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7.xml" ContentType="application/vnd.openxmlformats-officedocument.spreadsheetml.comments+xml"/>
  <Override PartName="/xl/comments22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 showObjects="none"/>
  <sheets>
    <sheet name="Upah" sheetId="1" r:id="rId1"/>
    <sheet name="Material" sheetId="2" r:id="rId2"/>
    <sheet name="REKAP BETON BESI BEKISTING" sheetId="3" r:id="rId3"/>
    <sheet name="REKAP Plat" sheetId="4" r:id="rId4"/>
    <sheet name="Plat" sheetId="5" r:id="rId5"/>
    <sheet name="Hasil-Kolom" sheetId="6" r:id="rId6"/>
    <sheet name="Data-Kolom" sheetId="7" r:id="rId7"/>
    <sheet name="Sheet1" sheetId="8" r:id="rId8"/>
    <sheet name="Retaining Wall" sheetId="9" r:id="rId9"/>
    <sheet name="COVER" sheetId="10" r:id="rId10"/>
    <sheet name="REKAP BENANGAN" sheetId="11" r:id="rId11"/>
    <sheet name="REKAP RAB" sheetId="12" r:id="rId12"/>
    <sheet name="RAB (A)" sheetId="13" r:id="rId13"/>
    <sheet name="RAB (B)" sheetId="14" r:id="rId14"/>
    <sheet name="Ben. Profil" sheetId="15" r:id="rId15"/>
    <sheet name="Pas. Dinding" sheetId="16" r:id="rId16"/>
    <sheet name="REKAP Balok" sheetId="17" r:id="rId17"/>
    <sheet name="Data Panjang Balok" sheetId="18" r:id="rId18"/>
    <sheet name="Besi Balok" sheetId="19" r:id="rId19"/>
    <sheet name="Detail Balok" sheetId="20" r:id="rId20"/>
    <sheet name="Hasil-PC" sheetId="21" r:id="rId21"/>
    <sheet name="Data-PC" sheetId="22" r:id="rId22"/>
    <sheet name="REKAP-PC" sheetId="23" r:id="rId23"/>
    <sheet name="Analisa" sheetId="24" r:id="rId24"/>
    <sheet name="Tangga" sheetId="25" r:id="rId25"/>
    <sheet name="PROSES BAJA" sheetId="26" r:id="rId26"/>
    <sheet name="DATA BAJA" sheetId="27" r:id="rId27"/>
    <sheet name="TABEL BAJA" sheetId="28" r:id="rId28"/>
    <sheet name="Recipe Index" sheetId="29" r:id="rId29"/>
    <sheet name="Breakdown (A) II.B.1" sheetId="30" r:id="rId30"/>
    <sheet name="Breakdown (A) II.B.3" sheetId="31" r:id="rId31"/>
    <sheet name="Breakdown (A) III.B.1.1" sheetId="32" r:id="rId32"/>
    <sheet name="Breakdown (A) III.B.1.2" sheetId="33" r:id="rId33"/>
    <sheet name="Breakdown (A) III.B.1.3" sheetId="34" r:id="rId34"/>
    <sheet name="Breakdown (A) III.B.1.4" sheetId="35" r:id="rId35"/>
    <sheet name="Breakdown (A) III.B.1.5" sheetId="36" r:id="rId36"/>
    <sheet name="Breakdown (A) III.B.1.6" sheetId="37" r:id="rId37"/>
    <sheet name="Breakdown (A) III.B.1.7" sheetId="38" r:id="rId38"/>
    <sheet name="Breakdown (A) III.B.1.8" sheetId="39" r:id="rId39"/>
    <sheet name="Breakdown (A) III.B.1.9" sheetId="40" r:id="rId40"/>
    <sheet name="Breakdown (A) III.B.1.10" sheetId="41" r:id="rId41"/>
    <sheet name="Breakdown (A) III.B.1.11" sheetId="42" r:id="rId42"/>
    <sheet name="Breakdown (A) III.B.1.12" sheetId="43" r:id="rId43"/>
    <sheet name="Breakdown (A) III.B.1.13" sheetId="44" r:id="rId44"/>
    <sheet name="Breakdown (A) III.B.1.14" sheetId="45" r:id="rId45"/>
    <sheet name="Breakdown (A) III.B.1.15" sheetId="46" r:id="rId46"/>
    <sheet name="Breakdown (A) III.B.2.1" sheetId="47" r:id="rId47"/>
    <sheet name="Breakdown (A) III.B.2.2" sheetId="48" r:id="rId48"/>
    <sheet name="Breakdown (A) III.B.2.3" sheetId="49" r:id="rId49"/>
    <sheet name="Breakdown (A) III.B.2.4" sheetId="50" r:id="rId50"/>
    <sheet name="Breakdown (A) III.B.2.5" sheetId="51" r:id="rId51"/>
    <sheet name="Breakdown (A) III.B.2.6" sheetId="52" r:id="rId52"/>
    <sheet name="Breakdown (A) III.B.2.7" sheetId="53" r:id="rId53"/>
    <sheet name="Breakdown (A) III.B.2.8" sheetId="54" r:id="rId54"/>
    <sheet name="Breakdown (A) III.B.2.9" sheetId="55" r:id="rId55"/>
    <sheet name="Breakdown (A) III.B.2.10" sheetId="56" r:id="rId56"/>
    <sheet name="Breakdown (A) III.B.2.11" sheetId="57" r:id="rId57"/>
    <sheet name="Breakdown (A) III.B.2.12" sheetId="58" r:id="rId58"/>
    <sheet name="Breakdown (A) III.B.2.13" sheetId="59" r:id="rId59"/>
    <sheet name="Breakdown (A) III.B.2.14" sheetId="60" r:id="rId60"/>
    <sheet name="Breakdown (A) III.B.2.15" sheetId="61" r:id="rId61"/>
    <sheet name="Breakdown (A) III.B.2.16" sheetId="62" r:id="rId62"/>
    <sheet name="Breakdown (A) III.B.2.17" sheetId="63" r:id="rId63"/>
    <sheet name="Breakdown (A) III.B.2.18" sheetId="64" r:id="rId64"/>
    <sheet name="Breakdown (A) III.B.2.19" sheetId="65" r:id="rId65"/>
    <sheet name="Breakdown (A) III.B.3.1" sheetId="66" r:id="rId66"/>
    <sheet name="Breakdown (A) III.B.4.1" sheetId="67" r:id="rId67"/>
    <sheet name="Breakdown (A) III.B.4.2" sheetId="68" r:id="rId68"/>
    <sheet name="Breakdown (A) III.B.4.3" sheetId="69" r:id="rId69"/>
    <sheet name="Breakdown (A) III.B.4.4" sheetId="70" r:id="rId70"/>
    <sheet name="Breakdown (A) III.B.4.5" sheetId="71" r:id="rId71"/>
    <sheet name="Breakdown (A) III.B.4.6" sheetId="72" r:id="rId72"/>
    <sheet name="Breakdown (A) III.B.4.7" sheetId="73" r:id="rId73"/>
    <sheet name="Breakdown (A) III.B.4.8" sheetId="74" r:id="rId74"/>
    <sheet name="Breakdown (A) III.B.4.9" sheetId="75" r:id="rId75"/>
    <sheet name="Breakdown (A) III.B.4.10" sheetId="76" r:id="rId76"/>
    <sheet name="Breakdown (A) III.B.4.11" sheetId="77" r:id="rId77"/>
    <sheet name="Breakdown (A) III.B.4.12" sheetId="78" r:id="rId78"/>
    <sheet name="Breakdown (A) III.B.4.13" sheetId="79" r:id="rId79"/>
    <sheet name="Breakdown (A) III.B.4.14" sheetId="80" r:id="rId80"/>
    <sheet name="Breakdown (A) III.B.4.15" sheetId="81" r:id="rId81"/>
    <sheet name="Breakdown (A) III.B.4.16" sheetId="82" r:id="rId82"/>
    <sheet name="Breakdown (A) III.B.5.1" sheetId="83" r:id="rId83"/>
    <sheet name="Breakdown (A) III.B.5.2" sheetId="84" r:id="rId84"/>
    <sheet name="Breakdown (A) III.B.5.3" sheetId="85" r:id="rId85"/>
    <sheet name="Breakdown (A) III.B.5.4" sheetId="86" r:id="rId86"/>
    <sheet name="Breakdown (A) III.B2.4" sheetId="87" r:id="rId87"/>
    <sheet name="Breakdown (A) IV.A.1.1" sheetId="88" r:id="rId88"/>
    <sheet name="Breakdown (A) IV.A.1.2" sheetId="89" r:id="rId89"/>
    <sheet name="Breakdown (A) IV.A.2.1" sheetId="90" r:id="rId90"/>
    <sheet name="Breakdown (A) IV.A.2.2" sheetId="91" r:id="rId91"/>
    <sheet name="Breakdown (A) IV.A.2.3" sheetId="92" r:id="rId92"/>
    <sheet name="Breakdown (A) IV.A.2.4" sheetId="93" r:id="rId93"/>
    <sheet name="Breakdown (A) IV.A.2.5" sheetId="94" r:id="rId94"/>
    <sheet name="Breakdown (A) IV.A.2.6" sheetId="95" r:id="rId95"/>
    <sheet name="Breakdown (A) IV.A.2.7" sheetId="96" r:id="rId96"/>
    <sheet name="Breakdown (A) IV.A.2.8" sheetId="97" r:id="rId97"/>
    <sheet name="Breakdown (A) IV.A.2.9" sheetId="98" r:id="rId98"/>
    <sheet name="Breakdown (A) IV.A.2.10" sheetId="99" r:id="rId99"/>
    <sheet name="Breakdown (A) IV.A.2.11" sheetId="100" r:id="rId100"/>
    <sheet name="Breakdown (A) IV.A.2.12" sheetId="101" r:id="rId101"/>
    <sheet name="Breakdown (A) IV.A.2.13" sheetId="102" r:id="rId102"/>
    <sheet name="Breakdown (A) IV.A.2.14" sheetId="103" r:id="rId103"/>
    <sheet name="Breakdown (A) IV.A.2.15" sheetId="104" r:id="rId104"/>
    <sheet name="Breakdown (A) IV.A.2.16" sheetId="105" r:id="rId105"/>
    <sheet name="Breakdown (A) IV.A.2.17" sheetId="106" r:id="rId106"/>
    <sheet name="Breakdown (A) IV.A.2.18" sheetId="107" r:id="rId107"/>
    <sheet name="Breakdown (A) IV.A.2.19" sheetId="108" r:id="rId108"/>
    <sheet name="Breakdown (A) IV.A.2.20" sheetId="109" r:id="rId109"/>
    <sheet name="Breakdown (A) IV.A.2.21" sheetId="110" r:id="rId110"/>
    <sheet name="Breakdown (A) IV.A.2.22" sheetId="111" r:id="rId111"/>
    <sheet name="Breakdown (A) IV.A.2.23" sheetId="112" r:id="rId112"/>
    <sheet name="Breakdown (A) IV.A.2.24" sheetId="113" r:id="rId113"/>
    <sheet name="Breakdown (A) IV.A.2.25" sheetId="114" r:id="rId114"/>
    <sheet name="Breakdown (A) IV.A.2.26" sheetId="115" r:id="rId115"/>
    <sheet name="Breakdown (A) IV.A.2.27" sheetId="116" r:id="rId116"/>
    <sheet name="Breakdown (A) IV.A.4.1" sheetId="117" r:id="rId117"/>
    <sheet name="Breakdown (A) IV.A.4.2" sheetId="118" r:id="rId118"/>
    <sheet name="Breakdown (A) IV.A.4.3" sheetId="119" r:id="rId119"/>
    <sheet name="Breakdown (A) IV.A.4.4" sheetId="120" r:id="rId120"/>
    <sheet name="Breakdown (A) IV.A.4.5" sheetId="121" r:id="rId121"/>
    <sheet name="Breakdown (A) IV.A.4.6" sheetId="122" r:id="rId122"/>
    <sheet name="Breakdown (A) IV.A.4.7" sheetId="123" r:id="rId123"/>
    <sheet name="Breakdown (A) IV.A.4.8" sheetId="124" r:id="rId124"/>
    <sheet name="Breakdown (A) IV.A.4.9" sheetId="125" r:id="rId125"/>
    <sheet name="Breakdown (A) IV.A.4.10" sheetId="126" r:id="rId126"/>
    <sheet name="Breakdown (A) IV.A.4.11" sheetId="127" r:id="rId127"/>
    <sheet name="Breakdown (A) IV.A.4.12" sheetId="128" r:id="rId128"/>
    <sheet name="Breakdown (A) IV.A.4.13" sheetId="129" r:id="rId129"/>
    <sheet name="Breakdown (A) IV.A.4.14" sheetId="130" r:id="rId130"/>
    <sheet name="Breakdown (A) IV.A.4.15" sheetId="131" r:id="rId131"/>
    <sheet name="Breakdown (A) IV.A.4.16" sheetId="132" r:id="rId132"/>
    <sheet name="Breakdown (A) IV.B.2" sheetId="133" r:id="rId133"/>
    <sheet name="Breakdown (A) V.A.1.1" sheetId="134" r:id="rId134"/>
    <sheet name="Breakdown (A) V.A.1.2" sheetId="135" r:id="rId135"/>
    <sheet name="Breakdown (A) V.A.2.1" sheetId="136" r:id="rId136"/>
    <sheet name="Breakdown (A) V.A.2.2" sheetId="137" r:id="rId137"/>
    <sheet name="Breakdown (A) V.A.2.3" sheetId="138" r:id="rId138"/>
    <sheet name="Breakdown (A) V.A.2.4" sheetId="139" r:id="rId139"/>
    <sheet name="Breakdown (A) V.A.2.5" sheetId="140" r:id="rId140"/>
    <sheet name="Breakdown (A) V.A.2.6" sheetId="141" r:id="rId141"/>
    <sheet name="Breakdown (A) V.A.2.7" sheetId="142" r:id="rId142"/>
    <sheet name="Breakdown (A) V.A.2.8" sheetId="143" r:id="rId143"/>
    <sheet name="Breakdown (A) V.A.2.9" sheetId="144" r:id="rId144"/>
    <sheet name="Breakdown (A) V.A.2.10" sheetId="145" r:id="rId145"/>
    <sheet name="Breakdown (A) V.A.2.11" sheetId="146" r:id="rId146"/>
    <sheet name="Breakdown (A) V.A.2.12" sheetId="147" r:id="rId147"/>
    <sheet name="Breakdown (A) V.A.2.13" sheetId="148" r:id="rId148"/>
    <sheet name="Breakdown (A) V.A.2.14" sheetId="149" r:id="rId149"/>
    <sheet name="Breakdown (A) V.A.2.15" sheetId="150" r:id="rId150"/>
    <sheet name="Breakdown (A) V.A.2.16" sheetId="151" r:id="rId151"/>
    <sheet name="Breakdown (A) V.A.2.17" sheetId="152" r:id="rId152"/>
    <sheet name="Breakdown (A) V.A.2.18" sheetId="153" r:id="rId153"/>
    <sheet name="Breakdown (A) V.A.2.19" sheetId="154" r:id="rId154"/>
    <sheet name="Breakdown (A) V.A.2.20" sheetId="155" r:id="rId155"/>
    <sheet name="Breakdown (A) V.A.2.21" sheetId="156" r:id="rId156"/>
    <sheet name="Breakdown (A) V.A.2.22" sheetId="157" r:id="rId157"/>
    <sheet name="Breakdown (A) V.A.2.23" sheetId="158" r:id="rId158"/>
    <sheet name="Breakdown (A) V.A.2.24" sheetId="159" r:id="rId159"/>
    <sheet name="Breakdown (A) V.A.2.25" sheetId="160" r:id="rId160"/>
    <sheet name="Breakdown (A) V.A.2.26" sheetId="161" r:id="rId161"/>
    <sheet name="Breakdown (A) V.A.2.27" sheetId="162" r:id="rId162"/>
    <sheet name="Breakdown (A) V.A.2.28" sheetId="163" r:id="rId163"/>
    <sheet name="Breakdown (A) V.A.2.29" sheetId="164" r:id="rId164"/>
    <sheet name="Breakdown (A) V.A.2.30" sheetId="165" r:id="rId165"/>
    <sheet name="Breakdown (A) V.A.2.31" sheetId="166" r:id="rId166"/>
    <sheet name="Breakdown (A) V.A.2.32" sheetId="167" r:id="rId167"/>
    <sheet name="Breakdown (A) V.A.2.33" sheetId="168" r:id="rId168"/>
    <sheet name="Breakdown (A) V.A.4.1" sheetId="169" r:id="rId169"/>
    <sheet name="Breakdown (A) V.A.4.2" sheetId="170" r:id="rId170"/>
    <sheet name="Breakdown (A) V.A.4.3" sheetId="171" r:id="rId171"/>
    <sheet name="Breakdown (A) V.A.4.4" sheetId="172" r:id="rId172"/>
    <sheet name="Breakdown (A) V.A.4.5" sheetId="173" r:id="rId173"/>
    <sheet name="Breakdown (A) V.A.4.6" sheetId="174" r:id="rId174"/>
    <sheet name="Breakdown (A) V.A.4.7" sheetId="175" r:id="rId175"/>
    <sheet name="Breakdown (A) V.A.4.8" sheetId="176" r:id="rId176"/>
    <sheet name="Breakdown (A) V.A.4.9" sheetId="177" r:id="rId177"/>
    <sheet name="Breakdown (A) V.A.4.10" sheetId="178" r:id="rId178"/>
    <sheet name="Breakdown (A) V.A.4.11" sheetId="179" r:id="rId179"/>
    <sheet name="Breakdown (A) V.A.4.12" sheetId="180" r:id="rId180"/>
    <sheet name="Breakdown (A) V.A.4.13" sheetId="181" r:id="rId181"/>
    <sheet name="Breakdown (A) V.A.4.14" sheetId="182" r:id="rId182"/>
    <sheet name="Breakdown (A) V.A.4.15" sheetId="183" r:id="rId183"/>
    <sheet name="Breakdown (A) V.A.4.16" sheetId="184" r:id="rId184"/>
    <sheet name="Breakdown (A) V.B.2" sheetId="185" r:id="rId185"/>
    <sheet name="Breakdown (A) VI.A.1.1" sheetId="186" r:id="rId186"/>
    <sheet name="Breakdown (A) VI.A.1.2" sheetId="187" r:id="rId187"/>
    <sheet name="Breakdown (A) VI.A.2.1" sheetId="188" r:id="rId188"/>
    <sheet name="Breakdown (A) VI.A.2.2" sheetId="189" r:id="rId189"/>
    <sheet name="Breakdown (A) VI.A.2.3" sheetId="190" r:id="rId190"/>
    <sheet name="Breakdown (A) VI.A.2.4" sheetId="191" r:id="rId191"/>
    <sheet name="Breakdown (A) VI.A.2.5" sheetId="192" r:id="rId192"/>
    <sheet name="Breakdown (A) VI.A.2.6" sheetId="193" r:id="rId193"/>
    <sheet name="Breakdown (A) VI.A.2.7" sheetId="194" r:id="rId194"/>
    <sheet name="Breakdown (A) VI.A.2.8" sheetId="195" r:id="rId195"/>
    <sheet name="Breakdown (A) VI.A.2.9" sheetId="196" r:id="rId196"/>
    <sheet name="Breakdown (A) VI.A.2.10" sheetId="197" r:id="rId197"/>
    <sheet name="Breakdown (A) VI.A.2.11" sheetId="198" r:id="rId198"/>
    <sheet name="Breakdown (A) VI.A.2.12" sheetId="199" r:id="rId199"/>
    <sheet name="Breakdown (A) VI.A.2.13" sheetId="200" r:id="rId200"/>
    <sheet name="Breakdown (A) VI.A.2.14" sheetId="201" r:id="rId201"/>
    <sheet name="Breakdown (A) VI.A.2.15" sheetId="202" r:id="rId202"/>
    <sheet name="Breakdown (A) VI.A.2.16" sheetId="203" r:id="rId203"/>
    <sheet name="Breakdown (A) VI.A.2.17" sheetId="204" r:id="rId204"/>
    <sheet name="Breakdown (A) VI.A.2.18" sheetId="205" r:id="rId205"/>
    <sheet name="Breakdown (A) VI.A.2.19" sheetId="206" r:id="rId206"/>
    <sheet name="Breakdown (A) VI.A.2.20" sheetId="207" r:id="rId207"/>
    <sheet name="Breakdown (A) VI.A.2.21" sheetId="208" r:id="rId208"/>
    <sheet name="Breakdown (A) VI.A.2.22" sheetId="209" r:id="rId209"/>
    <sheet name="Breakdown (A) VI.A.2.23" sheetId="210" r:id="rId210"/>
    <sheet name="Breakdown (A) VI.A.2.24" sheetId="211" r:id="rId211"/>
    <sheet name="Breakdown (A) VI.A.2.25" sheetId="212" r:id="rId212"/>
    <sheet name="Breakdown (A) VI.A.2.26" sheetId="213" r:id="rId213"/>
    <sheet name="Breakdown (A) VI.A.2.27" sheetId="214" r:id="rId214"/>
    <sheet name="Breakdown (A) VI.A.2.28" sheetId="215" r:id="rId215"/>
    <sheet name="Breakdown (A) VI.A.2.29" sheetId="216" r:id="rId216"/>
    <sheet name="Breakdown (A) VI.A.2.30" sheetId="217" r:id="rId217"/>
    <sheet name="Breakdown (A) VI.A.2.31" sheetId="218" r:id="rId218"/>
    <sheet name="Breakdown (A) VI.A.2.32" sheetId="219" r:id="rId219"/>
    <sheet name="Breakdown (A) VI.A.2.33" sheetId="220" r:id="rId220"/>
    <sheet name="Breakdown (A) VI.A.2.34" sheetId="221" r:id="rId221"/>
    <sheet name="Breakdown (A) VI.A.4.1" sheetId="222" r:id="rId222"/>
    <sheet name="Breakdown (A) VI.A.4.2" sheetId="223" r:id="rId223"/>
    <sheet name="Breakdown (A) VI.A.4.3" sheetId="224" r:id="rId224"/>
    <sheet name="Breakdown (A) VI.A.4.4" sheetId="225" r:id="rId225"/>
    <sheet name="Breakdown (A) VI.A.4.5" sheetId="226" r:id="rId226"/>
    <sheet name="Breakdown (A) VI.A.4.6" sheetId="227" r:id="rId227"/>
    <sheet name="Breakdown (A) VI.A.4.7" sheetId="228" r:id="rId228"/>
    <sheet name="Breakdown (A) VI.A.4.8" sheetId="229" r:id="rId229"/>
    <sheet name="Breakdown (A) VI.A.4.9" sheetId="230" r:id="rId230"/>
    <sheet name="Breakdown (A) VI.A.4.10" sheetId="231" r:id="rId231"/>
    <sheet name="Breakdown (A) VI.A.4.11" sheetId="232" r:id="rId232"/>
    <sheet name="Breakdown (A) VI.A.4.12" sheetId="233" r:id="rId233"/>
    <sheet name="Breakdown (A) VI.A.4.13" sheetId="234" r:id="rId234"/>
    <sheet name="Breakdown (A) VI.B.1" sheetId="235" r:id="rId235"/>
    <sheet name="Breakdown (A) VI.B.2" sheetId="236" r:id="rId236"/>
    <sheet name="Breakdown (A) VII.A.1.1" sheetId="237" r:id="rId237"/>
    <sheet name="Breakdown (A) VII.A.2.1" sheetId="238" r:id="rId238"/>
    <sheet name="Breakdown (A) VII.A.2.2" sheetId="239" r:id="rId239"/>
    <sheet name="Breakdown (A) VII.A.2.3" sheetId="240" r:id="rId240"/>
    <sheet name="Breakdown (A) VII.A.2.4" sheetId="241" r:id="rId241"/>
    <sheet name="Breakdown (A) VII.A.2.5" sheetId="242" r:id="rId242"/>
    <sheet name="Breakdown (A) VII.A.2.6" sheetId="243" r:id="rId243"/>
    <sheet name="Breakdown (A) VII.A.2.7" sheetId="244" r:id="rId244"/>
    <sheet name="Breakdown (A) VII.A.2.8" sheetId="245" r:id="rId245"/>
    <sheet name="Breakdown (A) VII.A.2.9" sheetId="246" r:id="rId246"/>
    <sheet name="Breakdown (A) VII.A.2.10" sheetId="247" r:id="rId247"/>
    <sheet name="Breakdown (A) VII.A.2.11" sheetId="248" r:id="rId248"/>
    <sheet name="Breakdown (A) VII.A.2.12" sheetId="249" r:id="rId249"/>
    <sheet name="Breakdown (A) VII.A.2.13" sheetId="250" r:id="rId250"/>
    <sheet name="Breakdown (A) VII.A.2.14" sheetId="251" r:id="rId251"/>
    <sheet name="Breakdown (A) VII.A.2.15" sheetId="252" r:id="rId252"/>
    <sheet name="Breakdown (A) VII.A.2.16" sheetId="253" r:id="rId253"/>
    <sheet name="Breakdown (A) VII.A.2.17" sheetId="254" r:id="rId254"/>
    <sheet name="Breakdown (A) VII.A.2.18" sheetId="255" r:id="rId255"/>
    <sheet name="Breakdown (A) VII.A.2.19" sheetId="256" r:id="rId256"/>
    <sheet name="Breakdown (A) VII.A.2.20" sheetId="257" r:id="rId257"/>
    <sheet name="Breakdown (A) VII.A.2.21" sheetId="258" r:id="rId258"/>
    <sheet name="Breakdown (A) VII.A.2.22" sheetId="259" r:id="rId259"/>
    <sheet name="Breakdown (A) VII.A.2.23" sheetId="260" r:id="rId260"/>
    <sheet name="Breakdown (A) VII.A.2.24" sheetId="261" r:id="rId261"/>
    <sheet name="Breakdown (A) IX.A.1" sheetId="262" r:id="rId262"/>
    <sheet name="Breakdown (A) IX.B.1" sheetId="263" r:id="rId263"/>
    <sheet name="Breakdown (A) IX.B.2" sheetId="264" r:id="rId264"/>
    <sheet name="Breakdown (A) IX.B.3" sheetId="265" r:id="rId265"/>
    <sheet name="Breakdown (A) IX.B.4" sheetId="266" r:id="rId266"/>
    <sheet name="Breakdown (A) IX.C.1" sheetId="267" r:id="rId267"/>
    <sheet name="Breakdown (A) IX.C.2" sheetId="268" r:id="rId268"/>
    <sheet name="Breakdown (A) IX.C.3" sheetId="269" r:id="rId269"/>
    <sheet name="Breakdown (A) IX.D.1" sheetId="270" r:id="rId270"/>
  </sheets>
  <definedNames>
    <definedName name="_____________HAL4">NA()</definedName>
    <definedName name="________alt2" localSheetId="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" localSheetId="2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2" localSheetId="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2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2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2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2" localSheetId="2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3" localSheetId="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3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3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3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3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3" localSheetId="2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4" localSheetId="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4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4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4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4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4" localSheetId="2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5" localSheetId="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5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5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5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5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5" localSheetId="2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hq1" localSheetId="5" hidden="1">{#N/A,#N/A,FALSE,"REK";#N/A,#N/A,FALSE,"rab"}</definedName>
    <definedName name="________hq1" localSheetId="15" hidden="1">{#N/A,#N/A,FALSE,"REK";#N/A,#N/A,FALSE,"rab"}</definedName>
    <definedName name="________hq1" localSheetId="13" hidden="1">{#N/A,#N/A,FALSE,"REK";#N/A,#N/A,FALSE,"rab"}</definedName>
    <definedName name="________hq1" localSheetId="2" hidden="1">{#N/A,#N/A,FALSE,"REK";#N/A,#N/A,FALSE,"rab"}</definedName>
    <definedName name="________hq1" localSheetId="8" hidden="1">{#N/A,#N/A,FALSE,"REK";#N/A,#N/A,FALSE,"rab"}</definedName>
    <definedName name="________hq1" localSheetId="27" hidden="1">{#N/A,#N/A,FALSE,"REK";#N/A,#N/A,FALSE,"rab"}</definedName>
    <definedName name="________hq1" hidden="1">{#N/A,#N/A,FALSE,"REK";#N/A,#N/A,FALSE,"rab"}</definedName>
    <definedName name="________hq1_2" localSheetId="5" hidden="1">{#N/A,#N/A,FALSE,"REK";#N/A,#N/A,FALSE,"rab"}</definedName>
    <definedName name="________hq1_2" localSheetId="15" hidden="1">{#N/A,#N/A,FALSE,"REK";#N/A,#N/A,FALSE,"rab"}</definedName>
    <definedName name="________hq1_2" localSheetId="13" hidden="1">{#N/A,#N/A,FALSE,"REK";#N/A,#N/A,FALSE,"rab"}</definedName>
    <definedName name="________hq1_2" localSheetId="2" hidden="1">{#N/A,#N/A,FALSE,"REK";#N/A,#N/A,FALSE,"rab"}</definedName>
    <definedName name="________hq1_2" localSheetId="8" hidden="1">{#N/A,#N/A,FALSE,"REK";#N/A,#N/A,FALSE,"rab"}</definedName>
    <definedName name="________hq1_2" localSheetId="27" hidden="1">{#N/A,#N/A,FALSE,"REK";#N/A,#N/A,FALSE,"rab"}</definedName>
    <definedName name="________hq1_2" hidden="1">{#N/A,#N/A,FALSE,"REK";#N/A,#N/A,FALSE,"rab"}</definedName>
    <definedName name="________hq1_3" localSheetId="5" hidden="1">{#N/A,#N/A,FALSE,"REK";#N/A,#N/A,FALSE,"rab"}</definedName>
    <definedName name="________hq1_3" localSheetId="15" hidden="1">{#N/A,#N/A,FALSE,"REK";#N/A,#N/A,FALSE,"rab"}</definedName>
    <definedName name="________hq1_3" localSheetId="13" hidden="1">{#N/A,#N/A,FALSE,"REK";#N/A,#N/A,FALSE,"rab"}</definedName>
    <definedName name="________hq1_3" localSheetId="2" hidden="1">{#N/A,#N/A,FALSE,"REK";#N/A,#N/A,FALSE,"rab"}</definedName>
    <definedName name="________hq1_3" localSheetId="8" hidden="1">{#N/A,#N/A,FALSE,"REK";#N/A,#N/A,FALSE,"rab"}</definedName>
    <definedName name="________hq1_3" localSheetId="27" hidden="1">{#N/A,#N/A,FALSE,"REK";#N/A,#N/A,FALSE,"rab"}</definedName>
    <definedName name="________hq1_3" hidden="1">{#N/A,#N/A,FALSE,"REK";#N/A,#N/A,FALSE,"rab"}</definedName>
    <definedName name="________hq1_4" localSheetId="5" hidden="1">{#N/A,#N/A,FALSE,"REK";#N/A,#N/A,FALSE,"rab"}</definedName>
    <definedName name="________hq1_4" localSheetId="15" hidden="1">{#N/A,#N/A,FALSE,"REK";#N/A,#N/A,FALSE,"rab"}</definedName>
    <definedName name="________hq1_4" localSheetId="13" hidden="1">{#N/A,#N/A,FALSE,"REK";#N/A,#N/A,FALSE,"rab"}</definedName>
    <definedName name="________hq1_4" localSheetId="2" hidden="1">{#N/A,#N/A,FALSE,"REK";#N/A,#N/A,FALSE,"rab"}</definedName>
    <definedName name="________hq1_4" localSheetId="8" hidden="1">{#N/A,#N/A,FALSE,"REK";#N/A,#N/A,FALSE,"rab"}</definedName>
    <definedName name="________hq1_4" localSheetId="27" hidden="1">{#N/A,#N/A,FALSE,"REK";#N/A,#N/A,FALSE,"rab"}</definedName>
    <definedName name="________hq1_4" hidden="1">{#N/A,#N/A,FALSE,"REK";#N/A,#N/A,FALSE,"rab"}</definedName>
    <definedName name="________hq1_5" localSheetId="5" hidden="1">{#N/A,#N/A,FALSE,"REK";#N/A,#N/A,FALSE,"rab"}</definedName>
    <definedName name="________hq1_5" localSheetId="15" hidden="1">{#N/A,#N/A,FALSE,"REK";#N/A,#N/A,FALSE,"rab"}</definedName>
    <definedName name="________hq1_5" localSheetId="13" hidden="1">{#N/A,#N/A,FALSE,"REK";#N/A,#N/A,FALSE,"rab"}</definedName>
    <definedName name="________hq1_5" localSheetId="2" hidden="1">{#N/A,#N/A,FALSE,"REK";#N/A,#N/A,FALSE,"rab"}</definedName>
    <definedName name="________hq1_5" localSheetId="8" hidden="1">{#N/A,#N/A,FALSE,"REK";#N/A,#N/A,FALSE,"rab"}</definedName>
    <definedName name="________hq1_5" localSheetId="27" hidden="1">{#N/A,#N/A,FALSE,"REK";#N/A,#N/A,FALSE,"rab"}</definedName>
    <definedName name="________hq1_5" hidden="1">{#N/A,#N/A,FALSE,"REK";#N/A,#N/A,FALSE,"rab"}</definedName>
    <definedName name="________hq2" localSheetId="5" hidden="1">{#N/A,#N/A,FALSE,"REK";#N/A,#N/A,FALSE,"rab"}</definedName>
    <definedName name="________hq2" localSheetId="15" hidden="1">{#N/A,#N/A,FALSE,"REK";#N/A,#N/A,FALSE,"rab"}</definedName>
    <definedName name="________hq2" localSheetId="13" hidden="1">{#N/A,#N/A,FALSE,"REK";#N/A,#N/A,FALSE,"rab"}</definedName>
    <definedName name="________hq2" localSheetId="2" hidden="1">{#N/A,#N/A,FALSE,"REK";#N/A,#N/A,FALSE,"rab"}</definedName>
    <definedName name="________hq2" localSheetId="8" hidden="1">{#N/A,#N/A,FALSE,"REK";#N/A,#N/A,FALSE,"rab"}</definedName>
    <definedName name="________hq2" localSheetId="27" hidden="1">{#N/A,#N/A,FALSE,"REK";#N/A,#N/A,FALSE,"rab"}</definedName>
    <definedName name="________hq2" hidden="1">{#N/A,#N/A,FALSE,"REK";#N/A,#N/A,FALSE,"rab"}</definedName>
    <definedName name="________hq2_2" localSheetId="5" hidden="1">{#N/A,#N/A,FALSE,"REK";#N/A,#N/A,FALSE,"rab"}</definedName>
    <definedName name="________hq2_2" localSheetId="15" hidden="1">{#N/A,#N/A,FALSE,"REK";#N/A,#N/A,FALSE,"rab"}</definedName>
    <definedName name="________hq2_2" localSheetId="13" hidden="1">{#N/A,#N/A,FALSE,"REK";#N/A,#N/A,FALSE,"rab"}</definedName>
    <definedName name="________hq2_2" localSheetId="2" hidden="1">{#N/A,#N/A,FALSE,"REK";#N/A,#N/A,FALSE,"rab"}</definedName>
    <definedName name="________hq2_2" localSheetId="8" hidden="1">{#N/A,#N/A,FALSE,"REK";#N/A,#N/A,FALSE,"rab"}</definedName>
    <definedName name="________hq2_2" localSheetId="27" hidden="1">{#N/A,#N/A,FALSE,"REK";#N/A,#N/A,FALSE,"rab"}</definedName>
    <definedName name="________hq2_2" hidden="1">{#N/A,#N/A,FALSE,"REK";#N/A,#N/A,FALSE,"rab"}</definedName>
    <definedName name="________hq2_3" localSheetId="5" hidden="1">{#N/A,#N/A,FALSE,"REK";#N/A,#N/A,FALSE,"rab"}</definedName>
    <definedName name="________hq2_3" localSheetId="15" hidden="1">{#N/A,#N/A,FALSE,"REK";#N/A,#N/A,FALSE,"rab"}</definedName>
    <definedName name="________hq2_3" localSheetId="13" hidden="1">{#N/A,#N/A,FALSE,"REK";#N/A,#N/A,FALSE,"rab"}</definedName>
    <definedName name="________hq2_3" localSheetId="2" hidden="1">{#N/A,#N/A,FALSE,"REK";#N/A,#N/A,FALSE,"rab"}</definedName>
    <definedName name="________hq2_3" localSheetId="8" hidden="1">{#N/A,#N/A,FALSE,"REK";#N/A,#N/A,FALSE,"rab"}</definedName>
    <definedName name="________hq2_3" localSheetId="27" hidden="1">{#N/A,#N/A,FALSE,"REK";#N/A,#N/A,FALSE,"rab"}</definedName>
    <definedName name="________hq2_3" hidden="1">{#N/A,#N/A,FALSE,"REK";#N/A,#N/A,FALSE,"rab"}</definedName>
    <definedName name="________hq2_4" localSheetId="5" hidden="1">{#N/A,#N/A,FALSE,"REK";#N/A,#N/A,FALSE,"rab"}</definedName>
    <definedName name="________hq2_4" localSheetId="15" hidden="1">{#N/A,#N/A,FALSE,"REK";#N/A,#N/A,FALSE,"rab"}</definedName>
    <definedName name="________hq2_4" localSheetId="13" hidden="1">{#N/A,#N/A,FALSE,"REK";#N/A,#N/A,FALSE,"rab"}</definedName>
    <definedName name="________hq2_4" localSheetId="2" hidden="1">{#N/A,#N/A,FALSE,"REK";#N/A,#N/A,FALSE,"rab"}</definedName>
    <definedName name="________hq2_4" localSheetId="8" hidden="1">{#N/A,#N/A,FALSE,"REK";#N/A,#N/A,FALSE,"rab"}</definedName>
    <definedName name="________hq2_4" localSheetId="27" hidden="1">{#N/A,#N/A,FALSE,"REK";#N/A,#N/A,FALSE,"rab"}</definedName>
    <definedName name="________hq2_4" hidden="1">{#N/A,#N/A,FALSE,"REK";#N/A,#N/A,FALSE,"rab"}</definedName>
    <definedName name="________hq2_5" localSheetId="5" hidden="1">{#N/A,#N/A,FALSE,"REK";#N/A,#N/A,FALSE,"rab"}</definedName>
    <definedName name="________hq2_5" localSheetId="15" hidden="1">{#N/A,#N/A,FALSE,"REK";#N/A,#N/A,FALSE,"rab"}</definedName>
    <definedName name="________hq2_5" localSheetId="13" hidden="1">{#N/A,#N/A,FALSE,"REK";#N/A,#N/A,FALSE,"rab"}</definedName>
    <definedName name="________hq2_5" localSheetId="2" hidden="1">{#N/A,#N/A,FALSE,"REK";#N/A,#N/A,FALSE,"rab"}</definedName>
    <definedName name="________hq2_5" localSheetId="8" hidden="1">{#N/A,#N/A,FALSE,"REK";#N/A,#N/A,FALSE,"rab"}</definedName>
    <definedName name="________hq2_5" localSheetId="27" hidden="1">{#N/A,#N/A,FALSE,"REK";#N/A,#N/A,FALSE,"rab"}</definedName>
    <definedName name="________hq2_5" hidden="1">{#N/A,#N/A,FALSE,"REK";#N/A,#N/A,FALSE,"rab"}</definedName>
    <definedName name="________JU56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2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3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4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4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5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5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alt2" localSheetId="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" localSheetId="2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2" localSheetId="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2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2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2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2" localSheetId="2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3" localSheetId="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3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3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3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3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3" localSheetId="2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4" localSheetId="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4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4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4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4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4" localSheetId="2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5" localSheetId="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5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5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5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5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5" localSheetId="2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hq1" localSheetId="5" hidden="1">{#N/A,#N/A,FALSE,"REK";#N/A,#N/A,FALSE,"rab"}</definedName>
    <definedName name="______hq1" localSheetId="15" hidden="1">{#N/A,#N/A,FALSE,"REK";#N/A,#N/A,FALSE,"rab"}</definedName>
    <definedName name="______hq1" localSheetId="13" hidden="1">{#N/A,#N/A,FALSE,"REK";#N/A,#N/A,FALSE,"rab"}</definedName>
    <definedName name="______hq1" localSheetId="2" hidden="1">{#N/A,#N/A,FALSE,"REK";#N/A,#N/A,FALSE,"rab"}</definedName>
    <definedName name="______hq1" localSheetId="8" hidden="1">{#N/A,#N/A,FALSE,"REK";#N/A,#N/A,FALSE,"rab"}</definedName>
    <definedName name="______hq1" localSheetId="27" hidden="1">{#N/A,#N/A,FALSE,"REK";#N/A,#N/A,FALSE,"rab"}</definedName>
    <definedName name="______hq1" hidden="1">{#N/A,#N/A,FALSE,"REK";#N/A,#N/A,FALSE,"rab"}</definedName>
    <definedName name="______hq1_2" localSheetId="5" hidden="1">{#N/A,#N/A,FALSE,"REK";#N/A,#N/A,FALSE,"rab"}</definedName>
    <definedName name="______hq1_2" localSheetId="15" hidden="1">{#N/A,#N/A,FALSE,"REK";#N/A,#N/A,FALSE,"rab"}</definedName>
    <definedName name="______hq1_2" localSheetId="13" hidden="1">{#N/A,#N/A,FALSE,"REK";#N/A,#N/A,FALSE,"rab"}</definedName>
    <definedName name="______hq1_2" localSheetId="2" hidden="1">{#N/A,#N/A,FALSE,"REK";#N/A,#N/A,FALSE,"rab"}</definedName>
    <definedName name="______hq1_2" localSheetId="8" hidden="1">{#N/A,#N/A,FALSE,"REK";#N/A,#N/A,FALSE,"rab"}</definedName>
    <definedName name="______hq1_2" localSheetId="27" hidden="1">{#N/A,#N/A,FALSE,"REK";#N/A,#N/A,FALSE,"rab"}</definedName>
    <definedName name="______hq1_2" hidden="1">{#N/A,#N/A,FALSE,"REK";#N/A,#N/A,FALSE,"rab"}</definedName>
    <definedName name="______hq1_3" localSheetId="5" hidden="1">{#N/A,#N/A,FALSE,"REK";#N/A,#N/A,FALSE,"rab"}</definedName>
    <definedName name="______hq1_3" localSheetId="15" hidden="1">{#N/A,#N/A,FALSE,"REK";#N/A,#N/A,FALSE,"rab"}</definedName>
    <definedName name="______hq1_3" localSheetId="13" hidden="1">{#N/A,#N/A,FALSE,"REK";#N/A,#N/A,FALSE,"rab"}</definedName>
    <definedName name="______hq1_3" localSheetId="2" hidden="1">{#N/A,#N/A,FALSE,"REK";#N/A,#N/A,FALSE,"rab"}</definedName>
    <definedName name="______hq1_3" localSheetId="8" hidden="1">{#N/A,#N/A,FALSE,"REK";#N/A,#N/A,FALSE,"rab"}</definedName>
    <definedName name="______hq1_3" localSheetId="27" hidden="1">{#N/A,#N/A,FALSE,"REK";#N/A,#N/A,FALSE,"rab"}</definedName>
    <definedName name="______hq1_3" hidden="1">{#N/A,#N/A,FALSE,"REK";#N/A,#N/A,FALSE,"rab"}</definedName>
    <definedName name="______hq1_4" localSheetId="5" hidden="1">{#N/A,#N/A,FALSE,"REK";#N/A,#N/A,FALSE,"rab"}</definedName>
    <definedName name="______hq1_4" localSheetId="15" hidden="1">{#N/A,#N/A,FALSE,"REK";#N/A,#N/A,FALSE,"rab"}</definedName>
    <definedName name="______hq1_4" localSheetId="13" hidden="1">{#N/A,#N/A,FALSE,"REK";#N/A,#N/A,FALSE,"rab"}</definedName>
    <definedName name="______hq1_4" localSheetId="2" hidden="1">{#N/A,#N/A,FALSE,"REK";#N/A,#N/A,FALSE,"rab"}</definedName>
    <definedName name="______hq1_4" localSheetId="8" hidden="1">{#N/A,#N/A,FALSE,"REK";#N/A,#N/A,FALSE,"rab"}</definedName>
    <definedName name="______hq1_4" localSheetId="27" hidden="1">{#N/A,#N/A,FALSE,"REK";#N/A,#N/A,FALSE,"rab"}</definedName>
    <definedName name="______hq1_4" hidden="1">{#N/A,#N/A,FALSE,"REK";#N/A,#N/A,FALSE,"rab"}</definedName>
    <definedName name="______hq1_5" localSheetId="5" hidden="1">{#N/A,#N/A,FALSE,"REK";#N/A,#N/A,FALSE,"rab"}</definedName>
    <definedName name="______hq1_5" localSheetId="15" hidden="1">{#N/A,#N/A,FALSE,"REK";#N/A,#N/A,FALSE,"rab"}</definedName>
    <definedName name="______hq1_5" localSheetId="13" hidden="1">{#N/A,#N/A,FALSE,"REK";#N/A,#N/A,FALSE,"rab"}</definedName>
    <definedName name="______hq1_5" localSheetId="2" hidden="1">{#N/A,#N/A,FALSE,"REK";#N/A,#N/A,FALSE,"rab"}</definedName>
    <definedName name="______hq1_5" localSheetId="8" hidden="1">{#N/A,#N/A,FALSE,"REK";#N/A,#N/A,FALSE,"rab"}</definedName>
    <definedName name="______hq1_5" localSheetId="27" hidden="1">{#N/A,#N/A,FALSE,"REK";#N/A,#N/A,FALSE,"rab"}</definedName>
    <definedName name="______hq1_5" hidden="1">{#N/A,#N/A,FALSE,"REK";#N/A,#N/A,FALSE,"rab"}</definedName>
    <definedName name="______hq2" localSheetId="5" hidden="1">{#N/A,#N/A,FALSE,"REK";#N/A,#N/A,FALSE,"rab"}</definedName>
    <definedName name="______hq2" localSheetId="15" hidden="1">{#N/A,#N/A,FALSE,"REK";#N/A,#N/A,FALSE,"rab"}</definedName>
    <definedName name="______hq2" localSheetId="13" hidden="1">{#N/A,#N/A,FALSE,"REK";#N/A,#N/A,FALSE,"rab"}</definedName>
    <definedName name="______hq2" localSheetId="2" hidden="1">{#N/A,#N/A,FALSE,"REK";#N/A,#N/A,FALSE,"rab"}</definedName>
    <definedName name="______hq2" localSheetId="8" hidden="1">{#N/A,#N/A,FALSE,"REK";#N/A,#N/A,FALSE,"rab"}</definedName>
    <definedName name="______hq2" localSheetId="27" hidden="1">{#N/A,#N/A,FALSE,"REK";#N/A,#N/A,FALSE,"rab"}</definedName>
    <definedName name="______hq2" hidden="1">{#N/A,#N/A,FALSE,"REK";#N/A,#N/A,FALSE,"rab"}</definedName>
    <definedName name="______hq2_2" localSheetId="5" hidden="1">{#N/A,#N/A,FALSE,"REK";#N/A,#N/A,FALSE,"rab"}</definedName>
    <definedName name="______hq2_2" localSheetId="15" hidden="1">{#N/A,#N/A,FALSE,"REK";#N/A,#N/A,FALSE,"rab"}</definedName>
    <definedName name="______hq2_2" localSheetId="13" hidden="1">{#N/A,#N/A,FALSE,"REK";#N/A,#N/A,FALSE,"rab"}</definedName>
    <definedName name="______hq2_2" localSheetId="2" hidden="1">{#N/A,#N/A,FALSE,"REK";#N/A,#N/A,FALSE,"rab"}</definedName>
    <definedName name="______hq2_2" localSheetId="8" hidden="1">{#N/A,#N/A,FALSE,"REK";#N/A,#N/A,FALSE,"rab"}</definedName>
    <definedName name="______hq2_2" localSheetId="27" hidden="1">{#N/A,#N/A,FALSE,"REK";#N/A,#N/A,FALSE,"rab"}</definedName>
    <definedName name="______hq2_2" hidden="1">{#N/A,#N/A,FALSE,"REK";#N/A,#N/A,FALSE,"rab"}</definedName>
    <definedName name="______hq2_3" localSheetId="5" hidden="1">{#N/A,#N/A,FALSE,"REK";#N/A,#N/A,FALSE,"rab"}</definedName>
    <definedName name="______hq2_3" localSheetId="15" hidden="1">{#N/A,#N/A,FALSE,"REK";#N/A,#N/A,FALSE,"rab"}</definedName>
    <definedName name="______hq2_3" localSheetId="13" hidden="1">{#N/A,#N/A,FALSE,"REK";#N/A,#N/A,FALSE,"rab"}</definedName>
    <definedName name="______hq2_3" localSheetId="2" hidden="1">{#N/A,#N/A,FALSE,"REK";#N/A,#N/A,FALSE,"rab"}</definedName>
    <definedName name="______hq2_3" localSheetId="8" hidden="1">{#N/A,#N/A,FALSE,"REK";#N/A,#N/A,FALSE,"rab"}</definedName>
    <definedName name="______hq2_3" localSheetId="27" hidden="1">{#N/A,#N/A,FALSE,"REK";#N/A,#N/A,FALSE,"rab"}</definedName>
    <definedName name="______hq2_3" hidden="1">{#N/A,#N/A,FALSE,"REK";#N/A,#N/A,FALSE,"rab"}</definedName>
    <definedName name="______hq2_4" localSheetId="5" hidden="1">{#N/A,#N/A,FALSE,"REK";#N/A,#N/A,FALSE,"rab"}</definedName>
    <definedName name="______hq2_4" localSheetId="15" hidden="1">{#N/A,#N/A,FALSE,"REK";#N/A,#N/A,FALSE,"rab"}</definedName>
    <definedName name="______hq2_4" localSheetId="13" hidden="1">{#N/A,#N/A,FALSE,"REK";#N/A,#N/A,FALSE,"rab"}</definedName>
    <definedName name="______hq2_4" localSheetId="2" hidden="1">{#N/A,#N/A,FALSE,"REK";#N/A,#N/A,FALSE,"rab"}</definedName>
    <definedName name="______hq2_4" localSheetId="8" hidden="1">{#N/A,#N/A,FALSE,"REK";#N/A,#N/A,FALSE,"rab"}</definedName>
    <definedName name="______hq2_4" localSheetId="27" hidden="1">{#N/A,#N/A,FALSE,"REK";#N/A,#N/A,FALSE,"rab"}</definedName>
    <definedName name="______hq2_4" hidden="1">{#N/A,#N/A,FALSE,"REK";#N/A,#N/A,FALSE,"rab"}</definedName>
    <definedName name="______hq2_5" localSheetId="5" hidden="1">{#N/A,#N/A,FALSE,"REK";#N/A,#N/A,FALSE,"rab"}</definedName>
    <definedName name="______hq2_5" localSheetId="15" hidden="1">{#N/A,#N/A,FALSE,"REK";#N/A,#N/A,FALSE,"rab"}</definedName>
    <definedName name="______hq2_5" localSheetId="13" hidden="1">{#N/A,#N/A,FALSE,"REK";#N/A,#N/A,FALSE,"rab"}</definedName>
    <definedName name="______hq2_5" localSheetId="2" hidden="1">{#N/A,#N/A,FALSE,"REK";#N/A,#N/A,FALSE,"rab"}</definedName>
    <definedName name="______hq2_5" localSheetId="8" hidden="1">{#N/A,#N/A,FALSE,"REK";#N/A,#N/A,FALSE,"rab"}</definedName>
    <definedName name="______hq2_5" localSheetId="27" hidden="1">{#N/A,#N/A,FALSE,"REK";#N/A,#N/A,FALSE,"rab"}</definedName>
    <definedName name="______hq2_5" hidden="1">{#N/A,#N/A,FALSE,"REK";#N/A,#N/A,FALSE,"rab"}</definedName>
    <definedName name="______JU56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2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3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4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4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5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5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alt2" localSheetId="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" localSheetId="2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2" localSheetId="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2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2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2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2" localSheetId="2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3" localSheetId="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3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3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3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3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3" localSheetId="2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4" localSheetId="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4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4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4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4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4" localSheetId="2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5" localSheetId="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5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5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5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5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5" localSheetId="2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gk2" localSheetId="15" hidden="1">#REF!</definedName>
    <definedName name="_____gk2" localSheetId="2" hidden="1">#REF!</definedName>
    <definedName name="_____gk2" localSheetId="8" hidden="1">#REF!</definedName>
    <definedName name="_____gk2" localSheetId="27" hidden="1">#REF!</definedName>
    <definedName name="_____gk2" hidden="1">#REF!</definedName>
    <definedName name="_____hq1" localSheetId="5" hidden="1">{#N/A,#N/A,FALSE,"REK";#N/A,#N/A,FALSE,"rab"}</definedName>
    <definedName name="_____hq1" localSheetId="15" hidden="1">{#N/A,#N/A,FALSE,"REK";#N/A,#N/A,FALSE,"rab"}</definedName>
    <definedName name="_____hq1" localSheetId="13" hidden="1">{#N/A,#N/A,FALSE,"REK";#N/A,#N/A,FALSE,"rab"}</definedName>
    <definedName name="_____hq1" localSheetId="2" hidden="1">{#N/A,#N/A,FALSE,"REK";#N/A,#N/A,FALSE,"rab"}</definedName>
    <definedName name="_____hq1" localSheetId="8" hidden="1">{#N/A,#N/A,FALSE,"REK";#N/A,#N/A,FALSE,"rab"}</definedName>
    <definedName name="_____hq1" localSheetId="27" hidden="1">{#N/A,#N/A,FALSE,"REK";#N/A,#N/A,FALSE,"rab"}</definedName>
    <definedName name="_____hq1" hidden="1">{#N/A,#N/A,FALSE,"REK";#N/A,#N/A,FALSE,"rab"}</definedName>
    <definedName name="_____hq1_2" localSheetId="5" hidden="1">{#N/A,#N/A,FALSE,"REK";#N/A,#N/A,FALSE,"rab"}</definedName>
    <definedName name="_____hq1_2" localSheetId="15" hidden="1">{#N/A,#N/A,FALSE,"REK";#N/A,#N/A,FALSE,"rab"}</definedName>
    <definedName name="_____hq1_2" localSheetId="13" hidden="1">{#N/A,#N/A,FALSE,"REK";#N/A,#N/A,FALSE,"rab"}</definedName>
    <definedName name="_____hq1_2" localSheetId="2" hidden="1">{#N/A,#N/A,FALSE,"REK";#N/A,#N/A,FALSE,"rab"}</definedName>
    <definedName name="_____hq1_2" localSheetId="8" hidden="1">{#N/A,#N/A,FALSE,"REK";#N/A,#N/A,FALSE,"rab"}</definedName>
    <definedName name="_____hq1_2" localSheetId="27" hidden="1">{#N/A,#N/A,FALSE,"REK";#N/A,#N/A,FALSE,"rab"}</definedName>
    <definedName name="_____hq1_2" hidden="1">{#N/A,#N/A,FALSE,"REK";#N/A,#N/A,FALSE,"rab"}</definedName>
    <definedName name="_____hq1_3" localSheetId="5" hidden="1">{#N/A,#N/A,FALSE,"REK";#N/A,#N/A,FALSE,"rab"}</definedName>
    <definedName name="_____hq1_3" localSheetId="15" hidden="1">{#N/A,#N/A,FALSE,"REK";#N/A,#N/A,FALSE,"rab"}</definedName>
    <definedName name="_____hq1_3" localSheetId="13" hidden="1">{#N/A,#N/A,FALSE,"REK";#N/A,#N/A,FALSE,"rab"}</definedName>
    <definedName name="_____hq1_3" localSheetId="2" hidden="1">{#N/A,#N/A,FALSE,"REK";#N/A,#N/A,FALSE,"rab"}</definedName>
    <definedName name="_____hq1_3" localSheetId="8" hidden="1">{#N/A,#N/A,FALSE,"REK";#N/A,#N/A,FALSE,"rab"}</definedName>
    <definedName name="_____hq1_3" localSheetId="27" hidden="1">{#N/A,#N/A,FALSE,"REK";#N/A,#N/A,FALSE,"rab"}</definedName>
    <definedName name="_____hq1_3" hidden="1">{#N/A,#N/A,FALSE,"REK";#N/A,#N/A,FALSE,"rab"}</definedName>
    <definedName name="_____hq1_4" localSheetId="5" hidden="1">{#N/A,#N/A,FALSE,"REK";#N/A,#N/A,FALSE,"rab"}</definedName>
    <definedName name="_____hq1_4" localSheetId="15" hidden="1">{#N/A,#N/A,FALSE,"REK";#N/A,#N/A,FALSE,"rab"}</definedName>
    <definedName name="_____hq1_4" localSheetId="13" hidden="1">{#N/A,#N/A,FALSE,"REK";#N/A,#N/A,FALSE,"rab"}</definedName>
    <definedName name="_____hq1_4" localSheetId="2" hidden="1">{#N/A,#N/A,FALSE,"REK";#N/A,#N/A,FALSE,"rab"}</definedName>
    <definedName name="_____hq1_4" localSheetId="8" hidden="1">{#N/A,#N/A,FALSE,"REK";#N/A,#N/A,FALSE,"rab"}</definedName>
    <definedName name="_____hq1_4" localSheetId="27" hidden="1">{#N/A,#N/A,FALSE,"REK";#N/A,#N/A,FALSE,"rab"}</definedName>
    <definedName name="_____hq1_4" hidden="1">{#N/A,#N/A,FALSE,"REK";#N/A,#N/A,FALSE,"rab"}</definedName>
    <definedName name="_____hq1_5" localSheetId="5" hidden="1">{#N/A,#N/A,FALSE,"REK";#N/A,#N/A,FALSE,"rab"}</definedName>
    <definedName name="_____hq1_5" localSheetId="15" hidden="1">{#N/A,#N/A,FALSE,"REK";#N/A,#N/A,FALSE,"rab"}</definedName>
    <definedName name="_____hq1_5" localSheetId="13" hidden="1">{#N/A,#N/A,FALSE,"REK";#N/A,#N/A,FALSE,"rab"}</definedName>
    <definedName name="_____hq1_5" localSheetId="2" hidden="1">{#N/A,#N/A,FALSE,"REK";#N/A,#N/A,FALSE,"rab"}</definedName>
    <definedName name="_____hq1_5" localSheetId="8" hidden="1">{#N/A,#N/A,FALSE,"REK";#N/A,#N/A,FALSE,"rab"}</definedName>
    <definedName name="_____hq1_5" localSheetId="27" hidden="1">{#N/A,#N/A,FALSE,"REK";#N/A,#N/A,FALSE,"rab"}</definedName>
    <definedName name="_____hq1_5" hidden="1">{#N/A,#N/A,FALSE,"REK";#N/A,#N/A,FALSE,"rab"}</definedName>
    <definedName name="_____hq2" localSheetId="5" hidden="1">{#N/A,#N/A,FALSE,"REK";#N/A,#N/A,FALSE,"rab"}</definedName>
    <definedName name="_____hq2" localSheetId="15" hidden="1">{#N/A,#N/A,FALSE,"REK";#N/A,#N/A,FALSE,"rab"}</definedName>
    <definedName name="_____hq2" localSheetId="13" hidden="1">{#N/A,#N/A,FALSE,"REK";#N/A,#N/A,FALSE,"rab"}</definedName>
    <definedName name="_____hq2" localSheetId="2" hidden="1">{#N/A,#N/A,FALSE,"REK";#N/A,#N/A,FALSE,"rab"}</definedName>
    <definedName name="_____hq2" localSheetId="8" hidden="1">{#N/A,#N/A,FALSE,"REK";#N/A,#N/A,FALSE,"rab"}</definedName>
    <definedName name="_____hq2" localSheetId="27" hidden="1">{#N/A,#N/A,FALSE,"REK";#N/A,#N/A,FALSE,"rab"}</definedName>
    <definedName name="_____hq2" hidden="1">{#N/A,#N/A,FALSE,"REK";#N/A,#N/A,FALSE,"rab"}</definedName>
    <definedName name="_____hq2_2" localSheetId="5" hidden="1">{#N/A,#N/A,FALSE,"REK";#N/A,#N/A,FALSE,"rab"}</definedName>
    <definedName name="_____hq2_2" localSheetId="15" hidden="1">{#N/A,#N/A,FALSE,"REK";#N/A,#N/A,FALSE,"rab"}</definedName>
    <definedName name="_____hq2_2" localSheetId="13" hidden="1">{#N/A,#N/A,FALSE,"REK";#N/A,#N/A,FALSE,"rab"}</definedName>
    <definedName name="_____hq2_2" localSheetId="2" hidden="1">{#N/A,#N/A,FALSE,"REK";#N/A,#N/A,FALSE,"rab"}</definedName>
    <definedName name="_____hq2_2" localSheetId="8" hidden="1">{#N/A,#N/A,FALSE,"REK";#N/A,#N/A,FALSE,"rab"}</definedName>
    <definedName name="_____hq2_2" localSheetId="27" hidden="1">{#N/A,#N/A,FALSE,"REK";#N/A,#N/A,FALSE,"rab"}</definedName>
    <definedName name="_____hq2_2" hidden="1">{#N/A,#N/A,FALSE,"REK";#N/A,#N/A,FALSE,"rab"}</definedName>
    <definedName name="_____hq2_3" localSheetId="5" hidden="1">{#N/A,#N/A,FALSE,"REK";#N/A,#N/A,FALSE,"rab"}</definedName>
    <definedName name="_____hq2_3" localSheetId="15" hidden="1">{#N/A,#N/A,FALSE,"REK";#N/A,#N/A,FALSE,"rab"}</definedName>
    <definedName name="_____hq2_3" localSheetId="13" hidden="1">{#N/A,#N/A,FALSE,"REK";#N/A,#N/A,FALSE,"rab"}</definedName>
    <definedName name="_____hq2_3" localSheetId="2" hidden="1">{#N/A,#N/A,FALSE,"REK";#N/A,#N/A,FALSE,"rab"}</definedName>
    <definedName name="_____hq2_3" localSheetId="8" hidden="1">{#N/A,#N/A,FALSE,"REK";#N/A,#N/A,FALSE,"rab"}</definedName>
    <definedName name="_____hq2_3" localSheetId="27" hidden="1">{#N/A,#N/A,FALSE,"REK";#N/A,#N/A,FALSE,"rab"}</definedName>
    <definedName name="_____hq2_3" hidden="1">{#N/A,#N/A,FALSE,"REK";#N/A,#N/A,FALSE,"rab"}</definedName>
    <definedName name="_____hq2_4" localSheetId="5" hidden="1">{#N/A,#N/A,FALSE,"REK";#N/A,#N/A,FALSE,"rab"}</definedName>
    <definedName name="_____hq2_4" localSheetId="15" hidden="1">{#N/A,#N/A,FALSE,"REK";#N/A,#N/A,FALSE,"rab"}</definedName>
    <definedName name="_____hq2_4" localSheetId="13" hidden="1">{#N/A,#N/A,FALSE,"REK";#N/A,#N/A,FALSE,"rab"}</definedName>
    <definedName name="_____hq2_4" localSheetId="2" hidden="1">{#N/A,#N/A,FALSE,"REK";#N/A,#N/A,FALSE,"rab"}</definedName>
    <definedName name="_____hq2_4" localSheetId="8" hidden="1">{#N/A,#N/A,FALSE,"REK";#N/A,#N/A,FALSE,"rab"}</definedName>
    <definedName name="_____hq2_4" localSheetId="27" hidden="1">{#N/A,#N/A,FALSE,"REK";#N/A,#N/A,FALSE,"rab"}</definedName>
    <definedName name="_____hq2_4" hidden="1">{#N/A,#N/A,FALSE,"REK";#N/A,#N/A,FALSE,"rab"}</definedName>
    <definedName name="_____hq2_5" localSheetId="5" hidden="1">{#N/A,#N/A,FALSE,"REK";#N/A,#N/A,FALSE,"rab"}</definedName>
    <definedName name="_____hq2_5" localSheetId="15" hidden="1">{#N/A,#N/A,FALSE,"REK";#N/A,#N/A,FALSE,"rab"}</definedName>
    <definedName name="_____hq2_5" localSheetId="13" hidden="1">{#N/A,#N/A,FALSE,"REK";#N/A,#N/A,FALSE,"rab"}</definedName>
    <definedName name="_____hq2_5" localSheetId="2" hidden="1">{#N/A,#N/A,FALSE,"REK";#N/A,#N/A,FALSE,"rab"}</definedName>
    <definedName name="_____hq2_5" localSheetId="8" hidden="1">{#N/A,#N/A,FALSE,"REK";#N/A,#N/A,FALSE,"rab"}</definedName>
    <definedName name="_____hq2_5" localSheetId="27" hidden="1">{#N/A,#N/A,FALSE,"REK";#N/A,#N/A,FALSE,"rab"}</definedName>
    <definedName name="_____hq2_5" hidden="1">{#N/A,#N/A,FALSE,"REK";#N/A,#N/A,FALSE,"rab"}</definedName>
    <definedName name="_____JU56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2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3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4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4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5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5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key1" localSheetId="15" hidden="1">#REF!</definedName>
    <definedName name="_____key1" localSheetId="2" hidden="1">#REF!</definedName>
    <definedName name="_____key1" localSheetId="8" hidden="1">#REF!</definedName>
    <definedName name="_____key1" localSheetId="27" hidden="1">#REF!</definedName>
    <definedName name="_____key1" hidden="1">#REF!</definedName>
    <definedName name="____alt2" localSheetId="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" localSheetId="2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2" localSheetId="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2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2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2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2" localSheetId="2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3" localSheetId="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3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3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3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3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3" localSheetId="2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4" localSheetId="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4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4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4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4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4" localSheetId="2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5" localSheetId="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5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5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5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5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5" localSheetId="2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gk2" localSheetId="15" hidden="1">#REF!</definedName>
    <definedName name="____gk2" localSheetId="2" hidden="1">#REF!</definedName>
    <definedName name="____gk2" localSheetId="8" hidden="1">#REF!</definedName>
    <definedName name="____gk2" localSheetId="27" hidden="1">#REF!</definedName>
    <definedName name="____gk2" hidden="1">#REF!</definedName>
    <definedName name="____HAL4_2">NA()</definedName>
    <definedName name="____hq1" localSheetId="5" hidden="1">{#N/A,#N/A,FALSE,"REK";#N/A,#N/A,FALSE,"rab"}</definedName>
    <definedName name="____hq1" localSheetId="15" hidden="1">{#N/A,#N/A,FALSE,"REK";#N/A,#N/A,FALSE,"rab"}</definedName>
    <definedName name="____hq1" localSheetId="13" hidden="1">{#N/A,#N/A,FALSE,"REK";#N/A,#N/A,FALSE,"rab"}</definedName>
    <definedName name="____hq1" localSheetId="2" hidden="1">{#N/A,#N/A,FALSE,"REK";#N/A,#N/A,FALSE,"rab"}</definedName>
    <definedName name="____hq1" localSheetId="8" hidden="1">{#N/A,#N/A,FALSE,"REK";#N/A,#N/A,FALSE,"rab"}</definedName>
    <definedName name="____hq1" localSheetId="27" hidden="1">{#N/A,#N/A,FALSE,"REK";#N/A,#N/A,FALSE,"rab"}</definedName>
    <definedName name="____hq1" hidden="1">{#N/A,#N/A,FALSE,"REK";#N/A,#N/A,FALSE,"rab"}</definedName>
    <definedName name="____hq1_2" localSheetId="5" hidden="1">{#N/A,#N/A,FALSE,"REK";#N/A,#N/A,FALSE,"rab"}</definedName>
    <definedName name="____hq1_2" localSheetId="15" hidden="1">{#N/A,#N/A,FALSE,"REK";#N/A,#N/A,FALSE,"rab"}</definedName>
    <definedName name="____hq1_2" localSheetId="13" hidden="1">{#N/A,#N/A,FALSE,"REK";#N/A,#N/A,FALSE,"rab"}</definedName>
    <definedName name="____hq1_2" localSheetId="2" hidden="1">{#N/A,#N/A,FALSE,"REK";#N/A,#N/A,FALSE,"rab"}</definedName>
    <definedName name="____hq1_2" localSheetId="8" hidden="1">{#N/A,#N/A,FALSE,"REK";#N/A,#N/A,FALSE,"rab"}</definedName>
    <definedName name="____hq1_2" localSheetId="27" hidden="1">{#N/A,#N/A,FALSE,"REK";#N/A,#N/A,FALSE,"rab"}</definedName>
    <definedName name="____hq1_2" hidden="1">{#N/A,#N/A,FALSE,"REK";#N/A,#N/A,FALSE,"rab"}</definedName>
    <definedName name="____hq1_3" localSheetId="5" hidden="1">{#N/A,#N/A,FALSE,"REK";#N/A,#N/A,FALSE,"rab"}</definedName>
    <definedName name="____hq1_3" localSheetId="15" hidden="1">{#N/A,#N/A,FALSE,"REK";#N/A,#N/A,FALSE,"rab"}</definedName>
    <definedName name="____hq1_3" localSheetId="13" hidden="1">{#N/A,#N/A,FALSE,"REK";#N/A,#N/A,FALSE,"rab"}</definedName>
    <definedName name="____hq1_3" localSheetId="2" hidden="1">{#N/A,#N/A,FALSE,"REK";#N/A,#N/A,FALSE,"rab"}</definedName>
    <definedName name="____hq1_3" localSheetId="8" hidden="1">{#N/A,#N/A,FALSE,"REK";#N/A,#N/A,FALSE,"rab"}</definedName>
    <definedName name="____hq1_3" localSheetId="27" hidden="1">{#N/A,#N/A,FALSE,"REK";#N/A,#N/A,FALSE,"rab"}</definedName>
    <definedName name="____hq1_3" hidden="1">{#N/A,#N/A,FALSE,"REK";#N/A,#N/A,FALSE,"rab"}</definedName>
    <definedName name="____hq1_4" localSheetId="5" hidden="1">{#N/A,#N/A,FALSE,"REK";#N/A,#N/A,FALSE,"rab"}</definedName>
    <definedName name="____hq1_4" localSheetId="15" hidden="1">{#N/A,#N/A,FALSE,"REK";#N/A,#N/A,FALSE,"rab"}</definedName>
    <definedName name="____hq1_4" localSheetId="13" hidden="1">{#N/A,#N/A,FALSE,"REK";#N/A,#N/A,FALSE,"rab"}</definedName>
    <definedName name="____hq1_4" localSheetId="2" hidden="1">{#N/A,#N/A,FALSE,"REK";#N/A,#N/A,FALSE,"rab"}</definedName>
    <definedName name="____hq1_4" localSheetId="8" hidden="1">{#N/A,#N/A,FALSE,"REK";#N/A,#N/A,FALSE,"rab"}</definedName>
    <definedName name="____hq1_4" localSheetId="27" hidden="1">{#N/A,#N/A,FALSE,"REK";#N/A,#N/A,FALSE,"rab"}</definedName>
    <definedName name="____hq1_4" hidden="1">{#N/A,#N/A,FALSE,"REK";#N/A,#N/A,FALSE,"rab"}</definedName>
    <definedName name="____hq1_5" localSheetId="5" hidden="1">{#N/A,#N/A,FALSE,"REK";#N/A,#N/A,FALSE,"rab"}</definedName>
    <definedName name="____hq1_5" localSheetId="15" hidden="1">{#N/A,#N/A,FALSE,"REK";#N/A,#N/A,FALSE,"rab"}</definedName>
    <definedName name="____hq1_5" localSheetId="13" hidden="1">{#N/A,#N/A,FALSE,"REK";#N/A,#N/A,FALSE,"rab"}</definedName>
    <definedName name="____hq1_5" localSheetId="2" hidden="1">{#N/A,#N/A,FALSE,"REK";#N/A,#N/A,FALSE,"rab"}</definedName>
    <definedName name="____hq1_5" localSheetId="8" hidden="1">{#N/A,#N/A,FALSE,"REK";#N/A,#N/A,FALSE,"rab"}</definedName>
    <definedName name="____hq1_5" localSheetId="27" hidden="1">{#N/A,#N/A,FALSE,"REK";#N/A,#N/A,FALSE,"rab"}</definedName>
    <definedName name="____hq1_5" hidden="1">{#N/A,#N/A,FALSE,"REK";#N/A,#N/A,FALSE,"rab"}</definedName>
    <definedName name="____hq2" localSheetId="5" hidden="1">{#N/A,#N/A,FALSE,"REK";#N/A,#N/A,FALSE,"rab"}</definedName>
    <definedName name="____hq2" localSheetId="15" hidden="1">{#N/A,#N/A,FALSE,"REK";#N/A,#N/A,FALSE,"rab"}</definedName>
    <definedName name="____hq2" localSheetId="13" hidden="1">{#N/A,#N/A,FALSE,"REK";#N/A,#N/A,FALSE,"rab"}</definedName>
    <definedName name="____hq2" localSheetId="2" hidden="1">{#N/A,#N/A,FALSE,"REK";#N/A,#N/A,FALSE,"rab"}</definedName>
    <definedName name="____hq2" localSheetId="8" hidden="1">{#N/A,#N/A,FALSE,"REK";#N/A,#N/A,FALSE,"rab"}</definedName>
    <definedName name="____hq2" localSheetId="27" hidden="1">{#N/A,#N/A,FALSE,"REK";#N/A,#N/A,FALSE,"rab"}</definedName>
    <definedName name="____hq2" hidden="1">{#N/A,#N/A,FALSE,"REK";#N/A,#N/A,FALSE,"rab"}</definedName>
    <definedName name="____hq2_2" localSheetId="5" hidden="1">{#N/A,#N/A,FALSE,"REK";#N/A,#N/A,FALSE,"rab"}</definedName>
    <definedName name="____hq2_2" localSheetId="15" hidden="1">{#N/A,#N/A,FALSE,"REK";#N/A,#N/A,FALSE,"rab"}</definedName>
    <definedName name="____hq2_2" localSheetId="13" hidden="1">{#N/A,#N/A,FALSE,"REK";#N/A,#N/A,FALSE,"rab"}</definedName>
    <definedName name="____hq2_2" localSheetId="2" hidden="1">{#N/A,#N/A,FALSE,"REK";#N/A,#N/A,FALSE,"rab"}</definedName>
    <definedName name="____hq2_2" localSheetId="8" hidden="1">{#N/A,#N/A,FALSE,"REK";#N/A,#N/A,FALSE,"rab"}</definedName>
    <definedName name="____hq2_2" localSheetId="27" hidden="1">{#N/A,#N/A,FALSE,"REK";#N/A,#N/A,FALSE,"rab"}</definedName>
    <definedName name="____hq2_2" hidden="1">{#N/A,#N/A,FALSE,"REK";#N/A,#N/A,FALSE,"rab"}</definedName>
    <definedName name="____hq2_3" localSheetId="5" hidden="1">{#N/A,#N/A,FALSE,"REK";#N/A,#N/A,FALSE,"rab"}</definedName>
    <definedName name="____hq2_3" localSheetId="15" hidden="1">{#N/A,#N/A,FALSE,"REK";#N/A,#N/A,FALSE,"rab"}</definedName>
    <definedName name="____hq2_3" localSheetId="13" hidden="1">{#N/A,#N/A,FALSE,"REK";#N/A,#N/A,FALSE,"rab"}</definedName>
    <definedName name="____hq2_3" localSheetId="2" hidden="1">{#N/A,#N/A,FALSE,"REK";#N/A,#N/A,FALSE,"rab"}</definedName>
    <definedName name="____hq2_3" localSheetId="8" hidden="1">{#N/A,#N/A,FALSE,"REK";#N/A,#N/A,FALSE,"rab"}</definedName>
    <definedName name="____hq2_3" localSheetId="27" hidden="1">{#N/A,#N/A,FALSE,"REK";#N/A,#N/A,FALSE,"rab"}</definedName>
    <definedName name="____hq2_3" hidden="1">{#N/A,#N/A,FALSE,"REK";#N/A,#N/A,FALSE,"rab"}</definedName>
    <definedName name="____hq2_4" localSheetId="5" hidden="1">{#N/A,#N/A,FALSE,"REK";#N/A,#N/A,FALSE,"rab"}</definedName>
    <definedName name="____hq2_4" localSheetId="15" hidden="1">{#N/A,#N/A,FALSE,"REK";#N/A,#N/A,FALSE,"rab"}</definedName>
    <definedName name="____hq2_4" localSheetId="13" hidden="1">{#N/A,#N/A,FALSE,"REK";#N/A,#N/A,FALSE,"rab"}</definedName>
    <definedName name="____hq2_4" localSheetId="2" hidden="1">{#N/A,#N/A,FALSE,"REK";#N/A,#N/A,FALSE,"rab"}</definedName>
    <definedName name="____hq2_4" localSheetId="8" hidden="1">{#N/A,#N/A,FALSE,"REK";#N/A,#N/A,FALSE,"rab"}</definedName>
    <definedName name="____hq2_4" localSheetId="27" hidden="1">{#N/A,#N/A,FALSE,"REK";#N/A,#N/A,FALSE,"rab"}</definedName>
    <definedName name="____hq2_4" hidden="1">{#N/A,#N/A,FALSE,"REK";#N/A,#N/A,FALSE,"rab"}</definedName>
    <definedName name="____hq2_5" localSheetId="5" hidden="1">{#N/A,#N/A,FALSE,"REK";#N/A,#N/A,FALSE,"rab"}</definedName>
    <definedName name="____hq2_5" localSheetId="15" hidden="1">{#N/A,#N/A,FALSE,"REK";#N/A,#N/A,FALSE,"rab"}</definedName>
    <definedName name="____hq2_5" localSheetId="13" hidden="1">{#N/A,#N/A,FALSE,"REK";#N/A,#N/A,FALSE,"rab"}</definedName>
    <definedName name="____hq2_5" localSheetId="2" hidden="1">{#N/A,#N/A,FALSE,"REK";#N/A,#N/A,FALSE,"rab"}</definedName>
    <definedName name="____hq2_5" localSheetId="8" hidden="1">{#N/A,#N/A,FALSE,"REK";#N/A,#N/A,FALSE,"rab"}</definedName>
    <definedName name="____hq2_5" localSheetId="27" hidden="1">{#N/A,#N/A,FALSE,"REK";#N/A,#N/A,FALSE,"rab"}</definedName>
    <definedName name="____hq2_5" hidden="1">{#N/A,#N/A,FALSE,"REK";#N/A,#N/A,FALSE,"rab"}</definedName>
    <definedName name="____JU56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2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3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4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4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5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5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key1" localSheetId="15" hidden="1">#REF!</definedName>
    <definedName name="____key1" localSheetId="2" hidden="1">#REF!</definedName>
    <definedName name="____key1" localSheetId="8" hidden="1">#REF!</definedName>
    <definedName name="____key1" localSheetId="27" hidden="1">#REF!</definedName>
    <definedName name="____key1" hidden="1">#REF!</definedName>
    <definedName name="___alt2" localSheetId="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" localSheetId="2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2" localSheetId="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2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2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2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2" localSheetId="2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3" localSheetId="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3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3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3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3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3" localSheetId="2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4" localSheetId="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4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4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4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4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4" localSheetId="2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5" localSheetId="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5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5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5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5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5" localSheetId="2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gk2" hidden="1">#N/A</definedName>
    <definedName name="___hq1" localSheetId="5" hidden="1">{#N/A,#N/A,FALSE,"REK";#N/A,#N/A,FALSE,"rab"}</definedName>
    <definedName name="___hq1" localSheetId="15" hidden="1">{#N/A,#N/A,FALSE,"REK";#N/A,#N/A,FALSE,"rab"}</definedName>
    <definedName name="___hq1" localSheetId="13" hidden="1">{#N/A,#N/A,FALSE,"REK";#N/A,#N/A,FALSE,"rab"}</definedName>
    <definedName name="___hq1" localSheetId="2" hidden="1">{#N/A,#N/A,FALSE,"REK";#N/A,#N/A,FALSE,"rab"}</definedName>
    <definedName name="___hq1" localSheetId="8" hidden="1">{#N/A,#N/A,FALSE,"REK";#N/A,#N/A,FALSE,"rab"}</definedName>
    <definedName name="___hq1" localSheetId="27" hidden="1">{#N/A,#N/A,FALSE,"REK";#N/A,#N/A,FALSE,"rab"}</definedName>
    <definedName name="___hq1" hidden="1">{#N/A,#N/A,FALSE,"REK";#N/A,#N/A,FALSE,"rab"}</definedName>
    <definedName name="___hq1_2" localSheetId="5" hidden="1">{#N/A,#N/A,FALSE,"REK";#N/A,#N/A,FALSE,"rab"}</definedName>
    <definedName name="___hq1_2" localSheetId="15" hidden="1">{#N/A,#N/A,FALSE,"REK";#N/A,#N/A,FALSE,"rab"}</definedName>
    <definedName name="___hq1_2" localSheetId="13" hidden="1">{#N/A,#N/A,FALSE,"REK";#N/A,#N/A,FALSE,"rab"}</definedName>
    <definedName name="___hq1_2" localSheetId="2" hidden="1">{#N/A,#N/A,FALSE,"REK";#N/A,#N/A,FALSE,"rab"}</definedName>
    <definedName name="___hq1_2" localSheetId="8" hidden="1">{#N/A,#N/A,FALSE,"REK";#N/A,#N/A,FALSE,"rab"}</definedName>
    <definedName name="___hq1_2" localSheetId="27" hidden="1">{#N/A,#N/A,FALSE,"REK";#N/A,#N/A,FALSE,"rab"}</definedName>
    <definedName name="___hq1_2" hidden="1">{#N/A,#N/A,FALSE,"REK";#N/A,#N/A,FALSE,"rab"}</definedName>
    <definedName name="___hq1_3" localSheetId="5" hidden="1">{#N/A,#N/A,FALSE,"REK";#N/A,#N/A,FALSE,"rab"}</definedName>
    <definedName name="___hq1_3" localSheetId="15" hidden="1">{#N/A,#N/A,FALSE,"REK";#N/A,#N/A,FALSE,"rab"}</definedName>
    <definedName name="___hq1_3" localSheetId="13" hidden="1">{#N/A,#N/A,FALSE,"REK";#N/A,#N/A,FALSE,"rab"}</definedName>
    <definedName name="___hq1_3" localSheetId="2" hidden="1">{#N/A,#N/A,FALSE,"REK";#N/A,#N/A,FALSE,"rab"}</definedName>
    <definedName name="___hq1_3" localSheetId="8" hidden="1">{#N/A,#N/A,FALSE,"REK";#N/A,#N/A,FALSE,"rab"}</definedName>
    <definedName name="___hq1_3" localSheetId="27" hidden="1">{#N/A,#N/A,FALSE,"REK";#N/A,#N/A,FALSE,"rab"}</definedName>
    <definedName name="___hq1_3" hidden="1">{#N/A,#N/A,FALSE,"REK";#N/A,#N/A,FALSE,"rab"}</definedName>
    <definedName name="___hq1_4" localSheetId="5" hidden="1">{#N/A,#N/A,FALSE,"REK";#N/A,#N/A,FALSE,"rab"}</definedName>
    <definedName name="___hq1_4" localSheetId="15" hidden="1">{#N/A,#N/A,FALSE,"REK";#N/A,#N/A,FALSE,"rab"}</definedName>
    <definedName name="___hq1_4" localSheetId="13" hidden="1">{#N/A,#N/A,FALSE,"REK";#N/A,#N/A,FALSE,"rab"}</definedName>
    <definedName name="___hq1_4" localSheetId="2" hidden="1">{#N/A,#N/A,FALSE,"REK";#N/A,#N/A,FALSE,"rab"}</definedName>
    <definedName name="___hq1_4" localSheetId="8" hidden="1">{#N/A,#N/A,FALSE,"REK";#N/A,#N/A,FALSE,"rab"}</definedName>
    <definedName name="___hq1_4" localSheetId="27" hidden="1">{#N/A,#N/A,FALSE,"REK";#N/A,#N/A,FALSE,"rab"}</definedName>
    <definedName name="___hq1_4" hidden="1">{#N/A,#N/A,FALSE,"REK";#N/A,#N/A,FALSE,"rab"}</definedName>
    <definedName name="___hq1_5" localSheetId="5" hidden="1">{#N/A,#N/A,FALSE,"REK";#N/A,#N/A,FALSE,"rab"}</definedName>
    <definedName name="___hq1_5" localSheetId="15" hidden="1">{#N/A,#N/A,FALSE,"REK";#N/A,#N/A,FALSE,"rab"}</definedName>
    <definedName name="___hq1_5" localSheetId="13" hidden="1">{#N/A,#N/A,FALSE,"REK";#N/A,#N/A,FALSE,"rab"}</definedName>
    <definedName name="___hq1_5" localSheetId="2" hidden="1">{#N/A,#N/A,FALSE,"REK";#N/A,#N/A,FALSE,"rab"}</definedName>
    <definedName name="___hq1_5" localSheetId="8" hidden="1">{#N/A,#N/A,FALSE,"REK";#N/A,#N/A,FALSE,"rab"}</definedName>
    <definedName name="___hq1_5" localSheetId="27" hidden="1">{#N/A,#N/A,FALSE,"REK";#N/A,#N/A,FALSE,"rab"}</definedName>
    <definedName name="___hq1_5" hidden="1">{#N/A,#N/A,FALSE,"REK";#N/A,#N/A,FALSE,"rab"}</definedName>
    <definedName name="___hq2" localSheetId="5" hidden="1">{#N/A,#N/A,FALSE,"REK";#N/A,#N/A,FALSE,"rab"}</definedName>
    <definedName name="___hq2" localSheetId="15" hidden="1">{#N/A,#N/A,FALSE,"REK";#N/A,#N/A,FALSE,"rab"}</definedName>
    <definedName name="___hq2" localSheetId="13" hidden="1">{#N/A,#N/A,FALSE,"REK";#N/A,#N/A,FALSE,"rab"}</definedName>
    <definedName name="___hq2" localSheetId="2" hidden="1">{#N/A,#N/A,FALSE,"REK";#N/A,#N/A,FALSE,"rab"}</definedName>
    <definedName name="___hq2" localSheetId="8" hidden="1">{#N/A,#N/A,FALSE,"REK";#N/A,#N/A,FALSE,"rab"}</definedName>
    <definedName name="___hq2" localSheetId="27" hidden="1">{#N/A,#N/A,FALSE,"REK";#N/A,#N/A,FALSE,"rab"}</definedName>
    <definedName name="___hq2" hidden="1">{#N/A,#N/A,FALSE,"REK";#N/A,#N/A,FALSE,"rab"}</definedName>
    <definedName name="___hq2_2" localSheetId="5" hidden="1">{#N/A,#N/A,FALSE,"REK";#N/A,#N/A,FALSE,"rab"}</definedName>
    <definedName name="___hq2_2" localSheetId="15" hidden="1">{#N/A,#N/A,FALSE,"REK";#N/A,#N/A,FALSE,"rab"}</definedName>
    <definedName name="___hq2_2" localSheetId="13" hidden="1">{#N/A,#N/A,FALSE,"REK";#N/A,#N/A,FALSE,"rab"}</definedName>
    <definedName name="___hq2_2" localSheetId="2" hidden="1">{#N/A,#N/A,FALSE,"REK";#N/A,#N/A,FALSE,"rab"}</definedName>
    <definedName name="___hq2_2" localSheetId="8" hidden="1">{#N/A,#N/A,FALSE,"REK";#N/A,#N/A,FALSE,"rab"}</definedName>
    <definedName name="___hq2_2" localSheetId="27" hidden="1">{#N/A,#N/A,FALSE,"REK";#N/A,#N/A,FALSE,"rab"}</definedName>
    <definedName name="___hq2_2" hidden="1">{#N/A,#N/A,FALSE,"REK";#N/A,#N/A,FALSE,"rab"}</definedName>
    <definedName name="___hq2_3" localSheetId="5" hidden="1">{#N/A,#N/A,FALSE,"REK";#N/A,#N/A,FALSE,"rab"}</definedName>
    <definedName name="___hq2_3" localSheetId="15" hidden="1">{#N/A,#N/A,FALSE,"REK";#N/A,#N/A,FALSE,"rab"}</definedName>
    <definedName name="___hq2_3" localSheetId="13" hidden="1">{#N/A,#N/A,FALSE,"REK";#N/A,#N/A,FALSE,"rab"}</definedName>
    <definedName name="___hq2_3" localSheetId="2" hidden="1">{#N/A,#N/A,FALSE,"REK";#N/A,#N/A,FALSE,"rab"}</definedName>
    <definedName name="___hq2_3" localSheetId="8" hidden="1">{#N/A,#N/A,FALSE,"REK";#N/A,#N/A,FALSE,"rab"}</definedName>
    <definedName name="___hq2_3" localSheetId="27" hidden="1">{#N/A,#N/A,FALSE,"REK";#N/A,#N/A,FALSE,"rab"}</definedName>
    <definedName name="___hq2_3" hidden="1">{#N/A,#N/A,FALSE,"REK";#N/A,#N/A,FALSE,"rab"}</definedName>
    <definedName name="___hq2_4" localSheetId="5" hidden="1">{#N/A,#N/A,FALSE,"REK";#N/A,#N/A,FALSE,"rab"}</definedName>
    <definedName name="___hq2_4" localSheetId="15" hidden="1">{#N/A,#N/A,FALSE,"REK";#N/A,#N/A,FALSE,"rab"}</definedName>
    <definedName name="___hq2_4" localSheetId="13" hidden="1">{#N/A,#N/A,FALSE,"REK";#N/A,#N/A,FALSE,"rab"}</definedName>
    <definedName name="___hq2_4" localSheetId="2" hidden="1">{#N/A,#N/A,FALSE,"REK";#N/A,#N/A,FALSE,"rab"}</definedName>
    <definedName name="___hq2_4" localSheetId="8" hidden="1">{#N/A,#N/A,FALSE,"REK";#N/A,#N/A,FALSE,"rab"}</definedName>
    <definedName name="___hq2_4" localSheetId="27" hidden="1">{#N/A,#N/A,FALSE,"REK";#N/A,#N/A,FALSE,"rab"}</definedName>
    <definedName name="___hq2_4" hidden="1">{#N/A,#N/A,FALSE,"REK";#N/A,#N/A,FALSE,"rab"}</definedName>
    <definedName name="___hq2_5" localSheetId="5" hidden="1">{#N/A,#N/A,FALSE,"REK";#N/A,#N/A,FALSE,"rab"}</definedName>
    <definedName name="___hq2_5" localSheetId="15" hidden="1">{#N/A,#N/A,FALSE,"REK";#N/A,#N/A,FALSE,"rab"}</definedName>
    <definedName name="___hq2_5" localSheetId="13" hidden="1">{#N/A,#N/A,FALSE,"REK";#N/A,#N/A,FALSE,"rab"}</definedName>
    <definedName name="___hq2_5" localSheetId="2" hidden="1">{#N/A,#N/A,FALSE,"REK";#N/A,#N/A,FALSE,"rab"}</definedName>
    <definedName name="___hq2_5" localSheetId="8" hidden="1">{#N/A,#N/A,FALSE,"REK";#N/A,#N/A,FALSE,"rab"}</definedName>
    <definedName name="___hq2_5" localSheetId="27" hidden="1">{#N/A,#N/A,FALSE,"REK";#N/A,#N/A,FALSE,"rab"}</definedName>
    <definedName name="___hq2_5" hidden="1">{#N/A,#N/A,FALSE,"REK";#N/A,#N/A,FALSE,"rab"}</definedName>
    <definedName name="___JU56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2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3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4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4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5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5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key1" localSheetId="15" hidden="1">#REF!</definedName>
    <definedName name="___key1" localSheetId="2" hidden="1">#REF!</definedName>
    <definedName name="___key1" localSheetId="8" hidden="1">#REF!</definedName>
    <definedName name="___key1" localSheetId="27" hidden="1">#REF!</definedName>
    <definedName name="___key1" hidden="1">#REF!</definedName>
    <definedName name="___xlfn.BAHTTEXT" hidden="1">#NAME?</definedName>
    <definedName name="__123Graph_A" localSheetId="15" hidden="1">[1]AC!#REF!</definedName>
    <definedName name="__123Graph_A" localSheetId="2" hidden="1">[1]AC!#REF!</definedName>
    <definedName name="__123Graph_A" localSheetId="8" hidden="1">[1]AC!#REF!</definedName>
    <definedName name="__123Graph_A" localSheetId="27" hidden="1">[1]AC!#REF!</definedName>
    <definedName name="__123Graph_A" hidden="1">[1]AC!#REF!</definedName>
    <definedName name="__123Graph_B" localSheetId="15" hidden="1">[1]AC!#REF!</definedName>
    <definedName name="__123Graph_B" localSheetId="2" hidden="1">[1]AC!#REF!</definedName>
    <definedName name="__123Graph_B" localSheetId="8" hidden="1">[1]AC!#REF!</definedName>
    <definedName name="__123Graph_B" localSheetId="27" hidden="1">[1]AC!#REF!</definedName>
    <definedName name="__123Graph_B" hidden="1">[1]AC!#REF!</definedName>
    <definedName name="__123Graph_C" hidden="1">[1]AC!#REF!</definedName>
    <definedName name="__123Graph_D" hidden="1">[2]SEX!$P$7:$P$7</definedName>
    <definedName name="__123Graph_E" localSheetId="15" hidden="1">[1]AC!#REF!</definedName>
    <definedName name="__123Graph_E" localSheetId="2" hidden="1">[1]AC!#REF!</definedName>
    <definedName name="__123Graph_E" localSheetId="8" hidden="1">[1]AC!#REF!</definedName>
    <definedName name="__123Graph_E" localSheetId="27" hidden="1">[1]AC!#REF!</definedName>
    <definedName name="__123Graph_E" hidden="1">[1]AC!#REF!</definedName>
    <definedName name="__123Graph_F" localSheetId="15" hidden="1">[3]ESCON!#REF!</definedName>
    <definedName name="__123Graph_F" localSheetId="2" hidden="1">[3]ESCON!#REF!</definedName>
    <definedName name="__123Graph_F" localSheetId="8" hidden="1">[3]ESCON!#REF!</definedName>
    <definedName name="__123Graph_F" localSheetId="27" hidden="1">[3]ESCON!#REF!</definedName>
    <definedName name="__123Graph_F" hidden="1">[3]ESCON!#REF!</definedName>
    <definedName name="__123Graph_X" localSheetId="15" hidden="1">[1]AC!#REF!</definedName>
    <definedName name="__123Graph_X" localSheetId="2" hidden="1">[1]AC!#REF!</definedName>
    <definedName name="__123Graph_X" localSheetId="8" hidden="1">[1]AC!#REF!</definedName>
    <definedName name="__123Graph_X" hidden="1">[1]AC!#REF!</definedName>
    <definedName name="__alt2" localSheetId="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" localSheetId="2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2" localSheetId="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2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2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2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2" localSheetId="2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3" localSheetId="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3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3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3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3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3" localSheetId="2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4" localSheetId="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4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4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4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4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4" localSheetId="2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5" localSheetId="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5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5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5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5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5" localSheetId="2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gk2" hidden="1">#N/A</definedName>
    <definedName name="__hq1" localSheetId="5" hidden="1">{#N/A,#N/A,FALSE,"REK";#N/A,#N/A,FALSE,"rab"}</definedName>
    <definedName name="__hq1" localSheetId="15" hidden="1">{#N/A,#N/A,FALSE,"REK";#N/A,#N/A,FALSE,"rab"}</definedName>
    <definedName name="__hq1" localSheetId="13" hidden="1">{#N/A,#N/A,FALSE,"REK";#N/A,#N/A,FALSE,"rab"}</definedName>
    <definedName name="__hq1" localSheetId="2" hidden="1">{#N/A,#N/A,FALSE,"REK";#N/A,#N/A,FALSE,"rab"}</definedName>
    <definedName name="__hq1" localSheetId="8" hidden="1">{#N/A,#N/A,FALSE,"REK";#N/A,#N/A,FALSE,"rab"}</definedName>
    <definedName name="__hq1" localSheetId="27" hidden="1">{#N/A,#N/A,FALSE,"REK";#N/A,#N/A,FALSE,"rab"}</definedName>
    <definedName name="__hq1" hidden="1">{#N/A,#N/A,FALSE,"REK";#N/A,#N/A,FALSE,"rab"}</definedName>
    <definedName name="__hq1_2" localSheetId="5" hidden="1">{#N/A,#N/A,FALSE,"REK";#N/A,#N/A,FALSE,"rab"}</definedName>
    <definedName name="__hq1_2" localSheetId="15" hidden="1">{#N/A,#N/A,FALSE,"REK";#N/A,#N/A,FALSE,"rab"}</definedName>
    <definedName name="__hq1_2" localSheetId="13" hidden="1">{#N/A,#N/A,FALSE,"REK";#N/A,#N/A,FALSE,"rab"}</definedName>
    <definedName name="__hq1_2" localSheetId="2" hidden="1">{#N/A,#N/A,FALSE,"REK";#N/A,#N/A,FALSE,"rab"}</definedName>
    <definedName name="__hq1_2" localSheetId="8" hidden="1">{#N/A,#N/A,FALSE,"REK";#N/A,#N/A,FALSE,"rab"}</definedName>
    <definedName name="__hq1_2" localSheetId="27" hidden="1">{#N/A,#N/A,FALSE,"REK";#N/A,#N/A,FALSE,"rab"}</definedName>
    <definedName name="__hq1_2" hidden="1">{#N/A,#N/A,FALSE,"REK";#N/A,#N/A,FALSE,"rab"}</definedName>
    <definedName name="__hq1_3" localSheetId="5" hidden="1">{#N/A,#N/A,FALSE,"REK";#N/A,#N/A,FALSE,"rab"}</definedName>
    <definedName name="__hq1_3" localSheetId="15" hidden="1">{#N/A,#N/A,FALSE,"REK";#N/A,#N/A,FALSE,"rab"}</definedName>
    <definedName name="__hq1_3" localSheetId="13" hidden="1">{#N/A,#N/A,FALSE,"REK";#N/A,#N/A,FALSE,"rab"}</definedName>
    <definedName name="__hq1_3" localSheetId="2" hidden="1">{#N/A,#N/A,FALSE,"REK";#N/A,#N/A,FALSE,"rab"}</definedName>
    <definedName name="__hq1_3" localSheetId="8" hidden="1">{#N/A,#N/A,FALSE,"REK";#N/A,#N/A,FALSE,"rab"}</definedName>
    <definedName name="__hq1_3" localSheetId="27" hidden="1">{#N/A,#N/A,FALSE,"REK";#N/A,#N/A,FALSE,"rab"}</definedName>
    <definedName name="__hq1_3" hidden="1">{#N/A,#N/A,FALSE,"REK";#N/A,#N/A,FALSE,"rab"}</definedName>
    <definedName name="__hq1_4" localSheetId="5" hidden="1">{#N/A,#N/A,FALSE,"REK";#N/A,#N/A,FALSE,"rab"}</definedName>
    <definedName name="__hq1_4" localSheetId="15" hidden="1">{#N/A,#N/A,FALSE,"REK";#N/A,#N/A,FALSE,"rab"}</definedName>
    <definedName name="__hq1_4" localSheetId="13" hidden="1">{#N/A,#N/A,FALSE,"REK";#N/A,#N/A,FALSE,"rab"}</definedName>
    <definedName name="__hq1_4" localSheetId="2" hidden="1">{#N/A,#N/A,FALSE,"REK";#N/A,#N/A,FALSE,"rab"}</definedName>
    <definedName name="__hq1_4" localSheetId="8" hidden="1">{#N/A,#N/A,FALSE,"REK";#N/A,#N/A,FALSE,"rab"}</definedName>
    <definedName name="__hq1_4" localSheetId="27" hidden="1">{#N/A,#N/A,FALSE,"REK";#N/A,#N/A,FALSE,"rab"}</definedName>
    <definedName name="__hq1_4" hidden="1">{#N/A,#N/A,FALSE,"REK";#N/A,#N/A,FALSE,"rab"}</definedName>
    <definedName name="__hq1_5" localSheetId="5" hidden="1">{#N/A,#N/A,FALSE,"REK";#N/A,#N/A,FALSE,"rab"}</definedName>
    <definedName name="__hq1_5" localSheetId="15" hidden="1">{#N/A,#N/A,FALSE,"REK";#N/A,#N/A,FALSE,"rab"}</definedName>
    <definedName name="__hq1_5" localSheetId="13" hidden="1">{#N/A,#N/A,FALSE,"REK";#N/A,#N/A,FALSE,"rab"}</definedName>
    <definedName name="__hq1_5" localSheetId="2" hidden="1">{#N/A,#N/A,FALSE,"REK";#N/A,#N/A,FALSE,"rab"}</definedName>
    <definedName name="__hq1_5" localSheetId="8" hidden="1">{#N/A,#N/A,FALSE,"REK";#N/A,#N/A,FALSE,"rab"}</definedName>
    <definedName name="__hq1_5" localSheetId="27" hidden="1">{#N/A,#N/A,FALSE,"REK";#N/A,#N/A,FALSE,"rab"}</definedName>
    <definedName name="__hq1_5" hidden="1">{#N/A,#N/A,FALSE,"REK";#N/A,#N/A,FALSE,"rab"}</definedName>
    <definedName name="__hq2" localSheetId="5" hidden="1">{#N/A,#N/A,FALSE,"REK";#N/A,#N/A,FALSE,"rab"}</definedName>
    <definedName name="__hq2" localSheetId="15" hidden="1">{#N/A,#N/A,FALSE,"REK";#N/A,#N/A,FALSE,"rab"}</definedName>
    <definedName name="__hq2" localSheetId="13" hidden="1">{#N/A,#N/A,FALSE,"REK";#N/A,#N/A,FALSE,"rab"}</definedName>
    <definedName name="__hq2" localSheetId="2" hidden="1">{#N/A,#N/A,FALSE,"REK";#N/A,#N/A,FALSE,"rab"}</definedName>
    <definedName name="__hq2" localSheetId="8" hidden="1">{#N/A,#N/A,FALSE,"REK";#N/A,#N/A,FALSE,"rab"}</definedName>
    <definedName name="__hq2" localSheetId="27" hidden="1">{#N/A,#N/A,FALSE,"REK";#N/A,#N/A,FALSE,"rab"}</definedName>
    <definedName name="__hq2" hidden="1">{#N/A,#N/A,FALSE,"REK";#N/A,#N/A,FALSE,"rab"}</definedName>
    <definedName name="__hq2_2" localSheetId="5" hidden="1">{#N/A,#N/A,FALSE,"REK";#N/A,#N/A,FALSE,"rab"}</definedName>
    <definedName name="__hq2_2" localSheetId="15" hidden="1">{#N/A,#N/A,FALSE,"REK";#N/A,#N/A,FALSE,"rab"}</definedName>
    <definedName name="__hq2_2" localSheetId="13" hidden="1">{#N/A,#N/A,FALSE,"REK";#N/A,#N/A,FALSE,"rab"}</definedName>
    <definedName name="__hq2_2" localSheetId="2" hidden="1">{#N/A,#N/A,FALSE,"REK";#N/A,#N/A,FALSE,"rab"}</definedName>
    <definedName name="__hq2_2" localSheetId="8" hidden="1">{#N/A,#N/A,FALSE,"REK";#N/A,#N/A,FALSE,"rab"}</definedName>
    <definedName name="__hq2_2" localSheetId="27" hidden="1">{#N/A,#N/A,FALSE,"REK";#N/A,#N/A,FALSE,"rab"}</definedName>
    <definedName name="__hq2_2" hidden="1">{#N/A,#N/A,FALSE,"REK";#N/A,#N/A,FALSE,"rab"}</definedName>
    <definedName name="__hq2_3" localSheetId="5" hidden="1">{#N/A,#N/A,FALSE,"REK";#N/A,#N/A,FALSE,"rab"}</definedName>
    <definedName name="__hq2_3" localSheetId="15" hidden="1">{#N/A,#N/A,FALSE,"REK";#N/A,#N/A,FALSE,"rab"}</definedName>
    <definedName name="__hq2_3" localSheetId="13" hidden="1">{#N/A,#N/A,FALSE,"REK";#N/A,#N/A,FALSE,"rab"}</definedName>
    <definedName name="__hq2_3" localSheetId="2" hidden="1">{#N/A,#N/A,FALSE,"REK";#N/A,#N/A,FALSE,"rab"}</definedName>
    <definedName name="__hq2_3" localSheetId="8" hidden="1">{#N/A,#N/A,FALSE,"REK";#N/A,#N/A,FALSE,"rab"}</definedName>
    <definedName name="__hq2_3" localSheetId="27" hidden="1">{#N/A,#N/A,FALSE,"REK";#N/A,#N/A,FALSE,"rab"}</definedName>
    <definedName name="__hq2_3" hidden="1">{#N/A,#N/A,FALSE,"REK";#N/A,#N/A,FALSE,"rab"}</definedName>
    <definedName name="__hq2_4" localSheetId="5" hidden="1">{#N/A,#N/A,FALSE,"REK";#N/A,#N/A,FALSE,"rab"}</definedName>
    <definedName name="__hq2_4" localSheetId="15" hidden="1">{#N/A,#N/A,FALSE,"REK";#N/A,#N/A,FALSE,"rab"}</definedName>
    <definedName name="__hq2_4" localSheetId="13" hidden="1">{#N/A,#N/A,FALSE,"REK";#N/A,#N/A,FALSE,"rab"}</definedName>
    <definedName name="__hq2_4" localSheetId="2" hidden="1">{#N/A,#N/A,FALSE,"REK";#N/A,#N/A,FALSE,"rab"}</definedName>
    <definedName name="__hq2_4" localSheetId="8" hidden="1">{#N/A,#N/A,FALSE,"REK";#N/A,#N/A,FALSE,"rab"}</definedName>
    <definedName name="__hq2_4" localSheetId="27" hidden="1">{#N/A,#N/A,FALSE,"REK";#N/A,#N/A,FALSE,"rab"}</definedName>
    <definedName name="__hq2_4" hidden="1">{#N/A,#N/A,FALSE,"REK";#N/A,#N/A,FALSE,"rab"}</definedName>
    <definedName name="__hq2_5" localSheetId="5" hidden="1">{#N/A,#N/A,FALSE,"REK";#N/A,#N/A,FALSE,"rab"}</definedName>
    <definedName name="__hq2_5" localSheetId="15" hidden="1">{#N/A,#N/A,FALSE,"REK";#N/A,#N/A,FALSE,"rab"}</definedName>
    <definedName name="__hq2_5" localSheetId="13" hidden="1">{#N/A,#N/A,FALSE,"REK";#N/A,#N/A,FALSE,"rab"}</definedName>
    <definedName name="__hq2_5" localSheetId="2" hidden="1">{#N/A,#N/A,FALSE,"REK";#N/A,#N/A,FALSE,"rab"}</definedName>
    <definedName name="__hq2_5" localSheetId="8" hidden="1">{#N/A,#N/A,FALSE,"REK";#N/A,#N/A,FALSE,"rab"}</definedName>
    <definedName name="__hq2_5" localSheetId="27" hidden="1">{#N/A,#N/A,FALSE,"REK";#N/A,#N/A,FALSE,"rab"}</definedName>
    <definedName name="__hq2_5" hidden="1">{#N/A,#N/A,FALSE,"REK";#N/A,#N/A,FALSE,"rab"}</definedName>
    <definedName name="__IntlFixup" hidden="1">TRUE</definedName>
    <definedName name="__JU56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2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3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4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4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5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5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key1" localSheetId="15" hidden="1">#REF!</definedName>
    <definedName name="__key1" localSheetId="2" hidden="1">#REF!</definedName>
    <definedName name="__key1" localSheetId="8" hidden="1">#REF!</definedName>
    <definedName name="__key1" localSheetId="27" hidden="1">#REF!</definedName>
    <definedName name="__key1" hidden="1">#REF!</definedName>
    <definedName name="__xlfn.BAHTTEXT" hidden="1">#NAME?</definedName>
    <definedName name="_1__123Graph_ACHART_1" hidden="1">'[4]Cash Flow bulanan'!$K$203:$CX$203</definedName>
    <definedName name="_123Graph_F" localSheetId="15" hidden="1">[5]escon!#REF!</definedName>
    <definedName name="_123Graph_F" localSheetId="2" hidden="1">[5]escon!#REF!</definedName>
    <definedName name="_123Graph_F" localSheetId="8" hidden="1">[5]escon!#REF!</definedName>
    <definedName name="_123Graph_F" localSheetId="27" hidden="1">[5]escon!#REF!</definedName>
    <definedName name="_123Graph_F" hidden="1">[5]escon!#REF!</definedName>
    <definedName name="_12Excel_BuiltIn_Print_Area_1_1">'[6]Spec Str'!$A$2:$E$60,'[6]Spec Str'!$A$2:$E$60</definedName>
    <definedName name="_13Excel_BuiltIn_Print_Area_9_1" localSheetId="15">#REF!,#REF!</definedName>
    <definedName name="_13Excel_BuiltIn_Print_Area_9_1" localSheetId="2">#REF!,#REF!</definedName>
    <definedName name="_13Excel_BuiltIn_Print_Area_9_1" localSheetId="8">#REF!,#REF!</definedName>
    <definedName name="_13Excel_BuiltIn_Print_Area_9_1" localSheetId="27">#REF!,#REF!</definedName>
    <definedName name="_13Excel_BuiltIn_Print_Area_9_1">#REF!,#REF!</definedName>
    <definedName name="_14Excel_BuiltIn_Print_Titles_4_1_1" localSheetId="15">#REF!,#REF!</definedName>
    <definedName name="_14Excel_BuiltIn_Print_Titles_4_1_1" localSheetId="2">#REF!,#REF!</definedName>
    <definedName name="_14Excel_BuiltIn_Print_Titles_4_1_1" localSheetId="8">#REF!,#REF!</definedName>
    <definedName name="_14Excel_BuiltIn_Print_Titles_4_1_1">#REF!,#REF!</definedName>
    <definedName name="_21Excel_BuiltIn_Print_Area_9_1" localSheetId="15">#REF!,#REF!</definedName>
    <definedName name="_21Excel_BuiltIn_Print_Area_9_1" localSheetId="2">#REF!,#REF!</definedName>
    <definedName name="_21Excel_BuiltIn_Print_Area_9_1" localSheetId="8">#REF!,#REF!</definedName>
    <definedName name="_21Excel_BuiltIn_Print_Area_9_1">#REF!,#REF!</definedName>
    <definedName name="_39Excel_BuiltIn_Print_Titles_4_1_1" localSheetId="15">#REF!,#REF!</definedName>
    <definedName name="_39Excel_BuiltIn_Print_Titles_4_1_1">#REF!,#REF!</definedName>
    <definedName name="_9__123Graph_ACHART_1" hidden="1">'[7]Cash Flow bulanan'!$K$203:$CX$203</definedName>
    <definedName name="_A_2">NA()</definedName>
    <definedName name="_AAD3" localSheetId="5">HAJIME:OWARI</definedName>
    <definedName name="_AAD3" localSheetId="15">[8]!HAJIME:[8]!OWARI</definedName>
    <definedName name="_AAD3" localSheetId="13">HAJIME:OWARI</definedName>
    <definedName name="_AAD3" localSheetId="10">HAJIME:OWARI</definedName>
    <definedName name="_AAD3" localSheetId="2">HAJIME:OWARI</definedName>
    <definedName name="_AAD3" localSheetId="8">HAJIME:OWARI</definedName>
    <definedName name="_AAD3" localSheetId="27">'TABEL BAJA'!HAJIME:'TABEL BAJA'!OWARI</definedName>
    <definedName name="_AAD3">HAJIME:OWARI</definedName>
    <definedName name="_ADD1" localSheetId="9">STOP2:STOP2E</definedName>
    <definedName name="_ADD1" localSheetId="5">STOP2:STOP2E</definedName>
    <definedName name="_ADD1" localSheetId="15">STOP2:STOP2E</definedName>
    <definedName name="_ADD1" localSheetId="13">STOP2:STOP2E</definedName>
    <definedName name="_ADD1" localSheetId="10">STOP2:STOP2E</definedName>
    <definedName name="_ADD1" localSheetId="2">STOP2:STOP2E</definedName>
    <definedName name="_ADD1" localSheetId="11">STOP2:STOP2E</definedName>
    <definedName name="_ADD1" localSheetId="8">STOP2:STOP2E</definedName>
    <definedName name="_ADD1" localSheetId="27">STOP2:STOP2E</definedName>
    <definedName name="_ADD1">STOP2:STOP2E</definedName>
    <definedName name="_ADD2" localSheetId="9">STOP:STOPE</definedName>
    <definedName name="_ADD2" localSheetId="5">STOP:STOPE</definedName>
    <definedName name="_ADD2" localSheetId="15">STOP:STOPE</definedName>
    <definedName name="_ADD2" localSheetId="13">STOP:STOPE</definedName>
    <definedName name="_ADD2" localSheetId="10">STOP:STOPE</definedName>
    <definedName name="_ADD2" localSheetId="2">STOP:STOPE</definedName>
    <definedName name="_ADD2" localSheetId="11">STOP:STOPE</definedName>
    <definedName name="_ADD2" localSheetId="8">STOP:STOPE</definedName>
    <definedName name="_ADD2" localSheetId="27">STOP:STOPE</definedName>
    <definedName name="_ADD2">STOP:STOPE</definedName>
    <definedName name="_ADD3" localSheetId="9">STOP:STOPE</definedName>
    <definedName name="_ADD3" localSheetId="5">STOP:STOPE</definedName>
    <definedName name="_ADD3" localSheetId="15">STOP:STOPE</definedName>
    <definedName name="_ADD3" localSheetId="13">STOP:STOPE</definedName>
    <definedName name="_ADD3" localSheetId="10">STOP:STOPE</definedName>
    <definedName name="_ADD3" localSheetId="2">STOP:STOPE</definedName>
    <definedName name="_ADD3" localSheetId="11">STOP:STOPE</definedName>
    <definedName name="_ADD3" localSheetId="8">STOP:STOPE</definedName>
    <definedName name="_ADD3" localSheetId="27">STOP:STOPE</definedName>
    <definedName name="_ADD3">STOP:STOPE</definedName>
    <definedName name="_alt1" localSheetId="15">'Pas. Dinding'!_alt1</definedName>
    <definedName name="_alt1" localSheetId="27">'TABEL BAJA'!_alt1</definedName>
    <definedName name="_alt1">[9]!_alt1</definedName>
    <definedName name="_alt2" localSheetId="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" localSheetId="2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2" localSheetId="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2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2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2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2" localSheetId="2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3" localSheetId="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3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3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3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3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3" localSheetId="2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4" localSheetId="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4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4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4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4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4" localSheetId="2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5" localSheetId="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5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5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5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5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5" localSheetId="2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PP3" localSheetId="15">'Pas. Dinding'!_APP3</definedName>
    <definedName name="_APP3" localSheetId="27">'TABEL BAJA'!_APP3</definedName>
    <definedName name="_APP3">[9]!_APP3</definedName>
    <definedName name="_Dist_Bin" localSheetId="15" hidden="1">[10]H.Satuan!#REF!</definedName>
    <definedName name="_Dist_Bin" localSheetId="2" hidden="1">[10]H.Satuan!#REF!</definedName>
    <definedName name="_Dist_Bin" localSheetId="8" hidden="1">[10]H.Satuan!#REF!</definedName>
    <definedName name="_Dist_Bin" localSheetId="27" hidden="1">[10]H.Satuan!#REF!</definedName>
    <definedName name="_Dist_Bin" hidden="1">[10]H.Satuan!#REF!</definedName>
    <definedName name="_Dist_Values" localSheetId="15" hidden="1">#REF!</definedName>
    <definedName name="_Dist_Values" localSheetId="2" hidden="1">#REF!</definedName>
    <definedName name="_Dist_Values" localSheetId="8" hidden="1">#REF!</definedName>
    <definedName name="_Dist_Values" localSheetId="27" hidden="1">#REF!</definedName>
    <definedName name="_Dist_Values" hidden="1">#REF!</definedName>
    <definedName name="_f">NA()</definedName>
    <definedName name="_Fill" localSheetId="15" hidden="1">#REF!</definedName>
    <definedName name="_Fill" localSheetId="2" hidden="1">#REF!</definedName>
    <definedName name="_Fill" localSheetId="8" hidden="1">#REF!</definedName>
    <definedName name="_Fill" localSheetId="27" hidden="1">#REF!</definedName>
    <definedName name="_Fill" hidden="1">#REF!</definedName>
    <definedName name="_xlnm._FilterDatabase" localSheetId="18" hidden="1">'Besi Balok'!A23:AB150</definedName>
    <definedName name="_xlnm._FilterDatabase" localSheetId="26" hidden="1">'DATA BAJA'!C5:C14</definedName>
    <definedName name="_xlnm._FilterDatabase" localSheetId="17" hidden="1">'Data Panjang Balok'!A9:Q424</definedName>
    <definedName name="_xlnm._FilterDatabase" localSheetId="6" hidden="1">'Data-Kolom'!A14:U272</definedName>
    <definedName name="_xlnm._FilterDatabase" localSheetId="19" hidden="1">'Detail Balok'!B10:BH110</definedName>
    <definedName name="_xlnm._FilterDatabase" localSheetId="5" hidden="1">'Hasil-Kolom'!A14:BA206</definedName>
    <definedName name="_xlnm._FilterDatabase" localSheetId="20" hidden="1">'Hasil-PC'!A9:BA72</definedName>
    <definedName name="_xlnm._FilterDatabase" localSheetId="15" hidden="1">'[11]HRG BAHAN &amp; UPAH okk'!#REF!</definedName>
    <definedName name="_xlnm._FilterDatabase" localSheetId="25" hidden="1">'PROSES BAJA'!A11:S73</definedName>
    <definedName name="_xlnm._FilterDatabase" localSheetId="12" hidden="1">'RAB (A)'!A8:AL36</definedName>
    <definedName name="_xlnm._FilterDatabase" localSheetId="13" hidden="1">'RAB (B)'!A8:AL34</definedName>
    <definedName name="_xlnm._FilterDatabase" localSheetId="16" hidden="1">'REKAP Balok'!A13:Z426</definedName>
    <definedName name="_xlnm._FilterDatabase" localSheetId="2" hidden="1">'[11]HRG BAHAN &amp; UPAH okk'!#REF!</definedName>
    <definedName name="_xlnm._FilterDatabase" localSheetId="8" hidden="1">'Retaining Wall'!A6:W29</definedName>
    <definedName name="_xlnm._FilterDatabase" localSheetId="27" hidden="1">'[11]HRG BAHAN &amp; UPAH okk'!#REF!</definedName>
    <definedName name="_xlnm._FilterDatabase" hidden="1">'[11]HRG BAHAN &amp; UPAH okk'!#REF!</definedName>
    <definedName name="_gk2" hidden="1">#N/A</definedName>
    <definedName name="_hq1" localSheetId="5" hidden="1">{#N/A,#N/A,FALSE,"REK";#N/A,#N/A,FALSE,"rab"}</definedName>
    <definedName name="_hq1" localSheetId="15" hidden="1">{#N/A,#N/A,FALSE,"REK";#N/A,#N/A,FALSE,"rab"}</definedName>
    <definedName name="_hq1" localSheetId="13" hidden="1">{#N/A,#N/A,FALSE,"REK";#N/A,#N/A,FALSE,"rab"}</definedName>
    <definedName name="_hq1" localSheetId="2" hidden="1">{#N/A,#N/A,FALSE,"REK";#N/A,#N/A,FALSE,"rab"}</definedName>
    <definedName name="_hq1" localSheetId="8" hidden="1">{#N/A,#N/A,FALSE,"REK";#N/A,#N/A,FALSE,"rab"}</definedName>
    <definedName name="_hq1" localSheetId="27" hidden="1">{#N/A,#N/A,FALSE,"REK";#N/A,#N/A,FALSE,"rab"}</definedName>
    <definedName name="_hq1" hidden="1">{#N/A,#N/A,FALSE,"REK";#N/A,#N/A,FALSE,"rab"}</definedName>
    <definedName name="_hq1_2" localSheetId="5" hidden="1">{#N/A,#N/A,FALSE,"REK";#N/A,#N/A,FALSE,"rab"}</definedName>
    <definedName name="_hq1_2" localSheetId="15" hidden="1">{#N/A,#N/A,FALSE,"REK";#N/A,#N/A,FALSE,"rab"}</definedName>
    <definedName name="_hq1_2" localSheetId="13" hidden="1">{#N/A,#N/A,FALSE,"REK";#N/A,#N/A,FALSE,"rab"}</definedName>
    <definedName name="_hq1_2" localSheetId="2" hidden="1">{#N/A,#N/A,FALSE,"REK";#N/A,#N/A,FALSE,"rab"}</definedName>
    <definedName name="_hq1_2" localSheetId="8" hidden="1">{#N/A,#N/A,FALSE,"REK";#N/A,#N/A,FALSE,"rab"}</definedName>
    <definedName name="_hq1_2" localSheetId="27" hidden="1">{#N/A,#N/A,FALSE,"REK";#N/A,#N/A,FALSE,"rab"}</definedName>
    <definedName name="_hq1_2" hidden="1">{#N/A,#N/A,FALSE,"REK";#N/A,#N/A,FALSE,"rab"}</definedName>
    <definedName name="_hq1_3" localSheetId="5" hidden="1">{#N/A,#N/A,FALSE,"REK";#N/A,#N/A,FALSE,"rab"}</definedName>
    <definedName name="_hq1_3" localSheetId="15" hidden="1">{#N/A,#N/A,FALSE,"REK";#N/A,#N/A,FALSE,"rab"}</definedName>
    <definedName name="_hq1_3" localSheetId="13" hidden="1">{#N/A,#N/A,FALSE,"REK";#N/A,#N/A,FALSE,"rab"}</definedName>
    <definedName name="_hq1_3" localSheetId="2" hidden="1">{#N/A,#N/A,FALSE,"REK";#N/A,#N/A,FALSE,"rab"}</definedName>
    <definedName name="_hq1_3" localSheetId="8" hidden="1">{#N/A,#N/A,FALSE,"REK";#N/A,#N/A,FALSE,"rab"}</definedName>
    <definedName name="_hq1_3" localSheetId="27" hidden="1">{#N/A,#N/A,FALSE,"REK";#N/A,#N/A,FALSE,"rab"}</definedName>
    <definedName name="_hq1_3" hidden="1">{#N/A,#N/A,FALSE,"REK";#N/A,#N/A,FALSE,"rab"}</definedName>
    <definedName name="_hq1_4" localSheetId="5" hidden="1">{#N/A,#N/A,FALSE,"REK";#N/A,#N/A,FALSE,"rab"}</definedName>
    <definedName name="_hq1_4" localSheetId="15" hidden="1">{#N/A,#N/A,FALSE,"REK";#N/A,#N/A,FALSE,"rab"}</definedName>
    <definedName name="_hq1_4" localSheetId="13" hidden="1">{#N/A,#N/A,FALSE,"REK";#N/A,#N/A,FALSE,"rab"}</definedName>
    <definedName name="_hq1_4" localSheetId="2" hidden="1">{#N/A,#N/A,FALSE,"REK";#N/A,#N/A,FALSE,"rab"}</definedName>
    <definedName name="_hq1_4" localSheetId="8" hidden="1">{#N/A,#N/A,FALSE,"REK";#N/A,#N/A,FALSE,"rab"}</definedName>
    <definedName name="_hq1_4" localSheetId="27" hidden="1">{#N/A,#N/A,FALSE,"REK";#N/A,#N/A,FALSE,"rab"}</definedName>
    <definedName name="_hq1_4" hidden="1">{#N/A,#N/A,FALSE,"REK";#N/A,#N/A,FALSE,"rab"}</definedName>
    <definedName name="_hq1_5" localSheetId="5" hidden="1">{#N/A,#N/A,FALSE,"REK";#N/A,#N/A,FALSE,"rab"}</definedName>
    <definedName name="_hq1_5" localSheetId="15" hidden="1">{#N/A,#N/A,FALSE,"REK";#N/A,#N/A,FALSE,"rab"}</definedName>
    <definedName name="_hq1_5" localSheetId="13" hidden="1">{#N/A,#N/A,FALSE,"REK";#N/A,#N/A,FALSE,"rab"}</definedName>
    <definedName name="_hq1_5" localSheetId="2" hidden="1">{#N/A,#N/A,FALSE,"REK";#N/A,#N/A,FALSE,"rab"}</definedName>
    <definedName name="_hq1_5" localSheetId="8" hidden="1">{#N/A,#N/A,FALSE,"REK";#N/A,#N/A,FALSE,"rab"}</definedName>
    <definedName name="_hq1_5" localSheetId="27" hidden="1">{#N/A,#N/A,FALSE,"REK";#N/A,#N/A,FALSE,"rab"}</definedName>
    <definedName name="_hq1_5" hidden="1">{#N/A,#N/A,FALSE,"REK";#N/A,#N/A,FALSE,"rab"}</definedName>
    <definedName name="_hq2" localSheetId="5" hidden="1">{#N/A,#N/A,FALSE,"REK";#N/A,#N/A,FALSE,"rab"}</definedName>
    <definedName name="_hq2" localSheetId="15" hidden="1">{#N/A,#N/A,FALSE,"REK";#N/A,#N/A,FALSE,"rab"}</definedName>
    <definedName name="_hq2" localSheetId="13" hidden="1">{#N/A,#N/A,FALSE,"REK";#N/A,#N/A,FALSE,"rab"}</definedName>
    <definedName name="_hq2" localSheetId="2" hidden="1">{#N/A,#N/A,FALSE,"REK";#N/A,#N/A,FALSE,"rab"}</definedName>
    <definedName name="_hq2" localSheetId="8" hidden="1">{#N/A,#N/A,FALSE,"REK";#N/A,#N/A,FALSE,"rab"}</definedName>
    <definedName name="_hq2" localSheetId="27" hidden="1">{#N/A,#N/A,FALSE,"REK";#N/A,#N/A,FALSE,"rab"}</definedName>
    <definedName name="_hq2" hidden="1">{#N/A,#N/A,FALSE,"REK";#N/A,#N/A,FALSE,"rab"}</definedName>
    <definedName name="_hq2_2" localSheetId="5" hidden="1">{#N/A,#N/A,FALSE,"REK";#N/A,#N/A,FALSE,"rab"}</definedName>
    <definedName name="_hq2_2" localSheetId="15" hidden="1">{#N/A,#N/A,FALSE,"REK";#N/A,#N/A,FALSE,"rab"}</definedName>
    <definedName name="_hq2_2" localSheetId="13" hidden="1">{#N/A,#N/A,FALSE,"REK";#N/A,#N/A,FALSE,"rab"}</definedName>
    <definedName name="_hq2_2" localSheetId="2" hidden="1">{#N/A,#N/A,FALSE,"REK";#N/A,#N/A,FALSE,"rab"}</definedName>
    <definedName name="_hq2_2" localSheetId="8" hidden="1">{#N/A,#N/A,FALSE,"REK";#N/A,#N/A,FALSE,"rab"}</definedName>
    <definedName name="_hq2_2" localSheetId="27" hidden="1">{#N/A,#N/A,FALSE,"REK";#N/A,#N/A,FALSE,"rab"}</definedName>
    <definedName name="_hq2_2" hidden="1">{#N/A,#N/A,FALSE,"REK";#N/A,#N/A,FALSE,"rab"}</definedName>
    <definedName name="_hq2_3" localSheetId="5" hidden="1">{#N/A,#N/A,FALSE,"REK";#N/A,#N/A,FALSE,"rab"}</definedName>
    <definedName name="_hq2_3" localSheetId="15" hidden="1">{#N/A,#N/A,FALSE,"REK";#N/A,#N/A,FALSE,"rab"}</definedName>
    <definedName name="_hq2_3" localSheetId="13" hidden="1">{#N/A,#N/A,FALSE,"REK";#N/A,#N/A,FALSE,"rab"}</definedName>
    <definedName name="_hq2_3" localSheetId="2" hidden="1">{#N/A,#N/A,FALSE,"REK";#N/A,#N/A,FALSE,"rab"}</definedName>
    <definedName name="_hq2_3" localSheetId="8" hidden="1">{#N/A,#N/A,FALSE,"REK";#N/A,#N/A,FALSE,"rab"}</definedName>
    <definedName name="_hq2_3" localSheetId="27" hidden="1">{#N/A,#N/A,FALSE,"REK";#N/A,#N/A,FALSE,"rab"}</definedName>
    <definedName name="_hq2_3" hidden="1">{#N/A,#N/A,FALSE,"REK";#N/A,#N/A,FALSE,"rab"}</definedName>
    <definedName name="_hq2_4" localSheetId="5" hidden="1">{#N/A,#N/A,FALSE,"REK";#N/A,#N/A,FALSE,"rab"}</definedName>
    <definedName name="_hq2_4" localSheetId="15" hidden="1">{#N/A,#N/A,FALSE,"REK";#N/A,#N/A,FALSE,"rab"}</definedName>
    <definedName name="_hq2_4" localSheetId="13" hidden="1">{#N/A,#N/A,FALSE,"REK";#N/A,#N/A,FALSE,"rab"}</definedName>
    <definedName name="_hq2_4" localSheetId="2" hidden="1">{#N/A,#N/A,FALSE,"REK";#N/A,#N/A,FALSE,"rab"}</definedName>
    <definedName name="_hq2_4" localSheetId="8" hidden="1">{#N/A,#N/A,FALSE,"REK";#N/A,#N/A,FALSE,"rab"}</definedName>
    <definedName name="_hq2_4" localSheetId="27" hidden="1">{#N/A,#N/A,FALSE,"REK";#N/A,#N/A,FALSE,"rab"}</definedName>
    <definedName name="_hq2_4" hidden="1">{#N/A,#N/A,FALSE,"REK";#N/A,#N/A,FALSE,"rab"}</definedName>
    <definedName name="_hq2_5" localSheetId="5" hidden="1">{#N/A,#N/A,FALSE,"REK";#N/A,#N/A,FALSE,"rab"}</definedName>
    <definedName name="_hq2_5" localSheetId="15" hidden="1">{#N/A,#N/A,FALSE,"REK";#N/A,#N/A,FALSE,"rab"}</definedName>
    <definedName name="_hq2_5" localSheetId="13" hidden="1">{#N/A,#N/A,FALSE,"REK";#N/A,#N/A,FALSE,"rab"}</definedName>
    <definedName name="_hq2_5" localSheetId="2" hidden="1">{#N/A,#N/A,FALSE,"REK";#N/A,#N/A,FALSE,"rab"}</definedName>
    <definedName name="_hq2_5" localSheetId="8" hidden="1">{#N/A,#N/A,FALSE,"REK";#N/A,#N/A,FALSE,"rab"}</definedName>
    <definedName name="_hq2_5" localSheetId="27" hidden="1">{#N/A,#N/A,FALSE,"REK";#N/A,#N/A,FALSE,"rab"}</definedName>
    <definedName name="_hq2_5" hidden="1">{#N/A,#N/A,FALSE,"REK";#N/A,#N/A,FALSE,"rab"}</definedName>
    <definedName name="_i">NA()</definedName>
    <definedName name="_JU56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2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3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4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4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5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5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Key1" localSheetId="15" hidden="1">#REF!</definedName>
    <definedName name="_Key1" localSheetId="2" hidden="1">#REF!</definedName>
    <definedName name="_Key1" localSheetId="8" hidden="1">#REF!</definedName>
    <definedName name="_Key1" localSheetId="27" hidden="1">#REF!</definedName>
    <definedName name="_Key1" hidden="1">#REF!</definedName>
    <definedName name="_Key2" localSheetId="15" hidden="1">#REF!</definedName>
    <definedName name="_Key2" localSheetId="2" hidden="1">#REF!</definedName>
    <definedName name="_Key2" localSheetId="8" hidden="1">#REF!</definedName>
    <definedName name="_Key2" hidden="1">#REF!</definedName>
    <definedName name="_M">"$#REF!.$K$72"</definedName>
    <definedName name="_Order1" hidden="1">255</definedName>
    <definedName name="_Order2" hidden="1">0</definedName>
    <definedName name="_Regression_Int">1</definedName>
    <definedName name="_Regression_Int_1">1</definedName>
    <definedName name="_Regression_Int_2">1</definedName>
    <definedName name="_Regression_Int_3">1</definedName>
    <definedName name="_S">"$#REF!.$S$72"</definedName>
    <definedName name="_Sort" localSheetId="15" hidden="1">#REF!</definedName>
    <definedName name="_Sort" localSheetId="2" hidden="1">#REF!</definedName>
    <definedName name="_Sort" localSheetId="8" hidden="1">#REF!</definedName>
    <definedName name="_Sort" localSheetId="27" hidden="1">#REF!</definedName>
    <definedName name="_Sort" hidden="1">#REF!</definedName>
    <definedName name="_t">NA()</definedName>
    <definedName name="_Table1_In1" localSheetId="15" hidden="1">#REF!</definedName>
    <definedName name="_Table1_In1" localSheetId="2" hidden="1">#REF!</definedName>
    <definedName name="_Table1_In1" localSheetId="8" hidden="1">#REF!</definedName>
    <definedName name="_Table1_In1" localSheetId="27" hidden="1">#REF!</definedName>
    <definedName name="_Table1_In1" hidden="1">#REF!</definedName>
    <definedName name="_Table1_Out" localSheetId="15" hidden="1">#REF!</definedName>
    <definedName name="_Table1_Out" localSheetId="2" hidden="1">#REF!</definedName>
    <definedName name="_Table1_Out" localSheetId="8" hidden="1">#REF!</definedName>
    <definedName name="_Table1_Out" hidden="1">#REF!</definedName>
    <definedName name="_Table2_In1" localSheetId="15" hidden="1">[10]H.Satuan!#REF!</definedName>
    <definedName name="_Table2_In1" localSheetId="2" hidden="1">[10]H.Satuan!#REF!</definedName>
    <definedName name="_Table2_In1" localSheetId="8" hidden="1">[10]H.Satuan!#REF!</definedName>
    <definedName name="_Table2_In1" localSheetId="27" hidden="1">[10]H.Satuan!#REF!</definedName>
    <definedName name="_Table2_In1" hidden="1">[10]H.Satuan!#REF!</definedName>
    <definedName name="_Table2_Out" localSheetId="15" hidden="1">[10]H.Satuan!#REF!</definedName>
    <definedName name="_Table2_Out" localSheetId="2" hidden="1">[10]H.Satuan!#REF!</definedName>
    <definedName name="_Table2_Out" localSheetId="8" hidden="1">[10]H.Satuan!#REF!</definedName>
    <definedName name="_Table2_Out" localSheetId="27" hidden="1">[10]H.Satuan!#REF!</definedName>
    <definedName name="_Table2_Out" hidden="1">[10]H.Satuan!#REF!</definedName>
    <definedName name="_THP2" localSheetId="9">STOP:STOPE</definedName>
    <definedName name="_THP2" localSheetId="5">STOP:STOPE</definedName>
    <definedName name="_THP2" localSheetId="15">STOP:STOPE</definedName>
    <definedName name="_THP2" localSheetId="13">STOP:STOPE</definedName>
    <definedName name="_THP2" localSheetId="10">STOP:STOPE</definedName>
    <definedName name="_THP2" localSheetId="2">STOP:STOPE</definedName>
    <definedName name="_THP2" localSheetId="11">STOP:STOPE</definedName>
    <definedName name="_THP2" localSheetId="8">STOP:STOPE</definedName>
    <definedName name="_THP2" localSheetId="27">STOP:STOPE</definedName>
    <definedName name="_THP2">STOP:STOPE</definedName>
    <definedName name="_tsI3" localSheetId="15">'Pas. Dinding'!_tsI3</definedName>
    <definedName name="_tsI3" localSheetId="27">'TABEL BAJA'!_tsI3</definedName>
    <definedName name="_tsI3">[9]!_tsI3</definedName>
    <definedName name="_W">"$#REF!.$#REF!#REF!"</definedName>
    <definedName name="_W_10">"$#REF!.$#REF!#REF!"</definedName>
    <definedName name="_W_12">"$#REF!.$#REF!#REF!"</definedName>
    <definedName name="_W_13">"$#REF!.$#REF!#REF!"</definedName>
    <definedName name="_W_5">"$#REF!.$#REF!#REF!"</definedName>
    <definedName name="_W_7">"$#REF!.$#REF!#REF!"</definedName>
    <definedName name="_W_8">"$#REF!.$#REF!#REF!"</definedName>
    <definedName name="_WQ">NA()</definedName>
    <definedName name="_WQ_10">NA()</definedName>
    <definedName name="_WQ_12">NA()</definedName>
    <definedName name="_WQ_13">NA()</definedName>
    <definedName name="_WQ_5">NA()</definedName>
    <definedName name="_WQ_7">NA()</definedName>
    <definedName name="_WQ_8">NA()</definedName>
    <definedName name="_z">NA()</definedName>
    <definedName name="A" hidden="1">'[12]HARGA MATERIAL'!$A$11:$A$202</definedName>
    <definedName name="aaaaa" localSheetId="15" hidden="1">[13]villa!#REF!</definedName>
    <definedName name="aaaaa" localSheetId="2" hidden="1">[13]villa!#REF!</definedName>
    <definedName name="aaaaa" localSheetId="8" hidden="1">[13]villa!#REF!</definedName>
    <definedName name="aaaaa" localSheetId="27" hidden="1">[13]villa!#REF!</definedName>
    <definedName name="aaaaa" hidden="1">[13]villa!#REF!</definedName>
    <definedName name="AAD3___0">NA()</definedName>
    <definedName name="AAD3___1">NA()</definedName>
    <definedName name="AAD3___2">NA()</definedName>
    <definedName name="AAD3___3">NA()</definedName>
    <definedName name="AAD3___4">NA()</definedName>
    <definedName name="AAD3___5">NA()</definedName>
    <definedName name="AAD3___7">NA()</definedName>
    <definedName name="ABC" localSheetId="15" hidden="1">#REF!</definedName>
    <definedName name="ABC" localSheetId="2" hidden="1">#REF!</definedName>
    <definedName name="ABC" localSheetId="8" hidden="1">#REF!</definedName>
    <definedName name="ABC" localSheetId="27" hidden="1">#REF!</definedName>
    <definedName name="ABC" hidden="1">#REF!</definedName>
    <definedName name="abch100_10">"$#REF!.$#REF!$#REF!"</definedName>
    <definedName name="abch100_12">"$#REF!.$#REF!$#REF!"</definedName>
    <definedName name="abch100_13">"$#REF!.$#REF!$#REF!"</definedName>
    <definedName name="abch100_5">"$#REF!.$#REF!$#REF!"</definedName>
    <definedName name="abch100_7">"$#REF!.$#REF!$#REF!"</definedName>
    <definedName name="abch100_8">"$#REF!.$#REF!$#REF!"</definedName>
    <definedName name="aber100_10">"$#REF!.$#REF!$#REF!"</definedName>
    <definedName name="aber100_12">"$#REF!.$#REF!$#REF!"</definedName>
    <definedName name="aber100_13">"$#REF!.$#REF!$#REF!"</definedName>
    <definedName name="aber100_5">"$#REF!.$#REF!$#REF!"</definedName>
    <definedName name="aber100_7">"$#REF!.$#REF!$#REF!"</definedName>
    <definedName name="aber100_8">"$#REF!.$#REF!$#REF!"</definedName>
    <definedName name="aber15_10">"$#REF!.$#REF!$#REF!"</definedName>
    <definedName name="aber15_12">"$#REF!.$#REF!$#REF!"</definedName>
    <definedName name="aber15_13">"$#REF!.$#REF!$#REF!"</definedName>
    <definedName name="aber15_5">"$#REF!.$#REF!$#REF!"</definedName>
    <definedName name="aber15_7">"$#REF!.$#REF!$#REF!"</definedName>
    <definedName name="aber15_8">"$#REF!.$#REF!$#REF!"</definedName>
    <definedName name="Aber150_10">"$#REF!.$#REF!$#REF!"</definedName>
    <definedName name="Aber150_12">"$#REF!.$#REF!$#REF!"</definedName>
    <definedName name="Aber150_13">"$#REF!.$#REF!$#REF!"</definedName>
    <definedName name="Aber150_5">"$#REF!.$#REF!$#REF!"</definedName>
    <definedName name="Aber150_7">"$#REF!.$#REF!$#REF!"</definedName>
    <definedName name="Aber150_8">"$#REF!.$#REF!$#REF!"</definedName>
    <definedName name="aber2_10">"$#REF!.$#REF!$#REF!"</definedName>
    <definedName name="aber2_12">"$#REF!.$#REF!$#REF!"</definedName>
    <definedName name="aber2_13">"$#REF!.$#REF!$#REF!"</definedName>
    <definedName name="aber2_5">"$#REF!.$#REF!$#REF!"</definedName>
    <definedName name="aber2_7">"$#REF!.$#REF!$#REF!"</definedName>
    <definedName name="aber2_8">"$#REF!.$#REF!$#REF!"</definedName>
    <definedName name="aber20_10">"$#REF!.$#REF!$#REF!"</definedName>
    <definedName name="aber20_12">"$#REF!.$#REF!$#REF!"</definedName>
    <definedName name="aber20_13">"$#REF!.$#REF!$#REF!"</definedName>
    <definedName name="aber20_5">"$#REF!.$#REF!$#REF!"</definedName>
    <definedName name="aber20_7">"$#REF!.$#REF!$#REF!"</definedName>
    <definedName name="aber20_8">"$#REF!.$#REF!$#REF!"</definedName>
    <definedName name="aber25_10">"$#REF!.$#REF!$#REF!"</definedName>
    <definedName name="aber25_12">"$#REF!.$#REF!$#REF!"</definedName>
    <definedName name="aber25_13">"$#REF!.$#REF!$#REF!"</definedName>
    <definedName name="aber25_5">"$#REF!.$#REF!$#REF!"</definedName>
    <definedName name="aber25_7">"$#REF!.$#REF!$#REF!"</definedName>
    <definedName name="aber25_8">"$#REF!.$#REF!$#REF!"</definedName>
    <definedName name="aber32_10">"$#REF!.$#REF!$#REF!"</definedName>
    <definedName name="aber32_12">"$#REF!.$#REF!$#REF!"</definedName>
    <definedName name="aber32_13">"$#REF!.$#REF!$#REF!"</definedName>
    <definedName name="aber32_5">"$#REF!.$#REF!$#REF!"</definedName>
    <definedName name="aber32_7">"$#REF!.$#REF!$#REF!"</definedName>
    <definedName name="aber32_8">"$#REF!.$#REF!$#REF!"</definedName>
    <definedName name="aber4_10">"$#REF!.$#REF!$#REF!"</definedName>
    <definedName name="aber4_12">"$#REF!.$#REF!$#REF!"</definedName>
    <definedName name="aber4_13">"$#REF!.$#REF!$#REF!"</definedName>
    <definedName name="aber4_5">"$#REF!.$#REF!$#REF!"</definedName>
    <definedName name="aber4_7">"$#REF!.$#REF!$#REF!"</definedName>
    <definedName name="aber4_8">"$#REF!.$#REF!$#REF!"</definedName>
    <definedName name="aber40_10">"$#REF!.$#REF!$#REF!"</definedName>
    <definedName name="aber40_12">"$#REF!.$#REF!$#REF!"</definedName>
    <definedName name="aber40_13">"$#REF!.$#REF!$#REF!"</definedName>
    <definedName name="aber40_5">"$#REF!.$#REF!$#REF!"</definedName>
    <definedName name="aber40_7">"$#REF!.$#REF!$#REF!"</definedName>
    <definedName name="aber40_8">"$#REF!.$#REF!$#REF!"</definedName>
    <definedName name="aber50_10">"$#REF!.$#REF!$#REF!"</definedName>
    <definedName name="aber50_12">"$#REF!.$#REF!$#REF!"</definedName>
    <definedName name="aber50_13">"$#REF!.$#REF!$#REF!"</definedName>
    <definedName name="aber50_5">"$#REF!.$#REF!$#REF!"</definedName>
    <definedName name="aber50_7">"$#REF!.$#REF!$#REF!"</definedName>
    <definedName name="aber50_8">"$#REF!.$#REF!$#REF!"</definedName>
    <definedName name="Aber6_10">"$#REF!.$#REF!$#REF!"</definedName>
    <definedName name="Aber6_12">"$#REF!.$#REF!$#REF!"</definedName>
    <definedName name="Aber6_13">"$#REF!.$#REF!$#REF!"</definedName>
    <definedName name="Aber6_5">"$#REF!.$#REF!$#REF!"</definedName>
    <definedName name="Aber6_7">"$#REF!.$#REF!$#REF!"</definedName>
    <definedName name="Aber6_8">"$#REF!.$#REF!$#REF!"</definedName>
    <definedName name="aber80_10">"$#REF!.$#REF!$#REF!"</definedName>
    <definedName name="aber80_12">"$#REF!.$#REF!$#REF!"</definedName>
    <definedName name="aber80_13">"$#REF!.$#REF!$#REF!"</definedName>
    <definedName name="aber80_5">"$#REF!.$#REF!$#REF!"</definedName>
    <definedName name="aber80_7">"$#REF!.$#REF!$#REF!"</definedName>
    <definedName name="aber80_8">"$#REF!.$#REF!$#REF!"</definedName>
    <definedName name="aberf100_10">"$#REF!.$#REF!$#REF!"</definedName>
    <definedName name="aberf100_12">"$#REF!.$#REF!$#REF!"</definedName>
    <definedName name="aberf100_13">"$#REF!.$#REF!$#REF!"</definedName>
    <definedName name="aberf100_5">"$#REF!.$#REF!$#REF!"</definedName>
    <definedName name="aberf100_7">"$#REF!.$#REF!$#REF!"</definedName>
    <definedName name="aberf100_8">"$#REF!.$#REF!$#REF!"</definedName>
    <definedName name="aberf150_10">"$#REF!.$#REF!$#REF!"</definedName>
    <definedName name="aberf150_12">"$#REF!.$#REF!$#REF!"</definedName>
    <definedName name="aberf150_13">"$#REF!.$#REF!$#REF!"</definedName>
    <definedName name="aberf150_5">"$#REF!.$#REF!$#REF!"</definedName>
    <definedName name="aberf150_7">"$#REF!.$#REF!$#REF!"</definedName>
    <definedName name="aberf150_8">"$#REF!.$#REF!$#REF!"</definedName>
    <definedName name="aberf4_10">"$#REF!.$#REF!$#REF!"</definedName>
    <definedName name="aberf4_12">"$#REF!.$#REF!$#REF!"</definedName>
    <definedName name="aberf4_13">"$#REF!.$#REF!$#REF!"</definedName>
    <definedName name="aberf4_5">"$#REF!.$#REF!$#REF!"</definedName>
    <definedName name="aberf4_7">"$#REF!.$#REF!$#REF!"</definedName>
    <definedName name="aberf4_8">"$#REF!.$#REF!$#REF!"</definedName>
    <definedName name="aberf6_10">"$#REF!.$#REF!$#REF!"</definedName>
    <definedName name="aberf6_12">"$#REF!.$#REF!$#REF!"</definedName>
    <definedName name="aberf6_13">"$#REF!.$#REF!$#REF!"</definedName>
    <definedName name="aberf6_5">"$#REF!.$#REF!$#REF!"</definedName>
    <definedName name="aberf6_7">"$#REF!.$#REF!$#REF!"</definedName>
    <definedName name="aberf6_8">"$#REF!.$#REF!$#REF!"</definedName>
    <definedName name="aberf80_10">"$#REF!.$#REF!$#REF!"</definedName>
    <definedName name="aberf80_12">"$#REF!.$#REF!$#REF!"</definedName>
    <definedName name="aberf80_13">"$#REF!.$#REF!$#REF!"</definedName>
    <definedName name="aberf80_5">"$#REF!.$#REF!$#REF!"</definedName>
    <definedName name="aberf80_7">"$#REF!.$#REF!$#REF!"</definedName>
    <definedName name="aberf80_8">"$#REF!.$#REF!$#REF!"</definedName>
    <definedName name="abfj100_10">"$#REF!.$#REF!$#REF!"</definedName>
    <definedName name="abfj100_12">"$#REF!.$#REF!$#REF!"</definedName>
    <definedName name="abfj100_13">"$#REF!.$#REF!$#REF!"</definedName>
    <definedName name="abfj100_5">"$#REF!.$#REF!$#REF!"</definedName>
    <definedName name="abfj100_7">"$#REF!.$#REF!$#REF!"</definedName>
    <definedName name="abfj100_8">"$#REF!.$#REF!$#REF!"</definedName>
    <definedName name="abfj150_10">"$#REF!.$#REF!$#REF!"</definedName>
    <definedName name="abfj150_12">"$#REF!.$#REF!$#REF!"</definedName>
    <definedName name="abfj150_13">"$#REF!.$#REF!$#REF!"</definedName>
    <definedName name="abfj150_5">"$#REF!.$#REF!$#REF!"</definedName>
    <definedName name="abfj150_7">"$#REF!.$#REF!$#REF!"</definedName>
    <definedName name="abfj150_8">"$#REF!.$#REF!$#REF!"</definedName>
    <definedName name="abfj40_10">"$#REF!.$#REF!$#REF!"</definedName>
    <definedName name="abfj40_12">"$#REF!.$#REF!$#REF!"</definedName>
    <definedName name="abfj40_13">"$#REF!.$#REF!$#REF!"</definedName>
    <definedName name="abfj40_5">"$#REF!.$#REF!$#REF!"</definedName>
    <definedName name="abfj40_7">"$#REF!.$#REF!$#REF!"</definedName>
    <definedName name="abfj40_8">"$#REF!.$#REF!$#REF!"</definedName>
    <definedName name="abfj50_10">"$#REF!.$#REF!$#REF!"</definedName>
    <definedName name="abfj50_12">"$#REF!.$#REF!$#REF!"</definedName>
    <definedName name="abfj50_13">"$#REF!.$#REF!$#REF!"</definedName>
    <definedName name="abfj50_5">"$#REF!.$#REF!$#REF!"</definedName>
    <definedName name="abfj50_7">"$#REF!.$#REF!$#REF!"</definedName>
    <definedName name="abfj50_8">"$#REF!.$#REF!$#REF!"</definedName>
    <definedName name="abfl40_10">"$#REF!.$#REF!$#REF!"</definedName>
    <definedName name="abfl40_12">"$#REF!.$#REF!$#REF!"</definedName>
    <definedName name="abfl40_13">"$#REF!.$#REF!$#REF!"</definedName>
    <definedName name="abfl40_5">"$#REF!.$#REF!$#REF!"</definedName>
    <definedName name="abfl40_7">"$#REF!.$#REF!$#REF!"</definedName>
    <definedName name="abfl40_8">"$#REF!.$#REF!$#REF!"</definedName>
    <definedName name="abft100_10">"$#REF!.$#REF!$#REF!"</definedName>
    <definedName name="abft100_12">"$#REF!.$#REF!$#REF!"</definedName>
    <definedName name="abft100_13">"$#REF!.$#REF!$#REF!"</definedName>
    <definedName name="abft100_5">"$#REF!.$#REF!$#REF!"</definedName>
    <definedName name="abft100_7">"$#REF!.$#REF!$#REF!"</definedName>
    <definedName name="abft100_8">"$#REF!.$#REF!$#REF!"</definedName>
    <definedName name="abft150_10">"$#REF!.$#REF!$#REF!"</definedName>
    <definedName name="abft150_12">"$#REF!.$#REF!$#REF!"</definedName>
    <definedName name="abft150_13">"$#REF!.$#REF!$#REF!"</definedName>
    <definedName name="abft150_5">"$#REF!.$#REF!$#REF!"</definedName>
    <definedName name="abft150_7">"$#REF!.$#REF!$#REF!"</definedName>
    <definedName name="abft150_8">"$#REF!.$#REF!$#REF!"</definedName>
    <definedName name="abft50_10">"$#REF!.$#REF!$#REF!"</definedName>
    <definedName name="abft50_12">"$#REF!.$#REF!$#REF!"</definedName>
    <definedName name="abft50_13">"$#REF!.$#REF!$#REF!"</definedName>
    <definedName name="abft50_5">"$#REF!.$#REF!$#REF!"</definedName>
    <definedName name="abft50_7">"$#REF!.$#REF!$#REF!"</definedName>
    <definedName name="abft50_8">"$#REF!.$#REF!$#REF!"</definedName>
    <definedName name="abfv100_10">"$#REF!.$#REF!$#REF!"</definedName>
    <definedName name="abfv100_12">"$#REF!.$#REF!$#REF!"</definedName>
    <definedName name="abfv100_13">"$#REF!.$#REF!$#REF!"</definedName>
    <definedName name="abfv100_5">"$#REF!.$#REF!$#REF!"</definedName>
    <definedName name="abfv100_7">"$#REF!.$#REF!$#REF!"</definedName>
    <definedName name="abfv100_8">"$#REF!.$#REF!$#REF!"</definedName>
    <definedName name="abfv150_10">"$#REF!.$#REF!$#REF!"</definedName>
    <definedName name="abfv150_12">"$#REF!.$#REF!$#REF!"</definedName>
    <definedName name="abfv150_13">"$#REF!.$#REF!$#REF!"</definedName>
    <definedName name="abfv150_5">"$#REF!.$#REF!$#REF!"</definedName>
    <definedName name="abfv150_7">"$#REF!.$#REF!$#REF!"</definedName>
    <definedName name="abfv150_8">"$#REF!.$#REF!$#REF!"</definedName>
    <definedName name="abfv50_10">"$#REF!.$#REF!$#REF!"</definedName>
    <definedName name="abfv50_12">"$#REF!.$#REF!$#REF!"</definedName>
    <definedName name="abfv50_13">"$#REF!.$#REF!$#REF!"</definedName>
    <definedName name="abfv50_5">"$#REF!.$#REF!$#REF!"</definedName>
    <definedName name="abfv50_7">"$#REF!.$#REF!$#REF!"</definedName>
    <definedName name="abfv50_8">"$#REF!.$#REF!$#REF!"</definedName>
    <definedName name="abfv80_10">"$#REF!.$#REF!$#REF!"</definedName>
    <definedName name="abfv80_12">"$#REF!.$#REF!$#REF!"</definedName>
    <definedName name="abfv80_13">"$#REF!.$#REF!$#REF!"</definedName>
    <definedName name="abfv80_5">"$#REF!.$#REF!$#REF!"</definedName>
    <definedName name="abfv80_7">"$#REF!.$#REF!$#REF!"</definedName>
    <definedName name="abfv80_8">"$#REF!.$#REF!$#REF!"</definedName>
    <definedName name="abgv100_10">"$#REF!.$#REF!$#REF!"</definedName>
    <definedName name="abgv100_12">"$#REF!.$#REF!$#REF!"</definedName>
    <definedName name="abgv100_13">"$#REF!.$#REF!$#REF!"</definedName>
    <definedName name="abgv100_5">"$#REF!.$#REF!$#REF!"</definedName>
    <definedName name="abgv100_7">"$#REF!.$#REF!$#REF!"</definedName>
    <definedName name="abgv100_8">"$#REF!.$#REF!$#REF!"</definedName>
    <definedName name="abgv150_10">"$#REF!.$#REF!$#REF!"</definedName>
    <definedName name="abgv150_12">"$#REF!.$#REF!$#REF!"</definedName>
    <definedName name="abgv150_13">"$#REF!.$#REF!$#REF!"</definedName>
    <definedName name="abgv150_5">"$#REF!.$#REF!$#REF!"</definedName>
    <definedName name="abgv150_7">"$#REF!.$#REF!$#REF!"</definedName>
    <definedName name="abgv150_8">"$#REF!.$#REF!$#REF!"</definedName>
    <definedName name="abgv20_10">"$#REF!.$#REF!$#REF!"</definedName>
    <definedName name="abgv20_12">"$#REF!.$#REF!$#REF!"</definedName>
    <definedName name="abgv20_13">"$#REF!.$#REF!$#REF!"</definedName>
    <definedName name="abgv20_5">"$#REF!.$#REF!$#REF!"</definedName>
    <definedName name="abgv20_7">"$#REF!.$#REF!$#REF!"</definedName>
    <definedName name="abgv20_8">"$#REF!.$#REF!$#REF!"</definedName>
    <definedName name="abgv32_10">"$#REF!.$#REF!$#REF!"</definedName>
    <definedName name="abgv32_12">"$#REF!.$#REF!$#REF!"</definedName>
    <definedName name="abgv32_13">"$#REF!.$#REF!$#REF!"</definedName>
    <definedName name="abgv32_5">"$#REF!.$#REF!$#REF!"</definedName>
    <definedName name="abgv32_7">"$#REF!.$#REF!$#REF!"</definedName>
    <definedName name="abgv32_8">"$#REF!.$#REF!$#REF!"</definedName>
    <definedName name="abgv40_10">"$#REF!.$#REF!$#REF!"</definedName>
    <definedName name="abgv40_12">"$#REF!.$#REF!$#REF!"</definedName>
    <definedName name="abgv40_13">"$#REF!.$#REF!$#REF!"</definedName>
    <definedName name="abgv40_5">"$#REF!.$#REF!$#REF!"</definedName>
    <definedName name="abgv40_7">"$#REF!.$#REF!$#REF!"</definedName>
    <definedName name="abgv40_8">"$#REF!.$#REF!$#REF!"</definedName>
    <definedName name="abgv50_10">"$#REF!.$#REF!$#REF!"</definedName>
    <definedName name="abgv50_12">"$#REF!.$#REF!$#REF!"</definedName>
    <definedName name="abgv50_13">"$#REF!.$#REF!$#REF!"</definedName>
    <definedName name="abgv50_5">"$#REF!.$#REF!$#REF!"</definedName>
    <definedName name="abgv50_7">"$#REF!.$#REF!$#REF!"</definedName>
    <definedName name="abgv50_8">"$#REF!.$#REF!$#REF!"</definedName>
    <definedName name="abka15_10">"$#REF!.$#REF!$#REF!"</definedName>
    <definedName name="abka15_12">"$#REF!.$#REF!$#REF!"</definedName>
    <definedName name="abka15_13">"$#REF!.$#REF!$#REF!"</definedName>
    <definedName name="abka15_5">"$#REF!.$#REF!$#REF!"</definedName>
    <definedName name="abka15_7">"$#REF!.$#REF!$#REF!"</definedName>
    <definedName name="abka15_8">"$#REF!.$#REF!$#REF!"</definedName>
    <definedName name="abpg_10">"$#REF!.$#REF!$#REF!"</definedName>
    <definedName name="abpg_12">"$#REF!.$#REF!$#REF!"</definedName>
    <definedName name="abpg_13">"$#REF!.$#REF!$#REF!"</definedName>
    <definedName name="abpg_5">"$#REF!.$#REF!$#REF!"</definedName>
    <definedName name="abpg_7">"$#REF!.$#REF!$#REF!"</definedName>
    <definedName name="abpg_8">"$#REF!.$#REF!$#REF!"</definedName>
    <definedName name="abs100_10">"$#REF!.$#REF!$#REF!"</definedName>
    <definedName name="abs100_12">"$#REF!.$#REF!$#REF!"</definedName>
    <definedName name="abs100_13">"$#REF!.$#REF!$#REF!"</definedName>
    <definedName name="abs100_5">"$#REF!.$#REF!$#REF!"</definedName>
    <definedName name="abs100_7">"$#REF!.$#REF!$#REF!"</definedName>
    <definedName name="abs100_8">"$#REF!.$#REF!$#REF!"</definedName>
    <definedName name="abwl_10">"$#REF!.$#REF!$#REF!"</definedName>
    <definedName name="abwl_12">"$#REF!.$#REF!$#REF!"</definedName>
    <definedName name="abwl_13">"$#REF!.$#REF!$#REF!"</definedName>
    <definedName name="abwl_5">"$#REF!.$#REF!$#REF!"</definedName>
    <definedName name="abwl_7">"$#REF!.$#REF!$#REF!"</definedName>
    <definedName name="abwl_8">"$#REF!.$#REF!$#REF!"</definedName>
    <definedName name="ADD1___0">NA()</definedName>
    <definedName name="ADD1___1">NA()</definedName>
    <definedName name="ADD1___2">NA()</definedName>
    <definedName name="ADD1___3">NA()</definedName>
    <definedName name="ADD1___4">NA()</definedName>
    <definedName name="ADD1___5">NA()</definedName>
    <definedName name="ADD1___7">NA()</definedName>
    <definedName name="ADD2___0">NA()</definedName>
    <definedName name="ADD2___1">NA()</definedName>
    <definedName name="ADD2___2">NA()</definedName>
    <definedName name="ADD2___3">NA()</definedName>
    <definedName name="ADD2___4">NA()</definedName>
    <definedName name="ADD2___5">NA()</definedName>
    <definedName name="ADD2___7">NA()</definedName>
    <definedName name="ADD3___0">NA()</definedName>
    <definedName name="ADD3___1">NA()</definedName>
    <definedName name="ADD3___2">NA()</definedName>
    <definedName name="ADD3___3">NA()</definedName>
    <definedName name="ADD3___4">NA()</definedName>
    <definedName name="ADD3___5">NA()</definedName>
    <definedName name="ADD3___7">NA()</definedName>
    <definedName name="ADDR" localSheetId="5">HAJIME:OWARI</definedName>
    <definedName name="ADDR" localSheetId="15">[8]!HAJIME:[8]!OWARI</definedName>
    <definedName name="ADDR" localSheetId="13">HAJIME:OWARI</definedName>
    <definedName name="ADDR" localSheetId="10">HAJIME:OWARI</definedName>
    <definedName name="ADDR" localSheetId="2">HAJIME:OWARI</definedName>
    <definedName name="ADDR" localSheetId="8">HAJIME:OWARI</definedName>
    <definedName name="ADDR" localSheetId="27">'TABEL BAJA'!HAJIME:'TABEL BAJA'!OWARI</definedName>
    <definedName name="ADDR">HAJIME:OWARI</definedName>
    <definedName name="ADDR___0">NA()</definedName>
    <definedName name="ADDR___1">NA()</definedName>
    <definedName name="ADDR___2">NA()</definedName>
    <definedName name="ADDR___3">NA()</definedName>
    <definedName name="ADDR___4">NA()</definedName>
    <definedName name="ADDR___5">NA()</definedName>
    <definedName name="ADDR___7">NA()</definedName>
    <definedName name="adnan" localSheetId="9">STOP:STOPE</definedName>
    <definedName name="adnan" localSheetId="5">STOP:STOPE</definedName>
    <definedName name="adnan" localSheetId="15">STOP:STOPE</definedName>
    <definedName name="adnan" localSheetId="13">STOP:STOPE</definedName>
    <definedName name="adnan" localSheetId="10">STOP:STOPE</definedName>
    <definedName name="adnan" localSheetId="2">STOP:STOPE</definedName>
    <definedName name="adnan" localSheetId="11">STOP:STOPE</definedName>
    <definedName name="adnan" localSheetId="8">STOP:STOPE</definedName>
    <definedName name="adnan" localSheetId="27">STOP:STOPE</definedName>
    <definedName name="adnan">STOP:STOPE</definedName>
    <definedName name="adnan___0">NA()</definedName>
    <definedName name="adnan___1">NA()</definedName>
    <definedName name="adnan___2">NA()</definedName>
    <definedName name="agung" localSheetId="5" hidden="1">{#N/A,#N/A,FALSE,"Chi tiÆt"}</definedName>
    <definedName name="agung" localSheetId="15" hidden="1">{#N/A,#N/A,FALSE,"Chi tiÆt"}</definedName>
    <definedName name="agung" localSheetId="13" hidden="1">{#N/A,#N/A,FALSE,"Chi tiÆt"}</definedName>
    <definedName name="agung" localSheetId="2" hidden="1">{#N/A,#N/A,FALSE,"Chi tiÆt"}</definedName>
    <definedName name="agung" localSheetId="8" hidden="1">{#N/A,#N/A,FALSE,"Chi tiÆt"}</definedName>
    <definedName name="agung" localSheetId="27" hidden="1">{#N/A,#N/A,FALSE,"Chi tiÆt"}</definedName>
    <definedName name="agung" hidden="1">{#N/A,#N/A,FALSE,"Chi tiÆt"}</definedName>
    <definedName name="agung_2" localSheetId="5" hidden="1">{#N/A,#N/A,FALSE,"Chi tiÆt"}</definedName>
    <definedName name="agung_2" localSheetId="15" hidden="1">{#N/A,#N/A,FALSE,"Chi tiÆt"}</definedName>
    <definedName name="agung_2" localSheetId="13" hidden="1">{#N/A,#N/A,FALSE,"Chi tiÆt"}</definedName>
    <definedName name="agung_2" localSheetId="2" hidden="1">{#N/A,#N/A,FALSE,"Chi tiÆt"}</definedName>
    <definedName name="agung_2" localSheetId="8" hidden="1">{#N/A,#N/A,FALSE,"Chi tiÆt"}</definedName>
    <definedName name="agung_2" localSheetId="27" hidden="1">{#N/A,#N/A,FALSE,"Chi tiÆt"}</definedName>
    <definedName name="agung_2" hidden="1">{#N/A,#N/A,FALSE,"Chi tiÆt"}</definedName>
    <definedName name="agung_3" localSheetId="5" hidden="1">{#N/A,#N/A,FALSE,"Chi tiÆt"}</definedName>
    <definedName name="agung_3" localSheetId="15" hidden="1">{#N/A,#N/A,FALSE,"Chi tiÆt"}</definedName>
    <definedName name="agung_3" localSheetId="13" hidden="1">{#N/A,#N/A,FALSE,"Chi tiÆt"}</definedName>
    <definedName name="agung_3" localSheetId="2" hidden="1">{#N/A,#N/A,FALSE,"Chi tiÆt"}</definedName>
    <definedName name="agung_3" localSheetId="8" hidden="1">{#N/A,#N/A,FALSE,"Chi tiÆt"}</definedName>
    <definedName name="agung_3" localSheetId="27" hidden="1">{#N/A,#N/A,FALSE,"Chi tiÆt"}</definedName>
    <definedName name="agung_3" hidden="1">{#N/A,#N/A,FALSE,"Chi tiÆt"}</definedName>
    <definedName name="agung_4" localSheetId="5" hidden="1">{#N/A,#N/A,FALSE,"Chi tiÆt"}</definedName>
    <definedName name="agung_4" localSheetId="15" hidden="1">{#N/A,#N/A,FALSE,"Chi tiÆt"}</definedName>
    <definedName name="agung_4" localSheetId="13" hidden="1">{#N/A,#N/A,FALSE,"Chi tiÆt"}</definedName>
    <definedName name="agung_4" localSheetId="2" hidden="1">{#N/A,#N/A,FALSE,"Chi tiÆt"}</definedName>
    <definedName name="agung_4" localSheetId="8" hidden="1">{#N/A,#N/A,FALSE,"Chi tiÆt"}</definedName>
    <definedName name="agung_4" localSheetId="27" hidden="1">{#N/A,#N/A,FALSE,"Chi tiÆt"}</definedName>
    <definedName name="agung_4" hidden="1">{#N/A,#N/A,FALSE,"Chi tiÆt"}</definedName>
    <definedName name="agung_5" localSheetId="5" hidden="1">{#N/A,#N/A,FALSE,"Chi tiÆt"}</definedName>
    <definedName name="agung_5" localSheetId="15" hidden="1">{#N/A,#N/A,FALSE,"Chi tiÆt"}</definedName>
    <definedName name="agung_5" localSheetId="13" hidden="1">{#N/A,#N/A,FALSE,"Chi tiÆt"}</definedName>
    <definedName name="agung_5" localSheetId="2" hidden="1">{#N/A,#N/A,FALSE,"Chi tiÆt"}</definedName>
    <definedName name="agung_5" localSheetId="8" hidden="1">{#N/A,#N/A,FALSE,"Chi tiÆt"}</definedName>
    <definedName name="agung_5" localSheetId="27" hidden="1">{#N/A,#N/A,FALSE,"Chi tiÆt"}</definedName>
    <definedName name="agung_5" hidden="1">{#N/A,#N/A,FALSE,"Chi tiÆt"}</definedName>
    <definedName name="ahrd100_10">"$#REF!.$#REF!$#REF!"</definedName>
    <definedName name="ahrd100_12">"$#REF!.$#REF!$#REF!"</definedName>
    <definedName name="ahrd100_13">"$#REF!.$#REF!$#REF!"</definedName>
    <definedName name="ahrd100_5">"$#REF!.$#REF!$#REF!"</definedName>
    <definedName name="ahrd100_7">"$#REF!.$#REF!$#REF!"</definedName>
    <definedName name="ahrd100_8">"$#REF!.$#REF!$#REF!"</definedName>
    <definedName name="ahrd150_10">"$#REF!.$#REF!$#REF!"</definedName>
    <definedName name="ahrd150_12">"$#REF!.$#REF!$#REF!"</definedName>
    <definedName name="ahrd150_13">"$#REF!.$#REF!$#REF!"</definedName>
    <definedName name="ahrd150_5">"$#REF!.$#REF!$#REF!"</definedName>
    <definedName name="ahrd150_7">"$#REF!.$#REF!$#REF!"</definedName>
    <definedName name="ahrd150_8">"$#REF!.$#REF!$#REF!"</definedName>
    <definedName name="ahu100_10">"$#REF!.$#REF!$#REF!"</definedName>
    <definedName name="ahu100_12">"$#REF!.$#REF!$#REF!"</definedName>
    <definedName name="ahu100_13">"$#REF!.$#REF!$#REF!"</definedName>
    <definedName name="ahu100_5">"$#REF!.$#REF!$#REF!"</definedName>
    <definedName name="ahu100_7">"$#REF!.$#REF!$#REF!"</definedName>
    <definedName name="ahu100_8">"$#REF!.$#REF!$#REF!"</definedName>
    <definedName name="ahu150_10">"$#REF!.$#REF!$#REF!"</definedName>
    <definedName name="ahu150_12">"$#REF!.$#REF!$#REF!"</definedName>
    <definedName name="ahu150_13">"$#REF!.$#REF!$#REF!"</definedName>
    <definedName name="ahu150_5">"$#REF!.$#REF!$#REF!"</definedName>
    <definedName name="ahu150_7">"$#REF!.$#REF!$#REF!"</definedName>
    <definedName name="ahu150_8">"$#REF!.$#REF!$#REF!"</definedName>
    <definedName name="ahuf100_10">"$#REF!.$#REF!$#REF!"</definedName>
    <definedName name="ahuf100_12">"$#REF!.$#REF!$#REF!"</definedName>
    <definedName name="ahuf100_13">"$#REF!.$#REF!$#REF!"</definedName>
    <definedName name="ahuf100_5">"$#REF!.$#REF!$#REF!"</definedName>
    <definedName name="ahuf100_7">"$#REF!.$#REF!$#REF!"</definedName>
    <definedName name="ahuf100_8">"$#REF!.$#REF!$#REF!"</definedName>
    <definedName name="ahuf150_10">"$#REF!.$#REF!$#REF!"</definedName>
    <definedName name="ahuf150_12">"$#REF!.$#REF!$#REF!"</definedName>
    <definedName name="ahuf150_13">"$#REF!.$#REF!$#REF!"</definedName>
    <definedName name="ahuf150_5">"$#REF!.$#REF!$#REF!"</definedName>
    <definedName name="ahuf150_7">"$#REF!.$#REF!$#REF!"</definedName>
    <definedName name="ahuf150_8">"$#REF!.$#REF!$#REF!"</definedName>
    <definedName name="ahuf150ahuf150_10">"$#REF!.$#REF!$#REF!"</definedName>
    <definedName name="ahuf150ahuf150_12">"$#REF!.$#REF!$#REF!"</definedName>
    <definedName name="ahuf150ahuf150_13">"$#REF!.$#REF!$#REF!"</definedName>
    <definedName name="ahuf150ahuf150_5">"$#REF!.$#REF!$#REF!"</definedName>
    <definedName name="ahuf150ahuf150_7">"$#REF!.$#REF!$#REF!"</definedName>
    <definedName name="ahuf150ahuf150_8">"$#REF!.$#REF!$#REF!"</definedName>
    <definedName name="ajunk" localSheetId="15" hidden="1">#REF!</definedName>
    <definedName name="ajunk" localSheetId="2" hidden="1">#REF!</definedName>
    <definedName name="ajunk" localSheetId="8" hidden="1">#REF!</definedName>
    <definedName name="ajunk" localSheetId="27" hidden="1">#REF!</definedName>
    <definedName name="ajunk" hidden="1">#REF!</definedName>
    <definedName name="akco100_10">"$#REF!.$#REF!$#REF!"</definedName>
    <definedName name="akco100_12">"$#REF!.$#REF!$#REF!"</definedName>
    <definedName name="akco100_13">"$#REF!.$#REF!$#REF!"</definedName>
    <definedName name="akco100_5">"$#REF!.$#REF!$#REF!"</definedName>
    <definedName name="akco100_7">"$#REF!.$#REF!$#REF!"</definedName>
    <definedName name="akco100_8">"$#REF!.$#REF!$#REF!"</definedName>
    <definedName name="akco150_10">"$#REF!.$#REF!$#REF!"</definedName>
    <definedName name="akco150_12">"$#REF!.$#REF!$#REF!"</definedName>
    <definedName name="akco150_13">"$#REF!.$#REF!$#REF!"</definedName>
    <definedName name="akco150_5">"$#REF!.$#REF!$#REF!"</definedName>
    <definedName name="akco150_7">"$#REF!.$#REF!$#REF!"</definedName>
    <definedName name="akco150_8">"$#REF!.$#REF!$#REF!"</definedName>
    <definedName name="akco80_10">"$#REF!.$#REF!$#REF!"</definedName>
    <definedName name="akco80_12">"$#REF!.$#REF!$#REF!"</definedName>
    <definedName name="akco80_13">"$#REF!.$#REF!$#REF!"</definedName>
    <definedName name="akco80_5">"$#REF!.$#REF!$#REF!"</definedName>
    <definedName name="akco80_7">"$#REF!.$#REF!$#REF!"</definedName>
    <definedName name="akco80_8">"$#REF!.$#REF!$#REF!"</definedName>
    <definedName name="akfd50_10">"$#REF!.$#REF!$#REF!"</definedName>
    <definedName name="akfd50_12">"$#REF!.$#REF!$#REF!"</definedName>
    <definedName name="akfd50_13">"$#REF!.$#REF!$#REF!"</definedName>
    <definedName name="akfd50_5">"$#REF!.$#REF!$#REF!"</definedName>
    <definedName name="akfd50_7">"$#REF!.$#REF!$#REF!"</definedName>
    <definedName name="akfd50_8">"$#REF!.$#REF!$#REF!"</definedName>
    <definedName name="akfj100_10">"$#REF!.$#REF!$#REF!"</definedName>
    <definedName name="akfj100_12">"$#REF!.$#REF!$#REF!"</definedName>
    <definedName name="akfj100_13">"$#REF!.$#REF!$#REF!"</definedName>
    <definedName name="akfj100_5">"$#REF!.$#REF!$#REF!"</definedName>
    <definedName name="akfj100_7">"$#REF!.$#REF!$#REF!"</definedName>
    <definedName name="akfj100_8">"$#REF!.$#REF!$#REF!"</definedName>
    <definedName name="akgv100_10">"$#REF!.$#REF!$#REF!"</definedName>
    <definedName name="akgv100_12">"$#REF!.$#REF!$#REF!"</definedName>
    <definedName name="akgv100_13">"$#REF!.$#REF!$#REF!"</definedName>
    <definedName name="akgv100_5">"$#REF!.$#REF!$#REF!"</definedName>
    <definedName name="akgv100_7">"$#REF!.$#REF!$#REF!"</definedName>
    <definedName name="akgv100_8">"$#REF!.$#REF!$#REF!"</definedName>
    <definedName name="akgv80_10">"$#REF!.$#REF!$#REF!"</definedName>
    <definedName name="akgv80_12">"$#REF!.$#REF!$#REF!"</definedName>
    <definedName name="akgv80_13">"$#REF!.$#REF!$#REF!"</definedName>
    <definedName name="akgv80_5">"$#REF!.$#REF!$#REF!"</definedName>
    <definedName name="akgv80_7">"$#REF!.$#REF!$#REF!"</definedName>
    <definedName name="akgv80_8">"$#REF!.$#REF!$#REF!"</definedName>
    <definedName name="ako100_10">"$#REF!.$#REF!$#REF!"</definedName>
    <definedName name="ako100_12">"$#REF!.$#REF!$#REF!"</definedName>
    <definedName name="ako100_13">"$#REF!.$#REF!$#REF!"</definedName>
    <definedName name="ako100_5">"$#REF!.$#REF!$#REF!"</definedName>
    <definedName name="ako100_7">"$#REF!.$#REF!$#REF!"</definedName>
    <definedName name="ako100_8">"$#REF!.$#REF!$#REF!"</definedName>
    <definedName name="ako150_10">"$#REF!.$#REF!$#REF!"</definedName>
    <definedName name="ako150_12">"$#REF!.$#REF!$#REF!"</definedName>
    <definedName name="ako150_13">"$#REF!.$#REF!$#REF!"</definedName>
    <definedName name="ako150_5">"$#REF!.$#REF!$#REF!"</definedName>
    <definedName name="ako150_7">"$#REF!.$#REF!$#REF!"</definedName>
    <definedName name="ako150_8">"$#REF!.$#REF!$#REF!"</definedName>
    <definedName name="ako50_10">"$#REF!.$#REF!$#REF!"</definedName>
    <definedName name="ako50_12">"$#REF!.$#REF!$#REF!"</definedName>
    <definedName name="ako50_13">"$#REF!.$#REF!$#REF!"</definedName>
    <definedName name="ako50_5">"$#REF!.$#REF!$#REF!"</definedName>
    <definedName name="ako50_7">"$#REF!.$#REF!$#REF!"</definedName>
    <definedName name="ako50_8">"$#REF!.$#REF!$#REF!"</definedName>
    <definedName name="ako80_10">"$#REF!.$#REF!$#REF!"</definedName>
    <definedName name="ako80_12">"$#REF!.$#REF!$#REF!"</definedName>
    <definedName name="ako80_13">"$#REF!.$#REF!$#REF!"</definedName>
    <definedName name="ako80_5">"$#REF!.$#REF!$#REF!"</definedName>
    <definedName name="ako80_7">"$#REF!.$#REF!$#REF!"</definedName>
    <definedName name="ako80_8">"$#REF!.$#REF!$#REF!"</definedName>
    <definedName name="akof100_10">"$#REF!.$#REF!$#REF!"</definedName>
    <definedName name="akof100_12">"$#REF!.$#REF!$#REF!"</definedName>
    <definedName name="akof100_13">"$#REF!.$#REF!$#REF!"</definedName>
    <definedName name="akof100_5">"$#REF!.$#REF!$#REF!"</definedName>
    <definedName name="akof100_7">"$#REF!.$#REF!$#REF!"</definedName>
    <definedName name="akof100_8">"$#REF!.$#REF!$#REF!"</definedName>
    <definedName name="akof150_10">"$#REF!.$#REF!$#REF!"</definedName>
    <definedName name="akof150_12">"$#REF!.$#REF!$#REF!"</definedName>
    <definedName name="akof150_13">"$#REF!.$#REF!$#REF!"</definedName>
    <definedName name="akof150_5">"$#REF!.$#REF!$#REF!"</definedName>
    <definedName name="akof150_7">"$#REF!.$#REF!$#REF!"</definedName>
    <definedName name="akof150_8">"$#REF!.$#REF!$#REF!"</definedName>
    <definedName name="akof4_10">"$#REF!.$#REF!$#REF!"</definedName>
    <definedName name="akof4_12">"$#REF!.$#REF!$#REF!"</definedName>
    <definedName name="akof4_13">"$#REF!.$#REF!$#REF!"</definedName>
    <definedName name="akof4_5">"$#REF!.$#REF!$#REF!"</definedName>
    <definedName name="akof4_7">"$#REF!.$#REF!$#REF!"</definedName>
    <definedName name="akof4_8">"$#REF!.$#REF!$#REF!"</definedName>
    <definedName name="akof6_10">"$#REF!.$#REF!$#REF!"</definedName>
    <definedName name="akof6_12">"$#REF!.$#REF!$#REF!"</definedName>
    <definedName name="akof6_13">"$#REF!.$#REF!$#REF!"</definedName>
    <definedName name="akof6_5">"$#REF!.$#REF!$#REF!"</definedName>
    <definedName name="akof6_7">"$#REF!.$#REF!$#REF!"</definedName>
    <definedName name="akof6_8">"$#REF!.$#REF!$#REF!"</definedName>
    <definedName name="akof80_10">"$#REF!.$#REF!$#REF!"</definedName>
    <definedName name="akof80_12">"$#REF!.$#REF!$#REF!"</definedName>
    <definedName name="akof80_13">"$#REF!.$#REF!$#REF!"</definedName>
    <definedName name="akof80_5">"$#REF!.$#REF!$#REF!"</definedName>
    <definedName name="akof80_7">"$#REF!.$#REF!$#REF!"</definedName>
    <definedName name="akof80_8">"$#REF!.$#REF!$#REF!"</definedName>
    <definedName name="akofl80_10">"$#REF!.$#REF!$#REF!"</definedName>
    <definedName name="akofl80_12">"$#REF!.$#REF!$#REF!"</definedName>
    <definedName name="akofl80_13">"$#REF!.$#REF!$#REF!"</definedName>
    <definedName name="akofl80_5">"$#REF!.$#REF!$#REF!"</definedName>
    <definedName name="akofl80_7">"$#REF!.$#REF!$#REF!"</definedName>
    <definedName name="akofl80_8">"$#REF!.$#REF!$#REF!"</definedName>
    <definedName name="akogv100_10">"$#REF!.$#REF!$#REF!"</definedName>
    <definedName name="akogv100_12">"$#REF!.$#REF!$#REF!"</definedName>
    <definedName name="akogv100_13">"$#REF!.$#REF!$#REF!"</definedName>
    <definedName name="akogv100_5">"$#REF!.$#REF!$#REF!"</definedName>
    <definedName name="akogv100_7">"$#REF!.$#REF!$#REF!"</definedName>
    <definedName name="akogv100_8">"$#REF!.$#REF!$#REF!"</definedName>
    <definedName name="akogv80_10">"$#REF!.$#REF!$#REF!"</definedName>
    <definedName name="akogv80_12">"$#REF!.$#REF!$#REF!"</definedName>
    <definedName name="akogv80_13">"$#REF!.$#REF!$#REF!"</definedName>
    <definedName name="akogv80_5">"$#REF!.$#REF!$#REF!"</definedName>
    <definedName name="akogv80_7">"$#REF!.$#REF!$#REF!"</definedName>
    <definedName name="akogv80_8">"$#REF!.$#REF!$#REF!"</definedName>
    <definedName name="AKU" localSheetId="9">STOP:STOPE</definedName>
    <definedName name="AKU" localSheetId="5">STOP:STOPE</definedName>
    <definedName name="AKU" localSheetId="15">STOP:STOPE</definedName>
    <definedName name="AKU" localSheetId="13">STOP:STOPE</definedName>
    <definedName name="AKU" localSheetId="10">STOP:STOPE</definedName>
    <definedName name="AKU" localSheetId="2">STOP:STOPE</definedName>
    <definedName name="AKU" localSheetId="11">STOP:STOPE</definedName>
    <definedName name="AKU" localSheetId="8">STOP:STOPE</definedName>
    <definedName name="AKU" localSheetId="27">STOP:STOPE</definedName>
    <definedName name="AKU">STOP:STOPE</definedName>
    <definedName name="AKU___0">NA()</definedName>
    <definedName name="AKU___1">NA()</definedName>
    <definedName name="AKU___2">NA()</definedName>
    <definedName name="aku100_10">"$#REF!.$#REF!$#REF!"</definedName>
    <definedName name="aku100_12">"$#REF!.$#REF!$#REF!"</definedName>
    <definedName name="aku100_13">"$#REF!.$#REF!$#REF!"</definedName>
    <definedName name="aku100_5">"$#REF!.$#REF!$#REF!"</definedName>
    <definedName name="aku100_7">"$#REF!.$#REF!$#REF!"</definedName>
    <definedName name="aku100_8">"$#REF!.$#REF!$#REF!"</definedName>
    <definedName name="aku150_10">"$#REF!.$#REF!$#REF!"</definedName>
    <definedName name="aku150_12">"$#REF!.$#REF!$#REF!"</definedName>
    <definedName name="aku150_13">"$#REF!.$#REF!$#REF!"</definedName>
    <definedName name="aku150_5">"$#REF!.$#REF!$#REF!"</definedName>
    <definedName name="aku150_7">"$#REF!.$#REF!$#REF!"</definedName>
    <definedName name="aku150_8">"$#REF!.$#REF!$#REF!"</definedName>
    <definedName name="alat" localSheetId="15">'Pas. Dinding'!alat</definedName>
    <definedName name="alat" localSheetId="27">'TABEL BAJA'!alat</definedName>
    <definedName name="alat">[9]!alat</definedName>
    <definedName name="All_Report1" localSheetId="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" localSheetId="2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" localSheetId="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" localSheetId="2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2" localSheetId="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2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2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2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2" localSheetId="2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3" localSheetId="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3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3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3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3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3" localSheetId="2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4" localSheetId="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4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4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4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4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4" localSheetId="2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5" localSheetId="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5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5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5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5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5" localSheetId="2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2" localSheetId="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2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2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2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2" localSheetId="2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3" localSheetId="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3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3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3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3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3" localSheetId="2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4" localSheetId="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4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4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4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4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4" localSheetId="2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5" localSheetId="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5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5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5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5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5" localSheetId="2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ooo" localSheetId="15">'Pas. Dinding'!alooo</definedName>
    <definedName name="alooo" localSheetId="27">'TABEL BAJA'!alooo</definedName>
    <definedName name="alooo">[9]!alooo</definedName>
    <definedName name="ANALIS" localSheetId="15" hidden="1">#REF!</definedName>
    <definedName name="ANALIS" localSheetId="2" hidden="1">#REF!</definedName>
    <definedName name="ANALIS" localSheetId="8" hidden="1">#REF!</definedName>
    <definedName name="ANALIS" localSheetId="27" hidden="1">#REF!</definedName>
    <definedName name="ANALIS" hidden="1">#REF!</definedName>
    <definedName name="ANALISA" localSheetId="15" hidden="1">#REF!</definedName>
    <definedName name="ANALISA" localSheetId="2" hidden="1">#REF!</definedName>
    <definedName name="ANALISA" localSheetId="8" hidden="1">#REF!</definedName>
    <definedName name="ANALISA" hidden="1">#REF!</definedName>
    <definedName name="APARTEMEN" localSheetId="5">HAJIME:OWARI</definedName>
    <definedName name="APARTEMEN" localSheetId="15">[8]!HAJIME:[8]!OWARI</definedName>
    <definedName name="APARTEMEN" localSheetId="13">HAJIME:OWARI</definedName>
    <definedName name="APARTEMEN" localSheetId="10">HAJIME:OWARI</definedName>
    <definedName name="APARTEMEN" localSheetId="2">HAJIME:OWARI</definedName>
    <definedName name="APARTEMEN" localSheetId="8">HAJIME:OWARI</definedName>
    <definedName name="APARTEMEN" localSheetId="27">'TABEL BAJA'!HAJIME:'TABEL BAJA'!OWARI</definedName>
    <definedName name="APARTEMEN">HAJIME:OWARI</definedName>
    <definedName name="APARTEMEN___0">NA()</definedName>
    <definedName name="APARTEMEN___2">NA()</definedName>
    <definedName name="App" localSheetId="15">'Pas. Dinding'!App</definedName>
    <definedName name="App" localSheetId="27">'TABEL BAJA'!App</definedName>
    <definedName name="App">[9]!App</definedName>
    <definedName name="aproval" localSheetId="15">'Pas. Dinding'!aproval</definedName>
    <definedName name="aproval" localSheetId="27">'TABEL BAJA'!aproval</definedName>
    <definedName name="aproval">[9]!aproval</definedName>
    <definedName name="arya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2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3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4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4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5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5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2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3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4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4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5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5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wer" localSheetId="15" hidden="1">#REF!</definedName>
    <definedName name="aswer" localSheetId="2" hidden="1">#REF!</definedName>
    <definedName name="aswer" localSheetId="8" hidden="1">#REF!</definedName>
    <definedName name="aswer" localSheetId="27" hidden="1">#REF!</definedName>
    <definedName name="aswer" hidden="1">#REF!</definedName>
    <definedName name="atest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2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3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4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4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5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5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WDSTRF" localSheetId="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" localSheetId="2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2" localSheetId="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2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2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2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2" localSheetId="2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3" localSheetId="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3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3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3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3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3" localSheetId="2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4" localSheetId="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4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4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4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4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4" localSheetId="2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5" localSheetId="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5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5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5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5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5" localSheetId="2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b" localSheetId="15" hidden="1">#REF!</definedName>
    <definedName name="b" localSheetId="2" hidden="1">#REF!</definedName>
    <definedName name="b" localSheetId="8" hidden="1">#REF!</definedName>
    <definedName name="b" localSheetId="27" hidden="1">#REF!</definedName>
    <definedName name="b" hidden="1">#REF!</definedName>
    <definedName name="bajao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2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3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4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4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5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5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sis" localSheetId="5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" localSheetId="15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" localSheetId="13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" localSheetId="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" localSheetId="8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" localSheetId="2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2" localSheetId="5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2" localSheetId="15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2" localSheetId="13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2" localSheetId="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2" localSheetId="8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2" localSheetId="2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3" localSheetId="5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3" localSheetId="15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3" localSheetId="13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3" localSheetId="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3" localSheetId="8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3" localSheetId="2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3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4" localSheetId="5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4" localSheetId="15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4" localSheetId="13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4" localSheetId="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4" localSheetId="8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4" localSheetId="2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4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5" localSheetId="5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5" localSheetId="15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5" localSheetId="13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5" localSheetId="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5" localSheetId="8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5" localSheetId="2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5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b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M___0">NA()</definedName>
    <definedName name="BBM___1">NA()</definedName>
    <definedName name="BBM___2">NA()</definedName>
    <definedName name="bdia6_10">"$#REF!.$#REF!$#REF!"</definedName>
    <definedName name="bdia6_12">"$#REF!.$#REF!$#REF!"</definedName>
    <definedName name="bdia6_13">"$#REF!.$#REF!$#REF!"</definedName>
    <definedName name="bdia6_5">"$#REF!.$#REF!$#REF!"</definedName>
    <definedName name="bdia6_7">"$#REF!.$#REF!$#REF!"</definedName>
    <definedName name="bdia6_8">"$#REF!.$#REF!$#REF!"</definedName>
    <definedName name="biaya" localSheetId="15">'Pas. Dinding'!biaya</definedName>
    <definedName name="biaya" localSheetId="27">'TABEL BAJA'!biaya</definedName>
    <definedName name="biaya">[9]!biaya</definedName>
    <definedName name="binjai.xls" localSheetId="15" hidden="1">[14]H.Satuan!#REF!</definedName>
    <definedName name="binjai.xls" localSheetId="2" hidden="1">[14]H.Satuan!#REF!</definedName>
    <definedName name="binjai.xls" localSheetId="8" hidden="1">[14]H.Satuan!#REF!</definedName>
    <definedName name="binjai.xls" localSheetId="27" hidden="1">[14]H.Satuan!#REF!</definedName>
    <definedName name="binjai.xls" hidden="1">[14]H.Satuan!#REF!</definedName>
    <definedName name="BJ_10">"$#REF!.$#REF!$#REF!"</definedName>
    <definedName name="BJ_12">"$#REF!.$#REF!$#REF!"</definedName>
    <definedName name="BJ_13">"$#REF!.$#REF!$#REF!"</definedName>
    <definedName name="BJ_5">"$#REF!.$#REF!$#REF!"</definedName>
    <definedName name="BJ_7">"$#REF!.$#REF!$#REF!"</definedName>
    <definedName name="BJ_8">"$#REF!.$#REF!$#REF!"</definedName>
    <definedName name="bl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2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3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4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4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5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5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2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3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4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4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5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5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mcb_10">"$#REF!.$#REF!$#REF!"</definedName>
    <definedName name="bmcb_12">"$#REF!.$#REF!$#REF!"</definedName>
    <definedName name="bmcb_13">"$#REF!.$#REF!$#REF!"</definedName>
    <definedName name="bmcb_5">"$#REF!.$#REF!$#REF!"</definedName>
    <definedName name="bmcb_7">"$#REF!.$#REF!$#REF!"</definedName>
    <definedName name="bmcb_8">"$#REF!.$#REF!$#REF!"</definedName>
    <definedName name="book" localSheetId="15">'Pas. Dinding'!book</definedName>
    <definedName name="book" localSheetId="27">'TABEL BAJA'!book</definedName>
    <definedName name="book">[9]!book</definedName>
    <definedName name="book2" localSheetId="15">'Pas. Dinding'!book2</definedName>
    <definedName name="book2" localSheetId="27">'TABEL BAJA'!book2</definedName>
    <definedName name="book2">[9]!book2</definedName>
    <definedName name="book3" localSheetId="15">'Pas. Dinding'!book3</definedName>
    <definedName name="book3" localSheetId="27">'TABEL BAJA'!book3</definedName>
    <definedName name="book3">[9]!book3</definedName>
    <definedName name="Brigdoun" localSheetId="5">{"Book1","RAB PASAR 30 AUG SCRAB.xls"}</definedName>
    <definedName name="Brigdoun" localSheetId="15">{"Book1","RAB PASAR 30 AUG SCRAB.xls"}</definedName>
    <definedName name="Brigdoun" localSheetId="13">{"Book1","RAB PASAR 30 AUG SCRAB.xls"}</definedName>
    <definedName name="Brigdoun" localSheetId="2">{"Book1","RAB PASAR 30 AUG SCRAB.xls"}</definedName>
    <definedName name="Brigdoun" localSheetId="8">{"Book1","RAB PASAR 30 AUG SCRAB.xls"}</definedName>
    <definedName name="Brigdoun" localSheetId="27">{"Book1","RAB PASAR 30 AUG SCRAB.xls"}</definedName>
    <definedName name="Brigdoun">{"Book1","RAB PASAR 30 AUG SCRAB.xls"}</definedName>
    <definedName name="BS_10">"$#REF!.$#REF!$#REF!"</definedName>
    <definedName name="BS_12">"$#REF!.$#REF!$#REF!"</definedName>
    <definedName name="BS_13">"$#REF!.$#REF!$#REF!"</definedName>
    <definedName name="BS_5">"$#REF!.$#REF!$#REF!"</definedName>
    <definedName name="BS_7">"$#REF!.$#REF!$#REF!"</definedName>
    <definedName name="BS_8">"$#REF!.$#REF!$#REF!"</definedName>
    <definedName name="bvd0.5_10">NA()</definedName>
    <definedName name="bvd0.5_12">NA()</definedName>
    <definedName name="bvd0.5_13">NA()</definedName>
    <definedName name="bvd0.5_5">NA()</definedName>
    <definedName name="bvd0.5_7">NA()</definedName>
    <definedName name="bvd0.5_8">NA()</definedName>
    <definedName name="bvd1.25_10">NA()</definedName>
    <definedName name="bvd1.25_12">NA()</definedName>
    <definedName name="bvd1.25_13">NA()</definedName>
    <definedName name="bvd1.25_5">NA()</definedName>
    <definedName name="bvd1.25_7">NA()</definedName>
    <definedName name="bvd1.25_8">NA()</definedName>
    <definedName name="bvd1.5_10">NA()</definedName>
    <definedName name="bvd1.5_12">NA()</definedName>
    <definedName name="bvd1.5_13">NA()</definedName>
    <definedName name="bvd1.5_5">NA()</definedName>
    <definedName name="bvd1.5_7">NA()</definedName>
    <definedName name="bvd1.5_8">NA()</definedName>
    <definedName name="cas80_10">"$#REF!.$#REF!$#REF!"</definedName>
    <definedName name="cas80_12">"$#REF!.$#REF!$#REF!"</definedName>
    <definedName name="cas80_13">"$#REF!.$#REF!$#REF!"</definedName>
    <definedName name="cas80_5">"$#REF!.$#REF!$#REF!"</definedName>
    <definedName name="cas80_7">"$#REF!.$#REF!$#REF!"</definedName>
    <definedName name="cas80_8">"$#REF!.$#REF!$#REF!"</definedName>
    <definedName name="casf80_10">"$#REF!.$#REF!$#REF!"</definedName>
    <definedName name="casf80_12">"$#REF!.$#REF!$#REF!"</definedName>
    <definedName name="casf80_13">"$#REF!.$#REF!$#REF!"</definedName>
    <definedName name="casf80_5">"$#REF!.$#REF!$#REF!"</definedName>
    <definedName name="casf80_7">"$#REF!.$#REF!$#REF!"</definedName>
    <definedName name="casf80_8">"$#REF!.$#REF!$#REF!"</definedName>
    <definedName name="CHAIN" localSheetId="15" hidden="1">#REF!</definedName>
    <definedName name="CHAIN" localSheetId="2" hidden="1">#REF!</definedName>
    <definedName name="CHAIN" localSheetId="8" hidden="1">#REF!</definedName>
    <definedName name="CHAIN" localSheetId="27" hidden="1">#REF!</definedName>
    <definedName name="CHAIN" hidden="1">#REF!</definedName>
    <definedName name="ClientState">"'file:///D:/Data/My Project/mmc.xls'#$'Fill this out first___'.$#REF!$#REF!"</definedName>
    <definedName name="ClientZip">"'file:///D:/Data/My Project/mmc.xls'#$'Fill this out first___'.$#REF!$#REF!"</definedName>
    <definedName name="CLVC3">0.1</definedName>
    <definedName name="coba" hidden="1">'[15]SITE-E'!$AI$33:$AI$144</definedName>
    <definedName name="Code" localSheetId="15" hidden="1">#REF!</definedName>
    <definedName name="Code" localSheetId="2" hidden="1">#REF!</definedName>
    <definedName name="Code" localSheetId="8" hidden="1">#REF!</definedName>
    <definedName name="Code" localSheetId="27" hidden="1">#REF!</definedName>
    <definedName name="Code" hidden="1">#REF!</definedName>
    <definedName name="d" localSheetId="15" hidden="1">#REF!</definedName>
    <definedName name="d" localSheetId="2" hidden="1">#REF!</definedName>
    <definedName name="d" localSheetId="8" hidden="1">#REF!</definedName>
    <definedName name="d" localSheetId="27" hidden="1">#REF!</definedName>
    <definedName name="d" hidden="1">#REF!</definedName>
    <definedName name="DAF" localSheetId="15" hidden="1">#REF!</definedName>
    <definedName name="DAF" localSheetId="2" hidden="1">#REF!</definedName>
    <definedName name="DAF" localSheetId="8" hidden="1">#REF!</definedName>
    <definedName name="DAF" hidden="1">#REF!</definedName>
    <definedName name="danan" localSheetId="5">HAJIME:OWARI</definedName>
    <definedName name="danan" localSheetId="15">[8]!HAJIME:[8]!OWARI</definedName>
    <definedName name="danan" localSheetId="13">HAJIME:OWARI</definedName>
    <definedName name="danan" localSheetId="10">HAJIME:OWARI</definedName>
    <definedName name="danan" localSheetId="2">HAJIME:OWARI</definedName>
    <definedName name="danan" localSheetId="8">HAJIME:OWARI</definedName>
    <definedName name="danan" localSheetId="27">'TABEL BAJA'!HAJIME:'TABEL BAJA'!OWARI</definedName>
    <definedName name="danan">HAJIME:OWARI</definedName>
    <definedName name="danan___0">NA()</definedName>
    <definedName name="danan___1">NA()</definedName>
    <definedName name="danan___2">NA()</definedName>
    <definedName name="data1" localSheetId="15" hidden="1">#REF!</definedName>
    <definedName name="data1" localSheetId="2" hidden="1">#REF!</definedName>
    <definedName name="data1" localSheetId="8" hidden="1">#REF!</definedName>
    <definedName name="data1" localSheetId="27" hidden="1">#REF!</definedName>
    <definedName name="data1" hidden="1">#REF!</definedName>
    <definedName name="data2" localSheetId="15" hidden="1">#REF!</definedName>
    <definedName name="data2" localSheetId="2" hidden="1">#REF!</definedName>
    <definedName name="data2" localSheetId="8" hidden="1">#REF!</definedName>
    <definedName name="data2" hidden="1">#REF!</definedName>
    <definedName name="data3" localSheetId="15" hidden="1">#REF!</definedName>
    <definedName name="data3" localSheetId="2" hidden="1">#REF!</definedName>
    <definedName name="data3" localSheetId="8" hidden="1">#REF!</definedName>
    <definedName name="data3" hidden="1">#REF!</definedName>
    <definedName name="dd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d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d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d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d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d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d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E" hidden="1">[16]DIV1!$G$25:$G$31</definedName>
    <definedName name="Demolish" hidden="1">#N/A</definedName>
    <definedName name="detib2100_10">"$#REF!.#REF!$#REF!"</definedName>
    <definedName name="detib2100_12">"$#REF!.#REF!$#REF!"</definedName>
    <definedName name="detib2100_13">"$#REF!.#REF!$#REF!"</definedName>
    <definedName name="detib2100_5">"$#REF!.#REF!$#REF!"</definedName>
    <definedName name="detib2100_7">"$#REF!.#REF!$#REF!"</definedName>
    <definedName name="detib2100_8">"$#REF!.#REF!$#REF!"</definedName>
    <definedName name="detib2120_10">"$#REF!.#REF!$#REF!"</definedName>
    <definedName name="detib2120_12">"$#REF!.#REF!$#REF!"</definedName>
    <definedName name="detib2120_13">"$#REF!.#REF!$#REF!"</definedName>
    <definedName name="detib2120_5">"$#REF!.#REF!$#REF!"</definedName>
    <definedName name="detib2120_7">"$#REF!.#REF!$#REF!"</definedName>
    <definedName name="detib2120_8">"$#REF!.#REF!$#REF!"</definedName>
    <definedName name="detib250_10">"$#REF!.#REF!$#REF!"</definedName>
    <definedName name="detib250_12">"$#REF!.#REF!$#REF!"</definedName>
    <definedName name="detib250_13">"$#REF!.#REF!$#REF!"</definedName>
    <definedName name="detib250_5">"$#REF!.#REF!$#REF!"</definedName>
    <definedName name="detib250_7">"$#REF!.#REF!$#REF!"</definedName>
    <definedName name="detib250_8">"$#REF!.#REF!$#REF!"</definedName>
    <definedName name="detib260_10">"$#REF!.#REF!$#REF!"</definedName>
    <definedName name="detib260_12">"$#REF!.#REF!$#REF!"</definedName>
    <definedName name="detib260_13">"$#REF!.#REF!$#REF!"</definedName>
    <definedName name="detib260_5">"$#REF!.#REF!$#REF!"</definedName>
    <definedName name="detib260_7">"$#REF!.#REF!$#REF!"</definedName>
    <definedName name="detib260_8">"$#REF!.#REF!$#REF!"</definedName>
    <definedName name="detib280_10">"$#REF!.#REF!$#REF!"</definedName>
    <definedName name="detib280_12">"$#REF!.#REF!$#REF!"</definedName>
    <definedName name="detib280_13">"$#REF!.#REF!$#REF!"</definedName>
    <definedName name="detib280_5">"$#REF!.#REF!$#REF!"</definedName>
    <definedName name="detib280_7">"$#REF!.#REF!$#REF!"</definedName>
    <definedName name="detib280_8">"$#REF!.#REF!$#REF!"</definedName>
    <definedName name="DI" localSheetId="5">HAJIME:OWARI</definedName>
    <definedName name="DI" localSheetId="15">[8]!HAJIME:[8]!OWARI</definedName>
    <definedName name="DI" localSheetId="13">HAJIME:OWARI</definedName>
    <definedName name="DI" localSheetId="10">HAJIME:OWARI</definedName>
    <definedName name="DI" localSheetId="2">HAJIME:OWARI</definedName>
    <definedName name="DI" localSheetId="8">HAJIME:OWARI</definedName>
    <definedName name="DI" localSheetId="27">'TABEL BAJA'!HAJIME:'TABEL BAJA'!OWARI</definedName>
    <definedName name="DI">HAJIME:OWARI</definedName>
    <definedName name="DI___0">NA()</definedName>
    <definedName name="DI___2">NA()</definedName>
    <definedName name="dia6_10">"$#REF!.$#REF!$#REF!"</definedName>
    <definedName name="dia6_12">"$#REF!.$#REF!$#REF!"</definedName>
    <definedName name="dia6_13">"$#REF!.$#REF!$#REF!"</definedName>
    <definedName name="dia6_5">"$#REF!.$#REF!$#REF!"</definedName>
    <definedName name="dia6_7">"$#REF!.$#REF!$#REF!"</definedName>
    <definedName name="dia6_8">"$#REF!.$#REF!$#REF!"</definedName>
    <definedName name="Discount" localSheetId="15" hidden="1">#REF!</definedName>
    <definedName name="Discount" localSheetId="2" hidden="1">#REF!</definedName>
    <definedName name="Discount" localSheetId="8" hidden="1">#REF!</definedName>
    <definedName name="Discount" localSheetId="27" hidden="1">#REF!</definedName>
    <definedName name="Discount" hidden="1">#REF!</definedName>
    <definedName name="display_area_2" localSheetId="15" hidden="1">#REF!</definedName>
    <definedName name="display_area_2" localSheetId="2" hidden="1">#REF!</definedName>
    <definedName name="display_area_2" localSheetId="8" hidden="1">#REF!</definedName>
    <definedName name="display_area_2" hidden="1">#REF!</definedName>
    <definedName name="dlpar38120_10">"$#REF!.$#REF!$#REF!"</definedName>
    <definedName name="dlpar38120_12">"$#REF!.$#REF!$#REF!"</definedName>
    <definedName name="dlpar38120_13">"$#REF!.$#REF!$#REF!"</definedName>
    <definedName name="dlpar38120_5">"$#REF!.$#REF!$#REF!"</definedName>
    <definedName name="dlpar38120_7">"$#REF!.$#REF!$#REF!"</definedName>
    <definedName name="dlpar38120_8">"$#REF!.$#REF!$#REF!"</definedName>
    <definedName name="dlplc13w_10">"$#REF!.$#REF!$#REF!"</definedName>
    <definedName name="dlplc13w_12">"$#REF!.$#REF!$#REF!"</definedName>
    <definedName name="dlplc13w_13">"$#REF!.$#REF!$#REF!"</definedName>
    <definedName name="dlplc13w_5">"$#REF!.$#REF!$#REF!"</definedName>
    <definedName name="dlplc13w_7">"$#REF!.$#REF!$#REF!"</definedName>
    <definedName name="dlplc13w_8">"$#REF!.$#REF!$#REF!"</definedName>
    <definedName name="dlplc13wbimc_10">"$#REF!.$#REF!$#REF!"</definedName>
    <definedName name="dlplc13wbimc_12">"$#REF!.$#REF!$#REF!"</definedName>
    <definedName name="dlplc13wbimc_13">"$#REF!.$#REF!$#REF!"</definedName>
    <definedName name="dlplc13wbimc_5">"$#REF!.$#REF!$#REF!"</definedName>
    <definedName name="dlplc13wbimc_7">"$#REF!.$#REF!$#REF!"</definedName>
    <definedName name="dlplc13wbimc_8">"$#REF!.$#REF!$#REF!"</definedName>
    <definedName name="Document_array" localSheetId="5">{"Book1","RAB PASAR 30 AUG SCRAB.xls"}</definedName>
    <definedName name="Document_array" localSheetId="15">{"Book1","RAB PASAR 30 AUG SCRAB.xls"}</definedName>
    <definedName name="Document_array" localSheetId="13">{"Book1","RAB PASAR 30 AUG SCRAB.xls"}</definedName>
    <definedName name="Document_array" localSheetId="2">{"Book1","RAB PASAR 30 AUG SCRAB.xls"}</definedName>
    <definedName name="Document_array" localSheetId="8">{"Book1","RAB PASAR 30 AUG SCRAB.xls"}</definedName>
    <definedName name="Document_array" localSheetId="27">{"Book1","RAB PASAR 30 AUG SCRAB.xls"}</definedName>
    <definedName name="Document_array">{"Book1","RAB PASAR 30 AUG SCRAB.xls"}</definedName>
    <definedName name="Document_array_2" localSheetId="5">{"Book1","RAB PASAR 30 AUG SCRAB.xls"}</definedName>
    <definedName name="Document_array_2" localSheetId="15">{"Book1","RAB PASAR 30 AUG SCRAB.xls"}</definedName>
    <definedName name="Document_array_2" localSheetId="13">{"Book1","RAB PASAR 30 AUG SCRAB.xls"}</definedName>
    <definedName name="Document_array_2" localSheetId="2">{"Book1","RAB PASAR 30 AUG SCRAB.xls"}</definedName>
    <definedName name="Document_array_2" localSheetId="8">{"Book1","RAB PASAR 30 AUG SCRAB.xls"}</definedName>
    <definedName name="Document_array_2" localSheetId="27">{"Book1","RAB PASAR 30 AUG SCRAB.xls"}</definedName>
    <definedName name="Document_array_2">{"Book1","RAB PASAR 30 AUG SCRAB.xls"}</definedName>
    <definedName name="Document_array_4" localSheetId="5">{"Book1","RAB PASAR 30 AUG SCRAB.xls"}</definedName>
    <definedName name="Document_array_4" localSheetId="15">{"Book1","RAB PASAR 30 AUG SCRAB.xls"}</definedName>
    <definedName name="Document_array_4" localSheetId="13">{"Book1","RAB PASAR 30 AUG SCRAB.xls"}</definedName>
    <definedName name="Document_array_4" localSheetId="2">{"Book1","RAB PASAR 30 AUG SCRAB.xls"}</definedName>
    <definedName name="Document_array_4" localSheetId="8">{"Book1","RAB PASAR 30 AUG SCRAB.xls"}</definedName>
    <definedName name="Document_array_4" localSheetId="27">{"Book1","RAB PASAR 30 AUG SCRAB.xls"}</definedName>
    <definedName name="Document_array_4">{"Book1","RAB PASAR 30 AUG SCRAB.xls"}</definedName>
    <definedName name="Document_array_6" localSheetId="5">{"Book1","RAB PASAR 30 AUG SCRAB.xls"}</definedName>
    <definedName name="Document_array_6" localSheetId="15">{"Book1","RAB PASAR 30 AUG SCRAB.xls"}</definedName>
    <definedName name="Document_array_6" localSheetId="13">{"Book1","RAB PASAR 30 AUG SCRAB.xls"}</definedName>
    <definedName name="Document_array_6" localSheetId="2">{"Book1","RAB PASAR 30 AUG SCRAB.xls"}</definedName>
    <definedName name="Document_array_6" localSheetId="8">{"Book1","RAB PASAR 30 AUG SCRAB.xls"}</definedName>
    <definedName name="Document_array_6" localSheetId="27">{"Book1","RAB PASAR 30 AUG SCRAB.xls"}</definedName>
    <definedName name="Document_array_6">{"Book1","RAB PASAR 30 AUG SCRAB.xls"}</definedName>
    <definedName name="Document_array_8" localSheetId="5">{"Book1","RAB PASAR 30 AUG SCRAB.xls"}</definedName>
    <definedName name="Document_array_8" localSheetId="15">{"Book1","RAB PASAR 30 AUG SCRAB.xls"}</definedName>
    <definedName name="Document_array_8" localSheetId="13">{"Book1","RAB PASAR 30 AUG SCRAB.xls"}</definedName>
    <definedName name="Document_array_8" localSheetId="2">{"Book1","RAB PASAR 30 AUG SCRAB.xls"}</definedName>
    <definedName name="Document_array_8" localSheetId="8">{"Book1","RAB PASAR 30 AUG SCRAB.xls"}</definedName>
    <definedName name="Document_array_8" localSheetId="27">{"Book1","RAB PASAR 30 AUG SCRAB.xls"}</definedName>
    <definedName name="Document_array_8">{"Book1","RAB PASAR 30 AUG SCRAB.xls"}</definedName>
    <definedName name="Document_array_9" localSheetId="5">{"Book1","RAB PASAR 30 AUG SCRAB.xls"}</definedName>
    <definedName name="Document_array_9" localSheetId="15">{"Book1","RAB PASAR 30 AUG SCRAB.xls"}</definedName>
    <definedName name="Document_array_9" localSheetId="13">{"Book1","RAB PASAR 30 AUG SCRAB.xls"}</definedName>
    <definedName name="Document_array_9" localSheetId="2">{"Book1","RAB PASAR 30 AUG SCRAB.xls"}</definedName>
    <definedName name="Document_array_9" localSheetId="8">{"Book1","RAB PASAR 30 AUG SCRAB.xls"}</definedName>
    <definedName name="Document_array_9" localSheetId="27">{"Book1","RAB PASAR 30 AUG SCRAB.xls"}</definedName>
    <definedName name="Document_array_9">{"Book1","RAB PASAR 30 AUG SCRAB.xls"}</definedName>
    <definedName name="DSGA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2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3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4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4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5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5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tib2100_10">"$#REF!.$#REF!$#REF!"</definedName>
    <definedName name="dstib2100_12">"$#REF!.$#REF!$#REF!"</definedName>
    <definedName name="dstib2100_13">"$#REF!.$#REF!$#REF!"</definedName>
    <definedName name="dstib2100_5">"$#REF!.$#REF!$#REF!"</definedName>
    <definedName name="dstib2100_7">"$#REF!.$#REF!$#REF!"</definedName>
    <definedName name="dstib2100_8">"$#REF!.$#REF!$#REF!"</definedName>
    <definedName name="dstib2120_10">"$#REF!.$#REF!$#REF!"</definedName>
    <definedName name="dstib2120_12">"$#REF!.$#REF!$#REF!"</definedName>
    <definedName name="dstib2120_13">"$#REF!.$#REF!$#REF!"</definedName>
    <definedName name="dstib2120_5">"$#REF!.$#REF!$#REF!"</definedName>
    <definedName name="dstib2120_7">"$#REF!.$#REF!$#REF!"</definedName>
    <definedName name="dstib2120_8">"$#REF!.$#REF!$#REF!"</definedName>
    <definedName name="dstib250_10">"$#REF!.$#REF!$#REF!"</definedName>
    <definedName name="dstib250_12">"$#REF!.$#REF!$#REF!"</definedName>
    <definedName name="dstib250_13">"$#REF!.$#REF!$#REF!"</definedName>
    <definedName name="dstib250_5">"$#REF!.$#REF!$#REF!"</definedName>
    <definedName name="dstib250_7">"$#REF!.$#REF!$#REF!"</definedName>
    <definedName name="dstib250_8">"$#REF!.$#REF!$#REF!"</definedName>
    <definedName name="dstib260_10">"$#REF!.$#REF!$#REF!"</definedName>
    <definedName name="dstib260_12">"$#REF!.$#REF!$#REF!"</definedName>
    <definedName name="dstib260_13">"$#REF!.$#REF!$#REF!"</definedName>
    <definedName name="dstib260_5">"$#REF!.$#REF!$#REF!"</definedName>
    <definedName name="dstib260_7">"$#REF!.$#REF!$#REF!"</definedName>
    <definedName name="dstib260_8">"$#REF!.$#REF!$#REF!"</definedName>
    <definedName name="dstib280_10">"$#REF!.$#REF!$#REF!"</definedName>
    <definedName name="dstib280_12">"$#REF!.$#REF!$#REF!"</definedName>
    <definedName name="dstib280_13">"$#REF!.$#REF!$#REF!"</definedName>
    <definedName name="dstib280_5">"$#REF!.$#REF!$#REF!"</definedName>
    <definedName name="dstib280_7">"$#REF!.$#REF!$#REF!"</definedName>
    <definedName name="dstib280_8">"$#REF!.$#REF!$#REF!"</definedName>
    <definedName name="ECON" localSheetId="15" hidden="1">[17]escon!#REF!</definedName>
    <definedName name="ECON" localSheetId="2" hidden="1">[17]escon!#REF!</definedName>
    <definedName name="ECON" localSheetId="8" hidden="1">[17]escon!#REF!</definedName>
    <definedName name="ECON" localSheetId="27" hidden="1">[17]escon!#REF!</definedName>
    <definedName name="ECON" hidden="1">[17]escon!#REF!</definedName>
    <definedName name="ECP">"'file://Donny/jfp (f)/2.1 Proposal/2.1 Excelcomindo Office Palembang/mmc.xls'#$'Fill this out first___'.$#REF!$#REF!"</definedName>
    <definedName name="ED" localSheetId="5">HAJIME:OWARI</definedName>
    <definedName name="ED" localSheetId="15">[8]!HAJIME:[8]!OWARI</definedName>
    <definedName name="ED" localSheetId="13">HAJIME:OWARI</definedName>
    <definedName name="ED" localSheetId="10">HAJIME:OWARI</definedName>
    <definedName name="ED" localSheetId="2">HAJIME:OWARI</definedName>
    <definedName name="ED" localSheetId="8">HAJIME:OWARI</definedName>
    <definedName name="ED" localSheetId="27">'TABEL BAJA'!HAJIME:'TABEL BAJA'!OWARI</definedName>
    <definedName name="ED">HAJIME:OWARI</definedName>
    <definedName name="ED___0">NA()</definedName>
    <definedName name="ED___2">NA()</definedName>
    <definedName name="EDS" localSheetId="5">{"Book1","RAB PASAR 30 AUG SCRAB.xls"}</definedName>
    <definedName name="EDS" localSheetId="15">{"Book1","RAB PASAR 30 AUG SCRAB.xls"}</definedName>
    <definedName name="EDS" localSheetId="13">{"Book1","RAB PASAR 30 AUG SCRAB.xls"}</definedName>
    <definedName name="EDS" localSheetId="2">{"Book1","RAB PASAR 30 AUG SCRAB.xls"}</definedName>
    <definedName name="EDS" localSheetId="8">{"Book1","RAB PASAR 30 AUG SCRAB.xls"}</definedName>
    <definedName name="EDS" localSheetId="27">{"Book1","RAB PASAR 30 AUG SCRAB.xls"}</definedName>
    <definedName name="EDS">{"Book1","RAB PASAR 30 AUG SCRAB.xls"}</definedName>
    <definedName name="efwfw" localSheetId="27" hidden="1">[18]AC!#REF!</definedName>
    <definedName name="efwfw" hidden="1">[18]AC!#REF!</definedName>
    <definedName name="EGYW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GYW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GYW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GYW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GYW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GYW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GY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2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3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4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4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5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5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2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3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4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4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5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5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2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3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4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4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5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5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xcel_BuiltIn__FilterDatabase_12">"$#REF!.$C$5:$C$90"</definedName>
    <definedName name="Excel_BuiltIn_Print_Area_1_1_1">"$#REF!.$B$803:$G$1064"</definedName>
    <definedName name="Excel_BuiltIn_Print_Area_14">"$#REF!.$B$2:$J$108"</definedName>
    <definedName name="Excel_BuiltIn_Print_Area_2_1_1_1_1">"$#REF!.$#REF!$#REF!"</definedName>
    <definedName name="Excel_BuiltIn_Print_Area_21_1">"$#REF!.$#REF!$#REF!"</definedName>
    <definedName name="Excel_BuiltIn_Print_Area_27">"$#REF!.$#REF!$#REF!"</definedName>
    <definedName name="Excel_BuiltIn_Print_Area_4">"$#REF!.$A$1:$Q$194"</definedName>
    <definedName name="Excel_BuiltIn_Print_Area_5_1_1">"$#REF!.$B$72:$AY$579"</definedName>
    <definedName name="Excel_BuiltIn_Print_Area_5_1_1_1">"$#REF!.$#REF!$#REF!"</definedName>
    <definedName name="Excel_BuiltIn_Print_Area_5_1_1_1_1">"$#REF!.$A$1:$F$664"</definedName>
    <definedName name="Excel_BuiltIn_Print_Area_7">"$#REF!.$B$3:$R$122"</definedName>
    <definedName name="Excel_BuiltIn_Print_Titles_3_1_1_1_1">'[19]01A- RAB'!$A$1:$N$65536,'[19]01A- RAB'!$A$3:$IV$5</definedName>
    <definedName name="Excel_BuiltIn_Print_Titles_4">"$#REF!.$A$1:$IT$6"</definedName>
    <definedName name="Excel_BuiltIn_Print_Titles_4_1_1" localSheetId="15">#REF!,#REF!</definedName>
    <definedName name="Excel_BuiltIn_Print_Titles_4_1_1" localSheetId="2">#REF!,#REF!</definedName>
    <definedName name="Excel_BuiltIn_Print_Titles_4_1_1" localSheetId="8">#REF!,#REF!</definedName>
    <definedName name="Excel_BuiltIn_Print_Titles_4_1_1" localSheetId="27">#REF!,#REF!</definedName>
    <definedName name="Excel_BuiltIn_Print_Titles_4_1_1">#REF!,#REF!</definedName>
    <definedName name="F_SL___0">NA()</definedName>
    <definedName name="F_SL___1">NA()</definedName>
    <definedName name="F_SL___2">NA()</definedName>
    <definedName name="F_SL___3">NA()</definedName>
    <definedName name="F_SL___4">NA()</definedName>
    <definedName name="F_SL___5">NA()</definedName>
    <definedName name="F_SL___7">NA()</definedName>
    <definedName name="fall" localSheetId="15" hidden="1">#REF!</definedName>
    <definedName name="fall" localSheetId="2" hidden="1">#REF!</definedName>
    <definedName name="fall" localSheetId="8" hidden="1">#REF!</definedName>
    <definedName name="fall" localSheetId="27" hidden="1">#REF!</definedName>
    <definedName name="fall" hidden="1">#REF!</definedName>
    <definedName name="FCode" localSheetId="15" hidden="1">#REF!</definedName>
    <definedName name="FCode" localSheetId="2" hidden="1">#REF!</definedName>
    <definedName name="FCode" localSheetId="8" hidden="1">#REF!</definedName>
    <definedName name="FCode" localSheetId="27" hidden="1">#REF!</definedName>
    <definedName name="FCode" hidden="1">#REF!</definedName>
    <definedName name="fdjj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2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3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4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4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5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5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eli" localSheetId="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" localSheetId="2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2" localSheetId="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2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2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2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2" localSheetId="2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3" localSheetId="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3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3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3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3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3" localSheetId="2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4" localSheetId="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4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4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4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4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4" localSheetId="2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5" localSheetId="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5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5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5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5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5" localSheetId="2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f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2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3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4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4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5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5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d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d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d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d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d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d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f_10">"$#REF!.$#REF!$#REF!"</definedName>
    <definedName name="fffff_12">"$#REF!.$#REF!$#REF!"</definedName>
    <definedName name="fffff_13">"$#REF!.$#REF!$#REF!"</definedName>
    <definedName name="fffff_5">"$#REF!.$#REF!$#REF!"</definedName>
    <definedName name="fffff_7">"$#REF!.$#REF!$#REF!"</definedName>
    <definedName name="fffff_8">"$#REF!.$#REF!$#REF!"</definedName>
    <definedName name="ffffff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ff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ff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ff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ff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ff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f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2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3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4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4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5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5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ILLL" localSheetId="15" hidden="1">#REF!</definedName>
    <definedName name="FILLL" localSheetId="2" hidden="1">#REF!</definedName>
    <definedName name="FILLL" localSheetId="8" hidden="1">#REF!</definedName>
    <definedName name="FILLL" localSheetId="27" hidden="1">#REF!</definedName>
    <definedName name="FILLL" hidden="1">#REF!</definedName>
    <definedName name="fkieifi" hidden="1">[20]H.Satuan!$C$106:$P$132</definedName>
    <definedName name="flmh400_10">"$#REF!.$#REF!$#REF!"</definedName>
    <definedName name="flmh400_12">"$#REF!.$#REF!$#REF!"</definedName>
    <definedName name="flmh400_13">"$#REF!.$#REF!$#REF!"</definedName>
    <definedName name="flmh400_5">"$#REF!.$#REF!$#REF!"</definedName>
    <definedName name="flmh400_7">"$#REF!.$#REF!$#REF!"</definedName>
    <definedName name="flmh400_8">"$#REF!.$#REF!$#REF!"</definedName>
    <definedName name="frc4x10_10">"$#REF!.$#REF!$#REF!"</definedName>
    <definedName name="frc4x10_12">"$#REF!.$#REF!$#REF!"</definedName>
    <definedName name="frc4x10_13">"$#REF!.$#REF!$#REF!"</definedName>
    <definedName name="frc4x10_5">"$#REF!.$#REF!$#REF!"</definedName>
    <definedName name="frc4x10_7">"$#REF!.$#REF!$#REF!"</definedName>
    <definedName name="frc4x10_8">"$#REF!.$#REF!$#REF!"</definedName>
    <definedName name="frc4x1x400_10">"$#REF!.$#REF!$#REF!"</definedName>
    <definedName name="frc4x1x400_12">"$#REF!.$#REF!$#REF!"</definedName>
    <definedName name="frc4x1x400_13">"$#REF!.$#REF!$#REF!"</definedName>
    <definedName name="frc4x1x400_5">"$#REF!.$#REF!$#REF!"</definedName>
    <definedName name="frc4x1x400_7">"$#REF!.$#REF!$#REF!"</definedName>
    <definedName name="frc4x1x400_8">"$#REF!.$#REF!$#REF!"</definedName>
    <definedName name="frc4x25_10">"$#REF!.$#REF!$#REF!"</definedName>
    <definedName name="frc4x25_12">"$#REF!.$#REF!$#REF!"</definedName>
    <definedName name="frc4x25_13">"$#REF!.$#REF!$#REF!"</definedName>
    <definedName name="frc4x25_5">"$#REF!.$#REF!$#REF!"</definedName>
    <definedName name="frc4x25_7">"$#REF!.$#REF!$#REF!"</definedName>
    <definedName name="frc4x25_8">"$#REF!.$#REF!$#REF!"</definedName>
    <definedName name="frc4x300_10">"$#REF!.$#REF!$#REF!"</definedName>
    <definedName name="frc4x300_12">"$#REF!.$#REF!$#REF!"</definedName>
    <definedName name="frc4x300_13">"$#REF!.$#REF!$#REF!"</definedName>
    <definedName name="frc4x300_5">"$#REF!.$#REF!$#REF!"</definedName>
    <definedName name="frc4x300_7">"$#REF!.$#REF!$#REF!"</definedName>
    <definedName name="frc4x300_8">"$#REF!.$#REF!$#REF!"</definedName>
    <definedName name="frc4x35_10">"$#REF!.$#REF!$#REF!"</definedName>
    <definedName name="frc4x35_12">"$#REF!.$#REF!$#REF!"</definedName>
    <definedName name="frc4x35_13">"$#REF!.$#REF!$#REF!"</definedName>
    <definedName name="frc4x35_5">"$#REF!.$#REF!$#REF!"</definedName>
    <definedName name="frc4x35_7">"$#REF!.$#REF!$#REF!"</definedName>
    <definedName name="frc4x35_8">"$#REF!.$#REF!$#REF!"</definedName>
    <definedName name="frc4x95_10">"$#REF!.$#REF!$#REF!"</definedName>
    <definedName name="frc4x95_12">"$#REF!.$#REF!$#REF!"</definedName>
    <definedName name="frc4x95_13">"$#REF!.$#REF!$#REF!"</definedName>
    <definedName name="frc4x95_5">"$#REF!.$#REF!$#REF!"</definedName>
    <definedName name="frc4x95_7">"$#REF!.$#REF!$#REF!"</definedName>
    <definedName name="frc4x95_8">"$#REF!.$#REF!$#REF!"</definedName>
    <definedName name="frc5x4_10">"$#REF!.$#REF!$#REF!"</definedName>
    <definedName name="frc5x4_12">"$#REF!.$#REF!$#REF!"</definedName>
    <definedName name="frc5x4_13">"$#REF!.$#REF!$#REF!"</definedName>
    <definedName name="frc5x4_5">"$#REF!.$#REF!$#REF!"</definedName>
    <definedName name="frc5x4_7">"$#REF!.$#REF!$#REF!"</definedName>
    <definedName name="frc5x4_8">"$#REF!.$#REF!$#REF!"</definedName>
    <definedName name="frc5x6_10">"$#REF!.$#REF!$#REF!"</definedName>
    <definedName name="frc5x6_12">"$#REF!.$#REF!$#REF!"</definedName>
    <definedName name="frc5x6_13">"$#REF!.$#REF!$#REF!"</definedName>
    <definedName name="frc5x6_5">"$#REF!.$#REF!$#REF!"</definedName>
    <definedName name="frc5x6_7">"$#REF!.$#REF!$#REF!"</definedName>
    <definedName name="frc5x6_8">"$#REF!.$#REF!$#REF!"</definedName>
    <definedName name="fsjsj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2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3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4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4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5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5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URNITURE__FURNISHING_10">"$#REF!.$#REF!#REF!"</definedName>
    <definedName name="FURNITURE__FURNISHING_12">"$#REF!.$#REF!#REF!"</definedName>
    <definedName name="FURNITURE__FURNISHING_13">"$#REF!.$#REF!#REF!"</definedName>
    <definedName name="FURNITURE__FURNISHING_5">"$#REF!.$#REF!#REF!"</definedName>
    <definedName name="FURNITURE__FURNISHING_7">"$#REF!.$#REF!#REF!"</definedName>
    <definedName name="FURNITURE__FURNISHING_8">"$#REF!.$#REF!#REF!"</definedName>
    <definedName name="g" localSheetId="15">'Pas. Dinding'!g</definedName>
    <definedName name="g" localSheetId="27">'TABEL BAJA'!g</definedName>
    <definedName name="g">[9]!g</definedName>
    <definedName name="gf" hidden="1">[21]H.Satuan!$CF$82</definedName>
    <definedName name="GFF" hidden="1">[22]SEX!$P$7:$P$7</definedName>
    <definedName name="gfh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2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3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4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4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5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5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2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3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4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4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5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5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rc_10">"$#REF!.$#REF!$#REF!"</definedName>
    <definedName name="grc_12">"$#REF!.$#REF!$#REF!"</definedName>
    <definedName name="grc_13">"$#REF!.$#REF!$#REF!"</definedName>
    <definedName name="grc_5">"$#REF!.$#REF!$#REF!"</definedName>
    <definedName name="grc_7">"$#REF!.$#REF!$#REF!"</definedName>
    <definedName name="grc_8">"$#REF!.$#REF!$#REF!"</definedName>
    <definedName name="grc1_10">"$#REF!.$#REF!$#REF!"</definedName>
    <definedName name="grc1_12">"$#REF!.$#REF!$#REF!"</definedName>
    <definedName name="grc1_13">"$#REF!.$#REF!$#REF!"</definedName>
    <definedName name="grc1_5">"$#REF!.$#REF!$#REF!"</definedName>
    <definedName name="grc1_7">"$#REF!.$#REF!$#REF!"</definedName>
    <definedName name="grc1_8">"$#REF!.$#REF!$#REF!"</definedName>
    <definedName name="gs110g_10">"$#REF!.$#REF!$#REF!"</definedName>
    <definedName name="gs110g_12">"$#REF!.$#REF!$#REF!"</definedName>
    <definedName name="gs110g_13">"$#REF!.$#REF!$#REF!"</definedName>
    <definedName name="gs110g_5">"$#REF!.$#REF!$#REF!"</definedName>
    <definedName name="gs110g_7">"$#REF!.$#REF!$#REF!"</definedName>
    <definedName name="gs110g_8">"$#REF!.$#REF!$#REF!"</definedName>
    <definedName name="gs14g_10">"$#REF!.$#REF!$#REF!"</definedName>
    <definedName name="gs14g_12">"$#REF!.$#REF!$#REF!"</definedName>
    <definedName name="gs14g_13">"$#REF!.$#REF!$#REF!"</definedName>
    <definedName name="gs14g_5">"$#REF!.$#REF!$#REF!"</definedName>
    <definedName name="gs14g_7">"$#REF!.$#REF!$#REF!"</definedName>
    <definedName name="gs14g_8">"$#REF!.$#REF!$#REF!"</definedName>
    <definedName name="gs55g_10">"$#REF!.$#REF!$#REF!"</definedName>
    <definedName name="gs55g_12">"$#REF!.$#REF!$#REF!"</definedName>
    <definedName name="gs55g_13">"$#REF!.$#REF!$#REF!"</definedName>
    <definedName name="gs55g_5">"$#REF!.$#REF!$#REF!"</definedName>
    <definedName name="gs55g_7">"$#REF!.$#REF!$#REF!"</definedName>
    <definedName name="gs55g_8">"$#REF!.$#REF!$#REF!"</definedName>
    <definedName name="gs6g_10">"$#REF!.$#REF!$#REF!"</definedName>
    <definedName name="gs6g_12">"$#REF!.$#REF!$#REF!"</definedName>
    <definedName name="gs6g_13">"$#REF!.$#REF!$#REF!"</definedName>
    <definedName name="gs6g_5">"$#REF!.$#REF!$#REF!"</definedName>
    <definedName name="gs6g_7">"$#REF!.$#REF!$#REF!"</definedName>
    <definedName name="gs6g_8">"$#REF!.$#REF!$#REF!"</definedName>
    <definedName name="gs80g_10">"$#REF!.$#REF!$#REF!"</definedName>
    <definedName name="gs80g_12">"$#REF!.$#REF!$#REF!"</definedName>
    <definedName name="gs80g_13">"$#REF!.$#REF!$#REF!"</definedName>
    <definedName name="gs80g_5">"$#REF!.$#REF!$#REF!"</definedName>
    <definedName name="gs80g_7">"$#REF!.$#REF!$#REF!"</definedName>
    <definedName name="gs80g_8">"$#REF!.$#REF!$#REF!"</definedName>
    <definedName name="gSD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2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3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4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4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5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5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aha" localSheetId="15">'Pas. Dinding'!haha</definedName>
    <definedName name="haha" localSheetId="27">'TABEL BAJA'!haha</definedName>
    <definedName name="haha">[9]!haha</definedName>
    <definedName name="HAIII" localSheetId="15">'Pas. Dinding'!HAIII</definedName>
    <definedName name="HAIII" localSheetId="27">'TABEL BAJA'!HAIII</definedName>
    <definedName name="HAIII">[9]!HAIII</definedName>
    <definedName name="HAL_2_2">NA()</definedName>
    <definedName name="HAL_3_2">NA()</definedName>
    <definedName name="harga" hidden="1">'[23]351BQMCN'!$C$1:$C$4575</definedName>
    <definedName name="Heä_soá_laép_xaø_H">1.7</definedName>
    <definedName name="Header_Row">ROW(#REF!)</definedName>
    <definedName name="Header_Row_10">ROW(#REF!)</definedName>
    <definedName name="Header_Row_11">ROW(#REF!)</definedName>
    <definedName name="Header_Row_12">ROW(#REF!)</definedName>
    <definedName name="Header_Row_13">ROW(#REF!)</definedName>
    <definedName name="Header_Row_14">ROW(#REF!)</definedName>
    <definedName name="Header_Row_9">ROW(#REF!)</definedName>
    <definedName name="helo" localSheetId="15">'Pas. Dinding'!helo</definedName>
    <definedName name="helo" localSheetId="27">'TABEL BAJA'!helo</definedName>
    <definedName name="helo">[9]!helo</definedName>
    <definedName name="hengq" localSheetId="5" hidden="1">{#N/A,#N/A,FALSE,"REK";#N/A,#N/A,FALSE,"rab"}</definedName>
    <definedName name="hengq" localSheetId="15" hidden="1">{#N/A,#N/A,FALSE,"REK";#N/A,#N/A,FALSE,"rab"}</definedName>
    <definedName name="hengq" localSheetId="13" hidden="1">{#N/A,#N/A,FALSE,"REK";#N/A,#N/A,FALSE,"rab"}</definedName>
    <definedName name="hengq" localSheetId="2" hidden="1">{#N/A,#N/A,FALSE,"REK";#N/A,#N/A,FALSE,"rab"}</definedName>
    <definedName name="hengq" localSheetId="8" hidden="1">{#N/A,#N/A,FALSE,"REK";#N/A,#N/A,FALSE,"rab"}</definedName>
    <definedName name="hengq" localSheetId="27" hidden="1">{#N/A,#N/A,FALSE,"REK";#N/A,#N/A,FALSE,"rab"}</definedName>
    <definedName name="hengq" hidden="1">{#N/A,#N/A,FALSE,"REK";#N/A,#N/A,FALSE,"rab"}</definedName>
    <definedName name="hengq_2" localSheetId="5" hidden="1">{#N/A,#N/A,FALSE,"REK";#N/A,#N/A,FALSE,"rab"}</definedName>
    <definedName name="hengq_2" localSheetId="15" hidden="1">{#N/A,#N/A,FALSE,"REK";#N/A,#N/A,FALSE,"rab"}</definedName>
    <definedName name="hengq_2" localSheetId="13" hidden="1">{#N/A,#N/A,FALSE,"REK";#N/A,#N/A,FALSE,"rab"}</definedName>
    <definedName name="hengq_2" localSheetId="2" hidden="1">{#N/A,#N/A,FALSE,"REK";#N/A,#N/A,FALSE,"rab"}</definedName>
    <definedName name="hengq_2" localSheetId="8" hidden="1">{#N/A,#N/A,FALSE,"REK";#N/A,#N/A,FALSE,"rab"}</definedName>
    <definedName name="hengq_2" localSheetId="27" hidden="1">{#N/A,#N/A,FALSE,"REK";#N/A,#N/A,FALSE,"rab"}</definedName>
    <definedName name="hengq_2" hidden="1">{#N/A,#N/A,FALSE,"REK";#N/A,#N/A,FALSE,"rab"}</definedName>
    <definedName name="hengq_3" localSheetId="5" hidden="1">{#N/A,#N/A,FALSE,"REK";#N/A,#N/A,FALSE,"rab"}</definedName>
    <definedName name="hengq_3" localSheetId="15" hidden="1">{#N/A,#N/A,FALSE,"REK";#N/A,#N/A,FALSE,"rab"}</definedName>
    <definedName name="hengq_3" localSheetId="13" hidden="1">{#N/A,#N/A,FALSE,"REK";#N/A,#N/A,FALSE,"rab"}</definedName>
    <definedName name="hengq_3" localSheetId="2" hidden="1">{#N/A,#N/A,FALSE,"REK";#N/A,#N/A,FALSE,"rab"}</definedName>
    <definedName name="hengq_3" localSheetId="8" hidden="1">{#N/A,#N/A,FALSE,"REK";#N/A,#N/A,FALSE,"rab"}</definedName>
    <definedName name="hengq_3" localSheetId="27" hidden="1">{#N/A,#N/A,FALSE,"REK";#N/A,#N/A,FALSE,"rab"}</definedName>
    <definedName name="hengq_3" hidden="1">{#N/A,#N/A,FALSE,"REK";#N/A,#N/A,FALSE,"rab"}</definedName>
    <definedName name="hengq_4" localSheetId="5" hidden="1">{#N/A,#N/A,FALSE,"REK";#N/A,#N/A,FALSE,"rab"}</definedName>
    <definedName name="hengq_4" localSheetId="15" hidden="1">{#N/A,#N/A,FALSE,"REK";#N/A,#N/A,FALSE,"rab"}</definedName>
    <definedName name="hengq_4" localSheetId="13" hidden="1">{#N/A,#N/A,FALSE,"REK";#N/A,#N/A,FALSE,"rab"}</definedName>
    <definedName name="hengq_4" localSheetId="2" hidden="1">{#N/A,#N/A,FALSE,"REK";#N/A,#N/A,FALSE,"rab"}</definedName>
    <definedName name="hengq_4" localSheetId="8" hidden="1">{#N/A,#N/A,FALSE,"REK";#N/A,#N/A,FALSE,"rab"}</definedName>
    <definedName name="hengq_4" localSheetId="27" hidden="1">{#N/A,#N/A,FALSE,"REK";#N/A,#N/A,FALSE,"rab"}</definedName>
    <definedName name="hengq_4" hidden="1">{#N/A,#N/A,FALSE,"REK";#N/A,#N/A,FALSE,"rab"}</definedName>
    <definedName name="hengq_5" localSheetId="5" hidden="1">{#N/A,#N/A,FALSE,"REK";#N/A,#N/A,FALSE,"rab"}</definedName>
    <definedName name="hengq_5" localSheetId="15" hidden="1">{#N/A,#N/A,FALSE,"REK";#N/A,#N/A,FALSE,"rab"}</definedName>
    <definedName name="hengq_5" localSheetId="13" hidden="1">{#N/A,#N/A,FALSE,"REK";#N/A,#N/A,FALSE,"rab"}</definedName>
    <definedName name="hengq_5" localSheetId="2" hidden="1">{#N/A,#N/A,FALSE,"REK";#N/A,#N/A,FALSE,"rab"}</definedName>
    <definedName name="hengq_5" localSheetId="8" hidden="1">{#N/A,#N/A,FALSE,"REK";#N/A,#N/A,FALSE,"rab"}</definedName>
    <definedName name="hengq_5" localSheetId="27" hidden="1">{#N/A,#N/A,FALSE,"REK";#N/A,#N/A,FALSE,"rab"}</definedName>
    <definedName name="hengq_5" hidden="1">{#N/A,#N/A,FALSE,"REK";#N/A,#N/A,FALSE,"rab"}</definedName>
    <definedName name="HiddenRows" localSheetId="15" hidden="1">#REF!</definedName>
    <definedName name="HiddenRows" localSheetId="2" hidden="1">#REF!</definedName>
    <definedName name="HiddenRows" localSheetId="8" hidden="1">#REF!</definedName>
    <definedName name="HiddenRows" localSheetId="27" hidden="1">#REF!</definedName>
    <definedName name="HiddenRows" hidden="1">#REF!</definedName>
    <definedName name="HOTEL" localSheetId="5">HAJIME:OWARI</definedName>
    <definedName name="HOTEL" localSheetId="15">[8]!HAJIME:[8]!OWARI</definedName>
    <definedName name="HOTEL" localSheetId="13">HAJIME:OWARI</definedName>
    <definedName name="HOTEL" localSheetId="10">HAJIME:OWARI</definedName>
    <definedName name="HOTEL" localSheetId="2">HAJIME:OWARI</definedName>
    <definedName name="HOTEL" localSheetId="8">HAJIME:OWARI</definedName>
    <definedName name="HOTEL" localSheetId="27">'TABEL BAJA'!HAJIME:'TABEL BAJA'!OWARI</definedName>
    <definedName name="HOTEL">HAJIME:OWARI</definedName>
    <definedName name="HOTEL___0">NA()</definedName>
    <definedName name="HOTEL___2">NA()</definedName>
    <definedName name="HQ" localSheetId="5" hidden="1">{#N/A,#N/A,FALSE,"REK";#N/A,#N/A,FALSE,"rab"}</definedName>
    <definedName name="HQ" localSheetId="15" hidden="1">{#N/A,#N/A,FALSE,"REK";#N/A,#N/A,FALSE,"rab"}</definedName>
    <definedName name="HQ" localSheetId="13" hidden="1">{#N/A,#N/A,FALSE,"REK";#N/A,#N/A,FALSE,"rab"}</definedName>
    <definedName name="HQ" localSheetId="2" hidden="1">{#N/A,#N/A,FALSE,"REK";#N/A,#N/A,FALSE,"rab"}</definedName>
    <definedName name="HQ" localSheetId="8" hidden="1">{#N/A,#N/A,FALSE,"REK";#N/A,#N/A,FALSE,"rab"}</definedName>
    <definedName name="HQ" localSheetId="27" hidden="1">{#N/A,#N/A,FALSE,"REK";#N/A,#N/A,FALSE,"rab"}</definedName>
    <definedName name="HQ" hidden="1">{#N/A,#N/A,FALSE,"REK";#N/A,#N/A,FALSE,"rab"}</definedName>
    <definedName name="HQ_2" localSheetId="5" hidden="1">{#N/A,#N/A,FALSE,"REK";#N/A,#N/A,FALSE,"rab"}</definedName>
    <definedName name="HQ_2" localSheetId="15" hidden="1">{#N/A,#N/A,FALSE,"REK";#N/A,#N/A,FALSE,"rab"}</definedName>
    <definedName name="HQ_2" localSheetId="13" hidden="1">{#N/A,#N/A,FALSE,"REK";#N/A,#N/A,FALSE,"rab"}</definedName>
    <definedName name="HQ_2" localSheetId="2" hidden="1">{#N/A,#N/A,FALSE,"REK";#N/A,#N/A,FALSE,"rab"}</definedName>
    <definedName name="HQ_2" localSheetId="8" hidden="1">{#N/A,#N/A,FALSE,"REK";#N/A,#N/A,FALSE,"rab"}</definedName>
    <definedName name="HQ_2" localSheetId="27" hidden="1">{#N/A,#N/A,FALSE,"REK";#N/A,#N/A,FALSE,"rab"}</definedName>
    <definedName name="HQ_2" hidden="1">{#N/A,#N/A,FALSE,"REK";#N/A,#N/A,FALSE,"rab"}</definedName>
    <definedName name="HQ_3" localSheetId="5" hidden="1">{#N/A,#N/A,FALSE,"REK";#N/A,#N/A,FALSE,"rab"}</definedName>
    <definedName name="HQ_3" localSheetId="15" hidden="1">{#N/A,#N/A,FALSE,"REK";#N/A,#N/A,FALSE,"rab"}</definedName>
    <definedName name="HQ_3" localSheetId="13" hidden="1">{#N/A,#N/A,FALSE,"REK";#N/A,#N/A,FALSE,"rab"}</definedName>
    <definedName name="HQ_3" localSheetId="2" hidden="1">{#N/A,#N/A,FALSE,"REK";#N/A,#N/A,FALSE,"rab"}</definedName>
    <definedName name="HQ_3" localSheetId="8" hidden="1">{#N/A,#N/A,FALSE,"REK";#N/A,#N/A,FALSE,"rab"}</definedName>
    <definedName name="HQ_3" localSheetId="27" hidden="1">{#N/A,#N/A,FALSE,"REK";#N/A,#N/A,FALSE,"rab"}</definedName>
    <definedName name="HQ_3" hidden="1">{#N/A,#N/A,FALSE,"REK";#N/A,#N/A,FALSE,"rab"}</definedName>
    <definedName name="HQ_4" localSheetId="5" hidden="1">{#N/A,#N/A,FALSE,"REK";#N/A,#N/A,FALSE,"rab"}</definedName>
    <definedName name="HQ_4" localSheetId="15" hidden="1">{#N/A,#N/A,FALSE,"REK";#N/A,#N/A,FALSE,"rab"}</definedName>
    <definedName name="HQ_4" localSheetId="13" hidden="1">{#N/A,#N/A,FALSE,"REK";#N/A,#N/A,FALSE,"rab"}</definedName>
    <definedName name="HQ_4" localSheetId="2" hidden="1">{#N/A,#N/A,FALSE,"REK";#N/A,#N/A,FALSE,"rab"}</definedName>
    <definedName name="HQ_4" localSheetId="8" hidden="1">{#N/A,#N/A,FALSE,"REK";#N/A,#N/A,FALSE,"rab"}</definedName>
    <definedName name="HQ_4" localSheetId="27" hidden="1">{#N/A,#N/A,FALSE,"REK";#N/A,#N/A,FALSE,"rab"}</definedName>
    <definedName name="HQ_4" hidden="1">{#N/A,#N/A,FALSE,"REK";#N/A,#N/A,FALSE,"rab"}</definedName>
    <definedName name="HQ_5" localSheetId="5" hidden="1">{#N/A,#N/A,FALSE,"REK";#N/A,#N/A,FALSE,"rab"}</definedName>
    <definedName name="HQ_5" localSheetId="15" hidden="1">{#N/A,#N/A,FALSE,"REK";#N/A,#N/A,FALSE,"rab"}</definedName>
    <definedName name="HQ_5" localSheetId="13" hidden="1">{#N/A,#N/A,FALSE,"REK";#N/A,#N/A,FALSE,"rab"}</definedName>
    <definedName name="HQ_5" localSheetId="2" hidden="1">{#N/A,#N/A,FALSE,"REK";#N/A,#N/A,FALSE,"rab"}</definedName>
    <definedName name="HQ_5" localSheetId="8" hidden="1">{#N/A,#N/A,FALSE,"REK";#N/A,#N/A,FALSE,"rab"}</definedName>
    <definedName name="HQ_5" localSheetId="27" hidden="1">{#N/A,#N/A,FALSE,"REK";#N/A,#N/A,FALSE,"rab"}</definedName>
    <definedName name="HQ_5" hidden="1">{#N/A,#N/A,FALSE,"REK";#N/A,#N/A,FALSE,"rab"}</definedName>
    <definedName name="hs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2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3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4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4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5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5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CT3">0.1</definedName>
    <definedName name="HSDN">2.5</definedName>
    <definedName name="HTML_Description" hidden="1">""</definedName>
    <definedName name="HTML_LineAfter" hidden="1">FALSE</definedName>
    <definedName name="HTML_LineBefore" hidden="1">FALSE</definedName>
    <definedName name="HTML_OBDlg2" hidden="1">TRUE</definedName>
    <definedName name="HTML_OBDlg4" hidden="1">TRUE</definedName>
    <definedName name="HTML_OS" hidden="1">0</definedName>
    <definedName name="I">NA()</definedName>
    <definedName name="IMA" localSheetId="15">'Pas. Dinding'!IMA</definedName>
    <definedName name="IMA" localSheetId="27">'TABEL BAJA'!IMA</definedName>
    <definedName name="IMA">[9]!IMA</definedName>
    <definedName name="jangan" localSheetId="15" hidden="1">[21]H.Satuan!#REF!</definedName>
    <definedName name="jangan" localSheetId="2" hidden="1">[21]H.Satuan!#REF!</definedName>
    <definedName name="jangan" localSheetId="8" hidden="1">[21]H.Satuan!#REF!</definedName>
    <definedName name="jangan" localSheetId="27" hidden="1">[21]H.Satuan!#REF!</definedName>
    <definedName name="jangan" hidden="1">[21]H.Satuan!#REF!</definedName>
    <definedName name="KASBUN" localSheetId="5">{"Book1","RAB PASAR 30 AUG SCRAB.xls"}</definedName>
    <definedName name="KASBUN" localSheetId="15">{"Book1","RAB PASAR 30 AUG SCRAB.xls"}</definedName>
    <definedName name="KASBUN" localSheetId="13">{"Book1","RAB PASAR 30 AUG SCRAB.xls"}</definedName>
    <definedName name="KASBUN" localSheetId="2">{"Book1","RAB PASAR 30 AUG SCRAB.xls"}</definedName>
    <definedName name="KASBUN" localSheetId="8">{"Book1","RAB PASAR 30 AUG SCRAB.xls"}</definedName>
    <definedName name="KASBUN" localSheetId="27">{"Book1","RAB PASAR 30 AUG SCRAB.xls"}</definedName>
    <definedName name="KASBUN">{"Book1","RAB PASAR 30 AUG SCRAB.xls"}</definedName>
    <definedName name="KASBUN_2" localSheetId="5">{"Book1","RAB PASAR 30 AUG SCRAB.xls"}</definedName>
    <definedName name="KASBUN_2" localSheetId="15">{"Book1","RAB PASAR 30 AUG SCRAB.xls"}</definedName>
    <definedName name="KASBUN_2" localSheetId="13">{"Book1","RAB PASAR 30 AUG SCRAB.xls"}</definedName>
    <definedName name="KASBUN_2" localSheetId="2">{"Book1","RAB PASAR 30 AUG SCRAB.xls"}</definedName>
    <definedName name="KASBUN_2" localSheetId="8">{"Book1","RAB PASAR 30 AUG SCRAB.xls"}</definedName>
    <definedName name="KASBUN_2" localSheetId="27">{"Book1","RAB PASAR 30 AUG SCRAB.xls"}</definedName>
    <definedName name="KASBUN_2">{"Book1","RAB PASAR 30 AUG SCRAB.xls"}</definedName>
    <definedName name="KASBUN_4" localSheetId="5">{"Book1","RAB PASAR 30 AUG SCRAB.xls"}</definedName>
    <definedName name="KASBUN_4" localSheetId="15">{"Book1","RAB PASAR 30 AUG SCRAB.xls"}</definedName>
    <definedName name="KASBUN_4" localSheetId="13">{"Book1","RAB PASAR 30 AUG SCRAB.xls"}</definedName>
    <definedName name="KASBUN_4" localSheetId="2">{"Book1","RAB PASAR 30 AUG SCRAB.xls"}</definedName>
    <definedName name="KASBUN_4" localSheetId="8">{"Book1","RAB PASAR 30 AUG SCRAB.xls"}</definedName>
    <definedName name="KASBUN_4" localSheetId="27">{"Book1","RAB PASAR 30 AUG SCRAB.xls"}</definedName>
    <definedName name="KASBUN_4">{"Book1","RAB PASAR 30 AUG SCRAB.xls"}</definedName>
    <definedName name="KASBUN_6" localSheetId="5">{"Book1","RAB PASAR 30 AUG SCRAB.xls"}</definedName>
    <definedName name="KASBUN_6" localSheetId="15">{"Book1","RAB PASAR 30 AUG SCRAB.xls"}</definedName>
    <definedName name="KASBUN_6" localSheetId="13">{"Book1","RAB PASAR 30 AUG SCRAB.xls"}</definedName>
    <definedName name="KASBUN_6" localSheetId="2">{"Book1","RAB PASAR 30 AUG SCRAB.xls"}</definedName>
    <definedName name="KASBUN_6" localSheetId="8">{"Book1","RAB PASAR 30 AUG SCRAB.xls"}</definedName>
    <definedName name="KASBUN_6" localSheetId="27">{"Book1","RAB PASAR 30 AUG SCRAB.xls"}</definedName>
    <definedName name="KASBUN_6">{"Book1","RAB PASAR 30 AUG SCRAB.xls"}</definedName>
    <definedName name="KASBUN_8" localSheetId="5">{"Book1","RAB PASAR 30 AUG SCRAB.xls"}</definedName>
    <definedName name="KASBUN_8" localSheetId="15">{"Book1","RAB PASAR 30 AUG SCRAB.xls"}</definedName>
    <definedName name="KASBUN_8" localSheetId="13">{"Book1","RAB PASAR 30 AUG SCRAB.xls"}</definedName>
    <definedName name="KASBUN_8" localSheetId="2">{"Book1","RAB PASAR 30 AUG SCRAB.xls"}</definedName>
    <definedName name="KASBUN_8" localSheetId="8">{"Book1","RAB PASAR 30 AUG SCRAB.xls"}</definedName>
    <definedName name="KASBUN_8" localSheetId="27">{"Book1","RAB PASAR 30 AUG SCRAB.xls"}</definedName>
    <definedName name="KASBUN_8">{"Book1","RAB PASAR 30 AUG SCRAB.xls"}</definedName>
    <definedName name="KASBUN_9" localSheetId="5">{"Book1","RAB PASAR 30 AUG SCRAB.xls"}</definedName>
    <definedName name="KASBUN_9" localSheetId="15">{"Book1","RAB PASAR 30 AUG SCRAB.xls"}</definedName>
    <definedName name="KASBUN_9" localSheetId="13">{"Book1","RAB PASAR 30 AUG SCRAB.xls"}</definedName>
    <definedName name="KASBUN_9" localSheetId="2">{"Book1","RAB PASAR 30 AUG SCRAB.xls"}</definedName>
    <definedName name="KASBUN_9" localSheetId="8">{"Book1","RAB PASAR 30 AUG SCRAB.xls"}</definedName>
    <definedName name="KASBUN_9" localSheetId="27">{"Book1","RAB PASAR 30 AUG SCRAB.xls"}</definedName>
    <definedName name="KASBUN_9">{"Book1","RAB PASAR 30 AUG SCRAB.xls"}</definedName>
    <definedName name="kfhkdty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2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3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4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4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5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5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gs_10">"$#REF!.$#REF!$#REF!"</definedName>
    <definedName name="kgs_12">"$#REF!.$#REF!$#REF!"</definedName>
    <definedName name="kgs_13">"$#REF!.$#REF!$#REF!"</definedName>
    <definedName name="kgs_5">"$#REF!.$#REF!$#REF!"</definedName>
    <definedName name="kgs_7">"$#REF!.$#REF!$#REF!"</definedName>
    <definedName name="kgs_8">"$#REF!.$#REF!$#REF!"</definedName>
    <definedName name="kk" localSheetId="15" hidden="1">#REF!</definedName>
    <definedName name="kk" localSheetId="2" hidden="1">#REF!</definedName>
    <definedName name="kk" localSheetId="8" hidden="1">#REF!</definedName>
    <definedName name="kk" localSheetId="27" hidden="1">#REF!</definedName>
    <definedName name="kk" hidden="1">#REF!</definedName>
    <definedName name="kk10a_10">"$#REF!.$#REF!$#REF!"</definedName>
    <definedName name="kk10a_12">"$#REF!.$#REF!$#REF!"</definedName>
    <definedName name="kk10a_13">"$#REF!.$#REF!$#REF!"</definedName>
    <definedName name="kk10a_5">"$#REF!.$#REF!$#REF!"</definedName>
    <definedName name="kk10a_7">"$#REF!.$#REF!$#REF!"</definedName>
    <definedName name="kk10a_8">"$#REF!.$#REF!$#REF!"</definedName>
    <definedName name="kk16a_10">"$#REF!.$#REF!$#REF!"</definedName>
    <definedName name="kk16a_12">"$#REF!.$#REF!$#REF!"</definedName>
    <definedName name="kk16a_13">"$#REF!.$#REF!$#REF!"</definedName>
    <definedName name="kk16a_5">"$#REF!.$#REF!$#REF!"</definedName>
    <definedName name="kk16a_7">"$#REF!.$#REF!$#REF!"</definedName>
    <definedName name="kk16a_8">"$#REF!.$#REF!$#REF!"</definedName>
    <definedName name="klp_10">"$#REF!.$#REF!$#REF!"</definedName>
    <definedName name="klp_12">"$#REF!.$#REF!$#REF!"</definedName>
    <definedName name="klp_13">"$#REF!.$#REF!$#REF!"</definedName>
    <definedName name="klp_5">"$#REF!.$#REF!$#REF!"</definedName>
    <definedName name="klp_7">"$#REF!.$#REF!$#REF!"</definedName>
    <definedName name="klp_8">"$#REF!.$#REF!$#REF!"</definedName>
    <definedName name="koeflingg_10">"$#REF!.$#REF!$#REF!"</definedName>
    <definedName name="koeflingg_12">"$#REF!.$#REF!$#REF!"</definedName>
    <definedName name="koeflingg_13">"$#REF!.$#REF!$#REF!"</definedName>
    <definedName name="koeflingg_5">"$#REF!.$#REF!$#REF!"</definedName>
    <definedName name="koeflingg_7">"$#REF!.$#REF!$#REF!"</definedName>
    <definedName name="koeflingg_8">"$#REF!.$#REF!$#REF!"</definedName>
    <definedName name="koeflingk_10">"$#REF!.$#REF!$#REF!"</definedName>
    <definedName name="koeflingk_12">"$#REF!.$#REF!$#REF!"</definedName>
    <definedName name="koeflingk_13">"$#REF!.$#REF!$#REF!"</definedName>
    <definedName name="koeflingk_5">"$#REF!.$#REF!$#REF!"</definedName>
    <definedName name="koeflingk_7">"$#REF!.$#REF!$#REF!"</definedName>
    <definedName name="koeflingk_8">"$#REF!.$#REF!$#REF!"</definedName>
    <definedName name="ksk_10">"$#REF!.$#REF!$#REF!"</definedName>
    <definedName name="ksk_12">"$#REF!.$#REF!$#REF!"</definedName>
    <definedName name="ksk_13">"$#REF!.$#REF!$#REF!"</definedName>
    <definedName name="ksk_5">"$#REF!.$#REF!$#REF!"</definedName>
    <definedName name="ksk_7">"$#REF!.$#REF!$#REF!"</definedName>
    <definedName name="ksk_8">"$#REF!.$#REF!$#REF!"</definedName>
    <definedName name="kst_10">"$#REF!.$#REF!$#REF!"</definedName>
    <definedName name="kst_12">"$#REF!.$#REF!$#REF!"</definedName>
    <definedName name="kst_13">"$#REF!.$#REF!$#REF!"</definedName>
    <definedName name="kst_5">"$#REF!.$#REF!$#REF!"</definedName>
    <definedName name="kst_7">"$#REF!.$#REF!$#REF!"</definedName>
    <definedName name="kst_8">"$#REF!.$#REF!$#REF!"</definedName>
    <definedName name="kwh1st_10">"$#REF!.$#REF!$#REF!"</definedName>
    <definedName name="kwh1st_12">"$#REF!.$#REF!$#REF!"</definedName>
    <definedName name="kwh1st_13">"$#REF!.$#REF!$#REF!"</definedName>
    <definedName name="kwh1st_5">"$#REF!.$#REF!$#REF!"</definedName>
    <definedName name="kwh1st_7">"$#REF!.$#REF!$#REF!"</definedName>
    <definedName name="kwh1st_8">"$#REF!.$#REF!$#REF!"</definedName>
    <definedName name="kwh3st_10">"$#REF!.$#REF!$#REF!"</definedName>
    <definedName name="kwh3st_12">"$#REF!.$#REF!$#REF!"</definedName>
    <definedName name="kwh3st_13">"$#REF!.$#REF!$#REF!"</definedName>
    <definedName name="kwh3st_5">"$#REF!.$#REF!$#REF!"</definedName>
    <definedName name="kwh3st_7">"$#REF!.$#REF!$#REF!"</definedName>
    <definedName name="kwh3st_8">"$#REF!.$#REF!$#REF!"</definedName>
    <definedName name="L" localSheetId="15" hidden="1">[24]ESCON!#REF!</definedName>
    <definedName name="L" localSheetId="2" hidden="1">[24]ESCON!#REF!</definedName>
    <definedName name="L" localSheetId="8" hidden="1">[24]ESCON!#REF!</definedName>
    <definedName name="L" localSheetId="27" hidden="1">[24]ESCON!#REF!</definedName>
    <definedName name="L" hidden="1">[24]ESCON!#REF!</definedName>
    <definedName name="ldjt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2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3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4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4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5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5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eb_10">"$#REF!.$#REF!$#REF!"</definedName>
    <definedName name="leb_12">"$#REF!.$#REF!$#REF!"</definedName>
    <definedName name="leb_13">"$#REF!.$#REF!$#REF!"</definedName>
    <definedName name="leb_5">"$#REF!.$#REF!$#REF!"</definedName>
    <definedName name="leb_7">"$#REF!.$#REF!$#REF!"</definedName>
    <definedName name="leb_8">"$#REF!.$#REF!$#REF!"</definedName>
    <definedName name="Lett" localSheetId="15" hidden="1">#REF!</definedName>
    <definedName name="Lett" localSheetId="2" hidden="1">#REF!</definedName>
    <definedName name="Lett" localSheetId="8" hidden="1">#REF!</definedName>
    <definedName name="Lett" localSheetId="27" hidden="1">#REF!</definedName>
    <definedName name="Lett" hidden="1">#REF!</definedName>
    <definedName name="Lisa" localSheetId="5" hidden="1">{#N/A,#N/A,FALSE,"REK-S-TPL";#N/A,#N/A,FALSE,"REK-TPML";#N/A,#N/A,FALSE,"RAB-TEMPEL"}</definedName>
    <definedName name="Lisa" localSheetId="15" hidden="1">{#N/A,#N/A,FALSE,"REK-S-TPL";#N/A,#N/A,FALSE,"REK-TPML";#N/A,#N/A,FALSE,"RAB-TEMPEL"}</definedName>
    <definedName name="Lisa" localSheetId="13" hidden="1">{#N/A,#N/A,FALSE,"REK-S-TPL";#N/A,#N/A,FALSE,"REK-TPML";#N/A,#N/A,FALSE,"RAB-TEMPEL"}</definedName>
    <definedName name="Lisa" localSheetId="2" hidden="1">{#N/A,#N/A,FALSE,"REK-S-TPL";#N/A,#N/A,FALSE,"REK-TPML";#N/A,#N/A,FALSE,"RAB-TEMPEL"}</definedName>
    <definedName name="Lisa" localSheetId="8" hidden="1">{#N/A,#N/A,FALSE,"REK-S-TPL";#N/A,#N/A,FALSE,"REK-TPML";#N/A,#N/A,FALSE,"RAB-TEMPEL"}</definedName>
    <definedName name="Lisa" localSheetId="27" hidden="1">{#N/A,#N/A,FALSE,"REK-S-TPL";#N/A,#N/A,FALSE,"REK-TPML";#N/A,#N/A,FALSE,"RAB-TEMPEL"}</definedName>
    <definedName name="Lisa" hidden="1">{#N/A,#N/A,FALSE,"REK-S-TPL";#N/A,#N/A,FALSE,"REK-TPML";#N/A,#N/A,FALSE,"RAB-TEMPEL"}</definedName>
    <definedName name="llfoeo" localSheetId="15" hidden="1">[20]H.Satuan!#REF!</definedName>
    <definedName name="llfoeo" localSheetId="27" hidden="1">[20]H.Satuan!#REF!</definedName>
    <definedName name="llfoeo" hidden="1">[20]H.Satuan!#REF!</definedName>
    <definedName name="lmpp" hidden="1">'[25]HARGA MATERIAL'!$H$32:$Y$35</definedName>
    <definedName name="MA" localSheetId="15">'Pas. Dinding'!MA</definedName>
    <definedName name="MA" localSheetId="27">'TABEL BAJA'!MA</definedName>
    <definedName name="MA">[9]!MA</definedName>
    <definedName name="mark_up_10">"$#REF!.$#REF!$#REF!"</definedName>
    <definedName name="mark_up_12">"$#REF!.$#REF!$#REF!"</definedName>
    <definedName name="mark_up_13">"$#REF!.$#REF!$#REF!"</definedName>
    <definedName name="mark_up_5">"$#REF!.$#REF!$#REF!"</definedName>
    <definedName name="mark_up_7">"$#REF!.$#REF!$#REF!"</definedName>
    <definedName name="mark_up_8">"$#REF!.$#REF!$#REF!"</definedName>
    <definedName name="mmc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2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3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4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4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5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5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pres">"mt"</definedName>
    <definedName name="NHG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2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3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4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4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5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5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usagolfres" localSheetId="15">'Pas. Dinding'!Nusagolfres</definedName>
    <definedName name="Nusagolfres" localSheetId="27">'TABEL BAJA'!Nusagolfres</definedName>
    <definedName name="Nusagolfres">[9]!Nusagolfres</definedName>
    <definedName name="nyfgby3x6lt_10">"$#REF!.$#REF!$#REF!"</definedName>
    <definedName name="nyfgby3x6lt_12">"$#REF!.$#REF!$#REF!"</definedName>
    <definedName name="nyfgby3x6lt_13">"$#REF!.$#REF!$#REF!"</definedName>
    <definedName name="nyfgby3x6lt_5">"$#REF!.$#REF!$#REF!"</definedName>
    <definedName name="nyfgby3x6lt_7">"$#REF!.$#REF!$#REF!"</definedName>
    <definedName name="nyfgby3x6lt_8">"$#REF!.$#REF!$#REF!"</definedName>
    <definedName name="nyfgby4x6lt_10">"$#REF!.$#REF!$#REF!"</definedName>
    <definedName name="nyfgby4x6lt_12">"$#REF!.$#REF!$#REF!"</definedName>
    <definedName name="nyfgby4x6lt_13">"$#REF!.$#REF!$#REF!"</definedName>
    <definedName name="nyfgby4x6lt_5">"$#REF!.$#REF!$#REF!"</definedName>
    <definedName name="nyfgby4x6lt_7">"$#REF!.$#REF!$#REF!"</definedName>
    <definedName name="nyfgby4x6lt_8">"$#REF!.$#REF!$#REF!"</definedName>
    <definedName name="nyfgby4x95_10">"$#REF!.$#REF!$#REF!"</definedName>
    <definedName name="nyfgby4x95_12">"$#REF!.$#REF!$#REF!"</definedName>
    <definedName name="nyfgby4x95_13">"$#REF!.$#REF!$#REF!"</definedName>
    <definedName name="nyfgby4x95_5">"$#REF!.$#REF!$#REF!"</definedName>
    <definedName name="nyfgby4x95_7">"$#REF!.$#REF!$#REF!"</definedName>
    <definedName name="nyfgby4x95_8">"$#REF!.$#REF!$#REF!"</definedName>
    <definedName name="nyfgby5x6lt_10">"$#REF!.$#REF!$#REF!"</definedName>
    <definedName name="nyfgby5x6lt_12">"$#REF!.$#REF!$#REF!"</definedName>
    <definedName name="nyfgby5x6lt_13">"$#REF!.$#REF!$#REF!"</definedName>
    <definedName name="nyfgby5x6lt_5">"$#REF!.$#REF!$#REF!"</definedName>
    <definedName name="nyfgby5x6lt_7">"$#REF!.$#REF!$#REF!"</definedName>
    <definedName name="nyfgby5x6lt_8">"$#REF!.$#REF!$#REF!"</definedName>
    <definedName name="nym3x2.5flt_10">"$#REF!.$#REF!$#REF!"</definedName>
    <definedName name="nym3x2.5flt_12">"$#REF!.$#REF!$#REF!"</definedName>
    <definedName name="nym3x2.5flt_13">"$#REF!.$#REF!$#REF!"</definedName>
    <definedName name="nym3x2.5flt_5">"$#REF!.$#REF!$#REF!"</definedName>
    <definedName name="nym3x2.5flt_7">"$#REF!.$#REF!$#REF!"</definedName>
    <definedName name="nym3x2.5flt_8">"$#REF!.$#REF!$#REF!"</definedName>
    <definedName name="nyy11x1x500_10">"$#REF!.$#REF!$#REF!"</definedName>
    <definedName name="nyy11x1x500_12">"$#REF!.$#REF!$#REF!"</definedName>
    <definedName name="nyy11x1x500_13">"$#REF!.$#REF!$#REF!"</definedName>
    <definedName name="nyy11x1x500_5">"$#REF!.$#REF!$#REF!"</definedName>
    <definedName name="nyy11x1x500_7">"$#REF!.$#REF!$#REF!"</definedName>
    <definedName name="nyy11x1x500_8">"$#REF!.$#REF!$#REF!"</definedName>
    <definedName name="nyy14x1x500_10">"$#REF!.$#REF!$#REF!"</definedName>
    <definedName name="nyy14x1x500_12">"$#REF!.$#REF!$#REF!"</definedName>
    <definedName name="nyy14x1x500_13">"$#REF!.$#REF!$#REF!"</definedName>
    <definedName name="nyy14x1x500_5">"$#REF!.$#REF!$#REF!"</definedName>
    <definedName name="nyy14x1x500_7">"$#REF!.$#REF!$#REF!"</definedName>
    <definedName name="nyy14x1x500_8">"$#REF!.$#REF!$#REF!"</definedName>
    <definedName name="nyy16x1x500_10">"$#REF!.$#REF!$#REF!"</definedName>
    <definedName name="nyy16x1x500_12">"$#REF!.$#REF!$#REF!"</definedName>
    <definedName name="nyy16x1x500_13">"$#REF!.$#REF!$#REF!"</definedName>
    <definedName name="nyy16x1x500_5">"$#REF!.$#REF!$#REF!"</definedName>
    <definedName name="nyy16x1x500_7">"$#REF!.$#REF!$#REF!"</definedName>
    <definedName name="nyy16x1x500_8">"$#REF!.$#REF!$#REF!"</definedName>
    <definedName name="nyy18x1x500_10">"$#REF!.$#REF!$#REF!"</definedName>
    <definedName name="nyy18x1x500_12">"$#REF!.$#REF!$#REF!"</definedName>
    <definedName name="nyy18x1x500_13">"$#REF!.$#REF!$#REF!"</definedName>
    <definedName name="nyy18x1x500_5">"$#REF!.$#REF!$#REF!"</definedName>
    <definedName name="nyy18x1x500_7">"$#REF!.$#REF!$#REF!"</definedName>
    <definedName name="nyy18x1x500_8">"$#REF!.$#REF!$#REF!"</definedName>
    <definedName name="nyy21x1x500_10">"$#REF!.$#REF!$#REF!"</definedName>
    <definedName name="nyy21x1x500_12">"$#REF!.$#REF!$#REF!"</definedName>
    <definedName name="nyy21x1x500_13">"$#REF!.$#REF!$#REF!"</definedName>
    <definedName name="nyy21x1x500_5">"$#REF!.$#REF!$#REF!"</definedName>
    <definedName name="nyy21x1x500_7">"$#REF!.$#REF!$#REF!"</definedName>
    <definedName name="nyy21x1x500_8">"$#REF!.$#REF!$#REF!"</definedName>
    <definedName name="nyy25x1x500_10">"$#REF!.$#REF!$#REF!"</definedName>
    <definedName name="nyy25x1x500_12">"$#REF!.$#REF!$#REF!"</definedName>
    <definedName name="nyy25x1x500_13">"$#REF!.$#REF!$#REF!"</definedName>
    <definedName name="nyy25x1x500_5">"$#REF!.$#REF!$#REF!"</definedName>
    <definedName name="nyy25x1x500_7">"$#REF!.$#REF!$#REF!"</definedName>
    <definedName name="nyy25x1x500_8">"$#REF!.$#REF!$#REF!"</definedName>
    <definedName name="nyy2x4x16_10">"$#REF!.$#REF!$#REF!"</definedName>
    <definedName name="nyy2x4x16_12">"$#REF!.$#REF!$#REF!"</definedName>
    <definedName name="nyy2x4x16_13">"$#REF!.$#REF!$#REF!"</definedName>
    <definedName name="nyy2x4x16_5">"$#REF!.$#REF!$#REF!"</definedName>
    <definedName name="nyy2x4x16_7">"$#REF!.$#REF!$#REF!"</definedName>
    <definedName name="nyy2x4x16_8">"$#REF!.$#REF!$#REF!"</definedName>
    <definedName name="nyy3x6_10">"$#REF!.$#REF!$#REF!"</definedName>
    <definedName name="nyy3x6_12">"$#REF!.$#REF!$#REF!"</definedName>
    <definedName name="nyy3x6_13">"$#REF!.$#REF!$#REF!"</definedName>
    <definedName name="nyy3x6_5">"$#REF!.$#REF!$#REF!"</definedName>
    <definedName name="nyy3x6_7">"$#REF!.$#REF!$#REF!"</definedName>
    <definedName name="nyy3x6_8">"$#REF!.$#REF!$#REF!"</definedName>
    <definedName name="nyy4x10_10">"$#REF!.$#REF!$#REF!"</definedName>
    <definedName name="nyy4x10_12">"$#REF!.$#REF!$#REF!"</definedName>
    <definedName name="nyy4x10_13">"$#REF!.$#REF!$#REF!"</definedName>
    <definedName name="nyy4x10_5">"$#REF!.$#REF!$#REF!"</definedName>
    <definedName name="nyy4x10_7">"$#REF!.$#REF!$#REF!"</definedName>
    <definedName name="nyy4x10_8">"$#REF!.$#REF!$#REF!"</definedName>
    <definedName name="nyy4x120_10">"$#REF!.$#REF!$#REF!"</definedName>
    <definedName name="nyy4x120_12">"$#REF!.$#REF!$#REF!"</definedName>
    <definedName name="nyy4x120_13">"$#REF!.$#REF!$#REF!"</definedName>
    <definedName name="nyy4x120_5">"$#REF!.$#REF!$#REF!"</definedName>
    <definedName name="nyy4x120_7">"$#REF!.$#REF!$#REF!"</definedName>
    <definedName name="nyy4x120_8">"$#REF!.$#REF!$#REF!"</definedName>
    <definedName name="nyy4x16_10">"$#REF!.$#REF!$#REF!"</definedName>
    <definedName name="nyy4x16_12">"$#REF!.$#REF!$#REF!"</definedName>
    <definedName name="nyy4x16_13">"$#REF!.$#REF!$#REF!"</definedName>
    <definedName name="nyy4x16_5">"$#REF!.$#REF!$#REF!"</definedName>
    <definedName name="nyy4x16_7">"$#REF!.$#REF!$#REF!"</definedName>
    <definedName name="nyy4x16_8">"$#REF!.$#REF!$#REF!"</definedName>
    <definedName name="nyy4x185_10">"$#REF!.$#REF!$#REF!"</definedName>
    <definedName name="nyy4x185_12">"$#REF!.$#REF!$#REF!"</definedName>
    <definedName name="nyy4x185_13">"$#REF!.$#REF!$#REF!"</definedName>
    <definedName name="nyy4x185_5">"$#REF!.$#REF!$#REF!"</definedName>
    <definedName name="nyy4x185_7">"$#REF!.$#REF!$#REF!"</definedName>
    <definedName name="nyy4x185_8">"$#REF!.$#REF!$#REF!"</definedName>
    <definedName name="nyy4x1x300_10">"$#REF!.$#REF!$#REF!"</definedName>
    <definedName name="nyy4x1x300_12">"$#REF!.$#REF!$#REF!"</definedName>
    <definedName name="nyy4x1x300_13">"$#REF!.$#REF!$#REF!"</definedName>
    <definedName name="nyy4x1x300_5">"$#REF!.$#REF!$#REF!"</definedName>
    <definedName name="nyy4x1x300_7">"$#REF!.$#REF!$#REF!"</definedName>
    <definedName name="nyy4x1x300_8">"$#REF!.$#REF!$#REF!"</definedName>
    <definedName name="nyy4x1x400_10">"$#REF!.$#REF!$#REF!"</definedName>
    <definedName name="nyy4x1x400_12">"$#REF!.$#REF!$#REF!"</definedName>
    <definedName name="nyy4x1x400_13">"$#REF!.$#REF!$#REF!"</definedName>
    <definedName name="nyy4x1x400_5">"$#REF!.$#REF!$#REF!"</definedName>
    <definedName name="nyy4x1x400_7">"$#REF!.$#REF!$#REF!"</definedName>
    <definedName name="nyy4x1x400_8">"$#REF!.$#REF!$#REF!"</definedName>
    <definedName name="nyy4x1x500_10">"$#REF!.$#REF!$#REF!"</definedName>
    <definedName name="nyy4x1x500_12">"$#REF!.$#REF!$#REF!"</definedName>
    <definedName name="nyy4x1x500_13">"$#REF!.$#REF!$#REF!"</definedName>
    <definedName name="nyy4x1x500_5">"$#REF!.$#REF!$#REF!"</definedName>
    <definedName name="nyy4x1x500_7">"$#REF!.$#REF!$#REF!"</definedName>
    <definedName name="nyy4x1x500_8">"$#REF!.$#REF!$#REF!"</definedName>
    <definedName name="nyy4x25_10">"$#REF!.$#REF!$#REF!"</definedName>
    <definedName name="nyy4x25_12">"$#REF!.$#REF!$#REF!"</definedName>
    <definedName name="nyy4x25_13">"$#REF!.$#REF!$#REF!"</definedName>
    <definedName name="nyy4x25_5">"$#REF!.$#REF!$#REF!"</definedName>
    <definedName name="nyy4x25_7">"$#REF!.$#REF!$#REF!"</definedName>
    <definedName name="nyy4x25_8">"$#REF!.$#REF!$#REF!"</definedName>
    <definedName name="nyy4x50_10">"$#REF!.$#REF!$#REF!"</definedName>
    <definedName name="nyy4x50_12">"$#REF!.$#REF!$#REF!"</definedName>
    <definedName name="nyy4x50_13">"$#REF!.$#REF!$#REF!"</definedName>
    <definedName name="nyy4x50_5">"$#REF!.$#REF!$#REF!"</definedName>
    <definedName name="nyy4x50_7">"$#REF!.$#REF!$#REF!"</definedName>
    <definedName name="nyy4x50_8">"$#REF!.$#REF!$#REF!"</definedName>
    <definedName name="nyy4x70_10">"$#REF!.$#REF!$#REF!"</definedName>
    <definedName name="nyy4x70_12">"$#REF!.$#REF!$#REF!"</definedName>
    <definedName name="nyy4x70_13">"$#REF!.$#REF!$#REF!"</definedName>
    <definedName name="nyy4x70_5">"$#REF!.$#REF!$#REF!"</definedName>
    <definedName name="nyy4x70_7">"$#REF!.$#REF!$#REF!"</definedName>
    <definedName name="nyy4x70_8">"$#REF!.$#REF!$#REF!"</definedName>
    <definedName name="nyy4x95_10">"$#REF!.$#REF!$#REF!"</definedName>
    <definedName name="nyy4x95_12">"$#REF!.$#REF!$#REF!"</definedName>
    <definedName name="nyy4x95_13">"$#REF!.$#REF!$#REF!"</definedName>
    <definedName name="nyy4x95_5">"$#REF!.$#REF!$#REF!"</definedName>
    <definedName name="nyy4x95_7">"$#REF!.$#REF!$#REF!"</definedName>
    <definedName name="nyy4x95_8">"$#REF!.$#REF!$#REF!"</definedName>
    <definedName name="nyy5x4_10">"$#REF!.$#REF!$#REF!"</definedName>
    <definedName name="nyy5x4_12">"$#REF!.$#REF!$#REF!"</definedName>
    <definedName name="nyy5x4_13">"$#REF!.$#REF!$#REF!"</definedName>
    <definedName name="nyy5x4_5">"$#REF!.$#REF!$#REF!"</definedName>
    <definedName name="nyy5x4_7">"$#REF!.$#REF!$#REF!"</definedName>
    <definedName name="nyy5x4_8">"$#REF!.$#REF!$#REF!"</definedName>
    <definedName name="nyy5x6_10">"$#REF!.$#REF!$#REF!"</definedName>
    <definedName name="nyy5x6_12">"$#REF!.$#REF!$#REF!"</definedName>
    <definedName name="nyy5x6_13">"$#REF!.$#REF!$#REF!"</definedName>
    <definedName name="nyy5x6_5">"$#REF!.$#REF!$#REF!"</definedName>
    <definedName name="nyy5x6_7">"$#REF!.$#REF!$#REF!"</definedName>
    <definedName name="nyy5x6_8">"$#REF!.$#REF!$#REF!"</definedName>
    <definedName name="nyy7x1x300_10">"$#REF!.$#REF!$#REF!"</definedName>
    <definedName name="nyy7x1x300_12">"$#REF!.$#REF!$#REF!"</definedName>
    <definedName name="nyy7x1x300_13">"$#REF!.$#REF!$#REF!"</definedName>
    <definedName name="nyy7x1x300_5">"$#REF!.$#REF!$#REF!"</definedName>
    <definedName name="nyy7x1x300_7">"$#REF!.$#REF!$#REF!"</definedName>
    <definedName name="nyy7x1x300_8">"$#REF!.$#REF!$#REF!"</definedName>
    <definedName name="nyy7x1x500_10">"$#REF!.$#REF!$#REF!"</definedName>
    <definedName name="nyy7x1x500_12">"$#REF!.$#REF!$#REF!"</definedName>
    <definedName name="nyy7x1x500_13">"$#REF!.$#REF!$#REF!"</definedName>
    <definedName name="nyy7x1x500_5">"$#REF!.$#REF!$#REF!"</definedName>
    <definedName name="nyy7x1x500_7">"$#REF!.$#REF!$#REF!"</definedName>
    <definedName name="nyy7x1x500_8">"$#REF!.$#REF!$#REF!"</definedName>
    <definedName name="OFFI" localSheetId="5">HAJIME:OWARI</definedName>
    <definedName name="OFFI" localSheetId="15">[8]!HAJIME:[8]!OWARI</definedName>
    <definedName name="OFFI" localSheetId="13">HAJIME:OWARI</definedName>
    <definedName name="OFFI" localSheetId="10">HAJIME:OWARI</definedName>
    <definedName name="OFFI" localSheetId="2">HAJIME:OWARI</definedName>
    <definedName name="OFFI" localSheetId="8">HAJIME:OWARI</definedName>
    <definedName name="OFFI" localSheetId="27">'TABEL BAJA'!HAJIME:'TABEL BAJA'!OWARI</definedName>
    <definedName name="OFFI">HAJIME:OWARI</definedName>
    <definedName name="OFFI___0">NA()</definedName>
    <definedName name="OFFI___2">NA()</definedName>
    <definedName name="OFFICE" localSheetId="9">STOP2:STOP2E</definedName>
    <definedName name="OFFICE" localSheetId="5">STOP2:STOP2E</definedName>
    <definedName name="OFFICE" localSheetId="15">STOP2:STOP2E</definedName>
    <definedName name="OFFICE" localSheetId="13">STOP2:STOP2E</definedName>
    <definedName name="OFFICE" localSheetId="10">STOP2:STOP2E</definedName>
    <definedName name="OFFICE" localSheetId="2">STOP2:STOP2E</definedName>
    <definedName name="OFFICE" localSheetId="11">STOP2:STOP2E</definedName>
    <definedName name="OFFICE" localSheetId="8">STOP2:STOP2E</definedName>
    <definedName name="OFFICE" localSheetId="27">STOP2:STOP2E</definedName>
    <definedName name="OFFICE">STOP2:STOP2E</definedName>
    <definedName name="OFFICE___0">NA()</definedName>
    <definedName name="OFFICE___2">NA()</definedName>
    <definedName name="OFFICE_TW1" localSheetId="9">STOP:STOPE</definedName>
    <definedName name="OFFICE_TW1" localSheetId="5">STOP:STOPE</definedName>
    <definedName name="OFFICE_TW1" localSheetId="15">STOP:STOPE</definedName>
    <definedName name="OFFICE_TW1" localSheetId="13">STOP:STOPE</definedName>
    <definedName name="OFFICE_TW1" localSheetId="10">STOP:STOPE</definedName>
    <definedName name="OFFICE_TW1" localSheetId="2">STOP:STOPE</definedName>
    <definedName name="OFFICE_TW1" localSheetId="11">STOP:STOPE</definedName>
    <definedName name="OFFICE_TW1" localSheetId="8">STOP:STOPE</definedName>
    <definedName name="OFFICE_TW1" localSheetId="27">STOP:STOPE</definedName>
    <definedName name="OFFICE_TW1">STOP:STOPE</definedName>
    <definedName name="OFFICE_TW1___0">NA()</definedName>
    <definedName name="OFFICE_TW1___2">NA()</definedName>
    <definedName name="oke" hidden="1">'[26]HARGA MATERIAL'!$G$27:$X$33</definedName>
    <definedName name="OLF" hidden="1">'[27]HARGA MATERIAL'!$A$11:$A$208</definedName>
    <definedName name="OMC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2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3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4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4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5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5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PERATING_EQUIPMENT_10">"$#REF!.#REF!#REF!"</definedName>
    <definedName name="OPERATING_EQUIPMENT_12">"$#REF!.#REF!#REF!"</definedName>
    <definedName name="OPERATING_EQUIPMENT_13">"$#REF!.#REF!#REF!"</definedName>
    <definedName name="OPERATING_EQUIPMENT_5">"$#REF!.#REF!#REF!"</definedName>
    <definedName name="OPERATING_EQUIPMENT_7">"$#REF!.#REF!#REF!"</definedName>
    <definedName name="OPERATING_EQUIPMENT_8">"$#REF!.#REF!#REF!"</definedName>
    <definedName name="OrderTable" localSheetId="15" hidden="1">#REF!</definedName>
    <definedName name="OrderTable" localSheetId="2" hidden="1">#REF!</definedName>
    <definedName name="OrderTable" localSheetId="8" hidden="1">#REF!</definedName>
    <definedName name="OrderTable" localSheetId="27" hidden="1">#REF!</definedName>
    <definedName name="OrderTable" hidden="1">#REF!</definedName>
    <definedName name="pab100_10">"$#REF!.$#REF!$#REF!"</definedName>
    <definedName name="pab100_12">"$#REF!.$#REF!$#REF!"</definedName>
    <definedName name="pab100_13">"$#REF!.$#REF!$#REF!"</definedName>
    <definedName name="pab100_5">"$#REF!.$#REF!$#REF!"</definedName>
    <definedName name="pab100_7">"$#REF!.$#REF!$#REF!"</definedName>
    <definedName name="pab100_8">"$#REF!.$#REF!$#REF!"</definedName>
    <definedName name="pab15_10">"$#REF!.$#REF!$#REF!"</definedName>
    <definedName name="pab15_12">"$#REF!.$#REF!$#REF!"</definedName>
    <definedName name="pab15_13">"$#REF!.$#REF!$#REF!"</definedName>
    <definedName name="pab15_5">"$#REF!.$#REF!$#REF!"</definedName>
    <definedName name="pab15_7">"$#REF!.$#REF!$#REF!"</definedName>
    <definedName name="pab15_8">"$#REF!.$#REF!$#REF!"</definedName>
    <definedName name="pab150_10">"$#REF!.$#REF!$#REF!"</definedName>
    <definedName name="pab150_12">"$#REF!.$#REF!$#REF!"</definedName>
    <definedName name="pab150_13">"$#REF!.$#REF!$#REF!"</definedName>
    <definedName name="pab150_5">"$#REF!.$#REF!$#REF!"</definedName>
    <definedName name="pab150_7">"$#REF!.$#REF!$#REF!"</definedName>
    <definedName name="pab150_8">"$#REF!.$#REF!$#REF!"</definedName>
    <definedName name="pab2_10">"$#REF!.$#REF!$#REF!"</definedName>
    <definedName name="pab2_12">"$#REF!.$#REF!$#REF!"</definedName>
    <definedName name="pab2_13">"$#REF!.$#REF!$#REF!"</definedName>
    <definedName name="pab2_5">"$#REF!.$#REF!$#REF!"</definedName>
    <definedName name="pab2_7">"$#REF!.$#REF!$#REF!"</definedName>
    <definedName name="pab2_8">"$#REF!.$#REF!$#REF!"</definedName>
    <definedName name="pab20_10">"$#REF!.$#REF!$#REF!"</definedName>
    <definedName name="pab20_12">"$#REF!.$#REF!$#REF!"</definedName>
    <definedName name="pab20_13">"$#REF!.$#REF!$#REF!"</definedName>
    <definedName name="pab20_5">"$#REF!.$#REF!$#REF!"</definedName>
    <definedName name="pab20_7">"$#REF!.$#REF!$#REF!"</definedName>
    <definedName name="pab20_8">"$#REF!.$#REF!$#REF!"</definedName>
    <definedName name="pab25_10">"$#REF!.$#REF!$#REF!"</definedName>
    <definedName name="pab25_12">"$#REF!.$#REF!$#REF!"</definedName>
    <definedName name="pab25_13">"$#REF!.$#REF!$#REF!"</definedName>
    <definedName name="pab25_5">"$#REF!.$#REF!$#REF!"</definedName>
    <definedName name="pab25_7">"$#REF!.$#REF!$#REF!"</definedName>
    <definedName name="pab25_8">"$#REF!.$#REF!$#REF!"</definedName>
    <definedName name="pab32_10">"$#REF!.$#REF!$#REF!"</definedName>
    <definedName name="pab32_12">"$#REF!.$#REF!$#REF!"</definedName>
    <definedName name="pab32_13">"$#REF!.$#REF!$#REF!"</definedName>
    <definedName name="pab32_5">"$#REF!.$#REF!$#REF!"</definedName>
    <definedName name="pab32_7">"$#REF!.$#REF!$#REF!"</definedName>
    <definedName name="pab32_8">"$#REF!.$#REF!$#REF!"</definedName>
    <definedName name="pab4_10">"$#REF!.$#REF!$#REF!"</definedName>
    <definedName name="pab4_12">"$#REF!.$#REF!$#REF!"</definedName>
    <definedName name="pab4_13">"$#REF!.$#REF!$#REF!"</definedName>
    <definedName name="pab4_5">"$#REF!.$#REF!$#REF!"</definedName>
    <definedName name="pab4_7">"$#REF!.$#REF!$#REF!"</definedName>
    <definedName name="pab4_8">"$#REF!.$#REF!$#REF!"</definedName>
    <definedName name="pab40_10">"$#REF!.$#REF!$#REF!"</definedName>
    <definedName name="pab40_12">"$#REF!.$#REF!$#REF!"</definedName>
    <definedName name="pab40_13">"$#REF!.$#REF!$#REF!"</definedName>
    <definedName name="pab40_5">"$#REF!.$#REF!$#REF!"</definedName>
    <definedName name="pab40_7">"$#REF!.$#REF!$#REF!"</definedName>
    <definedName name="pab40_8">"$#REF!.$#REF!$#REF!"</definedName>
    <definedName name="pab50_10">"$#REF!.$#REF!$#REF!"</definedName>
    <definedName name="pab50_12">"$#REF!.$#REF!$#REF!"</definedName>
    <definedName name="pab50_13">"$#REF!.$#REF!$#REF!"</definedName>
    <definedName name="pab50_5">"$#REF!.$#REF!$#REF!"</definedName>
    <definedName name="pab50_7">"$#REF!.$#REF!$#REF!"</definedName>
    <definedName name="pab50_8">"$#REF!.$#REF!$#REF!"</definedName>
    <definedName name="pab6_10">"$#REF!.$#REF!$#REF!"</definedName>
    <definedName name="pab6_12">"$#REF!.$#REF!$#REF!"</definedName>
    <definedName name="pab6_13">"$#REF!.$#REF!$#REF!"</definedName>
    <definedName name="pab6_5">"$#REF!.$#REF!$#REF!"</definedName>
    <definedName name="pab6_7">"$#REF!.$#REF!$#REF!"</definedName>
    <definedName name="pab6_8">"$#REF!.$#REF!$#REF!"</definedName>
    <definedName name="pab80_10">"$#REF!.$#REF!$#REF!"</definedName>
    <definedName name="pab80_12">"$#REF!.$#REF!$#REF!"</definedName>
    <definedName name="pab80_13">"$#REF!.$#REF!$#REF!"</definedName>
    <definedName name="pab80_5">"$#REF!.$#REF!$#REF!"</definedName>
    <definedName name="pab80_7">"$#REF!.$#REF!$#REF!"</definedName>
    <definedName name="pab80_8">"$#REF!.$#REF!$#REF!"</definedName>
    <definedName name="pabf100_10">"$#REF!.$#REF!$#REF!"</definedName>
    <definedName name="pabf100_12">"$#REF!.$#REF!$#REF!"</definedName>
    <definedName name="pabf100_13">"$#REF!.$#REF!$#REF!"</definedName>
    <definedName name="pabf100_5">"$#REF!.$#REF!$#REF!"</definedName>
    <definedName name="pabf100_7">"$#REF!.$#REF!$#REF!"</definedName>
    <definedName name="pabf100_8">"$#REF!.$#REF!$#REF!"</definedName>
    <definedName name="pabf150_10">"$#REF!.$#REF!$#REF!"</definedName>
    <definedName name="pabf150_12">"$#REF!.$#REF!$#REF!"</definedName>
    <definedName name="pabf150_13">"$#REF!.$#REF!$#REF!"</definedName>
    <definedName name="pabf150_5">"$#REF!.$#REF!$#REF!"</definedName>
    <definedName name="pabf150_7">"$#REF!.$#REF!$#REF!"</definedName>
    <definedName name="pabf150_8">"$#REF!.$#REF!$#REF!"</definedName>
    <definedName name="pabf4_10">"$#REF!.$#REF!$#REF!"</definedName>
    <definedName name="pabf4_12">"$#REF!.$#REF!$#REF!"</definedName>
    <definedName name="pabf4_13">"$#REF!.$#REF!$#REF!"</definedName>
    <definedName name="pabf4_5">"$#REF!.$#REF!$#REF!"</definedName>
    <definedName name="pabf4_7">"$#REF!.$#REF!$#REF!"</definedName>
    <definedName name="pabf4_8">"$#REF!.$#REF!$#REF!"</definedName>
    <definedName name="pabf6_10">"$#REF!.$#REF!$#REF!"</definedName>
    <definedName name="pabf6_12">"$#REF!.$#REF!$#REF!"</definedName>
    <definedName name="pabf6_13">"$#REF!.$#REF!$#REF!"</definedName>
    <definedName name="pabf6_5">"$#REF!.$#REF!$#REF!"</definedName>
    <definedName name="pabf6_7">"$#REF!.$#REF!$#REF!"</definedName>
    <definedName name="pabf6_8">"$#REF!.$#REF!$#REF!"</definedName>
    <definedName name="pabf80_10">"$#REF!.$#REF!$#REF!"</definedName>
    <definedName name="pabf80_12">"$#REF!.$#REF!$#REF!"</definedName>
    <definedName name="pabf80_13">"$#REF!.$#REF!$#REF!"</definedName>
    <definedName name="pabf80_5">"$#REF!.$#REF!$#REF!"</definedName>
    <definedName name="pabf80_7">"$#REF!.$#REF!$#REF!"</definedName>
    <definedName name="pabf80_8">"$#REF!.$#REF!$#REF!"</definedName>
    <definedName name="pah150_10">"$#REF!.$#REF!$#REF!"</definedName>
    <definedName name="pah150_12">"$#REF!.$#REF!$#REF!"</definedName>
    <definedName name="pah150_13">"$#REF!.$#REF!$#REF!"</definedName>
    <definedName name="pah150_5">"$#REF!.$#REF!$#REF!"</definedName>
    <definedName name="pah150_7">"$#REF!.$#REF!$#REF!"</definedName>
    <definedName name="pah150_8">"$#REF!.$#REF!$#REF!"</definedName>
    <definedName name="pak100_10">"$#REF!.$#REF!$#REF!"</definedName>
    <definedName name="pak100_12">"$#REF!.$#REF!$#REF!"</definedName>
    <definedName name="pak100_13">"$#REF!.$#REF!$#REF!"</definedName>
    <definedName name="pak100_5">"$#REF!.$#REF!$#REF!"</definedName>
    <definedName name="pak100_7">"$#REF!.$#REF!$#REF!"</definedName>
    <definedName name="pak100_8">"$#REF!.$#REF!$#REF!"</definedName>
    <definedName name="pak150_10">"$#REF!.$#REF!$#REF!"</definedName>
    <definedName name="pak150_12">"$#REF!.$#REF!$#REF!"</definedName>
    <definedName name="pak150_13">"$#REF!.$#REF!$#REF!"</definedName>
    <definedName name="pak150_5">"$#REF!.$#REF!$#REF!"</definedName>
    <definedName name="pak150_7">"$#REF!.$#REF!$#REF!"</definedName>
    <definedName name="pak150_8">"$#REF!.$#REF!$#REF!"</definedName>
    <definedName name="pak50_10">"$#REF!.$#REF!$#REF!"</definedName>
    <definedName name="pak50_12">"$#REF!.$#REF!$#REF!"</definedName>
    <definedName name="pak50_13">"$#REF!.$#REF!$#REF!"</definedName>
    <definedName name="pak50_5">"$#REF!.$#REF!$#REF!"</definedName>
    <definedName name="pak50_7">"$#REF!.$#REF!$#REF!"</definedName>
    <definedName name="pak50_8">"$#REF!.$#REF!$#REF!"</definedName>
    <definedName name="pak80_10">"$#REF!.$#REF!$#REF!"</definedName>
    <definedName name="pak80_12">"$#REF!.$#REF!$#REF!"</definedName>
    <definedName name="pak80_13">"$#REF!.$#REF!$#REF!"</definedName>
    <definedName name="pak80_5">"$#REF!.$#REF!$#REF!"</definedName>
    <definedName name="pak80_7">"$#REF!.$#REF!$#REF!"</definedName>
    <definedName name="pak80_8">"$#REF!.$#REF!$#REF!"</definedName>
    <definedName name="pakf100_10">"$#REF!.$#REF!$#REF!"</definedName>
    <definedName name="pakf100_12">"$#REF!.$#REF!$#REF!"</definedName>
    <definedName name="pakf100_13">"$#REF!.$#REF!$#REF!"</definedName>
    <definedName name="pakf100_5">"$#REF!.$#REF!$#REF!"</definedName>
    <definedName name="pakf100_7">"$#REF!.$#REF!$#REF!"</definedName>
    <definedName name="pakf100_8">"$#REF!.$#REF!$#REF!"</definedName>
    <definedName name="pakf150_10">"$#REF!.$#REF!$#REF!"</definedName>
    <definedName name="pakf150_12">"$#REF!.$#REF!$#REF!"</definedName>
    <definedName name="pakf150_13">"$#REF!.$#REF!$#REF!"</definedName>
    <definedName name="pakf150_5">"$#REF!.$#REF!$#REF!"</definedName>
    <definedName name="pakf150_7">"$#REF!.$#REF!$#REF!"</definedName>
    <definedName name="pakf150_8">"$#REF!.$#REF!$#REF!"</definedName>
    <definedName name="pakf80_10">"$#REF!.$#REF!$#REF!"</definedName>
    <definedName name="pakf80_12">"$#REF!.$#REF!$#REF!"</definedName>
    <definedName name="pakf80_13">"$#REF!.$#REF!$#REF!"</definedName>
    <definedName name="pakf80_5">"$#REF!.$#REF!$#REF!"</definedName>
    <definedName name="pakf80_7">"$#REF!.$#REF!$#REF!"</definedName>
    <definedName name="pakf80_8">"$#REF!.$#REF!$#REF!"</definedName>
    <definedName name="pas" localSheetId="15">'Pas. Dinding'!pas</definedName>
    <definedName name="pas" localSheetId="27">'TABEL BAJA'!pas</definedName>
    <definedName name="pas">[9]!pas</definedName>
    <definedName name="Payment_Date">NA()</definedName>
    <definedName name="Payment_Date_1">NA()</definedName>
    <definedName name="Payment_Date_10">NA()</definedName>
    <definedName name="Payment_Date_11">NA()</definedName>
    <definedName name="Payment_Date_12">NA()</definedName>
    <definedName name="Payment_Date_13">NA()</definedName>
    <definedName name="Payment_Date_14">NA()</definedName>
    <definedName name="Payment_Date_16">NA()</definedName>
    <definedName name="Payment_Date_20">NA()</definedName>
    <definedName name="Payment_Date_7">NA()</definedName>
    <definedName name="Payment_Date_9">NA()</definedName>
    <definedName name="pc50_10">"$#REF!.$#REF!$#REF!"</definedName>
    <definedName name="pc50_12">"$#REF!.$#REF!$#REF!"</definedName>
    <definedName name="pc50_13">"$#REF!.$#REF!$#REF!"</definedName>
    <definedName name="pc50_5">"$#REF!.$#REF!$#REF!"</definedName>
    <definedName name="pc50_7">"$#REF!.$#REF!$#REF!"</definedName>
    <definedName name="pc50_8">"$#REF!.$#REF!$#REF!"</definedName>
    <definedName name="pc80_10">"$#REF!.$#REF!$#REF!"</definedName>
    <definedName name="pc80_12">"$#REF!.$#REF!$#REF!"</definedName>
    <definedName name="pc80_13">"$#REF!.$#REF!$#REF!"</definedName>
    <definedName name="pc80_5">"$#REF!.$#REF!$#REF!"</definedName>
    <definedName name="pc80_7">"$#REF!.$#REF!$#REF!"</definedName>
    <definedName name="pc80_8">"$#REF!.$#REF!$#REF!"</definedName>
    <definedName name="pcf80_10">"$#REF!.$#REF!$#REF!"</definedName>
    <definedName name="pcf80_12">"$#REF!.$#REF!$#REF!"</definedName>
    <definedName name="pcf80_13">"$#REF!.$#REF!$#REF!"</definedName>
    <definedName name="pcf80_5">"$#REF!.$#REF!$#REF!"</definedName>
    <definedName name="pcf80_7">"$#REF!.$#REF!$#REF!"</definedName>
    <definedName name="pcf80_8">"$#REF!.$#REF!$#REF!"</definedName>
    <definedName name="PEKERJAAN_LUAR_10">"$#REF!.#REF!#REF!"</definedName>
    <definedName name="PEKERJAAN_LUAR_12">"$#REF!.#REF!#REF!"</definedName>
    <definedName name="PEKERJAAN_LUAR_13">"$#REF!.#REF!#REF!"</definedName>
    <definedName name="PEKERJAAN_LUAR_5">"$#REF!.#REF!#REF!"</definedName>
    <definedName name="PEKERJAAN_LUAR_7">"$#REF!.#REF!#REF!"</definedName>
    <definedName name="PEKERJAAN_LUAR_8">"$#REF!.#REF!#REF!"</definedName>
    <definedName name="pendapat" localSheetId="15" hidden="1">#REF!</definedName>
    <definedName name="pendapat" localSheetId="2" hidden="1">#REF!</definedName>
    <definedName name="pendapat" localSheetId="8" hidden="1">#REF!</definedName>
    <definedName name="pendapat" localSheetId="27" hidden="1">#REF!</definedName>
    <definedName name="pendapat" hidden="1">#REF!</definedName>
    <definedName name="PENJUMLAHAN" localSheetId="5">HAJIME:OWARI</definedName>
    <definedName name="PENJUMLAHAN" localSheetId="15">[8]!HAJIME:[8]!OWARI</definedName>
    <definedName name="PENJUMLAHAN" localSheetId="13">HAJIME:OWARI</definedName>
    <definedName name="PENJUMLAHAN" localSheetId="10">HAJIME:OWARI</definedName>
    <definedName name="PENJUMLAHAN" localSheetId="2">HAJIME:OWARI</definedName>
    <definedName name="PENJUMLAHAN" localSheetId="8">HAJIME:OWARI</definedName>
    <definedName name="PENJUMLAHAN" localSheetId="27">'TABEL BAJA'!HAJIME:'TABEL BAJA'!OWARI</definedName>
    <definedName name="PENJUMLAHAN">HAJIME:OWARI</definedName>
    <definedName name="PENJUMLAHAN___0">NA()</definedName>
    <definedName name="PENJUMLAHAN___1">NA()</definedName>
    <definedName name="PENJUMLAHAN___2">NA()</definedName>
    <definedName name="persiapan" hidden="1">'[28]HARGA MATERIAL'!$E$27:$E$33</definedName>
    <definedName name="ph100_10">"$#REF!.$#REF!$#REF!"</definedName>
    <definedName name="ph100_12">"$#REF!.$#REF!$#REF!"</definedName>
    <definedName name="ph100_13">"$#REF!.$#REF!$#REF!"</definedName>
    <definedName name="ph100_5">"$#REF!.$#REF!$#REF!"</definedName>
    <definedName name="ph100_7">"$#REF!.$#REF!$#REF!"</definedName>
    <definedName name="ph100_8">"$#REF!.$#REF!$#REF!"</definedName>
    <definedName name="ph150_10">"$#REF!.$#REF!$#REF!"</definedName>
    <definedName name="ph150_12">"$#REF!.$#REF!$#REF!"</definedName>
    <definedName name="ph150_13">"$#REF!.$#REF!$#REF!"</definedName>
    <definedName name="ph150_5">"$#REF!.$#REF!$#REF!"</definedName>
    <definedName name="ph150_7">"$#REF!.$#REF!$#REF!"</definedName>
    <definedName name="ph150_8">"$#REF!.$#REF!$#REF!"</definedName>
    <definedName name="phf100_10">"$#REF!.$#REF!$#REF!"</definedName>
    <definedName name="phf100_12">"$#REF!.$#REF!$#REF!"</definedName>
    <definedName name="phf100_13">"$#REF!.$#REF!$#REF!"</definedName>
    <definedName name="phf100_5">"$#REF!.$#REF!$#REF!"</definedName>
    <definedName name="phf100_7">"$#REF!.$#REF!$#REF!"</definedName>
    <definedName name="phf100_8">"$#REF!.$#REF!$#REF!"</definedName>
    <definedName name="phf150_10">"$#REF!.$#REF!$#REF!"</definedName>
    <definedName name="phf150_12">"$#REF!.$#REF!$#REF!"</definedName>
    <definedName name="phf150_13">"$#REF!.$#REF!$#REF!"</definedName>
    <definedName name="phf150_5">"$#REF!.$#REF!$#REF!"</definedName>
    <definedName name="phf150_7">"$#REF!.$#REF!$#REF!"</definedName>
    <definedName name="phf150_8">"$#REF!.$#REF!$#REF!"</definedName>
    <definedName name="Philip" localSheetId="5" hidden="1">{#N/A,#N/A,FALSE,"REK-S-TPL";#N/A,#N/A,FALSE,"REK-TPML";#N/A,#N/A,FALSE,"RAB-TEMPEL"}</definedName>
    <definedName name="Philip" localSheetId="15" hidden="1">{#N/A,#N/A,FALSE,"REK-S-TPL";#N/A,#N/A,FALSE,"REK-TPML";#N/A,#N/A,FALSE,"RAB-TEMPEL"}</definedName>
    <definedName name="Philip" localSheetId="13" hidden="1">{#N/A,#N/A,FALSE,"REK-S-TPL";#N/A,#N/A,FALSE,"REK-TPML";#N/A,#N/A,FALSE,"RAB-TEMPEL"}</definedName>
    <definedName name="Philip" localSheetId="2" hidden="1">{#N/A,#N/A,FALSE,"REK-S-TPL";#N/A,#N/A,FALSE,"REK-TPML";#N/A,#N/A,FALSE,"RAB-TEMPEL"}</definedName>
    <definedName name="Philip" localSheetId="8" hidden="1">{#N/A,#N/A,FALSE,"REK-S-TPL";#N/A,#N/A,FALSE,"REK-TPML";#N/A,#N/A,FALSE,"RAB-TEMPEL"}</definedName>
    <definedName name="Philip" localSheetId="27" hidden="1">{#N/A,#N/A,FALSE,"REK-S-TPL";#N/A,#N/A,FALSE,"REK-TPML";#N/A,#N/A,FALSE,"RAB-TEMPEL"}</definedName>
    <definedName name="Philip" hidden="1">{#N/A,#N/A,FALSE,"REK-S-TPL";#N/A,#N/A,FALSE,"REK-TPML";#N/A,#N/A,FALSE,"RAB-TEMPEL"}</definedName>
    <definedName name="Philip_2" localSheetId="5" hidden="1">{#N/A,#N/A,FALSE,"REK-S-TPL";#N/A,#N/A,FALSE,"REK-TPML";#N/A,#N/A,FALSE,"RAB-TEMPEL"}</definedName>
    <definedName name="Philip_2" localSheetId="15" hidden="1">{#N/A,#N/A,FALSE,"REK-S-TPL";#N/A,#N/A,FALSE,"REK-TPML";#N/A,#N/A,FALSE,"RAB-TEMPEL"}</definedName>
    <definedName name="Philip_2" localSheetId="13" hidden="1">{#N/A,#N/A,FALSE,"REK-S-TPL";#N/A,#N/A,FALSE,"REK-TPML";#N/A,#N/A,FALSE,"RAB-TEMPEL"}</definedName>
    <definedName name="Philip_2" localSheetId="2" hidden="1">{#N/A,#N/A,FALSE,"REK-S-TPL";#N/A,#N/A,FALSE,"REK-TPML";#N/A,#N/A,FALSE,"RAB-TEMPEL"}</definedName>
    <definedName name="Philip_2" localSheetId="8" hidden="1">{#N/A,#N/A,FALSE,"REK-S-TPL";#N/A,#N/A,FALSE,"REK-TPML";#N/A,#N/A,FALSE,"RAB-TEMPEL"}</definedName>
    <definedName name="Philip_2" localSheetId="27" hidden="1">{#N/A,#N/A,FALSE,"REK-S-TPL";#N/A,#N/A,FALSE,"REK-TPML";#N/A,#N/A,FALSE,"RAB-TEMPEL"}</definedName>
    <definedName name="Philip_2" hidden="1">{#N/A,#N/A,FALSE,"REK-S-TPL";#N/A,#N/A,FALSE,"REK-TPML";#N/A,#N/A,FALSE,"RAB-TEMPEL"}</definedName>
    <definedName name="Philip_3" localSheetId="5" hidden="1">{#N/A,#N/A,FALSE,"REK-S-TPL";#N/A,#N/A,FALSE,"REK-TPML";#N/A,#N/A,FALSE,"RAB-TEMPEL"}</definedName>
    <definedName name="Philip_3" localSheetId="15" hidden="1">{#N/A,#N/A,FALSE,"REK-S-TPL";#N/A,#N/A,FALSE,"REK-TPML";#N/A,#N/A,FALSE,"RAB-TEMPEL"}</definedName>
    <definedName name="Philip_3" localSheetId="13" hidden="1">{#N/A,#N/A,FALSE,"REK-S-TPL";#N/A,#N/A,FALSE,"REK-TPML";#N/A,#N/A,FALSE,"RAB-TEMPEL"}</definedName>
    <definedName name="Philip_3" localSheetId="2" hidden="1">{#N/A,#N/A,FALSE,"REK-S-TPL";#N/A,#N/A,FALSE,"REK-TPML";#N/A,#N/A,FALSE,"RAB-TEMPEL"}</definedName>
    <definedName name="Philip_3" localSheetId="8" hidden="1">{#N/A,#N/A,FALSE,"REK-S-TPL";#N/A,#N/A,FALSE,"REK-TPML";#N/A,#N/A,FALSE,"RAB-TEMPEL"}</definedName>
    <definedName name="Philip_3" localSheetId="27" hidden="1">{#N/A,#N/A,FALSE,"REK-S-TPL";#N/A,#N/A,FALSE,"REK-TPML";#N/A,#N/A,FALSE,"RAB-TEMPEL"}</definedName>
    <definedName name="Philip_3" hidden="1">{#N/A,#N/A,FALSE,"REK-S-TPL";#N/A,#N/A,FALSE,"REK-TPML";#N/A,#N/A,FALSE,"RAB-TEMPEL"}</definedName>
    <definedName name="Philip_4" localSheetId="5" hidden="1">{#N/A,#N/A,FALSE,"REK-S-TPL";#N/A,#N/A,FALSE,"REK-TPML";#N/A,#N/A,FALSE,"RAB-TEMPEL"}</definedName>
    <definedName name="Philip_4" localSheetId="15" hidden="1">{#N/A,#N/A,FALSE,"REK-S-TPL";#N/A,#N/A,FALSE,"REK-TPML";#N/A,#N/A,FALSE,"RAB-TEMPEL"}</definedName>
    <definedName name="Philip_4" localSheetId="13" hidden="1">{#N/A,#N/A,FALSE,"REK-S-TPL";#N/A,#N/A,FALSE,"REK-TPML";#N/A,#N/A,FALSE,"RAB-TEMPEL"}</definedName>
    <definedName name="Philip_4" localSheetId="2" hidden="1">{#N/A,#N/A,FALSE,"REK-S-TPL";#N/A,#N/A,FALSE,"REK-TPML";#N/A,#N/A,FALSE,"RAB-TEMPEL"}</definedName>
    <definedName name="Philip_4" localSheetId="8" hidden="1">{#N/A,#N/A,FALSE,"REK-S-TPL";#N/A,#N/A,FALSE,"REK-TPML";#N/A,#N/A,FALSE,"RAB-TEMPEL"}</definedName>
    <definedName name="Philip_4" localSheetId="27" hidden="1">{#N/A,#N/A,FALSE,"REK-S-TPL";#N/A,#N/A,FALSE,"REK-TPML";#N/A,#N/A,FALSE,"RAB-TEMPEL"}</definedName>
    <definedName name="Philip_4" hidden="1">{#N/A,#N/A,FALSE,"REK-S-TPL";#N/A,#N/A,FALSE,"REK-TPML";#N/A,#N/A,FALSE,"RAB-TEMPEL"}</definedName>
    <definedName name="Philip_5" localSheetId="5" hidden="1">{#N/A,#N/A,FALSE,"REK-S-TPL";#N/A,#N/A,FALSE,"REK-TPML";#N/A,#N/A,FALSE,"RAB-TEMPEL"}</definedName>
    <definedName name="Philip_5" localSheetId="15" hidden="1">{#N/A,#N/A,FALSE,"REK-S-TPL";#N/A,#N/A,FALSE,"REK-TPML";#N/A,#N/A,FALSE,"RAB-TEMPEL"}</definedName>
    <definedName name="Philip_5" localSheetId="13" hidden="1">{#N/A,#N/A,FALSE,"REK-S-TPL";#N/A,#N/A,FALSE,"REK-TPML";#N/A,#N/A,FALSE,"RAB-TEMPEL"}</definedName>
    <definedName name="Philip_5" localSheetId="2" hidden="1">{#N/A,#N/A,FALSE,"REK-S-TPL";#N/A,#N/A,FALSE,"REK-TPML";#N/A,#N/A,FALSE,"RAB-TEMPEL"}</definedName>
    <definedName name="Philip_5" localSheetId="8" hidden="1">{#N/A,#N/A,FALSE,"REK-S-TPL";#N/A,#N/A,FALSE,"REK-TPML";#N/A,#N/A,FALSE,"RAB-TEMPEL"}</definedName>
    <definedName name="Philip_5" localSheetId="27" hidden="1">{#N/A,#N/A,FALSE,"REK-S-TPL";#N/A,#N/A,FALSE,"REK-TPML";#N/A,#N/A,FALSE,"RAB-TEMPEL"}</definedName>
    <definedName name="Philip_5" hidden="1">{#N/A,#N/A,FALSE,"REK-S-TPL";#N/A,#N/A,FALSE,"REK-TPML";#N/A,#N/A,FALSE,"RAB-TEMPEL"}</definedName>
    <definedName name="pomc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2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3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4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4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5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5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pa" localSheetId="15">'Pas. Dinding'!pompa</definedName>
    <definedName name="pompa" localSheetId="27">'TABEL BAJA'!pompa</definedName>
    <definedName name="pompa">[9]!pompa</definedName>
    <definedName name="ppp" localSheetId="5">{"Book1","RAB PASAR 30 AUG SCRAB.xls"}</definedName>
    <definedName name="ppp" localSheetId="15">{"Book1","RAB PASAR 30 AUG SCRAB.xls"}</definedName>
    <definedName name="ppp" localSheetId="13">{"Book1","RAB PASAR 30 AUG SCRAB.xls"}</definedName>
    <definedName name="ppp" localSheetId="2">{"Book1","RAB PASAR 30 AUG SCRAB.xls"}</definedName>
    <definedName name="ppp" localSheetId="8">{"Book1","RAB PASAR 30 AUG SCRAB.xls"}</definedName>
    <definedName name="ppp" localSheetId="27">{"Book1","RAB PASAR 30 AUG SCRAB.xls"}</definedName>
    <definedName name="ppp">{"Book1","RAB PASAR 30 AUG SCRAB.xls"}</definedName>
    <definedName name="prelim" hidden="1">'[26]HARGA MATERIAL'!$A$11:$A$211</definedName>
    <definedName name="Prem" localSheetId="15" hidden="1">[29]A!#REF!</definedName>
    <definedName name="Prem" localSheetId="2" hidden="1">[29]A!#REF!</definedName>
    <definedName name="Prem" localSheetId="8" hidden="1">[29]A!#REF!</definedName>
    <definedName name="Prem" localSheetId="27" hidden="1">[29]A!#REF!</definedName>
    <definedName name="Prem" hidden="1">[29]A!#REF!</definedName>
    <definedName name="pri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i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i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i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i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i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xlnm.Print_Area" localSheetId="9">COVER!$A$1:$I$45</definedName>
    <definedName name="_xlnm.Print_Area" localSheetId="17">'Data Panjang Balok'!$A$1:$N$424</definedName>
    <definedName name="_xlnm.Print_Area" localSheetId="6">'Data-Kolom'!$A$1:$Q$265</definedName>
    <definedName name="_xlnm.Print_Area" localSheetId="21">'Data-PC'!$B$1:$AP$36</definedName>
    <definedName name="_xlnm.Print_Area" localSheetId="5">'Hasil-Kolom'!$A$1:$AT$347</definedName>
    <definedName name="_xlnm.Print_Area" localSheetId="20">'Hasil-PC'!$A$1:$AE$73</definedName>
    <definedName name="_xlnm.Print_Area" localSheetId="4">Plat!$A$1:$R$147</definedName>
    <definedName name="_xlnm.Print_Area" localSheetId="25">'PROSES BAJA'!$A$1:$S$120</definedName>
    <definedName name="_xlnm.Print_Area" localSheetId="12">'RAB (A)'!$A$1:$F$424</definedName>
    <definedName name="_xlnm.Print_Area" localSheetId="13">'RAB (B)'!$A$1:$F$34</definedName>
    <definedName name="_xlnm.Print_Area" localSheetId="16">'REKAP Balok'!$A$1:$AA$772</definedName>
    <definedName name="_xlnm.Print_Area" localSheetId="10">'REKAP BENANGAN'!$A$1:$G$16</definedName>
    <definedName name="_xlnm.Print_Area" localSheetId="11">'REKAP RAB'!$A$1:$G$58</definedName>
    <definedName name="Print_Area_MI">'[30]A-ars'!$A$1:$G$693</definedName>
    <definedName name="_xlnm.Print_Titles" localSheetId="9">COVER!$1:$5</definedName>
    <definedName name="_xlnm.Print_Titles" localSheetId="17">'Data Panjang Balok'!$6:$8</definedName>
    <definedName name="_xlnm.Print_Titles" localSheetId="21">'Data-PC'!$10:$11</definedName>
    <definedName name="_xlnm.Print_Titles" localSheetId="19">'Detail Balok'!$7:$8</definedName>
    <definedName name="_xlnm.Print_Titles" localSheetId="5">'Hasil-Kolom'!$11:$13</definedName>
    <definedName name="_xlnm.Print_Titles" localSheetId="20">'Hasil-PC'!$6:$8</definedName>
    <definedName name="_xlnm.Print_Titles" localSheetId="4">Plat!$1:$5</definedName>
    <definedName name="_xlnm.Print_Titles" localSheetId="12">'RAB (A)'!$7:$7</definedName>
    <definedName name="_xlnm.Print_Titles" localSheetId="13">'RAB (B)'!$7:$7</definedName>
    <definedName name="_xlnm.Print_Titles" localSheetId="16">'REKAP Balok'!$10:$12</definedName>
    <definedName name="_xlnm.Print_Titles" localSheetId="10">'REKAP BENANGAN'!$1:$5</definedName>
    <definedName name="_xlnm.Print_Titles" localSheetId="11">'REKAP RAB'!$1:$5</definedName>
    <definedName name="Print_Titles_MI">'[30]A-ars'!$1:$9</definedName>
    <definedName name="ProdForm" localSheetId="15" hidden="1">#REF!</definedName>
    <definedName name="ProdForm" localSheetId="2" hidden="1">#REF!</definedName>
    <definedName name="ProdForm" localSheetId="8" hidden="1">#REF!</definedName>
    <definedName name="ProdForm" hidden="1">#REF!</definedName>
    <definedName name="Product" localSheetId="15" hidden="1">#REF!</definedName>
    <definedName name="Product" localSheetId="2" hidden="1">#REF!</definedName>
    <definedName name="Product" localSheetId="8" hidden="1">#REF!</definedName>
    <definedName name="Product" hidden="1">#REF!</definedName>
    <definedName name="PS" localSheetId="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" localSheetId="2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2" localSheetId="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2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2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2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2" localSheetId="2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3" localSheetId="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3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3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3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3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3" localSheetId="2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4" localSheetId="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4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4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4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4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4" localSheetId="2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5" localSheetId="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5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5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5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5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5" localSheetId="2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v100_10">"$#REF!.$#REF!$#REF!"</definedName>
    <definedName name="pv100_12">"$#REF!.$#REF!$#REF!"</definedName>
    <definedName name="pv100_13">"$#REF!.$#REF!$#REF!"</definedName>
    <definedName name="pv100_5">"$#REF!.$#REF!$#REF!"</definedName>
    <definedName name="pv100_7">"$#REF!.$#REF!$#REF!"</definedName>
    <definedName name="pv100_8">"$#REF!.$#REF!$#REF!"</definedName>
    <definedName name="pv40_10">"$#REF!.$#REF!$#REF!"</definedName>
    <definedName name="pv40_12">"$#REF!.$#REF!$#REF!"</definedName>
    <definedName name="pv40_13">"$#REF!.$#REF!$#REF!"</definedName>
    <definedName name="pv40_5">"$#REF!.$#REF!$#REF!"</definedName>
    <definedName name="pv40_7">"$#REF!.$#REF!$#REF!"</definedName>
    <definedName name="pv40_8">"$#REF!.$#REF!$#REF!"</definedName>
    <definedName name="pv50_10">"$#REF!.$#REF!$#REF!"</definedName>
    <definedName name="pv50_12">"$#REF!.$#REF!$#REF!"</definedName>
    <definedName name="pv50_13">"$#REF!.$#REF!$#REF!"</definedName>
    <definedName name="pv50_5">"$#REF!.$#REF!$#REF!"</definedName>
    <definedName name="pv50_7">"$#REF!.$#REF!$#REF!"</definedName>
    <definedName name="pv50_8">"$#REF!.$#REF!$#REF!"</definedName>
    <definedName name="pv80_10">"$#REF!.$#REF!$#REF!"</definedName>
    <definedName name="pv80_12">"$#REF!.$#REF!$#REF!"</definedName>
    <definedName name="pv80_13">"$#REF!.$#REF!$#REF!"</definedName>
    <definedName name="pv80_5">"$#REF!.$#REF!$#REF!"</definedName>
    <definedName name="pv80_7">"$#REF!.$#REF!$#REF!"</definedName>
    <definedName name="pv80_8">"$#REF!.$#REF!$#REF!"</definedName>
    <definedName name="pvf100_10">"$#REF!.$#REF!$#REF!"</definedName>
    <definedName name="pvf100_12">"$#REF!.$#REF!$#REF!"</definedName>
    <definedName name="pvf100_13">"$#REF!.$#REF!$#REF!"</definedName>
    <definedName name="pvf100_5">"$#REF!.$#REF!$#REF!"</definedName>
    <definedName name="pvf100_7">"$#REF!.$#REF!$#REF!"</definedName>
    <definedName name="pvf100_8">"$#REF!.$#REF!$#REF!"</definedName>
    <definedName name="pvf80_10">"$#REF!.$#REF!$#REF!"</definedName>
    <definedName name="pvf80_12">"$#REF!.$#REF!$#REF!"</definedName>
    <definedName name="pvf80_13">"$#REF!.$#REF!$#REF!"</definedName>
    <definedName name="pvf80_5">"$#REF!.$#REF!$#REF!"</definedName>
    <definedName name="pvf80_7">"$#REF!.$#REF!$#REF!"</definedName>
    <definedName name="pvf80_8">"$#REF!.$#REF!$#REF!"</definedName>
    <definedName name="q" localSheetId="15" hidden="1">#REF!</definedName>
    <definedName name="q" localSheetId="2" hidden="1">#REF!</definedName>
    <definedName name="q" localSheetId="8" hidden="1">#REF!</definedName>
    <definedName name="q" localSheetId="27" hidden="1">#REF!</definedName>
    <definedName name="q" hidden="1">#REF!</definedName>
    <definedName name="qq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2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3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4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4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5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5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2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3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4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4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5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5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2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3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4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4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5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5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2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3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4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4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5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5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b_4" localSheetId="5">{"Book1","RAB PASAR 30 AUG SCRAB.xls"}</definedName>
    <definedName name="rab_4" localSheetId="15">{"Book1","RAB PASAR 30 AUG SCRAB.xls"}</definedName>
    <definedName name="rab_4" localSheetId="13">{"Book1","RAB PASAR 30 AUG SCRAB.xls"}</definedName>
    <definedName name="rab_4" localSheetId="2">{"Book1","RAB PASAR 30 AUG SCRAB.xls"}</definedName>
    <definedName name="rab_4" localSheetId="8">{"Book1","RAB PASAR 30 AUG SCRAB.xls"}</definedName>
    <definedName name="rab_4" localSheetId="27">{"Book1","RAB PASAR 30 AUG SCRAB.xls"}</definedName>
    <definedName name="rab_4">{"Book1","RAB PASAR 30 AUG SCRAB.xls"}</definedName>
    <definedName name="rab_6" localSheetId="5">{"Book1","RAB PASAR 30 AUG SCRAB.xls"}</definedName>
    <definedName name="rab_6" localSheetId="15">{"Book1","RAB PASAR 30 AUG SCRAB.xls"}</definedName>
    <definedName name="rab_6" localSheetId="13">{"Book1","RAB PASAR 30 AUG SCRAB.xls"}</definedName>
    <definedName name="rab_6" localSheetId="2">{"Book1","RAB PASAR 30 AUG SCRAB.xls"}</definedName>
    <definedName name="rab_6" localSheetId="8">{"Book1","RAB PASAR 30 AUG SCRAB.xls"}</definedName>
    <definedName name="rab_6" localSheetId="27">{"Book1","RAB PASAR 30 AUG SCRAB.xls"}</definedName>
    <definedName name="rab_6">{"Book1","RAB PASAR 30 AUG SCRAB.xls"}</definedName>
    <definedName name="rab_8" localSheetId="5">{"Book1","RAB PASAR 30 AUG SCRAB.xls"}</definedName>
    <definedName name="rab_8" localSheetId="15">{"Book1","RAB PASAR 30 AUG SCRAB.xls"}</definedName>
    <definedName name="rab_8" localSheetId="13">{"Book1","RAB PASAR 30 AUG SCRAB.xls"}</definedName>
    <definedName name="rab_8" localSheetId="2">{"Book1","RAB PASAR 30 AUG SCRAB.xls"}</definedName>
    <definedName name="rab_8" localSheetId="8">{"Book1","RAB PASAR 30 AUG SCRAB.xls"}</definedName>
    <definedName name="rab_8" localSheetId="27">{"Book1","RAB PASAR 30 AUG SCRAB.xls"}</definedName>
    <definedName name="rab_8">{"Book1","RAB PASAR 30 AUG SCRAB.xls"}</definedName>
    <definedName name="rab_9" localSheetId="5">{"Book1","RAB PASAR 30 AUG SCRAB.xls"}</definedName>
    <definedName name="rab_9" localSheetId="15">{"Book1","RAB PASAR 30 AUG SCRAB.xls"}</definedName>
    <definedName name="rab_9" localSheetId="13">{"Book1","RAB PASAR 30 AUG SCRAB.xls"}</definedName>
    <definedName name="rab_9" localSheetId="2">{"Book1","RAB PASAR 30 AUG SCRAB.xls"}</definedName>
    <definedName name="rab_9" localSheetId="8">{"Book1","RAB PASAR 30 AUG SCRAB.xls"}</definedName>
    <definedName name="rab_9" localSheetId="27">{"Book1","RAB PASAR 30 AUG SCRAB.xls"}</definedName>
    <definedName name="rab_9">{"Book1","RAB PASAR 30 AUG SCRAB.xls"}</definedName>
    <definedName name="RCArea" localSheetId="15" hidden="1">#REF!</definedName>
    <definedName name="RCArea" localSheetId="2" hidden="1">#REF!</definedName>
    <definedName name="RCArea" localSheetId="8" hidden="1">#REF!</definedName>
    <definedName name="RCArea" localSheetId="27" hidden="1">#REF!</definedName>
    <definedName name="RCArea" hidden="1">#REF!</definedName>
    <definedName name="RE" localSheetId="15" hidden="1">#REF!</definedName>
    <definedName name="RE" localSheetId="2" hidden="1">#REF!</definedName>
    <definedName name="RE" localSheetId="8" hidden="1">#REF!</definedName>
    <definedName name="RE" localSheetId="27" hidden="1">#REF!</definedName>
    <definedName name="RE" hidden="1">#REF!</definedName>
    <definedName name="ready" localSheetId="5">FST:(FSB)</definedName>
    <definedName name="ready" localSheetId="15">[8]!FST:([8]!FSB)</definedName>
    <definedName name="ready" localSheetId="13">FST:(FSB)</definedName>
    <definedName name="ready" localSheetId="10">FST:(FSB)</definedName>
    <definedName name="ready" localSheetId="2">FST:(FSB)</definedName>
    <definedName name="ready" localSheetId="8">FST:(FSB)</definedName>
    <definedName name="ready" localSheetId="27">FST:(FSB)</definedName>
    <definedName name="ready">FST:(FSB)</definedName>
    <definedName name="ready___0">NA()</definedName>
    <definedName name="ready___1">NA()</definedName>
    <definedName name="ready___2">NA()</definedName>
    <definedName name="RECORD" localSheetId="15">'Pas. Dinding'!RECORD</definedName>
    <definedName name="RECORD" localSheetId="27">'TABEL BAJA'!RECORD</definedName>
    <definedName name="RECORD">[9]!RECORD</definedName>
    <definedName name="RECORD___1" localSheetId="9">[31]!_A___0</definedName>
    <definedName name="RECORD___1" localSheetId="15">[0]!_A___0</definedName>
    <definedName name="RECORD___1" localSheetId="13">[31]!_A___0</definedName>
    <definedName name="RECORD___1" localSheetId="10">[31]!_A___0</definedName>
    <definedName name="RECORD___1" localSheetId="2">[31]!_A___0</definedName>
    <definedName name="RECORD___1" localSheetId="11">[31]!_A___0</definedName>
    <definedName name="RECORD___1" localSheetId="27">[31]!_A___0</definedName>
    <definedName name="RECORD___1">[32]!_A___0</definedName>
    <definedName name="Record1" localSheetId="15">'Pas. Dinding'!Record1</definedName>
    <definedName name="Record1" localSheetId="27">'TABEL BAJA'!Record1</definedName>
    <definedName name="Record1">[9]!Record1</definedName>
    <definedName name="Record1___0" localSheetId="5">'Hasil-Kolom'!_AAD3</definedName>
    <definedName name="Record1___0" localSheetId="15">'Pas. Dinding'!_AAD3</definedName>
    <definedName name="Record1___0" localSheetId="13">'RAB (B)'!_AAD3</definedName>
    <definedName name="Record1___0" localSheetId="10">'REKAP BENANGAN'!_AAD3</definedName>
    <definedName name="Record1___0" localSheetId="2">'REKAP BETON BESI BEKISTING'!_AAD3</definedName>
    <definedName name="Record1___0" localSheetId="8">'Retaining Wall'!_AAD3</definedName>
    <definedName name="Record1___0" localSheetId="27">'TABEL BAJA'!_AAD3</definedName>
    <definedName name="Record1___0">_AAD3</definedName>
    <definedName name="Record10" localSheetId="15">'Pas. Dinding'!Record10</definedName>
    <definedName name="Record10" localSheetId="27">'TABEL BAJA'!Record10</definedName>
    <definedName name="Record10">[9]!Record10</definedName>
    <definedName name="Record11" localSheetId="15">'Pas. Dinding'!Record11</definedName>
    <definedName name="Record11" localSheetId="27">'TABEL BAJA'!Record11</definedName>
    <definedName name="Record11">[9]!Record11</definedName>
    <definedName name="Record12" localSheetId="15">'Pas. Dinding'!Record12</definedName>
    <definedName name="Record12" localSheetId="27">'TABEL BAJA'!Record12</definedName>
    <definedName name="Record12">[9]!Record12</definedName>
    <definedName name="Record13" localSheetId="15">'Pas. Dinding'!Record13</definedName>
    <definedName name="Record13" localSheetId="27">'TABEL BAJA'!Record13</definedName>
    <definedName name="Record13">[9]!Record13</definedName>
    <definedName name="Record14" localSheetId="15">'Pas. Dinding'!Record14</definedName>
    <definedName name="Record14" localSheetId="27">'TABEL BAJA'!Record14</definedName>
    <definedName name="Record14">[9]!Record14</definedName>
    <definedName name="Record15" localSheetId="15">'Pas. Dinding'!Record15</definedName>
    <definedName name="Record15" localSheetId="27">'TABEL BAJA'!Record15</definedName>
    <definedName name="Record15">[9]!Record15</definedName>
    <definedName name="Record16" localSheetId="15">'Pas. Dinding'!Record16</definedName>
    <definedName name="Record16" localSheetId="27">'TABEL BAJA'!Record16</definedName>
    <definedName name="Record16">[9]!Record16</definedName>
    <definedName name="Record17" localSheetId="15">'Pas. Dinding'!Record17</definedName>
    <definedName name="Record17" localSheetId="27">'TABEL BAJA'!Record17</definedName>
    <definedName name="Record17">[9]!Record17</definedName>
    <definedName name="Record18" localSheetId="15">'Pas. Dinding'!Record18</definedName>
    <definedName name="Record18" localSheetId="27">'TABEL BAJA'!Record18</definedName>
    <definedName name="Record18">[9]!Record18</definedName>
    <definedName name="Record19" localSheetId="15">'Pas. Dinding'!Record19</definedName>
    <definedName name="Record19" localSheetId="27">'TABEL BAJA'!Record19</definedName>
    <definedName name="Record19">[9]!Record19</definedName>
    <definedName name="Record2" localSheetId="15">'Pas. Dinding'!Record2</definedName>
    <definedName name="Record2" localSheetId="27">'TABEL BAJA'!Record2</definedName>
    <definedName name="Record2">[9]!Record2</definedName>
    <definedName name="Record20" localSheetId="15">'Pas. Dinding'!Record20</definedName>
    <definedName name="Record20" localSheetId="27">'TABEL BAJA'!Record20</definedName>
    <definedName name="Record20">[9]!Record20</definedName>
    <definedName name="Record21" localSheetId="15">'Pas. Dinding'!Record21</definedName>
    <definedName name="Record21" localSheetId="27">'TABEL BAJA'!Record21</definedName>
    <definedName name="Record21">[9]!Record21</definedName>
    <definedName name="Record22" localSheetId="15">'Pas. Dinding'!Record22</definedName>
    <definedName name="Record22" localSheetId="27">'TABEL BAJA'!Record22</definedName>
    <definedName name="Record22">[9]!Record22</definedName>
    <definedName name="Record22___0" localSheetId="15">[8]!_CH27..H27___C_</definedName>
    <definedName name="Record22___0" localSheetId="13">[9]!_CH27..H27___C_</definedName>
    <definedName name="Record22___0" localSheetId="10">[9]!_CH27..H27___C_</definedName>
    <definedName name="Record22___0" localSheetId="27">[9]!_CH27..H27___C_</definedName>
    <definedName name="Record22___0">[9]!_CH27..H27___C_</definedName>
    <definedName name="Record23" localSheetId="15">'Pas. Dinding'!Record23</definedName>
    <definedName name="Record23" localSheetId="27">'TABEL BAJA'!Record23</definedName>
    <definedName name="Record23">[9]!Record23</definedName>
    <definedName name="Record23___1" localSheetId="15">[8]!_CH29..H29___C_</definedName>
    <definedName name="Record23___1" localSheetId="13">[9]!_CH29..H29___C_</definedName>
    <definedName name="Record23___1" localSheetId="10">[9]!_CH29..H29___C_</definedName>
    <definedName name="Record23___1" localSheetId="27">[9]!_CH29..H29___C_</definedName>
    <definedName name="Record23___1">[9]!_CH29..H29___C_</definedName>
    <definedName name="Record3" localSheetId="15">'Pas. Dinding'!Record3</definedName>
    <definedName name="Record3" localSheetId="27">'TABEL BAJA'!Record3</definedName>
    <definedName name="Record3">[9]!Record3</definedName>
    <definedName name="Record4" localSheetId="15">'Pas. Dinding'!Record4</definedName>
    <definedName name="Record4" localSheetId="27">'TABEL BAJA'!Record4</definedName>
    <definedName name="Record4">[9]!Record4</definedName>
    <definedName name="Record5" localSheetId="15">'Pas. Dinding'!Record5</definedName>
    <definedName name="Record5" localSheetId="27">'TABEL BAJA'!Record5</definedName>
    <definedName name="Record5">[9]!Record5</definedName>
    <definedName name="Record6" localSheetId="15">'Pas. Dinding'!Record6</definedName>
    <definedName name="Record6" localSheetId="27">'TABEL BAJA'!Record6</definedName>
    <definedName name="Record6">[9]!Record6</definedName>
    <definedName name="Record7" localSheetId="15">'Pas. Dinding'!Record7</definedName>
    <definedName name="Record7" localSheetId="27">'TABEL BAJA'!Record7</definedName>
    <definedName name="Record7">[9]!Record7</definedName>
    <definedName name="Record8" localSheetId="15">'Pas. Dinding'!Record8</definedName>
    <definedName name="Record8" localSheetId="27">'TABEL BAJA'!Record8</definedName>
    <definedName name="Record8">[9]!Record8</definedName>
    <definedName name="Record9" localSheetId="15">'Pas. Dinding'!Record9</definedName>
    <definedName name="Record9" localSheetId="27">'TABEL BAJA'!Record9</definedName>
    <definedName name="Record9">[9]!Record9</definedName>
    <definedName name="red" localSheetId="15">'Pas. Dinding'!red</definedName>
    <definedName name="red" localSheetId="27">'TABEL BAJA'!red</definedName>
    <definedName name="red">[9]!red</definedName>
    <definedName name="ree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e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e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e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e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e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KAPITULASI" localSheetId="9">STOP2:STOP2E</definedName>
    <definedName name="REKAPITULASI" localSheetId="5">STOP2:STOP2E</definedName>
    <definedName name="REKAPITULASI" localSheetId="15">STOP2:STOP2E</definedName>
    <definedName name="REKAPITULASI" localSheetId="13">STOP2:STOP2E</definedName>
    <definedName name="REKAPITULASI" localSheetId="10">STOP2:STOP2E</definedName>
    <definedName name="REKAPITULASI" localSheetId="2">STOP2:STOP2E</definedName>
    <definedName name="REKAPITULASI" localSheetId="11">STOP2:STOP2E</definedName>
    <definedName name="REKAPITULASI" localSheetId="8">STOP2:STOP2E</definedName>
    <definedName name="REKAPITULASI" localSheetId="27">STOP2:STOP2E</definedName>
    <definedName name="REKAPITULASI">STOP2:STOP2E</definedName>
    <definedName name="REKAPITULASI___0">NA()</definedName>
    <definedName name="REKAPITULASI___1">NA()</definedName>
    <definedName name="REKAPITULASI___2">NA()</definedName>
    <definedName name="RESD" localSheetId="15">'Pas. Dinding'!RESD</definedName>
    <definedName name="RESD" localSheetId="27">'TABEL BAJA'!RESD</definedName>
    <definedName name="RESD">[9]!RESD</definedName>
    <definedName name="RINCI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NCI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NCI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NCI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NCI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NCI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NC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ng" localSheetId="15" hidden="1">#REF!</definedName>
    <definedName name="ring" localSheetId="2" hidden="1">#REF!</definedName>
    <definedName name="ring" localSheetId="8" hidden="1">#REF!</definedName>
    <definedName name="ring" localSheetId="27" hidden="1">#REF!</definedName>
    <definedName name="ring" hidden="1">#REF!</definedName>
    <definedName name="rkl1000_10">"$#REF!.$#REF!$#REF!"</definedName>
    <definedName name="rkl1000_12">"$#REF!.$#REF!$#REF!"</definedName>
    <definedName name="rkl1000_13">"$#REF!.$#REF!$#REF!"</definedName>
    <definedName name="rkl1000_5">"$#REF!.$#REF!$#REF!"</definedName>
    <definedName name="rkl1000_7">"$#REF!.$#REF!$#REF!"</definedName>
    <definedName name="rkl1000_8">"$#REF!.$#REF!$#REF!"</definedName>
    <definedName name="rkl200_10">"$#REF!.$#REF!$#REF!"</definedName>
    <definedName name="rkl200_12">"$#REF!.$#REF!$#REF!"</definedName>
    <definedName name="rkl200_13">"$#REF!.$#REF!$#REF!"</definedName>
    <definedName name="rkl200_5">"$#REF!.$#REF!$#REF!"</definedName>
    <definedName name="rkl200_7">"$#REF!.$#REF!$#REF!"</definedName>
    <definedName name="rkl200_8">"$#REF!.$#REF!$#REF!"</definedName>
    <definedName name="rkl300_10">"$#REF!.$#REF!$#REF!"</definedName>
    <definedName name="rkl300_12">"$#REF!.$#REF!$#REF!"</definedName>
    <definedName name="rkl300_13">"$#REF!.$#REF!$#REF!"</definedName>
    <definedName name="rkl300_5">"$#REF!.$#REF!$#REF!"</definedName>
    <definedName name="rkl300_7">"$#REF!.$#REF!$#REF!"</definedName>
    <definedName name="rkl300_8">"$#REF!.$#REF!$#REF!"</definedName>
    <definedName name="rkl400_10">"$#REF!.$#REF!$#REF!"</definedName>
    <definedName name="rkl400_12">"$#REF!.$#REF!$#REF!"</definedName>
    <definedName name="rkl400_13">"$#REF!.$#REF!$#REF!"</definedName>
    <definedName name="rkl400_5">"$#REF!.$#REF!$#REF!"</definedName>
    <definedName name="rkl400_7">"$#REF!.$#REF!$#REF!"</definedName>
    <definedName name="rkl400_8">"$#REF!.$#REF!$#REF!"</definedName>
    <definedName name="rkl500_10">"$#REF!.$#REF!$#REF!"</definedName>
    <definedName name="rkl500_12">"$#REF!.$#REF!$#REF!"</definedName>
    <definedName name="rkl500_13">"$#REF!.$#REF!$#REF!"</definedName>
    <definedName name="rkl500_5">"$#REF!.$#REF!$#REF!"</definedName>
    <definedName name="rkl500_7">"$#REF!.$#REF!$#REF!"</definedName>
    <definedName name="rkl500_8">"$#REF!.$#REF!$#REF!"</definedName>
    <definedName name="rkl600_10">"$#REF!.$#REF!$#REF!"</definedName>
    <definedName name="rkl600_12">"$#REF!.$#REF!$#REF!"</definedName>
    <definedName name="rkl600_13">"$#REF!.$#REF!$#REF!"</definedName>
    <definedName name="rkl600_5">"$#REF!.$#REF!$#REF!"</definedName>
    <definedName name="rkl600_7">"$#REF!.$#REF!$#REF!"</definedName>
    <definedName name="rkl600_8">"$#REF!.$#REF!$#REF!"</definedName>
    <definedName name="rkl700_10">"$#REF!.$#REF!$#REF!"</definedName>
    <definedName name="rkl700_12">"$#REF!.$#REF!$#REF!"</definedName>
    <definedName name="rkl700_13">"$#REF!.$#REF!$#REF!"</definedName>
    <definedName name="rkl700_5">"$#REF!.$#REF!$#REF!"</definedName>
    <definedName name="rkl700_7">"$#REF!.$#REF!$#REF!"</definedName>
    <definedName name="rkl700_8">"$#REF!.$#REF!$#REF!"</definedName>
    <definedName name="rkl800_10">"$#REF!.$#REF!$#REF!"</definedName>
    <definedName name="rkl800_12">"$#REF!.$#REF!$#REF!"</definedName>
    <definedName name="rkl800_13">"$#REF!.$#REF!$#REF!"</definedName>
    <definedName name="rkl800_5">"$#REF!.$#REF!$#REF!"</definedName>
    <definedName name="rkl800_7">"$#REF!.$#REF!$#REF!"</definedName>
    <definedName name="rkl800_8">"$#REF!.$#REF!$#REF!"</definedName>
    <definedName name="rukan_a_10">"$#REF!.$#REF!$#REF!"</definedName>
    <definedName name="rukan_a_12">"$#REF!.$#REF!$#REF!"</definedName>
    <definedName name="rukan_a_13">"$#REF!.$#REF!$#REF!"</definedName>
    <definedName name="rukan_a_5">"$#REF!.$#REF!$#REF!"</definedName>
    <definedName name="rukan_a_7">"$#REF!.$#REF!$#REF!"</definedName>
    <definedName name="rukan_a_8">"$#REF!.$#REF!$#REF!"</definedName>
    <definedName name="rukan_aa_10">"$#REF!.$#REF!$#REF!"</definedName>
    <definedName name="rukan_aa_12">"$#REF!.$#REF!$#REF!"</definedName>
    <definedName name="rukan_aa_13">"$#REF!.$#REF!$#REF!"</definedName>
    <definedName name="rukan_aa_5">"$#REF!.$#REF!$#REF!"</definedName>
    <definedName name="rukan_aa_7">"$#REF!.$#REF!$#REF!"</definedName>
    <definedName name="rukan_aa_8">"$#REF!.$#REF!$#REF!"</definedName>
    <definedName name="rukan_b_10">"$#REF!.$#REF!$#REF!"</definedName>
    <definedName name="rukan_b_12">"$#REF!.$#REF!$#REF!"</definedName>
    <definedName name="rukan_b_13">"$#REF!.$#REF!$#REF!"</definedName>
    <definedName name="rukan_b_5">"$#REF!.$#REF!$#REF!"</definedName>
    <definedName name="rukan_b_7">"$#REF!.$#REF!$#REF!"</definedName>
    <definedName name="rukan_b_8">"$#REF!.$#REF!$#REF!"</definedName>
    <definedName name="rukan_c_10">"$#REF!.$#REF!$#REF!"</definedName>
    <definedName name="rukan_c_12">"$#REF!.$#REF!$#REF!"</definedName>
    <definedName name="rukan_c_13">"$#REF!.$#REF!$#REF!"</definedName>
    <definedName name="rukan_c_5">"$#REF!.$#REF!$#REF!"</definedName>
    <definedName name="rukan_c_7">"$#REF!.$#REF!$#REF!"</definedName>
    <definedName name="rukan_c_8">"$#REF!.$#REF!$#REF!"</definedName>
    <definedName name="rukan_cc_10">"$#REF!.$#REF!$#REF!"</definedName>
    <definedName name="rukan_cc_12">"$#REF!.$#REF!$#REF!"</definedName>
    <definedName name="rukan_cc_13">"$#REF!.$#REF!$#REF!"</definedName>
    <definedName name="rukan_cc_5">"$#REF!.$#REF!$#REF!"</definedName>
    <definedName name="rukan_cc_7">"$#REF!.$#REF!$#REF!"</definedName>
    <definedName name="rukan_cc_8">"$#REF!.$#REF!$#REF!"</definedName>
    <definedName name="rukan_d_10">"$#REF!.$#REF!$#REF!"</definedName>
    <definedName name="rukan_d_12">"$#REF!.$#REF!$#REF!"</definedName>
    <definedName name="rukan_d_13">"$#REF!.$#REF!$#REF!"</definedName>
    <definedName name="rukan_d_5">"$#REF!.$#REF!$#REF!"</definedName>
    <definedName name="rukan_d_7">"$#REF!.$#REF!$#REF!"</definedName>
    <definedName name="rukan_d_8">"$#REF!.$#REF!$#REF!"</definedName>
    <definedName name="rukan_dd_10">"$#REF!.$#REF!$#REF!"</definedName>
    <definedName name="rukan_dd_12">"$#REF!.$#REF!$#REF!"</definedName>
    <definedName name="rukan_dd_13">"$#REF!.$#REF!$#REF!"</definedName>
    <definedName name="rukan_dd_5">"$#REF!.$#REF!$#REF!"</definedName>
    <definedName name="rukan_dd_7">"$#REF!.$#REF!$#REF!"</definedName>
    <definedName name="rukan_dd_8">"$#REF!.$#REF!$#REF!"</definedName>
    <definedName name="rukan_e_10">"$#REF!.$#REF!$#REF!"</definedName>
    <definedName name="rukan_e_12">"$#REF!.$#REF!$#REF!"</definedName>
    <definedName name="rukan_e_13">"$#REF!.$#REF!$#REF!"</definedName>
    <definedName name="rukan_e_5">"$#REF!.$#REF!$#REF!"</definedName>
    <definedName name="rukan_e_7">"$#REF!.$#REF!$#REF!"</definedName>
    <definedName name="rukan_e_8">"$#REF!.$#REF!$#REF!"</definedName>
    <definedName name="rukan_ee_10">"$#REF!.$#REF!$#REF!"</definedName>
    <definedName name="rukan_ee_12">"$#REF!.$#REF!$#REF!"</definedName>
    <definedName name="rukan_ee_13">"$#REF!.$#REF!$#REF!"</definedName>
    <definedName name="rukan_ee_5">"$#REF!.$#REF!$#REF!"</definedName>
    <definedName name="rukan_ee_7">"$#REF!.$#REF!$#REF!"</definedName>
    <definedName name="rukan_ee_8">"$#REF!.$#REF!$#REF!"</definedName>
    <definedName name="RY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" localSheetId="15">'Pas. Dinding'!SA</definedName>
    <definedName name="SA" localSheetId="27">'TABEL BAJA'!SA</definedName>
    <definedName name="SA">[9]!SA</definedName>
    <definedName name="SAG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2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3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4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4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5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5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m" localSheetId="15" hidden="1">#REF!</definedName>
    <definedName name="sam" localSheetId="2" hidden="1">#REF!</definedName>
    <definedName name="sam" localSheetId="8" hidden="1">#REF!</definedName>
    <definedName name="sam" localSheetId="27" hidden="1">#REF!</definedName>
    <definedName name="sam" hidden="1">#REF!</definedName>
    <definedName name="sda" hidden="1">#N/A</definedName>
    <definedName name="SDS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2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3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4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4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5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5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EC.C1" localSheetId="15" hidden="1">#REF!</definedName>
    <definedName name="SEC.C1" localSheetId="2" hidden="1">#REF!</definedName>
    <definedName name="SEC.C1" localSheetId="8" hidden="1">#REF!</definedName>
    <definedName name="SEC.C1" localSheetId="27" hidden="1">#REF!</definedName>
    <definedName name="SEC.C1" hidden="1">#REF!</definedName>
    <definedName name="sg_10">"$#REF!.$#REF!$#REF!"</definedName>
    <definedName name="sg_12">"$#REF!.$#REF!$#REF!"</definedName>
    <definedName name="sg_13">"$#REF!.$#REF!$#REF!"</definedName>
    <definedName name="sg_5">"$#REF!.$#REF!$#REF!"</definedName>
    <definedName name="sg_7">"$#REF!.$#REF!$#REF!"</definedName>
    <definedName name="sg_8">"$#REF!.$#REF!$#REF!"</definedName>
    <definedName name="SK" localSheetId="15" hidden="1">#REF!</definedName>
    <definedName name="SK" localSheetId="13" hidden="1">#REF!</definedName>
    <definedName name="SK" localSheetId="2" hidden="1">#REF!</definedName>
    <definedName name="SK" localSheetId="8" hidden="1">#REF!</definedName>
    <definedName name="SK" hidden="1">#REF!</definedName>
    <definedName name="solver_drv" hidden="1">1</definedName>
    <definedName name="solver_est" hidden="1">1</definedName>
    <definedName name="solver_itr" hidden="1">3000</definedName>
    <definedName name="solver_lin" hidden="1">0</definedName>
    <definedName name="solver_num" hidden="1">1</definedName>
    <definedName name="solver_nwt" hidden="1">1</definedName>
    <definedName name="solver_pre" hidden="1">0.01</definedName>
    <definedName name="solver_rel1" hidden="1">4</definedName>
    <definedName name="solver_scl" hidden="1">1</definedName>
    <definedName name="solver_sho" hidden="1">0</definedName>
    <definedName name="solver_tim" hidden="1">100</definedName>
    <definedName name="solver_tol" hidden="1">0.1</definedName>
    <definedName name="solver_typ" hidden="1">3</definedName>
    <definedName name="solver_val" hidden="1">200</definedName>
    <definedName name="sort" localSheetId="15" hidden="1">#REF!</definedName>
    <definedName name="sort" localSheetId="2" hidden="1">#REF!</definedName>
    <definedName name="sort" localSheetId="8" hidden="1">#REF!</definedName>
    <definedName name="sort" localSheetId="27" hidden="1">#REF!</definedName>
    <definedName name="sort" hidden="1">#REF!</definedName>
    <definedName name="SpecialPrice" localSheetId="15" hidden="1">#REF!</definedName>
    <definedName name="SpecialPrice" localSheetId="2" hidden="1">#REF!</definedName>
    <definedName name="SpecialPrice" localSheetId="8" hidden="1">#REF!</definedName>
    <definedName name="SpecialPrice" hidden="1">#REF!</definedName>
    <definedName name="spp" hidden="1">#N/A</definedName>
    <definedName name="ssss_10">"$#REF!.$#REF!$#REF!"</definedName>
    <definedName name="ssss_12">"$#REF!.$#REF!$#REF!"</definedName>
    <definedName name="ssss_13">"$#REF!.$#REF!$#REF!"</definedName>
    <definedName name="ssss_5">"$#REF!.$#REF!$#REF!"</definedName>
    <definedName name="ssss_7">"$#REF!.$#REF!$#REF!"</definedName>
    <definedName name="ssss_8">"$#REF!.$#REF!$#REF!"</definedName>
    <definedName name="st_10">"$#REF!.$#REF!$#REF!"</definedName>
    <definedName name="st_12">"$#REF!.$#REF!$#REF!"</definedName>
    <definedName name="st_13">"$#REF!.$#REF!$#REF!"</definedName>
    <definedName name="st_5">"$#REF!.$#REF!$#REF!"</definedName>
    <definedName name="st_7">"$#REF!.$#REF!$#REF!"</definedName>
    <definedName name="st_8">"$#REF!.$#REF!$#REF!"</definedName>
    <definedName name="STALL_10">"$#REF!.$#REF!$#REF!"</definedName>
    <definedName name="STALL_13">"$#REF!.$#REF!$#REF!"</definedName>
    <definedName name="STALL_5">"$#REF!.$#REF!$#REF!"</definedName>
    <definedName name="su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2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3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4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4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5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5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GENG" localSheetId="15">'Pas. Dinding'!SUGENG</definedName>
    <definedName name="SUGENG" localSheetId="27">'TABEL BAJA'!SUGENG</definedName>
    <definedName name="SUGENG">[9]!SUGENG</definedName>
    <definedName name="SY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2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3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4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4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5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5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">NA()</definedName>
    <definedName name="table" localSheetId="15" hidden="1">[20]H.Satuan!#REF!</definedName>
    <definedName name="table" localSheetId="27" hidden="1">[20]H.Satuan!#REF!</definedName>
    <definedName name="table" hidden="1">[20]H.Satuan!#REF!</definedName>
    <definedName name="tanjd" localSheetId="15" hidden="1">[20]H.Satuan!#REF!</definedName>
    <definedName name="tanjd" localSheetId="27" hidden="1">[20]H.Satuan!#REF!</definedName>
    <definedName name="tanjd" hidden="1">[20]H.Satuan!#REF!</definedName>
    <definedName name="tasnim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2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3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4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4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5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5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xTV">10%</definedName>
    <definedName name="TaxXL">5%</definedName>
    <definedName name="tbl_ProdInfo" localSheetId="15" hidden="1">#REF!</definedName>
    <definedName name="tbl_ProdInfo" localSheetId="2" hidden="1">#REF!</definedName>
    <definedName name="tbl_ProdInfo" localSheetId="8" hidden="1">#REF!</definedName>
    <definedName name="tbl_ProdInfo" localSheetId="27" hidden="1">#REF!</definedName>
    <definedName name="tbl_ProdInfo" hidden="1">#REF!</definedName>
    <definedName name="ter" localSheetId="15" hidden="1">[33]H.Satuan!#REF!</definedName>
    <definedName name="ter" localSheetId="2" hidden="1">[33]H.Satuan!#REF!</definedName>
    <definedName name="ter" localSheetId="8" hidden="1">[33]H.Satuan!#REF!</definedName>
    <definedName name="ter" localSheetId="27" hidden="1">[33]H.Satuan!#REF!</definedName>
    <definedName name="ter" hidden="1">[33]H.Satuan!#REF!</definedName>
    <definedName name="th" localSheetId="15">'Pas. Dinding'!th</definedName>
    <definedName name="th" localSheetId="27">'TABEL BAJA'!th</definedName>
    <definedName name="th">[9]!th</definedName>
    <definedName name="th___2" localSheetId="9">[31]!aber2___5</definedName>
    <definedName name="th___2" localSheetId="15">[0]!aber2___5</definedName>
    <definedName name="th___2" localSheetId="13">[31]!aber2___5</definedName>
    <definedName name="th___2" localSheetId="10">[31]!aber2___5</definedName>
    <definedName name="th___2" localSheetId="2">[31]!aber2___5</definedName>
    <definedName name="th___2" localSheetId="11">[31]!aber2___5</definedName>
    <definedName name="th___2" localSheetId="27">[31]!aber2___5</definedName>
    <definedName name="th___2">[32]!aber2___5</definedName>
    <definedName name="THAW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2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3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4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4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5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5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2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3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4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4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5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5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P2___0">NA()</definedName>
    <definedName name="THP2___1">NA()</definedName>
    <definedName name="THP2___2">NA()</definedName>
    <definedName name="THP2___3">NA()</definedName>
    <definedName name="THP2___4">NA()</definedName>
    <definedName name="THP2___5">NA()</definedName>
    <definedName name="tl1x36bimc_10">"$#REF!.$#REF!$#REF!"</definedName>
    <definedName name="tl1x36bimc_12">"$#REF!.$#REF!$#REF!"</definedName>
    <definedName name="tl1x36bimc_13">"$#REF!.$#REF!$#REF!"</definedName>
    <definedName name="tl1x36bimc_5">"$#REF!.$#REF!$#REF!"</definedName>
    <definedName name="tl1x36bimc_7">"$#REF!.$#REF!$#REF!"</definedName>
    <definedName name="tl1x36bimc_8">"$#REF!.$#REF!$#REF!"</definedName>
    <definedName name="tla2x18iac_10">"$#REF!.$#REF!$#REF!"</definedName>
    <definedName name="tla2x18iac_12">"$#REF!.$#REF!$#REF!"</definedName>
    <definedName name="tla2x18iac_13">"$#REF!.$#REF!$#REF!"</definedName>
    <definedName name="tla2x18iac_5">"$#REF!.$#REF!$#REF!"</definedName>
    <definedName name="tla2x18iac_7">"$#REF!.$#REF!$#REF!"</definedName>
    <definedName name="tla2x18iac_8">"$#REF!.$#REF!$#REF!"</definedName>
    <definedName name="tla2x18iacbimc_10">"$#REF!.$#REF!$#REF!"</definedName>
    <definedName name="tla2x18iacbimc_12">"$#REF!.$#REF!$#REF!"</definedName>
    <definedName name="tla2x18iacbimc_13">"$#REF!.$#REF!$#REF!"</definedName>
    <definedName name="tla2x18iacbimc_5">"$#REF!.$#REF!$#REF!"</definedName>
    <definedName name="tla2x18iacbimc_7">"$#REF!.$#REF!$#REF!"</definedName>
    <definedName name="tla2x18iacbimc_8">"$#REF!.$#REF!$#REF!"</definedName>
    <definedName name="tlb1x18_10">"$#REF!.$#REF!$#REF!"</definedName>
    <definedName name="tlb1x18_12">"$#REF!.$#REF!$#REF!"</definedName>
    <definedName name="tlb1x18_13">"$#REF!.$#REF!$#REF!"</definedName>
    <definedName name="tlb1x18_5">"$#REF!.$#REF!$#REF!"</definedName>
    <definedName name="tlb1x18_7">"$#REF!.$#REF!$#REF!"</definedName>
    <definedName name="tlb1x18_8">"$#REF!.$#REF!$#REF!"</definedName>
    <definedName name="tlb1x36_10">"$#REF!.$#REF!$#REF!:$#REF!$#REF!"</definedName>
    <definedName name="tlb1x36_12">"$#REF!.$#REF!$#REF!:$#REF!$#REF!"</definedName>
    <definedName name="tlb1x36_13">"$#REF!.$#REF!$#REF!:$#REF!$#REF!"</definedName>
    <definedName name="tlb1x36_5">"$#REF!.$#REF!$#REF!:$#REF!$#REF!"</definedName>
    <definedName name="tlb1x36_7">"$#REF!.$#REF!$#REF!:$#REF!$#REF!"</definedName>
    <definedName name="tlb1x36_8">"$#REF!.$#REF!$#REF!:$#REF!$#REF!"</definedName>
    <definedName name="tlb1x36bimc_10">"$#REF!.$#REF!$#REF!"</definedName>
    <definedName name="tlb1x36bimc_12">"$#REF!.$#REF!$#REF!"</definedName>
    <definedName name="tlb1x36bimc_13">"$#REF!.$#REF!$#REF!"</definedName>
    <definedName name="tlb1x36bimc_5">"$#REF!.$#REF!$#REF!"</definedName>
    <definedName name="tlb1x36bimc_7">"$#REF!.$#REF!$#REF!"</definedName>
    <definedName name="tlb1x36bimc_8">"$#REF!.$#REF!$#REF!"</definedName>
    <definedName name="tlb1x36w_10">"$#REF!.$#REF!$#REF!"</definedName>
    <definedName name="tlb1x36w_12">"$#REF!.$#REF!$#REF!"</definedName>
    <definedName name="tlb1x36w_13">"$#REF!.$#REF!$#REF!"</definedName>
    <definedName name="tlb1x36w_5">"$#REF!.$#REF!$#REF!"</definedName>
    <definedName name="tlb1x36w_7">"$#REF!.$#REF!$#REF!"</definedName>
    <definedName name="tlb1x36w_8">"$#REF!.$#REF!$#REF!"</definedName>
    <definedName name="tlbk1x36_10">"$#REF!.$#REF!$#REF!"</definedName>
    <definedName name="tlbk1x36_12">"$#REF!.$#REF!$#REF!"</definedName>
    <definedName name="tlbk1x36_13">"$#REF!.$#REF!$#REF!"</definedName>
    <definedName name="tlbk1x36_5">"$#REF!.$#REF!$#REF!"</definedName>
    <definedName name="tlbk1x36_7">"$#REF!.$#REF!$#REF!"</definedName>
    <definedName name="tlbk1x36_8">"$#REF!.$#REF!$#REF!"</definedName>
    <definedName name="tlbvs2x18_10">"$#REF!.$#REF!$#REF!"</definedName>
    <definedName name="tlbvs2x18_12">"$#REF!.$#REF!$#REF!"</definedName>
    <definedName name="tlbvs2x18_13">"$#REF!.$#REF!$#REF!"</definedName>
    <definedName name="tlbvs2x18_5">"$#REF!.$#REF!$#REF!"</definedName>
    <definedName name="tlbvs2x18_7">"$#REF!.$#REF!$#REF!"</definedName>
    <definedName name="tlbvs2x18_8">"$#REF!.$#REF!$#REF!"</definedName>
    <definedName name="tlbvs2x18bimc_10">"$#REF!.$#REF!$#REF!"</definedName>
    <definedName name="tlbvs2x18bimc_12">"$#REF!.$#REF!$#REF!"</definedName>
    <definedName name="tlbvs2x18bimc_13">"$#REF!.$#REF!$#REF!"</definedName>
    <definedName name="tlbvs2x18bimc_5">"$#REF!.$#REF!$#REF!"</definedName>
    <definedName name="tlbvs2x18bimc_7">"$#REF!.$#REF!$#REF!"</definedName>
    <definedName name="tlbvs2x18bimc_8">"$#REF!.$#REF!$#REF!"</definedName>
    <definedName name="tlc20_10">"$#REF!.$#REF!$#REF!"</definedName>
    <definedName name="tlc20_12">"$#REF!.$#REF!$#REF!"</definedName>
    <definedName name="tlc20_13">"$#REF!.$#REF!$#REF!"</definedName>
    <definedName name="tlc20_5">"$#REF!.$#REF!$#REF!"</definedName>
    <definedName name="tlc20_7">"$#REF!.$#REF!$#REF!"</definedName>
    <definedName name="tlc20_8">"$#REF!.$#REF!$#REF!"</definedName>
    <definedName name="tlc20bimc_10">"$#REF!.$#REF!$#REF!"</definedName>
    <definedName name="tlc20bimc_12">"$#REF!.$#REF!$#REF!"</definedName>
    <definedName name="tlc20bimc_13">"$#REF!.$#REF!$#REF!"</definedName>
    <definedName name="tlc20bimc_5">"$#REF!.$#REF!$#REF!"</definedName>
    <definedName name="tlc20bimc_7">"$#REF!.$#REF!$#REF!"</definedName>
    <definedName name="tlc20bimc_8">"$#REF!.$#REF!$#REF!"</definedName>
    <definedName name="tltko2x36_10">"$#REF!.$#REF!$#REF!"</definedName>
    <definedName name="tltko2x36_12">"$#REF!.$#REF!$#REF!"</definedName>
    <definedName name="tltko2x36_13">"$#REF!.$#REF!$#REF!"</definedName>
    <definedName name="tltko2x36_5">"$#REF!.$#REF!$#REF!"</definedName>
    <definedName name="tltko2x36_7">"$#REF!.$#REF!$#REF!"</definedName>
    <definedName name="tltko2x36_8">"$#REF!.$#REF!$#REF!"</definedName>
    <definedName name="tltko2x36bimc_10">"$#REF!.$#REF!$#REF!"</definedName>
    <definedName name="tltko2x36bimc_12">"$#REF!.$#REF!$#REF!"</definedName>
    <definedName name="tltko2x36bimc_13">"$#REF!.$#REF!$#REF!"</definedName>
    <definedName name="tltko2x36bimc_5">"$#REF!.$#REF!$#REF!"</definedName>
    <definedName name="tltko2x36bimc_7">"$#REF!.$#REF!$#REF!"</definedName>
    <definedName name="tltko2x36bimc_8">"$#REF!.$#REF!$#REF!"</definedName>
    <definedName name="Toilet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oilet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oilet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oilet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oilet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oilet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oile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otal_Payment_12">NA()</definedName>
    <definedName name="Total_Payment_9">NA()</definedName>
    <definedName name="tsI3___0" localSheetId="9">[31]!abfv80___2</definedName>
    <definedName name="tsI3___0" localSheetId="15">[0]!abfv80___2</definedName>
    <definedName name="tsI3___0" localSheetId="13">[31]!abfv80___2</definedName>
    <definedName name="tsI3___0" localSheetId="10">[31]!abfv80___2</definedName>
    <definedName name="tsI3___0" localSheetId="2">[31]!abfv80___2</definedName>
    <definedName name="tsI3___0" localSheetId="11">[31]!abfv80___2</definedName>
    <definedName name="tsI3___0" localSheetId="27">[31]!abfv80___2</definedName>
    <definedName name="tsI3___0">[32]!abfv80___2</definedName>
    <definedName name="tyi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2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3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4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4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5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5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2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3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4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4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5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5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umum" localSheetId="15">'Pas. Dinding'!umum</definedName>
    <definedName name="umum" localSheetId="27">'TABEL BAJA'!umum</definedName>
    <definedName name="umum">[9]!umum</definedName>
    <definedName name="uu" localSheetId="15" hidden="1">[34]H.Satuan!#REF!</definedName>
    <definedName name="uu" localSheetId="2" hidden="1">[34]H.Satuan!#REF!</definedName>
    <definedName name="uu" localSheetId="8" hidden="1">[34]H.Satuan!#REF!</definedName>
    <definedName name="uu" localSheetId="27" hidden="1">[34]H.Satuan!#REF!</definedName>
    <definedName name="uu" hidden="1">[34]H.Satuan!#REF!</definedName>
    <definedName name="vnt100_10">"$#REF!.$#REF!$#REF!"</definedName>
    <definedName name="vnt100_12">"$#REF!.$#REF!$#REF!"</definedName>
    <definedName name="vnt100_13">"$#REF!.$#REF!$#REF!"</definedName>
    <definedName name="vnt100_5">"$#REF!.$#REF!$#REF!"</definedName>
    <definedName name="vnt100_7">"$#REF!.$#REF!$#REF!"</definedName>
    <definedName name="vnt100_8">"$#REF!.$#REF!$#REF!"</definedName>
    <definedName name="vnt40_10">"$#REF!.$#REF!$#REF!"</definedName>
    <definedName name="vnt40_12">"$#REF!.$#REF!$#REF!"</definedName>
    <definedName name="vnt40_13">"$#REF!.$#REF!$#REF!"</definedName>
    <definedName name="vnt40_5">"$#REF!.$#REF!$#REF!"</definedName>
    <definedName name="vnt40_7">"$#REF!.$#REF!$#REF!"</definedName>
    <definedName name="vnt40_8">"$#REF!.$#REF!$#REF!"</definedName>
    <definedName name="vnt50_10">"$#REF!.$#REF!$#REF!"</definedName>
    <definedName name="vnt50_12">"$#REF!.$#REF!$#REF!"</definedName>
    <definedName name="vnt50_13">"$#REF!.$#REF!$#REF!"</definedName>
    <definedName name="vnt50_5">"$#REF!.$#REF!$#REF!"</definedName>
    <definedName name="vnt50_7">"$#REF!.$#REF!$#REF!"</definedName>
    <definedName name="vnt50_8">"$#REF!.$#REF!$#REF!"</definedName>
    <definedName name="vnt80_10">"$#REF!.$#REF!$#REF!"</definedName>
    <definedName name="vnt80_12">"$#REF!.$#REF!$#REF!"</definedName>
    <definedName name="vnt80_13">"$#REF!.$#REF!$#REF!"</definedName>
    <definedName name="vnt80_5">"$#REF!.$#REF!$#REF!"</definedName>
    <definedName name="vnt80_7">"$#REF!.$#REF!$#REF!"</definedName>
    <definedName name="vnt80_8">"$#REF!.$#REF!$#REF!"</definedName>
    <definedName name="vntf100_10">"$#REF!.$#REF!$#REF!"</definedName>
    <definedName name="vntf100_12">"$#REF!.$#REF!$#REF!"</definedName>
    <definedName name="vntf100_13">"$#REF!.$#REF!$#REF!"</definedName>
    <definedName name="vntf100_5">"$#REF!.$#REF!$#REF!"</definedName>
    <definedName name="vntf100_7">"$#REF!.$#REF!$#REF!"</definedName>
    <definedName name="vntf100_8">"$#REF!.$#REF!$#REF!"</definedName>
    <definedName name="vntf80_10">"$#REF!.$#REF!$#REF!"</definedName>
    <definedName name="vntf80_12">"$#REF!.$#REF!$#REF!"</definedName>
    <definedName name="vntf80_13">"$#REF!.$#REF!$#REF!"</definedName>
    <definedName name="vntf80_5">"$#REF!.$#REF!$#REF!"</definedName>
    <definedName name="vntf80_7">"$#REF!.$#REF!$#REF!"</definedName>
    <definedName name="vntf80_8">"$#REF!.$#REF!$#REF!"</definedName>
    <definedName name="VVV" localSheetId="15" hidden="1">[35]LOADDAT!#REF!</definedName>
    <definedName name="VVV" localSheetId="2" hidden="1">[35]LOADDAT!#REF!</definedName>
    <definedName name="VVV" localSheetId="8" hidden="1">[35]LOADDAT!#REF!</definedName>
    <definedName name="VVV" localSheetId="27" hidden="1">[35]LOADDAT!#REF!</definedName>
    <definedName name="VVV" hidden="1">[35]LOADDAT!#REF!</definedName>
    <definedName name="vvvvvvv" localSheetId="15" hidden="1">[34]H.Satuan!#REF!</definedName>
    <definedName name="vvvvvvv" localSheetId="2" hidden="1">[34]H.Satuan!#REF!</definedName>
    <definedName name="vvvvvvv" localSheetId="8" hidden="1">[34]H.Satuan!#REF!</definedName>
    <definedName name="vvvvvvv" localSheetId="27" hidden="1">[34]H.Satuan!#REF!</definedName>
    <definedName name="vvvvvvv" hidden="1">[34]H.Satuan!#REF!</definedName>
    <definedName name="WASHING_10">"$#REF!.$#REF!#REF!"</definedName>
    <definedName name="WASHING_13">"$#REF!.$#REF!#REF!"</definedName>
    <definedName name="WASHING_5">"$#REF!.$#REF!#REF!"</definedName>
    <definedName name="wayan" localSheetId="5" hidden="1">{#N/A,#N/A,FALSE,"Chi tiÆt"}</definedName>
    <definedName name="wayan" localSheetId="15" hidden="1">{#N/A,#N/A,FALSE,"Chi tiÆt"}</definedName>
    <definedName name="wayan" localSheetId="13" hidden="1">{#N/A,#N/A,FALSE,"Chi tiÆt"}</definedName>
    <definedName name="wayan" localSheetId="2" hidden="1">{#N/A,#N/A,FALSE,"Chi tiÆt"}</definedName>
    <definedName name="wayan" localSheetId="8" hidden="1">{#N/A,#N/A,FALSE,"Chi tiÆt"}</definedName>
    <definedName name="wayan" localSheetId="27" hidden="1">{#N/A,#N/A,FALSE,"Chi tiÆt"}</definedName>
    <definedName name="wayan" hidden="1">{#N/A,#N/A,FALSE,"Chi tiÆt"}</definedName>
    <definedName name="wayan_2" localSheetId="5" hidden="1">{#N/A,#N/A,FALSE,"Chi tiÆt"}</definedName>
    <definedName name="wayan_2" localSheetId="15" hidden="1">{#N/A,#N/A,FALSE,"Chi tiÆt"}</definedName>
    <definedName name="wayan_2" localSheetId="13" hidden="1">{#N/A,#N/A,FALSE,"Chi tiÆt"}</definedName>
    <definedName name="wayan_2" localSheetId="2" hidden="1">{#N/A,#N/A,FALSE,"Chi tiÆt"}</definedName>
    <definedName name="wayan_2" localSheetId="8" hidden="1">{#N/A,#N/A,FALSE,"Chi tiÆt"}</definedName>
    <definedName name="wayan_2" localSheetId="27" hidden="1">{#N/A,#N/A,FALSE,"Chi tiÆt"}</definedName>
    <definedName name="wayan_2" hidden="1">{#N/A,#N/A,FALSE,"Chi tiÆt"}</definedName>
    <definedName name="wayan_3" localSheetId="5" hidden="1">{#N/A,#N/A,FALSE,"Chi tiÆt"}</definedName>
    <definedName name="wayan_3" localSheetId="15" hidden="1">{#N/A,#N/A,FALSE,"Chi tiÆt"}</definedName>
    <definedName name="wayan_3" localSheetId="13" hidden="1">{#N/A,#N/A,FALSE,"Chi tiÆt"}</definedName>
    <definedName name="wayan_3" localSheetId="2" hidden="1">{#N/A,#N/A,FALSE,"Chi tiÆt"}</definedName>
    <definedName name="wayan_3" localSheetId="8" hidden="1">{#N/A,#N/A,FALSE,"Chi tiÆt"}</definedName>
    <definedName name="wayan_3" localSheetId="27" hidden="1">{#N/A,#N/A,FALSE,"Chi tiÆt"}</definedName>
    <definedName name="wayan_3" hidden="1">{#N/A,#N/A,FALSE,"Chi tiÆt"}</definedName>
    <definedName name="wayan_4" localSheetId="5" hidden="1">{#N/A,#N/A,FALSE,"Chi tiÆt"}</definedName>
    <definedName name="wayan_4" localSheetId="15" hidden="1">{#N/A,#N/A,FALSE,"Chi tiÆt"}</definedName>
    <definedName name="wayan_4" localSheetId="13" hidden="1">{#N/A,#N/A,FALSE,"Chi tiÆt"}</definedName>
    <definedName name="wayan_4" localSheetId="2" hidden="1">{#N/A,#N/A,FALSE,"Chi tiÆt"}</definedName>
    <definedName name="wayan_4" localSheetId="8" hidden="1">{#N/A,#N/A,FALSE,"Chi tiÆt"}</definedName>
    <definedName name="wayan_4" localSheetId="27" hidden="1">{#N/A,#N/A,FALSE,"Chi tiÆt"}</definedName>
    <definedName name="wayan_4" hidden="1">{#N/A,#N/A,FALSE,"Chi tiÆt"}</definedName>
    <definedName name="wayan_5" localSheetId="5" hidden="1">{#N/A,#N/A,FALSE,"Chi tiÆt"}</definedName>
    <definedName name="wayan_5" localSheetId="15" hidden="1">{#N/A,#N/A,FALSE,"Chi tiÆt"}</definedName>
    <definedName name="wayan_5" localSheetId="13" hidden="1">{#N/A,#N/A,FALSE,"Chi tiÆt"}</definedName>
    <definedName name="wayan_5" localSheetId="2" hidden="1">{#N/A,#N/A,FALSE,"Chi tiÆt"}</definedName>
    <definedName name="wayan_5" localSheetId="8" hidden="1">{#N/A,#N/A,FALSE,"Chi tiÆt"}</definedName>
    <definedName name="wayan_5" localSheetId="27" hidden="1">{#N/A,#N/A,FALSE,"Chi tiÆt"}</definedName>
    <definedName name="wayan_5" hidden="1">{#N/A,#N/A,FALSE,"Chi tiÆt"}</definedName>
    <definedName name="wedus" hidden="1">#N/A</definedName>
    <definedName name="wee" localSheetId="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" localSheetId="2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2" localSheetId="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2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2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2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2" localSheetId="2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3" localSheetId="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3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3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3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3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3" localSheetId="2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4" localSheetId="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4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4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4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4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4" localSheetId="2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5" localSheetId="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5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5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5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5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5" localSheetId="2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RQWREQW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2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3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4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4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5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5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2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3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4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4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5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5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2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3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4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4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5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5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2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3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4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4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5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5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AAA." localSheetId="5" hidden="1">{#N/A,#N/A,FALSE,"REK";#N/A,#N/A,FALSE,"Bq-ARS"}</definedName>
    <definedName name="wrn.AAA." localSheetId="15" hidden="1">{#N/A,#N/A,FALSE,"REK";#N/A,#N/A,FALSE,"Bq-ARS"}</definedName>
    <definedName name="wrn.AAA." localSheetId="13" hidden="1">{#N/A,#N/A,FALSE,"REK";#N/A,#N/A,FALSE,"Bq-ARS"}</definedName>
    <definedName name="wrn.AAA." localSheetId="2" hidden="1">{#N/A,#N/A,FALSE,"REK";#N/A,#N/A,FALSE,"Bq-ARS"}</definedName>
    <definedName name="wrn.AAA." localSheetId="8" hidden="1">{#N/A,#N/A,FALSE,"REK";#N/A,#N/A,FALSE,"Bq-ARS"}</definedName>
    <definedName name="wrn.AAA." localSheetId="27" hidden="1">{#N/A,#N/A,FALSE,"REK";#N/A,#N/A,FALSE,"Bq-ARS"}</definedName>
    <definedName name="wrn.AAA." hidden="1">{#N/A,#N/A,FALSE,"REK";#N/A,#N/A,FALSE,"Bq-ARS"}</definedName>
    <definedName name="wrn.AAA._2" localSheetId="5" hidden="1">{#N/A,#N/A,FALSE,"REK";#N/A,#N/A,FALSE,"Bq-ARS"}</definedName>
    <definedName name="wrn.AAA._2" localSheetId="15" hidden="1">{#N/A,#N/A,FALSE,"REK";#N/A,#N/A,FALSE,"Bq-ARS"}</definedName>
    <definedName name="wrn.AAA._2" localSheetId="13" hidden="1">{#N/A,#N/A,FALSE,"REK";#N/A,#N/A,FALSE,"Bq-ARS"}</definedName>
    <definedName name="wrn.AAA._2" localSheetId="2" hidden="1">{#N/A,#N/A,FALSE,"REK";#N/A,#N/A,FALSE,"Bq-ARS"}</definedName>
    <definedName name="wrn.AAA._2" localSheetId="8" hidden="1">{#N/A,#N/A,FALSE,"REK";#N/A,#N/A,FALSE,"Bq-ARS"}</definedName>
    <definedName name="wrn.AAA._2" localSheetId="27" hidden="1">{#N/A,#N/A,FALSE,"REK";#N/A,#N/A,FALSE,"Bq-ARS"}</definedName>
    <definedName name="wrn.AAA._2" hidden="1">{#N/A,#N/A,FALSE,"REK";#N/A,#N/A,FALSE,"Bq-ARS"}</definedName>
    <definedName name="wrn.AAA._3" localSheetId="5" hidden="1">{#N/A,#N/A,FALSE,"REK";#N/A,#N/A,FALSE,"Bq-ARS"}</definedName>
    <definedName name="wrn.AAA._3" localSheetId="15" hidden="1">{#N/A,#N/A,FALSE,"REK";#N/A,#N/A,FALSE,"Bq-ARS"}</definedName>
    <definedName name="wrn.AAA._3" localSheetId="13" hidden="1">{#N/A,#N/A,FALSE,"REK";#N/A,#N/A,FALSE,"Bq-ARS"}</definedName>
    <definedName name="wrn.AAA._3" localSheetId="2" hidden="1">{#N/A,#N/A,FALSE,"REK";#N/A,#N/A,FALSE,"Bq-ARS"}</definedName>
    <definedName name="wrn.AAA._3" localSheetId="8" hidden="1">{#N/A,#N/A,FALSE,"REK";#N/A,#N/A,FALSE,"Bq-ARS"}</definedName>
    <definedName name="wrn.AAA._3" localSheetId="27" hidden="1">{#N/A,#N/A,FALSE,"REK";#N/A,#N/A,FALSE,"Bq-ARS"}</definedName>
    <definedName name="wrn.AAA._3" hidden="1">{#N/A,#N/A,FALSE,"REK";#N/A,#N/A,FALSE,"Bq-ARS"}</definedName>
    <definedName name="wrn.AAA._4" localSheetId="5" hidden="1">{#N/A,#N/A,FALSE,"REK";#N/A,#N/A,FALSE,"Bq-ARS"}</definedName>
    <definedName name="wrn.AAA._4" localSheetId="15" hidden="1">{#N/A,#N/A,FALSE,"REK";#N/A,#N/A,FALSE,"Bq-ARS"}</definedName>
    <definedName name="wrn.AAA._4" localSheetId="13" hidden="1">{#N/A,#N/A,FALSE,"REK";#N/A,#N/A,FALSE,"Bq-ARS"}</definedName>
    <definedName name="wrn.AAA._4" localSheetId="2" hidden="1">{#N/A,#N/A,FALSE,"REK";#N/A,#N/A,FALSE,"Bq-ARS"}</definedName>
    <definedName name="wrn.AAA._4" localSheetId="8" hidden="1">{#N/A,#N/A,FALSE,"REK";#N/A,#N/A,FALSE,"Bq-ARS"}</definedName>
    <definedName name="wrn.AAA._4" localSheetId="27" hidden="1">{#N/A,#N/A,FALSE,"REK";#N/A,#N/A,FALSE,"Bq-ARS"}</definedName>
    <definedName name="wrn.AAA._4" hidden="1">{#N/A,#N/A,FALSE,"REK";#N/A,#N/A,FALSE,"Bq-ARS"}</definedName>
    <definedName name="wrn.AAA._5" localSheetId="5" hidden="1">{#N/A,#N/A,FALSE,"REK";#N/A,#N/A,FALSE,"Bq-ARS"}</definedName>
    <definedName name="wrn.AAA._5" localSheetId="15" hidden="1">{#N/A,#N/A,FALSE,"REK";#N/A,#N/A,FALSE,"Bq-ARS"}</definedName>
    <definedName name="wrn.AAA._5" localSheetId="13" hidden="1">{#N/A,#N/A,FALSE,"REK";#N/A,#N/A,FALSE,"Bq-ARS"}</definedName>
    <definedName name="wrn.AAA._5" localSheetId="2" hidden="1">{#N/A,#N/A,FALSE,"REK";#N/A,#N/A,FALSE,"Bq-ARS"}</definedName>
    <definedName name="wrn.AAA._5" localSheetId="8" hidden="1">{#N/A,#N/A,FALSE,"REK";#N/A,#N/A,FALSE,"Bq-ARS"}</definedName>
    <definedName name="wrn.AAA._5" localSheetId="27" hidden="1">{#N/A,#N/A,FALSE,"REK";#N/A,#N/A,FALSE,"Bq-ARS"}</definedName>
    <definedName name="wrn.AAA._5" hidden="1">{#N/A,#N/A,FALSE,"REK";#N/A,#N/A,FALSE,"Bq-ARS"}</definedName>
    <definedName name="wrn.All_Report1." localSheetId="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" localSheetId="2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2" localSheetId="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2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2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2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2" localSheetId="2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3" localSheetId="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3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3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3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3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3" localSheetId="2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4" localSheetId="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4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4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4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4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4" localSheetId="2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5" localSheetId="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5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5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5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5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5" localSheetId="2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2." localSheetId="5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" localSheetId="15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" localSheetId="13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" localSheetId="2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" localSheetId="8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" localSheetId="27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2" localSheetId="5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2" localSheetId="15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2" localSheetId="13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2" localSheetId="2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2" localSheetId="8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2" localSheetId="27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2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3" localSheetId="5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3" localSheetId="15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3" localSheetId="13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3" localSheetId="2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3" localSheetId="8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3" localSheetId="27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3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4" localSheetId="5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4" localSheetId="15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4" localSheetId="13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4" localSheetId="2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4" localSheetId="8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4" localSheetId="27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4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5" localSheetId="5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5" localSheetId="15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5" localSheetId="13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5" localSheetId="2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5" localSheetId="8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5" localSheetId="27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5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Bahan._.Bakar._.Pelumas._.Listrik." localSheetId="5" hidden="1">{#N/A,#N/A,FALSE,"WPO_6221 &amp; 6331"}</definedName>
    <definedName name="wrn.Bahan._.Bakar._.Pelumas._.Listrik." localSheetId="15" hidden="1">{#N/A,#N/A,FALSE,"WPO_6221 &amp; 6331"}</definedName>
    <definedName name="wrn.Bahan._.Bakar._.Pelumas._.Listrik." localSheetId="13" hidden="1">{#N/A,#N/A,FALSE,"WPO_6221 &amp; 6331"}</definedName>
    <definedName name="wrn.Bahan._.Bakar._.Pelumas._.Listrik." localSheetId="2" hidden="1">{#N/A,#N/A,FALSE,"WPO_6221 &amp; 6331"}</definedName>
    <definedName name="wrn.Bahan._.Bakar._.Pelumas._.Listrik." localSheetId="8" hidden="1">{#N/A,#N/A,FALSE,"WPO_6221 &amp; 6331"}</definedName>
    <definedName name="wrn.Bahan._.Bakar._.Pelumas._.Listrik." localSheetId="27" hidden="1">{#N/A,#N/A,FALSE,"WPO_6221 &amp; 6331"}</definedName>
    <definedName name="wrn.Bahan._.Bakar._.Pelumas._.Listrik." hidden="1">{#N/A,#N/A,FALSE,"WPO_6221 &amp; 6331"}</definedName>
    <definedName name="wrn.Bahan._.Bakar._.Pelumas._.Listrik._2" localSheetId="5" hidden="1">{#N/A,#N/A,FALSE,"WPO_6221 &amp; 6331"}</definedName>
    <definedName name="wrn.Bahan._.Bakar._.Pelumas._.Listrik._2" localSheetId="15" hidden="1">{#N/A,#N/A,FALSE,"WPO_6221 &amp; 6331"}</definedName>
    <definedName name="wrn.Bahan._.Bakar._.Pelumas._.Listrik._2" localSheetId="13" hidden="1">{#N/A,#N/A,FALSE,"WPO_6221 &amp; 6331"}</definedName>
    <definedName name="wrn.Bahan._.Bakar._.Pelumas._.Listrik._2" localSheetId="2" hidden="1">{#N/A,#N/A,FALSE,"WPO_6221 &amp; 6331"}</definedName>
    <definedName name="wrn.Bahan._.Bakar._.Pelumas._.Listrik._2" localSheetId="8" hidden="1">{#N/A,#N/A,FALSE,"WPO_6221 &amp; 6331"}</definedName>
    <definedName name="wrn.Bahan._.Bakar._.Pelumas._.Listrik._2" localSheetId="27" hidden="1">{#N/A,#N/A,FALSE,"WPO_6221 &amp; 6331"}</definedName>
    <definedName name="wrn.Bahan._.Bakar._.Pelumas._.Listrik._2" hidden="1">{#N/A,#N/A,FALSE,"WPO_6221 &amp; 6331"}</definedName>
    <definedName name="wrn.Bahan._.Bakar._.Pelumas._.Listrik._3" localSheetId="5" hidden="1">{#N/A,#N/A,FALSE,"WPO_6221 &amp; 6331"}</definedName>
    <definedName name="wrn.Bahan._.Bakar._.Pelumas._.Listrik._3" localSheetId="15" hidden="1">{#N/A,#N/A,FALSE,"WPO_6221 &amp; 6331"}</definedName>
    <definedName name="wrn.Bahan._.Bakar._.Pelumas._.Listrik._3" localSheetId="13" hidden="1">{#N/A,#N/A,FALSE,"WPO_6221 &amp; 6331"}</definedName>
    <definedName name="wrn.Bahan._.Bakar._.Pelumas._.Listrik._3" localSheetId="2" hidden="1">{#N/A,#N/A,FALSE,"WPO_6221 &amp; 6331"}</definedName>
    <definedName name="wrn.Bahan._.Bakar._.Pelumas._.Listrik._3" localSheetId="8" hidden="1">{#N/A,#N/A,FALSE,"WPO_6221 &amp; 6331"}</definedName>
    <definedName name="wrn.Bahan._.Bakar._.Pelumas._.Listrik._3" localSheetId="27" hidden="1">{#N/A,#N/A,FALSE,"WPO_6221 &amp; 6331"}</definedName>
    <definedName name="wrn.Bahan._.Bakar._.Pelumas._.Listrik._3" hidden="1">{#N/A,#N/A,FALSE,"WPO_6221 &amp; 6331"}</definedName>
    <definedName name="wrn.Bahan._.Bakar._.Pelumas._.Listrik._4" localSheetId="5" hidden="1">{#N/A,#N/A,FALSE,"WPO_6221 &amp; 6331"}</definedName>
    <definedName name="wrn.Bahan._.Bakar._.Pelumas._.Listrik._4" localSheetId="15" hidden="1">{#N/A,#N/A,FALSE,"WPO_6221 &amp; 6331"}</definedName>
    <definedName name="wrn.Bahan._.Bakar._.Pelumas._.Listrik._4" localSheetId="13" hidden="1">{#N/A,#N/A,FALSE,"WPO_6221 &amp; 6331"}</definedName>
    <definedName name="wrn.Bahan._.Bakar._.Pelumas._.Listrik._4" localSheetId="2" hidden="1">{#N/A,#N/A,FALSE,"WPO_6221 &amp; 6331"}</definedName>
    <definedName name="wrn.Bahan._.Bakar._.Pelumas._.Listrik._4" localSheetId="8" hidden="1">{#N/A,#N/A,FALSE,"WPO_6221 &amp; 6331"}</definedName>
    <definedName name="wrn.Bahan._.Bakar._.Pelumas._.Listrik._4" localSheetId="27" hidden="1">{#N/A,#N/A,FALSE,"WPO_6221 &amp; 6331"}</definedName>
    <definedName name="wrn.Bahan._.Bakar._.Pelumas._.Listrik._4" hidden="1">{#N/A,#N/A,FALSE,"WPO_6221 &amp; 6331"}</definedName>
    <definedName name="wrn.Bahan._.Bakar._.Pelumas._.Listrik._5" localSheetId="5" hidden="1">{#N/A,#N/A,FALSE,"WPO_6221 &amp; 6331"}</definedName>
    <definedName name="wrn.Bahan._.Bakar._.Pelumas._.Listrik._5" localSheetId="15" hidden="1">{#N/A,#N/A,FALSE,"WPO_6221 &amp; 6331"}</definedName>
    <definedName name="wrn.Bahan._.Bakar._.Pelumas._.Listrik._5" localSheetId="13" hidden="1">{#N/A,#N/A,FALSE,"WPO_6221 &amp; 6331"}</definedName>
    <definedName name="wrn.Bahan._.Bakar._.Pelumas._.Listrik._5" localSheetId="2" hidden="1">{#N/A,#N/A,FALSE,"WPO_6221 &amp; 6331"}</definedName>
    <definedName name="wrn.Bahan._.Bakar._.Pelumas._.Listrik._5" localSheetId="8" hidden="1">{#N/A,#N/A,FALSE,"WPO_6221 &amp; 6331"}</definedName>
    <definedName name="wrn.Bahan._.Bakar._.Pelumas._.Listrik._5" localSheetId="27" hidden="1">{#N/A,#N/A,FALSE,"WPO_6221 &amp; 6331"}</definedName>
    <definedName name="wrn.Bahan._.Bakar._.Pelumas._.Listrik._5" hidden="1">{#N/A,#N/A,FALSE,"WPO_6221 &amp; 6331"}</definedName>
    <definedName name="wrn.Biaya._.Cetak._.Ongkos._.Angkut." localSheetId="5" hidden="1">{#N/A,#N/A,FALSE,"WPO_6230 &amp; 6415"}</definedName>
    <definedName name="wrn.Biaya._.Cetak._.Ongkos._.Angkut." localSheetId="15" hidden="1">{#N/A,#N/A,FALSE,"WPO_6230 &amp; 6415"}</definedName>
    <definedName name="wrn.Biaya._.Cetak._.Ongkos._.Angkut." localSheetId="13" hidden="1">{#N/A,#N/A,FALSE,"WPO_6230 &amp; 6415"}</definedName>
    <definedName name="wrn.Biaya._.Cetak._.Ongkos._.Angkut." localSheetId="2" hidden="1">{#N/A,#N/A,FALSE,"WPO_6230 &amp; 6415"}</definedName>
    <definedName name="wrn.Biaya._.Cetak._.Ongkos._.Angkut." localSheetId="8" hidden="1">{#N/A,#N/A,FALSE,"WPO_6230 &amp; 6415"}</definedName>
    <definedName name="wrn.Biaya._.Cetak._.Ongkos._.Angkut." localSheetId="27" hidden="1">{#N/A,#N/A,FALSE,"WPO_6230 &amp; 6415"}</definedName>
    <definedName name="wrn.Biaya._.Cetak._.Ongkos._.Angkut." hidden="1">{#N/A,#N/A,FALSE,"WPO_6230 &amp; 6415"}</definedName>
    <definedName name="wrn.Biaya._.Cetak._.Ongkos._.Angkut._2" localSheetId="5" hidden="1">{#N/A,#N/A,FALSE,"WPO_6230 &amp; 6415"}</definedName>
    <definedName name="wrn.Biaya._.Cetak._.Ongkos._.Angkut._2" localSheetId="15" hidden="1">{#N/A,#N/A,FALSE,"WPO_6230 &amp; 6415"}</definedName>
    <definedName name="wrn.Biaya._.Cetak._.Ongkos._.Angkut._2" localSheetId="13" hidden="1">{#N/A,#N/A,FALSE,"WPO_6230 &amp; 6415"}</definedName>
    <definedName name="wrn.Biaya._.Cetak._.Ongkos._.Angkut._2" localSheetId="2" hidden="1">{#N/A,#N/A,FALSE,"WPO_6230 &amp; 6415"}</definedName>
    <definedName name="wrn.Biaya._.Cetak._.Ongkos._.Angkut._2" localSheetId="8" hidden="1">{#N/A,#N/A,FALSE,"WPO_6230 &amp; 6415"}</definedName>
    <definedName name="wrn.Biaya._.Cetak._.Ongkos._.Angkut._2" localSheetId="27" hidden="1">{#N/A,#N/A,FALSE,"WPO_6230 &amp; 6415"}</definedName>
    <definedName name="wrn.Biaya._.Cetak._.Ongkos._.Angkut._2" hidden="1">{#N/A,#N/A,FALSE,"WPO_6230 &amp; 6415"}</definedName>
    <definedName name="wrn.Biaya._.Cetak._.Ongkos._.Angkut._3" localSheetId="5" hidden="1">{#N/A,#N/A,FALSE,"WPO_6230 &amp; 6415"}</definedName>
    <definedName name="wrn.Biaya._.Cetak._.Ongkos._.Angkut._3" localSheetId="15" hidden="1">{#N/A,#N/A,FALSE,"WPO_6230 &amp; 6415"}</definedName>
    <definedName name="wrn.Biaya._.Cetak._.Ongkos._.Angkut._3" localSheetId="13" hidden="1">{#N/A,#N/A,FALSE,"WPO_6230 &amp; 6415"}</definedName>
    <definedName name="wrn.Biaya._.Cetak._.Ongkos._.Angkut._3" localSheetId="2" hidden="1">{#N/A,#N/A,FALSE,"WPO_6230 &amp; 6415"}</definedName>
    <definedName name="wrn.Biaya._.Cetak._.Ongkos._.Angkut._3" localSheetId="8" hidden="1">{#N/A,#N/A,FALSE,"WPO_6230 &amp; 6415"}</definedName>
    <definedName name="wrn.Biaya._.Cetak._.Ongkos._.Angkut._3" localSheetId="27" hidden="1">{#N/A,#N/A,FALSE,"WPO_6230 &amp; 6415"}</definedName>
    <definedName name="wrn.Biaya._.Cetak._.Ongkos._.Angkut._3" hidden="1">{#N/A,#N/A,FALSE,"WPO_6230 &amp; 6415"}</definedName>
    <definedName name="wrn.Biaya._.Cetak._.Ongkos._.Angkut._4" localSheetId="5" hidden="1">{#N/A,#N/A,FALSE,"WPO_6230 &amp; 6415"}</definedName>
    <definedName name="wrn.Biaya._.Cetak._.Ongkos._.Angkut._4" localSheetId="15" hidden="1">{#N/A,#N/A,FALSE,"WPO_6230 &amp; 6415"}</definedName>
    <definedName name="wrn.Biaya._.Cetak._.Ongkos._.Angkut._4" localSheetId="13" hidden="1">{#N/A,#N/A,FALSE,"WPO_6230 &amp; 6415"}</definedName>
    <definedName name="wrn.Biaya._.Cetak._.Ongkos._.Angkut._4" localSheetId="2" hidden="1">{#N/A,#N/A,FALSE,"WPO_6230 &amp; 6415"}</definedName>
    <definedName name="wrn.Biaya._.Cetak._.Ongkos._.Angkut._4" localSheetId="8" hidden="1">{#N/A,#N/A,FALSE,"WPO_6230 &amp; 6415"}</definedName>
    <definedName name="wrn.Biaya._.Cetak._.Ongkos._.Angkut._4" localSheetId="27" hidden="1">{#N/A,#N/A,FALSE,"WPO_6230 &amp; 6415"}</definedName>
    <definedName name="wrn.Biaya._.Cetak._.Ongkos._.Angkut._4" hidden="1">{#N/A,#N/A,FALSE,"WPO_6230 &amp; 6415"}</definedName>
    <definedName name="wrn.Biaya._.Cetak._.Ongkos._.Angkut._5" localSheetId="5" hidden="1">{#N/A,#N/A,FALSE,"WPO_6230 &amp; 6415"}</definedName>
    <definedName name="wrn.Biaya._.Cetak._.Ongkos._.Angkut._5" localSheetId="15" hidden="1">{#N/A,#N/A,FALSE,"WPO_6230 &amp; 6415"}</definedName>
    <definedName name="wrn.Biaya._.Cetak._.Ongkos._.Angkut._5" localSheetId="13" hidden="1">{#N/A,#N/A,FALSE,"WPO_6230 &amp; 6415"}</definedName>
    <definedName name="wrn.Biaya._.Cetak._.Ongkos._.Angkut._5" localSheetId="2" hidden="1">{#N/A,#N/A,FALSE,"WPO_6230 &amp; 6415"}</definedName>
    <definedName name="wrn.Biaya._.Cetak._.Ongkos._.Angkut._5" localSheetId="8" hidden="1">{#N/A,#N/A,FALSE,"WPO_6230 &amp; 6415"}</definedName>
    <definedName name="wrn.Biaya._.Cetak._.Ongkos._.Angkut._5" localSheetId="27" hidden="1">{#N/A,#N/A,FALSE,"WPO_6230 &amp; 6415"}</definedName>
    <definedName name="wrn.Biaya._.Cetak._.Ongkos._.Angkut._5" hidden="1">{#N/A,#N/A,FALSE,"WPO_6230 &amp; 6415"}</definedName>
    <definedName name="wrn.Biaya._.Produksi." localSheetId="5" hidden="1">{#N/A,#N/A,FALSE,"WPO6426_TBL";#N/A,#N/A,FALSE,"WPO6426"}</definedName>
    <definedName name="wrn.Biaya._.Produksi." localSheetId="15" hidden="1">{#N/A,#N/A,FALSE,"WPO6426_TBL";#N/A,#N/A,FALSE,"WPO6426"}</definedName>
    <definedName name="wrn.Biaya._.Produksi." localSheetId="13" hidden="1">{#N/A,#N/A,FALSE,"WPO6426_TBL";#N/A,#N/A,FALSE,"WPO6426"}</definedName>
    <definedName name="wrn.Biaya._.Produksi." localSheetId="2" hidden="1">{#N/A,#N/A,FALSE,"WPO6426_TBL";#N/A,#N/A,FALSE,"WPO6426"}</definedName>
    <definedName name="wrn.Biaya._.Produksi." localSheetId="8" hidden="1">{#N/A,#N/A,FALSE,"WPO6426_TBL";#N/A,#N/A,FALSE,"WPO6426"}</definedName>
    <definedName name="wrn.Biaya._.Produksi." localSheetId="27" hidden="1">{#N/A,#N/A,FALSE,"WPO6426_TBL";#N/A,#N/A,FALSE,"WPO6426"}</definedName>
    <definedName name="wrn.Biaya._.Produksi." hidden="1">{#N/A,#N/A,FALSE,"WPO6426_TBL";#N/A,#N/A,FALSE,"WPO6426"}</definedName>
    <definedName name="wrn.Biaya._.Produksi._2" localSheetId="5" hidden="1">{#N/A,#N/A,FALSE,"WPO6426_TBL";#N/A,#N/A,FALSE,"WPO6426"}</definedName>
    <definedName name="wrn.Biaya._.Produksi._2" localSheetId="15" hidden="1">{#N/A,#N/A,FALSE,"WPO6426_TBL";#N/A,#N/A,FALSE,"WPO6426"}</definedName>
    <definedName name="wrn.Biaya._.Produksi._2" localSheetId="13" hidden="1">{#N/A,#N/A,FALSE,"WPO6426_TBL";#N/A,#N/A,FALSE,"WPO6426"}</definedName>
    <definedName name="wrn.Biaya._.Produksi._2" localSheetId="2" hidden="1">{#N/A,#N/A,FALSE,"WPO6426_TBL";#N/A,#N/A,FALSE,"WPO6426"}</definedName>
    <definedName name="wrn.Biaya._.Produksi._2" localSheetId="8" hidden="1">{#N/A,#N/A,FALSE,"WPO6426_TBL";#N/A,#N/A,FALSE,"WPO6426"}</definedName>
    <definedName name="wrn.Biaya._.Produksi._2" localSheetId="27" hidden="1">{#N/A,#N/A,FALSE,"WPO6426_TBL";#N/A,#N/A,FALSE,"WPO6426"}</definedName>
    <definedName name="wrn.Biaya._.Produksi._2" hidden="1">{#N/A,#N/A,FALSE,"WPO6426_TBL";#N/A,#N/A,FALSE,"WPO6426"}</definedName>
    <definedName name="wrn.Biaya._.Produksi._3" localSheetId="5" hidden="1">{#N/A,#N/A,FALSE,"WPO6426_TBL";#N/A,#N/A,FALSE,"WPO6426"}</definedName>
    <definedName name="wrn.Biaya._.Produksi._3" localSheetId="15" hidden="1">{#N/A,#N/A,FALSE,"WPO6426_TBL";#N/A,#N/A,FALSE,"WPO6426"}</definedName>
    <definedName name="wrn.Biaya._.Produksi._3" localSheetId="13" hidden="1">{#N/A,#N/A,FALSE,"WPO6426_TBL";#N/A,#N/A,FALSE,"WPO6426"}</definedName>
    <definedName name="wrn.Biaya._.Produksi._3" localSheetId="2" hidden="1">{#N/A,#N/A,FALSE,"WPO6426_TBL";#N/A,#N/A,FALSE,"WPO6426"}</definedName>
    <definedName name="wrn.Biaya._.Produksi._3" localSheetId="8" hidden="1">{#N/A,#N/A,FALSE,"WPO6426_TBL";#N/A,#N/A,FALSE,"WPO6426"}</definedName>
    <definedName name="wrn.Biaya._.Produksi._3" localSheetId="27" hidden="1">{#N/A,#N/A,FALSE,"WPO6426_TBL";#N/A,#N/A,FALSE,"WPO6426"}</definedName>
    <definedName name="wrn.Biaya._.Produksi._3" hidden="1">{#N/A,#N/A,FALSE,"WPO6426_TBL";#N/A,#N/A,FALSE,"WPO6426"}</definedName>
    <definedName name="wrn.Biaya._.Produksi._4" localSheetId="5" hidden="1">{#N/A,#N/A,FALSE,"WPO6426_TBL";#N/A,#N/A,FALSE,"WPO6426"}</definedName>
    <definedName name="wrn.Biaya._.Produksi._4" localSheetId="15" hidden="1">{#N/A,#N/A,FALSE,"WPO6426_TBL";#N/A,#N/A,FALSE,"WPO6426"}</definedName>
    <definedName name="wrn.Biaya._.Produksi._4" localSheetId="13" hidden="1">{#N/A,#N/A,FALSE,"WPO6426_TBL";#N/A,#N/A,FALSE,"WPO6426"}</definedName>
    <definedName name="wrn.Biaya._.Produksi._4" localSheetId="2" hidden="1">{#N/A,#N/A,FALSE,"WPO6426_TBL";#N/A,#N/A,FALSE,"WPO6426"}</definedName>
    <definedName name="wrn.Biaya._.Produksi._4" localSheetId="8" hidden="1">{#N/A,#N/A,FALSE,"WPO6426_TBL";#N/A,#N/A,FALSE,"WPO6426"}</definedName>
    <definedName name="wrn.Biaya._.Produksi._4" localSheetId="27" hidden="1">{#N/A,#N/A,FALSE,"WPO6426_TBL";#N/A,#N/A,FALSE,"WPO6426"}</definedName>
    <definedName name="wrn.Biaya._.Produksi._4" hidden="1">{#N/A,#N/A,FALSE,"WPO6426_TBL";#N/A,#N/A,FALSE,"WPO6426"}</definedName>
    <definedName name="wrn.Biaya._.Produksi._5" localSheetId="5" hidden="1">{#N/A,#N/A,FALSE,"WPO6426_TBL";#N/A,#N/A,FALSE,"WPO6426"}</definedName>
    <definedName name="wrn.Biaya._.Produksi._5" localSheetId="15" hidden="1">{#N/A,#N/A,FALSE,"WPO6426_TBL";#N/A,#N/A,FALSE,"WPO6426"}</definedName>
    <definedName name="wrn.Biaya._.Produksi._5" localSheetId="13" hidden="1">{#N/A,#N/A,FALSE,"WPO6426_TBL";#N/A,#N/A,FALSE,"WPO6426"}</definedName>
    <definedName name="wrn.Biaya._.Produksi._5" localSheetId="2" hidden="1">{#N/A,#N/A,FALSE,"WPO6426_TBL";#N/A,#N/A,FALSE,"WPO6426"}</definedName>
    <definedName name="wrn.Biaya._.Produksi._5" localSheetId="8" hidden="1">{#N/A,#N/A,FALSE,"WPO6426_TBL";#N/A,#N/A,FALSE,"WPO6426"}</definedName>
    <definedName name="wrn.Biaya._.Produksi._5" localSheetId="27" hidden="1">{#N/A,#N/A,FALSE,"WPO6426_TBL";#N/A,#N/A,FALSE,"WPO6426"}</definedName>
    <definedName name="wrn.Biaya._.Produksi._5" hidden="1">{#N/A,#N/A,FALSE,"WPO6426_TBL";#N/A,#N/A,FALSE,"WPO6426"}</definedName>
    <definedName name="wrn.chi._.tiÆt." localSheetId="5" hidden="1">{#N/A,#N/A,FALSE,"Chi tiÆt"}</definedName>
    <definedName name="wrn.chi._.tiÆt." localSheetId="15" hidden="1">{#N/A,#N/A,FALSE,"Chi tiÆt"}</definedName>
    <definedName name="wrn.chi._.tiÆt." localSheetId="13" hidden="1">{#N/A,#N/A,FALSE,"Chi tiÆt"}</definedName>
    <definedName name="wrn.chi._.tiÆt." localSheetId="2" hidden="1">{#N/A,#N/A,FALSE,"Chi tiÆt"}</definedName>
    <definedName name="wrn.chi._.tiÆt." localSheetId="8" hidden="1">{#N/A,#N/A,FALSE,"Chi tiÆt"}</definedName>
    <definedName name="wrn.chi._.tiÆt." localSheetId="27" hidden="1">{#N/A,#N/A,FALSE,"Chi tiÆt"}</definedName>
    <definedName name="wrn.chi._.tiÆt." hidden="1">{#N/A,#N/A,FALSE,"Chi tiÆt"}</definedName>
    <definedName name="wrn.chi._.tiÆt._2" localSheetId="5" hidden="1">{#N/A,#N/A,FALSE,"Chi tiÆt"}</definedName>
    <definedName name="wrn.chi._.tiÆt._2" localSheetId="15" hidden="1">{#N/A,#N/A,FALSE,"Chi tiÆt"}</definedName>
    <definedName name="wrn.chi._.tiÆt._2" localSheetId="13" hidden="1">{#N/A,#N/A,FALSE,"Chi tiÆt"}</definedName>
    <definedName name="wrn.chi._.tiÆt._2" localSheetId="2" hidden="1">{#N/A,#N/A,FALSE,"Chi tiÆt"}</definedName>
    <definedName name="wrn.chi._.tiÆt._2" localSheetId="8" hidden="1">{#N/A,#N/A,FALSE,"Chi tiÆt"}</definedName>
    <definedName name="wrn.chi._.tiÆt._2" localSheetId="27" hidden="1">{#N/A,#N/A,FALSE,"Chi tiÆt"}</definedName>
    <definedName name="wrn.chi._.tiÆt._2" hidden="1">{#N/A,#N/A,FALSE,"Chi tiÆt"}</definedName>
    <definedName name="wrn.chi._.tiÆt._3" localSheetId="5" hidden="1">{#N/A,#N/A,FALSE,"Chi tiÆt"}</definedName>
    <definedName name="wrn.chi._.tiÆt._3" localSheetId="15" hidden="1">{#N/A,#N/A,FALSE,"Chi tiÆt"}</definedName>
    <definedName name="wrn.chi._.tiÆt._3" localSheetId="13" hidden="1">{#N/A,#N/A,FALSE,"Chi tiÆt"}</definedName>
    <definedName name="wrn.chi._.tiÆt._3" localSheetId="2" hidden="1">{#N/A,#N/A,FALSE,"Chi tiÆt"}</definedName>
    <definedName name="wrn.chi._.tiÆt._3" localSheetId="8" hidden="1">{#N/A,#N/A,FALSE,"Chi tiÆt"}</definedName>
    <definedName name="wrn.chi._.tiÆt._3" localSheetId="27" hidden="1">{#N/A,#N/A,FALSE,"Chi tiÆt"}</definedName>
    <definedName name="wrn.chi._.tiÆt._3" hidden="1">{#N/A,#N/A,FALSE,"Chi tiÆt"}</definedName>
    <definedName name="wrn.chi._.tiÆt._4" localSheetId="5" hidden="1">{#N/A,#N/A,FALSE,"Chi tiÆt"}</definedName>
    <definedName name="wrn.chi._.tiÆt._4" localSheetId="15" hidden="1">{#N/A,#N/A,FALSE,"Chi tiÆt"}</definedName>
    <definedName name="wrn.chi._.tiÆt._4" localSheetId="13" hidden="1">{#N/A,#N/A,FALSE,"Chi tiÆt"}</definedName>
    <definedName name="wrn.chi._.tiÆt._4" localSheetId="2" hidden="1">{#N/A,#N/A,FALSE,"Chi tiÆt"}</definedName>
    <definedName name="wrn.chi._.tiÆt._4" localSheetId="8" hidden="1">{#N/A,#N/A,FALSE,"Chi tiÆt"}</definedName>
    <definedName name="wrn.chi._.tiÆt._4" localSheetId="27" hidden="1">{#N/A,#N/A,FALSE,"Chi tiÆt"}</definedName>
    <definedName name="wrn.chi._.tiÆt._4" hidden="1">{#N/A,#N/A,FALSE,"Chi tiÆt"}</definedName>
    <definedName name="wrn.chi._.tiÆt._5" localSheetId="5" hidden="1">{#N/A,#N/A,FALSE,"Chi tiÆt"}</definedName>
    <definedName name="wrn.chi._.tiÆt._5" localSheetId="15" hidden="1">{#N/A,#N/A,FALSE,"Chi tiÆt"}</definedName>
    <definedName name="wrn.chi._.tiÆt._5" localSheetId="13" hidden="1">{#N/A,#N/A,FALSE,"Chi tiÆt"}</definedName>
    <definedName name="wrn.chi._.tiÆt._5" localSheetId="2" hidden="1">{#N/A,#N/A,FALSE,"Chi tiÆt"}</definedName>
    <definedName name="wrn.chi._.tiÆt._5" localSheetId="8" hidden="1">{#N/A,#N/A,FALSE,"Chi tiÆt"}</definedName>
    <definedName name="wrn.chi._.tiÆt._5" localSheetId="27" hidden="1">{#N/A,#N/A,FALSE,"Chi tiÆt"}</definedName>
    <definedName name="wrn.chi._.tiÆt._5" hidden="1">{#N/A,#N/A,FALSE,"Chi tiÆt"}</definedName>
    <definedName name="wrn.Cukai._.PPN._.Bandrol._.Rusak." localSheetId="5" hidden="1">{#N/A,#N/A,FALSE,"WPO6241_TBL";#N/A,#N/A,FALSE,"WPO6242_TBL";#N/A,#N/A,FALSE,"WPO_Cukai_PPN"}</definedName>
    <definedName name="wrn.Cukai._.PPN._.Bandrol._.Rusak." localSheetId="15" hidden="1">{#N/A,#N/A,FALSE,"WPO6241_TBL";#N/A,#N/A,FALSE,"WPO6242_TBL";#N/A,#N/A,FALSE,"WPO_Cukai_PPN"}</definedName>
    <definedName name="wrn.Cukai._.PPN._.Bandrol._.Rusak." localSheetId="13" hidden="1">{#N/A,#N/A,FALSE,"WPO6241_TBL";#N/A,#N/A,FALSE,"WPO6242_TBL";#N/A,#N/A,FALSE,"WPO_Cukai_PPN"}</definedName>
    <definedName name="wrn.Cukai._.PPN._.Bandrol._.Rusak." localSheetId="2" hidden="1">{#N/A,#N/A,FALSE,"WPO6241_TBL";#N/A,#N/A,FALSE,"WPO6242_TBL";#N/A,#N/A,FALSE,"WPO_Cukai_PPN"}</definedName>
    <definedName name="wrn.Cukai._.PPN._.Bandrol._.Rusak." localSheetId="8" hidden="1">{#N/A,#N/A,FALSE,"WPO6241_TBL";#N/A,#N/A,FALSE,"WPO6242_TBL";#N/A,#N/A,FALSE,"WPO_Cukai_PPN"}</definedName>
    <definedName name="wrn.Cukai._.PPN._.Bandrol._.Rusak." localSheetId="27" hidden="1">{#N/A,#N/A,FALSE,"WPO6241_TBL";#N/A,#N/A,FALSE,"WPO6242_TBL";#N/A,#N/A,FALSE,"WPO_Cukai_PPN"}</definedName>
    <definedName name="wrn.Cukai._.PPN._.Bandrol._.Rusak." hidden="1">{#N/A,#N/A,FALSE,"WPO6241_TBL";#N/A,#N/A,FALSE,"WPO6242_TBL";#N/A,#N/A,FALSE,"WPO_Cukai_PPN"}</definedName>
    <definedName name="wrn.Cukai._.PPN._.Bandrol._.Rusak._2" localSheetId="5" hidden="1">{#N/A,#N/A,FALSE,"WPO6241_TBL";#N/A,#N/A,FALSE,"WPO6242_TBL";#N/A,#N/A,FALSE,"WPO_Cukai_PPN"}</definedName>
    <definedName name="wrn.Cukai._.PPN._.Bandrol._.Rusak._2" localSheetId="15" hidden="1">{#N/A,#N/A,FALSE,"WPO6241_TBL";#N/A,#N/A,FALSE,"WPO6242_TBL";#N/A,#N/A,FALSE,"WPO_Cukai_PPN"}</definedName>
    <definedName name="wrn.Cukai._.PPN._.Bandrol._.Rusak._2" localSheetId="13" hidden="1">{#N/A,#N/A,FALSE,"WPO6241_TBL";#N/A,#N/A,FALSE,"WPO6242_TBL";#N/A,#N/A,FALSE,"WPO_Cukai_PPN"}</definedName>
    <definedName name="wrn.Cukai._.PPN._.Bandrol._.Rusak._2" localSheetId="2" hidden="1">{#N/A,#N/A,FALSE,"WPO6241_TBL";#N/A,#N/A,FALSE,"WPO6242_TBL";#N/A,#N/A,FALSE,"WPO_Cukai_PPN"}</definedName>
    <definedName name="wrn.Cukai._.PPN._.Bandrol._.Rusak._2" localSheetId="8" hidden="1">{#N/A,#N/A,FALSE,"WPO6241_TBL";#N/A,#N/A,FALSE,"WPO6242_TBL";#N/A,#N/A,FALSE,"WPO_Cukai_PPN"}</definedName>
    <definedName name="wrn.Cukai._.PPN._.Bandrol._.Rusak._2" localSheetId="27" hidden="1">{#N/A,#N/A,FALSE,"WPO6241_TBL";#N/A,#N/A,FALSE,"WPO6242_TBL";#N/A,#N/A,FALSE,"WPO_Cukai_PPN"}</definedName>
    <definedName name="wrn.Cukai._.PPN._.Bandrol._.Rusak._2" hidden="1">{#N/A,#N/A,FALSE,"WPO6241_TBL";#N/A,#N/A,FALSE,"WPO6242_TBL";#N/A,#N/A,FALSE,"WPO_Cukai_PPN"}</definedName>
    <definedName name="wrn.Cukai._.PPN._.Bandrol._.Rusak._3" localSheetId="5" hidden="1">{#N/A,#N/A,FALSE,"WPO6241_TBL";#N/A,#N/A,FALSE,"WPO6242_TBL";#N/A,#N/A,FALSE,"WPO_Cukai_PPN"}</definedName>
    <definedName name="wrn.Cukai._.PPN._.Bandrol._.Rusak._3" localSheetId="15" hidden="1">{#N/A,#N/A,FALSE,"WPO6241_TBL";#N/A,#N/A,FALSE,"WPO6242_TBL";#N/A,#N/A,FALSE,"WPO_Cukai_PPN"}</definedName>
    <definedName name="wrn.Cukai._.PPN._.Bandrol._.Rusak._3" localSheetId="13" hidden="1">{#N/A,#N/A,FALSE,"WPO6241_TBL";#N/A,#N/A,FALSE,"WPO6242_TBL";#N/A,#N/A,FALSE,"WPO_Cukai_PPN"}</definedName>
    <definedName name="wrn.Cukai._.PPN._.Bandrol._.Rusak._3" localSheetId="2" hidden="1">{#N/A,#N/A,FALSE,"WPO6241_TBL";#N/A,#N/A,FALSE,"WPO6242_TBL";#N/A,#N/A,FALSE,"WPO_Cukai_PPN"}</definedName>
    <definedName name="wrn.Cukai._.PPN._.Bandrol._.Rusak._3" localSheetId="8" hidden="1">{#N/A,#N/A,FALSE,"WPO6241_TBL";#N/A,#N/A,FALSE,"WPO6242_TBL";#N/A,#N/A,FALSE,"WPO_Cukai_PPN"}</definedName>
    <definedName name="wrn.Cukai._.PPN._.Bandrol._.Rusak._3" localSheetId="27" hidden="1">{#N/A,#N/A,FALSE,"WPO6241_TBL";#N/A,#N/A,FALSE,"WPO6242_TBL";#N/A,#N/A,FALSE,"WPO_Cukai_PPN"}</definedName>
    <definedName name="wrn.Cukai._.PPN._.Bandrol._.Rusak._3" hidden="1">{#N/A,#N/A,FALSE,"WPO6241_TBL";#N/A,#N/A,FALSE,"WPO6242_TBL";#N/A,#N/A,FALSE,"WPO_Cukai_PPN"}</definedName>
    <definedName name="wrn.Cukai._.PPN._.Bandrol._.Rusak._4" localSheetId="5" hidden="1">{#N/A,#N/A,FALSE,"WPO6241_TBL";#N/A,#N/A,FALSE,"WPO6242_TBL";#N/A,#N/A,FALSE,"WPO_Cukai_PPN"}</definedName>
    <definedName name="wrn.Cukai._.PPN._.Bandrol._.Rusak._4" localSheetId="15" hidden="1">{#N/A,#N/A,FALSE,"WPO6241_TBL";#N/A,#N/A,FALSE,"WPO6242_TBL";#N/A,#N/A,FALSE,"WPO_Cukai_PPN"}</definedName>
    <definedName name="wrn.Cukai._.PPN._.Bandrol._.Rusak._4" localSheetId="13" hidden="1">{#N/A,#N/A,FALSE,"WPO6241_TBL";#N/A,#N/A,FALSE,"WPO6242_TBL";#N/A,#N/A,FALSE,"WPO_Cukai_PPN"}</definedName>
    <definedName name="wrn.Cukai._.PPN._.Bandrol._.Rusak._4" localSheetId="2" hidden="1">{#N/A,#N/A,FALSE,"WPO6241_TBL";#N/A,#N/A,FALSE,"WPO6242_TBL";#N/A,#N/A,FALSE,"WPO_Cukai_PPN"}</definedName>
    <definedName name="wrn.Cukai._.PPN._.Bandrol._.Rusak._4" localSheetId="8" hidden="1">{#N/A,#N/A,FALSE,"WPO6241_TBL";#N/A,#N/A,FALSE,"WPO6242_TBL";#N/A,#N/A,FALSE,"WPO_Cukai_PPN"}</definedName>
    <definedName name="wrn.Cukai._.PPN._.Bandrol._.Rusak._4" localSheetId="27" hidden="1">{#N/A,#N/A,FALSE,"WPO6241_TBL";#N/A,#N/A,FALSE,"WPO6242_TBL";#N/A,#N/A,FALSE,"WPO_Cukai_PPN"}</definedName>
    <definedName name="wrn.Cukai._.PPN._.Bandrol._.Rusak._4" hidden="1">{#N/A,#N/A,FALSE,"WPO6241_TBL";#N/A,#N/A,FALSE,"WPO6242_TBL";#N/A,#N/A,FALSE,"WPO_Cukai_PPN"}</definedName>
    <definedName name="wrn.Cukai._.PPN._.Bandrol._.Rusak._5" localSheetId="5" hidden="1">{#N/A,#N/A,FALSE,"WPO6241_TBL";#N/A,#N/A,FALSE,"WPO6242_TBL";#N/A,#N/A,FALSE,"WPO_Cukai_PPN"}</definedName>
    <definedName name="wrn.Cukai._.PPN._.Bandrol._.Rusak._5" localSheetId="15" hidden="1">{#N/A,#N/A,FALSE,"WPO6241_TBL";#N/A,#N/A,FALSE,"WPO6242_TBL";#N/A,#N/A,FALSE,"WPO_Cukai_PPN"}</definedName>
    <definedName name="wrn.Cukai._.PPN._.Bandrol._.Rusak._5" localSheetId="13" hidden="1">{#N/A,#N/A,FALSE,"WPO6241_TBL";#N/A,#N/A,FALSE,"WPO6242_TBL";#N/A,#N/A,FALSE,"WPO_Cukai_PPN"}</definedName>
    <definedName name="wrn.Cukai._.PPN._.Bandrol._.Rusak._5" localSheetId="2" hidden="1">{#N/A,#N/A,FALSE,"WPO6241_TBL";#N/A,#N/A,FALSE,"WPO6242_TBL";#N/A,#N/A,FALSE,"WPO_Cukai_PPN"}</definedName>
    <definedName name="wrn.Cukai._.PPN._.Bandrol._.Rusak._5" localSheetId="8" hidden="1">{#N/A,#N/A,FALSE,"WPO6241_TBL";#N/A,#N/A,FALSE,"WPO6242_TBL";#N/A,#N/A,FALSE,"WPO_Cukai_PPN"}</definedName>
    <definedName name="wrn.Cukai._.PPN._.Bandrol._.Rusak._5" localSheetId="27" hidden="1">{#N/A,#N/A,FALSE,"WPO6241_TBL";#N/A,#N/A,FALSE,"WPO6242_TBL";#N/A,#N/A,FALSE,"WPO_Cukai_PPN"}</definedName>
    <definedName name="wrn.Cukai._.PPN._.Bandrol._.Rusak._5" hidden="1">{#N/A,#N/A,FALSE,"WPO6241_TBL";#N/A,#N/A,FALSE,"WPO6242_TBL";#N/A,#N/A,FALSE,"WPO_Cukai_PPN"}</definedName>
    <definedName name="wrn.Full._.Report.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2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3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4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4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5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5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Legal." localSheetId="5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" localSheetId="15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" localSheetId="13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" localSheetId="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" localSheetId="8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" localSheetId="2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2" localSheetId="5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2" localSheetId="15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2" localSheetId="13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2" localSheetId="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2" localSheetId="8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2" localSheetId="2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3" localSheetId="5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3" localSheetId="15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3" localSheetId="13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3" localSheetId="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3" localSheetId="8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3" localSheetId="2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3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4" localSheetId="5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4" localSheetId="15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4" localSheetId="13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4" localSheetId="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4" localSheetId="8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4" localSheetId="2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4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5" localSheetId="5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5" localSheetId="15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5" localSheetId="13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5" localSheetId="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5" localSheetId="8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5" localSheetId="2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5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tter." localSheetId="5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" localSheetId="15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" localSheetId="13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" localSheetId="2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" localSheetId="8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" localSheetId="27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2" localSheetId="5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2" localSheetId="15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2" localSheetId="13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2" localSheetId="2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2" localSheetId="8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2" localSheetId="27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2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3" localSheetId="5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3" localSheetId="15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3" localSheetId="13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3" localSheetId="2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3" localSheetId="8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3" localSheetId="27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3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4" localSheetId="5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4" localSheetId="15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4" localSheetId="13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4" localSheetId="2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4" localSheetId="8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4" localSheetId="27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4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5" localSheetId="5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5" localSheetId="15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5" localSheetId="13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5" localSheetId="2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5" localSheetId="8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5" localSheetId="27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5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Produksi._.Borongan." localSheetId="5" hidden="1">{#N/A,#N/A,FALSE,"WPO6101_TBL";#N/A,#N/A,FALSE,"WPO6101";#N/A,#N/A,FALSE,"WPO6102_TBL";#N/A,#N/A,FALSE,"WPO6102";#N/A,#N/A,FALSE,"WPO6111_TBL";#N/A,#N/A,FALSE,"WPO_borongan"}</definedName>
    <definedName name="wrn.Produksi._.Borongan." localSheetId="15" hidden="1">{#N/A,#N/A,FALSE,"WPO6101_TBL";#N/A,#N/A,FALSE,"WPO6101";#N/A,#N/A,FALSE,"WPO6102_TBL";#N/A,#N/A,FALSE,"WPO6102";#N/A,#N/A,FALSE,"WPO6111_TBL";#N/A,#N/A,FALSE,"WPO_borongan"}</definedName>
    <definedName name="wrn.Produksi._.Borongan." localSheetId="13" hidden="1">{#N/A,#N/A,FALSE,"WPO6101_TBL";#N/A,#N/A,FALSE,"WPO6101";#N/A,#N/A,FALSE,"WPO6102_TBL";#N/A,#N/A,FALSE,"WPO6102";#N/A,#N/A,FALSE,"WPO6111_TBL";#N/A,#N/A,FALSE,"WPO_borongan"}</definedName>
    <definedName name="wrn.Produksi._.Borongan." localSheetId="2" hidden="1">{#N/A,#N/A,FALSE,"WPO6101_TBL";#N/A,#N/A,FALSE,"WPO6101";#N/A,#N/A,FALSE,"WPO6102_TBL";#N/A,#N/A,FALSE,"WPO6102";#N/A,#N/A,FALSE,"WPO6111_TBL";#N/A,#N/A,FALSE,"WPO_borongan"}</definedName>
    <definedName name="wrn.Produksi._.Borongan." localSheetId="8" hidden="1">{#N/A,#N/A,FALSE,"WPO6101_TBL";#N/A,#N/A,FALSE,"WPO6101";#N/A,#N/A,FALSE,"WPO6102_TBL";#N/A,#N/A,FALSE,"WPO6102";#N/A,#N/A,FALSE,"WPO6111_TBL";#N/A,#N/A,FALSE,"WPO_borongan"}</definedName>
    <definedName name="wrn.Produksi._.Borongan." localSheetId="27" hidden="1">{#N/A,#N/A,FALSE,"WPO6101_TBL";#N/A,#N/A,FALSE,"WPO6101";#N/A,#N/A,FALSE,"WPO6102_TBL";#N/A,#N/A,FALSE,"WPO6102";#N/A,#N/A,FALSE,"WPO6111_TBL";#N/A,#N/A,FALSE,"WPO_borongan"}</definedName>
    <definedName name="wrn.Produksi._.Borongan." hidden="1">{#N/A,#N/A,FALSE,"WPO6101_TBL";#N/A,#N/A,FALSE,"WPO6101";#N/A,#N/A,FALSE,"WPO6102_TBL";#N/A,#N/A,FALSE,"WPO6102";#N/A,#N/A,FALSE,"WPO6111_TBL";#N/A,#N/A,FALSE,"WPO_borongan"}</definedName>
    <definedName name="wrn.Produksi._.Borongan._.Belajar." localSheetId="5" hidden="1">{#N/A,#N/A,FALSE,"WPO6105_TBL";#N/A,#N/A,FALSE,"WPO6105";#N/A,#N/A,FALSE,"WPO6106_TBL";#N/A,#N/A,FALSE,"WPO6106"}</definedName>
    <definedName name="wrn.Produksi._.Borongan._.Belajar." localSheetId="15" hidden="1">{#N/A,#N/A,FALSE,"WPO6105_TBL";#N/A,#N/A,FALSE,"WPO6105";#N/A,#N/A,FALSE,"WPO6106_TBL";#N/A,#N/A,FALSE,"WPO6106"}</definedName>
    <definedName name="wrn.Produksi._.Borongan._.Belajar." localSheetId="13" hidden="1">{#N/A,#N/A,FALSE,"WPO6105_TBL";#N/A,#N/A,FALSE,"WPO6105";#N/A,#N/A,FALSE,"WPO6106_TBL";#N/A,#N/A,FALSE,"WPO6106"}</definedName>
    <definedName name="wrn.Produksi._.Borongan._.Belajar." localSheetId="2" hidden="1">{#N/A,#N/A,FALSE,"WPO6105_TBL";#N/A,#N/A,FALSE,"WPO6105";#N/A,#N/A,FALSE,"WPO6106_TBL";#N/A,#N/A,FALSE,"WPO6106"}</definedName>
    <definedName name="wrn.Produksi._.Borongan._.Belajar." localSheetId="8" hidden="1">{#N/A,#N/A,FALSE,"WPO6105_TBL";#N/A,#N/A,FALSE,"WPO6105";#N/A,#N/A,FALSE,"WPO6106_TBL";#N/A,#N/A,FALSE,"WPO6106"}</definedName>
    <definedName name="wrn.Produksi._.Borongan._.Belajar." localSheetId="27" hidden="1">{#N/A,#N/A,FALSE,"WPO6105_TBL";#N/A,#N/A,FALSE,"WPO6105";#N/A,#N/A,FALSE,"WPO6106_TBL";#N/A,#N/A,FALSE,"WPO6106"}</definedName>
    <definedName name="wrn.Produksi._.Borongan._.Belajar." hidden="1">{#N/A,#N/A,FALSE,"WPO6105_TBL";#N/A,#N/A,FALSE,"WPO6105";#N/A,#N/A,FALSE,"WPO6106_TBL";#N/A,#N/A,FALSE,"WPO6106"}</definedName>
    <definedName name="wrn.Produksi._.Borongan._.Belajar._2" localSheetId="5" hidden="1">{#N/A,#N/A,FALSE,"WPO6105_TBL";#N/A,#N/A,FALSE,"WPO6105";#N/A,#N/A,FALSE,"WPO6106_TBL";#N/A,#N/A,FALSE,"WPO6106"}</definedName>
    <definedName name="wrn.Produksi._.Borongan._.Belajar._2" localSheetId="15" hidden="1">{#N/A,#N/A,FALSE,"WPO6105_TBL";#N/A,#N/A,FALSE,"WPO6105";#N/A,#N/A,FALSE,"WPO6106_TBL";#N/A,#N/A,FALSE,"WPO6106"}</definedName>
    <definedName name="wrn.Produksi._.Borongan._.Belajar._2" localSheetId="13" hidden="1">{#N/A,#N/A,FALSE,"WPO6105_TBL";#N/A,#N/A,FALSE,"WPO6105";#N/A,#N/A,FALSE,"WPO6106_TBL";#N/A,#N/A,FALSE,"WPO6106"}</definedName>
    <definedName name="wrn.Produksi._.Borongan._.Belajar._2" localSheetId="2" hidden="1">{#N/A,#N/A,FALSE,"WPO6105_TBL";#N/A,#N/A,FALSE,"WPO6105";#N/A,#N/A,FALSE,"WPO6106_TBL";#N/A,#N/A,FALSE,"WPO6106"}</definedName>
    <definedName name="wrn.Produksi._.Borongan._.Belajar._2" localSheetId="8" hidden="1">{#N/A,#N/A,FALSE,"WPO6105_TBL";#N/A,#N/A,FALSE,"WPO6105";#N/A,#N/A,FALSE,"WPO6106_TBL";#N/A,#N/A,FALSE,"WPO6106"}</definedName>
    <definedName name="wrn.Produksi._.Borongan._.Belajar._2" localSheetId="27" hidden="1">{#N/A,#N/A,FALSE,"WPO6105_TBL";#N/A,#N/A,FALSE,"WPO6105";#N/A,#N/A,FALSE,"WPO6106_TBL";#N/A,#N/A,FALSE,"WPO6106"}</definedName>
    <definedName name="wrn.Produksi._.Borongan._.Belajar._2" hidden="1">{#N/A,#N/A,FALSE,"WPO6105_TBL";#N/A,#N/A,FALSE,"WPO6105";#N/A,#N/A,FALSE,"WPO6106_TBL";#N/A,#N/A,FALSE,"WPO6106"}</definedName>
    <definedName name="wrn.Produksi._.Borongan._.Belajar._3" localSheetId="5" hidden="1">{#N/A,#N/A,FALSE,"WPO6105_TBL";#N/A,#N/A,FALSE,"WPO6105";#N/A,#N/A,FALSE,"WPO6106_TBL";#N/A,#N/A,FALSE,"WPO6106"}</definedName>
    <definedName name="wrn.Produksi._.Borongan._.Belajar._3" localSheetId="15" hidden="1">{#N/A,#N/A,FALSE,"WPO6105_TBL";#N/A,#N/A,FALSE,"WPO6105";#N/A,#N/A,FALSE,"WPO6106_TBL";#N/A,#N/A,FALSE,"WPO6106"}</definedName>
    <definedName name="wrn.Produksi._.Borongan._.Belajar._3" localSheetId="13" hidden="1">{#N/A,#N/A,FALSE,"WPO6105_TBL";#N/A,#N/A,FALSE,"WPO6105";#N/A,#N/A,FALSE,"WPO6106_TBL";#N/A,#N/A,FALSE,"WPO6106"}</definedName>
    <definedName name="wrn.Produksi._.Borongan._.Belajar._3" localSheetId="2" hidden="1">{#N/A,#N/A,FALSE,"WPO6105_TBL";#N/A,#N/A,FALSE,"WPO6105";#N/A,#N/A,FALSE,"WPO6106_TBL";#N/A,#N/A,FALSE,"WPO6106"}</definedName>
    <definedName name="wrn.Produksi._.Borongan._.Belajar._3" localSheetId="8" hidden="1">{#N/A,#N/A,FALSE,"WPO6105_TBL";#N/A,#N/A,FALSE,"WPO6105";#N/A,#N/A,FALSE,"WPO6106_TBL";#N/A,#N/A,FALSE,"WPO6106"}</definedName>
    <definedName name="wrn.Produksi._.Borongan._.Belajar._3" localSheetId="27" hidden="1">{#N/A,#N/A,FALSE,"WPO6105_TBL";#N/A,#N/A,FALSE,"WPO6105";#N/A,#N/A,FALSE,"WPO6106_TBL";#N/A,#N/A,FALSE,"WPO6106"}</definedName>
    <definedName name="wrn.Produksi._.Borongan._.Belajar._3" hidden="1">{#N/A,#N/A,FALSE,"WPO6105_TBL";#N/A,#N/A,FALSE,"WPO6105";#N/A,#N/A,FALSE,"WPO6106_TBL";#N/A,#N/A,FALSE,"WPO6106"}</definedName>
    <definedName name="wrn.Produksi._.Borongan._.Belajar._4" localSheetId="5" hidden="1">{#N/A,#N/A,FALSE,"WPO6105_TBL";#N/A,#N/A,FALSE,"WPO6105";#N/A,#N/A,FALSE,"WPO6106_TBL";#N/A,#N/A,FALSE,"WPO6106"}</definedName>
    <definedName name="wrn.Produksi._.Borongan._.Belajar._4" localSheetId="15" hidden="1">{#N/A,#N/A,FALSE,"WPO6105_TBL";#N/A,#N/A,FALSE,"WPO6105";#N/A,#N/A,FALSE,"WPO6106_TBL";#N/A,#N/A,FALSE,"WPO6106"}</definedName>
    <definedName name="wrn.Produksi._.Borongan._.Belajar._4" localSheetId="13" hidden="1">{#N/A,#N/A,FALSE,"WPO6105_TBL";#N/A,#N/A,FALSE,"WPO6105";#N/A,#N/A,FALSE,"WPO6106_TBL";#N/A,#N/A,FALSE,"WPO6106"}</definedName>
    <definedName name="wrn.Produksi._.Borongan._.Belajar._4" localSheetId="2" hidden="1">{#N/A,#N/A,FALSE,"WPO6105_TBL";#N/A,#N/A,FALSE,"WPO6105";#N/A,#N/A,FALSE,"WPO6106_TBL";#N/A,#N/A,FALSE,"WPO6106"}</definedName>
    <definedName name="wrn.Produksi._.Borongan._.Belajar._4" localSheetId="8" hidden="1">{#N/A,#N/A,FALSE,"WPO6105_TBL";#N/A,#N/A,FALSE,"WPO6105";#N/A,#N/A,FALSE,"WPO6106_TBL";#N/A,#N/A,FALSE,"WPO6106"}</definedName>
    <definedName name="wrn.Produksi._.Borongan._.Belajar._4" localSheetId="27" hidden="1">{#N/A,#N/A,FALSE,"WPO6105_TBL";#N/A,#N/A,FALSE,"WPO6105";#N/A,#N/A,FALSE,"WPO6106_TBL";#N/A,#N/A,FALSE,"WPO6106"}</definedName>
    <definedName name="wrn.Produksi._.Borongan._.Belajar._4" hidden="1">{#N/A,#N/A,FALSE,"WPO6105_TBL";#N/A,#N/A,FALSE,"WPO6105";#N/A,#N/A,FALSE,"WPO6106_TBL";#N/A,#N/A,FALSE,"WPO6106"}</definedName>
    <definedName name="wrn.Produksi._.Borongan._.Belajar._5" localSheetId="5" hidden="1">{#N/A,#N/A,FALSE,"WPO6105_TBL";#N/A,#N/A,FALSE,"WPO6105";#N/A,#N/A,FALSE,"WPO6106_TBL";#N/A,#N/A,FALSE,"WPO6106"}</definedName>
    <definedName name="wrn.Produksi._.Borongan._.Belajar._5" localSheetId="15" hidden="1">{#N/A,#N/A,FALSE,"WPO6105_TBL";#N/A,#N/A,FALSE,"WPO6105";#N/A,#N/A,FALSE,"WPO6106_TBL";#N/A,#N/A,FALSE,"WPO6106"}</definedName>
    <definedName name="wrn.Produksi._.Borongan._.Belajar._5" localSheetId="13" hidden="1">{#N/A,#N/A,FALSE,"WPO6105_TBL";#N/A,#N/A,FALSE,"WPO6105";#N/A,#N/A,FALSE,"WPO6106_TBL";#N/A,#N/A,FALSE,"WPO6106"}</definedName>
    <definedName name="wrn.Produksi._.Borongan._.Belajar._5" localSheetId="2" hidden="1">{#N/A,#N/A,FALSE,"WPO6105_TBL";#N/A,#N/A,FALSE,"WPO6105";#N/A,#N/A,FALSE,"WPO6106_TBL";#N/A,#N/A,FALSE,"WPO6106"}</definedName>
    <definedName name="wrn.Produksi._.Borongan._.Belajar._5" localSheetId="8" hidden="1">{#N/A,#N/A,FALSE,"WPO6105_TBL";#N/A,#N/A,FALSE,"WPO6105";#N/A,#N/A,FALSE,"WPO6106_TBL";#N/A,#N/A,FALSE,"WPO6106"}</definedName>
    <definedName name="wrn.Produksi._.Borongan._.Belajar._5" localSheetId="27" hidden="1">{#N/A,#N/A,FALSE,"WPO6105_TBL";#N/A,#N/A,FALSE,"WPO6105";#N/A,#N/A,FALSE,"WPO6106_TBL";#N/A,#N/A,FALSE,"WPO6106"}</definedName>
    <definedName name="wrn.Produksi._.Borongan._.Belajar._5" hidden="1">{#N/A,#N/A,FALSE,"WPO6105_TBL";#N/A,#N/A,FALSE,"WPO6105";#N/A,#N/A,FALSE,"WPO6106_TBL";#N/A,#N/A,FALSE,"WPO6106"}</definedName>
    <definedName name="wrn.Produksi._.Borongan._2" localSheetId="5" hidden="1">{#N/A,#N/A,FALSE,"WPO6101_TBL";#N/A,#N/A,FALSE,"WPO6101";#N/A,#N/A,FALSE,"WPO6102_TBL";#N/A,#N/A,FALSE,"WPO6102";#N/A,#N/A,FALSE,"WPO6111_TBL";#N/A,#N/A,FALSE,"WPO_borongan"}</definedName>
    <definedName name="wrn.Produksi._.Borongan._2" localSheetId="15" hidden="1">{#N/A,#N/A,FALSE,"WPO6101_TBL";#N/A,#N/A,FALSE,"WPO6101";#N/A,#N/A,FALSE,"WPO6102_TBL";#N/A,#N/A,FALSE,"WPO6102";#N/A,#N/A,FALSE,"WPO6111_TBL";#N/A,#N/A,FALSE,"WPO_borongan"}</definedName>
    <definedName name="wrn.Produksi._.Borongan._2" localSheetId="13" hidden="1">{#N/A,#N/A,FALSE,"WPO6101_TBL";#N/A,#N/A,FALSE,"WPO6101";#N/A,#N/A,FALSE,"WPO6102_TBL";#N/A,#N/A,FALSE,"WPO6102";#N/A,#N/A,FALSE,"WPO6111_TBL";#N/A,#N/A,FALSE,"WPO_borongan"}</definedName>
    <definedName name="wrn.Produksi._.Borongan._2" localSheetId="2" hidden="1">{#N/A,#N/A,FALSE,"WPO6101_TBL";#N/A,#N/A,FALSE,"WPO6101";#N/A,#N/A,FALSE,"WPO6102_TBL";#N/A,#N/A,FALSE,"WPO6102";#N/A,#N/A,FALSE,"WPO6111_TBL";#N/A,#N/A,FALSE,"WPO_borongan"}</definedName>
    <definedName name="wrn.Produksi._.Borongan._2" localSheetId="8" hidden="1">{#N/A,#N/A,FALSE,"WPO6101_TBL";#N/A,#N/A,FALSE,"WPO6101";#N/A,#N/A,FALSE,"WPO6102_TBL";#N/A,#N/A,FALSE,"WPO6102";#N/A,#N/A,FALSE,"WPO6111_TBL";#N/A,#N/A,FALSE,"WPO_borongan"}</definedName>
    <definedName name="wrn.Produksi._.Borongan._2" localSheetId="27" hidden="1">{#N/A,#N/A,FALSE,"WPO6101_TBL";#N/A,#N/A,FALSE,"WPO6101";#N/A,#N/A,FALSE,"WPO6102_TBL";#N/A,#N/A,FALSE,"WPO6102";#N/A,#N/A,FALSE,"WPO6111_TBL";#N/A,#N/A,FALSE,"WPO_borongan"}</definedName>
    <definedName name="wrn.Produksi._.Borongan._2" hidden="1">{#N/A,#N/A,FALSE,"WPO6101_TBL";#N/A,#N/A,FALSE,"WPO6101";#N/A,#N/A,FALSE,"WPO6102_TBL";#N/A,#N/A,FALSE,"WPO6102";#N/A,#N/A,FALSE,"WPO6111_TBL";#N/A,#N/A,FALSE,"WPO_borongan"}</definedName>
    <definedName name="wrn.Produksi._.Borongan._3" localSheetId="5" hidden="1">{#N/A,#N/A,FALSE,"WPO6101_TBL";#N/A,#N/A,FALSE,"WPO6101";#N/A,#N/A,FALSE,"WPO6102_TBL";#N/A,#N/A,FALSE,"WPO6102";#N/A,#N/A,FALSE,"WPO6111_TBL";#N/A,#N/A,FALSE,"WPO_borongan"}</definedName>
    <definedName name="wrn.Produksi._.Borongan._3" localSheetId="15" hidden="1">{#N/A,#N/A,FALSE,"WPO6101_TBL";#N/A,#N/A,FALSE,"WPO6101";#N/A,#N/A,FALSE,"WPO6102_TBL";#N/A,#N/A,FALSE,"WPO6102";#N/A,#N/A,FALSE,"WPO6111_TBL";#N/A,#N/A,FALSE,"WPO_borongan"}</definedName>
    <definedName name="wrn.Produksi._.Borongan._3" localSheetId="13" hidden="1">{#N/A,#N/A,FALSE,"WPO6101_TBL";#N/A,#N/A,FALSE,"WPO6101";#N/A,#N/A,FALSE,"WPO6102_TBL";#N/A,#N/A,FALSE,"WPO6102";#N/A,#N/A,FALSE,"WPO6111_TBL";#N/A,#N/A,FALSE,"WPO_borongan"}</definedName>
    <definedName name="wrn.Produksi._.Borongan._3" localSheetId="2" hidden="1">{#N/A,#N/A,FALSE,"WPO6101_TBL";#N/A,#N/A,FALSE,"WPO6101";#N/A,#N/A,FALSE,"WPO6102_TBL";#N/A,#N/A,FALSE,"WPO6102";#N/A,#N/A,FALSE,"WPO6111_TBL";#N/A,#N/A,FALSE,"WPO_borongan"}</definedName>
    <definedName name="wrn.Produksi._.Borongan._3" localSheetId="8" hidden="1">{#N/A,#N/A,FALSE,"WPO6101_TBL";#N/A,#N/A,FALSE,"WPO6101";#N/A,#N/A,FALSE,"WPO6102_TBL";#N/A,#N/A,FALSE,"WPO6102";#N/A,#N/A,FALSE,"WPO6111_TBL";#N/A,#N/A,FALSE,"WPO_borongan"}</definedName>
    <definedName name="wrn.Produksi._.Borongan._3" localSheetId="27" hidden="1">{#N/A,#N/A,FALSE,"WPO6101_TBL";#N/A,#N/A,FALSE,"WPO6101";#N/A,#N/A,FALSE,"WPO6102_TBL";#N/A,#N/A,FALSE,"WPO6102";#N/A,#N/A,FALSE,"WPO6111_TBL";#N/A,#N/A,FALSE,"WPO_borongan"}</definedName>
    <definedName name="wrn.Produksi._.Borongan._3" hidden="1">{#N/A,#N/A,FALSE,"WPO6101_TBL";#N/A,#N/A,FALSE,"WPO6101";#N/A,#N/A,FALSE,"WPO6102_TBL";#N/A,#N/A,FALSE,"WPO6102";#N/A,#N/A,FALSE,"WPO6111_TBL";#N/A,#N/A,FALSE,"WPO_borongan"}</definedName>
    <definedName name="wrn.Produksi._.Borongan._4" localSheetId="5" hidden="1">{#N/A,#N/A,FALSE,"WPO6101_TBL";#N/A,#N/A,FALSE,"WPO6101";#N/A,#N/A,FALSE,"WPO6102_TBL";#N/A,#N/A,FALSE,"WPO6102";#N/A,#N/A,FALSE,"WPO6111_TBL";#N/A,#N/A,FALSE,"WPO_borongan"}</definedName>
    <definedName name="wrn.Produksi._.Borongan._4" localSheetId="15" hidden="1">{#N/A,#N/A,FALSE,"WPO6101_TBL";#N/A,#N/A,FALSE,"WPO6101";#N/A,#N/A,FALSE,"WPO6102_TBL";#N/A,#N/A,FALSE,"WPO6102";#N/A,#N/A,FALSE,"WPO6111_TBL";#N/A,#N/A,FALSE,"WPO_borongan"}</definedName>
    <definedName name="wrn.Produksi._.Borongan._4" localSheetId="13" hidden="1">{#N/A,#N/A,FALSE,"WPO6101_TBL";#N/A,#N/A,FALSE,"WPO6101";#N/A,#N/A,FALSE,"WPO6102_TBL";#N/A,#N/A,FALSE,"WPO6102";#N/A,#N/A,FALSE,"WPO6111_TBL";#N/A,#N/A,FALSE,"WPO_borongan"}</definedName>
    <definedName name="wrn.Produksi._.Borongan._4" localSheetId="2" hidden="1">{#N/A,#N/A,FALSE,"WPO6101_TBL";#N/A,#N/A,FALSE,"WPO6101";#N/A,#N/A,FALSE,"WPO6102_TBL";#N/A,#N/A,FALSE,"WPO6102";#N/A,#N/A,FALSE,"WPO6111_TBL";#N/A,#N/A,FALSE,"WPO_borongan"}</definedName>
    <definedName name="wrn.Produksi._.Borongan._4" localSheetId="8" hidden="1">{#N/A,#N/A,FALSE,"WPO6101_TBL";#N/A,#N/A,FALSE,"WPO6101";#N/A,#N/A,FALSE,"WPO6102_TBL";#N/A,#N/A,FALSE,"WPO6102";#N/A,#N/A,FALSE,"WPO6111_TBL";#N/A,#N/A,FALSE,"WPO_borongan"}</definedName>
    <definedName name="wrn.Produksi._.Borongan._4" localSheetId="27" hidden="1">{#N/A,#N/A,FALSE,"WPO6101_TBL";#N/A,#N/A,FALSE,"WPO6101";#N/A,#N/A,FALSE,"WPO6102_TBL";#N/A,#N/A,FALSE,"WPO6102";#N/A,#N/A,FALSE,"WPO6111_TBL";#N/A,#N/A,FALSE,"WPO_borongan"}</definedName>
    <definedName name="wrn.Produksi._.Borongan._4" hidden="1">{#N/A,#N/A,FALSE,"WPO6101_TBL";#N/A,#N/A,FALSE,"WPO6101";#N/A,#N/A,FALSE,"WPO6102_TBL";#N/A,#N/A,FALSE,"WPO6102";#N/A,#N/A,FALSE,"WPO6111_TBL";#N/A,#N/A,FALSE,"WPO_borongan"}</definedName>
    <definedName name="wrn.Produksi._.Borongan._5" localSheetId="5" hidden="1">{#N/A,#N/A,FALSE,"WPO6101_TBL";#N/A,#N/A,FALSE,"WPO6101";#N/A,#N/A,FALSE,"WPO6102_TBL";#N/A,#N/A,FALSE,"WPO6102";#N/A,#N/A,FALSE,"WPO6111_TBL";#N/A,#N/A,FALSE,"WPO_borongan"}</definedName>
    <definedName name="wrn.Produksi._.Borongan._5" localSheetId="15" hidden="1">{#N/A,#N/A,FALSE,"WPO6101_TBL";#N/A,#N/A,FALSE,"WPO6101";#N/A,#N/A,FALSE,"WPO6102_TBL";#N/A,#N/A,FALSE,"WPO6102";#N/A,#N/A,FALSE,"WPO6111_TBL";#N/A,#N/A,FALSE,"WPO_borongan"}</definedName>
    <definedName name="wrn.Produksi._.Borongan._5" localSheetId="13" hidden="1">{#N/A,#N/A,FALSE,"WPO6101_TBL";#N/A,#N/A,FALSE,"WPO6101";#N/A,#N/A,FALSE,"WPO6102_TBL";#N/A,#N/A,FALSE,"WPO6102";#N/A,#N/A,FALSE,"WPO6111_TBL";#N/A,#N/A,FALSE,"WPO_borongan"}</definedName>
    <definedName name="wrn.Produksi._.Borongan._5" localSheetId="2" hidden="1">{#N/A,#N/A,FALSE,"WPO6101_TBL";#N/A,#N/A,FALSE,"WPO6101";#N/A,#N/A,FALSE,"WPO6102_TBL";#N/A,#N/A,FALSE,"WPO6102";#N/A,#N/A,FALSE,"WPO6111_TBL";#N/A,#N/A,FALSE,"WPO_borongan"}</definedName>
    <definedName name="wrn.Produksi._.Borongan._5" localSheetId="8" hidden="1">{#N/A,#N/A,FALSE,"WPO6101_TBL";#N/A,#N/A,FALSE,"WPO6101";#N/A,#N/A,FALSE,"WPO6102_TBL";#N/A,#N/A,FALSE,"WPO6102";#N/A,#N/A,FALSE,"WPO6111_TBL";#N/A,#N/A,FALSE,"WPO_borongan"}</definedName>
    <definedName name="wrn.Produksi._.Borongan._5" localSheetId="27" hidden="1">{#N/A,#N/A,FALSE,"WPO6101_TBL";#N/A,#N/A,FALSE,"WPO6101";#N/A,#N/A,FALSE,"WPO6102_TBL";#N/A,#N/A,FALSE,"WPO6102";#N/A,#N/A,FALSE,"WPO6111_TBL";#N/A,#N/A,FALSE,"WPO_borongan"}</definedName>
    <definedName name="wrn.Produksi._.Borongan._5" hidden="1">{#N/A,#N/A,FALSE,"WPO6101_TBL";#N/A,#N/A,FALSE,"WPO6101";#N/A,#N/A,FALSE,"WPO6102_TBL";#N/A,#N/A,FALSE,"WPO6102";#N/A,#N/A,FALSE,"WPO6111_TBL";#N/A,#N/A,FALSE,"WPO_borongan"}</definedName>
    <definedName name="wrn.Produksi._.Kontrakan." localSheetId="5" hidden="1">{#N/A,#N/A,FALSE,"WPO_produksi_kontrakan"}</definedName>
    <definedName name="wrn.Produksi._.Kontrakan." localSheetId="15" hidden="1">{#N/A,#N/A,FALSE,"WPO_produksi_kontrakan"}</definedName>
    <definedName name="wrn.Produksi._.Kontrakan." localSheetId="13" hidden="1">{#N/A,#N/A,FALSE,"WPO_produksi_kontrakan"}</definedName>
    <definedName name="wrn.Produksi._.Kontrakan." localSheetId="2" hidden="1">{#N/A,#N/A,FALSE,"WPO_produksi_kontrakan"}</definedName>
    <definedName name="wrn.Produksi._.Kontrakan." localSheetId="8" hidden="1">{#N/A,#N/A,FALSE,"WPO_produksi_kontrakan"}</definedName>
    <definedName name="wrn.Produksi._.Kontrakan." localSheetId="27" hidden="1">{#N/A,#N/A,FALSE,"WPO_produksi_kontrakan"}</definedName>
    <definedName name="wrn.Produksi._.Kontrakan." hidden="1">{#N/A,#N/A,FALSE,"WPO_produksi_kontrakan"}</definedName>
    <definedName name="wrn.Produksi._.Kontrakan._2" localSheetId="5" hidden="1">{#N/A,#N/A,FALSE,"WPO_produksi_kontrakan"}</definedName>
    <definedName name="wrn.Produksi._.Kontrakan._2" localSheetId="15" hidden="1">{#N/A,#N/A,FALSE,"WPO_produksi_kontrakan"}</definedName>
    <definedName name="wrn.Produksi._.Kontrakan._2" localSheetId="13" hidden="1">{#N/A,#N/A,FALSE,"WPO_produksi_kontrakan"}</definedName>
    <definedName name="wrn.Produksi._.Kontrakan._2" localSheetId="2" hidden="1">{#N/A,#N/A,FALSE,"WPO_produksi_kontrakan"}</definedName>
    <definedName name="wrn.Produksi._.Kontrakan._2" localSheetId="8" hidden="1">{#N/A,#N/A,FALSE,"WPO_produksi_kontrakan"}</definedName>
    <definedName name="wrn.Produksi._.Kontrakan._2" localSheetId="27" hidden="1">{#N/A,#N/A,FALSE,"WPO_produksi_kontrakan"}</definedName>
    <definedName name="wrn.Produksi._.Kontrakan._2" hidden="1">{#N/A,#N/A,FALSE,"WPO_produksi_kontrakan"}</definedName>
    <definedName name="wrn.Produksi._.Kontrakan._3" localSheetId="5" hidden="1">{#N/A,#N/A,FALSE,"WPO_produksi_kontrakan"}</definedName>
    <definedName name="wrn.Produksi._.Kontrakan._3" localSheetId="15" hidden="1">{#N/A,#N/A,FALSE,"WPO_produksi_kontrakan"}</definedName>
    <definedName name="wrn.Produksi._.Kontrakan._3" localSheetId="13" hidden="1">{#N/A,#N/A,FALSE,"WPO_produksi_kontrakan"}</definedName>
    <definedName name="wrn.Produksi._.Kontrakan._3" localSheetId="2" hidden="1">{#N/A,#N/A,FALSE,"WPO_produksi_kontrakan"}</definedName>
    <definedName name="wrn.Produksi._.Kontrakan._3" localSheetId="8" hidden="1">{#N/A,#N/A,FALSE,"WPO_produksi_kontrakan"}</definedName>
    <definedName name="wrn.Produksi._.Kontrakan._3" localSheetId="27" hidden="1">{#N/A,#N/A,FALSE,"WPO_produksi_kontrakan"}</definedName>
    <definedName name="wrn.Produksi._.Kontrakan._3" hidden="1">{#N/A,#N/A,FALSE,"WPO_produksi_kontrakan"}</definedName>
    <definedName name="wrn.Produksi._.Kontrakan._4" localSheetId="5" hidden="1">{#N/A,#N/A,FALSE,"WPO_produksi_kontrakan"}</definedName>
    <definedName name="wrn.Produksi._.Kontrakan._4" localSheetId="15" hidden="1">{#N/A,#N/A,FALSE,"WPO_produksi_kontrakan"}</definedName>
    <definedName name="wrn.Produksi._.Kontrakan._4" localSheetId="13" hidden="1">{#N/A,#N/A,FALSE,"WPO_produksi_kontrakan"}</definedName>
    <definedName name="wrn.Produksi._.Kontrakan._4" localSheetId="2" hidden="1">{#N/A,#N/A,FALSE,"WPO_produksi_kontrakan"}</definedName>
    <definedName name="wrn.Produksi._.Kontrakan._4" localSheetId="8" hidden="1">{#N/A,#N/A,FALSE,"WPO_produksi_kontrakan"}</definedName>
    <definedName name="wrn.Produksi._.Kontrakan._4" localSheetId="27" hidden="1">{#N/A,#N/A,FALSE,"WPO_produksi_kontrakan"}</definedName>
    <definedName name="wrn.Produksi._.Kontrakan._4" hidden="1">{#N/A,#N/A,FALSE,"WPO_produksi_kontrakan"}</definedName>
    <definedName name="wrn.Produksi._.Kontrakan._5" localSheetId="5" hidden="1">{#N/A,#N/A,FALSE,"WPO_produksi_kontrakan"}</definedName>
    <definedName name="wrn.Produksi._.Kontrakan._5" localSheetId="15" hidden="1">{#N/A,#N/A,FALSE,"WPO_produksi_kontrakan"}</definedName>
    <definedName name="wrn.Produksi._.Kontrakan._5" localSheetId="13" hidden="1">{#N/A,#N/A,FALSE,"WPO_produksi_kontrakan"}</definedName>
    <definedName name="wrn.Produksi._.Kontrakan._5" localSheetId="2" hidden="1">{#N/A,#N/A,FALSE,"WPO_produksi_kontrakan"}</definedName>
    <definedName name="wrn.Produksi._.Kontrakan._5" localSheetId="8" hidden="1">{#N/A,#N/A,FALSE,"WPO_produksi_kontrakan"}</definedName>
    <definedName name="wrn.Produksi._.Kontrakan._5" localSheetId="27" hidden="1">{#N/A,#N/A,FALSE,"WPO_produksi_kontrakan"}</definedName>
    <definedName name="wrn.Produksi._.Kontrakan._5" hidden="1">{#N/A,#N/A,FALSE,"WPO_produksi_kontrakan"}</definedName>
    <definedName name="wrn.Proses._.Produksi." localSheetId="5" hidden="1">{#N/A,#N/A,FALSE,"WPO_proses_produksi"}</definedName>
    <definedName name="wrn.Proses._.Produksi." localSheetId="15" hidden="1">{#N/A,#N/A,FALSE,"WPO_proses_produksi"}</definedName>
    <definedName name="wrn.Proses._.Produksi." localSheetId="13" hidden="1">{#N/A,#N/A,FALSE,"WPO_proses_produksi"}</definedName>
    <definedName name="wrn.Proses._.Produksi." localSheetId="2" hidden="1">{#N/A,#N/A,FALSE,"WPO_proses_produksi"}</definedName>
    <definedName name="wrn.Proses._.Produksi." localSheetId="8" hidden="1">{#N/A,#N/A,FALSE,"WPO_proses_produksi"}</definedName>
    <definedName name="wrn.Proses._.Produksi." localSheetId="27" hidden="1">{#N/A,#N/A,FALSE,"WPO_proses_produksi"}</definedName>
    <definedName name="wrn.Proses._.Produksi." hidden="1">{#N/A,#N/A,FALSE,"WPO_proses_produksi"}</definedName>
    <definedName name="wrn.Proses._.Produksi._2" localSheetId="5" hidden="1">{#N/A,#N/A,FALSE,"WPO_proses_produksi"}</definedName>
    <definedName name="wrn.Proses._.Produksi._2" localSheetId="15" hidden="1">{#N/A,#N/A,FALSE,"WPO_proses_produksi"}</definedName>
    <definedName name="wrn.Proses._.Produksi._2" localSheetId="13" hidden="1">{#N/A,#N/A,FALSE,"WPO_proses_produksi"}</definedName>
    <definedName name="wrn.Proses._.Produksi._2" localSheetId="2" hidden="1">{#N/A,#N/A,FALSE,"WPO_proses_produksi"}</definedName>
    <definedName name="wrn.Proses._.Produksi._2" localSheetId="8" hidden="1">{#N/A,#N/A,FALSE,"WPO_proses_produksi"}</definedName>
    <definedName name="wrn.Proses._.Produksi._2" localSheetId="27" hidden="1">{#N/A,#N/A,FALSE,"WPO_proses_produksi"}</definedName>
    <definedName name="wrn.Proses._.Produksi._2" hidden="1">{#N/A,#N/A,FALSE,"WPO_proses_produksi"}</definedName>
    <definedName name="wrn.Proses._.Produksi._3" localSheetId="5" hidden="1">{#N/A,#N/A,FALSE,"WPO_proses_produksi"}</definedName>
    <definedName name="wrn.Proses._.Produksi._3" localSheetId="15" hidden="1">{#N/A,#N/A,FALSE,"WPO_proses_produksi"}</definedName>
    <definedName name="wrn.Proses._.Produksi._3" localSheetId="13" hidden="1">{#N/A,#N/A,FALSE,"WPO_proses_produksi"}</definedName>
    <definedName name="wrn.Proses._.Produksi._3" localSheetId="2" hidden="1">{#N/A,#N/A,FALSE,"WPO_proses_produksi"}</definedName>
    <definedName name="wrn.Proses._.Produksi._3" localSheetId="8" hidden="1">{#N/A,#N/A,FALSE,"WPO_proses_produksi"}</definedName>
    <definedName name="wrn.Proses._.Produksi._3" localSheetId="27" hidden="1">{#N/A,#N/A,FALSE,"WPO_proses_produksi"}</definedName>
    <definedName name="wrn.Proses._.Produksi._3" hidden="1">{#N/A,#N/A,FALSE,"WPO_proses_produksi"}</definedName>
    <definedName name="wrn.Proses._.Produksi._4" localSheetId="5" hidden="1">{#N/A,#N/A,FALSE,"WPO_proses_produksi"}</definedName>
    <definedName name="wrn.Proses._.Produksi._4" localSheetId="15" hidden="1">{#N/A,#N/A,FALSE,"WPO_proses_produksi"}</definedName>
    <definedName name="wrn.Proses._.Produksi._4" localSheetId="13" hidden="1">{#N/A,#N/A,FALSE,"WPO_proses_produksi"}</definedName>
    <definedName name="wrn.Proses._.Produksi._4" localSheetId="2" hidden="1">{#N/A,#N/A,FALSE,"WPO_proses_produksi"}</definedName>
    <definedName name="wrn.Proses._.Produksi._4" localSheetId="8" hidden="1">{#N/A,#N/A,FALSE,"WPO_proses_produksi"}</definedName>
    <definedName name="wrn.Proses._.Produksi._4" localSheetId="27" hidden="1">{#N/A,#N/A,FALSE,"WPO_proses_produksi"}</definedName>
    <definedName name="wrn.Proses._.Produksi._4" hidden="1">{#N/A,#N/A,FALSE,"WPO_proses_produksi"}</definedName>
    <definedName name="wrn.Proses._.Produksi._5" localSheetId="5" hidden="1">{#N/A,#N/A,FALSE,"WPO_proses_produksi"}</definedName>
    <definedName name="wrn.Proses._.Produksi._5" localSheetId="15" hidden="1">{#N/A,#N/A,FALSE,"WPO_proses_produksi"}</definedName>
    <definedName name="wrn.Proses._.Produksi._5" localSheetId="13" hidden="1">{#N/A,#N/A,FALSE,"WPO_proses_produksi"}</definedName>
    <definedName name="wrn.Proses._.Produksi._5" localSheetId="2" hidden="1">{#N/A,#N/A,FALSE,"WPO_proses_produksi"}</definedName>
    <definedName name="wrn.Proses._.Produksi._5" localSheetId="8" hidden="1">{#N/A,#N/A,FALSE,"WPO_proses_produksi"}</definedName>
    <definedName name="wrn.Proses._.Produksi._5" localSheetId="27" hidden="1">{#N/A,#N/A,FALSE,"WPO_proses_produksi"}</definedName>
    <definedName name="wrn.Proses._.Produksi._5" hidden="1">{#N/A,#N/A,FALSE,"WPO_proses_produksi"}</definedName>
    <definedName name="wrn.rtpl." localSheetId="5" hidden="1">{#N/A,#N/A,FALSE,"REK-S-TPL";#N/A,#N/A,FALSE,"REK-TPML";#N/A,#N/A,FALSE,"RAB-TEMPEL"}</definedName>
    <definedName name="wrn.rtpl." localSheetId="15" hidden="1">{#N/A,#N/A,FALSE,"REK-S-TPL";#N/A,#N/A,FALSE,"REK-TPML";#N/A,#N/A,FALSE,"RAB-TEMPEL"}</definedName>
    <definedName name="wrn.rtpl." localSheetId="13" hidden="1">{#N/A,#N/A,FALSE,"REK-S-TPL";#N/A,#N/A,FALSE,"REK-TPML";#N/A,#N/A,FALSE,"RAB-TEMPEL"}</definedName>
    <definedName name="wrn.rtpl." localSheetId="2" hidden="1">{#N/A,#N/A,FALSE,"REK-S-TPL";#N/A,#N/A,FALSE,"REK-TPML";#N/A,#N/A,FALSE,"RAB-TEMPEL"}</definedName>
    <definedName name="wrn.rtpl." localSheetId="8" hidden="1">{#N/A,#N/A,FALSE,"REK-S-TPL";#N/A,#N/A,FALSE,"REK-TPML";#N/A,#N/A,FALSE,"RAB-TEMPEL"}</definedName>
    <definedName name="wrn.rtpl." localSheetId="27" hidden="1">{#N/A,#N/A,FALSE,"REK-S-TPL";#N/A,#N/A,FALSE,"REK-TPML";#N/A,#N/A,FALSE,"RAB-TEMPEL"}</definedName>
    <definedName name="wrn.rtpl." hidden="1">{#N/A,#N/A,FALSE,"REK-S-TPL";#N/A,#N/A,FALSE,"REK-TPML";#N/A,#N/A,FALSE,"RAB-TEMPEL"}</definedName>
    <definedName name="wrn.rtpl._2" localSheetId="5" hidden="1">{#N/A,#N/A,FALSE,"REK-S-TPL";#N/A,#N/A,FALSE,"REK-TPML";#N/A,#N/A,FALSE,"RAB-TEMPEL"}</definedName>
    <definedName name="wrn.rtpl._2" localSheetId="15" hidden="1">{#N/A,#N/A,FALSE,"REK-S-TPL";#N/A,#N/A,FALSE,"REK-TPML";#N/A,#N/A,FALSE,"RAB-TEMPEL"}</definedName>
    <definedName name="wrn.rtpl._2" localSheetId="13" hidden="1">{#N/A,#N/A,FALSE,"REK-S-TPL";#N/A,#N/A,FALSE,"REK-TPML";#N/A,#N/A,FALSE,"RAB-TEMPEL"}</definedName>
    <definedName name="wrn.rtpl._2" localSheetId="2" hidden="1">{#N/A,#N/A,FALSE,"REK-S-TPL";#N/A,#N/A,FALSE,"REK-TPML";#N/A,#N/A,FALSE,"RAB-TEMPEL"}</definedName>
    <definedName name="wrn.rtpl._2" localSheetId="8" hidden="1">{#N/A,#N/A,FALSE,"REK-S-TPL";#N/A,#N/A,FALSE,"REK-TPML";#N/A,#N/A,FALSE,"RAB-TEMPEL"}</definedName>
    <definedName name="wrn.rtpl._2" localSheetId="27" hidden="1">{#N/A,#N/A,FALSE,"REK-S-TPL";#N/A,#N/A,FALSE,"REK-TPML";#N/A,#N/A,FALSE,"RAB-TEMPEL"}</definedName>
    <definedName name="wrn.rtpl._2" hidden="1">{#N/A,#N/A,FALSE,"REK-S-TPL";#N/A,#N/A,FALSE,"REK-TPML";#N/A,#N/A,FALSE,"RAB-TEMPEL"}</definedName>
    <definedName name="wrn.rtpl._3" localSheetId="5" hidden="1">{#N/A,#N/A,FALSE,"REK-S-TPL";#N/A,#N/A,FALSE,"REK-TPML";#N/A,#N/A,FALSE,"RAB-TEMPEL"}</definedName>
    <definedName name="wrn.rtpl._3" localSheetId="15" hidden="1">{#N/A,#N/A,FALSE,"REK-S-TPL";#N/A,#N/A,FALSE,"REK-TPML";#N/A,#N/A,FALSE,"RAB-TEMPEL"}</definedName>
    <definedName name="wrn.rtpl._3" localSheetId="13" hidden="1">{#N/A,#N/A,FALSE,"REK-S-TPL";#N/A,#N/A,FALSE,"REK-TPML";#N/A,#N/A,FALSE,"RAB-TEMPEL"}</definedName>
    <definedName name="wrn.rtpl._3" localSheetId="2" hidden="1">{#N/A,#N/A,FALSE,"REK-S-TPL";#N/A,#N/A,FALSE,"REK-TPML";#N/A,#N/A,FALSE,"RAB-TEMPEL"}</definedName>
    <definedName name="wrn.rtpl._3" localSheetId="8" hidden="1">{#N/A,#N/A,FALSE,"REK-S-TPL";#N/A,#N/A,FALSE,"REK-TPML";#N/A,#N/A,FALSE,"RAB-TEMPEL"}</definedName>
    <definedName name="wrn.rtpl._3" localSheetId="27" hidden="1">{#N/A,#N/A,FALSE,"REK-S-TPL";#N/A,#N/A,FALSE,"REK-TPML";#N/A,#N/A,FALSE,"RAB-TEMPEL"}</definedName>
    <definedName name="wrn.rtpl._3" hidden="1">{#N/A,#N/A,FALSE,"REK-S-TPL";#N/A,#N/A,FALSE,"REK-TPML";#N/A,#N/A,FALSE,"RAB-TEMPEL"}</definedName>
    <definedName name="wrn.rtpl._4" localSheetId="5" hidden="1">{#N/A,#N/A,FALSE,"REK-S-TPL";#N/A,#N/A,FALSE,"REK-TPML";#N/A,#N/A,FALSE,"RAB-TEMPEL"}</definedName>
    <definedName name="wrn.rtpl._4" localSheetId="15" hidden="1">{#N/A,#N/A,FALSE,"REK-S-TPL";#N/A,#N/A,FALSE,"REK-TPML";#N/A,#N/A,FALSE,"RAB-TEMPEL"}</definedName>
    <definedName name="wrn.rtpl._4" localSheetId="13" hidden="1">{#N/A,#N/A,FALSE,"REK-S-TPL";#N/A,#N/A,FALSE,"REK-TPML";#N/A,#N/A,FALSE,"RAB-TEMPEL"}</definedName>
    <definedName name="wrn.rtpl._4" localSheetId="2" hidden="1">{#N/A,#N/A,FALSE,"REK-S-TPL";#N/A,#N/A,FALSE,"REK-TPML";#N/A,#N/A,FALSE,"RAB-TEMPEL"}</definedName>
    <definedName name="wrn.rtpl._4" localSheetId="8" hidden="1">{#N/A,#N/A,FALSE,"REK-S-TPL";#N/A,#N/A,FALSE,"REK-TPML";#N/A,#N/A,FALSE,"RAB-TEMPEL"}</definedName>
    <definedName name="wrn.rtpl._4" localSheetId="27" hidden="1">{#N/A,#N/A,FALSE,"REK-S-TPL";#N/A,#N/A,FALSE,"REK-TPML";#N/A,#N/A,FALSE,"RAB-TEMPEL"}</definedName>
    <definedName name="wrn.rtpl._4" hidden="1">{#N/A,#N/A,FALSE,"REK-S-TPL";#N/A,#N/A,FALSE,"REK-TPML";#N/A,#N/A,FALSE,"RAB-TEMPEL"}</definedName>
    <definedName name="wrn.rtpl._5" localSheetId="5" hidden="1">{#N/A,#N/A,FALSE,"REK-S-TPL";#N/A,#N/A,FALSE,"REK-TPML";#N/A,#N/A,FALSE,"RAB-TEMPEL"}</definedName>
    <definedName name="wrn.rtpl._5" localSheetId="15" hidden="1">{#N/A,#N/A,FALSE,"REK-S-TPL";#N/A,#N/A,FALSE,"REK-TPML";#N/A,#N/A,FALSE,"RAB-TEMPEL"}</definedName>
    <definedName name="wrn.rtpl._5" localSheetId="13" hidden="1">{#N/A,#N/A,FALSE,"REK-S-TPL";#N/A,#N/A,FALSE,"REK-TPML";#N/A,#N/A,FALSE,"RAB-TEMPEL"}</definedName>
    <definedName name="wrn.rtpl._5" localSheetId="2" hidden="1">{#N/A,#N/A,FALSE,"REK-S-TPL";#N/A,#N/A,FALSE,"REK-TPML";#N/A,#N/A,FALSE,"RAB-TEMPEL"}</definedName>
    <definedName name="wrn.rtpl._5" localSheetId="8" hidden="1">{#N/A,#N/A,FALSE,"REK-S-TPL";#N/A,#N/A,FALSE,"REK-TPML";#N/A,#N/A,FALSE,"RAB-TEMPEL"}</definedName>
    <definedName name="wrn.rtpl._5" localSheetId="27" hidden="1">{#N/A,#N/A,FALSE,"REK-S-TPL";#N/A,#N/A,FALSE,"REK-TPML";#N/A,#N/A,FALSE,"RAB-TEMPEL"}</definedName>
    <definedName name="wrn.rtpl._5" hidden="1">{#N/A,#N/A,FALSE,"REK-S-TPL";#N/A,#N/A,FALSE,"REK-TPML";#N/A,#N/A,FALSE,"RAB-TEMPEL"}</definedName>
    <definedName name="wrn.ry" localSheetId="5" hidden="1">{#N/A,#N/A,FALSE,"REK";#N/A,#N/A,FALSE,"rab"}</definedName>
    <definedName name="wrn.ry" localSheetId="15" hidden="1">{#N/A,#N/A,FALSE,"REK";#N/A,#N/A,FALSE,"rab"}</definedName>
    <definedName name="wrn.ry" localSheetId="13" hidden="1">{#N/A,#N/A,FALSE,"REK";#N/A,#N/A,FALSE,"rab"}</definedName>
    <definedName name="wrn.ry" localSheetId="2" hidden="1">{#N/A,#N/A,FALSE,"REK";#N/A,#N/A,FALSE,"rab"}</definedName>
    <definedName name="wrn.ry" localSheetId="8" hidden="1">{#N/A,#N/A,FALSE,"REK";#N/A,#N/A,FALSE,"rab"}</definedName>
    <definedName name="wrn.ry" localSheetId="27" hidden="1">{#N/A,#N/A,FALSE,"REK";#N/A,#N/A,FALSE,"rab"}</definedName>
    <definedName name="wrn.ry" hidden="1">{#N/A,#N/A,FALSE,"REK";#N/A,#N/A,FALSE,"rab"}</definedName>
    <definedName name="wrn.ry." localSheetId="5" hidden="1">{#N/A,#N/A,FALSE,"REK";#N/A,#N/A,FALSE,"rab"}</definedName>
    <definedName name="wrn.ry." localSheetId="15" hidden="1">{#N/A,#N/A,FALSE,"REK";#N/A,#N/A,FALSE,"rab"}</definedName>
    <definedName name="wrn.ry." localSheetId="13" hidden="1">{#N/A,#N/A,FALSE,"REK";#N/A,#N/A,FALSE,"rab"}</definedName>
    <definedName name="wrn.ry." localSheetId="2" hidden="1">{#N/A,#N/A,FALSE,"REK";#N/A,#N/A,FALSE,"rab"}</definedName>
    <definedName name="wrn.ry." localSheetId="8" hidden="1">{#N/A,#N/A,FALSE,"REK";#N/A,#N/A,FALSE,"rab"}</definedName>
    <definedName name="wrn.ry." localSheetId="27" hidden="1">{#N/A,#N/A,FALSE,"REK";#N/A,#N/A,FALSE,"rab"}</definedName>
    <definedName name="wrn.ry." hidden="1">{#N/A,#N/A,FALSE,"REK";#N/A,#N/A,FALSE,"rab"}</definedName>
    <definedName name="wrn.ry._2" localSheetId="5" hidden="1">{#N/A,#N/A,FALSE,"REK";#N/A,#N/A,FALSE,"rab"}</definedName>
    <definedName name="wrn.ry._2" localSheetId="15" hidden="1">{#N/A,#N/A,FALSE,"REK";#N/A,#N/A,FALSE,"rab"}</definedName>
    <definedName name="wrn.ry._2" localSheetId="13" hidden="1">{#N/A,#N/A,FALSE,"REK";#N/A,#N/A,FALSE,"rab"}</definedName>
    <definedName name="wrn.ry._2" localSheetId="2" hidden="1">{#N/A,#N/A,FALSE,"REK";#N/A,#N/A,FALSE,"rab"}</definedName>
    <definedName name="wrn.ry._2" localSheetId="8" hidden="1">{#N/A,#N/A,FALSE,"REK";#N/A,#N/A,FALSE,"rab"}</definedName>
    <definedName name="wrn.ry._2" localSheetId="27" hidden="1">{#N/A,#N/A,FALSE,"REK";#N/A,#N/A,FALSE,"rab"}</definedName>
    <definedName name="wrn.ry._2" hidden="1">{#N/A,#N/A,FALSE,"REK";#N/A,#N/A,FALSE,"rab"}</definedName>
    <definedName name="wrn.ry._3" localSheetId="5" hidden="1">{#N/A,#N/A,FALSE,"REK";#N/A,#N/A,FALSE,"rab"}</definedName>
    <definedName name="wrn.ry._3" localSheetId="15" hidden="1">{#N/A,#N/A,FALSE,"REK";#N/A,#N/A,FALSE,"rab"}</definedName>
    <definedName name="wrn.ry._3" localSheetId="13" hidden="1">{#N/A,#N/A,FALSE,"REK";#N/A,#N/A,FALSE,"rab"}</definedName>
    <definedName name="wrn.ry._3" localSheetId="2" hidden="1">{#N/A,#N/A,FALSE,"REK";#N/A,#N/A,FALSE,"rab"}</definedName>
    <definedName name="wrn.ry._3" localSheetId="8" hidden="1">{#N/A,#N/A,FALSE,"REK";#N/A,#N/A,FALSE,"rab"}</definedName>
    <definedName name="wrn.ry._3" localSheetId="27" hidden="1">{#N/A,#N/A,FALSE,"REK";#N/A,#N/A,FALSE,"rab"}</definedName>
    <definedName name="wrn.ry._3" hidden="1">{#N/A,#N/A,FALSE,"REK";#N/A,#N/A,FALSE,"rab"}</definedName>
    <definedName name="wrn.ry._4" localSheetId="5" hidden="1">{#N/A,#N/A,FALSE,"REK";#N/A,#N/A,FALSE,"rab"}</definedName>
    <definedName name="wrn.ry._4" localSheetId="15" hidden="1">{#N/A,#N/A,FALSE,"REK";#N/A,#N/A,FALSE,"rab"}</definedName>
    <definedName name="wrn.ry._4" localSheetId="13" hidden="1">{#N/A,#N/A,FALSE,"REK";#N/A,#N/A,FALSE,"rab"}</definedName>
    <definedName name="wrn.ry._4" localSheetId="2" hidden="1">{#N/A,#N/A,FALSE,"REK";#N/A,#N/A,FALSE,"rab"}</definedName>
    <definedName name="wrn.ry._4" localSheetId="8" hidden="1">{#N/A,#N/A,FALSE,"REK";#N/A,#N/A,FALSE,"rab"}</definedName>
    <definedName name="wrn.ry._4" localSheetId="27" hidden="1">{#N/A,#N/A,FALSE,"REK";#N/A,#N/A,FALSE,"rab"}</definedName>
    <definedName name="wrn.ry._4" hidden="1">{#N/A,#N/A,FALSE,"REK";#N/A,#N/A,FALSE,"rab"}</definedName>
    <definedName name="wrn.ry._5" localSheetId="5" hidden="1">{#N/A,#N/A,FALSE,"REK";#N/A,#N/A,FALSE,"rab"}</definedName>
    <definedName name="wrn.ry._5" localSheetId="15" hidden="1">{#N/A,#N/A,FALSE,"REK";#N/A,#N/A,FALSE,"rab"}</definedName>
    <definedName name="wrn.ry._5" localSheetId="13" hidden="1">{#N/A,#N/A,FALSE,"REK";#N/A,#N/A,FALSE,"rab"}</definedName>
    <definedName name="wrn.ry._5" localSheetId="2" hidden="1">{#N/A,#N/A,FALSE,"REK";#N/A,#N/A,FALSE,"rab"}</definedName>
    <definedName name="wrn.ry._5" localSheetId="8" hidden="1">{#N/A,#N/A,FALSE,"REK";#N/A,#N/A,FALSE,"rab"}</definedName>
    <definedName name="wrn.ry._5" localSheetId="27" hidden="1">{#N/A,#N/A,FALSE,"REK";#N/A,#N/A,FALSE,"rab"}</definedName>
    <definedName name="wrn.ry._5" hidden="1">{#N/A,#N/A,FALSE,"REK";#N/A,#N/A,FALSE,"rab"}</definedName>
    <definedName name="wrn.Tabel." localSheetId="5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" localSheetId="15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" localSheetId="13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" localSheetId="2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" localSheetId="8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" localSheetId="27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2" localSheetId="5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2" localSheetId="15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2" localSheetId="13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2" localSheetId="2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2" localSheetId="8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2" localSheetId="27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2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3" localSheetId="5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3" localSheetId="15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3" localSheetId="13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3" localSheetId="2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3" localSheetId="8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3" localSheetId="27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3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4" localSheetId="5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4" localSheetId="15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4" localSheetId="13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4" localSheetId="2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4" localSheetId="8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4" localSheetId="27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4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5" localSheetId="5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5" localSheetId="15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5" localSheetId="13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5" localSheetId="2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5" localSheetId="8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5" localSheetId="27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5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enaga._.Kontrakan." localSheetId="5" hidden="1">{#N/A,#N/A,FALSE,"WPO_tenaga_kontrakan"}</definedName>
    <definedName name="wrn.Tenaga._.Kontrakan." localSheetId="15" hidden="1">{#N/A,#N/A,FALSE,"WPO_tenaga_kontrakan"}</definedName>
    <definedName name="wrn.Tenaga._.Kontrakan." localSheetId="13" hidden="1">{#N/A,#N/A,FALSE,"WPO_tenaga_kontrakan"}</definedName>
    <definedName name="wrn.Tenaga._.Kontrakan." localSheetId="2" hidden="1">{#N/A,#N/A,FALSE,"WPO_tenaga_kontrakan"}</definedName>
    <definedName name="wrn.Tenaga._.Kontrakan." localSheetId="8" hidden="1">{#N/A,#N/A,FALSE,"WPO_tenaga_kontrakan"}</definedName>
    <definedName name="wrn.Tenaga._.Kontrakan." localSheetId="27" hidden="1">{#N/A,#N/A,FALSE,"WPO_tenaga_kontrakan"}</definedName>
    <definedName name="wrn.Tenaga._.Kontrakan." hidden="1">{#N/A,#N/A,FALSE,"WPO_tenaga_kontrakan"}</definedName>
    <definedName name="wrn.Tenaga._.Kontrakan._2" localSheetId="5" hidden="1">{#N/A,#N/A,FALSE,"WPO_tenaga_kontrakan"}</definedName>
    <definedName name="wrn.Tenaga._.Kontrakan._2" localSheetId="15" hidden="1">{#N/A,#N/A,FALSE,"WPO_tenaga_kontrakan"}</definedName>
    <definedName name="wrn.Tenaga._.Kontrakan._2" localSheetId="13" hidden="1">{#N/A,#N/A,FALSE,"WPO_tenaga_kontrakan"}</definedName>
    <definedName name="wrn.Tenaga._.Kontrakan._2" localSheetId="2" hidden="1">{#N/A,#N/A,FALSE,"WPO_tenaga_kontrakan"}</definedName>
    <definedName name="wrn.Tenaga._.Kontrakan._2" localSheetId="8" hidden="1">{#N/A,#N/A,FALSE,"WPO_tenaga_kontrakan"}</definedName>
    <definedName name="wrn.Tenaga._.Kontrakan._2" localSheetId="27" hidden="1">{#N/A,#N/A,FALSE,"WPO_tenaga_kontrakan"}</definedName>
    <definedName name="wrn.Tenaga._.Kontrakan._2" hidden="1">{#N/A,#N/A,FALSE,"WPO_tenaga_kontrakan"}</definedName>
    <definedName name="wrn.Tenaga._.Kontrakan._3" localSheetId="5" hidden="1">{#N/A,#N/A,FALSE,"WPO_tenaga_kontrakan"}</definedName>
    <definedName name="wrn.Tenaga._.Kontrakan._3" localSheetId="15" hidden="1">{#N/A,#N/A,FALSE,"WPO_tenaga_kontrakan"}</definedName>
    <definedName name="wrn.Tenaga._.Kontrakan._3" localSheetId="13" hidden="1">{#N/A,#N/A,FALSE,"WPO_tenaga_kontrakan"}</definedName>
    <definedName name="wrn.Tenaga._.Kontrakan._3" localSheetId="2" hidden="1">{#N/A,#N/A,FALSE,"WPO_tenaga_kontrakan"}</definedName>
    <definedName name="wrn.Tenaga._.Kontrakan._3" localSheetId="8" hidden="1">{#N/A,#N/A,FALSE,"WPO_tenaga_kontrakan"}</definedName>
    <definedName name="wrn.Tenaga._.Kontrakan._3" localSheetId="27" hidden="1">{#N/A,#N/A,FALSE,"WPO_tenaga_kontrakan"}</definedName>
    <definedName name="wrn.Tenaga._.Kontrakan._3" hidden="1">{#N/A,#N/A,FALSE,"WPO_tenaga_kontrakan"}</definedName>
    <definedName name="wrn.Tenaga._.Kontrakan._4" localSheetId="5" hidden="1">{#N/A,#N/A,FALSE,"WPO_tenaga_kontrakan"}</definedName>
    <definedName name="wrn.Tenaga._.Kontrakan._4" localSheetId="15" hidden="1">{#N/A,#N/A,FALSE,"WPO_tenaga_kontrakan"}</definedName>
    <definedName name="wrn.Tenaga._.Kontrakan._4" localSheetId="13" hidden="1">{#N/A,#N/A,FALSE,"WPO_tenaga_kontrakan"}</definedName>
    <definedName name="wrn.Tenaga._.Kontrakan._4" localSheetId="2" hidden="1">{#N/A,#N/A,FALSE,"WPO_tenaga_kontrakan"}</definedName>
    <definedName name="wrn.Tenaga._.Kontrakan._4" localSheetId="8" hidden="1">{#N/A,#N/A,FALSE,"WPO_tenaga_kontrakan"}</definedName>
    <definedName name="wrn.Tenaga._.Kontrakan._4" localSheetId="27" hidden="1">{#N/A,#N/A,FALSE,"WPO_tenaga_kontrakan"}</definedName>
    <definedName name="wrn.Tenaga._.Kontrakan._4" hidden="1">{#N/A,#N/A,FALSE,"WPO_tenaga_kontrakan"}</definedName>
    <definedName name="wrn.Tenaga._.Kontrakan._5" localSheetId="5" hidden="1">{#N/A,#N/A,FALSE,"WPO_tenaga_kontrakan"}</definedName>
    <definedName name="wrn.Tenaga._.Kontrakan._5" localSheetId="15" hidden="1">{#N/A,#N/A,FALSE,"WPO_tenaga_kontrakan"}</definedName>
    <definedName name="wrn.Tenaga._.Kontrakan._5" localSheetId="13" hidden="1">{#N/A,#N/A,FALSE,"WPO_tenaga_kontrakan"}</definedName>
    <definedName name="wrn.Tenaga._.Kontrakan._5" localSheetId="2" hidden="1">{#N/A,#N/A,FALSE,"WPO_tenaga_kontrakan"}</definedName>
    <definedName name="wrn.Tenaga._.Kontrakan._5" localSheetId="8" hidden="1">{#N/A,#N/A,FALSE,"WPO_tenaga_kontrakan"}</definedName>
    <definedName name="wrn.Tenaga._.Kontrakan._5" localSheetId="27" hidden="1">{#N/A,#N/A,FALSE,"WPO_tenaga_kontrakan"}</definedName>
    <definedName name="wrn.Tenaga._.Kontrakan._5" hidden="1">{#N/A,#N/A,FALSE,"WPO_tenaga_kontrakan"}</definedName>
    <definedName name="wrn.Upah._.Buruh._.Langsung." localSheetId="5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" localSheetId="15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" localSheetId="13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" localSheetId="2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" localSheetId="8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" localSheetId="27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2" localSheetId="5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2" localSheetId="15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2" localSheetId="13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2" localSheetId="2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2" localSheetId="8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2" localSheetId="27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2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3" localSheetId="5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3" localSheetId="15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3" localSheetId="13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3" localSheetId="2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3" localSheetId="8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3" localSheetId="27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3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4" localSheetId="5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4" localSheetId="15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4" localSheetId="13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4" localSheetId="2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4" localSheetId="8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4" localSheetId="27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4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5" localSheetId="5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5" localSheetId="15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5" localSheetId="13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5" localSheetId="2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5" localSheetId="8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5" localSheetId="27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5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Lain._.lain." localSheetId="5" hidden="1">{#N/A,#N/A,FALSE,"WPO_upah_lain-lain"}</definedName>
    <definedName name="wrn.Upah._.Lain._.lain." localSheetId="15" hidden="1">{#N/A,#N/A,FALSE,"WPO_upah_lain-lain"}</definedName>
    <definedName name="wrn.Upah._.Lain._.lain." localSheetId="13" hidden="1">{#N/A,#N/A,FALSE,"WPO_upah_lain-lain"}</definedName>
    <definedName name="wrn.Upah._.Lain._.lain." localSheetId="2" hidden="1">{#N/A,#N/A,FALSE,"WPO_upah_lain-lain"}</definedName>
    <definedName name="wrn.Upah._.Lain._.lain." localSheetId="8" hidden="1">{#N/A,#N/A,FALSE,"WPO_upah_lain-lain"}</definedName>
    <definedName name="wrn.Upah._.Lain._.lain." localSheetId="27" hidden="1">{#N/A,#N/A,FALSE,"WPO_upah_lain-lain"}</definedName>
    <definedName name="wrn.Upah._.Lain._.lain." hidden="1">{#N/A,#N/A,FALSE,"WPO_upah_lain-lain"}</definedName>
    <definedName name="wrn.Upah._.Lain._.lain._2" localSheetId="5" hidden="1">{#N/A,#N/A,FALSE,"WPO_upah_lain-lain"}</definedName>
    <definedName name="wrn.Upah._.Lain._.lain._2" localSheetId="15" hidden="1">{#N/A,#N/A,FALSE,"WPO_upah_lain-lain"}</definedName>
    <definedName name="wrn.Upah._.Lain._.lain._2" localSheetId="13" hidden="1">{#N/A,#N/A,FALSE,"WPO_upah_lain-lain"}</definedName>
    <definedName name="wrn.Upah._.Lain._.lain._2" localSheetId="2" hidden="1">{#N/A,#N/A,FALSE,"WPO_upah_lain-lain"}</definedName>
    <definedName name="wrn.Upah._.Lain._.lain._2" localSheetId="8" hidden="1">{#N/A,#N/A,FALSE,"WPO_upah_lain-lain"}</definedName>
    <definedName name="wrn.Upah._.Lain._.lain._2" localSheetId="27" hidden="1">{#N/A,#N/A,FALSE,"WPO_upah_lain-lain"}</definedName>
    <definedName name="wrn.Upah._.Lain._.lain._2" hidden="1">{#N/A,#N/A,FALSE,"WPO_upah_lain-lain"}</definedName>
    <definedName name="wrn.Upah._.Lain._.lain._3" localSheetId="5" hidden="1">{#N/A,#N/A,FALSE,"WPO_upah_lain-lain"}</definedName>
    <definedName name="wrn.Upah._.Lain._.lain._3" localSheetId="15" hidden="1">{#N/A,#N/A,FALSE,"WPO_upah_lain-lain"}</definedName>
    <definedName name="wrn.Upah._.Lain._.lain._3" localSheetId="13" hidden="1">{#N/A,#N/A,FALSE,"WPO_upah_lain-lain"}</definedName>
    <definedName name="wrn.Upah._.Lain._.lain._3" localSheetId="2" hidden="1">{#N/A,#N/A,FALSE,"WPO_upah_lain-lain"}</definedName>
    <definedName name="wrn.Upah._.Lain._.lain._3" localSheetId="8" hidden="1">{#N/A,#N/A,FALSE,"WPO_upah_lain-lain"}</definedName>
    <definedName name="wrn.Upah._.Lain._.lain._3" localSheetId="27" hidden="1">{#N/A,#N/A,FALSE,"WPO_upah_lain-lain"}</definedName>
    <definedName name="wrn.Upah._.Lain._.lain._3" hidden="1">{#N/A,#N/A,FALSE,"WPO_upah_lain-lain"}</definedName>
    <definedName name="wrn.Upah._.Lain._.lain._4" localSheetId="5" hidden="1">{#N/A,#N/A,FALSE,"WPO_upah_lain-lain"}</definedName>
    <definedName name="wrn.Upah._.Lain._.lain._4" localSheetId="15" hidden="1">{#N/A,#N/A,FALSE,"WPO_upah_lain-lain"}</definedName>
    <definedName name="wrn.Upah._.Lain._.lain._4" localSheetId="13" hidden="1">{#N/A,#N/A,FALSE,"WPO_upah_lain-lain"}</definedName>
    <definedName name="wrn.Upah._.Lain._.lain._4" localSheetId="2" hidden="1">{#N/A,#N/A,FALSE,"WPO_upah_lain-lain"}</definedName>
    <definedName name="wrn.Upah._.Lain._.lain._4" localSheetId="8" hidden="1">{#N/A,#N/A,FALSE,"WPO_upah_lain-lain"}</definedName>
    <definedName name="wrn.Upah._.Lain._.lain._4" localSheetId="27" hidden="1">{#N/A,#N/A,FALSE,"WPO_upah_lain-lain"}</definedName>
    <definedName name="wrn.Upah._.Lain._.lain._4" hidden="1">{#N/A,#N/A,FALSE,"WPO_upah_lain-lain"}</definedName>
    <definedName name="wrn.Upah._.Lain._.lain._5" localSheetId="5" hidden="1">{#N/A,#N/A,FALSE,"WPO_upah_lain-lain"}</definedName>
    <definedName name="wrn.Upah._.Lain._.lain._5" localSheetId="15" hidden="1">{#N/A,#N/A,FALSE,"WPO_upah_lain-lain"}</definedName>
    <definedName name="wrn.Upah._.Lain._.lain._5" localSheetId="13" hidden="1">{#N/A,#N/A,FALSE,"WPO_upah_lain-lain"}</definedName>
    <definedName name="wrn.Upah._.Lain._.lain._5" localSheetId="2" hidden="1">{#N/A,#N/A,FALSE,"WPO_upah_lain-lain"}</definedName>
    <definedName name="wrn.Upah._.Lain._.lain._5" localSheetId="8" hidden="1">{#N/A,#N/A,FALSE,"WPO_upah_lain-lain"}</definedName>
    <definedName name="wrn.Upah._.Lain._.lain._5" localSheetId="27" hidden="1">{#N/A,#N/A,FALSE,"WPO_upah_lain-lain"}</definedName>
    <definedName name="wrn.Upah._.Lain._.lain._5" hidden="1">{#N/A,#N/A,FALSE,"WPO_upah_lain-lain"}</definedName>
    <definedName name="wrn.Upah._.Tak._.Langsung." localSheetId="5" hidden="1">{#N/A,#N/A,FALSE,"WPO_tenaga_kontrakan";#N/A,#N/A,FALSE,"WPO_upah_lain-lain"}</definedName>
    <definedName name="wrn.Upah._.Tak._.Langsung." localSheetId="15" hidden="1">{#N/A,#N/A,FALSE,"WPO_tenaga_kontrakan";#N/A,#N/A,FALSE,"WPO_upah_lain-lain"}</definedName>
    <definedName name="wrn.Upah._.Tak._.Langsung." localSheetId="13" hidden="1">{#N/A,#N/A,FALSE,"WPO_tenaga_kontrakan";#N/A,#N/A,FALSE,"WPO_upah_lain-lain"}</definedName>
    <definedName name="wrn.Upah._.Tak._.Langsung." localSheetId="2" hidden="1">{#N/A,#N/A,FALSE,"WPO_tenaga_kontrakan";#N/A,#N/A,FALSE,"WPO_upah_lain-lain"}</definedName>
    <definedName name="wrn.Upah._.Tak._.Langsung." localSheetId="8" hidden="1">{#N/A,#N/A,FALSE,"WPO_tenaga_kontrakan";#N/A,#N/A,FALSE,"WPO_upah_lain-lain"}</definedName>
    <definedName name="wrn.Upah._.Tak._.Langsung." localSheetId="27" hidden="1">{#N/A,#N/A,FALSE,"WPO_tenaga_kontrakan";#N/A,#N/A,FALSE,"WPO_upah_lain-lain"}</definedName>
    <definedName name="wrn.Upah._.Tak._.Langsung." hidden="1">{#N/A,#N/A,FALSE,"WPO_tenaga_kontrakan";#N/A,#N/A,FALSE,"WPO_upah_lain-lain"}</definedName>
    <definedName name="wrn.Upah._.Tak._.Langsung._2" localSheetId="5" hidden="1">{#N/A,#N/A,FALSE,"WPO_tenaga_kontrakan";#N/A,#N/A,FALSE,"WPO_upah_lain-lain"}</definedName>
    <definedName name="wrn.Upah._.Tak._.Langsung._2" localSheetId="15" hidden="1">{#N/A,#N/A,FALSE,"WPO_tenaga_kontrakan";#N/A,#N/A,FALSE,"WPO_upah_lain-lain"}</definedName>
    <definedName name="wrn.Upah._.Tak._.Langsung._2" localSheetId="13" hidden="1">{#N/A,#N/A,FALSE,"WPO_tenaga_kontrakan";#N/A,#N/A,FALSE,"WPO_upah_lain-lain"}</definedName>
    <definedName name="wrn.Upah._.Tak._.Langsung._2" localSheetId="2" hidden="1">{#N/A,#N/A,FALSE,"WPO_tenaga_kontrakan";#N/A,#N/A,FALSE,"WPO_upah_lain-lain"}</definedName>
    <definedName name="wrn.Upah._.Tak._.Langsung._2" localSheetId="8" hidden="1">{#N/A,#N/A,FALSE,"WPO_tenaga_kontrakan";#N/A,#N/A,FALSE,"WPO_upah_lain-lain"}</definedName>
    <definedName name="wrn.Upah._.Tak._.Langsung._2" localSheetId="27" hidden="1">{#N/A,#N/A,FALSE,"WPO_tenaga_kontrakan";#N/A,#N/A,FALSE,"WPO_upah_lain-lain"}</definedName>
    <definedName name="wrn.Upah._.Tak._.Langsung._2" hidden="1">{#N/A,#N/A,FALSE,"WPO_tenaga_kontrakan";#N/A,#N/A,FALSE,"WPO_upah_lain-lain"}</definedName>
    <definedName name="wrn.Upah._.Tak._.Langsung._3" localSheetId="5" hidden="1">{#N/A,#N/A,FALSE,"WPO_tenaga_kontrakan";#N/A,#N/A,FALSE,"WPO_upah_lain-lain"}</definedName>
    <definedName name="wrn.Upah._.Tak._.Langsung._3" localSheetId="15" hidden="1">{#N/A,#N/A,FALSE,"WPO_tenaga_kontrakan";#N/A,#N/A,FALSE,"WPO_upah_lain-lain"}</definedName>
    <definedName name="wrn.Upah._.Tak._.Langsung._3" localSheetId="13" hidden="1">{#N/A,#N/A,FALSE,"WPO_tenaga_kontrakan";#N/A,#N/A,FALSE,"WPO_upah_lain-lain"}</definedName>
    <definedName name="wrn.Upah._.Tak._.Langsung._3" localSheetId="2" hidden="1">{#N/A,#N/A,FALSE,"WPO_tenaga_kontrakan";#N/A,#N/A,FALSE,"WPO_upah_lain-lain"}</definedName>
    <definedName name="wrn.Upah._.Tak._.Langsung._3" localSheetId="8" hidden="1">{#N/A,#N/A,FALSE,"WPO_tenaga_kontrakan";#N/A,#N/A,FALSE,"WPO_upah_lain-lain"}</definedName>
    <definedName name="wrn.Upah._.Tak._.Langsung._3" localSheetId="27" hidden="1">{#N/A,#N/A,FALSE,"WPO_tenaga_kontrakan";#N/A,#N/A,FALSE,"WPO_upah_lain-lain"}</definedName>
    <definedName name="wrn.Upah._.Tak._.Langsung._3" hidden="1">{#N/A,#N/A,FALSE,"WPO_tenaga_kontrakan";#N/A,#N/A,FALSE,"WPO_upah_lain-lain"}</definedName>
    <definedName name="wrn.Upah._.Tak._.Langsung._4" localSheetId="5" hidden="1">{#N/A,#N/A,FALSE,"WPO_tenaga_kontrakan";#N/A,#N/A,FALSE,"WPO_upah_lain-lain"}</definedName>
    <definedName name="wrn.Upah._.Tak._.Langsung._4" localSheetId="15" hidden="1">{#N/A,#N/A,FALSE,"WPO_tenaga_kontrakan";#N/A,#N/A,FALSE,"WPO_upah_lain-lain"}</definedName>
    <definedName name="wrn.Upah._.Tak._.Langsung._4" localSheetId="13" hidden="1">{#N/A,#N/A,FALSE,"WPO_tenaga_kontrakan";#N/A,#N/A,FALSE,"WPO_upah_lain-lain"}</definedName>
    <definedName name="wrn.Upah._.Tak._.Langsung._4" localSheetId="2" hidden="1">{#N/A,#N/A,FALSE,"WPO_tenaga_kontrakan";#N/A,#N/A,FALSE,"WPO_upah_lain-lain"}</definedName>
    <definedName name="wrn.Upah._.Tak._.Langsung._4" localSheetId="8" hidden="1">{#N/A,#N/A,FALSE,"WPO_tenaga_kontrakan";#N/A,#N/A,FALSE,"WPO_upah_lain-lain"}</definedName>
    <definedName name="wrn.Upah._.Tak._.Langsung._4" localSheetId="27" hidden="1">{#N/A,#N/A,FALSE,"WPO_tenaga_kontrakan";#N/A,#N/A,FALSE,"WPO_upah_lain-lain"}</definedName>
    <definedName name="wrn.Upah._.Tak._.Langsung._4" hidden="1">{#N/A,#N/A,FALSE,"WPO_tenaga_kontrakan";#N/A,#N/A,FALSE,"WPO_upah_lain-lain"}</definedName>
    <definedName name="wrn.Upah._.Tak._.Langsung._5" localSheetId="5" hidden="1">{#N/A,#N/A,FALSE,"WPO_tenaga_kontrakan";#N/A,#N/A,FALSE,"WPO_upah_lain-lain"}</definedName>
    <definedName name="wrn.Upah._.Tak._.Langsung._5" localSheetId="15" hidden="1">{#N/A,#N/A,FALSE,"WPO_tenaga_kontrakan";#N/A,#N/A,FALSE,"WPO_upah_lain-lain"}</definedName>
    <definedName name="wrn.Upah._.Tak._.Langsung._5" localSheetId="13" hidden="1">{#N/A,#N/A,FALSE,"WPO_tenaga_kontrakan";#N/A,#N/A,FALSE,"WPO_upah_lain-lain"}</definedName>
    <definedName name="wrn.Upah._.Tak._.Langsung._5" localSheetId="2" hidden="1">{#N/A,#N/A,FALSE,"WPO_tenaga_kontrakan";#N/A,#N/A,FALSE,"WPO_upah_lain-lain"}</definedName>
    <definedName name="wrn.Upah._.Tak._.Langsung._5" localSheetId="8" hidden="1">{#N/A,#N/A,FALSE,"WPO_tenaga_kontrakan";#N/A,#N/A,FALSE,"WPO_upah_lain-lain"}</definedName>
    <definedName name="wrn.Upah._.Tak._.Langsung._5" localSheetId="27" hidden="1">{#N/A,#N/A,FALSE,"WPO_tenaga_kontrakan";#N/A,#N/A,FALSE,"WPO_upah_lain-lain"}</definedName>
    <definedName name="wrn.Upah._.Tak._.Langsung._5" hidden="1">{#N/A,#N/A,FALSE,"WPO_tenaga_kontrakan";#N/A,#N/A,FALSE,"WPO_upah_lain-lain"}</definedName>
    <definedName name="XCCT">0.5</definedName>
    <definedName name="XX_10">"$#REF!.$#REF!$#REF!"</definedName>
    <definedName name="XX_13">"$#REF!.$#REF!$#REF!"</definedName>
    <definedName name="XX_5">"$#REF!.$#REF!$#REF!"</definedName>
    <definedName name="Y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2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3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4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4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5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5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ayuk" localSheetId="15" hidden="1">#REF!</definedName>
    <definedName name="yayuk" localSheetId="2" hidden="1">#REF!</definedName>
    <definedName name="yayuk" localSheetId="8" hidden="1">#REF!</definedName>
    <definedName name="yayuk" localSheetId="27" hidden="1">#REF!</definedName>
    <definedName name="yayuk" hidden="1">#REF!</definedName>
    <definedName name="yukt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2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3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3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4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4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5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5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yam" localSheetId="5">{"Book1","RAB PASAR 30 AUG SCRAB.xls"}</definedName>
    <definedName name="yuyam" localSheetId="15">{"Book1","RAB PASAR 30 AUG SCRAB.xls"}</definedName>
    <definedName name="yuyam" localSheetId="13">{"Book1","RAB PASAR 30 AUG SCRAB.xls"}</definedName>
    <definedName name="yuyam" localSheetId="2">{"Book1","RAB PASAR 30 AUG SCRAB.xls"}</definedName>
    <definedName name="yuyam" localSheetId="8">{"Book1","RAB PASAR 30 AUG SCRAB.xls"}</definedName>
    <definedName name="yuyam" localSheetId="27">{"Book1","RAB PASAR 30 AUG SCRAB.xls"}</definedName>
    <definedName name="yuyam">{"Book1","RAB PASAR 30 AUG SCRAB.xls"}</definedName>
    <definedName name="YWRY4Y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WRY4Y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WRY4Y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WRY4Y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WRY4Y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WRY4Y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WRY4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_4900D912_D400_4A61_8DD9_12CD5711EDE2_.wvu.FilterData" localSheetId="27" hidden="1">'[36]HRG BAHAN &amp; UPAH okk'!#REF!</definedName>
    <definedName name="Z_4900D912_D400_4A61_8DD9_12CD5711EDE2_.wvu.FilterData" hidden="1">'[36]HRG BAHAN &amp; UPAH okk'!#REF!</definedName>
    <definedName name="Z_4A4DBCF5_6E02_43D6_8F4D_223D21633DB8_.wvu.Rows" localSheetId="15" hidden="1">#REF!,#REF!</definedName>
    <definedName name="Z_4A4DBCF5_6E02_43D6_8F4D_223D21633DB8_.wvu.Rows" localSheetId="2" hidden="1">#REF!,#REF!</definedName>
    <definedName name="Z_4A4DBCF5_6E02_43D6_8F4D_223D21633DB8_.wvu.Rows" localSheetId="8" hidden="1">#REF!,#REF!</definedName>
    <definedName name="Z_4A4DBCF5_6E02_43D6_8F4D_223D21633DB8_.wvu.Rows" hidden="1">#REF!,#REF!</definedName>
    <definedName name="Z_5107985B_0AF1_481E_8B01_41E5AE471770_.wvu.FilterData" localSheetId="15" hidden="1">'[36]HRG BAHAN &amp; UPAH okk'!#REF!</definedName>
    <definedName name="Z_5107985B_0AF1_481E_8B01_41E5AE471770_.wvu.FilterData" localSheetId="2" hidden="1">'[36]HRG BAHAN &amp; UPAH okk'!#REF!</definedName>
    <definedName name="Z_5107985B_0AF1_481E_8B01_41E5AE471770_.wvu.FilterData" localSheetId="8" hidden="1">'[36]HRG BAHAN &amp; UPAH okk'!#REF!</definedName>
    <definedName name="Z_5107985B_0AF1_481E_8B01_41E5AE471770_.wvu.FilterData" localSheetId="27" hidden="1">'[36]HRG BAHAN &amp; UPAH okk'!#REF!</definedName>
    <definedName name="Z_5107985B_0AF1_481E_8B01_41E5AE471770_.wvu.FilterData" hidden="1">'[36]HRG BAHAN &amp; UPAH okk'!#REF!</definedName>
    <definedName name="Z_60C09D59_E1B8_4DE0_84A5_C4D52EC877AC_.wvu.Rows" hidden="1">'[36]Analis Kusen okk'!$A$17:$IV$20,'[36]Analis Kusen okk'!$A$25:$IV$26,'[36]Analis Kusen okk'!$A$28:$IV$30,'[36]Analis Kusen okk'!$A$33:$IV$42,'[36]Analis Kusen okk'!$A$44:$IV$44,'[36]Analis Kusen okk'!$A$47:$IV$50,'[36]Analis Kusen okk'!$A$52:$IV$60,'[36]Analis Kusen okk'!$A$65:$IV$67,'[36]Analis Kusen okk'!$A$143:$IV$878</definedName>
    <definedName name="Z_905CC869_795C_4E5E_B879_52BB42470404_.wvu.FilterData" localSheetId="15" hidden="1">'[36]HRG BAHAN &amp; UPAH okk'!#REF!</definedName>
    <definedName name="Z_905CC869_795C_4E5E_B879_52BB42470404_.wvu.FilterData" localSheetId="13" hidden="1">'[36]HRG BAHAN &amp; UPAH okk'!#REF!</definedName>
    <definedName name="Z_905CC869_795C_4E5E_B879_52BB42470404_.wvu.FilterData" localSheetId="2" hidden="1">'[36]HRG BAHAN &amp; UPAH okk'!#REF!</definedName>
    <definedName name="Z_905CC869_795C_4E5E_B879_52BB42470404_.wvu.FilterData" localSheetId="8" hidden="1">'[36]HRG BAHAN &amp; UPAH okk'!#REF!</definedName>
    <definedName name="Z_905CC869_795C_4E5E_B879_52BB42470404_.wvu.FilterData" hidden="1">'[36]HRG BAHAN &amp; UPAH okk'!#REF!</definedName>
    <definedName name="Z_951381D6_C6D1_4C6C_A572_59CAF1F656FA_.wvu.Rows" localSheetId="15" hidden="1">#REF!</definedName>
    <definedName name="Z_951381D6_C6D1_4C6C_A572_59CAF1F656FA_.wvu.Rows" localSheetId="2" hidden="1">#REF!</definedName>
    <definedName name="Z_951381D6_C6D1_4C6C_A572_59CAF1F656FA_.wvu.Rows" localSheetId="8" hidden="1">#REF!</definedName>
    <definedName name="Z_951381D6_C6D1_4C6C_A572_59CAF1F656FA_.wvu.Rows" hidden="1">#REF!</definedName>
    <definedName name="Z_C5F07B99_5B9B_4D7E_8E51_7715CFFC23CA_.wvu.Rows" hidden="1">[37]Estimate!$32:$42,[37]Estimate!$56:$63,[37]Estimate!$69:$72,[37]Estimate!$85:$90,[37]Estimate!$103:$108,[37]Estimate!$125:$126,[37]Estimate!$142:$147,[37]Estimate!$151:$154,[37]Estimate!$158:$191,[37]Estimate!$193:$194,[37]Estimate!$198:$225,[37]Estimate!$227:$232,[37]Estimate!$253:$254,[37]Estimate!$265:$274,[37]Estimate!$287:$316,[37]Estimate!$319:$354</definedName>
    <definedName name="Z_C68F7E66_DBEE_4C62_8CE7_6B99B31303FC_.wvu.Rows" hidden="1">'[38]AnalisaSIPIL RIIL'!$A$208:$IV$214,'[38]AnalisaSIPIL RIIL'!$A$224:$IV$231,'[38]AnalisaSIPIL RIIL'!$A$468:$IV$482</definedName>
  </definedNames>
</workbook>
</file>

<file path=xl/comments7.xml><?xml version="1.0" encoding="utf-8"?>
<comments xmlns="http://schemas.openxmlformats.org/spreadsheetml/2006/main">
  <authors>
    <author>W10</author>
  </authors>
  <commentList>
    <comment ref="D232" authorId="0">
      <text>
        <t xml:space="preserve">W10:
detail belum ada</t>
      </text>
    </comment>
  </commentList>
</comments>
</file>

<file path=xl/comments22.xml><?xml version="1.0" encoding="utf-8"?>
<comments xmlns="http://schemas.openxmlformats.org/spreadsheetml/2006/main">
  <authors>
    <author>Heri</author>
  </authors>
  <commentList>
    <comment ref="X3" authorId="0">
      <text>
        <t>Lebar space 1 sisi</t>
      </text>
    </comment>
    <comment ref="L5" authorId="0">
      <text>
        <t xml:space="preserve">El. Tanah hasil perataan lahan
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7">
    <numFmt numFmtId="41" formatCode="_-* #,##0_-;\-* #,##0_-;_-* &quot;-&quot;_-;_-@_-"/>
    <numFmt numFmtId="43" formatCode="_-* #,##0.00_-;\-* #,##0.00_-;_-* &quot;-&quot;??_-;_-@_-"/>
    <numFmt numFmtId="56" formatCode="&quot;上午/下午 &quot;hh&quot;時&quot;mm&quot;分&quot;ss&quot;秒 &quot;"/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  <numFmt numFmtId="167" formatCode="_(* #,##0.000_);_(* \(#,##0.000\);_(* &quot;-&quot;??_);_(@_)"/>
    <numFmt numFmtId="168" formatCode="mmmm\ d\,\ yyyy"/>
    <numFmt numFmtId="169" formatCode="_-* #,##0.00_-;\-* #,##0.00_-;_-* &quot;-&quot;_-;_-@_-"/>
    <numFmt numFmtId="170" formatCode="\ 0.00"/>
    <numFmt numFmtId="171" formatCode="_(* #,##0.0000_);_(* \(#,##0.0000\);_(* &quot;-&quot;??_);_(@_)"/>
    <numFmt numFmtId="172" formatCode="0.000000"/>
    <numFmt numFmtId="173" formatCode="#,##0.000"/>
    <numFmt numFmtId="174" formatCode="_(* #,##0.00_);_(* \(#,##0.00\);_(* &quot;-&quot;_);_(@_)"/>
    <numFmt numFmtId="175" formatCode="_(* #,##0.00000000000000_);_(* \(#,##0.00000000000000\);_(* &quot;-&quot;??_);_(@_)"/>
    <numFmt numFmtId="176" formatCode="0.00_)"/>
    <numFmt numFmtId="177" formatCode="mm/dd/yy"/>
    <numFmt numFmtId="178" formatCode="_(* #,##0.0_);_(* \(#,##0.0\);_(* &quot;-&quot;_);_(@_)"/>
    <numFmt numFmtId="179" formatCode="0.000"/>
    <numFmt numFmtId="180" formatCode="0.0"/>
    <numFmt numFmtId="181" formatCode="_(* #,##0.000_);_(* \(#,##0.000\);_(* \-???_);_(@_)"/>
    <numFmt numFmtId="182" formatCode="_(* #,##0_);_(* \(#,##0\);_(* \-_);_(@_)"/>
    <numFmt numFmtId="183" formatCode="_(* #,##0.00_);_(* \(#,##0.00\);_(* \-??_);_(@_)"/>
    <numFmt numFmtId="184" formatCode="_(* #,##0_);_(* \(#,##0\);_(* \-??_);_(@_)"/>
    <numFmt numFmtId="185" formatCode="General_)"/>
    <numFmt numFmtId="186" formatCode="_([$Rp-421]* #,##0.00_);_([$Rp-421]* \(#,##0.00\);_([$Rp-421]* &quot;-&quot;??_);_(@_)"/>
    <numFmt numFmtId="187" formatCode="_-* #,##0_-;\-* #,##0_-;_-* &quot;-&quot;??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worksheet" Target="worksheets/sheet205.xml"/><Relationship Id="rId206" Type="http://schemas.openxmlformats.org/officeDocument/2006/relationships/worksheet" Target="worksheets/sheet206.xml"/><Relationship Id="rId207" Type="http://schemas.openxmlformats.org/officeDocument/2006/relationships/worksheet" Target="worksheets/sheet207.xml"/><Relationship Id="rId208" Type="http://schemas.openxmlformats.org/officeDocument/2006/relationships/worksheet" Target="worksheets/sheet208.xml"/><Relationship Id="rId209" Type="http://schemas.openxmlformats.org/officeDocument/2006/relationships/worksheet" Target="worksheets/sheet209.xml"/><Relationship Id="rId210" Type="http://schemas.openxmlformats.org/officeDocument/2006/relationships/worksheet" Target="worksheets/sheet210.xml"/><Relationship Id="rId211" Type="http://schemas.openxmlformats.org/officeDocument/2006/relationships/worksheet" Target="worksheets/sheet211.xml"/><Relationship Id="rId212" Type="http://schemas.openxmlformats.org/officeDocument/2006/relationships/worksheet" Target="worksheets/sheet212.xml"/><Relationship Id="rId213" Type="http://schemas.openxmlformats.org/officeDocument/2006/relationships/worksheet" Target="worksheets/sheet213.xml"/><Relationship Id="rId214" Type="http://schemas.openxmlformats.org/officeDocument/2006/relationships/worksheet" Target="worksheets/sheet214.xml"/><Relationship Id="rId215" Type="http://schemas.openxmlformats.org/officeDocument/2006/relationships/worksheet" Target="worksheets/sheet215.xml"/><Relationship Id="rId216" Type="http://schemas.openxmlformats.org/officeDocument/2006/relationships/worksheet" Target="worksheets/sheet216.xml"/><Relationship Id="rId217" Type="http://schemas.openxmlformats.org/officeDocument/2006/relationships/worksheet" Target="worksheets/sheet217.xml"/><Relationship Id="rId218" Type="http://schemas.openxmlformats.org/officeDocument/2006/relationships/worksheet" Target="worksheets/sheet218.xml"/><Relationship Id="rId219" Type="http://schemas.openxmlformats.org/officeDocument/2006/relationships/worksheet" Target="worksheets/sheet219.xml"/><Relationship Id="rId220" Type="http://schemas.openxmlformats.org/officeDocument/2006/relationships/worksheet" Target="worksheets/sheet220.xml"/><Relationship Id="rId221" Type="http://schemas.openxmlformats.org/officeDocument/2006/relationships/worksheet" Target="worksheets/sheet221.xml"/><Relationship Id="rId222" Type="http://schemas.openxmlformats.org/officeDocument/2006/relationships/worksheet" Target="worksheets/sheet222.xml"/><Relationship Id="rId223" Type="http://schemas.openxmlformats.org/officeDocument/2006/relationships/worksheet" Target="worksheets/sheet223.xml"/><Relationship Id="rId224" Type="http://schemas.openxmlformats.org/officeDocument/2006/relationships/worksheet" Target="worksheets/sheet224.xml"/><Relationship Id="rId225" Type="http://schemas.openxmlformats.org/officeDocument/2006/relationships/worksheet" Target="worksheets/sheet225.xml"/><Relationship Id="rId226" Type="http://schemas.openxmlformats.org/officeDocument/2006/relationships/worksheet" Target="worksheets/sheet226.xml"/><Relationship Id="rId227" Type="http://schemas.openxmlformats.org/officeDocument/2006/relationships/worksheet" Target="worksheets/sheet227.xml"/><Relationship Id="rId228" Type="http://schemas.openxmlformats.org/officeDocument/2006/relationships/worksheet" Target="worksheets/sheet228.xml"/><Relationship Id="rId229" Type="http://schemas.openxmlformats.org/officeDocument/2006/relationships/worksheet" Target="worksheets/sheet229.xml"/><Relationship Id="rId230" Type="http://schemas.openxmlformats.org/officeDocument/2006/relationships/worksheet" Target="worksheets/sheet230.xml"/><Relationship Id="rId231" Type="http://schemas.openxmlformats.org/officeDocument/2006/relationships/worksheet" Target="worksheets/sheet231.xml"/><Relationship Id="rId232" Type="http://schemas.openxmlformats.org/officeDocument/2006/relationships/worksheet" Target="worksheets/sheet232.xml"/><Relationship Id="rId233" Type="http://schemas.openxmlformats.org/officeDocument/2006/relationships/worksheet" Target="worksheets/sheet233.xml"/><Relationship Id="rId234" Type="http://schemas.openxmlformats.org/officeDocument/2006/relationships/worksheet" Target="worksheets/sheet234.xml"/><Relationship Id="rId235" Type="http://schemas.openxmlformats.org/officeDocument/2006/relationships/worksheet" Target="worksheets/sheet235.xml"/><Relationship Id="rId236" Type="http://schemas.openxmlformats.org/officeDocument/2006/relationships/worksheet" Target="worksheets/sheet236.xml"/><Relationship Id="rId237" Type="http://schemas.openxmlformats.org/officeDocument/2006/relationships/worksheet" Target="worksheets/sheet237.xml"/><Relationship Id="rId238" Type="http://schemas.openxmlformats.org/officeDocument/2006/relationships/worksheet" Target="worksheets/sheet238.xml"/><Relationship Id="rId239" Type="http://schemas.openxmlformats.org/officeDocument/2006/relationships/worksheet" Target="worksheets/sheet239.xml"/><Relationship Id="rId240" Type="http://schemas.openxmlformats.org/officeDocument/2006/relationships/worksheet" Target="worksheets/sheet240.xml"/><Relationship Id="rId241" Type="http://schemas.openxmlformats.org/officeDocument/2006/relationships/worksheet" Target="worksheets/sheet241.xml"/><Relationship Id="rId242" Type="http://schemas.openxmlformats.org/officeDocument/2006/relationships/worksheet" Target="worksheets/sheet242.xml"/><Relationship Id="rId243" Type="http://schemas.openxmlformats.org/officeDocument/2006/relationships/worksheet" Target="worksheets/sheet243.xml"/><Relationship Id="rId244" Type="http://schemas.openxmlformats.org/officeDocument/2006/relationships/worksheet" Target="worksheets/sheet244.xml"/><Relationship Id="rId245" Type="http://schemas.openxmlformats.org/officeDocument/2006/relationships/worksheet" Target="worksheets/sheet245.xml"/><Relationship Id="rId246" Type="http://schemas.openxmlformats.org/officeDocument/2006/relationships/worksheet" Target="worksheets/sheet246.xml"/><Relationship Id="rId247" Type="http://schemas.openxmlformats.org/officeDocument/2006/relationships/worksheet" Target="worksheets/sheet247.xml"/><Relationship Id="rId248" Type="http://schemas.openxmlformats.org/officeDocument/2006/relationships/worksheet" Target="worksheets/sheet248.xml"/><Relationship Id="rId249" Type="http://schemas.openxmlformats.org/officeDocument/2006/relationships/worksheet" Target="worksheets/sheet249.xml"/><Relationship Id="rId250" Type="http://schemas.openxmlformats.org/officeDocument/2006/relationships/worksheet" Target="worksheets/sheet250.xml"/><Relationship Id="rId251" Type="http://schemas.openxmlformats.org/officeDocument/2006/relationships/worksheet" Target="worksheets/sheet251.xml"/><Relationship Id="rId252" Type="http://schemas.openxmlformats.org/officeDocument/2006/relationships/worksheet" Target="worksheets/sheet252.xml"/><Relationship Id="rId253" Type="http://schemas.openxmlformats.org/officeDocument/2006/relationships/worksheet" Target="worksheets/sheet253.xml"/><Relationship Id="rId254" Type="http://schemas.openxmlformats.org/officeDocument/2006/relationships/worksheet" Target="worksheets/sheet254.xml"/><Relationship Id="rId255" Type="http://schemas.openxmlformats.org/officeDocument/2006/relationships/worksheet" Target="worksheets/sheet255.xml"/><Relationship Id="rId256" Type="http://schemas.openxmlformats.org/officeDocument/2006/relationships/worksheet" Target="worksheets/sheet256.xml"/><Relationship Id="rId257" Type="http://schemas.openxmlformats.org/officeDocument/2006/relationships/worksheet" Target="worksheets/sheet257.xml"/><Relationship Id="rId258" Type="http://schemas.openxmlformats.org/officeDocument/2006/relationships/worksheet" Target="worksheets/sheet258.xml"/><Relationship Id="rId259" Type="http://schemas.openxmlformats.org/officeDocument/2006/relationships/worksheet" Target="worksheets/sheet259.xml"/><Relationship Id="rId260" Type="http://schemas.openxmlformats.org/officeDocument/2006/relationships/worksheet" Target="worksheets/sheet260.xml"/><Relationship Id="rId261" Type="http://schemas.openxmlformats.org/officeDocument/2006/relationships/worksheet" Target="worksheets/sheet261.xml"/><Relationship Id="rId262" Type="http://schemas.openxmlformats.org/officeDocument/2006/relationships/worksheet" Target="worksheets/sheet262.xml"/><Relationship Id="rId263" Type="http://schemas.openxmlformats.org/officeDocument/2006/relationships/worksheet" Target="worksheets/sheet263.xml"/><Relationship Id="rId264" Type="http://schemas.openxmlformats.org/officeDocument/2006/relationships/worksheet" Target="worksheets/sheet264.xml"/><Relationship Id="rId265" Type="http://schemas.openxmlformats.org/officeDocument/2006/relationships/worksheet" Target="worksheets/sheet265.xml"/><Relationship Id="rId266" Type="http://schemas.openxmlformats.org/officeDocument/2006/relationships/worksheet" Target="worksheets/sheet266.xml"/><Relationship Id="rId267" Type="http://schemas.openxmlformats.org/officeDocument/2006/relationships/worksheet" Target="worksheets/sheet267.xml"/><Relationship Id="rId268" Type="http://schemas.openxmlformats.org/officeDocument/2006/relationships/worksheet" Target="worksheets/sheet268.xml"/><Relationship Id="rId269" Type="http://schemas.openxmlformats.org/officeDocument/2006/relationships/worksheet" Target="worksheets/sheet269.xml"/><Relationship Id="rId270" Type="http://schemas.openxmlformats.org/officeDocument/2006/relationships/worksheet" Target="worksheets/sheet270.xml"/><Relationship Id="rId271" Type="http://schemas.openxmlformats.org/officeDocument/2006/relationships/theme" Target="theme/theme1.xml"/><Relationship Id="rId272" Type="http://schemas.openxmlformats.org/officeDocument/2006/relationships/styles" Target="styles.xml"/><Relationship Id="rId27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.vml"/><Relationship Id="rId2" Type="http://schemas.openxmlformats.org/officeDocument/2006/relationships/comments" Target="../comments7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2.vml"/><Relationship Id="rId2" Type="http://schemas.openxmlformats.org/officeDocument/2006/relationships/comments" Target="../comments2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H112"/>
  <sheetViews>
    <sheetView workbookViewId="0" rightToLeft="0"/>
  </sheetViews>
  <sheetData>
    <row r="4">
      <c r="A4" t="str">
        <v>No.</v>
      </c>
      <c r="B4" t="str">
        <v>P E K E R J A A N</v>
      </c>
      <c r="C4" t="str">
        <v>SAT</v>
      </c>
      <c r="D4" t="str">
        <v>UPAH NET</v>
      </c>
      <c r="F4" t="str">
        <v>UPAH MANDOR (LT. DASAR)</v>
      </c>
      <c r="H4" t="str">
        <v>UPAH TATA</v>
      </c>
    </row>
    <row r="5">
      <c r="D5" t="str">
        <v>Rp.</v>
      </c>
      <c r="F5" t="str">
        <v>Rp.</v>
      </c>
    </row>
    <row r="7">
      <c r="A7">
        <v>1</v>
      </c>
      <c r="B7" t="str">
        <v>Pekerjaan Galian manual</v>
      </c>
      <c r="C7" t="str">
        <v>m3</v>
      </c>
    </row>
    <row r="8">
      <c r="A8">
        <f>1+A7</f>
        <v>2</v>
      </c>
      <c r="B8" t="str">
        <v>Pekerjaan urugan kembali</v>
      </c>
      <c r="C8" t="str">
        <v>m3</v>
      </c>
    </row>
    <row r="9">
      <c r="A9">
        <f>1+A8</f>
        <v>3</v>
      </c>
      <c r="B9" t="str">
        <v>Pekerjaan Urugan Pasir</v>
      </c>
      <c r="C9" t="str">
        <v>m3</v>
      </c>
    </row>
    <row r="10">
      <c r="A10">
        <f>1+A9</f>
        <v>4</v>
      </c>
      <c r="B10" t="str">
        <v>Pekerjaan urugan sirtu</v>
      </c>
      <c r="C10" t="str">
        <v>m3</v>
      </c>
    </row>
    <row r="11">
      <c r="A11">
        <f>1+A10</f>
        <v>5</v>
      </c>
      <c r="B11" t="str">
        <v>Pemadatan tanah</v>
      </c>
      <c r="C11" t="str">
        <v>m2</v>
      </c>
    </row>
    <row r="12">
      <c r="A12">
        <f>1+A11</f>
        <v>6</v>
      </c>
      <c r="B12" t="str">
        <v>Bobok kepala tiang diameter 50 cm</v>
      </c>
      <c r="C12" t="str">
        <v>titik</v>
      </c>
    </row>
    <row r="13">
      <c r="A13">
        <f>1+A12</f>
        <v>7</v>
      </c>
      <c r="B13" t="str">
        <v>Bobok kepala mini pile 25 cm x 25 cm</v>
      </c>
      <c r="C13" t="str">
        <v>titik</v>
      </c>
    </row>
    <row r="14">
      <c r="A14">
        <f>1+A13</f>
        <v>8</v>
      </c>
      <c r="B14" t="str">
        <v>Lantai Kerja tebal : 7 cm</v>
      </c>
      <c r="C14" t="str">
        <v>m3</v>
      </c>
      <c r="D14">
        <f>F14</f>
        <v>600000</v>
      </c>
      <c r="F14">
        <v>600000</v>
      </c>
      <c r="H14">
        <v>300000</v>
      </c>
    </row>
    <row r="15">
      <c r="A15">
        <f>1+A14</f>
        <v>9</v>
      </c>
      <c r="B15" t="str">
        <v>Lantai kerja plastic sheet</v>
      </c>
      <c r="C15" t="str">
        <v>m2</v>
      </c>
      <c r="D15">
        <f>F15</f>
        <v>0</v>
      </c>
    </row>
    <row r="16">
      <c r="A16">
        <f>1+A15</f>
        <v>10</v>
      </c>
      <c r="B16" t="str">
        <v>Pasang Batu Kali</v>
      </c>
      <c r="C16" t="str">
        <v>m3</v>
      </c>
      <c r="D16">
        <v>100000</v>
      </c>
    </row>
    <row r="17">
      <c r="A17">
        <f>1+A16</f>
        <v>11</v>
      </c>
      <c r="B17" t="str">
        <v>Cor Beton Manual</v>
      </c>
      <c r="C17" t="str">
        <v>m3</v>
      </c>
      <c r="D17">
        <f>F17</f>
        <v>100000</v>
      </c>
      <c r="F17">
        <v>100000</v>
      </c>
      <c r="H17">
        <v>75000</v>
      </c>
    </row>
    <row r="18">
      <c r="A18">
        <f>1+A17</f>
        <v>12</v>
      </c>
      <c r="B18" t="str">
        <v>Cor Beton dengan site mix</v>
      </c>
      <c r="C18" t="str">
        <v>m3</v>
      </c>
      <c r="D18">
        <f>F18</f>
        <v>0</v>
      </c>
    </row>
    <row r="19">
      <c r="A19">
        <f>1+A18</f>
        <v>13</v>
      </c>
      <c r="B19" t="str">
        <v>Cor Beton Dengan Tower Crane (komponen struktur vertikal)</v>
      </c>
      <c r="C19" t="str">
        <v>m3</v>
      </c>
      <c r="D19">
        <f>F19</f>
        <v>0</v>
      </c>
    </row>
    <row r="20">
      <c r="A20">
        <f>1+A19</f>
        <v>14</v>
      </c>
      <c r="B20" t="str">
        <v>Cor Beton Dengan Concrete Pump</v>
      </c>
      <c r="C20" t="str">
        <v>m3</v>
      </c>
      <c r="D20">
        <f>F20</f>
        <v>250000</v>
      </c>
      <c r="F20">
        <v>250000</v>
      </c>
      <c r="H20">
        <v>55000</v>
      </c>
    </row>
    <row r="21">
      <c r="B21" t="str">
        <v>Vibrator</v>
      </c>
      <c r="C21" t="str">
        <v>m3</v>
      </c>
      <c r="D21">
        <f>F21</f>
        <v>15000</v>
      </c>
      <c r="F21">
        <v>15000</v>
      </c>
    </row>
    <row r="22">
      <c r="B22" t="str">
        <v>Sewa concrete pump</v>
      </c>
      <c r="C22" t="str">
        <v>m3</v>
      </c>
      <c r="D22">
        <f>F22</f>
        <v>85000</v>
      </c>
      <c r="F22">
        <v>85000</v>
      </c>
    </row>
    <row r="23">
      <c r="A23">
        <f>1+A20</f>
        <v>15</v>
      </c>
      <c r="B23" t="str">
        <v>Pasang besi dengan Tower Crane</v>
      </c>
      <c r="C23" t="str">
        <v>kg</v>
      </c>
      <c r="D23">
        <f>F23</f>
        <v>0</v>
      </c>
    </row>
    <row r="24">
      <c r="A24">
        <f>1+A23</f>
        <v>16</v>
      </c>
      <c r="B24" t="str">
        <v>Pasang besi manual</v>
      </c>
      <c r="C24" t="str">
        <v>kg</v>
      </c>
      <c r="D24">
        <f>F24</f>
        <v>2500</v>
      </c>
      <c r="F24">
        <v>2500</v>
      </c>
    </row>
    <row r="25">
      <c r="A25">
        <f>1+A24</f>
        <v>17</v>
      </c>
      <c r="B25" t="str">
        <v xml:space="preserve">Pasang Wiremesh </v>
      </c>
      <c r="C25" t="str">
        <v>m2</v>
      </c>
      <c r="D25">
        <f>F25</f>
        <v>8000</v>
      </c>
      <c r="F25">
        <v>8000</v>
      </c>
    </row>
    <row r="26">
      <c r="A26">
        <f>1+A25</f>
        <v>18</v>
      </c>
      <c r="B26" t="str">
        <v>Pasang bekisting batako posisi tidur</v>
      </c>
      <c r="C26" t="str">
        <v>m2</v>
      </c>
      <c r="D26">
        <f>F26</f>
        <v>0</v>
      </c>
    </row>
    <row r="27">
      <c r="A27">
        <f>1+A26</f>
        <v>19</v>
      </c>
      <c r="B27" t="str">
        <v>Pasang bekisting batako posisi berdiri</v>
      </c>
      <c r="C27" t="str">
        <v>m2</v>
      </c>
      <c r="D27">
        <f>F27</f>
        <v>0</v>
      </c>
    </row>
    <row r="28">
      <c r="A28">
        <f>1+A27</f>
        <v>20</v>
      </c>
      <c r="B28" t="str">
        <v>Ongkos pasang bekisting</v>
      </c>
      <c r="C28" t="str">
        <v>m2</v>
      </c>
      <c r="D28">
        <f>F28</f>
        <v>60000</v>
      </c>
      <c r="F28">
        <v>60000</v>
      </c>
    </row>
    <row r="29">
      <c r="B29" t="str">
        <v>Ongkos bongkar bekisting</v>
      </c>
      <c r="C29" t="str">
        <v>m2</v>
      </c>
      <c r="D29">
        <f>F29</f>
        <v>25000</v>
      </c>
      <c r="F29">
        <v>25000</v>
      </c>
    </row>
    <row r="30">
      <c r="B30" t="str">
        <v>Ongkos pasang bekisting bondek</v>
      </c>
      <c r="C30" t="str">
        <v>m2</v>
      </c>
      <c r="D30">
        <f>F30</f>
        <v>85000</v>
      </c>
      <c r="F30">
        <v>85000</v>
      </c>
    </row>
    <row r="31">
      <c r="A31">
        <f>1+A91</f>
        <v>1</v>
      </c>
      <c r="B31" t="str">
        <v>Plesteran Semen Instant</v>
      </c>
      <c r="C31" t="str">
        <v>m2</v>
      </c>
      <c r="D31">
        <f>F31</f>
        <v>35000</v>
      </c>
      <c r="F31">
        <v>35000</v>
      </c>
    </row>
    <row r="32">
      <c r="A32">
        <f>1+A31</f>
        <v>2</v>
      </c>
      <c r="B32" t="str">
        <v>Plesteran Konvensional</v>
      </c>
      <c r="C32" t="str">
        <v>m2</v>
      </c>
      <c r="D32">
        <f>F32</f>
        <v>0</v>
      </c>
    </row>
    <row r="33">
      <c r="A33">
        <f>1+A32</f>
        <v>3</v>
      </c>
      <c r="B33" t="str">
        <v>Acian Semen Instant</v>
      </c>
      <c r="C33" t="str">
        <v>m2</v>
      </c>
      <c r="D33">
        <f>F33</f>
        <v>25000</v>
      </c>
      <c r="F33">
        <v>25000</v>
      </c>
    </row>
    <row r="34">
      <c r="A34">
        <f>1+A33</f>
        <v>4</v>
      </c>
      <c r="B34" t="str">
        <v>Acian Semen Konvensional</v>
      </c>
      <c r="C34" t="str">
        <v>m2</v>
      </c>
      <c r="D34">
        <f>F34</f>
        <v>0</v>
      </c>
    </row>
    <row r="35">
      <c r="A35">
        <f>1+A34</f>
        <v>5</v>
      </c>
      <c r="B35" t="str">
        <v xml:space="preserve">Benangan </v>
      </c>
      <c r="C35" t="str">
        <v>m</v>
      </c>
      <c r="D35">
        <f>F35</f>
        <v>20000</v>
      </c>
      <c r="F35">
        <v>20000</v>
      </c>
    </row>
    <row r="36">
      <c r="A36">
        <f>1+A35</f>
        <v>6</v>
      </c>
      <c r="B36" t="str">
        <v>Pasang Kolom Praktis</v>
      </c>
      <c r="C36" t="str">
        <v>m2</v>
      </c>
      <c r="D36">
        <f>F36</f>
        <v>40000</v>
      </c>
      <c r="F36">
        <v>40000</v>
      </c>
    </row>
    <row r="37">
      <c r="A37">
        <f>1+A36</f>
        <v>7</v>
      </c>
      <c r="B37" t="str">
        <v>Screed Lantai</v>
      </c>
      <c r="C37" t="str">
        <v>m2</v>
      </c>
    </row>
    <row r="38">
      <c r="A38">
        <f>1+A37</f>
        <v>8</v>
      </c>
      <c r="B38" t="str">
        <v>Pasang Keramik dan HT / GT lantai</v>
      </c>
      <c r="C38" t="str">
        <v>m2</v>
      </c>
    </row>
    <row r="39">
      <c r="A39">
        <f>1+A38</f>
        <v>9</v>
      </c>
      <c r="B39" t="str">
        <v>Pasang Keramik lantai bermotif (susun bata / herringbone / dsb)</v>
      </c>
      <c r="C39" t="str">
        <v>m2</v>
      </c>
    </row>
    <row r="40">
      <c r="A40">
        <f>1+A39</f>
        <v>10</v>
      </c>
      <c r="B40" t="str">
        <v>Pasang Keramik dan HT / GT dinding</v>
      </c>
      <c r="C40" t="str">
        <v>m2</v>
      </c>
    </row>
    <row r="41">
      <c r="A41">
        <f>1+A40</f>
        <v>11</v>
      </c>
      <c r="B41" t="str">
        <v>Pasang Skirting Keramik</v>
      </c>
      <c r="C41" t="str">
        <v>m</v>
      </c>
    </row>
    <row r="42">
      <c r="A42">
        <f>1+A41</f>
        <v>12</v>
      </c>
      <c r="B42" t="str">
        <v>Pasang Skirting Homogenous Tile</v>
      </c>
      <c r="C42" t="str">
        <v>m</v>
      </c>
    </row>
    <row r="43">
      <c r="A43">
        <f>1+A42</f>
        <v>13</v>
      </c>
      <c r="B43" t="str">
        <v>Pasang Stepnosing</v>
      </c>
      <c r="C43" t="str">
        <v>m</v>
      </c>
    </row>
    <row r="44">
      <c r="A44">
        <f>1+A43</f>
        <v>14</v>
      </c>
      <c r="B44" t="str">
        <v>Finish Floor Hardener</v>
      </c>
      <c r="C44" t="str">
        <v>m2</v>
      </c>
    </row>
    <row r="45">
      <c r="A45">
        <f>1+A44</f>
        <v>15</v>
      </c>
      <c r="B45" t="str">
        <v>Trowel Finish Lantai</v>
      </c>
      <c r="C45" t="str">
        <v>m2</v>
      </c>
    </row>
    <row r="46">
      <c r="A46">
        <f>1+A45</f>
        <v>16</v>
      </c>
      <c r="B46" t="str">
        <v>Broom Finished lantai</v>
      </c>
      <c r="C46" t="str">
        <v>m2</v>
      </c>
    </row>
    <row r="47">
      <c r="A47">
        <f>1+A46</f>
        <v>17</v>
      </c>
      <c r="B47" t="str">
        <v>Pasang Car Stoper</v>
      </c>
      <c r="C47" t="str">
        <v>bh</v>
      </c>
    </row>
    <row r="48">
      <c r="A48">
        <f>1+A47</f>
        <v>18</v>
      </c>
      <c r="B48" t="str">
        <v>Skim coat</v>
      </c>
      <c r="C48" t="str">
        <v>m2</v>
      </c>
    </row>
    <row r="49">
      <c r="A49">
        <f>1+A48</f>
        <v>19</v>
      </c>
      <c r="B49" t="str">
        <v>Pasang Closet duduk</v>
      </c>
      <c r="C49" t="str">
        <v>Unit</v>
      </c>
    </row>
    <row r="50">
      <c r="A50">
        <f>1+A49</f>
        <v>20</v>
      </c>
      <c r="B50" t="str">
        <v>Pasang Closet jongkok</v>
      </c>
      <c r="C50" t="str">
        <v>Unit</v>
      </c>
    </row>
    <row r="51">
      <c r="A51">
        <f>1+A50</f>
        <v>21</v>
      </c>
      <c r="B51" t="str">
        <v>Pasang Shower Spray</v>
      </c>
      <c r="C51" t="str">
        <v>Unit</v>
      </c>
    </row>
    <row r="52">
      <c r="A52">
        <f>1+A51</f>
        <v>22</v>
      </c>
      <c r="B52" t="str">
        <v>Pasang Floor Drain</v>
      </c>
      <c r="C52" t="str">
        <v>Unit</v>
      </c>
    </row>
    <row r="53">
      <c r="A53">
        <f>1+A52</f>
        <v>23</v>
      </c>
      <c r="B53" t="str">
        <v>Pasang Lavatory</v>
      </c>
      <c r="C53" t="str">
        <v>Unit</v>
      </c>
    </row>
    <row r="54">
      <c r="A54">
        <f>1+A53</f>
        <v>24</v>
      </c>
      <c r="B54" t="str">
        <v>Pasang Hand dryer</v>
      </c>
      <c r="C54" t="str">
        <v>Unit</v>
      </c>
    </row>
    <row r="55">
      <c r="A55">
        <f>1+A54</f>
        <v>25</v>
      </c>
      <c r="B55" t="str">
        <v>Pasang Urinoir</v>
      </c>
      <c r="C55" t="str">
        <v>Unit</v>
      </c>
    </row>
    <row r="56">
      <c r="A56">
        <f>1+A55</f>
        <v>26</v>
      </c>
      <c r="B56" t="str">
        <v>Pasang Sekat Urinoir</v>
      </c>
      <c r="C56" t="str">
        <v>Unit</v>
      </c>
    </row>
    <row r="57">
      <c r="A57">
        <f>1+A56</f>
        <v>27</v>
      </c>
      <c r="B57" t="str">
        <v>Pasang Tissue Holder</v>
      </c>
      <c r="C57" t="str">
        <v>Unit</v>
      </c>
    </row>
    <row r="58">
      <c r="A58">
        <f>1+A57</f>
        <v>28</v>
      </c>
      <c r="B58" t="str">
        <v>Pasang Kran Air</v>
      </c>
      <c r="C58" t="str">
        <v>Unit</v>
      </c>
    </row>
    <row r="59">
      <c r="A59">
        <f>1+A58</f>
        <v>29</v>
      </c>
      <c r="B59" t="str">
        <v>Pasang mixing valve</v>
      </c>
      <c r="C59" t="str">
        <v>Unit</v>
      </c>
    </row>
    <row r="60">
      <c r="A60">
        <f>1+A59</f>
        <v>30</v>
      </c>
      <c r="B60" t="str">
        <v>Pasang towel bar</v>
      </c>
      <c r="C60" t="str">
        <v>Unit</v>
      </c>
    </row>
    <row r="61">
      <c r="A61">
        <f>1+A60</f>
        <v>31</v>
      </c>
      <c r="B61" t="str">
        <v>Pasang robe hook</v>
      </c>
      <c r="C61" t="str">
        <v>Unit</v>
      </c>
    </row>
    <row r="62">
      <c r="A62">
        <f>1+A61</f>
        <v>32</v>
      </c>
      <c r="B62" t="str">
        <v>Pasang Kitchen Sink + cor meja</v>
      </c>
      <c r="C62" t="str">
        <v>Unit</v>
      </c>
    </row>
    <row r="63">
      <c r="A63">
        <f>1+A62</f>
        <v>33</v>
      </c>
      <c r="B63" t="str">
        <v>Pasang Soap Holder</v>
      </c>
      <c r="C63" t="str">
        <v>Unit</v>
      </c>
    </row>
    <row r="64">
      <c r="A64">
        <f>1+A63</f>
        <v>34</v>
      </c>
      <c r="B64" t="str">
        <v>Pasang Fixed Shower Head</v>
      </c>
      <c r="C64" t="str">
        <v>Unit</v>
      </c>
    </row>
    <row r="65">
      <c r="A65">
        <f>1+A64</f>
        <v>35</v>
      </c>
      <c r="B65" t="str">
        <v>Pasang paving</v>
      </c>
      <c r="C65" t="str">
        <v>m2</v>
      </c>
    </row>
    <row r="66">
      <c r="A66">
        <f>1+A65</f>
        <v>36</v>
      </c>
      <c r="B66" t="str">
        <v>Pasang atap corrugated metal</v>
      </c>
      <c r="C66" t="str">
        <v>m2</v>
      </c>
    </row>
    <row r="67">
      <c r="A67">
        <f>1+A66</f>
        <v>37</v>
      </c>
      <c r="B67" t="str">
        <v>Pasang dinding corrugated metal</v>
      </c>
      <c r="C67" t="str">
        <v>m2</v>
      </c>
    </row>
    <row r="69">
      <c r="B69" t="str">
        <v>Data Upah Mandor Slamet (sebelum diskon)</v>
      </c>
    </row>
    <row r="70">
      <c r="B70" t="str">
        <v>note: setiap naik 1 lantai, upah +5%</v>
      </c>
    </row>
    <row r="72">
      <c r="B72" t="str">
        <v>Galian manual</v>
      </c>
      <c r="C72" t="str">
        <v>m3</v>
      </c>
      <c r="D72">
        <f>F72</f>
        <v>85000</v>
      </c>
      <c r="F72">
        <v>85000</v>
      </c>
      <c r="H72">
        <v>80000</v>
      </c>
    </row>
    <row r="73">
      <c r="B73" t="str">
        <v>Urugan tanah manual</v>
      </c>
      <c r="C73" t="str">
        <v>m3</v>
      </c>
      <c r="D73">
        <f>F73</f>
        <v>60000</v>
      </c>
      <c r="F73">
        <v>60000</v>
      </c>
      <c r="H73">
        <v>30000</v>
      </c>
    </row>
    <row r="74">
      <c r="B74" t="str">
        <v>Buang bekas galian</v>
      </c>
      <c r="C74" t="str">
        <v>m3</v>
      </c>
      <c r="D74">
        <f>F74</f>
        <v>60000</v>
      </c>
      <c r="F74">
        <v>60000</v>
      </c>
    </row>
    <row r="75">
      <c r="B75" t="str">
        <v>Perataan &amp; pemadatan tanah</v>
      </c>
      <c r="C75" t="str">
        <v>m3</v>
      </c>
      <c r="D75">
        <f>F75</f>
        <v>20000</v>
      </c>
      <c r="F75">
        <v>20000</v>
      </c>
      <c r="H75">
        <v>9000</v>
      </c>
    </row>
    <row r="76">
      <c r="B76" t="str">
        <v>Bekisting + pembesian + cor POER</v>
      </c>
      <c r="C76" t="str">
        <v>m3</v>
      </c>
      <c r="D76">
        <v>800000</v>
      </c>
      <c r="F76">
        <v>600000</v>
      </c>
    </row>
    <row r="77">
      <c r="B77" t="str">
        <v>Bekisting + pembesian + cor SLOOF</v>
      </c>
      <c r="C77" t="str">
        <v>m3</v>
      </c>
      <c r="D77">
        <v>1500000</v>
      </c>
      <c r="F77">
        <v>1000000</v>
      </c>
    </row>
    <row r="78">
      <c r="B78" t="str">
        <v>Bekisting + pembesian + cor BALOK (rata-rata)</v>
      </c>
      <c r="C78" t="str">
        <v>m3</v>
      </c>
      <c r="D78">
        <v>1750000</v>
      </c>
      <c r="F78">
        <v>1500000</v>
      </c>
    </row>
    <row r="79">
      <c r="B79" t="str">
        <v>Bekisting + pembesian + cor BALOK TANPA PLAT DAN BALOK GEWEL</v>
      </c>
      <c r="C79" t="str">
        <v>m3</v>
      </c>
      <c r="D79">
        <v>2500000</v>
      </c>
      <c r="F79">
        <v>1500000</v>
      </c>
    </row>
    <row r="80">
      <c r="B80" t="str">
        <v>Bekisting + pembesian + cor KOLOM (rata-rata)</v>
      </c>
      <c r="C80" t="str">
        <v>m3</v>
      </c>
      <c r="D80">
        <v>2250000</v>
      </c>
      <c r="F80">
        <v>1750000</v>
      </c>
    </row>
    <row r="81">
      <c r="B81" t="str">
        <v>Bekisting + pembesian + cor PLAT LANTAI (lt. dasar)</v>
      </c>
      <c r="C81" t="str">
        <v>m3</v>
      </c>
      <c r="D81">
        <v>1000000</v>
      </c>
      <c r="F81">
        <v>800000</v>
      </c>
    </row>
    <row r="82">
      <c r="B82" t="str">
        <v>Bekisting + pembesian + cor PLAT LANTAI (rata-rata)</v>
      </c>
      <c r="C82" t="str">
        <v>m3</v>
      </c>
      <c r="D82">
        <v>1300000</v>
      </c>
      <c r="F82">
        <v>1250000</v>
      </c>
    </row>
    <row r="83">
      <c r="B83" t="str">
        <v>Bekisting + pembesian + cor DINDING BETON (rata-rata)</v>
      </c>
      <c r="C83" t="str">
        <v>m3</v>
      </c>
      <c r="D83">
        <v>1500000</v>
      </c>
      <c r="F83">
        <v>1000000</v>
      </c>
    </row>
    <row r="84">
      <c r="B84" t="str">
        <v>Bekisting + pembesian + cor TANGGA (rata-rata)</v>
      </c>
      <c r="C84" t="str">
        <v>m3</v>
      </c>
      <c r="D84">
        <f>F84</f>
        <v>1750000</v>
      </c>
      <c r="F84">
        <v>1750000</v>
      </c>
    </row>
    <row r="85">
      <c r="B85" t="str">
        <v>Lantai kerja</v>
      </c>
      <c r="C85" t="str">
        <v>m3</v>
      </c>
      <c r="D85">
        <f>F85</f>
        <v>400000</v>
      </c>
      <c r="F85">
        <v>400000</v>
      </c>
      <c r="H85">
        <v>300000</v>
      </c>
    </row>
    <row r="86">
      <c r="B86" t="str">
        <v>Pasang bata merah 1/2 batu (rata-rata)</v>
      </c>
      <c r="C86" t="str">
        <v>m2</v>
      </c>
      <c r="D86">
        <v>80000</v>
      </c>
      <c r="F86">
        <v>50000</v>
      </c>
      <c r="H86">
        <v>30000</v>
      </c>
    </row>
    <row r="87">
      <c r="B87" t="str">
        <v>Pasang bata merah 3/4 batu (rata-rata)</v>
      </c>
      <c r="C87" t="str">
        <v>m2</v>
      </c>
      <c r="D87">
        <v>100000</v>
      </c>
      <c r="F87">
        <v>80000</v>
      </c>
    </row>
    <row r="88">
      <c r="B88" t="str">
        <v>Pasang bata merah 1 batu (rata-rata)</v>
      </c>
      <c r="C88" t="str">
        <v>m2</v>
      </c>
      <c r="D88">
        <v>150000</v>
      </c>
      <c r="F88">
        <v>100000</v>
      </c>
    </row>
    <row r="89">
      <c r="B89" t="str">
        <v>Pasang bata merah 1,5 batu (rata-rata)</v>
      </c>
      <c r="C89" t="str">
        <v>m2</v>
      </c>
      <c r="D89">
        <v>175000</v>
      </c>
      <c r="F89">
        <v>125000</v>
      </c>
    </row>
    <row r="90">
      <c r="B90" t="str">
        <v>Pasang bata merah 1,5 batu (rata-rata)</v>
      </c>
      <c r="C90" t="str">
        <v>m2</v>
      </c>
      <c r="D90">
        <f>F90</f>
        <v>175000</v>
      </c>
      <c r="F90">
        <v>175000</v>
      </c>
    </row>
    <row r="91">
      <c r="B91" t="str">
        <v>Pasang bata ringan 1/2 batu (rata-rata)</v>
      </c>
      <c r="C91" t="str">
        <v>m2</v>
      </c>
      <c r="D91">
        <f>F91</f>
        <v>30000</v>
      </c>
      <c r="F91">
        <v>30000</v>
      </c>
      <c r="H91">
        <v>19500</v>
      </c>
    </row>
    <row r="92">
      <c r="B92" t="str">
        <v>Pasang bata ringan 1 batu (rata-rata)</v>
      </c>
      <c r="C92" t="str">
        <v>m2</v>
      </c>
      <c r="D92">
        <f>F92</f>
        <v>60000</v>
      </c>
      <c r="F92">
        <v>60000</v>
      </c>
    </row>
    <row r="93">
      <c r="B93" t="str">
        <v>Pasang bata ringan 1,5 batu (rata-rata)</v>
      </c>
      <c r="C93" t="str">
        <v>m2</v>
      </c>
      <c r="D93">
        <f>F93</f>
        <v>80000</v>
      </c>
      <c r="F93">
        <v>80000</v>
      </c>
    </row>
    <row r="94">
      <c r="B94" t="str">
        <v>Plesteran dinding (konvensional)</v>
      </c>
      <c r="C94" t="str">
        <v>m2</v>
      </c>
      <c r="D94">
        <f>F94</f>
        <v>60000</v>
      </c>
      <c r="F94">
        <v>60000</v>
      </c>
      <c r="H94">
        <v>22000</v>
      </c>
    </row>
    <row r="95">
      <c r="B95" t="str">
        <v>Plesteran kolom (beton)</v>
      </c>
      <c r="C95" t="str">
        <v>m2</v>
      </c>
      <c r="D95">
        <f>F95</f>
        <v>70000</v>
      </c>
      <c r="F95">
        <v>70000</v>
      </c>
      <c r="H95">
        <v>25000</v>
      </c>
    </row>
    <row r="96">
      <c r="B96" t="str">
        <v>Acian dinding &amp; kolom (semen instan)</v>
      </c>
      <c r="C96" t="str">
        <v>m2</v>
      </c>
      <c r="D96">
        <f>F96</f>
        <v>30000</v>
      </c>
      <c r="F96">
        <v>30000</v>
      </c>
      <c r="H96">
        <v>18000</v>
      </c>
    </row>
    <row r="97">
      <c r="B97" t="str">
        <v>Acian dinding &amp; kolom (konvensional)</v>
      </c>
      <c r="C97" t="str">
        <v>m2</v>
      </c>
      <c r="D97">
        <f>F97</f>
        <v>30000</v>
      </c>
      <c r="F97">
        <v>30000</v>
      </c>
      <c r="H97">
        <v>14000</v>
      </c>
    </row>
    <row r="98">
      <c r="B98" t="str">
        <v>Benangan sudut</v>
      </c>
      <c r="C98" t="str">
        <v>m'</v>
      </c>
      <c r="D98">
        <f>F98</f>
        <v>40000</v>
      </c>
      <c r="F98">
        <v>40000</v>
      </c>
      <c r="H98">
        <v>10000</v>
      </c>
    </row>
    <row r="99">
      <c r="B99" t="str">
        <v>Pekerjaan pipa horizontal lantai dasar (gali + bantalan + urug)</v>
      </c>
      <c r="C99" t="str">
        <v>m'</v>
      </c>
      <c r="D99">
        <f>F99</f>
        <v>40000</v>
      </c>
      <c r="F99">
        <v>40000</v>
      </c>
    </row>
    <row r="100">
      <c r="B100" t="str">
        <v>Pekerjaan pipa vertikal (kawat ayam + cor)</v>
      </c>
      <c r="C100" t="str">
        <v>m'</v>
      </c>
      <c r="D100">
        <f>F100</f>
        <v>30000</v>
      </c>
      <c r="F100">
        <v>30000</v>
      </c>
    </row>
    <row r="101">
      <c r="B101" t="str">
        <v>Pekerjaan pipa horizontal</v>
      </c>
      <c r="C101" t="str">
        <v>m'</v>
      </c>
      <c r="D101">
        <f>F101</f>
        <v>25000</v>
      </c>
      <c r="F101">
        <v>25000</v>
      </c>
    </row>
    <row r="102">
      <c r="B102" t="str">
        <v>Pekerjaan bantalan pipa</v>
      </c>
      <c r="C102" t="str">
        <v>m'</v>
      </c>
      <c r="D102">
        <f>F102</f>
        <v>100000</v>
      </c>
      <c r="F102">
        <v>100000</v>
      </c>
    </row>
    <row r="103">
      <c r="B103" t="str">
        <v>Pekerjaan bak kontrol</v>
      </c>
      <c r="C103" t="str">
        <v>unit</v>
      </c>
      <c r="D103">
        <f>F103</f>
        <v>250000</v>
      </c>
      <c r="F103">
        <v>250000</v>
      </c>
    </row>
    <row r="104">
      <c r="B104" t="str">
        <v>Pekerjaan tandon bawah kaps. 9 m3</v>
      </c>
      <c r="C104" t="str">
        <v>unit</v>
      </c>
      <c r="D104">
        <f>F104</f>
        <v>10000000</v>
      </c>
      <c r="F104">
        <v>10000000</v>
      </c>
    </row>
  </sheetData>
  <mergeCells count="4">
    <mergeCell ref="A4:A5"/>
    <mergeCell ref="B4:B5"/>
    <mergeCell ref="C4:C5"/>
    <mergeCell ref="H4:H5"/>
  </mergeCells>
  <pageMargins left="0.7" right="0.7" top="0.75" bottom="0.75" header="0.3" footer="0.3"/>
  <ignoredErrors>
    <ignoredError numberStoredAsText="1" sqref="A3:H1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04"/>
  <sheetViews>
    <sheetView workbookViewId="0" rightToLeft="0"/>
  </sheetViews>
  <sheetData>
    <row r="1">
      <c r="A1" t="str">
        <v>Tanggal</v>
      </c>
      <c r="C1" t="str">
        <v>:</v>
      </c>
    </row>
    <row r="2">
      <c r="A2" t="str">
        <v>Proyek</v>
      </c>
      <c r="C2" t="str">
        <v>:</v>
      </c>
    </row>
    <row r="3">
      <c r="A3" t="str">
        <v>Lokasi</v>
      </c>
      <c r="C3" t="str">
        <v>:</v>
      </c>
    </row>
    <row r="5">
      <c r="A5" t="str">
        <v>No.</v>
      </c>
      <c r="B5" t="str">
        <v>M A T E R I A L S</v>
      </c>
      <c r="E5" t="str">
        <v>PRODUK / MODEL / TIPE</v>
      </c>
      <c r="F5" t="str">
        <v>SAT</v>
      </c>
      <c r="G5" t="str">
        <v>HARGA NET</v>
      </c>
    </row>
    <row r="6">
      <c r="G6" t="str">
        <v>Rp.</v>
      </c>
    </row>
    <row r="7">
      <c r="A7" t="str">
        <v xml:space="preserve"> </v>
      </c>
    </row>
    <row r="8">
      <c r="A8">
        <v>1</v>
      </c>
      <c r="B8" t="str">
        <v>Pasir Pasang</v>
      </c>
      <c r="E8" t="str">
        <v>ex : Lumajang</v>
      </c>
      <c r="F8" t="str">
        <v>m3</v>
      </c>
      <c r="G8">
        <v>350000</v>
      </c>
    </row>
    <row r="9">
      <c r="B9" t="str">
        <v>Pasir Pasang</v>
      </c>
      <c r="E9" t="str">
        <v>ex : Kertosono</v>
      </c>
      <c r="F9" t="str">
        <v>m3</v>
      </c>
      <c r="G9">
        <v>220000</v>
      </c>
    </row>
    <row r="10">
      <c r="A10">
        <f>+A17+1</f>
        <v>3</v>
      </c>
      <c r="B10" t="str">
        <v>Split 1:1</v>
      </c>
      <c r="E10" t="str">
        <v>ex : lokal</v>
      </c>
      <c r="F10" t="str">
        <v>m3</v>
      </c>
      <c r="G10">
        <v>275000</v>
      </c>
      <c r="I10" t="str">
        <v>harga beton Jayamix BDG H-16 SEBELUM PPN:</v>
      </c>
    </row>
    <row r="11">
      <c r="A11">
        <f>+A27+1</f>
        <v>14</v>
      </c>
      <c r="B11" t="str">
        <v>Readymix K-350</v>
      </c>
      <c r="E11" t="str">
        <v>slump 18 ± 2 cm, Non Fly Ash, Self-Consolidating Concrete (SCC) atau ditambah additive hyperflow</v>
      </c>
      <c r="F11" t="str">
        <v>m3</v>
      </c>
      <c r="G11">
        <f>915000*1.11</f>
        <v>1015650.0000000001</v>
      </c>
      <c r="I11" t="str">
        <v>K-300 (fc'25)</v>
      </c>
      <c r="J11">
        <v>785000</v>
      </c>
    </row>
    <row r="12">
      <c r="A12">
        <f>+A11+1</f>
        <v>15</v>
      </c>
      <c r="B12" t="str">
        <v>Readymix K-350</v>
      </c>
      <c r="E12" t="str">
        <v>slump 18 ± 2 cm, Non Fly Ash, split 1:1</v>
      </c>
      <c r="F12" t="str">
        <v>m3</v>
      </c>
      <c r="G12">
        <f>915000*1.11</f>
        <v>1015650.0000000001</v>
      </c>
      <c r="I12" t="str">
        <v>K-350 (fc'30)</v>
      </c>
      <c r="J12">
        <v>875000</v>
      </c>
    </row>
    <row r="13">
      <c r="B13" t="str">
        <v>Readymix K-350</v>
      </c>
      <c r="E13" t="str">
        <v>slump 18 ± 2 cm, Non Fly Ash, split 1:1</v>
      </c>
      <c r="F13" t="str">
        <v>m3</v>
      </c>
      <c r="G13">
        <f>915000*1.11</f>
        <v>1015650.0000000001</v>
      </c>
      <c r="I13" t="str">
        <v>K-400 (fc'32,5)</v>
      </c>
      <c r="J13">
        <v>840000</v>
      </c>
    </row>
    <row r="14">
      <c r="A14">
        <f>+A20+1</f>
        <v>7</v>
      </c>
      <c r="B14" t="str">
        <v xml:space="preserve">Semen PC </v>
      </c>
      <c r="E14" t="str">
        <v>ex : Semen Gresik / Holcim / Tiga Roda @ 50 kg</v>
      </c>
      <c r="F14" t="str">
        <v>sak</v>
      </c>
      <c r="G14">
        <v>65000</v>
      </c>
      <c r="I14" t="str">
        <v>K-450 (fc'35)</v>
      </c>
      <c r="J14">
        <v>935000</v>
      </c>
    </row>
    <row r="15">
      <c r="B15" t="str">
        <v>Bentonite</v>
      </c>
      <c r="F15" t="str">
        <v>kg</v>
      </c>
      <c r="G15">
        <v>3000</v>
      </c>
      <c r="I15" t="str">
        <v>additive hyperflow</v>
      </c>
      <c r="J15">
        <v>50000</v>
      </c>
    </row>
    <row r="16">
      <c r="B16" t="str">
        <v>Bahan bakar molen</v>
      </c>
      <c r="F16" t="str">
        <v>ltr</v>
      </c>
      <c r="G16">
        <v>13000</v>
      </c>
    </row>
    <row r="17">
      <c r="A17">
        <f>+A8+1</f>
        <v>2</v>
      </c>
      <c r="B17" t="str">
        <v>Pasir Urug</v>
      </c>
      <c r="E17" t="str">
        <v>ex : lokal</v>
      </c>
      <c r="F17" t="str">
        <v>m3</v>
      </c>
      <c r="G17">
        <v>175000</v>
      </c>
    </row>
    <row r="18">
      <c r="A18">
        <f>+A10+1</f>
        <v>4</v>
      </c>
      <c r="B18" t="str">
        <v>Sirtu</v>
      </c>
      <c r="E18" t="str">
        <v>ex : lokal</v>
      </c>
      <c r="F18" t="str">
        <v>m3</v>
      </c>
    </row>
    <row r="19">
      <c r="A19">
        <f>A18+1</f>
        <v>5</v>
      </c>
      <c r="B19" t="str">
        <v>Batu kali</v>
      </c>
      <c r="E19" t="str">
        <v>ex : lokal</v>
      </c>
      <c r="F19" t="str">
        <v>m3</v>
      </c>
      <c r="G19">
        <v>250000</v>
      </c>
    </row>
    <row r="20">
      <c r="A20">
        <f>A19+1</f>
        <v>6</v>
      </c>
      <c r="B20" t="str">
        <v>Batako tebal 10 cm</v>
      </c>
      <c r="E20" t="str">
        <v>ex : lokal</v>
      </c>
      <c r="F20" t="str">
        <v>bh</v>
      </c>
      <c r="G20">
        <v>4500</v>
      </c>
    </row>
    <row r="21">
      <c r="B21" t="str">
        <v>Air kerja</v>
      </c>
      <c r="F21" t="str">
        <v>m3</v>
      </c>
      <c r="G21">
        <v>40000</v>
      </c>
    </row>
    <row r="22">
      <c r="A22">
        <f>+A14+1</f>
        <v>8</v>
      </c>
      <c r="B22" t="str">
        <v>Readymix B0</v>
      </c>
      <c r="E22" t="str">
        <v>slump 12 ± 2 cm, FA max 10%</v>
      </c>
      <c r="F22" t="str">
        <v>m3</v>
      </c>
    </row>
    <row r="23">
      <c r="A23">
        <f>+A22+1</f>
        <v>9</v>
      </c>
      <c r="B23" t="str">
        <v>Readymix fc' 35 Mpa (khusus Raft)</v>
      </c>
      <c r="F23" t="str">
        <v>m3</v>
      </c>
    </row>
    <row r="24">
      <c r="A24">
        <f>+A23+1</f>
        <v>10</v>
      </c>
      <c r="B24" t="str">
        <v>Readymix fc' 25 MPa</v>
      </c>
      <c r="F24" t="str">
        <v>m3</v>
      </c>
    </row>
    <row r="25">
      <c r="A25">
        <f>+A24+1</f>
        <v>11</v>
      </c>
      <c r="B25" t="str">
        <v>Readymix fc' 30 MPa</v>
      </c>
      <c r="F25" t="str">
        <v>m3</v>
      </c>
    </row>
    <row r="26">
      <c r="A26">
        <f>+A25+1</f>
        <v>12</v>
      </c>
      <c r="B26" t="str">
        <v>Readymix fc' 35 MPa</v>
      </c>
      <c r="F26" t="str">
        <v>m3</v>
      </c>
    </row>
    <row r="27">
      <c r="A27">
        <f>+A26+1</f>
        <v>13</v>
      </c>
      <c r="B27" t="str">
        <v>Readymix fc' 40 MPa</v>
      </c>
      <c r="F27" t="str">
        <v>m3</v>
      </c>
    </row>
    <row r="28">
      <c r="A28">
        <f>+A12+1</f>
        <v>16</v>
      </c>
      <c r="B28" t="str">
        <v>Readymix K-250</v>
      </c>
      <c r="F28" t="str">
        <v>m3</v>
      </c>
    </row>
    <row r="29">
      <c r="A29">
        <f>+A28+1</f>
        <v>17</v>
      </c>
      <c r="B29" t="str">
        <v>Additive</v>
      </c>
      <c r="E29" t="str">
        <v>ex : LN</v>
      </c>
      <c r="F29" t="str">
        <v>ltr</v>
      </c>
    </row>
    <row r="30">
      <c r="A30">
        <f>+A29+1</f>
        <v>18</v>
      </c>
      <c r="B30" t="str">
        <v>Curing Compound</v>
      </c>
      <c r="E30" t="str">
        <v>ex : Masterkure 128 ex. BASF</v>
      </c>
      <c r="F30" t="str">
        <v>ltr</v>
      </c>
    </row>
    <row r="31">
      <c r="A31">
        <f>+A30+1</f>
        <v>19</v>
      </c>
      <c r="B31" t="str">
        <v>Form oil</v>
      </c>
      <c r="F31" t="str">
        <v>ltr</v>
      </c>
      <c r="G31">
        <v>27500</v>
      </c>
      <c r="J31" t="str">
        <v>Wire Mesh</v>
      </c>
      <c r="K31">
        <v>10000</v>
      </c>
      <c r="L31" t="str">
        <v>/kg</v>
      </c>
    </row>
    <row r="32">
      <c r="A32">
        <f>+A31+1</f>
        <v>20</v>
      </c>
      <c r="B32" t="str">
        <v>Bonding Agent</v>
      </c>
      <c r="E32" t="str">
        <v>ex : Sikabond</v>
      </c>
      <c r="F32" t="str">
        <v>ltr</v>
      </c>
    </row>
    <row r="33">
      <c r="A33">
        <f>+A32+1</f>
        <v>21</v>
      </c>
      <c r="B33" t="str">
        <v>Besi beton BJTP U24 &amp; BJTD U40</v>
      </c>
      <c r="E33" t="str">
        <v>standard SNI</v>
      </c>
      <c r="F33" t="str">
        <v>kg</v>
      </c>
      <c r="G33">
        <v>10300</v>
      </c>
      <c r="I33" t="str">
        <v>dia</v>
      </c>
      <c r="J33" t="str">
        <v>jarak</v>
      </c>
      <c r="K33" t="str">
        <v>P</v>
      </c>
      <c r="L33" t="str">
        <v>L</v>
      </c>
      <c r="M33" t="str">
        <v>brt/m2</v>
      </c>
    </row>
    <row r="34">
      <c r="A34">
        <f>+A33+1</f>
        <v>22</v>
      </c>
      <c r="B34" t="str">
        <v>Wiremesh M-10</v>
      </c>
      <c r="E34" t="str">
        <v>ex. BHP / Lion</v>
      </c>
      <c r="F34" t="str">
        <v>m2</v>
      </c>
      <c r="G34">
        <f>M34*$K$31</f>
        <v>85135.71428571429</v>
      </c>
      <c r="I34">
        <v>10</v>
      </c>
      <c r="J34">
        <v>150</v>
      </c>
      <c r="K34">
        <v>5.4</v>
      </c>
      <c r="L34">
        <v>2.1</v>
      </c>
      <c r="M34">
        <f>(0.006165*I34*I34)*(K34*ROUND(L34/(J34/1000)+1,0)+L34*ROUND(K34/(J34/1000),0))/(K34*L34)</f>
        <v>8.51357142857143</v>
      </c>
    </row>
    <row r="35">
      <c r="A35">
        <f>+A34+1</f>
        <v>23</v>
      </c>
      <c r="B35" t="str">
        <v>Wiremesh M-9</v>
      </c>
      <c r="E35" t="str">
        <v>ex. BHP / Lion</v>
      </c>
      <c r="F35" t="str">
        <v>m2</v>
      </c>
      <c r="G35">
        <f>M35*$K$31</f>
        <v>68959.92857142858</v>
      </c>
      <c r="H35">
        <f>778000/(2.1*5.4)</f>
        <v>68606.70194003526</v>
      </c>
      <c r="I35">
        <v>9</v>
      </c>
      <c r="J35">
        <v>150</v>
      </c>
      <c r="K35">
        <v>5.4</v>
      </c>
      <c r="L35">
        <v>2.1</v>
      </c>
      <c r="M35">
        <f>(0.006165*I35*I35)*(K35*ROUND(L35/(J35/1000)+1,0)+L35*ROUND(K35/(J35/1000),0))/(K35*L35)</f>
        <v>6.895992857142859</v>
      </c>
    </row>
    <row r="36">
      <c r="A36">
        <f>+A35+1</f>
        <v>24</v>
      </c>
      <c r="B36" t="str">
        <v>Wiremesh M-8</v>
      </c>
      <c r="E36" t="str">
        <v>ex. BHP / Lion</v>
      </c>
      <c r="F36" t="str">
        <v>m2</v>
      </c>
      <c r="G36">
        <f>M36*$K$31</f>
        <v>54486.857142857145</v>
      </c>
      <c r="H36">
        <f>549000/(2.1*5.4)</f>
        <v>48412.6984126984</v>
      </c>
      <c r="I36">
        <v>8</v>
      </c>
      <c r="J36">
        <v>150</v>
      </c>
      <c r="K36">
        <v>5.4</v>
      </c>
      <c r="L36">
        <v>2.1</v>
      </c>
      <c r="M36">
        <f>(0.006165*I36*I36)*(K36*ROUND(L36/(J36/1000)+1,0)+L36*ROUND(K36/(J36/1000),0))/(K36*L36)</f>
        <v>5.448685714285714</v>
      </c>
    </row>
    <row r="37">
      <c r="A37">
        <f>+A36+1</f>
        <v>25</v>
      </c>
      <c r="B37" t="str">
        <v>Wiremesh M-7</v>
      </c>
      <c r="E37" t="str">
        <v>ex. BHP / Lion</v>
      </c>
      <c r="F37" t="str">
        <v>m2</v>
      </c>
      <c r="G37">
        <f>M37*$K$31</f>
        <v>41716.5</v>
      </c>
      <c r="H37">
        <f>419000/(2.1*5.4)</f>
        <v>36948.853615520275</v>
      </c>
      <c r="I37">
        <v>7</v>
      </c>
      <c r="J37">
        <v>150</v>
      </c>
      <c r="K37">
        <v>5.4</v>
      </c>
      <c r="L37">
        <v>2.1</v>
      </c>
      <c r="M37">
        <f>(0.006165*I37*I37)*(K37*ROUND(L37/(J37/1000)+1,0)+L37*ROUND(K37/(J37/1000),0))/(K37*L37)</f>
        <v>4.17165</v>
      </c>
    </row>
    <row r="38">
      <c r="A38">
        <f>+A37+1</f>
        <v>26</v>
      </c>
      <c r="B38" t="str">
        <v>Wiremesh M-5</v>
      </c>
      <c r="E38" t="str">
        <v>ex. BHP / Lion</v>
      </c>
      <c r="F38" t="str">
        <v>m2</v>
      </c>
      <c r="G38">
        <f>M38*$K$31</f>
        <v>30648.85714285715</v>
      </c>
      <c r="I38">
        <v>6</v>
      </c>
      <c r="J38">
        <v>150</v>
      </c>
      <c r="K38">
        <v>5.4</v>
      </c>
      <c r="L38">
        <v>2.1</v>
      </c>
      <c r="M38">
        <f>(0.006165*I38*I38)*(K38*ROUND(L38/(J38/1000)+1,0)+L38*ROUND(K38/(J38/1000),0))/(K38*L38)</f>
        <v>3.064885714285715</v>
      </c>
    </row>
    <row r="39">
      <c r="A39">
        <f>+A38+1</f>
        <v>27</v>
      </c>
      <c r="B39" t="str">
        <v>Kawat beton</v>
      </c>
      <c r="E39" t="str">
        <v>ex : lokal</v>
      </c>
      <c r="F39" t="str">
        <v>kg</v>
      </c>
      <c r="G39">
        <v>17500</v>
      </c>
    </row>
    <row r="41">
      <c r="B41" t="str">
        <v>Profil baja standar</v>
      </c>
      <c r="F41" t="str">
        <v>kg</v>
      </c>
      <c r="G41">
        <v>30000</v>
      </c>
    </row>
    <row r="42">
      <c r="B42" t="str">
        <v>Profil baja besar</v>
      </c>
      <c r="F42" t="str">
        <v>kg</v>
      </c>
      <c r="G42">
        <v>32500</v>
      </c>
    </row>
    <row r="43">
      <c r="B43" t="str">
        <v>Profil baja khusus (misal: gording)</v>
      </c>
      <c r="F43" t="str">
        <v>kg</v>
      </c>
      <c r="G43">
        <v>27500</v>
      </c>
    </row>
    <row r="44">
      <c r="B44" t="str">
        <v>Lisplank baja PL8 tinggi 350 mm</v>
      </c>
      <c r="F44" t="str">
        <v>m'</v>
      </c>
      <c r="G44">
        <v>2150000</v>
      </c>
    </row>
    <row r="45">
      <c r="B45" t="str">
        <v>Lisplank baja PL8 tinggi 260 mm</v>
      </c>
      <c r="F45" t="str">
        <v>m'</v>
      </c>
      <c r="G45">
        <v>1850000</v>
      </c>
    </row>
    <row r="46">
      <c r="B46" t="str">
        <v>Plat baja</v>
      </c>
      <c r="F46" t="str">
        <v>kg</v>
      </c>
      <c r="G46">
        <v>30000</v>
      </c>
    </row>
    <row r="47">
      <c r="B47" t="str">
        <v>Sagrod / trekstang</v>
      </c>
      <c r="F47" t="str">
        <v>kg</v>
      </c>
      <c r="G47">
        <v>12500</v>
      </c>
    </row>
    <row r="48">
      <c r="B48" t="str">
        <v>Ikatan angin</v>
      </c>
      <c r="F48" t="str">
        <v>kg</v>
      </c>
      <c r="G48">
        <v>12500</v>
      </c>
    </row>
    <row r="50">
      <c r="B50" t="str">
        <v>Bekisting bondek / smartdeck 0.75 mm TCT</v>
      </c>
      <c r="F50" t="str">
        <v>m2</v>
      </c>
      <c r="G50">
        <v>150000</v>
      </c>
    </row>
    <row r="51">
      <c r="B51" t="str">
        <v>Bekisting kolom praktis (simplified)</v>
      </c>
      <c r="F51" t="str">
        <v>m2</v>
      </c>
      <c r="G51">
        <v>40000</v>
      </c>
    </row>
    <row r="52">
      <c r="A52">
        <f>+A39+1</f>
        <v>28</v>
      </c>
      <c r="B52" t="str">
        <v>Kayu balok</v>
      </c>
      <c r="E52" t="str">
        <v>Kayu kruing</v>
      </c>
      <c r="F52" t="str">
        <v>m3</v>
      </c>
      <c r="G52">
        <v>4800000</v>
      </c>
    </row>
    <row r="53">
      <c r="A53">
        <f>+A52+1</f>
        <v>29</v>
      </c>
      <c r="B53" t="str">
        <v>Kayu usuk 5/7</v>
      </c>
      <c r="E53" t="str">
        <v>Kayu kruing</v>
      </c>
      <c r="F53" t="str">
        <v>m3</v>
      </c>
      <c r="G53">
        <f>50*70*4000/1000000000*3400000</f>
        <v>47600</v>
      </c>
    </row>
    <row r="54">
      <c r="B54" t="str">
        <v>Kayu usuk 4/6</v>
      </c>
      <c r="E54" t="str">
        <v>Kayu kruing</v>
      </c>
      <c r="F54" t="str">
        <v>m3</v>
      </c>
      <c r="G54">
        <f>40*60*4000/1000000000*3400000</f>
        <v>32639.999999999996</v>
      </c>
    </row>
    <row r="55">
      <c r="B55" t="str">
        <v>Papan 2/20</v>
      </c>
      <c r="F55" t="str">
        <v>lbr</v>
      </c>
      <c r="G55">
        <v>44800</v>
      </c>
    </row>
    <row r="56">
      <c r="A56">
        <f>+A58+1</f>
        <v>1</v>
      </c>
      <c r="B56" t="str">
        <v>Multipleks t= 9 mm (4'x8')</v>
      </c>
      <c r="F56" t="str">
        <v>lbr</v>
      </c>
      <c r="G56">
        <v>115000</v>
      </c>
    </row>
    <row r="58">
      <c r="B58" t="str">
        <v>Multipleks t = 9 mm</v>
      </c>
      <c r="E58" t="str">
        <v>Meranti full</v>
      </c>
      <c r="F58" t="str">
        <v>lbr</v>
      </c>
      <c r="G58">
        <v>175000</v>
      </c>
    </row>
    <row r="59">
      <c r="B59" t="str">
        <v>Multipleks t = 12 mm</v>
      </c>
      <c r="E59" t="str">
        <v>Meranti full</v>
      </c>
      <c r="F59" t="str">
        <v>lbr</v>
      </c>
      <c r="G59">
        <v>200000</v>
      </c>
    </row>
    <row r="60">
      <c r="B60" t="str">
        <v>Multipleks t = 15 mm</v>
      </c>
      <c r="E60" t="str">
        <v>Meranti full</v>
      </c>
      <c r="F60" t="str">
        <v>lbr</v>
      </c>
      <c r="G60">
        <v>285000</v>
      </c>
    </row>
    <row r="61">
      <c r="B61" t="str">
        <v>Multipleks t = 18 mm</v>
      </c>
      <c r="E61" t="str">
        <v>Meranti full</v>
      </c>
      <c r="F61" t="str">
        <v>lbr</v>
      </c>
      <c r="G61">
        <v>400000</v>
      </c>
    </row>
    <row r="63">
      <c r="B63" t="str">
        <v>Multipleks t = 9 mm</v>
      </c>
      <c r="E63" t="str">
        <v>Meranti campur</v>
      </c>
      <c r="F63" t="str">
        <v>lbr</v>
      </c>
      <c r="G63">
        <v>105000</v>
      </c>
    </row>
    <row r="64">
      <c r="B64" t="str">
        <v>Multipleks t = 12 mm</v>
      </c>
      <c r="E64" t="str">
        <v>Meranti campur</v>
      </c>
      <c r="F64" t="str">
        <v>lbr</v>
      </c>
      <c r="G64">
        <v>137500</v>
      </c>
    </row>
    <row r="65">
      <c r="B65" t="str">
        <v>Multipleks t = 15 mm</v>
      </c>
      <c r="E65" t="str">
        <v>Meranti campur</v>
      </c>
      <c r="F65" t="str">
        <v>lbr</v>
      </c>
      <c r="G65">
        <v>200000</v>
      </c>
      <c r="H65">
        <v>192500</v>
      </c>
      <c r="I65" t="str">
        <v>harga update 5 april</v>
      </c>
    </row>
    <row r="66">
      <c r="B66" t="str">
        <v>Multipleks t = 18 mm</v>
      </c>
      <c r="E66" t="str">
        <v>Meranti campur</v>
      </c>
      <c r="F66" t="str">
        <v>lbr</v>
      </c>
      <c r="G66">
        <v>232500</v>
      </c>
    </row>
    <row r="68">
      <c r="B68" t="str">
        <v>Multipleks phenol film t = 12 mm</v>
      </c>
      <c r="E68" t="str">
        <v>Meranti campur</v>
      </c>
      <c r="F68" t="str">
        <v>lbr</v>
      </c>
      <c r="G68">
        <v>215000</v>
      </c>
    </row>
    <row r="69">
      <c r="B69" t="str">
        <v>Multipleks phenol film t = 15 mm</v>
      </c>
      <c r="E69" t="str">
        <v>Meranti campur</v>
      </c>
      <c r="F69" t="str">
        <v>lbr</v>
      </c>
      <c r="G69">
        <v>280000</v>
      </c>
      <c r="H69">
        <v>275000</v>
      </c>
      <c r="I69" t="str">
        <v>harga update 5 april</v>
      </c>
    </row>
    <row r="70">
      <c r="B70" t="str">
        <v>Multipleks phenol film t = 18 mm</v>
      </c>
      <c r="E70" t="str">
        <v>Meranti campur</v>
      </c>
      <c r="F70" t="str">
        <v>lbr</v>
      </c>
      <c r="G70">
        <v>280000</v>
      </c>
    </row>
    <row r="72">
      <c r="A72">
        <f>+A59+1</f>
        <v>1</v>
      </c>
      <c r="B72" t="str">
        <v>Phenol Film t= 12 mm (4'x8')</v>
      </c>
      <c r="E72" t="str">
        <v>ex : lokal full meranti</v>
      </c>
      <c r="F72" t="str">
        <v>lbr</v>
      </c>
    </row>
    <row r="73">
      <c r="A73">
        <f>+A72+1</f>
        <v>2</v>
      </c>
      <c r="B73" t="str">
        <v>Phenol Film t= 15 mm (4'x8')</v>
      </c>
      <c r="E73" t="str">
        <v>ex : lokal full meranti</v>
      </c>
      <c r="F73" t="str">
        <v>lbr</v>
      </c>
    </row>
    <row r="74">
      <c r="A74">
        <f>+A73+1</f>
        <v>3</v>
      </c>
      <c r="B74" t="str">
        <v>Paku</v>
      </c>
      <c r="E74" t="str">
        <v>ex : lokal</v>
      </c>
      <c r="F74" t="str">
        <v>kg</v>
      </c>
      <c r="G74">
        <v>13000</v>
      </c>
    </row>
    <row r="75">
      <c r="A75">
        <f>+A74+1</f>
        <v>4</v>
      </c>
      <c r="B75" t="str">
        <v>Kawat ayam</v>
      </c>
      <c r="E75" t="str">
        <v>ex : lokal</v>
      </c>
      <c r="F75" t="str">
        <v>m2</v>
      </c>
      <c r="G75">
        <v>15000</v>
      </c>
    </row>
    <row r="76">
      <c r="B76" t="str">
        <v>Bata merah</v>
      </c>
      <c r="E76" t="str">
        <v>biasa (poklu)</v>
      </c>
      <c r="F76" t="str">
        <v>bh</v>
      </c>
      <c r="G76">
        <v>750</v>
      </c>
    </row>
    <row r="77">
      <c r="A77">
        <f>+A75+1</f>
        <v>5</v>
      </c>
      <c r="B77" t="str">
        <v>Bata merah</v>
      </c>
      <c r="E77" t="str">
        <v>press (MRH)</v>
      </c>
      <c r="F77" t="str">
        <v>bh</v>
      </c>
      <c r="G77">
        <v>750</v>
      </c>
    </row>
    <row r="78">
      <c r="B78" t="str">
        <v>Bata ringan</v>
      </c>
      <c r="F78" t="str">
        <v>m3</v>
      </c>
      <c r="G78">
        <v>650000</v>
      </c>
    </row>
    <row r="79">
      <c r="A79">
        <f>+A77+1</f>
        <v>6</v>
      </c>
      <c r="B79" t="str">
        <v>Perekat bata ringan</v>
      </c>
      <c r="E79" t="str">
        <v>ex : MU-382</v>
      </c>
      <c r="F79" t="str">
        <v>kg</v>
      </c>
      <c r="G79">
        <v>1400</v>
      </c>
    </row>
    <row r="80">
      <c r="A80">
        <f>+A79+1</f>
        <v>7</v>
      </c>
      <c r="B80" t="str">
        <v>Plesteran mortar instan</v>
      </c>
      <c r="E80" t="str">
        <v>ex : MU-302</v>
      </c>
      <c r="F80" t="str">
        <v>kg</v>
      </c>
      <c r="G80">
        <v>800</v>
      </c>
      <c r="I80" t="str">
        <v>disc max</v>
      </c>
      <c r="J80">
        <v>0.15</v>
      </c>
      <c r="K80">
        <v>0.03</v>
      </c>
      <c r="L80">
        <v>0.025</v>
      </c>
      <c r="M80" t="str">
        <v>=</v>
      </c>
      <c r="N80">
        <f>(1-J80)*(1-K80)*(1-L80)</f>
        <v>0.8038875</v>
      </c>
    </row>
    <row r="81">
      <c r="A81">
        <f>+A80+1</f>
        <v>8</v>
      </c>
      <c r="B81" t="str">
        <v>Acian mortar instan</v>
      </c>
      <c r="E81" t="str">
        <v>ex : MU-202 / setara</v>
      </c>
      <c r="F81" t="str">
        <v>kg</v>
      </c>
      <c r="G81">
        <v>1600</v>
      </c>
      <c r="I81" t="str">
        <v>disc pakai</v>
      </c>
      <c r="J81">
        <v>0.15</v>
      </c>
      <c r="M81" t="str">
        <v>=</v>
      </c>
      <c r="N81">
        <f>(1-J81)*(1-K81)*(1-L81)</f>
        <v>0.85</v>
      </c>
    </row>
    <row r="82">
      <c r="J82" t="str">
        <v>hrg dasar</v>
      </c>
    </row>
    <row r="83">
      <c r="B83" t="str">
        <v>Pipa PVC 8"</v>
      </c>
      <c r="E83" t="str">
        <v>Rucika - Wavin</v>
      </c>
      <c r="F83" t="str">
        <v>btg</v>
      </c>
      <c r="G83">
        <f>J83*$N$81</f>
        <v>1883515</v>
      </c>
      <c r="H83" t="str">
        <v>spec JIS</v>
      </c>
      <c r="J83">
        <v>2215900</v>
      </c>
    </row>
    <row r="84">
      <c r="B84" t="str">
        <v>Pipa PVC 6"</v>
      </c>
      <c r="E84" t="str">
        <v>Rucika - Wavin</v>
      </c>
      <c r="F84" t="str">
        <v>btg</v>
      </c>
      <c r="G84">
        <f>J84*$N$81</f>
        <v>1245335</v>
      </c>
      <c r="H84" t="str">
        <v>spec JIS</v>
      </c>
      <c r="J84">
        <v>1465100</v>
      </c>
    </row>
    <row r="85">
      <c r="B85" t="str">
        <v>Pipa PVC 5"</v>
      </c>
      <c r="E85" t="str">
        <v>Rucika - Wavin</v>
      </c>
      <c r="F85" t="str">
        <v>btg</v>
      </c>
      <c r="G85">
        <f>J85*$N$81</f>
        <v>829600</v>
      </c>
      <c r="H85" t="str">
        <v>spec JIS</v>
      </c>
      <c r="J85">
        <v>976000</v>
      </c>
    </row>
    <row r="86">
      <c r="B86" t="str">
        <v>Pipa PVC 4"</v>
      </c>
      <c r="E86" t="str">
        <v>Rucika - Wavin</v>
      </c>
      <c r="F86" t="str">
        <v>btg</v>
      </c>
      <c r="G86">
        <f>J86*$N$81</f>
        <v>662745</v>
      </c>
      <c r="H86" t="str">
        <v>spec JIS</v>
      </c>
      <c r="J86">
        <v>779700</v>
      </c>
    </row>
    <row r="87">
      <c r="B87" t="str">
        <v>Pipa PVC 3"</v>
      </c>
      <c r="E87" t="str">
        <v>Rucika - Wavin</v>
      </c>
      <c r="F87" t="str">
        <v>btg</v>
      </c>
      <c r="G87">
        <f>J87*$N$81</f>
        <v>428910</v>
      </c>
      <c r="H87" t="str">
        <v>spec JIS</v>
      </c>
      <c r="J87">
        <v>504600</v>
      </c>
    </row>
    <row r="88">
      <c r="B88" t="str">
        <v>Pipa PVC 2,5"</v>
      </c>
      <c r="E88" t="str">
        <v>Rucika - Wavin</v>
      </c>
      <c r="F88" t="str">
        <v>btg</v>
      </c>
      <c r="G88">
        <f>J88*$N$81</f>
        <v>269280</v>
      </c>
      <c r="H88" t="str">
        <v>spec JIS</v>
      </c>
      <c r="J88">
        <v>316800</v>
      </c>
    </row>
    <row r="89">
      <c r="B89" t="str">
        <v>Pipa PVC 2"</v>
      </c>
      <c r="E89" t="str">
        <v>Rucika - Wavin</v>
      </c>
      <c r="F89" t="str">
        <v>btg</v>
      </c>
      <c r="G89">
        <f>J89*$N$81</f>
        <v>209355</v>
      </c>
      <c r="H89" t="str">
        <v>spec JIS</v>
      </c>
      <c r="J89">
        <v>246300</v>
      </c>
    </row>
    <row r="90">
      <c r="B90" t="str">
        <v>Pipa PVC 1,5"</v>
      </c>
      <c r="E90" t="str">
        <v>Rucika - Wavin</v>
      </c>
      <c r="F90" t="str">
        <v>btg</v>
      </c>
      <c r="G90">
        <f>J90*$N$81</f>
        <v>147475</v>
      </c>
      <c r="H90" t="str">
        <v>spec JIS</v>
      </c>
      <c r="J90">
        <v>173500</v>
      </c>
    </row>
    <row r="92">
      <c r="B92" t="str">
        <v>Roof drain 4"</v>
      </c>
      <c r="E92" t="str">
        <v>San-Ei</v>
      </c>
      <c r="F92" t="str">
        <v>pcs</v>
      </c>
      <c r="G92">
        <v>250000</v>
      </c>
      <c r="J92">
        <v>221250</v>
      </c>
    </row>
    <row r="93">
      <c r="B93" t="str">
        <v>Roof drain 3"</v>
      </c>
      <c r="E93" t="str">
        <v>San-Ei</v>
      </c>
      <c r="F93" t="str">
        <v>pcs</v>
      </c>
      <c r="G93">
        <v>225000</v>
      </c>
      <c r="J93">
        <v>206250</v>
      </c>
    </row>
    <row r="94">
      <c r="B94" t="str">
        <v>Roof drain 2"</v>
      </c>
      <c r="E94" t="str">
        <v>San-Ei</v>
      </c>
      <c r="F94" t="str">
        <v>pcs</v>
      </c>
      <c r="G94">
        <v>200000</v>
      </c>
      <c r="J94">
        <v>191250</v>
      </c>
    </row>
    <row r="96">
      <c r="B96" t="str">
        <v>Bioseptictank 0,5 m3</v>
      </c>
      <c r="E96" t="str">
        <v>Pancawira Perkasa</v>
      </c>
      <c r="F96" t="str">
        <v>unit</v>
      </c>
      <c r="G96">
        <f>1925000*1.11</f>
        <v>2136750</v>
      </c>
    </row>
    <row r="97">
      <c r="B97" t="str">
        <v>Bioseptictank 1 m3</v>
      </c>
      <c r="E97" t="str">
        <v>Pancawira Perkasa</v>
      </c>
      <c r="F97" t="str">
        <v>unit</v>
      </c>
      <c r="G97">
        <f>2805000*1.11</f>
        <v>3113550.0000000005</v>
      </c>
    </row>
    <row r="98">
      <c r="B98" t="str">
        <v>Bioseptictank 1,5 m3</v>
      </c>
      <c r="E98" t="str">
        <v>Pancawira Perkasa</v>
      </c>
      <c r="F98" t="str">
        <v>unit</v>
      </c>
      <c r="G98">
        <f>4510000*1.11</f>
        <v>5006100</v>
      </c>
    </row>
    <row r="99">
      <c r="B99" t="str">
        <v>Bioseptictank 2 m3</v>
      </c>
      <c r="E99" t="str">
        <v>Pancawira Perkasa</v>
      </c>
      <c r="F99" t="str">
        <v>unit</v>
      </c>
      <c r="G99">
        <f>6270000*1.11</f>
        <v>6959700.000000001</v>
      </c>
    </row>
  </sheetData>
  <mergeCells count="47">
    <mergeCell ref="F5:F6"/>
    <mergeCell ref="B8:D8"/>
    <mergeCell ref="B10:D10"/>
    <mergeCell ref="B23:D23"/>
    <mergeCell ref="B38:D38"/>
    <mergeCell ref="B36:D36"/>
    <mergeCell ref="B37:D37"/>
    <mergeCell ref="B22:D22"/>
    <mergeCell ref="A5:A6"/>
    <mergeCell ref="B5:D6"/>
    <mergeCell ref="B17:D17"/>
    <mergeCell ref="B39:D39"/>
    <mergeCell ref="E5:E6"/>
    <mergeCell ref="B18:D18"/>
    <mergeCell ref="B19:D19"/>
    <mergeCell ref="B35:D35"/>
    <mergeCell ref="B26:D26"/>
    <mergeCell ref="B27:D27"/>
    <mergeCell ref="B28:D28"/>
    <mergeCell ref="B29:D29"/>
    <mergeCell ref="B20:D20"/>
    <mergeCell ref="B14:D14"/>
    <mergeCell ref="B24:D24"/>
    <mergeCell ref="B25:D25"/>
    <mergeCell ref="B52:D52"/>
    <mergeCell ref="B104:D104"/>
    <mergeCell ref="B76:D76"/>
    <mergeCell ref="B9:D9"/>
    <mergeCell ref="B103:D103"/>
    <mergeCell ref="B72:D72"/>
    <mergeCell ref="B73:D73"/>
    <mergeCell ref="B74:D74"/>
    <mergeCell ref="B75:D75"/>
    <mergeCell ref="B77:D77"/>
    <mergeCell ref="B30:D30"/>
    <mergeCell ref="B31:D31"/>
    <mergeCell ref="B32:D32"/>
    <mergeCell ref="B33:D33"/>
    <mergeCell ref="B34:D34"/>
    <mergeCell ref="B55:D55"/>
    <mergeCell ref="B79:D79"/>
    <mergeCell ref="B80:D80"/>
    <mergeCell ref="B78:D78"/>
    <mergeCell ref="B53:D53"/>
    <mergeCell ref="B81:D81"/>
    <mergeCell ref="B56:D56"/>
    <mergeCell ref="B54:D54"/>
  </mergeCells>
  <pageMargins left="0.7" right="0.7" top="0.75" bottom="0.75" header="0.3" footer="0.3"/>
  <ignoredErrors>
    <ignoredError numberStoredAsText="1" sqref="A1:P10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W107"/>
  <sheetViews>
    <sheetView workbookViewId="0" rightToLeft="0"/>
  </sheetViews>
  <sheetData>
    <row r="1">
      <c r="A1" t="str">
        <v>Lantai</v>
      </c>
      <c r="B1" t="str">
        <v>Luas Bangunan</v>
      </c>
      <c r="C1" t="str">
        <v>Elemen Struktur</v>
      </c>
      <c r="D1" t="str">
        <v>Beton</v>
      </c>
      <c r="E1" t="str">
        <v>Bekisting</v>
      </c>
      <c r="H1" t="str">
        <v>Besi</v>
      </c>
      <c r="U1" t="str">
        <v>Rasio per Lantai</v>
      </c>
    </row>
    <row r="2" xml:space="preserve">
      <c r="E2" t="str">
        <v>Kayu</v>
      </c>
      <c r="F2" t="str">
        <v>Lantai Kerja</v>
      </c>
      <c r="G2" t="str">
        <v>Bata / Batako</v>
      </c>
      <c r="H2">
        <v>6</v>
      </c>
      <c r="I2">
        <v>8</v>
      </c>
      <c r="J2">
        <v>10</v>
      </c>
      <c r="K2">
        <v>13</v>
      </c>
      <c r="L2">
        <v>16</v>
      </c>
      <c r="M2">
        <v>19</v>
      </c>
      <c r="N2">
        <v>22</v>
      </c>
      <c r="O2">
        <v>25</v>
      </c>
      <c r="P2">
        <v>29</v>
      </c>
      <c r="Q2">
        <v>32</v>
      </c>
      <c r="S2" t="str">
        <v>TOTAL BESI</v>
      </c>
      <c r="U2" t="str" xml:space="preserve">
        <v xml:space="preserve">Beton_x000d_
(m3/m2)</v>
      </c>
      <c r="V2" t="str" xml:space="preserve">
        <v xml:space="preserve">Bekisting_x000d_
(m2/m3)</v>
      </c>
      <c r="W2" t="str" xml:space="preserve">
        <v xml:space="preserve">Besi_x000d_
(kg/m3)</v>
      </c>
    </row>
    <row r="5">
      <c r="A5" t="str">
        <v>Lantai Basement</v>
      </c>
      <c r="B5" t="e">
        <f>'REKAP Plat'!#REF!</f>
        <v>#REF!</v>
      </c>
      <c r="C5" t="str">
        <v>Pile cap</v>
      </c>
      <c r="D5">
        <f>'REKAP-PC'!B24</f>
        <v>53.451787499999995</v>
      </c>
      <c r="F5">
        <f>'REKAP-PC'!I24</f>
        <v>11.41405</v>
      </c>
      <c r="G5">
        <f>'REKAP-PC'!C24</f>
        <v>154.80350010745607</v>
      </c>
      <c r="H5">
        <f>'REKAP-PC'!J24</f>
        <v>0</v>
      </c>
      <c r="I5">
        <f>'REKAP-PC'!K24</f>
        <v>0</v>
      </c>
      <c r="J5">
        <f>'REKAP-PC'!L24</f>
        <v>67.28481000000002</v>
      </c>
      <c r="K5">
        <f>'REKAP-PC'!M24</f>
        <v>2184.5250765075384</v>
      </c>
      <c r="L5">
        <f>'REKAP-PC'!N24</f>
        <v>3756.4005888</v>
      </c>
      <c r="M5">
        <f>'REKAP-PC'!O24</f>
        <v>0</v>
      </c>
      <c r="N5">
        <f>'REKAP-PC'!P24</f>
        <v>0</v>
      </c>
      <c r="O5">
        <f>'REKAP-PC'!Q24</f>
        <v>0</v>
      </c>
      <c r="P5">
        <v>0</v>
      </c>
      <c r="Q5">
        <v>0</v>
      </c>
      <c r="S5">
        <f>SUM(H5:Q5)</f>
        <v>6008.210475307538</v>
      </c>
      <c r="V5">
        <f>SUM(E5:G5)/D5</f>
        <v>3.109672433451474</v>
      </c>
      <c r="W5">
        <f>S5/D5</f>
        <v>112.4042947171325</v>
      </c>
    </row>
    <row r="6">
      <c r="C6" t="str">
        <v>Pile cap carport</v>
      </c>
      <c r="D6" t="e">
        <f>'REKAP-PC'!#REF!</f>
        <v>#REF!</v>
      </c>
      <c r="F6" t="e">
        <f>'REKAP-PC'!#REF!</f>
        <v>#REF!</v>
      </c>
      <c r="G6" t="e">
        <f>'REKAP-PC'!#REF!</f>
        <v>#REF!</v>
      </c>
      <c r="H6" t="e">
        <f>'REKAP-PC'!#REF!</f>
        <v>#REF!</v>
      </c>
      <c r="I6" t="e">
        <f>'REKAP-PC'!#REF!</f>
        <v>#REF!</v>
      </c>
      <c r="J6" t="e">
        <f>'REKAP-PC'!#REF!</f>
        <v>#REF!</v>
      </c>
      <c r="K6" t="e">
        <f>'REKAP-PC'!#REF!</f>
        <v>#REF!</v>
      </c>
      <c r="L6" t="e">
        <f>'REKAP-PC'!#REF!</f>
        <v>#REF!</v>
      </c>
      <c r="M6" t="e">
        <f>'REKAP-PC'!#REF!</f>
        <v>#REF!</v>
      </c>
      <c r="N6" t="e">
        <f>'REKAP-PC'!#REF!</f>
        <v>#REF!</v>
      </c>
      <c r="O6" t="e">
        <f>'REKAP-PC'!#REF!</f>
        <v>#REF!</v>
      </c>
      <c r="P6">
        <v>0</v>
      </c>
      <c r="Q6">
        <v>0</v>
      </c>
      <c r="S6" t="e">
        <f>SUM(H6:Q6)</f>
        <v>#REF!</v>
      </c>
      <c r="V6" t="e">
        <f>SUM(E6:G6)/D6</f>
        <v>#REF!</v>
      </c>
      <c r="W6" t="e">
        <f>S6/D6</f>
        <v>#REF!</v>
      </c>
    </row>
    <row r="7">
      <c r="C7" t="str">
        <v>Kolom Pondasi Elv. Miring</v>
      </c>
      <c r="D7">
        <f>'Hasil-Kolom'!F243</f>
        <v>26.092439999999996</v>
      </c>
      <c r="E7">
        <f>'Hasil-Kolom'!G243</f>
        <v>287.9579999999999</v>
      </c>
      <c r="I7">
        <f>'Hasil-Kolom'!H243</f>
        <v>917.9517311999999</v>
      </c>
      <c r="J7">
        <f>'Hasil-Kolom'!I243+'Hasil-Kolom'!L243</f>
        <v>1462.5014958</v>
      </c>
      <c r="K7">
        <f>'Hasil-Kolom'!J243+'Hasil-Kolom'!M243</f>
        <v>0</v>
      </c>
      <c r="L7">
        <f>'Hasil-Kolom'!K243+'Hasil-Kolom'!N243</f>
        <v>179.85435624</v>
      </c>
      <c r="M7">
        <f>'Hasil-Kolom'!O243</f>
        <v>1485.45211392</v>
      </c>
      <c r="N7">
        <f>'Hasil-Kolom'!P243</f>
        <v>1563.6463599600002</v>
      </c>
      <c r="O7">
        <f>'Hasil-Kolom'!Q243</f>
        <v>2080.645578</v>
      </c>
      <c r="P7">
        <f>'Hasil-Kolom'!R243</f>
        <v>0</v>
      </c>
      <c r="S7">
        <f>SUM(H7:Q7)</f>
        <v>7690.05163512</v>
      </c>
      <c r="V7">
        <f>SUM(E7:G7)/D7</f>
        <v>11.036070218040166</v>
      </c>
      <c r="W7">
        <f>S7/D7</f>
        <v>294.7233618289436</v>
      </c>
    </row>
    <row r="8">
      <c r="C8" t="str">
        <v>Kolom Elv. -7.50</v>
      </c>
      <c r="D8">
        <f>'Hasil-Kolom'!F273</f>
        <v>23.68845</v>
      </c>
      <c r="E8">
        <f>'Hasil-Kolom'!G273</f>
        <v>303.03</v>
      </c>
      <c r="I8">
        <f>'Hasil-Kolom'!H273</f>
        <v>935.0046144</v>
      </c>
      <c r="J8">
        <f>'Hasil-Kolom'!I273+'Hasil-Kolom'!L273</f>
        <v>828.5094180000001</v>
      </c>
      <c r="K8">
        <f>'Hasil-Kolom'!J273+'Hasil-Kolom'!M273</f>
        <v>124.31106000000001</v>
      </c>
      <c r="L8">
        <f>'Hasil-Kolom'!K273+'Hasil-Kolom'!N273</f>
        <v>138.27897719999999</v>
      </c>
      <c r="M8">
        <f>'Hasil-Kolom'!O273</f>
        <v>1161.46469376</v>
      </c>
      <c r="N8">
        <f>'Hasil-Kolom'!P273</f>
        <v>1677.84455124</v>
      </c>
      <c r="O8">
        <f>'Hasil-Kolom'!Q273</f>
        <v>1373.72140224</v>
      </c>
      <c r="P8">
        <f>'Hasil-Kolom'!R273</f>
        <v>0</v>
      </c>
      <c r="S8">
        <f>SUM(H8:Q8)</f>
        <v>6239.134716840001</v>
      </c>
      <c r="V8">
        <f>SUM(E8:G8)/D8</f>
        <v>12.79231017647841</v>
      </c>
      <c r="W8">
        <f>S8/D8</f>
        <v>263.38298693413884</v>
      </c>
    </row>
    <row r="9">
      <c r="C9" t="str">
        <v>Kolom Elv. -6.00</v>
      </c>
      <c r="D9">
        <f>'Hasil-Kolom'!F303</f>
        <v>16.538850000000004</v>
      </c>
      <c r="E9">
        <f>'Hasil-Kolom'!G303</f>
        <v>240.3</v>
      </c>
      <c r="I9">
        <f>'Hasil-Kolom'!H303</f>
        <v>987.48504</v>
      </c>
      <c r="J9">
        <f>'Hasil-Kolom'!I303+'Hasil-Kolom'!L303</f>
        <v>221.27176332000005</v>
      </c>
      <c r="K9">
        <f>'Hasil-Kolom'!J303+'Hasil-Kolom'!M303</f>
        <v>0</v>
      </c>
      <c r="L9">
        <f>'Hasil-Kolom'!K303+'Hasil-Kolom'!N303</f>
        <v>149.27294772</v>
      </c>
      <c r="M9">
        <f>'Hasil-Kolom'!O303</f>
        <v>1361.50977024</v>
      </c>
      <c r="N9">
        <f>'Hasil-Kolom'!P303</f>
        <v>1306.8072567</v>
      </c>
      <c r="O9">
        <f>'Hasil-Kolom'!Q303</f>
        <v>315.62077536000004</v>
      </c>
      <c r="P9">
        <f>'Hasil-Kolom'!R303</f>
        <v>0</v>
      </c>
      <c r="S9">
        <f>SUM(H9:Q9)</f>
        <v>4341.96755334</v>
      </c>
      <c r="V9">
        <f>SUM(E9:G9)/D9</f>
        <v>14.5294261692923</v>
      </c>
      <c r="W9">
        <f>S9/D9</f>
        <v>262.5314065572878</v>
      </c>
    </row>
    <row r="10">
      <c r="C10" t="str">
        <v>Kolom Elv. -5.00</v>
      </c>
      <c r="D10" t="e">
        <f>'Hasil-Kolom'!#REF!</f>
        <v>#REF!</v>
      </c>
      <c r="E10" t="e">
        <f>'Hasil-Kolom'!#REF!</f>
        <v>#REF!</v>
      </c>
      <c r="I10" t="e">
        <f>'Hasil-Kolom'!#REF!</f>
        <v>#REF!</v>
      </c>
      <c r="J10" t="e">
        <f>'Hasil-Kolom'!#REF!+'Hasil-Kolom'!#REF!</f>
        <v>#REF!</v>
      </c>
      <c r="K10" t="e">
        <f>'Hasil-Kolom'!#REF!+'Hasil-Kolom'!#REF!</f>
        <v>#REF!</v>
      </c>
      <c r="L10" t="e">
        <f>'Hasil-Kolom'!#REF!+'Hasil-Kolom'!#REF!</f>
        <v>#REF!</v>
      </c>
      <c r="M10" t="e">
        <f>'Hasil-Kolom'!#REF!</f>
        <v>#REF!</v>
      </c>
      <c r="N10" t="e">
        <f>'Hasil-Kolom'!#REF!</f>
        <v>#REF!</v>
      </c>
      <c r="O10" t="e">
        <f>'Hasil-Kolom'!#REF!</f>
        <v>#REF!</v>
      </c>
      <c r="P10" t="e">
        <f>'Hasil-Kolom'!#REF!</f>
        <v>#REF!</v>
      </c>
      <c r="S10" t="e">
        <f>SUM(H10:Q10)</f>
        <v>#REF!</v>
      </c>
      <c r="V10" t="e">
        <f>SUM(E10:G10)/D10</f>
        <v>#REF!</v>
      </c>
      <c r="W10" t="e">
        <f>S10/D10</f>
        <v>#REF!</v>
      </c>
    </row>
    <row r="11">
      <c r="C11" t="str">
        <v>Kolom Lantai Basement</v>
      </c>
      <c r="D11" t="e">
        <f>'Hasil-Kolom'!#REF!</f>
        <v>#REF!</v>
      </c>
      <c r="E11" t="e">
        <f>'Hasil-Kolom'!#REF!</f>
        <v>#REF!</v>
      </c>
      <c r="I11" t="e">
        <f>'Hasil-Kolom'!#REF!</f>
        <v>#REF!</v>
      </c>
      <c r="J11" t="e">
        <f>'Hasil-Kolom'!#REF!+'Hasil-Kolom'!#REF!</f>
        <v>#REF!</v>
      </c>
      <c r="K11" t="e">
        <f>'Hasil-Kolom'!#REF!+'Hasil-Kolom'!#REF!</f>
        <v>#REF!</v>
      </c>
      <c r="L11" t="e">
        <f>'Hasil-Kolom'!#REF!+'Hasil-Kolom'!#REF!</f>
        <v>#REF!</v>
      </c>
      <c r="M11" t="e">
        <f>'Hasil-Kolom'!#REF!</f>
        <v>#REF!</v>
      </c>
      <c r="N11" t="e">
        <f>'Hasil-Kolom'!#REF!</f>
        <v>#REF!</v>
      </c>
      <c r="O11" t="e">
        <f>'Hasil-Kolom'!#REF!</f>
        <v>#REF!</v>
      </c>
      <c r="P11" t="e">
        <f>'Hasil-Kolom'!#REF!</f>
        <v>#REF!</v>
      </c>
      <c r="S11" t="e">
        <f>SUM(H11:Q11)</f>
        <v>#REF!</v>
      </c>
      <c r="V11" t="e">
        <f>SUM(E11:G11)/D11</f>
        <v>#REF!</v>
      </c>
      <c r="W11" t="e">
        <f>S11/D11</f>
        <v>#REF!</v>
      </c>
    </row>
    <row r="12">
      <c r="C12" t="str">
        <v>Balok Pondasi Elv. Miring</v>
      </c>
      <c r="D12">
        <f>'REKAP Balok'!G457</f>
        <v>38.309149999999995</v>
      </c>
      <c r="F12">
        <f>'REKAP Balok'!J457</f>
        <v>9.487299999999998</v>
      </c>
      <c r="G12">
        <f>'REKAP Balok'!H457</f>
        <v>0</v>
      </c>
      <c r="H12">
        <f>'REKAP Balok'!L457</f>
        <v>0</v>
      </c>
      <c r="I12">
        <f>'REKAP Balok'!M457</f>
        <v>872.174564352</v>
      </c>
      <c r="J12">
        <f>'REKAP Balok'!N457</f>
        <v>1187.0830800000003</v>
      </c>
      <c r="K12">
        <f>'REKAP Balok'!O457</f>
        <v>1715.201722611</v>
      </c>
      <c r="L12">
        <f>'REKAP Balok'!P457</f>
        <v>1895.3021030400002</v>
      </c>
      <c r="M12">
        <f>'REKAP Balok'!Q457</f>
        <v>597.6988491825</v>
      </c>
      <c r="N12">
        <f>'REKAP Balok'!R457</f>
        <v>769.2465676499999</v>
      </c>
      <c r="O12">
        <f>'REKAP Balok'!S457</f>
        <v>0</v>
      </c>
      <c r="P12">
        <f>'REKAP Balok'!T457</f>
        <v>0</v>
      </c>
      <c r="Q12">
        <v>0</v>
      </c>
      <c r="S12">
        <f>SUM(H12:Q12)</f>
        <v>7036.7068868355</v>
      </c>
      <c r="V12">
        <f>SUM(E12:G12)/D12</f>
        <v>0.24765101809880927</v>
      </c>
      <c r="W12">
        <f>S12/D12</f>
        <v>183.68214608874123</v>
      </c>
    </row>
    <row r="13">
      <c r="C13" t="str">
        <v>Balok Elv. -7.50</v>
      </c>
      <c r="D13">
        <f>'REKAP Balok'!G535</f>
        <v>54.648105</v>
      </c>
      <c r="E13">
        <f>'REKAP Balok'!H535</f>
        <v>470.44919999999996</v>
      </c>
      <c r="H13">
        <f>'REKAP Balok'!L535</f>
        <v>0</v>
      </c>
      <c r="I13">
        <f>'REKAP Balok'!M535</f>
        <v>822.9929760000001</v>
      </c>
      <c r="J13">
        <f>'REKAP Balok'!N535</f>
        <v>1660.2529950000005</v>
      </c>
      <c r="K13">
        <f>'REKAP Balok'!O535</f>
        <v>3177.8919882449995</v>
      </c>
      <c r="L13">
        <f>'REKAP Balok'!P535</f>
        <v>1742.49769536</v>
      </c>
      <c r="M13">
        <f>'REKAP Balok'!Q535</f>
        <v>0</v>
      </c>
      <c r="N13">
        <f>'REKAP Balok'!R535</f>
        <v>5114.05854102</v>
      </c>
      <c r="O13">
        <f>'REKAP Balok'!S535</f>
        <v>0</v>
      </c>
      <c r="P13">
        <f>'REKAP Balok'!T535</f>
        <v>0</v>
      </c>
      <c r="Q13">
        <v>0</v>
      </c>
      <c r="S13">
        <f>SUM(H13:Q13)</f>
        <v>12517.694195625001</v>
      </c>
      <c r="V13">
        <f>SUM(E13:G13)/D13</f>
        <v>8.608701070238391</v>
      </c>
      <c r="W13">
        <f>S13/D13</f>
        <v>229.05998653795956</v>
      </c>
    </row>
    <row r="14">
      <c r="C14" t="str">
        <v>Balok Elv. -6.00</v>
      </c>
      <c r="D14">
        <f>'REKAP Balok'!G769</f>
        <v>17.2133475</v>
      </c>
      <c r="E14">
        <f>'REKAP Balok'!H769</f>
        <v>228.08319999999998</v>
      </c>
      <c r="F14">
        <f>'REKAP Balok'!J769</f>
        <v>0</v>
      </c>
      <c r="H14">
        <f>'REKAP Balok'!L769</f>
        <v>0</v>
      </c>
      <c r="I14">
        <f>'REKAP Balok'!M769</f>
        <v>631.68819264</v>
      </c>
      <c r="J14">
        <f>'REKAP Balok'!N769</f>
        <v>783.750285</v>
      </c>
      <c r="K14">
        <f>'REKAP Balok'!O769</f>
        <v>657.8253513</v>
      </c>
      <c r="L14">
        <f>'REKAP Balok'!P769</f>
        <v>1304.7152256</v>
      </c>
      <c r="M14">
        <f>'REKAP Balok'!Q769</f>
        <v>35.873882234999996</v>
      </c>
      <c r="N14">
        <f>'REKAP Balok'!R769</f>
        <v>0</v>
      </c>
      <c r="O14">
        <f>'REKAP Balok'!S769</f>
        <v>0</v>
      </c>
      <c r="P14">
        <f>'REKAP Balok'!T769</f>
        <v>0</v>
      </c>
      <c r="Q14">
        <v>0</v>
      </c>
      <c r="S14">
        <f>SUM(H14:Q14)</f>
        <v>3413.852936775</v>
      </c>
      <c r="V14">
        <f>SUM(E14:G14)/D14</f>
        <v>13.25036864561062</v>
      </c>
      <c r="W14">
        <f>S14/D14</f>
        <v>198.32591753434363</v>
      </c>
    </row>
    <row r="15">
      <c r="C15" t="str">
        <v>Balok Elv. -5.00</v>
      </c>
      <c r="D15" t="e">
        <f>'REKAP Balok'!#REF!</f>
        <v>#REF!</v>
      </c>
      <c r="F15" t="e">
        <f>'REKAP Balok'!#REF!</f>
        <v>#REF!</v>
      </c>
      <c r="G15" t="e">
        <f>'REKAP Balok'!#REF!</f>
        <v>#REF!</v>
      </c>
      <c r="H15" t="e">
        <f>'REKAP Balok'!#REF!</f>
        <v>#REF!</v>
      </c>
      <c r="I15" t="e">
        <f>'REKAP Balok'!#REF!</f>
        <v>#REF!</v>
      </c>
      <c r="J15" t="e">
        <f>'REKAP Balok'!#REF!</f>
        <v>#REF!</v>
      </c>
      <c r="K15" t="e">
        <f>'REKAP Balok'!#REF!</f>
        <v>#REF!</v>
      </c>
      <c r="L15" t="e">
        <f>'REKAP Balok'!#REF!</f>
        <v>#REF!</v>
      </c>
      <c r="M15" t="e">
        <f>'REKAP Balok'!#REF!</f>
        <v>#REF!</v>
      </c>
      <c r="N15" t="e">
        <f>'REKAP Balok'!#REF!</f>
        <v>#REF!</v>
      </c>
      <c r="O15" t="e">
        <f>'REKAP Balok'!#REF!</f>
        <v>#REF!</v>
      </c>
      <c r="P15" t="e">
        <f>'REKAP Balok'!#REF!</f>
        <v>#REF!</v>
      </c>
      <c r="Q15">
        <v>0</v>
      </c>
      <c r="S15" t="e">
        <f>SUM(H15:Q15)</f>
        <v>#REF!</v>
      </c>
      <c r="V15" t="e">
        <f>SUM(E15:G15)/D15</f>
        <v>#REF!</v>
      </c>
      <c r="W15" t="e">
        <f>S15/D15</f>
        <v>#REF!</v>
      </c>
    </row>
    <row r="16">
      <c r="C16" t="str">
        <v>Balok Lantai Basement</v>
      </c>
      <c r="D16" t="e">
        <f>'REKAP Balok'!#REF!</f>
        <v>#REF!</v>
      </c>
      <c r="E16" t="e">
        <f>'REKAP Balok'!#REF!</f>
        <v>#REF!</v>
      </c>
      <c r="F16" t="e">
        <f>'REKAP Balok'!#REF!</f>
        <v>#REF!</v>
      </c>
      <c r="H16" t="e">
        <f>'REKAP Balok'!#REF!</f>
        <v>#REF!</v>
      </c>
      <c r="I16" t="e">
        <f>'REKAP Balok'!#REF!</f>
        <v>#REF!</v>
      </c>
      <c r="J16" t="e">
        <f>'REKAP Balok'!#REF!</f>
        <v>#REF!</v>
      </c>
      <c r="K16" t="e">
        <f>'REKAP Balok'!#REF!</f>
        <v>#REF!</v>
      </c>
      <c r="L16" t="e">
        <f>'REKAP Balok'!#REF!</f>
        <v>#REF!</v>
      </c>
      <c r="M16" t="e">
        <f>'REKAP Balok'!#REF!</f>
        <v>#REF!</v>
      </c>
      <c r="N16" t="e">
        <f>'REKAP Balok'!#REF!</f>
        <v>#REF!</v>
      </c>
      <c r="O16" t="e">
        <f>'REKAP Balok'!#REF!</f>
        <v>#REF!</v>
      </c>
      <c r="P16" t="e">
        <f>'REKAP Balok'!#REF!</f>
        <v>#REF!</v>
      </c>
      <c r="Q16">
        <v>0</v>
      </c>
      <c r="S16" t="e">
        <f>SUM(H16:Q16)</f>
        <v>#REF!</v>
      </c>
      <c r="V16" t="e">
        <f>SUM(E16:G16)/D16</f>
        <v>#REF!</v>
      </c>
      <c r="W16" t="e">
        <f>S16/D16</f>
        <v>#REF!</v>
      </c>
    </row>
    <row r="17">
      <c r="C17" t="str">
        <v>Balok Carport</v>
      </c>
      <c r="D17" t="e">
        <f>'REKAP Balok'!#REF!</f>
        <v>#REF!</v>
      </c>
      <c r="E17" t="e">
        <f>'REKAP Balok'!#REF!</f>
        <v>#REF!</v>
      </c>
      <c r="H17" t="e">
        <f>'REKAP Balok'!#REF!</f>
        <v>#REF!</v>
      </c>
      <c r="I17" t="e">
        <f>'REKAP Balok'!#REF!</f>
        <v>#REF!</v>
      </c>
      <c r="J17" t="e">
        <f>'REKAP Balok'!#REF!</f>
        <v>#REF!</v>
      </c>
      <c r="K17" t="e">
        <f>'REKAP Balok'!#REF!</f>
        <v>#REF!</v>
      </c>
      <c r="L17" t="e">
        <f>'REKAP Balok'!#REF!</f>
        <v>#REF!</v>
      </c>
      <c r="M17" t="e">
        <f>'REKAP Balok'!#REF!</f>
        <v>#REF!</v>
      </c>
      <c r="N17" t="e">
        <f>'REKAP Balok'!#REF!</f>
        <v>#REF!</v>
      </c>
      <c r="O17" t="e">
        <f>'REKAP Balok'!#REF!</f>
        <v>#REF!</v>
      </c>
      <c r="P17" t="e">
        <f>'REKAP Balok'!#REF!</f>
        <v>#REF!</v>
      </c>
      <c r="Q17">
        <v>0</v>
      </c>
      <c r="S17" t="e">
        <f>SUM(H17:Q17)</f>
        <v>#REF!</v>
      </c>
      <c r="V17" t="e">
        <f>SUM(E17:G17)/D17</f>
        <v>#REF!</v>
      </c>
      <c r="W17" t="e">
        <f>S17/D17</f>
        <v>#REF!</v>
      </c>
    </row>
    <row r="18">
      <c r="C18" t="str">
        <v>Retaining wall</v>
      </c>
      <c r="D18" t="e">
        <f>SUM(#REF!)</f>
        <v>#REF!</v>
      </c>
      <c r="E18" t="e">
        <f>SUM(#REF!)</f>
        <v>#REF!</v>
      </c>
      <c r="I18" t="e">
        <f>SUM(#REF!)</f>
        <v>#REF!</v>
      </c>
      <c r="J18" t="e">
        <f>SUM(#REF!)</f>
        <v>#REF!</v>
      </c>
      <c r="K18" t="e">
        <f>SUM(#REF!)</f>
        <v>#REF!</v>
      </c>
      <c r="L18" t="e">
        <f>SUM(#REF!)</f>
        <v>#REF!</v>
      </c>
      <c r="M18" t="e">
        <f>SUM(#REF!)</f>
        <v>#REF!</v>
      </c>
      <c r="S18" t="e">
        <f>SUM(H18:Q18)</f>
        <v>#REF!</v>
      </c>
      <c r="V18" t="e">
        <f>SUM(E18:G18)/D18</f>
        <v>#REF!</v>
      </c>
      <c r="W18" t="e">
        <f>S18/D18</f>
        <v>#REF!</v>
      </c>
    </row>
    <row r="19">
      <c r="C19" t="str">
        <v>Plat Lantai Bangunan</v>
      </c>
      <c r="D19" t="e">
        <f>'REKAP Plat'!#REF!</f>
        <v>#REF!</v>
      </c>
      <c r="E19" t="e">
        <f>'REKAP Plat'!#REF!</f>
        <v>#REF!</v>
      </c>
      <c r="F19" t="e">
        <f>'REKAP Plat'!#REF!</f>
        <v>#REF!</v>
      </c>
      <c r="H19">
        <v>0</v>
      </c>
      <c r="I19" t="e">
        <f>'REKAP Plat'!#REF!</f>
        <v>#REF!</v>
      </c>
      <c r="J19" t="e">
        <f>'REKAP Plat'!#REF!</f>
        <v>#REF!</v>
      </c>
      <c r="K19" t="e">
        <f>'REKAP Plat'!#REF!</f>
        <v>#REF!</v>
      </c>
      <c r="L19" t="e">
        <f>'REKAP Plat'!#REF!</f>
        <v>#REF!</v>
      </c>
      <c r="M19" t="e">
        <f>'REKAP Plat'!#REF!</f>
        <v>#REF!</v>
      </c>
      <c r="N19">
        <v>0</v>
      </c>
      <c r="O19">
        <v>0</v>
      </c>
      <c r="P19">
        <v>0</v>
      </c>
      <c r="Q19">
        <v>0</v>
      </c>
      <c r="S19" t="e">
        <f>SUM(H19:Q19)</f>
        <v>#REF!</v>
      </c>
      <c r="V19" t="e">
        <f>SUM(E19:G19)/D19</f>
        <v>#REF!</v>
      </c>
      <c r="W19" t="e">
        <f>S19/D19</f>
        <v>#REF!</v>
      </c>
    </row>
    <row r="20">
      <c r="U20" t="e">
        <f>SUM(D5:D19)/SUM(B5)</f>
        <v>#REF!</v>
      </c>
      <c r="V20" t="e">
        <f>SUM(E5:E19)/SUM(D5:D19)</f>
        <v>#REF!</v>
      </c>
      <c r="W20" t="e">
        <f>SUM(H5:Q19)/SUM(D5:D19)</f>
        <v>#REF!</v>
      </c>
    </row>
    <row r="22">
      <c r="A22" t="str">
        <v>Lantai 1</v>
      </c>
      <c r="B22">
        <f>'REKAP Plat'!F24</f>
        <v>343.985</v>
      </c>
      <c r="C22" t="str">
        <v>Balok Kolam Renang</v>
      </c>
      <c r="D22" t="e">
        <f>'REKAP Balok'!#REF!</f>
        <v>#REF!</v>
      </c>
      <c r="E22" t="e">
        <f>'REKAP Balok'!#REF!</f>
        <v>#REF!</v>
      </c>
      <c r="H22" t="e">
        <f>'REKAP Balok'!#REF!</f>
        <v>#REF!</v>
      </c>
      <c r="I22" t="e">
        <f>'REKAP Balok'!#REF!</f>
        <v>#REF!</v>
      </c>
      <c r="J22" t="e">
        <f>'REKAP Balok'!#REF!</f>
        <v>#REF!</v>
      </c>
      <c r="K22" t="e">
        <f>'REKAP Balok'!#REF!</f>
        <v>#REF!</v>
      </c>
      <c r="L22" t="e">
        <f>'REKAP Balok'!#REF!</f>
        <v>#REF!</v>
      </c>
      <c r="M22" t="e">
        <f>'REKAP Balok'!#REF!</f>
        <v>#REF!</v>
      </c>
      <c r="N22" t="e">
        <f>'REKAP Balok'!#REF!</f>
        <v>#REF!</v>
      </c>
      <c r="O22" t="e">
        <f>'REKAP Balok'!#REF!</f>
        <v>#REF!</v>
      </c>
      <c r="P22" t="e">
        <f>'REKAP Balok'!#REF!</f>
        <v>#REF!</v>
      </c>
      <c r="Q22">
        <v>0</v>
      </c>
      <c r="S22" t="e">
        <f>SUM(H22:Q22)</f>
        <v>#REF!</v>
      </c>
      <c r="V22" t="e">
        <f>SUM(E22:G22)/D22</f>
        <v>#REF!</v>
      </c>
      <c r="W22" t="e">
        <f>S22/D22</f>
        <v>#REF!</v>
      </c>
    </row>
    <row r="23">
      <c r="C23" t="str">
        <v>Balok Lantai 1</v>
      </c>
      <c r="D23" t="e">
        <f>'REKAP Balok'!#REF!</f>
        <v>#REF!</v>
      </c>
      <c r="E23" t="e">
        <f>'REKAP Balok'!#REF!</f>
        <v>#REF!</v>
      </c>
      <c r="H23" t="e">
        <f>'REKAP Balok'!#REF!</f>
        <v>#REF!</v>
      </c>
      <c r="I23" t="e">
        <f>'REKAP Balok'!#REF!</f>
        <v>#REF!</v>
      </c>
      <c r="J23" t="e">
        <f>'REKAP Balok'!#REF!</f>
        <v>#REF!</v>
      </c>
      <c r="K23" t="e">
        <f>'REKAP Balok'!#REF!</f>
        <v>#REF!</v>
      </c>
      <c r="L23" t="e">
        <f>'REKAP Balok'!#REF!</f>
        <v>#REF!</v>
      </c>
      <c r="M23" t="e">
        <f>'REKAP Balok'!#REF!</f>
        <v>#REF!</v>
      </c>
      <c r="N23" t="e">
        <f>'REKAP Balok'!#REF!</f>
        <v>#REF!</v>
      </c>
      <c r="O23" t="e">
        <f>'REKAP Balok'!#REF!</f>
        <v>#REF!</v>
      </c>
      <c r="P23" t="e">
        <f>'REKAP Balok'!#REF!</f>
        <v>#REF!</v>
      </c>
      <c r="Q23">
        <v>0</v>
      </c>
      <c r="S23" t="e">
        <f>SUM(H23:Q23)</f>
        <v>#REF!</v>
      </c>
      <c r="V23" t="e">
        <f>SUM(E23:G23)/D23</f>
        <v>#REF!</v>
      </c>
      <c r="W23" t="e">
        <f>S23/D23</f>
        <v>#REF!</v>
      </c>
    </row>
    <row r="24">
      <c r="C24" t="str">
        <v>Plat Lantai</v>
      </c>
      <c r="D24">
        <f>'REKAP Plat'!G24</f>
        <v>52.0289</v>
      </c>
      <c r="E24">
        <f>'REKAP Plat'!I24</f>
        <v>418.2855</v>
      </c>
      <c r="H24">
        <v>0</v>
      </c>
      <c r="I24">
        <f>'REKAP Plat'!K24</f>
        <v>0</v>
      </c>
      <c r="J24">
        <f>'REKAP Plat'!L24</f>
        <v>6340.909753600001</v>
      </c>
      <c r="K24">
        <f>'REKAP Plat'!M24</f>
        <v>0</v>
      </c>
      <c r="L24">
        <f>'REKAP Plat'!N24</f>
        <v>0</v>
      </c>
      <c r="M24">
        <f>'REKAP Plat'!O24</f>
        <v>0</v>
      </c>
      <c r="N24">
        <v>0</v>
      </c>
      <c r="O24">
        <v>0</v>
      </c>
      <c r="P24">
        <v>0</v>
      </c>
      <c r="Q24">
        <v>0</v>
      </c>
      <c r="S24">
        <f>SUM(H24:Q24)</f>
        <v>6340.909753600001</v>
      </c>
      <c r="V24">
        <f>SUM(E24:G24)/D24</f>
        <v>8.039483825335536</v>
      </c>
      <c r="W24">
        <f>S24/D24</f>
        <v>121.8728390106268</v>
      </c>
    </row>
    <row r="25">
      <c r="C25" t="str">
        <v>Kolom</v>
      </c>
      <c r="D25" t="e">
        <f>'Hasil-Kolom'!#REF!</f>
        <v>#REF!</v>
      </c>
      <c r="E25" t="e">
        <f>'Hasil-Kolom'!#REF!</f>
        <v>#REF!</v>
      </c>
      <c r="I25" t="e">
        <f>'Hasil-Kolom'!#REF!</f>
        <v>#REF!</v>
      </c>
      <c r="J25" t="e">
        <f>'Hasil-Kolom'!#REF!+'Hasil-Kolom'!#REF!</f>
        <v>#REF!</v>
      </c>
      <c r="K25" t="e">
        <f>'Hasil-Kolom'!#REF!+'Hasil-Kolom'!#REF!</f>
        <v>#REF!</v>
      </c>
      <c r="L25" t="e">
        <f>'Hasil-Kolom'!#REF!+'Hasil-Kolom'!#REF!</f>
        <v>#REF!</v>
      </c>
      <c r="M25" t="e">
        <f>'Hasil-Kolom'!#REF!</f>
        <v>#REF!</v>
      </c>
      <c r="N25" t="e">
        <f>'Hasil-Kolom'!#REF!</f>
        <v>#REF!</v>
      </c>
      <c r="O25" t="e">
        <f>'Hasil-Kolom'!#REF!</f>
        <v>#REF!</v>
      </c>
      <c r="P25" t="e">
        <f>'Hasil-Kolom'!#REF!</f>
        <v>#REF!</v>
      </c>
      <c r="S25" t="e">
        <f>SUM(H25:Q25)</f>
        <v>#REF!</v>
      </c>
      <c r="V25" t="e">
        <f>SUM(E25:G25)/D25</f>
        <v>#REF!</v>
      </c>
      <c r="W25" t="e">
        <f>S25/D25</f>
        <v>#REF!</v>
      </c>
    </row>
    <row r="26">
      <c r="U26" t="e">
        <f>SUM(D17:D25)/SUM(B22)</f>
        <v>#REF!</v>
      </c>
      <c r="V26" t="e">
        <f>SUM(E17:E25)/SUM(D17:D25)</f>
        <v>#REF!</v>
      </c>
      <c r="W26" t="e">
        <f>SUM(H17:Q25)/SUM(D17:D25)</f>
        <v>#REF!</v>
      </c>
    </row>
    <row r="28">
      <c r="A28" t="str">
        <v>Lantai 2</v>
      </c>
      <c r="B28">
        <f>'REKAP Plat'!F35</f>
        <v>286.71</v>
      </c>
      <c r="C28" t="str">
        <v>Balok Elv. +3.50</v>
      </c>
      <c r="D28" t="e">
        <f>'REKAP Balok'!#REF!</f>
        <v>#REF!</v>
      </c>
      <c r="E28" t="e">
        <f>'REKAP Balok'!#REF!</f>
        <v>#REF!</v>
      </c>
      <c r="H28" t="e">
        <f>'REKAP Balok'!#REF!</f>
        <v>#REF!</v>
      </c>
      <c r="I28" t="e">
        <f>'REKAP Balok'!#REF!</f>
        <v>#REF!</v>
      </c>
      <c r="J28" t="e">
        <f>'REKAP Balok'!#REF!</f>
        <v>#REF!</v>
      </c>
      <c r="K28" t="e">
        <f>'REKAP Balok'!#REF!</f>
        <v>#REF!</v>
      </c>
      <c r="L28" t="e">
        <f>'REKAP Balok'!#REF!</f>
        <v>#REF!</v>
      </c>
      <c r="M28" t="e">
        <f>'REKAP Balok'!#REF!</f>
        <v>#REF!</v>
      </c>
      <c r="N28" t="e">
        <f>'REKAP Balok'!#REF!</f>
        <v>#REF!</v>
      </c>
      <c r="O28" t="e">
        <f>'REKAP Balok'!#REF!</f>
        <v>#REF!</v>
      </c>
      <c r="P28" t="e">
        <f>'REKAP Balok'!#REF!</f>
        <v>#REF!</v>
      </c>
      <c r="Q28">
        <v>0</v>
      </c>
      <c r="S28" t="e">
        <f>SUM(H28:Q28)</f>
        <v>#REF!</v>
      </c>
      <c r="V28" t="e">
        <f>SUM(E28:G28)/D28</f>
        <v>#REF!</v>
      </c>
      <c r="W28" t="e">
        <f>S28/D28</f>
        <v>#REF!</v>
      </c>
    </row>
    <row r="29">
      <c r="C29" t="str">
        <v>Balok Lantai 2</v>
      </c>
      <c r="D29" t="e">
        <f>'REKAP Balok'!#REF!</f>
        <v>#REF!</v>
      </c>
      <c r="E29" t="e">
        <f>'REKAP Balok'!#REF!</f>
        <v>#REF!</v>
      </c>
      <c r="H29" t="e">
        <f>'REKAP Balok'!#REF!</f>
        <v>#REF!</v>
      </c>
      <c r="I29" t="e">
        <f>'REKAP Balok'!#REF!</f>
        <v>#REF!</v>
      </c>
      <c r="J29" t="e">
        <f>'REKAP Balok'!#REF!</f>
        <v>#REF!</v>
      </c>
      <c r="K29" t="e">
        <f>'REKAP Balok'!#REF!</f>
        <v>#REF!</v>
      </c>
      <c r="L29" t="e">
        <f>'REKAP Balok'!#REF!</f>
        <v>#REF!</v>
      </c>
      <c r="M29" t="e">
        <f>'REKAP Balok'!#REF!</f>
        <v>#REF!</v>
      </c>
      <c r="N29" t="e">
        <f>'REKAP Balok'!#REF!</f>
        <v>#REF!</v>
      </c>
      <c r="O29" t="e">
        <f>'REKAP Balok'!#REF!</f>
        <v>#REF!</v>
      </c>
      <c r="P29" t="e">
        <f>'REKAP Balok'!#REF!</f>
        <v>#REF!</v>
      </c>
      <c r="Q29">
        <v>0</v>
      </c>
      <c r="S29" t="e">
        <f>SUM(H29:Q29)</f>
        <v>#REF!</v>
      </c>
      <c r="V29" t="e">
        <f>SUM(E29:G29)/D29</f>
        <v>#REF!</v>
      </c>
      <c r="W29" t="e">
        <f>S29/D29</f>
        <v>#REF!</v>
      </c>
    </row>
    <row r="30">
      <c r="C30" t="str">
        <v>Plat Lantai</v>
      </c>
      <c r="D30">
        <f>'REKAP Plat'!G35</f>
        <v>38.8329</v>
      </c>
      <c r="E30">
        <f>'REKAP Plat'!I35</f>
        <v>315.42369999999994</v>
      </c>
      <c r="H30">
        <v>0</v>
      </c>
      <c r="I30">
        <f>'REKAP Plat'!K35</f>
        <v>0</v>
      </c>
      <c r="J30">
        <f>'REKAP Plat'!L35</f>
        <v>4843.5419495999995</v>
      </c>
      <c r="K30">
        <f>'REKAP Plat'!M35</f>
        <v>0</v>
      </c>
      <c r="L30">
        <f>'REKAP Plat'!N35</f>
        <v>0</v>
      </c>
      <c r="M30">
        <f>'REKAP Plat'!O35</f>
        <v>0</v>
      </c>
      <c r="N30">
        <v>0</v>
      </c>
      <c r="O30">
        <v>0</v>
      </c>
      <c r="P30">
        <v>0</v>
      </c>
      <c r="Q30">
        <v>0</v>
      </c>
      <c r="S30">
        <f>SUM(H30:Q30)</f>
        <v>4843.5419495999995</v>
      </c>
      <c r="V30">
        <f>SUM(E30:G30)/D30</f>
        <v>8.122589350782453</v>
      </c>
      <c r="W30">
        <f>S30/D30</f>
        <v>124.72779394791527</v>
      </c>
    </row>
    <row r="31">
      <c r="C31" t="str">
        <v>Kolom</v>
      </c>
      <c r="D31" t="e">
        <f>'Hasil-Kolom'!#REF!</f>
        <v>#REF!</v>
      </c>
      <c r="E31" t="e">
        <f>'Hasil-Kolom'!#REF!</f>
        <v>#REF!</v>
      </c>
      <c r="I31" t="e">
        <f>'Hasil-Kolom'!#REF!</f>
        <v>#REF!</v>
      </c>
      <c r="J31" t="e">
        <f>'Hasil-Kolom'!#REF!+'Hasil-Kolom'!#REF!</f>
        <v>#REF!</v>
      </c>
      <c r="K31" t="e">
        <f>'Hasil-Kolom'!#REF!+'Hasil-Kolom'!#REF!</f>
        <v>#REF!</v>
      </c>
      <c r="L31" t="e">
        <f>'Hasil-Kolom'!#REF!+'Hasil-Kolom'!#REF!</f>
        <v>#REF!</v>
      </c>
      <c r="M31" t="e">
        <f>'Hasil-Kolom'!#REF!</f>
        <v>#REF!</v>
      </c>
      <c r="N31" t="e">
        <f>'Hasil-Kolom'!#REF!</f>
        <v>#REF!</v>
      </c>
      <c r="O31" t="e">
        <f>'Hasil-Kolom'!#REF!</f>
        <v>#REF!</v>
      </c>
      <c r="P31" t="e">
        <f>'Hasil-Kolom'!#REF!</f>
        <v>#REF!</v>
      </c>
      <c r="S31" t="e">
        <f>SUM(H31:Q31)</f>
        <v>#REF!</v>
      </c>
      <c r="V31" t="e">
        <f>SUM(E31:G31)/D31</f>
        <v>#REF!</v>
      </c>
      <c r="W31" t="e">
        <f>S31/D31</f>
        <v>#REF!</v>
      </c>
    </row>
    <row r="32">
      <c r="U32" t="e">
        <f>SUM(D28:D31)/SUM(B28)</f>
        <v>#REF!</v>
      </c>
      <c r="V32" t="e">
        <f>SUM(E28:E31)/SUM(D28:D31)</f>
        <v>#REF!</v>
      </c>
      <c r="W32" t="e">
        <f>SUM(H28:Q31)/SUM(D28:D31)</f>
        <v>#REF!</v>
      </c>
    </row>
    <row r="34">
      <c r="A34" t="str">
        <v>Lantai 3</v>
      </c>
      <c r="B34" t="e">
        <f>'REKAP Plat'!#REF!</f>
        <v>#REF!</v>
      </c>
      <c r="C34" t="str">
        <v>Balok Elv. +7.90</v>
      </c>
      <c r="D34" t="e">
        <f>'REKAP Balok'!#REF!</f>
        <v>#REF!</v>
      </c>
      <c r="E34" t="e">
        <f>'REKAP Balok'!#REF!</f>
        <v>#REF!</v>
      </c>
      <c r="H34" t="e">
        <f>'REKAP Balok'!#REF!</f>
        <v>#REF!</v>
      </c>
      <c r="I34" t="e">
        <f>'REKAP Balok'!#REF!</f>
        <v>#REF!</v>
      </c>
      <c r="J34" t="e">
        <f>'REKAP Balok'!#REF!</f>
        <v>#REF!</v>
      </c>
      <c r="K34" t="e">
        <f>'REKAP Balok'!#REF!</f>
        <v>#REF!</v>
      </c>
      <c r="L34" t="e">
        <f>'REKAP Balok'!#REF!</f>
        <v>#REF!</v>
      </c>
      <c r="M34" t="e">
        <f>'REKAP Balok'!#REF!</f>
        <v>#REF!</v>
      </c>
      <c r="N34" t="e">
        <f>'REKAP Balok'!#REF!</f>
        <v>#REF!</v>
      </c>
      <c r="O34" t="e">
        <f>'REKAP Balok'!#REF!</f>
        <v>#REF!</v>
      </c>
      <c r="P34" t="e">
        <f>'REKAP Balok'!#REF!</f>
        <v>#REF!</v>
      </c>
      <c r="Q34">
        <v>0</v>
      </c>
      <c r="S34" t="e">
        <f>SUM(H34:Q34)</f>
        <v>#REF!</v>
      </c>
      <c r="V34" t="e">
        <f>SUM(E34:G34)/D34</f>
        <v>#REF!</v>
      </c>
      <c r="W34" t="e">
        <f>S34/D34</f>
        <v>#REF!</v>
      </c>
    </row>
    <row r="35">
      <c r="C35" t="str">
        <v>Balok Lantai 3</v>
      </c>
      <c r="D35" t="e">
        <f>'REKAP Balok'!#REF!</f>
        <v>#REF!</v>
      </c>
      <c r="E35" t="e">
        <f>'REKAP Balok'!#REF!</f>
        <v>#REF!</v>
      </c>
      <c r="H35" t="e">
        <f>'REKAP Balok'!#REF!</f>
        <v>#REF!</v>
      </c>
      <c r="I35" t="e">
        <f>'REKAP Balok'!#REF!</f>
        <v>#REF!</v>
      </c>
      <c r="J35" t="e">
        <f>'REKAP Balok'!#REF!</f>
        <v>#REF!</v>
      </c>
      <c r="K35" t="e">
        <f>'REKAP Balok'!#REF!</f>
        <v>#REF!</v>
      </c>
      <c r="L35" t="e">
        <f>'REKAP Balok'!#REF!</f>
        <v>#REF!</v>
      </c>
      <c r="M35" t="e">
        <f>'REKAP Balok'!#REF!</f>
        <v>#REF!</v>
      </c>
      <c r="N35" t="e">
        <f>'REKAP Balok'!#REF!</f>
        <v>#REF!</v>
      </c>
      <c r="O35" t="e">
        <f>'REKAP Balok'!#REF!</f>
        <v>#REF!</v>
      </c>
      <c r="P35" t="e">
        <f>'REKAP Balok'!#REF!</f>
        <v>#REF!</v>
      </c>
      <c r="Q35">
        <v>0</v>
      </c>
      <c r="S35" t="e">
        <f>SUM(H35:Q35)</f>
        <v>#REF!</v>
      </c>
      <c r="V35" t="e">
        <f>SUM(E35:G35)/D35</f>
        <v>#REF!</v>
      </c>
      <c r="W35" t="e">
        <f>S35/D35</f>
        <v>#REF!</v>
      </c>
    </row>
    <row r="36">
      <c r="C36" t="str">
        <v>Plat Lantai</v>
      </c>
      <c r="D36" t="e">
        <f>'REKAP Plat'!#REF!</f>
        <v>#REF!</v>
      </c>
      <c r="E36" t="e">
        <f>'REKAP Plat'!#REF!</f>
        <v>#REF!</v>
      </c>
      <c r="H36">
        <v>0</v>
      </c>
      <c r="I36" t="e">
        <f>'REKAP Plat'!#REF!</f>
        <v>#REF!</v>
      </c>
      <c r="J36" t="e">
        <f>'REKAP Plat'!#REF!</f>
        <v>#REF!</v>
      </c>
      <c r="K36" t="e">
        <f>'REKAP Plat'!#REF!</f>
        <v>#REF!</v>
      </c>
      <c r="L36" t="e">
        <f>'REKAP Plat'!#REF!</f>
        <v>#REF!</v>
      </c>
      <c r="M36" t="e">
        <f>'REKAP Plat'!#REF!</f>
        <v>#REF!</v>
      </c>
      <c r="N36">
        <v>0</v>
      </c>
      <c r="O36">
        <v>0</v>
      </c>
      <c r="P36">
        <v>0</v>
      </c>
      <c r="Q36">
        <v>0</v>
      </c>
      <c r="S36" t="e">
        <f>SUM(H36:Q36)</f>
        <v>#REF!</v>
      </c>
      <c r="V36" t="e">
        <f>SUM(E36:G36)/D36</f>
        <v>#REF!</v>
      </c>
      <c r="W36" t="e">
        <f>S36/D36</f>
        <v>#REF!</v>
      </c>
    </row>
    <row r="37">
      <c r="C37" t="str">
        <v>Kolom</v>
      </c>
      <c r="D37" t="e">
        <f>'Hasil-Kolom'!#REF!</f>
        <v>#REF!</v>
      </c>
      <c r="E37" t="e">
        <f>'Hasil-Kolom'!#REF!</f>
        <v>#REF!</v>
      </c>
      <c r="H37">
        <v>0</v>
      </c>
      <c r="I37" t="e">
        <f>'Hasil-Kolom'!#REF!</f>
        <v>#REF!</v>
      </c>
      <c r="J37" t="e">
        <f>'Hasil-Kolom'!#REF!+'Hasil-Kolom'!#REF!</f>
        <v>#REF!</v>
      </c>
      <c r="K37" t="e">
        <f>'Hasil-Kolom'!#REF!+'Hasil-Kolom'!#REF!</f>
        <v>#REF!</v>
      </c>
      <c r="L37" t="e">
        <f>'Hasil-Kolom'!#REF!+'Hasil-Kolom'!#REF!</f>
        <v>#REF!</v>
      </c>
      <c r="M37" t="e">
        <f>'Hasil-Kolom'!#REF!</f>
        <v>#REF!</v>
      </c>
      <c r="N37" t="e">
        <f>'Hasil-Kolom'!#REF!</f>
        <v>#REF!</v>
      </c>
      <c r="O37" t="e">
        <f>'Hasil-Kolom'!#REF!</f>
        <v>#REF!</v>
      </c>
      <c r="P37" t="e">
        <f>'Hasil-Kolom'!#REF!</f>
        <v>#REF!</v>
      </c>
      <c r="Q37">
        <v>0</v>
      </c>
      <c r="S37" t="e">
        <f>SUM(H37:Q37)</f>
        <v>#REF!</v>
      </c>
      <c r="V37" t="e">
        <f>SUM(E37:G37)/D37</f>
        <v>#REF!</v>
      </c>
      <c r="W37" t="e">
        <f>S37/D37</f>
        <v>#REF!</v>
      </c>
    </row>
    <row r="38">
      <c r="U38" t="e">
        <f>SUM(D34:D37)/SUM(B34)</f>
        <v>#REF!</v>
      </c>
      <c r="V38" t="e">
        <f>SUM(E34:E37)/SUM(D34:D37)</f>
        <v>#REF!</v>
      </c>
      <c r="W38" t="e">
        <f>SUM(H34:Q37)/SUM(D34:D37)</f>
        <v>#REF!</v>
      </c>
    </row>
    <row r="40">
      <c r="A40" t="str">
        <v>Lantai atap</v>
      </c>
      <c r="B40" t="e">
        <f>'REKAP Plat'!#REF!</f>
        <v>#REF!</v>
      </c>
      <c r="C40" t="str">
        <v>Balok Elv. +12.00</v>
      </c>
      <c r="D40" t="e">
        <f>'REKAP Balok'!#REF!</f>
        <v>#REF!</v>
      </c>
      <c r="E40" t="e">
        <f>'REKAP Balok'!#REF!</f>
        <v>#REF!</v>
      </c>
      <c r="H40" t="e">
        <f>'REKAP Balok'!#REF!</f>
        <v>#REF!</v>
      </c>
      <c r="I40" t="e">
        <f>'REKAP Balok'!#REF!</f>
        <v>#REF!</v>
      </c>
      <c r="J40" t="e">
        <f>'REKAP Balok'!#REF!</f>
        <v>#REF!</v>
      </c>
      <c r="K40" t="e">
        <f>'REKAP Balok'!#REF!</f>
        <v>#REF!</v>
      </c>
      <c r="L40" t="e">
        <f>'REKAP Balok'!#REF!</f>
        <v>#REF!</v>
      </c>
      <c r="M40" t="e">
        <f>'REKAP Balok'!#REF!</f>
        <v>#REF!</v>
      </c>
      <c r="N40" t="e">
        <f>'REKAP Balok'!#REF!</f>
        <v>#REF!</v>
      </c>
      <c r="O40" t="e">
        <f>'REKAP Balok'!#REF!</f>
        <v>#REF!</v>
      </c>
      <c r="P40" t="e">
        <f>'REKAP Balok'!#REF!</f>
        <v>#REF!</v>
      </c>
      <c r="Q40">
        <v>0</v>
      </c>
      <c r="S40" t="e">
        <f>SUM(H40:Q40)</f>
        <v>#REF!</v>
      </c>
      <c r="V40" t="e">
        <f>SUM(E40:G40)/D40</f>
        <v>#REF!</v>
      </c>
      <c r="W40" t="e">
        <f>S40/D40</f>
        <v>#REF!</v>
      </c>
    </row>
    <row r="41">
      <c r="C41" t="str">
        <v>Balok Lantai Atap</v>
      </c>
      <c r="D41" t="e">
        <f>'REKAP Balok'!#REF!</f>
        <v>#REF!</v>
      </c>
      <c r="E41" t="e">
        <f>'REKAP Balok'!#REF!</f>
        <v>#REF!</v>
      </c>
      <c r="H41" t="e">
        <f>'REKAP Balok'!#REF!</f>
        <v>#REF!</v>
      </c>
      <c r="I41" t="e">
        <f>'REKAP Balok'!#REF!</f>
        <v>#REF!</v>
      </c>
      <c r="J41" t="e">
        <f>'REKAP Balok'!#REF!</f>
        <v>#REF!</v>
      </c>
      <c r="K41" t="e">
        <f>'REKAP Balok'!#REF!</f>
        <v>#REF!</v>
      </c>
      <c r="L41" t="e">
        <f>'REKAP Balok'!#REF!</f>
        <v>#REF!</v>
      </c>
      <c r="M41" t="e">
        <f>'REKAP Balok'!#REF!</f>
        <v>#REF!</v>
      </c>
      <c r="N41" t="e">
        <f>'REKAP Balok'!#REF!</f>
        <v>#REF!</v>
      </c>
      <c r="O41" t="e">
        <f>'REKAP Balok'!#REF!</f>
        <v>#REF!</v>
      </c>
      <c r="P41" t="e">
        <f>'REKAP Balok'!#REF!</f>
        <v>#REF!</v>
      </c>
      <c r="Q41">
        <v>0</v>
      </c>
      <c r="S41" t="e">
        <f>SUM(H41:Q41)</f>
        <v>#REF!</v>
      </c>
      <c r="V41" t="e">
        <f>SUM(E41:G41)/D41</f>
        <v>#REF!</v>
      </c>
      <c r="W41" t="e">
        <f>S41/D41</f>
        <v>#REF!</v>
      </c>
    </row>
    <row r="42">
      <c r="C42" t="str">
        <v>Plat Lantai</v>
      </c>
      <c r="D42" t="e">
        <f>'REKAP Plat'!#REF!</f>
        <v>#REF!</v>
      </c>
      <c r="E42" t="e">
        <f>'REKAP Plat'!#REF!</f>
        <v>#REF!</v>
      </c>
      <c r="H42">
        <v>0</v>
      </c>
      <c r="I42" t="e">
        <f>'REKAP Plat'!#REF!</f>
        <v>#REF!</v>
      </c>
      <c r="J42" t="e">
        <f>'REKAP Plat'!#REF!</f>
        <v>#REF!</v>
      </c>
      <c r="K42" t="e">
        <f>'REKAP Plat'!#REF!</f>
        <v>#REF!</v>
      </c>
      <c r="L42" t="e">
        <f>'REKAP Plat'!#REF!</f>
        <v>#REF!</v>
      </c>
      <c r="M42" t="e">
        <f>'REKAP Plat'!#REF!</f>
        <v>#REF!</v>
      </c>
      <c r="N42">
        <v>0</v>
      </c>
      <c r="O42">
        <v>0</v>
      </c>
      <c r="P42">
        <v>0</v>
      </c>
      <c r="Q42">
        <v>0</v>
      </c>
      <c r="S42" t="e">
        <f>SUM(H42:Q42)</f>
        <v>#REF!</v>
      </c>
      <c r="V42" t="e">
        <f>SUM(E42:G42)/D42</f>
        <v>#REF!</v>
      </c>
      <c r="W42" t="e">
        <f>S42/D42</f>
        <v>#REF!</v>
      </c>
    </row>
    <row r="43">
      <c r="U43" t="e">
        <f>SUM(D40:D42)/SUM(B40)</f>
        <v>#REF!</v>
      </c>
      <c r="V43" t="e">
        <f>SUM(E40:E42)/SUM(D40:D42)</f>
        <v>#REF!</v>
      </c>
      <c r="W43" t="e">
        <f>SUM(H40:Q42)/SUM(D40:D42)</f>
        <v>#REF!</v>
      </c>
    </row>
    <row r="45">
      <c r="A45" t="str">
        <v>TOTAL</v>
      </c>
      <c r="B45" t="e">
        <f>SUM(B4:B44)</f>
        <v>#REF!</v>
      </c>
      <c r="D45" t="e">
        <f>SUM(D4:D44)</f>
        <v>#REF!</v>
      </c>
      <c r="E45" t="e">
        <f>SUM(E4:E44)</f>
        <v>#REF!</v>
      </c>
      <c r="F45" t="e">
        <f>SUM(F4:F44)</f>
        <v>#REF!</v>
      </c>
      <c r="G45" t="e">
        <f>SUM(G4:G44)</f>
        <v>#REF!</v>
      </c>
      <c r="H45" t="e">
        <f>SUM(H4:H44)</f>
        <v>#REF!</v>
      </c>
      <c r="I45" t="e">
        <f>SUM(I4:I44)</f>
        <v>#REF!</v>
      </c>
      <c r="J45" t="e">
        <f>SUM(J4:J44)</f>
        <v>#REF!</v>
      </c>
      <c r="K45" t="e">
        <f>SUM(K4:K44)</f>
        <v>#REF!</v>
      </c>
      <c r="L45" t="e">
        <f>SUM(L4:L44)</f>
        <v>#REF!</v>
      </c>
      <c r="M45" t="e">
        <f>SUM(M4:M44)</f>
        <v>#REF!</v>
      </c>
      <c r="N45" t="e">
        <f>SUM(N4:N44)</f>
        <v>#REF!</v>
      </c>
      <c r="O45" t="e">
        <f>SUM(O4:O44)</f>
        <v>#REF!</v>
      </c>
      <c r="P45" t="e">
        <f>SUM(P4:P44)</f>
        <v>#REF!</v>
      </c>
      <c r="Q45">
        <f>SUM(Q4:Q44)</f>
        <v>0</v>
      </c>
      <c r="S45" t="e">
        <f>SUM(S4:S44)</f>
        <v>#REF!</v>
      </c>
    </row>
    <row r="46">
      <c r="R46" t="str">
        <v>CEK</v>
      </c>
      <c r="S46" t="e">
        <f>S45-SUM(H45:Q45)</f>
        <v>#REF!</v>
      </c>
    </row>
    <row r="49">
      <c r="A49" t="str">
        <v>RASIO TOTAL</v>
      </c>
    </row>
    <row r="50">
      <c r="B50" t="str">
        <v>Beton</v>
      </c>
      <c r="C50" t="e">
        <f>D45/B45</f>
        <v>#REF!</v>
      </c>
      <c r="D50" t="str">
        <v>m3/m2 luas bangunan</v>
      </c>
    </row>
    <row r="51">
      <c r="B51" t="str">
        <v>Bekisting</v>
      </c>
      <c r="C51" t="e">
        <f>SUM(E45:G45)/D45</f>
        <v>#REF!</v>
      </c>
      <c r="D51" t="str">
        <v>m2/m3 beton</v>
      </c>
    </row>
    <row r="52">
      <c r="B52" t="str">
        <v>Besi</v>
      </c>
      <c r="C52" t="e">
        <f>S45/D45</f>
        <v>#REF!</v>
      </c>
      <c r="D52" t="str">
        <v>kg/m3 beton</v>
      </c>
    </row>
    <row r="54">
      <c r="B54" t="str">
        <v>waste besi</v>
      </c>
      <c r="C54">
        <v>0.05</v>
      </c>
      <c r="J54">
        <f>84000/J58</f>
        <v>11351.351351351352</v>
      </c>
    </row>
    <row r="56">
      <c r="A56" t="str">
        <v>Lantai</v>
      </c>
      <c r="B56" t="str">
        <v>Luas Bangunan</v>
      </c>
      <c r="C56" t="str">
        <v>Elemen Struktur</v>
      </c>
      <c r="D56" t="str">
        <v>Beton</v>
      </c>
      <c r="E56" t="str">
        <v>Bekisting</v>
      </c>
      <c r="H56" t="str">
        <v>Besi (LONJOR)</v>
      </c>
    </row>
    <row r="57">
      <c r="E57" t="str">
        <v>Kayu</v>
      </c>
      <c r="F57" t="str">
        <v>Lantai Kerja</v>
      </c>
      <c r="G57" t="str">
        <v>Bata / Batako</v>
      </c>
      <c r="H57">
        <v>6</v>
      </c>
      <c r="I57">
        <v>8</v>
      </c>
      <c r="J57">
        <v>10</v>
      </c>
      <c r="K57">
        <v>13</v>
      </c>
      <c r="L57">
        <v>16</v>
      </c>
      <c r="M57">
        <v>19</v>
      </c>
      <c r="N57">
        <v>22</v>
      </c>
      <c r="O57">
        <v>25</v>
      </c>
      <c r="P57">
        <v>29</v>
      </c>
      <c r="Q57">
        <v>32</v>
      </c>
      <c r="S57" t="str">
        <v>TOTAL BESI (KG)</v>
      </c>
    </row>
    <row r="58">
      <c r="H58">
        <v>2.66</v>
      </c>
      <c r="I58">
        <v>4.74</v>
      </c>
      <c r="J58">
        <v>7.4</v>
      </c>
      <c r="K58">
        <v>12.5</v>
      </c>
      <c r="L58">
        <v>19</v>
      </c>
      <c r="M58">
        <v>26.8</v>
      </c>
      <c r="N58">
        <v>35.76</v>
      </c>
      <c r="O58">
        <v>46.25</v>
      </c>
      <c r="P58">
        <v>62.22</v>
      </c>
      <c r="Q58">
        <v>75.756</v>
      </c>
    </row>
    <row r="61">
      <c r="A61" t="str">
        <v>Lantai Basement</v>
      </c>
      <c r="B61" t="e">
        <f>B5</f>
        <v>#REF!</v>
      </c>
      <c r="C61" t="str">
        <v>Pile cap</v>
      </c>
      <c r="D61">
        <f>D5</f>
        <v>53.451787499999995</v>
      </c>
      <c r="E61">
        <f>E5</f>
        <v>0</v>
      </c>
      <c r="F61">
        <f>F5</f>
        <v>11.41405</v>
      </c>
      <c r="G61">
        <f>G5</f>
        <v>154.80350010745607</v>
      </c>
      <c r="H61">
        <f>ROUNDUP(H5*(1+$C$54)/H$58,0)</f>
        <v>0</v>
      </c>
      <c r="I61">
        <f>ROUNDUP(I5*(1+$C$54)/I$58,0)</f>
        <v>0</v>
      </c>
      <c r="J61">
        <f>ROUNDUP(J5*(1+$C$54)/J$58,0)</f>
        <v>10</v>
      </c>
      <c r="K61">
        <f>ROUNDUP(K5*(1+$C$54)/K$58,0)</f>
        <v>184</v>
      </c>
      <c r="L61">
        <f>ROUNDUP(L5*(1+$C$54)/L$58,0)</f>
        <v>208</v>
      </c>
      <c r="M61">
        <f>ROUNDUP(M5*(1+$C$54)/M$58,0)</f>
        <v>0</v>
      </c>
      <c r="N61">
        <f>ROUNDUP(N5*(1+$C$54)/N$58,0)</f>
        <v>0</v>
      </c>
      <c r="O61">
        <f>ROUNDUP(O5*(1+$C$54)/O$58,0)</f>
        <v>0</v>
      </c>
      <c r="P61">
        <f>ROUNDUP(P5*(1+$C$54)/P$58,0)</f>
        <v>0</v>
      </c>
      <c r="Q61">
        <f>ROUNDUP(Q5*(1+$C$54)/Q$58,0)</f>
        <v>0</v>
      </c>
      <c r="S61">
        <f>SUMPRODUCT(H61:Q61,$H$58:$Q$58)</f>
        <v>6326</v>
      </c>
    </row>
    <row r="62">
      <c r="C62" t="str">
        <v>Pile cap carport</v>
      </c>
      <c r="D62" t="e">
        <f>D6</f>
        <v>#REF!</v>
      </c>
      <c r="E62">
        <f>E6</f>
        <v>0</v>
      </c>
      <c r="F62" t="e">
        <f>F6</f>
        <v>#REF!</v>
      </c>
      <c r="G62" t="e">
        <f>G6</f>
        <v>#REF!</v>
      </c>
      <c r="H62" t="e">
        <f>ROUNDUP(H6*(1+$C$54)/H$58,0)</f>
        <v>#REF!</v>
      </c>
      <c r="I62" t="e">
        <f>ROUNDUP(I6*(1+$C$54)/I$58,0)</f>
        <v>#REF!</v>
      </c>
      <c r="J62" t="e">
        <f>ROUNDUP(J6*(1+$C$54)/J$58,0)</f>
        <v>#REF!</v>
      </c>
      <c r="K62" t="e">
        <f>ROUNDUP(K6*(1+$C$54)/K$58,0)</f>
        <v>#REF!</v>
      </c>
      <c r="L62" t="e">
        <f>ROUNDUP(L6*(1+$C$54)/L$58,0)</f>
        <v>#REF!</v>
      </c>
      <c r="M62" t="e">
        <f>ROUNDUP(M6*(1+$C$54)/M$58,0)</f>
        <v>#REF!</v>
      </c>
      <c r="N62" t="e">
        <f>ROUNDUP(N6*(1+$C$54)/N$58,0)</f>
        <v>#REF!</v>
      </c>
      <c r="O62" t="e">
        <f>ROUNDUP(O6*(1+$C$54)/O$58,0)</f>
        <v>#REF!</v>
      </c>
      <c r="P62">
        <f>ROUNDUP(P6*(1+$C$54)/P$58,0)</f>
        <v>0</v>
      </c>
      <c r="Q62">
        <f>ROUNDUP(Q6*(1+$C$54)/Q$58,0)</f>
        <v>0</v>
      </c>
      <c r="S62" t="e">
        <f>SUMPRODUCT(H62:Q62,$H$58:$Q$58)</f>
        <v>#REF!</v>
      </c>
    </row>
    <row r="63">
      <c r="C63" t="str">
        <v>Kolom Pondasi Elv. Miring</v>
      </c>
      <c r="D63">
        <f>D7</f>
        <v>26.092439999999996</v>
      </c>
      <c r="E63">
        <f>E7</f>
        <v>287.9579999999999</v>
      </c>
      <c r="F63">
        <f>F7</f>
        <v>0</v>
      </c>
      <c r="G63">
        <f>G7</f>
        <v>0</v>
      </c>
      <c r="H63">
        <f>ROUNDUP(H7*(1+$C$54)/H$58,0)</f>
        <v>0</v>
      </c>
      <c r="I63">
        <f>ROUNDUP(I7*(1+$C$54)/I$58,0)</f>
        <v>204</v>
      </c>
      <c r="J63">
        <f>ROUNDUP(J7*(1+$C$54)/J$58,0)</f>
        <v>208</v>
      </c>
      <c r="K63">
        <f>ROUNDUP(K7*(1+$C$54)/K$58,0)</f>
        <v>0</v>
      </c>
      <c r="L63">
        <f>ROUNDUP(L7*(1+$C$54)/L$58,0)</f>
        <v>10</v>
      </c>
      <c r="M63">
        <f>ROUNDUP(M7*(1+$C$54)/M$58,0)</f>
        <v>59</v>
      </c>
      <c r="N63">
        <f>ROUNDUP(N7*(1+$C$54)/N$58,0)</f>
        <v>46</v>
      </c>
      <c r="O63">
        <f>ROUNDUP(O7*(1+$C$54)/O$58,0)</f>
        <v>48</v>
      </c>
      <c r="P63">
        <f>ROUNDUP(P7*(1+$C$54)/P$58,0)</f>
        <v>0</v>
      </c>
      <c r="Q63">
        <f>ROUNDUP(Q7*(1+$C$54)/Q$58,0)</f>
        <v>0</v>
      </c>
      <c r="S63">
        <f>SUMPRODUCT(H63:Q63,$H$58:$Q$58)</f>
        <v>8142.32</v>
      </c>
    </row>
    <row r="64">
      <c r="C64" t="str">
        <v>Kolom Elv. -7.50</v>
      </c>
      <c r="D64">
        <f>D8</f>
        <v>23.68845</v>
      </c>
      <c r="E64">
        <f>E8</f>
        <v>303.03</v>
      </c>
      <c r="F64">
        <f>F8</f>
        <v>0</v>
      </c>
      <c r="G64">
        <f>G8</f>
        <v>0</v>
      </c>
      <c r="H64">
        <f>ROUNDUP(H8*(1+$C$54)/H$58,0)</f>
        <v>0</v>
      </c>
      <c r="I64">
        <f>ROUNDUP(I8*(1+$C$54)/I$58,0)</f>
        <v>208</v>
      </c>
      <c r="J64">
        <f>ROUNDUP(J8*(1+$C$54)/J$58,0)</f>
        <v>118</v>
      </c>
      <c r="K64">
        <f>ROUNDUP(K8*(1+$C$54)/K$58,0)</f>
        <v>11</v>
      </c>
      <c r="L64">
        <f>ROUNDUP(L8*(1+$C$54)/L$58,0)</f>
        <v>8</v>
      </c>
      <c r="M64">
        <f>ROUNDUP(M8*(1+$C$54)/M$58,0)</f>
        <v>46</v>
      </c>
      <c r="N64">
        <f>ROUNDUP(N8*(1+$C$54)/N$58,0)</f>
        <v>50</v>
      </c>
      <c r="O64">
        <f>ROUNDUP(O8*(1+$C$54)/O$58,0)</f>
        <v>32</v>
      </c>
      <c r="P64">
        <f>ROUNDUP(P8*(1+$C$54)/P$58,0)</f>
        <v>0</v>
      </c>
      <c r="Q64">
        <f>ROUNDUP(Q8*(1+$C$54)/Q$58,0)</f>
        <v>0</v>
      </c>
      <c r="S64">
        <f>SUMPRODUCT(H64:Q64,$H$58:$Q$58)</f>
        <v>6649.42</v>
      </c>
    </row>
    <row r="65">
      <c r="C65" t="str">
        <v>Kolom Elv. -6.00</v>
      </c>
      <c r="D65">
        <f>D9</f>
        <v>16.538850000000004</v>
      </c>
      <c r="E65">
        <f>E9</f>
        <v>240.3</v>
      </c>
      <c r="F65">
        <f>F9</f>
        <v>0</v>
      </c>
      <c r="G65">
        <f>G9</f>
        <v>0</v>
      </c>
      <c r="H65">
        <f>ROUNDUP(H9*(1+$C$54)/H$58,0)</f>
        <v>0</v>
      </c>
      <c r="I65">
        <f>ROUNDUP(I9*(1+$C$54)/I$58,0)</f>
        <v>219</v>
      </c>
      <c r="J65">
        <f>ROUNDUP(J9*(1+$C$54)/J$58,0)</f>
        <v>32</v>
      </c>
      <c r="K65">
        <f>ROUNDUP(K9*(1+$C$54)/K$58,0)</f>
        <v>0</v>
      </c>
      <c r="L65">
        <f>ROUNDUP(L9*(1+$C$54)/L$58,0)</f>
        <v>9</v>
      </c>
      <c r="M65">
        <f>ROUNDUP(M9*(1+$C$54)/M$58,0)</f>
        <v>54</v>
      </c>
      <c r="N65">
        <f>ROUNDUP(N9*(1+$C$54)/N$58,0)</f>
        <v>39</v>
      </c>
      <c r="O65">
        <f>ROUNDUP(O9*(1+$C$54)/O$58,0)</f>
        <v>8</v>
      </c>
      <c r="P65">
        <f>ROUNDUP(P9*(1+$C$54)/P$58,0)</f>
        <v>0</v>
      </c>
      <c r="Q65">
        <f>ROUNDUP(Q9*(1+$C$54)/Q$58,0)</f>
        <v>0</v>
      </c>
      <c r="S65">
        <f>SUMPRODUCT(H65:Q65,$H$58:$Q$58)</f>
        <v>4657.7</v>
      </c>
    </row>
    <row r="66">
      <c r="C66" t="str">
        <v>Kolom Elv. -5.00</v>
      </c>
      <c r="D66" t="e">
        <f>D10</f>
        <v>#REF!</v>
      </c>
      <c r="E66" t="e">
        <f>E10</f>
        <v>#REF!</v>
      </c>
      <c r="F66">
        <f>F10</f>
        <v>0</v>
      </c>
      <c r="G66">
        <f>G10</f>
        <v>0</v>
      </c>
      <c r="H66">
        <f>ROUNDUP(H10*(1+$C$54)/H$58,0)</f>
        <v>0</v>
      </c>
      <c r="I66" t="e">
        <f>ROUNDUP(I10*(1+$C$54)/I$58,0)</f>
        <v>#REF!</v>
      </c>
      <c r="J66" t="e">
        <f>ROUNDUP(J10*(1+$C$54)/J$58,0)</f>
        <v>#REF!</v>
      </c>
      <c r="K66" t="e">
        <f>ROUNDUP(K10*(1+$C$54)/K$58,0)</f>
        <v>#REF!</v>
      </c>
      <c r="L66" t="e">
        <f>ROUNDUP(L10*(1+$C$54)/L$58,0)</f>
        <v>#REF!</v>
      </c>
      <c r="M66" t="e">
        <f>ROUNDUP(M10*(1+$C$54)/M$58,0)</f>
        <v>#REF!</v>
      </c>
      <c r="N66" t="e">
        <f>ROUNDUP(N10*(1+$C$54)/N$58,0)</f>
        <v>#REF!</v>
      </c>
      <c r="O66" t="e">
        <f>ROUNDUP(O10*(1+$C$54)/O$58,0)</f>
        <v>#REF!</v>
      </c>
      <c r="P66" t="e">
        <f>ROUNDUP(P10*(1+$C$54)/P$58,0)</f>
        <v>#REF!</v>
      </c>
      <c r="Q66">
        <f>ROUNDUP(Q10*(1+$C$54)/Q$58,0)</f>
        <v>0</v>
      </c>
      <c r="S66" t="e">
        <f>SUMPRODUCT(H66:Q66,$H$58:$Q$58)</f>
        <v>#REF!</v>
      </c>
    </row>
    <row r="67">
      <c r="C67" t="str">
        <v>Kolom Lantai Basement</v>
      </c>
      <c r="D67" t="e">
        <f>D11</f>
        <v>#REF!</v>
      </c>
      <c r="E67" t="e">
        <f>E11</f>
        <v>#REF!</v>
      </c>
      <c r="F67">
        <f>F11</f>
        <v>0</v>
      </c>
      <c r="G67">
        <f>G11</f>
        <v>0</v>
      </c>
      <c r="H67">
        <f>ROUNDUP(H11*(1+$C$54)/H$58,0)</f>
        <v>0</v>
      </c>
      <c r="I67" t="e">
        <f>ROUNDUP(I11*(1+$C$54)/I$58,0)</f>
        <v>#REF!</v>
      </c>
      <c r="J67" t="e">
        <f>ROUNDUP(J11*(1+$C$54)/J$58,0)</f>
        <v>#REF!</v>
      </c>
      <c r="K67" t="e">
        <f>ROUNDUP(K11*(1+$C$54)/K$58,0)</f>
        <v>#REF!</v>
      </c>
      <c r="L67" t="e">
        <f>ROUNDUP(L11*(1+$C$54)/L$58,0)</f>
        <v>#REF!</v>
      </c>
      <c r="M67" t="e">
        <f>ROUNDUP(M11*(1+$C$54)/M$58,0)</f>
        <v>#REF!</v>
      </c>
      <c r="N67" t="e">
        <f>ROUNDUP(N11*(1+$C$54)/N$58,0)</f>
        <v>#REF!</v>
      </c>
      <c r="O67" t="e">
        <f>ROUNDUP(O11*(1+$C$54)/O$58,0)</f>
        <v>#REF!</v>
      </c>
      <c r="P67" t="e">
        <f>ROUNDUP(P11*(1+$C$54)/P$58,0)</f>
        <v>#REF!</v>
      </c>
      <c r="Q67">
        <f>ROUNDUP(Q11*(1+$C$54)/Q$58,0)</f>
        <v>0</v>
      </c>
      <c r="S67" t="e">
        <f>SUMPRODUCT(H67:Q67,$H$58:$Q$58)</f>
        <v>#REF!</v>
      </c>
    </row>
    <row r="68">
      <c r="C68" t="str">
        <v>Balok Pondasi Elv. Miring</v>
      </c>
      <c r="D68">
        <f>D12</f>
        <v>38.309149999999995</v>
      </c>
      <c r="E68">
        <f>E12</f>
        <v>0</v>
      </c>
      <c r="F68">
        <f>F12</f>
        <v>9.487299999999998</v>
      </c>
      <c r="G68">
        <f>G12</f>
        <v>0</v>
      </c>
      <c r="H68">
        <f>ROUNDUP(H12*(1+$C$54)/H$58,0)</f>
        <v>0</v>
      </c>
      <c r="I68">
        <f>ROUNDUP(I12*(1+$C$54)/I$58,0)</f>
        <v>194</v>
      </c>
      <c r="J68">
        <f>ROUNDUP(J12*(1+$C$54)/J$58,0)</f>
        <v>169</v>
      </c>
      <c r="K68">
        <f>ROUNDUP(K12*(1+$C$54)/K$58,0)</f>
        <v>145</v>
      </c>
      <c r="L68">
        <f>ROUNDUP(L12*(1+$C$54)/L$58,0)</f>
        <v>105</v>
      </c>
      <c r="M68">
        <f>ROUNDUP(M12*(1+$C$54)/M$58,0)</f>
        <v>24</v>
      </c>
      <c r="N68">
        <f>ROUNDUP(N12*(1+$C$54)/N$58,0)</f>
        <v>23</v>
      </c>
      <c r="O68">
        <f>ROUNDUP(O12*(1+$C$54)/O$58,0)</f>
        <v>0</v>
      </c>
      <c r="P68">
        <f>ROUNDUP(P12*(1+$C$54)/P$58,0)</f>
        <v>0</v>
      </c>
      <c r="Q68">
        <f>ROUNDUP(Q12*(1+$C$54)/Q$58,0)</f>
        <v>0</v>
      </c>
      <c r="S68">
        <f>SUMPRODUCT(H68:Q68,$H$58:$Q$58)</f>
        <v>7443.339999999999</v>
      </c>
    </row>
    <row r="69">
      <c r="C69" t="str">
        <v>Balok Elv. -7.50</v>
      </c>
      <c r="D69">
        <f>D13</f>
        <v>54.648105</v>
      </c>
      <c r="E69">
        <f>E13</f>
        <v>470.44919999999996</v>
      </c>
      <c r="F69">
        <f>F13</f>
        <v>0</v>
      </c>
      <c r="G69">
        <f>G13</f>
        <v>0</v>
      </c>
      <c r="H69">
        <f>ROUNDUP(H13*(1+$C$54)/H$58,0)</f>
        <v>0</v>
      </c>
      <c r="I69">
        <f>ROUNDUP(I13*(1+$C$54)/I$58,0)</f>
        <v>183</v>
      </c>
      <c r="J69">
        <f>ROUNDUP(J13*(1+$C$54)/J$58,0)</f>
        <v>236</v>
      </c>
      <c r="K69">
        <f>ROUNDUP(K13*(1+$C$54)/K$58,0)</f>
        <v>267</v>
      </c>
      <c r="L69">
        <f>ROUNDUP(L13*(1+$C$54)/L$58,0)</f>
        <v>97</v>
      </c>
      <c r="M69">
        <f>ROUNDUP(M13*(1+$C$54)/M$58,0)</f>
        <v>0</v>
      </c>
      <c r="N69">
        <f>ROUNDUP(N13*(1+$C$54)/N$58,0)</f>
        <v>151</v>
      </c>
      <c r="O69">
        <f>ROUNDUP(O13*(1+$C$54)/O$58,0)</f>
        <v>0</v>
      </c>
      <c r="P69">
        <f>ROUNDUP(P13*(1+$C$54)/P$58,0)</f>
        <v>0</v>
      </c>
      <c r="Q69">
        <f>ROUNDUP(Q13*(1+$C$54)/Q$58,0)</f>
        <v>0</v>
      </c>
      <c r="S69">
        <f>SUMPRODUCT(H69:Q69,$H$58:$Q$58)</f>
        <v>13194.079999999998</v>
      </c>
    </row>
    <row r="70">
      <c r="C70" t="str">
        <v>Balok Elv. -6.00</v>
      </c>
      <c r="D70">
        <f>D14</f>
        <v>17.2133475</v>
      </c>
      <c r="E70">
        <f>E14</f>
        <v>228.08319999999998</v>
      </c>
      <c r="F70">
        <f>F14</f>
        <v>0</v>
      </c>
      <c r="G70">
        <f>G14</f>
        <v>0</v>
      </c>
      <c r="H70">
        <f>ROUNDUP(H14*(1+$C$54)/H$58,0)</f>
        <v>0</v>
      </c>
      <c r="I70">
        <f>ROUNDUP(I14*(1+$C$54)/I$58,0)</f>
        <v>140</v>
      </c>
      <c r="J70">
        <f>ROUNDUP(J14*(1+$C$54)/J$58,0)</f>
        <v>112</v>
      </c>
      <c r="K70">
        <f>ROUNDUP(K14*(1+$C$54)/K$58,0)</f>
        <v>56</v>
      </c>
      <c r="L70">
        <f>ROUNDUP(L14*(1+$C$54)/L$58,0)</f>
        <v>73</v>
      </c>
      <c r="M70">
        <f>ROUNDUP(M14*(1+$C$54)/M$58,0)</f>
        <v>2</v>
      </c>
      <c r="N70">
        <f>ROUNDUP(N14*(1+$C$54)/N$58,0)</f>
        <v>0</v>
      </c>
      <c r="O70">
        <f>ROUNDUP(O14*(1+$C$54)/O$58,0)</f>
        <v>0</v>
      </c>
      <c r="P70">
        <f>ROUNDUP(P14*(1+$C$54)/P$58,0)</f>
        <v>0</v>
      </c>
      <c r="Q70">
        <f>ROUNDUP(Q14*(1+$C$54)/Q$58,0)</f>
        <v>0</v>
      </c>
      <c r="S70">
        <f>SUMPRODUCT(H70:Q70,$H$58:$Q$58)</f>
        <v>3633</v>
      </c>
    </row>
    <row r="71">
      <c r="C71" t="str">
        <v>Balok Elv. -5.00</v>
      </c>
      <c r="D71" t="e">
        <f>D15</f>
        <v>#REF!</v>
      </c>
      <c r="E71">
        <f>E15</f>
        <v>0</v>
      </c>
      <c r="F71" t="e">
        <f>F15</f>
        <v>#REF!</v>
      </c>
      <c r="G71" t="e">
        <f>G15</f>
        <v>#REF!</v>
      </c>
      <c r="H71" t="e">
        <f>ROUNDUP(H15*(1+$C$54)/H$58,0)</f>
        <v>#REF!</v>
      </c>
      <c r="I71" t="e">
        <f>ROUNDUP(I15*(1+$C$54)/I$58,0)</f>
        <v>#REF!</v>
      </c>
      <c r="J71" t="e">
        <f>ROUNDUP(J15*(1+$C$54)/J$58,0)</f>
        <v>#REF!</v>
      </c>
      <c r="K71" t="e">
        <f>ROUNDUP(K15*(1+$C$54)/K$58,0)</f>
        <v>#REF!</v>
      </c>
      <c r="L71" t="e">
        <f>ROUNDUP(L15*(1+$C$54)/L$58,0)</f>
        <v>#REF!</v>
      </c>
      <c r="M71" t="e">
        <f>ROUNDUP(M15*(1+$C$54)/M$58,0)</f>
        <v>#REF!</v>
      </c>
      <c r="N71" t="e">
        <f>ROUNDUP(N15*(1+$C$54)/N$58,0)</f>
        <v>#REF!</v>
      </c>
      <c r="O71" t="e">
        <f>ROUNDUP(O15*(1+$C$54)/O$58,0)</f>
        <v>#REF!</v>
      </c>
      <c r="P71" t="e">
        <f>ROUNDUP(P15*(1+$C$54)/P$58,0)</f>
        <v>#REF!</v>
      </c>
      <c r="Q71">
        <f>ROUNDUP(Q15*(1+$C$54)/Q$58,0)</f>
        <v>0</v>
      </c>
      <c r="S71" t="e">
        <f>SUMPRODUCT(H71:Q71,$H$58:$Q$58)</f>
        <v>#REF!</v>
      </c>
    </row>
    <row r="72">
      <c r="C72" t="str">
        <v>Balok Lantai Basement</v>
      </c>
      <c r="D72" t="e">
        <f>D16</f>
        <v>#REF!</v>
      </c>
      <c r="E72" t="e">
        <f>E16</f>
        <v>#REF!</v>
      </c>
      <c r="F72" t="e">
        <f>F16</f>
        <v>#REF!</v>
      </c>
      <c r="G72">
        <f>G16</f>
        <v>0</v>
      </c>
      <c r="H72" t="e">
        <f>ROUNDUP(H16*(1+$C$54)/H$58,0)</f>
        <v>#REF!</v>
      </c>
      <c r="I72" t="e">
        <f>ROUNDUP(I16*(1+$C$54)/I$58,0)</f>
        <v>#REF!</v>
      </c>
      <c r="J72" t="e">
        <f>ROUNDUP(J16*(1+$C$54)/J$58,0)</f>
        <v>#REF!</v>
      </c>
      <c r="K72" t="e">
        <f>ROUNDUP(K16*(1+$C$54)/K$58,0)</f>
        <v>#REF!</v>
      </c>
      <c r="L72" t="e">
        <f>ROUNDUP(L16*(1+$C$54)/L$58,0)</f>
        <v>#REF!</v>
      </c>
      <c r="M72" t="e">
        <f>ROUNDUP(M16*(1+$C$54)/M$58,0)</f>
        <v>#REF!</v>
      </c>
      <c r="N72" t="e">
        <f>ROUNDUP(N16*(1+$C$54)/N$58,0)</f>
        <v>#REF!</v>
      </c>
      <c r="O72" t="e">
        <f>ROUNDUP(O16*(1+$C$54)/O$58,0)</f>
        <v>#REF!</v>
      </c>
      <c r="P72" t="e">
        <f>ROUNDUP(P16*(1+$C$54)/P$58,0)</f>
        <v>#REF!</v>
      </c>
      <c r="Q72">
        <f>ROUNDUP(Q16*(1+$C$54)/Q$58,0)</f>
        <v>0</v>
      </c>
      <c r="S72" t="e">
        <f>SUMPRODUCT(H72:Q72,$H$58:$Q$58)</f>
        <v>#REF!</v>
      </c>
    </row>
    <row r="73">
      <c r="C73" t="str">
        <v>Balok Carport</v>
      </c>
      <c r="D73" t="e">
        <f>D17</f>
        <v>#REF!</v>
      </c>
      <c r="E73" t="e">
        <f>E17</f>
        <v>#REF!</v>
      </c>
      <c r="F73">
        <f>F17</f>
        <v>0</v>
      </c>
      <c r="G73">
        <f>G17</f>
        <v>0</v>
      </c>
      <c r="H73" t="e">
        <f>ROUNDUP(H17*(1+$C$54)/H$58,0)</f>
        <v>#REF!</v>
      </c>
      <c r="I73" t="e">
        <f>ROUNDUP(I17*(1+$C$54)/I$58,0)</f>
        <v>#REF!</v>
      </c>
      <c r="J73" t="e">
        <f>ROUNDUP(J17*(1+$C$54)/J$58,0)</f>
        <v>#REF!</v>
      </c>
      <c r="K73" t="e">
        <f>ROUNDUP(K17*(1+$C$54)/K$58,0)</f>
        <v>#REF!</v>
      </c>
      <c r="L73" t="e">
        <f>ROUNDUP(L17*(1+$C$54)/L$58,0)</f>
        <v>#REF!</v>
      </c>
      <c r="M73" t="e">
        <f>ROUNDUP(M17*(1+$C$54)/M$58,0)</f>
        <v>#REF!</v>
      </c>
      <c r="N73" t="e">
        <f>ROUNDUP(N17*(1+$C$54)/N$58,0)</f>
        <v>#REF!</v>
      </c>
      <c r="O73" t="e">
        <f>ROUNDUP(O17*(1+$C$54)/O$58,0)</f>
        <v>#REF!</v>
      </c>
      <c r="P73" t="e">
        <f>ROUNDUP(P17*(1+$C$54)/P$58,0)</f>
        <v>#REF!</v>
      </c>
      <c r="Q73">
        <f>ROUNDUP(Q17*(1+$C$54)/Q$58,0)</f>
        <v>0</v>
      </c>
      <c r="S73" t="e">
        <f>SUMPRODUCT(H73:Q73,$H$58:$Q$58)</f>
        <v>#REF!</v>
      </c>
    </row>
    <row r="74">
      <c r="C74" t="str">
        <v>Retaining wall</v>
      </c>
      <c r="D74" t="e">
        <f>D18</f>
        <v>#REF!</v>
      </c>
      <c r="E74" t="e">
        <f>E18</f>
        <v>#REF!</v>
      </c>
      <c r="F74">
        <f>F18</f>
        <v>0</v>
      </c>
      <c r="G74">
        <f>G18</f>
        <v>0</v>
      </c>
      <c r="H74">
        <f>ROUNDUP(H18*(1+$C$54)/H$58,0)</f>
        <v>0</v>
      </c>
      <c r="I74" t="e">
        <f>ROUNDUP(I18*(1+$C$54)/I$58,0)</f>
        <v>#REF!</v>
      </c>
      <c r="J74" t="e">
        <f>ROUNDUP(J18*(1+$C$54)/J$58,0)</f>
        <v>#REF!</v>
      </c>
      <c r="K74" t="e">
        <f>ROUNDUP(K18*(1+$C$54)/K$58,0)</f>
        <v>#REF!</v>
      </c>
      <c r="L74" t="e">
        <f>ROUNDUP(L18*(1+$C$54)/L$58,0)</f>
        <v>#REF!</v>
      </c>
      <c r="M74" t="e">
        <f>ROUNDUP(M18*(1+$C$54)/M$58,0)</f>
        <v>#REF!</v>
      </c>
      <c r="N74">
        <f>ROUNDUP(N18*(1+$C$54)/N$58,0)</f>
        <v>0</v>
      </c>
      <c r="O74">
        <f>ROUNDUP(O18*(1+$C$54)/O$58,0)</f>
        <v>0</v>
      </c>
      <c r="P74">
        <f>ROUNDUP(P18*(1+$C$54)/P$58,0)</f>
        <v>0</v>
      </c>
      <c r="Q74">
        <f>ROUNDUP(Q18*(1+$C$54)/Q$58,0)</f>
        <v>0</v>
      </c>
      <c r="S74" t="e">
        <f>SUMPRODUCT(H74:Q74,$H$58:$Q$58)</f>
        <v>#REF!</v>
      </c>
    </row>
    <row r="75">
      <c r="C75" t="str">
        <v>Plat Lantai Bangunan</v>
      </c>
      <c r="D75" t="e">
        <f>D19</f>
        <v>#REF!</v>
      </c>
      <c r="E75" t="e">
        <f>E19</f>
        <v>#REF!</v>
      </c>
      <c r="F75" t="e">
        <f>F19</f>
        <v>#REF!</v>
      </c>
      <c r="G75">
        <f>G19</f>
        <v>0</v>
      </c>
      <c r="H75">
        <f>ROUNDUP(H19*(1+$C$54)/H$58,0)</f>
        <v>0</v>
      </c>
      <c r="I75" t="e">
        <f>ROUNDUP(I19*(1+$C$54)/I$58,0)</f>
        <v>#REF!</v>
      </c>
      <c r="J75" t="e">
        <f>ROUNDUP(J19*(1+$C$54)/J$58,0)</f>
        <v>#REF!</v>
      </c>
      <c r="K75" t="e">
        <f>ROUNDUP(K19*(1+$C$54)/K$58,0)</f>
        <v>#REF!</v>
      </c>
      <c r="L75" t="e">
        <f>ROUNDUP(L19*(1+$C$54)/L$58,0)</f>
        <v>#REF!</v>
      </c>
      <c r="M75" t="e">
        <f>ROUNDUP(M19*(1+$C$54)/M$58,0)</f>
        <v>#REF!</v>
      </c>
      <c r="N75">
        <f>ROUNDUP(N19*(1+$C$54)/N$58,0)</f>
        <v>0</v>
      </c>
      <c r="O75">
        <f>ROUNDUP(O19*(1+$C$54)/O$58,0)</f>
        <v>0</v>
      </c>
      <c r="P75">
        <f>ROUNDUP(P19*(1+$C$54)/P$58,0)</f>
        <v>0</v>
      </c>
      <c r="Q75">
        <f>ROUNDUP(Q19*(1+$C$54)/Q$58,0)</f>
        <v>0</v>
      </c>
      <c r="S75" t="e">
        <f>SUMPRODUCT(H75:Q75,$H$58:$Q$58)</f>
        <v>#REF!</v>
      </c>
    </row>
    <row r="78">
      <c r="A78" t="str">
        <v>Lantai 1</v>
      </c>
      <c r="B78">
        <f>B22</f>
        <v>343.985</v>
      </c>
      <c r="C78" t="str">
        <v>Balok Kolam Renang</v>
      </c>
      <c r="D78" t="e">
        <f>D22</f>
        <v>#REF!</v>
      </c>
      <c r="E78" t="e">
        <f>E22</f>
        <v>#REF!</v>
      </c>
      <c r="F78">
        <f>F22</f>
        <v>0</v>
      </c>
      <c r="G78">
        <f>G22</f>
        <v>0</v>
      </c>
      <c r="H78" t="e">
        <f>ROUNDUP(H22*(1+$C$54)/H$58,0)</f>
        <v>#REF!</v>
      </c>
      <c r="I78" t="e">
        <f>ROUNDUP(I22*(1+$C$54)/I$58,0)</f>
        <v>#REF!</v>
      </c>
      <c r="J78" t="e">
        <f>ROUNDUP(J22*(1+$C$54)/J$58,0)</f>
        <v>#REF!</v>
      </c>
      <c r="K78" t="e">
        <f>ROUNDUP(K22*(1+$C$54)/K$58,0)</f>
        <v>#REF!</v>
      </c>
      <c r="L78" t="e">
        <f>ROUNDUP(L22*(1+$C$54)/L$58,0)</f>
        <v>#REF!</v>
      </c>
      <c r="M78" t="e">
        <f>ROUNDUP(M22*(1+$C$54)/M$58,0)</f>
        <v>#REF!</v>
      </c>
      <c r="N78" t="e">
        <f>ROUNDUP(N22*(1+$C$54)/N$58,0)</f>
        <v>#REF!</v>
      </c>
      <c r="O78" t="e">
        <f>ROUNDUP(O22*(1+$C$54)/O$58,0)</f>
        <v>#REF!</v>
      </c>
      <c r="P78" t="e">
        <f>ROUNDUP(P22*(1+$C$54)/P$58,0)</f>
        <v>#REF!</v>
      </c>
      <c r="Q78">
        <f>ROUNDUP(Q22*(1+$C$54)/Q$58,0)</f>
        <v>0</v>
      </c>
      <c r="S78" t="e">
        <f>SUMPRODUCT(H78:Q78,$H$58:$Q$58)</f>
        <v>#REF!</v>
      </c>
    </row>
    <row r="79">
      <c r="C79" t="str">
        <v>Balok Lantai 1</v>
      </c>
      <c r="D79" t="e">
        <f>D23</f>
        <v>#REF!</v>
      </c>
      <c r="E79" t="e">
        <f>E23</f>
        <v>#REF!</v>
      </c>
      <c r="F79">
        <f>F23</f>
        <v>0</v>
      </c>
      <c r="G79">
        <f>G23</f>
        <v>0</v>
      </c>
      <c r="H79" t="e">
        <f>ROUNDUP(H23*(1+$C$54)/H$58,0)</f>
        <v>#REF!</v>
      </c>
      <c r="I79" t="e">
        <f>ROUNDUP(I23*(1+$C$54)/I$58,0)</f>
        <v>#REF!</v>
      </c>
      <c r="J79" t="e">
        <f>ROUNDUP(J23*(1+$C$54)/J$58,0)</f>
        <v>#REF!</v>
      </c>
      <c r="K79" t="e">
        <f>ROUNDUP(K23*(1+$C$54)/K$58,0)</f>
        <v>#REF!</v>
      </c>
      <c r="L79" t="e">
        <f>ROUNDUP(L23*(1+$C$54)/L$58,0)</f>
        <v>#REF!</v>
      </c>
      <c r="M79" t="e">
        <f>ROUNDUP(M23*(1+$C$54)/M$58,0)</f>
        <v>#REF!</v>
      </c>
      <c r="N79" t="e">
        <f>ROUNDUP(N23*(1+$C$54)/N$58,0)</f>
        <v>#REF!</v>
      </c>
      <c r="O79" t="e">
        <f>ROUNDUP(O23*(1+$C$54)/O$58,0)</f>
        <v>#REF!</v>
      </c>
      <c r="P79" t="e">
        <f>ROUNDUP(P23*(1+$C$54)/P$58,0)</f>
        <v>#REF!</v>
      </c>
      <c r="Q79">
        <f>ROUNDUP(Q23*(1+$C$54)/Q$58,0)</f>
        <v>0</v>
      </c>
      <c r="S79" t="e">
        <f>SUMPRODUCT(H79:Q79,$H$58:$Q$58)</f>
        <v>#REF!</v>
      </c>
    </row>
    <row r="80">
      <c r="C80" t="str">
        <v>Plat Lantai</v>
      </c>
      <c r="D80">
        <f>D24</f>
        <v>52.0289</v>
      </c>
      <c r="E80">
        <f>E24</f>
        <v>418.2855</v>
      </c>
      <c r="F80">
        <f>F24</f>
        <v>0</v>
      </c>
      <c r="G80">
        <f>G24</f>
        <v>0</v>
      </c>
      <c r="H80">
        <f>ROUNDUP(H24*(1+$C$54)/H$58,0)</f>
        <v>0</v>
      </c>
      <c r="I80">
        <f>ROUNDUP(I24*(1+$C$54)/I$58,0)</f>
        <v>0</v>
      </c>
      <c r="J80">
        <f>ROUNDUP(J24*(1+$C$54)/J$58,0)</f>
        <v>900</v>
      </c>
      <c r="K80">
        <f>ROUNDUP(K24*(1+$C$54)/K$58,0)</f>
        <v>0</v>
      </c>
      <c r="L80">
        <f>ROUNDUP(L24*(1+$C$54)/L$58,0)</f>
        <v>0</v>
      </c>
      <c r="M80">
        <f>ROUNDUP(M24*(1+$C$54)/M$58,0)</f>
        <v>0</v>
      </c>
      <c r="N80">
        <f>ROUNDUP(N24*(1+$C$54)/N$58,0)</f>
        <v>0</v>
      </c>
      <c r="O80">
        <f>ROUNDUP(O24*(1+$C$54)/O$58,0)</f>
        <v>0</v>
      </c>
      <c r="P80">
        <f>ROUNDUP(P24*(1+$C$54)/P$58,0)</f>
        <v>0</v>
      </c>
      <c r="Q80">
        <f>ROUNDUP(Q24*(1+$C$54)/Q$58,0)</f>
        <v>0</v>
      </c>
      <c r="S80">
        <f>SUMPRODUCT(H80:Q80,$H$58:$Q$58)</f>
        <v>6660</v>
      </c>
    </row>
    <row r="81">
      <c r="C81" t="str">
        <v>Kolom</v>
      </c>
      <c r="D81" t="e">
        <f>D25</f>
        <v>#REF!</v>
      </c>
      <c r="E81" t="e">
        <f>E25</f>
        <v>#REF!</v>
      </c>
      <c r="F81">
        <f>F25</f>
        <v>0</v>
      </c>
      <c r="G81">
        <f>G25</f>
        <v>0</v>
      </c>
      <c r="H81">
        <f>ROUNDUP(H25*(1+$C$54)/H$58,0)</f>
        <v>0</v>
      </c>
      <c r="I81" t="e">
        <f>ROUNDUP(I25*(1+$C$54)/I$58,0)</f>
        <v>#REF!</v>
      </c>
      <c r="J81" t="e">
        <f>ROUNDUP(J25*(1+$C$54)/J$58,0)</f>
        <v>#REF!</v>
      </c>
      <c r="K81" t="e">
        <f>ROUNDUP(K25*(1+$C$54)/K$58,0)</f>
        <v>#REF!</v>
      </c>
      <c r="L81" t="e">
        <f>ROUNDUP(L25*(1+$C$54)/L$58,0)</f>
        <v>#REF!</v>
      </c>
      <c r="M81" t="e">
        <f>ROUNDUP(M25*(1+$C$54)/M$58,0)</f>
        <v>#REF!</v>
      </c>
      <c r="N81" t="e">
        <f>ROUNDUP(N25*(1+$C$54)/N$58,0)</f>
        <v>#REF!</v>
      </c>
      <c r="O81" t="e">
        <f>ROUNDUP(O25*(1+$C$54)/O$58,0)</f>
        <v>#REF!</v>
      </c>
      <c r="P81" t="e">
        <f>ROUNDUP(P25*(1+$C$54)/P$58,0)</f>
        <v>#REF!</v>
      </c>
      <c r="Q81">
        <f>ROUNDUP(Q25*(1+$C$54)/Q$58,0)</f>
        <v>0</v>
      </c>
      <c r="S81" t="e">
        <f>SUMPRODUCT(H81:Q81,$H$58:$Q$58)</f>
        <v>#REF!</v>
      </c>
    </row>
    <row r="84">
      <c r="A84" t="str">
        <v>Lantai 2</v>
      </c>
      <c r="B84">
        <f>B28</f>
        <v>286.71</v>
      </c>
      <c r="C84" t="str">
        <v>Balok Elv. +3.50</v>
      </c>
      <c r="D84" t="e">
        <f>D28</f>
        <v>#REF!</v>
      </c>
      <c r="E84" t="e">
        <f>E28</f>
        <v>#REF!</v>
      </c>
      <c r="F84">
        <f>F28</f>
        <v>0</v>
      </c>
      <c r="G84">
        <f>G28</f>
        <v>0</v>
      </c>
      <c r="H84" t="e">
        <f>ROUNDUP(H28*(1+$C$54)/H$58,0)</f>
        <v>#REF!</v>
      </c>
      <c r="I84" t="e">
        <f>ROUNDUP(I28*(1+$C$54)/I$58,0)</f>
        <v>#REF!</v>
      </c>
      <c r="J84" t="e">
        <f>ROUNDUP(J28*(1+$C$54)/J$58,0)</f>
        <v>#REF!</v>
      </c>
      <c r="K84" t="e">
        <f>ROUNDUP(K28*(1+$C$54)/K$58,0)</f>
        <v>#REF!</v>
      </c>
      <c r="L84" t="e">
        <f>ROUNDUP(L28*(1+$C$54)/L$58,0)</f>
        <v>#REF!</v>
      </c>
      <c r="M84" t="e">
        <f>ROUNDUP(M28*(1+$C$54)/M$58,0)</f>
        <v>#REF!</v>
      </c>
      <c r="N84" t="e">
        <f>ROUNDUP(N28*(1+$C$54)/N$58,0)</f>
        <v>#REF!</v>
      </c>
      <c r="O84" t="e">
        <f>ROUNDUP(O28*(1+$C$54)/O$58,0)</f>
        <v>#REF!</v>
      </c>
      <c r="P84" t="e">
        <f>ROUNDUP(P28*(1+$C$54)/P$58,0)</f>
        <v>#REF!</v>
      </c>
      <c r="Q84">
        <f>ROUNDUP(Q28*(1+$C$54)/Q$58,0)</f>
        <v>0</v>
      </c>
      <c r="S84" t="e">
        <f>SUMPRODUCT(H84:Q84,$H$58:$Q$58)</f>
        <v>#REF!</v>
      </c>
    </row>
    <row r="85">
      <c r="C85" t="str">
        <v>Balok Lantai 2</v>
      </c>
      <c r="D85" t="e">
        <f>D29</f>
        <v>#REF!</v>
      </c>
      <c r="E85" t="e">
        <f>E29</f>
        <v>#REF!</v>
      </c>
      <c r="F85">
        <f>F29</f>
        <v>0</v>
      </c>
      <c r="G85">
        <f>G29</f>
        <v>0</v>
      </c>
      <c r="H85" t="e">
        <f>ROUNDUP(H29*(1+$C$54)/H$58,0)</f>
        <v>#REF!</v>
      </c>
      <c r="I85" t="e">
        <f>ROUNDUP(I29*(1+$C$54)/I$58,0)</f>
        <v>#REF!</v>
      </c>
      <c r="J85" t="e">
        <f>ROUNDUP(J29*(1+$C$54)/J$58,0)</f>
        <v>#REF!</v>
      </c>
      <c r="K85" t="e">
        <f>ROUNDUP(K29*(1+$C$54)/K$58,0)</f>
        <v>#REF!</v>
      </c>
      <c r="L85" t="e">
        <f>ROUNDUP(L29*(1+$C$54)/L$58,0)</f>
        <v>#REF!</v>
      </c>
      <c r="M85" t="e">
        <f>ROUNDUP(M29*(1+$C$54)/M$58,0)</f>
        <v>#REF!</v>
      </c>
      <c r="N85" t="e">
        <f>ROUNDUP(N29*(1+$C$54)/N$58,0)</f>
        <v>#REF!</v>
      </c>
      <c r="O85" t="e">
        <f>ROUNDUP(O29*(1+$C$54)/O$58,0)</f>
        <v>#REF!</v>
      </c>
      <c r="P85" t="e">
        <f>ROUNDUP(P29*(1+$C$54)/P$58,0)</f>
        <v>#REF!</v>
      </c>
      <c r="Q85">
        <f>ROUNDUP(Q29*(1+$C$54)/Q$58,0)</f>
        <v>0</v>
      </c>
      <c r="S85" t="e">
        <f>SUMPRODUCT(H85:Q85,$H$58:$Q$58)</f>
        <v>#REF!</v>
      </c>
    </row>
    <row r="86">
      <c r="C86" t="str">
        <v>Plat Lantai</v>
      </c>
      <c r="D86">
        <f>D30</f>
        <v>38.8329</v>
      </c>
      <c r="E86">
        <f>E30</f>
        <v>315.42369999999994</v>
      </c>
      <c r="F86">
        <f>F30</f>
        <v>0</v>
      </c>
      <c r="G86">
        <f>G30</f>
        <v>0</v>
      </c>
      <c r="H86">
        <f>ROUNDUP(H30*(1+$C$54)/H$58,0)</f>
        <v>0</v>
      </c>
      <c r="I86">
        <f>ROUNDUP(I30*(1+$C$54)/I$58,0)</f>
        <v>0</v>
      </c>
      <c r="J86">
        <f>ROUNDUP(J30*(1+$C$54)/J$58,0)</f>
        <v>688</v>
      </c>
      <c r="K86">
        <f>ROUNDUP(K30*(1+$C$54)/K$58,0)</f>
        <v>0</v>
      </c>
      <c r="L86">
        <f>ROUNDUP(L30*(1+$C$54)/L$58,0)</f>
        <v>0</v>
      </c>
      <c r="M86">
        <f>ROUNDUP(M30*(1+$C$54)/M$58,0)</f>
        <v>0</v>
      </c>
      <c r="N86">
        <f>ROUNDUP(N30*(1+$C$54)/N$58,0)</f>
        <v>0</v>
      </c>
      <c r="O86">
        <f>ROUNDUP(O30*(1+$C$54)/O$58,0)</f>
        <v>0</v>
      </c>
      <c r="P86">
        <f>ROUNDUP(P30*(1+$C$54)/P$58,0)</f>
        <v>0</v>
      </c>
      <c r="Q86">
        <f>ROUNDUP(Q30*(1+$C$54)/Q$58,0)</f>
        <v>0</v>
      </c>
      <c r="S86">
        <f>SUMPRODUCT(H86:Q86,$H$58:$Q$58)</f>
        <v>5091.2</v>
      </c>
    </row>
    <row r="87">
      <c r="C87" t="str">
        <v>Kolom</v>
      </c>
      <c r="D87" t="e">
        <f>D31</f>
        <v>#REF!</v>
      </c>
      <c r="E87" t="e">
        <f>E31</f>
        <v>#REF!</v>
      </c>
      <c r="F87">
        <f>F31</f>
        <v>0</v>
      </c>
      <c r="G87">
        <f>G31</f>
        <v>0</v>
      </c>
      <c r="H87">
        <f>ROUNDUP(H31*(1+$C$54)/H$58,0)</f>
        <v>0</v>
      </c>
      <c r="I87" t="e">
        <f>ROUNDUP(I31*(1+$C$54)/I$58,0)</f>
        <v>#REF!</v>
      </c>
      <c r="J87" t="e">
        <f>ROUNDUP(J31*(1+$C$54)/J$58,0)</f>
        <v>#REF!</v>
      </c>
      <c r="K87" t="e">
        <f>ROUNDUP(K31*(1+$C$54)/K$58,0)</f>
        <v>#REF!</v>
      </c>
      <c r="L87" t="e">
        <f>ROUNDUP(L31*(1+$C$54)/L$58,0)</f>
        <v>#REF!</v>
      </c>
      <c r="M87" t="e">
        <f>ROUNDUP(M31*(1+$C$54)/M$58,0)</f>
        <v>#REF!</v>
      </c>
      <c r="N87" t="e">
        <f>ROUNDUP(N31*(1+$C$54)/N$58,0)</f>
        <v>#REF!</v>
      </c>
      <c r="O87" t="e">
        <f>ROUNDUP(O31*(1+$C$54)/O$58,0)</f>
        <v>#REF!</v>
      </c>
      <c r="P87" t="e">
        <f>ROUNDUP(P31*(1+$C$54)/P$58,0)</f>
        <v>#REF!</v>
      </c>
      <c r="Q87">
        <f>ROUNDUP(Q31*(1+$C$54)/Q$58,0)</f>
        <v>0</v>
      </c>
      <c r="S87" t="e">
        <f>SUMPRODUCT(H87:Q87,$H$58:$Q$58)</f>
        <v>#REF!</v>
      </c>
    </row>
    <row r="90">
      <c r="A90" t="str">
        <v>Lantai 3</v>
      </c>
      <c r="B90" t="e">
        <f>B34</f>
        <v>#REF!</v>
      </c>
      <c r="C90" t="str">
        <v>Balok Elv. +7.90</v>
      </c>
      <c r="D90" t="e">
        <f>D34</f>
        <v>#REF!</v>
      </c>
      <c r="E90" t="e">
        <f>E34</f>
        <v>#REF!</v>
      </c>
      <c r="F90">
        <f>F34</f>
        <v>0</v>
      </c>
      <c r="G90">
        <f>G34</f>
        <v>0</v>
      </c>
      <c r="H90" t="e">
        <f>ROUNDUP(H34*(1+$C$54)/H$58,0)</f>
        <v>#REF!</v>
      </c>
      <c r="I90" t="e">
        <f>ROUNDUP(I34*(1+$C$54)/I$58,0)</f>
        <v>#REF!</v>
      </c>
      <c r="J90" t="e">
        <f>ROUNDUP(J34*(1+$C$54)/J$58,0)</f>
        <v>#REF!</v>
      </c>
      <c r="K90" t="e">
        <f>ROUNDUP(K34*(1+$C$54)/K$58,0)</f>
        <v>#REF!</v>
      </c>
      <c r="L90" t="e">
        <f>ROUNDUP(L34*(1+$C$54)/L$58,0)</f>
        <v>#REF!</v>
      </c>
      <c r="M90" t="e">
        <f>ROUNDUP(M34*(1+$C$54)/M$58,0)</f>
        <v>#REF!</v>
      </c>
      <c r="N90" t="e">
        <f>ROUNDUP(N34*(1+$C$54)/N$58,0)</f>
        <v>#REF!</v>
      </c>
      <c r="O90" t="e">
        <f>ROUNDUP(O34*(1+$C$54)/O$58,0)</f>
        <v>#REF!</v>
      </c>
      <c r="P90" t="e">
        <f>ROUNDUP(P34*(1+$C$54)/P$58,0)</f>
        <v>#REF!</v>
      </c>
      <c r="Q90">
        <f>ROUNDUP(Q34*(1+$C$54)/Q$58,0)</f>
        <v>0</v>
      </c>
      <c r="S90" t="e">
        <f>SUMPRODUCT(H90:Q90,$H$58:$Q$58)</f>
        <v>#REF!</v>
      </c>
    </row>
    <row r="91">
      <c r="C91" t="str">
        <v>Balok Lantai 3</v>
      </c>
      <c r="D91" t="e">
        <f>D35</f>
        <v>#REF!</v>
      </c>
      <c r="E91" t="e">
        <f>E35</f>
        <v>#REF!</v>
      </c>
      <c r="F91">
        <f>F35</f>
        <v>0</v>
      </c>
      <c r="G91">
        <f>G35</f>
        <v>0</v>
      </c>
      <c r="H91" t="e">
        <f>ROUNDUP(H35*(1+$C$54)/H$58,0)</f>
        <v>#REF!</v>
      </c>
      <c r="I91" t="e">
        <f>ROUNDUP(I35*(1+$C$54)/I$58,0)</f>
        <v>#REF!</v>
      </c>
      <c r="J91" t="e">
        <f>ROUNDUP(J35*(1+$C$54)/J$58,0)</f>
        <v>#REF!</v>
      </c>
      <c r="K91" t="e">
        <f>ROUNDUP(K35*(1+$C$54)/K$58,0)</f>
        <v>#REF!</v>
      </c>
      <c r="L91" t="e">
        <f>ROUNDUP(L35*(1+$C$54)/L$58,0)</f>
        <v>#REF!</v>
      </c>
      <c r="M91" t="e">
        <f>ROUNDUP(M35*(1+$C$54)/M$58,0)</f>
        <v>#REF!</v>
      </c>
      <c r="N91" t="e">
        <f>ROUNDUP(N35*(1+$C$54)/N$58,0)</f>
        <v>#REF!</v>
      </c>
      <c r="O91" t="e">
        <f>ROUNDUP(O35*(1+$C$54)/O$58,0)</f>
        <v>#REF!</v>
      </c>
      <c r="P91" t="e">
        <f>ROUNDUP(P35*(1+$C$54)/P$58,0)</f>
        <v>#REF!</v>
      </c>
      <c r="Q91">
        <f>ROUNDUP(Q35*(1+$C$54)/Q$58,0)</f>
        <v>0</v>
      </c>
      <c r="S91" t="e">
        <f>SUMPRODUCT(H91:Q91,$H$58:$Q$58)</f>
        <v>#REF!</v>
      </c>
    </row>
    <row r="92">
      <c r="C92" t="str">
        <v>Plat Lantai</v>
      </c>
      <c r="D92" t="e">
        <f>D36</f>
        <v>#REF!</v>
      </c>
      <c r="E92" t="e">
        <f>E36</f>
        <v>#REF!</v>
      </c>
      <c r="F92">
        <f>F36</f>
        <v>0</v>
      </c>
      <c r="G92">
        <f>G36</f>
        <v>0</v>
      </c>
      <c r="H92">
        <f>ROUNDUP(H36*(1+$C$54)/H$58,0)</f>
        <v>0</v>
      </c>
      <c r="I92" t="e">
        <f>ROUNDUP(I36*(1+$C$54)/I$58,0)</f>
        <v>#REF!</v>
      </c>
      <c r="J92" t="e">
        <f>ROUNDUP(J36*(1+$C$54)/J$58,0)</f>
        <v>#REF!</v>
      </c>
      <c r="K92" t="e">
        <f>ROUNDUP(K36*(1+$C$54)/K$58,0)</f>
        <v>#REF!</v>
      </c>
      <c r="L92" t="e">
        <f>ROUNDUP(L36*(1+$C$54)/L$58,0)</f>
        <v>#REF!</v>
      </c>
      <c r="M92" t="e">
        <f>ROUNDUP(M36*(1+$C$54)/M$58,0)</f>
        <v>#REF!</v>
      </c>
      <c r="N92">
        <f>ROUNDUP(N36*(1+$C$54)/N$58,0)</f>
        <v>0</v>
      </c>
      <c r="O92">
        <f>ROUNDUP(O36*(1+$C$54)/O$58,0)</f>
        <v>0</v>
      </c>
      <c r="P92">
        <f>ROUNDUP(P36*(1+$C$54)/P$58,0)</f>
        <v>0</v>
      </c>
      <c r="Q92">
        <f>ROUNDUP(Q36*(1+$C$54)/Q$58,0)</f>
        <v>0</v>
      </c>
      <c r="S92" t="e">
        <f>SUMPRODUCT(H92:Q92,$H$58:$Q$58)</f>
        <v>#REF!</v>
      </c>
    </row>
    <row r="93">
      <c r="C93" t="str">
        <v>Kolom</v>
      </c>
      <c r="D93" t="e">
        <f>D37</f>
        <v>#REF!</v>
      </c>
      <c r="E93" t="e">
        <f>E37</f>
        <v>#REF!</v>
      </c>
      <c r="F93">
        <f>F37</f>
        <v>0</v>
      </c>
      <c r="G93">
        <f>G37</f>
        <v>0</v>
      </c>
      <c r="H93">
        <f>ROUNDUP(H37*(1+$C$54)/H$58,0)</f>
        <v>0</v>
      </c>
      <c r="I93" t="e">
        <f>ROUNDUP(I37*(1+$C$54)/I$58,0)</f>
        <v>#REF!</v>
      </c>
      <c r="J93" t="e">
        <f>ROUNDUP(J37*(1+$C$54)/J$58,0)</f>
        <v>#REF!</v>
      </c>
      <c r="K93" t="e">
        <f>ROUNDUP(K37*(1+$C$54)/K$58,0)</f>
        <v>#REF!</v>
      </c>
      <c r="L93" t="e">
        <f>ROUNDUP(L37*(1+$C$54)/L$58,0)</f>
        <v>#REF!</v>
      </c>
      <c r="M93" t="e">
        <f>ROUNDUP(M37*(1+$C$54)/M$58,0)</f>
        <v>#REF!</v>
      </c>
      <c r="N93" t="e">
        <f>ROUNDUP(N37*(1+$C$54)/N$58,0)</f>
        <v>#REF!</v>
      </c>
      <c r="O93" t="e">
        <f>ROUNDUP(O37*(1+$C$54)/O$58,0)</f>
        <v>#REF!</v>
      </c>
      <c r="P93" t="e">
        <f>ROUNDUP(P37*(1+$C$54)/P$58,0)</f>
        <v>#REF!</v>
      </c>
      <c r="Q93">
        <f>ROUNDUP(Q37*(1+$C$54)/Q$58,0)</f>
        <v>0</v>
      </c>
      <c r="S93" t="e">
        <f>SUMPRODUCT(H93:Q93,$H$58:$Q$58)</f>
        <v>#REF!</v>
      </c>
    </row>
    <row r="96">
      <c r="A96" t="str">
        <v>Lantai atap</v>
      </c>
      <c r="B96" t="e">
        <f>B40</f>
        <v>#REF!</v>
      </c>
      <c r="C96" t="str">
        <v>Balok Elv. +12.00</v>
      </c>
      <c r="D96" t="e">
        <f>D40</f>
        <v>#REF!</v>
      </c>
      <c r="E96" t="e">
        <f>E40</f>
        <v>#REF!</v>
      </c>
      <c r="F96">
        <f>F40</f>
        <v>0</v>
      </c>
      <c r="G96">
        <f>G40</f>
        <v>0</v>
      </c>
      <c r="H96" t="e">
        <f>ROUNDUP(H40*(1+$C$54)/H$58,0)</f>
        <v>#REF!</v>
      </c>
      <c r="I96" t="e">
        <f>ROUNDUP(I40*(1+$C$54)/I$58,0)</f>
        <v>#REF!</v>
      </c>
      <c r="J96" t="e">
        <f>ROUNDUP(J40*(1+$C$54)/J$58,0)</f>
        <v>#REF!</v>
      </c>
      <c r="K96" t="e">
        <f>ROUNDUP(K40*(1+$C$54)/K$58,0)</f>
        <v>#REF!</v>
      </c>
      <c r="L96" t="e">
        <f>ROUNDUP(L40*(1+$C$54)/L$58,0)</f>
        <v>#REF!</v>
      </c>
      <c r="M96" t="e">
        <f>ROUNDUP(M40*(1+$C$54)/M$58,0)</f>
        <v>#REF!</v>
      </c>
      <c r="N96" t="e">
        <f>ROUNDUP(N40*(1+$C$54)/N$58,0)</f>
        <v>#REF!</v>
      </c>
      <c r="O96" t="e">
        <f>ROUNDUP(O40*(1+$C$54)/O$58,0)</f>
        <v>#REF!</v>
      </c>
      <c r="P96" t="e">
        <f>ROUNDUP(P40*(1+$C$54)/P$58,0)</f>
        <v>#REF!</v>
      </c>
      <c r="Q96">
        <f>ROUNDUP(Q40*(1+$C$54)/Q$58,0)</f>
        <v>0</v>
      </c>
      <c r="S96" t="e">
        <f>SUMPRODUCT(H96:Q96,$H$58:$Q$58)</f>
        <v>#REF!</v>
      </c>
    </row>
    <row r="97">
      <c r="C97" t="str">
        <v>Balok Lantai Atap</v>
      </c>
      <c r="D97" t="e">
        <f>D41</f>
        <v>#REF!</v>
      </c>
      <c r="E97" t="e">
        <f>E41</f>
        <v>#REF!</v>
      </c>
      <c r="F97">
        <f>F41</f>
        <v>0</v>
      </c>
      <c r="G97">
        <f>G41</f>
        <v>0</v>
      </c>
      <c r="H97" t="e">
        <f>ROUNDUP(H41*(1+$C$54)/H$58,0)</f>
        <v>#REF!</v>
      </c>
      <c r="I97" t="e">
        <f>ROUNDUP(I41*(1+$C$54)/I$58,0)</f>
        <v>#REF!</v>
      </c>
      <c r="J97" t="e">
        <f>ROUNDUP(J41*(1+$C$54)/J$58,0)</f>
        <v>#REF!</v>
      </c>
      <c r="K97" t="e">
        <f>ROUNDUP(K41*(1+$C$54)/K$58,0)</f>
        <v>#REF!</v>
      </c>
      <c r="L97" t="e">
        <f>ROUNDUP(L41*(1+$C$54)/L$58,0)</f>
        <v>#REF!</v>
      </c>
      <c r="M97" t="e">
        <f>ROUNDUP(M41*(1+$C$54)/M$58,0)</f>
        <v>#REF!</v>
      </c>
      <c r="N97" t="e">
        <f>ROUNDUP(N41*(1+$C$54)/N$58,0)</f>
        <v>#REF!</v>
      </c>
      <c r="O97" t="e">
        <f>ROUNDUP(O41*(1+$C$54)/O$58,0)</f>
        <v>#REF!</v>
      </c>
      <c r="P97" t="e">
        <f>ROUNDUP(P41*(1+$C$54)/P$58,0)</f>
        <v>#REF!</v>
      </c>
      <c r="Q97">
        <f>ROUNDUP(Q41*(1+$C$54)/Q$58,0)</f>
        <v>0</v>
      </c>
      <c r="S97" t="e">
        <f>SUMPRODUCT(H97:Q97,$H$58:$Q$58)</f>
        <v>#REF!</v>
      </c>
    </row>
    <row r="98">
      <c r="C98" t="str">
        <v>Plat Lantai</v>
      </c>
      <c r="D98" t="e">
        <f>D42</f>
        <v>#REF!</v>
      </c>
      <c r="E98" t="e">
        <f>E42</f>
        <v>#REF!</v>
      </c>
      <c r="F98">
        <f>F42</f>
        <v>0</v>
      </c>
      <c r="G98">
        <f>G42</f>
        <v>0</v>
      </c>
      <c r="H98">
        <f>ROUNDUP(H42*(1+$C$54)/H$58,0)</f>
        <v>0</v>
      </c>
      <c r="I98" t="e">
        <f>ROUNDUP(I42*(1+$C$54)/I$58,0)</f>
        <v>#REF!</v>
      </c>
      <c r="J98" t="e">
        <f>ROUNDUP(J42*(1+$C$54)/J$58,0)</f>
        <v>#REF!</v>
      </c>
      <c r="K98" t="e">
        <f>ROUNDUP(K42*(1+$C$54)/K$58,0)</f>
        <v>#REF!</v>
      </c>
      <c r="L98" t="e">
        <f>ROUNDUP(L42*(1+$C$54)/L$58,0)</f>
        <v>#REF!</v>
      </c>
      <c r="M98" t="e">
        <f>ROUNDUP(M42*(1+$C$54)/M$58,0)</f>
        <v>#REF!</v>
      </c>
      <c r="N98">
        <f>ROUNDUP(N42*(1+$C$54)/N$58,0)</f>
        <v>0</v>
      </c>
      <c r="O98">
        <f>ROUNDUP(O42*(1+$C$54)/O$58,0)</f>
        <v>0</v>
      </c>
      <c r="P98">
        <f>ROUNDUP(P42*(1+$C$54)/P$58,0)</f>
        <v>0</v>
      </c>
      <c r="Q98">
        <f>ROUNDUP(Q42*(1+$C$54)/Q$58,0)</f>
        <v>0</v>
      </c>
      <c r="S98" t="e">
        <f>SUMPRODUCT(H98:Q98,$H$58:$Q$58)</f>
        <v>#REF!</v>
      </c>
    </row>
    <row r="101">
      <c r="A101" t="str">
        <v>TOTAL</v>
      </c>
      <c r="B101" t="e">
        <f>SUM(B60:B100)</f>
        <v>#REF!</v>
      </c>
      <c r="D101" t="e">
        <f>SUM(D60:D100)</f>
        <v>#REF!</v>
      </c>
      <c r="E101" t="e">
        <f>SUM(E60:E100)</f>
        <v>#REF!</v>
      </c>
      <c r="F101" t="e">
        <f>SUM(F60:F100)</f>
        <v>#REF!</v>
      </c>
      <c r="G101" t="e">
        <f>SUM(G60:G100)</f>
        <v>#REF!</v>
      </c>
      <c r="H101" t="e">
        <f>SUM(H60:H100)</f>
        <v>#REF!</v>
      </c>
      <c r="I101" t="e">
        <f>SUM(I60:I100)</f>
        <v>#REF!</v>
      </c>
      <c r="J101" t="e">
        <f>SUM(J60:J100)</f>
        <v>#REF!</v>
      </c>
      <c r="K101" t="e">
        <f>SUM(K60:K100)</f>
        <v>#REF!</v>
      </c>
      <c r="L101" t="e">
        <f>SUM(L60:L100)</f>
        <v>#REF!</v>
      </c>
      <c r="M101" t="e">
        <f>SUM(M60:M100)</f>
        <v>#REF!</v>
      </c>
      <c r="N101" t="e">
        <f>SUM(N60:N100)</f>
        <v>#REF!</v>
      </c>
      <c r="O101" t="e">
        <f>SUM(O60:O100)</f>
        <v>#REF!</v>
      </c>
      <c r="P101" t="e">
        <f>SUM(P60:P100)</f>
        <v>#REF!</v>
      </c>
      <c r="Q101">
        <f>SUM(Q60:Q100)</f>
        <v>0</v>
      </c>
      <c r="S101" t="e">
        <f>SUM(S60:S100)</f>
        <v>#REF!</v>
      </c>
    </row>
    <row r="102">
      <c r="R102" t="str">
        <v>waste (kg)</v>
      </c>
      <c r="S102" t="e">
        <f>S101-S45</f>
        <v>#REF!</v>
      </c>
    </row>
    <row r="103">
      <c r="S103" t="e">
        <f>S102/S101</f>
        <v>#REF!</v>
      </c>
    </row>
    <row r="106">
      <c r="I106">
        <v>200</v>
      </c>
      <c r="J106">
        <v>1200</v>
      </c>
      <c r="K106">
        <v>600</v>
      </c>
      <c r="L106">
        <v>150</v>
      </c>
    </row>
    <row r="107">
      <c r="I107">
        <f>I106*I58</f>
        <v>948</v>
      </c>
      <c r="J107">
        <f>J106*J58</f>
        <v>8880</v>
      </c>
      <c r="K107">
        <f>K106*K58</f>
        <v>7500</v>
      </c>
      <c r="L107">
        <f>L106*L58</f>
        <v>2850</v>
      </c>
    </row>
  </sheetData>
  <mergeCells count="37">
    <mergeCell ref="A40:A42"/>
    <mergeCell ref="B40:B42"/>
    <mergeCell ref="S57:S58"/>
    <mergeCell ref="A61:A75"/>
    <mergeCell ref="B61:B75"/>
    <mergeCell ref="H56:Q56"/>
    <mergeCell ref="A78:A81"/>
    <mergeCell ref="B78:B81"/>
    <mergeCell ref="E57:E58"/>
    <mergeCell ref="B56:B58"/>
    <mergeCell ref="C56:C58"/>
    <mergeCell ref="D56:D58"/>
    <mergeCell ref="E56:G56"/>
    <mergeCell ref="F57:F58"/>
    <mergeCell ref="G57:G58"/>
    <mergeCell ref="A56:A58"/>
    <mergeCell ref="U1:W1"/>
    <mergeCell ref="H1:Q1"/>
    <mergeCell ref="D1:D2"/>
    <mergeCell ref="E1:G1"/>
    <mergeCell ref="A34:A37"/>
    <mergeCell ref="B34:B37"/>
    <mergeCell ref="A5:A19"/>
    <mergeCell ref="A1:A2"/>
    <mergeCell ref="B1:B2"/>
    <mergeCell ref="C1:C2"/>
    <mergeCell ref="B5:B19"/>
    <mergeCell ref="A22:A25"/>
    <mergeCell ref="B22:B25"/>
    <mergeCell ref="A28:A31"/>
    <mergeCell ref="B28:B31"/>
    <mergeCell ref="A96:A98"/>
    <mergeCell ref="B96:B98"/>
    <mergeCell ref="A90:A93"/>
    <mergeCell ref="B90:B93"/>
    <mergeCell ref="A84:A87"/>
    <mergeCell ref="B84:B87"/>
  </mergeCells>
  <pageMargins left="0.7" right="0.7" top="0.75" bottom="0.75" header="0.3" footer="0.3"/>
  <ignoredErrors>
    <ignoredError numberStoredAsText="1" sqref="A1:W10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S64"/>
  <sheetViews>
    <sheetView workbookViewId="0" rightToLeft="0"/>
  </sheetViews>
  <sheetData>
    <row r="1" xml:space="preserve">
      <c r="A1" t="str">
        <v>Lantai</v>
      </c>
      <c r="B1" t="str">
        <v>Area</v>
      </c>
      <c r="C1" t="str">
        <v>Tipe Plat</v>
      </c>
      <c r="D1" t="str" xml:space="preserve">
        <v xml:space="preserve">Luas Plat_x000d_
(m2)</v>
      </c>
      <c r="E1" t="str">
        <v>Koef</v>
      </c>
      <c r="F1" t="str" xml:space="preserve">
        <v xml:space="preserve">Luas Bangunan_x000d_
(m2)</v>
      </c>
      <c r="G1" t="str">
        <v>Vol. Beton (m3)</v>
      </c>
      <c r="H1" t="str">
        <v>Vol. Bekisting</v>
      </c>
      <c r="J1" t="str">
        <v>Wire Mesh</v>
      </c>
      <c r="K1" t="str">
        <v>Vol. Besi per Diameter (kg)</v>
      </c>
      <c r="P1" t="str">
        <v>Total Besi (kg)</v>
      </c>
      <c r="R1" t="str" xml:space="preserve">
        <v xml:space="preserve">Rasio Bekisting_x000d_
(m2/m3)</v>
      </c>
      <c r="S1" t="str" xml:space="preserve">
        <v xml:space="preserve">Rasio Besi_x000d_
(kg/m3)</v>
      </c>
    </row>
    <row r="2" xml:space="preserve">
      <c r="H2" t="str" xml:space="preserve">
        <v xml:space="preserve">Lantai Kerja_x000d_
(m3)</v>
      </c>
      <c r="I2" t="str" xml:space="preserve">
        <v xml:space="preserve">Kayu_x000d_
(m2)</v>
      </c>
      <c r="J2" t="str">
        <v>m2</v>
      </c>
      <c r="K2">
        <v>8</v>
      </c>
      <c r="L2">
        <v>10</v>
      </c>
      <c r="M2">
        <v>13</v>
      </c>
      <c r="N2">
        <v>16</v>
      </c>
      <c r="O2">
        <v>25</v>
      </c>
    </row>
    <row r="5">
      <c r="A5" t="str">
        <v>Lantai Basement</v>
      </c>
    </row>
    <row r="6">
      <c r="B6" t="str">
        <f>Plat!A74</f>
        <v>Main building area; FFL -3.20</v>
      </c>
      <c r="C6" t="str">
        <v>S3 = S4</v>
      </c>
      <c r="D6">
        <f>Plat!H74</f>
        <v>204.66</v>
      </c>
      <c r="E6">
        <v>1</v>
      </c>
      <c r="F6">
        <f>D6*E6</f>
        <v>204.66</v>
      </c>
      <c r="G6">
        <f>Plat!I74</f>
        <v>30.699</v>
      </c>
      <c r="H6">
        <f>Plat!J74</f>
        <v>10.233</v>
      </c>
      <c r="I6">
        <f>Plat!K74</f>
        <v>13.585500000000001</v>
      </c>
      <c r="K6">
        <f>Plat!L74</f>
        <v>0</v>
      </c>
      <c r="L6">
        <f>Plat!M74</f>
        <v>3369.0965472000003</v>
      </c>
      <c r="M6">
        <f>Plat!N74</f>
        <v>0</v>
      </c>
      <c r="N6">
        <f>Plat!O74</f>
        <v>0</v>
      </c>
      <c r="O6">
        <f>Plat!P74</f>
        <v>0</v>
      </c>
      <c r="P6">
        <f>SUM(K6:O6)</f>
        <v>3369.0965472000003</v>
      </c>
      <c r="R6">
        <f>SUM(I6:I11)/SUM(G6:G11)</f>
        <v>0.5033961193000952</v>
      </c>
      <c r="S6">
        <f>SUM(P6:P11)/SUM(G6:G11)</f>
        <v>109.74613333333332</v>
      </c>
    </row>
    <row r="7">
      <c r="B7" t="str">
        <f>Plat!A75</f>
        <v>Maid laundry &amp; driver room; FFL -3.20</v>
      </c>
      <c r="C7" t="str">
        <v>S3 = S4</v>
      </c>
      <c r="D7">
        <f>Plat!H75</f>
        <v>22.4</v>
      </c>
      <c r="E7">
        <v>1</v>
      </c>
      <c r="F7">
        <f>D7*E7</f>
        <v>22.4</v>
      </c>
      <c r="G7">
        <f>Plat!I75</f>
        <v>3.36</v>
      </c>
      <c r="H7">
        <f>Plat!J75</f>
        <v>1.12</v>
      </c>
      <c r="I7">
        <f>Plat!K75</f>
        <v>3.8835</v>
      </c>
      <c r="K7">
        <f>Plat!L75</f>
        <v>0</v>
      </c>
      <c r="L7">
        <f>Plat!M75</f>
        <v>368.747008</v>
      </c>
      <c r="M7">
        <f>Plat!N75</f>
        <v>0</v>
      </c>
      <c r="N7">
        <f>Plat!O75</f>
        <v>0</v>
      </c>
      <c r="O7">
        <f>Plat!P75</f>
        <v>0</v>
      </c>
      <c r="P7">
        <f>SUM(K7:O7)</f>
        <v>368.747008</v>
      </c>
    </row>
    <row r="8">
      <c r="B8" t="str">
        <f>Plat!A76</f>
        <v>Garage; FFL -3.27</v>
      </c>
      <c r="C8" t="str">
        <v>S3 = S4</v>
      </c>
      <c r="D8">
        <f>Plat!H76</f>
        <v>184.48</v>
      </c>
      <c r="E8">
        <v>1</v>
      </c>
      <c r="F8">
        <f>D8*E8</f>
        <v>184.48</v>
      </c>
      <c r="G8">
        <f>Plat!I76</f>
        <v>27.672</v>
      </c>
      <c r="H8">
        <f>Plat!J76</f>
        <v>9.224</v>
      </c>
      <c r="I8">
        <f>Plat!K76</f>
        <v>9.699</v>
      </c>
      <c r="K8">
        <f>Plat!L76</f>
        <v>0</v>
      </c>
      <c r="L8">
        <f>Plat!M76</f>
        <v>3036.8950016</v>
      </c>
      <c r="M8">
        <f>Plat!N76</f>
        <v>0</v>
      </c>
      <c r="N8">
        <f>Plat!O76</f>
        <v>0</v>
      </c>
      <c r="O8">
        <f>Plat!P76</f>
        <v>0</v>
      </c>
      <c r="P8">
        <f>SUM(K8:O8)</f>
        <v>3036.8950016</v>
      </c>
    </row>
    <row r="9">
      <c r="B9" t="str">
        <f>Plat!A77</f>
        <v>Terrace; FFL -3.30</v>
      </c>
      <c r="C9" t="str">
        <v>S3 = S4</v>
      </c>
      <c r="D9">
        <f>Plat!H77</f>
        <v>20.06</v>
      </c>
      <c r="E9">
        <v>0.5</v>
      </c>
      <c r="F9">
        <f>D9*E9</f>
        <v>10.03</v>
      </c>
      <c r="G9">
        <f>Plat!I77</f>
        <v>3.009</v>
      </c>
      <c r="H9">
        <f>Plat!J77</f>
        <v>1.003</v>
      </c>
      <c r="I9">
        <f>Plat!K77</f>
        <v>2.79</v>
      </c>
      <c r="K9">
        <f>Plat!L77</f>
        <v>0</v>
      </c>
      <c r="L9">
        <f>Plat!M77</f>
        <v>330.2261152</v>
      </c>
      <c r="M9">
        <f>Plat!N77</f>
        <v>0</v>
      </c>
      <c r="N9">
        <f>Plat!O77</f>
        <v>0</v>
      </c>
      <c r="O9">
        <f>Plat!P77</f>
        <v>0</v>
      </c>
      <c r="P9">
        <f>SUM(K9:O9)</f>
        <v>330.2261152</v>
      </c>
    </row>
    <row r="10">
      <c r="B10" t="str">
        <f>Plat!A78</f>
        <v>Carport; FFL -3.30</v>
      </c>
      <c r="C10" t="str">
        <v>S3 = S4</v>
      </c>
      <c r="D10">
        <f>Plat!H78</f>
        <v>41.61</v>
      </c>
      <c r="E10">
        <v>0.5</v>
      </c>
      <c r="F10">
        <f>D10*E10</f>
        <v>20.805</v>
      </c>
      <c r="G10">
        <f>Plat!I78</f>
        <v>6.2415</v>
      </c>
      <c r="H10">
        <f>Plat!J78</f>
        <v>2.0805</v>
      </c>
      <c r="I10">
        <f>Plat!K78</f>
        <v>3.9</v>
      </c>
      <c r="K10">
        <f>Plat!L78</f>
        <v>0</v>
      </c>
      <c r="L10">
        <f>Plat!M78</f>
        <v>684.9804912000001</v>
      </c>
      <c r="M10">
        <f>Plat!N78</f>
        <v>0</v>
      </c>
      <c r="N10">
        <f>Plat!O78</f>
        <v>0</v>
      </c>
      <c r="O10">
        <f>Plat!P78</f>
        <v>0</v>
      </c>
      <c r="P10">
        <f>SUM(K10:O10)</f>
        <v>684.9804912000001</v>
      </c>
    </row>
    <row r="11">
      <c r="B11" t="str">
        <f>Plat!A79</f>
        <v>Plat dasar pond depan</v>
      </c>
      <c r="C11" t="str">
        <v>S3 = S4</v>
      </c>
      <c r="D11">
        <f>Plat!H79</f>
        <v>20</v>
      </c>
      <c r="E11">
        <v>0.5</v>
      </c>
      <c r="F11">
        <f>D11*E11</f>
        <v>10</v>
      </c>
      <c r="G11">
        <f>Plat!I79</f>
        <v>3</v>
      </c>
      <c r="H11">
        <f>Plat!J79</f>
        <v>1</v>
      </c>
      <c r="I11">
        <f>Plat!K79</f>
        <v>3.384</v>
      </c>
      <c r="K11">
        <f>Plat!L79</f>
        <v>0</v>
      </c>
      <c r="L11">
        <f>Plat!M79</f>
        <v>329.2384</v>
      </c>
      <c r="M11">
        <f>Plat!N79</f>
        <v>0</v>
      </c>
      <c r="N11">
        <f>Plat!O79</f>
        <v>0</v>
      </c>
      <c r="O11">
        <f>Plat!P79</f>
        <v>0</v>
      </c>
      <c r="P11">
        <f>SUM(K11:O11)</f>
        <v>329.2384</v>
      </c>
    </row>
    <row r="13">
      <c r="B13" t="str">
        <v>Subtotal Lantai Basement</v>
      </c>
      <c r="D13">
        <f>SUM(D4:D12)</f>
        <v>493.21</v>
      </c>
      <c r="F13">
        <f>SUM(F4:F12)</f>
        <v>452.37499999999994</v>
      </c>
      <c r="G13">
        <f>SUM(G4:G12)</f>
        <v>73.98150000000001</v>
      </c>
      <c r="H13">
        <f>SUM(H4:H12)</f>
        <v>24.660500000000003</v>
      </c>
      <c r="I13">
        <f>SUM(I4:I12)</f>
        <v>37.242</v>
      </c>
      <c r="J13">
        <f>SUM(J4:J12)</f>
        <v>0</v>
      </c>
      <c r="K13">
        <f>SUM(K4:K12)</f>
        <v>0</v>
      </c>
      <c r="L13">
        <f>SUM(L4:L12)</f>
        <v>8119.1835632</v>
      </c>
      <c r="M13">
        <f>SUM(M4:M12)</f>
        <v>0</v>
      </c>
      <c r="N13">
        <f>SUM(N4:N12)</f>
        <v>0</v>
      </c>
      <c r="O13">
        <f>SUM(O4:O12)</f>
        <v>0</v>
      </c>
      <c r="P13">
        <f>SUM(P4:P12)</f>
        <v>8119.1835632</v>
      </c>
    </row>
    <row r="15">
      <c r="A15" t="str">
        <v>Lantai 1</v>
      </c>
    </row>
    <row r="16">
      <c r="B16" t="str">
        <f>Plat!A36</f>
        <v>Main building area; FFL +/-0.00</v>
      </c>
      <c r="C16" t="str">
        <v>S1 = S2</v>
      </c>
      <c r="D16">
        <f>Plat!H36</f>
        <v>300.98</v>
      </c>
      <c r="E16">
        <v>1</v>
      </c>
      <c r="F16">
        <f>D16*E16</f>
        <v>300.98</v>
      </c>
      <c r="G16">
        <f>Plat!I36</f>
        <v>39.1274</v>
      </c>
      <c r="H16">
        <f>Plat!J36</f>
        <v>0</v>
      </c>
      <c r="I16">
        <f>Plat!K36</f>
        <v>313.74600000000004</v>
      </c>
      <c r="K16">
        <f>Plat!L36</f>
        <v>0</v>
      </c>
      <c r="L16">
        <f>Plat!M36</f>
        <v>4925.020014400001</v>
      </c>
      <c r="M16">
        <f>Plat!N36</f>
        <v>0</v>
      </c>
      <c r="N16">
        <f>Plat!O36</f>
        <v>0</v>
      </c>
      <c r="O16">
        <f>Plat!P36</f>
        <v>0</v>
      </c>
      <c r="P16">
        <f>SUM(K16:O16)</f>
        <v>4925.020014400001</v>
      </c>
      <c r="R16">
        <f>SUM(I16:I16)/SUM(G16:G16)</f>
        <v>8.01857521838916</v>
      </c>
      <c r="S16">
        <f>SUM(P16:P16)/SUM(G16:G16)</f>
        <v>125.87138461538463</v>
      </c>
    </row>
    <row r="18">
      <c r="B18" t="str">
        <f>Plat!A82</f>
        <v>Terrace; FFL -0.05</v>
      </c>
      <c r="C18" t="str">
        <v>S3 = S4</v>
      </c>
      <c r="D18">
        <f>Plat!H82</f>
        <v>14.4</v>
      </c>
      <c r="E18">
        <v>0.5</v>
      </c>
      <c r="F18">
        <f>D18*E18</f>
        <v>7.2</v>
      </c>
      <c r="G18">
        <f>Plat!I82</f>
        <v>2.16</v>
      </c>
      <c r="H18">
        <f>Plat!J82</f>
        <v>0</v>
      </c>
      <c r="I18">
        <f>Plat!K82</f>
        <v>19.11</v>
      </c>
      <c r="K18">
        <f>Plat!L82</f>
        <v>0</v>
      </c>
      <c r="L18">
        <f>Plat!M82</f>
        <v>237.05164800000003</v>
      </c>
      <c r="M18">
        <f>Plat!N82</f>
        <v>0</v>
      </c>
      <c r="N18">
        <f>Plat!O82</f>
        <v>0</v>
      </c>
      <c r="O18">
        <f>Plat!P82</f>
        <v>0</v>
      </c>
      <c r="P18">
        <f>SUM(K18:O18)</f>
        <v>237.05164800000003</v>
      </c>
      <c r="R18">
        <f>SUM(I18:I22)/SUM(G18:G22)</f>
        <v>8.102895012207883</v>
      </c>
      <c r="S18">
        <f>SUM(P18:P22)/SUM(G18:G22)</f>
        <v>109.74613333333332</v>
      </c>
    </row>
    <row r="19">
      <c r="B19" t="str">
        <f>Plat!A83</f>
        <v>Garden; FFL -0.10</v>
      </c>
      <c r="C19" t="str">
        <v>S3 = S4</v>
      </c>
      <c r="D19">
        <f>Plat!H83</f>
        <v>21.84</v>
      </c>
      <c r="E19">
        <v>0.5</v>
      </c>
      <c r="F19">
        <f>D19*E19</f>
        <v>10.92</v>
      </c>
      <c r="G19">
        <f>Plat!I83</f>
        <v>3.276</v>
      </c>
      <c r="H19">
        <f>Plat!J83</f>
        <v>0</v>
      </c>
      <c r="I19">
        <f>Plat!K83</f>
        <v>24.645</v>
      </c>
      <c r="K19">
        <f>Plat!L83</f>
        <v>0</v>
      </c>
      <c r="L19">
        <f>Plat!M83</f>
        <v>359.5283328</v>
      </c>
      <c r="M19">
        <f>Plat!N83</f>
        <v>0</v>
      </c>
      <c r="N19">
        <f>Plat!O83</f>
        <v>0</v>
      </c>
      <c r="O19">
        <f>Plat!P83</f>
        <v>0</v>
      </c>
      <c r="P19">
        <f>SUM(K19:O19)</f>
        <v>359.5283328</v>
      </c>
    </row>
    <row r="20">
      <c r="B20" t="str">
        <f>Plat!A84</f>
        <v>Deck; FFL -0.05</v>
      </c>
      <c r="C20" t="str">
        <v>S3 = S4</v>
      </c>
      <c r="D20">
        <f>Plat!H84</f>
        <v>5.8</v>
      </c>
      <c r="E20">
        <v>0.5</v>
      </c>
      <c r="F20">
        <f>D20*E20</f>
        <v>2.9</v>
      </c>
      <c r="G20">
        <f>Plat!I84</f>
        <v>0.87</v>
      </c>
      <c r="H20">
        <f>Plat!J84</f>
        <v>0</v>
      </c>
      <c r="I20">
        <f>Plat!K84</f>
        <v>10.059999999999999</v>
      </c>
      <c r="K20">
        <f>Plat!L84</f>
        <v>0</v>
      </c>
      <c r="L20">
        <f>Plat!M84</f>
        <v>95.479136</v>
      </c>
      <c r="M20">
        <f>Plat!N84</f>
        <v>0</v>
      </c>
      <c r="N20">
        <f>Plat!O84</f>
        <v>0</v>
      </c>
      <c r="O20">
        <f>Plat!P84</f>
        <v>0</v>
      </c>
      <c r="P20">
        <f>SUM(K20:O20)</f>
        <v>95.479136</v>
      </c>
    </row>
    <row r="21">
      <c r="B21" t="str">
        <f>Plat!A85</f>
        <v>Reflecting pool; FFL -0.15</v>
      </c>
      <c r="C21" t="str">
        <v>S3 = S4</v>
      </c>
      <c r="D21">
        <f>Plat!H85</f>
        <v>22.34</v>
      </c>
      <c r="E21">
        <v>0.5</v>
      </c>
      <c r="F21">
        <f>D21*E21</f>
        <v>11.17</v>
      </c>
      <c r="G21">
        <f>Plat!I85</f>
        <v>3.351</v>
      </c>
      <c r="H21">
        <f>Plat!J85</f>
        <v>0</v>
      </c>
      <c r="I21">
        <f>Plat!K85</f>
        <v>22.34</v>
      </c>
      <c r="K21">
        <f>Plat!L85</f>
        <v>0</v>
      </c>
      <c r="L21">
        <f>Plat!M85</f>
        <v>367.75929279999997</v>
      </c>
      <c r="M21">
        <f>Plat!N85</f>
        <v>0</v>
      </c>
      <c r="N21">
        <f>Plat!O85</f>
        <v>0</v>
      </c>
      <c r="O21">
        <f>Plat!P85</f>
        <v>0</v>
      </c>
      <c r="P21">
        <f>SUM(K21:O21)</f>
        <v>367.75929279999997</v>
      </c>
    </row>
    <row r="22">
      <c r="B22" t="str">
        <f>Plat!A86</f>
        <v>Talang kanopi depan</v>
      </c>
      <c r="C22" t="str">
        <v>S3 = S4</v>
      </c>
      <c r="D22">
        <f>Plat!H86</f>
        <v>21.63</v>
      </c>
      <c r="E22">
        <v>0.5</v>
      </c>
      <c r="F22">
        <f>D22*E22</f>
        <v>10.815</v>
      </c>
      <c r="G22">
        <f>Plat!I86</f>
        <v>3.2445</v>
      </c>
      <c r="H22">
        <f>Plat!J86</f>
        <v>0</v>
      </c>
      <c r="I22">
        <f>Plat!K86</f>
        <v>28.3845</v>
      </c>
      <c r="K22">
        <f>Plat!L86</f>
        <v>0</v>
      </c>
      <c r="L22">
        <f>Plat!M86</f>
        <v>356.0713296</v>
      </c>
      <c r="M22">
        <f>Plat!N86</f>
        <v>0</v>
      </c>
      <c r="N22">
        <f>Plat!O86</f>
        <v>0</v>
      </c>
      <c r="O22">
        <f>Plat!P86</f>
        <v>0</v>
      </c>
      <c r="P22">
        <f>SUM(K22:O22)</f>
        <v>356.0713296</v>
      </c>
    </row>
    <row r="24">
      <c r="B24" t="str">
        <v>Subtotal Lantai 1</v>
      </c>
      <c r="D24">
        <f>SUM(D14:D23)</f>
        <v>386.98999999999995</v>
      </c>
      <c r="F24">
        <f>SUM(F14:F23)</f>
        <v>343.985</v>
      </c>
      <c r="G24">
        <f>SUM(G14:G23)</f>
        <v>52.0289</v>
      </c>
      <c r="H24">
        <f>SUM(H14:H23)</f>
        <v>0</v>
      </c>
      <c r="I24">
        <f>SUM(I14:I23)</f>
        <v>418.2855</v>
      </c>
      <c r="J24">
        <f>SUM(J14:J23)</f>
        <v>0</v>
      </c>
      <c r="K24">
        <f>SUM(K14:K23)</f>
        <v>0</v>
      </c>
      <c r="L24">
        <f>SUM(L14:L23)</f>
        <v>6340.909753600001</v>
      </c>
      <c r="M24">
        <f>SUM(M14:M23)</f>
        <v>0</v>
      </c>
      <c r="N24">
        <f>SUM(N14:N23)</f>
        <v>0</v>
      </c>
      <c r="O24">
        <f>SUM(O14:O23)</f>
        <v>0</v>
      </c>
      <c r="P24">
        <f>SUM(P14:P23)</f>
        <v>6340.909753600001</v>
      </c>
    </row>
    <row r="26">
      <c r="A26" t="str">
        <v>Lantai 2</v>
      </c>
    </row>
    <row r="27">
      <c r="B27" t="str">
        <f>Plat!A39</f>
        <v>Main building area; FFL +4.50</v>
      </c>
      <c r="C27" t="str">
        <v>S1 = S2</v>
      </c>
      <c r="D27">
        <f>Plat!H39</f>
        <v>277.53</v>
      </c>
      <c r="E27">
        <v>1</v>
      </c>
      <c r="F27">
        <f>D27*E27</f>
        <v>277.53</v>
      </c>
      <c r="G27">
        <f>Plat!I39</f>
        <v>36.0789</v>
      </c>
      <c r="H27">
        <f>Plat!J39</f>
        <v>0</v>
      </c>
      <c r="I27">
        <f>Plat!K39</f>
        <v>290.83419999999995</v>
      </c>
      <c r="K27">
        <f>Plat!L39</f>
        <v>0</v>
      </c>
      <c r="L27">
        <f>Plat!M39</f>
        <v>4541.3010984</v>
      </c>
      <c r="M27">
        <f>Plat!N39</f>
        <v>0</v>
      </c>
      <c r="N27">
        <f>Plat!O39</f>
        <v>0</v>
      </c>
      <c r="O27">
        <f>Plat!P39</f>
        <v>0</v>
      </c>
      <c r="P27">
        <f>SUM(K27:O27)</f>
        <v>4541.3010984</v>
      </c>
      <c r="R27">
        <f>SUM(I27:I27)/SUM(G27:G27)</f>
        <v>8.061060619919122</v>
      </c>
      <c r="S27">
        <f>SUM(P27:P27)/SUM(G27:G27)</f>
        <v>125.87138461538463</v>
      </c>
    </row>
    <row r="29">
      <c r="B29" t="str">
        <f>Plat!A89</f>
        <v>Dry garden; FFL +4.45</v>
      </c>
      <c r="C29" t="str">
        <v>S3 = S4</v>
      </c>
      <c r="D29">
        <f>Plat!H89</f>
        <v>11.21</v>
      </c>
      <c r="E29">
        <v>0.5</v>
      </c>
      <c r="F29">
        <f>D29*E29</f>
        <v>5.605</v>
      </c>
      <c r="G29">
        <f>Plat!I89</f>
        <v>1.6815000000000002</v>
      </c>
      <c r="H29">
        <f>Plat!J89</f>
        <v>0</v>
      </c>
      <c r="I29">
        <f>Plat!K89</f>
        <v>13.55</v>
      </c>
      <c r="K29">
        <f>Plat!L89</f>
        <v>0</v>
      </c>
      <c r="L29">
        <f>Plat!M89</f>
        <v>184.53812320000003</v>
      </c>
      <c r="M29">
        <f>Plat!N89</f>
        <v>0</v>
      </c>
      <c r="N29">
        <f>Plat!O89</f>
        <v>0</v>
      </c>
      <c r="O29">
        <f>Plat!P89</f>
        <v>0</v>
      </c>
      <c r="P29">
        <f>SUM(K29:O29)</f>
        <v>184.53812320000003</v>
      </c>
      <c r="R29">
        <f>SUM(I29:I33)/SUM(G29:G33)</f>
        <v>8.928649237472765</v>
      </c>
      <c r="S29">
        <f>SUM(P29:P33)/SUM(G29:G33)</f>
        <v>109.74613333333332</v>
      </c>
    </row>
    <row r="30">
      <c r="B30" t="str">
        <f>Plat!A90</f>
        <v>Master BR balcony; FFL +4.45</v>
      </c>
      <c r="C30" t="str">
        <v>S3 = S4</v>
      </c>
      <c r="D30">
        <f>Plat!H90</f>
        <v>2.26</v>
      </c>
      <c r="E30">
        <v>0.5</v>
      </c>
      <c r="F30">
        <f>D30*E30</f>
        <v>1.13</v>
      </c>
      <c r="G30">
        <f>Plat!I90</f>
        <v>0.33899999999999997</v>
      </c>
      <c r="H30">
        <f>Plat!J90</f>
        <v>0</v>
      </c>
      <c r="I30">
        <f>Plat!K90</f>
        <v>3.3129999999999997</v>
      </c>
      <c r="K30">
        <f>Plat!L90</f>
        <v>0</v>
      </c>
      <c r="L30">
        <f>Plat!M90</f>
        <v>37.20393919999999</v>
      </c>
      <c r="M30">
        <f>Plat!N90</f>
        <v>0</v>
      </c>
      <c r="N30">
        <f>Plat!O90</f>
        <v>0</v>
      </c>
      <c r="O30">
        <f>Plat!P90</f>
        <v>0</v>
      </c>
      <c r="P30">
        <f>SUM(K30:O30)</f>
        <v>37.20393919999999</v>
      </c>
    </row>
    <row r="31">
      <c r="B31" t="str">
        <f>Plat!A91</f>
        <v>Children BR 2 balcony; FFL +4.45</v>
      </c>
      <c r="C31" t="str">
        <v>S3 = S4</v>
      </c>
      <c r="D31">
        <f>Plat!H91</f>
        <v>1.39</v>
      </c>
      <c r="E31">
        <v>0.5</v>
      </c>
      <c r="F31">
        <f>D31*E31</f>
        <v>0.695</v>
      </c>
      <c r="G31">
        <f>Plat!I91</f>
        <v>0.20849999999999996</v>
      </c>
      <c r="H31">
        <f>Plat!J91</f>
        <v>0</v>
      </c>
      <c r="I31">
        <f>Plat!K91</f>
        <v>2.3064999999999998</v>
      </c>
      <c r="K31">
        <f>Plat!L91</f>
        <v>0</v>
      </c>
      <c r="L31">
        <f>Plat!M91</f>
        <v>22.882068799999995</v>
      </c>
      <c r="M31">
        <f>Plat!N91</f>
        <v>0</v>
      </c>
      <c r="N31">
        <f>Plat!O91</f>
        <v>0</v>
      </c>
      <c r="O31">
        <f>Plat!P91</f>
        <v>0</v>
      </c>
      <c r="P31">
        <f>SUM(K31:O31)</f>
        <v>22.882068799999995</v>
      </c>
    </row>
    <row r="32">
      <c r="B32" t="str">
        <f>Plat!A92</f>
        <v>Children BR 1 balcony; FFL +4.45</v>
      </c>
      <c r="C32" t="str">
        <v>S3 = S4</v>
      </c>
      <c r="D32">
        <f>Plat!H92</f>
        <v>1.75</v>
      </c>
      <c r="E32">
        <v>0.5</v>
      </c>
      <c r="F32">
        <f>D32*E32</f>
        <v>0.875</v>
      </c>
      <c r="G32">
        <f>Plat!I92</f>
        <v>0.2625</v>
      </c>
      <c r="H32">
        <f>Plat!J92</f>
        <v>0</v>
      </c>
      <c r="I32">
        <f>Plat!K92</f>
        <v>2.71</v>
      </c>
      <c r="K32">
        <f>Plat!L92</f>
        <v>0</v>
      </c>
      <c r="L32">
        <f>Plat!M92</f>
        <v>28.80836</v>
      </c>
      <c r="M32">
        <f>Plat!N92</f>
        <v>0</v>
      </c>
      <c r="N32">
        <f>Plat!O92</f>
        <v>0</v>
      </c>
      <c r="O32">
        <f>Plat!P92</f>
        <v>0</v>
      </c>
      <c r="P32">
        <f>SUM(K32:O32)</f>
        <v>28.80836</v>
      </c>
    </row>
    <row r="33">
      <c r="B33" t="str">
        <f>Plat!A93</f>
        <v>WIC balcony; FFL +4.45</v>
      </c>
      <c r="C33" t="str">
        <v>S3 = S4</v>
      </c>
      <c r="D33">
        <f>Plat!H93</f>
        <v>1.75</v>
      </c>
      <c r="E33">
        <v>0.5</v>
      </c>
      <c r="F33">
        <f>D33*E33</f>
        <v>0.875</v>
      </c>
      <c r="G33">
        <f>Plat!I93</f>
        <v>0.2625</v>
      </c>
      <c r="H33">
        <f>Plat!J93</f>
        <v>0</v>
      </c>
      <c r="I33">
        <f>Plat!K93</f>
        <v>2.71</v>
      </c>
      <c r="K33">
        <f>Plat!L93</f>
        <v>0</v>
      </c>
      <c r="L33">
        <f>Plat!M93</f>
        <v>28.80836</v>
      </c>
      <c r="M33">
        <f>Plat!N93</f>
        <v>0</v>
      </c>
      <c r="N33">
        <f>Plat!O93</f>
        <v>0</v>
      </c>
      <c r="O33">
        <f>Plat!P93</f>
        <v>0</v>
      </c>
      <c r="P33">
        <f>SUM(K33:O33)</f>
        <v>28.80836</v>
      </c>
    </row>
    <row r="35">
      <c r="B35" t="str">
        <v>Subtotal Lantai 2</v>
      </c>
      <c r="D35">
        <f>SUM(D25:D34)</f>
        <v>295.88999999999993</v>
      </c>
      <c r="F35">
        <f>SUM(F25:F34)</f>
        <v>286.71</v>
      </c>
      <c r="G35">
        <f>SUM(G25:G34)</f>
        <v>38.8329</v>
      </c>
      <c r="H35">
        <f>SUM(H25:H34)</f>
        <v>0</v>
      </c>
      <c r="I35">
        <f>SUM(I25:I34)</f>
        <v>315.42369999999994</v>
      </c>
      <c r="J35">
        <f>SUM(J25:J34)</f>
        <v>0</v>
      </c>
      <c r="K35">
        <f>SUM(K25:K34)</f>
        <v>0</v>
      </c>
      <c r="L35">
        <f>SUM(L25:L34)</f>
        <v>4843.5419495999995</v>
      </c>
      <c r="M35">
        <f>SUM(M25:M34)</f>
        <v>0</v>
      </c>
      <c r="N35">
        <f>SUM(N25:N34)</f>
        <v>0</v>
      </c>
      <c r="O35">
        <f>SUM(O25:O34)</f>
        <v>0</v>
      </c>
      <c r="P35">
        <f>SUM(P25:P34)</f>
        <v>4843.5419495999995</v>
      </c>
    </row>
    <row r="37">
      <c r="A37" t="str">
        <v>Lantai Attic</v>
      </c>
    </row>
    <row r="38">
      <c r="B38" t="str">
        <f>Plat!A42</f>
        <v>Main building area; FFL +9.00</v>
      </c>
      <c r="C38" t="str">
        <v>S1 = S2</v>
      </c>
      <c r="D38">
        <f>Plat!H42</f>
        <v>179.26</v>
      </c>
      <c r="E38">
        <v>1</v>
      </c>
      <c r="F38">
        <f>D38*E38</f>
        <v>179.26</v>
      </c>
      <c r="G38">
        <f>Plat!I42</f>
        <v>23.3038</v>
      </c>
      <c r="H38">
        <f>Plat!J42</f>
        <v>0</v>
      </c>
      <c r="I38">
        <f>Plat!K42</f>
        <v>190.44</v>
      </c>
      <c r="K38">
        <f>Plat!L42</f>
        <v>0</v>
      </c>
      <c r="L38">
        <f>Plat!M42</f>
        <v>2933.2815728</v>
      </c>
      <c r="M38">
        <f>Plat!N42</f>
        <v>0</v>
      </c>
      <c r="N38">
        <f>Plat!O42</f>
        <v>0</v>
      </c>
      <c r="O38">
        <f>Plat!P42</f>
        <v>0</v>
      </c>
      <c r="P38">
        <f>SUM(K38:O38)</f>
        <v>2933.2815728</v>
      </c>
      <c r="R38">
        <f>SUM(I38:I39)/SUM(G38:G39)</f>
        <v>8.214933070266195</v>
      </c>
      <c r="S38">
        <f>SUM(P38:P39)/SUM(G38:G39)</f>
        <v>125.87138461538463</v>
      </c>
    </row>
    <row r="39">
      <c r="B39" t="str">
        <f>Plat!A43</f>
        <v>Storage; FFL +9.00</v>
      </c>
      <c r="C39" t="str">
        <v>S1 = S2</v>
      </c>
      <c r="D39">
        <f>Plat!H43</f>
        <v>12.56</v>
      </c>
      <c r="E39">
        <v>1</v>
      </c>
      <c r="F39">
        <f>D39*E39</f>
        <v>12.56</v>
      </c>
      <c r="G39">
        <f>Plat!I43</f>
        <v>1.6328</v>
      </c>
      <c r="H39">
        <f>Plat!J43</f>
        <v>0</v>
      </c>
      <c r="I39">
        <f>Plat!K43</f>
        <v>14.412500000000001</v>
      </c>
      <c r="K39">
        <f>Plat!L43</f>
        <v>0</v>
      </c>
      <c r="L39">
        <f>Plat!M43</f>
        <v>205.52279680000004</v>
      </c>
      <c r="M39">
        <f>Plat!N43</f>
        <v>0</v>
      </c>
      <c r="N39">
        <f>Plat!O43</f>
        <v>0</v>
      </c>
      <c r="O39">
        <f>Plat!P43</f>
        <v>0</v>
      </c>
      <c r="P39">
        <f>SUM(K39:O39)</f>
        <v>205.52279680000004</v>
      </c>
    </row>
    <row r="41">
      <c r="B41" t="str">
        <f>Plat!A96</f>
        <v>Laundry; FFL +8.97</v>
      </c>
      <c r="C41" t="str">
        <v>S3 = S4</v>
      </c>
      <c r="D41">
        <f>Plat!H96</f>
        <v>38.12</v>
      </c>
      <c r="E41">
        <v>0.5</v>
      </c>
      <c r="F41">
        <f>D41*E41</f>
        <v>19.06</v>
      </c>
      <c r="G41">
        <f>Plat!I96</f>
        <v>5.718</v>
      </c>
      <c r="H41">
        <f>Plat!J96</f>
        <v>0</v>
      </c>
      <c r="I41">
        <f>Plat!K96</f>
        <v>43.4525</v>
      </c>
      <c r="K41">
        <f>Plat!L96</f>
        <v>0</v>
      </c>
      <c r="L41">
        <f>Plat!M96</f>
        <v>627.5283904</v>
      </c>
      <c r="M41">
        <f>Plat!N96</f>
        <v>0</v>
      </c>
      <c r="N41">
        <f>Plat!O96</f>
        <v>0</v>
      </c>
      <c r="O41">
        <f>Plat!P96</f>
        <v>0</v>
      </c>
      <c r="P41">
        <f>SUM(K41:O41)</f>
        <v>627.5283904</v>
      </c>
      <c r="R41">
        <f>SUM(I41:I46)/SUM(G41:G46)</f>
        <v>8.002002753786456</v>
      </c>
      <c r="S41">
        <f>SUM(P41:P46)/SUM(G41:G46)</f>
        <v>109.74613333333332</v>
      </c>
    </row>
    <row r="42">
      <c r="B42" t="str">
        <f>Plat!A97</f>
        <v>Terrace; FFL +8.95</v>
      </c>
      <c r="C42" t="str">
        <v>S3 = S4</v>
      </c>
      <c r="D42">
        <f>Plat!H97</f>
        <v>5.95</v>
      </c>
      <c r="E42">
        <v>0.5</v>
      </c>
      <c r="F42">
        <f>D42*E42</f>
        <v>2.975</v>
      </c>
      <c r="G42">
        <f>Plat!I97</f>
        <v>0.8925</v>
      </c>
      <c r="H42">
        <f>Plat!J97</f>
        <v>0</v>
      </c>
      <c r="I42">
        <f>Plat!K97</f>
        <v>7.876</v>
      </c>
      <c r="K42">
        <f>Plat!L97</f>
        <v>0</v>
      </c>
      <c r="L42">
        <f>Plat!M97</f>
        <v>97.94842399999999</v>
      </c>
      <c r="M42">
        <f>Plat!N97</f>
        <v>0</v>
      </c>
      <c r="N42">
        <f>Plat!O97</f>
        <v>0</v>
      </c>
      <c r="O42">
        <f>Plat!P97</f>
        <v>0</v>
      </c>
      <c r="P42">
        <f>SUM(K42:O42)</f>
        <v>97.94842399999999</v>
      </c>
    </row>
    <row r="43">
      <c r="B43" t="str">
        <f>Plat!A98</f>
        <v>Garden; FFL +8.90</v>
      </c>
      <c r="C43" t="str">
        <v>S3 = S4</v>
      </c>
      <c r="D43">
        <f>Plat!H98</f>
        <v>17.84</v>
      </c>
      <c r="E43">
        <v>0.5</v>
      </c>
      <c r="F43">
        <f>D43*E43</f>
        <v>8.92</v>
      </c>
      <c r="G43">
        <f>Plat!I98</f>
        <v>2.676</v>
      </c>
      <c r="H43">
        <f>Plat!J98</f>
        <v>0</v>
      </c>
      <c r="I43">
        <f>Plat!K98</f>
        <v>20.5025</v>
      </c>
      <c r="K43">
        <f>Plat!L98</f>
        <v>0</v>
      </c>
      <c r="L43">
        <f>Plat!M98</f>
        <v>293.6806528</v>
      </c>
      <c r="M43">
        <f>Plat!N98</f>
        <v>0</v>
      </c>
      <c r="N43">
        <f>Plat!O98</f>
        <v>0</v>
      </c>
      <c r="O43">
        <f>Plat!P98</f>
        <v>0</v>
      </c>
      <c r="P43">
        <f>SUM(K43:O43)</f>
        <v>293.6806528</v>
      </c>
    </row>
    <row r="44">
      <c r="B44" t="str">
        <f>Plat!A99</f>
        <v>Deck</v>
      </c>
      <c r="C44" t="str">
        <v>S3 = S4</v>
      </c>
      <c r="D44">
        <f>Plat!H99</f>
        <v>14.42</v>
      </c>
      <c r="E44">
        <v>0.5</v>
      </c>
      <c r="F44">
        <f>D44*E44</f>
        <v>7.21</v>
      </c>
      <c r="G44">
        <f>Plat!I99</f>
        <v>2.163</v>
      </c>
      <c r="H44">
        <f>Plat!J99</f>
        <v>0</v>
      </c>
      <c r="I44">
        <f>Plat!K99</f>
        <v>18.86</v>
      </c>
      <c r="K44">
        <f>Plat!L99</f>
        <v>0</v>
      </c>
      <c r="L44">
        <f>Plat!M99</f>
        <v>237.38088639999998</v>
      </c>
      <c r="M44">
        <f>Plat!N99</f>
        <v>0</v>
      </c>
      <c r="N44">
        <f>Plat!O99</f>
        <v>0</v>
      </c>
      <c r="O44">
        <f>Plat!P99</f>
        <v>0</v>
      </c>
      <c r="P44">
        <f>SUM(K44:O44)</f>
        <v>237.38088639999998</v>
      </c>
    </row>
    <row r="45">
      <c r="B45" t="str">
        <f>Plat!A100</f>
        <v>Deck; FFL +8.90</v>
      </c>
      <c r="C45" t="str">
        <v>S3 = S4</v>
      </c>
      <c r="D45">
        <f>Plat!H100</f>
        <v>9.64</v>
      </c>
      <c r="E45">
        <v>0.5</v>
      </c>
      <c r="F45">
        <f>D45*E45</f>
        <v>4.82</v>
      </c>
      <c r="G45">
        <f>Plat!I100</f>
        <v>1.446</v>
      </c>
      <c r="H45">
        <f>Plat!J100</f>
        <v>0</v>
      </c>
      <c r="I45">
        <f>Plat!K100</f>
        <v>12.055</v>
      </c>
      <c r="K45">
        <f>Plat!L100</f>
        <v>0</v>
      </c>
      <c r="L45">
        <f>Plat!M100</f>
        <v>158.6929088</v>
      </c>
      <c r="M45">
        <f>Plat!N100</f>
        <v>0</v>
      </c>
      <c r="N45">
        <f>Plat!O100</f>
        <v>0</v>
      </c>
      <c r="O45">
        <f>Plat!P100</f>
        <v>0</v>
      </c>
      <c r="P45">
        <f>SUM(K45:O45)</f>
        <v>158.6929088</v>
      </c>
    </row>
    <row r="46">
      <c r="B46" t="str">
        <f>Plat!A101</f>
        <v>Audio &amp; Entertainment Room deck</v>
      </c>
      <c r="C46" t="str">
        <v>S3 = S4</v>
      </c>
      <c r="D46">
        <f>Plat!H101</f>
        <v>20.55</v>
      </c>
      <c r="E46">
        <v>0.5</v>
      </c>
      <c r="F46">
        <f>D46*E46</f>
        <v>10.275</v>
      </c>
      <c r="G46">
        <f>Plat!I101</f>
        <v>3.0825</v>
      </c>
      <c r="H46">
        <f>Plat!J101</f>
        <v>0</v>
      </c>
      <c r="I46">
        <f>Plat!K101</f>
        <v>25.11</v>
      </c>
      <c r="K46">
        <f>Plat!L101</f>
        <v>0</v>
      </c>
      <c r="L46">
        <f>Plat!M101</f>
        <v>338.292456</v>
      </c>
      <c r="M46">
        <f>Plat!N101</f>
        <v>0</v>
      </c>
      <c r="N46">
        <f>Plat!O101</f>
        <v>0</v>
      </c>
      <c r="O46">
        <f>Plat!P101</f>
        <v>0</v>
      </c>
      <c r="P46">
        <f>SUM(K46:O46)</f>
        <v>338.292456</v>
      </c>
    </row>
    <row r="48">
      <c r="B48" t="str">
        <v>Subtotal Lantai Attic</v>
      </c>
      <c r="D48">
        <f>SUM(D36:D47)</f>
        <v>298.34</v>
      </c>
      <c r="F48">
        <f>SUM(F36:F47)</f>
        <v>245.07999999999998</v>
      </c>
      <c r="G48">
        <f>SUM(G36:G47)</f>
        <v>40.91459999999999</v>
      </c>
      <c r="H48">
        <f>SUM(H36:H47)</f>
        <v>0</v>
      </c>
      <c r="I48">
        <f>SUM(I36:I47)</f>
        <v>332.7085</v>
      </c>
      <c r="J48">
        <f>SUM(J36:J47)</f>
        <v>0</v>
      </c>
      <c r="K48">
        <f>SUM(K36:K47)</f>
        <v>0</v>
      </c>
      <c r="L48">
        <f>SUM(L36:L47)</f>
        <v>4892.328088</v>
      </c>
      <c r="M48">
        <f>SUM(M36:M47)</f>
        <v>0</v>
      </c>
      <c r="N48">
        <f>SUM(N36:N47)</f>
        <v>0</v>
      </c>
      <c r="O48">
        <f>SUM(O36:O47)</f>
        <v>0</v>
      </c>
      <c r="P48">
        <f>SUM(P36:P47)</f>
        <v>4892.328088</v>
      </c>
    </row>
    <row r="50">
      <c r="A50" t="str">
        <v>Lantai Atap</v>
      </c>
    </row>
    <row r="51">
      <c r="B51" t="str">
        <f>Plat!A104</f>
        <v>Roof deck; FFL +12.50</v>
      </c>
      <c r="C51" t="str">
        <v>S3 = S4</v>
      </c>
      <c r="D51">
        <f>Plat!H104</f>
        <v>95.27000000000001</v>
      </c>
      <c r="E51">
        <v>0.5</v>
      </c>
      <c r="F51">
        <f>D51*E51</f>
        <v>47.635000000000005</v>
      </c>
      <c r="G51">
        <f>Plat!I104</f>
        <v>14.290500000000002</v>
      </c>
      <c r="H51">
        <f>Plat!J104</f>
        <v>0</v>
      </c>
      <c r="I51">
        <f>Plat!K104</f>
        <v>114.4535</v>
      </c>
      <c r="K51">
        <f>Plat!L104</f>
        <v>0</v>
      </c>
      <c r="L51">
        <f>Plat!M104</f>
        <v>1568.3271184000002</v>
      </c>
      <c r="M51">
        <f>Plat!N104</f>
        <v>0</v>
      </c>
      <c r="N51">
        <f>Plat!O104</f>
        <v>0</v>
      </c>
      <c r="O51">
        <f>Plat!P104</f>
        <v>0</v>
      </c>
      <c r="P51">
        <f>SUM(K51:O51)</f>
        <v>1568.3271184000002</v>
      </c>
      <c r="R51">
        <f>SUM(I51:I57)/SUM(G51:G57)</f>
        <v>8.18144047706332</v>
      </c>
      <c r="S51">
        <f>SUM(P51:P57)/SUM(G51:G57)</f>
        <v>110.88819671879311</v>
      </c>
    </row>
    <row r="52">
      <c r="B52" t="str">
        <f>Plat!A105</f>
        <v>Talang Audio Room; FFL +12.50</v>
      </c>
      <c r="C52" t="str">
        <v>S3 = S4</v>
      </c>
      <c r="D52">
        <f>Plat!H105</f>
        <v>22.639999999999997</v>
      </c>
      <c r="E52">
        <v>0.5</v>
      </c>
      <c r="F52">
        <f>D52*E52</f>
        <v>11.319999999999999</v>
      </c>
      <c r="G52">
        <f>Plat!I105</f>
        <v>3.3959999999999995</v>
      </c>
      <c r="H52">
        <f>Plat!J105</f>
        <v>0</v>
      </c>
      <c r="I52">
        <f>Plat!K105</f>
        <v>29.525</v>
      </c>
      <c r="K52">
        <f>Plat!L105</f>
        <v>0</v>
      </c>
      <c r="L52">
        <f>Plat!M105</f>
        <v>372.6978687999999</v>
      </c>
      <c r="M52">
        <f>Plat!N105</f>
        <v>0</v>
      </c>
      <c r="N52">
        <f>Plat!O105</f>
        <v>0</v>
      </c>
      <c r="O52">
        <f>Plat!P105</f>
        <v>0</v>
      </c>
      <c r="P52">
        <f>SUM(K52:O52)</f>
        <v>372.6978687999999</v>
      </c>
    </row>
    <row r="53">
      <c r="B53" t="str">
        <f>Plat!A106</f>
        <v>Atap lift; FFL +13.50</v>
      </c>
      <c r="C53" t="str">
        <v>S3 = S4</v>
      </c>
      <c r="D53">
        <f>Plat!H106</f>
        <v>14.04</v>
      </c>
      <c r="E53">
        <v>0.5</v>
      </c>
      <c r="F53">
        <f>D53*E53</f>
        <v>7.02</v>
      </c>
      <c r="G53">
        <f>Plat!I106</f>
        <v>2.106</v>
      </c>
      <c r="H53">
        <f>Plat!J106</f>
        <v>0</v>
      </c>
      <c r="I53">
        <f>Plat!K106</f>
        <v>16.41</v>
      </c>
      <c r="K53">
        <f>Plat!L106</f>
        <v>0</v>
      </c>
      <c r="L53">
        <f>Plat!M106</f>
        <v>231.1253568</v>
      </c>
      <c r="M53">
        <f>Plat!N106</f>
        <v>0</v>
      </c>
      <c r="N53">
        <f>Plat!O106</f>
        <v>0</v>
      </c>
      <c r="O53">
        <f>Plat!P106</f>
        <v>0</v>
      </c>
      <c r="P53">
        <f>SUM(K53:O53)</f>
        <v>231.1253568</v>
      </c>
    </row>
    <row r="55">
      <c r="B55" t="str">
        <f>Plat!A137</f>
        <v>Topian opening Audio Room</v>
      </c>
      <c r="C55" t="str">
        <v>S3</v>
      </c>
      <c r="D55">
        <f>Plat!H137</f>
        <v>1.67</v>
      </c>
      <c r="E55">
        <v>0.5</v>
      </c>
      <c r="F55">
        <f>D55*E55</f>
        <v>0.835</v>
      </c>
      <c r="G55">
        <f>Plat!I137</f>
        <v>0.2505</v>
      </c>
      <c r="H55">
        <f>Plat!J137</f>
        <v>0</v>
      </c>
      <c r="I55">
        <f>Plat!K137</f>
        <v>2.5895</v>
      </c>
      <c r="K55">
        <f>Plat!L137</f>
        <v>0</v>
      </c>
      <c r="L55">
        <f>Plat!M137</f>
        <v>36.27955714285715</v>
      </c>
      <c r="M55">
        <f>Plat!N137</f>
        <v>0</v>
      </c>
      <c r="N55">
        <f>Plat!O137</f>
        <v>0</v>
      </c>
      <c r="O55">
        <f>Plat!P137</f>
        <v>0</v>
      </c>
      <c r="P55">
        <f>SUM(K55:O55)</f>
        <v>36.27955714285715</v>
      </c>
    </row>
    <row r="56">
      <c r="B56" t="str">
        <f>Plat!A138</f>
        <v>Topian opening Entertainment Room</v>
      </c>
      <c r="C56" t="str">
        <v>S3</v>
      </c>
      <c r="D56">
        <f>Plat!H138</f>
        <v>1.71</v>
      </c>
      <c r="E56">
        <v>0.5</v>
      </c>
      <c r="F56">
        <f>D56*E56</f>
        <v>0.855</v>
      </c>
      <c r="G56">
        <f>Plat!I138</f>
        <v>0.2565</v>
      </c>
      <c r="H56">
        <f>Plat!J138</f>
        <v>0</v>
      </c>
      <c r="I56">
        <f>Plat!K138</f>
        <v>2.6445</v>
      </c>
      <c r="K56">
        <f>Plat!L138</f>
        <v>0</v>
      </c>
      <c r="L56">
        <f>Plat!M138</f>
        <v>37.14852857142858</v>
      </c>
      <c r="M56">
        <f>Plat!N138</f>
        <v>0</v>
      </c>
      <c r="N56">
        <f>Plat!O138</f>
        <v>0</v>
      </c>
      <c r="O56">
        <f>Plat!P138</f>
        <v>0</v>
      </c>
      <c r="P56">
        <f>SUM(K56:O56)</f>
        <v>37.14852857142858</v>
      </c>
    </row>
    <row r="57">
      <c r="B57" t="str">
        <f>Plat!A139</f>
        <v>Topian opening Garden</v>
      </c>
      <c r="C57" t="str">
        <v>S3</v>
      </c>
      <c r="D57">
        <f>Plat!H139</f>
        <v>1.06</v>
      </c>
      <c r="E57">
        <v>0.5</v>
      </c>
      <c r="F57">
        <f>D57*E57</f>
        <v>0.53</v>
      </c>
      <c r="G57">
        <f>Plat!I139</f>
        <v>0.159</v>
      </c>
      <c r="H57">
        <f>Plat!J139</f>
        <v>0</v>
      </c>
      <c r="I57">
        <f>Plat!K139</f>
        <v>1.7575</v>
      </c>
      <c r="K57">
        <f>Plat!L139</f>
        <v>0</v>
      </c>
      <c r="L57">
        <f>Plat!M139</f>
        <v>23.02774285714286</v>
      </c>
      <c r="M57">
        <f>Plat!N139</f>
        <v>0</v>
      </c>
      <c r="N57">
        <f>Plat!O139</f>
        <v>0</v>
      </c>
      <c r="O57">
        <f>Plat!P139</f>
        <v>0</v>
      </c>
      <c r="P57">
        <f>SUM(K57:O57)</f>
        <v>23.02774285714286</v>
      </c>
    </row>
    <row r="59">
      <c r="B59" t="str">
        <v>Subtotal Lantai Atap</v>
      </c>
      <c r="D59">
        <f>SUM(D49:D58)</f>
        <v>136.39000000000001</v>
      </c>
      <c r="F59">
        <f>SUM(F49:F58)</f>
        <v>68.19500000000001</v>
      </c>
      <c r="G59">
        <f>SUM(G49:G58)</f>
        <v>20.4585</v>
      </c>
      <c r="H59">
        <f>SUM(H49:H58)</f>
        <v>0</v>
      </c>
      <c r="I59">
        <f>SUM(I49:I58)</f>
        <v>167.37999999999997</v>
      </c>
      <c r="J59">
        <f>SUM(J49:J58)</f>
        <v>0</v>
      </c>
      <c r="K59">
        <f>SUM(K49:K58)</f>
        <v>0</v>
      </c>
      <c r="L59">
        <f>SUM(L49:L58)</f>
        <v>2268.606172571429</v>
      </c>
      <c r="M59">
        <f>SUM(M49:M58)</f>
        <v>0</v>
      </c>
      <c r="N59">
        <f>SUM(N49:N58)</f>
        <v>0</v>
      </c>
      <c r="O59">
        <f>SUM(O49:O58)</f>
        <v>0</v>
      </c>
      <c r="P59">
        <f>SUM(P49:P58)</f>
        <v>2268.606172571429</v>
      </c>
    </row>
    <row r="63">
      <c r="A63" t="str">
        <v>TOTAL</v>
      </c>
      <c r="D63">
        <f>SUM(D3:D62)/2</f>
        <v>1610.8199999999997</v>
      </c>
      <c r="F63">
        <f>SUM(F3:F62)/2</f>
        <v>1396.3450000000007</v>
      </c>
      <c r="G63">
        <f>SUM(G3:G62)/2</f>
        <v>226.21640000000002</v>
      </c>
      <c r="H63">
        <f>SUM(H3:H62)/2</f>
        <v>24.660500000000003</v>
      </c>
      <c r="I63">
        <f>SUM(I3:I62)/2</f>
        <v>1271.0397</v>
      </c>
      <c r="J63">
        <f>SUM(J3:J62)/2</f>
        <v>0</v>
      </c>
      <c r="K63">
        <f>SUM(K3:K62)/2</f>
        <v>0</v>
      </c>
      <c r="L63">
        <f>SUM(L3:L62)/2</f>
        <v>26464.56952697145</v>
      </c>
      <c r="M63">
        <f>SUM(M3:M62)/2</f>
        <v>0</v>
      </c>
      <c r="N63">
        <f>SUM(N3:N62)/2</f>
        <v>0</v>
      </c>
      <c r="O63">
        <f>SUM(O3:O62)/2</f>
        <v>0</v>
      </c>
      <c r="P63">
        <f>SUM(P3:P62)/2</f>
        <v>26464.56952697145</v>
      </c>
      <c r="R63">
        <f>SUM(I63:I63)/SUM(G63:G63)</f>
        <v>5.618689449571295</v>
      </c>
      <c r="S63">
        <f>SUM(P63:P63)/SUM(G63:G63)</f>
        <v>116.9878467121369</v>
      </c>
    </row>
    <row r="64">
      <c r="O64" t="str">
        <v>Cek</v>
      </c>
      <c r="P64">
        <f>P63-Plat!Q146</f>
        <v>0</v>
      </c>
    </row>
  </sheetData>
  <mergeCells count="13">
    <mergeCell ref="R1:R2"/>
    <mergeCell ref="S1:S2"/>
    <mergeCell ref="A1:A2"/>
    <mergeCell ref="B1:B2"/>
    <mergeCell ref="C1:C2"/>
    <mergeCell ref="D1:D2"/>
    <mergeCell ref="E1:E2"/>
    <mergeCell ref="F1:F2"/>
    <mergeCell ref="A63:C63"/>
    <mergeCell ref="G1:G2"/>
    <mergeCell ref="H1:I1"/>
    <mergeCell ref="K1:O1"/>
    <mergeCell ref="P1:P2"/>
  </mergeCells>
  <pageMargins left="0.7" right="0.7" top="0.75" bottom="0.75" header="0.3" footer="0.3"/>
  <ignoredErrors>
    <ignoredError numberStoredAsText="1" sqref="A1:S6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148"/>
  <sheetViews>
    <sheetView workbookViewId="0" rightToLeft="0"/>
  </sheetViews>
  <sheetData>
    <row r="1">
      <c r="A1" t="str">
        <v>PERHITUNGAN VOLUME PLAT</v>
      </c>
    </row>
    <row r="3">
      <c r="A3" t="str">
        <v>Pnjng lewatan atas</v>
      </c>
      <c r="B3" t="str">
        <v>:</v>
      </c>
      <c r="C3">
        <v>15</v>
      </c>
      <c r="D3" t="str">
        <v>D</v>
      </c>
      <c r="F3" t="str">
        <v>Over lap</v>
      </c>
      <c r="I3" t="str">
        <v>:</v>
      </c>
      <c r="J3">
        <v>40</v>
      </c>
      <c r="K3" t="str">
        <v>mm</v>
      </c>
    </row>
    <row r="4">
      <c r="A4" t="str">
        <v>Pnjng lewatan bwh</v>
      </c>
      <c r="B4" t="str">
        <v>:</v>
      </c>
      <c r="C4">
        <v>20</v>
      </c>
      <c r="D4" t="str">
        <v>D</v>
      </c>
      <c r="F4" t="str">
        <v>Panjang tul. Datar kaki ayam</v>
      </c>
      <c r="I4" t="str">
        <v>:</v>
      </c>
      <c r="J4">
        <v>300</v>
      </c>
      <c r="K4" t="str">
        <v>mm</v>
      </c>
    </row>
    <row r="5">
      <c r="A5" t="str">
        <v>Panjang kait</v>
      </c>
      <c r="B5" t="str">
        <v>:</v>
      </c>
      <c r="C5">
        <v>12</v>
      </c>
      <c r="D5" t="str">
        <v>D</v>
      </c>
      <c r="F5" t="str">
        <v>Selimut beton</v>
      </c>
      <c r="I5" t="str">
        <v>:</v>
      </c>
      <c r="J5">
        <v>20</v>
      </c>
      <c r="K5" t="str">
        <v>mm</v>
      </c>
    </row>
    <row r="6">
      <c r="A6" t="str">
        <v>Tebal lantai kerja</v>
      </c>
      <c r="B6" t="str">
        <v>:</v>
      </c>
      <c r="C6">
        <v>50</v>
      </c>
      <c r="D6" t="str">
        <v>mm</v>
      </c>
    </row>
    <row r="8">
      <c r="A8" t="str">
        <v>PLAT DENGAN TULANGAN MENERUS 2 ARAH</v>
      </c>
    </row>
    <row r="12">
      <c r="F12" t="str">
        <v>Tipe Plat</v>
      </c>
      <c r="I12" t="str">
        <v>:</v>
      </c>
      <c r="J12" t="str">
        <v>S1 = S2</v>
      </c>
    </row>
    <row r="13">
      <c r="F13" t="str">
        <v>Ukuran Modul Dominan</v>
      </c>
      <c r="H13" t="str">
        <v>Sisi pendek (lx)</v>
      </c>
      <c r="I13" t="str">
        <v>:</v>
      </c>
      <c r="J13">
        <v>3</v>
      </c>
      <c r="K13" t="str">
        <v>m</v>
      </c>
    </row>
    <row r="14">
      <c r="H14" t="str">
        <v>Sisi panjang (ly)</v>
      </c>
      <c r="I14" t="str">
        <v>:</v>
      </c>
      <c r="J14">
        <v>3</v>
      </c>
      <c r="K14" t="str">
        <v>m</v>
      </c>
    </row>
    <row r="15">
      <c r="H15" t="str">
        <v>Tebal plat</v>
      </c>
      <c r="I15" t="str">
        <v>:</v>
      </c>
      <c r="J15">
        <v>130</v>
      </c>
      <c r="K15" t="str">
        <v>mm</v>
      </c>
    </row>
    <row r="17">
      <c r="F17" t="str">
        <v>Tipe Tulangan</v>
      </c>
      <c r="G17" t="str">
        <v>Diameter</v>
      </c>
      <c r="H17" t="str">
        <v>Jarak</v>
      </c>
      <c r="I17" t="str">
        <v>Jumlah</v>
      </c>
      <c r="J17" t="str">
        <v>Overlap dan Kait</v>
      </c>
      <c r="K17" t="str">
        <v>Panjang Tul. Total</v>
      </c>
      <c r="L17" t="str">
        <v>Berat Tulangan per Diameter (kg)</v>
      </c>
      <c r="Q17" t="str">
        <v>Total</v>
      </c>
    </row>
    <row r="18">
      <c r="G18" t="str">
        <v>mm</v>
      </c>
      <c r="H18" t="str">
        <v>mm</v>
      </c>
      <c r="I18" t="str">
        <v>bh</v>
      </c>
      <c r="J18" t="str">
        <v>m</v>
      </c>
      <c r="K18" t="str">
        <v>m</v>
      </c>
      <c r="L18">
        <v>8</v>
      </c>
      <c r="M18">
        <v>10</v>
      </c>
      <c r="N18">
        <v>13</v>
      </c>
      <c r="O18">
        <v>16</v>
      </c>
      <c r="P18">
        <v>25</v>
      </c>
      <c r="Q18" t="str">
        <v>kg</v>
      </c>
    </row>
    <row r="19">
      <c r="F19" t="str">
        <v>A</v>
      </c>
      <c r="G19">
        <v>10</v>
      </c>
      <c r="H19">
        <v>200</v>
      </c>
      <c r="I19">
        <f>ROUND($J14/($H19/1000),0)+1</f>
        <v>16</v>
      </c>
      <c r="J19">
        <f>J13/12*50*G19/1000</f>
        <v>0.125</v>
      </c>
      <c r="K19">
        <f>J13+J19</f>
        <v>3.125</v>
      </c>
      <c r="L19">
        <f>IF($G19=L$18,0.006165*$G19^2*$K19*$I19,0)</f>
        <v>0</v>
      </c>
      <c r="M19">
        <f>IF($G19=M$18,0.006165*$G19^2*$K19*$I19,0)</f>
        <v>30.825000000000003</v>
      </c>
      <c r="N19">
        <f>IF($G19=N$18,0.006165*$G19^2*$K19*$I19,0)</f>
        <v>0</v>
      </c>
      <c r="O19">
        <f>IF($G19=O$18,0.006165*$G19^2*$K19*$I19,0)</f>
        <v>0</v>
      </c>
      <c r="P19">
        <f>IF($G19=P$18,0.006165*$G19^2*$K19*$I19,0)</f>
        <v>0</v>
      </c>
      <c r="Q19">
        <f>SUM(L19:P19)</f>
        <v>30.825000000000003</v>
      </c>
    </row>
    <row r="20">
      <c r="F20" t="str">
        <v>B</v>
      </c>
      <c r="G20">
        <v>10</v>
      </c>
      <c r="H20">
        <v>200</v>
      </c>
      <c r="I20">
        <f>ROUND($J14/($H20/1000),0)+1</f>
        <v>16</v>
      </c>
      <c r="J20">
        <f>J13/12*50*G20/1000</f>
        <v>0.125</v>
      </c>
      <c r="K20">
        <f>J13+J20</f>
        <v>3.125</v>
      </c>
      <c r="L20">
        <f>IF($G20=L$18,0.006165*$G20^2*$K20*$I20,0)</f>
        <v>0</v>
      </c>
      <c r="M20">
        <f>IF($G20=M$18,0.006165*$G20^2*$K20*$I20,0)</f>
        <v>30.825000000000003</v>
      </c>
      <c r="N20">
        <f>IF($G20=N$18,0.006165*$G20^2*$K20*$I20,0)</f>
        <v>0</v>
      </c>
      <c r="O20">
        <f>IF($G20=O$18,0.006165*$G20^2*$K20*$I20,0)</f>
        <v>0</v>
      </c>
      <c r="P20">
        <f>IF($G20=P$18,0.006165*$G20^2*$K20*$I20,0)</f>
        <v>0</v>
      </c>
      <c r="Q20">
        <f>SUM(L20:P20)</f>
        <v>30.825000000000003</v>
      </c>
    </row>
    <row r="21">
      <c r="F21" t="str">
        <v>C</v>
      </c>
      <c r="G21">
        <v>10</v>
      </c>
      <c r="H21">
        <v>200</v>
      </c>
      <c r="I21">
        <f>ROUND($J13/($H21/1000),0)+1</f>
        <v>16</v>
      </c>
      <c r="J21">
        <f>J14/12*50*G21/1000</f>
        <v>0.125</v>
      </c>
      <c r="K21">
        <f>J14+J21</f>
        <v>3.125</v>
      </c>
      <c r="L21">
        <f>IF($G21=L$18,0.006165*$G21^2*$K21*$I21,0)</f>
        <v>0</v>
      </c>
      <c r="M21">
        <f>IF($G21=M$18,0.006165*$G21^2*$K21*$I21,0)</f>
        <v>30.825000000000003</v>
      </c>
      <c r="N21">
        <f>IF($G21=N$18,0.006165*$G21^2*$K21*$I21,0)</f>
        <v>0</v>
      </c>
      <c r="O21">
        <f>IF($G21=O$18,0.006165*$G21^2*$K21*$I21,0)</f>
        <v>0</v>
      </c>
      <c r="P21">
        <f>IF($G21=P$18,0.006165*$G21^2*$K21*$I21,0)</f>
        <v>0</v>
      </c>
      <c r="Q21">
        <f>SUM(L21:P21)</f>
        <v>30.825000000000003</v>
      </c>
    </row>
    <row r="22">
      <c r="F22" t="str">
        <v>D</v>
      </c>
      <c r="G22">
        <v>10</v>
      </c>
      <c r="H22">
        <v>200</v>
      </c>
      <c r="I22">
        <f>ROUND($J13/($H22/1000),0)+1</f>
        <v>16</v>
      </c>
      <c r="J22">
        <f>J14/12*50*G22/1000</f>
        <v>0.125</v>
      </c>
      <c r="K22">
        <f>J14+J22</f>
        <v>3.125</v>
      </c>
      <c r="L22">
        <f>IF($G22=L$18,0.006165*$G22^2*$K22*$I22,0)</f>
        <v>0</v>
      </c>
      <c r="M22">
        <f>IF($G22=M$18,0.006165*$G22^2*$K22*$I22,0)</f>
        <v>30.825000000000003</v>
      </c>
      <c r="N22">
        <f>IF($G22=N$18,0.006165*$G22^2*$K22*$I22,0)</f>
        <v>0</v>
      </c>
      <c r="O22">
        <f>IF($G22=O$18,0.006165*$G22^2*$K22*$I22,0)</f>
        <v>0</v>
      </c>
      <c r="P22">
        <f>IF($G22=P$18,0.006165*$G22^2*$K22*$I22,0)</f>
        <v>0</v>
      </c>
      <c r="Q22">
        <f>SUM(L22:P22)</f>
        <v>30.825000000000003</v>
      </c>
    </row>
    <row r="24">
      <c r="F24" t="str">
        <v>Kaki Ayam</v>
      </c>
      <c r="G24">
        <v>10</v>
      </c>
      <c r="H24">
        <v>500</v>
      </c>
      <c r="I24">
        <f>ROUND(J13/(H24/1000),0)*ROUND(J14/(H24/1000),0)</f>
        <v>36</v>
      </c>
      <c r="J24">
        <f>3*$J$4/1000</f>
        <v>0.9</v>
      </c>
      <c r="K24">
        <f>2*(J15-2*$J$5)/1000+J24</f>
        <v>1.08</v>
      </c>
      <c r="L24">
        <f>IF($G24=L$18,0.006165*$G24^2*$K24*$I24,0)</f>
        <v>0</v>
      </c>
      <c r="M24">
        <f>IF($G24=M$18,0.006165*$G24^2*$K24*$I24,0)</f>
        <v>23.969520000000003</v>
      </c>
      <c r="N24">
        <f>IF($G24=N$18,0.006165*$G24^2*$K24*$I24,0)</f>
        <v>0</v>
      </c>
      <c r="O24">
        <f>IF($G24=O$18,0.006165*$G24^2*$K24*$I24,0)</f>
        <v>0</v>
      </c>
      <c r="P24">
        <f>IF($G24=P$18,0.006165*$G24^2*$K24*$I24,0)</f>
        <v>0</v>
      </c>
      <c r="Q24">
        <f>SUM(L24:P24)</f>
        <v>23.969520000000003</v>
      </c>
    </row>
    <row r="28">
      <c r="F28" t="str">
        <v>Berat Total Tulangan</v>
      </c>
      <c r="L28">
        <f>SUM(L19:L27)</f>
        <v>0</v>
      </c>
      <c r="M28">
        <f>SUM(M19:M27)</f>
        <v>147.26952</v>
      </c>
      <c r="N28">
        <f>SUM(N19:N27)</f>
        <v>0</v>
      </c>
      <c r="O28">
        <f>SUM(O19:O27)</f>
        <v>0</v>
      </c>
      <c r="P28">
        <f>SUM(P19:P27)</f>
        <v>0</v>
      </c>
      <c r="Q28">
        <f>SUM(Q19:Q27)</f>
        <v>147.26952</v>
      </c>
    </row>
    <row r="29">
      <c r="F29" t="str">
        <v>Volume Beton</v>
      </c>
      <c r="Q29">
        <f>J14*J13*J15/1000</f>
        <v>1.17</v>
      </c>
    </row>
    <row r="30">
      <c r="F30" t="str">
        <v>Rasio Tulangan per Diameter</v>
      </c>
      <c r="L30">
        <f>L28/$Q29</f>
        <v>0</v>
      </c>
      <c r="M30">
        <f>M28/$Q29</f>
        <v>125.87138461538463</v>
      </c>
      <c r="N30">
        <f>N28/$Q29</f>
        <v>0</v>
      </c>
      <c r="O30">
        <f>O28/$Q29</f>
        <v>0</v>
      </c>
      <c r="P30">
        <f>P28/$Q29</f>
        <v>0</v>
      </c>
      <c r="Q30">
        <f>Q28/Q29</f>
        <v>125.87138461538463</v>
      </c>
    </row>
    <row r="32" xml:space="preserve">
      <c r="A32" t="str">
        <v>Keterangan Area yang Dihitung</v>
      </c>
      <c r="D32" t="str" xml:space="preserve">
        <v xml:space="preserve">Luas_x000d_
(m2)</v>
      </c>
      <c r="E32" t="str" xml:space="preserve">
        <v xml:space="preserve">Keliling_x000d_
(m)</v>
      </c>
      <c r="F32" t="str">
        <v>Void</v>
      </c>
      <c r="H32" t="str">
        <v>Luas Net (m2)</v>
      </c>
      <c r="I32" t="str">
        <v>Vol. Beton (m3)</v>
      </c>
      <c r="J32" t="str">
        <v>Vol. Bekisting</v>
      </c>
      <c r="L32" t="str">
        <v>Vol. Besi per Diameter (kg)</v>
      </c>
      <c r="Q32" t="str">
        <v>Total Besi (kg)</v>
      </c>
    </row>
    <row r="33" xml:space="preserve">
      <c r="F33" t="str">
        <v>Luas (m2)</v>
      </c>
      <c r="G33" t="str">
        <v>Keliling (m)</v>
      </c>
      <c r="J33" t="str" xml:space="preserve">
        <v xml:space="preserve">Lantai Kerja_x000d_
(m3)</v>
      </c>
      <c r="K33" t="str" xml:space="preserve">
        <v xml:space="preserve">Kayu_x000d_
(m2)</v>
      </c>
      <c r="L33">
        <v>8</v>
      </c>
      <c r="M33">
        <v>10</v>
      </c>
      <c r="N33">
        <v>13</v>
      </c>
      <c r="O33">
        <v>16</v>
      </c>
      <c r="P33">
        <v>25</v>
      </c>
    </row>
    <row r="35">
      <c r="A35" t="str">
        <v>Lantai 1</v>
      </c>
    </row>
    <row r="36">
      <c r="A36" t="str">
        <v>Main building area; FFL +/-0.00</v>
      </c>
      <c r="D36">
        <v>300.98</v>
      </c>
      <c r="E36">
        <v>98.2</v>
      </c>
      <c r="H36">
        <f>D36-F36</f>
        <v>300.98</v>
      </c>
      <c r="I36">
        <f>H36*$J$15/1000</f>
        <v>39.1274</v>
      </c>
      <c r="K36">
        <f>(E36+G36)*$J$15/1000+H36</f>
        <v>313.74600000000004</v>
      </c>
      <c r="L36">
        <f>$L$30*$I36</f>
        <v>0</v>
      </c>
      <c r="M36">
        <f>$M$30*$I36</f>
        <v>4925.020014400001</v>
      </c>
      <c r="N36">
        <f>$N$30*$I36</f>
        <v>0</v>
      </c>
      <c r="O36">
        <f>$O$30*$I36</f>
        <v>0</v>
      </c>
      <c r="P36">
        <f>$P$30*$I36</f>
        <v>0</v>
      </c>
      <c r="Q36">
        <f>SUM(L36:P36)</f>
        <v>4925.020014400001</v>
      </c>
    </row>
    <row r="38">
      <c r="A38" t="str">
        <v>Lantai 2</v>
      </c>
    </row>
    <row r="39">
      <c r="A39" t="str">
        <v>Main building area; FFL +4.50</v>
      </c>
      <c r="D39">
        <v>277.53</v>
      </c>
      <c r="E39">
        <v>102.34</v>
      </c>
      <c r="H39">
        <f>D39-F39</f>
        <v>277.53</v>
      </c>
      <c r="I39">
        <f>H39*$J$15/1000</f>
        <v>36.0789</v>
      </c>
      <c r="K39">
        <f>(E39+G39)*$J$15/1000+H39</f>
        <v>290.83419999999995</v>
      </c>
      <c r="L39">
        <f>$L$30*$I39</f>
        <v>0</v>
      </c>
      <c r="M39">
        <f>$M$30*$I39</f>
        <v>4541.3010984</v>
      </c>
      <c r="N39">
        <f>$N$30*$I39</f>
        <v>0</v>
      </c>
      <c r="O39">
        <f>$O$30*$I39</f>
        <v>0</v>
      </c>
      <c r="P39">
        <f>$P$30*$I39</f>
        <v>0</v>
      </c>
      <c r="Q39">
        <f>SUM(L39:P39)</f>
        <v>4541.3010984</v>
      </c>
    </row>
    <row r="41">
      <c r="A41" t="str">
        <v>Lantai Attic</v>
      </c>
    </row>
    <row r="42">
      <c r="A42" t="str">
        <v>Main building area; FFL +9.00</v>
      </c>
      <c r="D42">
        <v>179.26</v>
      </c>
      <c r="E42">
        <v>86</v>
      </c>
      <c r="H42">
        <f>D42-F42</f>
        <v>179.26</v>
      </c>
      <c r="I42">
        <f>H42*$J$15/1000</f>
        <v>23.3038</v>
      </c>
      <c r="K42">
        <f>(E42+G42)*$J$15/1000+H42</f>
        <v>190.44</v>
      </c>
      <c r="L42">
        <f>$L$30*$I42</f>
        <v>0</v>
      </c>
      <c r="M42">
        <f>$M$30*$I42</f>
        <v>2933.2815728</v>
      </c>
      <c r="N42">
        <f>$N$30*$I42</f>
        <v>0</v>
      </c>
      <c r="O42">
        <f>$O$30*$I42</f>
        <v>0</v>
      </c>
      <c r="P42">
        <f>$P$30*$I42</f>
        <v>0</v>
      </c>
      <c r="Q42">
        <f>SUM(L42:P42)</f>
        <v>2933.2815728</v>
      </c>
    </row>
    <row r="43">
      <c r="A43" t="str">
        <v>Storage; FFL +9.00</v>
      </c>
      <c r="D43">
        <v>12.56</v>
      </c>
      <c r="E43">
        <v>14.25</v>
      </c>
      <c r="H43">
        <f>D43-F43</f>
        <v>12.56</v>
      </c>
      <c r="I43">
        <f>H43*$J$15/1000</f>
        <v>1.6328</v>
      </c>
      <c r="K43">
        <f>(E43+G43)*$J$15/1000+H43</f>
        <v>14.412500000000001</v>
      </c>
      <c r="L43">
        <f>$L$30*$I43</f>
        <v>0</v>
      </c>
      <c r="M43">
        <f>$M$30*$I43</f>
        <v>205.52279680000004</v>
      </c>
      <c r="N43">
        <f>$N$30*$I43</f>
        <v>0</v>
      </c>
      <c r="O43">
        <f>$O$30*$I43</f>
        <v>0</v>
      </c>
      <c r="P43">
        <f>$P$30*$I43</f>
        <v>0</v>
      </c>
      <c r="Q43">
        <f>SUM(L43:P43)</f>
        <v>205.52279680000004</v>
      </c>
    </row>
    <row r="50">
      <c r="F50" t="str">
        <v>Tipe Plat</v>
      </c>
      <c r="I50" t="str">
        <v>:</v>
      </c>
      <c r="J50" t="str">
        <v>S3 = S4</v>
      </c>
    </row>
    <row r="51">
      <c r="F51" t="str">
        <v>Ukuran Modul Dominan</v>
      </c>
      <c r="H51" t="str">
        <v>Sisi pendek (lx)</v>
      </c>
      <c r="I51" t="str">
        <v>:</v>
      </c>
      <c r="J51">
        <v>3</v>
      </c>
      <c r="K51" t="str">
        <v>m</v>
      </c>
    </row>
    <row r="52">
      <c r="H52" t="str">
        <v>Sisi panjang (ly)</v>
      </c>
      <c r="I52" t="str">
        <v>:</v>
      </c>
      <c r="J52">
        <v>3</v>
      </c>
      <c r="K52" t="str">
        <v>m</v>
      </c>
    </row>
    <row r="53">
      <c r="H53" t="str">
        <v>Tebal plat</v>
      </c>
      <c r="I53" t="str">
        <v>:</v>
      </c>
      <c r="J53">
        <v>150</v>
      </c>
      <c r="K53" t="str">
        <v>mm</v>
      </c>
    </row>
    <row r="55">
      <c r="F55" t="str">
        <v>Tipe Tulangan</v>
      </c>
      <c r="G55" t="str">
        <v>Diameter</v>
      </c>
      <c r="H55" t="str">
        <v>Jarak</v>
      </c>
      <c r="I55" t="str">
        <v>Jumlah</v>
      </c>
      <c r="J55" t="str">
        <v>Overlap dan Kait</v>
      </c>
      <c r="K55" t="str">
        <v>Panjang Tul. Total</v>
      </c>
      <c r="L55" t="str">
        <v>Berat Tulangan per Diameter (kg)</v>
      </c>
      <c r="Q55" t="str">
        <v>Total</v>
      </c>
    </row>
    <row r="56">
      <c r="G56" t="str">
        <v>mm</v>
      </c>
      <c r="H56" t="str">
        <v>mm</v>
      </c>
      <c r="I56" t="str">
        <v>bh</v>
      </c>
      <c r="J56" t="str">
        <v>m</v>
      </c>
      <c r="K56" t="str">
        <v>m</v>
      </c>
      <c r="L56">
        <v>8</v>
      </c>
      <c r="M56">
        <v>10</v>
      </c>
      <c r="N56">
        <v>13</v>
      </c>
      <c r="O56">
        <v>16</v>
      </c>
      <c r="P56">
        <v>25</v>
      </c>
      <c r="Q56" t="str">
        <v>kg</v>
      </c>
    </row>
    <row r="57">
      <c r="F57" t="str">
        <v>A</v>
      </c>
      <c r="G57">
        <v>10</v>
      </c>
      <c r="H57">
        <v>200</v>
      </c>
      <c r="I57">
        <f>ROUND($J52/($H57/1000),0)+1</f>
        <v>16</v>
      </c>
      <c r="J57">
        <f>J51/12*50*G57/1000</f>
        <v>0.125</v>
      </c>
      <c r="K57">
        <f>J51+J57</f>
        <v>3.125</v>
      </c>
      <c r="L57">
        <f>IF($G57=L$56,0.006165*$G57^2*$K57*$I57,0)</f>
        <v>0</v>
      </c>
      <c r="M57">
        <f>IF($G57=M$56,0.006165*$G57^2*$K57*$I57,0)</f>
        <v>30.825000000000003</v>
      </c>
      <c r="N57">
        <f>IF($G57=N$56,0.006165*$G57^2*$K57*$I57,0)</f>
        <v>0</v>
      </c>
      <c r="O57">
        <f>IF($G57=O$56,0.006165*$G57^2*$K57*$I57,0)</f>
        <v>0</v>
      </c>
      <c r="P57">
        <f>IF($G57=P$56,0.006165*$G57^2*$K57*$I57,0)</f>
        <v>0</v>
      </c>
      <c r="Q57">
        <f>SUM(L57:P57)</f>
        <v>30.825000000000003</v>
      </c>
    </row>
    <row r="58">
      <c r="F58" t="str">
        <v>B</v>
      </c>
      <c r="G58">
        <v>10</v>
      </c>
      <c r="H58">
        <v>200</v>
      </c>
      <c r="I58">
        <f>ROUND($J52/($H58/1000),0)+1</f>
        <v>16</v>
      </c>
      <c r="J58">
        <f>J51/12*50*G58/1000</f>
        <v>0.125</v>
      </c>
      <c r="K58">
        <f>J51+J58</f>
        <v>3.125</v>
      </c>
      <c r="L58">
        <f>IF($G58=L$56,0.006165*$G58^2*$K58*$I58,0)</f>
        <v>0</v>
      </c>
      <c r="M58">
        <f>IF($G58=M$56,0.006165*$G58^2*$K58*$I58,0)</f>
        <v>30.825000000000003</v>
      </c>
      <c r="N58">
        <f>IF($G58=N$56,0.006165*$G58^2*$K58*$I58,0)</f>
        <v>0</v>
      </c>
      <c r="O58">
        <f>IF($G58=O$56,0.006165*$G58^2*$K58*$I58,0)</f>
        <v>0</v>
      </c>
      <c r="P58">
        <f>IF($G58=P$56,0.006165*$G58^2*$K58*$I58,0)</f>
        <v>0</v>
      </c>
      <c r="Q58">
        <f>SUM(L58:P58)</f>
        <v>30.825000000000003</v>
      </c>
    </row>
    <row r="59">
      <c r="F59" t="str">
        <v>C</v>
      </c>
      <c r="G59">
        <v>10</v>
      </c>
      <c r="H59">
        <v>200</v>
      </c>
      <c r="I59">
        <f>ROUND($J51/($H59/1000),0)+1</f>
        <v>16</v>
      </c>
      <c r="J59">
        <f>J52/12*50*G59/1000</f>
        <v>0.125</v>
      </c>
      <c r="K59">
        <f>J52+J59</f>
        <v>3.125</v>
      </c>
      <c r="L59">
        <f>IF($G59=L$56,0.006165*$G59^2*$K59*$I59,0)</f>
        <v>0</v>
      </c>
      <c r="M59">
        <f>IF($G59=M$56,0.006165*$G59^2*$K59*$I59,0)</f>
        <v>30.825000000000003</v>
      </c>
      <c r="N59">
        <f>IF($G59=N$56,0.006165*$G59^2*$K59*$I59,0)</f>
        <v>0</v>
      </c>
      <c r="O59">
        <f>IF($G59=O$56,0.006165*$G59^2*$K59*$I59,0)</f>
        <v>0</v>
      </c>
      <c r="P59">
        <f>IF($G59=P$56,0.006165*$G59^2*$K59*$I59,0)</f>
        <v>0</v>
      </c>
      <c r="Q59">
        <f>SUM(L59:P59)</f>
        <v>30.825000000000003</v>
      </c>
    </row>
    <row r="60">
      <c r="F60" t="str">
        <v>D</v>
      </c>
      <c r="G60">
        <v>10</v>
      </c>
      <c r="H60">
        <v>200</v>
      </c>
      <c r="I60">
        <f>ROUND($J51/($H60/1000),0)+1</f>
        <v>16</v>
      </c>
      <c r="J60">
        <f>J52/12*50*G60/1000</f>
        <v>0.125</v>
      </c>
      <c r="K60">
        <f>J52+J60</f>
        <v>3.125</v>
      </c>
      <c r="L60">
        <f>IF($G60=L$56,0.006165*$G60^2*$K60*$I60,0)</f>
        <v>0</v>
      </c>
      <c r="M60">
        <f>IF($G60=M$56,0.006165*$G60^2*$K60*$I60,0)</f>
        <v>30.825000000000003</v>
      </c>
      <c r="N60">
        <f>IF($G60=N$56,0.006165*$G60^2*$K60*$I60,0)</f>
        <v>0</v>
      </c>
      <c r="O60">
        <f>IF($G60=O$56,0.006165*$G60^2*$K60*$I60,0)</f>
        <v>0</v>
      </c>
      <c r="P60">
        <f>IF($G60=P$56,0.006165*$G60^2*$K60*$I60,0)</f>
        <v>0</v>
      </c>
      <c r="Q60">
        <f>SUM(L60:P60)</f>
        <v>30.825000000000003</v>
      </c>
    </row>
    <row r="62">
      <c r="F62" t="str">
        <v>Kaki Ayam</v>
      </c>
      <c r="G62">
        <v>10</v>
      </c>
      <c r="H62">
        <v>500</v>
      </c>
      <c r="I62">
        <f>ROUND(J51/(H62/1000),0)*ROUND(J52/(H62/1000),0)</f>
        <v>36</v>
      </c>
      <c r="J62">
        <f>3*$J$4/1000</f>
        <v>0.9</v>
      </c>
      <c r="K62">
        <f>2*(J53-2*$J$5)/1000+J62</f>
        <v>1.12</v>
      </c>
      <c r="L62">
        <f>IF($G62=L$56,0.006165*$G62^2*$I62*$K62,0)</f>
        <v>0</v>
      </c>
      <c r="M62">
        <f>IF($G62=M$56,0.006165*$G62^2*$I62*$K62,0)</f>
        <v>24.857280000000006</v>
      </c>
      <c r="N62">
        <f>IF($G62=N$56,0.006165*$G62^2*$I62*$K62,0)</f>
        <v>0</v>
      </c>
      <c r="O62">
        <f>IF($G62=O$56,0.006165*$G62^2*$I62*$K62,0)</f>
        <v>0</v>
      </c>
      <c r="P62">
        <f>IF($G62=P$56,0.006165*$G62^2*$I62*$K62,0)</f>
        <v>0</v>
      </c>
      <c r="Q62">
        <f>SUM(L62:P62)</f>
        <v>24.857280000000006</v>
      </c>
    </row>
    <row r="66">
      <c r="F66" t="str">
        <v>Berat Total Tulangan</v>
      </c>
      <c r="L66">
        <f>SUM(L57:L65)</f>
        <v>0</v>
      </c>
      <c r="M66">
        <f>SUM(M57:M65)</f>
        <v>148.15728000000001</v>
      </c>
      <c r="N66">
        <f>SUM(N57:N65)</f>
        <v>0</v>
      </c>
      <c r="O66">
        <f>SUM(O57:O65)</f>
        <v>0</v>
      </c>
      <c r="P66">
        <f>SUM(P57:P65)</f>
        <v>0</v>
      </c>
      <c r="Q66">
        <f>SUM(Q57:Q65)</f>
        <v>148.15728000000001</v>
      </c>
    </row>
    <row r="67">
      <c r="F67" t="str">
        <v>Volume Beton</v>
      </c>
      <c r="Q67">
        <f>J52*J51*J53/1000</f>
        <v>1.35</v>
      </c>
    </row>
    <row r="68">
      <c r="F68" t="str">
        <v>Rasio Tulangan per Diameter</v>
      </c>
      <c r="L68">
        <f>L66/$Q67</f>
        <v>0</v>
      </c>
      <c r="M68">
        <f>M66/$Q67</f>
        <v>109.74613333333333</v>
      </c>
      <c r="N68">
        <f>N66/$Q67</f>
        <v>0</v>
      </c>
      <c r="O68">
        <f>O66/$Q67</f>
        <v>0</v>
      </c>
      <c r="P68">
        <f>P66/$Q67</f>
        <v>0</v>
      </c>
      <c r="Q68">
        <f>Q66/Q67</f>
        <v>109.74613333333333</v>
      </c>
    </row>
    <row r="70" xml:space="preserve">
      <c r="A70" t="str">
        <v>Keterangan Area yang Dihitung</v>
      </c>
      <c r="D70" t="str" xml:space="preserve">
        <v xml:space="preserve">Luas_x000d_
(m2)</v>
      </c>
      <c r="E70" t="str" xml:space="preserve">
        <v xml:space="preserve">Keliling_x000d_
(m)</v>
      </c>
      <c r="F70" t="str">
        <v>Void</v>
      </c>
      <c r="H70" t="str">
        <v>Luas Net (m2)</v>
      </c>
      <c r="I70" t="str">
        <v>Vol. Beton (m3)</v>
      </c>
      <c r="J70" t="str">
        <v>Vol. Bekisting</v>
      </c>
      <c r="L70" t="str">
        <v>Vol. Besi per Diameter (kg)</v>
      </c>
      <c r="Q70" t="str">
        <v>Total Besi (kg)</v>
      </c>
    </row>
    <row r="71" xml:space="preserve">
      <c r="F71" t="str">
        <v>Luas (m2)</v>
      </c>
      <c r="G71" t="str">
        <v>Keliling (m)</v>
      </c>
      <c r="J71" t="str" xml:space="preserve">
        <v xml:space="preserve">Lantai Kerja_x000d_
(m3)</v>
      </c>
      <c r="K71" t="str" xml:space="preserve">
        <v xml:space="preserve">Kayu_x000d_
(m2)</v>
      </c>
      <c r="L71">
        <v>8</v>
      </c>
      <c r="M71">
        <v>10</v>
      </c>
      <c r="N71">
        <v>13</v>
      </c>
      <c r="O71">
        <v>16</v>
      </c>
      <c r="P71">
        <v>25</v>
      </c>
    </row>
    <row r="73">
      <c r="A73" t="str">
        <v>Lantai Basement</v>
      </c>
    </row>
    <row r="74">
      <c r="A74" t="str">
        <v>Main building area; FFL -3.20</v>
      </c>
      <c r="D74">
        <v>207.9</v>
      </c>
      <c r="E74">
        <v>83.37</v>
      </c>
      <c r="F74">
        <v>3.24</v>
      </c>
      <c r="G74">
        <v>7.2</v>
      </c>
      <c r="H74">
        <f>D74-F74</f>
        <v>204.66</v>
      </c>
      <c r="I74">
        <f>H74*$J$53/1000</f>
        <v>30.699</v>
      </c>
      <c r="J74">
        <f>H74*$C$6/1000</f>
        <v>10.233</v>
      </c>
      <c r="K74">
        <f>(E74+G74)*$J$53/1000</f>
        <v>13.585500000000001</v>
      </c>
      <c r="L74">
        <f>$L$68*$I74</f>
        <v>0</v>
      </c>
      <c r="M74">
        <f>$M$68*$I74</f>
        <v>3369.0965472000003</v>
      </c>
      <c r="N74">
        <f>$N$68*$I74</f>
        <v>0</v>
      </c>
      <c r="O74">
        <f>$O$68*$I74</f>
        <v>0</v>
      </c>
      <c r="P74">
        <f>$P$68*$I74</f>
        <v>0</v>
      </c>
      <c r="Q74">
        <f>SUM(L74:P74)</f>
        <v>3369.0965472000003</v>
      </c>
    </row>
    <row r="75">
      <c r="A75" t="str">
        <v>Maid laundry &amp; driver room; FFL -3.20</v>
      </c>
      <c r="D75">
        <v>22.4</v>
      </c>
      <c r="E75">
        <v>25.89</v>
      </c>
      <c r="H75">
        <f>D75-F75</f>
        <v>22.4</v>
      </c>
      <c r="I75">
        <f>H75*$J$53/1000</f>
        <v>3.36</v>
      </c>
      <c r="J75">
        <f>H75*$C$6/1000</f>
        <v>1.12</v>
      </c>
      <c r="K75">
        <f>(E75+G75)*$J$53/1000</f>
        <v>3.8835</v>
      </c>
      <c r="L75">
        <f>$L$68*$I75</f>
        <v>0</v>
      </c>
      <c r="M75">
        <f>$M$68*$I75</f>
        <v>368.747008</v>
      </c>
      <c r="N75">
        <f>$N$68*$I75</f>
        <v>0</v>
      </c>
      <c r="O75">
        <f>$O$68*$I75</f>
        <v>0</v>
      </c>
      <c r="P75">
        <f>$P$68*$I75</f>
        <v>0</v>
      </c>
      <c r="Q75">
        <f>SUM(L75:P75)</f>
        <v>368.747008</v>
      </c>
    </row>
    <row r="76">
      <c r="A76" t="str">
        <v>Garage; FFL -3.27</v>
      </c>
      <c r="D76">
        <v>184.48</v>
      </c>
      <c r="E76">
        <v>64.66</v>
      </c>
      <c r="H76">
        <f>D76-F76</f>
        <v>184.48</v>
      </c>
      <c r="I76">
        <f>H76*$J$53/1000</f>
        <v>27.672</v>
      </c>
      <c r="J76">
        <f>H76*$C$6/1000</f>
        <v>9.224</v>
      </c>
      <c r="K76">
        <f>(E76+G76)*$J$53/1000</f>
        <v>9.699</v>
      </c>
      <c r="L76">
        <f>$L$68*$I76</f>
        <v>0</v>
      </c>
      <c r="M76">
        <f>$M$68*$I76</f>
        <v>3036.8950016</v>
      </c>
      <c r="N76">
        <f>$N$68*$I76</f>
        <v>0</v>
      </c>
      <c r="O76">
        <f>$O$68*$I76</f>
        <v>0</v>
      </c>
      <c r="P76">
        <f>$P$68*$I76</f>
        <v>0</v>
      </c>
      <c r="Q76">
        <f>SUM(L76:P76)</f>
        <v>3036.8950016</v>
      </c>
    </row>
    <row r="77">
      <c r="A77" t="str">
        <v>Terrace; FFL -3.30</v>
      </c>
      <c r="D77">
        <v>20.06</v>
      </c>
      <c r="E77">
        <v>18.6</v>
      </c>
      <c r="H77">
        <f>D77-F77</f>
        <v>20.06</v>
      </c>
      <c r="I77">
        <f>H77*$J$53/1000</f>
        <v>3.009</v>
      </c>
      <c r="J77">
        <f>H77*$C$6/1000</f>
        <v>1.003</v>
      </c>
      <c r="K77">
        <f>(E77+G77)*$J$53/1000</f>
        <v>2.79</v>
      </c>
      <c r="L77">
        <f>$L$68*$I77</f>
        <v>0</v>
      </c>
      <c r="M77">
        <f>$M$68*$I77</f>
        <v>330.2261152</v>
      </c>
      <c r="N77">
        <f>$N$68*$I77</f>
        <v>0</v>
      </c>
      <c r="O77">
        <f>$O$68*$I77</f>
        <v>0</v>
      </c>
      <c r="P77">
        <f>$P$68*$I77</f>
        <v>0</v>
      </c>
      <c r="Q77">
        <f>SUM(L77:P77)</f>
        <v>330.2261152</v>
      </c>
    </row>
    <row r="78">
      <c r="A78" t="str">
        <v>Carport; FFL -3.30</v>
      </c>
      <c r="D78">
        <v>41.61</v>
      </c>
      <c r="E78">
        <v>26</v>
      </c>
      <c r="H78">
        <f>D78-F78</f>
        <v>41.61</v>
      </c>
      <c r="I78">
        <f>H78*$J$53/1000</f>
        <v>6.2415</v>
      </c>
      <c r="J78">
        <f>H78*$C$6/1000</f>
        <v>2.0805</v>
      </c>
      <c r="K78">
        <f>(E78+G78)*$J$53/1000</f>
        <v>3.9</v>
      </c>
      <c r="L78">
        <f>$L$68*$I78</f>
        <v>0</v>
      </c>
      <c r="M78">
        <f>$M$68*$I78</f>
        <v>684.9804912000001</v>
      </c>
      <c r="N78">
        <f>$N$68*$I78</f>
        <v>0</v>
      </c>
      <c r="O78">
        <f>$O$68*$I78</f>
        <v>0</v>
      </c>
      <c r="P78">
        <f>$P$68*$I78</f>
        <v>0</v>
      </c>
      <c r="Q78">
        <f>SUM(L78:P78)</f>
        <v>684.9804912000001</v>
      </c>
    </row>
    <row r="79">
      <c r="A79" t="str">
        <v>Plat dasar pond depan</v>
      </c>
      <c r="D79">
        <v>20</v>
      </c>
      <c r="E79">
        <v>22.56</v>
      </c>
      <c r="H79">
        <f>D79-F79</f>
        <v>20</v>
      </c>
      <c r="I79">
        <f>H79*$J$53/1000</f>
        <v>3</v>
      </c>
      <c r="J79">
        <f>H79*$C$6/1000</f>
        <v>1</v>
      </c>
      <c r="K79">
        <f>(E79+G79)*$J$53/1000</f>
        <v>3.384</v>
      </c>
      <c r="L79">
        <f>$L$68*$I79</f>
        <v>0</v>
      </c>
      <c r="M79">
        <f>$M$68*$I79</f>
        <v>329.2384</v>
      </c>
      <c r="N79">
        <f>$N$68*$I79</f>
        <v>0</v>
      </c>
      <c r="O79">
        <f>$O$68*$I79</f>
        <v>0</v>
      </c>
      <c r="P79">
        <f>$P$68*$I79</f>
        <v>0</v>
      </c>
      <c r="Q79">
        <f>SUM(L79:P79)</f>
        <v>329.2384</v>
      </c>
    </row>
    <row r="81">
      <c r="A81" t="str">
        <v>Lantai 1</v>
      </c>
    </row>
    <row r="82">
      <c r="A82" t="str">
        <v>Terrace; FFL -0.05</v>
      </c>
      <c r="D82">
        <v>14.4</v>
      </c>
      <c r="E82">
        <v>31.4</v>
      </c>
      <c r="H82">
        <f>D82-F82</f>
        <v>14.4</v>
      </c>
      <c r="I82">
        <f>H82*$J$53/1000</f>
        <v>2.16</v>
      </c>
      <c r="K82">
        <f>(E82+G82)*$J$53/1000+H82</f>
        <v>19.11</v>
      </c>
      <c r="L82">
        <f>$L$68*$I82</f>
        <v>0</v>
      </c>
      <c r="M82">
        <f>$M$68*$I82</f>
        <v>237.05164800000003</v>
      </c>
      <c r="N82">
        <f>$N$68*$I82</f>
        <v>0</v>
      </c>
      <c r="O82">
        <f>$O$68*$I82</f>
        <v>0</v>
      </c>
      <c r="P82">
        <f>$P$68*$I82</f>
        <v>0</v>
      </c>
      <c r="Q82">
        <f>SUM(L82:P82)</f>
        <v>237.05164800000003</v>
      </c>
    </row>
    <row r="83">
      <c r="A83" t="str">
        <v>Garden; FFL -0.10</v>
      </c>
      <c r="D83">
        <v>21.84</v>
      </c>
      <c r="E83">
        <v>18.7</v>
      </c>
      <c r="H83">
        <f>D83-F83</f>
        <v>21.84</v>
      </c>
      <c r="I83">
        <f>H83*$J$53/1000</f>
        <v>3.276</v>
      </c>
      <c r="K83">
        <f>(E83+G83)*$J$53/1000+H83</f>
        <v>24.645</v>
      </c>
      <c r="L83">
        <f>$L$68*$I83</f>
        <v>0</v>
      </c>
      <c r="M83">
        <f>$M$68*$I83</f>
        <v>359.5283328</v>
      </c>
      <c r="N83">
        <f>$N$68*$I83</f>
        <v>0</v>
      </c>
      <c r="O83">
        <f>$O$68*$I83</f>
        <v>0</v>
      </c>
      <c r="P83">
        <f>$P$68*$I83</f>
        <v>0</v>
      </c>
      <c r="Q83">
        <f>SUM(L83:P83)</f>
        <v>359.5283328</v>
      </c>
    </row>
    <row r="84">
      <c r="A84" t="str">
        <v>Deck; FFL -0.05</v>
      </c>
      <c r="D84">
        <v>5.8</v>
      </c>
      <c r="E84">
        <v>28.4</v>
      </c>
      <c r="H84">
        <f>D84-F84</f>
        <v>5.8</v>
      </c>
      <c r="I84">
        <f>H84*$J$53/1000</f>
        <v>0.87</v>
      </c>
      <c r="K84">
        <f>(E84+G84)*$J$53/1000+H84</f>
        <v>10.059999999999999</v>
      </c>
      <c r="L84">
        <f>$L$68*$I84</f>
        <v>0</v>
      </c>
      <c r="M84">
        <f>$M$68*$I84</f>
        <v>95.479136</v>
      </c>
      <c r="N84">
        <f>$N$68*$I84</f>
        <v>0</v>
      </c>
      <c r="O84">
        <f>$O$68*$I84</f>
        <v>0</v>
      </c>
      <c r="P84">
        <f>$P$68*$I84</f>
        <v>0</v>
      </c>
      <c r="Q84">
        <f>SUM(L84:P84)</f>
        <v>95.479136</v>
      </c>
    </row>
    <row r="85">
      <c r="A85" t="str">
        <v>Reflecting pool; FFL -0.15</v>
      </c>
      <c r="D85">
        <v>22.34</v>
      </c>
      <c r="H85">
        <f>D85-F85</f>
        <v>22.34</v>
      </c>
      <c r="I85">
        <f>H85*$J$53/1000</f>
        <v>3.351</v>
      </c>
      <c r="K85">
        <f>(E85+G85)*$J$53/1000+H85</f>
        <v>22.34</v>
      </c>
      <c r="L85">
        <f>$L$68*$I85</f>
        <v>0</v>
      </c>
      <c r="M85">
        <f>$M$68*$I85</f>
        <v>367.75929279999997</v>
      </c>
      <c r="N85">
        <f>$N$68*$I85</f>
        <v>0</v>
      </c>
      <c r="O85">
        <f>$O$68*$I85</f>
        <v>0</v>
      </c>
      <c r="P85">
        <f>$P$68*$I85</f>
        <v>0</v>
      </c>
      <c r="Q85">
        <f>SUM(L85:P85)</f>
        <v>367.75929279999997</v>
      </c>
    </row>
    <row r="86">
      <c r="A86" t="str">
        <v>Talang kanopi depan</v>
      </c>
      <c r="D86">
        <v>43.26</v>
      </c>
      <c r="E86">
        <v>26.35</v>
      </c>
      <c r="F86">
        <v>21.63</v>
      </c>
      <c r="G86">
        <v>18.68</v>
      </c>
      <c r="H86">
        <f>D86-F86</f>
        <v>21.63</v>
      </c>
      <c r="I86">
        <f>H86*$J$53/1000</f>
        <v>3.2445</v>
      </c>
      <c r="K86">
        <f>(E86+G86)*$J$53/1000+H86</f>
        <v>28.3845</v>
      </c>
      <c r="L86">
        <f>$L$68*$I86</f>
        <v>0</v>
      </c>
      <c r="M86">
        <f>$M$68*$I86</f>
        <v>356.0713296</v>
      </c>
      <c r="N86">
        <f>$N$68*$I86</f>
        <v>0</v>
      </c>
      <c r="O86">
        <f>$O$68*$I86</f>
        <v>0</v>
      </c>
      <c r="P86">
        <f>$P$68*$I86</f>
        <v>0</v>
      </c>
      <c r="Q86">
        <f>SUM(L86:P86)</f>
        <v>356.0713296</v>
      </c>
    </row>
    <row r="88">
      <c r="A88" t="str">
        <v>Lantai 2</v>
      </c>
    </row>
    <row r="89">
      <c r="A89" t="str">
        <v>Dry garden; FFL +4.45</v>
      </c>
      <c r="D89">
        <v>11.21</v>
      </c>
      <c r="E89">
        <v>15.6</v>
      </c>
      <c r="H89">
        <f>D89-F89</f>
        <v>11.21</v>
      </c>
      <c r="I89">
        <f>H89*$J$53/1000</f>
        <v>1.6815000000000002</v>
      </c>
      <c r="K89">
        <f>(E89+G89)*$J$53/1000+H89</f>
        <v>13.55</v>
      </c>
      <c r="L89">
        <f>$L$68*$I89</f>
        <v>0</v>
      </c>
      <c r="M89">
        <f>$M$68*$I89</f>
        <v>184.53812320000003</v>
      </c>
      <c r="N89">
        <f>$N$68*$I89</f>
        <v>0</v>
      </c>
      <c r="O89">
        <f>$O$68*$I89</f>
        <v>0</v>
      </c>
      <c r="P89">
        <f>$P$68*$I89</f>
        <v>0</v>
      </c>
      <c r="Q89">
        <f>SUM(L89:P89)</f>
        <v>184.53812320000003</v>
      </c>
    </row>
    <row r="90">
      <c r="A90" t="str">
        <v>Master BR balcony; FFL +4.45</v>
      </c>
      <c r="D90">
        <v>2.26</v>
      </c>
      <c r="E90">
        <v>7.02</v>
      </c>
      <c r="H90">
        <f>D90-F90</f>
        <v>2.26</v>
      </c>
      <c r="I90">
        <f>H90*$J$53/1000</f>
        <v>0.33899999999999997</v>
      </c>
      <c r="K90">
        <f>(E90+G90)*$J$53/1000+H90</f>
        <v>3.3129999999999997</v>
      </c>
      <c r="L90">
        <f>$L$68*$I90</f>
        <v>0</v>
      </c>
      <c r="M90">
        <f>$M$68*$I90</f>
        <v>37.20393919999999</v>
      </c>
      <c r="N90">
        <f>$N$68*$I90</f>
        <v>0</v>
      </c>
      <c r="O90">
        <f>$O$68*$I90</f>
        <v>0</v>
      </c>
      <c r="P90">
        <f>$P$68*$I90</f>
        <v>0</v>
      </c>
      <c r="Q90">
        <f>SUM(L90:P90)</f>
        <v>37.20393919999999</v>
      </c>
    </row>
    <row r="91">
      <c r="A91" t="str">
        <v>Children BR 2 balcony; FFL +4.45</v>
      </c>
      <c r="D91">
        <v>1.39</v>
      </c>
      <c r="E91">
        <v>6.11</v>
      </c>
      <c r="H91">
        <f>D91-F91</f>
        <v>1.39</v>
      </c>
      <c r="I91">
        <f>H91*$J$53/1000</f>
        <v>0.20849999999999996</v>
      </c>
      <c r="K91">
        <f>(E91+G91)*$J$53/1000+H91</f>
        <v>2.3064999999999998</v>
      </c>
      <c r="L91">
        <f>$L$68*$I91</f>
        <v>0</v>
      </c>
      <c r="M91">
        <f>$M$68*$I91</f>
        <v>22.882068799999995</v>
      </c>
      <c r="N91">
        <f>$N$68*$I91</f>
        <v>0</v>
      </c>
      <c r="O91">
        <f>$O$68*$I91</f>
        <v>0</v>
      </c>
      <c r="P91">
        <f>$P$68*$I91</f>
        <v>0</v>
      </c>
      <c r="Q91">
        <f>SUM(L91:P91)</f>
        <v>22.882068799999995</v>
      </c>
    </row>
    <row r="92">
      <c r="A92" t="str">
        <v>Children BR 1 balcony; FFL +4.45</v>
      </c>
      <c r="D92">
        <v>1.75</v>
      </c>
      <c r="E92">
        <v>6.4</v>
      </c>
      <c r="H92">
        <f>D92-F92</f>
        <v>1.75</v>
      </c>
      <c r="I92">
        <f>H92*$J$53/1000</f>
        <v>0.2625</v>
      </c>
      <c r="K92">
        <f>(E92+G92)*$J$53/1000+H92</f>
        <v>2.71</v>
      </c>
      <c r="L92">
        <f>$L$68*$I92</f>
        <v>0</v>
      </c>
      <c r="M92">
        <f>$M$68*$I92</f>
        <v>28.80836</v>
      </c>
      <c r="N92">
        <f>$N$68*$I92</f>
        <v>0</v>
      </c>
      <c r="O92">
        <f>$O$68*$I92</f>
        <v>0</v>
      </c>
      <c r="P92">
        <f>$P$68*$I92</f>
        <v>0</v>
      </c>
      <c r="Q92">
        <f>SUM(L92:P92)</f>
        <v>28.80836</v>
      </c>
    </row>
    <row r="93">
      <c r="A93" t="str">
        <v>WIC balcony; FFL +4.45</v>
      </c>
      <c r="D93">
        <v>1.75</v>
      </c>
      <c r="E93">
        <v>6.4</v>
      </c>
      <c r="H93">
        <f>D93-F93</f>
        <v>1.75</v>
      </c>
      <c r="I93">
        <f>H93*$J$53/1000</f>
        <v>0.2625</v>
      </c>
      <c r="K93">
        <f>(E93+G93)*$J$53/1000+H93</f>
        <v>2.71</v>
      </c>
      <c r="L93">
        <f>$L$68*$I93</f>
        <v>0</v>
      </c>
      <c r="M93">
        <f>$M$68*$I93</f>
        <v>28.80836</v>
      </c>
      <c r="N93">
        <f>$N$68*$I93</f>
        <v>0</v>
      </c>
      <c r="O93">
        <f>$O$68*$I93</f>
        <v>0</v>
      </c>
      <c r="P93">
        <f>$P$68*$I93</f>
        <v>0</v>
      </c>
      <c r="Q93">
        <f>SUM(L93:P93)</f>
        <v>28.80836</v>
      </c>
    </row>
    <row r="95">
      <c r="A95" t="str">
        <v>Lantai Attic</v>
      </c>
    </row>
    <row r="96">
      <c r="A96" t="str">
        <v>Laundry; FFL +8.97</v>
      </c>
      <c r="D96">
        <v>38.12</v>
      </c>
      <c r="E96">
        <v>35.55</v>
      </c>
      <c r="H96">
        <f>D96-F96</f>
        <v>38.12</v>
      </c>
      <c r="I96">
        <f>H96*$J$53/1000</f>
        <v>5.718</v>
      </c>
      <c r="K96">
        <f>(E96+G96)*$J$53/1000+H96</f>
        <v>43.4525</v>
      </c>
      <c r="L96">
        <f>$L$68*$I96</f>
        <v>0</v>
      </c>
      <c r="M96">
        <f>$M$68*$I96</f>
        <v>627.5283904</v>
      </c>
      <c r="N96">
        <f>$N$68*$I96</f>
        <v>0</v>
      </c>
      <c r="O96">
        <f>$O$68*$I96</f>
        <v>0</v>
      </c>
      <c r="P96">
        <f>$P$68*$I96</f>
        <v>0</v>
      </c>
      <c r="Q96">
        <f>SUM(L96:P96)</f>
        <v>627.5283904</v>
      </c>
    </row>
    <row r="97">
      <c r="A97" t="str">
        <v>Terrace; FFL +8.95</v>
      </c>
      <c r="D97">
        <v>5.95</v>
      </c>
      <c r="E97">
        <v>12.84</v>
      </c>
      <c r="H97">
        <f>D97-F97</f>
        <v>5.95</v>
      </c>
      <c r="I97">
        <f>H97*$J$53/1000</f>
        <v>0.8925</v>
      </c>
      <c r="K97">
        <f>(E97+G97)*$J$53/1000+H97</f>
        <v>7.876</v>
      </c>
      <c r="L97">
        <f>$L$68*$I97</f>
        <v>0</v>
      </c>
      <c r="M97">
        <f>$M$68*$I97</f>
        <v>97.94842399999999</v>
      </c>
      <c r="N97">
        <f>$N$68*$I97</f>
        <v>0</v>
      </c>
      <c r="O97">
        <f>$O$68*$I97</f>
        <v>0</v>
      </c>
      <c r="P97">
        <f>$P$68*$I97</f>
        <v>0</v>
      </c>
      <c r="Q97">
        <f>SUM(L97:P97)</f>
        <v>97.94842399999999</v>
      </c>
    </row>
    <row r="98">
      <c r="A98" t="str">
        <v>Garden; FFL +8.90</v>
      </c>
      <c r="D98">
        <v>17.84</v>
      </c>
      <c r="E98">
        <v>17.75</v>
      </c>
      <c r="H98">
        <f>D98-F98</f>
        <v>17.84</v>
      </c>
      <c r="I98">
        <f>H98*$J$53/1000</f>
        <v>2.676</v>
      </c>
      <c r="K98">
        <f>(E98+G98)*$J$53/1000+H98</f>
        <v>20.5025</v>
      </c>
      <c r="L98">
        <f>$L$68*$I98</f>
        <v>0</v>
      </c>
      <c r="M98">
        <f>$M$68*$I98</f>
        <v>293.6806528</v>
      </c>
      <c r="N98">
        <f>$N$68*$I98</f>
        <v>0</v>
      </c>
      <c r="O98">
        <f>$O$68*$I98</f>
        <v>0</v>
      </c>
      <c r="P98">
        <f>$P$68*$I98</f>
        <v>0</v>
      </c>
      <c r="Q98">
        <f>SUM(L98:P98)</f>
        <v>293.6806528</v>
      </c>
    </row>
    <row r="99">
      <c r="A99" t="str">
        <v>Deck</v>
      </c>
      <c r="D99">
        <v>14.42</v>
      </c>
      <c r="E99">
        <v>29.6</v>
      </c>
      <c r="H99">
        <f>D99-F99</f>
        <v>14.42</v>
      </c>
      <c r="I99">
        <f>H99*$J$53/1000</f>
        <v>2.163</v>
      </c>
      <c r="K99">
        <f>(E99+G99)*$J$53/1000+H99</f>
        <v>18.86</v>
      </c>
      <c r="L99">
        <f>$L$68*$I99</f>
        <v>0</v>
      </c>
      <c r="M99">
        <f>$M$68*$I99</f>
        <v>237.38088639999998</v>
      </c>
      <c r="N99">
        <f>$N$68*$I99</f>
        <v>0</v>
      </c>
      <c r="O99">
        <f>$O$68*$I99</f>
        <v>0</v>
      </c>
      <c r="P99">
        <f>$P$68*$I99</f>
        <v>0</v>
      </c>
      <c r="Q99">
        <f>SUM(L99:P99)</f>
        <v>237.38088639999998</v>
      </c>
    </row>
    <row r="100">
      <c r="A100" t="str">
        <v>Deck; FFL +8.90</v>
      </c>
      <c r="D100">
        <v>9.64</v>
      </c>
      <c r="E100">
        <v>16.1</v>
      </c>
      <c r="H100">
        <f>D100-F100</f>
        <v>9.64</v>
      </c>
      <c r="I100">
        <f>H100*$J$53/1000</f>
        <v>1.446</v>
      </c>
      <c r="K100">
        <f>(E100+G100)*$J$53/1000+H100</f>
        <v>12.055</v>
      </c>
      <c r="L100">
        <f>$L$68*$I100</f>
        <v>0</v>
      </c>
      <c r="M100">
        <f>$M$68*$I100</f>
        <v>158.6929088</v>
      </c>
      <c r="N100">
        <f>$N$68*$I100</f>
        <v>0</v>
      </c>
      <c r="O100">
        <f>$O$68*$I100</f>
        <v>0</v>
      </c>
      <c r="P100">
        <f>$P$68*$I100</f>
        <v>0</v>
      </c>
      <c r="Q100">
        <f>SUM(L100:P100)</f>
        <v>158.6929088</v>
      </c>
    </row>
    <row r="101">
      <c r="A101" t="str">
        <v>Audio &amp; Entertainment Room deck</v>
      </c>
      <c r="D101">
        <v>20.55</v>
      </c>
      <c r="E101">
        <v>30.4</v>
      </c>
      <c r="H101">
        <f>D101-F101</f>
        <v>20.55</v>
      </c>
      <c r="I101">
        <f>H101*$J$53/1000</f>
        <v>3.0825</v>
      </c>
      <c r="K101">
        <f>(E101+G101)*$J$53/1000+H101</f>
        <v>25.11</v>
      </c>
      <c r="L101">
        <f>$L$68*$I101</f>
        <v>0</v>
      </c>
      <c r="M101">
        <f>$M$68*$I101</f>
        <v>338.292456</v>
      </c>
      <c r="N101">
        <f>$N$68*$I101</f>
        <v>0</v>
      </c>
      <c r="O101">
        <f>$O$68*$I101</f>
        <v>0</v>
      </c>
      <c r="P101">
        <f>$P$68*$I101</f>
        <v>0</v>
      </c>
      <c r="Q101">
        <f>SUM(L101:P101)</f>
        <v>338.292456</v>
      </c>
    </row>
    <row r="103">
      <c r="A103" t="str">
        <v>Lantai Atap</v>
      </c>
    </row>
    <row r="104">
      <c r="A104" t="str">
        <v>Roof deck; FFL +12.50</v>
      </c>
      <c r="D104">
        <v>190.28</v>
      </c>
      <c r="E104">
        <v>73.69</v>
      </c>
      <c r="F104">
        <f>10.07+84.94</f>
        <v>95.00999999999999</v>
      </c>
      <c r="G104">
        <f>14.4+39.8</f>
        <v>54.199999999999996</v>
      </c>
      <c r="H104">
        <f>D104-F104</f>
        <v>95.27000000000001</v>
      </c>
      <c r="I104">
        <f>H104*$J$53/1000</f>
        <v>14.290500000000002</v>
      </c>
      <c r="K104">
        <f>(E104+G104)*$J$53/1000+H104</f>
        <v>114.4535</v>
      </c>
      <c r="L104">
        <f>$L$68*$I104</f>
        <v>0</v>
      </c>
      <c r="M104">
        <f>$M$68*$I104</f>
        <v>1568.3271184000002</v>
      </c>
      <c r="N104">
        <f>$N$68*$I104</f>
        <v>0</v>
      </c>
      <c r="O104">
        <f>$O$68*$I104</f>
        <v>0</v>
      </c>
      <c r="P104">
        <f>$P$68*$I104</f>
        <v>0</v>
      </c>
      <c r="Q104">
        <f>SUM(L104:P104)</f>
        <v>1568.3271184000002</v>
      </c>
    </row>
    <row r="105">
      <c r="A105" t="str">
        <v>Talang Audio Room; FFL +12.50</v>
      </c>
      <c r="D105">
        <v>45.08</v>
      </c>
      <c r="E105">
        <v>26.9</v>
      </c>
      <c r="F105">
        <v>22.44</v>
      </c>
      <c r="G105">
        <v>19</v>
      </c>
      <c r="H105">
        <f>D105-F105</f>
        <v>22.639999999999997</v>
      </c>
      <c r="I105">
        <f>H105*$J$53/1000</f>
        <v>3.3959999999999995</v>
      </c>
      <c r="K105">
        <f>(E105+G105)*$J$53/1000+H105</f>
        <v>29.525</v>
      </c>
      <c r="L105">
        <f>$L$68*$I105</f>
        <v>0</v>
      </c>
      <c r="M105">
        <f>$M$68*$I105</f>
        <v>372.6978687999999</v>
      </c>
      <c r="N105">
        <f>$N$68*$I105</f>
        <v>0</v>
      </c>
      <c r="O105">
        <f>$O$68*$I105</f>
        <v>0</v>
      </c>
      <c r="P105">
        <f>$P$68*$I105</f>
        <v>0</v>
      </c>
      <c r="Q105">
        <f>SUM(L105:P105)</f>
        <v>372.6978687999999</v>
      </c>
    </row>
    <row r="106">
      <c r="A106" t="str">
        <v>Atap lift; FFL +13.50</v>
      </c>
      <c r="D106">
        <v>14.04</v>
      </c>
      <c r="E106">
        <v>15.8</v>
      </c>
      <c r="H106">
        <f>D106-F106</f>
        <v>14.04</v>
      </c>
      <c r="I106">
        <f>H106*$J$53/1000</f>
        <v>2.106</v>
      </c>
      <c r="K106">
        <f>(E106+G106)*$J$53/1000+H106</f>
        <v>16.41</v>
      </c>
      <c r="L106">
        <f>$L$68*$I106</f>
        <v>0</v>
      </c>
      <c r="M106">
        <f>$M$68*$I106</f>
        <v>231.1253568</v>
      </c>
      <c r="N106">
        <f>$N$68*$I106</f>
        <v>0</v>
      </c>
      <c r="O106">
        <f>$O$68*$I106</f>
        <v>0</v>
      </c>
      <c r="P106">
        <f>$P$68*$I106</f>
        <v>0</v>
      </c>
      <c r="Q106">
        <f>SUM(L106:P106)</f>
        <v>231.1253568</v>
      </c>
    </row>
    <row r="113">
      <c r="F113" t="str">
        <v>Tipe Plat</v>
      </c>
      <c r="I113" t="str">
        <v>:</v>
      </c>
      <c r="J113" t="str">
        <v>S3</v>
      </c>
    </row>
    <row r="114">
      <c r="F114" t="str">
        <v>Ukuran Modul Dominan</v>
      </c>
      <c r="H114" t="str">
        <v>Sisi pendek (lx)</v>
      </c>
      <c r="I114" t="str">
        <v>:</v>
      </c>
      <c r="J114">
        <v>0.7</v>
      </c>
      <c r="K114" t="str">
        <v>m</v>
      </c>
    </row>
    <row r="115">
      <c r="H115" t="str">
        <v>Sisi panjang (ly)</v>
      </c>
      <c r="I115" t="str">
        <v>:</v>
      </c>
      <c r="J115">
        <v>2.4</v>
      </c>
      <c r="K115" t="str">
        <v>m</v>
      </c>
    </row>
    <row r="116">
      <c r="H116" t="str">
        <v>Tebal plat</v>
      </c>
      <c r="I116" t="str">
        <v>:</v>
      </c>
      <c r="J116">
        <v>150</v>
      </c>
      <c r="K116" t="str">
        <v>mm</v>
      </c>
    </row>
    <row r="118">
      <c r="F118" t="str">
        <v>Tipe Tulangan</v>
      </c>
      <c r="G118" t="str">
        <v>Diameter</v>
      </c>
      <c r="H118" t="str">
        <v>Jarak</v>
      </c>
      <c r="I118" t="str">
        <v>Jumlah</v>
      </c>
      <c r="J118" t="str">
        <v>Overlap dan Kait</v>
      </c>
      <c r="K118" t="str">
        <v>Panjang Tul. Total</v>
      </c>
      <c r="L118" t="str">
        <v>Berat Tulangan per Diameter (kg)</v>
      </c>
      <c r="Q118" t="str">
        <v>Total</v>
      </c>
    </row>
    <row r="119">
      <c r="G119" t="str">
        <v>mm</v>
      </c>
      <c r="H119" t="str">
        <v>mm</v>
      </c>
      <c r="I119" t="str">
        <v>bh</v>
      </c>
      <c r="J119" t="str">
        <v>m</v>
      </c>
      <c r="K119" t="str">
        <v>m</v>
      </c>
      <c r="L119">
        <v>8</v>
      </c>
      <c r="M119">
        <v>10</v>
      </c>
      <c r="N119">
        <v>13</v>
      </c>
      <c r="O119">
        <v>16</v>
      </c>
      <c r="P119">
        <v>25</v>
      </c>
      <c r="Q119" t="str">
        <v>kg</v>
      </c>
    </row>
    <row r="120">
      <c r="F120" t="str">
        <v>A</v>
      </c>
      <c r="G120">
        <v>10</v>
      </c>
      <c r="H120">
        <v>200</v>
      </c>
      <c r="I120">
        <f>ROUND($J115/($H120/1000),0)+1</f>
        <v>13</v>
      </c>
      <c r="J120">
        <f>1*40*G120/1000</f>
        <v>0.4</v>
      </c>
      <c r="K120">
        <f>J114+J120</f>
        <v>1.1</v>
      </c>
      <c r="L120">
        <f>IF($G120=L$119,0.006165*$G120^2*$K120*$I120,0)</f>
        <v>0</v>
      </c>
      <c r="M120">
        <f>IF($G120=M$119,0.006165*$G120^2*$K120*$I120,0)</f>
        <v>8.815950000000003</v>
      </c>
      <c r="N120">
        <f>IF($G120=N$119,0.006165*$G120^2*$K120*$I120,0)</f>
        <v>0</v>
      </c>
      <c r="O120">
        <f>IF($G120=O$119,0.006165*$G120^2*$K120*$I120,0)</f>
        <v>0</v>
      </c>
      <c r="P120">
        <f>IF($G120=P$119,0.006165*$G120^2*$K120*$I120,0)</f>
        <v>0</v>
      </c>
      <c r="Q120">
        <f>SUM(L120:P120)</f>
        <v>8.815950000000003</v>
      </c>
    </row>
    <row r="121">
      <c r="F121" t="str">
        <v>B</v>
      </c>
      <c r="G121">
        <v>10</v>
      </c>
      <c r="H121">
        <v>200</v>
      </c>
      <c r="I121">
        <f>ROUND($J115/($H121/1000),0)+1</f>
        <v>13</v>
      </c>
      <c r="J121">
        <f>1*40*G121/1000</f>
        <v>0.4</v>
      </c>
      <c r="K121">
        <f>J114+J121</f>
        <v>1.1</v>
      </c>
      <c r="L121">
        <f>IF($G121=L$119,0.006165*$G121^2*$K121*$I121,0)</f>
        <v>0</v>
      </c>
      <c r="M121">
        <f>IF($G121=M$119,0.006165*$G121^2*$K121*$I121,0)</f>
        <v>8.815950000000003</v>
      </c>
      <c r="N121">
        <f>IF($G121=N$119,0.006165*$G121^2*$K121*$I121,0)</f>
        <v>0</v>
      </c>
      <c r="O121">
        <f>IF($G121=O$119,0.006165*$G121^2*$K121*$I121,0)</f>
        <v>0</v>
      </c>
      <c r="P121">
        <f>IF($G121=P$119,0.006165*$G121^2*$K121*$I121,0)</f>
        <v>0</v>
      </c>
      <c r="Q121">
        <f>SUM(L121:P121)</f>
        <v>8.815950000000003</v>
      </c>
    </row>
    <row r="122">
      <c r="F122" t="str">
        <v>C</v>
      </c>
      <c r="G122">
        <v>10</v>
      </c>
      <c r="H122">
        <v>200</v>
      </c>
      <c r="I122">
        <f>ROUND($J114/($H122/1000),0)+1</f>
        <v>5</v>
      </c>
      <c r="J122">
        <f>J115/12*50*G122/1000</f>
        <v>0.1</v>
      </c>
      <c r="K122">
        <f>J115+J122</f>
        <v>2.5</v>
      </c>
      <c r="L122">
        <f>IF($G122=L$119,0.006165*$G122^2*$K122*$I122,0)</f>
        <v>0</v>
      </c>
      <c r="M122">
        <f>IF($G122=M$119,0.006165*$G122^2*$K122*$I122,0)</f>
        <v>7.706250000000001</v>
      </c>
      <c r="N122">
        <f>IF($G122=N$119,0.006165*$G122^2*$K122*$I122,0)</f>
        <v>0</v>
      </c>
      <c r="O122">
        <f>IF($G122=O$119,0.006165*$G122^2*$K122*$I122,0)</f>
        <v>0</v>
      </c>
      <c r="P122">
        <f>IF($G122=P$119,0.006165*$G122^2*$K122*$I122,0)</f>
        <v>0</v>
      </c>
      <c r="Q122">
        <f>SUM(L122:P122)</f>
        <v>7.706250000000001</v>
      </c>
    </row>
    <row r="123">
      <c r="F123" t="str">
        <v>D</v>
      </c>
      <c r="G123">
        <v>10</v>
      </c>
      <c r="H123">
        <v>200</v>
      </c>
      <c r="I123">
        <f>ROUND($J114/($H123/1000),0)+1</f>
        <v>5</v>
      </c>
      <c r="J123">
        <f>J115/12*50*G123/1000</f>
        <v>0.1</v>
      </c>
      <c r="K123">
        <f>J115+J123</f>
        <v>2.5</v>
      </c>
      <c r="L123">
        <f>IF($G123=L$119,0.006165*$G123^2*$K123*$I123,0)</f>
        <v>0</v>
      </c>
      <c r="M123">
        <f>IF($G123=M$119,0.006165*$G123^2*$K123*$I123,0)</f>
        <v>7.706250000000001</v>
      </c>
      <c r="N123">
        <f>IF($G123=N$119,0.006165*$G123^2*$K123*$I123,0)</f>
        <v>0</v>
      </c>
      <c r="O123">
        <f>IF($G123=O$119,0.006165*$G123^2*$K123*$I123,0)</f>
        <v>0</v>
      </c>
      <c r="P123">
        <f>IF($G123=P$119,0.006165*$G123^2*$K123*$I123,0)</f>
        <v>0</v>
      </c>
      <c r="Q123">
        <f>SUM(L123:P123)</f>
        <v>7.706250000000001</v>
      </c>
    </row>
    <row r="125">
      <c r="F125" t="str">
        <v>Kaki Ayam</v>
      </c>
      <c r="G125">
        <v>10</v>
      </c>
      <c r="H125">
        <v>500</v>
      </c>
      <c r="I125">
        <f>ROUND(J114/(H125/1000),0)*ROUND(J115/(H125/1000),0)</f>
        <v>5</v>
      </c>
      <c r="J125">
        <f>3*$J$4/1000</f>
        <v>0.9</v>
      </c>
      <c r="K125">
        <f>2*(J116-2*$J$5)/1000+J125</f>
        <v>1.12</v>
      </c>
      <c r="L125">
        <f>IF($G125=L$119,0.006165*$G125^2*$K125*$I125,0)</f>
        <v>0</v>
      </c>
      <c r="M125">
        <f>IF($G125=M$119,0.006165*$G125^2*$K125*$I125,0)</f>
        <v>3.4524000000000004</v>
      </c>
      <c r="N125">
        <f>IF($G125=N$119,0.006165*$G125^2*$K125*$I125,0)</f>
        <v>0</v>
      </c>
      <c r="O125">
        <f>IF($G125=O$119,0.006165*$G125^2*$K125*$I125,0)</f>
        <v>0</v>
      </c>
      <c r="P125">
        <f>IF($G125=P$119,0.006165*$G125^2*$K125*$I125,0)</f>
        <v>0</v>
      </c>
      <c r="Q125">
        <f>SUM(L125:P125)</f>
        <v>3.4524000000000004</v>
      </c>
    </row>
    <row r="129">
      <c r="F129" t="str">
        <v>Berat Total Tulangan</v>
      </c>
      <c r="L129">
        <f>SUM(L120:L128)</f>
        <v>0</v>
      </c>
      <c r="M129">
        <f>SUM(M120:M128)</f>
        <v>36.49680000000001</v>
      </c>
      <c r="N129">
        <f>SUM(N120:N128)</f>
        <v>0</v>
      </c>
      <c r="O129">
        <f>SUM(O120:O128)</f>
        <v>0</v>
      </c>
      <c r="P129">
        <f>SUM(P120:P128)</f>
        <v>0</v>
      </c>
      <c r="Q129">
        <f>SUM(Q120:Q128)</f>
        <v>36.49680000000001</v>
      </c>
    </row>
    <row r="130">
      <c r="F130" t="str">
        <v>Volume Beton</v>
      </c>
      <c r="Q130">
        <f>J115*J114*J116/1000</f>
        <v>0.252</v>
      </c>
    </row>
    <row r="131">
      <c r="F131" t="str">
        <v>Rasio Tulangan per Diameter</v>
      </c>
      <c r="L131">
        <f>L129/$Q130</f>
        <v>0</v>
      </c>
      <c r="M131">
        <f>M129/$Q130</f>
        <v>144.82857142857145</v>
      </c>
      <c r="N131">
        <f>N129/$Q130</f>
        <v>0</v>
      </c>
      <c r="O131">
        <f>O129/$Q130</f>
        <v>0</v>
      </c>
      <c r="P131">
        <f>P129/$Q130</f>
        <v>0</v>
      </c>
      <c r="Q131">
        <f>Q129/Q130</f>
        <v>144.82857142857145</v>
      </c>
    </row>
    <row r="133" xml:space="preserve">
      <c r="A133" t="str">
        <v>Keterangan Area yang Dihitung</v>
      </c>
      <c r="D133" t="str" xml:space="preserve">
        <v xml:space="preserve">Luas_x000d_
(m2)</v>
      </c>
      <c r="E133" t="str" xml:space="preserve">
        <v xml:space="preserve">Keliling_x000d_
(m)</v>
      </c>
      <c r="F133" t="str">
        <v>Void</v>
      </c>
      <c r="H133" t="str">
        <v>Luas Net (m2)</v>
      </c>
      <c r="I133" t="str">
        <v>Vol. Beton (m3)</v>
      </c>
      <c r="J133" t="str">
        <v>Vol. Bekisting</v>
      </c>
      <c r="L133" t="str">
        <v>Vol. Besi per Diameter (kg)</v>
      </c>
      <c r="Q133" t="str">
        <v>Total Besi (kg)</v>
      </c>
    </row>
    <row r="134" xml:space="preserve">
      <c r="F134" t="str">
        <v>Luas (m2)</v>
      </c>
      <c r="G134" t="str">
        <v>Keliling (m)</v>
      </c>
      <c r="J134" t="str" xml:space="preserve">
        <v xml:space="preserve">Lantai Kerja_x000d_
(m3)</v>
      </c>
      <c r="K134" t="str" xml:space="preserve">
        <v xml:space="preserve">Kayu_x000d_
(m2)</v>
      </c>
      <c r="L134">
        <v>8</v>
      </c>
      <c r="M134">
        <v>10</v>
      </c>
      <c r="N134">
        <v>13</v>
      </c>
      <c r="O134">
        <v>16</v>
      </c>
      <c r="P134">
        <v>25</v>
      </c>
    </row>
    <row r="136">
      <c r="A136" t="str">
        <v>Lantai Atap</v>
      </c>
    </row>
    <row r="137">
      <c r="A137" t="str">
        <v>Topian opening Audio Room</v>
      </c>
      <c r="D137">
        <v>1.67</v>
      </c>
      <c r="E137">
        <v>6.13</v>
      </c>
      <c r="H137">
        <f>D137-F137</f>
        <v>1.67</v>
      </c>
      <c r="I137">
        <f>H137*$J$116/1000</f>
        <v>0.2505</v>
      </c>
      <c r="K137">
        <f>(E137+G137)*$J$116/1000+H137</f>
        <v>2.5895</v>
      </c>
      <c r="L137">
        <f>$L$131*$I137</f>
        <v>0</v>
      </c>
      <c r="M137">
        <f>$M$131*$I137</f>
        <v>36.27955714285715</v>
      </c>
      <c r="N137">
        <f>$N$131*$I137</f>
        <v>0</v>
      </c>
      <c r="O137">
        <f>$O$131*$I137</f>
        <v>0</v>
      </c>
      <c r="P137">
        <f>$P$131*$I137</f>
        <v>0</v>
      </c>
      <c r="Q137">
        <f>SUM(L137:P137)</f>
        <v>36.27955714285715</v>
      </c>
    </row>
    <row r="138">
      <c r="A138" t="str">
        <v>Topian opening Entertainment Room</v>
      </c>
      <c r="D138">
        <v>1.71</v>
      </c>
      <c r="E138">
        <v>6.23</v>
      </c>
      <c r="H138">
        <f>D138-F138</f>
        <v>1.71</v>
      </c>
      <c r="I138">
        <f>H138*$J$116/1000</f>
        <v>0.2565</v>
      </c>
      <c r="K138">
        <f>(E138+G138)*$J$116/1000+H138</f>
        <v>2.6445</v>
      </c>
      <c r="L138">
        <f>$L$131*$I138</f>
        <v>0</v>
      </c>
      <c r="M138">
        <f>$M$131*$I138</f>
        <v>37.14852857142858</v>
      </c>
      <c r="N138">
        <f>$N$131*$I138</f>
        <v>0</v>
      </c>
      <c r="O138">
        <f>$O$131*$I138</f>
        <v>0</v>
      </c>
      <c r="P138">
        <f>$P$131*$I138</f>
        <v>0</v>
      </c>
      <c r="Q138">
        <f>SUM(L138:P138)</f>
        <v>37.14852857142858</v>
      </c>
    </row>
    <row r="139">
      <c r="A139" t="str">
        <v>Topian opening Garden</v>
      </c>
      <c r="D139">
        <v>1.06</v>
      </c>
      <c r="E139">
        <v>4.65</v>
      </c>
      <c r="H139">
        <f>D139-F139</f>
        <v>1.06</v>
      </c>
      <c r="I139">
        <f>H139*$J$116/1000</f>
        <v>0.159</v>
      </c>
      <c r="K139">
        <f>(E139+G139)*$J$116/1000+H139</f>
        <v>1.7575</v>
      </c>
      <c r="L139">
        <f>$L$131*$I139</f>
        <v>0</v>
      </c>
      <c r="M139">
        <f>$M$131*$I139</f>
        <v>23.02774285714286</v>
      </c>
      <c r="N139">
        <f>$N$131*$I139</f>
        <v>0</v>
      </c>
      <c r="O139">
        <f>$O$131*$I139</f>
        <v>0</v>
      </c>
      <c r="P139">
        <f>$P$131*$I139</f>
        <v>0</v>
      </c>
      <c r="Q139">
        <f>SUM(L139:P139)</f>
        <v>23.02774285714286</v>
      </c>
    </row>
    <row r="146">
      <c r="A146" t="str">
        <v>VOLUME TOTAL</v>
      </c>
      <c r="I146">
        <f>SUM(I72:I109,I34:I46,I135:I142)</f>
        <v>226.2164</v>
      </c>
      <c r="J146">
        <f>SUM(J72:J109,J34:J46,J135:J142)</f>
        <v>24.660500000000003</v>
      </c>
      <c r="K146">
        <f>SUM(K72:K109,K34:K46,K135:K142)</f>
        <v>1271.0397</v>
      </c>
      <c r="L146">
        <f>SUM(L72:L109,L34:L46,L135:L142)</f>
        <v>0</v>
      </c>
      <c r="M146">
        <f>SUM(M72:M109,M34:M46,M135:M142)</f>
        <v>26464.56952697143</v>
      </c>
      <c r="N146">
        <f>SUM(N72:N109,N34:N46,N135:N142)</f>
        <v>0</v>
      </c>
      <c r="O146">
        <f>SUM(O72:O109,O34:O46,O135:O142)</f>
        <v>0</v>
      </c>
      <c r="P146">
        <f>SUM(P72:P109,P34:P46,P135:P142)</f>
        <v>0</v>
      </c>
      <c r="Q146">
        <f>SUM(Q72:Q109,Q34:Q46,Q135:Q142)</f>
        <v>26464.56952697143</v>
      </c>
    </row>
    <row r="147">
      <c r="P147" t="str">
        <v>rasio</v>
      </c>
      <c r="Q147">
        <f>Q146/I146</f>
        <v>116.98784671213684</v>
      </c>
    </row>
  </sheetData>
  <mergeCells count="51">
    <mergeCell ref="Q70:Q71"/>
    <mergeCell ref="A72:C72"/>
    <mergeCell ref="D32:D33"/>
    <mergeCell ref="F67:K67"/>
    <mergeCell ref="L67:P67"/>
    <mergeCell ref="J32:K32"/>
    <mergeCell ref="L32:P32"/>
    <mergeCell ref="Q32:Q33"/>
    <mergeCell ref="A46:C46"/>
    <mergeCell ref="F55:F56"/>
    <mergeCell ref="L55:P55"/>
    <mergeCell ref="F66:K66"/>
    <mergeCell ref="A34:C34"/>
    <mergeCell ref="A32:C33"/>
    <mergeCell ref="E32:E33"/>
    <mergeCell ref="F32:G32"/>
    <mergeCell ref="H32:H33"/>
    <mergeCell ref="L17:P17"/>
    <mergeCell ref="F28:K28"/>
    <mergeCell ref="F29:K29"/>
    <mergeCell ref="L29:P29"/>
    <mergeCell ref="F30:K30"/>
    <mergeCell ref="F17:F18"/>
    <mergeCell ref="I32:I33"/>
    <mergeCell ref="A146:H146"/>
    <mergeCell ref="L70:P70"/>
    <mergeCell ref="F68:K68"/>
    <mergeCell ref="A70:C71"/>
    <mergeCell ref="D70:D71"/>
    <mergeCell ref="E70:E71"/>
    <mergeCell ref="F70:G70"/>
    <mergeCell ref="H70:H71"/>
    <mergeCell ref="I70:I71"/>
    <mergeCell ref="J70:K70"/>
    <mergeCell ref="L130:P130"/>
    <mergeCell ref="L118:P118"/>
    <mergeCell ref="F130:K130"/>
    <mergeCell ref="F118:F119"/>
    <mergeCell ref="F129:K129"/>
    <mergeCell ref="A142:C142"/>
    <mergeCell ref="L133:P133"/>
    <mergeCell ref="Q133:Q134"/>
    <mergeCell ref="A135:C135"/>
    <mergeCell ref="F131:K131"/>
    <mergeCell ref="A133:C134"/>
    <mergeCell ref="D133:D134"/>
    <mergeCell ref="E133:E134"/>
    <mergeCell ref="F133:G133"/>
    <mergeCell ref="H133:H134"/>
    <mergeCell ref="I133:I134"/>
    <mergeCell ref="J133:K133"/>
  </mergeCells>
  <pageMargins left="0.5" right="0" top="0.6" bottom="0.6" header="0" footer="0.3"/>
  <ignoredErrors>
    <ignoredError numberStoredAsText="1" sqref="A1:Q14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D349"/>
  <sheetViews>
    <sheetView workbookViewId="0" rightToLeft="0"/>
  </sheetViews>
  <sheetData>
    <row r="1">
      <c r="A1" t="str">
        <v>Program Perhitungan Volume Kolom</v>
      </c>
      <c r="V1" t="str">
        <v>D</v>
      </c>
      <c r="W1" t="str">
        <v>ls</v>
      </c>
      <c r="X1" t="str">
        <v>ld</v>
      </c>
      <c r="Y1" t="str">
        <v>(u/ fc' 30 Mpa)</v>
      </c>
    </row>
    <row r="2">
      <c r="V2">
        <v>8</v>
      </c>
      <c r="W2">
        <v>400</v>
      </c>
      <c r="X2">
        <v>310</v>
      </c>
    </row>
    <row r="3">
      <c r="A3" t="str">
        <f>'Data-Kolom'!A3</f>
        <v>Project</v>
      </c>
      <c r="E3" t="str">
        <f>'Data-Kolom'!E3</f>
        <v>:</v>
      </c>
      <c r="F3" t="str">
        <v>PAKUWON INDAH PD3 no. 23</v>
      </c>
      <c r="V3">
        <v>10</v>
      </c>
      <c r="W3">
        <v>640</v>
      </c>
      <c r="X3">
        <v>490</v>
      </c>
    </row>
    <row r="4">
      <c r="A4" t="str">
        <f>'Data-Kolom'!A4</f>
        <v>Tower</v>
      </c>
      <c r="E4" t="str">
        <f>'Data-Kolom'!E4</f>
        <v>:</v>
      </c>
      <c r="F4">
        <f>'Data-Kolom'!F4</f>
        <v>0</v>
      </c>
      <c r="V4">
        <v>13</v>
      </c>
      <c r="W4">
        <v>820</v>
      </c>
      <c r="X4">
        <v>630</v>
      </c>
    </row>
    <row r="5">
      <c r="A5" t="str">
        <f>'Data-Kolom'!A5</f>
        <v xml:space="preserve">Panjang kait sengkang                         </v>
      </c>
      <c r="E5" t="str">
        <f>'Data-Kolom'!E5</f>
        <v>:</v>
      </c>
      <c r="F5">
        <f>'Data-Kolom'!F5</f>
        <v>6</v>
      </c>
      <c r="G5" t="str">
        <v>D</v>
      </c>
      <c r="J5" t="str">
        <f>'Data-Kolom'!K5</f>
        <v>Tebal selimut beton</v>
      </c>
      <c r="M5" t="str">
        <f>'Data-Kolom'!M5</f>
        <v>:</v>
      </c>
      <c r="N5">
        <v>20</v>
      </c>
      <c r="O5" t="str">
        <f>'Data-Kolom'!O5</f>
        <v>mm</v>
      </c>
      <c r="Q5" t="str">
        <f>'Data-Kolom'!P5</f>
        <v>Waste</v>
      </c>
      <c r="R5" t="str">
        <f>'Data-Kolom'!Q5</f>
        <v xml:space="preserve">Beton </v>
      </c>
      <c r="S5" t="str">
        <f>'Data-Kolom'!R5</f>
        <v>:</v>
      </c>
      <c r="T5">
        <f>'Data-Kolom'!S5</f>
        <v>0</v>
      </c>
      <c r="V5">
        <v>16</v>
      </c>
      <c r="W5">
        <v>1010</v>
      </c>
      <c r="X5">
        <v>770</v>
      </c>
    </row>
    <row r="6">
      <c r="A6" t="str">
        <f>'Data-Kolom'!A6</f>
        <v>Panjang sambungan lewatan</v>
      </c>
      <c r="E6" t="str">
        <f>'Data-Kolom'!E6</f>
        <v>:</v>
      </c>
      <c r="F6" t="str">
        <f>'Data-Kolom'!F6</f>
        <v>IKUTI STANDAR DETAIL</v>
      </c>
      <c r="J6" t="str">
        <v>Kait tulangan utama</v>
      </c>
      <c r="M6" t="str">
        <v>:</v>
      </c>
      <c r="N6">
        <v>12</v>
      </c>
      <c r="O6" t="str">
        <v>D</v>
      </c>
      <c r="R6" t="str">
        <f>'Data-Kolom'!Q6</f>
        <v>Besi</v>
      </c>
      <c r="S6" t="str">
        <f>'Data-Kolom'!R6</f>
        <v>:</v>
      </c>
      <c r="T6">
        <v>0</v>
      </c>
      <c r="V6">
        <v>19</v>
      </c>
      <c r="W6">
        <v>1190</v>
      </c>
      <c r="X6">
        <v>910</v>
      </c>
    </row>
    <row r="7">
      <c r="A7" t="str">
        <f>'Data-Kolom'!A7</f>
        <v>Panjang penjangkaran</v>
      </c>
      <c r="E7" t="str">
        <f>'Data-Kolom'!E7</f>
        <v>:</v>
      </c>
      <c r="F7" t="str">
        <f>'Data-Kolom'!F7</f>
        <v>IKUTI STANDAR DETAIL</v>
      </c>
      <c r="J7" t="str">
        <f>'Data-Kolom'!K6</f>
        <v>Last Update</v>
      </c>
      <c r="M7" t="str">
        <f>'Data-Kolom'!M6</f>
        <v>:</v>
      </c>
      <c r="R7" t="str">
        <f>'Data-Kolom'!Q7</f>
        <v>Bekisting</v>
      </c>
      <c r="S7" t="str">
        <f>'Data-Kolom'!R7</f>
        <v>:</v>
      </c>
      <c r="T7">
        <f>'Data-Kolom'!S7</f>
        <v>0</v>
      </c>
      <c r="V7">
        <v>22</v>
      </c>
      <c r="W7">
        <v>1700</v>
      </c>
      <c r="X7">
        <v>1300</v>
      </c>
    </row>
    <row r="8">
      <c r="A8" t="str">
        <f>'Data-Kolom'!A8</f>
        <v>Mutu Beton</v>
      </c>
      <c r="E8" t="str">
        <f>'Data-Kolom'!E8</f>
        <v>:</v>
      </c>
      <c r="F8" t="str">
        <f>'Data-Kolom'!F8</f>
        <v>VARIABLE</v>
      </c>
      <c r="V8">
        <v>25</v>
      </c>
      <c r="W8">
        <v>1920</v>
      </c>
      <c r="X8">
        <v>1480</v>
      </c>
    </row>
    <row r="9">
      <c r="V9">
        <v>29</v>
      </c>
      <c r="W9">
        <v>2230</v>
      </c>
      <c r="X9">
        <v>1710</v>
      </c>
    </row>
    <row r="11">
      <c r="A11" t="str">
        <v>No. Kolom</v>
      </c>
      <c r="B11" t="str">
        <v>Lt.</v>
      </c>
      <c r="C11" t="str">
        <v>As</v>
      </c>
      <c r="D11" t="str">
        <v>Tipe Kolom</v>
      </c>
      <c r="F11" t="str">
        <v>Mutu (fc')</v>
      </c>
      <c r="G11" t="str">
        <v>Mutu (K)</v>
      </c>
      <c r="H11" t="str">
        <v>b (lebar)</v>
      </c>
      <c r="I11" t="str">
        <v>h (tinggi)</v>
      </c>
      <c r="J11" t="str">
        <v>H (panjang)</v>
      </c>
      <c r="K11" t="str">
        <v>Jumlah</v>
      </c>
      <c r="L11" t="str">
        <v>Pile Cap</v>
      </c>
      <c r="N11" t="str">
        <v>Tul. Utama</v>
      </c>
      <c r="V11" t="str">
        <v>Tul. Extra</v>
      </c>
      <c r="AD11" t="str">
        <v>Sengkang Utama</v>
      </c>
      <c r="AH11" t="str">
        <v>Skg. Tambahan Arah b</v>
      </c>
      <c r="AJ11" t="str">
        <v>Skg. Tambahan Arah h</v>
      </c>
      <c r="AL11" t="str">
        <v>Pjg. Skg. Utama</v>
      </c>
      <c r="AM11" t="str">
        <v>Pjg. Skg Tmbhn</v>
      </c>
      <c r="AN11" t="str">
        <v>Total Jumlah Sengkang</v>
      </c>
      <c r="AO11" t="str">
        <v>Vol. Beton</v>
      </c>
      <c r="AP11" t="str">
        <v>Besi (kg)</v>
      </c>
      <c r="AT11" t="str">
        <v>Bekisting</v>
      </c>
      <c r="AU11" t="str">
        <v>Rasio</v>
      </c>
    </row>
    <row r="12">
      <c r="N12" t="str">
        <v>Σ</v>
      </c>
      <c r="O12" t="str">
        <v>D (mm)</v>
      </c>
      <c r="P12" t="str">
        <v>Samb. Lewatan</v>
      </c>
      <c r="Q12" t="str">
        <v>Pjg. Penjangkaran</v>
      </c>
      <c r="R12" t="str">
        <v>Pjg. @Tul. Utama</v>
      </c>
      <c r="S12" t="str">
        <v>Pembulatan BBS</v>
      </c>
      <c r="T12" t="str">
        <v>Pjg. Final</v>
      </c>
      <c r="U12" t="str">
        <v>Total Jumlah Tul. Utama</v>
      </c>
      <c r="V12" t="str">
        <v>Σ</v>
      </c>
      <c r="W12" t="str">
        <v>D (mm)</v>
      </c>
      <c r="X12" t="str">
        <v>Samb. Lewatan</v>
      </c>
      <c r="Y12" t="str">
        <v>Pjg. Penjangkaran</v>
      </c>
      <c r="Z12" t="str">
        <v>Pjg. @Tul. Utama</v>
      </c>
      <c r="AA12" t="str">
        <v>Pembulatan BBS</v>
      </c>
      <c r="AB12" t="str">
        <v>Pjg. Final</v>
      </c>
      <c r="AC12" t="str">
        <v>Total Jumlah Tul. Extra</v>
      </c>
    </row>
    <row r="13">
      <c r="H13" t="str">
        <v>mm</v>
      </c>
      <c r="I13" t="str">
        <v>mm</v>
      </c>
      <c r="J13" t="str">
        <v>mm</v>
      </c>
      <c r="K13" t="str">
        <v>bh</v>
      </c>
      <c r="L13" t="str">
        <v>Kode</v>
      </c>
      <c r="M13" t="str">
        <v>Tebal</v>
      </c>
      <c r="P13" t="str">
        <v>mm</v>
      </c>
      <c r="Q13" t="str">
        <v>mm</v>
      </c>
      <c r="R13" t="str">
        <v>mm</v>
      </c>
      <c r="S13" t="str">
        <v>mm</v>
      </c>
      <c r="T13" t="str">
        <v>mm</v>
      </c>
      <c r="U13" t="str">
        <v>bh</v>
      </c>
      <c r="X13" t="str">
        <v>mm</v>
      </c>
      <c r="Y13" t="str">
        <v>mm</v>
      </c>
      <c r="Z13" t="str">
        <v>mm</v>
      </c>
      <c r="AA13" t="str">
        <v>mm</v>
      </c>
      <c r="AB13" t="str">
        <v>mm</v>
      </c>
      <c r="AC13" t="str">
        <v>bh</v>
      </c>
      <c r="AD13" t="str">
        <v>D (mm)</v>
      </c>
      <c r="AE13" t="str">
        <v>Bawah (mm)</v>
      </c>
      <c r="AF13" t="str">
        <v>Tengah (mm)</v>
      </c>
      <c r="AG13" t="str">
        <v>Atas (mm)</v>
      </c>
      <c r="AH13" t="str">
        <v>Σ</v>
      </c>
      <c r="AI13" t="str">
        <v>D (mm)</v>
      </c>
      <c r="AJ13" t="str">
        <v>Σ</v>
      </c>
      <c r="AK13" t="str">
        <v>D (mm)</v>
      </c>
      <c r="AL13" t="str">
        <v>mm</v>
      </c>
      <c r="AM13" t="str">
        <v>mm</v>
      </c>
      <c r="AN13" t="str">
        <v>pcs</v>
      </c>
      <c r="AO13" t="str">
        <v>m3</v>
      </c>
      <c r="AP13" t="str">
        <v>Tul. Utama</v>
      </c>
      <c r="AQ13" t="str">
        <v>Tul. Extra</v>
      </c>
      <c r="AR13" t="str">
        <v>Sengkang Utama</v>
      </c>
      <c r="AS13" t="str">
        <v>Sengkang Extra</v>
      </c>
      <c r="AT13" t="str">
        <v>m2</v>
      </c>
      <c r="AU13" t="str">
        <v>Besi</v>
      </c>
      <c r="AV13" t="str">
        <v>Bekisting</v>
      </c>
      <c r="AX13" t="str">
        <v>Tul. Utama</v>
      </c>
      <c r="AZ13" t="str">
        <v>Waste BBS Tul. Utama</v>
      </c>
    </row>
    <row r="15">
      <c r="A15">
        <f>'Data-Kolom'!A15</f>
        <v>1</v>
      </c>
      <c r="B15" t="str">
        <f>'Data-Kolom'!B15</f>
        <v>Basement</v>
      </c>
      <c r="D15" t="str">
        <f>'Data-Kolom'!D15</f>
        <v>K175-1</v>
      </c>
      <c r="E15" t="str">
        <v>F</v>
      </c>
      <c r="F15">
        <f>'Data-Kolom'!U15</f>
        <v>0</v>
      </c>
      <c r="G15">
        <f>'Data-Kolom'!T15</f>
        <v>0</v>
      </c>
      <c r="H15">
        <f>'Data-Kolom'!E15</f>
        <v>170</v>
      </c>
      <c r="I15">
        <f>'Data-Kolom'!F15</f>
        <v>500</v>
      </c>
      <c r="J15">
        <f>'Data-Kolom'!G15</f>
        <v>3300</v>
      </c>
      <c r="K15">
        <v>1</v>
      </c>
      <c r="L15" t="str">
        <f>'Data-Kolom'!C15</f>
        <v>PC.1</v>
      </c>
      <c r="M15">
        <f>IF(L15&gt;0,VLOOKUP(L15,'Data-PC'!$B$14:$F$36,4,FALSE),0)</f>
        <v>500</v>
      </c>
      <c r="N15">
        <f>'Data-Kolom'!H15</f>
        <v>6</v>
      </c>
      <c r="O15">
        <f>'Data-Kolom'!I15</f>
        <v>16</v>
      </c>
      <c r="P15">
        <f>IF(N15&gt;0,VLOOKUP(O15,$V$2:$X$9,2,FALSE),0)</f>
        <v>1010</v>
      </c>
      <c r="Q15">
        <f>IF(L15&gt;0,M15-50+$N$6*O15,VLOOKUP(O15,$V$2:$X$9,3,FALSE))</f>
        <v>642</v>
      </c>
      <c r="R15">
        <f>IF(E15="F",J15-$N$5+$N$6*O15+Q15,IF(E15="D",J15+Q15+P15,IF(E15="T",J15+P15,IF(E15="A",J15-$N$5+$N$6*O15,0))))</f>
        <v>4114</v>
      </c>
      <c r="T15">
        <f>SUM(R15:S15)</f>
        <v>4114</v>
      </c>
      <c r="U15">
        <f>K15*N15</f>
        <v>6</v>
      </c>
      <c r="V15">
        <f>'Data-Kolom'!J15</f>
        <v>0</v>
      </c>
      <c r="W15">
        <f>'Data-Kolom'!K15</f>
        <v>0</v>
      </c>
      <c r="X15">
        <f>IF(V15&gt;0,VLOOKUP(W15,$V$2:$X$9,2,FALSE),0)</f>
        <v>0</v>
      </c>
      <c r="Y15">
        <f>IF(V15&gt;0,IF(L15&gt;0,M15-50+$N$6*W15,VLOOKUP(W15,$V$2:$X$9,3,FALSE)),0)</f>
        <v>0</v>
      </c>
      <c r="Z15">
        <f>IF(E15="F",J15-$N$5+$N$6*W15+Y15,IF(E15="D",J15+Y15+X15,IF(E15="T",J15+X15,IF(E15="A",J15-$N$5+$N$6*W15,0))))</f>
        <v>3280</v>
      </c>
      <c r="AB15">
        <f>SUM(Z15:AA15)</f>
        <v>3280</v>
      </c>
      <c r="AC15">
        <f>V15*K15</f>
        <v>0</v>
      </c>
      <c r="AD15">
        <f>'Data-Kolom'!L15</f>
        <v>8</v>
      </c>
      <c r="AE15">
        <f>'Data-Kolom'!M15</f>
        <v>100</v>
      </c>
      <c r="AF15">
        <f>'Data-Kolom'!N15</f>
        <v>100</v>
      </c>
      <c r="AG15">
        <f>'Data-Kolom'!O15</f>
        <v>100</v>
      </c>
      <c r="AH15">
        <f>'Data-Kolom'!P15</f>
        <v>0.5</v>
      </c>
      <c r="AI15">
        <f>'Data-Kolom'!Q15</f>
        <v>8</v>
      </c>
      <c r="AJ15">
        <f>'Data-Kolom'!R15</f>
        <v>0</v>
      </c>
      <c r="AK15">
        <f>'Data-Kolom'!S15</f>
        <v>0</v>
      </c>
      <c r="AL15">
        <f>2*(H15+I15-4*$N$5)+2*MAX($F$5*AD15,75)</f>
        <v>1330</v>
      </c>
      <c r="AM15">
        <f>+AH15*(H15-2*$N$5+2*MAX($F$5*AI15,75))+AJ15*(I15-2*$N$5+2*MAX($F$5*AK15,75))</f>
        <v>140</v>
      </c>
      <c r="AN15">
        <f>(ROUND((1/2*J15+IF(M15&gt;0,(Q15-$N$6*AD15),0))/AE15,0)+(ROUND(1/2*J15/AF15,0)+1))*K15</f>
        <v>40</v>
      </c>
      <c r="AO15">
        <f>H15*I15*J15/1000000000*K15*(1+$T$5)</f>
        <v>0.2805</v>
      </c>
      <c r="AP15">
        <f>0.006165*O15^2*T15*U15/1000*(1+$T$6)</f>
        <v>38.95727616</v>
      </c>
      <c r="AQ15">
        <f>0.006165*W15^2*AB15*AC15/1000*(1+$T$6)</f>
        <v>0</v>
      </c>
      <c r="AR15">
        <f>AN15*0.006165*AD15^2*AL15/1000*(1+$T$6)</f>
        <v>20.990592</v>
      </c>
      <c r="AS15">
        <f>AN15*0.006165*AI15^2*AM15/1000*(1+$T$6)</f>
        <v>2.209536</v>
      </c>
      <c r="AT15">
        <f>K15*2*J15*(H15+I15)/1000000*(1+$T$7)</f>
        <v>4.422</v>
      </c>
      <c r="AU15">
        <f>SUM(AP15:AS15)/AO15</f>
        <v>221.5950237433155</v>
      </c>
      <c r="AV15">
        <f>AT15/AO15</f>
        <v>15.764705882352938</v>
      </c>
      <c r="AX15">
        <f>0.006165*O15^2*R15*U15/1000*(1+$T$6)</f>
        <v>38.95727616</v>
      </c>
      <c r="AZ15">
        <f>0.006165*O15^2*S15*U15/1000*(1+$T$6)</f>
        <v>0</v>
      </c>
      <c r="BA15">
        <f>AZ15/AP15</f>
        <v>0</v>
      </c>
    </row>
    <row r="16">
      <c r="A16">
        <f>'Data-Kolom'!A16</f>
        <v>2</v>
      </c>
      <c r="B16" t="str">
        <f>'Data-Kolom'!B16</f>
        <v>Basement</v>
      </c>
      <c r="D16" t="str">
        <f>'Data-Kolom'!D16</f>
        <v>K175-2</v>
      </c>
      <c r="E16" t="str">
        <v>F</v>
      </c>
      <c r="F16">
        <f>'Data-Kolom'!U16</f>
        <v>0</v>
      </c>
      <c r="G16">
        <f>'Data-Kolom'!T16</f>
        <v>0</v>
      </c>
      <c r="H16">
        <f>'Data-Kolom'!E16</f>
        <v>170</v>
      </c>
      <c r="I16">
        <f>'Data-Kolom'!F16</f>
        <v>500</v>
      </c>
      <c r="J16">
        <f>'Data-Kolom'!G16</f>
        <v>3300</v>
      </c>
      <c r="K16">
        <v>1</v>
      </c>
      <c r="L16" t="str">
        <f>'Data-Kolom'!C16</f>
        <v>PC.1</v>
      </c>
      <c r="M16">
        <f>IF(L16&gt;0,VLOOKUP(L16,'Data-PC'!$B$14:$F$36,4,FALSE),0)</f>
        <v>500</v>
      </c>
      <c r="N16">
        <f>'Data-Kolom'!H16</f>
        <v>8</v>
      </c>
      <c r="O16">
        <f>'Data-Kolom'!I16</f>
        <v>16</v>
      </c>
      <c r="P16">
        <f>IF(N16&gt;0,VLOOKUP(O16,$V$2:$X$9,2,FALSE),0)</f>
        <v>1010</v>
      </c>
      <c r="Q16">
        <f>IF(L16&gt;0,M16-50+$N$6*O16,VLOOKUP(O16,$V$2:$X$9,3,FALSE))</f>
        <v>642</v>
      </c>
      <c r="R16">
        <f>IF(E16="F",J16-$N$5+$N$6*O16+Q16,IF(E16="D",J16+Q16+P16,IF(E16="T",J16+P16,IF(E16="A",J16-$N$5+$N$6*O16,0))))</f>
        <v>4114</v>
      </c>
      <c r="T16">
        <f>SUM(R16:S16)</f>
        <v>4114</v>
      </c>
      <c r="U16">
        <f>K16*N16</f>
        <v>8</v>
      </c>
      <c r="V16">
        <f>'Data-Kolom'!J16</f>
        <v>0</v>
      </c>
      <c r="W16">
        <f>'Data-Kolom'!K16</f>
        <v>0</v>
      </c>
      <c r="X16">
        <f>IF(V16&gt;0,VLOOKUP(W16,$V$2:$X$9,2,FALSE),0)</f>
        <v>0</v>
      </c>
      <c r="Y16">
        <f>IF(V16&gt;0,IF(L16&gt;0,M16-50+$N$6*W16,VLOOKUP(W16,$V$2:$X$9,3,FALSE)),0)</f>
        <v>0</v>
      </c>
      <c r="Z16">
        <f>IF(E16="F",J16-$N$5+$N$6*W16+Y16,IF(E16="D",J16+Y16+X16,IF(E16="T",J16+X16,IF(E16="A",J16-$N$5+$N$6*W16,0))))</f>
        <v>3280</v>
      </c>
      <c r="AB16">
        <f>SUM(Z16:AA16)</f>
        <v>3280</v>
      </c>
      <c r="AC16">
        <f>V16*K16</f>
        <v>0</v>
      </c>
      <c r="AD16">
        <f>'Data-Kolom'!L16</f>
        <v>8</v>
      </c>
      <c r="AE16">
        <f>'Data-Kolom'!M16</f>
        <v>100</v>
      </c>
      <c r="AF16">
        <f>'Data-Kolom'!N16</f>
        <v>100</v>
      </c>
      <c r="AG16">
        <f>'Data-Kolom'!O16</f>
        <v>100</v>
      </c>
      <c r="AH16">
        <f>'Data-Kolom'!P16</f>
        <v>0.5</v>
      </c>
      <c r="AI16">
        <f>'Data-Kolom'!Q16</f>
        <v>8</v>
      </c>
      <c r="AJ16">
        <f>'Data-Kolom'!R16</f>
        <v>0</v>
      </c>
      <c r="AK16">
        <f>'Data-Kolom'!S16</f>
        <v>0</v>
      </c>
      <c r="AL16">
        <f>2*(H16+I16-4*$N$5)+2*MAX($F$5*AD16,75)</f>
        <v>1330</v>
      </c>
      <c r="AM16">
        <f>+AH16*(H16-2*$N$5+2*MAX($F$5*AI16,75))+AJ16*(I16-2*$N$5+2*MAX($F$5*AK16,75))</f>
        <v>140</v>
      </c>
      <c r="AN16">
        <f>(ROUND((1/2*J16+IF(M16&gt;0,(Q16-$N$6*AD16),0))/AE16,0)+(ROUND(1/2*J16/AF16,0)+1))*K16</f>
        <v>40</v>
      </c>
      <c r="AO16">
        <f>H16*I16*J16/1000000000*K16*(1+$T$5)</f>
        <v>0.2805</v>
      </c>
      <c r="AP16">
        <f>0.006165*O16^2*T16*U16/1000*(1+$T$6)</f>
        <v>51.94303488</v>
      </c>
      <c r="AQ16">
        <f>0.006165*W16^2*AB16*AC16/1000*(1+$T$6)</f>
        <v>0</v>
      </c>
      <c r="AR16">
        <f>AN16*0.006165*AD16^2*AL16/1000*(1+$T$6)</f>
        <v>20.990592</v>
      </c>
      <c r="AS16">
        <f>AN16*0.006165*AI16^2*AM16/1000*(1+$T$6)</f>
        <v>2.209536</v>
      </c>
      <c r="AT16">
        <f>K16*2*J16*(H16+I16)/1000000*(1+$T$7)</f>
        <v>4.422</v>
      </c>
      <c r="AU16">
        <f>SUM(AP16:AS16)/AO16</f>
        <v>267.89006374331547</v>
      </c>
      <c r="AV16">
        <f>AT16/AO16</f>
        <v>15.764705882352938</v>
      </c>
      <c r="AX16">
        <f>0.006165*O16^2*R16*U16/1000*(1+$T$6)</f>
        <v>51.94303488</v>
      </c>
      <c r="AZ16">
        <f>0.006165*O16^2*S16*U16/1000*(1+$T$6)</f>
        <v>0</v>
      </c>
      <c r="BA16">
        <f>AZ16/AP16</f>
        <v>0</v>
      </c>
    </row>
    <row r="17">
      <c r="A17">
        <f>'Data-Kolom'!A17</f>
        <v>3</v>
      </c>
      <c r="B17" t="str">
        <f>'Data-Kolom'!B17</f>
        <v>Basement</v>
      </c>
      <c r="D17" t="str">
        <f>'Data-Kolom'!D17</f>
        <v>K174-1</v>
      </c>
      <c r="E17" t="str">
        <v>F</v>
      </c>
      <c r="F17">
        <f>'Data-Kolom'!U17</f>
        <v>0</v>
      </c>
      <c r="G17">
        <f>'Data-Kolom'!T17</f>
        <v>0</v>
      </c>
      <c r="H17">
        <f>'Data-Kolom'!E17</f>
        <v>170</v>
      </c>
      <c r="I17">
        <f>'Data-Kolom'!F17</f>
        <v>400</v>
      </c>
      <c r="J17">
        <f>'Data-Kolom'!G17</f>
        <v>3300</v>
      </c>
      <c r="K17">
        <v>1</v>
      </c>
      <c r="L17" t="str">
        <f>'Data-Kolom'!C17</f>
        <v>PC.1</v>
      </c>
      <c r="M17">
        <f>IF(L17&gt;0,VLOOKUP(L17,'Data-PC'!$B$14:$F$36,4,FALSE),0)</f>
        <v>500</v>
      </c>
      <c r="N17">
        <f>'Data-Kolom'!H17</f>
        <v>8</v>
      </c>
      <c r="O17">
        <f>'Data-Kolom'!I17</f>
        <v>13</v>
      </c>
      <c r="P17">
        <f>IF(N17&gt;0,VLOOKUP(O17,$V$2:$X$9,2,FALSE),0)</f>
        <v>820</v>
      </c>
      <c r="Q17">
        <f>IF(L17&gt;0,M17-50+$N$6*O17,VLOOKUP(O17,$V$2:$X$9,3,FALSE))</f>
        <v>606</v>
      </c>
      <c r="R17">
        <f>IF(E17="F",J17-$N$5+$N$6*O17+Q17,IF(E17="D",J17+Q17+P17,IF(E17="T",J17+P17,IF(E17="A",J17-$N$5+$N$6*O17,0))))</f>
        <v>4042</v>
      </c>
      <c r="T17">
        <f>SUM(R17:S17)</f>
        <v>4042</v>
      </c>
      <c r="U17">
        <f>K17*N17</f>
        <v>8</v>
      </c>
      <c r="V17">
        <f>'Data-Kolom'!J17</f>
        <v>0</v>
      </c>
      <c r="W17">
        <f>'Data-Kolom'!K17</f>
        <v>0</v>
      </c>
      <c r="X17">
        <f>IF(V17&gt;0,VLOOKUP(W17,$V$2:$X$9,2,FALSE),0)</f>
        <v>0</v>
      </c>
      <c r="Y17">
        <f>IF(V17&gt;0,IF(L17&gt;0,M17-50+$N$6*W17,VLOOKUP(W17,$V$2:$X$9,3,FALSE)),0)</f>
        <v>0</v>
      </c>
      <c r="Z17">
        <f>IF(E17="F",J17-$N$5+$N$6*W17+Y17,IF(E17="D",J17+Y17+X17,IF(E17="T",J17+X17,IF(E17="A",J17-$N$5+$N$6*W17,0))))</f>
        <v>3280</v>
      </c>
      <c r="AB17">
        <f>SUM(Z17:AA17)</f>
        <v>3280</v>
      </c>
      <c r="AC17">
        <f>V17*K17</f>
        <v>0</v>
      </c>
      <c r="AD17">
        <f>'Data-Kolom'!L17</f>
        <v>8</v>
      </c>
      <c r="AE17">
        <f>'Data-Kolom'!M17</f>
        <v>100</v>
      </c>
      <c r="AF17">
        <f>'Data-Kolom'!N17</f>
        <v>100</v>
      </c>
      <c r="AG17">
        <f>'Data-Kolom'!O17</f>
        <v>100</v>
      </c>
      <c r="AH17">
        <f>'Data-Kolom'!P17</f>
        <v>0</v>
      </c>
      <c r="AI17">
        <f>'Data-Kolom'!Q17</f>
        <v>0</v>
      </c>
      <c r="AJ17">
        <f>'Data-Kolom'!R17</f>
        <v>0</v>
      </c>
      <c r="AK17">
        <f>'Data-Kolom'!S17</f>
        <v>0</v>
      </c>
      <c r="AL17">
        <f>2*(H17+I17-4*$N$5)+2*MAX($F$5*AD17,75)</f>
        <v>1130</v>
      </c>
      <c r="AM17">
        <f>+AH17*(H17-2*$N$5+2*MAX($F$5*AI17,75))+AJ17*(I17-2*$N$5+2*MAX($F$5*AK17,75))</f>
        <v>0</v>
      </c>
      <c r="AN17">
        <f>(ROUND((1/2*J17+IF(M17&gt;0,(Q17-$N$6*AD17),0))/AE17,0)+(ROUND(1/2*J17/AF17,0)+1))*K17</f>
        <v>40</v>
      </c>
      <c r="AO17">
        <f>H17*I17*J17/1000000000*K17*(1+$T$5)</f>
        <v>0.2244</v>
      </c>
      <c r="AP17">
        <f>0.006165*O17^2*T17*U17/1000*(1+$T$6)</f>
        <v>33.69039336</v>
      </c>
      <c r="AQ17">
        <f>0.006165*W17^2*AB17*AC17/1000*(1+$T$6)</f>
        <v>0</v>
      </c>
      <c r="AR17">
        <f>AN17*0.006165*AD17^2*AL17/1000*(1+$T$6)</f>
        <v>17.834112</v>
      </c>
      <c r="AS17">
        <f>AN17*0.006165*AI17^2*AM17/1000*(1+$T$6)</f>
        <v>0</v>
      </c>
      <c r="AT17">
        <f>K17*2*J17*(H17+I17)/1000000*(1+$T$7)</f>
        <v>3.762</v>
      </c>
      <c r="AU17">
        <f>SUM(AP17:AS17)/AO17</f>
        <v>229.61009518716583</v>
      </c>
      <c r="AV17">
        <f>AT17/AO17</f>
        <v>16.764705882352942</v>
      </c>
      <c r="AX17">
        <f>0.006165*O17^2*R17*U17/1000*(1+$T$6)</f>
        <v>33.69039336</v>
      </c>
      <c r="AZ17">
        <f>0.006165*O17^2*S17*U17/1000*(1+$T$6)</f>
        <v>0</v>
      </c>
      <c r="BA17">
        <f>AZ17/AP17</f>
        <v>0</v>
      </c>
    </row>
    <row r="18">
      <c r="A18">
        <f>'Data-Kolom'!A18</f>
        <v>4</v>
      </c>
      <c r="B18" t="str">
        <f>'Data-Kolom'!B18</f>
        <v>Basement</v>
      </c>
      <c r="D18" t="str">
        <f>'Data-Kolom'!D18</f>
        <v>K175-2</v>
      </c>
      <c r="E18" t="str">
        <v>F</v>
      </c>
      <c r="F18">
        <f>'Data-Kolom'!U18</f>
        <v>0</v>
      </c>
      <c r="G18">
        <f>'Data-Kolom'!T18</f>
        <v>0</v>
      </c>
      <c r="H18">
        <f>'Data-Kolom'!E18</f>
        <v>170</v>
      </c>
      <c r="I18">
        <f>'Data-Kolom'!F18</f>
        <v>500</v>
      </c>
      <c r="J18">
        <f>'Data-Kolom'!G18</f>
        <v>3300</v>
      </c>
      <c r="K18">
        <v>1</v>
      </c>
      <c r="L18" t="str">
        <f>'Data-Kolom'!C18</f>
        <v>PC.2</v>
      </c>
      <c r="M18">
        <f>IF(L18&gt;0,VLOOKUP(L18,'Data-PC'!$B$14:$F$36,4,FALSE),0)</f>
        <v>500</v>
      </c>
      <c r="N18">
        <f>'Data-Kolom'!H18</f>
        <v>8</v>
      </c>
      <c r="O18">
        <f>'Data-Kolom'!I18</f>
        <v>16</v>
      </c>
      <c r="P18">
        <f>IF(N18&gt;0,VLOOKUP(O18,$V$2:$X$9,2,FALSE),0)</f>
        <v>1010</v>
      </c>
      <c r="Q18">
        <f>IF(L18&gt;0,M18-50+$N$6*O18,VLOOKUP(O18,$V$2:$X$9,3,FALSE))</f>
        <v>642</v>
      </c>
      <c r="R18">
        <f>IF(E18="F",J18-$N$5+$N$6*O18+Q18,IF(E18="D",J18+Q18+P18,IF(E18="T",J18+P18,IF(E18="A",J18-$N$5+$N$6*O18,0))))</f>
        <v>4114</v>
      </c>
      <c r="T18">
        <f>SUM(R18:S18)</f>
        <v>4114</v>
      </c>
      <c r="U18">
        <f>K18*N18</f>
        <v>8</v>
      </c>
      <c r="V18">
        <f>'Data-Kolom'!J18</f>
        <v>0</v>
      </c>
      <c r="W18">
        <f>'Data-Kolom'!K18</f>
        <v>0</v>
      </c>
      <c r="X18">
        <f>IF(V18&gt;0,VLOOKUP(W18,$V$2:$X$9,2,FALSE),0)</f>
        <v>0</v>
      </c>
      <c r="Y18">
        <f>IF(V18&gt;0,IF(L18&gt;0,M18-50+$N$6*W18,VLOOKUP(W18,$V$2:$X$9,3,FALSE)),0)</f>
        <v>0</v>
      </c>
      <c r="Z18">
        <f>IF(E18="F",J18-$N$5+$N$6*W18+Y18,IF(E18="D",J18+Y18+X18,IF(E18="T",J18+X18,IF(E18="A",J18-$N$5+$N$6*W18,0))))</f>
        <v>3280</v>
      </c>
      <c r="AB18">
        <f>SUM(Z18:AA18)</f>
        <v>3280</v>
      </c>
      <c r="AC18">
        <f>V18*K18</f>
        <v>0</v>
      </c>
      <c r="AD18">
        <f>'Data-Kolom'!L18</f>
        <v>8</v>
      </c>
      <c r="AE18">
        <f>'Data-Kolom'!M18</f>
        <v>100</v>
      </c>
      <c r="AF18">
        <f>'Data-Kolom'!N18</f>
        <v>100</v>
      </c>
      <c r="AG18">
        <f>'Data-Kolom'!O18</f>
        <v>100</v>
      </c>
      <c r="AH18">
        <f>'Data-Kolom'!P18</f>
        <v>0.5</v>
      </c>
      <c r="AI18">
        <f>'Data-Kolom'!Q18</f>
        <v>8</v>
      </c>
      <c r="AJ18">
        <f>'Data-Kolom'!R18</f>
        <v>0</v>
      </c>
      <c r="AK18">
        <f>'Data-Kolom'!S18</f>
        <v>0</v>
      </c>
      <c r="AL18">
        <f>2*(H18+I18-4*$N$5)+2*MAX($F$5*AD18,75)</f>
        <v>1330</v>
      </c>
      <c r="AM18">
        <f>+AH18*(H18-2*$N$5+2*MAX($F$5*AI18,75))+AJ18*(I18-2*$N$5+2*MAX($F$5*AK18,75))</f>
        <v>140</v>
      </c>
      <c r="AN18">
        <f>(ROUND((1/2*J18+IF(M18&gt;0,(Q18-$N$6*AD18),0))/AE18,0)+(ROUND(1/2*J18/AF18,0)+1))*K18</f>
        <v>40</v>
      </c>
      <c r="AO18">
        <f>H18*I18*J18/1000000000*K18*(1+$T$5)</f>
        <v>0.2805</v>
      </c>
      <c r="AP18">
        <f>0.006165*O18^2*T18*U18/1000*(1+$T$6)</f>
        <v>51.94303488</v>
      </c>
      <c r="AQ18">
        <f>0.006165*W18^2*AB18*AC18/1000*(1+$T$6)</f>
        <v>0</v>
      </c>
      <c r="AR18">
        <f>AN18*0.006165*AD18^2*AL18/1000*(1+$T$6)</f>
        <v>20.990592</v>
      </c>
      <c r="AS18">
        <f>AN18*0.006165*AI18^2*AM18/1000*(1+$T$6)</f>
        <v>2.209536</v>
      </c>
      <c r="AT18">
        <f>K18*2*J18*(H18+I18)/1000000*(1+$T$7)</f>
        <v>4.422</v>
      </c>
      <c r="AU18">
        <f>SUM(AP18:AS18)/AO18</f>
        <v>267.89006374331547</v>
      </c>
      <c r="AV18">
        <f>AT18/AO18</f>
        <v>15.764705882352938</v>
      </c>
      <c r="AX18">
        <f>0.006165*O18^2*R18*U18/1000*(1+$T$6)</f>
        <v>51.94303488</v>
      </c>
      <c r="AZ18">
        <f>0.006165*O18^2*S18*U18/1000*(1+$T$6)</f>
        <v>0</v>
      </c>
      <c r="BA18">
        <f>AZ18/AP18</f>
        <v>0</v>
      </c>
    </row>
    <row r="19">
      <c r="A19">
        <f>'Data-Kolom'!A19</f>
        <v>5</v>
      </c>
      <c r="B19" t="str">
        <f>'Data-Kolom'!B19</f>
        <v>Basement</v>
      </c>
      <c r="D19" t="str">
        <f>'Data-Kolom'!D19</f>
        <v>K175-2</v>
      </c>
      <c r="E19" t="str">
        <v>D</v>
      </c>
      <c r="F19">
        <f>'Data-Kolom'!U19</f>
        <v>0</v>
      </c>
      <c r="G19">
        <f>'Data-Kolom'!T19</f>
        <v>0</v>
      </c>
      <c r="H19">
        <f>'Data-Kolom'!E19</f>
        <v>170</v>
      </c>
      <c r="I19">
        <f>'Data-Kolom'!F19</f>
        <v>500</v>
      </c>
      <c r="J19">
        <f>'Data-Kolom'!G19</f>
        <v>3300</v>
      </c>
      <c r="K19">
        <v>1</v>
      </c>
      <c r="L19" t="str">
        <f>'Data-Kolom'!C19</f>
        <v>PC.2</v>
      </c>
      <c r="M19">
        <f>IF(L19&gt;0,VLOOKUP(L19,'Data-PC'!$B$14:$F$36,4,FALSE),0)</f>
        <v>500</v>
      </c>
      <c r="N19">
        <f>'Data-Kolom'!H19</f>
        <v>8</v>
      </c>
      <c r="O19">
        <f>'Data-Kolom'!I19</f>
        <v>16</v>
      </c>
      <c r="P19">
        <f>IF(N19&gt;0,VLOOKUP(O19,$V$2:$X$9,2,FALSE),0)</f>
        <v>1010</v>
      </c>
      <c r="Q19">
        <f>IF(L19&gt;0,M19-50+$N$6*O19,VLOOKUP(O19,$V$2:$X$9,3,FALSE))</f>
        <v>642</v>
      </c>
      <c r="R19">
        <f>IF(E19="F",J19-$N$5+$N$6*O19+Q19,IF(E19="D",J19+Q19+P19,IF(E19="T",J19+P19,IF(E19="A",J19-$N$5+$N$6*O19,0))))</f>
        <v>4952</v>
      </c>
      <c r="T19">
        <f>SUM(R19:S19)</f>
        <v>4952</v>
      </c>
      <c r="U19">
        <f>K19*N19</f>
        <v>8</v>
      </c>
      <c r="V19">
        <f>'Data-Kolom'!J19</f>
        <v>0</v>
      </c>
      <c r="W19">
        <f>'Data-Kolom'!K19</f>
        <v>0</v>
      </c>
      <c r="X19">
        <f>IF(V19&gt;0,VLOOKUP(W19,$V$2:$X$9,2,FALSE),0)</f>
        <v>0</v>
      </c>
      <c r="Y19">
        <f>IF(V19&gt;0,IF(L19&gt;0,M19-50+$N$6*W19,VLOOKUP(W19,$V$2:$X$9,3,FALSE)),0)</f>
        <v>0</v>
      </c>
      <c r="Z19">
        <f>IF(E19="F",J19-$N$5+$N$6*W19+Y19,IF(E19="D",J19+Y19+X19,IF(E19="T",J19+X19,IF(E19="A",J19-$N$5+$N$6*W19,0))))</f>
        <v>3300</v>
      </c>
      <c r="AB19">
        <f>SUM(Z19:AA19)</f>
        <v>3300</v>
      </c>
      <c r="AC19">
        <f>V19*K19</f>
        <v>0</v>
      </c>
      <c r="AD19">
        <f>'Data-Kolom'!L19</f>
        <v>8</v>
      </c>
      <c r="AE19">
        <f>'Data-Kolom'!M19</f>
        <v>100</v>
      </c>
      <c r="AF19">
        <f>'Data-Kolom'!N19</f>
        <v>100</v>
      </c>
      <c r="AG19">
        <f>'Data-Kolom'!O19</f>
        <v>100</v>
      </c>
      <c r="AH19">
        <f>'Data-Kolom'!P19</f>
        <v>0.5</v>
      </c>
      <c r="AI19">
        <f>'Data-Kolom'!Q19</f>
        <v>8</v>
      </c>
      <c r="AJ19">
        <f>'Data-Kolom'!R19</f>
        <v>0</v>
      </c>
      <c r="AK19">
        <f>'Data-Kolom'!S19</f>
        <v>0</v>
      </c>
      <c r="AL19">
        <f>2*(H19+I19-4*$N$5)+2*MAX($F$5*AD19,75)</f>
        <v>1330</v>
      </c>
      <c r="AM19">
        <f>+AH19*(H19-2*$N$5+2*MAX($F$5*AI19,75))+AJ19*(I19-2*$N$5+2*MAX($F$5*AK19,75))</f>
        <v>140</v>
      </c>
      <c r="AN19">
        <f>(ROUND((1/2*J19+IF(M19&gt;0,(Q19-$N$6*AD19),0))/AE19,0)+(ROUND(1/2*J19/AF19,0)+1))*K19</f>
        <v>40</v>
      </c>
      <c r="AO19">
        <f>H19*I19*J19/1000000000*K19*(1+$T$5)</f>
        <v>0.2805</v>
      </c>
      <c r="AP19">
        <f>0.006165*O19^2*T19*U19/1000*(1+$T$6)</f>
        <v>62.52355584</v>
      </c>
      <c r="AQ19">
        <f>0.006165*W19^2*AB19*AC19/1000*(1+$T$6)</f>
        <v>0</v>
      </c>
      <c r="AR19">
        <f>AN19*0.006165*AD19^2*AL19/1000*(1+$T$6)</f>
        <v>20.990592</v>
      </c>
      <c r="AS19">
        <f>AN19*0.006165*AI19^2*AM19/1000*(1+$T$6)</f>
        <v>2.209536</v>
      </c>
      <c r="AT19">
        <f>K19*2*J19*(H19+I19)/1000000*(1+$T$7)</f>
        <v>4.422</v>
      </c>
      <c r="AU19">
        <f>SUM(AP19:AS19)/AO19</f>
        <v>305.61028106951863</v>
      </c>
      <c r="AV19">
        <f>AT19/AO19</f>
        <v>15.764705882352938</v>
      </c>
      <c r="AX19">
        <f>0.006165*O19^2*R19*U19/1000*(1+$T$6)</f>
        <v>62.52355584</v>
      </c>
      <c r="AZ19">
        <f>0.006165*O19^2*S19*U19/1000*(1+$T$6)</f>
        <v>0</v>
      </c>
      <c r="BA19">
        <f>AZ19/AP19</f>
        <v>0</v>
      </c>
    </row>
    <row r="20">
      <c r="A20">
        <f>'Data-Kolom'!A20</f>
        <v>6</v>
      </c>
      <c r="B20" t="str">
        <f>'Data-Kolom'!B20</f>
        <v>Basement</v>
      </c>
      <c r="D20" t="str">
        <f>'Data-Kolom'!D20</f>
        <v>K175-2</v>
      </c>
      <c r="E20" t="str">
        <v>F</v>
      </c>
      <c r="F20">
        <f>'Data-Kolom'!U20</f>
        <v>0</v>
      </c>
      <c r="G20">
        <f>'Data-Kolom'!T20</f>
        <v>0</v>
      </c>
      <c r="H20">
        <f>'Data-Kolom'!E20</f>
        <v>170</v>
      </c>
      <c r="I20">
        <f>'Data-Kolom'!F20</f>
        <v>500</v>
      </c>
      <c r="J20">
        <f>'Data-Kolom'!G20</f>
        <v>3300</v>
      </c>
      <c r="K20">
        <v>1</v>
      </c>
      <c r="L20" t="str">
        <f>'Data-Kolom'!C20</f>
        <v>PC.2</v>
      </c>
      <c r="M20">
        <f>IF(L20&gt;0,VLOOKUP(L20,'Data-PC'!$B$14:$F$36,4,FALSE),0)</f>
        <v>500</v>
      </c>
      <c r="N20">
        <f>'Data-Kolom'!H20</f>
        <v>8</v>
      </c>
      <c r="O20">
        <f>'Data-Kolom'!I20</f>
        <v>16</v>
      </c>
      <c r="P20">
        <f>IF(N20&gt;0,VLOOKUP(O20,$V$2:$X$9,2,FALSE),0)</f>
        <v>1010</v>
      </c>
      <c r="Q20">
        <f>IF(L20&gt;0,M20-50+$N$6*O20,VLOOKUP(O20,$V$2:$X$9,3,FALSE))</f>
        <v>642</v>
      </c>
      <c r="R20">
        <f>IF(E20="F",J20-$N$5+$N$6*O20+Q20,IF(E20="D",J20+Q20+P20,IF(E20="T",J20+P20,IF(E20="A",J20-$N$5+$N$6*O20,0))))</f>
        <v>4114</v>
      </c>
      <c r="T20">
        <f>SUM(R20:S20)</f>
        <v>4114</v>
      </c>
      <c r="U20">
        <f>K20*N20</f>
        <v>8</v>
      </c>
      <c r="V20">
        <f>'Data-Kolom'!J20</f>
        <v>0</v>
      </c>
      <c r="W20">
        <f>'Data-Kolom'!K20</f>
        <v>0</v>
      </c>
      <c r="X20">
        <f>IF(V20&gt;0,VLOOKUP(W20,$V$2:$X$9,2,FALSE),0)</f>
        <v>0</v>
      </c>
      <c r="Y20">
        <f>IF(V20&gt;0,IF(L20&gt;0,M20-50+$N$6*W20,VLOOKUP(W20,$V$2:$X$9,3,FALSE)),0)</f>
        <v>0</v>
      </c>
      <c r="Z20">
        <f>IF(E20="F",J20-$N$5+$N$6*W20+Y20,IF(E20="D",J20+Y20+X20,IF(E20="T",J20+X20,IF(E20="A",J20-$N$5+$N$6*W20,0))))</f>
        <v>3280</v>
      </c>
      <c r="AB20">
        <f>SUM(Z20:AA20)</f>
        <v>3280</v>
      </c>
      <c r="AC20">
        <f>V20*K20</f>
        <v>0</v>
      </c>
      <c r="AD20">
        <f>'Data-Kolom'!L20</f>
        <v>8</v>
      </c>
      <c r="AE20">
        <f>'Data-Kolom'!M20</f>
        <v>100</v>
      </c>
      <c r="AF20">
        <f>'Data-Kolom'!N20</f>
        <v>100</v>
      </c>
      <c r="AG20">
        <f>'Data-Kolom'!O20</f>
        <v>100</v>
      </c>
      <c r="AH20">
        <f>'Data-Kolom'!P20</f>
        <v>0.5</v>
      </c>
      <c r="AI20">
        <f>'Data-Kolom'!Q20</f>
        <v>8</v>
      </c>
      <c r="AJ20">
        <f>'Data-Kolom'!R20</f>
        <v>0</v>
      </c>
      <c r="AK20">
        <f>'Data-Kolom'!S20</f>
        <v>0</v>
      </c>
      <c r="AL20">
        <f>2*(H20+I20-4*$N$5)+2*MAX($F$5*AD20,75)</f>
        <v>1330</v>
      </c>
      <c r="AM20">
        <f>+AH20*(H20-2*$N$5+2*MAX($F$5*AI20,75))+AJ20*(I20-2*$N$5+2*MAX($F$5*AK20,75))</f>
        <v>140</v>
      </c>
      <c r="AN20">
        <f>(ROUND((1/2*J20+IF(M20&gt;0,(Q20-$N$6*AD20),0))/AE20,0)+(ROUND(1/2*J20/AF20,0)+1))*K20</f>
        <v>40</v>
      </c>
      <c r="AO20">
        <f>H20*I20*J20/1000000000*K20*(1+$T$5)</f>
        <v>0.2805</v>
      </c>
      <c r="AP20">
        <f>0.006165*O20^2*T20*U20/1000*(1+$T$6)</f>
        <v>51.94303488</v>
      </c>
      <c r="AQ20">
        <f>0.006165*W20^2*AB20*AC20/1000*(1+$T$6)</f>
        <v>0</v>
      </c>
      <c r="AR20">
        <f>AN20*0.006165*AD20^2*AL20/1000*(1+$T$6)</f>
        <v>20.990592</v>
      </c>
      <c r="AS20">
        <f>AN20*0.006165*AI20^2*AM20/1000*(1+$T$6)</f>
        <v>2.209536</v>
      </c>
      <c r="AT20">
        <f>K20*2*J20*(H20+I20)/1000000*(1+$T$7)</f>
        <v>4.422</v>
      </c>
      <c r="AU20">
        <f>SUM(AP20:AS20)/AO20</f>
        <v>267.89006374331547</v>
      </c>
      <c r="AV20">
        <f>AT20/AO20</f>
        <v>15.764705882352938</v>
      </c>
      <c r="AX20">
        <f>0.006165*O20^2*R20*U20/1000*(1+$T$6)</f>
        <v>51.94303488</v>
      </c>
      <c r="AZ20">
        <f>0.006165*O20^2*S20*U20/1000*(1+$T$6)</f>
        <v>0</v>
      </c>
      <c r="BA20">
        <f>AZ20/AP20</f>
        <v>0</v>
      </c>
    </row>
    <row r="21">
      <c r="A21">
        <f>'Data-Kolom'!A21</f>
        <v>7</v>
      </c>
      <c r="B21" t="str">
        <f>'Data-Kolom'!B21</f>
        <v>Basement</v>
      </c>
      <c r="D21" t="str">
        <f>'Data-Kolom'!D21</f>
        <v>K175-2</v>
      </c>
      <c r="E21" t="str">
        <v>D</v>
      </c>
      <c r="F21">
        <f>'Data-Kolom'!U21</f>
        <v>0</v>
      </c>
      <c r="G21">
        <f>'Data-Kolom'!T21</f>
        <v>0</v>
      </c>
      <c r="H21">
        <f>'Data-Kolom'!E21</f>
        <v>170</v>
      </c>
      <c r="I21">
        <f>'Data-Kolom'!F21</f>
        <v>500</v>
      </c>
      <c r="J21">
        <f>'Data-Kolom'!G21</f>
        <v>3300</v>
      </c>
      <c r="K21">
        <v>1</v>
      </c>
      <c r="L21" t="str">
        <f>'Data-Kolom'!C21</f>
        <v>PC.2</v>
      </c>
      <c r="M21">
        <f>IF(L21&gt;0,VLOOKUP(L21,'Data-PC'!$B$14:$F$36,4,FALSE),0)</f>
        <v>500</v>
      </c>
      <c r="N21">
        <f>'Data-Kolom'!H21</f>
        <v>8</v>
      </c>
      <c r="O21">
        <f>'Data-Kolom'!I21</f>
        <v>16</v>
      </c>
      <c r="P21">
        <f>IF(N21&gt;0,VLOOKUP(O21,$V$2:$X$9,2,FALSE),0)</f>
        <v>1010</v>
      </c>
      <c r="Q21">
        <f>IF(L21&gt;0,M21-50+$N$6*O21,VLOOKUP(O21,$V$2:$X$9,3,FALSE))</f>
        <v>642</v>
      </c>
      <c r="R21">
        <f>IF(E21="F",J21-$N$5+$N$6*O21+Q21,IF(E21="D",J21+Q21+P21,IF(E21="T",J21+P21,IF(E21="A",J21-$N$5+$N$6*O21,0))))</f>
        <v>4952</v>
      </c>
      <c r="T21">
        <f>SUM(R21:S21)</f>
        <v>4952</v>
      </c>
      <c r="U21">
        <f>K21*N21</f>
        <v>8</v>
      </c>
      <c r="V21">
        <f>'Data-Kolom'!J21</f>
        <v>0</v>
      </c>
      <c r="W21">
        <f>'Data-Kolom'!K21</f>
        <v>0</v>
      </c>
      <c r="X21">
        <f>IF(V21&gt;0,VLOOKUP(W21,$V$2:$X$9,2,FALSE),0)</f>
        <v>0</v>
      </c>
      <c r="Y21">
        <f>IF(V21&gt;0,IF(L21&gt;0,M21-50+$N$6*W21,VLOOKUP(W21,$V$2:$X$9,3,FALSE)),0)</f>
        <v>0</v>
      </c>
      <c r="Z21">
        <f>IF(E21="F",J21-$N$5+$N$6*W21+Y21,IF(E21="D",J21+Y21+X21,IF(E21="T",J21+X21,IF(E21="A",J21-$N$5+$N$6*W21,0))))</f>
        <v>3300</v>
      </c>
      <c r="AB21">
        <f>SUM(Z21:AA21)</f>
        <v>3300</v>
      </c>
      <c r="AC21">
        <f>V21*K21</f>
        <v>0</v>
      </c>
      <c r="AD21">
        <f>'Data-Kolom'!L21</f>
        <v>8</v>
      </c>
      <c r="AE21">
        <f>'Data-Kolom'!M21</f>
        <v>100</v>
      </c>
      <c r="AF21">
        <f>'Data-Kolom'!N21</f>
        <v>100</v>
      </c>
      <c r="AG21">
        <f>'Data-Kolom'!O21</f>
        <v>100</v>
      </c>
      <c r="AH21">
        <f>'Data-Kolom'!P21</f>
        <v>0.5</v>
      </c>
      <c r="AI21">
        <f>'Data-Kolom'!Q21</f>
        <v>8</v>
      </c>
      <c r="AJ21">
        <f>'Data-Kolom'!R21</f>
        <v>0</v>
      </c>
      <c r="AK21">
        <f>'Data-Kolom'!S21</f>
        <v>0</v>
      </c>
      <c r="AL21">
        <f>2*(H21+I21-4*$N$5)+2*MAX($F$5*AD21,75)</f>
        <v>1330</v>
      </c>
      <c r="AM21">
        <f>+AH21*(H21-2*$N$5+2*MAX($F$5*AI21,75))+AJ21*(I21-2*$N$5+2*MAX($F$5*AK21,75))</f>
        <v>140</v>
      </c>
      <c r="AN21">
        <f>(ROUND((1/2*J21+IF(M21&gt;0,(Q21-$N$6*AD21),0))/AE21,0)+(ROUND(1/2*J21/AF21,0)+1))*K21</f>
        <v>40</v>
      </c>
      <c r="AO21">
        <f>H21*I21*J21/1000000000*K21*(1+$T$5)</f>
        <v>0.2805</v>
      </c>
      <c r="AP21">
        <f>0.006165*O21^2*T21*U21/1000*(1+$T$6)</f>
        <v>62.52355584</v>
      </c>
      <c r="AQ21">
        <f>0.006165*W21^2*AB21*AC21/1000*(1+$T$6)</f>
        <v>0</v>
      </c>
      <c r="AR21">
        <f>AN21*0.006165*AD21^2*AL21/1000*(1+$T$6)</f>
        <v>20.990592</v>
      </c>
      <c r="AS21">
        <f>AN21*0.006165*AI21^2*AM21/1000*(1+$T$6)</f>
        <v>2.209536</v>
      </c>
      <c r="AT21">
        <f>K21*2*J21*(H21+I21)/1000000*(1+$T$7)</f>
        <v>4.422</v>
      </c>
      <c r="AU21">
        <f>SUM(AP21:AS21)/AO21</f>
        <v>305.61028106951863</v>
      </c>
      <c r="AV21">
        <f>AT21/AO21</f>
        <v>15.764705882352938</v>
      </c>
      <c r="AX21">
        <f>0.006165*O21^2*R21*U21/1000*(1+$T$6)</f>
        <v>62.52355584</v>
      </c>
      <c r="AZ21">
        <f>0.006165*O21^2*S21*U21/1000*(1+$T$6)</f>
        <v>0</v>
      </c>
      <c r="BA21">
        <f>AZ21/AP21</f>
        <v>0</v>
      </c>
    </row>
    <row r="22">
      <c r="A22">
        <f>'Data-Kolom'!A22</f>
        <v>8</v>
      </c>
      <c r="B22" t="str">
        <f>'Data-Kolom'!B22</f>
        <v>Basement</v>
      </c>
      <c r="D22" t="str">
        <f>'Data-Kolom'!D22</f>
        <v>K175-1</v>
      </c>
      <c r="E22" t="str">
        <v>F</v>
      </c>
      <c r="F22">
        <f>'Data-Kolom'!U22</f>
        <v>0</v>
      </c>
      <c r="G22">
        <f>'Data-Kolom'!T22</f>
        <v>0</v>
      </c>
      <c r="H22">
        <f>'Data-Kolom'!E22</f>
        <v>170</v>
      </c>
      <c r="I22">
        <f>'Data-Kolom'!F22</f>
        <v>500</v>
      </c>
      <c r="J22">
        <f>'Data-Kolom'!G22</f>
        <v>3300</v>
      </c>
      <c r="K22">
        <v>1</v>
      </c>
      <c r="L22" t="str">
        <f>'Data-Kolom'!C22</f>
        <v>PC.2</v>
      </c>
      <c r="M22">
        <f>IF(L22&gt;0,VLOOKUP(L22,'Data-PC'!$B$14:$F$36,4,FALSE),0)</f>
        <v>500</v>
      </c>
      <c r="N22">
        <f>'Data-Kolom'!H22</f>
        <v>6</v>
      </c>
      <c r="O22">
        <f>'Data-Kolom'!I22</f>
        <v>16</v>
      </c>
      <c r="P22">
        <f>IF(N22&gt;0,VLOOKUP(O22,$V$2:$X$9,2,FALSE),0)</f>
        <v>1010</v>
      </c>
      <c r="Q22">
        <f>IF(L22&gt;0,M22-50+$N$6*O22,VLOOKUP(O22,$V$2:$X$9,3,FALSE))</f>
        <v>642</v>
      </c>
      <c r="R22">
        <f>IF(E22="F",J22-$N$5+$N$6*O22+Q22,IF(E22="D",J22+Q22+P22,IF(E22="T",J22+P22,IF(E22="A",J22-$N$5+$N$6*O22,0))))</f>
        <v>4114</v>
      </c>
      <c r="T22">
        <f>SUM(R22:S22)</f>
        <v>4114</v>
      </c>
      <c r="U22">
        <f>K22*N22</f>
        <v>6</v>
      </c>
      <c r="V22">
        <f>'Data-Kolom'!J22</f>
        <v>0</v>
      </c>
      <c r="W22">
        <f>'Data-Kolom'!K22</f>
        <v>0</v>
      </c>
      <c r="X22">
        <f>IF(V22&gt;0,VLOOKUP(W22,$V$2:$X$9,2,FALSE),0)</f>
        <v>0</v>
      </c>
      <c r="Y22">
        <f>IF(V22&gt;0,IF(L22&gt;0,M22-50+$N$6*W22,VLOOKUP(W22,$V$2:$X$9,3,FALSE)),0)</f>
        <v>0</v>
      </c>
      <c r="Z22">
        <f>IF(E22="F",J22-$N$5+$N$6*W22+Y22,IF(E22="D",J22+Y22+X22,IF(E22="T",J22+X22,IF(E22="A",J22-$N$5+$N$6*W22,0))))</f>
        <v>3280</v>
      </c>
      <c r="AB22">
        <f>SUM(Z22:AA22)</f>
        <v>3280</v>
      </c>
      <c r="AC22">
        <f>V22*K22</f>
        <v>0</v>
      </c>
      <c r="AD22">
        <f>'Data-Kolom'!L22</f>
        <v>8</v>
      </c>
      <c r="AE22">
        <f>'Data-Kolom'!M22</f>
        <v>100</v>
      </c>
      <c r="AF22">
        <f>'Data-Kolom'!N22</f>
        <v>100</v>
      </c>
      <c r="AG22">
        <f>'Data-Kolom'!O22</f>
        <v>100</v>
      </c>
      <c r="AH22">
        <f>'Data-Kolom'!P22</f>
        <v>0.5</v>
      </c>
      <c r="AI22">
        <f>'Data-Kolom'!Q22</f>
        <v>8</v>
      </c>
      <c r="AJ22">
        <f>'Data-Kolom'!R22</f>
        <v>0</v>
      </c>
      <c r="AK22">
        <f>'Data-Kolom'!S22</f>
        <v>0</v>
      </c>
      <c r="AL22">
        <f>2*(H22+I22-4*$N$5)+2*MAX($F$5*AD22,75)</f>
        <v>1330</v>
      </c>
      <c r="AM22">
        <f>+AH22*(H22-2*$N$5+2*MAX($F$5*AI22,75))+AJ22*(I22-2*$N$5+2*MAX($F$5*AK22,75))</f>
        <v>140</v>
      </c>
      <c r="AN22">
        <f>(ROUND((1/2*J22+IF(M22&gt;0,(Q22-$N$6*AD22),0))/AE22,0)+(ROUND(1/2*J22/AF22,0)+1))*K22</f>
        <v>40</v>
      </c>
      <c r="AO22">
        <f>H22*I22*J22/1000000000*K22*(1+$T$5)</f>
        <v>0.2805</v>
      </c>
      <c r="AP22">
        <f>0.006165*O22^2*T22*U22/1000*(1+$T$6)</f>
        <v>38.95727616</v>
      </c>
      <c r="AQ22">
        <f>0.006165*W22^2*AB22*AC22/1000*(1+$T$6)</f>
        <v>0</v>
      </c>
      <c r="AR22">
        <f>AN22*0.006165*AD22^2*AL22/1000*(1+$T$6)</f>
        <v>20.990592</v>
      </c>
      <c r="AS22">
        <f>AN22*0.006165*AI22^2*AM22/1000*(1+$T$6)</f>
        <v>2.209536</v>
      </c>
      <c r="AT22">
        <f>K22*2*J22*(H22+I22)/1000000*(1+$T$7)</f>
        <v>4.422</v>
      </c>
      <c r="AU22">
        <f>SUM(AP22:AS22)/AO22</f>
        <v>221.5950237433155</v>
      </c>
      <c r="AV22">
        <f>AT22/AO22</f>
        <v>15.764705882352938</v>
      </c>
      <c r="AX22">
        <f>0.006165*O22^2*R22*U22/1000*(1+$T$6)</f>
        <v>38.95727616</v>
      </c>
      <c r="AZ22">
        <f>0.006165*O22^2*S22*U22/1000*(1+$T$6)</f>
        <v>0</v>
      </c>
      <c r="BA22">
        <f>AZ22/AP22</f>
        <v>0</v>
      </c>
    </row>
    <row r="23">
      <c r="A23">
        <f>'Data-Kolom'!A23</f>
        <v>9</v>
      </c>
      <c r="B23" t="str">
        <f>'Data-Kolom'!B23</f>
        <v>Basement</v>
      </c>
      <c r="D23" t="str">
        <f>'Data-Kolom'!D23</f>
        <v>K175-2</v>
      </c>
      <c r="E23" t="str">
        <v>D</v>
      </c>
      <c r="F23">
        <f>'Data-Kolom'!U23</f>
        <v>0</v>
      </c>
      <c r="G23">
        <f>'Data-Kolom'!T23</f>
        <v>0</v>
      </c>
      <c r="H23">
        <f>'Data-Kolom'!E23</f>
        <v>170</v>
      </c>
      <c r="I23">
        <f>'Data-Kolom'!F23</f>
        <v>500</v>
      </c>
      <c r="J23">
        <f>'Data-Kolom'!G23</f>
        <v>3300</v>
      </c>
      <c r="K23">
        <v>1</v>
      </c>
      <c r="L23" t="str">
        <f>'Data-Kolom'!C23</f>
        <v>PC.2</v>
      </c>
      <c r="M23">
        <f>IF(L23&gt;0,VLOOKUP(L23,'Data-PC'!$B$14:$F$36,4,FALSE),0)</f>
        <v>500</v>
      </c>
      <c r="N23">
        <f>'Data-Kolom'!H23</f>
        <v>8</v>
      </c>
      <c r="O23">
        <f>'Data-Kolom'!I23</f>
        <v>16</v>
      </c>
      <c r="P23">
        <f>IF(N23&gt;0,VLOOKUP(O23,$V$2:$X$9,2,FALSE),0)</f>
        <v>1010</v>
      </c>
      <c r="Q23">
        <f>IF(L23&gt;0,M23-50+$N$6*O23,VLOOKUP(O23,$V$2:$X$9,3,FALSE))</f>
        <v>642</v>
      </c>
      <c r="R23">
        <f>IF(E23="F",J23-$N$5+$N$6*O23+Q23,IF(E23="D",J23+Q23+P23,IF(E23="T",J23+P23,IF(E23="A",J23-$N$5+$N$6*O23,0))))</f>
        <v>4952</v>
      </c>
      <c r="T23">
        <f>SUM(R23:S23)</f>
        <v>4952</v>
      </c>
      <c r="U23">
        <f>K23*N23</f>
        <v>8</v>
      </c>
      <c r="V23">
        <f>'Data-Kolom'!J23</f>
        <v>0</v>
      </c>
      <c r="W23">
        <f>'Data-Kolom'!K23</f>
        <v>0</v>
      </c>
      <c r="X23">
        <f>IF(V23&gt;0,VLOOKUP(W23,$V$2:$X$9,2,FALSE),0)</f>
        <v>0</v>
      </c>
      <c r="Y23">
        <f>IF(V23&gt;0,IF(L23&gt;0,M23-50+$N$6*W23,VLOOKUP(W23,$V$2:$X$9,3,FALSE)),0)</f>
        <v>0</v>
      </c>
      <c r="Z23">
        <f>IF(E23="F",J23-$N$5+$N$6*W23+Y23,IF(E23="D",J23+Y23+X23,IF(E23="T",J23+X23,IF(E23="A",J23-$N$5+$N$6*W23,0))))</f>
        <v>3300</v>
      </c>
      <c r="AB23">
        <f>SUM(Z23:AA23)</f>
        <v>3300</v>
      </c>
      <c r="AC23">
        <f>V23*K23</f>
        <v>0</v>
      </c>
      <c r="AD23">
        <f>'Data-Kolom'!L23</f>
        <v>8</v>
      </c>
      <c r="AE23">
        <f>'Data-Kolom'!M23</f>
        <v>100</v>
      </c>
      <c r="AF23">
        <f>'Data-Kolom'!N23</f>
        <v>100</v>
      </c>
      <c r="AG23">
        <f>'Data-Kolom'!O23</f>
        <v>100</v>
      </c>
      <c r="AH23">
        <f>'Data-Kolom'!P23</f>
        <v>0.5</v>
      </c>
      <c r="AI23">
        <f>'Data-Kolom'!Q23</f>
        <v>8</v>
      </c>
      <c r="AJ23">
        <f>'Data-Kolom'!R23</f>
        <v>0</v>
      </c>
      <c r="AK23">
        <f>'Data-Kolom'!S23</f>
        <v>0</v>
      </c>
      <c r="AL23">
        <f>2*(H23+I23-4*$N$5)+2*MAX($F$5*AD23,75)</f>
        <v>1330</v>
      </c>
      <c r="AM23">
        <f>+AH23*(H23-2*$N$5+2*MAX($F$5*AI23,75))+AJ23*(I23-2*$N$5+2*MAX($F$5*AK23,75))</f>
        <v>140</v>
      </c>
      <c r="AN23">
        <f>(ROUND((1/2*J23+IF(M23&gt;0,(Q23-$N$6*AD23),0))/AE23,0)+(ROUND(1/2*J23/AF23,0)+1))*K23</f>
        <v>40</v>
      </c>
      <c r="AO23">
        <f>H23*I23*J23/1000000000*K23*(1+$T$5)</f>
        <v>0.2805</v>
      </c>
      <c r="AP23">
        <f>0.006165*O23^2*T23*U23/1000*(1+$T$6)</f>
        <v>62.52355584</v>
      </c>
      <c r="AQ23">
        <f>0.006165*W23^2*AB23*AC23/1000*(1+$T$6)</f>
        <v>0</v>
      </c>
      <c r="AR23">
        <f>AN23*0.006165*AD23^2*AL23/1000*(1+$T$6)</f>
        <v>20.990592</v>
      </c>
      <c r="AS23">
        <f>AN23*0.006165*AI23^2*AM23/1000*(1+$T$6)</f>
        <v>2.209536</v>
      </c>
      <c r="AT23">
        <f>K23*2*J23*(H23+I23)/1000000*(1+$T$7)</f>
        <v>4.422</v>
      </c>
      <c r="AU23">
        <f>SUM(AP23:AS23)/AO23</f>
        <v>305.61028106951863</v>
      </c>
      <c r="AV23">
        <f>AT23/AO23</f>
        <v>15.764705882352938</v>
      </c>
      <c r="AX23">
        <f>0.006165*O23^2*R23*U23/1000*(1+$T$6)</f>
        <v>62.52355584</v>
      </c>
      <c r="AZ23">
        <f>0.006165*O23^2*S23*U23/1000*(1+$T$6)</f>
        <v>0</v>
      </c>
      <c r="BA23">
        <f>AZ23/AP23</f>
        <v>0</v>
      </c>
    </row>
    <row r="24">
      <c r="A24">
        <f>'Data-Kolom'!A24</f>
        <v>10</v>
      </c>
      <c r="B24" t="str">
        <f>'Data-Kolom'!B24</f>
        <v>Basement</v>
      </c>
      <c r="D24" t="str">
        <f>'Data-Kolom'!D24</f>
        <v>K175-2</v>
      </c>
      <c r="E24" t="str">
        <v>F</v>
      </c>
      <c r="F24">
        <f>'Data-Kolom'!U24</f>
        <v>0</v>
      </c>
      <c r="G24">
        <f>'Data-Kolom'!T24</f>
        <v>0</v>
      </c>
      <c r="H24">
        <f>'Data-Kolom'!E24</f>
        <v>170</v>
      </c>
      <c r="I24">
        <f>'Data-Kolom'!F24</f>
        <v>500</v>
      </c>
      <c r="J24">
        <f>'Data-Kolom'!G24</f>
        <v>3300</v>
      </c>
      <c r="K24">
        <v>1</v>
      </c>
      <c r="L24" t="str">
        <f>'Data-Kolom'!C24</f>
        <v>PC.2</v>
      </c>
      <c r="M24">
        <f>IF(L24&gt;0,VLOOKUP(L24,'Data-PC'!$B$14:$F$36,4,FALSE),0)</f>
        <v>500</v>
      </c>
      <c r="N24">
        <f>'Data-Kolom'!H24</f>
        <v>8</v>
      </c>
      <c r="O24">
        <f>'Data-Kolom'!I24</f>
        <v>16</v>
      </c>
      <c r="P24">
        <f>IF(N24&gt;0,VLOOKUP(O24,$V$2:$X$9,2,FALSE),0)</f>
        <v>1010</v>
      </c>
      <c r="Q24">
        <f>IF(L24&gt;0,M24-50+$N$6*O24,VLOOKUP(O24,$V$2:$X$9,3,FALSE))</f>
        <v>642</v>
      </c>
      <c r="R24">
        <f>IF(E24="F",J24-$N$5+$N$6*O24+Q24,IF(E24="D",J24+Q24+P24,IF(E24="T",J24+P24,IF(E24="A",J24-$N$5+$N$6*O24,0))))</f>
        <v>4114</v>
      </c>
      <c r="T24">
        <f>SUM(R24:S24)</f>
        <v>4114</v>
      </c>
      <c r="U24">
        <f>K24*N24</f>
        <v>8</v>
      </c>
      <c r="V24">
        <f>'Data-Kolom'!J24</f>
        <v>0</v>
      </c>
      <c r="W24">
        <f>'Data-Kolom'!K24</f>
        <v>0</v>
      </c>
      <c r="X24">
        <f>IF(V24&gt;0,VLOOKUP(W24,$V$2:$X$9,2,FALSE),0)</f>
        <v>0</v>
      </c>
      <c r="Y24">
        <f>IF(V24&gt;0,IF(L24&gt;0,M24-50+$N$6*W24,VLOOKUP(W24,$V$2:$X$9,3,FALSE)),0)</f>
        <v>0</v>
      </c>
      <c r="Z24">
        <f>IF(E24="F",J24-$N$5+$N$6*W24+Y24,IF(E24="D",J24+Y24+X24,IF(E24="T",J24+X24,IF(E24="A",J24-$N$5+$N$6*W24,0))))</f>
        <v>3280</v>
      </c>
      <c r="AB24">
        <f>SUM(Z24:AA24)</f>
        <v>3280</v>
      </c>
      <c r="AC24">
        <f>V24*K24</f>
        <v>0</v>
      </c>
      <c r="AD24">
        <f>'Data-Kolom'!L24</f>
        <v>8</v>
      </c>
      <c r="AE24">
        <f>'Data-Kolom'!M24</f>
        <v>100</v>
      </c>
      <c r="AF24">
        <f>'Data-Kolom'!N24</f>
        <v>100</v>
      </c>
      <c r="AG24">
        <f>'Data-Kolom'!O24</f>
        <v>100</v>
      </c>
      <c r="AH24">
        <f>'Data-Kolom'!P24</f>
        <v>0.5</v>
      </c>
      <c r="AI24">
        <f>'Data-Kolom'!Q24</f>
        <v>8</v>
      </c>
      <c r="AJ24">
        <f>'Data-Kolom'!R24</f>
        <v>0</v>
      </c>
      <c r="AK24">
        <f>'Data-Kolom'!S24</f>
        <v>0</v>
      </c>
      <c r="AL24">
        <f>2*(H24+I24-4*$N$5)+2*MAX($F$5*AD24,75)</f>
        <v>1330</v>
      </c>
      <c r="AM24">
        <f>+AH24*(H24-2*$N$5+2*MAX($F$5*AI24,75))+AJ24*(I24-2*$N$5+2*MAX($F$5*AK24,75))</f>
        <v>140</v>
      </c>
      <c r="AN24">
        <f>(ROUND((1/2*J24+IF(M24&gt;0,(Q24-$N$6*AD24),0))/AE24,0)+(ROUND(1/2*J24/AF24,0)+1))*K24</f>
        <v>40</v>
      </c>
      <c r="AO24">
        <f>H24*I24*J24/1000000000*K24*(1+$T$5)</f>
        <v>0.2805</v>
      </c>
      <c r="AP24">
        <f>0.006165*O24^2*T24*U24/1000*(1+$T$6)</f>
        <v>51.94303488</v>
      </c>
      <c r="AQ24">
        <f>0.006165*W24^2*AB24*AC24/1000*(1+$T$6)</f>
        <v>0</v>
      </c>
      <c r="AR24">
        <f>AN24*0.006165*AD24^2*AL24/1000*(1+$T$6)</f>
        <v>20.990592</v>
      </c>
      <c r="AS24">
        <f>AN24*0.006165*AI24^2*AM24/1000*(1+$T$6)</f>
        <v>2.209536</v>
      </c>
      <c r="AT24">
        <f>K24*2*J24*(H24+I24)/1000000*(1+$T$7)</f>
        <v>4.422</v>
      </c>
      <c r="AU24">
        <f>SUM(AP24:AS24)/AO24</f>
        <v>267.89006374331547</v>
      </c>
      <c r="AV24">
        <f>AT24/AO24</f>
        <v>15.764705882352938</v>
      </c>
      <c r="AX24">
        <f>0.006165*O24^2*R24*U24/1000*(1+$T$6)</f>
        <v>51.94303488</v>
      </c>
      <c r="AZ24">
        <f>0.006165*O24^2*S24*U24/1000*(1+$T$6)</f>
        <v>0</v>
      </c>
      <c r="BA24">
        <f>AZ24/AP24</f>
        <v>0</v>
      </c>
    </row>
    <row r="25">
      <c r="A25">
        <f>'Data-Kolom'!A25</f>
        <v>11</v>
      </c>
      <c r="B25" t="str">
        <f>'Data-Kolom'!B25</f>
        <v>Basement</v>
      </c>
      <c r="D25" t="str">
        <f>'Data-Kolom'!D25</f>
        <v>K175-1</v>
      </c>
      <c r="E25" t="str">
        <v>D</v>
      </c>
      <c r="F25">
        <f>'Data-Kolom'!U25</f>
        <v>0</v>
      </c>
      <c r="G25">
        <f>'Data-Kolom'!T25</f>
        <v>0</v>
      </c>
      <c r="H25">
        <f>'Data-Kolom'!E25</f>
        <v>170</v>
      </c>
      <c r="I25">
        <f>'Data-Kolom'!F25</f>
        <v>500</v>
      </c>
      <c r="J25">
        <f>'Data-Kolom'!G25</f>
        <v>3300</v>
      </c>
      <c r="K25">
        <v>1</v>
      </c>
      <c r="L25" t="str">
        <f>'Data-Kolom'!C25</f>
        <v>PC.2A</v>
      </c>
      <c r="M25">
        <f>IF(L25&gt;0,VLOOKUP(L25,'Data-PC'!$B$14:$F$36,4,FALSE),0)</f>
        <v>600</v>
      </c>
      <c r="N25">
        <f>'Data-Kolom'!H25</f>
        <v>6</v>
      </c>
      <c r="O25">
        <f>'Data-Kolom'!I25</f>
        <v>16</v>
      </c>
      <c r="P25">
        <f>IF(N25&gt;0,VLOOKUP(O25,$V$2:$X$9,2,FALSE),0)</f>
        <v>1010</v>
      </c>
      <c r="Q25">
        <f>IF(L25&gt;0,M25-50+$N$6*O25,VLOOKUP(O25,$V$2:$X$9,3,FALSE))</f>
        <v>742</v>
      </c>
      <c r="R25">
        <f>IF(E25="F",J25-$N$5+$N$6*O25+Q25,IF(E25="D",J25+Q25+P25,IF(E25="T",J25+P25,IF(E25="A",J25-$N$5+$N$6*O25,0))))</f>
        <v>5052</v>
      </c>
      <c r="T25">
        <f>SUM(R25:S25)</f>
        <v>5052</v>
      </c>
      <c r="U25">
        <f>K25*N25</f>
        <v>6</v>
      </c>
      <c r="V25">
        <f>'Data-Kolom'!J25</f>
        <v>0</v>
      </c>
      <c r="W25">
        <f>'Data-Kolom'!K25</f>
        <v>0</v>
      </c>
      <c r="X25">
        <f>IF(V25&gt;0,VLOOKUP(W25,$V$2:$X$9,2,FALSE),0)</f>
        <v>0</v>
      </c>
      <c r="Y25">
        <f>IF(V25&gt;0,IF(L25&gt;0,M25-50+$N$6*W25,VLOOKUP(W25,$V$2:$X$9,3,FALSE)),0)</f>
        <v>0</v>
      </c>
      <c r="Z25">
        <f>IF(E25="F",J25-$N$5+$N$6*W25+Y25,IF(E25="D",J25+Y25+X25,IF(E25="T",J25+X25,IF(E25="A",J25-$N$5+$N$6*W25,0))))</f>
        <v>3300</v>
      </c>
      <c r="AB25">
        <f>SUM(Z25:AA25)</f>
        <v>3300</v>
      </c>
      <c r="AC25">
        <f>V25*K25</f>
        <v>0</v>
      </c>
      <c r="AD25">
        <f>'Data-Kolom'!L25</f>
        <v>8</v>
      </c>
      <c r="AE25">
        <f>'Data-Kolom'!M25</f>
        <v>100</v>
      </c>
      <c r="AF25">
        <f>'Data-Kolom'!N25</f>
        <v>100</v>
      </c>
      <c r="AG25">
        <f>'Data-Kolom'!O25</f>
        <v>100</v>
      </c>
      <c r="AH25">
        <f>'Data-Kolom'!P25</f>
        <v>0.5</v>
      </c>
      <c r="AI25">
        <f>'Data-Kolom'!Q25</f>
        <v>8</v>
      </c>
      <c r="AJ25">
        <f>'Data-Kolom'!R25</f>
        <v>0</v>
      </c>
      <c r="AK25">
        <f>'Data-Kolom'!S25</f>
        <v>0</v>
      </c>
      <c r="AL25">
        <f>2*(H25+I25-4*$N$5)+2*MAX($F$5*AD25,75)</f>
        <v>1330</v>
      </c>
      <c r="AM25">
        <f>+AH25*(H25-2*$N$5+2*MAX($F$5*AI25,75))+AJ25*(I25-2*$N$5+2*MAX($F$5*AK25,75))</f>
        <v>140</v>
      </c>
      <c r="AN25">
        <f>(ROUND((1/2*J25+IF(M25&gt;0,(Q25-$N$6*AD25),0))/AE25,0)+(ROUND(1/2*J25/AF25,0)+1))*K25</f>
        <v>41</v>
      </c>
      <c r="AO25">
        <f>H25*I25*J25/1000000000*K25*(1+$T$5)</f>
        <v>0.2805</v>
      </c>
      <c r="AP25">
        <f>0.006165*O25^2*T25*U25/1000*(1+$T$6)</f>
        <v>47.83961088000001</v>
      </c>
      <c r="AQ25">
        <f>0.006165*W25^2*AB25*AC25/1000*(1+$T$6)</f>
        <v>0</v>
      </c>
      <c r="AR25">
        <f>AN25*0.006165*AD25^2*AL25/1000*(1+$T$6)</f>
        <v>21.515356800000003</v>
      </c>
      <c r="AS25">
        <f>AN25*0.006165*AI25^2*AM25/1000*(1+$T$6)</f>
        <v>2.2647744000000003</v>
      </c>
      <c r="AT25">
        <f>K25*2*J25*(H25+I25)/1000000*(1+$T$7)</f>
        <v>4.422</v>
      </c>
      <c r="AU25">
        <f>SUM(AP25:AS25)/AO25</f>
        <v>255.32884877005347</v>
      </c>
      <c r="AV25">
        <f>AT25/AO25</f>
        <v>15.764705882352938</v>
      </c>
      <c r="AX25">
        <f>0.006165*O25^2*R25*U25/1000*(1+$T$6)</f>
        <v>47.83961088000001</v>
      </c>
      <c r="AZ25">
        <f>0.006165*O25^2*S25*U25/1000*(1+$T$6)</f>
        <v>0</v>
      </c>
      <c r="BA25">
        <f>AZ25/AP25</f>
        <v>0</v>
      </c>
    </row>
    <row r="26">
      <c r="A26">
        <f>'Data-Kolom'!A26</f>
        <v>12</v>
      </c>
      <c r="B26" t="str">
        <f>'Data-Kolom'!B26</f>
        <v>Basement</v>
      </c>
      <c r="D26" t="str">
        <f>'Data-Kolom'!D26</f>
        <v>K178-2</v>
      </c>
      <c r="E26" t="str">
        <v>D</v>
      </c>
      <c r="F26">
        <f>'Data-Kolom'!U26</f>
        <v>0</v>
      </c>
      <c r="G26">
        <f>'Data-Kolom'!T26</f>
        <v>0</v>
      </c>
      <c r="H26">
        <f>'Data-Kolom'!E26</f>
        <v>170</v>
      </c>
      <c r="I26">
        <f>'Data-Kolom'!F26</f>
        <v>800</v>
      </c>
      <c r="J26">
        <f>'Data-Kolom'!G26</f>
        <v>3300</v>
      </c>
      <c r="K26">
        <v>1</v>
      </c>
      <c r="L26" t="str">
        <f>'Data-Kolom'!C26</f>
        <v>PC.3A</v>
      </c>
      <c r="M26">
        <f>IF(L26&gt;0,VLOOKUP(L26,'Data-PC'!$B$14:$F$36,4,FALSE),0)</f>
        <v>600</v>
      </c>
      <c r="N26">
        <f>'Data-Kolom'!H26</f>
        <v>14</v>
      </c>
      <c r="O26">
        <f>'Data-Kolom'!I26</f>
        <v>19</v>
      </c>
      <c r="P26">
        <f>IF(N26&gt;0,VLOOKUP(O26,$V$2:$X$9,2,FALSE),0)</f>
        <v>1190</v>
      </c>
      <c r="Q26">
        <f>IF(L26&gt;0,M26-50+$N$6*O26,VLOOKUP(O26,$V$2:$X$9,3,FALSE))</f>
        <v>778</v>
      </c>
      <c r="R26">
        <f>IF(E26="F",J26-$N$5+$N$6*O26+Q26,IF(E26="D",J26+Q26+P26,IF(E26="T",J26+P26,IF(E26="A",J26-$N$5+$N$6*O26,0))))</f>
        <v>5268</v>
      </c>
      <c r="T26">
        <f>SUM(R26:S26)</f>
        <v>5268</v>
      </c>
      <c r="U26">
        <f>K26*N26</f>
        <v>14</v>
      </c>
      <c r="V26">
        <f>'Data-Kolom'!J26</f>
        <v>0</v>
      </c>
      <c r="W26">
        <f>'Data-Kolom'!K26</f>
        <v>0</v>
      </c>
      <c r="X26">
        <f>IF(V26&gt;0,VLOOKUP(W26,$V$2:$X$9,2,FALSE),0)</f>
        <v>0</v>
      </c>
      <c r="Y26">
        <f>IF(V26&gt;0,IF(L26&gt;0,M26-50+$N$6*W26,VLOOKUP(W26,$V$2:$X$9,3,FALSE)),0)</f>
        <v>0</v>
      </c>
      <c r="Z26">
        <f>IF(E26="F",J26-$N$5+$N$6*W26+Y26,IF(E26="D",J26+Y26+X26,IF(E26="T",J26+X26,IF(E26="A",J26-$N$5+$N$6*W26,0))))</f>
        <v>3300</v>
      </c>
      <c r="AB26">
        <f>SUM(Z26:AA26)</f>
        <v>3300</v>
      </c>
      <c r="AC26">
        <f>V26*K26</f>
        <v>0</v>
      </c>
      <c r="AD26">
        <f>'Data-Kolom'!L26</f>
        <v>8</v>
      </c>
      <c r="AE26">
        <f>'Data-Kolom'!M26</f>
        <v>100</v>
      </c>
      <c r="AF26">
        <f>'Data-Kolom'!N26</f>
        <v>100</v>
      </c>
      <c r="AG26">
        <f>'Data-Kolom'!O26</f>
        <v>100</v>
      </c>
      <c r="AH26">
        <f>'Data-Kolom'!P26</f>
        <v>1</v>
      </c>
      <c r="AI26">
        <f>'Data-Kolom'!Q26</f>
        <v>8</v>
      </c>
      <c r="AJ26">
        <f>'Data-Kolom'!R26</f>
        <v>0</v>
      </c>
      <c r="AK26">
        <f>'Data-Kolom'!S26</f>
        <v>0</v>
      </c>
      <c r="AL26">
        <f>2*(H26+I26-4*$N$5)+2*MAX($F$5*AD26,75)</f>
        <v>1930</v>
      </c>
      <c r="AM26">
        <f>+AH26*(H26-2*$N$5+2*MAX($F$5*AI26,75))+AJ26*(I26-2*$N$5+2*MAX($F$5*AK26,75))</f>
        <v>280</v>
      </c>
      <c r="AN26">
        <f>(ROUND((1/2*J26+IF(M26&gt;0,(Q26-$N$6*AD26),0))/AE26,0)+(ROUND(1/2*J26/AF26,0)+1))*K26</f>
        <v>41</v>
      </c>
      <c r="AO26">
        <f>H26*I26*J26/1000000000*K26*(1+$T$5)</f>
        <v>0.4488</v>
      </c>
      <c r="AP26">
        <f>0.006165*O26^2*T26*U26/1000*(1+$T$6)</f>
        <v>164.13986988000002</v>
      </c>
      <c r="AQ26">
        <f>0.006165*W26^2*AB26*AC26/1000*(1+$T$6)</f>
        <v>0</v>
      </c>
      <c r="AR26">
        <f>AN26*0.006165*AD26^2*AL26/1000*(1+$T$6)</f>
        <v>31.221532800000002</v>
      </c>
      <c r="AS26">
        <f>AN26*0.006165*AI26^2*AM26/1000*(1+$T$6)</f>
        <v>4.529548800000001</v>
      </c>
      <c r="AT26">
        <f>K26*2*J26*(H26+I26)/1000000*(1+$T$7)</f>
        <v>6.402</v>
      </c>
      <c r="AU26">
        <f>SUM(AP26:AS26)/AO26</f>
        <v>445.38982058823535</v>
      </c>
      <c r="AV26">
        <f>AT26/AO26</f>
        <v>14.264705882352942</v>
      </c>
      <c r="AX26">
        <f>0.006165*O26^2*R26*U26/1000*(1+$T$6)</f>
        <v>164.13986988000002</v>
      </c>
      <c r="AZ26">
        <f>0.006165*O26^2*S26*U26/1000*(1+$T$6)</f>
        <v>0</v>
      </c>
      <c r="BA26">
        <f>AZ26/AP26</f>
        <v>0</v>
      </c>
    </row>
    <row r="27">
      <c r="A27">
        <f>'Data-Kolom'!A27</f>
        <v>13</v>
      </c>
      <c r="B27" t="str">
        <f>'Data-Kolom'!B27</f>
        <v>Basement</v>
      </c>
      <c r="D27" t="str">
        <f>'Data-Kolom'!D27</f>
        <v>K175-2</v>
      </c>
      <c r="E27" t="str">
        <v>D</v>
      </c>
      <c r="F27">
        <f>'Data-Kolom'!U27</f>
        <v>0</v>
      </c>
      <c r="G27">
        <f>'Data-Kolom'!T27</f>
        <v>0</v>
      </c>
      <c r="H27">
        <f>'Data-Kolom'!E27</f>
        <v>170</v>
      </c>
      <c r="I27">
        <f>'Data-Kolom'!F27</f>
        <v>500</v>
      </c>
      <c r="J27">
        <f>'Data-Kolom'!G27</f>
        <v>3300</v>
      </c>
      <c r="K27">
        <v>1</v>
      </c>
      <c r="L27" t="str">
        <f>'Data-Kolom'!C27</f>
        <v>PC.2</v>
      </c>
      <c r="M27">
        <f>IF(L27&gt;0,VLOOKUP(L27,'Data-PC'!$B$14:$F$36,4,FALSE),0)</f>
        <v>500</v>
      </c>
      <c r="N27">
        <f>'Data-Kolom'!H27</f>
        <v>8</v>
      </c>
      <c r="O27">
        <f>'Data-Kolom'!I27</f>
        <v>16</v>
      </c>
      <c r="P27">
        <f>IF(N27&gt;0,VLOOKUP(O27,$V$2:$X$9,2,FALSE),0)</f>
        <v>1010</v>
      </c>
      <c r="Q27">
        <f>IF(L27&gt;0,M27-50+$N$6*O27,VLOOKUP(O27,$V$2:$X$9,3,FALSE))</f>
        <v>642</v>
      </c>
      <c r="R27">
        <f>IF(E27="F",J27-$N$5+$N$6*O27+Q27,IF(E27="D",J27+Q27+P27,IF(E27="T",J27+P27,IF(E27="A",J27-$N$5+$N$6*O27,0))))</f>
        <v>4952</v>
      </c>
      <c r="T27">
        <f>SUM(R27:S27)</f>
        <v>4952</v>
      </c>
      <c r="U27">
        <f>K27*N27</f>
        <v>8</v>
      </c>
      <c r="V27">
        <f>'Data-Kolom'!J27</f>
        <v>0</v>
      </c>
      <c r="W27">
        <f>'Data-Kolom'!K27</f>
        <v>0</v>
      </c>
      <c r="X27">
        <f>IF(V27&gt;0,VLOOKUP(W27,$V$2:$X$9,2,FALSE),0)</f>
        <v>0</v>
      </c>
      <c r="Y27">
        <f>IF(V27&gt;0,IF(L27&gt;0,M27-50+$N$6*W27,VLOOKUP(W27,$V$2:$X$9,3,FALSE)),0)</f>
        <v>0</v>
      </c>
      <c r="Z27">
        <f>IF(E27="F",J27-$N$5+$N$6*W27+Y27,IF(E27="D",J27+Y27+X27,IF(E27="T",J27+X27,IF(E27="A",J27-$N$5+$N$6*W27,0))))</f>
        <v>3300</v>
      </c>
      <c r="AB27">
        <f>SUM(Z27:AA27)</f>
        <v>3300</v>
      </c>
      <c r="AC27">
        <f>V27*K27</f>
        <v>0</v>
      </c>
      <c r="AD27">
        <f>'Data-Kolom'!L27</f>
        <v>8</v>
      </c>
      <c r="AE27">
        <f>'Data-Kolom'!M27</f>
        <v>100</v>
      </c>
      <c r="AF27">
        <f>'Data-Kolom'!N27</f>
        <v>100</v>
      </c>
      <c r="AG27">
        <f>'Data-Kolom'!O27</f>
        <v>100</v>
      </c>
      <c r="AH27">
        <f>'Data-Kolom'!P27</f>
        <v>0.5</v>
      </c>
      <c r="AI27">
        <f>'Data-Kolom'!Q27</f>
        <v>8</v>
      </c>
      <c r="AJ27">
        <f>'Data-Kolom'!R27</f>
        <v>0</v>
      </c>
      <c r="AK27">
        <f>'Data-Kolom'!S27</f>
        <v>0</v>
      </c>
      <c r="AL27">
        <f>2*(H27+I27-4*$N$5)+2*MAX($F$5*AD27,75)</f>
        <v>1330</v>
      </c>
      <c r="AM27">
        <f>+AH27*(H27-2*$N$5+2*MAX($F$5*AI27,75))+AJ27*(I27-2*$N$5+2*MAX($F$5*AK27,75))</f>
        <v>140</v>
      </c>
      <c r="AN27">
        <f>(ROUND((1/2*J27+IF(M27&gt;0,(Q27-$N$6*AD27),0))/AE27,0)+(ROUND(1/2*J27/AF27,0)+1))*K27</f>
        <v>40</v>
      </c>
      <c r="AO27">
        <f>H27*I27*J27/1000000000*K27*(1+$T$5)</f>
        <v>0.2805</v>
      </c>
      <c r="AP27">
        <f>0.006165*O27^2*T27*U27/1000*(1+$T$6)</f>
        <v>62.52355584</v>
      </c>
      <c r="AQ27">
        <f>0.006165*W27^2*AB27*AC27/1000*(1+$T$6)</f>
        <v>0</v>
      </c>
      <c r="AR27">
        <f>AN27*0.006165*AD27^2*AL27/1000*(1+$T$6)</f>
        <v>20.990592</v>
      </c>
      <c r="AS27">
        <f>AN27*0.006165*AI27^2*AM27/1000*(1+$T$6)</f>
        <v>2.209536</v>
      </c>
      <c r="AT27">
        <f>K27*2*J27*(H27+I27)/1000000*(1+$T$7)</f>
        <v>4.422</v>
      </c>
      <c r="AU27">
        <f>SUM(AP27:AS27)/AO27</f>
        <v>305.61028106951863</v>
      </c>
      <c r="AV27">
        <f>AT27/AO27</f>
        <v>15.764705882352938</v>
      </c>
      <c r="AX27">
        <f>0.006165*O27^2*R27*U27/1000*(1+$T$6)</f>
        <v>62.52355584</v>
      </c>
      <c r="AZ27">
        <f>0.006165*O27^2*S27*U27/1000*(1+$T$6)</f>
        <v>0</v>
      </c>
      <c r="BA27">
        <f>AZ27/AP27</f>
        <v>0</v>
      </c>
    </row>
    <row r="28">
      <c r="A28">
        <f>'Data-Kolom'!A28</f>
        <v>14</v>
      </c>
      <c r="B28" t="str">
        <f>'Data-Kolom'!B28</f>
        <v>Basement</v>
      </c>
      <c r="D28" t="str">
        <f>'Data-Kolom'!D28</f>
        <v>K177-1</v>
      </c>
      <c r="E28" t="str">
        <v>D</v>
      </c>
      <c r="F28">
        <f>'Data-Kolom'!U28</f>
        <v>0</v>
      </c>
      <c r="G28">
        <f>'Data-Kolom'!T28</f>
        <v>0</v>
      </c>
      <c r="H28">
        <f>'Data-Kolom'!E28</f>
        <v>170</v>
      </c>
      <c r="I28">
        <f>'Data-Kolom'!F28</f>
        <v>700</v>
      </c>
      <c r="J28">
        <f>'Data-Kolom'!G28</f>
        <v>3300</v>
      </c>
      <c r="K28">
        <v>1</v>
      </c>
      <c r="L28" t="str">
        <f>'Data-Kolom'!C28</f>
        <v>PC.3A</v>
      </c>
      <c r="M28">
        <f>IF(L28&gt;0,VLOOKUP(L28,'Data-PC'!$B$14:$F$36,4,FALSE),0)</f>
        <v>600</v>
      </c>
      <c r="N28">
        <f>'Data-Kolom'!H28</f>
        <v>10</v>
      </c>
      <c r="O28">
        <f>'Data-Kolom'!I28</f>
        <v>19</v>
      </c>
      <c r="P28">
        <f>IF(N28&gt;0,VLOOKUP(O28,$V$2:$X$9,2,FALSE),0)</f>
        <v>1190</v>
      </c>
      <c r="Q28">
        <f>IF(L28&gt;0,M28-50+$N$6*O28,VLOOKUP(O28,$V$2:$X$9,3,FALSE))</f>
        <v>778</v>
      </c>
      <c r="R28">
        <f>IF(E28="F",J28-$N$5+$N$6*O28+Q28,IF(E28="D",J28+Q28+P28,IF(E28="T",J28+P28,IF(E28="A",J28-$N$5+$N$6*O28,0))))</f>
        <v>5268</v>
      </c>
      <c r="T28">
        <f>SUM(R28:S28)</f>
        <v>5268</v>
      </c>
      <c r="U28">
        <f>K28*N28</f>
        <v>10</v>
      </c>
      <c r="V28">
        <f>'Data-Kolom'!J28</f>
        <v>0</v>
      </c>
      <c r="W28">
        <f>'Data-Kolom'!K28</f>
        <v>0</v>
      </c>
      <c r="X28">
        <f>IF(V28&gt;0,VLOOKUP(W28,$V$2:$X$9,2,FALSE),0)</f>
        <v>0</v>
      </c>
      <c r="Y28">
        <f>IF(V28&gt;0,IF(L28&gt;0,M28-50+$N$6*W28,VLOOKUP(W28,$V$2:$X$9,3,FALSE)),0)</f>
        <v>0</v>
      </c>
      <c r="Z28">
        <f>IF(E28="F",J28-$N$5+$N$6*W28+Y28,IF(E28="D",J28+Y28+X28,IF(E28="T",J28+X28,IF(E28="A",J28-$N$5+$N$6*W28,0))))</f>
        <v>3300</v>
      </c>
      <c r="AB28">
        <f>SUM(Z28:AA28)</f>
        <v>3300</v>
      </c>
      <c r="AC28">
        <f>V28*K28</f>
        <v>0</v>
      </c>
      <c r="AD28">
        <f>'Data-Kolom'!L28</f>
        <v>8</v>
      </c>
      <c r="AE28">
        <f>'Data-Kolom'!M28</f>
        <v>100</v>
      </c>
      <c r="AF28">
        <f>'Data-Kolom'!N28</f>
        <v>100</v>
      </c>
      <c r="AG28">
        <f>'Data-Kolom'!O28</f>
        <v>100</v>
      </c>
      <c r="AH28">
        <f>'Data-Kolom'!P28</f>
        <v>0.5</v>
      </c>
      <c r="AI28">
        <f>'Data-Kolom'!Q28</f>
        <v>8</v>
      </c>
      <c r="AJ28">
        <f>'Data-Kolom'!R28</f>
        <v>0</v>
      </c>
      <c r="AK28">
        <f>'Data-Kolom'!S28</f>
        <v>0</v>
      </c>
      <c r="AL28">
        <f>2*(H28+I28-4*$N$5)+2*MAX($F$5*AD28,75)</f>
        <v>1730</v>
      </c>
      <c r="AM28">
        <f>+AH28*(H28-2*$N$5+2*MAX($F$5*AI28,75))+AJ28*(I28-2*$N$5+2*MAX($F$5*AK28,75))</f>
        <v>140</v>
      </c>
      <c r="AN28">
        <f>(ROUND((1/2*J28+IF(M28&gt;0,(Q28-$N$6*AD28),0))/AE28,0)+(ROUND(1/2*J28/AF28,0)+1))*K28</f>
        <v>41</v>
      </c>
      <c r="AO28">
        <f>H28*I28*J28/1000000000*K28*(1+$T$5)</f>
        <v>0.3927</v>
      </c>
      <c r="AP28">
        <f>0.006165*O28^2*T28*U28/1000*(1+$T$6)</f>
        <v>117.24276420000001</v>
      </c>
      <c r="AQ28">
        <f>0.006165*W28^2*AB28*AC28/1000*(1+$T$6)</f>
        <v>0</v>
      </c>
      <c r="AR28">
        <f>AN28*0.006165*AD28^2*AL28/1000*(1+$T$6)</f>
        <v>27.9861408</v>
      </c>
      <c r="AS28">
        <f>AN28*0.006165*AI28^2*AM28/1000*(1+$T$6)</f>
        <v>2.2647744000000003</v>
      </c>
      <c r="AT28">
        <f>K28*2*J28*(H28+I28)/1000000*(1+$T$7)</f>
        <v>5.742</v>
      </c>
      <c r="AU28">
        <f>SUM(AP28:AS28)/AO28</f>
        <v>375.588692131398</v>
      </c>
      <c r="AV28">
        <f>AT28/AO28</f>
        <v>14.621848739495798</v>
      </c>
      <c r="AX28">
        <f>0.006165*O28^2*R28*U28/1000*(1+$T$6)</f>
        <v>117.24276420000001</v>
      </c>
      <c r="AZ28">
        <f>0.006165*O28^2*S28*U28/1000*(1+$T$6)</f>
        <v>0</v>
      </c>
      <c r="BA28">
        <f>AZ28/AP28</f>
        <v>0</v>
      </c>
    </row>
    <row r="29">
      <c r="A29" t="str">
        <f>'Data-Kolom'!A29</f>
        <v>14A</v>
      </c>
      <c r="B29" t="str">
        <f>'Data-Kolom'!B29</f>
        <v>Basement</v>
      </c>
      <c r="D29" t="str">
        <f>'Data-Kolom'!D29</f>
        <v>K174-1</v>
      </c>
      <c r="E29" t="str">
        <v>D</v>
      </c>
      <c r="F29">
        <f>'Data-Kolom'!U29</f>
        <v>0</v>
      </c>
      <c r="G29">
        <f>'Data-Kolom'!T29</f>
        <v>0</v>
      </c>
      <c r="H29">
        <f>'Data-Kolom'!E29</f>
        <v>170</v>
      </c>
      <c r="I29">
        <f>'Data-Kolom'!F29</f>
        <v>400</v>
      </c>
      <c r="J29">
        <f>'Data-Kolom'!G29</f>
        <v>3300</v>
      </c>
      <c r="K29">
        <v>1</v>
      </c>
      <c r="L29" t="str">
        <f>'Data-Kolom'!C29</f>
        <v>PC.2</v>
      </c>
      <c r="M29">
        <f>IF(L29&gt;0,VLOOKUP(L29,'Data-PC'!$B$14:$F$36,4,FALSE),0)</f>
        <v>500</v>
      </c>
      <c r="N29">
        <f>'Data-Kolom'!H29</f>
        <v>8</v>
      </c>
      <c r="O29">
        <f>'Data-Kolom'!I29</f>
        <v>13</v>
      </c>
      <c r="P29">
        <f>IF(N29&gt;0,VLOOKUP(O29,$V$2:$X$9,2,FALSE),0)</f>
        <v>820</v>
      </c>
      <c r="Q29">
        <f>IF(L29&gt;0,M29-50+$N$6*O29,VLOOKUP(O29,$V$2:$X$9,3,FALSE))</f>
        <v>606</v>
      </c>
      <c r="R29">
        <f>IF(E29="F",J29-$N$5+$N$6*O29+Q29,IF(E29="D",J29+Q29+P29,IF(E29="T",J29+P29,IF(E29="A",J29-$N$5+$N$6*O29,0))))</f>
        <v>4726</v>
      </c>
      <c r="T29">
        <f>SUM(R29:S29)</f>
        <v>4726</v>
      </c>
      <c r="U29">
        <f>K29*N29</f>
        <v>8</v>
      </c>
      <c r="V29">
        <f>'Data-Kolom'!J29</f>
        <v>0</v>
      </c>
      <c r="W29">
        <f>'Data-Kolom'!K29</f>
        <v>0</v>
      </c>
      <c r="X29">
        <f>IF(V29&gt;0,VLOOKUP(W29,$V$2:$X$9,2,FALSE),0)</f>
        <v>0</v>
      </c>
      <c r="Y29">
        <f>IF(V29&gt;0,IF(L29&gt;0,M29-50+$N$6*W29,VLOOKUP(W29,$V$2:$X$9,3,FALSE)),0)</f>
        <v>0</v>
      </c>
      <c r="Z29">
        <f>IF(E29="F",J29-$N$5+$N$6*W29+Y29,IF(E29="D",J29+Y29+X29,IF(E29="T",J29+X29,IF(E29="A",J29-$N$5+$N$6*W29,0))))</f>
        <v>3300</v>
      </c>
      <c r="AB29">
        <f>SUM(Z29:AA29)</f>
        <v>3300</v>
      </c>
      <c r="AC29">
        <f>V29*K29</f>
        <v>0</v>
      </c>
      <c r="AD29">
        <f>'Data-Kolom'!L29</f>
        <v>8</v>
      </c>
      <c r="AE29">
        <f>'Data-Kolom'!M29</f>
        <v>100</v>
      </c>
      <c r="AF29">
        <f>'Data-Kolom'!N29</f>
        <v>100</v>
      </c>
      <c r="AG29">
        <f>'Data-Kolom'!O29</f>
        <v>100</v>
      </c>
      <c r="AH29">
        <f>'Data-Kolom'!P29</f>
        <v>0</v>
      </c>
      <c r="AI29">
        <f>'Data-Kolom'!Q29</f>
        <v>0</v>
      </c>
      <c r="AJ29">
        <f>'Data-Kolom'!R29</f>
        <v>0</v>
      </c>
      <c r="AK29">
        <f>'Data-Kolom'!S29</f>
        <v>0</v>
      </c>
      <c r="AL29">
        <f>2*(H29+I29-4*$N$5)+2*MAX($F$5*AD29,75)</f>
        <v>1130</v>
      </c>
      <c r="AM29">
        <f>+AH29*(H29-2*$N$5+2*MAX($F$5*AI29,75))+AJ29*(I29-2*$N$5+2*MAX($F$5*AK29,75))</f>
        <v>0</v>
      </c>
      <c r="AN29">
        <f>(ROUND((1/2*J29+IF(M29&gt;0,(Q29-$N$6*AD29),0))/AE29,0)+(ROUND(1/2*J29/AF29,0)+1))*K29</f>
        <v>40</v>
      </c>
      <c r="AO29">
        <f>H29*I29*J29/1000000000*K29*(1+$T$5)</f>
        <v>0.2244</v>
      </c>
      <c r="AP29">
        <f>0.006165*O29^2*T29*U29/1000*(1+$T$6)</f>
        <v>39.39158808</v>
      </c>
      <c r="AQ29">
        <f>0.006165*W29^2*AB29*AC29/1000*(1+$T$6)</f>
        <v>0</v>
      </c>
      <c r="AR29">
        <f>AN29*0.006165*AD29^2*AL29/1000*(1+$T$6)</f>
        <v>17.834112</v>
      </c>
      <c r="AS29">
        <f>AN29*0.006165*AI29^2*AM29/1000*(1+$T$6)</f>
        <v>0</v>
      </c>
      <c r="AT29">
        <f>K29*2*J29*(H29+I29)/1000000*(1+$T$7)</f>
        <v>3.762</v>
      </c>
      <c r="AU29">
        <f>SUM(AP29:AS29)/AO29</f>
        <v>255.01648877005346</v>
      </c>
      <c r="AV29">
        <f>AT29/AO29</f>
        <v>16.764705882352942</v>
      </c>
      <c r="AX29">
        <f>0.006165*O29^2*R29*U29/1000*(1+$T$6)</f>
        <v>39.39158808</v>
      </c>
      <c r="AZ29">
        <f>0.006165*O29^2*S29*U29/1000*(1+$T$6)</f>
        <v>0</v>
      </c>
      <c r="BA29">
        <f>AZ29/AP29</f>
        <v>0</v>
      </c>
    </row>
    <row r="30">
      <c r="A30">
        <f>'Data-Kolom'!A30</f>
        <v>15</v>
      </c>
      <c r="B30" t="str">
        <f>'Data-Kolom'!B30</f>
        <v>Basement</v>
      </c>
      <c r="D30" t="str">
        <f>'Data-Kolom'!D30</f>
        <v>K178-1</v>
      </c>
      <c r="E30" t="str">
        <v>D</v>
      </c>
      <c r="F30">
        <f>'Data-Kolom'!U30</f>
        <v>0</v>
      </c>
      <c r="G30">
        <f>'Data-Kolom'!T30</f>
        <v>0</v>
      </c>
      <c r="H30">
        <f>'Data-Kolom'!E30</f>
        <v>170</v>
      </c>
      <c r="I30">
        <f>'Data-Kolom'!F30</f>
        <v>800</v>
      </c>
      <c r="J30">
        <f>'Data-Kolom'!G30</f>
        <v>3300</v>
      </c>
      <c r="K30">
        <v>1</v>
      </c>
      <c r="L30" t="str">
        <f>'Data-Kolom'!C30</f>
        <v>PC.2A</v>
      </c>
      <c r="M30">
        <f>IF(L30&gt;0,VLOOKUP(L30,'Data-PC'!$B$14:$F$36,4,FALSE),0)</f>
        <v>600</v>
      </c>
      <c r="N30">
        <f>'Data-Kolom'!H30</f>
        <v>8</v>
      </c>
      <c r="O30">
        <f>'Data-Kolom'!I30</f>
        <v>16</v>
      </c>
      <c r="P30">
        <f>IF(N30&gt;0,VLOOKUP(O30,$V$2:$X$9,2,FALSE),0)</f>
        <v>1010</v>
      </c>
      <c r="Q30">
        <f>IF(L30&gt;0,M30-50+$N$6*O30,VLOOKUP(O30,$V$2:$X$9,3,FALSE))</f>
        <v>742</v>
      </c>
      <c r="R30">
        <f>IF(E30="F",J30-$N$5+$N$6*O30+Q30,IF(E30="D",J30+Q30+P30,IF(E30="T",J30+P30,IF(E30="A",J30-$N$5+$N$6*O30,0))))</f>
        <v>5052</v>
      </c>
      <c r="T30">
        <f>SUM(R30:S30)</f>
        <v>5052</v>
      </c>
      <c r="U30">
        <f>K30*N30</f>
        <v>8</v>
      </c>
      <c r="V30">
        <f>'Data-Kolom'!J30</f>
        <v>0</v>
      </c>
      <c r="W30">
        <f>'Data-Kolom'!K30</f>
        <v>0</v>
      </c>
      <c r="X30">
        <f>IF(V30&gt;0,VLOOKUP(W30,$V$2:$X$9,2,FALSE),0)</f>
        <v>0</v>
      </c>
      <c r="Y30">
        <f>IF(V30&gt;0,IF(L30&gt;0,M30-50+$N$6*W30,VLOOKUP(W30,$V$2:$X$9,3,FALSE)),0)</f>
        <v>0</v>
      </c>
      <c r="Z30">
        <f>IF(E30="F",J30-$N$5+$N$6*W30+Y30,IF(E30="D",J30+Y30+X30,IF(E30="T",J30+X30,IF(E30="A",J30-$N$5+$N$6*W30,0))))</f>
        <v>3300</v>
      </c>
      <c r="AB30">
        <f>SUM(Z30:AA30)</f>
        <v>3300</v>
      </c>
      <c r="AC30">
        <f>V30*K30</f>
        <v>0</v>
      </c>
      <c r="AD30">
        <f>'Data-Kolom'!L30</f>
        <v>8</v>
      </c>
      <c r="AE30">
        <f>'Data-Kolom'!M30</f>
        <v>100</v>
      </c>
      <c r="AF30">
        <f>'Data-Kolom'!N30</f>
        <v>100</v>
      </c>
      <c r="AG30">
        <f>'Data-Kolom'!O30</f>
        <v>100</v>
      </c>
      <c r="AH30">
        <f>'Data-Kolom'!P30</f>
        <v>1</v>
      </c>
      <c r="AI30">
        <f>'Data-Kolom'!Q30</f>
        <v>8</v>
      </c>
      <c r="AJ30">
        <f>'Data-Kolom'!R30</f>
        <v>0</v>
      </c>
      <c r="AK30">
        <f>'Data-Kolom'!S30</f>
        <v>0</v>
      </c>
      <c r="AL30">
        <f>2*(H30+I30-4*$N$5)+2*MAX($F$5*AD30,75)</f>
        <v>1930</v>
      </c>
      <c r="AM30">
        <f>+AH30*(H30-2*$N$5+2*MAX($F$5*AI30,75))+AJ30*(I30-2*$N$5+2*MAX($F$5*AK30,75))</f>
        <v>280</v>
      </c>
      <c r="AN30">
        <f>(ROUND((1/2*J30+IF(M30&gt;0,(Q30-$N$6*AD30),0))/AE30,0)+(ROUND(1/2*J30/AF30,0)+1))*K30</f>
        <v>41</v>
      </c>
      <c r="AO30">
        <f>H30*I30*J30/1000000000*K30*(1+$T$5)</f>
        <v>0.4488</v>
      </c>
      <c r="AP30">
        <f>0.006165*O30^2*T30*U30/1000*(1+$T$6)</f>
        <v>63.786147840000005</v>
      </c>
      <c r="AQ30">
        <f>0.006165*W30^2*AB30*AC30/1000*(1+$T$6)</f>
        <v>0</v>
      </c>
      <c r="AR30">
        <f>AN30*0.006165*AD30^2*AL30/1000*(1+$T$6)</f>
        <v>31.221532800000002</v>
      </c>
      <c r="AS30">
        <f>AN30*0.006165*AI30^2*AM30/1000*(1+$T$6)</f>
        <v>4.529548800000001</v>
      </c>
      <c r="AT30">
        <f>K30*2*J30*(H30+I30)/1000000*(1+$T$7)</f>
        <v>6.402</v>
      </c>
      <c r="AU30">
        <f>SUM(AP30:AS30)/AO30</f>
        <v>221.7852705882353</v>
      </c>
      <c r="AV30">
        <f>AT30/AO30</f>
        <v>14.264705882352942</v>
      </c>
      <c r="AX30">
        <f>0.006165*O30^2*R30*U30/1000*(1+$T$6)</f>
        <v>63.786147840000005</v>
      </c>
      <c r="AZ30">
        <f>0.006165*O30^2*S30*U30/1000*(1+$T$6)</f>
        <v>0</v>
      </c>
      <c r="BA30">
        <f>AZ30/AP30</f>
        <v>0</v>
      </c>
    </row>
    <row r="31">
      <c r="A31">
        <f>'Data-Kolom'!A31</f>
        <v>16</v>
      </c>
      <c r="B31" t="str">
        <f>'Data-Kolom'!B31</f>
        <v>Basement</v>
      </c>
      <c r="D31" t="str">
        <f>'Data-Kolom'!D31</f>
        <v>K175-2</v>
      </c>
      <c r="E31" t="str">
        <v>D</v>
      </c>
      <c r="F31">
        <f>'Data-Kolom'!U31</f>
        <v>0</v>
      </c>
      <c r="G31">
        <f>'Data-Kolom'!T31</f>
        <v>0</v>
      </c>
      <c r="H31">
        <f>'Data-Kolom'!E31</f>
        <v>170</v>
      </c>
      <c r="I31">
        <f>'Data-Kolom'!F31</f>
        <v>500</v>
      </c>
      <c r="J31">
        <f>'Data-Kolom'!G31</f>
        <v>3300</v>
      </c>
      <c r="K31">
        <v>1</v>
      </c>
      <c r="L31" t="str">
        <f>'Data-Kolom'!C31</f>
        <v>PC.2</v>
      </c>
      <c r="M31">
        <f>IF(L31&gt;0,VLOOKUP(L31,'Data-PC'!$B$14:$F$36,4,FALSE),0)</f>
        <v>500</v>
      </c>
      <c r="N31">
        <f>'Data-Kolom'!H31</f>
        <v>8</v>
      </c>
      <c r="O31">
        <f>'Data-Kolom'!I31</f>
        <v>16</v>
      </c>
      <c r="P31">
        <f>IF(N31&gt;0,VLOOKUP(O31,$V$2:$X$9,2,FALSE),0)</f>
        <v>1010</v>
      </c>
      <c r="Q31">
        <f>IF(L31&gt;0,M31-50+$N$6*O31,VLOOKUP(O31,$V$2:$X$9,3,FALSE))</f>
        <v>642</v>
      </c>
      <c r="R31">
        <f>IF(E31="F",J31-$N$5+$N$6*O31+Q31,IF(E31="D",J31+Q31+P31,IF(E31="T",J31+P31,IF(E31="A",J31-$N$5+$N$6*O31,0))))</f>
        <v>4952</v>
      </c>
      <c r="T31">
        <f>SUM(R31:S31)</f>
        <v>4952</v>
      </c>
      <c r="U31">
        <f>K31*N31</f>
        <v>8</v>
      </c>
      <c r="V31">
        <f>'Data-Kolom'!J31</f>
        <v>0</v>
      </c>
      <c r="W31">
        <f>'Data-Kolom'!K31</f>
        <v>0</v>
      </c>
      <c r="X31">
        <f>IF(V31&gt;0,VLOOKUP(W31,$V$2:$X$9,2,FALSE),0)</f>
        <v>0</v>
      </c>
      <c r="Y31">
        <f>IF(V31&gt;0,IF(L31&gt;0,M31-50+$N$6*W31,VLOOKUP(W31,$V$2:$X$9,3,FALSE)),0)</f>
        <v>0</v>
      </c>
      <c r="Z31">
        <f>IF(E31="F",J31-$N$5+$N$6*W31+Y31,IF(E31="D",J31+Y31+X31,IF(E31="T",J31+X31,IF(E31="A",J31-$N$5+$N$6*W31,0))))</f>
        <v>3300</v>
      </c>
      <c r="AB31">
        <f>SUM(Z31:AA31)</f>
        <v>3300</v>
      </c>
      <c r="AC31">
        <f>V31*K31</f>
        <v>0</v>
      </c>
      <c r="AD31">
        <f>'Data-Kolom'!L31</f>
        <v>8</v>
      </c>
      <c r="AE31">
        <f>'Data-Kolom'!M31</f>
        <v>100</v>
      </c>
      <c r="AF31">
        <f>'Data-Kolom'!N31</f>
        <v>100</v>
      </c>
      <c r="AG31">
        <f>'Data-Kolom'!O31</f>
        <v>100</v>
      </c>
      <c r="AH31">
        <f>'Data-Kolom'!P31</f>
        <v>0.5</v>
      </c>
      <c r="AI31">
        <f>'Data-Kolom'!Q31</f>
        <v>8</v>
      </c>
      <c r="AJ31">
        <f>'Data-Kolom'!R31</f>
        <v>0</v>
      </c>
      <c r="AK31">
        <f>'Data-Kolom'!S31</f>
        <v>0</v>
      </c>
      <c r="AL31">
        <f>2*(H31+I31-4*$N$5)+2*MAX($F$5*AD31,75)</f>
        <v>1330</v>
      </c>
      <c r="AM31">
        <f>+AH31*(H31-2*$N$5+2*MAX($F$5*AI31,75))+AJ31*(I31-2*$N$5+2*MAX($F$5*AK31,75))</f>
        <v>140</v>
      </c>
      <c r="AN31">
        <f>(ROUND((1/2*J31+IF(M31&gt;0,(Q31-$N$6*AD31),0))/AE31,0)+(ROUND(1/2*J31/AF31,0)+1))*K31</f>
        <v>40</v>
      </c>
      <c r="AO31">
        <f>H31*I31*J31/1000000000*K31*(1+$T$5)</f>
        <v>0.2805</v>
      </c>
      <c r="AP31">
        <f>0.006165*O31^2*T31*U31/1000*(1+$T$6)</f>
        <v>62.52355584</v>
      </c>
      <c r="AQ31">
        <f>0.006165*W31^2*AB31*AC31/1000*(1+$T$6)</f>
        <v>0</v>
      </c>
      <c r="AR31">
        <f>AN31*0.006165*AD31^2*AL31/1000*(1+$T$6)</f>
        <v>20.990592</v>
      </c>
      <c r="AS31">
        <f>AN31*0.006165*AI31^2*AM31/1000*(1+$T$6)</f>
        <v>2.209536</v>
      </c>
      <c r="AT31">
        <f>K31*2*J31*(H31+I31)/1000000*(1+$T$7)</f>
        <v>4.422</v>
      </c>
      <c r="AU31">
        <f>SUM(AP31:AS31)/AO31</f>
        <v>305.61028106951863</v>
      </c>
      <c r="AV31">
        <f>AT31/AO31</f>
        <v>15.764705882352938</v>
      </c>
      <c r="AX31">
        <f>0.006165*O31^2*R31*U31/1000*(1+$T$6)</f>
        <v>62.52355584</v>
      </c>
      <c r="AZ31">
        <f>0.006165*O31^2*S31*U31/1000*(1+$T$6)</f>
        <v>0</v>
      </c>
      <c r="BA31">
        <f>AZ31/AP31</f>
        <v>0</v>
      </c>
    </row>
    <row r="32">
      <c r="A32">
        <f>'Data-Kolom'!A32</f>
        <v>17</v>
      </c>
      <c r="B32" t="str">
        <f>'Data-Kolom'!B32</f>
        <v>Basement</v>
      </c>
      <c r="D32" t="str">
        <f>'Data-Kolom'!D32</f>
        <v>K174-1</v>
      </c>
      <c r="E32" t="str">
        <v>F</v>
      </c>
      <c r="F32">
        <f>'Data-Kolom'!U32</f>
        <v>0</v>
      </c>
      <c r="G32">
        <f>'Data-Kolom'!T32</f>
        <v>0</v>
      </c>
      <c r="H32">
        <f>'Data-Kolom'!E32</f>
        <v>170</v>
      </c>
      <c r="I32">
        <f>'Data-Kolom'!F32</f>
        <v>400</v>
      </c>
      <c r="J32">
        <f>'Data-Kolom'!G32</f>
        <v>3300</v>
      </c>
      <c r="K32">
        <v>1</v>
      </c>
      <c r="L32" t="str">
        <f>'Data-Kolom'!C32</f>
        <v>PC.1</v>
      </c>
      <c r="M32">
        <f>IF(L32&gt;0,VLOOKUP(L32,'Data-PC'!$B$14:$F$36,4,FALSE),0)</f>
        <v>500</v>
      </c>
      <c r="N32">
        <f>'Data-Kolom'!H32</f>
        <v>8</v>
      </c>
      <c r="O32">
        <f>'Data-Kolom'!I32</f>
        <v>13</v>
      </c>
      <c r="P32">
        <f>IF(N32&gt;0,VLOOKUP(O32,$V$2:$X$9,2,FALSE),0)</f>
        <v>820</v>
      </c>
      <c r="Q32">
        <f>IF(L32&gt;0,M32-50+$N$6*O32,VLOOKUP(O32,$V$2:$X$9,3,FALSE))</f>
        <v>606</v>
      </c>
      <c r="R32">
        <f>IF(E32="F",J32-$N$5+$N$6*O32+Q32,IF(E32="D",J32+Q32+P32,IF(E32="T",J32+P32,IF(E32="A",J32-$N$5+$N$6*O32,0))))</f>
        <v>4042</v>
      </c>
      <c r="T32">
        <f>SUM(R32:S32)</f>
        <v>4042</v>
      </c>
      <c r="U32">
        <f>K32*N32</f>
        <v>8</v>
      </c>
      <c r="V32">
        <f>'Data-Kolom'!J32</f>
        <v>0</v>
      </c>
      <c r="W32">
        <f>'Data-Kolom'!K32</f>
        <v>0</v>
      </c>
      <c r="X32">
        <f>IF(V32&gt;0,VLOOKUP(W32,$V$2:$X$9,2,FALSE),0)</f>
        <v>0</v>
      </c>
      <c r="Y32">
        <f>IF(V32&gt;0,IF(L32&gt;0,M32-50+$N$6*W32,VLOOKUP(W32,$V$2:$X$9,3,FALSE)),0)</f>
        <v>0</v>
      </c>
      <c r="Z32">
        <f>IF(E32="F",J32-$N$5+$N$6*W32+Y32,IF(E32="D",J32+Y32+X32,IF(E32="T",J32+X32,IF(E32="A",J32-$N$5+$N$6*W32,0))))</f>
        <v>3280</v>
      </c>
      <c r="AB32">
        <f>SUM(Z32:AA32)</f>
        <v>3280</v>
      </c>
      <c r="AC32">
        <f>V32*K32</f>
        <v>0</v>
      </c>
      <c r="AD32">
        <f>'Data-Kolom'!L32</f>
        <v>8</v>
      </c>
      <c r="AE32">
        <f>'Data-Kolom'!M32</f>
        <v>100</v>
      </c>
      <c r="AF32">
        <f>'Data-Kolom'!N32</f>
        <v>100</v>
      </c>
      <c r="AG32">
        <f>'Data-Kolom'!O32</f>
        <v>100</v>
      </c>
      <c r="AH32">
        <f>'Data-Kolom'!P32</f>
        <v>0</v>
      </c>
      <c r="AI32">
        <f>'Data-Kolom'!Q32</f>
        <v>0</v>
      </c>
      <c r="AJ32">
        <f>'Data-Kolom'!R32</f>
        <v>0</v>
      </c>
      <c r="AK32">
        <f>'Data-Kolom'!S32</f>
        <v>0</v>
      </c>
      <c r="AL32">
        <f>2*(H32+I32-4*$N$5)+2*MAX($F$5*AD32,75)</f>
        <v>1130</v>
      </c>
      <c r="AM32">
        <f>+AH32*(H32-2*$N$5+2*MAX($F$5*AI32,75))+AJ32*(I32-2*$N$5+2*MAX($F$5*AK32,75))</f>
        <v>0</v>
      </c>
      <c r="AN32">
        <f>(ROUND((1/2*J32+IF(M32&gt;0,(Q32-$N$6*AD32),0))/AE32,0)+(ROUND(1/2*J32/AF32,0)+1))*K32</f>
        <v>40</v>
      </c>
      <c r="AO32">
        <f>H32*I32*J32/1000000000*K32*(1+$T$5)</f>
        <v>0.2244</v>
      </c>
      <c r="AP32">
        <f>0.006165*O32^2*T32*U32/1000*(1+$T$6)</f>
        <v>33.69039336</v>
      </c>
      <c r="AQ32">
        <f>0.006165*W32^2*AB32*AC32/1000*(1+$T$6)</f>
        <v>0</v>
      </c>
      <c r="AR32">
        <f>AN32*0.006165*AD32^2*AL32/1000*(1+$T$6)</f>
        <v>17.834112</v>
      </c>
      <c r="AS32">
        <f>AN32*0.006165*AI32^2*AM32/1000*(1+$T$6)</f>
        <v>0</v>
      </c>
      <c r="AT32">
        <f>K32*2*J32*(H32+I32)/1000000*(1+$T$7)</f>
        <v>3.762</v>
      </c>
      <c r="AU32">
        <f>SUM(AP32:AS32)/AO32</f>
        <v>229.61009518716583</v>
      </c>
      <c r="AV32">
        <f>AT32/AO32</f>
        <v>16.764705882352942</v>
      </c>
      <c r="AX32">
        <f>0.006165*O32^2*R32*U32/1000*(1+$T$6)</f>
        <v>33.69039336</v>
      </c>
      <c r="AZ32">
        <f>0.006165*O32^2*S32*U32/1000*(1+$T$6)</f>
        <v>0</v>
      </c>
      <c r="BA32">
        <f>AZ32/AP32</f>
        <v>0</v>
      </c>
    </row>
    <row r="33">
      <c r="A33">
        <f>'Data-Kolom'!A33</f>
        <v>18</v>
      </c>
      <c r="B33" t="str">
        <f>'Data-Kolom'!B33</f>
        <v>Basement</v>
      </c>
      <c r="D33" t="str">
        <f>'Data-Kolom'!D33</f>
        <v>K175-4</v>
      </c>
      <c r="E33" t="str">
        <v>D</v>
      </c>
      <c r="F33">
        <f>'Data-Kolom'!U33</f>
        <v>0</v>
      </c>
      <c r="G33">
        <f>'Data-Kolom'!T33</f>
        <v>0</v>
      </c>
      <c r="H33">
        <f>'Data-Kolom'!E33</f>
        <v>170</v>
      </c>
      <c r="I33">
        <f>'Data-Kolom'!F33</f>
        <v>500</v>
      </c>
      <c r="J33">
        <f>'Data-Kolom'!G33</f>
        <v>3300</v>
      </c>
      <c r="K33">
        <v>1</v>
      </c>
      <c r="L33" t="str">
        <f>'Data-Kolom'!C33</f>
        <v>PC.2</v>
      </c>
      <c r="M33">
        <f>IF(L33&gt;0,VLOOKUP(L33,'Data-PC'!$B$14:$F$36,4,FALSE),0)</f>
        <v>500</v>
      </c>
      <c r="N33">
        <f>'Data-Kolom'!H33</f>
        <v>8</v>
      </c>
      <c r="O33">
        <f>'Data-Kolom'!I33</f>
        <v>19</v>
      </c>
      <c r="P33">
        <f>IF(N33&gt;0,VLOOKUP(O33,$V$2:$X$9,2,FALSE),0)</f>
        <v>1190</v>
      </c>
      <c r="Q33">
        <f>IF(L33&gt;0,M33-50+$N$6*O33,VLOOKUP(O33,$V$2:$X$9,3,FALSE))</f>
        <v>678</v>
      </c>
      <c r="R33">
        <f>IF(E33="F",J33-$N$5+$N$6*O33+Q33,IF(E33="D",J33+Q33+P33,IF(E33="T",J33+P33,IF(E33="A",J33-$N$5+$N$6*O33,0))))</f>
        <v>5168</v>
      </c>
      <c r="T33">
        <f>SUM(R33:S33)</f>
        <v>5168</v>
      </c>
      <c r="U33">
        <f>K33*N33</f>
        <v>8</v>
      </c>
      <c r="V33">
        <f>'Data-Kolom'!J33</f>
        <v>2</v>
      </c>
      <c r="W33">
        <f>'Data-Kolom'!K33</f>
        <v>8</v>
      </c>
      <c r="X33">
        <f>IF(V33&gt;0,VLOOKUP(W33,$V$2:$X$9,2,FALSE),0)</f>
        <v>400</v>
      </c>
      <c r="Y33">
        <f>IF(V33&gt;0,IF(L33&gt;0,M33-50+$N$6*W33,VLOOKUP(W33,$V$2:$X$9,3,FALSE)),0)</f>
        <v>546</v>
      </c>
      <c r="Z33">
        <f>IF(E33="F",J33-$N$5+$N$6*W33+Y33,IF(E33="D",J33+Y33+X33,IF(E33="T",J33+X33,IF(E33="A",J33-$N$5+$N$6*W33,0))))</f>
        <v>4246</v>
      </c>
      <c r="AB33">
        <f>SUM(Z33:AA33)</f>
        <v>4246</v>
      </c>
      <c r="AC33">
        <f>V33*K33</f>
        <v>2</v>
      </c>
      <c r="AD33">
        <f>'Data-Kolom'!L33</f>
        <v>10</v>
      </c>
      <c r="AE33">
        <f>'Data-Kolom'!M33</f>
        <v>100</v>
      </c>
      <c r="AF33">
        <f>'Data-Kolom'!N33</f>
        <v>100</v>
      </c>
      <c r="AG33">
        <f>'Data-Kolom'!O33</f>
        <v>100</v>
      </c>
      <c r="AH33">
        <f>'Data-Kolom'!P33</f>
        <v>0.5</v>
      </c>
      <c r="AI33">
        <f>'Data-Kolom'!Q33</f>
        <v>8</v>
      </c>
      <c r="AJ33">
        <f>'Data-Kolom'!R33</f>
        <v>0</v>
      </c>
      <c r="AK33">
        <f>'Data-Kolom'!S33</f>
        <v>0</v>
      </c>
      <c r="AL33">
        <f>2*(H33+I33-4*$N$5)+2*MAX($F$5*AD33,75)</f>
        <v>1330</v>
      </c>
      <c r="AM33">
        <f>+AH33*(H33-2*$N$5+2*MAX($F$5*AI33,75))+AJ33*(I33-2*$N$5+2*MAX($F$5*AK33,75))</f>
        <v>140</v>
      </c>
      <c r="AN33">
        <f>(ROUND((1/2*J33+IF(M33&gt;0,(Q33-$N$6*AD33),0))/AE33,0)+(ROUND(1/2*J33/AF33,0)+1))*K33</f>
        <v>40</v>
      </c>
      <c r="AO33">
        <f>H33*I33*J33/1000000000*K33*(1+$T$5)</f>
        <v>0.2805</v>
      </c>
      <c r="AP33">
        <f>0.006165*O33^2*T33*U33/1000*(1+$T$6)</f>
        <v>92.01375936</v>
      </c>
      <c r="AQ33">
        <f>0.006165*W33^2*AB33*AC33/1000*(1+$T$6)</f>
        <v>3.35060352</v>
      </c>
      <c r="AR33">
        <f>AN33*0.006165*AD33^2*AL33/1000*(1+$T$6)</f>
        <v>32.7978</v>
      </c>
      <c r="AS33">
        <f>AN33*0.006165*AI33^2*AM33/1000*(1+$T$6)</f>
        <v>2.209536</v>
      </c>
      <c r="AT33">
        <f>K33*2*J33*(H33+I33)/1000000*(1+$T$7)</f>
        <v>4.422</v>
      </c>
      <c r="AU33">
        <f>SUM(AP33:AS33)/AO33</f>
        <v>464.7832402139037</v>
      </c>
      <c r="AV33">
        <f>AT33/AO33</f>
        <v>15.764705882352938</v>
      </c>
      <c r="AX33">
        <f>0.006165*O33^2*R33*U33/1000*(1+$T$6)</f>
        <v>92.01375936</v>
      </c>
      <c r="AZ33">
        <f>0.006165*O33^2*S33*U33/1000*(1+$T$6)</f>
        <v>0</v>
      </c>
      <c r="BA33">
        <f>AZ33/AP33</f>
        <v>0</v>
      </c>
    </row>
    <row r="34">
      <c r="A34">
        <f>'Data-Kolom'!A34</f>
        <v>19</v>
      </c>
      <c r="B34" t="str">
        <f>'Data-Kolom'!B34</f>
        <v>Basement</v>
      </c>
      <c r="D34" t="str">
        <f>'Data-Kolom'!D34</f>
        <v>K178-1</v>
      </c>
      <c r="E34" t="str">
        <v>D</v>
      </c>
      <c r="F34">
        <f>'Data-Kolom'!U34</f>
        <v>0</v>
      </c>
      <c r="G34">
        <f>'Data-Kolom'!T34</f>
        <v>0</v>
      </c>
      <c r="H34">
        <f>'Data-Kolom'!E34</f>
        <v>170</v>
      </c>
      <c r="I34">
        <f>'Data-Kolom'!F34</f>
        <v>800</v>
      </c>
      <c r="J34">
        <f>'Data-Kolom'!G34</f>
        <v>3300</v>
      </c>
      <c r="K34">
        <v>1</v>
      </c>
      <c r="L34" t="str">
        <f>'Data-Kolom'!C34</f>
        <v>PC.2</v>
      </c>
      <c r="M34">
        <f>IF(L34&gt;0,VLOOKUP(L34,'Data-PC'!$B$14:$F$36,4,FALSE),0)</f>
        <v>500</v>
      </c>
      <c r="N34">
        <f>'Data-Kolom'!H34</f>
        <v>8</v>
      </c>
      <c r="O34">
        <f>'Data-Kolom'!I34</f>
        <v>16</v>
      </c>
      <c r="P34">
        <f>IF(N34&gt;0,VLOOKUP(O34,$V$2:$X$9,2,FALSE),0)</f>
        <v>1010</v>
      </c>
      <c r="Q34">
        <f>IF(L34&gt;0,M34-50+$N$6*O34,VLOOKUP(O34,$V$2:$X$9,3,FALSE))</f>
        <v>642</v>
      </c>
      <c r="R34">
        <f>IF(E34="F",J34-$N$5+$N$6*O34+Q34,IF(E34="D",J34+Q34+P34,IF(E34="T",J34+P34,IF(E34="A",J34-$N$5+$N$6*O34,0))))</f>
        <v>4952</v>
      </c>
      <c r="T34">
        <f>SUM(R34:S34)</f>
        <v>4952</v>
      </c>
      <c r="U34">
        <f>K34*N34</f>
        <v>8</v>
      </c>
      <c r="V34">
        <f>'Data-Kolom'!J34</f>
        <v>0</v>
      </c>
      <c r="W34">
        <f>'Data-Kolom'!K34</f>
        <v>0</v>
      </c>
      <c r="X34">
        <f>IF(V34&gt;0,VLOOKUP(W34,$V$2:$X$9,2,FALSE),0)</f>
        <v>0</v>
      </c>
      <c r="Y34">
        <f>IF(V34&gt;0,IF(L34&gt;0,M34-50+$N$6*W34,VLOOKUP(W34,$V$2:$X$9,3,FALSE)),0)</f>
        <v>0</v>
      </c>
      <c r="Z34">
        <f>IF(E34="F",J34-$N$5+$N$6*W34+Y34,IF(E34="D",J34+Y34+X34,IF(E34="T",J34+X34,IF(E34="A",J34-$N$5+$N$6*W34,0))))</f>
        <v>3300</v>
      </c>
      <c r="AB34">
        <f>SUM(Z34:AA34)</f>
        <v>3300</v>
      </c>
      <c r="AC34">
        <f>V34*K34</f>
        <v>0</v>
      </c>
      <c r="AD34">
        <f>'Data-Kolom'!L34</f>
        <v>8</v>
      </c>
      <c r="AE34">
        <f>'Data-Kolom'!M34</f>
        <v>100</v>
      </c>
      <c r="AF34">
        <f>'Data-Kolom'!N34</f>
        <v>100</v>
      </c>
      <c r="AG34">
        <f>'Data-Kolom'!O34</f>
        <v>100</v>
      </c>
      <c r="AH34">
        <f>'Data-Kolom'!P34</f>
        <v>1</v>
      </c>
      <c r="AI34">
        <f>'Data-Kolom'!Q34</f>
        <v>8</v>
      </c>
      <c r="AJ34">
        <f>'Data-Kolom'!R34</f>
        <v>0</v>
      </c>
      <c r="AK34">
        <f>'Data-Kolom'!S34</f>
        <v>0</v>
      </c>
      <c r="AL34">
        <f>2*(H34+I34-4*$N$5)+2*MAX($F$5*AD34,75)</f>
        <v>1930</v>
      </c>
      <c r="AM34">
        <f>+AH34*(H34-2*$N$5+2*MAX($F$5*AI34,75))+AJ34*(I34-2*$N$5+2*MAX($F$5*AK34,75))</f>
        <v>280</v>
      </c>
      <c r="AN34">
        <f>(ROUND((1/2*J34+IF(M34&gt;0,(Q34-$N$6*AD34),0))/AE34,0)+(ROUND(1/2*J34/AF34,0)+1))*K34</f>
        <v>40</v>
      </c>
      <c r="AO34">
        <f>H34*I34*J34/1000000000*K34*(1+$T$5)</f>
        <v>0.4488</v>
      </c>
      <c r="AP34">
        <f>0.006165*O34^2*T34*U34/1000*(1+$T$6)</f>
        <v>62.52355584</v>
      </c>
      <c r="AQ34">
        <f>0.006165*W34^2*AB34*AC34/1000*(1+$T$6)</f>
        <v>0</v>
      </c>
      <c r="AR34">
        <f>AN34*0.006165*AD34^2*AL34/1000*(1+$T$6)</f>
        <v>30.460032</v>
      </c>
      <c r="AS34">
        <f>AN34*0.006165*AI34^2*AM34/1000*(1+$T$6)</f>
        <v>4.419072</v>
      </c>
      <c r="AT34">
        <f>K34*2*J34*(H34+I34)/1000000*(1+$T$7)</f>
        <v>6.402</v>
      </c>
      <c r="AU34">
        <f>SUM(AP34:AS34)/AO34</f>
        <v>217.02909946524065</v>
      </c>
      <c r="AV34">
        <f>AT34/AO34</f>
        <v>14.264705882352942</v>
      </c>
      <c r="AX34">
        <f>0.006165*O34^2*R34*U34/1000*(1+$T$6)</f>
        <v>62.52355584</v>
      </c>
      <c r="AZ34">
        <f>0.006165*O34^2*S34*U34/1000*(1+$T$6)</f>
        <v>0</v>
      </c>
      <c r="BA34">
        <f>AZ34/AP34</f>
        <v>0</v>
      </c>
    </row>
    <row r="35">
      <c r="A35">
        <f>'Data-Kolom'!A35</f>
        <v>20</v>
      </c>
      <c r="B35" t="str">
        <f>'Data-Kolom'!B35</f>
        <v>Basement</v>
      </c>
      <c r="D35" t="str">
        <f>'Data-Kolom'!D35</f>
        <v>K174-1</v>
      </c>
      <c r="E35" t="str">
        <v>D</v>
      </c>
      <c r="F35">
        <f>'Data-Kolom'!U35</f>
        <v>0</v>
      </c>
      <c r="G35">
        <f>'Data-Kolom'!T35</f>
        <v>0</v>
      </c>
      <c r="H35">
        <f>'Data-Kolom'!E35</f>
        <v>170</v>
      </c>
      <c r="I35">
        <f>'Data-Kolom'!F35</f>
        <v>400</v>
      </c>
      <c r="J35">
        <f>'Data-Kolom'!G35</f>
        <v>3300</v>
      </c>
      <c r="K35">
        <v>1</v>
      </c>
      <c r="L35" t="str">
        <f>'Data-Kolom'!C35</f>
        <v>PC.1</v>
      </c>
      <c r="M35">
        <f>IF(L35&gt;0,VLOOKUP(L35,'Data-PC'!$B$14:$F$36,4,FALSE),0)</f>
        <v>500</v>
      </c>
      <c r="N35">
        <f>'Data-Kolom'!H35</f>
        <v>8</v>
      </c>
      <c r="O35">
        <f>'Data-Kolom'!I35</f>
        <v>13</v>
      </c>
      <c r="P35">
        <f>IF(N35&gt;0,VLOOKUP(O35,$V$2:$X$9,2,FALSE),0)</f>
        <v>820</v>
      </c>
      <c r="Q35">
        <f>IF(L35&gt;0,M35-50+$N$6*O35,VLOOKUP(O35,$V$2:$X$9,3,FALSE))</f>
        <v>606</v>
      </c>
      <c r="R35">
        <f>IF(E35="F",J35-$N$5+$N$6*O35+Q35,IF(E35="D",J35+Q35+P35,IF(E35="T",J35+P35,IF(E35="A",J35-$N$5+$N$6*O35,0))))</f>
        <v>4726</v>
      </c>
      <c r="T35">
        <f>SUM(R35:S35)</f>
        <v>4726</v>
      </c>
      <c r="U35">
        <f>K35*N35</f>
        <v>8</v>
      </c>
      <c r="V35">
        <f>'Data-Kolom'!J35</f>
        <v>0</v>
      </c>
      <c r="W35">
        <f>'Data-Kolom'!K35</f>
        <v>0</v>
      </c>
      <c r="X35">
        <f>IF(V35&gt;0,VLOOKUP(W35,$V$2:$X$9,2,FALSE),0)</f>
        <v>0</v>
      </c>
      <c r="Y35">
        <f>IF(V35&gt;0,IF(L35&gt;0,M35-50+$N$6*W35,VLOOKUP(W35,$V$2:$X$9,3,FALSE)),0)</f>
        <v>0</v>
      </c>
      <c r="Z35">
        <f>IF(E35="F",J35-$N$5+$N$6*W35+Y35,IF(E35="D",J35+Y35+X35,IF(E35="T",J35+X35,IF(E35="A",J35-$N$5+$N$6*W35,0))))</f>
        <v>3300</v>
      </c>
      <c r="AB35">
        <f>SUM(Z35:AA35)</f>
        <v>3300</v>
      </c>
      <c r="AC35">
        <f>V35*K35</f>
        <v>0</v>
      </c>
      <c r="AD35">
        <f>'Data-Kolom'!L35</f>
        <v>8</v>
      </c>
      <c r="AE35">
        <f>'Data-Kolom'!M35</f>
        <v>100</v>
      </c>
      <c r="AF35">
        <f>'Data-Kolom'!N35</f>
        <v>100</v>
      </c>
      <c r="AG35">
        <f>'Data-Kolom'!O35</f>
        <v>100</v>
      </c>
      <c r="AH35">
        <f>'Data-Kolom'!P35</f>
        <v>0</v>
      </c>
      <c r="AI35">
        <f>'Data-Kolom'!Q35</f>
        <v>0</v>
      </c>
      <c r="AJ35">
        <f>'Data-Kolom'!R35</f>
        <v>0</v>
      </c>
      <c r="AK35">
        <f>'Data-Kolom'!S35</f>
        <v>0</v>
      </c>
      <c r="AL35">
        <f>2*(H35+I35-4*$N$5)+2*MAX($F$5*AD35,75)</f>
        <v>1130</v>
      </c>
      <c r="AM35">
        <f>+AH35*(H35-2*$N$5+2*MAX($F$5*AI35,75))+AJ35*(I35-2*$N$5+2*MAX($F$5*AK35,75))</f>
        <v>0</v>
      </c>
      <c r="AN35">
        <f>(ROUND((1/2*J35+IF(M35&gt;0,(Q35-$N$6*AD35),0))/AE35,0)+(ROUND(1/2*J35/AF35,0)+1))*K35</f>
        <v>40</v>
      </c>
      <c r="AO35">
        <f>H35*I35*J35/1000000000*K35*(1+$T$5)</f>
        <v>0.2244</v>
      </c>
      <c r="AP35">
        <f>0.006165*O35^2*T35*U35/1000*(1+$T$6)</f>
        <v>39.39158808</v>
      </c>
      <c r="AQ35">
        <f>0.006165*W35^2*AB35*AC35/1000*(1+$T$6)</f>
        <v>0</v>
      </c>
      <c r="AR35">
        <f>AN35*0.006165*AD35^2*AL35/1000*(1+$T$6)</f>
        <v>17.834112</v>
      </c>
      <c r="AS35">
        <f>AN35*0.006165*AI35^2*AM35/1000*(1+$T$6)</f>
        <v>0</v>
      </c>
      <c r="AT35">
        <f>K35*2*J35*(H35+I35)/1000000*(1+$T$7)</f>
        <v>3.762</v>
      </c>
      <c r="AU35">
        <f>SUM(AP35:AS35)/AO35</f>
        <v>255.01648877005346</v>
      </c>
      <c r="AV35">
        <f>AT35/AO35</f>
        <v>16.764705882352942</v>
      </c>
      <c r="AX35">
        <f>0.006165*O35^2*R35*U35/1000*(1+$T$6)</f>
        <v>39.39158808</v>
      </c>
      <c r="AZ35">
        <f>0.006165*O35^2*S35*U35/1000*(1+$T$6)</f>
        <v>0</v>
      </c>
      <c r="BA35">
        <f>AZ35/AP35</f>
        <v>0</v>
      </c>
    </row>
    <row r="36">
      <c r="A36">
        <f>'Data-Kolom'!A36</f>
        <v>21</v>
      </c>
      <c r="B36" t="str">
        <f>'Data-Kolom'!B36</f>
        <v>Basement</v>
      </c>
      <c r="D36" t="str">
        <f>'Data-Kolom'!D36</f>
        <v>K178-1</v>
      </c>
      <c r="E36" t="str">
        <v>D</v>
      </c>
      <c r="F36">
        <f>'Data-Kolom'!U36</f>
        <v>0</v>
      </c>
      <c r="G36">
        <f>'Data-Kolom'!T36</f>
        <v>0</v>
      </c>
      <c r="H36">
        <f>'Data-Kolom'!E36</f>
        <v>170</v>
      </c>
      <c r="I36">
        <f>'Data-Kolom'!F36</f>
        <v>800</v>
      </c>
      <c r="J36">
        <f>'Data-Kolom'!G36</f>
        <v>3300</v>
      </c>
      <c r="K36">
        <v>1</v>
      </c>
      <c r="L36" t="str">
        <f>'Data-Kolom'!C36</f>
        <v>PC.2</v>
      </c>
      <c r="M36">
        <f>IF(L36&gt;0,VLOOKUP(L36,'Data-PC'!$B$14:$F$36,4,FALSE),0)</f>
        <v>500</v>
      </c>
      <c r="N36">
        <f>'Data-Kolom'!H36</f>
        <v>8</v>
      </c>
      <c r="O36">
        <f>'Data-Kolom'!I36</f>
        <v>16</v>
      </c>
      <c r="P36">
        <f>IF(N36&gt;0,VLOOKUP(O36,$V$2:$X$9,2,FALSE),0)</f>
        <v>1010</v>
      </c>
      <c r="Q36">
        <f>IF(L36&gt;0,M36-50+$N$6*O36,VLOOKUP(O36,$V$2:$X$9,3,FALSE))</f>
        <v>642</v>
      </c>
      <c r="R36">
        <f>IF(E36="F",J36-$N$5+$N$6*O36+Q36,IF(E36="D",J36+Q36+P36,IF(E36="T",J36+P36,IF(E36="A",J36-$N$5+$N$6*O36,0))))</f>
        <v>4952</v>
      </c>
      <c r="T36">
        <f>SUM(R36:S36)</f>
        <v>4952</v>
      </c>
      <c r="U36">
        <f>K36*N36</f>
        <v>8</v>
      </c>
      <c r="V36">
        <f>'Data-Kolom'!J36</f>
        <v>0</v>
      </c>
      <c r="W36">
        <f>'Data-Kolom'!K36</f>
        <v>0</v>
      </c>
      <c r="X36">
        <f>IF(V36&gt;0,VLOOKUP(W36,$V$2:$X$9,2,FALSE),0)</f>
        <v>0</v>
      </c>
      <c r="Y36">
        <f>IF(V36&gt;0,IF(L36&gt;0,M36-50+$N$6*W36,VLOOKUP(W36,$V$2:$X$9,3,FALSE)),0)</f>
        <v>0</v>
      </c>
      <c r="Z36">
        <f>IF(E36="F",J36-$N$5+$N$6*W36+Y36,IF(E36="D",J36+Y36+X36,IF(E36="T",J36+X36,IF(E36="A",J36-$N$5+$N$6*W36,0))))</f>
        <v>3300</v>
      </c>
      <c r="AB36">
        <f>SUM(Z36:AA36)</f>
        <v>3300</v>
      </c>
      <c r="AC36">
        <f>V36*K36</f>
        <v>0</v>
      </c>
      <c r="AD36">
        <f>'Data-Kolom'!L36</f>
        <v>8</v>
      </c>
      <c r="AE36">
        <f>'Data-Kolom'!M36</f>
        <v>100</v>
      </c>
      <c r="AF36">
        <f>'Data-Kolom'!N36</f>
        <v>100</v>
      </c>
      <c r="AG36">
        <f>'Data-Kolom'!O36</f>
        <v>100</v>
      </c>
      <c r="AH36">
        <f>'Data-Kolom'!P36</f>
        <v>1</v>
      </c>
      <c r="AI36">
        <f>'Data-Kolom'!Q36</f>
        <v>8</v>
      </c>
      <c r="AJ36">
        <f>'Data-Kolom'!R36</f>
        <v>0</v>
      </c>
      <c r="AK36">
        <f>'Data-Kolom'!S36</f>
        <v>0</v>
      </c>
      <c r="AL36">
        <f>2*(H36+I36-4*$N$5)+2*MAX($F$5*AD36,75)</f>
        <v>1930</v>
      </c>
      <c r="AM36">
        <f>+AH36*(H36-2*$N$5+2*MAX($F$5*AI36,75))+AJ36*(I36-2*$N$5+2*MAX($F$5*AK36,75))</f>
        <v>280</v>
      </c>
      <c r="AN36">
        <f>(ROUND((1/2*J36+IF(M36&gt;0,(Q36-$N$6*AD36),0))/AE36,0)+(ROUND(1/2*J36/AF36,0)+1))*K36</f>
        <v>40</v>
      </c>
      <c r="AO36">
        <f>H36*I36*J36/1000000000*K36*(1+$T$5)</f>
        <v>0.4488</v>
      </c>
      <c r="AP36">
        <f>0.006165*O36^2*T36*U36/1000*(1+$T$6)</f>
        <v>62.52355584</v>
      </c>
      <c r="AQ36">
        <f>0.006165*W36^2*AB36*AC36/1000*(1+$T$6)</f>
        <v>0</v>
      </c>
      <c r="AR36">
        <f>AN36*0.006165*AD36^2*AL36/1000*(1+$T$6)</f>
        <v>30.460032</v>
      </c>
      <c r="AS36">
        <f>AN36*0.006165*AI36^2*AM36/1000*(1+$T$6)</f>
        <v>4.419072</v>
      </c>
      <c r="AT36">
        <f>K36*2*J36*(H36+I36)/1000000*(1+$T$7)</f>
        <v>6.402</v>
      </c>
      <c r="AU36">
        <f>SUM(AP36:AS36)/AO36</f>
        <v>217.02909946524065</v>
      </c>
      <c r="AV36">
        <f>AT36/AO36</f>
        <v>14.264705882352942</v>
      </c>
      <c r="AX36">
        <f>0.006165*O36^2*R36*U36/1000*(1+$T$6)</f>
        <v>62.52355584</v>
      </c>
      <c r="AZ36">
        <f>0.006165*O36^2*S36*U36/1000*(1+$T$6)</f>
        <v>0</v>
      </c>
      <c r="BA36">
        <f>AZ36/AP36</f>
        <v>0</v>
      </c>
    </row>
    <row r="37">
      <c r="A37">
        <f>'Data-Kolom'!A37</f>
        <v>22</v>
      </c>
      <c r="B37" t="str">
        <f>'Data-Kolom'!B37</f>
        <v>Basement</v>
      </c>
      <c r="D37" t="str">
        <f>'Data-Kolom'!D37</f>
        <v>K175-1</v>
      </c>
      <c r="E37" t="str">
        <v>D</v>
      </c>
      <c r="F37">
        <f>'Data-Kolom'!U37</f>
        <v>0</v>
      </c>
      <c r="G37">
        <f>'Data-Kolom'!T37</f>
        <v>0</v>
      </c>
      <c r="H37">
        <f>'Data-Kolom'!E37</f>
        <v>170</v>
      </c>
      <c r="I37">
        <f>'Data-Kolom'!F37</f>
        <v>500</v>
      </c>
      <c r="J37">
        <f>'Data-Kolom'!G37</f>
        <v>3300</v>
      </c>
      <c r="K37">
        <v>1</v>
      </c>
      <c r="L37" t="str">
        <f>'Data-Kolom'!C37</f>
        <v>PC.2</v>
      </c>
      <c r="M37">
        <f>IF(L37&gt;0,VLOOKUP(L37,'Data-PC'!$B$14:$F$36,4,FALSE),0)</f>
        <v>500</v>
      </c>
      <c r="N37">
        <f>'Data-Kolom'!H37</f>
        <v>6</v>
      </c>
      <c r="O37">
        <f>'Data-Kolom'!I37</f>
        <v>16</v>
      </c>
      <c r="P37">
        <f>IF(N37&gt;0,VLOOKUP(O37,$V$2:$X$9,2,FALSE),0)</f>
        <v>1010</v>
      </c>
      <c r="Q37">
        <f>IF(L37&gt;0,M37-50+$N$6*O37,VLOOKUP(O37,$V$2:$X$9,3,FALSE))</f>
        <v>642</v>
      </c>
      <c r="R37">
        <f>IF(E37="F",J37-$N$5+$N$6*O37+Q37,IF(E37="D",J37+Q37+P37,IF(E37="T",J37+P37,IF(E37="A",J37-$N$5+$N$6*O37,0))))</f>
        <v>4952</v>
      </c>
      <c r="T37">
        <f>SUM(R37:S37)</f>
        <v>4952</v>
      </c>
      <c r="U37">
        <f>K37*N37</f>
        <v>6</v>
      </c>
      <c r="V37">
        <f>'Data-Kolom'!J37</f>
        <v>0</v>
      </c>
      <c r="W37">
        <f>'Data-Kolom'!K37</f>
        <v>0</v>
      </c>
      <c r="X37">
        <f>IF(V37&gt;0,VLOOKUP(W37,$V$2:$X$9,2,FALSE),0)</f>
        <v>0</v>
      </c>
      <c r="Y37">
        <f>IF(V37&gt;0,IF(L37&gt;0,M37-50+$N$6*W37,VLOOKUP(W37,$V$2:$X$9,3,FALSE)),0)</f>
        <v>0</v>
      </c>
      <c r="Z37">
        <f>IF(E37="F",J37-$N$5+$N$6*W37+Y37,IF(E37="D",J37+Y37+X37,IF(E37="T",J37+X37,IF(E37="A",J37-$N$5+$N$6*W37,0))))</f>
        <v>3300</v>
      </c>
      <c r="AB37">
        <f>SUM(Z37:AA37)</f>
        <v>3300</v>
      </c>
      <c r="AC37">
        <f>V37*K37</f>
        <v>0</v>
      </c>
      <c r="AD37">
        <f>'Data-Kolom'!L37</f>
        <v>8</v>
      </c>
      <c r="AE37">
        <f>'Data-Kolom'!M37</f>
        <v>100</v>
      </c>
      <c r="AF37">
        <f>'Data-Kolom'!N37</f>
        <v>100</v>
      </c>
      <c r="AG37">
        <f>'Data-Kolom'!O37</f>
        <v>100</v>
      </c>
      <c r="AH37">
        <f>'Data-Kolom'!P37</f>
        <v>0.5</v>
      </c>
      <c r="AI37">
        <f>'Data-Kolom'!Q37</f>
        <v>8</v>
      </c>
      <c r="AJ37">
        <f>'Data-Kolom'!R37</f>
        <v>0</v>
      </c>
      <c r="AK37">
        <f>'Data-Kolom'!S37</f>
        <v>0</v>
      </c>
      <c r="AL37">
        <f>2*(H37+I37-4*$N$5)+2*MAX($F$5*AD37,75)</f>
        <v>1330</v>
      </c>
      <c r="AM37">
        <f>+AH37*(H37-2*$N$5+2*MAX($F$5*AI37,75))+AJ37*(I37-2*$N$5+2*MAX($F$5*AK37,75))</f>
        <v>140</v>
      </c>
      <c r="AN37">
        <f>(ROUND((1/2*J37+IF(M37&gt;0,(Q37-$N$6*AD37),0))/AE37,0)+(ROUND(1/2*J37/AF37,0)+1))*K37</f>
        <v>40</v>
      </c>
      <c r="AO37">
        <f>H37*I37*J37/1000000000*K37*(1+$T$5)</f>
        <v>0.2805</v>
      </c>
      <c r="AP37">
        <f>0.006165*O37^2*T37*U37/1000*(1+$T$6)</f>
        <v>46.89266688000001</v>
      </c>
      <c r="AQ37">
        <f>0.006165*W37^2*AB37*AC37/1000*(1+$T$6)</f>
        <v>0</v>
      </c>
      <c r="AR37">
        <f>AN37*0.006165*AD37^2*AL37/1000*(1+$T$6)</f>
        <v>20.990592</v>
      </c>
      <c r="AS37">
        <f>AN37*0.006165*AI37^2*AM37/1000*(1+$T$6)</f>
        <v>2.209536</v>
      </c>
      <c r="AT37">
        <f>K37*2*J37*(H37+I37)/1000000*(1+$T$7)</f>
        <v>4.422</v>
      </c>
      <c r="AU37">
        <f>SUM(AP37:AS37)/AO37</f>
        <v>249.8851867379679</v>
      </c>
      <c r="AV37">
        <f>AT37/AO37</f>
        <v>15.764705882352938</v>
      </c>
      <c r="AX37">
        <f>0.006165*O37^2*R37*U37/1000*(1+$T$6)</f>
        <v>46.89266688000001</v>
      </c>
      <c r="AZ37">
        <f>0.006165*O37^2*S37*U37/1000*(1+$T$6)</f>
        <v>0</v>
      </c>
      <c r="BA37">
        <f>AZ37/AP37</f>
        <v>0</v>
      </c>
    </row>
    <row r="38">
      <c r="A38">
        <f>'Data-Kolom'!A38</f>
        <v>23</v>
      </c>
      <c r="B38" t="str">
        <f>'Data-Kolom'!B38</f>
        <v>Basement</v>
      </c>
      <c r="D38" t="str">
        <f>'Data-Kolom'!D38</f>
        <v>KL172258-1</v>
      </c>
      <c r="E38" t="str">
        <v>F</v>
      </c>
      <c r="F38">
        <f>'Data-Kolom'!U38</f>
        <v>0</v>
      </c>
      <c r="G38">
        <f>'Data-Kolom'!T38</f>
        <v>0</v>
      </c>
      <c r="H38">
        <f>'Data-Kolom'!E38</f>
        <v>220</v>
      </c>
      <c r="I38">
        <f>'Data-Kolom'!F38</f>
        <v>650</v>
      </c>
      <c r="J38">
        <f>'Data-Kolom'!G38</f>
        <v>3300</v>
      </c>
      <c r="K38">
        <v>2</v>
      </c>
      <c r="L38" t="str">
        <f>'Data-Kolom'!C38</f>
        <v>PC.5B</v>
      </c>
      <c r="M38">
        <f>IF(L38&gt;0,VLOOKUP(L38,'Data-PC'!$B$14:$F$36,4,FALSE),0)</f>
        <v>700</v>
      </c>
      <c r="N38">
        <f>'Data-Kolom'!H38</f>
        <v>8</v>
      </c>
      <c r="O38">
        <f>'Data-Kolom'!I38</f>
        <v>19</v>
      </c>
      <c r="P38">
        <f>IF(N38&gt;0,VLOOKUP(O38,$V$2:$X$9,2,FALSE),0)</f>
        <v>1190</v>
      </c>
      <c r="Q38">
        <f>IF(L38&gt;0,M38-50+$N$6*O38,VLOOKUP(O38,$V$2:$X$9,3,FALSE))</f>
        <v>878</v>
      </c>
      <c r="R38">
        <f>IF(E38="F",J38-$N$5+$N$6*O38+Q38,IF(E38="D",J38+Q38+P38,IF(E38="T",J38+P38,IF(E38="A",J38-$N$5+$N$6*O38,0))))</f>
        <v>4386</v>
      </c>
      <c r="T38">
        <f>SUM(R38:S38)</f>
        <v>4386</v>
      </c>
      <c r="U38">
        <f>K38*N38</f>
        <v>16</v>
      </c>
      <c r="V38">
        <f>'Data-Kolom'!J38</f>
        <v>0</v>
      </c>
      <c r="W38">
        <f>'Data-Kolom'!K38</f>
        <v>0</v>
      </c>
      <c r="X38">
        <f>IF(V38&gt;0,VLOOKUP(W38,$V$2:$X$9,2,FALSE),0)</f>
        <v>0</v>
      </c>
      <c r="Y38">
        <f>IF(V38&gt;0,IF(L38&gt;0,M38-50+$N$6*W38,VLOOKUP(W38,$V$2:$X$9,3,FALSE)),0)</f>
        <v>0</v>
      </c>
      <c r="Z38">
        <f>IF(E38="F",J38-$N$5+$N$6*W38+Y38,IF(E38="D",J38+Y38+X38,IF(E38="T",J38+X38,IF(E38="A",J38-$N$5+$N$6*W38,0))))</f>
        <v>3280</v>
      </c>
      <c r="AB38">
        <f>SUM(Z38:AA38)</f>
        <v>3280</v>
      </c>
      <c r="AC38">
        <f>V38*K38</f>
        <v>0</v>
      </c>
      <c r="AD38">
        <f>'Data-Kolom'!L38</f>
        <v>10</v>
      </c>
      <c r="AE38">
        <f>'Data-Kolom'!M38</f>
        <v>100</v>
      </c>
      <c r="AF38">
        <f>'Data-Kolom'!N38</f>
        <v>100</v>
      </c>
      <c r="AG38">
        <f>'Data-Kolom'!O38</f>
        <v>100</v>
      </c>
      <c r="AH38">
        <f>'Data-Kolom'!P38</f>
        <v>1</v>
      </c>
      <c r="AI38">
        <f>'Data-Kolom'!Q38</f>
        <v>10</v>
      </c>
      <c r="AJ38">
        <f>'Data-Kolom'!R38</f>
        <v>0</v>
      </c>
      <c r="AK38">
        <f>'Data-Kolom'!S38</f>
        <v>0</v>
      </c>
      <c r="AL38">
        <f>2*(H38+I38-4*$N$5)+2*MAX($F$5*AD38,75)</f>
        <v>1730</v>
      </c>
      <c r="AM38">
        <f>+AH38*(H38-2*$N$5+2*MAX($F$5*AI38,75))+AJ38*(I38-2*$N$5+2*MAX($F$5*AK38,75))</f>
        <v>330</v>
      </c>
      <c r="AN38">
        <f>(ROUND((1/2*J38+IF(M38&gt;0,(Q38-$N$6*AD38),0))/AE38,0)+(ROUND(1/2*J38/AF38,0)+1))*K38</f>
        <v>84</v>
      </c>
      <c r="AO38">
        <f>H38*I38*J38/1000000000*K38*(1+$T$5)-(K38/2*H38*H38*J38/1000000000)</f>
        <v>0.78408</v>
      </c>
      <c r="AP38">
        <f>0.006165*O38^2*T38*U38/1000*(1+$T$6)</f>
        <v>156.18124944000002</v>
      </c>
      <c r="AQ38">
        <f>0.006165*W38^2*AB38*AC38/1000*(1+$T$6)</f>
        <v>0</v>
      </c>
      <c r="AR38">
        <f>AN38*0.006165*AD38^2*AL38/1000*(1+$T$6)</f>
        <v>89.58978</v>
      </c>
      <c r="AS38">
        <f>AN38*0.006165*AI38^2*AM38/1000*(1+$T$6)</f>
        <v>17.089380000000002</v>
      </c>
      <c r="AT38">
        <f>K38*2*J38*(H38+I38)/1000000*(1+$T$7)-(K38/2*4*H38*J38/1000000)</f>
        <v>8.58</v>
      </c>
      <c r="AU38">
        <f>SUM(AP38:AS38)/AO38</f>
        <v>335.2469256198347</v>
      </c>
      <c r="AV38">
        <f>AT38/AO38</f>
        <v>10.942760942760943</v>
      </c>
      <c r="AX38">
        <f>0.006165*O38^2*R38*U38/1000*(1+$T$6)</f>
        <v>156.18124944000002</v>
      </c>
      <c r="AZ38">
        <f>0.006165*O38^2*S38*U38/1000*(1+$T$6)</f>
        <v>0</v>
      </c>
      <c r="BA38">
        <f>AZ38/AP38</f>
        <v>0</v>
      </c>
    </row>
    <row r="39">
      <c r="A39">
        <f>'Data-Kolom'!A39</f>
        <v>24</v>
      </c>
      <c r="B39" t="str">
        <f>'Data-Kolom'!B39</f>
        <v>Basement</v>
      </c>
      <c r="D39" t="str">
        <f>'Data-Kolom'!D39</f>
        <v>K59-1</v>
      </c>
      <c r="E39" t="str">
        <v>F</v>
      </c>
      <c r="F39">
        <f>'Data-Kolom'!U39</f>
        <v>0</v>
      </c>
      <c r="G39">
        <f>'Data-Kolom'!T39</f>
        <v>0</v>
      </c>
      <c r="H39">
        <f>'Data-Kolom'!E39</f>
        <v>500</v>
      </c>
      <c r="I39">
        <f>'Data-Kolom'!F39</f>
        <v>900</v>
      </c>
      <c r="J39">
        <f>'Data-Kolom'!G39</f>
        <v>3300</v>
      </c>
      <c r="K39">
        <v>1</v>
      </c>
      <c r="L39" t="str">
        <f>'Data-Kolom'!C39</f>
        <v>PC.6A</v>
      </c>
      <c r="M39">
        <f>IF(L39&gt;0,VLOOKUP(L39,'Data-PC'!$B$14:$F$36,4,FALSE),0)</f>
        <v>800</v>
      </c>
      <c r="N39">
        <f>'Data-Kolom'!H39</f>
        <v>18</v>
      </c>
      <c r="O39">
        <f>'Data-Kolom'!I39</f>
        <v>22</v>
      </c>
      <c r="P39">
        <f>IF(N39&gt;0,VLOOKUP(O39,$V$2:$X$9,2,FALSE),0)</f>
        <v>1700</v>
      </c>
      <c r="Q39">
        <f>IF(L39&gt;0,M39-50+$N$6*O39,VLOOKUP(O39,$V$2:$X$9,3,FALSE))</f>
        <v>1014</v>
      </c>
      <c r="R39">
        <f>IF(E39="F",J39-$N$5+$N$6*O39+Q39,IF(E39="D",J39+Q39+P39,IF(E39="T",J39+P39,IF(E39="A",J39-$N$5+$N$6*O39,0))))</f>
        <v>4558</v>
      </c>
      <c r="T39">
        <f>SUM(R39:S39)</f>
        <v>4558</v>
      </c>
      <c r="U39">
        <f>K39*N39</f>
        <v>18</v>
      </c>
      <c r="V39">
        <f>'Data-Kolom'!J39</f>
        <v>0</v>
      </c>
      <c r="W39">
        <f>'Data-Kolom'!K39</f>
        <v>0</v>
      </c>
      <c r="X39">
        <f>IF(V39&gt;0,VLOOKUP(W39,$V$2:$X$9,2,FALSE),0)</f>
        <v>0</v>
      </c>
      <c r="Y39">
        <f>IF(V39&gt;0,IF(L39&gt;0,M39-50+$N$6*W39,VLOOKUP(W39,$V$2:$X$9,3,FALSE)),0)</f>
        <v>0</v>
      </c>
      <c r="Z39">
        <f>IF(E39="F",J39-$N$5+$N$6*W39+Y39,IF(E39="D",J39+Y39+X39,IF(E39="T",J39+X39,IF(E39="A",J39-$N$5+$N$6*W39,0))))</f>
        <v>3280</v>
      </c>
      <c r="AB39">
        <f>SUM(Z39:AA39)</f>
        <v>3280</v>
      </c>
      <c r="AC39">
        <f>V39*K39</f>
        <v>0</v>
      </c>
      <c r="AD39">
        <f>'Data-Kolom'!L39</f>
        <v>10</v>
      </c>
      <c r="AE39">
        <f>'Data-Kolom'!M39</f>
        <v>100</v>
      </c>
      <c r="AF39">
        <f>'Data-Kolom'!N39</f>
        <v>100</v>
      </c>
      <c r="AG39">
        <f>'Data-Kolom'!O39</f>
        <v>100</v>
      </c>
      <c r="AH39">
        <f>'Data-Kolom'!P39</f>
        <v>2</v>
      </c>
      <c r="AI39">
        <f>'Data-Kolom'!Q39</f>
        <v>10</v>
      </c>
      <c r="AJ39">
        <f>'Data-Kolom'!R39</f>
        <v>1</v>
      </c>
      <c r="AK39">
        <f>'Data-Kolom'!S39</f>
        <v>10</v>
      </c>
      <c r="AL39">
        <f>2*(H39+I39-4*$N$5)+2*MAX($F$5*AD39,75)</f>
        <v>2790</v>
      </c>
      <c r="AM39">
        <f>+AH39*(H39-2*$N$5+2*MAX($F$5*AI39,75))+AJ39*(I39-2*$N$5+2*MAX($F$5*AK39,75))</f>
        <v>2230</v>
      </c>
      <c r="AN39">
        <f>(ROUND((1/2*J39+IF(M39&gt;0,(Q39-$N$6*AD39),0))/AE39,0)+(ROUND(1/2*J39/AF39,0)+1))*K39</f>
        <v>43</v>
      </c>
      <c r="AO39">
        <f>H39*I39*J39/1000000000*K39*(1+$T$5)</f>
        <v>1.485</v>
      </c>
      <c r="AP39">
        <f>0.006165*O39^2*T39*U39/1000*(1+$T$6)</f>
        <v>244.80780984</v>
      </c>
      <c r="AQ39">
        <f>0.006165*W39^2*AB39*AC39/1000*(1+$T$6)</f>
        <v>0</v>
      </c>
      <c r="AR39">
        <f>AN39*0.006165*AD39^2*AL39/1000*(1+$T$6)</f>
        <v>73.961505</v>
      </c>
      <c r="AS39">
        <f>AN39*0.006165*AI39^2*AM39/1000*(1+$T$6)</f>
        <v>59.116185</v>
      </c>
      <c r="AT39">
        <f>K39*2*J39*(H39+I39)/1000000*(1+$T$7)</f>
        <v>9.24</v>
      </c>
      <c r="AU39">
        <f>SUM(AP39:AS39)/AO39</f>
        <v>254.468350060606</v>
      </c>
      <c r="AV39">
        <f>AT39/AO39</f>
        <v>6.222222222222222</v>
      </c>
      <c r="AX39">
        <f>0.006165*O39^2*R39*U39/1000*(1+$T$6)</f>
        <v>244.80780984</v>
      </c>
      <c r="AZ39">
        <f>0.006165*O39^2*S39*U39/1000*(1+$T$6)</f>
        <v>0</v>
      </c>
      <c r="BA39">
        <f>AZ39/AP39</f>
        <v>0</v>
      </c>
    </row>
    <row r="40">
      <c r="A40">
        <f>'Data-Kolom'!A40</f>
        <v>25</v>
      </c>
      <c r="B40" t="str">
        <f>'Data-Kolom'!B40</f>
        <v>Basement</v>
      </c>
      <c r="D40" t="str">
        <f>'Data-Kolom'!D40</f>
        <v>K59-1</v>
      </c>
      <c r="E40" t="str">
        <v>F</v>
      </c>
      <c r="F40">
        <f>'Data-Kolom'!U40</f>
        <v>0</v>
      </c>
      <c r="G40">
        <f>'Data-Kolom'!T40</f>
        <v>0</v>
      </c>
      <c r="H40">
        <f>'Data-Kolom'!E40</f>
        <v>500</v>
      </c>
      <c r="I40">
        <f>'Data-Kolom'!F40</f>
        <v>900</v>
      </c>
      <c r="J40">
        <f>'Data-Kolom'!G40</f>
        <v>3300</v>
      </c>
      <c r="K40">
        <v>1</v>
      </c>
      <c r="L40" t="str">
        <f>'Data-Kolom'!C40</f>
        <v>PC.6A</v>
      </c>
      <c r="M40">
        <f>IF(L40&gt;0,VLOOKUP(L40,'Data-PC'!$B$14:$F$36,4,FALSE),0)</f>
        <v>800</v>
      </c>
      <c r="N40">
        <f>'Data-Kolom'!H40</f>
        <v>18</v>
      </c>
      <c r="O40">
        <f>'Data-Kolom'!I40</f>
        <v>22</v>
      </c>
      <c r="P40">
        <f>IF(N40&gt;0,VLOOKUP(O40,$V$2:$X$9,2,FALSE),0)</f>
        <v>1700</v>
      </c>
      <c r="Q40">
        <f>IF(L40&gt;0,M40-50+$N$6*O40,VLOOKUP(O40,$V$2:$X$9,3,FALSE))</f>
        <v>1014</v>
      </c>
      <c r="R40">
        <f>IF(E40="F",J40-$N$5+$N$6*O40+Q40,IF(E40="D",J40+Q40+P40,IF(E40="T",J40+P40,IF(E40="A",J40-$N$5+$N$6*O40,0))))</f>
        <v>4558</v>
      </c>
      <c r="T40">
        <f>SUM(R40:S40)</f>
        <v>4558</v>
      </c>
      <c r="U40">
        <f>K40*N40</f>
        <v>18</v>
      </c>
      <c r="V40">
        <f>'Data-Kolom'!J40</f>
        <v>0</v>
      </c>
      <c r="W40">
        <f>'Data-Kolom'!K40</f>
        <v>0</v>
      </c>
      <c r="X40">
        <f>IF(V40&gt;0,VLOOKUP(W40,$V$2:$X$9,2,FALSE),0)</f>
        <v>0</v>
      </c>
      <c r="Y40">
        <f>IF(V40&gt;0,IF(L40&gt;0,M40-50+$N$6*W40,VLOOKUP(W40,$V$2:$X$9,3,FALSE)),0)</f>
        <v>0</v>
      </c>
      <c r="Z40">
        <f>IF(E40="F",J40-$N$5+$N$6*W40+Y40,IF(E40="D",J40+Y40+X40,IF(E40="T",J40+X40,IF(E40="A",J40-$N$5+$N$6*W40,0))))</f>
        <v>3280</v>
      </c>
      <c r="AB40">
        <f>SUM(Z40:AA40)</f>
        <v>3280</v>
      </c>
      <c r="AC40">
        <f>V40*K40</f>
        <v>0</v>
      </c>
      <c r="AD40">
        <f>'Data-Kolom'!L40</f>
        <v>10</v>
      </c>
      <c r="AE40">
        <f>'Data-Kolom'!M40</f>
        <v>100</v>
      </c>
      <c r="AF40">
        <f>'Data-Kolom'!N40</f>
        <v>100</v>
      </c>
      <c r="AG40">
        <f>'Data-Kolom'!O40</f>
        <v>100</v>
      </c>
      <c r="AH40">
        <f>'Data-Kolom'!P40</f>
        <v>2</v>
      </c>
      <c r="AI40">
        <f>'Data-Kolom'!Q40</f>
        <v>10</v>
      </c>
      <c r="AJ40">
        <f>'Data-Kolom'!R40</f>
        <v>1</v>
      </c>
      <c r="AK40">
        <f>'Data-Kolom'!S40</f>
        <v>10</v>
      </c>
      <c r="AL40">
        <f>2*(H40+I40-4*$N$5)+2*MAX($F$5*AD40,75)</f>
        <v>2790</v>
      </c>
      <c r="AM40">
        <f>+AH40*(H40-2*$N$5+2*MAX($F$5*AI40,75))+AJ40*(I40-2*$N$5+2*MAX($F$5*AK40,75))</f>
        <v>2230</v>
      </c>
      <c r="AN40">
        <f>(ROUND((1/2*J40+IF(M40&gt;0,(Q40-$N$6*AD40),0))/AE40,0)+(ROUND(1/2*J40/AF40,0)+1))*K40</f>
        <v>43</v>
      </c>
      <c r="AO40">
        <f>H40*I40*J40/1000000000*K40*(1+$T$5)</f>
        <v>1.485</v>
      </c>
      <c r="AP40">
        <f>0.006165*O40^2*T40*U40/1000*(1+$T$6)</f>
        <v>244.80780984</v>
      </c>
      <c r="AQ40">
        <f>0.006165*W40^2*AB40*AC40/1000*(1+$T$6)</f>
        <v>0</v>
      </c>
      <c r="AR40">
        <f>AN40*0.006165*AD40^2*AL40/1000*(1+$T$6)</f>
        <v>73.961505</v>
      </c>
      <c r="AS40">
        <f>AN40*0.006165*AI40^2*AM40/1000*(1+$T$6)</f>
        <v>59.116185</v>
      </c>
      <c r="AT40">
        <f>K40*2*J40*(H40+I40)/1000000*(1+$T$7)</f>
        <v>9.24</v>
      </c>
      <c r="AU40">
        <f>SUM(AP40:AS40)/AO40</f>
        <v>254.468350060606</v>
      </c>
      <c r="AV40">
        <f>AT40/AO40</f>
        <v>6.222222222222222</v>
      </c>
      <c r="AX40">
        <f>0.006165*O40^2*R40*U40/1000*(1+$T$6)</f>
        <v>244.80780984</v>
      </c>
      <c r="AZ40">
        <f>0.006165*O40^2*S40*U40/1000*(1+$T$6)</f>
        <v>0</v>
      </c>
      <c r="BA40">
        <f>AZ40/AP40</f>
        <v>0</v>
      </c>
    </row>
    <row r="41">
      <c r="A41">
        <f>'Data-Kolom'!A41</f>
        <v>26</v>
      </c>
      <c r="B41" t="str">
        <f>'Data-Kolom'!B41</f>
        <v>Basement</v>
      </c>
      <c r="D41" t="str">
        <f>'Data-Kolom'!D41</f>
        <v>K59-1</v>
      </c>
      <c r="E41" t="str">
        <v>F</v>
      </c>
      <c r="F41">
        <f>'Data-Kolom'!U41</f>
        <v>0</v>
      </c>
      <c r="G41">
        <f>'Data-Kolom'!T41</f>
        <v>0</v>
      </c>
      <c r="H41">
        <f>'Data-Kolom'!E41</f>
        <v>500</v>
      </c>
      <c r="I41">
        <f>'Data-Kolom'!F41</f>
        <v>900</v>
      </c>
      <c r="J41">
        <f>'Data-Kolom'!G41</f>
        <v>3300</v>
      </c>
      <c r="K41">
        <v>1</v>
      </c>
      <c r="L41" t="str">
        <f>'Data-Kolom'!C41</f>
        <v>PC.6A</v>
      </c>
      <c r="M41">
        <f>IF(L41&gt;0,VLOOKUP(L41,'Data-PC'!$B$14:$F$36,4,FALSE),0)</f>
        <v>800</v>
      </c>
      <c r="N41">
        <f>'Data-Kolom'!H41</f>
        <v>18</v>
      </c>
      <c r="O41">
        <f>'Data-Kolom'!I41</f>
        <v>22</v>
      </c>
      <c r="P41">
        <f>IF(N41&gt;0,VLOOKUP(O41,$V$2:$X$9,2,FALSE),0)</f>
        <v>1700</v>
      </c>
      <c r="Q41">
        <f>IF(L41&gt;0,M41-50+$N$6*O41,VLOOKUP(O41,$V$2:$X$9,3,FALSE))</f>
        <v>1014</v>
      </c>
      <c r="R41">
        <f>IF(E41="F",J41-$N$5+$N$6*O41+Q41,IF(E41="D",J41+Q41+P41,IF(E41="T",J41+P41,IF(E41="A",J41-$N$5+$N$6*O41,0))))</f>
        <v>4558</v>
      </c>
      <c r="T41">
        <f>SUM(R41:S41)</f>
        <v>4558</v>
      </c>
      <c r="U41">
        <f>K41*N41</f>
        <v>18</v>
      </c>
      <c r="V41">
        <f>'Data-Kolom'!J41</f>
        <v>0</v>
      </c>
      <c r="W41">
        <f>'Data-Kolom'!K41</f>
        <v>0</v>
      </c>
      <c r="X41">
        <f>IF(V41&gt;0,VLOOKUP(W41,$V$2:$X$9,2,FALSE),0)</f>
        <v>0</v>
      </c>
      <c r="Y41">
        <f>IF(V41&gt;0,IF(L41&gt;0,M41-50+$N$6*W41,VLOOKUP(W41,$V$2:$X$9,3,FALSE)),0)</f>
        <v>0</v>
      </c>
      <c r="Z41">
        <f>IF(E41="F",J41-$N$5+$N$6*W41+Y41,IF(E41="D",J41+Y41+X41,IF(E41="T",J41+X41,IF(E41="A",J41-$N$5+$N$6*W41,0))))</f>
        <v>3280</v>
      </c>
      <c r="AB41">
        <f>SUM(Z41:AA41)</f>
        <v>3280</v>
      </c>
      <c r="AC41">
        <f>V41*K41</f>
        <v>0</v>
      </c>
      <c r="AD41">
        <f>'Data-Kolom'!L41</f>
        <v>10</v>
      </c>
      <c r="AE41">
        <f>'Data-Kolom'!M41</f>
        <v>100</v>
      </c>
      <c r="AF41">
        <f>'Data-Kolom'!N41</f>
        <v>100</v>
      </c>
      <c r="AG41">
        <f>'Data-Kolom'!O41</f>
        <v>100</v>
      </c>
      <c r="AH41">
        <f>'Data-Kolom'!P41</f>
        <v>2</v>
      </c>
      <c r="AI41">
        <f>'Data-Kolom'!Q41</f>
        <v>10</v>
      </c>
      <c r="AJ41">
        <f>'Data-Kolom'!R41</f>
        <v>1</v>
      </c>
      <c r="AK41">
        <f>'Data-Kolom'!S41</f>
        <v>10</v>
      </c>
      <c r="AL41">
        <f>2*(H41+I41-4*$N$5)+2*MAX($F$5*AD41,75)</f>
        <v>2790</v>
      </c>
      <c r="AM41">
        <f>+AH41*(H41-2*$N$5+2*MAX($F$5*AI41,75))+AJ41*(I41-2*$N$5+2*MAX($F$5*AK41,75))</f>
        <v>2230</v>
      </c>
      <c r="AN41">
        <f>(ROUND((1/2*J41+IF(M41&gt;0,(Q41-$N$6*AD41),0))/AE41,0)+(ROUND(1/2*J41/AF41,0)+1))*K41</f>
        <v>43</v>
      </c>
      <c r="AO41">
        <f>H41*I41*J41/1000000000*K41*(1+$T$5)</f>
        <v>1.485</v>
      </c>
      <c r="AP41">
        <f>0.006165*O41^2*T41*U41/1000*(1+$T$6)</f>
        <v>244.80780984</v>
      </c>
      <c r="AQ41">
        <f>0.006165*W41^2*AB41*AC41/1000*(1+$T$6)</f>
        <v>0</v>
      </c>
      <c r="AR41">
        <f>AN41*0.006165*AD41^2*AL41/1000*(1+$T$6)</f>
        <v>73.961505</v>
      </c>
      <c r="AS41">
        <f>AN41*0.006165*AI41^2*AM41/1000*(1+$T$6)</f>
        <v>59.116185</v>
      </c>
      <c r="AT41">
        <f>K41*2*J41*(H41+I41)/1000000*(1+$T$7)</f>
        <v>9.24</v>
      </c>
      <c r="AU41">
        <f>SUM(AP41:AS41)/AO41</f>
        <v>254.468350060606</v>
      </c>
      <c r="AV41">
        <f>AT41/AO41</f>
        <v>6.222222222222222</v>
      </c>
      <c r="AX41">
        <f>0.006165*O41^2*R41*U41/1000*(1+$T$6)</f>
        <v>244.80780984</v>
      </c>
      <c r="AZ41">
        <f>0.006165*O41^2*S41*U41/1000*(1+$T$6)</f>
        <v>0</v>
      </c>
      <c r="BA41">
        <f>AZ41/AP41</f>
        <v>0</v>
      </c>
    </row>
    <row r="42">
      <c r="A42">
        <f>'Data-Kolom'!A42</f>
        <v>27</v>
      </c>
      <c r="B42" t="str">
        <f>'Data-Kolom'!B42</f>
        <v>Basement</v>
      </c>
      <c r="D42" t="str">
        <f>'Data-Kolom'!D42</f>
        <v>K55-1</v>
      </c>
      <c r="E42" t="str">
        <v>F</v>
      </c>
      <c r="F42">
        <f>'Data-Kolom'!U42</f>
        <v>0</v>
      </c>
      <c r="G42">
        <f>'Data-Kolom'!T42</f>
        <v>0</v>
      </c>
      <c r="H42">
        <f>'Data-Kolom'!E42</f>
        <v>500</v>
      </c>
      <c r="I42">
        <f>'Data-Kolom'!F42</f>
        <v>500</v>
      </c>
      <c r="J42">
        <f>'Data-Kolom'!G42</f>
        <v>3300</v>
      </c>
      <c r="K42">
        <v>1</v>
      </c>
      <c r="L42" t="str">
        <f>'Data-Kolom'!C42</f>
        <v>PC.3</v>
      </c>
      <c r="M42">
        <f>IF(L42&gt;0,VLOOKUP(L42,'Data-PC'!$B$14:$F$36,4,FALSE),0)</f>
        <v>600</v>
      </c>
      <c r="N42">
        <f>'Data-Kolom'!H42</f>
        <v>16</v>
      </c>
      <c r="O42">
        <f>'Data-Kolom'!I42</f>
        <v>19</v>
      </c>
      <c r="P42">
        <f>IF(N42&gt;0,VLOOKUP(O42,$V$2:$X$9,2,FALSE),0)</f>
        <v>1190</v>
      </c>
      <c r="Q42">
        <f>IF(L42&gt;0,M42-50+$N$6*O42,VLOOKUP(O42,$V$2:$X$9,3,FALSE))</f>
        <v>778</v>
      </c>
      <c r="R42">
        <f>IF(E42="F",J42-$N$5+$N$6*O42+Q42,IF(E42="D",J42+Q42+P42,IF(E42="T",J42+P42,IF(E42="A",J42-$N$5+$N$6*O42,0))))</f>
        <v>4286</v>
      </c>
      <c r="T42">
        <f>SUM(R42:S42)</f>
        <v>4286</v>
      </c>
      <c r="U42">
        <f>K42*N42</f>
        <v>16</v>
      </c>
      <c r="V42">
        <f>'Data-Kolom'!J42</f>
        <v>0</v>
      </c>
      <c r="W42">
        <f>'Data-Kolom'!K42</f>
        <v>0</v>
      </c>
      <c r="X42">
        <f>IF(V42&gt;0,VLOOKUP(W42,$V$2:$X$9,2,FALSE),0)</f>
        <v>0</v>
      </c>
      <c r="Y42">
        <f>IF(V42&gt;0,IF(L42&gt;0,M42-50+$N$6*W42,VLOOKUP(W42,$V$2:$X$9,3,FALSE)),0)</f>
        <v>0</v>
      </c>
      <c r="Z42">
        <f>IF(E42="F",J42-$N$5+$N$6*W42+Y42,IF(E42="D",J42+Y42+X42,IF(E42="T",J42+X42,IF(E42="A",J42-$N$5+$N$6*W42,0))))</f>
        <v>3280</v>
      </c>
      <c r="AB42">
        <f>SUM(Z42:AA42)</f>
        <v>3280</v>
      </c>
      <c r="AC42">
        <f>V42*K42</f>
        <v>0</v>
      </c>
      <c r="AD42">
        <f>'Data-Kolom'!L42</f>
        <v>10</v>
      </c>
      <c r="AE42">
        <f>'Data-Kolom'!M42</f>
        <v>100</v>
      </c>
      <c r="AF42">
        <f>'Data-Kolom'!N42</f>
        <v>100</v>
      </c>
      <c r="AG42">
        <f>'Data-Kolom'!O42</f>
        <v>100</v>
      </c>
      <c r="AH42">
        <f>'Data-Kolom'!P42</f>
        <v>1</v>
      </c>
      <c r="AI42">
        <f>'Data-Kolom'!Q42</f>
        <v>10</v>
      </c>
      <c r="AJ42">
        <f>'Data-Kolom'!R42</f>
        <v>1</v>
      </c>
      <c r="AK42">
        <f>'Data-Kolom'!S42</f>
        <v>10</v>
      </c>
      <c r="AL42">
        <f>2*(H42+I42-4*$N$5)+2*MAX($F$5*AD42,75)</f>
        <v>1990</v>
      </c>
      <c r="AM42">
        <f>+AH42*(H42-2*$N$5+2*MAX($F$5*AI42,75))+AJ42*(I42-2*$N$5+2*MAX($F$5*AK42,75))</f>
        <v>1220</v>
      </c>
      <c r="AN42">
        <f>(ROUND((1/2*J42+IF(M42&gt;0,(Q42-$N$6*AD42),0))/AE42,0)+(ROUND(1/2*J42/AF42,0)+1))*K42</f>
        <v>41</v>
      </c>
      <c r="AO42">
        <f>H42*I42*J42/1000000000*K42*(1+$T$5)</f>
        <v>0.825</v>
      </c>
      <c r="AP42">
        <f>0.006165*O42^2*T42*U42/1000*(1+$T$6)</f>
        <v>152.62034544</v>
      </c>
      <c r="AQ42">
        <f>0.006165*W42^2*AB42*AC42/1000*(1+$T$6)</f>
        <v>0</v>
      </c>
      <c r="AR42">
        <f>AN42*0.006165*AD42^2*AL42/1000*(1+$T$6)</f>
        <v>50.30023500000001</v>
      </c>
      <c r="AS42">
        <f>AN42*0.006165*AI42^2*AM42/1000*(1+$T$6)</f>
        <v>30.83733</v>
      </c>
      <c r="AT42">
        <f>K42*2*J42*(H42+I42)/1000000*(1+$T$7)</f>
        <v>6.6</v>
      </c>
      <c r="AU42">
        <f>SUM(AP42:AS42)/AO42</f>
        <v>283.3429217454546</v>
      </c>
      <c r="AV42">
        <f>AT42/AO42</f>
        <v>8</v>
      </c>
      <c r="AX42">
        <f>0.006165*O42^2*R42*U42/1000*(1+$T$6)</f>
        <v>152.62034544</v>
      </c>
      <c r="AZ42">
        <f>0.006165*O42^2*S42*U42/1000*(1+$T$6)</f>
        <v>0</v>
      </c>
      <c r="BA42">
        <f>AZ42/AP42</f>
        <v>0</v>
      </c>
    </row>
    <row r="43">
      <c r="A43">
        <f>'Data-Kolom'!A43</f>
        <v>28</v>
      </c>
      <c r="B43" t="str">
        <f>'Data-Kolom'!B43</f>
        <v>Basement</v>
      </c>
      <c r="D43" t="str">
        <f>'Data-Kolom'!D43</f>
        <v>K175-2</v>
      </c>
      <c r="E43" t="str">
        <v>F</v>
      </c>
      <c r="F43">
        <f>'Data-Kolom'!U43</f>
        <v>0</v>
      </c>
      <c r="G43">
        <f>'Data-Kolom'!T43</f>
        <v>0</v>
      </c>
      <c r="H43">
        <f>'Data-Kolom'!E43</f>
        <v>170</v>
      </c>
      <c r="I43">
        <f>'Data-Kolom'!F43</f>
        <v>500</v>
      </c>
      <c r="J43">
        <f>'Data-Kolom'!G43</f>
        <v>3300</v>
      </c>
      <c r="K43">
        <v>1</v>
      </c>
      <c r="L43" t="str">
        <f>'Data-Kolom'!C43</f>
        <v>PC.1</v>
      </c>
      <c r="M43">
        <f>IF(L43&gt;0,VLOOKUP(L43,'Data-PC'!$B$14:$F$36,4,FALSE),0)</f>
        <v>500</v>
      </c>
      <c r="N43">
        <f>'Data-Kolom'!H43</f>
        <v>8</v>
      </c>
      <c r="O43">
        <f>'Data-Kolom'!I43</f>
        <v>16</v>
      </c>
      <c r="P43">
        <f>IF(N43&gt;0,VLOOKUP(O43,$V$2:$X$9,2,FALSE),0)</f>
        <v>1010</v>
      </c>
      <c r="Q43">
        <f>IF(L43&gt;0,M43-50+$N$6*O43,VLOOKUP(O43,$V$2:$X$9,3,FALSE))</f>
        <v>642</v>
      </c>
      <c r="R43">
        <f>IF(E43="F",J43-$N$5+$N$6*O43+Q43,IF(E43="D",J43+Q43+P43,IF(E43="T",J43+P43,IF(E43="A",J43-$N$5+$N$6*O43,0))))</f>
        <v>4114</v>
      </c>
      <c r="T43">
        <f>SUM(R43:S43)</f>
        <v>4114</v>
      </c>
      <c r="U43">
        <f>K43*N43</f>
        <v>8</v>
      </c>
      <c r="V43">
        <f>'Data-Kolom'!J43</f>
        <v>0</v>
      </c>
      <c r="W43">
        <f>'Data-Kolom'!K43</f>
        <v>0</v>
      </c>
      <c r="X43">
        <f>IF(V43&gt;0,VLOOKUP(W43,$V$2:$X$9,2,FALSE),0)</f>
        <v>0</v>
      </c>
      <c r="Y43">
        <f>IF(V43&gt;0,IF(L43&gt;0,M43-50+$N$6*W43,VLOOKUP(W43,$V$2:$X$9,3,FALSE)),0)</f>
        <v>0</v>
      </c>
      <c r="Z43">
        <f>IF(E43="F",J43-$N$5+$N$6*W43+Y43,IF(E43="D",J43+Y43+X43,IF(E43="T",J43+X43,IF(E43="A",J43-$N$5+$N$6*W43,0))))</f>
        <v>3280</v>
      </c>
      <c r="AB43">
        <f>SUM(Z43:AA43)</f>
        <v>3280</v>
      </c>
      <c r="AC43">
        <f>V43*K43</f>
        <v>0</v>
      </c>
      <c r="AD43">
        <f>'Data-Kolom'!L43</f>
        <v>8</v>
      </c>
      <c r="AE43">
        <f>'Data-Kolom'!M43</f>
        <v>100</v>
      </c>
      <c r="AF43">
        <f>'Data-Kolom'!N43</f>
        <v>100</v>
      </c>
      <c r="AG43">
        <f>'Data-Kolom'!O43</f>
        <v>100</v>
      </c>
      <c r="AH43">
        <f>'Data-Kolom'!P43</f>
        <v>0.5</v>
      </c>
      <c r="AI43">
        <f>'Data-Kolom'!Q43</f>
        <v>8</v>
      </c>
      <c r="AJ43">
        <f>'Data-Kolom'!R43</f>
        <v>0</v>
      </c>
      <c r="AK43">
        <f>'Data-Kolom'!S43</f>
        <v>0</v>
      </c>
      <c r="AL43">
        <f>2*(H43+I43-4*$N$5)+2*MAX($F$5*AD43,75)</f>
        <v>1330</v>
      </c>
      <c r="AM43">
        <f>+AH43*(H43-2*$N$5+2*MAX($F$5*AI43,75))+AJ43*(I43-2*$N$5+2*MAX($F$5*AK43,75))</f>
        <v>140</v>
      </c>
      <c r="AN43">
        <f>(ROUND((1/2*J43+IF(M43&gt;0,(Q43-$N$6*AD43),0))/AE43,0)+(ROUND(1/2*J43/AF43,0)+1))*K43</f>
        <v>40</v>
      </c>
      <c r="AO43">
        <f>H43*I43*J43/1000000000*K43*(1+$T$5)</f>
        <v>0.2805</v>
      </c>
      <c r="AP43">
        <f>0.006165*O43^2*T43*U43/1000*(1+$T$6)</f>
        <v>51.94303488</v>
      </c>
      <c r="AQ43">
        <f>0.006165*W43^2*AB43*AC43/1000*(1+$T$6)</f>
        <v>0</v>
      </c>
      <c r="AR43">
        <f>AN43*0.006165*AD43^2*AL43/1000*(1+$T$6)</f>
        <v>20.990592</v>
      </c>
      <c r="AS43">
        <f>AN43*0.006165*AI43^2*AM43/1000*(1+$T$6)</f>
        <v>2.209536</v>
      </c>
      <c r="AT43">
        <f>K43*2*J43*(H43+I43)/1000000*(1+$T$7)</f>
        <v>4.422</v>
      </c>
      <c r="AU43">
        <f>SUM(AP43:AS43)/AO43</f>
        <v>267.89006374331547</v>
      </c>
      <c r="AV43">
        <f>AT43/AO43</f>
        <v>15.764705882352938</v>
      </c>
      <c r="AX43">
        <f>0.006165*O43^2*R43*U43/1000*(1+$T$6)</f>
        <v>51.94303488</v>
      </c>
      <c r="AZ43">
        <f>0.006165*O43^2*S43*U43/1000*(1+$T$6)</f>
        <v>0</v>
      </c>
      <c r="BA43">
        <f>AZ43/AP43</f>
        <v>0</v>
      </c>
    </row>
    <row r="44">
      <c r="A44">
        <f>'Data-Kolom'!A44</f>
        <v>29</v>
      </c>
      <c r="B44" t="str">
        <f>'Data-Kolom'!B44</f>
        <v>Basement</v>
      </c>
      <c r="D44" t="str">
        <f>'Data-Kolom'!D44</f>
        <v>KL174-1</v>
      </c>
      <c r="E44" t="str">
        <v>F</v>
      </c>
      <c r="F44">
        <f>'Data-Kolom'!U44</f>
        <v>0</v>
      </c>
      <c r="G44">
        <f>'Data-Kolom'!T44</f>
        <v>0</v>
      </c>
      <c r="H44">
        <f>'Data-Kolom'!E44</f>
        <v>170</v>
      </c>
      <c r="I44">
        <f>'Data-Kolom'!F44</f>
        <v>400</v>
      </c>
      <c r="J44">
        <f>'Data-Kolom'!G44</f>
        <v>3300</v>
      </c>
      <c r="K44">
        <v>2</v>
      </c>
      <c r="L44" t="str">
        <f>'Data-Kolom'!C44</f>
        <v>PC.1</v>
      </c>
      <c r="M44">
        <f>IF(L44&gt;0,VLOOKUP(L44,'Data-PC'!$B$14:$F$36,4,FALSE),0)</f>
        <v>500</v>
      </c>
      <c r="N44">
        <f>'Data-Kolom'!H44</f>
        <v>4</v>
      </c>
      <c r="O44">
        <f>'Data-Kolom'!I44</f>
        <v>16</v>
      </c>
      <c r="P44">
        <f>IF(N44&gt;0,VLOOKUP(O44,$V$2:$X$9,2,FALSE),0)</f>
        <v>1010</v>
      </c>
      <c r="Q44">
        <f>IF(L44&gt;0,M44-50+$N$6*O44,VLOOKUP(O44,$V$2:$X$9,3,FALSE))</f>
        <v>642</v>
      </c>
      <c r="R44">
        <f>IF(E44="F",J44-$N$5+$N$6*O44+Q44,IF(E44="D",J44+Q44+P44,IF(E44="T",J44+P44,IF(E44="A",J44-$N$5+$N$6*O44,0))))</f>
        <v>4114</v>
      </c>
      <c r="T44">
        <f>SUM(R44:S44)</f>
        <v>4114</v>
      </c>
      <c r="U44">
        <f>K44*N44</f>
        <v>8</v>
      </c>
      <c r="V44">
        <f>'Data-Kolom'!J44</f>
        <v>0</v>
      </c>
      <c r="W44">
        <f>'Data-Kolom'!K44</f>
        <v>0</v>
      </c>
      <c r="X44">
        <f>IF(V44&gt;0,VLOOKUP(W44,$V$2:$X$9,2,FALSE),0)</f>
        <v>0</v>
      </c>
      <c r="Y44">
        <f>IF(V44&gt;0,IF(L44&gt;0,M44-50+$N$6*W44,VLOOKUP(W44,$V$2:$X$9,3,FALSE)),0)</f>
        <v>0</v>
      </c>
      <c r="Z44">
        <f>IF(E44="F",J44-$N$5+$N$6*W44+Y44,IF(E44="D",J44+Y44+X44,IF(E44="T",J44+X44,IF(E44="A",J44-$N$5+$N$6*W44,0))))</f>
        <v>3280</v>
      </c>
      <c r="AB44">
        <f>SUM(Z44:AA44)</f>
        <v>3280</v>
      </c>
      <c r="AC44">
        <f>V44*K44</f>
        <v>0</v>
      </c>
      <c r="AD44">
        <f>'Data-Kolom'!L44</f>
        <v>8</v>
      </c>
      <c r="AE44">
        <f>'Data-Kolom'!M44</f>
        <v>100</v>
      </c>
      <c r="AF44">
        <f>'Data-Kolom'!N44</f>
        <v>100</v>
      </c>
      <c r="AG44">
        <f>'Data-Kolom'!O44</f>
        <v>100</v>
      </c>
      <c r="AH44">
        <f>'Data-Kolom'!P44</f>
        <v>0</v>
      </c>
      <c r="AI44">
        <f>'Data-Kolom'!Q44</f>
        <v>0</v>
      </c>
      <c r="AJ44">
        <f>'Data-Kolom'!R44</f>
        <v>0</v>
      </c>
      <c r="AK44">
        <f>'Data-Kolom'!S44</f>
        <v>0</v>
      </c>
      <c r="AL44">
        <f>2*(H44+I44-4*$N$5)+2*MAX($F$5*AD44,75)</f>
        <v>1130</v>
      </c>
      <c r="AM44">
        <f>+AH44*(H44-2*$N$5+2*MAX($F$5*AI44,75))+AJ44*(I44-2*$N$5+2*MAX($F$5*AK44,75))</f>
        <v>0</v>
      </c>
      <c r="AN44">
        <f>(ROUND((1/2*J44+IF(M44&gt;0,(Q44-$N$6*AD44),0))/AE44,0)+(ROUND(1/2*J44/AF44,0)+1))*K44</f>
        <v>80</v>
      </c>
      <c r="AO44">
        <f>H44*I44*J44/1000000000*K44*(1+$T$5)-(K44/2*H44*H44*J44/1000000000)</f>
        <v>0.35342999999999997</v>
      </c>
      <c r="AP44">
        <f>0.006165*O44^2*T44*U44/1000*(1+$T$6)</f>
        <v>51.94303488</v>
      </c>
      <c r="AQ44">
        <f>0.006165*W44^2*AB44*AC44/1000*(1+$T$6)</f>
        <v>0</v>
      </c>
      <c r="AR44">
        <f>AN44*0.006165*AD44^2*AL44/1000*(1+$T$6)</f>
        <v>35.668224</v>
      </c>
      <c r="AS44">
        <f>AN44*0.006165*AI44^2*AM44/1000*(1+$T$6)</f>
        <v>0</v>
      </c>
      <c r="AT44">
        <f>K44*2*J44*(H44+I44)/1000000*(1+$T$7)-(K44/2*4*H44*J44/1000000)</f>
        <v>5.279999999999999</v>
      </c>
      <c r="AU44">
        <f>SUM(AP44:AS44)/AO44</f>
        <v>247.88857448433924</v>
      </c>
      <c r="AV44">
        <f>AT44/AO44</f>
        <v>14.939309056956116</v>
      </c>
      <c r="AX44">
        <f>0.006165*O44^2*R44*U44/1000*(1+$T$6)</f>
        <v>51.94303488</v>
      </c>
      <c r="AZ44">
        <f>0.006165*O44^2*S44*U44/1000*(1+$T$6)</f>
        <v>0</v>
      </c>
      <c r="BA44">
        <f>AZ44/AP44</f>
        <v>0</v>
      </c>
    </row>
    <row r="45">
      <c r="A45">
        <f>'Data-Kolom'!A45</f>
        <v>30</v>
      </c>
      <c r="B45" t="str">
        <f>'Data-Kolom'!B45</f>
        <v>Basement</v>
      </c>
      <c r="D45" t="str">
        <f>'Data-Kolom'!D45</f>
        <v>KL174-1</v>
      </c>
      <c r="E45" t="str">
        <v>F</v>
      </c>
      <c r="F45">
        <f>'Data-Kolom'!U45</f>
        <v>0</v>
      </c>
      <c r="G45">
        <f>'Data-Kolom'!T45</f>
        <v>0</v>
      </c>
      <c r="H45">
        <f>'Data-Kolom'!E45</f>
        <v>170</v>
      </c>
      <c r="I45">
        <f>'Data-Kolom'!F45</f>
        <v>400</v>
      </c>
      <c r="J45">
        <f>'Data-Kolom'!G45</f>
        <v>3300</v>
      </c>
      <c r="K45">
        <v>2</v>
      </c>
      <c r="L45" t="str">
        <f>'Data-Kolom'!C45</f>
        <v>PC.1</v>
      </c>
      <c r="M45">
        <f>IF(L45&gt;0,VLOOKUP(L45,'Data-PC'!$B$14:$F$36,4,FALSE),0)</f>
        <v>500</v>
      </c>
      <c r="N45">
        <f>'Data-Kolom'!H45</f>
        <v>4</v>
      </c>
      <c r="O45">
        <f>'Data-Kolom'!I45</f>
        <v>16</v>
      </c>
      <c r="P45">
        <f>IF(N45&gt;0,VLOOKUP(O45,$V$2:$X$9,2,FALSE),0)</f>
        <v>1010</v>
      </c>
      <c r="Q45">
        <f>IF(L45&gt;0,M45-50+$N$6*O45,VLOOKUP(O45,$V$2:$X$9,3,FALSE))</f>
        <v>642</v>
      </c>
      <c r="R45">
        <f>IF(E45="F",J45-$N$5+$N$6*O45+Q45,IF(E45="D",J45+Q45+P45,IF(E45="T",J45+P45,IF(E45="A",J45-$N$5+$N$6*O45,0))))</f>
        <v>4114</v>
      </c>
      <c r="T45">
        <f>SUM(R45:S45)</f>
        <v>4114</v>
      </c>
      <c r="U45">
        <f>K45*N45</f>
        <v>8</v>
      </c>
      <c r="V45">
        <f>'Data-Kolom'!J45</f>
        <v>0</v>
      </c>
      <c r="W45">
        <f>'Data-Kolom'!K45</f>
        <v>0</v>
      </c>
      <c r="X45">
        <f>IF(V45&gt;0,VLOOKUP(W45,$V$2:$X$9,2,FALSE),0)</f>
        <v>0</v>
      </c>
      <c r="Y45">
        <f>IF(V45&gt;0,IF(L45&gt;0,M45-50+$N$6*W45,VLOOKUP(W45,$V$2:$X$9,3,FALSE)),0)</f>
        <v>0</v>
      </c>
      <c r="Z45">
        <f>IF(E45="F",J45-$N$5+$N$6*W45+Y45,IF(E45="D",J45+Y45+X45,IF(E45="T",J45+X45,IF(E45="A",J45-$N$5+$N$6*W45,0))))</f>
        <v>3280</v>
      </c>
      <c r="AB45">
        <f>SUM(Z45:AA45)</f>
        <v>3280</v>
      </c>
      <c r="AC45">
        <f>V45*K45</f>
        <v>0</v>
      </c>
      <c r="AD45">
        <f>'Data-Kolom'!L45</f>
        <v>8</v>
      </c>
      <c r="AE45">
        <f>'Data-Kolom'!M45</f>
        <v>100</v>
      </c>
      <c r="AF45">
        <f>'Data-Kolom'!N45</f>
        <v>100</v>
      </c>
      <c r="AG45">
        <f>'Data-Kolom'!O45</f>
        <v>100</v>
      </c>
      <c r="AH45">
        <f>'Data-Kolom'!P45</f>
        <v>0</v>
      </c>
      <c r="AI45">
        <f>'Data-Kolom'!Q45</f>
        <v>0</v>
      </c>
      <c r="AJ45">
        <f>'Data-Kolom'!R45</f>
        <v>0</v>
      </c>
      <c r="AK45">
        <f>'Data-Kolom'!S45</f>
        <v>0</v>
      </c>
      <c r="AL45">
        <f>2*(H45+I45-4*$N$5)+2*MAX($F$5*AD45,75)</f>
        <v>1130</v>
      </c>
      <c r="AM45">
        <f>+AH45*(H45-2*$N$5+2*MAX($F$5*AI45,75))+AJ45*(I45-2*$N$5+2*MAX($F$5*AK45,75))</f>
        <v>0</v>
      </c>
      <c r="AN45">
        <f>(ROUND((1/2*J45+IF(M45&gt;0,(Q45-$N$6*AD45),0))/AE45,0)+(ROUND(1/2*J45/AF45,0)+1))*K45</f>
        <v>80</v>
      </c>
      <c r="AO45">
        <f>H45*I45*J45/1000000000*K45*(1+$T$5)-(K45/2*H45*H45*J45/1000000000)</f>
        <v>0.35342999999999997</v>
      </c>
      <c r="AP45">
        <f>0.006165*O45^2*T45*U45/1000*(1+$T$6)</f>
        <v>51.94303488</v>
      </c>
      <c r="AQ45">
        <f>0.006165*W45^2*AB45*AC45/1000*(1+$T$6)</f>
        <v>0</v>
      </c>
      <c r="AR45">
        <f>AN45*0.006165*AD45^2*AL45/1000*(1+$T$6)</f>
        <v>35.668224</v>
      </c>
      <c r="AS45">
        <f>AN45*0.006165*AI45^2*AM45/1000*(1+$T$6)</f>
        <v>0</v>
      </c>
      <c r="AT45">
        <f>K45*2*J45*(H45+I45)/1000000*(1+$T$7)-(K45/2*4*H45*J45/1000000)</f>
        <v>5.279999999999999</v>
      </c>
      <c r="AU45">
        <f>SUM(AP45:AS45)/AO45</f>
        <v>247.88857448433924</v>
      </c>
      <c r="AV45">
        <f>AT45/AO45</f>
        <v>14.939309056956116</v>
      </c>
      <c r="AX45">
        <f>0.006165*O45^2*R45*U45/1000*(1+$T$6)</f>
        <v>51.94303488</v>
      </c>
      <c r="AZ45">
        <f>0.006165*O45^2*S45*U45/1000*(1+$T$6)</f>
        <v>0</v>
      </c>
      <c r="BA45">
        <f>AZ45/AP45</f>
        <v>0</v>
      </c>
    </row>
    <row r="46">
      <c r="A46">
        <f>'Data-Kolom'!A46</f>
        <v>31</v>
      </c>
      <c r="B46" t="str">
        <f>'Data-Kolom'!B46</f>
        <v>Basement</v>
      </c>
      <c r="D46" t="str">
        <f>'Data-Kolom'!D46</f>
        <v>K174-1</v>
      </c>
      <c r="E46" t="str">
        <v>F</v>
      </c>
      <c r="F46">
        <f>'Data-Kolom'!U46</f>
        <v>0</v>
      </c>
      <c r="G46">
        <f>'Data-Kolom'!T46</f>
        <v>0</v>
      </c>
      <c r="H46">
        <f>'Data-Kolom'!E46</f>
        <v>170</v>
      </c>
      <c r="I46">
        <f>'Data-Kolom'!F46</f>
        <v>400</v>
      </c>
      <c r="J46">
        <f>'Data-Kolom'!G46</f>
        <v>3300</v>
      </c>
      <c r="K46">
        <v>1</v>
      </c>
      <c r="L46" t="str">
        <f>'Data-Kolom'!C46</f>
        <v>PC.1</v>
      </c>
      <c r="M46">
        <f>IF(L46&gt;0,VLOOKUP(L46,'Data-PC'!$B$14:$F$36,4,FALSE),0)</f>
        <v>500</v>
      </c>
      <c r="N46">
        <f>'Data-Kolom'!H46</f>
        <v>8</v>
      </c>
      <c r="O46">
        <f>'Data-Kolom'!I46</f>
        <v>13</v>
      </c>
      <c r="P46">
        <f>IF(N46&gt;0,VLOOKUP(O46,$V$2:$X$9,2,FALSE),0)</f>
        <v>820</v>
      </c>
      <c r="Q46">
        <f>IF(L46&gt;0,M46-50+$N$6*O46,VLOOKUP(O46,$V$2:$X$9,3,FALSE))</f>
        <v>606</v>
      </c>
      <c r="R46">
        <f>IF(E46="F",J46-$N$5+$N$6*O46+Q46,IF(E46="D",J46+Q46+P46,IF(E46="T",J46+P46,IF(E46="A",J46-$N$5+$N$6*O46,0))))</f>
        <v>4042</v>
      </c>
      <c r="T46">
        <f>SUM(R46:S46)</f>
        <v>4042</v>
      </c>
      <c r="U46">
        <f>K46*N46</f>
        <v>8</v>
      </c>
      <c r="V46">
        <f>'Data-Kolom'!J46</f>
        <v>0</v>
      </c>
      <c r="W46">
        <f>'Data-Kolom'!K46</f>
        <v>0</v>
      </c>
      <c r="X46">
        <f>IF(V46&gt;0,VLOOKUP(W46,$V$2:$X$9,2,FALSE),0)</f>
        <v>0</v>
      </c>
      <c r="Y46">
        <f>IF(V46&gt;0,IF(L46&gt;0,M46-50+$N$6*W46,VLOOKUP(W46,$V$2:$X$9,3,FALSE)),0)</f>
        <v>0</v>
      </c>
      <c r="Z46">
        <f>IF(E46="F",J46-$N$5+$N$6*W46+Y46,IF(E46="D",J46+Y46+X46,IF(E46="T",J46+X46,IF(E46="A",J46-$N$5+$N$6*W46,0))))</f>
        <v>3280</v>
      </c>
      <c r="AB46">
        <f>SUM(Z46:AA46)</f>
        <v>3280</v>
      </c>
      <c r="AC46">
        <f>V46*K46</f>
        <v>0</v>
      </c>
      <c r="AD46">
        <f>'Data-Kolom'!L46</f>
        <v>8</v>
      </c>
      <c r="AE46">
        <f>'Data-Kolom'!M46</f>
        <v>100</v>
      </c>
      <c r="AF46">
        <f>'Data-Kolom'!N46</f>
        <v>100</v>
      </c>
      <c r="AG46">
        <f>'Data-Kolom'!O46</f>
        <v>100</v>
      </c>
      <c r="AH46">
        <f>'Data-Kolom'!P46</f>
        <v>0</v>
      </c>
      <c r="AI46">
        <f>'Data-Kolom'!Q46</f>
        <v>0</v>
      </c>
      <c r="AJ46">
        <f>'Data-Kolom'!R46</f>
        <v>0</v>
      </c>
      <c r="AK46">
        <f>'Data-Kolom'!S46</f>
        <v>0</v>
      </c>
      <c r="AL46">
        <f>2*(H46+I46-4*$N$5)+2*MAX($F$5*AD46,75)</f>
        <v>1130</v>
      </c>
      <c r="AM46">
        <f>+AH46*(H46-2*$N$5+2*MAX($F$5*AI46,75))+AJ46*(I46-2*$N$5+2*MAX($F$5*AK46,75))</f>
        <v>0</v>
      </c>
      <c r="AN46">
        <f>(ROUND((1/2*J46+IF(M46&gt;0,(Q46-$N$6*AD46),0))/AE46,0)+(ROUND(1/2*J46/AF46,0)+1))*K46</f>
        <v>40</v>
      </c>
      <c r="AO46">
        <f>H46*I46*J46/1000000000*K46*(1+$T$5)</f>
        <v>0.2244</v>
      </c>
      <c r="AP46">
        <f>0.006165*O46^2*T46*U46/1000*(1+$T$6)</f>
        <v>33.69039336</v>
      </c>
      <c r="AQ46">
        <f>0.006165*W46^2*AB46*AC46/1000*(1+$T$6)</f>
        <v>0</v>
      </c>
      <c r="AR46">
        <f>AN46*0.006165*AD46^2*AL46/1000*(1+$T$6)</f>
        <v>17.834112</v>
      </c>
      <c r="AS46">
        <f>AN46*0.006165*AI46^2*AM46/1000*(1+$T$6)</f>
        <v>0</v>
      </c>
      <c r="AT46">
        <f>K46*2*J46*(H46+I46)/1000000*(1+$T$7)</f>
        <v>3.762</v>
      </c>
      <c r="AU46">
        <f>SUM(AP46:AS46)/AO46</f>
        <v>229.61009518716583</v>
      </c>
      <c r="AV46">
        <f>AT46/AO46</f>
        <v>16.764705882352942</v>
      </c>
      <c r="AX46">
        <f>0.006165*O46^2*R46*U46/1000*(1+$T$6)</f>
        <v>33.69039336</v>
      </c>
      <c r="AZ46">
        <f>0.006165*O46^2*S46*U46/1000*(1+$T$6)</f>
        <v>0</v>
      </c>
      <c r="BA46">
        <f>AZ46/AP46</f>
        <v>0</v>
      </c>
    </row>
    <row r="47">
      <c r="A47">
        <f>'Data-Kolom'!A47</f>
        <v>32</v>
      </c>
      <c r="B47" t="str">
        <f>'Data-Kolom'!B47</f>
        <v>Basement</v>
      </c>
      <c r="D47" t="str">
        <f>'Data-Kolom'!D47</f>
        <v>K278-1</v>
      </c>
      <c r="E47" t="str">
        <v>D</v>
      </c>
      <c r="F47">
        <f>'Data-Kolom'!U47</f>
        <v>0</v>
      </c>
      <c r="G47">
        <f>'Data-Kolom'!T47</f>
        <v>0</v>
      </c>
      <c r="H47">
        <f>'Data-Kolom'!E47</f>
        <v>270</v>
      </c>
      <c r="I47">
        <f>'Data-Kolom'!F47</f>
        <v>800</v>
      </c>
      <c r="J47">
        <f>'Data-Kolom'!G47</f>
        <v>3300</v>
      </c>
      <c r="K47">
        <v>1</v>
      </c>
      <c r="L47" t="str">
        <f>'Data-Kolom'!C47</f>
        <v>PC.8</v>
      </c>
      <c r="M47">
        <f>IF(L47&gt;0,VLOOKUP(L47,'Data-PC'!$B$14:$F$36,4,FALSE),0)</f>
        <v>700</v>
      </c>
      <c r="N47">
        <f>'Data-Kolom'!H47</f>
        <v>4</v>
      </c>
      <c r="O47">
        <f>'Data-Kolom'!I47</f>
        <v>22</v>
      </c>
      <c r="P47">
        <f>IF(N47&gt;0,VLOOKUP(O47,$V$2:$X$9,2,FALSE),0)</f>
        <v>1700</v>
      </c>
      <c r="Q47">
        <f>IF(L47&gt;0,M47-50+$N$6*O47,VLOOKUP(O47,$V$2:$X$9,3,FALSE))</f>
        <v>914</v>
      </c>
      <c r="R47">
        <f>IF(E47="F",J47-$N$5+$N$6*O47+Q47,IF(E47="D",J47+Q47+P47,IF(E47="T",J47+P47,IF(E47="A",J47-$N$5+$N$6*O47,0))))</f>
        <v>5914</v>
      </c>
      <c r="T47">
        <f>SUM(R47:S47)</f>
        <v>5914</v>
      </c>
      <c r="U47">
        <f>K47*N47</f>
        <v>4</v>
      </c>
      <c r="V47">
        <f>'Data-Kolom'!J47</f>
        <v>8</v>
      </c>
      <c r="W47">
        <f>'Data-Kolom'!K47</f>
        <v>19</v>
      </c>
      <c r="X47">
        <f>IF(V47&gt;0,VLOOKUP(W47,$V$2:$X$9,2,FALSE),0)</f>
        <v>1190</v>
      </c>
      <c r="Y47">
        <f>IF(V47&gt;0,IF(L47&gt;0,M47-50+$N$6*W47,VLOOKUP(W47,$V$2:$X$9,3,FALSE)),0)</f>
        <v>878</v>
      </c>
      <c r="Z47">
        <f>IF(E47="F",J47-$N$5+$N$6*W47+Y47,IF(E47="D",J47+Y47+X47,IF(E47="T",J47+X47,IF(E47="A",J47-$N$5+$N$6*W47,0))))</f>
        <v>5368</v>
      </c>
      <c r="AB47">
        <f>SUM(Z47:AA47)</f>
        <v>5368</v>
      </c>
      <c r="AC47">
        <f>V47*K47</f>
        <v>8</v>
      </c>
      <c r="AD47">
        <f>'Data-Kolom'!L47</f>
        <v>10</v>
      </c>
      <c r="AE47">
        <f>'Data-Kolom'!M47</f>
        <v>100</v>
      </c>
      <c r="AF47">
        <f>'Data-Kolom'!N47</f>
        <v>100</v>
      </c>
      <c r="AG47">
        <f>'Data-Kolom'!O47</f>
        <v>100</v>
      </c>
      <c r="AH47">
        <f>'Data-Kolom'!P47</f>
        <v>1</v>
      </c>
      <c r="AI47">
        <f>'Data-Kolom'!Q47</f>
        <v>10</v>
      </c>
      <c r="AJ47">
        <f>'Data-Kolom'!R47</f>
        <v>0</v>
      </c>
      <c r="AK47">
        <f>'Data-Kolom'!S47</f>
        <v>0</v>
      </c>
      <c r="AL47">
        <f>2*(H47+I47-4*$N$5)+2*MAX($F$5*AD47,75)</f>
        <v>2130</v>
      </c>
      <c r="AM47">
        <f>+AH47*(H47-2*$N$5+2*MAX($F$5*AI47,75))+AJ47*(I47-2*$N$5+2*MAX($F$5*AK47,75))</f>
        <v>380</v>
      </c>
      <c r="AN47">
        <f>(ROUND((1/2*J47+IF(M47&gt;0,(Q47-$N$6*AD47),0))/AE47,0)+(ROUND(1/2*J47/AF47,0)+1))*K47</f>
        <v>42</v>
      </c>
      <c r="AO47">
        <f>H47*I47*J47/1000000000*K47*(1+$T$5)</f>
        <v>0.7128</v>
      </c>
      <c r="AP47">
        <f>0.006165*O47^2*T47*U47/1000*(1+$T$6)</f>
        <v>70.58619216000001</v>
      </c>
      <c r="AQ47">
        <f>0.006165*W47^2*AB47*AC47/1000*(1+$T$6)</f>
        <v>95.57466336</v>
      </c>
      <c r="AR47">
        <f>AN47*0.006165*AD47^2*AL47/1000*(1+$T$6)</f>
        <v>55.15209</v>
      </c>
      <c r="AS47">
        <f>AN47*0.006165*AI47^2*AM47/1000*(1+$T$6)</f>
        <v>9.83934</v>
      </c>
      <c r="AT47">
        <f>K47*2*J47*(H47+I47)/1000000*(1+$T$7)</f>
        <v>7.062</v>
      </c>
      <c r="AU47">
        <f>SUM(AP47:AS47)/AO47</f>
        <v>324.2877181818182</v>
      </c>
      <c r="AV47">
        <f>AT47/AO47</f>
        <v>9.907407407407408</v>
      </c>
      <c r="AX47">
        <f>0.006165*O47^2*R47*U47/1000*(1+$T$6)</f>
        <v>70.58619216000001</v>
      </c>
      <c r="AZ47">
        <f>0.006165*O47^2*S47*U47/1000*(1+$T$6)</f>
        <v>0</v>
      </c>
      <c r="BA47">
        <f>AZ47/AP47</f>
        <v>0</v>
      </c>
    </row>
    <row r="48">
      <c r="A48">
        <f>'Data-Kolom'!A48</f>
        <v>33</v>
      </c>
      <c r="B48" t="str">
        <f>'Data-Kolom'!B48</f>
        <v>Basement</v>
      </c>
      <c r="D48" t="str">
        <f>'Data-Kolom'!D48</f>
        <v>K278-1</v>
      </c>
      <c r="E48" t="str">
        <v>D</v>
      </c>
      <c r="F48">
        <f>'Data-Kolom'!U48</f>
        <v>0</v>
      </c>
      <c r="G48">
        <f>'Data-Kolom'!T48</f>
        <v>0</v>
      </c>
      <c r="H48">
        <f>'Data-Kolom'!E48</f>
        <v>270</v>
      </c>
      <c r="I48">
        <f>'Data-Kolom'!F48</f>
        <v>800</v>
      </c>
      <c r="J48">
        <f>'Data-Kolom'!G48</f>
        <v>3300</v>
      </c>
      <c r="K48">
        <v>1</v>
      </c>
      <c r="L48" t="str">
        <f>'Data-Kolom'!C48</f>
        <v>PC.4</v>
      </c>
      <c r="M48">
        <f>IF(L48&gt;0,VLOOKUP(L48,'Data-PC'!$B$14:$F$36,4,FALSE),0)</f>
        <v>500</v>
      </c>
      <c r="N48">
        <f>'Data-Kolom'!H48</f>
        <v>4</v>
      </c>
      <c r="O48">
        <f>'Data-Kolom'!I48</f>
        <v>22</v>
      </c>
      <c r="P48">
        <f>IF(N48&gt;0,VLOOKUP(O48,$V$2:$X$9,2,FALSE),0)</f>
        <v>1700</v>
      </c>
      <c r="Q48">
        <f>IF(L48&gt;0,M48-50+$N$6*O48,VLOOKUP(O48,$V$2:$X$9,3,FALSE))</f>
        <v>714</v>
      </c>
      <c r="R48">
        <f>IF(E48="F",J48-$N$5+$N$6*O48+Q48,IF(E48="D",J48+Q48+P48,IF(E48="T",J48+P48,IF(E48="A",J48-$N$5+$N$6*O48,0))))</f>
        <v>5714</v>
      </c>
      <c r="T48">
        <f>SUM(R48:S48)</f>
        <v>5714</v>
      </c>
      <c r="U48">
        <f>K48*N48</f>
        <v>4</v>
      </c>
      <c r="V48">
        <f>'Data-Kolom'!J48</f>
        <v>8</v>
      </c>
      <c r="W48">
        <f>'Data-Kolom'!K48</f>
        <v>19</v>
      </c>
      <c r="X48">
        <f>IF(V48&gt;0,VLOOKUP(W48,$V$2:$X$9,2,FALSE),0)</f>
        <v>1190</v>
      </c>
      <c r="Y48">
        <f>IF(V48&gt;0,IF(L48&gt;0,M48-50+$N$6*W48,VLOOKUP(W48,$V$2:$X$9,3,FALSE)),0)</f>
        <v>678</v>
      </c>
      <c r="Z48">
        <f>IF(E48="F",J48-$N$5+$N$6*W48+Y48,IF(E48="D",J48+Y48+X48,IF(E48="T",J48+X48,IF(E48="A",J48-$N$5+$N$6*W48,0))))</f>
        <v>5168</v>
      </c>
      <c r="AB48">
        <f>SUM(Z48:AA48)</f>
        <v>5168</v>
      </c>
      <c r="AC48">
        <f>V48*K48</f>
        <v>8</v>
      </c>
      <c r="AD48">
        <f>'Data-Kolom'!L48</f>
        <v>10</v>
      </c>
      <c r="AE48">
        <f>'Data-Kolom'!M48</f>
        <v>100</v>
      </c>
      <c r="AF48">
        <f>'Data-Kolom'!N48</f>
        <v>100</v>
      </c>
      <c r="AG48">
        <f>'Data-Kolom'!O48</f>
        <v>100</v>
      </c>
      <c r="AH48">
        <f>'Data-Kolom'!P48</f>
        <v>1</v>
      </c>
      <c r="AI48">
        <f>'Data-Kolom'!Q48</f>
        <v>10</v>
      </c>
      <c r="AJ48">
        <f>'Data-Kolom'!R48</f>
        <v>0</v>
      </c>
      <c r="AK48">
        <f>'Data-Kolom'!S48</f>
        <v>0</v>
      </c>
      <c r="AL48">
        <f>2*(H48+I48-4*$N$5)+2*MAX($F$5*AD48,75)</f>
        <v>2130</v>
      </c>
      <c r="AM48">
        <f>+AH48*(H48-2*$N$5+2*MAX($F$5*AI48,75))+AJ48*(I48-2*$N$5+2*MAX($F$5*AK48,75))</f>
        <v>380</v>
      </c>
      <c r="AN48">
        <f>(ROUND((1/2*J48+IF(M48&gt;0,(Q48-$N$6*AD48),0))/AE48,0)+(ROUND(1/2*J48/AF48,0)+1))*K48</f>
        <v>40</v>
      </c>
      <c r="AO48">
        <f>H48*I48*J48/1000000000*K48*(1+$T$5)</f>
        <v>0.7128</v>
      </c>
      <c r="AP48">
        <f>0.006165*O48^2*T48*U48/1000*(1+$T$6)</f>
        <v>68.19910416</v>
      </c>
      <c r="AQ48">
        <f>0.006165*W48^2*AB48*AC48/1000*(1+$T$6)</f>
        <v>92.01375936</v>
      </c>
      <c r="AR48">
        <f>AN48*0.006165*AD48^2*AL48/1000*(1+$T$6)</f>
        <v>52.525800000000004</v>
      </c>
      <c r="AS48">
        <f>AN48*0.006165*AI48^2*AM48/1000*(1+$T$6)</f>
        <v>9.3708</v>
      </c>
      <c r="AT48">
        <f>K48*2*J48*(H48+I48)/1000000*(1+$T$7)</f>
        <v>7.062</v>
      </c>
      <c r="AU48">
        <f>SUM(AP48:AS48)/AO48</f>
        <v>311.6013797979798</v>
      </c>
      <c r="AV48">
        <f>AT48/AO48</f>
        <v>9.907407407407408</v>
      </c>
      <c r="AX48">
        <f>0.006165*O48^2*R48*U48/1000*(1+$T$6)</f>
        <v>68.19910416</v>
      </c>
      <c r="AZ48">
        <f>0.006165*O48^2*S48*U48/1000*(1+$T$6)</f>
        <v>0</v>
      </c>
      <c r="BA48">
        <f>AZ48/AP48</f>
        <v>0</v>
      </c>
    </row>
    <row r="49">
      <c r="A49">
        <f>'Data-Kolom'!A49</f>
        <v>34</v>
      </c>
      <c r="B49" t="str">
        <f>'Data-Kolom'!B49</f>
        <v>Basement</v>
      </c>
      <c r="D49" t="str">
        <f>'Data-Kolom'!D49</f>
        <v>K176-1</v>
      </c>
      <c r="E49" t="str">
        <v>D</v>
      </c>
      <c r="F49">
        <f>'Data-Kolom'!U49</f>
        <v>0</v>
      </c>
      <c r="G49">
        <f>'Data-Kolom'!T49</f>
        <v>0</v>
      </c>
      <c r="H49">
        <f>'Data-Kolom'!E49</f>
        <v>170</v>
      </c>
      <c r="I49">
        <f>'Data-Kolom'!F49</f>
        <v>600</v>
      </c>
      <c r="J49">
        <f>'Data-Kolom'!G49</f>
        <v>3300</v>
      </c>
      <c r="K49">
        <v>1</v>
      </c>
      <c r="L49" t="str">
        <f>'Data-Kolom'!C49</f>
        <v>PC.3</v>
      </c>
      <c r="M49">
        <f>IF(L49&gt;0,VLOOKUP(L49,'Data-PC'!$B$14:$F$36,4,FALSE),0)</f>
        <v>600</v>
      </c>
      <c r="N49">
        <f>'Data-Kolom'!H49</f>
        <v>10</v>
      </c>
      <c r="O49">
        <f>'Data-Kolom'!I49</f>
        <v>16</v>
      </c>
      <c r="P49">
        <f>IF(N49&gt;0,VLOOKUP(O49,$V$2:$X$9,2,FALSE),0)</f>
        <v>1010</v>
      </c>
      <c r="Q49">
        <f>IF(L49&gt;0,M49-50+$N$6*O49,VLOOKUP(O49,$V$2:$X$9,3,FALSE))</f>
        <v>742</v>
      </c>
      <c r="R49">
        <f>IF(E49="F",J49-$N$5+$N$6*O49+Q49,IF(E49="D",J49+Q49+P49,IF(E49="T",J49+P49,IF(E49="A",J49-$N$5+$N$6*O49,0))))</f>
        <v>5052</v>
      </c>
      <c r="T49">
        <f>SUM(R49:S49)</f>
        <v>5052</v>
      </c>
      <c r="U49">
        <f>K49*N49</f>
        <v>10</v>
      </c>
      <c r="V49">
        <f>'Data-Kolom'!J49</f>
        <v>0</v>
      </c>
      <c r="W49">
        <f>'Data-Kolom'!K49</f>
        <v>0</v>
      </c>
      <c r="X49">
        <f>IF(V49&gt;0,VLOOKUP(W49,$V$2:$X$9,2,FALSE),0)</f>
        <v>0</v>
      </c>
      <c r="Y49">
        <f>IF(V49&gt;0,IF(L49&gt;0,M49-50+$N$6*W49,VLOOKUP(W49,$V$2:$X$9,3,FALSE)),0)</f>
        <v>0</v>
      </c>
      <c r="Z49">
        <f>IF(E49="F",J49-$N$5+$N$6*W49+Y49,IF(E49="D",J49+Y49+X49,IF(E49="T",J49+X49,IF(E49="A",J49-$N$5+$N$6*W49,0))))</f>
        <v>3300</v>
      </c>
      <c r="AB49">
        <f>SUM(Z49:AA49)</f>
        <v>3300</v>
      </c>
      <c r="AC49">
        <f>V49*K49</f>
        <v>0</v>
      </c>
      <c r="AD49">
        <f>'Data-Kolom'!L49</f>
        <v>8</v>
      </c>
      <c r="AE49">
        <f>'Data-Kolom'!M49</f>
        <v>100</v>
      </c>
      <c r="AF49">
        <f>'Data-Kolom'!N49</f>
        <v>100</v>
      </c>
      <c r="AG49">
        <f>'Data-Kolom'!O49</f>
        <v>100</v>
      </c>
      <c r="AH49">
        <f>'Data-Kolom'!P49</f>
        <v>0.5</v>
      </c>
      <c r="AI49">
        <f>'Data-Kolom'!Q49</f>
        <v>8</v>
      </c>
      <c r="AJ49">
        <f>'Data-Kolom'!R49</f>
        <v>0</v>
      </c>
      <c r="AK49">
        <f>'Data-Kolom'!S49</f>
        <v>0</v>
      </c>
      <c r="AL49">
        <f>2*(H49+I49-4*$N$5)+2*MAX($F$5*AD49,75)</f>
        <v>1530</v>
      </c>
      <c r="AM49">
        <f>+AH49*(H49-2*$N$5+2*MAX($F$5*AI49,75))+AJ49*(I49-2*$N$5+2*MAX($F$5*AK49,75))</f>
        <v>140</v>
      </c>
      <c r="AN49">
        <f>(ROUND((1/2*J49+IF(M49&gt;0,(Q49-$N$6*AD49),0))/AE49,0)+(ROUND(1/2*J49/AF49,0)+1))*K49</f>
        <v>41</v>
      </c>
      <c r="AO49">
        <f>H49*I49*J49/1000000000*K49*(1+$T$5)</f>
        <v>0.3366</v>
      </c>
      <c r="AP49">
        <f>0.006165*O49^2*T49*U49/1000*(1+$T$6)</f>
        <v>79.7326848</v>
      </c>
      <c r="AQ49">
        <f>0.006165*W49^2*AB49*AC49/1000*(1+$T$6)</f>
        <v>0</v>
      </c>
      <c r="AR49">
        <f>AN49*0.006165*AD49^2*AL49/1000*(1+$T$6)</f>
        <v>24.7507488</v>
      </c>
      <c r="AS49">
        <f>AN49*0.006165*AI49^2*AM49/1000*(1+$T$6)</f>
        <v>2.2647744000000003</v>
      </c>
      <c r="AT49">
        <f>K49*2*J49*(H49+I49)/1000000*(1+$T$7)</f>
        <v>5.082</v>
      </c>
      <c r="AU49">
        <f>SUM(AP49:AS49)/AO49</f>
        <v>317.1366844919786</v>
      </c>
      <c r="AV49">
        <f>AT49/AO49</f>
        <v>15.098039215686274</v>
      </c>
      <c r="AX49">
        <f>0.006165*O49^2*R49*U49/1000*(1+$T$6)</f>
        <v>79.7326848</v>
      </c>
      <c r="AZ49">
        <f>0.006165*O49^2*S49*U49/1000*(1+$T$6)</f>
        <v>0</v>
      </c>
      <c r="BA49">
        <f>AZ49/AP49</f>
        <v>0</v>
      </c>
    </row>
    <row r="50">
      <c r="A50">
        <f>'Data-Kolom'!A50</f>
        <v>35</v>
      </c>
      <c r="B50" t="str">
        <f>'Data-Kolom'!B50</f>
        <v>Basement</v>
      </c>
      <c r="D50" t="str">
        <f>'Data-Kolom'!D50</f>
        <v>K175-2</v>
      </c>
      <c r="E50" t="str">
        <v>F</v>
      </c>
      <c r="F50">
        <f>'Data-Kolom'!U50</f>
        <v>0</v>
      </c>
      <c r="G50">
        <f>'Data-Kolom'!T50</f>
        <v>0</v>
      </c>
      <c r="H50">
        <f>'Data-Kolom'!E50</f>
        <v>170</v>
      </c>
      <c r="I50">
        <f>'Data-Kolom'!F50</f>
        <v>500</v>
      </c>
      <c r="J50">
        <f>'Data-Kolom'!G50</f>
        <v>3300</v>
      </c>
      <c r="K50">
        <v>1</v>
      </c>
      <c r="L50" t="str">
        <f>'Data-Kolom'!C50</f>
        <v>PC.2A</v>
      </c>
      <c r="M50">
        <f>IF(L50&gt;0,VLOOKUP(L50,'Data-PC'!$B$14:$F$36,4,FALSE),0)</f>
        <v>600</v>
      </c>
      <c r="N50">
        <f>'Data-Kolom'!H50</f>
        <v>8</v>
      </c>
      <c r="O50">
        <f>'Data-Kolom'!I50</f>
        <v>16</v>
      </c>
      <c r="P50">
        <f>IF(N50&gt;0,VLOOKUP(O50,$V$2:$X$9,2,FALSE),0)</f>
        <v>1010</v>
      </c>
      <c r="Q50">
        <f>IF(L50&gt;0,M50-50+$N$6*O50,VLOOKUP(O50,$V$2:$X$9,3,FALSE))</f>
        <v>742</v>
      </c>
      <c r="R50">
        <f>IF(E50="F",J50-$N$5+$N$6*O50+Q50,IF(E50="D",J50+Q50+P50,IF(E50="T",J50+P50,IF(E50="A",J50-$N$5+$N$6*O50,0))))</f>
        <v>4214</v>
      </c>
      <c r="T50">
        <f>SUM(R50:S50)</f>
        <v>4214</v>
      </c>
      <c r="U50">
        <f>K50*N50</f>
        <v>8</v>
      </c>
      <c r="V50">
        <f>'Data-Kolom'!J50</f>
        <v>0</v>
      </c>
      <c r="W50">
        <f>'Data-Kolom'!K50</f>
        <v>0</v>
      </c>
      <c r="X50">
        <f>IF(V50&gt;0,VLOOKUP(W50,$V$2:$X$9,2,FALSE),0)</f>
        <v>0</v>
      </c>
      <c r="Y50">
        <f>IF(V50&gt;0,IF(L50&gt;0,M50-50+$N$6*W50,VLOOKUP(W50,$V$2:$X$9,3,FALSE)),0)</f>
        <v>0</v>
      </c>
      <c r="Z50">
        <f>IF(E50="F",J50-$N$5+$N$6*W50+Y50,IF(E50="D",J50+Y50+X50,IF(E50="T",J50+X50,IF(E50="A",J50-$N$5+$N$6*W50,0))))</f>
        <v>3280</v>
      </c>
      <c r="AB50">
        <f>SUM(Z50:AA50)</f>
        <v>3280</v>
      </c>
      <c r="AC50">
        <f>V50*K50</f>
        <v>0</v>
      </c>
      <c r="AD50">
        <f>'Data-Kolom'!L50</f>
        <v>8</v>
      </c>
      <c r="AE50">
        <f>'Data-Kolom'!M50</f>
        <v>100</v>
      </c>
      <c r="AF50">
        <f>'Data-Kolom'!N50</f>
        <v>100</v>
      </c>
      <c r="AG50">
        <f>'Data-Kolom'!O50</f>
        <v>100</v>
      </c>
      <c r="AH50">
        <f>'Data-Kolom'!P50</f>
        <v>0.5</v>
      </c>
      <c r="AI50">
        <f>'Data-Kolom'!Q50</f>
        <v>8</v>
      </c>
      <c r="AJ50">
        <f>'Data-Kolom'!R50</f>
        <v>0</v>
      </c>
      <c r="AK50">
        <f>'Data-Kolom'!S50</f>
        <v>0</v>
      </c>
      <c r="AL50">
        <f>2*(H50+I50-4*$N$5)+2*MAX($F$5*AD50,75)</f>
        <v>1330</v>
      </c>
      <c r="AM50">
        <f>+AH50*(H50-2*$N$5+2*MAX($F$5*AI50,75))+AJ50*(I50-2*$N$5+2*MAX($F$5*AK50,75))</f>
        <v>140</v>
      </c>
      <c r="AN50">
        <f>(ROUND((1/2*J50+IF(M50&gt;0,(Q50-$N$6*AD50),0))/AE50,0)+(ROUND(1/2*J50/AF50,0)+1))*K50</f>
        <v>41</v>
      </c>
      <c r="AO50">
        <f>H50*I50*J50/1000000000*K50*(1+$T$5)</f>
        <v>0.2805</v>
      </c>
      <c r="AP50">
        <f>0.006165*O50^2*T50*U50/1000*(1+$T$6)</f>
        <v>53.205626880000004</v>
      </c>
      <c r="AQ50">
        <f>0.006165*W50^2*AB50*AC50/1000*(1+$T$6)</f>
        <v>0</v>
      </c>
      <c r="AR50">
        <f>AN50*0.006165*AD50^2*AL50/1000*(1+$T$6)</f>
        <v>21.515356800000003</v>
      </c>
      <c r="AS50">
        <f>AN50*0.006165*AI50^2*AM50/1000*(1+$T$6)</f>
        <v>2.2647744000000003</v>
      </c>
      <c r="AT50">
        <f>K50*2*J50*(H50+I50)/1000000*(1+$T$7)</f>
        <v>4.422</v>
      </c>
      <c r="AU50">
        <f>SUM(AP50:AS50)/AO50</f>
        <v>274.4590305882353</v>
      </c>
      <c r="AV50">
        <f>AT50/AO50</f>
        <v>15.764705882352938</v>
      </c>
      <c r="AX50">
        <f>0.006165*O50^2*R50*U50/1000*(1+$T$6)</f>
        <v>53.205626880000004</v>
      </c>
      <c r="AZ50">
        <f>0.006165*O50^2*S50*U50/1000*(1+$T$6)</f>
        <v>0</v>
      </c>
      <c r="BA50">
        <f>AZ50/AP50</f>
        <v>0</v>
      </c>
    </row>
    <row r="51">
      <c r="A51">
        <f>'Data-Kolom'!A51</f>
        <v>36</v>
      </c>
      <c r="B51" t="str">
        <f>'Data-Kolom'!B51</f>
        <v>Basement</v>
      </c>
      <c r="D51" t="str">
        <f>'Data-Kolom'!D51</f>
        <v>K175-2</v>
      </c>
      <c r="E51" t="str">
        <v>F</v>
      </c>
      <c r="F51">
        <f>'Data-Kolom'!U51</f>
        <v>0</v>
      </c>
      <c r="G51">
        <f>'Data-Kolom'!T51</f>
        <v>0</v>
      </c>
      <c r="H51">
        <f>'Data-Kolom'!E51</f>
        <v>170</v>
      </c>
      <c r="I51">
        <f>'Data-Kolom'!F51</f>
        <v>500</v>
      </c>
      <c r="J51">
        <f>'Data-Kolom'!G51</f>
        <v>3300</v>
      </c>
      <c r="K51">
        <v>1</v>
      </c>
      <c r="L51" t="str">
        <f>'Data-Kolom'!C51</f>
        <v>PC.1</v>
      </c>
      <c r="M51">
        <f>IF(L51&gt;0,VLOOKUP(L51,'Data-PC'!$B$14:$F$36,4,FALSE),0)</f>
        <v>500</v>
      </c>
      <c r="N51">
        <f>'Data-Kolom'!H51</f>
        <v>8</v>
      </c>
      <c r="O51">
        <f>'Data-Kolom'!I51</f>
        <v>16</v>
      </c>
      <c r="P51">
        <f>IF(N51&gt;0,VLOOKUP(O51,$V$2:$X$9,2,FALSE),0)</f>
        <v>1010</v>
      </c>
      <c r="Q51">
        <f>IF(L51&gt;0,M51-50+$N$6*O51,VLOOKUP(O51,$V$2:$X$9,3,FALSE))</f>
        <v>642</v>
      </c>
      <c r="R51">
        <f>IF(E51="F",J51-$N$5+$N$6*O51+Q51,IF(E51="D",J51+Q51+P51,IF(E51="T",J51+P51,IF(E51="A",J51-$N$5+$N$6*O51,0))))</f>
        <v>4114</v>
      </c>
      <c r="T51">
        <f>SUM(R51:S51)</f>
        <v>4114</v>
      </c>
      <c r="U51">
        <f>K51*N51</f>
        <v>8</v>
      </c>
      <c r="V51">
        <f>'Data-Kolom'!J51</f>
        <v>0</v>
      </c>
      <c r="W51">
        <f>'Data-Kolom'!K51</f>
        <v>0</v>
      </c>
      <c r="X51">
        <f>IF(V51&gt;0,VLOOKUP(W51,$V$2:$X$9,2,FALSE),0)</f>
        <v>0</v>
      </c>
      <c r="Y51">
        <f>IF(V51&gt;0,IF(L51&gt;0,M51-50+$N$6*W51,VLOOKUP(W51,$V$2:$X$9,3,FALSE)),0)</f>
        <v>0</v>
      </c>
      <c r="Z51">
        <f>IF(E51="F",J51-$N$5+$N$6*W51+Y51,IF(E51="D",J51+Y51+X51,IF(E51="T",J51+X51,IF(E51="A",J51-$N$5+$N$6*W51,0))))</f>
        <v>3280</v>
      </c>
      <c r="AB51">
        <f>SUM(Z51:AA51)</f>
        <v>3280</v>
      </c>
      <c r="AC51">
        <f>V51*K51</f>
        <v>0</v>
      </c>
      <c r="AD51">
        <f>'Data-Kolom'!L51</f>
        <v>8</v>
      </c>
      <c r="AE51">
        <f>'Data-Kolom'!M51</f>
        <v>100</v>
      </c>
      <c r="AF51">
        <f>'Data-Kolom'!N51</f>
        <v>100</v>
      </c>
      <c r="AG51">
        <f>'Data-Kolom'!O51</f>
        <v>100</v>
      </c>
      <c r="AH51">
        <f>'Data-Kolom'!P51</f>
        <v>0.5</v>
      </c>
      <c r="AI51">
        <f>'Data-Kolom'!Q51</f>
        <v>8</v>
      </c>
      <c r="AJ51">
        <f>'Data-Kolom'!R51</f>
        <v>0</v>
      </c>
      <c r="AK51">
        <f>'Data-Kolom'!S51</f>
        <v>0</v>
      </c>
      <c r="AL51">
        <f>2*(H51+I51-4*$N$5)+2*MAX($F$5*AD51,75)</f>
        <v>1330</v>
      </c>
      <c r="AM51">
        <f>+AH51*(H51-2*$N$5+2*MAX($F$5*AI51,75))+AJ51*(I51-2*$N$5+2*MAX($F$5*AK51,75))</f>
        <v>140</v>
      </c>
      <c r="AN51">
        <f>(ROUND((1/2*J51+IF(M51&gt;0,(Q51-$N$6*AD51),0))/AE51,0)+(ROUND(1/2*J51/AF51,0)+1))*K51</f>
        <v>40</v>
      </c>
      <c r="AO51">
        <f>H51*I51*J51/1000000000*K51*(1+$T$5)</f>
        <v>0.2805</v>
      </c>
      <c r="AP51">
        <f>0.006165*O51^2*T51*U51/1000*(1+$T$6)</f>
        <v>51.94303488</v>
      </c>
      <c r="AQ51">
        <f>0.006165*W51^2*AB51*AC51/1000*(1+$T$6)</f>
        <v>0</v>
      </c>
      <c r="AR51">
        <f>AN51*0.006165*AD51^2*AL51/1000*(1+$T$6)</f>
        <v>20.990592</v>
      </c>
      <c r="AS51">
        <f>AN51*0.006165*AI51^2*AM51/1000*(1+$T$6)</f>
        <v>2.209536</v>
      </c>
      <c r="AT51">
        <f>K51*2*J51*(H51+I51)/1000000*(1+$T$7)</f>
        <v>4.422</v>
      </c>
      <c r="AU51">
        <f>SUM(AP51:AS51)/AO51</f>
        <v>267.89006374331547</v>
      </c>
      <c r="AV51">
        <f>AT51/AO51</f>
        <v>15.764705882352938</v>
      </c>
      <c r="AX51">
        <f>0.006165*O51^2*R51*U51/1000*(1+$T$6)</f>
        <v>51.94303488</v>
      </c>
      <c r="AZ51">
        <f>0.006165*O51^2*S51*U51/1000*(1+$T$6)</f>
        <v>0</v>
      </c>
      <c r="BA51">
        <f>AZ51/AP51</f>
        <v>0</v>
      </c>
    </row>
    <row r="52">
      <c r="A52">
        <f>'Data-Kolom'!A52</f>
        <v>37</v>
      </c>
      <c r="B52" t="str">
        <f>'Data-Kolom'!B52</f>
        <v>Basement</v>
      </c>
      <c r="D52" t="str">
        <f>'Data-Kolom'!D52</f>
        <v>K175-4</v>
      </c>
      <c r="E52" t="str">
        <v>F</v>
      </c>
      <c r="F52">
        <f>'Data-Kolom'!U52</f>
        <v>0</v>
      </c>
      <c r="G52">
        <f>'Data-Kolom'!T52</f>
        <v>0</v>
      </c>
      <c r="H52">
        <f>'Data-Kolom'!E52</f>
        <v>170</v>
      </c>
      <c r="I52">
        <f>'Data-Kolom'!F52</f>
        <v>500</v>
      </c>
      <c r="J52">
        <f>'Data-Kolom'!G52</f>
        <v>3300</v>
      </c>
      <c r="K52">
        <v>1</v>
      </c>
      <c r="L52" t="str">
        <f>'Data-Kolom'!C52</f>
        <v>PC.1</v>
      </c>
      <c r="M52">
        <f>IF(L52&gt;0,VLOOKUP(L52,'Data-PC'!$B$14:$F$36,4,FALSE),0)</f>
        <v>500</v>
      </c>
      <c r="N52">
        <f>'Data-Kolom'!H52</f>
        <v>8</v>
      </c>
      <c r="O52">
        <f>'Data-Kolom'!I52</f>
        <v>19</v>
      </c>
      <c r="P52">
        <f>IF(N52&gt;0,VLOOKUP(O52,$V$2:$X$9,2,FALSE),0)</f>
        <v>1190</v>
      </c>
      <c r="Q52">
        <f>IF(L52&gt;0,M52-50+$N$6*O52,VLOOKUP(O52,$V$2:$X$9,3,FALSE))</f>
        <v>678</v>
      </c>
      <c r="R52">
        <f>IF(E52="F",J52-$N$5+$N$6*O52+Q52,IF(E52="D",J52+Q52+P52,IF(E52="T",J52+P52,IF(E52="A",J52-$N$5+$N$6*O52,0))))</f>
        <v>4186</v>
      </c>
      <c r="T52">
        <f>SUM(R52:S52)</f>
        <v>4186</v>
      </c>
      <c r="U52">
        <f>K52*N52</f>
        <v>8</v>
      </c>
      <c r="V52">
        <f>'Data-Kolom'!J52</f>
        <v>2</v>
      </c>
      <c r="W52">
        <f>'Data-Kolom'!K52</f>
        <v>8</v>
      </c>
      <c r="X52">
        <f>IF(V52&gt;0,VLOOKUP(W52,$V$2:$X$9,2,FALSE),0)</f>
        <v>400</v>
      </c>
      <c r="Y52">
        <f>IF(V52&gt;0,IF(L52&gt;0,M52-50+$N$6*W52,VLOOKUP(W52,$V$2:$X$9,3,FALSE)),0)</f>
        <v>546</v>
      </c>
      <c r="Z52">
        <f>IF(E52="F",J52-$N$5+$N$6*W52+Y52,IF(E52="D",J52+Y52+X52,IF(E52="T",J52+X52,IF(E52="A",J52-$N$5+$N$6*W52,0))))</f>
        <v>3922</v>
      </c>
      <c r="AB52">
        <f>SUM(Z52:AA52)</f>
        <v>3922</v>
      </c>
      <c r="AC52">
        <f>V52*K52</f>
        <v>2</v>
      </c>
      <c r="AD52">
        <f>'Data-Kolom'!L52</f>
        <v>10</v>
      </c>
      <c r="AE52">
        <f>'Data-Kolom'!M52</f>
        <v>100</v>
      </c>
      <c r="AF52">
        <f>'Data-Kolom'!N52</f>
        <v>100</v>
      </c>
      <c r="AG52">
        <f>'Data-Kolom'!O52</f>
        <v>100</v>
      </c>
      <c r="AH52">
        <f>'Data-Kolom'!P52</f>
        <v>0.5</v>
      </c>
      <c r="AI52">
        <f>'Data-Kolom'!Q52</f>
        <v>8</v>
      </c>
      <c r="AJ52">
        <f>'Data-Kolom'!R52</f>
        <v>0</v>
      </c>
      <c r="AK52">
        <f>'Data-Kolom'!S52</f>
        <v>0</v>
      </c>
      <c r="AL52">
        <f>2*(H52+I52-4*$N$5)+2*MAX($F$5*AD52,75)</f>
        <v>1330</v>
      </c>
      <c r="AM52">
        <f>+AH52*(H52-2*$N$5+2*MAX($F$5*AI52,75))+AJ52*(I52-2*$N$5+2*MAX($F$5*AK52,75))</f>
        <v>140</v>
      </c>
      <c r="AN52">
        <f>(ROUND((1/2*J52+IF(M52&gt;0,(Q52-$N$6*AD52),0))/AE52,0)+(ROUND(1/2*J52/AF52,0)+1))*K52</f>
        <v>40</v>
      </c>
      <c r="AO52">
        <f>H52*I52*J52/1000000000*K52*(1+$T$5)</f>
        <v>0.2805</v>
      </c>
      <c r="AP52">
        <f>0.006165*O52^2*T52*U52/1000*(1+$T$6)</f>
        <v>74.52972072</v>
      </c>
      <c r="AQ52">
        <f>0.006165*W52^2*AB52*AC52/1000*(1+$T$6)</f>
        <v>3.09492864</v>
      </c>
      <c r="AR52">
        <f>AN52*0.006165*AD52^2*AL52/1000*(1+$T$6)</f>
        <v>32.7978</v>
      </c>
      <c r="AS52">
        <f>AN52*0.006165*AI52^2*AM52/1000*(1+$T$6)</f>
        <v>2.209536</v>
      </c>
      <c r="AT52">
        <f>K52*2*J52*(H52+I52)/1000000*(1+$T$7)</f>
        <v>4.422</v>
      </c>
      <c r="AU52">
        <f>SUM(AP52:AS52)/AO52</f>
        <v>401.54005475935827</v>
      </c>
      <c r="AV52">
        <f>AT52/AO52</f>
        <v>15.764705882352938</v>
      </c>
      <c r="AX52">
        <f>0.006165*O52^2*R52*U52/1000*(1+$T$6)</f>
        <v>74.52972072</v>
      </c>
      <c r="AZ52">
        <f>0.006165*O52^2*S52*U52/1000*(1+$T$6)</f>
        <v>0</v>
      </c>
      <c r="BA52">
        <f>AZ52/AP52</f>
        <v>0</v>
      </c>
    </row>
    <row r="53">
      <c r="A53">
        <f>'Data-Kolom'!A53</f>
        <v>38</v>
      </c>
      <c r="B53" t="str">
        <f>'Data-Kolom'!B53</f>
        <v>Basement</v>
      </c>
      <c r="D53" t="str">
        <f>'Data-Kolom'!D53</f>
        <v>K179-1</v>
      </c>
      <c r="E53" t="str">
        <v>D</v>
      </c>
      <c r="F53">
        <f>'Data-Kolom'!U53</f>
        <v>0</v>
      </c>
      <c r="G53">
        <f>'Data-Kolom'!T53</f>
        <v>0</v>
      </c>
      <c r="H53">
        <f>'Data-Kolom'!E53</f>
        <v>170</v>
      </c>
      <c r="I53">
        <f>'Data-Kolom'!F53</f>
        <v>900</v>
      </c>
      <c r="J53">
        <f>'Data-Kolom'!G53</f>
        <v>3300</v>
      </c>
      <c r="K53">
        <v>1</v>
      </c>
      <c r="L53" t="str">
        <f>'Data-Kolom'!C53</f>
        <v>PC.5</v>
      </c>
      <c r="M53">
        <f>IF(L53&gt;0,VLOOKUP(L53,'Data-PC'!$B$14:$F$36,4,FALSE),0)</f>
        <v>600</v>
      </c>
      <c r="N53">
        <f>'Data-Kolom'!H53</f>
        <v>14</v>
      </c>
      <c r="O53">
        <f>'Data-Kolom'!I53</f>
        <v>19</v>
      </c>
      <c r="P53">
        <f>IF(N53&gt;0,VLOOKUP(O53,$V$2:$X$9,2,FALSE),0)</f>
        <v>1190</v>
      </c>
      <c r="Q53">
        <f>IF(L53&gt;0,M53-50+$N$6*O53,VLOOKUP(O53,$V$2:$X$9,3,FALSE))</f>
        <v>778</v>
      </c>
      <c r="R53">
        <f>IF(E53="F",J53-$N$5+$N$6*O53+Q53,IF(E53="D",J53+Q53+P53,IF(E53="T",J53+P53,IF(E53="A",J53-$N$5+$N$6*O53,0))))</f>
        <v>5268</v>
      </c>
      <c r="T53">
        <f>SUM(R53:S53)</f>
        <v>5268</v>
      </c>
      <c r="U53">
        <f>K53*N53</f>
        <v>14</v>
      </c>
      <c r="V53">
        <f>'Data-Kolom'!J53</f>
        <v>0</v>
      </c>
      <c r="W53">
        <f>'Data-Kolom'!K53</f>
        <v>0</v>
      </c>
      <c r="X53">
        <f>IF(V53&gt;0,VLOOKUP(W53,$V$2:$X$9,2,FALSE),0)</f>
        <v>0</v>
      </c>
      <c r="Y53">
        <f>IF(V53&gt;0,IF(L53&gt;0,M53-50+$N$6*W53,VLOOKUP(W53,$V$2:$X$9,3,FALSE)),0)</f>
        <v>0</v>
      </c>
      <c r="Z53">
        <f>IF(E53="F",J53-$N$5+$N$6*W53+Y53,IF(E53="D",J53+Y53+X53,IF(E53="T",J53+X53,IF(E53="A",J53-$N$5+$N$6*W53,0))))</f>
        <v>3300</v>
      </c>
      <c r="AB53">
        <f>SUM(Z53:AA53)</f>
        <v>3300</v>
      </c>
      <c r="AC53">
        <f>V53*K53</f>
        <v>0</v>
      </c>
      <c r="AD53">
        <f>'Data-Kolom'!L53</f>
        <v>8</v>
      </c>
      <c r="AE53">
        <f>'Data-Kolom'!M53</f>
        <v>100</v>
      </c>
      <c r="AF53">
        <f>'Data-Kolom'!N53</f>
        <v>100</v>
      </c>
      <c r="AG53">
        <f>'Data-Kolom'!O53</f>
        <v>100</v>
      </c>
      <c r="AH53">
        <f>'Data-Kolom'!P53</f>
        <v>1</v>
      </c>
      <c r="AI53">
        <f>'Data-Kolom'!Q53</f>
        <v>8</v>
      </c>
      <c r="AJ53">
        <f>'Data-Kolom'!R53</f>
        <v>0</v>
      </c>
      <c r="AK53">
        <f>'Data-Kolom'!S53</f>
        <v>0</v>
      </c>
      <c r="AL53">
        <f>2*(H53+I53-4*$N$5)+2*MAX($F$5*AD53,75)</f>
        <v>2130</v>
      </c>
      <c r="AM53">
        <f>+AH53*(H53-2*$N$5+2*MAX($F$5*AI53,75))+AJ53*(I53-2*$N$5+2*MAX($F$5*AK53,75))</f>
        <v>280</v>
      </c>
      <c r="AN53">
        <f>(ROUND((1/2*J53+IF(M53&gt;0,(Q53-$N$6*AD53),0))/AE53,0)+(ROUND(1/2*J53/AF53,0)+1))*K53</f>
        <v>41</v>
      </c>
      <c r="AO53">
        <f>H53*I53*J53/1000000000*K53*(1+$T$5)</f>
        <v>0.5049</v>
      </c>
      <c r="AP53">
        <f>0.006165*O53^2*T53*U53/1000*(1+$T$6)</f>
        <v>164.13986988000002</v>
      </c>
      <c r="AQ53">
        <f>0.006165*W53^2*AB53*AC53/1000*(1+$T$6)</f>
        <v>0</v>
      </c>
      <c r="AR53">
        <f>AN53*0.006165*AD53^2*AL53/1000*(1+$T$6)</f>
        <v>34.4569248</v>
      </c>
      <c r="AS53">
        <f>AN53*0.006165*AI53^2*AM53/1000*(1+$T$6)</f>
        <v>4.529548800000001</v>
      </c>
      <c r="AT53">
        <f>K53*2*J53*(H53+I53)/1000000*(1+$T$7)</f>
        <v>7.062</v>
      </c>
      <c r="AU53">
        <f>SUM(AP53:AS53)/AO53</f>
        <v>402.3100484848485</v>
      </c>
      <c r="AV53">
        <f>AT53/AO53</f>
        <v>13.986928104575163</v>
      </c>
      <c r="AX53">
        <f>0.006165*O53^2*R53*U53/1000*(1+$T$6)</f>
        <v>164.13986988000002</v>
      </c>
      <c r="AZ53">
        <f>0.006165*O53^2*S53*U53/1000*(1+$T$6)</f>
        <v>0</v>
      </c>
      <c r="BA53">
        <f>AZ53/AP53</f>
        <v>0</v>
      </c>
    </row>
    <row r="54">
      <c r="A54">
        <f>'Data-Kolom'!A54</f>
        <v>39</v>
      </c>
      <c r="B54" t="str">
        <f>'Data-Kolom'!B54</f>
        <v>Basement</v>
      </c>
      <c r="D54" t="str">
        <f>'Data-Kolom'!D54</f>
        <v>K175-3</v>
      </c>
      <c r="E54" t="str">
        <v>F</v>
      </c>
      <c r="F54">
        <f>'Data-Kolom'!U54</f>
        <v>0</v>
      </c>
      <c r="G54">
        <f>'Data-Kolom'!T54</f>
        <v>0</v>
      </c>
      <c r="H54">
        <f>'Data-Kolom'!E54</f>
        <v>170</v>
      </c>
      <c r="I54">
        <f>'Data-Kolom'!F54</f>
        <v>500</v>
      </c>
      <c r="J54">
        <f>'Data-Kolom'!G54</f>
        <v>3300</v>
      </c>
      <c r="K54">
        <v>1</v>
      </c>
      <c r="L54" t="str">
        <f>'Data-Kolom'!C54</f>
        <v>PC.2A</v>
      </c>
      <c r="M54">
        <f>IF(L54&gt;0,VLOOKUP(L54,'Data-PC'!$B$14:$F$36,4,FALSE),0)</f>
        <v>600</v>
      </c>
      <c r="N54">
        <f>'Data-Kolom'!H54</f>
        <v>4</v>
      </c>
      <c r="O54">
        <f>'Data-Kolom'!I54</f>
        <v>19</v>
      </c>
      <c r="P54">
        <f>IF(N54&gt;0,VLOOKUP(O54,$V$2:$X$9,2,FALSE),0)</f>
        <v>1190</v>
      </c>
      <c r="Q54">
        <f>IF(L54&gt;0,M54-50+$N$6*O54,VLOOKUP(O54,$V$2:$X$9,3,FALSE))</f>
        <v>778</v>
      </c>
      <c r="R54">
        <f>IF(E54="F",J54-$N$5+$N$6*O54+Q54,IF(E54="D",J54+Q54+P54,IF(E54="T",J54+P54,IF(E54="A",J54-$N$5+$N$6*O54,0))))</f>
        <v>4286</v>
      </c>
      <c r="T54">
        <f>SUM(R54:S54)</f>
        <v>4286</v>
      </c>
      <c r="U54">
        <f>K54*N54</f>
        <v>4</v>
      </c>
      <c r="V54">
        <f>'Data-Kolom'!J54</f>
        <v>4</v>
      </c>
      <c r="W54">
        <f>'Data-Kolom'!K54</f>
        <v>16</v>
      </c>
      <c r="X54">
        <f>IF(V54&gt;0,VLOOKUP(W54,$V$2:$X$9,2,FALSE),0)</f>
        <v>1010</v>
      </c>
      <c r="Y54">
        <f>IF(V54&gt;0,IF(L54&gt;0,M54-50+$N$6*W54,VLOOKUP(W54,$V$2:$X$9,3,FALSE)),0)</f>
        <v>742</v>
      </c>
      <c r="Z54">
        <f>IF(E54="F",J54-$N$5+$N$6*W54+Y54,IF(E54="D",J54+Y54+X54,IF(E54="T",J54+X54,IF(E54="A",J54-$N$5+$N$6*W54,0))))</f>
        <v>4214</v>
      </c>
      <c r="AB54">
        <f>SUM(Z54:AA54)</f>
        <v>4214</v>
      </c>
      <c r="AC54">
        <f>V54*K54</f>
        <v>4</v>
      </c>
      <c r="AD54">
        <f>'Data-Kolom'!L54</f>
        <v>8</v>
      </c>
      <c r="AE54">
        <f>'Data-Kolom'!M54</f>
        <v>100</v>
      </c>
      <c r="AF54">
        <f>'Data-Kolom'!N54</f>
        <v>100</v>
      </c>
      <c r="AG54">
        <f>'Data-Kolom'!O54</f>
        <v>100</v>
      </c>
      <c r="AH54">
        <f>'Data-Kolom'!P54</f>
        <v>0.5</v>
      </c>
      <c r="AI54">
        <f>'Data-Kolom'!Q54</f>
        <v>8</v>
      </c>
      <c r="AJ54">
        <f>'Data-Kolom'!R54</f>
        <v>0</v>
      </c>
      <c r="AK54">
        <f>'Data-Kolom'!S54</f>
        <v>0</v>
      </c>
      <c r="AL54">
        <f>2*(H54+I54-4*$N$5)+2*MAX($F$5*AD54,75)</f>
        <v>1330</v>
      </c>
      <c r="AM54">
        <f>+AH54*(H54-2*$N$5+2*MAX($F$5*AI54,75))+AJ54*(I54-2*$N$5+2*MAX($F$5*AK54,75))</f>
        <v>140</v>
      </c>
      <c r="AN54">
        <f>(ROUND((1/2*J54+IF(M54&gt;0,(Q54-$N$6*AD54),0))/AE54,0)+(ROUND(1/2*J54/AF54,0)+1))*K54</f>
        <v>41</v>
      </c>
      <c r="AO54">
        <f>H54*I54*J54/1000000000*K54*(1+$T$5)</f>
        <v>0.2805</v>
      </c>
      <c r="AP54">
        <f>0.006165*O54^2*T54*U54/1000*(1+$T$6)</f>
        <v>38.15508636</v>
      </c>
      <c r="AQ54">
        <f>0.006165*W54^2*AB54*AC54/1000*(1+$T$6)</f>
        <v>26.602813440000002</v>
      </c>
      <c r="AR54">
        <f>AN54*0.006165*AD54^2*AL54/1000*(1+$T$6)</f>
        <v>21.515356800000003</v>
      </c>
      <c r="AS54">
        <f>AN54*0.006165*AI54^2*AM54/1000*(1+$T$6)</f>
        <v>2.2647744000000003</v>
      </c>
      <c r="AT54">
        <f>K54*2*J54*(H54+I54)/1000000*(1+$T$7)</f>
        <v>4.422</v>
      </c>
      <c r="AU54">
        <f>SUM(AP54:AS54)/AO54</f>
        <v>315.6436042780749</v>
      </c>
      <c r="AV54">
        <f>AT54/AO54</f>
        <v>15.764705882352938</v>
      </c>
      <c r="AX54">
        <f>0.006165*O54^2*R54*U54/1000*(1+$T$6)</f>
        <v>38.15508636</v>
      </c>
      <c r="AZ54">
        <f>0.006165*O54^2*S54*U54/1000*(1+$T$6)</f>
        <v>0</v>
      </c>
      <c r="BA54">
        <f>AZ54/AP54</f>
        <v>0</v>
      </c>
    </row>
    <row r="55">
      <c r="A55">
        <f>'Data-Kolom'!A55</f>
        <v>40</v>
      </c>
      <c r="B55" t="str">
        <f>'Data-Kolom'!B55</f>
        <v>Basement</v>
      </c>
      <c r="D55" t="str">
        <f>'Data-Kolom'!D55</f>
        <v>K175-2</v>
      </c>
      <c r="E55" t="str">
        <v>F</v>
      </c>
      <c r="F55">
        <f>'Data-Kolom'!U55</f>
        <v>0</v>
      </c>
      <c r="G55">
        <f>'Data-Kolom'!T55</f>
        <v>0</v>
      </c>
      <c r="H55">
        <f>'Data-Kolom'!E55</f>
        <v>170</v>
      </c>
      <c r="I55">
        <f>'Data-Kolom'!F55</f>
        <v>500</v>
      </c>
      <c r="J55">
        <f>'Data-Kolom'!G55</f>
        <v>3300</v>
      </c>
      <c r="K55">
        <v>1</v>
      </c>
      <c r="L55" t="str">
        <f>'Data-Kolom'!C55</f>
        <v>PC.2</v>
      </c>
      <c r="M55">
        <f>IF(L55&gt;0,VLOOKUP(L55,'Data-PC'!$B$14:$F$36,4,FALSE),0)</f>
        <v>500</v>
      </c>
      <c r="N55">
        <f>'Data-Kolom'!H55</f>
        <v>8</v>
      </c>
      <c r="O55">
        <f>'Data-Kolom'!I55</f>
        <v>16</v>
      </c>
      <c r="P55">
        <f>IF(N55&gt;0,VLOOKUP(O55,$V$2:$X$9,2,FALSE),0)</f>
        <v>1010</v>
      </c>
      <c r="Q55">
        <f>IF(L55&gt;0,M55-50+$N$6*O55,VLOOKUP(O55,$V$2:$X$9,3,FALSE))</f>
        <v>642</v>
      </c>
      <c r="R55">
        <f>IF(E55="F",J55-$N$5+$N$6*O55+Q55,IF(E55="D",J55+Q55+P55,IF(E55="T",J55+P55,IF(E55="A",J55-$N$5+$N$6*O55,0))))</f>
        <v>4114</v>
      </c>
      <c r="T55">
        <f>SUM(R55:S55)</f>
        <v>4114</v>
      </c>
      <c r="U55">
        <f>K55*N55</f>
        <v>8</v>
      </c>
      <c r="V55">
        <f>'Data-Kolom'!J55</f>
        <v>0</v>
      </c>
      <c r="W55">
        <f>'Data-Kolom'!K55</f>
        <v>0</v>
      </c>
      <c r="X55">
        <f>IF(V55&gt;0,VLOOKUP(W55,$V$2:$X$9,2,FALSE),0)</f>
        <v>0</v>
      </c>
      <c r="Y55">
        <f>IF(V55&gt;0,IF(L55&gt;0,M55-50+$N$6*W55,VLOOKUP(W55,$V$2:$X$9,3,FALSE)),0)</f>
        <v>0</v>
      </c>
      <c r="Z55">
        <f>IF(E55="F",J55-$N$5+$N$6*W55+Y55,IF(E55="D",J55+Y55+X55,IF(E55="T",J55+X55,IF(E55="A",J55-$N$5+$N$6*W55,0))))</f>
        <v>3280</v>
      </c>
      <c r="AB55">
        <f>SUM(Z55:AA55)</f>
        <v>3280</v>
      </c>
      <c r="AC55">
        <f>V55*K55</f>
        <v>0</v>
      </c>
      <c r="AD55">
        <f>'Data-Kolom'!L55</f>
        <v>8</v>
      </c>
      <c r="AE55">
        <f>'Data-Kolom'!M55</f>
        <v>100</v>
      </c>
      <c r="AF55">
        <f>'Data-Kolom'!N55</f>
        <v>100</v>
      </c>
      <c r="AG55">
        <f>'Data-Kolom'!O55</f>
        <v>100</v>
      </c>
      <c r="AH55">
        <f>'Data-Kolom'!P55</f>
        <v>0.5</v>
      </c>
      <c r="AI55">
        <f>'Data-Kolom'!Q55</f>
        <v>8</v>
      </c>
      <c r="AJ55">
        <f>'Data-Kolom'!R55</f>
        <v>0</v>
      </c>
      <c r="AK55">
        <f>'Data-Kolom'!S55</f>
        <v>0</v>
      </c>
      <c r="AL55">
        <f>2*(H55+I55-4*$N$5)+2*MAX($F$5*AD55,75)</f>
        <v>1330</v>
      </c>
      <c r="AM55">
        <f>+AH55*(H55-2*$N$5+2*MAX($F$5*AI55,75))+AJ55*(I55-2*$N$5+2*MAX($F$5*AK55,75))</f>
        <v>140</v>
      </c>
      <c r="AN55">
        <f>(ROUND((1/2*J55+IF(M55&gt;0,(Q55-$N$6*AD55),0))/AE55,0)+(ROUND(1/2*J55/AF55,0)+1))*K55</f>
        <v>40</v>
      </c>
      <c r="AO55">
        <f>H55*I55*J55/1000000000*K55*(1+$T$5)</f>
        <v>0.2805</v>
      </c>
      <c r="AP55">
        <f>0.006165*O55^2*T55*U55/1000*(1+$T$6)</f>
        <v>51.94303488</v>
      </c>
      <c r="AQ55">
        <f>0.006165*W55^2*AB55*AC55/1000*(1+$T$6)</f>
        <v>0</v>
      </c>
      <c r="AR55">
        <f>AN55*0.006165*AD55^2*AL55/1000*(1+$T$6)</f>
        <v>20.990592</v>
      </c>
      <c r="AS55">
        <f>AN55*0.006165*AI55^2*AM55/1000*(1+$T$6)</f>
        <v>2.209536</v>
      </c>
      <c r="AT55">
        <f>K55*2*J55*(H55+I55)/1000000*(1+$T$7)</f>
        <v>4.422</v>
      </c>
      <c r="AU55">
        <f>SUM(AP55:AS55)/AO55</f>
        <v>267.89006374331547</v>
      </c>
      <c r="AV55">
        <f>AT55/AO55</f>
        <v>15.764705882352938</v>
      </c>
      <c r="AX55">
        <f>0.006165*O55^2*R55*U55/1000*(1+$T$6)</f>
        <v>51.94303488</v>
      </c>
      <c r="AZ55">
        <f>0.006165*O55^2*S55*U55/1000*(1+$T$6)</f>
        <v>0</v>
      </c>
      <c r="BA55">
        <f>AZ55/AP55</f>
        <v>0</v>
      </c>
    </row>
    <row r="56">
      <c r="A56">
        <f>'Data-Kolom'!A56</f>
        <v>41</v>
      </c>
      <c r="B56" t="str">
        <f>'Data-Kolom'!B56</f>
        <v>Basement</v>
      </c>
      <c r="D56" t="str">
        <f>'Data-Kolom'!D56</f>
        <v>K48-1</v>
      </c>
      <c r="E56" t="str">
        <v>F</v>
      </c>
      <c r="F56">
        <f>'Data-Kolom'!U56</f>
        <v>0</v>
      </c>
      <c r="G56">
        <f>'Data-Kolom'!T56</f>
        <v>0</v>
      </c>
      <c r="H56">
        <f>'Data-Kolom'!E56</f>
        <v>400</v>
      </c>
      <c r="I56">
        <f>'Data-Kolom'!F56</f>
        <v>800</v>
      </c>
      <c r="J56">
        <f>'Data-Kolom'!G56</f>
        <v>3300</v>
      </c>
      <c r="K56">
        <v>1</v>
      </c>
      <c r="L56" t="str">
        <f>'Data-Kolom'!C56</f>
        <v>PC.5A</v>
      </c>
      <c r="M56">
        <f>IF(L56&gt;0,VLOOKUP(L56,'Data-PC'!$B$14:$F$36,4,FALSE),0)</f>
        <v>700</v>
      </c>
      <c r="N56">
        <f>'Data-Kolom'!H56</f>
        <v>22</v>
      </c>
      <c r="O56">
        <f>'Data-Kolom'!I56</f>
        <v>22</v>
      </c>
      <c r="P56">
        <f>IF(N56&gt;0,VLOOKUP(O56,$V$2:$X$9,2,FALSE),0)</f>
        <v>1700</v>
      </c>
      <c r="Q56">
        <f>IF(L56&gt;0,M56-50+$N$6*O56,VLOOKUP(O56,$V$2:$X$9,3,FALSE))</f>
        <v>914</v>
      </c>
      <c r="R56">
        <f>IF(E56="F",J56-$N$5+$N$6*O56+Q56,IF(E56="D",J56+Q56+P56,IF(E56="T",J56+P56,IF(E56="A",J56-$N$5+$N$6*O56,0))))</f>
        <v>4458</v>
      </c>
      <c r="T56">
        <f>SUM(R56:S56)</f>
        <v>4458</v>
      </c>
      <c r="U56">
        <f>K56*N56</f>
        <v>22</v>
      </c>
      <c r="V56">
        <f>'Data-Kolom'!J56</f>
        <v>0</v>
      </c>
      <c r="W56">
        <f>'Data-Kolom'!K56</f>
        <v>0</v>
      </c>
      <c r="X56">
        <f>IF(V56&gt;0,VLOOKUP(W56,$V$2:$X$9,2,FALSE),0)</f>
        <v>0</v>
      </c>
      <c r="Y56">
        <f>IF(V56&gt;0,IF(L56&gt;0,M56-50+$N$6*W56,VLOOKUP(W56,$V$2:$X$9,3,FALSE)),0)</f>
        <v>0</v>
      </c>
      <c r="Z56">
        <f>IF(E56="F",J56-$N$5+$N$6*W56+Y56,IF(E56="D",J56+Y56+X56,IF(E56="T",J56+X56,IF(E56="A",J56-$N$5+$N$6*W56,0))))</f>
        <v>3280</v>
      </c>
      <c r="AB56">
        <f>SUM(Z56:AA56)</f>
        <v>3280</v>
      </c>
      <c r="AC56">
        <f>V56*K56</f>
        <v>0</v>
      </c>
      <c r="AD56">
        <f>'Data-Kolom'!L56</f>
        <v>10</v>
      </c>
      <c r="AE56">
        <f>'Data-Kolom'!M56</f>
        <v>100</v>
      </c>
      <c r="AF56">
        <f>'Data-Kolom'!N56</f>
        <v>100</v>
      </c>
      <c r="AG56">
        <f>'Data-Kolom'!O56</f>
        <v>100</v>
      </c>
      <c r="AH56">
        <f>'Data-Kolom'!P56</f>
        <v>2</v>
      </c>
      <c r="AI56">
        <f>'Data-Kolom'!Q56</f>
        <v>10</v>
      </c>
      <c r="AJ56">
        <f>'Data-Kolom'!R56</f>
        <v>1</v>
      </c>
      <c r="AK56">
        <f>'Data-Kolom'!S56</f>
        <v>10</v>
      </c>
      <c r="AL56">
        <f>2*(H56+I56-4*$N$5)+2*MAX($F$5*AD56,75)</f>
        <v>2390</v>
      </c>
      <c r="AM56">
        <f>+AH56*(H56-2*$N$5+2*MAX($F$5*AI56,75))+AJ56*(I56-2*$N$5+2*MAX($F$5*AK56,75))</f>
        <v>1930</v>
      </c>
      <c r="AN56">
        <f>(ROUND((1/2*J56+IF(M56&gt;0,(Q56-$N$6*AD56),0))/AE56,0)+(ROUND(1/2*J56/AF56,0)+1))*K56</f>
        <v>42</v>
      </c>
      <c r="AO56">
        <f>H56*I56*J56/1000000000*K56*(1+$T$5)</f>
        <v>1.056</v>
      </c>
      <c r="AP56">
        <f>0.006165*O56^2*T56*U56/1000*(1+$T$6)</f>
        <v>292.64505336</v>
      </c>
      <c r="AQ56">
        <f>0.006165*W56^2*AB56*AC56/1000*(1+$T$6)</f>
        <v>0</v>
      </c>
      <c r="AR56">
        <f>AN56*0.006165*AD56^2*AL56/1000*(1+$T$6)</f>
        <v>61.88427</v>
      </c>
      <c r="AS56">
        <f>AN56*0.006165*AI56^2*AM56/1000*(1+$T$6)</f>
        <v>49.97349</v>
      </c>
      <c r="AT56">
        <f>K56*2*J56*(H56+I56)/1000000*(1+$T$7)</f>
        <v>7.92</v>
      </c>
      <c r="AU56">
        <f>SUM(AP56:AS56)/AO56</f>
        <v>383.0519065909091</v>
      </c>
      <c r="AV56">
        <f>AT56/AO56</f>
        <v>7.5</v>
      </c>
      <c r="AX56">
        <f>0.006165*O56^2*R56*U56/1000*(1+$T$6)</f>
        <v>292.64505336</v>
      </c>
      <c r="AZ56">
        <f>0.006165*O56^2*S56*U56/1000*(1+$T$6)</f>
        <v>0</v>
      </c>
      <c r="BA56">
        <f>AZ56/AP56</f>
        <v>0</v>
      </c>
    </row>
    <row r="57">
      <c r="A57">
        <f>'Data-Kolom'!A57</f>
        <v>42</v>
      </c>
      <c r="B57" t="str">
        <f>'Data-Kolom'!B57</f>
        <v>Basement</v>
      </c>
      <c r="D57" t="str">
        <f>'Data-Kolom'!D57</f>
        <v>K175-2</v>
      </c>
      <c r="E57" t="str">
        <v>F</v>
      </c>
      <c r="F57">
        <f>'Data-Kolom'!U57</f>
        <v>0</v>
      </c>
      <c r="G57">
        <f>'Data-Kolom'!T57</f>
        <v>0</v>
      </c>
      <c r="H57">
        <f>'Data-Kolom'!E57</f>
        <v>170</v>
      </c>
      <c r="I57">
        <f>'Data-Kolom'!F57</f>
        <v>500</v>
      </c>
      <c r="J57">
        <f>'Data-Kolom'!G57</f>
        <v>3300</v>
      </c>
      <c r="K57">
        <v>1</v>
      </c>
      <c r="L57" t="str">
        <f>'Data-Kolom'!C57</f>
        <v>PC.1A</v>
      </c>
      <c r="M57">
        <f>IF(L57&gt;0,VLOOKUP(L57,'Data-PC'!$B$14:$F$36,4,FALSE),0)</f>
        <v>700</v>
      </c>
      <c r="N57">
        <f>'Data-Kolom'!H57</f>
        <v>8</v>
      </c>
      <c r="O57">
        <f>'Data-Kolom'!I57</f>
        <v>16</v>
      </c>
      <c r="P57">
        <f>IF(N57&gt;0,VLOOKUP(O57,$V$2:$X$9,2,FALSE),0)</f>
        <v>1010</v>
      </c>
      <c r="Q57">
        <f>IF(L57&gt;0,M57-50+$N$6*O57,VLOOKUP(O57,$V$2:$X$9,3,FALSE))</f>
        <v>842</v>
      </c>
      <c r="R57">
        <f>IF(E57="F",J57-$N$5+$N$6*O57+Q57,IF(E57="D",J57+Q57+P57,IF(E57="T",J57+P57,IF(E57="A",J57-$N$5+$N$6*O57,0))))</f>
        <v>4314</v>
      </c>
      <c r="T57">
        <f>SUM(R57:S57)</f>
        <v>4314</v>
      </c>
      <c r="U57">
        <f>K57*N57</f>
        <v>8</v>
      </c>
      <c r="V57">
        <f>'Data-Kolom'!J57</f>
        <v>0</v>
      </c>
      <c r="W57">
        <f>'Data-Kolom'!K57</f>
        <v>0</v>
      </c>
      <c r="X57">
        <f>IF(V57&gt;0,VLOOKUP(W57,$V$2:$X$9,2,FALSE),0)</f>
        <v>0</v>
      </c>
      <c r="Y57">
        <f>IF(V57&gt;0,IF(L57&gt;0,M57-50+$N$6*W57,VLOOKUP(W57,$V$2:$X$9,3,FALSE)),0)</f>
        <v>0</v>
      </c>
      <c r="Z57">
        <f>IF(E57="F",J57-$N$5+$N$6*W57+Y57,IF(E57="D",J57+Y57+X57,IF(E57="T",J57+X57,IF(E57="A",J57-$N$5+$N$6*W57,0))))</f>
        <v>3280</v>
      </c>
      <c r="AB57">
        <f>SUM(Z57:AA57)</f>
        <v>3280</v>
      </c>
      <c r="AC57">
        <f>V57*K57</f>
        <v>0</v>
      </c>
      <c r="AD57">
        <f>'Data-Kolom'!L57</f>
        <v>8</v>
      </c>
      <c r="AE57">
        <f>'Data-Kolom'!M57</f>
        <v>100</v>
      </c>
      <c r="AF57">
        <f>'Data-Kolom'!N57</f>
        <v>100</v>
      </c>
      <c r="AG57">
        <f>'Data-Kolom'!O57</f>
        <v>100</v>
      </c>
      <c r="AH57">
        <f>'Data-Kolom'!P57</f>
        <v>0.5</v>
      </c>
      <c r="AI57">
        <f>'Data-Kolom'!Q57</f>
        <v>8</v>
      </c>
      <c r="AJ57">
        <f>'Data-Kolom'!R57</f>
        <v>0</v>
      </c>
      <c r="AK57">
        <f>'Data-Kolom'!S57</f>
        <v>0</v>
      </c>
      <c r="AL57">
        <f>2*(H57+I57-4*$N$5)+2*MAX($F$5*AD57,75)</f>
        <v>1330</v>
      </c>
      <c r="AM57">
        <f>+AH57*(H57-2*$N$5+2*MAX($F$5*AI57,75))+AJ57*(I57-2*$N$5+2*MAX($F$5*AK57,75))</f>
        <v>140</v>
      </c>
      <c r="AN57">
        <f>(ROUND((1/2*J57+IF(M57&gt;0,(Q57-$N$6*AD57),0))/AE57,0)+(ROUND(1/2*J57/AF57,0)+1))*K57</f>
        <v>42</v>
      </c>
      <c r="AO57">
        <f>H57*I57*J57/1000000000*K57*(1+$T$5)</f>
        <v>0.2805</v>
      </c>
      <c r="AP57">
        <f>0.006165*O57^2*T57*U57/1000*(1+$T$6)</f>
        <v>54.46821888</v>
      </c>
      <c r="AQ57">
        <f>0.006165*W57^2*AB57*AC57/1000*(1+$T$6)</f>
        <v>0</v>
      </c>
      <c r="AR57">
        <f>AN57*0.006165*AD57^2*AL57/1000*(1+$T$6)</f>
        <v>22.0401216</v>
      </c>
      <c r="AS57">
        <f>AN57*0.006165*AI57^2*AM57/1000*(1+$T$6)</f>
        <v>2.3200127999999998</v>
      </c>
      <c r="AT57">
        <f>K57*2*J57*(H57+I57)/1000000*(1+$T$7)</f>
        <v>4.422</v>
      </c>
      <c r="AU57">
        <f>SUM(AP57:AS57)/AO57</f>
        <v>281.02799743315506</v>
      </c>
      <c r="AV57">
        <f>AT57/AO57</f>
        <v>15.764705882352938</v>
      </c>
      <c r="AX57">
        <f>0.006165*O57^2*R57*U57/1000*(1+$T$6)</f>
        <v>54.46821888</v>
      </c>
      <c r="AZ57">
        <f>0.006165*O57^2*S57*U57/1000*(1+$T$6)</f>
        <v>0</v>
      </c>
      <c r="BA57">
        <f>AZ57/AP57</f>
        <v>0</v>
      </c>
    </row>
    <row r="58">
      <c r="A58">
        <f>'Data-Kolom'!A58</f>
        <v>43</v>
      </c>
      <c r="B58" t="str">
        <f>'Data-Kolom'!B58</f>
        <v>Basement</v>
      </c>
      <c r="D58" t="str">
        <f>'Data-Kolom'!D58</f>
        <v>K59-1</v>
      </c>
      <c r="E58" t="str">
        <v>D</v>
      </c>
      <c r="F58">
        <f>'Data-Kolom'!U58</f>
        <v>0</v>
      </c>
      <c r="G58">
        <f>'Data-Kolom'!T58</f>
        <v>0</v>
      </c>
      <c r="H58">
        <f>'Data-Kolom'!E58</f>
        <v>500</v>
      </c>
      <c r="I58">
        <f>'Data-Kolom'!F58</f>
        <v>900</v>
      </c>
      <c r="J58">
        <f>'Data-Kolom'!G58</f>
        <v>3300</v>
      </c>
      <c r="K58">
        <v>1</v>
      </c>
      <c r="L58" t="str">
        <f>'Data-Kolom'!C58</f>
        <v>PC.11</v>
      </c>
      <c r="M58">
        <f>IF(L58&gt;0,VLOOKUP(L58,'Data-PC'!$B$14:$F$36,4,FALSE),0)</f>
        <v>800</v>
      </c>
      <c r="N58">
        <f>'Data-Kolom'!H58</f>
        <v>18</v>
      </c>
      <c r="O58">
        <f>'Data-Kolom'!I58</f>
        <v>22</v>
      </c>
      <c r="P58">
        <f>IF(N58&gt;0,VLOOKUP(O58,$V$2:$X$9,2,FALSE),0)</f>
        <v>1700</v>
      </c>
      <c r="Q58">
        <f>IF(L58&gt;0,M58-50+$N$6*O58,VLOOKUP(O58,$V$2:$X$9,3,FALSE))</f>
        <v>1014</v>
      </c>
      <c r="R58">
        <f>IF(E58="F",J58-$N$5+$N$6*O58+Q58,IF(E58="D",J58+Q58+P58,IF(E58="T",J58+P58,IF(E58="A",J58-$N$5+$N$6*O58,0))))</f>
        <v>6014</v>
      </c>
      <c r="T58">
        <f>SUM(R58:S58)</f>
        <v>6014</v>
      </c>
      <c r="U58">
        <f>K58*N58</f>
        <v>18</v>
      </c>
      <c r="V58">
        <f>'Data-Kolom'!J58</f>
        <v>0</v>
      </c>
      <c r="W58">
        <f>'Data-Kolom'!K58</f>
        <v>0</v>
      </c>
      <c r="X58">
        <f>IF(V58&gt;0,VLOOKUP(W58,$V$2:$X$9,2,FALSE),0)</f>
        <v>0</v>
      </c>
      <c r="Y58">
        <f>IF(V58&gt;0,IF(L58&gt;0,M58-50+$N$6*W58,VLOOKUP(W58,$V$2:$X$9,3,FALSE)),0)</f>
        <v>0</v>
      </c>
      <c r="Z58">
        <f>IF(E58="F",J58-$N$5+$N$6*W58+Y58,IF(E58="D",J58+Y58+X58,IF(E58="T",J58+X58,IF(E58="A",J58-$N$5+$N$6*W58,0))))</f>
        <v>3300</v>
      </c>
      <c r="AB58">
        <f>SUM(Z58:AA58)</f>
        <v>3300</v>
      </c>
      <c r="AC58">
        <f>V58*K58</f>
        <v>0</v>
      </c>
      <c r="AD58">
        <f>'Data-Kolom'!L58</f>
        <v>10</v>
      </c>
      <c r="AE58">
        <f>'Data-Kolom'!M58</f>
        <v>100</v>
      </c>
      <c r="AF58">
        <f>'Data-Kolom'!N58</f>
        <v>100</v>
      </c>
      <c r="AG58">
        <f>'Data-Kolom'!O58</f>
        <v>100</v>
      </c>
      <c r="AH58">
        <f>'Data-Kolom'!P58</f>
        <v>2</v>
      </c>
      <c r="AI58">
        <f>'Data-Kolom'!Q58</f>
        <v>10</v>
      </c>
      <c r="AJ58">
        <f>'Data-Kolom'!R58</f>
        <v>1</v>
      </c>
      <c r="AK58">
        <f>'Data-Kolom'!S58</f>
        <v>10</v>
      </c>
      <c r="AL58">
        <f>2*(H58+I58-4*$N$5)+2*MAX($F$5*AD58,75)</f>
        <v>2790</v>
      </c>
      <c r="AM58">
        <f>+AH58*(H58-2*$N$5+2*MAX($F$5*AI58,75))+AJ58*(I58-2*$N$5+2*MAX($F$5*AK58,75))</f>
        <v>2230</v>
      </c>
      <c r="AN58">
        <f>(ROUND((1/2*J58+IF(M58&gt;0,(Q58-$N$6*AD58),0))/AE58,0)+(ROUND(1/2*J58/AF58,0)+1))*K58</f>
        <v>43</v>
      </c>
      <c r="AO58">
        <f>H58*I58*J58/1000000000*K58*(1+$T$5)</f>
        <v>1.485</v>
      </c>
      <c r="AP58">
        <f>0.006165*O58^2*T58*U58/1000*(1+$T$6)</f>
        <v>323.00881272</v>
      </c>
      <c r="AQ58">
        <f>0.006165*W58^2*AB58*AC58/1000*(1+$T$6)</f>
        <v>0</v>
      </c>
      <c r="AR58">
        <f>AN58*0.006165*AD58^2*AL58/1000*(1+$T$6)</f>
        <v>73.961505</v>
      </c>
      <c r="AS58">
        <f>AN58*0.006165*AI58^2*AM58/1000*(1+$T$6)</f>
        <v>59.116185</v>
      </c>
      <c r="AT58">
        <f>K58*2*J58*(H58+I58)/1000000*(1+$T$7)</f>
        <v>9.24</v>
      </c>
      <c r="AU58">
        <f>SUM(AP58:AS58)/AO58</f>
        <v>307.12895806060607</v>
      </c>
      <c r="AV58">
        <f>AT58/AO58</f>
        <v>6.222222222222222</v>
      </c>
      <c r="AX58">
        <f>0.006165*O58^2*R58*U58/1000*(1+$T$6)</f>
        <v>323.00881272</v>
      </c>
      <c r="AZ58">
        <f>0.006165*O58^2*S58*U58/1000*(1+$T$6)</f>
        <v>0</v>
      </c>
      <c r="BA58">
        <f>AZ58/AP58</f>
        <v>0</v>
      </c>
    </row>
    <row r="59">
      <c r="A59">
        <f>'Data-Kolom'!A59</f>
        <v>44</v>
      </c>
      <c r="B59" t="str">
        <f>'Data-Kolom'!B59</f>
        <v>Basement</v>
      </c>
      <c r="D59" t="str">
        <f>'Data-Kolom'!D59</f>
        <v>K175-4</v>
      </c>
      <c r="E59" t="str">
        <v>F</v>
      </c>
      <c r="F59">
        <f>'Data-Kolom'!U59</f>
        <v>0</v>
      </c>
      <c r="G59">
        <f>'Data-Kolom'!T59</f>
        <v>0</v>
      </c>
      <c r="H59">
        <f>'Data-Kolom'!E59</f>
        <v>170</v>
      </c>
      <c r="I59">
        <f>'Data-Kolom'!F59</f>
        <v>500</v>
      </c>
      <c r="J59">
        <f>'Data-Kolom'!G59</f>
        <v>3300</v>
      </c>
      <c r="K59">
        <v>1</v>
      </c>
      <c r="L59" t="str">
        <f>'Data-Kolom'!C59</f>
        <v>PC.1</v>
      </c>
      <c r="M59">
        <f>IF(L59&gt;0,VLOOKUP(L59,'Data-PC'!$B$14:$F$36,4,FALSE),0)</f>
        <v>500</v>
      </c>
      <c r="N59">
        <f>'Data-Kolom'!H59</f>
        <v>8</v>
      </c>
      <c r="O59">
        <f>'Data-Kolom'!I59</f>
        <v>19</v>
      </c>
      <c r="P59">
        <f>IF(N59&gt;0,VLOOKUP(O59,$V$2:$X$9,2,FALSE),0)</f>
        <v>1190</v>
      </c>
      <c r="Q59">
        <f>IF(L59&gt;0,M59-50+$N$6*O59,VLOOKUP(O59,$V$2:$X$9,3,FALSE))</f>
        <v>678</v>
      </c>
      <c r="R59">
        <f>IF(E59="F",J59-$N$5+$N$6*O59+Q59,IF(E59="D",J59+Q59+P59,IF(E59="T",J59+P59,IF(E59="A",J59-$N$5+$N$6*O59,0))))</f>
        <v>4186</v>
      </c>
      <c r="T59">
        <f>SUM(R59:S59)</f>
        <v>4186</v>
      </c>
      <c r="U59">
        <f>K59*N59</f>
        <v>8</v>
      </c>
      <c r="V59">
        <f>'Data-Kolom'!J59</f>
        <v>2</v>
      </c>
      <c r="W59">
        <f>'Data-Kolom'!K59</f>
        <v>8</v>
      </c>
      <c r="X59">
        <f>IF(V59&gt;0,VLOOKUP(W59,$V$2:$X$9,2,FALSE),0)</f>
        <v>400</v>
      </c>
      <c r="Y59">
        <f>IF(V59&gt;0,IF(L59&gt;0,M59-50+$N$6*W59,VLOOKUP(W59,$V$2:$X$9,3,FALSE)),0)</f>
        <v>546</v>
      </c>
      <c r="Z59">
        <f>IF(E59="F",J59-$N$5+$N$6*W59+Y59,IF(E59="D",J59+Y59+X59,IF(E59="T",J59+X59,IF(E59="A",J59-$N$5+$N$6*W59,0))))</f>
        <v>3922</v>
      </c>
      <c r="AB59">
        <f>SUM(Z59:AA59)</f>
        <v>3922</v>
      </c>
      <c r="AC59">
        <f>V59*K59</f>
        <v>2</v>
      </c>
      <c r="AD59">
        <f>'Data-Kolom'!L59</f>
        <v>10</v>
      </c>
      <c r="AE59">
        <f>'Data-Kolom'!M59</f>
        <v>100</v>
      </c>
      <c r="AF59">
        <f>'Data-Kolom'!N59</f>
        <v>100</v>
      </c>
      <c r="AG59">
        <f>'Data-Kolom'!O59</f>
        <v>100</v>
      </c>
      <c r="AH59">
        <f>'Data-Kolom'!P59</f>
        <v>0.5</v>
      </c>
      <c r="AI59">
        <f>'Data-Kolom'!Q59</f>
        <v>8</v>
      </c>
      <c r="AJ59">
        <f>'Data-Kolom'!R59</f>
        <v>0</v>
      </c>
      <c r="AK59">
        <f>'Data-Kolom'!S59</f>
        <v>0</v>
      </c>
      <c r="AL59">
        <f>2*(H59+I59-4*$N$5)+2*MAX($F$5*AD59,75)</f>
        <v>1330</v>
      </c>
      <c r="AM59">
        <f>+AH59*(H59-2*$N$5+2*MAX($F$5*AI59,75))+AJ59*(I59-2*$N$5+2*MAX($F$5*AK59,75))</f>
        <v>140</v>
      </c>
      <c r="AN59">
        <f>(ROUND((1/2*J59+IF(M59&gt;0,(Q59-$N$6*AD59),0))/AE59,0)+(ROUND(1/2*J59/AF59,0)+1))*K59</f>
        <v>40</v>
      </c>
      <c r="AO59">
        <f>H59*I59*J59/1000000000*K59*(1+$T$5)</f>
        <v>0.2805</v>
      </c>
      <c r="AP59">
        <f>0.006165*O59^2*T59*U59/1000*(1+$T$6)</f>
        <v>74.52972072</v>
      </c>
      <c r="AQ59">
        <f>0.006165*W59^2*AB59*AC59/1000*(1+$T$6)</f>
        <v>3.09492864</v>
      </c>
      <c r="AR59">
        <f>AN59*0.006165*AD59^2*AL59/1000*(1+$T$6)</f>
        <v>32.7978</v>
      </c>
      <c r="AS59">
        <f>AN59*0.006165*AI59^2*AM59/1000*(1+$T$6)</f>
        <v>2.209536</v>
      </c>
      <c r="AT59">
        <f>K59*2*J59*(H59+I59)/1000000*(1+$T$7)</f>
        <v>4.422</v>
      </c>
      <c r="AU59">
        <f>SUM(AP59:AS59)/AO59</f>
        <v>401.54005475935827</v>
      </c>
      <c r="AV59">
        <f>AT59/AO59</f>
        <v>15.764705882352938</v>
      </c>
      <c r="AX59">
        <f>0.006165*O59^2*R59*U59/1000*(1+$T$6)</f>
        <v>74.52972072</v>
      </c>
      <c r="AZ59">
        <f>0.006165*O59^2*S59*U59/1000*(1+$T$6)</f>
        <v>0</v>
      </c>
      <c r="BA59">
        <f>AZ59/AP59</f>
        <v>0</v>
      </c>
    </row>
    <row r="60">
      <c r="A60">
        <f>'Data-Kolom'!A60</f>
        <v>45</v>
      </c>
      <c r="B60" t="str">
        <f>'Data-Kolom'!B60</f>
        <v>Basement</v>
      </c>
      <c r="D60" t="str">
        <f>'Data-Kolom'!D60</f>
        <v>K175-3</v>
      </c>
      <c r="E60" t="str">
        <v>F</v>
      </c>
      <c r="F60">
        <f>'Data-Kolom'!U60</f>
        <v>0</v>
      </c>
      <c r="G60">
        <f>'Data-Kolom'!T60</f>
        <v>0</v>
      </c>
      <c r="H60">
        <f>'Data-Kolom'!E60</f>
        <v>170</v>
      </c>
      <c r="I60">
        <f>'Data-Kolom'!F60</f>
        <v>500</v>
      </c>
      <c r="J60">
        <f>'Data-Kolom'!G60</f>
        <v>3300</v>
      </c>
      <c r="K60">
        <v>1</v>
      </c>
      <c r="L60" t="str">
        <f>'Data-Kolom'!C60</f>
        <v>PC.2</v>
      </c>
      <c r="M60">
        <f>IF(L60&gt;0,VLOOKUP(L60,'Data-PC'!$B$14:$F$36,4,FALSE),0)</f>
        <v>500</v>
      </c>
      <c r="N60">
        <f>'Data-Kolom'!H60</f>
        <v>4</v>
      </c>
      <c r="O60">
        <f>'Data-Kolom'!I60</f>
        <v>19</v>
      </c>
      <c r="P60">
        <f>IF(N60&gt;0,VLOOKUP(O60,$V$2:$X$9,2,FALSE),0)</f>
        <v>1190</v>
      </c>
      <c r="Q60">
        <f>IF(L60&gt;0,M60-50+$N$6*O60,VLOOKUP(O60,$V$2:$X$9,3,FALSE))</f>
        <v>678</v>
      </c>
      <c r="R60">
        <f>IF(E60="F",J60-$N$5+$N$6*O60+Q60,IF(E60="D",J60+Q60+P60,IF(E60="T",J60+P60,IF(E60="A",J60-$N$5+$N$6*O60,0))))</f>
        <v>4186</v>
      </c>
      <c r="T60">
        <f>SUM(R60:S60)</f>
        <v>4186</v>
      </c>
      <c r="U60">
        <f>K60*N60</f>
        <v>4</v>
      </c>
      <c r="V60">
        <f>'Data-Kolom'!J60</f>
        <v>4</v>
      </c>
      <c r="W60">
        <f>'Data-Kolom'!K60</f>
        <v>16</v>
      </c>
      <c r="X60">
        <f>IF(V60&gt;0,VLOOKUP(W60,$V$2:$X$9,2,FALSE),0)</f>
        <v>1010</v>
      </c>
      <c r="Y60">
        <f>IF(V60&gt;0,IF(L60&gt;0,M60-50+$N$6*W60,VLOOKUP(W60,$V$2:$X$9,3,FALSE)),0)</f>
        <v>642</v>
      </c>
      <c r="Z60">
        <f>IF(E60="F",J60-$N$5+$N$6*W60+Y60,IF(E60="D",J60+Y60+X60,IF(E60="T",J60+X60,IF(E60="A",J60-$N$5+$N$6*W60,0))))</f>
        <v>4114</v>
      </c>
      <c r="AB60">
        <f>SUM(Z60:AA60)</f>
        <v>4114</v>
      </c>
      <c r="AC60">
        <f>V60*K60</f>
        <v>4</v>
      </c>
      <c r="AD60">
        <f>'Data-Kolom'!L60</f>
        <v>8</v>
      </c>
      <c r="AE60">
        <f>'Data-Kolom'!M60</f>
        <v>100</v>
      </c>
      <c r="AF60">
        <f>'Data-Kolom'!N60</f>
        <v>100</v>
      </c>
      <c r="AG60">
        <f>'Data-Kolom'!O60</f>
        <v>100</v>
      </c>
      <c r="AH60">
        <f>'Data-Kolom'!P60</f>
        <v>0.5</v>
      </c>
      <c r="AI60">
        <f>'Data-Kolom'!Q60</f>
        <v>8</v>
      </c>
      <c r="AJ60">
        <f>'Data-Kolom'!R60</f>
        <v>0</v>
      </c>
      <c r="AK60">
        <f>'Data-Kolom'!S60</f>
        <v>0</v>
      </c>
      <c r="AL60">
        <f>2*(H60+I60-4*$N$5)+2*MAX($F$5*AD60,75)</f>
        <v>1330</v>
      </c>
      <c r="AM60">
        <f>+AH60*(H60-2*$N$5+2*MAX($F$5*AI60,75))+AJ60*(I60-2*$N$5+2*MAX($F$5*AK60,75))</f>
        <v>140</v>
      </c>
      <c r="AN60">
        <f>(ROUND((1/2*J60+IF(M60&gt;0,(Q60-$N$6*AD60),0))/AE60,0)+(ROUND(1/2*J60/AF60,0)+1))*K60</f>
        <v>40</v>
      </c>
      <c r="AO60">
        <f>H60*I60*J60/1000000000*K60*(1+$T$5)</f>
        <v>0.2805</v>
      </c>
      <c r="AP60">
        <f>0.006165*O60^2*T60*U60/1000*(1+$T$6)</f>
        <v>37.26486036</v>
      </c>
      <c r="AQ60">
        <f>0.006165*W60^2*AB60*AC60/1000*(1+$T$6)</f>
        <v>25.97151744</v>
      </c>
      <c r="AR60">
        <f>AN60*0.006165*AD60^2*AL60/1000*(1+$T$6)</f>
        <v>20.990592</v>
      </c>
      <c r="AS60">
        <f>AN60*0.006165*AI60^2*AM60/1000*(1+$T$6)</f>
        <v>2.209536</v>
      </c>
      <c r="AT60">
        <f>K60*2*J60*(H60+I60)/1000000*(1+$T$7)</f>
        <v>4.422</v>
      </c>
      <c r="AU60">
        <f>SUM(AP60:AS60)/AO60</f>
        <v>308.151535828877</v>
      </c>
      <c r="AV60">
        <f>AT60/AO60</f>
        <v>15.764705882352938</v>
      </c>
      <c r="AX60">
        <f>0.006165*O60^2*R60*U60/1000*(1+$T$6)</f>
        <v>37.26486036</v>
      </c>
      <c r="AZ60">
        <f>0.006165*O60^2*S60*U60/1000*(1+$T$6)</f>
        <v>0</v>
      </c>
      <c r="BA60">
        <f>AZ60/AP60</f>
        <v>0</v>
      </c>
    </row>
    <row r="61">
      <c r="A61">
        <f>'Data-Kolom'!A61</f>
        <v>46</v>
      </c>
      <c r="B61" t="str">
        <f>'Data-Kolom'!B61</f>
        <v>Basement</v>
      </c>
      <c r="D61" t="str">
        <f>'Data-Kolom'!D61</f>
        <v>K59-1</v>
      </c>
      <c r="E61" t="str">
        <v>D</v>
      </c>
      <c r="F61">
        <f>'Data-Kolom'!U61</f>
        <v>0</v>
      </c>
      <c r="G61">
        <f>'Data-Kolom'!T61</f>
        <v>0</v>
      </c>
      <c r="H61">
        <f>'Data-Kolom'!E61</f>
        <v>500</v>
      </c>
      <c r="I61">
        <f>'Data-Kolom'!F61</f>
        <v>900</v>
      </c>
      <c r="J61">
        <f>'Data-Kolom'!G61</f>
        <v>3300</v>
      </c>
      <c r="K61">
        <v>1</v>
      </c>
      <c r="L61" t="str">
        <f>'Data-Kolom'!C61</f>
        <v>PC.6</v>
      </c>
      <c r="M61">
        <f>IF(L61&gt;0,VLOOKUP(L61,'Data-PC'!$B$14:$F$36,4,FALSE),0)</f>
        <v>600</v>
      </c>
      <c r="N61">
        <f>'Data-Kolom'!H61</f>
        <v>18</v>
      </c>
      <c r="O61">
        <f>'Data-Kolom'!I61</f>
        <v>22</v>
      </c>
      <c r="P61">
        <f>IF(N61&gt;0,VLOOKUP(O61,$V$2:$X$9,2,FALSE),0)</f>
        <v>1700</v>
      </c>
      <c r="Q61">
        <f>IF(L61&gt;0,M61-50+$N$6*O61,VLOOKUP(O61,$V$2:$X$9,3,FALSE))</f>
        <v>814</v>
      </c>
      <c r="R61">
        <f>IF(E61="F",J61-$N$5+$N$6*O61+Q61,IF(E61="D",J61+Q61+P61,IF(E61="T",J61+P61,IF(E61="A",J61-$N$5+$N$6*O61,0))))</f>
        <v>5814</v>
      </c>
      <c r="T61">
        <f>SUM(R61:S61)</f>
        <v>5814</v>
      </c>
      <c r="U61">
        <f>K61*N61</f>
        <v>18</v>
      </c>
      <c r="V61">
        <f>'Data-Kolom'!J61</f>
        <v>0</v>
      </c>
      <c r="W61">
        <f>'Data-Kolom'!K61</f>
        <v>0</v>
      </c>
      <c r="X61">
        <f>IF(V61&gt;0,VLOOKUP(W61,$V$2:$X$9,2,FALSE),0)</f>
        <v>0</v>
      </c>
      <c r="Y61">
        <f>IF(V61&gt;0,IF(L61&gt;0,M61-50+$N$6*W61,VLOOKUP(W61,$V$2:$X$9,3,FALSE)),0)</f>
        <v>0</v>
      </c>
      <c r="Z61">
        <f>IF(E61="F",J61-$N$5+$N$6*W61+Y61,IF(E61="D",J61+Y61+X61,IF(E61="T",J61+X61,IF(E61="A",J61-$N$5+$N$6*W61,0))))</f>
        <v>3300</v>
      </c>
      <c r="AB61">
        <f>SUM(Z61:AA61)</f>
        <v>3300</v>
      </c>
      <c r="AC61">
        <f>V61*K61</f>
        <v>0</v>
      </c>
      <c r="AD61">
        <f>'Data-Kolom'!L61</f>
        <v>10</v>
      </c>
      <c r="AE61">
        <f>'Data-Kolom'!M61</f>
        <v>100</v>
      </c>
      <c r="AF61">
        <f>'Data-Kolom'!N61</f>
        <v>100</v>
      </c>
      <c r="AG61">
        <f>'Data-Kolom'!O61</f>
        <v>100</v>
      </c>
      <c r="AH61">
        <f>'Data-Kolom'!P61</f>
        <v>2</v>
      </c>
      <c r="AI61">
        <f>'Data-Kolom'!Q61</f>
        <v>10</v>
      </c>
      <c r="AJ61">
        <f>'Data-Kolom'!R61</f>
        <v>1</v>
      </c>
      <c r="AK61">
        <f>'Data-Kolom'!S61</f>
        <v>10</v>
      </c>
      <c r="AL61">
        <f>2*(H61+I61-4*$N$5)+2*MAX($F$5*AD61,75)</f>
        <v>2790</v>
      </c>
      <c r="AM61">
        <f>+AH61*(H61-2*$N$5+2*MAX($F$5*AI61,75))+AJ61*(I61-2*$N$5+2*MAX($F$5*AK61,75))</f>
        <v>2230</v>
      </c>
      <c r="AN61">
        <f>(ROUND((1/2*J61+IF(M61&gt;0,(Q61-$N$6*AD61),0))/AE61,0)+(ROUND(1/2*J61/AF61,0)+1))*K61</f>
        <v>41</v>
      </c>
      <c r="AO61">
        <f>H61*I61*J61/1000000000*K61*(1+$T$5)</f>
        <v>1.485</v>
      </c>
      <c r="AP61">
        <f>0.006165*O61^2*T61*U61/1000*(1+$T$6)</f>
        <v>312.26691672</v>
      </c>
      <c r="AQ61">
        <f>0.006165*W61^2*AB61*AC61/1000*(1+$T$6)</f>
        <v>0</v>
      </c>
      <c r="AR61">
        <f>AN61*0.006165*AD61^2*AL61/1000*(1+$T$6)</f>
        <v>70.52143500000001</v>
      </c>
      <c r="AS61">
        <f>AN61*0.006165*AI61^2*AM61/1000*(1+$T$6)</f>
        <v>56.36659500000001</v>
      </c>
      <c r="AT61">
        <f>K61*2*J61*(H61+I61)/1000000*(1+$T$7)</f>
        <v>9.24</v>
      </c>
      <c r="AU61">
        <f>SUM(AP61:AS61)/AO61</f>
        <v>295.72723684848484</v>
      </c>
      <c r="AV61">
        <f>AT61/AO61</f>
        <v>6.222222222222222</v>
      </c>
      <c r="AX61">
        <f>0.006165*O61^2*R61*U61/1000*(1+$T$6)</f>
        <v>312.26691672</v>
      </c>
      <c r="AZ61">
        <f>0.006165*O61^2*S61*U61/1000*(1+$T$6)</f>
        <v>0</v>
      </c>
      <c r="BA61">
        <f>AZ61/AP61</f>
        <v>0</v>
      </c>
    </row>
    <row r="62">
      <c r="A62">
        <f>'Data-Kolom'!A62</f>
        <v>48</v>
      </c>
      <c r="B62" t="str">
        <f>'Data-Kolom'!B62</f>
        <v>Basement</v>
      </c>
      <c r="D62" t="str">
        <f>'Data-Kolom'!D62</f>
        <v>K48-1</v>
      </c>
      <c r="E62" t="str">
        <v>F</v>
      </c>
      <c r="F62">
        <f>'Data-Kolom'!U62</f>
        <v>0</v>
      </c>
      <c r="G62">
        <f>'Data-Kolom'!T62</f>
        <v>0</v>
      </c>
      <c r="H62">
        <f>'Data-Kolom'!E62</f>
        <v>400</v>
      </c>
      <c r="I62">
        <f>'Data-Kolom'!F62</f>
        <v>800</v>
      </c>
      <c r="J62">
        <f>'Data-Kolom'!G62</f>
        <v>3300</v>
      </c>
      <c r="K62">
        <v>1</v>
      </c>
      <c r="L62" t="str">
        <f>'Data-Kolom'!C62</f>
        <v>PC.4</v>
      </c>
      <c r="M62">
        <f>IF(L62&gt;0,VLOOKUP(L62,'Data-PC'!$B$14:$F$36,4,FALSE),0)</f>
        <v>500</v>
      </c>
      <c r="N62">
        <f>'Data-Kolom'!H62</f>
        <v>22</v>
      </c>
      <c r="O62">
        <f>'Data-Kolom'!I62</f>
        <v>22</v>
      </c>
      <c r="P62">
        <f>IF(N62&gt;0,VLOOKUP(O62,$V$2:$X$9,2,FALSE),0)</f>
        <v>1700</v>
      </c>
      <c r="Q62">
        <f>IF(L62&gt;0,M62-50+$N$6*O62,VLOOKUP(O62,$V$2:$X$9,3,FALSE))</f>
        <v>714</v>
      </c>
      <c r="R62">
        <f>IF(E62="F",J62-$N$5+$N$6*O62+Q62,IF(E62="D",J62+Q62+P62,IF(E62="T",J62+P62,IF(E62="A",J62-$N$5+$N$6*O62,0))))</f>
        <v>4258</v>
      </c>
      <c r="T62">
        <f>SUM(R62:S62)</f>
        <v>4258</v>
      </c>
      <c r="U62">
        <f>K62*N62</f>
        <v>22</v>
      </c>
      <c r="V62">
        <f>'Data-Kolom'!J62</f>
        <v>0</v>
      </c>
      <c r="W62">
        <f>'Data-Kolom'!K62</f>
        <v>0</v>
      </c>
      <c r="X62">
        <f>IF(V62&gt;0,VLOOKUP(W62,$V$2:$X$9,2,FALSE),0)</f>
        <v>0</v>
      </c>
      <c r="Y62">
        <f>IF(V62&gt;0,IF(L62&gt;0,M62-50+$N$6*W62,VLOOKUP(W62,$V$2:$X$9,3,FALSE)),0)</f>
        <v>0</v>
      </c>
      <c r="Z62">
        <f>IF(E62="F",J62-$N$5+$N$6*W62+Y62,IF(E62="D",J62+Y62+X62,IF(E62="T",J62+X62,IF(E62="A",J62-$N$5+$N$6*W62,0))))</f>
        <v>3280</v>
      </c>
      <c r="AB62">
        <f>SUM(Z62:AA62)</f>
        <v>3280</v>
      </c>
      <c r="AC62">
        <f>V62*K62</f>
        <v>0</v>
      </c>
      <c r="AD62">
        <f>'Data-Kolom'!L62</f>
        <v>10</v>
      </c>
      <c r="AE62">
        <f>'Data-Kolom'!M62</f>
        <v>100</v>
      </c>
      <c r="AF62">
        <f>'Data-Kolom'!N62</f>
        <v>100</v>
      </c>
      <c r="AG62">
        <f>'Data-Kolom'!O62</f>
        <v>100</v>
      </c>
      <c r="AH62">
        <f>'Data-Kolom'!P62</f>
        <v>2</v>
      </c>
      <c r="AI62">
        <f>'Data-Kolom'!Q62</f>
        <v>10</v>
      </c>
      <c r="AJ62">
        <f>'Data-Kolom'!R62</f>
        <v>1</v>
      </c>
      <c r="AK62">
        <f>'Data-Kolom'!S62</f>
        <v>10</v>
      </c>
      <c r="AL62">
        <f>2*(H62+I62-4*$N$5)+2*MAX($F$5*AD62,75)</f>
        <v>2390</v>
      </c>
      <c r="AM62">
        <f>+AH62*(H62-2*$N$5+2*MAX($F$5*AI62,75))+AJ62*(I62-2*$N$5+2*MAX($F$5*AK62,75))</f>
        <v>1930</v>
      </c>
      <c r="AN62">
        <f>(ROUND((1/2*J62+IF(M62&gt;0,(Q62-$N$6*AD62),0))/AE62,0)+(ROUND(1/2*J62/AF62,0)+1))*K62</f>
        <v>40</v>
      </c>
      <c r="AO62">
        <f>H62*I62*J62/1000000000*K62*(1+$T$5)</f>
        <v>1.056</v>
      </c>
      <c r="AP62">
        <f>0.006165*O62^2*T62*U62/1000*(1+$T$6)</f>
        <v>279.51606935999996</v>
      </c>
      <c r="AQ62">
        <f>0.006165*W62^2*AB62*AC62/1000*(1+$T$6)</f>
        <v>0</v>
      </c>
      <c r="AR62">
        <f>AN62*0.006165*AD62^2*AL62/1000*(1+$T$6)</f>
        <v>58.937400000000004</v>
      </c>
      <c r="AS62">
        <f>AN62*0.006165*AI62^2*AM62/1000*(1+$T$6)</f>
        <v>47.5938</v>
      </c>
      <c r="AT62">
        <f>K62*2*J62*(H62+I62)/1000000*(1+$T$7)</f>
        <v>7.92</v>
      </c>
      <c r="AU62">
        <f>SUM(AP62:AS62)/AO62</f>
        <v>365.57506568181816</v>
      </c>
      <c r="AV62">
        <f>AT62/AO62</f>
        <v>7.5</v>
      </c>
      <c r="AX62">
        <f>0.006165*O62^2*R62*U62/1000*(1+$T$6)</f>
        <v>279.51606935999996</v>
      </c>
      <c r="AZ62">
        <f>0.006165*O62^2*S62*U62/1000*(1+$T$6)</f>
        <v>0</v>
      </c>
      <c r="BA62">
        <f>AZ62/AP62</f>
        <v>0</v>
      </c>
    </row>
    <row r="63">
      <c r="A63" t="str">
        <f>'Data-Kolom'!A63</f>
        <v>48A</v>
      </c>
      <c r="B63" t="str">
        <f>'Data-Kolom'!B63</f>
        <v>Basement</v>
      </c>
      <c r="D63" t="str">
        <f>'Data-Kolom'!D63</f>
        <v>K175-2</v>
      </c>
      <c r="E63" t="str">
        <v>F</v>
      </c>
      <c r="F63">
        <f>'Data-Kolom'!U63</f>
        <v>0</v>
      </c>
      <c r="G63">
        <f>'Data-Kolom'!T63</f>
        <v>0</v>
      </c>
      <c r="H63">
        <f>'Data-Kolom'!E63</f>
        <v>170</v>
      </c>
      <c r="I63">
        <f>'Data-Kolom'!F63</f>
        <v>500</v>
      </c>
      <c r="J63">
        <f>'Data-Kolom'!G63</f>
        <v>3300</v>
      </c>
      <c r="K63">
        <v>1</v>
      </c>
      <c r="L63" t="str">
        <f>'Data-Kolom'!C63</f>
        <v>PC.1</v>
      </c>
      <c r="M63">
        <f>IF(L63&gt;0,VLOOKUP(L63,'Data-PC'!$B$14:$F$36,4,FALSE),0)</f>
        <v>500</v>
      </c>
      <c r="N63">
        <f>'Data-Kolom'!H63</f>
        <v>8</v>
      </c>
      <c r="O63">
        <f>'Data-Kolom'!I63</f>
        <v>16</v>
      </c>
      <c r="P63">
        <f>IF(N63&gt;0,VLOOKUP(O63,$V$2:$X$9,2,FALSE),0)</f>
        <v>1010</v>
      </c>
      <c r="Q63">
        <f>IF(L63&gt;0,M63-50+$N$6*O63,VLOOKUP(O63,$V$2:$X$9,3,FALSE))</f>
        <v>642</v>
      </c>
      <c r="R63">
        <f>IF(E63="F",J63-$N$5+$N$6*O63+Q63,IF(E63="D",J63+Q63+P63,IF(E63="T",J63+P63,IF(E63="A",J63-$N$5+$N$6*O63,0))))</f>
        <v>4114</v>
      </c>
      <c r="T63">
        <f>SUM(R63:S63)</f>
        <v>4114</v>
      </c>
      <c r="U63">
        <f>K63*N63</f>
        <v>8</v>
      </c>
      <c r="V63">
        <f>'Data-Kolom'!J63</f>
        <v>0</v>
      </c>
      <c r="W63">
        <f>'Data-Kolom'!K63</f>
        <v>0</v>
      </c>
      <c r="X63">
        <f>IF(V63&gt;0,VLOOKUP(W63,$V$2:$X$9,2,FALSE),0)</f>
        <v>0</v>
      </c>
      <c r="Y63">
        <f>IF(V63&gt;0,IF(L63&gt;0,M63-50+$N$6*W63,VLOOKUP(W63,$V$2:$X$9,3,FALSE)),0)</f>
        <v>0</v>
      </c>
      <c r="Z63">
        <f>IF(E63="F",J63-$N$5+$N$6*W63+Y63,IF(E63="D",J63+Y63+X63,IF(E63="T",J63+X63,IF(E63="A",J63-$N$5+$N$6*W63,0))))</f>
        <v>3280</v>
      </c>
      <c r="AB63">
        <f>SUM(Z63:AA63)</f>
        <v>3280</v>
      </c>
      <c r="AC63">
        <f>V63*K63</f>
        <v>0</v>
      </c>
      <c r="AD63">
        <f>'Data-Kolom'!L63</f>
        <v>8</v>
      </c>
      <c r="AE63">
        <f>'Data-Kolom'!M63</f>
        <v>100</v>
      </c>
      <c r="AF63">
        <f>'Data-Kolom'!N63</f>
        <v>100</v>
      </c>
      <c r="AG63">
        <f>'Data-Kolom'!O63</f>
        <v>100</v>
      </c>
      <c r="AH63">
        <f>'Data-Kolom'!P63</f>
        <v>0.5</v>
      </c>
      <c r="AI63">
        <f>'Data-Kolom'!Q63</f>
        <v>8</v>
      </c>
      <c r="AJ63">
        <f>'Data-Kolom'!R63</f>
        <v>0</v>
      </c>
      <c r="AK63">
        <f>'Data-Kolom'!S63</f>
        <v>0</v>
      </c>
      <c r="AL63">
        <f>2*(H63+I63-4*$N$5)+2*MAX($F$5*AD63,75)</f>
        <v>1330</v>
      </c>
      <c r="AM63">
        <f>+AH63*(H63-2*$N$5+2*MAX($F$5*AI63,75))+AJ63*(I63-2*$N$5+2*MAX($F$5*AK63,75))</f>
        <v>140</v>
      </c>
      <c r="AN63">
        <f>(ROUND((1/2*J63+IF(M63&gt;0,(Q63-$N$6*AD63),0))/AE63,0)+(ROUND(1/2*J63/AF63,0)+1))*K63</f>
        <v>40</v>
      </c>
      <c r="AO63">
        <f>H63*I63*J63/1000000000*K63*(1+$T$5)</f>
        <v>0.2805</v>
      </c>
      <c r="AP63">
        <f>0.006165*O63^2*T63*U63/1000*(1+$T$6)</f>
        <v>51.94303488</v>
      </c>
      <c r="AQ63">
        <f>0.006165*W63^2*AB63*AC63/1000*(1+$T$6)</f>
        <v>0</v>
      </c>
      <c r="AR63">
        <f>AN63*0.006165*AD63^2*AL63/1000*(1+$T$6)</f>
        <v>20.990592</v>
      </c>
      <c r="AS63">
        <f>AN63*0.006165*AI63^2*AM63/1000*(1+$T$6)</f>
        <v>2.209536</v>
      </c>
      <c r="AT63">
        <f>K63*2*J63*(H63+I63)/1000000*(1+$T$7)</f>
        <v>4.422</v>
      </c>
      <c r="AU63">
        <f>SUM(AP63:AS63)/AO63</f>
        <v>267.89006374331547</v>
      </c>
      <c r="AV63">
        <f>AT63/AO63</f>
        <v>15.764705882352938</v>
      </c>
      <c r="AX63">
        <f>0.006165*O63^2*R63*U63/1000*(1+$T$6)</f>
        <v>51.94303488</v>
      </c>
      <c r="AZ63">
        <f>0.006165*O63^2*S63*U63/1000*(1+$T$6)</f>
        <v>0</v>
      </c>
      <c r="BA63">
        <f>AZ63/AP63</f>
        <v>0</v>
      </c>
    </row>
    <row r="64">
      <c r="A64">
        <f>'Data-Kolom'!A64</f>
        <v>49</v>
      </c>
      <c r="B64" t="str">
        <f>'Data-Kolom'!B64</f>
        <v>Basement</v>
      </c>
      <c r="D64" t="str">
        <f>'Data-Kolom'!D64</f>
        <v>K175-2</v>
      </c>
      <c r="E64" t="str">
        <v>F</v>
      </c>
      <c r="F64">
        <f>'Data-Kolom'!U64</f>
        <v>0</v>
      </c>
      <c r="G64">
        <f>'Data-Kolom'!T64</f>
        <v>0</v>
      </c>
      <c r="H64">
        <f>'Data-Kolom'!E64</f>
        <v>170</v>
      </c>
      <c r="I64">
        <f>'Data-Kolom'!F64</f>
        <v>500</v>
      </c>
      <c r="J64">
        <f>'Data-Kolom'!G64</f>
        <v>3300</v>
      </c>
      <c r="K64">
        <v>1</v>
      </c>
      <c r="L64" t="str">
        <f>'Data-Kolom'!C64</f>
        <v>PC.1</v>
      </c>
      <c r="M64">
        <f>IF(L64&gt;0,VLOOKUP(L64,'Data-PC'!$B$14:$F$36,4,FALSE),0)</f>
        <v>500</v>
      </c>
      <c r="N64">
        <f>'Data-Kolom'!H64</f>
        <v>8</v>
      </c>
      <c r="O64">
        <f>'Data-Kolom'!I64</f>
        <v>16</v>
      </c>
      <c r="P64">
        <f>IF(N64&gt;0,VLOOKUP(O64,$V$2:$X$9,2,FALSE),0)</f>
        <v>1010</v>
      </c>
      <c r="Q64">
        <f>IF(L64&gt;0,M64-50+$N$6*O64,VLOOKUP(O64,$V$2:$X$9,3,FALSE))</f>
        <v>642</v>
      </c>
      <c r="R64">
        <f>IF(E64="F",J64-$N$5+$N$6*O64+Q64,IF(E64="D",J64+Q64+P64,IF(E64="T",J64+P64,IF(E64="A",J64-$N$5+$N$6*O64,0))))</f>
        <v>4114</v>
      </c>
      <c r="T64">
        <f>SUM(R64:S64)</f>
        <v>4114</v>
      </c>
      <c r="U64">
        <f>K64*N64</f>
        <v>8</v>
      </c>
      <c r="V64">
        <f>'Data-Kolom'!J64</f>
        <v>0</v>
      </c>
      <c r="W64">
        <f>'Data-Kolom'!K64</f>
        <v>0</v>
      </c>
      <c r="X64">
        <f>IF(V64&gt;0,VLOOKUP(W64,$V$2:$X$9,2,FALSE),0)</f>
        <v>0</v>
      </c>
      <c r="Y64">
        <f>IF(V64&gt;0,IF(L64&gt;0,M64-50+$N$6*W64,VLOOKUP(W64,$V$2:$X$9,3,FALSE)),0)</f>
        <v>0</v>
      </c>
      <c r="Z64">
        <f>IF(E64="F",J64-$N$5+$N$6*W64+Y64,IF(E64="D",J64+Y64+X64,IF(E64="T",J64+X64,IF(E64="A",J64-$N$5+$N$6*W64,0))))</f>
        <v>3280</v>
      </c>
      <c r="AB64">
        <f>SUM(Z64:AA64)</f>
        <v>3280</v>
      </c>
      <c r="AC64">
        <f>V64*K64</f>
        <v>0</v>
      </c>
      <c r="AD64">
        <f>'Data-Kolom'!L64</f>
        <v>8</v>
      </c>
      <c r="AE64">
        <f>'Data-Kolom'!M64</f>
        <v>100</v>
      </c>
      <c r="AF64">
        <f>'Data-Kolom'!N64</f>
        <v>100</v>
      </c>
      <c r="AG64">
        <f>'Data-Kolom'!O64</f>
        <v>100</v>
      </c>
      <c r="AH64">
        <f>'Data-Kolom'!P64</f>
        <v>0.5</v>
      </c>
      <c r="AI64">
        <f>'Data-Kolom'!Q64</f>
        <v>8</v>
      </c>
      <c r="AJ64">
        <f>'Data-Kolom'!R64</f>
        <v>0</v>
      </c>
      <c r="AK64">
        <f>'Data-Kolom'!S64</f>
        <v>0</v>
      </c>
      <c r="AL64">
        <f>2*(H64+I64-4*$N$5)+2*MAX($F$5*AD64,75)</f>
        <v>1330</v>
      </c>
      <c r="AM64">
        <f>+AH64*(H64-2*$N$5+2*MAX($F$5*AI64,75))+AJ64*(I64-2*$N$5+2*MAX($F$5*AK64,75))</f>
        <v>140</v>
      </c>
      <c r="AN64">
        <f>(ROUND((1/2*J64+IF(M64&gt;0,(Q64-$N$6*AD64),0))/AE64,0)+(ROUND(1/2*J64/AF64,0)+1))*K64</f>
        <v>40</v>
      </c>
      <c r="AO64">
        <f>H64*I64*J64/1000000000*K64*(1+$T$5)</f>
        <v>0.2805</v>
      </c>
      <c r="AP64">
        <f>0.006165*O64^2*T64*U64/1000*(1+$T$6)</f>
        <v>51.94303488</v>
      </c>
      <c r="AQ64">
        <f>0.006165*W64^2*AB64*AC64/1000*(1+$T$6)</f>
        <v>0</v>
      </c>
      <c r="AR64">
        <f>AN64*0.006165*AD64^2*AL64/1000*(1+$T$6)</f>
        <v>20.990592</v>
      </c>
      <c r="AS64">
        <f>AN64*0.006165*AI64^2*AM64/1000*(1+$T$6)</f>
        <v>2.209536</v>
      </c>
      <c r="AT64">
        <f>K64*2*J64*(H64+I64)/1000000*(1+$T$7)</f>
        <v>4.422</v>
      </c>
      <c r="AU64">
        <f>SUM(AP64:AS64)/AO64</f>
        <v>267.89006374331547</v>
      </c>
      <c r="AV64">
        <f>AT64/AO64</f>
        <v>15.764705882352938</v>
      </c>
      <c r="AX64">
        <f>0.006165*O64^2*R64*U64/1000*(1+$T$6)</f>
        <v>51.94303488</v>
      </c>
      <c r="AZ64">
        <f>0.006165*O64^2*S64*U64/1000*(1+$T$6)</f>
        <v>0</v>
      </c>
      <c r="BA64">
        <f>AZ64/AP64</f>
        <v>0</v>
      </c>
    </row>
    <row r="65">
      <c r="A65">
        <f>'Data-Kolom'!A65</f>
        <v>50</v>
      </c>
      <c r="B65" t="str">
        <f>'Data-Kolom'!B65</f>
        <v>Basement</v>
      </c>
      <c r="D65" t="str">
        <f>'Data-Kolom'!D65</f>
        <v>K55-1</v>
      </c>
      <c r="E65" t="str">
        <v>F</v>
      </c>
      <c r="F65">
        <f>'Data-Kolom'!U65</f>
        <v>0</v>
      </c>
      <c r="G65">
        <f>'Data-Kolom'!T65</f>
        <v>0</v>
      </c>
      <c r="H65">
        <f>'Data-Kolom'!E65</f>
        <v>500</v>
      </c>
      <c r="I65">
        <f>'Data-Kolom'!F65</f>
        <v>500</v>
      </c>
      <c r="J65">
        <f>'Data-Kolom'!G65</f>
        <v>3300</v>
      </c>
      <c r="K65">
        <v>1</v>
      </c>
      <c r="L65" t="str">
        <f>'Data-Kolom'!C65</f>
        <v>PC.3</v>
      </c>
      <c r="M65">
        <f>IF(L65&gt;0,VLOOKUP(L65,'Data-PC'!$B$14:$F$36,4,FALSE),0)</f>
        <v>600</v>
      </c>
      <c r="N65">
        <f>'Data-Kolom'!H65</f>
        <v>16</v>
      </c>
      <c r="O65">
        <f>'Data-Kolom'!I65</f>
        <v>19</v>
      </c>
      <c r="P65">
        <f>IF(N65&gt;0,VLOOKUP(O65,$V$2:$X$9,2,FALSE),0)</f>
        <v>1190</v>
      </c>
      <c r="Q65">
        <f>IF(L65&gt;0,M65-50+$N$6*O65,VLOOKUP(O65,$V$2:$X$9,3,FALSE))</f>
        <v>778</v>
      </c>
      <c r="R65">
        <f>IF(E65="F",J65-$N$5+$N$6*O65+Q65,IF(E65="D",J65+Q65+P65,IF(E65="T",J65+P65,IF(E65="A",J65-$N$5+$N$6*O65,0))))</f>
        <v>4286</v>
      </c>
      <c r="T65">
        <f>SUM(R65:S65)</f>
        <v>4286</v>
      </c>
      <c r="U65">
        <f>K65*N65</f>
        <v>16</v>
      </c>
      <c r="V65">
        <f>'Data-Kolom'!J65</f>
        <v>0</v>
      </c>
      <c r="W65">
        <f>'Data-Kolom'!K65</f>
        <v>0</v>
      </c>
      <c r="X65">
        <f>IF(V65&gt;0,VLOOKUP(W65,$V$2:$X$9,2,FALSE),0)</f>
        <v>0</v>
      </c>
      <c r="Y65">
        <f>IF(V65&gt;0,IF(L65&gt;0,M65-50+$N$6*W65,VLOOKUP(W65,$V$2:$X$9,3,FALSE)),0)</f>
        <v>0</v>
      </c>
      <c r="Z65">
        <f>IF(E65="F",J65-$N$5+$N$6*W65+Y65,IF(E65="D",J65+Y65+X65,IF(E65="T",J65+X65,IF(E65="A",J65-$N$5+$N$6*W65,0))))</f>
        <v>3280</v>
      </c>
      <c r="AB65">
        <f>SUM(Z65:AA65)</f>
        <v>3280</v>
      </c>
      <c r="AC65">
        <f>V65*K65</f>
        <v>0</v>
      </c>
      <c r="AD65">
        <f>'Data-Kolom'!L65</f>
        <v>10</v>
      </c>
      <c r="AE65">
        <f>'Data-Kolom'!M65</f>
        <v>100</v>
      </c>
      <c r="AF65">
        <f>'Data-Kolom'!N65</f>
        <v>100</v>
      </c>
      <c r="AG65">
        <f>'Data-Kolom'!O65</f>
        <v>100</v>
      </c>
      <c r="AH65">
        <f>'Data-Kolom'!P65</f>
        <v>1</v>
      </c>
      <c r="AI65">
        <f>'Data-Kolom'!Q65</f>
        <v>10</v>
      </c>
      <c r="AJ65">
        <f>'Data-Kolom'!R65</f>
        <v>1</v>
      </c>
      <c r="AK65">
        <f>'Data-Kolom'!S65</f>
        <v>10</v>
      </c>
      <c r="AL65">
        <f>2*(H65+I65-4*$N$5)+2*MAX($F$5*AD65,75)</f>
        <v>1990</v>
      </c>
      <c r="AM65">
        <f>+AH65*(H65-2*$N$5+2*MAX($F$5*AI65,75))+AJ65*(I65-2*$N$5+2*MAX($F$5*AK65,75))</f>
        <v>1220</v>
      </c>
      <c r="AN65">
        <f>(ROUND((1/2*J65+IF(M65&gt;0,(Q65-$N$6*AD65),0))/AE65,0)+(ROUND(1/2*J65/AF65,0)+1))*K65</f>
        <v>41</v>
      </c>
      <c r="AO65">
        <f>H65*I65*J65/1000000000*K65*(1+$T$5)</f>
        <v>0.825</v>
      </c>
      <c r="AP65">
        <f>0.006165*O65^2*T65*U65/1000*(1+$T$6)</f>
        <v>152.62034544</v>
      </c>
      <c r="AQ65">
        <f>0.006165*W65^2*AB65*AC65/1000*(1+$T$6)</f>
        <v>0</v>
      </c>
      <c r="AR65">
        <f>AN65*0.006165*AD65^2*AL65/1000*(1+$T$6)</f>
        <v>50.30023500000001</v>
      </c>
      <c r="AS65">
        <f>AN65*0.006165*AI65^2*AM65/1000*(1+$T$6)</f>
        <v>30.83733</v>
      </c>
      <c r="AT65">
        <f>K65*2*J65*(H65+I65)/1000000*(1+$T$7)</f>
        <v>6.6</v>
      </c>
      <c r="AU65">
        <f>SUM(AP65:AS65)/AO65</f>
        <v>283.3429217454546</v>
      </c>
      <c r="AV65">
        <f>AT65/AO65</f>
        <v>8</v>
      </c>
      <c r="AX65">
        <f>0.006165*O65^2*R65*U65/1000*(1+$T$6)</f>
        <v>152.62034544</v>
      </c>
      <c r="AZ65">
        <f>0.006165*O65^2*S65*U65/1000*(1+$T$6)</f>
        <v>0</v>
      </c>
      <c r="BA65">
        <f>AZ65/AP65</f>
        <v>0</v>
      </c>
    </row>
    <row r="66">
      <c r="A66">
        <f>'Data-Kolom'!A66</f>
        <v>51</v>
      </c>
      <c r="B66" t="str">
        <f>'Data-Kolom'!B66</f>
        <v>Basement</v>
      </c>
      <c r="D66" t="str">
        <f>'Data-Kolom'!D66</f>
        <v>K55-1</v>
      </c>
      <c r="E66" t="str">
        <v>F</v>
      </c>
      <c r="F66">
        <f>'Data-Kolom'!U66</f>
        <v>0</v>
      </c>
      <c r="G66">
        <f>'Data-Kolom'!T66</f>
        <v>0</v>
      </c>
      <c r="H66">
        <f>'Data-Kolom'!E66</f>
        <v>500</v>
      </c>
      <c r="I66">
        <f>'Data-Kolom'!F66</f>
        <v>500</v>
      </c>
      <c r="J66">
        <f>'Data-Kolom'!G66</f>
        <v>3300</v>
      </c>
      <c r="K66">
        <v>1</v>
      </c>
      <c r="L66" t="str">
        <f>'Data-Kolom'!C66</f>
        <v>PC.5</v>
      </c>
      <c r="M66">
        <f>IF(L66&gt;0,VLOOKUP(L66,'Data-PC'!$B$14:$F$36,4,FALSE),0)</f>
        <v>600</v>
      </c>
      <c r="N66">
        <f>'Data-Kolom'!H66</f>
        <v>16</v>
      </c>
      <c r="O66">
        <f>'Data-Kolom'!I66</f>
        <v>19</v>
      </c>
      <c r="P66">
        <f>IF(N66&gt;0,VLOOKUP(O66,$V$2:$X$9,2,FALSE),0)</f>
        <v>1190</v>
      </c>
      <c r="Q66">
        <f>IF(L66&gt;0,M66-50+$N$6*O66,VLOOKUP(O66,$V$2:$X$9,3,FALSE))</f>
        <v>778</v>
      </c>
      <c r="R66">
        <f>IF(E66="F",J66-$N$5+$N$6*O66+Q66,IF(E66="D",J66+Q66+P66,IF(E66="T",J66+P66,IF(E66="A",J66-$N$5+$N$6*O66,0))))</f>
        <v>4286</v>
      </c>
      <c r="T66">
        <f>SUM(R66:S66)</f>
        <v>4286</v>
      </c>
      <c r="U66">
        <f>K66*N66</f>
        <v>16</v>
      </c>
      <c r="V66">
        <f>'Data-Kolom'!J66</f>
        <v>0</v>
      </c>
      <c r="W66">
        <f>'Data-Kolom'!K66</f>
        <v>0</v>
      </c>
      <c r="X66">
        <f>IF(V66&gt;0,VLOOKUP(W66,$V$2:$X$9,2,FALSE),0)</f>
        <v>0</v>
      </c>
      <c r="Y66">
        <f>IF(V66&gt;0,IF(L66&gt;0,M66-50+$N$6*W66,VLOOKUP(W66,$V$2:$X$9,3,FALSE)),0)</f>
        <v>0</v>
      </c>
      <c r="Z66">
        <f>IF(E66="F",J66-$N$5+$N$6*W66+Y66,IF(E66="D",J66+Y66+X66,IF(E66="T",J66+X66,IF(E66="A",J66-$N$5+$N$6*W66,0))))</f>
        <v>3280</v>
      </c>
      <c r="AB66">
        <f>SUM(Z66:AA66)</f>
        <v>3280</v>
      </c>
      <c r="AC66">
        <f>V66*K66</f>
        <v>0</v>
      </c>
      <c r="AD66">
        <f>'Data-Kolom'!L66</f>
        <v>10</v>
      </c>
      <c r="AE66">
        <f>'Data-Kolom'!M66</f>
        <v>100</v>
      </c>
      <c r="AF66">
        <f>'Data-Kolom'!N66</f>
        <v>100</v>
      </c>
      <c r="AG66">
        <f>'Data-Kolom'!O66</f>
        <v>100</v>
      </c>
      <c r="AH66">
        <f>'Data-Kolom'!P66</f>
        <v>1</v>
      </c>
      <c r="AI66">
        <f>'Data-Kolom'!Q66</f>
        <v>10</v>
      </c>
      <c r="AJ66">
        <f>'Data-Kolom'!R66</f>
        <v>1</v>
      </c>
      <c r="AK66">
        <f>'Data-Kolom'!S66</f>
        <v>10</v>
      </c>
      <c r="AL66">
        <f>2*(H66+I66-4*$N$5)+2*MAX($F$5*AD66,75)</f>
        <v>1990</v>
      </c>
      <c r="AM66">
        <f>+AH66*(H66-2*$N$5+2*MAX($F$5*AI66,75))+AJ66*(I66-2*$N$5+2*MAX($F$5*AK66,75))</f>
        <v>1220</v>
      </c>
      <c r="AN66">
        <f>(ROUND((1/2*J66+IF(M66&gt;0,(Q66-$N$6*AD66),0))/AE66,0)+(ROUND(1/2*J66/AF66,0)+1))*K66</f>
        <v>41</v>
      </c>
      <c r="AO66">
        <f>H66*I66*J66/1000000000*K66*(1+$T$5)</f>
        <v>0.825</v>
      </c>
      <c r="AP66">
        <f>0.006165*O66^2*T66*U66/1000*(1+$T$6)</f>
        <v>152.62034544</v>
      </c>
      <c r="AQ66">
        <f>0.006165*W66^2*AB66*AC66/1000*(1+$T$6)</f>
        <v>0</v>
      </c>
      <c r="AR66">
        <f>AN66*0.006165*AD66^2*AL66/1000*(1+$T$6)</f>
        <v>50.30023500000001</v>
      </c>
      <c r="AS66">
        <f>AN66*0.006165*AI66^2*AM66/1000*(1+$T$6)</f>
        <v>30.83733</v>
      </c>
      <c r="AT66">
        <f>K66*2*J66*(H66+I66)/1000000*(1+$T$7)</f>
        <v>6.6</v>
      </c>
      <c r="AU66">
        <f>SUM(AP66:AS66)/AO66</f>
        <v>283.3429217454546</v>
      </c>
      <c r="AV66">
        <f>AT66/AO66</f>
        <v>8</v>
      </c>
      <c r="AX66">
        <f>0.006165*O66^2*R66*U66/1000*(1+$T$6)</f>
        <v>152.62034544</v>
      </c>
      <c r="AZ66">
        <f>0.006165*O66^2*S66*U66/1000*(1+$T$6)</f>
        <v>0</v>
      </c>
      <c r="BA66">
        <f>AZ66/AP66</f>
        <v>0</v>
      </c>
    </row>
    <row r="67">
      <c r="A67">
        <f>'Data-Kolom'!A67</f>
        <v>48</v>
      </c>
      <c r="B67" t="str">
        <f>'Data-Kolom'!B67</f>
        <v>Basement</v>
      </c>
      <c r="D67" t="str">
        <f>'Data-Kolom'!D67</f>
        <v>Pit Lift</v>
      </c>
      <c r="E67" t="str">
        <v>D</v>
      </c>
      <c r="F67">
        <f>'Data-Kolom'!U67</f>
        <v>0</v>
      </c>
      <c r="G67">
        <f>'Data-Kolom'!T67</f>
        <v>0</v>
      </c>
      <c r="H67">
        <f>'Data-Kolom'!E67</f>
        <v>170</v>
      </c>
      <c r="I67">
        <f>'Data-Kolom'!F67</f>
        <v>2170</v>
      </c>
      <c r="J67">
        <f>'Data-Kolom'!G67</f>
        <v>1500</v>
      </c>
      <c r="K67">
        <v>1</v>
      </c>
      <c r="L67" t="str">
        <f>'Data-Kolom'!C67</f>
        <v>PC.12</v>
      </c>
      <c r="M67">
        <f>IF(L67&gt;0,VLOOKUP(L67,'Data-PC'!$B$14:$F$36,4,FALSE),0)</f>
        <v>600</v>
      </c>
      <c r="N67">
        <f>'Data-Kolom'!H67</f>
        <v>26</v>
      </c>
      <c r="O67">
        <f>'Data-Kolom'!I67</f>
        <v>13</v>
      </c>
      <c r="P67">
        <f>IF(N67&gt;0,VLOOKUP(O67,$V$2:$X$9,2,FALSE),0)</f>
        <v>820</v>
      </c>
      <c r="Q67">
        <f>IF(L67&gt;0,M67-50+$N$6*O67,VLOOKUP(O67,$V$2:$X$9,3,FALSE))</f>
        <v>706</v>
      </c>
      <c r="R67">
        <f>IF(E67="F",J67-$N$5+$N$6*O67+Q67,IF(E67="D",J67+Q67+P67,IF(E67="T",J67+P67,IF(E67="A",J67-$N$5+$N$6*O67,0))))</f>
        <v>3026</v>
      </c>
      <c r="T67">
        <f>SUM(R67:S67)</f>
        <v>3026</v>
      </c>
      <c r="U67">
        <f>K67*N67</f>
        <v>26</v>
      </c>
      <c r="V67">
        <f>'Data-Kolom'!J67</f>
        <v>0</v>
      </c>
      <c r="W67">
        <f>'Data-Kolom'!K67</f>
        <v>0</v>
      </c>
      <c r="X67">
        <f>IF(V67&gt;0,VLOOKUP(W67,$V$2:$X$9,2,FALSE),0)</f>
        <v>0</v>
      </c>
      <c r="Y67">
        <f>IF(V67&gt;0,IF(L67&gt;0,M67-50+$N$6*W67,VLOOKUP(W67,$V$2:$X$9,3,FALSE)),0)</f>
        <v>0</v>
      </c>
      <c r="Z67">
        <f>IF(E67="F",J67-$N$5+$N$6*W67+Y67,IF(E67="D",J67+Y67+X67,IF(E67="T",J67+X67,IF(E67="A",J67-$N$5+$N$6*W67,0))))</f>
        <v>1500</v>
      </c>
      <c r="AB67">
        <f>SUM(Z67:AA67)</f>
        <v>1500</v>
      </c>
      <c r="AC67">
        <f>V67*K67</f>
        <v>0</v>
      </c>
      <c r="AD67">
        <f>'Data-Kolom'!L67</f>
        <v>10</v>
      </c>
      <c r="AE67">
        <f>'Data-Kolom'!M67</f>
        <v>150</v>
      </c>
      <c r="AF67">
        <f>'Data-Kolom'!N67</f>
        <v>150</v>
      </c>
      <c r="AG67">
        <f>'Data-Kolom'!O67</f>
        <v>150</v>
      </c>
      <c r="AH67">
        <f>'Data-Kolom'!P67</f>
        <v>4</v>
      </c>
      <c r="AI67">
        <f>'Data-Kolom'!Q67</f>
        <v>10</v>
      </c>
      <c r="AJ67">
        <f>'Data-Kolom'!R67</f>
        <v>0</v>
      </c>
      <c r="AK67">
        <f>'Data-Kolom'!S67</f>
        <v>0</v>
      </c>
      <c r="AL67">
        <f>2*(H67+I67-4*$N$5)+2*MAX($F$5*AD67,75)</f>
        <v>4670</v>
      </c>
      <c r="AM67">
        <f>+AH67*(H67-2*$N$5+2*MAX($F$5*AI67,75))+AJ67*(I67-2*$N$5+2*MAX($F$5*AK67,75))</f>
        <v>1120</v>
      </c>
      <c r="AN67">
        <f>(ROUND((1/2*J67+IF(M67&gt;0,(Q67-$N$6*AD67),0))/AE67,0)+(ROUND(1/2*J67/AF67,0)+1))*K67</f>
        <v>15</v>
      </c>
      <c r="AO67">
        <f>H67*I67*J67/1000000000*K67*(1+$T$5)</f>
        <v>0.55335</v>
      </c>
      <c r="AP67">
        <f>0.006165*O67^2*T67*U67/1000*(1+$T$6)</f>
        <v>81.97134426</v>
      </c>
      <c r="AQ67">
        <f>0.006165*W67^2*AB67*AC67/1000*(1+$T$6)</f>
        <v>0</v>
      </c>
      <c r="AR67">
        <f>AN67*0.006165*AD67^2*AL67/1000*(1+$T$6)</f>
        <v>43.185825</v>
      </c>
      <c r="AS67">
        <f>AN67*0.006165*AI67^2*AM67/1000*(1+$T$6)</f>
        <v>10.3572</v>
      </c>
      <c r="AT67">
        <f>K67*2*J67*(H67+I67)/1000000*(1+$T$7)</f>
        <v>7.02</v>
      </c>
      <c r="AU67">
        <f>SUM(AP67:AS67)/AO67</f>
        <v>244.89811016535646</v>
      </c>
      <c r="AV67">
        <f>AT67/AO67</f>
        <v>12.686364868528056</v>
      </c>
      <c r="AX67">
        <f>0.006165*O67^2*R67*U67/1000*(1+$T$6)</f>
        <v>81.97134426</v>
      </c>
      <c r="AZ67">
        <f>0.006165*O67^2*S67*U67/1000*(1+$T$6)</f>
        <v>0</v>
      </c>
      <c r="BA67">
        <f>AZ67/AP67</f>
        <v>0</v>
      </c>
    </row>
    <row r="68">
      <c r="A68">
        <f>'Data-Kolom'!A68</f>
        <v>48</v>
      </c>
      <c r="B68" t="str">
        <f>'Data-Kolom'!B68</f>
        <v>Basement</v>
      </c>
      <c r="D68" t="str">
        <f>'Data-Kolom'!D68</f>
        <v>Pit Lift</v>
      </c>
      <c r="E68" t="str">
        <v>D</v>
      </c>
      <c r="F68">
        <f>'Data-Kolom'!U68</f>
        <v>0</v>
      </c>
      <c r="G68">
        <f>'Data-Kolom'!T68</f>
        <v>0</v>
      </c>
      <c r="H68">
        <f>'Data-Kolom'!E68</f>
        <v>170</v>
      </c>
      <c r="I68">
        <f>'Data-Kolom'!F68</f>
        <v>2170</v>
      </c>
      <c r="J68">
        <f>'Data-Kolom'!G68</f>
        <v>1500</v>
      </c>
      <c r="K68">
        <v>2</v>
      </c>
      <c r="L68" t="str">
        <f>'Data-Kolom'!C68</f>
        <v>PC.12</v>
      </c>
      <c r="M68">
        <f>IF(L68&gt;0,VLOOKUP(L68,'Data-PC'!$B$14:$F$36,4,FALSE),0)</f>
        <v>600</v>
      </c>
      <c r="N68">
        <f>'Data-Kolom'!H68</f>
        <v>18</v>
      </c>
      <c r="O68">
        <f>'Data-Kolom'!I68</f>
        <v>13</v>
      </c>
      <c r="P68">
        <f>IF(N68&gt;0,VLOOKUP(O68,$V$2:$X$9,2,FALSE),0)</f>
        <v>820</v>
      </c>
      <c r="Q68">
        <f>IF(L68&gt;0,M68-50+$N$6*O68,VLOOKUP(O68,$V$2:$X$9,3,FALSE))</f>
        <v>706</v>
      </c>
      <c r="R68">
        <f>IF(E68="F",J68-$N$5+$N$6*O68+Q68,IF(E68="D",J68+Q68+P68,IF(E68="T",J68+P68,IF(E68="A",J68-$N$5+$N$6*O68,0))))</f>
        <v>3026</v>
      </c>
      <c r="T68">
        <f>SUM(R68:S68)</f>
        <v>3026</v>
      </c>
      <c r="U68">
        <f>K68*N68</f>
        <v>36</v>
      </c>
      <c r="V68">
        <f>'Data-Kolom'!J68</f>
        <v>0</v>
      </c>
      <c r="W68">
        <f>'Data-Kolom'!K68</f>
        <v>0</v>
      </c>
      <c r="X68">
        <f>IF(V68&gt;0,VLOOKUP(W68,$V$2:$X$9,2,FALSE),0)</f>
        <v>0</v>
      </c>
      <c r="Y68">
        <f>IF(V68&gt;0,IF(L68&gt;0,M68-50+$N$6*W68,VLOOKUP(W68,$V$2:$X$9,3,FALSE)),0)</f>
        <v>0</v>
      </c>
      <c r="Z68">
        <f>IF(E68="F",J68-$N$5+$N$6*W68+Y68,IF(E68="D",J68+Y68+X68,IF(E68="T",J68+X68,IF(E68="A",J68-$N$5+$N$6*W68,0))))</f>
        <v>1500</v>
      </c>
      <c r="AB68">
        <f>SUM(Z68:AA68)</f>
        <v>1500</v>
      </c>
      <c r="AC68">
        <f>V68*K68</f>
        <v>0</v>
      </c>
      <c r="AD68">
        <f>'Data-Kolom'!L68</f>
        <v>10</v>
      </c>
      <c r="AE68">
        <f>'Data-Kolom'!M68</f>
        <v>150</v>
      </c>
      <c r="AF68">
        <f>'Data-Kolom'!N68</f>
        <v>150</v>
      </c>
      <c r="AG68">
        <f>'Data-Kolom'!O68</f>
        <v>150</v>
      </c>
      <c r="AH68">
        <f>'Data-Kolom'!P68</f>
        <v>4</v>
      </c>
      <c r="AI68">
        <f>'Data-Kolom'!Q68</f>
        <v>10</v>
      </c>
      <c r="AJ68">
        <f>'Data-Kolom'!R68</f>
        <v>0</v>
      </c>
      <c r="AK68">
        <f>'Data-Kolom'!S68</f>
        <v>0</v>
      </c>
      <c r="AL68">
        <f>2*(H68+I68-4*$N$5)+2*MAX($F$5*AD68,75)</f>
        <v>4670</v>
      </c>
      <c r="AM68">
        <f>+AH68*(H68-2*$N$5+2*MAX($F$5*AI68,75))+AJ68*(I68-2*$N$5+2*MAX($F$5*AK68,75))</f>
        <v>1120</v>
      </c>
      <c r="AN68">
        <f>(ROUND((1/2*J68+IF(M68&gt;0,(Q68-$N$6*AD68),0))/AE68,0)+(ROUND(1/2*J68/AF68,0)+1))*K68</f>
        <v>30</v>
      </c>
      <c r="AO68">
        <f>H68*I68*J68/1000000000*K68*(1+$T$5)</f>
        <v>1.1067</v>
      </c>
      <c r="AP68">
        <f>0.006165*O68^2*T68*U68/1000*(1+$T$6)</f>
        <v>113.49878435999999</v>
      </c>
      <c r="AQ68">
        <f>0.006165*W68^2*AB68*AC68/1000*(1+$T$6)</f>
        <v>0</v>
      </c>
      <c r="AR68">
        <f>AN68*0.006165*AD68^2*AL68/1000*(1+$T$6)</f>
        <v>86.37165</v>
      </c>
      <c r="AS68">
        <f>AN68*0.006165*AI68^2*AM68/1000*(1+$T$6)</f>
        <v>20.7144</v>
      </c>
      <c r="AT68">
        <f>K68*2*J68*(H68+I68)/1000000*(1+$T$7)</f>
        <v>14.04</v>
      </c>
      <c r="AU68">
        <f>SUM(AP68:AS68)/AO68</f>
        <v>199.3176419625915</v>
      </c>
      <c r="AV68">
        <f>AT68/AO68</f>
        <v>12.686364868528056</v>
      </c>
      <c r="AX68">
        <f>0.006165*O68^2*R68*U68/1000*(1+$T$6)</f>
        <v>113.49878435999999</v>
      </c>
      <c r="AZ68">
        <f>0.006165*O68^2*S68*U68/1000*(1+$T$6)</f>
        <v>0</v>
      </c>
      <c r="BA68">
        <f>AZ68/AP68</f>
        <v>0</v>
      </c>
    </row>
    <row r="69">
      <c r="A69">
        <f>'Data-Kolom'!A69</f>
        <v>48</v>
      </c>
      <c r="B69" t="str">
        <f>'Data-Kolom'!B69</f>
        <v>Basement</v>
      </c>
      <c r="D69" t="str">
        <f>'Data-Kolom'!D69</f>
        <v>Pit Lift</v>
      </c>
      <c r="E69" t="str">
        <v>F</v>
      </c>
      <c r="F69">
        <f>'Data-Kolom'!U69</f>
        <v>0</v>
      </c>
      <c r="G69">
        <f>'Data-Kolom'!T69</f>
        <v>0</v>
      </c>
      <c r="H69">
        <f>'Data-Kolom'!E69</f>
        <v>170</v>
      </c>
      <c r="I69">
        <f>'Data-Kolom'!F69</f>
        <v>2170</v>
      </c>
      <c r="J69">
        <f>'Data-Kolom'!G69</f>
        <v>1500</v>
      </c>
      <c r="K69">
        <v>1</v>
      </c>
      <c r="L69" t="str">
        <f>'Data-Kolom'!C69</f>
        <v>PC.12</v>
      </c>
      <c r="M69">
        <f>IF(L69&gt;0,VLOOKUP(L69,'Data-PC'!$B$14:$F$36,4,FALSE),0)</f>
        <v>600</v>
      </c>
      <c r="N69">
        <f>'Data-Kolom'!H69</f>
        <v>26</v>
      </c>
      <c r="O69">
        <f>'Data-Kolom'!I69</f>
        <v>13</v>
      </c>
      <c r="P69">
        <f>IF(N69&gt;0,VLOOKUP(O69,$V$2:$X$9,2,FALSE),0)</f>
        <v>820</v>
      </c>
      <c r="Q69">
        <f>IF(L69&gt;0,M69-50+$N$6*O69,VLOOKUP(O69,$V$2:$X$9,3,FALSE))</f>
        <v>706</v>
      </c>
      <c r="R69">
        <f>IF(E69="F",J69-$N$5+$N$6*O69+Q69,IF(E69="D",J69+Q69+P69,IF(E69="T",J69+P69,IF(E69="A",J69-$N$5+$N$6*O69,0))))</f>
        <v>2342</v>
      </c>
      <c r="T69">
        <f>SUM(R69:S69)</f>
        <v>2342</v>
      </c>
      <c r="U69">
        <f>K69*N69</f>
        <v>26</v>
      </c>
      <c r="V69">
        <f>'Data-Kolom'!J69</f>
        <v>0</v>
      </c>
      <c r="W69">
        <f>'Data-Kolom'!K69</f>
        <v>0</v>
      </c>
      <c r="X69">
        <f>IF(V69&gt;0,VLOOKUP(W69,$V$2:$X$9,2,FALSE),0)</f>
        <v>0</v>
      </c>
      <c r="Y69">
        <f>IF(V69&gt;0,IF(L69&gt;0,M69-50+$N$6*W69,VLOOKUP(W69,$V$2:$X$9,3,FALSE)),0)</f>
        <v>0</v>
      </c>
      <c r="Z69">
        <f>IF(E69="F",J69-$N$5+$N$6*W69+Y69,IF(E69="D",J69+Y69+X69,IF(E69="T",J69+X69,IF(E69="A",J69-$N$5+$N$6*W69,0))))</f>
        <v>1480</v>
      </c>
      <c r="AB69">
        <f>SUM(Z69:AA69)</f>
        <v>1480</v>
      </c>
      <c r="AC69">
        <f>V69*K69</f>
        <v>0</v>
      </c>
      <c r="AD69">
        <f>'Data-Kolom'!L69</f>
        <v>10</v>
      </c>
      <c r="AE69">
        <f>'Data-Kolom'!M69</f>
        <v>150</v>
      </c>
      <c r="AF69">
        <f>'Data-Kolom'!N69</f>
        <v>150</v>
      </c>
      <c r="AG69">
        <f>'Data-Kolom'!O69</f>
        <v>150</v>
      </c>
      <c r="AH69">
        <f>'Data-Kolom'!P69</f>
        <v>4</v>
      </c>
      <c r="AI69">
        <f>'Data-Kolom'!Q69</f>
        <v>10</v>
      </c>
      <c r="AJ69">
        <f>'Data-Kolom'!R69</f>
        <v>0</v>
      </c>
      <c r="AK69">
        <f>'Data-Kolom'!S69</f>
        <v>0</v>
      </c>
      <c r="AL69">
        <f>2*(H69+I69-4*$N$5)+2*MAX($F$5*AD69,75)</f>
        <v>4670</v>
      </c>
      <c r="AM69">
        <f>+AH69*(H69-2*$N$5+2*MAX($F$5*AI69,75))+AJ69*(I69-2*$N$5+2*MAX($F$5*AK69,75))</f>
        <v>1120</v>
      </c>
      <c r="AN69">
        <f>(ROUND((1/2*J69+IF(M69&gt;0,(Q69-$N$6*AD69),0))/AE69,0)+(ROUND(1/2*J69/AF69,0)+1))*K69</f>
        <v>15</v>
      </c>
      <c r="AO69">
        <f>H69*I69*J69/1000000000*K69*(1+$T$5)</f>
        <v>0.55335</v>
      </c>
      <c r="AP69">
        <f>0.006165*O69^2*T69*U69/1000*(1+$T$6)</f>
        <v>63.44246142</v>
      </c>
      <c r="AQ69">
        <f>0.006165*W69^2*AB69*AC69/1000*(1+$T$6)</f>
        <v>0</v>
      </c>
      <c r="AR69">
        <f>AN69*0.006165*AD69^2*AL69/1000*(1+$T$6)</f>
        <v>43.185825</v>
      </c>
      <c r="AS69">
        <f>AN69*0.006165*AI69^2*AM69/1000*(1+$T$6)</f>
        <v>10.3572</v>
      </c>
      <c r="AT69">
        <f>K69*2*J69*(H69+I69)/1000000*(1+$T$7)</f>
        <v>7.02</v>
      </c>
      <c r="AU69">
        <f>SUM(AP69:AS69)/AO69</f>
        <v>211.41318590403904</v>
      </c>
      <c r="AV69">
        <f>AT69/AO69</f>
        <v>12.686364868528056</v>
      </c>
      <c r="AX69">
        <f>0.006165*O69^2*R69*U69/1000*(1+$T$6)</f>
        <v>63.44246142</v>
      </c>
      <c r="AZ69">
        <f>0.006165*O69^2*S69*U69/1000*(1+$T$6)</f>
        <v>0</v>
      </c>
      <c r="BA69">
        <f>AZ69/AP69</f>
        <v>0</v>
      </c>
    </row>
    <row r="70">
      <c r="A70">
        <f>'Data-Kolom'!A70</f>
        <v>47</v>
      </c>
      <c r="B70" t="str">
        <f>'Data-Kolom'!B70</f>
        <v>Basement</v>
      </c>
      <c r="D70" t="str">
        <f>'Data-Kolom'!D70</f>
        <v>SW.1</v>
      </c>
      <c r="E70" t="str">
        <v>T</v>
      </c>
      <c r="F70">
        <f>'Data-Kolom'!U70</f>
        <v>0</v>
      </c>
      <c r="G70">
        <f>'Data-Kolom'!T70</f>
        <v>0</v>
      </c>
      <c r="H70">
        <f>'Data-Kolom'!E70</f>
        <v>170</v>
      </c>
      <c r="I70">
        <f>'Data-Kolom'!F70</f>
        <v>2170</v>
      </c>
      <c r="J70">
        <f>'Data-Kolom'!G70</f>
        <v>3300</v>
      </c>
      <c r="K70">
        <v>1</v>
      </c>
      <c r="L70">
        <f>'Data-Kolom'!C70</f>
        <v>0</v>
      </c>
      <c r="M70">
        <f>IF(L70&gt;0,VLOOKUP(L70,'Data-PC'!$B$14:$F$36,4,FALSE),0)</f>
        <v>0</v>
      </c>
      <c r="N70">
        <f>'Data-Kolom'!H70</f>
        <v>26</v>
      </c>
      <c r="O70">
        <f>'Data-Kolom'!I70</f>
        <v>13</v>
      </c>
      <c r="P70">
        <f>IF(N70&gt;0,VLOOKUP(O70,$V$2:$X$9,2,FALSE),0)</f>
        <v>820</v>
      </c>
      <c r="Q70">
        <f>IF(L70&gt;0,M70-50+$N$6*O70,VLOOKUP(O70,$V$2:$X$9,3,FALSE))</f>
        <v>630</v>
      </c>
      <c r="R70">
        <f>IF(E70="F",J70-$N$5+$N$6*O70+Q70,IF(E70="D",J70+Q70+P70,IF(E70="T",J70+P70,IF(E70="A",J70-$N$5+$N$6*O70,0))))</f>
        <v>4120</v>
      </c>
      <c r="T70">
        <f>SUM(R70:S70)</f>
        <v>4120</v>
      </c>
      <c r="U70">
        <f>K70*N70</f>
        <v>26</v>
      </c>
      <c r="V70">
        <f>'Data-Kolom'!J70</f>
        <v>0</v>
      </c>
      <c r="W70">
        <f>'Data-Kolom'!K70</f>
        <v>0</v>
      </c>
      <c r="X70">
        <f>IF(V70&gt;0,VLOOKUP(W70,$V$2:$X$9,2,FALSE),0)</f>
        <v>0</v>
      </c>
      <c r="Y70">
        <f>IF(V70&gt;0,IF(L70&gt;0,M70-50+$N$6*W70,VLOOKUP(W70,$V$2:$X$9,3,FALSE)),0)</f>
        <v>0</v>
      </c>
      <c r="Z70">
        <f>IF(E70="F",J70-$N$5+$N$6*W70+Y70,IF(E70="D",J70+Y70+X70,IF(E70="T",J70+X70,IF(E70="A",J70-$N$5+$N$6*W70,0))))</f>
        <v>3300</v>
      </c>
      <c r="AB70">
        <f>SUM(Z70:AA70)</f>
        <v>3300</v>
      </c>
      <c r="AC70">
        <f>V70*K70</f>
        <v>0</v>
      </c>
      <c r="AD70">
        <f>'Data-Kolom'!L70</f>
        <v>10</v>
      </c>
      <c r="AE70">
        <f>'Data-Kolom'!M70</f>
        <v>150</v>
      </c>
      <c r="AF70">
        <f>'Data-Kolom'!N70</f>
        <v>150</v>
      </c>
      <c r="AG70">
        <f>'Data-Kolom'!O70</f>
        <v>150</v>
      </c>
      <c r="AH70">
        <f>'Data-Kolom'!P70</f>
        <v>4</v>
      </c>
      <c r="AI70">
        <f>'Data-Kolom'!Q70</f>
        <v>10</v>
      </c>
      <c r="AJ70">
        <f>'Data-Kolom'!R70</f>
        <v>0</v>
      </c>
      <c r="AK70">
        <f>'Data-Kolom'!S70</f>
        <v>0</v>
      </c>
      <c r="AL70">
        <f>2*(H70+I70-4*$N$5)+2*MAX($F$5*AD70,75)</f>
        <v>4670</v>
      </c>
      <c r="AM70">
        <f>+AH70*(H70-2*$N$5+2*MAX($F$5*AI70,75))+AJ70*(I70-2*$N$5+2*MAX($F$5*AK70,75))</f>
        <v>1120</v>
      </c>
      <c r="AN70">
        <f>(ROUND((1/2*J70+IF(M70&gt;0,(Q70-$N$6*AD70),0))/AE70,0)+(ROUND(1/2*J70/AF70,0)+1))*K70</f>
        <v>23</v>
      </c>
      <c r="AO70">
        <f>H70*I70*J70/1000000000*K70*(1+$T$5)</f>
        <v>1.21737</v>
      </c>
      <c r="AP70">
        <f>0.006165*O70^2*T70*U70/1000*(1+$T$6)</f>
        <v>111.6067212</v>
      </c>
      <c r="AQ70">
        <f>0.006165*W70^2*AB70*AC70/1000*(1+$T$6)</f>
        <v>0</v>
      </c>
      <c r="AR70">
        <f>AN70*0.006165*AD70^2*AL70/1000*(1+$T$6)</f>
        <v>66.218265</v>
      </c>
      <c r="AS70">
        <f>AN70*0.006165*AI70^2*AM70/1000*(1+$T$6)</f>
        <v>15.88104</v>
      </c>
      <c r="AT70">
        <f>K70*2*J70*(H70+I70)/1000000*(1+$T$7)</f>
        <v>15.444</v>
      </c>
      <c r="AU70">
        <f>SUM(AP70:AS70)/AO70</f>
        <v>159.1184489514281</v>
      </c>
      <c r="AV70">
        <f>AT70/AO70</f>
        <v>12.686364868528056</v>
      </c>
      <c r="AX70">
        <f>0.006165*O70^2*R70*U70/1000*(1+$T$6)</f>
        <v>111.6067212</v>
      </c>
      <c r="AZ70">
        <f>0.006165*O70^2*S70*U70/1000*(1+$T$6)</f>
        <v>0</v>
      </c>
      <c r="BA70">
        <f>AZ70/AP70</f>
        <v>0</v>
      </c>
    </row>
    <row r="71">
      <c r="A71">
        <f>'Data-Kolom'!A71</f>
        <v>47</v>
      </c>
      <c r="B71" t="str">
        <f>'Data-Kolom'!B71</f>
        <v>Basement</v>
      </c>
      <c r="D71" t="str">
        <f>'Data-Kolom'!D71</f>
        <v>SW.1</v>
      </c>
      <c r="E71" t="str">
        <v>T</v>
      </c>
      <c r="F71">
        <f>'Data-Kolom'!U71</f>
        <v>0</v>
      </c>
      <c r="G71">
        <f>'Data-Kolom'!T71</f>
        <v>0</v>
      </c>
      <c r="H71">
        <f>'Data-Kolom'!E71</f>
        <v>170</v>
      </c>
      <c r="I71">
        <f>'Data-Kolom'!F71</f>
        <v>2170</v>
      </c>
      <c r="J71">
        <f>'Data-Kolom'!G71</f>
        <v>3300</v>
      </c>
      <c r="K71">
        <v>1</v>
      </c>
      <c r="L71">
        <f>'Data-Kolom'!C71</f>
        <v>0</v>
      </c>
      <c r="M71">
        <f>IF(L71&gt;0,VLOOKUP(L71,'Data-PC'!$B$14:$F$36,4,FALSE),0)</f>
        <v>0</v>
      </c>
      <c r="N71">
        <f>'Data-Kolom'!H71</f>
        <v>18</v>
      </c>
      <c r="O71">
        <f>'Data-Kolom'!I71</f>
        <v>13</v>
      </c>
      <c r="P71">
        <f>IF(N71&gt;0,VLOOKUP(O71,$V$2:$X$9,2,FALSE),0)</f>
        <v>820</v>
      </c>
      <c r="Q71">
        <f>IF(L71&gt;0,M71-50+$N$6*O71,VLOOKUP(O71,$V$2:$X$9,3,FALSE))</f>
        <v>630</v>
      </c>
      <c r="R71">
        <f>IF(E71="F",J71-$N$5+$N$6*O71+Q71,IF(E71="D",J71+Q71+P71,IF(E71="T",J71+P71,IF(E71="A",J71-$N$5+$N$6*O71,0))))</f>
        <v>4120</v>
      </c>
      <c r="T71">
        <f>SUM(R71:S71)</f>
        <v>4120</v>
      </c>
      <c r="U71">
        <f>K71*N71</f>
        <v>18</v>
      </c>
      <c r="V71">
        <f>'Data-Kolom'!J71</f>
        <v>0</v>
      </c>
      <c r="W71">
        <f>'Data-Kolom'!K71</f>
        <v>0</v>
      </c>
      <c r="X71">
        <f>IF(V71&gt;0,VLOOKUP(W71,$V$2:$X$9,2,FALSE),0)</f>
        <v>0</v>
      </c>
      <c r="Y71">
        <f>IF(V71&gt;0,IF(L71&gt;0,M71-50+$N$6*W71,VLOOKUP(W71,$V$2:$X$9,3,FALSE)),0)</f>
        <v>0</v>
      </c>
      <c r="Z71">
        <f>IF(E71="F",J71-$N$5+$N$6*W71+Y71,IF(E71="D",J71+Y71+X71,IF(E71="T",J71+X71,IF(E71="A",J71-$N$5+$N$6*W71,0))))</f>
        <v>3300</v>
      </c>
      <c r="AB71">
        <f>SUM(Z71:AA71)</f>
        <v>3300</v>
      </c>
      <c r="AC71">
        <f>V71*K71</f>
        <v>0</v>
      </c>
      <c r="AD71">
        <f>'Data-Kolom'!L71</f>
        <v>10</v>
      </c>
      <c r="AE71">
        <f>'Data-Kolom'!M71</f>
        <v>150</v>
      </c>
      <c r="AF71">
        <f>'Data-Kolom'!N71</f>
        <v>150</v>
      </c>
      <c r="AG71">
        <f>'Data-Kolom'!O71</f>
        <v>150</v>
      </c>
      <c r="AH71">
        <f>'Data-Kolom'!P71</f>
        <v>4</v>
      </c>
      <c r="AI71">
        <f>'Data-Kolom'!Q71</f>
        <v>10</v>
      </c>
      <c r="AJ71">
        <f>'Data-Kolom'!R71</f>
        <v>0</v>
      </c>
      <c r="AK71">
        <f>'Data-Kolom'!S71</f>
        <v>0</v>
      </c>
      <c r="AL71">
        <f>2*(H71+I71-4*$N$5)+2*MAX($F$5*AD71,75)</f>
        <v>4670</v>
      </c>
      <c r="AM71">
        <f>+AH71*(H71-2*$N$5+2*MAX($F$5*AI71,75))+AJ71*(I71-2*$N$5+2*MAX($F$5*AK71,75))</f>
        <v>1120</v>
      </c>
      <c r="AN71">
        <f>(ROUND((1/2*J71+IF(M71&gt;0,(Q71-$N$6*AD71),0))/AE71,0)+(ROUND(1/2*J71/AF71,0)+1))*K71</f>
        <v>23</v>
      </c>
      <c r="AO71">
        <f>H71*I71*J71/1000000000*K71*(1+$T$5)</f>
        <v>1.21737</v>
      </c>
      <c r="AP71">
        <f>0.006165*O71^2*T71*U71/1000*(1+$T$6)</f>
        <v>77.2661916</v>
      </c>
      <c r="AQ71">
        <f>0.006165*W71^2*AB71*AC71/1000*(1+$T$6)</f>
        <v>0</v>
      </c>
      <c r="AR71">
        <f>AN71*0.006165*AD71^2*AL71/1000*(1+$T$6)</f>
        <v>66.218265</v>
      </c>
      <c r="AS71">
        <f>AN71*0.006165*AI71^2*AM71/1000*(1+$T$6)</f>
        <v>15.88104</v>
      </c>
      <c r="AT71">
        <f>K71*2*J71*(H71+I71)/1000000*(1+$T$7)</f>
        <v>15.444</v>
      </c>
      <c r="AU71">
        <f>SUM(AP71:AS71)/AO71</f>
        <v>130.90966312624755</v>
      </c>
      <c r="AV71">
        <f>AT71/AO71</f>
        <v>12.686364868528056</v>
      </c>
      <c r="AX71">
        <f>0.006165*O71^2*R71*U71/1000*(1+$T$6)</f>
        <v>77.2661916</v>
      </c>
      <c r="AZ71">
        <f>0.006165*O71^2*S71*U71/1000*(1+$T$6)</f>
        <v>0</v>
      </c>
      <c r="BA71">
        <f>AZ71/AP71</f>
        <v>0</v>
      </c>
    </row>
    <row r="72">
      <c r="A72">
        <f>'Data-Kolom'!A72</f>
        <v>47</v>
      </c>
      <c r="B72" t="str">
        <f>'Data-Kolom'!B72</f>
        <v>Basement</v>
      </c>
      <c r="D72" t="str">
        <f>'Data-Kolom'!D72</f>
        <v>SW.1</v>
      </c>
      <c r="E72" t="str">
        <v>T</v>
      </c>
      <c r="F72">
        <f>'Data-Kolom'!U72</f>
        <v>0</v>
      </c>
      <c r="G72">
        <f>'Data-Kolom'!T72</f>
        <v>0</v>
      </c>
      <c r="H72">
        <f>'Data-Kolom'!E72</f>
        <v>170</v>
      </c>
      <c r="I72">
        <f>'Data-Kolom'!F72</f>
        <v>400</v>
      </c>
      <c r="J72">
        <f>'Data-Kolom'!G72</f>
        <v>3300</v>
      </c>
      <c r="K72">
        <v>2</v>
      </c>
      <c r="L72">
        <f>'Data-Kolom'!C72</f>
        <v>0</v>
      </c>
      <c r="M72">
        <f>IF(L72&gt;0,VLOOKUP(L72,'Data-PC'!$B$14:$F$36,4,FALSE),0)</f>
        <v>0</v>
      </c>
      <c r="N72">
        <f>'Data-Kolom'!H72</f>
        <v>8</v>
      </c>
      <c r="O72">
        <f>'Data-Kolom'!I72</f>
        <v>13</v>
      </c>
      <c r="P72">
        <f>IF(N72&gt;0,VLOOKUP(O72,$V$2:$X$9,2,FALSE),0)</f>
        <v>820</v>
      </c>
      <c r="Q72">
        <f>IF(L72&gt;0,M72-50+$N$6*O72,VLOOKUP(O72,$V$2:$X$9,3,FALSE))</f>
        <v>630</v>
      </c>
      <c r="R72">
        <f>IF(E72="F",J72-$N$5+$N$6*O72+Q72,IF(E72="D",J72+Q72+P72,IF(E72="T",J72+P72,IF(E72="A",J72-$N$5+$N$6*O72,0))))</f>
        <v>4120</v>
      </c>
      <c r="T72">
        <f>SUM(R72:S72)</f>
        <v>4120</v>
      </c>
      <c r="U72">
        <f>K72*N72</f>
        <v>16</v>
      </c>
      <c r="V72">
        <f>'Data-Kolom'!J72</f>
        <v>0</v>
      </c>
      <c r="W72">
        <f>'Data-Kolom'!K72</f>
        <v>0</v>
      </c>
      <c r="X72">
        <f>IF(V72&gt;0,VLOOKUP(W72,$V$2:$X$9,2,FALSE),0)</f>
        <v>0</v>
      </c>
      <c r="Y72">
        <f>IF(V72&gt;0,IF(L72&gt;0,M72-50+$N$6*W72,VLOOKUP(W72,$V$2:$X$9,3,FALSE)),0)</f>
        <v>0</v>
      </c>
      <c r="Z72">
        <f>IF(E72="F",J72-$N$5+$N$6*W72+Y72,IF(E72="D",J72+Y72+X72,IF(E72="T",J72+X72,IF(E72="A",J72-$N$5+$N$6*W72,0))))</f>
        <v>3300</v>
      </c>
      <c r="AB72">
        <f>SUM(Z72:AA72)</f>
        <v>3300</v>
      </c>
      <c r="AC72">
        <f>V72*K72</f>
        <v>0</v>
      </c>
      <c r="AD72">
        <f>'Data-Kolom'!L72</f>
        <v>10</v>
      </c>
      <c r="AE72">
        <f>'Data-Kolom'!M72</f>
        <v>150</v>
      </c>
      <c r="AF72">
        <f>'Data-Kolom'!N72</f>
        <v>150</v>
      </c>
      <c r="AG72">
        <f>'Data-Kolom'!O72</f>
        <v>150</v>
      </c>
      <c r="AH72">
        <f>'Data-Kolom'!P72</f>
        <v>4</v>
      </c>
      <c r="AI72">
        <f>'Data-Kolom'!Q72</f>
        <v>10</v>
      </c>
      <c r="AJ72">
        <f>'Data-Kolom'!R72</f>
        <v>0</v>
      </c>
      <c r="AK72">
        <f>'Data-Kolom'!S72</f>
        <v>0</v>
      </c>
      <c r="AL72">
        <f>2*(H72+I72-4*$N$5)+2*MAX($F$5*AD72,75)</f>
        <v>1130</v>
      </c>
      <c r="AM72">
        <f>+AH72*(H72-2*$N$5+2*MAX($F$5*AI72,75))+AJ72*(I72-2*$N$5+2*MAX($F$5*AK72,75))</f>
        <v>1120</v>
      </c>
      <c r="AN72">
        <f>(ROUND((1/2*J72+IF(M72&gt;0,(Q72-$N$6*AD72),0))/AE72,0)+(ROUND(1/2*J72/AF72,0)+1))*K72</f>
        <v>46</v>
      </c>
      <c r="AO72">
        <f>H72*I72*J72/1000000000*K72*(1+$T$5)</f>
        <v>0.4488</v>
      </c>
      <c r="AP72">
        <f>0.006165*O72^2*T72*U72/1000*(1+$T$6)</f>
        <v>68.6810592</v>
      </c>
      <c r="AQ72">
        <f>0.006165*W72^2*AB72*AC72/1000*(1+$T$6)</f>
        <v>0</v>
      </c>
      <c r="AR72">
        <f>AN72*0.006165*AD72^2*AL72/1000*(1+$T$6)</f>
        <v>32.04567</v>
      </c>
      <c r="AS72">
        <f>AN72*0.006165*AI72^2*AM72/1000*(1+$T$6)</f>
        <v>31.76208</v>
      </c>
      <c r="AT72">
        <f>K72*2*J72*(H72+I72)/1000000*(1+$T$7)</f>
        <v>7.524</v>
      </c>
      <c r="AU72">
        <f>SUM(AP72:AS72)/AO72</f>
        <v>295.2067941176471</v>
      </c>
      <c r="AV72">
        <f>AT72/AO72</f>
        <v>16.764705882352942</v>
      </c>
      <c r="AX72">
        <f>0.006165*O72^2*R72*U72/1000*(1+$T$6)</f>
        <v>68.6810592</v>
      </c>
      <c r="AZ72">
        <f>0.006165*O72^2*S72*U72/1000*(1+$T$6)</f>
        <v>0</v>
      </c>
      <c r="BA72">
        <f>AZ72/AP72</f>
        <v>0</v>
      </c>
    </row>
    <row r="73">
      <c r="A73">
        <f>'Data-Kolom'!A73</f>
        <v>47</v>
      </c>
      <c r="B73" t="str">
        <f>'Data-Kolom'!B73</f>
        <v>Basement</v>
      </c>
      <c r="D73" t="str">
        <f>'Data-Kolom'!D73</f>
        <v>SW.1</v>
      </c>
      <c r="E73" t="str">
        <v>F</v>
      </c>
      <c r="F73">
        <f>'Data-Kolom'!U73</f>
        <v>0</v>
      </c>
      <c r="G73">
        <f>'Data-Kolom'!T73</f>
        <v>0</v>
      </c>
      <c r="H73">
        <f>'Data-Kolom'!E73</f>
        <v>170</v>
      </c>
      <c r="I73">
        <f>'Data-Kolom'!F73</f>
        <v>1370</v>
      </c>
      <c r="J73">
        <f>'Data-Kolom'!G73</f>
        <v>3300</v>
      </c>
      <c r="K73">
        <v>1</v>
      </c>
      <c r="L73">
        <f>'Data-Kolom'!C73</f>
        <v>0</v>
      </c>
      <c r="M73">
        <f>IF(L73&gt;0,VLOOKUP(L73,'Data-PC'!$B$14:$F$36,4,FALSE),0)</f>
        <v>0</v>
      </c>
      <c r="N73">
        <f>'Data-Kolom'!H73</f>
        <v>14</v>
      </c>
      <c r="O73">
        <f>'Data-Kolom'!I73</f>
        <v>13</v>
      </c>
      <c r="P73">
        <f>IF(N73&gt;0,VLOOKUP(O73,$V$2:$X$9,2,FALSE),0)</f>
        <v>820</v>
      </c>
      <c r="Q73">
        <f>IF(L73&gt;0,M73-50+$N$6*O73,VLOOKUP(O73,$V$2:$X$9,3,FALSE))</f>
        <v>630</v>
      </c>
      <c r="R73">
        <f>IF(E73="F",J73-$N$5+$N$6*O73+Q73,IF(E73="D",J73+Q73+P73,IF(E73="T",J73+P73,IF(E73="A",J73-$N$5+$N$6*O73,0))))</f>
        <v>4066</v>
      </c>
      <c r="T73">
        <f>SUM(R73:S73)</f>
        <v>4066</v>
      </c>
      <c r="U73">
        <f>K73*N73</f>
        <v>14</v>
      </c>
      <c r="V73">
        <f>'Data-Kolom'!J73</f>
        <v>0</v>
      </c>
      <c r="W73">
        <f>'Data-Kolom'!K73</f>
        <v>0</v>
      </c>
      <c r="X73">
        <f>IF(V73&gt;0,VLOOKUP(W73,$V$2:$X$9,2,FALSE),0)</f>
        <v>0</v>
      </c>
      <c r="Y73">
        <f>IF(V73&gt;0,IF(L73&gt;0,M73-50+$N$6*W73,VLOOKUP(W73,$V$2:$X$9,3,FALSE)),0)</f>
        <v>0</v>
      </c>
      <c r="Z73">
        <f>IF(E73="F",J73-$N$5+$N$6*W73+Y73,IF(E73="D",J73+Y73+X73,IF(E73="T",J73+X73,IF(E73="A",J73-$N$5+$N$6*W73,0))))</f>
        <v>3280</v>
      </c>
      <c r="AB73">
        <f>SUM(Z73:AA73)</f>
        <v>3280</v>
      </c>
      <c r="AC73">
        <f>V73*K73</f>
        <v>0</v>
      </c>
      <c r="AD73">
        <f>'Data-Kolom'!L73</f>
        <v>10</v>
      </c>
      <c r="AE73">
        <f>'Data-Kolom'!M73</f>
        <v>150</v>
      </c>
      <c r="AF73">
        <f>'Data-Kolom'!N73</f>
        <v>150</v>
      </c>
      <c r="AG73">
        <f>'Data-Kolom'!O73</f>
        <v>150</v>
      </c>
      <c r="AH73">
        <f>'Data-Kolom'!P73</f>
        <v>4</v>
      </c>
      <c r="AI73">
        <f>'Data-Kolom'!Q73</f>
        <v>10</v>
      </c>
      <c r="AJ73">
        <f>'Data-Kolom'!R73</f>
        <v>0</v>
      </c>
      <c r="AK73">
        <f>'Data-Kolom'!S73</f>
        <v>0</v>
      </c>
      <c r="AL73">
        <f>2*(H73+I73-4*$N$5)+2*MAX($F$5*AD73,75)</f>
        <v>3070</v>
      </c>
      <c r="AM73">
        <f>+AH73*(H73-2*$N$5+2*MAX($F$5*AI73,75))+AJ73*(I73-2*$N$5+2*MAX($F$5*AK73,75))</f>
        <v>1120</v>
      </c>
      <c r="AN73">
        <f>(ROUND((1/2*J73+IF(M73&gt;0,(Q73-$N$6*AD73),0))/AE73,0)+(ROUND(1/2*J73/AF73,0)+1))*K73</f>
        <v>23</v>
      </c>
      <c r="AO73">
        <f>H73*I73*J73/1000000000*K73*(1+$T$5)</f>
        <v>0.76857</v>
      </c>
      <c r="AP73">
        <f>0.006165*O73^2*T73*U73/1000*(1+$T$6)</f>
        <v>59.30826173999999</v>
      </c>
      <c r="AQ73">
        <f>0.006165*W73^2*AB73*AC73/1000*(1+$T$6)</f>
        <v>0</v>
      </c>
      <c r="AR73">
        <f>AN73*0.006165*AD73^2*AL73/1000*(1+$T$6)</f>
        <v>43.531065000000005</v>
      </c>
      <c r="AS73">
        <f>AN73*0.006165*AI73^2*AM73/1000*(1+$T$6)</f>
        <v>15.88104</v>
      </c>
      <c r="AT73">
        <f>K73*2*J73*(H73+I73)/1000000*(1+$T$7)</f>
        <v>10.164</v>
      </c>
      <c r="AU73">
        <f>SUM(AP73:AS73)/AO73</f>
        <v>154.46916577540105</v>
      </c>
      <c r="AV73">
        <f>AT73/AO73</f>
        <v>13.224559896951481</v>
      </c>
      <c r="AX73">
        <f>0.006165*O73^2*R73*U73/1000*(1+$T$6)</f>
        <v>59.30826173999999</v>
      </c>
      <c r="AZ73">
        <f>0.006165*O73^2*S73*U73/1000*(1+$T$6)</f>
        <v>0</v>
      </c>
      <c r="BA73">
        <f>AZ73/AP73</f>
        <v>0</v>
      </c>
    </row>
    <row r="75">
      <c r="A75">
        <f>'Data-Kolom'!A75</f>
        <v>4</v>
      </c>
      <c r="B75" t="str">
        <f>'Data-Kolom'!B75</f>
        <v>Lantai 1</v>
      </c>
      <c r="C75">
        <f>'Data-Kolom'!C75</f>
        <v>0</v>
      </c>
      <c r="D75" t="str">
        <f>'Data-Kolom'!D75</f>
        <v>K175-2</v>
      </c>
      <c r="E75" t="str">
        <v>F</v>
      </c>
      <c r="F75">
        <f>'Data-Kolom'!U75</f>
        <v>0</v>
      </c>
      <c r="G75">
        <f>'Data-Kolom'!T75</f>
        <v>0</v>
      </c>
      <c r="H75">
        <f>'Data-Kolom'!E75</f>
        <v>170</v>
      </c>
      <c r="I75">
        <f>'Data-Kolom'!F75</f>
        <v>500</v>
      </c>
      <c r="J75">
        <f>'Data-Kolom'!G75</f>
        <v>4500</v>
      </c>
      <c r="K75">
        <v>1</v>
      </c>
      <c r="M75">
        <f>IF(L75&gt;0,VLOOKUP(L75,'Data-PC'!$B$14:$F$36,4,FALSE),0)</f>
        <v>0</v>
      </c>
      <c r="N75">
        <f>'Data-Kolom'!H75</f>
        <v>8</v>
      </c>
      <c r="O75">
        <f>'Data-Kolom'!I75</f>
        <v>16</v>
      </c>
      <c r="P75">
        <f>IF(N75&gt;0,VLOOKUP(O75,$V$2:$X$9,2,FALSE),0)</f>
        <v>1010</v>
      </c>
      <c r="Q75">
        <f>IF(L75&gt;0,M75-50+$N$6*O75,VLOOKUP(O75,$V$2:$X$9,3,FALSE))</f>
        <v>770</v>
      </c>
      <c r="R75">
        <f>IF(E75="F",J75-$N$5+$N$6*O75+Q75,IF(E75="D",J75+Q75+P75,IF(E75="T",J75+P75,IF(E75="A",J75-$N$5+$N$6*O75,0))))</f>
        <v>5442</v>
      </c>
      <c r="T75">
        <f>SUM(R75:S75)</f>
        <v>5442</v>
      </c>
      <c r="U75">
        <f>K75*N75</f>
        <v>8</v>
      </c>
      <c r="V75">
        <f>'Data-Kolom'!J75</f>
        <v>0</v>
      </c>
      <c r="W75">
        <f>'Data-Kolom'!K75</f>
        <v>0</v>
      </c>
      <c r="X75">
        <f>IF(V75&gt;0,VLOOKUP(W75,$V$2:$X$9,2,FALSE),0)</f>
        <v>0</v>
      </c>
      <c r="Y75">
        <f>IF(V75&gt;0,IF(L75&gt;0,M75-50+$N$6*W75,VLOOKUP(W75,$V$2:$X$9,3,FALSE)),0)</f>
        <v>0</v>
      </c>
      <c r="Z75">
        <f>IF(E75="F",J75-$N$5+$N$6*W75+Y75,IF(E75="D",J75+Y75+X75,IF(E75="T",J75+X75,IF(E75="A",J75-$N$5+$N$6*W75,0))))</f>
        <v>4480</v>
      </c>
      <c r="AB75">
        <f>SUM(Z75:AA75)</f>
        <v>4480</v>
      </c>
      <c r="AC75">
        <f>V75*K75</f>
        <v>0</v>
      </c>
      <c r="AD75">
        <f>'Data-Kolom'!L75</f>
        <v>8</v>
      </c>
      <c r="AE75">
        <f>'Data-Kolom'!M75</f>
        <v>100</v>
      </c>
      <c r="AF75">
        <f>'Data-Kolom'!N75</f>
        <v>100</v>
      </c>
      <c r="AG75">
        <f>'Data-Kolom'!O75</f>
        <v>100</v>
      </c>
      <c r="AH75">
        <f>'Data-Kolom'!P75</f>
        <v>0.5</v>
      </c>
      <c r="AI75">
        <f>'Data-Kolom'!Q75</f>
        <v>8</v>
      </c>
      <c r="AJ75">
        <f>'Data-Kolom'!R75</f>
        <v>0</v>
      </c>
      <c r="AK75">
        <f>'Data-Kolom'!S75</f>
        <v>0</v>
      </c>
      <c r="AL75">
        <f>2*(H75+I75-4*$N$5)+2*MAX($F$5*AD75,75)</f>
        <v>1330</v>
      </c>
      <c r="AM75">
        <f>+AH75*(H75-2*$N$5+2*MAX($F$5*AI75,75))+AJ75*(I75-2*$N$5+2*MAX($F$5*AK75,75))</f>
        <v>140</v>
      </c>
      <c r="AN75">
        <f>(ROUND((1/2*J75+IF(M75&gt;0,(Q75-$N$6*AD75),0))/AE75,0)+(ROUND(1/2*J75/AF75,0)+1))*K75</f>
        <v>47</v>
      </c>
      <c r="AO75">
        <f>H75*I75*J75/1000000000*K75*(1+$T$5)</f>
        <v>0.3825</v>
      </c>
      <c r="AP75">
        <f>0.006165*O75^2*T75*U75/1000*(1+$T$6)</f>
        <v>68.71025664000001</v>
      </c>
      <c r="AQ75">
        <f>0.006165*W75^2*AB75*AC75/1000*(1+$T$6)</f>
        <v>0</v>
      </c>
      <c r="AR75">
        <f>AN75*0.006165*AD75^2*AL75/1000*(1+$T$6)</f>
        <v>24.6639456</v>
      </c>
      <c r="AS75">
        <f>AN75*0.006165*AI75^2*AM75/1000*(1+$T$6)</f>
        <v>2.5962048000000006</v>
      </c>
      <c r="AT75">
        <f>K75*2*J75*(H75+I75)/1000000*(1+$T$7)</f>
        <v>6.03</v>
      </c>
      <c r="AU75">
        <f>SUM(AP75:AS75)/AO75</f>
        <v>250.9030249411765</v>
      </c>
      <c r="AV75">
        <f>AT75/AO75</f>
        <v>15.764705882352942</v>
      </c>
      <c r="AX75">
        <f>0.006165*O75^2*R75*U75/1000*(1+$T$6)</f>
        <v>68.71025664000001</v>
      </c>
      <c r="AZ75">
        <f>0.006165*O75^2*S75*U75/1000*(1+$T$6)</f>
        <v>0</v>
      </c>
      <c r="BA75">
        <f>AZ75/AP75</f>
        <v>0</v>
      </c>
    </row>
    <row r="76">
      <c r="A76">
        <f>'Data-Kolom'!A76</f>
        <v>5</v>
      </c>
      <c r="B76" t="str">
        <f>'Data-Kolom'!B76</f>
        <v>Lantai 1</v>
      </c>
      <c r="C76">
        <f>'Data-Kolom'!C76</f>
        <v>0</v>
      </c>
      <c r="D76" t="str">
        <f>'Data-Kolom'!D76</f>
        <v>K175-2</v>
      </c>
      <c r="E76" t="str">
        <v>A</v>
      </c>
      <c r="F76">
        <f>'Data-Kolom'!U76</f>
        <v>0</v>
      </c>
      <c r="G76">
        <f>'Data-Kolom'!T76</f>
        <v>0</v>
      </c>
      <c r="H76">
        <f>'Data-Kolom'!E76</f>
        <v>170</v>
      </c>
      <c r="I76">
        <f>'Data-Kolom'!F76</f>
        <v>500</v>
      </c>
      <c r="J76">
        <f>'Data-Kolom'!G76</f>
        <v>4500</v>
      </c>
      <c r="K76">
        <v>1</v>
      </c>
      <c r="M76">
        <f>IF(L76&gt;0,VLOOKUP(L76,'Data-PC'!$B$14:$F$36,4,FALSE),0)</f>
        <v>0</v>
      </c>
      <c r="N76">
        <f>'Data-Kolom'!H76</f>
        <v>8</v>
      </c>
      <c r="O76">
        <f>'Data-Kolom'!I76</f>
        <v>16</v>
      </c>
      <c r="P76">
        <f>IF(N76&gt;0,VLOOKUP(O76,$V$2:$X$9,2,FALSE),0)</f>
        <v>1010</v>
      </c>
      <c r="Q76">
        <f>IF(L76&gt;0,M76-50+$N$6*O76,VLOOKUP(O76,$V$2:$X$9,3,FALSE))</f>
        <v>770</v>
      </c>
      <c r="R76">
        <f>IF(E76="F",J76-$N$5+$N$6*O76+Q76,IF(E76="D",J76+Q76+P76,IF(E76="T",J76+P76,IF(E76="A",J76-$N$5+$N$6*O76,0))))</f>
        <v>4672</v>
      </c>
      <c r="T76">
        <f>SUM(R76:S76)</f>
        <v>4672</v>
      </c>
      <c r="U76">
        <f>K76*N76</f>
        <v>8</v>
      </c>
      <c r="V76">
        <f>'Data-Kolom'!J76</f>
        <v>0</v>
      </c>
      <c r="W76">
        <f>'Data-Kolom'!K76</f>
        <v>0</v>
      </c>
      <c r="X76">
        <f>IF(V76&gt;0,VLOOKUP(W76,$V$2:$X$9,2,FALSE),0)</f>
        <v>0</v>
      </c>
      <c r="Y76">
        <f>IF(V76&gt;0,IF(L76&gt;0,M76-50+$N$6*W76,VLOOKUP(W76,$V$2:$X$9,3,FALSE)),0)</f>
        <v>0</v>
      </c>
      <c r="Z76">
        <f>IF(E76="F",J76-$N$5+$N$6*W76+Y76,IF(E76="D",J76+Y76+X76,IF(E76="T",J76+X76,IF(E76="A",J76-$N$5+$N$6*W76,0))))</f>
        <v>4480</v>
      </c>
      <c r="AB76">
        <f>SUM(Z76:AA76)</f>
        <v>4480</v>
      </c>
      <c r="AC76">
        <f>V76*K76</f>
        <v>0</v>
      </c>
      <c r="AD76">
        <f>'Data-Kolom'!L76</f>
        <v>8</v>
      </c>
      <c r="AE76">
        <f>'Data-Kolom'!M76</f>
        <v>100</v>
      </c>
      <c r="AF76">
        <f>'Data-Kolom'!N76</f>
        <v>100</v>
      </c>
      <c r="AG76">
        <f>'Data-Kolom'!O76</f>
        <v>100</v>
      </c>
      <c r="AH76">
        <f>'Data-Kolom'!P76</f>
        <v>0.5</v>
      </c>
      <c r="AI76">
        <f>'Data-Kolom'!Q76</f>
        <v>8</v>
      </c>
      <c r="AJ76">
        <f>'Data-Kolom'!R76</f>
        <v>0</v>
      </c>
      <c r="AK76">
        <f>'Data-Kolom'!S76</f>
        <v>0</v>
      </c>
      <c r="AL76">
        <f>2*(H76+I76-4*$N$5)+2*MAX($F$5*AD76,75)</f>
        <v>1330</v>
      </c>
      <c r="AM76">
        <f>+AH76*(H76-2*$N$5+2*MAX($F$5*AI76,75))+AJ76*(I76-2*$N$5+2*MAX($F$5*AK76,75))</f>
        <v>140</v>
      </c>
      <c r="AN76">
        <f>(ROUND((1/2*J76+IF(M76&gt;0,(Q76-$N$6*AD76),0))/AE76,0)+(ROUND(1/2*J76/AF76,0)+1))*K76</f>
        <v>47</v>
      </c>
      <c r="AO76">
        <f>H76*I76*J76/1000000000*K76*(1+$T$5)</f>
        <v>0.3825</v>
      </c>
      <c r="AP76">
        <f>0.006165*O76^2*T76*U76/1000*(1+$T$6)</f>
        <v>58.988298240000006</v>
      </c>
      <c r="AQ76">
        <f>0.006165*W76^2*AB76*AC76/1000*(1+$T$6)</f>
        <v>0</v>
      </c>
      <c r="AR76">
        <f>AN76*0.006165*AD76^2*AL76/1000*(1+$T$6)</f>
        <v>24.6639456</v>
      </c>
      <c r="AS76">
        <f>AN76*0.006165*AI76^2*AM76/1000*(1+$T$6)</f>
        <v>2.5962048000000006</v>
      </c>
      <c r="AT76">
        <f>K76*2*J76*(H76+I76)/1000000*(1+$T$7)</f>
        <v>6.03</v>
      </c>
      <c r="AU76">
        <f>SUM(AP76:AS76)/AO76</f>
        <v>225.48614023529413</v>
      </c>
      <c r="AV76">
        <f>AT76/AO76</f>
        <v>15.764705882352942</v>
      </c>
      <c r="AX76">
        <f>0.006165*O76^2*R76*U76/1000*(1+$T$6)</f>
        <v>58.988298240000006</v>
      </c>
      <c r="AZ76">
        <f>0.006165*O76^2*S76*U76/1000*(1+$T$6)</f>
        <v>0</v>
      </c>
      <c r="BA76">
        <f>AZ76/AP76</f>
        <v>0</v>
      </c>
    </row>
    <row r="77">
      <c r="A77">
        <f>'Data-Kolom'!A77</f>
        <v>7</v>
      </c>
      <c r="B77" t="str">
        <f>'Data-Kolom'!B77</f>
        <v>Lantai 1</v>
      </c>
      <c r="C77">
        <f>'Data-Kolom'!C77</f>
        <v>0</v>
      </c>
      <c r="D77" t="str">
        <f>'Data-Kolom'!D77</f>
        <v>K175-2</v>
      </c>
      <c r="E77" t="str">
        <v>A</v>
      </c>
      <c r="F77">
        <f>'Data-Kolom'!U77</f>
        <v>0</v>
      </c>
      <c r="G77">
        <f>'Data-Kolom'!T77</f>
        <v>0</v>
      </c>
      <c r="H77">
        <f>'Data-Kolom'!E77</f>
        <v>170</v>
      </c>
      <c r="I77">
        <f>'Data-Kolom'!F77</f>
        <v>500</v>
      </c>
      <c r="J77">
        <f>'Data-Kolom'!G77</f>
        <v>4500</v>
      </c>
      <c r="K77">
        <v>1</v>
      </c>
      <c r="M77">
        <f>IF(L77&gt;0,VLOOKUP(L77,'Data-PC'!$B$14:$F$36,4,FALSE),0)</f>
        <v>0</v>
      </c>
      <c r="N77">
        <f>'Data-Kolom'!H77</f>
        <v>8</v>
      </c>
      <c r="O77">
        <f>'Data-Kolom'!I77</f>
        <v>16</v>
      </c>
      <c r="P77">
        <f>IF(N77&gt;0,VLOOKUP(O77,$V$2:$X$9,2,FALSE),0)</f>
        <v>1010</v>
      </c>
      <c r="Q77">
        <f>IF(L77&gt;0,M77-50+$N$6*O77,VLOOKUP(O77,$V$2:$X$9,3,FALSE))</f>
        <v>770</v>
      </c>
      <c r="R77">
        <f>IF(E77="F",J77-$N$5+$N$6*O77+Q77,IF(E77="D",J77+Q77+P77,IF(E77="T",J77+P77,IF(E77="A",J77-$N$5+$N$6*O77,0))))</f>
        <v>4672</v>
      </c>
      <c r="T77">
        <f>SUM(R77:S77)</f>
        <v>4672</v>
      </c>
      <c r="U77">
        <f>K77*N77</f>
        <v>8</v>
      </c>
      <c r="V77">
        <f>'Data-Kolom'!J77</f>
        <v>0</v>
      </c>
      <c r="W77">
        <f>'Data-Kolom'!K77</f>
        <v>0</v>
      </c>
      <c r="X77">
        <f>IF(V77&gt;0,VLOOKUP(W77,$V$2:$X$9,2,FALSE),0)</f>
        <v>0</v>
      </c>
      <c r="Y77">
        <f>IF(V77&gt;0,IF(L77&gt;0,M77-50+$N$6*W77,VLOOKUP(W77,$V$2:$X$9,3,FALSE)),0)</f>
        <v>0</v>
      </c>
      <c r="Z77">
        <f>IF(E77="F",J77-$N$5+$N$6*W77+Y77,IF(E77="D",J77+Y77+X77,IF(E77="T",J77+X77,IF(E77="A",J77-$N$5+$N$6*W77,0))))</f>
        <v>4480</v>
      </c>
      <c r="AB77">
        <f>SUM(Z77:AA77)</f>
        <v>4480</v>
      </c>
      <c r="AC77">
        <f>V77*K77</f>
        <v>0</v>
      </c>
      <c r="AD77">
        <f>'Data-Kolom'!L77</f>
        <v>8</v>
      </c>
      <c r="AE77">
        <f>'Data-Kolom'!M77</f>
        <v>100</v>
      </c>
      <c r="AF77">
        <f>'Data-Kolom'!N77</f>
        <v>100</v>
      </c>
      <c r="AG77">
        <f>'Data-Kolom'!O77</f>
        <v>100</v>
      </c>
      <c r="AH77">
        <f>'Data-Kolom'!P77</f>
        <v>0.5</v>
      </c>
      <c r="AI77">
        <f>'Data-Kolom'!Q77</f>
        <v>8</v>
      </c>
      <c r="AJ77">
        <f>'Data-Kolom'!R77</f>
        <v>0</v>
      </c>
      <c r="AK77">
        <f>'Data-Kolom'!S77</f>
        <v>0</v>
      </c>
      <c r="AL77">
        <f>2*(H77+I77-4*$N$5)+2*MAX($F$5*AD77,75)</f>
        <v>1330</v>
      </c>
      <c r="AM77">
        <f>+AH77*(H77-2*$N$5+2*MAX($F$5*AI77,75))+AJ77*(I77-2*$N$5+2*MAX($F$5*AK77,75))</f>
        <v>140</v>
      </c>
      <c r="AN77">
        <f>(ROUND((1/2*J77+IF(M77&gt;0,(Q77-$N$6*AD77),0))/AE77,0)+(ROUND(1/2*J77/AF77,0)+1))*K77</f>
        <v>47</v>
      </c>
      <c r="AO77">
        <f>H77*I77*J77/1000000000*K77*(1+$T$5)</f>
        <v>0.3825</v>
      </c>
      <c r="AP77">
        <f>0.006165*O77^2*T77*U77/1000*(1+$T$6)</f>
        <v>58.988298240000006</v>
      </c>
      <c r="AQ77">
        <f>0.006165*W77^2*AB77*AC77/1000*(1+$T$6)</f>
        <v>0</v>
      </c>
      <c r="AR77">
        <f>AN77*0.006165*AD77^2*AL77/1000*(1+$T$6)</f>
        <v>24.6639456</v>
      </c>
      <c r="AS77">
        <f>AN77*0.006165*AI77^2*AM77/1000*(1+$T$6)</f>
        <v>2.5962048000000006</v>
      </c>
      <c r="AT77">
        <f>K77*2*J77*(H77+I77)/1000000*(1+$T$7)</f>
        <v>6.03</v>
      </c>
      <c r="AU77">
        <f>SUM(AP77:AS77)/AO77</f>
        <v>225.48614023529413</v>
      </c>
      <c r="AV77">
        <f>AT77/AO77</f>
        <v>15.764705882352942</v>
      </c>
      <c r="AX77">
        <f>0.006165*O77^2*R77*U77/1000*(1+$T$6)</f>
        <v>58.988298240000006</v>
      </c>
      <c r="AZ77">
        <f>0.006165*O77^2*S77*U77/1000*(1+$T$6)</f>
        <v>0</v>
      </c>
      <c r="BA77">
        <f>AZ77/AP77</f>
        <v>0</v>
      </c>
    </row>
    <row r="78">
      <c r="A78">
        <f>'Data-Kolom'!A78</f>
        <v>9</v>
      </c>
      <c r="B78" t="str">
        <f>'Data-Kolom'!B78</f>
        <v>Lantai 1</v>
      </c>
      <c r="C78">
        <f>'Data-Kolom'!C78</f>
        <v>0</v>
      </c>
      <c r="D78" t="str">
        <f>'Data-Kolom'!D78</f>
        <v>K175-2</v>
      </c>
      <c r="E78" t="str">
        <v>A</v>
      </c>
      <c r="F78">
        <f>'Data-Kolom'!U78</f>
        <v>0</v>
      </c>
      <c r="G78">
        <f>'Data-Kolom'!T78</f>
        <v>0</v>
      </c>
      <c r="H78">
        <f>'Data-Kolom'!E78</f>
        <v>170</v>
      </c>
      <c r="I78">
        <f>'Data-Kolom'!F78</f>
        <v>500</v>
      </c>
      <c r="J78">
        <f>'Data-Kolom'!G78</f>
        <v>4500</v>
      </c>
      <c r="K78">
        <v>1</v>
      </c>
      <c r="M78">
        <f>IF(L78&gt;0,VLOOKUP(L78,'Data-PC'!$B$14:$F$36,4,FALSE),0)</f>
        <v>0</v>
      </c>
      <c r="N78">
        <f>'Data-Kolom'!H78</f>
        <v>8</v>
      </c>
      <c r="O78">
        <f>'Data-Kolom'!I78</f>
        <v>16</v>
      </c>
      <c r="P78">
        <f>IF(N78&gt;0,VLOOKUP(O78,$V$2:$X$9,2,FALSE),0)</f>
        <v>1010</v>
      </c>
      <c r="Q78">
        <f>IF(L78&gt;0,M78-50+$N$6*O78,VLOOKUP(O78,$V$2:$X$9,3,FALSE))</f>
        <v>770</v>
      </c>
      <c r="R78">
        <f>IF(E78="F",J78-$N$5+$N$6*O78+Q78,IF(E78="D",J78+Q78+P78,IF(E78="T",J78+P78,IF(E78="A",J78-$N$5+$N$6*O78,0))))</f>
        <v>4672</v>
      </c>
      <c r="T78">
        <f>SUM(R78:S78)</f>
        <v>4672</v>
      </c>
      <c r="U78">
        <f>K78*N78</f>
        <v>8</v>
      </c>
      <c r="V78">
        <f>'Data-Kolom'!J78</f>
        <v>0</v>
      </c>
      <c r="W78">
        <f>'Data-Kolom'!K78</f>
        <v>0</v>
      </c>
      <c r="X78">
        <f>IF(V78&gt;0,VLOOKUP(W78,$V$2:$X$9,2,FALSE),0)</f>
        <v>0</v>
      </c>
      <c r="Y78">
        <f>IF(V78&gt;0,IF(L78&gt;0,M78-50+$N$6*W78,VLOOKUP(W78,$V$2:$X$9,3,FALSE)),0)</f>
        <v>0</v>
      </c>
      <c r="Z78">
        <f>IF(E78="F",J78-$N$5+$N$6*W78+Y78,IF(E78="D",J78+Y78+X78,IF(E78="T",J78+X78,IF(E78="A",J78-$N$5+$N$6*W78,0))))</f>
        <v>4480</v>
      </c>
      <c r="AB78">
        <f>SUM(Z78:AA78)</f>
        <v>4480</v>
      </c>
      <c r="AC78">
        <f>V78*K78</f>
        <v>0</v>
      </c>
      <c r="AD78">
        <f>'Data-Kolom'!L78</f>
        <v>8</v>
      </c>
      <c r="AE78">
        <f>'Data-Kolom'!M78</f>
        <v>100</v>
      </c>
      <c r="AF78">
        <f>'Data-Kolom'!N78</f>
        <v>100</v>
      </c>
      <c r="AG78">
        <f>'Data-Kolom'!O78</f>
        <v>100</v>
      </c>
      <c r="AH78">
        <f>'Data-Kolom'!P78</f>
        <v>0.5</v>
      </c>
      <c r="AI78">
        <f>'Data-Kolom'!Q78</f>
        <v>8</v>
      </c>
      <c r="AJ78">
        <f>'Data-Kolom'!R78</f>
        <v>0</v>
      </c>
      <c r="AK78">
        <f>'Data-Kolom'!S78</f>
        <v>0</v>
      </c>
      <c r="AL78">
        <f>2*(H78+I78-4*$N$5)+2*MAX($F$5*AD78,75)</f>
        <v>1330</v>
      </c>
      <c r="AM78">
        <f>+AH78*(H78-2*$N$5+2*MAX($F$5*AI78,75))+AJ78*(I78-2*$N$5+2*MAX($F$5*AK78,75))</f>
        <v>140</v>
      </c>
      <c r="AN78">
        <f>(ROUND((1/2*J78+IF(M78&gt;0,(Q78-$N$6*AD78),0))/AE78,0)+(ROUND(1/2*J78/AF78,0)+1))*K78</f>
        <v>47</v>
      </c>
      <c r="AO78">
        <f>H78*I78*J78/1000000000*K78*(1+$T$5)</f>
        <v>0.3825</v>
      </c>
      <c r="AP78">
        <f>0.006165*O78^2*T78*U78/1000*(1+$T$6)</f>
        <v>58.988298240000006</v>
      </c>
      <c r="AQ78">
        <f>0.006165*W78^2*AB78*AC78/1000*(1+$T$6)</f>
        <v>0</v>
      </c>
      <c r="AR78">
        <f>AN78*0.006165*AD78^2*AL78/1000*(1+$T$6)</f>
        <v>24.6639456</v>
      </c>
      <c r="AS78">
        <f>AN78*0.006165*AI78^2*AM78/1000*(1+$T$6)</f>
        <v>2.5962048000000006</v>
      </c>
      <c r="AT78">
        <f>K78*2*J78*(H78+I78)/1000000*(1+$T$7)</f>
        <v>6.03</v>
      </c>
      <c r="AU78">
        <f>SUM(AP78:AS78)/AO78</f>
        <v>225.48614023529413</v>
      </c>
      <c r="AV78">
        <f>AT78/AO78</f>
        <v>15.764705882352942</v>
      </c>
      <c r="AX78">
        <f>0.006165*O78^2*R78*U78/1000*(1+$T$6)</f>
        <v>58.988298240000006</v>
      </c>
      <c r="AZ78">
        <f>0.006165*O78^2*S78*U78/1000*(1+$T$6)</f>
        <v>0</v>
      </c>
      <c r="BA78">
        <f>AZ78/AP78</f>
        <v>0</v>
      </c>
    </row>
    <row r="79">
      <c r="A79">
        <f>'Data-Kolom'!A79</f>
        <v>11</v>
      </c>
      <c r="B79" t="str">
        <f>'Data-Kolom'!B79</f>
        <v>Lantai 1</v>
      </c>
      <c r="C79">
        <f>'Data-Kolom'!C79</f>
        <v>0</v>
      </c>
      <c r="D79" t="str">
        <f>'Data-Kolom'!D79</f>
        <v>K175-1</v>
      </c>
      <c r="E79" t="str">
        <v>T</v>
      </c>
      <c r="F79">
        <f>'Data-Kolom'!U79</f>
        <v>0</v>
      </c>
      <c r="G79">
        <f>'Data-Kolom'!T79</f>
        <v>0</v>
      </c>
      <c r="H79">
        <f>'Data-Kolom'!E79</f>
        <v>170</v>
      </c>
      <c r="I79">
        <f>'Data-Kolom'!F79</f>
        <v>500</v>
      </c>
      <c r="J79">
        <f>'Data-Kolom'!G79</f>
        <v>4500</v>
      </c>
      <c r="K79">
        <v>1</v>
      </c>
      <c r="M79">
        <f>IF(L79&gt;0,VLOOKUP(L79,'Data-PC'!$B$14:$F$36,4,FALSE),0)</f>
        <v>0</v>
      </c>
      <c r="N79">
        <f>'Data-Kolom'!H79</f>
        <v>6</v>
      </c>
      <c r="O79">
        <f>'Data-Kolom'!I79</f>
        <v>16</v>
      </c>
      <c r="P79">
        <f>IF(N79&gt;0,VLOOKUP(O79,$V$2:$X$9,2,FALSE),0)</f>
        <v>1010</v>
      </c>
      <c r="Q79">
        <f>IF(L79&gt;0,M79-50+$N$6*O79,VLOOKUP(O79,$V$2:$X$9,3,FALSE))</f>
        <v>770</v>
      </c>
      <c r="R79">
        <f>IF(E79="F",J79-$N$5+$N$6*O79+Q79,IF(E79="D",J79+Q79+P79,IF(E79="T",J79+P79,IF(E79="A",J79-$N$5+$N$6*O79,0))))</f>
        <v>5510</v>
      </c>
      <c r="T79">
        <f>SUM(R79:S79)</f>
        <v>5510</v>
      </c>
      <c r="U79">
        <f>K79*N79</f>
        <v>6</v>
      </c>
      <c r="V79">
        <f>'Data-Kolom'!J79</f>
        <v>0</v>
      </c>
      <c r="W79">
        <f>'Data-Kolom'!K79</f>
        <v>0</v>
      </c>
      <c r="X79">
        <f>IF(V79&gt;0,VLOOKUP(W79,$V$2:$X$9,2,FALSE),0)</f>
        <v>0</v>
      </c>
      <c r="Y79">
        <f>IF(V79&gt;0,IF(L79&gt;0,M79-50+$N$6*W79,VLOOKUP(W79,$V$2:$X$9,3,FALSE)),0)</f>
        <v>0</v>
      </c>
      <c r="Z79">
        <f>IF(E79="F",J79-$N$5+$N$6*W79+Y79,IF(E79="D",J79+Y79+X79,IF(E79="T",J79+X79,IF(E79="A",J79-$N$5+$N$6*W79,0))))</f>
        <v>4500</v>
      </c>
      <c r="AB79">
        <f>SUM(Z79:AA79)</f>
        <v>4500</v>
      </c>
      <c r="AC79">
        <f>V79*K79</f>
        <v>0</v>
      </c>
      <c r="AD79">
        <f>'Data-Kolom'!L79</f>
        <v>8</v>
      </c>
      <c r="AE79">
        <f>'Data-Kolom'!M79</f>
        <v>100</v>
      </c>
      <c r="AF79">
        <f>'Data-Kolom'!N79</f>
        <v>100</v>
      </c>
      <c r="AG79">
        <f>'Data-Kolom'!O79</f>
        <v>100</v>
      </c>
      <c r="AH79">
        <f>'Data-Kolom'!P79</f>
        <v>0.5</v>
      </c>
      <c r="AI79">
        <f>'Data-Kolom'!Q79</f>
        <v>8</v>
      </c>
      <c r="AJ79">
        <f>'Data-Kolom'!R79</f>
        <v>0</v>
      </c>
      <c r="AK79">
        <f>'Data-Kolom'!S79</f>
        <v>0</v>
      </c>
      <c r="AL79">
        <f>2*(H79+I79-4*$N$5)+2*MAX($F$5*AD79,75)</f>
        <v>1330</v>
      </c>
      <c r="AM79">
        <f>+AH79*(H79-2*$N$5+2*MAX($F$5*AI79,75))+AJ79*(I79-2*$N$5+2*MAX($F$5*AK79,75))</f>
        <v>140</v>
      </c>
      <c r="AN79">
        <f>(ROUND((1/2*J79+IF(M79&gt;0,(Q79-$N$6*AD79),0))/AE79,0)+(ROUND(1/2*J79/AF79,0)+1))*K79</f>
        <v>47</v>
      </c>
      <c r="AO79">
        <f>H79*I79*J79/1000000000*K79*(1+$T$5)</f>
        <v>0.3825</v>
      </c>
      <c r="AP79">
        <f>0.006165*O79^2*T79*U79/1000*(1+$T$6)</f>
        <v>52.1766144</v>
      </c>
      <c r="AQ79">
        <f>0.006165*W79^2*AB79*AC79/1000*(1+$T$6)</f>
        <v>0</v>
      </c>
      <c r="AR79">
        <f>AN79*0.006165*AD79^2*AL79/1000*(1+$T$6)</f>
        <v>24.6639456</v>
      </c>
      <c r="AS79">
        <f>AN79*0.006165*AI79^2*AM79/1000*(1+$T$6)</f>
        <v>2.5962048000000006</v>
      </c>
      <c r="AT79">
        <f>K79*2*J79*(H79+I79)/1000000*(1+$T$7)</f>
        <v>6.03</v>
      </c>
      <c r="AU79">
        <f>SUM(AP79:AS79)/AO79</f>
        <v>207.6778164705882</v>
      </c>
      <c r="AV79">
        <f>AT79/AO79</f>
        <v>15.764705882352942</v>
      </c>
      <c r="AX79">
        <f>0.006165*O79^2*R79*U79/1000*(1+$T$6)</f>
        <v>52.1766144</v>
      </c>
      <c r="AZ79">
        <f>0.006165*O79^2*S79*U79/1000*(1+$T$6)</f>
        <v>0</v>
      </c>
      <c r="BA79">
        <f>AZ79/AP79</f>
        <v>0</v>
      </c>
    </row>
    <row r="80">
      <c r="A80">
        <f>'Data-Kolom'!A80</f>
        <v>12</v>
      </c>
      <c r="B80" t="str">
        <f>'Data-Kolom'!B80</f>
        <v>Lantai 1</v>
      </c>
      <c r="C80">
        <f>'Data-Kolom'!C80</f>
        <v>0</v>
      </c>
      <c r="D80" t="str">
        <f>'Data-Kolom'!D80</f>
        <v>K178-2</v>
      </c>
      <c r="E80" t="str">
        <v>T</v>
      </c>
      <c r="F80">
        <f>'Data-Kolom'!U80</f>
        <v>0</v>
      </c>
      <c r="G80">
        <f>'Data-Kolom'!T80</f>
        <v>0</v>
      </c>
      <c r="H80">
        <f>'Data-Kolom'!E80</f>
        <v>170</v>
      </c>
      <c r="I80">
        <f>'Data-Kolom'!F80</f>
        <v>800</v>
      </c>
      <c r="J80">
        <f>'Data-Kolom'!G80</f>
        <v>4500</v>
      </c>
      <c r="K80">
        <v>1</v>
      </c>
      <c r="M80">
        <f>IF(L80&gt;0,VLOOKUP(L80,'Data-PC'!$B$14:$F$36,4,FALSE),0)</f>
        <v>0</v>
      </c>
      <c r="N80">
        <f>'Data-Kolom'!H80</f>
        <v>14</v>
      </c>
      <c r="O80">
        <f>'Data-Kolom'!I80</f>
        <v>19</v>
      </c>
      <c r="P80">
        <f>IF(N80&gt;0,VLOOKUP(O80,$V$2:$X$9,2,FALSE),0)</f>
        <v>1190</v>
      </c>
      <c r="Q80">
        <f>IF(L80&gt;0,M80-50+$N$6*O80,VLOOKUP(O80,$V$2:$X$9,3,FALSE))</f>
        <v>910</v>
      </c>
      <c r="R80">
        <f>IF(E80="F",J80-$N$5+$N$6*O80+Q80,IF(E80="D",J80+Q80+P80,IF(E80="T",J80+P80,IF(E80="A",J80-$N$5+$N$6*O80,0))))</f>
        <v>5690</v>
      </c>
      <c r="T80">
        <f>SUM(R80:S80)</f>
        <v>5690</v>
      </c>
      <c r="U80">
        <f>K80*N80</f>
        <v>14</v>
      </c>
      <c r="V80">
        <f>'Data-Kolom'!J80</f>
        <v>0</v>
      </c>
      <c r="W80">
        <f>'Data-Kolom'!K80</f>
        <v>0</v>
      </c>
      <c r="X80">
        <f>IF(V80&gt;0,VLOOKUP(W80,$V$2:$X$9,2,FALSE),0)</f>
        <v>0</v>
      </c>
      <c r="Y80">
        <f>IF(V80&gt;0,IF(L80&gt;0,M80-50+$N$6*W80,VLOOKUP(W80,$V$2:$X$9,3,FALSE)),0)</f>
        <v>0</v>
      </c>
      <c r="Z80">
        <f>IF(E80="F",J80-$N$5+$N$6*W80+Y80,IF(E80="D",J80+Y80+X80,IF(E80="T",J80+X80,IF(E80="A",J80-$N$5+$N$6*W80,0))))</f>
        <v>4500</v>
      </c>
      <c r="AB80">
        <f>SUM(Z80:AA80)</f>
        <v>4500</v>
      </c>
      <c r="AC80">
        <f>V80*K80</f>
        <v>0</v>
      </c>
      <c r="AD80">
        <f>'Data-Kolom'!L80</f>
        <v>8</v>
      </c>
      <c r="AE80">
        <f>'Data-Kolom'!M80</f>
        <v>100</v>
      </c>
      <c r="AF80">
        <f>'Data-Kolom'!N80</f>
        <v>100</v>
      </c>
      <c r="AG80">
        <f>'Data-Kolom'!O80</f>
        <v>100</v>
      </c>
      <c r="AH80">
        <f>'Data-Kolom'!P80</f>
        <v>1</v>
      </c>
      <c r="AI80">
        <f>'Data-Kolom'!Q80</f>
        <v>8</v>
      </c>
      <c r="AJ80">
        <f>'Data-Kolom'!R80</f>
        <v>0</v>
      </c>
      <c r="AK80">
        <f>'Data-Kolom'!S80</f>
        <v>0</v>
      </c>
      <c r="AL80">
        <f>2*(H80+I80-4*$N$5)+2*MAX($F$5*AD80,75)</f>
        <v>1930</v>
      </c>
      <c r="AM80">
        <f>+AH80*(H80-2*$N$5+2*MAX($F$5*AI80,75))+AJ80*(I80-2*$N$5+2*MAX($F$5*AK80,75))</f>
        <v>280</v>
      </c>
      <c r="AN80">
        <f>(ROUND((1/2*J80+IF(M80&gt;0,(Q80-$N$6*AD80),0))/AE80,0)+(ROUND(1/2*J80/AF80,0)+1))*K80</f>
        <v>47</v>
      </c>
      <c r="AO80">
        <f>H80*I80*J80/1000000000*K80*(1+$T$5)</f>
        <v>0.612</v>
      </c>
      <c r="AP80">
        <f>0.006165*O80^2*T80*U80/1000*(1+$T$6)</f>
        <v>177.28850789999998</v>
      </c>
      <c r="AQ80">
        <f>0.006165*W80^2*AB80*AC80/1000*(1+$T$6)</f>
        <v>0</v>
      </c>
      <c r="AR80">
        <f>AN80*0.006165*AD80^2*AL80/1000*(1+$T$6)</f>
        <v>35.7905376</v>
      </c>
      <c r="AS80">
        <f>AN80*0.006165*AI80^2*AM80/1000*(1+$T$6)</f>
        <v>5.192409600000001</v>
      </c>
      <c r="AT80">
        <f>K80*2*J80*(H80+I80)/1000000*(1+$T$7)</f>
        <v>8.73</v>
      </c>
      <c r="AU80">
        <f>SUM(AP80:AS80)/AO80</f>
        <v>356.65270441176466</v>
      </c>
      <c r="AV80">
        <f>AT80/AO80</f>
        <v>14.264705882352942</v>
      </c>
      <c r="AX80">
        <f>0.006165*O80^2*R80*U80/1000*(1+$T$6)</f>
        <v>177.28850789999998</v>
      </c>
      <c r="AZ80">
        <f>0.006165*O80^2*S80*U80/1000*(1+$T$6)</f>
        <v>0</v>
      </c>
      <c r="BA80">
        <f>AZ80/AP80</f>
        <v>0</v>
      </c>
    </row>
    <row r="81">
      <c r="A81">
        <f>'Data-Kolom'!A81</f>
        <v>13</v>
      </c>
      <c r="B81" t="str">
        <f>'Data-Kolom'!B81</f>
        <v>Lantai 1</v>
      </c>
      <c r="C81">
        <f>'Data-Kolom'!C81</f>
        <v>0</v>
      </c>
      <c r="D81" t="str">
        <f>'Data-Kolom'!D81</f>
        <v>K175-2</v>
      </c>
      <c r="E81" t="str">
        <v>T</v>
      </c>
      <c r="F81">
        <f>'Data-Kolom'!U81</f>
        <v>0</v>
      </c>
      <c r="G81">
        <f>'Data-Kolom'!T81</f>
        <v>0</v>
      </c>
      <c r="H81">
        <f>'Data-Kolom'!E81</f>
        <v>170</v>
      </c>
      <c r="I81">
        <f>'Data-Kolom'!F81</f>
        <v>500</v>
      </c>
      <c r="J81">
        <f>'Data-Kolom'!G81</f>
        <v>4500</v>
      </c>
      <c r="K81">
        <v>1</v>
      </c>
      <c r="M81">
        <f>IF(L81&gt;0,VLOOKUP(L81,'Data-PC'!$B$14:$F$36,4,FALSE),0)</f>
        <v>0</v>
      </c>
      <c r="N81">
        <f>'Data-Kolom'!H81</f>
        <v>8</v>
      </c>
      <c r="O81">
        <f>'Data-Kolom'!I81</f>
        <v>16</v>
      </c>
      <c r="P81">
        <f>IF(N81&gt;0,VLOOKUP(O81,$V$2:$X$9,2,FALSE),0)</f>
        <v>1010</v>
      </c>
      <c r="Q81">
        <f>IF(L81&gt;0,M81-50+$N$6*O81,VLOOKUP(O81,$V$2:$X$9,3,FALSE))</f>
        <v>770</v>
      </c>
      <c r="R81">
        <f>IF(E81="F",J81-$N$5+$N$6*O81+Q81,IF(E81="D",J81+Q81+P81,IF(E81="T",J81+P81,IF(E81="A",J81-$N$5+$N$6*O81,0))))</f>
        <v>5510</v>
      </c>
      <c r="T81">
        <f>SUM(R81:S81)</f>
        <v>5510</v>
      </c>
      <c r="U81">
        <f>K81*N81</f>
        <v>8</v>
      </c>
      <c r="V81">
        <f>'Data-Kolom'!J81</f>
        <v>0</v>
      </c>
      <c r="W81">
        <f>'Data-Kolom'!K81</f>
        <v>0</v>
      </c>
      <c r="X81">
        <f>IF(V81&gt;0,VLOOKUP(W81,$V$2:$X$9,2,FALSE),0)</f>
        <v>0</v>
      </c>
      <c r="Y81">
        <f>IF(V81&gt;0,IF(L81&gt;0,M81-50+$N$6*W81,VLOOKUP(W81,$V$2:$X$9,3,FALSE)),0)</f>
        <v>0</v>
      </c>
      <c r="Z81">
        <f>IF(E81="F",J81-$N$5+$N$6*W81+Y81,IF(E81="D",J81+Y81+X81,IF(E81="T",J81+X81,IF(E81="A",J81-$N$5+$N$6*W81,0))))</f>
        <v>4500</v>
      </c>
      <c r="AB81">
        <f>SUM(Z81:AA81)</f>
        <v>4500</v>
      </c>
      <c r="AC81">
        <f>V81*K81</f>
        <v>0</v>
      </c>
      <c r="AD81">
        <f>'Data-Kolom'!L81</f>
        <v>8</v>
      </c>
      <c r="AE81">
        <f>'Data-Kolom'!M81</f>
        <v>100</v>
      </c>
      <c r="AF81">
        <f>'Data-Kolom'!N81</f>
        <v>100</v>
      </c>
      <c r="AG81">
        <f>'Data-Kolom'!O81</f>
        <v>100</v>
      </c>
      <c r="AH81">
        <f>'Data-Kolom'!P81</f>
        <v>0.5</v>
      </c>
      <c r="AI81">
        <f>'Data-Kolom'!Q81</f>
        <v>8</v>
      </c>
      <c r="AJ81">
        <f>'Data-Kolom'!R81</f>
        <v>0</v>
      </c>
      <c r="AK81">
        <f>'Data-Kolom'!S81</f>
        <v>0</v>
      </c>
      <c r="AL81">
        <f>2*(H81+I81-4*$N$5)+2*MAX($F$5*AD81,75)</f>
        <v>1330</v>
      </c>
      <c r="AM81">
        <f>+AH81*(H81-2*$N$5+2*MAX($F$5*AI81,75))+AJ81*(I81-2*$N$5+2*MAX($F$5*AK81,75))</f>
        <v>140</v>
      </c>
      <c r="AN81">
        <f>(ROUND((1/2*J81+IF(M81&gt;0,(Q81-$N$6*AD81),0))/AE81,0)+(ROUND(1/2*J81/AF81,0)+1))*K81</f>
        <v>47</v>
      </c>
      <c r="AO81">
        <f>H81*I81*J81/1000000000*K81*(1+$T$5)</f>
        <v>0.3825</v>
      </c>
      <c r="AP81">
        <f>0.006165*O81^2*T81*U81/1000*(1+$T$6)</f>
        <v>69.5688192</v>
      </c>
      <c r="AQ81">
        <f>0.006165*W81^2*AB81*AC81/1000*(1+$T$6)</f>
        <v>0</v>
      </c>
      <c r="AR81">
        <f>AN81*0.006165*AD81^2*AL81/1000*(1+$T$6)</f>
        <v>24.6639456</v>
      </c>
      <c r="AS81">
        <f>AN81*0.006165*AI81^2*AM81/1000*(1+$T$6)</f>
        <v>2.5962048000000006</v>
      </c>
      <c r="AT81">
        <f>K81*2*J81*(H81+I81)/1000000*(1+$T$7)</f>
        <v>6.03</v>
      </c>
      <c r="AU81">
        <f>SUM(AP81:AS81)/AO81</f>
        <v>253.14763294117645</v>
      </c>
      <c r="AV81">
        <f>AT81/AO81</f>
        <v>15.764705882352942</v>
      </c>
      <c r="AX81">
        <f>0.006165*O81^2*R81*U81/1000*(1+$T$6)</f>
        <v>69.5688192</v>
      </c>
      <c r="AZ81">
        <f>0.006165*O81^2*S81*U81/1000*(1+$T$6)</f>
        <v>0</v>
      </c>
      <c r="BA81">
        <f>AZ81/AP81</f>
        <v>0</v>
      </c>
    </row>
    <row r="82">
      <c r="A82">
        <f>'Data-Kolom'!A82</f>
        <v>14</v>
      </c>
      <c r="B82" t="str">
        <f>'Data-Kolom'!B82</f>
        <v>Lantai 1</v>
      </c>
      <c r="C82">
        <f>'Data-Kolom'!C82</f>
        <v>0</v>
      </c>
      <c r="D82" t="str">
        <f>'Data-Kolom'!D82</f>
        <v>K177-1</v>
      </c>
      <c r="E82" t="str">
        <v>T</v>
      </c>
      <c r="F82">
        <f>'Data-Kolom'!U82</f>
        <v>0</v>
      </c>
      <c r="G82">
        <f>'Data-Kolom'!T82</f>
        <v>0</v>
      </c>
      <c r="H82">
        <f>'Data-Kolom'!E82</f>
        <v>170</v>
      </c>
      <c r="I82">
        <f>'Data-Kolom'!F82</f>
        <v>700</v>
      </c>
      <c r="J82">
        <f>'Data-Kolom'!G82</f>
        <v>4500</v>
      </c>
      <c r="K82">
        <v>1</v>
      </c>
      <c r="M82">
        <f>IF(L82&gt;0,VLOOKUP(L82,'Data-PC'!$B$14:$F$36,4,FALSE),0)</f>
        <v>0</v>
      </c>
      <c r="N82">
        <f>'Data-Kolom'!H82</f>
        <v>10</v>
      </c>
      <c r="O82">
        <f>'Data-Kolom'!I82</f>
        <v>19</v>
      </c>
      <c r="P82">
        <f>IF(N82&gt;0,VLOOKUP(O82,$V$2:$X$9,2,FALSE),0)</f>
        <v>1190</v>
      </c>
      <c r="Q82">
        <f>IF(L82&gt;0,M82-50+$N$6*O82,VLOOKUP(O82,$V$2:$X$9,3,FALSE))</f>
        <v>910</v>
      </c>
      <c r="R82">
        <f>IF(E82="F",J82-$N$5+$N$6*O82+Q82,IF(E82="D",J82+Q82+P82,IF(E82="T",J82+P82,IF(E82="A",J82-$N$5+$N$6*O82,0))))</f>
        <v>5690</v>
      </c>
      <c r="T82">
        <f>SUM(R82:S82)</f>
        <v>5690</v>
      </c>
      <c r="U82">
        <f>K82*N82</f>
        <v>10</v>
      </c>
      <c r="V82">
        <f>'Data-Kolom'!J82</f>
        <v>0</v>
      </c>
      <c r="W82">
        <f>'Data-Kolom'!K82</f>
        <v>0</v>
      </c>
      <c r="X82">
        <f>IF(V82&gt;0,VLOOKUP(W82,$V$2:$X$9,2,FALSE),0)</f>
        <v>0</v>
      </c>
      <c r="Y82">
        <f>IF(V82&gt;0,IF(L82&gt;0,M82-50+$N$6*W82,VLOOKUP(W82,$V$2:$X$9,3,FALSE)),0)</f>
        <v>0</v>
      </c>
      <c r="Z82">
        <f>IF(E82="F",J82-$N$5+$N$6*W82+Y82,IF(E82="D",J82+Y82+X82,IF(E82="T",J82+X82,IF(E82="A",J82-$N$5+$N$6*W82,0))))</f>
        <v>4500</v>
      </c>
      <c r="AB82">
        <f>SUM(Z82:AA82)</f>
        <v>4500</v>
      </c>
      <c r="AC82">
        <f>V82*K82</f>
        <v>0</v>
      </c>
      <c r="AD82">
        <f>'Data-Kolom'!L82</f>
        <v>8</v>
      </c>
      <c r="AE82">
        <f>'Data-Kolom'!M82</f>
        <v>100</v>
      </c>
      <c r="AF82">
        <f>'Data-Kolom'!N82</f>
        <v>100</v>
      </c>
      <c r="AG82">
        <f>'Data-Kolom'!O82</f>
        <v>100</v>
      </c>
      <c r="AH82">
        <f>'Data-Kolom'!P82</f>
        <v>0.5</v>
      </c>
      <c r="AI82">
        <f>'Data-Kolom'!Q82</f>
        <v>8</v>
      </c>
      <c r="AJ82">
        <f>'Data-Kolom'!R82</f>
        <v>0</v>
      </c>
      <c r="AK82">
        <f>'Data-Kolom'!S82</f>
        <v>0</v>
      </c>
      <c r="AL82">
        <f>2*(H82+I82-4*$N$5)+2*MAX($F$5*AD82,75)</f>
        <v>1730</v>
      </c>
      <c r="AM82">
        <f>+AH82*(H82-2*$N$5+2*MAX($F$5*AI82,75))+AJ82*(I82-2*$N$5+2*MAX($F$5*AK82,75))</f>
        <v>140</v>
      </c>
      <c r="AN82">
        <f>(ROUND((1/2*J82+IF(M82&gt;0,(Q82-$N$6*AD82),0))/AE82,0)+(ROUND(1/2*J82/AF82,0)+1))*K82</f>
        <v>47</v>
      </c>
      <c r="AO82">
        <f>H82*I82*J82/1000000000*K82*(1+$T$5)</f>
        <v>0.5355</v>
      </c>
      <c r="AP82">
        <f>0.006165*O82^2*T82*U82/1000*(1+$T$6)</f>
        <v>126.63464850000001</v>
      </c>
      <c r="AQ82">
        <f>0.006165*W82^2*AB82*AC82/1000*(1+$T$6)</f>
        <v>0</v>
      </c>
      <c r="AR82">
        <f>AN82*0.006165*AD82^2*AL82/1000*(1+$T$6)</f>
        <v>32.0816736</v>
      </c>
      <c r="AS82">
        <f>AN82*0.006165*AI82^2*AM82/1000*(1+$T$6)</f>
        <v>2.5962048000000006</v>
      </c>
      <c r="AT82">
        <f>K82*2*J82*(H82+I82)/1000000*(1+$T$7)</f>
        <v>7.83</v>
      </c>
      <c r="AU82">
        <f>SUM(AP82:AS82)/AO82</f>
        <v>301.23721176470593</v>
      </c>
      <c r="AV82">
        <f>AT82/AO82</f>
        <v>14.6218487394958</v>
      </c>
      <c r="AX82">
        <f>0.006165*O82^2*R82*U82/1000*(1+$T$6)</f>
        <v>126.63464850000001</v>
      </c>
      <c r="AZ82">
        <f>0.006165*O82^2*S82*U82/1000*(1+$T$6)</f>
        <v>0</v>
      </c>
      <c r="BA82">
        <f>AZ82/AP82</f>
        <v>0</v>
      </c>
    </row>
    <row r="83">
      <c r="A83" t="str">
        <f>'Data-Kolom'!A83</f>
        <v>14A</v>
      </c>
      <c r="B83" t="str">
        <f>'Data-Kolom'!B83</f>
        <v>Lantai 1</v>
      </c>
      <c r="C83">
        <f>'Data-Kolom'!C83</f>
        <v>0</v>
      </c>
      <c r="D83" t="str">
        <f>'Data-Kolom'!D83</f>
        <v>K174-1</v>
      </c>
      <c r="E83" t="str">
        <v>T</v>
      </c>
      <c r="F83">
        <f>'Data-Kolom'!U83</f>
        <v>0</v>
      </c>
      <c r="G83">
        <f>'Data-Kolom'!T83</f>
        <v>0</v>
      </c>
      <c r="H83">
        <f>'Data-Kolom'!E83</f>
        <v>170</v>
      </c>
      <c r="I83">
        <f>'Data-Kolom'!F83</f>
        <v>400</v>
      </c>
      <c r="J83">
        <f>'Data-Kolom'!G83</f>
        <v>4500</v>
      </c>
      <c r="K83">
        <v>1</v>
      </c>
      <c r="M83">
        <f>IF(L83&gt;0,VLOOKUP(L83,'Data-PC'!$B$14:$F$36,4,FALSE),0)</f>
        <v>0</v>
      </c>
      <c r="N83">
        <f>'Data-Kolom'!H83</f>
        <v>8</v>
      </c>
      <c r="O83">
        <f>'Data-Kolom'!I83</f>
        <v>13</v>
      </c>
      <c r="P83">
        <f>IF(N83&gt;0,VLOOKUP(O83,$V$2:$X$9,2,FALSE),0)</f>
        <v>820</v>
      </c>
      <c r="Q83">
        <f>IF(L83&gt;0,M83-50+$N$6*O83,VLOOKUP(O83,$V$2:$X$9,3,FALSE))</f>
        <v>630</v>
      </c>
      <c r="R83">
        <f>IF(E83="F",J83-$N$5+$N$6*O83+Q83,IF(E83="D",J83+Q83+P83,IF(E83="T",J83+P83,IF(E83="A",J83-$N$5+$N$6*O83,0))))</f>
        <v>5320</v>
      </c>
      <c r="T83">
        <f>SUM(R83:S83)</f>
        <v>5320</v>
      </c>
      <c r="U83">
        <f>K83*N83</f>
        <v>8</v>
      </c>
      <c r="V83">
        <f>'Data-Kolom'!J83</f>
        <v>0</v>
      </c>
      <c r="W83">
        <f>'Data-Kolom'!K83</f>
        <v>0</v>
      </c>
      <c r="X83">
        <f>IF(V83&gt;0,VLOOKUP(W83,$V$2:$X$9,2,FALSE),0)</f>
        <v>0</v>
      </c>
      <c r="Y83">
        <f>IF(V83&gt;0,IF(L83&gt;0,M83-50+$N$6*W83,VLOOKUP(W83,$V$2:$X$9,3,FALSE)),0)</f>
        <v>0</v>
      </c>
      <c r="Z83">
        <f>IF(E83="F",J83-$N$5+$N$6*W83+Y83,IF(E83="D",J83+Y83+X83,IF(E83="T",J83+X83,IF(E83="A",J83-$N$5+$N$6*W83,0))))</f>
        <v>4500</v>
      </c>
      <c r="AB83">
        <f>SUM(Z83:AA83)</f>
        <v>4500</v>
      </c>
      <c r="AC83">
        <f>V83*K83</f>
        <v>0</v>
      </c>
      <c r="AD83">
        <f>'Data-Kolom'!L83</f>
        <v>8</v>
      </c>
      <c r="AE83">
        <f>'Data-Kolom'!M83</f>
        <v>100</v>
      </c>
      <c r="AF83">
        <f>'Data-Kolom'!N83</f>
        <v>100</v>
      </c>
      <c r="AG83">
        <f>'Data-Kolom'!O83</f>
        <v>100</v>
      </c>
      <c r="AH83">
        <f>'Data-Kolom'!P83</f>
        <v>0</v>
      </c>
      <c r="AI83">
        <f>'Data-Kolom'!Q83</f>
        <v>0</v>
      </c>
      <c r="AJ83">
        <f>'Data-Kolom'!R83</f>
        <v>0</v>
      </c>
      <c r="AK83">
        <f>'Data-Kolom'!S83</f>
        <v>0</v>
      </c>
      <c r="AL83">
        <f>2*(H83+I83-4*$N$5)+2*MAX($F$5*AD83,75)</f>
        <v>1130</v>
      </c>
      <c r="AM83">
        <f>+AH83*(H83-2*$N$5+2*MAX($F$5*AI83,75))+AJ83*(I83-2*$N$5+2*MAX($F$5*AK83,75))</f>
        <v>0</v>
      </c>
      <c r="AN83">
        <f>(ROUND((1/2*J83+IF(M83&gt;0,(Q83-$N$6*AD83),0))/AE83,0)+(ROUND(1/2*J83/AF83,0)+1))*K83</f>
        <v>47</v>
      </c>
      <c r="AO83">
        <f>H83*I83*J83/1000000000*K83*(1+$T$5)</f>
        <v>0.306</v>
      </c>
      <c r="AP83">
        <f>0.006165*O83^2*T83*U83/1000*(1+$T$6)</f>
        <v>44.3426256</v>
      </c>
      <c r="AQ83">
        <f>0.006165*W83^2*AB83*AC83/1000*(1+$T$6)</f>
        <v>0</v>
      </c>
      <c r="AR83">
        <f>AN83*0.006165*AD83^2*AL83/1000*(1+$T$6)</f>
        <v>20.9550816</v>
      </c>
      <c r="AS83">
        <f>AN83*0.006165*AI83^2*AM83/1000*(1+$T$6)</f>
        <v>0</v>
      </c>
      <c r="AT83">
        <f>K83*2*J83*(H83+I83)/1000000*(1+$T$7)</f>
        <v>5.13</v>
      </c>
      <c r="AU83">
        <f>SUM(AP83:AS83)/AO83</f>
        <v>213.39119999999997</v>
      </c>
      <c r="AV83">
        <f>AT83/AO83</f>
        <v>16.764705882352942</v>
      </c>
      <c r="AX83">
        <f>0.006165*O83^2*R83*U83/1000*(1+$T$6)</f>
        <v>44.3426256</v>
      </c>
      <c r="AZ83">
        <f>0.006165*O83^2*S83*U83/1000*(1+$T$6)</f>
        <v>0</v>
      </c>
      <c r="BA83">
        <f>AZ83/AP83</f>
        <v>0</v>
      </c>
    </row>
    <row r="84">
      <c r="A84">
        <f>'Data-Kolom'!A84</f>
        <v>15</v>
      </c>
      <c r="B84" t="str">
        <f>'Data-Kolom'!B84</f>
        <v>Lantai 1</v>
      </c>
      <c r="C84">
        <f>'Data-Kolom'!C84</f>
        <v>0</v>
      </c>
      <c r="D84" t="str">
        <f>'Data-Kolom'!D84</f>
        <v>K178-1</v>
      </c>
      <c r="E84" t="str">
        <v>T</v>
      </c>
      <c r="F84">
        <f>'Data-Kolom'!U84</f>
        <v>0</v>
      </c>
      <c r="G84">
        <f>'Data-Kolom'!T84</f>
        <v>0</v>
      </c>
      <c r="H84">
        <f>'Data-Kolom'!E84</f>
        <v>170</v>
      </c>
      <c r="I84">
        <f>'Data-Kolom'!F84</f>
        <v>800</v>
      </c>
      <c r="J84">
        <f>'Data-Kolom'!G84</f>
        <v>4500</v>
      </c>
      <c r="K84">
        <v>1</v>
      </c>
      <c r="M84">
        <f>IF(L84&gt;0,VLOOKUP(L84,'Data-PC'!$B$14:$F$36,4,FALSE),0)</f>
        <v>0</v>
      </c>
      <c r="N84">
        <f>'Data-Kolom'!H84</f>
        <v>8</v>
      </c>
      <c r="O84">
        <f>'Data-Kolom'!I84</f>
        <v>16</v>
      </c>
      <c r="P84">
        <f>IF(N84&gt;0,VLOOKUP(O84,$V$2:$X$9,2,FALSE),0)</f>
        <v>1010</v>
      </c>
      <c r="Q84">
        <f>IF(L84&gt;0,M84-50+$N$6*O84,VLOOKUP(O84,$V$2:$X$9,3,FALSE))</f>
        <v>770</v>
      </c>
      <c r="R84">
        <f>IF(E84="F",J84-$N$5+$N$6*O84+Q84,IF(E84="D",J84+Q84+P84,IF(E84="T",J84+P84,IF(E84="A",J84-$N$5+$N$6*O84,0))))</f>
        <v>5510</v>
      </c>
      <c r="T84">
        <f>SUM(R84:S84)</f>
        <v>5510</v>
      </c>
      <c r="U84">
        <f>K84*N84</f>
        <v>8</v>
      </c>
      <c r="V84">
        <f>'Data-Kolom'!J84</f>
        <v>0</v>
      </c>
      <c r="W84">
        <f>'Data-Kolom'!K84</f>
        <v>0</v>
      </c>
      <c r="X84">
        <f>IF(V84&gt;0,VLOOKUP(W84,$V$2:$X$9,2,FALSE),0)</f>
        <v>0</v>
      </c>
      <c r="Y84">
        <f>IF(V84&gt;0,IF(L84&gt;0,M84-50+$N$6*W84,VLOOKUP(W84,$V$2:$X$9,3,FALSE)),0)</f>
        <v>0</v>
      </c>
      <c r="Z84">
        <f>IF(E84="F",J84-$N$5+$N$6*W84+Y84,IF(E84="D",J84+Y84+X84,IF(E84="T",J84+X84,IF(E84="A",J84-$N$5+$N$6*W84,0))))</f>
        <v>4500</v>
      </c>
      <c r="AB84">
        <f>SUM(Z84:AA84)</f>
        <v>4500</v>
      </c>
      <c r="AC84">
        <f>V84*K84</f>
        <v>0</v>
      </c>
      <c r="AD84">
        <f>'Data-Kolom'!L84</f>
        <v>8</v>
      </c>
      <c r="AE84">
        <f>'Data-Kolom'!M84</f>
        <v>100</v>
      </c>
      <c r="AF84">
        <f>'Data-Kolom'!N84</f>
        <v>100</v>
      </c>
      <c r="AG84">
        <f>'Data-Kolom'!O84</f>
        <v>100</v>
      </c>
      <c r="AH84">
        <f>'Data-Kolom'!P84</f>
        <v>1</v>
      </c>
      <c r="AI84">
        <f>'Data-Kolom'!Q84</f>
        <v>8</v>
      </c>
      <c r="AJ84">
        <f>'Data-Kolom'!R84</f>
        <v>0</v>
      </c>
      <c r="AK84">
        <f>'Data-Kolom'!S84</f>
        <v>0</v>
      </c>
      <c r="AL84">
        <f>2*(H84+I84-4*$N$5)+2*MAX($F$5*AD84,75)</f>
        <v>1930</v>
      </c>
      <c r="AM84">
        <f>+AH84*(H84-2*$N$5+2*MAX($F$5*AI84,75))+AJ84*(I84-2*$N$5+2*MAX($F$5*AK84,75))</f>
        <v>280</v>
      </c>
      <c r="AN84">
        <f>(ROUND((1/2*J84+IF(M84&gt;0,(Q84-$N$6*AD84),0))/AE84,0)+(ROUND(1/2*J84/AF84,0)+1))*K84</f>
        <v>47</v>
      </c>
      <c r="AO84">
        <f>H84*I84*J84/1000000000*K84*(1+$T$5)</f>
        <v>0.612</v>
      </c>
      <c r="AP84">
        <f>0.006165*O84^2*T84*U84/1000*(1+$T$6)</f>
        <v>69.5688192</v>
      </c>
      <c r="AQ84">
        <f>0.006165*W84^2*AB84*AC84/1000*(1+$T$6)</f>
        <v>0</v>
      </c>
      <c r="AR84">
        <f>AN84*0.006165*AD84^2*AL84/1000*(1+$T$6)</f>
        <v>35.7905376</v>
      </c>
      <c r="AS84">
        <f>AN84*0.006165*AI84^2*AM84/1000*(1+$T$6)</f>
        <v>5.192409600000001</v>
      </c>
      <c r="AT84">
        <f>K84*2*J84*(H84+I84)/1000000*(1+$T$7)</f>
        <v>8.73</v>
      </c>
      <c r="AU84">
        <f>SUM(AP84:AS84)/AO84</f>
        <v>180.6401411764706</v>
      </c>
      <c r="AV84">
        <f>AT84/AO84</f>
        <v>14.264705882352942</v>
      </c>
      <c r="AX84">
        <f>0.006165*O84^2*R84*U84/1000*(1+$T$6)</f>
        <v>69.5688192</v>
      </c>
      <c r="AZ84">
        <f>0.006165*O84^2*S84*U84/1000*(1+$T$6)</f>
        <v>0</v>
      </c>
      <c r="BA84">
        <f>AZ84/AP84</f>
        <v>0</v>
      </c>
    </row>
    <row r="85">
      <c r="A85">
        <f>'Data-Kolom'!A85</f>
        <v>16</v>
      </c>
      <c r="B85" t="str">
        <f>'Data-Kolom'!B85</f>
        <v>Lantai 1</v>
      </c>
      <c r="C85">
        <f>'Data-Kolom'!C85</f>
        <v>0</v>
      </c>
      <c r="D85" t="str">
        <f>'Data-Kolom'!D85</f>
        <v>K175-2</v>
      </c>
      <c r="E85" t="str">
        <v>T</v>
      </c>
      <c r="F85">
        <f>'Data-Kolom'!U85</f>
        <v>0</v>
      </c>
      <c r="G85">
        <f>'Data-Kolom'!T85</f>
        <v>0</v>
      </c>
      <c r="H85">
        <f>'Data-Kolom'!E85</f>
        <v>170</v>
      </c>
      <c r="I85">
        <f>'Data-Kolom'!F85</f>
        <v>500</v>
      </c>
      <c r="J85">
        <f>'Data-Kolom'!G85</f>
        <v>4500</v>
      </c>
      <c r="K85">
        <v>1</v>
      </c>
      <c r="M85">
        <f>IF(L85&gt;0,VLOOKUP(L85,'Data-PC'!$B$14:$F$36,4,FALSE),0)</f>
        <v>0</v>
      </c>
      <c r="N85">
        <f>'Data-Kolom'!H85</f>
        <v>8</v>
      </c>
      <c r="O85">
        <f>'Data-Kolom'!I85</f>
        <v>16</v>
      </c>
      <c r="P85">
        <f>IF(N85&gt;0,VLOOKUP(O85,$V$2:$X$9,2,FALSE),0)</f>
        <v>1010</v>
      </c>
      <c r="Q85">
        <f>IF(L85&gt;0,M85-50+$N$6*O85,VLOOKUP(O85,$V$2:$X$9,3,FALSE))</f>
        <v>770</v>
      </c>
      <c r="R85">
        <f>IF(E85="F",J85-$N$5+$N$6*O85+Q85,IF(E85="D",J85+Q85+P85,IF(E85="T",J85+P85,IF(E85="A",J85-$N$5+$N$6*O85,0))))</f>
        <v>5510</v>
      </c>
      <c r="T85">
        <f>SUM(R85:S85)</f>
        <v>5510</v>
      </c>
      <c r="U85">
        <f>K85*N85</f>
        <v>8</v>
      </c>
      <c r="V85">
        <f>'Data-Kolom'!J85</f>
        <v>0</v>
      </c>
      <c r="W85">
        <f>'Data-Kolom'!K85</f>
        <v>0</v>
      </c>
      <c r="X85">
        <f>IF(V85&gt;0,VLOOKUP(W85,$V$2:$X$9,2,FALSE),0)</f>
        <v>0</v>
      </c>
      <c r="Y85">
        <f>IF(V85&gt;0,IF(L85&gt;0,M85-50+$N$6*W85,VLOOKUP(W85,$V$2:$X$9,3,FALSE)),0)</f>
        <v>0</v>
      </c>
      <c r="Z85">
        <f>IF(E85="F",J85-$N$5+$N$6*W85+Y85,IF(E85="D",J85+Y85+X85,IF(E85="T",J85+X85,IF(E85="A",J85-$N$5+$N$6*W85,0))))</f>
        <v>4500</v>
      </c>
      <c r="AB85">
        <f>SUM(Z85:AA85)</f>
        <v>4500</v>
      </c>
      <c r="AC85">
        <f>V85*K85</f>
        <v>0</v>
      </c>
      <c r="AD85">
        <f>'Data-Kolom'!L85</f>
        <v>8</v>
      </c>
      <c r="AE85">
        <f>'Data-Kolom'!M85</f>
        <v>100</v>
      </c>
      <c r="AF85">
        <f>'Data-Kolom'!N85</f>
        <v>100</v>
      </c>
      <c r="AG85">
        <f>'Data-Kolom'!O85</f>
        <v>100</v>
      </c>
      <c r="AH85">
        <f>'Data-Kolom'!P85</f>
        <v>0.5</v>
      </c>
      <c r="AI85">
        <f>'Data-Kolom'!Q85</f>
        <v>8</v>
      </c>
      <c r="AJ85">
        <f>'Data-Kolom'!R85</f>
        <v>0</v>
      </c>
      <c r="AK85">
        <f>'Data-Kolom'!S85</f>
        <v>0</v>
      </c>
      <c r="AL85">
        <f>2*(H85+I85-4*$N$5)+2*MAX($F$5*AD85,75)</f>
        <v>1330</v>
      </c>
      <c r="AM85">
        <f>+AH85*(H85-2*$N$5+2*MAX($F$5*AI85,75))+AJ85*(I85-2*$N$5+2*MAX($F$5*AK85,75))</f>
        <v>140</v>
      </c>
      <c r="AN85">
        <f>(ROUND((1/2*J85+IF(M85&gt;0,(Q85-$N$6*AD85),0))/AE85,0)+(ROUND(1/2*J85/AF85,0)+1))*K85</f>
        <v>47</v>
      </c>
      <c r="AO85">
        <f>H85*I85*J85/1000000000*K85*(1+$T$5)</f>
        <v>0.3825</v>
      </c>
      <c r="AP85">
        <f>0.006165*O85^2*T85*U85/1000*(1+$T$6)</f>
        <v>69.5688192</v>
      </c>
      <c r="AQ85">
        <f>0.006165*W85^2*AB85*AC85/1000*(1+$T$6)</f>
        <v>0</v>
      </c>
      <c r="AR85">
        <f>AN85*0.006165*AD85^2*AL85/1000*(1+$T$6)</f>
        <v>24.6639456</v>
      </c>
      <c r="AS85">
        <f>AN85*0.006165*AI85^2*AM85/1000*(1+$T$6)</f>
        <v>2.5962048000000006</v>
      </c>
      <c r="AT85">
        <f>K85*2*J85*(H85+I85)/1000000*(1+$T$7)</f>
        <v>6.03</v>
      </c>
      <c r="AU85">
        <f>SUM(AP85:AS85)/AO85</f>
        <v>253.14763294117645</v>
      </c>
      <c r="AV85">
        <f>AT85/AO85</f>
        <v>15.764705882352942</v>
      </c>
      <c r="AX85">
        <f>0.006165*O85^2*R85*U85/1000*(1+$T$6)</f>
        <v>69.5688192</v>
      </c>
      <c r="AZ85">
        <f>0.006165*O85^2*S85*U85/1000*(1+$T$6)</f>
        <v>0</v>
      </c>
      <c r="BA85">
        <f>AZ85/AP85</f>
        <v>0</v>
      </c>
    </row>
    <row r="86">
      <c r="A86">
        <f>'Data-Kolom'!A86</f>
        <v>18</v>
      </c>
      <c r="B86" t="str">
        <f>'Data-Kolom'!B86</f>
        <v>Lantai 1</v>
      </c>
      <c r="C86">
        <f>'Data-Kolom'!C86</f>
        <v>0</v>
      </c>
      <c r="D86" t="str">
        <f>'Data-Kolom'!D86</f>
        <v>K175-4</v>
      </c>
      <c r="E86" t="str">
        <v>T</v>
      </c>
      <c r="F86">
        <f>'Data-Kolom'!U86</f>
        <v>0</v>
      </c>
      <c r="G86">
        <f>'Data-Kolom'!T86</f>
        <v>0</v>
      </c>
      <c r="H86">
        <f>'Data-Kolom'!E86</f>
        <v>170</v>
      </c>
      <c r="I86">
        <f>'Data-Kolom'!F86</f>
        <v>500</v>
      </c>
      <c r="J86">
        <f>'Data-Kolom'!G86</f>
        <v>4500</v>
      </c>
      <c r="K86">
        <v>1</v>
      </c>
      <c r="M86">
        <f>IF(L86&gt;0,VLOOKUP(L86,'Data-PC'!$B$14:$F$36,4,FALSE),0)</f>
        <v>0</v>
      </c>
      <c r="N86">
        <f>'Data-Kolom'!H86</f>
        <v>8</v>
      </c>
      <c r="O86">
        <f>'Data-Kolom'!I86</f>
        <v>19</v>
      </c>
      <c r="P86">
        <f>IF(N86&gt;0,VLOOKUP(O86,$V$2:$X$9,2,FALSE),0)</f>
        <v>1190</v>
      </c>
      <c r="Q86">
        <f>IF(L86&gt;0,M86-50+$N$6*O86,VLOOKUP(O86,$V$2:$X$9,3,FALSE))</f>
        <v>910</v>
      </c>
      <c r="R86">
        <f>IF(E86="F",J86-$N$5+$N$6*O86+Q86,IF(E86="D",J86+Q86+P86,IF(E86="T",J86+P86,IF(E86="A",J86-$N$5+$N$6*O86,0))))</f>
        <v>5690</v>
      </c>
      <c r="T86">
        <f>SUM(R86:S86)</f>
        <v>5690</v>
      </c>
      <c r="U86">
        <f>K86*N86</f>
        <v>8</v>
      </c>
      <c r="V86">
        <f>'Data-Kolom'!J86</f>
        <v>2</v>
      </c>
      <c r="W86">
        <f>'Data-Kolom'!K86</f>
        <v>8</v>
      </c>
      <c r="X86">
        <f>IF(V86&gt;0,VLOOKUP(W86,$V$2:$X$9,2,FALSE),0)</f>
        <v>400</v>
      </c>
      <c r="Y86">
        <f>IF(V86&gt;0,IF(L86&gt;0,M86-50+$N$6*W86,VLOOKUP(W86,$V$2:$X$9,3,FALSE)),0)</f>
        <v>310</v>
      </c>
      <c r="Z86">
        <f>IF(E86="F",J86-$N$5+$N$6*W86+Y86,IF(E86="D",J86+Y86+X86,IF(E86="T",J86+X86,IF(E86="A",J86-$N$5+$N$6*W86,0))))</f>
        <v>4900</v>
      </c>
      <c r="AB86">
        <f>SUM(Z86:AA86)</f>
        <v>4900</v>
      </c>
      <c r="AC86">
        <f>V86*K86</f>
        <v>2</v>
      </c>
      <c r="AD86">
        <f>'Data-Kolom'!L86</f>
        <v>10</v>
      </c>
      <c r="AE86">
        <f>'Data-Kolom'!M86</f>
        <v>100</v>
      </c>
      <c r="AF86">
        <f>'Data-Kolom'!N86</f>
        <v>100</v>
      </c>
      <c r="AG86">
        <f>'Data-Kolom'!O86</f>
        <v>100</v>
      </c>
      <c r="AH86">
        <f>'Data-Kolom'!P86</f>
        <v>0.5</v>
      </c>
      <c r="AI86">
        <f>'Data-Kolom'!Q86</f>
        <v>8</v>
      </c>
      <c r="AJ86">
        <f>'Data-Kolom'!R86</f>
        <v>0</v>
      </c>
      <c r="AK86">
        <f>'Data-Kolom'!S86</f>
        <v>0</v>
      </c>
      <c r="AL86">
        <f>2*(H86+I86-4*$N$5)+2*MAX($F$5*AD86,75)</f>
        <v>1330</v>
      </c>
      <c r="AM86">
        <f>+AH86*(H86-2*$N$5+2*MAX($F$5*AI86,75))+AJ86*(I86-2*$N$5+2*MAX($F$5*AK86,75))</f>
        <v>140</v>
      </c>
      <c r="AN86">
        <f>(ROUND((1/2*J86+IF(M86&gt;0,(Q86-$N$6*AD86),0))/AE86,0)+(ROUND(1/2*J86/AF86,0)+1))*K86</f>
        <v>47</v>
      </c>
      <c r="AO86">
        <f>H86*I86*J86/1000000000*K86*(1+$T$5)</f>
        <v>0.3825</v>
      </c>
      <c r="AP86">
        <f>0.006165*O86^2*T86*U86/1000*(1+$T$6)</f>
        <v>101.3077188</v>
      </c>
      <c r="AQ86">
        <f>0.006165*W86^2*AB86*AC86/1000*(1+$T$6)</f>
        <v>3.866688</v>
      </c>
      <c r="AR86">
        <f>AN86*0.006165*AD86^2*AL86/1000*(1+$T$6)</f>
        <v>38.53741500000001</v>
      </c>
      <c r="AS86">
        <f>AN86*0.006165*AI86^2*AM86/1000*(1+$T$6)</f>
        <v>2.5962048000000006</v>
      </c>
      <c r="AT86">
        <f>K86*2*J86*(H86+I86)/1000000*(1+$T$7)</f>
        <v>6.03</v>
      </c>
      <c r="AU86">
        <f>SUM(AP86:AS86)/AO86</f>
        <v>382.50464470588236</v>
      </c>
      <c r="AV86">
        <f>AT86/AO86</f>
        <v>15.764705882352942</v>
      </c>
      <c r="AX86">
        <f>0.006165*O86^2*R86*U86/1000*(1+$T$6)</f>
        <v>101.3077188</v>
      </c>
      <c r="AZ86">
        <f>0.006165*O86^2*S86*U86/1000*(1+$T$6)</f>
        <v>0</v>
      </c>
      <c r="BA86">
        <f>AZ86/AP86</f>
        <v>0</v>
      </c>
    </row>
    <row r="87">
      <c r="A87">
        <f>'Data-Kolom'!A87</f>
        <v>19</v>
      </c>
      <c r="B87" t="str">
        <f>'Data-Kolom'!B87</f>
        <v>Lantai 1</v>
      </c>
      <c r="C87">
        <f>'Data-Kolom'!C87</f>
        <v>0</v>
      </c>
      <c r="D87" t="str">
        <f>'Data-Kolom'!D87</f>
        <v>K178-1</v>
      </c>
      <c r="E87" t="str">
        <v>T</v>
      </c>
      <c r="F87">
        <f>'Data-Kolom'!U87</f>
        <v>0</v>
      </c>
      <c r="G87">
        <f>'Data-Kolom'!T87</f>
        <v>0</v>
      </c>
      <c r="H87">
        <f>'Data-Kolom'!E87</f>
        <v>170</v>
      </c>
      <c r="I87">
        <f>'Data-Kolom'!F87</f>
        <v>800</v>
      </c>
      <c r="J87">
        <f>'Data-Kolom'!G87</f>
        <v>4500</v>
      </c>
      <c r="K87">
        <v>1</v>
      </c>
      <c r="M87">
        <f>IF(L87&gt;0,VLOOKUP(L87,'Data-PC'!$B$14:$F$36,4,FALSE),0)</f>
        <v>0</v>
      </c>
      <c r="N87">
        <f>'Data-Kolom'!H87</f>
        <v>8</v>
      </c>
      <c r="O87">
        <f>'Data-Kolom'!I87</f>
        <v>16</v>
      </c>
      <c r="P87">
        <f>IF(N87&gt;0,VLOOKUP(O87,$V$2:$X$9,2,FALSE),0)</f>
        <v>1010</v>
      </c>
      <c r="Q87">
        <f>IF(L87&gt;0,M87-50+$N$6*O87,VLOOKUP(O87,$V$2:$X$9,3,FALSE))</f>
        <v>770</v>
      </c>
      <c r="R87">
        <f>IF(E87="F",J87-$N$5+$N$6*O87+Q87,IF(E87="D",J87+Q87+P87,IF(E87="T",J87+P87,IF(E87="A",J87-$N$5+$N$6*O87,0))))</f>
        <v>5510</v>
      </c>
      <c r="T87">
        <f>SUM(R87:S87)</f>
        <v>5510</v>
      </c>
      <c r="U87">
        <f>K87*N87</f>
        <v>8</v>
      </c>
      <c r="V87">
        <f>'Data-Kolom'!J87</f>
        <v>0</v>
      </c>
      <c r="W87">
        <f>'Data-Kolom'!K87</f>
        <v>0</v>
      </c>
      <c r="X87">
        <f>IF(V87&gt;0,VLOOKUP(W87,$V$2:$X$9,2,FALSE),0)</f>
        <v>0</v>
      </c>
      <c r="Y87">
        <f>IF(V87&gt;0,IF(L87&gt;0,M87-50+$N$6*W87,VLOOKUP(W87,$V$2:$X$9,3,FALSE)),0)</f>
        <v>0</v>
      </c>
      <c r="Z87">
        <f>IF(E87="F",J87-$N$5+$N$6*W87+Y87,IF(E87="D",J87+Y87+X87,IF(E87="T",J87+X87,IF(E87="A",J87-$N$5+$N$6*W87,0))))</f>
        <v>4500</v>
      </c>
      <c r="AB87">
        <f>SUM(Z87:AA87)</f>
        <v>4500</v>
      </c>
      <c r="AC87">
        <f>V87*K87</f>
        <v>0</v>
      </c>
      <c r="AD87">
        <f>'Data-Kolom'!L87</f>
        <v>8</v>
      </c>
      <c r="AE87">
        <f>'Data-Kolom'!M87</f>
        <v>100</v>
      </c>
      <c r="AF87">
        <f>'Data-Kolom'!N87</f>
        <v>100</v>
      </c>
      <c r="AG87">
        <f>'Data-Kolom'!O87</f>
        <v>100</v>
      </c>
      <c r="AH87">
        <f>'Data-Kolom'!P87</f>
        <v>1</v>
      </c>
      <c r="AI87">
        <f>'Data-Kolom'!Q87</f>
        <v>8</v>
      </c>
      <c r="AJ87">
        <f>'Data-Kolom'!R87</f>
        <v>0</v>
      </c>
      <c r="AK87">
        <f>'Data-Kolom'!S87</f>
        <v>0</v>
      </c>
      <c r="AL87">
        <f>2*(H87+I87-4*$N$5)+2*MAX($F$5*AD87,75)</f>
        <v>1930</v>
      </c>
      <c r="AM87">
        <f>+AH87*(H87-2*$N$5+2*MAX($F$5*AI87,75))+AJ87*(I87-2*$N$5+2*MAX($F$5*AK87,75))</f>
        <v>280</v>
      </c>
      <c r="AN87">
        <f>(ROUND((1/2*J87+IF(M87&gt;0,(Q87-$N$6*AD87),0))/AE87,0)+(ROUND(1/2*J87/AF87,0)+1))*K87</f>
        <v>47</v>
      </c>
      <c r="AO87">
        <f>H87*I87*J87/1000000000*K87*(1+$T$5)</f>
        <v>0.612</v>
      </c>
      <c r="AP87">
        <f>0.006165*O87^2*T87*U87/1000*(1+$T$6)</f>
        <v>69.5688192</v>
      </c>
      <c r="AQ87">
        <f>0.006165*W87^2*AB87*AC87/1000*(1+$T$6)</f>
        <v>0</v>
      </c>
      <c r="AR87">
        <f>AN87*0.006165*AD87^2*AL87/1000*(1+$T$6)</f>
        <v>35.7905376</v>
      </c>
      <c r="AS87">
        <f>AN87*0.006165*AI87^2*AM87/1000*(1+$T$6)</f>
        <v>5.192409600000001</v>
      </c>
      <c r="AT87">
        <f>K87*2*J87*(H87+I87)/1000000*(1+$T$7)</f>
        <v>8.73</v>
      </c>
      <c r="AU87">
        <f>SUM(AP87:AS87)/AO87</f>
        <v>180.6401411764706</v>
      </c>
      <c r="AV87">
        <f>AT87/AO87</f>
        <v>14.264705882352942</v>
      </c>
      <c r="AX87">
        <f>0.006165*O87^2*R87*U87/1000*(1+$T$6)</f>
        <v>69.5688192</v>
      </c>
      <c r="AZ87">
        <f>0.006165*O87^2*S87*U87/1000*(1+$T$6)</f>
        <v>0</v>
      </c>
      <c r="BA87">
        <f>AZ87/AP87</f>
        <v>0</v>
      </c>
    </row>
    <row r="88">
      <c r="A88">
        <f>'Data-Kolom'!A88</f>
        <v>20</v>
      </c>
      <c r="B88" t="str">
        <f>'Data-Kolom'!B88</f>
        <v>Lantai 1</v>
      </c>
      <c r="C88">
        <f>'Data-Kolom'!C88</f>
        <v>0</v>
      </c>
      <c r="D88" t="str">
        <f>'Data-Kolom'!D88</f>
        <v>K174-1</v>
      </c>
      <c r="E88" t="str">
        <v>T</v>
      </c>
      <c r="F88">
        <f>'Data-Kolom'!U88</f>
        <v>0</v>
      </c>
      <c r="G88">
        <f>'Data-Kolom'!T88</f>
        <v>0</v>
      </c>
      <c r="H88">
        <f>'Data-Kolom'!E88</f>
        <v>170</v>
      </c>
      <c r="I88">
        <f>'Data-Kolom'!F88</f>
        <v>400</v>
      </c>
      <c r="J88">
        <f>'Data-Kolom'!G88</f>
        <v>4500</v>
      </c>
      <c r="K88">
        <v>1</v>
      </c>
      <c r="M88">
        <f>IF(L88&gt;0,VLOOKUP(L88,'Data-PC'!$B$14:$F$36,4,FALSE),0)</f>
        <v>0</v>
      </c>
      <c r="N88">
        <f>'Data-Kolom'!H88</f>
        <v>8</v>
      </c>
      <c r="O88">
        <f>'Data-Kolom'!I88</f>
        <v>13</v>
      </c>
      <c r="P88">
        <f>IF(N88&gt;0,VLOOKUP(O88,$V$2:$X$9,2,FALSE),0)</f>
        <v>820</v>
      </c>
      <c r="Q88">
        <f>IF(L88&gt;0,M88-50+$N$6*O88,VLOOKUP(O88,$V$2:$X$9,3,FALSE))</f>
        <v>630</v>
      </c>
      <c r="R88">
        <f>IF(E88="F",J88-$N$5+$N$6*O88+Q88,IF(E88="D",J88+Q88+P88,IF(E88="T",J88+P88,IF(E88="A",J88-$N$5+$N$6*O88,0))))</f>
        <v>5320</v>
      </c>
      <c r="T88">
        <f>SUM(R88:S88)</f>
        <v>5320</v>
      </c>
      <c r="U88">
        <f>K88*N88</f>
        <v>8</v>
      </c>
      <c r="V88">
        <f>'Data-Kolom'!J88</f>
        <v>0</v>
      </c>
      <c r="W88">
        <f>'Data-Kolom'!K88</f>
        <v>0</v>
      </c>
      <c r="X88">
        <f>IF(V88&gt;0,VLOOKUP(W88,$V$2:$X$9,2,FALSE),0)</f>
        <v>0</v>
      </c>
      <c r="Y88">
        <f>IF(V88&gt;0,IF(L88&gt;0,M88-50+$N$6*W88,VLOOKUP(W88,$V$2:$X$9,3,FALSE)),0)</f>
        <v>0</v>
      </c>
      <c r="Z88">
        <f>IF(E88="F",J88-$N$5+$N$6*W88+Y88,IF(E88="D",J88+Y88+X88,IF(E88="T",J88+X88,IF(E88="A",J88-$N$5+$N$6*W88,0))))</f>
        <v>4500</v>
      </c>
      <c r="AB88">
        <f>SUM(Z88:AA88)</f>
        <v>4500</v>
      </c>
      <c r="AC88">
        <f>V88*K88</f>
        <v>0</v>
      </c>
      <c r="AD88">
        <f>'Data-Kolom'!L88</f>
        <v>8</v>
      </c>
      <c r="AE88">
        <f>'Data-Kolom'!M88</f>
        <v>100</v>
      </c>
      <c r="AF88">
        <f>'Data-Kolom'!N88</f>
        <v>100</v>
      </c>
      <c r="AG88">
        <f>'Data-Kolom'!O88</f>
        <v>100</v>
      </c>
      <c r="AH88">
        <f>'Data-Kolom'!P88</f>
        <v>0</v>
      </c>
      <c r="AI88">
        <f>'Data-Kolom'!Q88</f>
        <v>0</v>
      </c>
      <c r="AJ88">
        <f>'Data-Kolom'!R88</f>
        <v>0</v>
      </c>
      <c r="AK88">
        <f>'Data-Kolom'!S88</f>
        <v>0</v>
      </c>
      <c r="AL88">
        <f>2*(H88+I88-4*$N$5)+2*MAX($F$5*AD88,75)</f>
        <v>1130</v>
      </c>
      <c r="AM88">
        <f>+AH88*(H88-2*$N$5+2*MAX($F$5*AI88,75))+AJ88*(I88-2*$N$5+2*MAX($F$5*AK88,75))</f>
        <v>0</v>
      </c>
      <c r="AN88">
        <f>(ROUND((1/2*J88+IF(M88&gt;0,(Q88-$N$6*AD88),0))/AE88,0)+(ROUND(1/2*J88/AF88,0)+1))*K88</f>
        <v>47</v>
      </c>
      <c r="AO88">
        <f>H88*I88*J88/1000000000*K88*(1+$T$5)</f>
        <v>0.306</v>
      </c>
      <c r="AP88">
        <f>0.006165*O88^2*T88*U88/1000*(1+$T$6)</f>
        <v>44.3426256</v>
      </c>
      <c r="AQ88">
        <f>0.006165*W88^2*AB88*AC88/1000*(1+$T$6)</f>
        <v>0</v>
      </c>
      <c r="AR88">
        <f>AN88*0.006165*AD88^2*AL88/1000*(1+$T$6)</f>
        <v>20.9550816</v>
      </c>
      <c r="AS88">
        <f>AN88*0.006165*AI88^2*AM88/1000*(1+$T$6)</f>
        <v>0</v>
      </c>
      <c r="AT88">
        <f>K88*2*J88*(H88+I88)/1000000*(1+$T$7)</f>
        <v>5.13</v>
      </c>
      <c r="AU88">
        <f>SUM(AP88:AS88)/AO88</f>
        <v>213.39119999999997</v>
      </c>
      <c r="AV88">
        <f>AT88/AO88</f>
        <v>16.764705882352942</v>
      </c>
      <c r="AX88">
        <f>0.006165*O88^2*R88*U88/1000*(1+$T$6)</f>
        <v>44.3426256</v>
      </c>
      <c r="AZ88">
        <f>0.006165*O88^2*S88*U88/1000*(1+$T$6)</f>
        <v>0</v>
      </c>
      <c r="BA88">
        <f>AZ88/AP88</f>
        <v>0</v>
      </c>
    </row>
    <row r="89">
      <c r="A89">
        <f>'Data-Kolom'!A89</f>
        <v>21</v>
      </c>
      <c r="B89" t="str">
        <f>'Data-Kolom'!B89</f>
        <v>Lantai 1</v>
      </c>
      <c r="C89">
        <f>'Data-Kolom'!C89</f>
        <v>0</v>
      </c>
      <c r="D89" t="str">
        <f>'Data-Kolom'!D89</f>
        <v>K178-1</v>
      </c>
      <c r="E89" t="str">
        <v>T</v>
      </c>
      <c r="F89">
        <f>'Data-Kolom'!U89</f>
        <v>0</v>
      </c>
      <c r="G89">
        <f>'Data-Kolom'!T89</f>
        <v>0</v>
      </c>
      <c r="H89">
        <f>'Data-Kolom'!E89</f>
        <v>170</v>
      </c>
      <c r="I89">
        <f>'Data-Kolom'!F89</f>
        <v>800</v>
      </c>
      <c r="J89">
        <f>'Data-Kolom'!G89</f>
        <v>4500</v>
      </c>
      <c r="K89">
        <v>1</v>
      </c>
      <c r="M89">
        <f>IF(L89&gt;0,VLOOKUP(L89,'Data-PC'!$B$14:$F$36,4,FALSE),0)</f>
        <v>0</v>
      </c>
      <c r="N89">
        <f>'Data-Kolom'!H89</f>
        <v>8</v>
      </c>
      <c r="O89">
        <f>'Data-Kolom'!I89</f>
        <v>16</v>
      </c>
      <c r="P89">
        <f>IF(N89&gt;0,VLOOKUP(O89,$V$2:$X$9,2,FALSE),0)</f>
        <v>1010</v>
      </c>
      <c r="Q89">
        <f>IF(L89&gt;0,M89-50+$N$6*O89,VLOOKUP(O89,$V$2:$X$9,3,FALSE))</f>
        <v>770</v>
      </c>
      <c r="R89">
        <f>IF(E89="F",J89-$N$5+$N$6*O89+Q89,IF(E89="D",J89+Q89+P89,IF(E89="T",J89+P89,IF(E89="A",J89-$N$5+$N$6*O89,0))))</f>
        <v>5510</v>
      </c>
      <c r="T89">
        <f>SUM(R89:S89)</f>
        <v>5510</v>
      </c>
      <c r="U89">
        <f>K89*N89</f>
        <v>8</v>
      </c>
      <c r="V89">
        <f>'Data-Kolom'!J89</f>
        <v>0</v>
      </c>
      <c r="W89">
        <f>'Data-Kolom'!K89</f>
        <v>0</v>
      </c>
      <c r="X89">
        <f>IF(V89&gt;0,VLOOKUP(W89,$V$2:$X$9,2,FALSE),0)</f>
        <v>0</v>
      </c>
      <c r="Y89">
        <f>IF(V89&gt;0,IF(L89&gt;0,M89-50+$N$6*W89,VLOOKUP(W89,$V$2:$X$9,3,FALSE)),0)</f>
        <v>0</v>
      </c>
      <c r="Z89">
        <f>IF(E89="F",J89-$N$5+$N$6*W89+Y89,IF(E89="D",J89+Y89+X89,IF(E89="T",J89+X89,IF(E89="A",J89-$N$5+$N$6*W89,0))))</f>
        <v>4500</v>
      </c>
      <c r="AB89">
        <f>SUM(Z89:AA89)</f>
        <v>4500</v>
      </c>
      <c r="AC89">
        <f>V89*K89</f>
        <v>0</v>
      </c>
      <c r="AD89">
        <f>'Data-Kolom'!L89</f>
        <v>8</v>
      </c>
      <c r="AE89">
        <f>'Data-Kolom'!M89</f>
        <v>100</v>
      </c>
      <c r="AF89">
        <f>'Data-Kolom'!N89</f>
        <v>100</v>
      </c>
      <c r="AG89">
        <f>'Data-Kolom'!O89</f>
        <v>100</v>
      </c>
      <c r="AH89">
        <f>'Data-Kolom'!P89</f>
        <v>1</v>
      </c>
      <c r="AI89">
        <f>'Data-Kolom'!Q89</f>
        <v>8</v>
      </c>
      <c r="AJ89">
        <f>'Data-Kolom'!R89</f>
        <v>0</v>
      </c>
      <c r="AK89">
        <f>'Data-Kolom'!S89</f>
        <v>0</v>
      </c>
      <c r="AL89">
        <f>2*(H89+I89-4*$N$5)+2*MAX($F$5*AD89,75)</f>
        <v>1930</v>
      </c>
      <c r="AM89">
        <f>+AH89*(H89-2*$N$5+2*MAX($F$5*AI89,75))+AJ89*(I89-2*$N$5+2*MAX($F$5*AK89,75))</f>
        <v>280</v>
      </c>
      <c r="AN89">
        <f>(ROUND((1/2*J89+IF(M89&gt;0,(Q89-$N$6*AD89),0))/AE89,0)+(ROUND(1/2*J89/AF89,0)+1))*K89</f>
        <v>47</v>
      </c>
      <c r="AO89">
        <f>H89*I89*J89/1000000000*K89*(1+$T$5)</f>
        <v>0.612</v>
      </c>
      <c r="AP89">
        <f>0.006165*O89^2*T89*U89/1000*(1+$T$6)</f>
        <v>69.5688192</v>
      </c>
      <c r="AQ89">
        <f>0.006165*W89^2*AB89*AC89/1000*(1+$T$6)</f>
        <v>0</v>
      </c>
      <c r="AR89">
        <f>AN89*0.006165*AD89^2*AL89/1000*(1+$T$6)</f>
        <v>35.7905376</v>
      </c>
      <c r="AS89">
        <f>AN89*0.006165*AI89^2*AM89/1000*(1+$T$6)</f>
        <v>5.192409600000001</v>
      </c>
      <c r="AT89">
        <f>K89*2*J89*(H89+I89)/1000000*(1+$T$7)</f>
        <v>8.73</v>
      </c>
      <c r="AU89">
        <f>SUM(AP89:AS89)/AO89</f>
        <v>180.6401411764706</v>
      </c>
      <c r="AV89">
        <f>AT89/AO89</f>
        <v>14.264705882352942</v>
      </c>
      <c r="AX89">
        <f>0.006165*O89^2*R89*U89/1000*(1+$T$6)</f>
        <v>69.5688192</v>
      </c>
      <c r="AZ89">
        <f>0.006165*O89^2*S89*U89/1000*(1+$T$6)</f>
        <v>0</v>
      </c>
      <c r="BA89">
        <f>AZ89/AP89</f>
        <v>0</v>
      </c>
    </row>
    <row r="90">
      <c r="A90">
        <f>'Data-Kolom'!A90</f>
        <v>22</v>
      </c>
      <c r="B90" t="str">
        <f>'Data-Kolom'!B90</f>
        <v>Lantai 1</v>
      </c>
      <c r="C90">
        <f>'Data-Kolom'!C90</f>
        <v>0</v>
      </c>
      <c r="D90" t="str">
        <f>'Data-Kolom'!D90</f>
        <v>K175-1</v>
      </c>
      <c r="E90" t="str">
        <v>T</v>
      </c>
      <c r="F90">
        <f>'Data-Kolom'!U90</f>
        <v>0</v>
      </c>
      <c r="G90">
        <f>'Data-Kolom'!T90</f>
        <v>0</v>
      </c>
      <c r="H90">
        <f>'Data-Kolom'!E90</f>
        <v>170</v>
      </c>
      <c r="I90">
        <f>'Data-Kolom'!F90</f>
        <v>500</v>
      </c>
      <c r="J90">
        <f>'Data-Kolom'!G90</f>
        <v>4500</v>
      </c>
      <c r="K90">
        <v>1</v>
      </c>
      <c r="M90">
        <f>IF(L90&gt;0,VLOOKUP(L90,'Data-PC'!$B$14:$F$36,4,FALSE),0)</f>
        <v>0</v>
      </c>
      <c r="N90">
        <f>'Data-Kolom'!H90</f>
        <v>6</v>
      </c>
      <c r="O90">
        <f>'Data-Kolom'!I90</f>
        <v>16</v>
      </c>
      <c r="P90">
        <f>IF(N90&gt;0,VLOOKUP(O90,$V$2:$X$9,2,FALSE),0)</f>
        <v>1010</v>
      </c>
      <c r="Q90">
        <f>IF(L90&gt;0,M90-50+$N$6*O90,VLOOKUP(O90,$V$2:$X$9,3,FALSE))</f>
        <v>770</v>
      </c>
      <c r="R90">
        <f>IF(E90="F",J90-$N$5+$N$6*O90+Q90,IF(E90="D",J90+Q90+P90,IF(E90="T",J90+P90,IF(E90="A",J90-$N$5+$N$6*O90,0))))</f>
        <v>5510</v>
      </c>
      <c r="T90">
        <f>SUM(R90:S90)</f>
        <v>5510</v>
      </c>
      <c r="U90">
        <f>K90*N90</f>
        <v>6</v>
      </c>
      <c r="V90">
        <f>'Data-Kolom'!J90</f>
        <v>0</v>
      </c>
      <c r="W90">
        <f>'Data-Kolom'!K90</f>
        <v>0</v>
      </c>
      <c r="X90">
        <f>IF(V90&gt;0,VLOOKUP(W90,$V$2:$X$9,2,FALSE),0)</f>
        <v>0</v>
      </c>
      <c r="Y90">
        <f>IF(V90&gt;0,IF(L90&gt;0,M90-50+$N$6*W90,VLOOKUP(W90,$V$2:$X$9,3,FALSE)),0)</f>
        <v>0</v>
      </c>
      <c r="Z90">
        <f>IF(E90="F",J90-$N$5+$N$6*W90+Y90,IF(E90="D",J90+Y90+X90,IF(E90="T",J90+X90,IF(E90="A",J90-$N$5+$N$6*W90,0))))</f>
        <v>4500</v>
      </c>
      <c r="AB90">
        <f>SUM(Z90:AA90)</f>
        <v>4500</v>
      </c>
      <c r="AC90">
        <f>V90*K90</f>
        <v>0</v>
      </c>
      <c r="AD90">
        <f>'Data-Kolom'!L90</f>
        <v>8</v>
      </c>
      <c r="AE90">
        <f>'Data-Kolom'!M90</f>
        <v>100</v>
      </c>
      <c r="AF90">
        <f>'Data-Kolom'!N90</f>
        <v>100</v>
      </c>
      <c r="AG90">
        <f>'Data-Kolom'!O90</f>
        <v>100</v>
      </c>
      <c r="AH90">
        <f>'Data-Kolom'!P90</f>
        <v>0.5</v>
      </c>
      <c r="AI90">
        <f>'Data-Kolom'!Q90</f>
        <v>8</v>
      </c>
      <c r="AJ90">
        <f>'Data-Kolom'!R90</f>
        <v>0</v>
      </c>
      <c r="AK90">
        <f>'Data-Kolom'!S90</f>
        <v>0</v>
      </c>
      <c r="AL90">
        <f>2*(H90+I90-4*$N$5)+2*MAX($F$5*AD90,75)</f>
        <v>1330</v>
      </c>
      <c r="AM90">
        <f>+AH90*(H90-2*$N$5+2*MAX($F$5*AI90,75))+AJ90*(I90-2*$N$5+2*MAX($F$5*AK90,75))</f>
        <v>140</v>
      </c>
      <c r="AN90">
        <f>(ROUND((1/2*J90+IF(M90&gt;0,(Q90-$N$6*AD90),0))/AE90,0)+(ROUND(1/2*J90/AF90,0)+1))*K90</f>
        <v>47</v>
      </c>
      <c r="AO90">
        <f>H90*I90*J90/1000000000*K90*(1+$T$5)</f>
        <v>0.3825</v>
      </c>
      <c r="AP90">
        <f>0.006165*O90^2*T90*U90/1000*(1+$T$6)</f>
        <v>52.1766144</v>
      </c>
      <c r="AQ90">
        <f>0.006165*W90^2*AB90*AC90/1000*(1+$T$6)</f>
        <v>0</v>
      </c>
      <c r="AR90">
        <f>AN90*0.006165*AD90^2*AL90/1000*(1+$T$6)</f>
        <v>24.6639456</v>
      </c>
      <c r="AS90">
        <f>AN90*0.006165*AI90^2*AM90/1000*(1+$T$6)</f>
        <v>2.5962048000000006</v>
      </c>
      <c r="AT90">
        <f>K90*2*J90*(H90+I90)/1000000*(1+$T$7)</f>
        <v>6.03</v>
      </c>
      <c r="AU90">
        <f>SUM(AP90:AS90)/AO90</f>
        <v>207.6778164705882</v>
      </c>
      <c r="AV90">
        <f>AT90/AO90</f>
        <v>15.764705882352942</v>
      </c>
      <c r="AX90">
        <f>0.006165*O90^2*R90*U90/1000*(1+$T$6)</f>
        <v>52.1766144</v>
      </c>
      <c r="AZ90">
        <f>0.006165*O90^2*S90*U90/1000*(1+$T$6)</f>
        <v>0</v>
      </c>
      <c r="BA90">
        <f>AZ90/AP90</f>
        <v>0</v>
      </c>
    </row>
    <row r="91">
      <c r="A91">
        <f>'Data-Kolom'!A91</f>
        <v>101</v>
      </c>
      <c r="B91" t="str">
        <f>'Data-Kolom'!B91</f>
        <v>Lantai 1</v>
      </c>
      <c r="C91">
        <f>'Data-Kolom'!C91</f>
        <v>0</v>
      </c>
      <c r="D91" t="str">
        <f>'Data-Kolom'!D91</f>
        <v>K176-1</v>
      </c>
      <c r="E91" t="str">
        <v>D</v>
      </c>
      <c r="F91">
        <f>'Data-Kolom'!U91</f>
        <v>0</v>
      </c>
      <c r="G91">
        <f>'Data-Kolom'!T91</f>
        <v>0</v>
      </c>
      <c r="H91">
        <f>'Data-Kolom'!E91</f>
        <v>170</v>
      </c>
      <c r="I91">
        <f>'Data-Kolom'!F91</f>
        <v>600</v>
      </c>
      <c r="J91">
        <f>'Data-Kolom'!G91</f>
        <v>4500</v>
      </c>
      <c r="K91">
        <v>1</v>
      </c>
      <c r="M91">
        <f>IF(L91&gt;0,VLOOKUP(L91,'Data-PC'!$B$14:$F$36,4,FALSE),0)</f>
        <v>0</v>
      </c>
      <c r="N91">
        <f>'Data-Kolom'!H91</f>
        <v>10</v>
      </c>
      <c r="O91">
        <f>'Data-Kolom'!I91</f>
        <v>16</v>
      </c>
      <c r="P91">
        <f>IF(N91&gt;0,VLOOKUP(O91,$V$2:$X$9,2,FALSE),0)</f>
        <v>1010</v>
      </c>
      <c r="Q91">
        <f>IF(L91&gt;0,M91-50+$N$6*O91,VLOOKUP(O91,$V$2:$X$9,3,FALSE))</f>
        <v>770</v>
      </c>
      <c r="R91">
        <f>IF(E91="F",J91-$N$5+$N$6*O91+Q91,IF(E91="D",J91+Q91+P91,IF(E91="T",J91+P91,IF(E91="A",J91-$N$5+$N$6*O91,0))))</f>
        <v>6280</v>
      </c>
      <c r="T91">
        <f>SUM(R91:S91)</f>
        <v>6280</v>
      </c>
      <c r="U91">
        <f>K91*N91</f>
        <v>10</v>
      </c>
      <c r="V91">
        <f>'Data-Kolom'!J91</f>
        <v>0</v>
      </c>
      <c r="W91">
        <f>'Data-Kolom'!K91</f>
        <v>0</v>
      </c>
      <c r="X91">
        <f>IF(V91&gt;0,VLOOKUP(W91,$V$2:$X$9,2,FALSE),0)</f>
        <v>0</v>
      </c>
      <c r="Y91">
        <f>IF(V91&gt;0,IF(L91&gt;0,M91-50+$N$6*W91,VLOOKUP(W91,$V$2:$X$9,3,FALSE)),0)</f>
        <v>0</v>
      </c>
      <c r="Z91">
        <f>IF(E91="F",J91-$N$5+$N$6*W91+Y91,IF(E91="D",J91+Y91+X91,IF(E91="T",J91+X91,IF(E91="A",J91-$N$5+$N$6*W91,0))))</f>
        <v>4500</v>
      </c>
      <c r="AB91">
        <f>SUM(Z91:AA91)</f>
        <v>4500</v>
      </c>
      <c r="AC91">
        <f>V91*K91</f>
        <v>0</v>
      </c>
      <c r="AD91">
        <f>'Data-Kolom'!L91</f>
        <v>8</v>
      </c>
      <c r="AE91">
        <f>'Data-Kolom'!M91</f>
        <v>100</v>
      </c>
      <c r="AF91">
        <f>'Data-Kolom'!N91</f>
        <v>100</v>
      </c>
      <c r="AG91">
        <f>'Data-Kolom'!O91</f>
        <v>100</v>
      </c>
      <c r="AH91">
        <f>'Data-Kolom'!P91</f>
        <v>0.5</v>
      </c>
      <c r="AI91">
        <f>'Data-Kolom'!Q91</f>
        <v>8</v>
      </c>
      <c r="AJ91">
        <f>'Data-Kolom'!R91</f>
        <v>0</v>
      </c>
      <c r="AK91">
        <f>'Data-Kolom'!S91</f>
        <v>0</v>
      </c>
      <c r="AL91">
        <f>2*(H91+I91-4*$N$5)+2*MAX($F$5*AD91,75)</f>
        <v>1530</v>
      </c>
      <c r="AM91">
        <f>+AH91*(H91-2*$N$5+2*MAX($F$5*AI91,75))+AJ91*(I91-2*$N$5+2*MAX($F$5*AK91,75))</f>
        <v>140</v>
      </c>
      <c r="AN91">
        <f>(ROUND((1/2*J91+IF(M91&gt;0,(Q91-$N$6*AD91),0))/AE91,0)+(ROUND(1/2*J91/AF91,0)+1))*K91</f>
        <v>47</v>
      </c>
      <c r="AO91">
        <f>H91*I91*J91/1000000000*K91*(1+$T$5)</f>
        <v>0.459</v>
      </c>
      <c r="AP91">
        <f>0.006165*O91^2*T91*U91/1000*(1+$T$6)</f>
        <v>99.11347200000002</v>
      </c>
      <c r="AQ91">
        <f>0.006165*W91^2*AB91*AC91/1000*(1+$T$6)</f>
        <v>0</v>
      </c>
      <c r="AR91">
        <f>AN91*0.006165*AD91^2*AL91/1000*(1+$T$6)</f>
        <v>28.372809600000004</v>
      </c>
      <c r="AS91">
        <f>AN91*0.006165*AI91^2*AM91/1000*(1+$T$6)</f>
        <v>2.5962048000000006</v>
      </c>
      <c r="AT91">
        <f>K91*2*J91*(H91+I91)/1000000*(1+$T$7)</f>
        <v>6.93</v>
      </c>
      <c r="AU91">
        <f>SUM(AP91:AS91)/AO91</f>
        <v>283.4041098039216</v>
      </c>
      <c r="AV91">
        <f>AT91/AO91</f>
        <v>15.098039215686272</v>
      </c>
      <c r="AX91">
        <f>0.006165*O91^2*R91*U91/1000*(1+$T$6)</f>
        <v>99.11347200000002</v>
      </c>
      <c r="AZ91">
        <f>0.006165*O91^2*S91*U91/1000*(1+$T$6)</f>
        <v>0</v>
      </c>
      <c r="BA91">
        <f>AZ91/AP91</f>
        <v>0</v>
      </c>
    </row>
    <row r="92">
      <c r="A92">
        <f>'Data-Kolom'!A92</f>
        <v>102</v>
      </c>
      <c r="B92" t="str">
        <f>'Data-Kolom'!B92</f>
        <v>Lantai 1</v>
      </c>
      <c r="C92">
        <f>'Data-Kolom'!C92</f>
        <v>0</v>
      </c>
      <c r="D92" t="str">
        <f>'Data-Kolom'!D92</f>
        <v>K278-1</v>
      </c>
      <c r="E92" t="str">
        <v>D</v>
      </c>
      <c r="F92">
        <f>'Data-Kolom'!U92</f>
        <v>0</v>
      </c>
      <c r="G92">
        <f>'Data-Kolom'!T92</f>
        <v>0</v>
      </c>
      <c r="H92">
        <f>'Data-Kolom'!E92</f>
        <v>270</v>
      </c>
      <c r="I92">
        <f>'Data-Kolom'!F92</f>
        <v>800</v>
      </c>
      <c r="J92">
        <f>'Data-Kolom'!G92</f>
        <v>4500</v>
      </c>
      <c r="K92">
        <v>1</v>
      </c>
      <c r="M92">
        <f>IF(L92&gt;0,VLOOKUP(L92,'Data-PC'!$B$14:$F$36,4,FALSE),0)</f>
        <v>0</v>
      </c>
      <c r="N92">
        <f>'Data-Kolom'!H92</f>
        <v>4</v>
      </c>
      <c r="O92">
        <f>'Data-Kolom'!I92</f>
        <v>22</v>
      </c>
      <c r="P92">
        <f>IF(N92&gt;0,VLOOKUP(O92,$V$2:$X$9,2,FALSE),0)</f>
        <v>1700</v>
      </c>
      <c r="Q92">
        <f>IF(L92&gt;0,M92-50+$N$6*O92,VLOOKUP(O92,$V$2:$X$9,3,FALSE))</f>
        <v>1300</v>
      </c>
      <c r="R92">
        <f>IF(E92="F",J92-$N$5+$N$6*O92+Q92,IF(E92="D",J92+Q92+P92,IF(E92="T",J92+P92,IF(E92="A",J92-$N$5+$N$6*O92,0))))</f>
        <v>7500</v>
      </c>
      <c r="T92">
        <f>SUM(R92:S92)</f>
        <v>7500</v>
      </c>
      <c r="U92">
        <f>K92*N92</f>
        <v>4</v>
      </c>
      <c r="V92">
        <f>'Data-Kolom'!J92</f>
        <v>8</v>
      </c>
      <c r="W92">
        <f>'Data-Kolom'!K92</f>
        <v>19</v>
      </c>
      <c r="X92">
        <f>IF(V92&gt;0,VLOOKUP(W92,$V$2:$X$9,2,FALSE),0)</f>
        <v>1190</v>
      </c>
      <c r="Y92">
        <f>IF(V92&gt;0,IF(L92&gt;0,M92-50+$N$6*W92,VLOOKUP(W92,$V$2:$X$9,3,FALSE)),0)</f>
        <v>910</v>
      </c>
      <c r="Z92">
        <f>IF(E92="F",J92-$N$5+$N$6*W92+Y92,IF(E92="D",J92+Y92+X92,IF(E92="T",J92+X92,IF(E92="A",J92-$N$5+$N$6*W92,0))))</f>
        <v>6600</v>
      </c>
      <c r="AB92">
        <f>SUM(Z92:AA92)</f>
        <v>6600</v>
      </c>
      <c r="AC92">
        <f>V92*K92</f>
        <v>8</v>
      </c>
      <c r="AD92">
        <f>'Data-Kolom'!L92</f>
        <v>10</v>
      </c>
      <c r="AE92">
        <f>'Data-Kolom'!M92</f>
        <v>100</v>
      </c>
      <c r="AF92">
        <f>'Data-Kolom'!N92</f>
        <v>100</v>
      </c>
      <c r="AG92">
        <f>'Data-Kolom'!O92</f>
        <v>100</v>
      </c>
      <c r="AH92">
        <f>'Data-Kolom'!P92</f>
        <v>1</v>
      </c>
      <c r="AI92">
        <f>'Data-Kolom'!Q92</f>
        <v>10</v>
      </c>
      <c r="AJ92">
        <f>'Data-Kolom'!R92</f>
        <v>0</v>
      </c>
      <c r="AK92">
        <f>'Data-Kolom'!S92</f>
        <v>0</v>
      </c>
      <c r="AL92">
        <f>2*(H92+I92-4*$N$5)+2*MAX($F$5*AD92,75)</f>
        <v>2130</v>
      </c>
      <c r="AM92">
        <f>+AH92*(H92-2*$N$5+2*MAX($F$5*AI92,75))+AJ92*(I92-2*$N$5+2*MAX($F$5*AK92,75))</f>
        <v>380</v>
      </c>
      <c r="AN92">
        <f>(ROUND((1/2*J92+IF(M92&gt;0,(Q92-$N$6*AD92),0))/AE92,0)+(ROUND(1/2*J92/AF92,0)+1))*K92</f>
        <v>47</v>
      </c>
      <c r="AO92">
        <f>H92*I92*J92/1000000000*K92*(1+$T$5)</f>
        <v>0.972</v>
      </c>
      <c r="AP92">
        <f>0.006165*O92^2*T92*U92/1000*(1+$T$6)</f>
        <v>89.5158</v>
      </c>
      <c r="AQ92">
        <f>0.006165*W92^2*AB92*AC92/1000*(1+$T$6)</f>
        <v>117.50983199999999</v>
      </c>
      <c r="AR92">
        <f>AN92*0.006165*AD92^2*AL92/1000*(1+$T$6)</f>
        <v>61.71781500000001</v>
      </c>
      <c r="AS92">
        <f>AN92*0.006165*AI92^2*AM92/1000*(1+$T$6)</f>
        <v>11.010690000000002</v>
      </c>
      <c r="AT92">
        <f>K92*2*J92*(H92+I92)/1000000*(1+$T$7)</f>
        <v>9.63</v>
      </c>
      <c r="AU92">
        <f>SUM(AP92:AS92)/AO92</f>
        <v>287.8128981481482</v>
      </c>
      <c r="AV92">
        <f>AT92/AO92</f>
        <v>9.907407407407408</v>
      </c>
      <c r="AX92">
        <f>0.006165*O92^2*R92*U92/1000*(1+$T$6)</f>
        <v>89.5158</v>
      </c>
      <c r="AZ92">
        <f>0.006165*O92^2*S92*U92/1000*(1+$T$6)</f>
        <v>0</v>
      </c>
      <c r="BA92">
        <f>AZ92/AP92</f>
        <v>0</v>
      </c>
    </row>
    <row r="93">
      <c r="A93">
        <f>'Data-Kolom'!A93</f>
        <v>103</v>
      </c>
      <c r="B93" t="str">
        <f>'Data-Kolom'!B93</f>
        <v>Lantai 1</v>
      </c>
      <c r="C93">
        <f>'Data-Kolom'!C93</f>
        <v>0</v>
      </c>
      <c r="D93" t="str">
        <f>'Data-Kolom'!D93</f>
        <v>K174-1</v>
      </c>
      <c r="E93" t="str">
        <v>D</v>
      </c>
      <c r="F93">
        <f>'Data-Kolom'!U93</f>
        <v>0</v>
      </c>
      <c r="G93">
        <f>'Data-Kolom'!T93</f>
        <v>0</v>
      </c>
      <c r="H93">
        <f>'Data-Kolom'!E93</f>
        <v>170</v>
      </c>
      <c r="I93">
        <f>'Data-Kolom'!F93</f>
        <v>400</v>
      </c>
      <c r="J93">
        <f>'Data-Kolom'!G93</f>
        <v>4500</v>
      </c>
      <c r="K93">
        <v>1</v>
      </c>
      <c r="M93">
        <f>IF(L93&gt;0,VLOOKUP(L93,'Data-PC'!$B$14:$F$36,4,FALSE),0)</f>
        <v>0</v>
      </c>
      <c r="N93">
        <f>'Data-Kolom'!H93</f>
        <v>8</v>
      </c>
      <c r="O93">
        <f>'Data-Kolom'!I93</f>
        <v>13</v>
      </c>
      <c r="P93">
        <f>IF(N93&gt;0,VLOOKUP(O93,$V$2:$X$9,2,FALSE),0)</f>
        <v>820</v>
      </c>
      <c r="Q93">
        <f>IF(L93&gt;0,M93-50+$N$6*O93,VLOOKUP(O93,$V$2:$X$9,3,FALSE))</f>
        <v>630</v>
      </c>
      <c r="R93">
        <f>IF(E93="F",J93-$N$5+$N$6*O93+Q93,IF(E93="D",J93+Q93+P93,IF(E93="T",J93+P93,IF(E93="A",J93-$N$5+$N$6*O93,0))))</f>
        <v>5950</v>
      </c>
      <c r="T93">
        <f>SUM(R93:S93)</f>
        <v>5950</v>
      </c>
      <c r="U93">
        <f>K93*N93</f>
        <v>8</v>
      </c>
      <c r="V93">
        <f>'Data-Kolom'!J93</f>
        <v>0</v>
      </c>
      <c r="W93">
        <f>'Data-Kolom'!K93</f>
        <v>0</v>
      </c>
      <c r="X93">
        <f>IF(V93&gt;0,VLOOKUP(W93,$V$2:$X$9,2,FALSE),0)</f>
        <v>0</v>
      </c>
      <c r="Y93">
        <f>IF(V93&gt;0,IF(L93&gt;0,M93-50+$N$6*W93,VLOOKUP(W93,$V$2:$X$9,3,FALSE)),0)</f>
        <v>0</v>
      </c>
      <c r="Z93">
        <f>IF(E93="F",J93-$N$5+$N$6*W93+Y93,IF(E93="D",J93+Y93+X93,IF(E93="T",J93+X93,IF(E93="A",J93-$N$5+$N$6*W93,0))))</f>
        <v>4500</v>
      </c>
      <c r="AB93">
        <f>SUM(Z93:AA93)</f>
        <v>4500</v>
      </c>
      <c r="AC93">
        <f>V93*K93</f>
        <v>0</v>
      </c>
      <c r="AD93">
        <f>'Data-Kolom'!L93</f>
        <v>8</v>
      </c>
      <c r="AE93">
        <f>'Data-Kolom'!M93</f>
        <v>100</v>
      </c>
      <c r="AF93">
        <f>'Data-Kolom'!N93</f>
        <v>100</v>
      </c>
      <c r="AG93">
        <f>'Data-Kolom'!O93</f>
        <v>100</v>
      </c>
      <c r="AH93">
        <f>'Data-Kolom'!P93</f>
        <v>0</v>
      </c>
      <c r="AI93">
        <f>'Data-Kolom'!Q93</f>
        <v>0</v>
      </c>
      <c r="AJ93">
        <f>'Data-Kolom'!R93</f>
        <v>0</v>
      </c>
      <c r="AK93">
        <f>'Data-Kolom'!S93</f>
        <v>0</v>
      </c>
      <c r="AL93">
        <f>2*(H93+I93-4*$N$5)+2*MAX($F$5*AD93,75)</f>
        <v>1130</v>
      </c>
      <c r="AM93">
        <f>+AH93*(H93-2*$N$5+2*MAX($F$5*AI93,75))+AJ93*(I93-2*$N$5+2*MAX($F$5*AK93,75))</f>
        <v>0</v>
      </c>
      <c r="AN93">
        <f>(ROUND((1/2*J93+IF(M93&gt;0,(Q93-$N$6*AD93),0))/AE93,0)+(ROUND(1/2*J93/AF93,0)+1))*K93</f>
        <v>47</v>
      </c>
      <c r="AO93">
        <f>H93*I93*J93/1000000000*K93*(1+$T$5)</f>
        <v>0.306</v>
      </c>
      <c r="AP93">
        <f>0.006165*O93^2*T93*U93/1000*(1+$T$6)</f>
        <v>49.593726</v>
      </c>
      <c r="AQ93">
        <f>0.006165*W93^2*AB93*AC93/1000*(1+$T$6)</f>
        <v>0</v>
      </c>
      <c r="AR93">
        <f>AN93*0.006165*AD93^2*AL93/1000*(1+$T$6)</f>
        <v>20.9550816</v>
      </c>
      <c r="AS93">
        <f>AN93*0.006165*AI93^2*AM93/1000*(1+$T$6)</f>
        <v>0</v>
      </c>
      <c r="AT93">
        <f>K93*2*J93*(H93+I93)/1000000*(1+$T$7)</f>
        <v>5.13</v>
      </c>
      <c r="AU93">
        <f>SUM(AP93:AS93)/AO93</f>
        <v>230.55165882352944</v>
      </c>
      <c r="AV93">
        <f>AT93/AO93</f>
        <v>16.764705882352942</v>
      </c>
      <c r="AX93">
        <f>0.006165*O93^2*R93*U93/1000*(1+$T$6)</f>
        <v>49.593726</v>
      </c>
      <c r="AZ93">
        <f>0.006165*O93^2*S93*U93/1000*(1+$T$6)</f>
        <v>0</v>
      </c>
      <c r="BA93">
        <f>AZ93/AP93</f>
        <v>0</v>
      </c>
    </row>
    <row r="94">
      <c r="A94">
        <f>'Data-Kolom'!A94</f>
        <v>104</v>
      </c>
      <c r="B94" t="str">
        <f>'Data-Kolom'!B94</f>
        <v>Lantai 1</v>
      </c>
      <c r="C94">
        <f>'Data-Kolom'!C94</f>
        <v>0</v>
      </c>
      <c r="D94" t="str">
        <f>'Data-Kolom'!D94</f>
        <v>K178-1</v>
      </c>
      <c r="E94" t="str">
        <v>D</v>
      </c>
      <c r="F94">
        <f>'Data-Kolom'!U94</f>
        <v>0</v>
      </c>
      <c r="G94">
        <f>'Data-Kolom'!T94</f>
        <v>0</v>
      </c>
      <c r="H94">
        <f>'Data-Kolom'!E94</f>
        <v>170</v>
      </c>
      <c r="I94">
        <f>'Data-Kolom'!F94</f>
        <v>800</v>
      </c>
      <c r="J94">
        <f>'Data-Kolom'!G94</f>
        <v>4500</v>
      </c>
      <c r="K94">
        <v>1</v>
      </c>
      <c r="M94">
        <f>IF(L94&gt;0,VLOOKUP(L94,'Data-PC'!$B$14:$F$36,4,FALSE),0)</f>
        <v>0</v>
      </c>
      <c r="N94">
        <f>'Data-Kolom'!H94</f>
        <v>8</v>
      </c>
      <c r="O94">
        <f>'Data-Kolom'!I94</f>
        <v>16</v>
      </c>
      <c r="P94">
        <f>IF(N94&gt;0,VLOOKUP(O94,$V$2:$X$9,2,FALSE),0)</f>
        <v>1010</v>
      </c>
      <c r="Q94">
        <f>IF(L94&gt;0,M94-50+$N$6*O94,VLOOKUP(O94,$V$2:$X$9,3,FALSE))</f>
        <v>770</v>
      </c>
      <c r="R94">
        <f>IF(E94="F",J94-$N$5+$N$6*O94+Q94,IF(E94="D",J94+Q94+P94,IF(E94="T",J94+P94,IF(E94="A",J94-$N$5+$N$6*O94,0))))</f>
        <v>6280</v>
      </c>
      <c r="T94">
        <f>SUM(R94:S94)</f>
        <v>6280</v>
      </c>
      <c r="U94">
        <f>K94*N94</f>
        <v>8</v>
      </c>
      <c r="V94">
        <f>'Data-Kolom'!J94</f>
        <v>0</v>
      </c>
      <c r="W94">
        <f>'Data-Kolom'!K94</f>
        <v>0</v>
      </c>
      <c r="X94">
        <f>IF(V94&gt;0,VLOOKUP(W94,$V$2:$X$9,2,FALSE),0)</f>
        <v>0</v>
      </c>
      <c r="Y94">
        <f>IF(V94&gt;0,IF(L94&gt;0,M94-50+$N$6*W94,VLOOKUP(W94,$V$2:$X$9,3,FALSE)),0)</f>
        <v>0</v>
      </c>
      <c r="Z94">
        <f>IF(E94="F",J94-$N$5+$N$6*W94+Y94,IF(E94="D",J94+Y94+X94,IF(E94="T",J94+X94,IF(E94="A",J94-$N$5+$N$6*W94,0))))</f>
        <v>4500</v>
      </c>
      <c r="AB94">
        <f>SUM(Z94:AA94)</f>
        <v>4500</v>
      </c>
      <c r="AC94">
        <f>V94*K94</f>
        <v>0</v>
      </c>
      <c r="AD94">
        <f>'Data-Kolom'!L94</f>
        <v>8</v>
      </c>
      <c r="AE94">
        <f>'Data-Kolom'!M94</f>
        <v>100</v>
      </c>
      <c r="AF94">
        <f>'Data-Kolom'!N94</f>
        <v>100</v>
      </c>
      <c r="AG94">
        <f>'Data-Kolom'!O94</f>
        <v>100</v>
      </c>
      <c r="AH94">
        <f>'Data-Kolom'!P94</f>
        <v>1</v>
      </c>
      <c r="AI94">
        <f>'Data-Kolom'!Q94</f>
        <v>8</v>
      </c>
      <c r="AJ94">
        <f>'Data-Kolom'!R94</f>
        <v>0</v>
      </c>
      <c r="AK94">
        <f>'Data-Kolom'!S94</f>
        <v>0</v>
      </c>
      <c r="AL94">
        <f>2*(H94+I94-4*$N$5)+2*MAX($F$5*AD94,75)</f>
        <v>1930</v>
      </c>
      <c r="AM94">
        <f>+AH94*(H94-2*$N$5+2*MAX($F$5*AI94,75))+AJ94*(I94-2*$N$5+2*MAX($F$5*AK94,75))</f>
        <v>280</v>
      </c>
      <c r="AN94">
        <f>(ROUND((1/2*J94+IF(M94&gt;0,(Q94-$N$6*AD94),0))/AE94,0)+(ROUND(1/2*J94/AF94,0)+1))*K94</f>
        <v>47</v>
      </c>
      <c r="AO94">
        <f>H94*I94*J94/1000000000*K94*(1+$T$5)</f>
        <v>0.612</v>
      </c>
      <c r="AP94">
        <f>0.006165*O94^2*T94*U94/1000*(1+$T$6)</f>
        <v>79.2907776</v>
      </c>
      <c r="AQ94">
        <f>0.006165*W94^2*AB94*AC94/1000*(1+$T$6)</f>
        <v>0</v>
      </c>
      <c r="AR94">
        <f>AN94*0.006165*AD94^2*AL94/1000*(1+$T$6)</f>
        <v>35.7905376</v>
      </c>
      <c r="AS94">
        <f>AN94*0.006165*AI94^2*AM94/1000*(1+$T$6)</f>
        <v>5.192409600000001</v>
      </c>
      <c r="AT94">
        <f>K94*2*J94*(H94+I94)/1000000*(1+$T$7)</f>
        <v>8.73</v>
      </c>
      <c r="AU94">
        <f>SUM(AP94:AS94)/AO94</f>
        <v>196.52569411764708</v>
      </c>
      <c r="AV94">
        <f>AT94/AO94</f>
        <v>14.264705882352942</v>
      </c>
      <c r="AX94">
        <f>0.006165*O94^2*R94*U94/1000*(1+$T$6)</f>
        <v>79.2907776</v>
      </c>
      <c r="AZ94">
        <f>0.006165*O94^2*S94*U94/1000*(1+$T$6)</f>
        <v>0</v>
      </c>
      <c r="BA94">
        <f>AZ94/AP94</f>
        <v>0</v>
      </c>
    </row>
    <row r="95">
      <c r="A95">
        <f>'Data-Kolom'!A95</f>
        <v>105</v>
      </c>
      <c r="B95" t="str">
        <f>'Data-Kolom'!B95</f>
        <v>Lantai 1</v>
      </c>
      <c r="C95">
        <f>'Data-Kolom'!C95</f>
        <v>0</v>
      </c>
      <c r="D95" t="str">
        <f>'Data-Kolom'!D95</f>
        <v>K176-4</v>
      </c>
      <c r="E95" t="str">
        <v>D</v>
      </c>
      <c r="F95">
        <f>'Data-Kolom'!U95</f>
        <v>0</v>
      </c>
      <c r="G95">
        <f>'Data-Kolom'!T95</f>
        <v>0</v>
      </c>
      <c r="H95">
        <f>'Data-Kolom'!E95</f>
        <v>170</v>
      </c>
      <c r="I95">
        <f>'Data-Kolom'!F95</f>
        <v>600</v>
      </c>
      <c r="J95">
        <f>'Data-Kolom'!G95</f>
        <v>4500</v>
      </c>
      <c r="K95">
        <v>1</v>
      </c>
      <c r="M95">
        <f>IF(L95&gt;0,VLOOKUP(L95,'Data-PC'!$B$14:$F$36,4,FALSE),0)</f>
        <v>0</v>
      </c>
      <c r="N95">
        <f>'Data-Kolom'!H95</f>
        <v>8</v>
      </c>
      <c r="O95">
        <f>'Data-Kolom'!I95</f>
        <v>19</v>
      </c>
      <c r="P95">
        <f>IF(N95&gt;0,VLOOKUP(O95,$V$2:$X$9,2,FALSE),0)</f>
        <v>1190</v>
      </c>
      <c r="Q95">
        <f>IF(L95&gt;0,M95-50+$N$6*O95,VLOOKUP(O95,$V$2:$X$9,3,FALSE))</f>
        <v>910</v>
      </c>
      <c r="R95">
        <f>IF(E95="F",J95-$N$5+$N$6*O95+Q95,IF(E95="D",J95+Q95+P95,IF(E95="T",J95+P95,IF(E95="A",J95-$N$5+$N$6*O95,0))))</f>
        <v>6600</v>
      </c>
      <c r="T95">
        <f>SUM(R95:S95)</f>
        <v>6600</v>
      </c>
      <c r="U95">
        <f>K95*N95</f>
        <v>8</v>
      </c>
      <c r="V95">
        <f>'Data-Kolom'!J95</f>
        <v>4</v>
      </c>
      <c r="W95">
        <f>'Data-Kolom'!K95</f>
        <v>16</v>
      </c>
      <c r="X95">
        <f>IF(V95&gt;0,VLOOKUP(W95,$V$2:$X$9,2,FALSE),0)</f>
        <v>1010</v>
      </c>
      <c r="Y95">
        <f>IF(V95&gt;0,IF(L95&gt;0,M95-50+$N$6*W95,VLOOKUP(W95,$V$2:$X$9,3,FALSE)),0)</f>
        <v>770</v>
      </c>
      <c r="Z95">
        <f>IF(E95="F",J95-$N$5+$N$6*W95+Y95,IF(E95="D",J95+Y95+X95,IF(E95="T",J95+X95,IF(E95="A",J95-$N$5+$N$6*W95,0))))</f>
        <v>6280</v>
      </c>
      <c r="AB95">
        <f>SUM(Z95:AA95)</f>
        <v>6280</v>
      </c>
      <c r="AC95">
        <f>V95*K95</f>
        <v>4</v>
      </c>
      <c r="AD95">
        <f>'Data-Kolom'!L95</f>
        <v>8</v>
      </c>
      <c r="AE95">
        <f>'Data-Kolom'!M95</f>
        <v>100</v>
      </c>
      <c r="AF95">
        <f>'Data-Kolom'!N95</f>
        <v>100</v>
      </c>
      <c r="AG95">
        <f>'Data-Kolom'!O95</f>
        <v>100</v>
      </c>
      <c r="AH95">
        <f>'Data-Kolom'!P95</f>
        <v>0.5</v>
      </c>
      <c r="AI95">
        <f>'Data-Kolom'!Q95</f>
        <v>8</v>
      </c>
      <c r="AJ95">
        <f>'Data-Kolom'!R95</f>
        <v>0</v>
      </c>
      <c r="AK95">
        <f>'Data-Kolom'!S95</f>
        <v>0</v>
      </c>
      <c r="AL95">
        <f>2*(H95+I95-4*$N$5)+2*MAX($F$5*AD95,75)</f>
        <v>1530</v>
      </c>
      <c r="AM95">
        <f>+AH95*(H95-2*$N$5+2*MAX($F$5*AI95,75))+AJ95*(I95-2*$N$5+2*MAX($F$5*AK95,75))</f>
        <v>140</v>
      </c>
      <c r="AN95">
        <f>(ROUND((1/2*J95+IF(M95&gt;0,(Q95-$N$6*AD95),0))/AE95,0)+(ROUND(1/2*J95/AF95,0)+1))*K95</f>
        <v>47</v>
      </c>
      <c r="AO95">
        <f>H95*I95*J95/1000000000*K95*(1+$T$5)</f>
        <v>0.459</v>
      </c>
      <c r="AP95">
        <f>0.006165*O95^2*T95*U95/1000*(1+$T$6)</f>
        <v>117.50983199999999</v>
      </c>
      <c r="AQ95">
        <f>0.006165*W95^2*AB95*AC95/1000*(1+$T$6)</f>
        <v>39.6453888</v>
      </c>
      <c r="AR95">
        <f>AN95*0.006165*AD95^2*AL95/1000*(1+$T$6)</f>
        <v>28.372809600000004</v>
      </c>
      <c r="AS95">
        <f>AN95*0.006165*AI95^2*AM95/1000*(1+$T$6)</f>
        <v>2.5962048000000006</v>
      </c>
      <c r="AT95">
        <f>K95*2*J95*(H95+I95)/1000000*(1+$T$7)</f>
        <v>6.93</v>
      </c>
      <c r="AU95">
        <f>SUM(AP95:AS95)/AO95</f>
        <v>409.85672156862745</v>
      </c>
      <c r="AV95">
        <f>AT95/AO95</f>
        <v>15.098039215686272</v>
      </c>
      <c r="AX95">
        <f>0.006165*O95^2*R95*U95/1000*(1+$T$6)</f>
        <v>117.50983199999999</v>
      </c>
      <c r="AZ95">
        <f>0.006165*O95^2*S95*U95/1000*(1+$T$6)</f>
        <v>0</v>
      </c>
      <c r="BA95">
        <f>AZ95/AP95</f>
        <v>0</v>
      </c>
    </row>
    <row r="96">
      <c r="A96">
        <f>'Data-Kolom'!A96</f>
        <v>106</v>
      </c>
      <c r="B96" t="str">
        <f>'Data-Kolom'!B96</f>
        <v>Lantai 1</v>
      </c>
      <c r="C96">
        <f>'Data-Kolom'!C96</f>
        <v>0</v>
      </c>
      <c r="D96" t="str">
        <f>'Data-Kolom'!D96</f>
        <v>K176-1</v>
      </c>
      <c r="E96" t="str">
        <v>D</v>
      </c>
      <c r="F96">
        <f>'Data-Kolom'!U96</f>
        <v>0</v>
      </c>
      <c r="G96">
        <f>'Data-Kolom'!T96</f>
        <v>0</v>
      </c>
      <c r="H96">
        <f>'Data-Kolom'!E96</f>
        <v>170</v>
      </c>
      <c r="I96">
        <f>'Data-Kolom'!F96</f>
        <v>600</v>
      </c>
      <c r="J96">
        <f>'Data-Kolom'!G96</f>
        <v>4500</v>
      </c>
      <c r="K96">
        <v>1</v>
      </c>
      <c r="M96">
        <f>IF(L96&gt;0,VLOOKUP(L96,'Data-PC'!$B$14:$F$36,4,FALSE),0)</f>
        <v>0</v>
      </c>
      <c r="N96">
        <f>'Data-Kolom'!H96</f>
        <v>10</v>
      </c>
      <c r="O96">
        <f>'Data-Kolom'!I96</f>
        <v>16</v>
      </c>
      <c r="P96">
        <f>IF(N96&gt;0,VLOOKUP(O96,$V$2:$X$9,2,FALSE),0)</f>
        <v>1010</v>
      </c>
      <c r="Q96">
        <f>IF(L96&gt;0,M96-50+$N$6*O96,VLOOKUP(O96,$V$2:$X$9,3,FALSE))</f>
        <v>770</v>
      </c>
      <c r="R96">
        <f>IF(E96="F",J96-$N$5+$N$6*O96+Q96,IF(E96="D",J96+Q96+P96,IF(E96="T",J96+P96,IF(E96="A",J96-$N$5+$N$6*O96,0))))</f>
        <v>6280</v>
      </c>
      <c r="T96">
        <f>SUM(R96:S96)</f>
        <v>6280</v>
      </c>
      <c r="U96">
        <f>K96*N96</f>
        <v>10</v>
      </c>
      <c r="V96">
        <f>'Data-Kolom'!J96</f>
        <v>0</v>
      </c>
      <c r="W96">
        <f>'Data-Kolom'!K96</f>
        <v>0</v>
      </c>
      <c r="X96">
        <f>IF(V96&gt;0,VLOOKUP(W96,$V$2:$X$9,2,FALSE),0)</f>
        <v>0</v>
      </c>
      <c r="Y96">
        <f>IF(V96&gt;0,IF(L96&gt;0,M96-50+$N$6*W96,VLOOKUP(W96,$V$2:$X$9,3,FALSE)),0)</f>
        <v>0</v>
      </c>
      <c r="Z96">
        <f>IF(E96="F",J96-$N$5+$N$6*W96+Y96,IF(E96="D",J96+Y96+X96,IF(E96="T",J96+X96,IF(E96="A",J96-$N$5+$N$6*W96,0))))</f>
        <v>4500</v>
      </c>
      <c r="AB96">
        <f>SUM(Z96:AA96)</f>
        <v>4500</v>
      </c>
      <c r="AC96">
        <f>V96*K96</f>
        <v>0</v>
      </c>
      <c r="AD96">
        <f>'Data-Kolom'!L96</f>
        <v>8</v>
      </c>
      <c r="AE96">
        <f>'Data-Kolom'!M96</f>
        <v>100</v>
      </c>
      <c r="AF96">
        <f>'Data-Kolom'!N96</f>
        <v>100</v>
      </c>
      <c r="AG96">
        <f>'Data-Kolom'!O96</f>
        <v>100</v>
      </c>
      <c r="AH96">
        <f>'Data-Kolom'!P96</f>
        <v>0.5</v>
      </c>
      <c r="AI96">
        <f>'Data-Kolom'!Q96</f>
        <v>8</v>
      </c>
      <c r="AJ96">
        <f>'Data-Kolom'!R96</f>
        <v>0</v>
      </c>
      <c r="AK96">
        <f>'Data-Kolom'!S96</f>
        <v>0</v>
      </c>
      <c r="AL96">
        <f>2*(H96+I96-4*$N$5)+2*MAX($F$5*AD96,75)</f>
        <v>1530</v>
      </c>
      <c r="AM96">
        <f>+AH96*(H96-2*$N$5+2*MAX($F$5*AI96,75))+AJ96*(I96-2*$N$5+2*MAX($F$5*AK96,75))</f>
        <v>140</v>
      </c>
      <c r="AN96">
        <f>(ROUND((1/2*J96+IF(M96&gt;0,(Q96-$N$6*AD96),0))/AE96,0)+(ROUND(1/2*J96/AF96,0)+1))*K96</f>
        <v>47</v>
      </c>
      <c r="AO96">
        <f>H96*I96*J96/1000000000*K96*(1+$T$5)</f>
        <v>0.459</v>
      </c>
      <c r="AP96">
        <f>0.006165*O96^2*T96*U96/1000*(1+$T$6)</f>
        <v>99.11347200000002</v>
      </c>
      <c r="AQ96">
        <f>0.006165*W96^2*AB96*AC96/1000*(1+$T$6)</f>
        <v>0</v>
      </c>
      <c r="AR96">
        <f>AN96*0.006165*AD96^2*AL96/1000*(1+$T$6)</f>
        <v>28.372809600000004</v>
      </c>
      <c r="AS96">
        <f>AN96*0.006165*AI96^2*AM96/1000*(1+$T$6)</f>
        <v>2.5962048000000006</v>
      </c>
      <c r="AT96">
        <f>K96*2*J96*(H96+I96)/1000000*(1+$T$7)</f>
        <v>6.93</v>
      </c>
      <c r="AU96">
        <f>SUM(AP96:AS96)/AO96</f>
        <v>283.4041098039216</v>
      </c>
      <c r="AV96">
        <f>AT96/AO96</f>
        <v>15.098039215686272</v>
      </c>
      <c r="AX96">
        <f>0.006165*O96^2*R96*U96/1000*(1+$T$6)</f>
        <v>99.11347200000002</v>
      </c>
      <c r="AZ96">
        <f>0.006165*O96^2*S96*U96/1000*(1+$T$6)</f>
        <v>0</v>
      </c>
      <c r="BA96">
        <f>AZ96/AP96</f>
        <v>0</v>
      </c>
    </row>
    <row r="97">
      <c r="A97">
        <f>'Data-Kolom'!A97</f>
        <v>107</v>
      </c>
      <c r="B97" t="str">
        <f>'Data-Kolom'!B97</f>
        <v>Lantai 1</v>
      </c>
      <c r="C97">
        <f>'Data-Kolom'!C97</f>
        <v>0</v>
      </c>
      <c r="D97" t="str">
        <f>'Data-Kolom'!D97</f>
        <v>K175-1</v>
      </c>
      <c r="E97" t="str">
        <v>D</v>
      </c>
      <c r="F97">
        <f>'Data-Kolom'!U97</f>
        <v>0</v>
      </c>
      <c r="G97">
        <f>'Data-Kolom'!T97</f>
        <v>0</v>
      </c>
      <c r="H97">
        <f>'Data-Kolom'!E97</f>
        <v>170</v>
      </c>
      <c r="I97">
        <f>'Data-Kolom'!F97</f>
        <v>500</v>
      </c>
      <c r="J97">
        <f>'Data-Kolom'!G97</f>
        <v>4500</v>
      </c>
      <c r="K97">
        <v>1</v>
      </c>
      <c r="M97">
        <f>IF(L97&gt;0,VLOOKUP(L97,'Data-PC'!$B$14:$F$36,4,FALSE),0)</f>
        <v>0</v>
      </c>
      <c r="N97">
        <f>'Data-Kolom'!H97</f>
        <v>6</v>
      </c>
      <c r="O97">
        <f>'Data-Kolom'!I97</f>
        <v>16</v>
      </c>
      <c r="P97">
        <f>IF(N97&gt;0,VLOOKUP(O97,$V$2:$X$9,2,FALSE),0)</f>
        <v>1010</v>
      </c>
      <c r="Q97">
        <f>IF(L97&gt;0,M97-50+$N$6*O97,VLOOKUP(O97,$V$2:$X$9,3,FALSE))</f>
        <v>770</v>
      </c>
      <c r="R97">
        <f>IF(E97="F",J97-$N$5+$N$6*O97+Q97,IF(E97="D",J97+Q97+P97,IF(E97="T",J97+P97,IF(E97="A",J97-$N$5+$N$6*O97,0))))</f>
        <v>6280</v>
      </c>
      <c r="T97">
        <f>SUM(R97:S97)</f>
        <v>6280</v>
      </c>
      <c r="U97">
        <f>K97*N97</f>
        <v>6</v>
      </c>
      <c r="V97">
        <f>'Data-Kolom'!J97</f>
        <v>0</v>
      </c>
      <c r="W97">
        <f>'Data-Kolom'!K97</f>
        <v>0</v>
      </c>
      <c r="X97">
        <f>IF(V97&gt;0,VLOOKUP(W97,$V$2:$X$9,2,FALSE),0)</f>
        <v>0</v>
      </c>
      <c r="Y97">
        <f>IF(V97&gt;0,IF(L97&gt;0,M97-50+$N$6*W97,VLOOKUP(W97,$V$2:$X$9,3,FALSE)),0)</f>
        <v>0</v>
      </c>
      <c r="Z97">
        <f>IF(E97="F",J97-$N$5+$N$6*W97+Y97,IF(E97="D",J97+Y97+X97,IF(E97="T",J97+X97,IF(E97="A",J97-$N$5+$N$6*W97,0))))</f>
        <v>4500</v>
      </c>
      <c r="AB97">
        <f>SUM(Z97:AA97)</f>
        <v>4500</v>
      </c>
      <c r="AC97">
        <f>V97*K97</f>
        <v>0</v>
      </c>
      <c r="AD97">
        <f>'Data-Kolom'!L97</f>
        <v>8</v>
      </c>
      <c r="AE97">
        <f>'Data-Kolom'!M97</f>
        <v>100</v>
      </c>
      <c r="AF97">
        <f>'Data-Kolom'!N97</f>
        <v>100</v>
      </c>
      <c r="AG97">
        <f>'Data-Kolom'!O97</f>
        <v>100</v>
      </c>
      <c r="AH97">
        <f>'Data-Kolom'!P97</f>
        <v>0.5</v>
      </c>
      <c r="AI97">
        <f>'Data-Kolom'!Q97</f>
        <v>8</v>
      </c>
      <c r="AJ97">
        <f>'Data-Kolom'!R97</f>
        <v>0</v>
      </c>
      <c r="AK97">
        <f>'Data-Kolom'!S97</f>
        <v>0</v>
      </c>
      <c r="AL97">
        <f>2*(H97+I97-4*$N$5)+2*MAX($F$5*AD97,75)</f>
        <v>1330</v>
      </c>
      <c r="AM97">
        <f>+AH97*(H97-2*$N$5+2*MAX($F$5*AI97,75))+AJ97*(I97-2*$N$5+2*MAX($F$5*AK97,75))</f>
        <v>140</v>
      </c>
      <c r="AN97">
        <f>(ROUND((1/2*J97+IF(M97&gt;0,(Q97-$N$6*AD97),0))/AE97,0)+(ROUND(1/2*J97/AF97,0)+1))*K97</f>
        <v>47</v>
      </c>
      <c r="AO97">
        <f>H97*I97*J97/1000000000*K97*(1+$T$5)</f>
        <v>0.3825</v>
      </c>
      <c r="AP97">
        <f>0.006165*O97^2*T97*U97/1000*(1+$T$6)</f>
        <v>59.4680832</v>
      </c>
      <c r="AQ97">
        <f>0.006165*W97^2*AB97*AC97/1000*(1+$T$6)</f>
        <v>0</v>
      </c>
      <c r="AR97">
        <f>AN97*0.006165*AD97^2*AL97/1000*(1+$T$6)</f>
        <v>24.6639456</v>
      </c>
      <c r="AS97">
        <f>AN97*0.006165*AI97^2*AM97/1000*(1+$T$6)</f>
        <v>2.5962048000000006</v>
      </c>
      <c r="AT97">
        <f>K97*2*J97*(H97+I97)/1000000*(1+$T$7)</f>
        <v>6.03</v>
      </c>
      <c r="AU97">
        <f>SUM(AP97:AS97)/AO97</f>
        <v>226.74048</v>
      </c>
      <c r="AV97">
        <f>AT97/AO97</f>
        <v>15.764705882352942</v>
      </c>
      <c r="AX97">
        <f>0.006165*O97^2*R97*U97/1000*(1+$T$6)</f>
        <v>59.4680832</v>
      </c>
      <c r="AZ97">
        <f>0.006165*O97^2*S97*U97/1000*(1+$T$6)</f>
        <v>0</v>
      </c>
      <c r="BA97">
        <f>AZ97/AP97</f>
        <v>0</v>
      </c>
    </row>
    <row r="98">
      <c r="A98">
        <f>'Data-Kolom'!A98</f>
        <v>32</v>
      </c>
      <c r="B98" t="str">
        <f>'Data-Kolom'!B98</f>
        <v>Lantai 1</v>
      </c>
      <c r="C98">
        <f>'Data-Kolom'!C98</f>
        <v>0</v>
      </c>
      <c r="D98" t="str">
        <f>'Data-Kolom'!D98</f>
        <v>K278-1</v>
      </c>
      <c r="E98" t="str">
        <v>T</v>
      </c>
      <c r="F98">
        <f>'Data-Kolom'!U98</f>
        <v>0</v>
      </c>
      <c r="G98">
        <f>'Data-Kolom'!T98</f>
        <v>0</v>
      </c>
      <c r="H98">
        <f>'Data-Kolom'!E98</f>
        <v>270</v>
      </c>
      <c r="I98">
        <f>'Data-Kolom'!F98</f>
        <v>800</v>
      </c>
      <c r="J98">
        <f>'Data-Kolom'!G98</f>
        <v>4500</v>
      </c>
      <c r="K98">
        <v>1</v>
      </c>
      <c r="M98">
        <f>IF(L98&gt;0,VLOOKUP(L98,'Data-PC'!$B$14:$F$36,4,FALSE),0)</f>
        <v>0</v>
      </c>
      <c r="N98">
        <f>'Data-Kolom'!H98</f>
        <v>4</v>
      </c>
      <c r="O98">
        <f>'Data-Kolom'!I98</f>
        <v>22</v>
      </c>
      <c r="P98">
        <f>IF(N98&gt;0,VLOOKUP(O98,$V$2:$X$9,2,FALSE),0)</f>
        <v>1700</v>
      </c>
      <c r="Q98">
        <f>IF(L98&gt;0,M98-50+$N$6*O98,VLOOKUP(O98,$V$2:$X$9,3,FALSE))</f>
        <v>1300</v>
      </c>
      <c r="R98">
        <f>IF(E98="F",J98-$N$5+$N$6*O98+Q98,IF(E98="D",J98+Q98+P98,IF(E98="T",J98+P98,IF(E98="A",J98-$N$5+$N$6*O98,0))))</f>
        <v>6200</v>
      </c>
      <c r="T98">
        <f>SUM(R98:S98)</f>
        <v>6200</v>
      </c>
      <c r="U98">
        <f>K98*N98</f>
        <v>4</v>
      </c>
      <c r="V98">
        <f>'Data-Kolom'!J98</f>
        <v>8</v>
      </c>
      <c r="W98">
        <f>'Data-Kolom'!K98</f>
        <v>19</v>
      </c>
      <c r="X98">
        <f>IF(V98&gt;0,VLOOKUP(W98,$V$2:$X$9,2,FALSE),0)</f>
        <v>1190</v>
      </c>
      <c r="Y98">
        <f>IF(V98&gt;0,IF(L98&gt;0,M98-50+$N$6*W98,VLOOKUP(W98,$V$2:$X$9,3,FALSE)),0)</f>
        <v>910</v>
      </c>
      <c r="Z98">
        <f>IF(E98="F",J98-$N$5+$N$6*W98+Y98,IF(E98="D",J98+Y98+X98,IF(E98="T",J98+X98,IF(E98="A",J98-$N$5+$N$6*W98,0))))</f>
        <v>5690</v>
      </c>
      <c r="AB98">
        <f>SUM(Z98:AA98)</f>
        <v>5690</v>
      </c>
      <c r="AC98">
        <f>V98*K98</f>
        <v>8</v>
      </c>
      <c r="AD98">
        <f>'Data-Kolom'!L98</f>
        <v>10</v>
      </c>
      <c r="AE98">
        <f>'Data-Kolom'!M98</f>
        <v>100</v>
      </c>
      <c r="AF98">
        <f>'Data-Kolom'!N98</f>
        <v>100</v>
      </c>
      <c r="AG98">
        <f>'Data-Kolom'!O98</f>
        <v>100</v>
      </c>
      <c r="AH98">
        <f>'Data-Kolom'!P98</f>
        <v>1</v>
      </c>
      <c r="AI98">
        <f>'Data-Kolom'!Q98</f>
        <v>10</v>
      </c>
      <c r="AJ98">
        <f>'Data-Kolom'!R98</f>
        <v>0</v>
      </c>
      <c r="AK98">
        <f>'Data-Kolom'!S98</f>
        <v>0</v>
      </c>
      <c r="AL98">
        <f>2*(H98+I98-4*$N$5)+2*MAX($F$5*AD98,75)</f>
        <v>2130</v>
      </c>
      <c r="AM98">
        <f>+AH98*(H98-2*$N$5+2*MAX($F$5*AI98,75))+AJ98*(I98-2*$N$5+2*MAX($F$5*AK98,75))</f>
        <v>380</v>
      </c>
      <c r="AN98">
        <f>(ROUND((1/2*J98+IF(M98&gt;0,(Q98-$N$6*AD98),0))/AE98,0)+(ROUND(1/2*J98/AF98,0)+1))*K98</f>
        <v>47</v>
      </c>
      <c r="AO98">
        <f>H98*I98*J98/1000000000*K98*(1+$T$5)</f>
        <v>0.972</v>
      </c>
      <c r="AP98">
        <f>0.006165*O98^2*T98*U98/1000*(1+$T$6)</f>
        <v>73.999728</v>
      </c>
      <c r="AQ98">
        <f>0.006165*W98^2*AB98*AC98/1000*(1+$T$6)</f>
        <v>101.3077188</v>
      </c>
      <c r="AR98">
        <f>AN98*0.006165*AD98^2*AL98/1000*(1+$T$6)</f>
        <v>61.71781500000001</v>
      </c>
      <c r="AS98">
        <f>AN98*0.006165*AI98^2*AM98/1000*(1+$T$6)</f>
        <v>11.010690000000002</v>
      </c>
      <c r="AT98">
        <f>K98*2*J98*(H98+I98)/1000000*(1+$T$7)</f>
        <v>9.63</v>
      </c>
      <c r="AU98">
        <f>SUM(AP98:AS98)/AO98</f>
        <v>255.1810203703704</v>
      </c>
      <c r="AV98">
        <f>AT98/AO98</f>
        <v>9.907407407407408</v>
      </c>
      <c r="AX98">
        <f>0.006165*O98^2*R98*U98/1000*(1+$T$6)</f>
        <v>73.999728</v>
      </c>
      <c r="AZ98">
        <f>0.006165*O98^2*S98*U98/1000*(1+$T$6)</f>
        <v>0</v>
      </c>
      <c r="BA98">
        <f>AZ98/AP98</f>
        <v>0</v>
      </c>
    </row>
    <row r="99">
      <c r="A99">
        <f>'Data-Kolom'!A99</f>
        <v>33</v>
      </c>
      <c r="B99" t="str">
        <f>'Data-Kolom'!B99</f>
        <v>Lantai 1</v>
      </c>
      <c r="C99">
        <f>'Data-Kolom'!C99</f>
        <v>0</v>
      </c>
      <c r="D99" t="str">
        <f>'Data-Kolom'!D99</f>
        <v>K278-1</v>
      </c>
      <c r="E99" t="str">
        <v>A</v>
      </c>
      <c r="F99">
        <f>'Data-Kolom'!U99</f>
        <v>0</v>
      </c>
      <c r="G99">
        <f>'Data-Kolom'!T99</f>
        <v>0</v>
      </c>
      <c r="H99">
        <f>'Data-Kolom'!E99</f>
        <v>270</v>
      </c>
      <c r="I99">
        <f>'Data-Kolom'!F99</f>
        <v>800</v>
      </c>
      <c r="J99">
        <f>'Data-Kolom'!G99</f>
        <v>4500</v>
      </c>
      <c r="K99">
        <v>1</v>
      </c>
      <c r="M99">
        <f>IF(L99&gt;0,VLOOKUP(L99,'Data-PC'!$B$14:$F$36,4,FALSE),0)</f>
        <v>0</v>
      </c>
      <c r="N99">
        <f>'Data-Kolom'!H99</f>
        <v>4</v>
      </c>
      <c r="O99">
        <f>'Data-Kolom'!I99</f>
        <v>22</v>
      </c>
      <c r="P99">
        <f>IF(N99&gt;0,VLOOKUP(O99,$V$2:$X$9,2,FALSE),0)</f>
        <v>1700</v>
      </c>
      <c r="Q99">
        <f>IF(L99&gt;0,M99-50+$N$6*O99,VLOOKUP(O99,$V$2:$X$9,3,FALSE))</f>
        <v>1300</v>
      </c>
      <c r="R99">
        <f>IF(E99="F",J99-$N$5+$N$6*O99+Q99,IF(E99="D",J99+Q99+P99,IF(E99="T",J99+P99,IF(E99="A",J99-$N$5+$N$6*O99,0))))</f>
        <v>4744</v>
      </c>
      <c r="T99">
        <f>SUM(R99:S99)</f>
        <v>4744</v>
      </c>
      <c r="U99">
        <f>K99*N99</f>
        <v>4</v>
      </c>
      <c r="V99">
        <f>'Data-Kolom'!J99</f>
        <v>8</v>
      </c>
      <c r="W99">
        <f>'Data-Kolom'!K99</f>
        <v>19</v>
      </c>
      <c r="X99">
        <f>IF(V99&gt;0,VLOOKUP(W99,$V$2:$X$9,2,FALSE),0)</f>
        <v>1190</v>
      </c>
      <c r="Y99">
        <f>IF(V99&gt;0,IF(L99&gt;0,M99-50+$N$6*W99,VLOOKUP(W99,$V$2:$X$9,3,FALSE)),0)</f>
        <v>910</v>
      </c>
      <c r="Z99">
        <f>IF(E99="F",J99-$N$5+$N$6*W99+Y99,IF(E99="D",J99+Y99+X99,IF(E99="T",J99+X99,IF(E99="A",J99-$N$5+$N$6*W99,0))))</f>
        <v>4708</v>
      </c>
      <c r="AB99">
        <f>SUM(Z99:AA99)</f>
        <v>4708</v>
      </c>
      <c r="AC99">
        <f>V99*K99</f>
        <v>8</v>
      </c>
      <c r="AD99">
        <f>'Data-Kolom'!L99</f>
        <v>10</v>
      </c>
      <c r="AE99">
        <f>'Data-Kolom'!M99</f>
        <v>100</v>
      </c>
      <c r="AF99">
        <f>'Data-Kolom'!N99</f>
        <v>100</v>
      </c>
      <c r="AG99">
        <f>'Data-Kolom'!O99</f>
        <v>100</v>
      </c>
      <c r="AH99">
        <f>'Data-Kolom'!P99</f>
        <v>1</v>
      </c>
      <c r="AI99">
        <f>'Data-Kolom'!Q99</f>
        <v>10</v>
      </c>
      <c r="AJ99">
        <f>'Data-Kolom'!R99</f>
        <v>0</v>
      </c>
      <c r="AK99">
        <f>'Data-Kolom'!S99</f>
        <v>0</v>
      </c>
      <c r="AL99">
        <f>2*(H99+I99-4*$N$5)+2*MAX($F$5*AD99,75)</f>
        <v>2130</v>
      </c>
      <c r="AM99">
        <f>+AH99*(H99-2*$N$5+2*MAX($F$5*AI99,75))+AJ99*(I99-2*$N$5+2*MAX($F$5*AK99,75))</f>
        <v>380</v>
      </c>
      <c r="AN99">
        <f>(ROUND((1/2*J99+IF(M99&gt;0,(Q99-$N$6*AD99),0))/AE99,0)+(ROUND(1/2*J99/AF99,0)+1))*K99</f>
        <v>47</v>
      </c>
      <c r="AO99">
        <f>H99*I99*J99/1000000000*K99*(1+$T$5)</f>
        <v>0.972</v>
      </c>
      <c r="AP99">
        <f>0.006165*O99^2*T99*U99/1000*(1+$T$6)</f>
        <v>56.621727359999994</v>
      </c>
      <c r="AQ99">
        <f>0.006165*W99^2*AB99*AC99/1000*(1+$T$6)</f>
        <v>83.82368016000001</v>
      </c>
      <c r="AR99">
        <f>AN99*0.006165*AD99^2*AL99/1000*(1+$T$6)</f>
        <v>61.71781500000001</v>
      </c>
      <c r="AS99">
        <f>AN99*0.006165*AI99^2*AM99/1000*(1+$T$6)</f>
        <v>11.010690000000002</v>
      </c>
      <c r="AT99">
        <f>K99*2*J99*(H99+I99)/1000000*(1+$T$7)</f>
        <v>9.63</v>
      </c>
      <c r="AU99">
        <f>SUM(AP99:AS99)/AO99</f>
        <v>219.31472481481484</v>
      </c>
      <c r="AV99">
        <f>AT99/AO99</f>
        <v>9.907407407407408</v>
      </c>
      <c r="AX99">
        <f>0.006165*O99^2*R99*U99/1000*(1+$T$6)</f>
        <v>56.621727359999994</v>
      </c>
      <c r="AZ99">
        <f>0.006165*O99^2*S99*U99/1000*(1+$T$6)</f>
        <v>0</v>
      </c>
      <c r="BA99">
        <f>AZ99/AP99</f>
        <v>0</v>
      </c>
    </row>
    <row r="100">
      <c r="A100">
        <f>'Data-Kolom'!A100</f>
        <v>34</v>
      </c>
      <c r="B100" t="str">
        <f>'Data-Kolom'!B100</f>
        <v>Lantai 1</v>
      </c>
      <c r="C100">
        <f>'Data-Kolom'!C100</f>
        <v>0</v>
      </c>
      <c r="D100" t="str">
        <f>'Data-Kolom'!D100</f>
        <v>K176-1</v>
      </c>
      <c r="E100" t="str">
        <v>T</v>
      </c>
      <c r="F100">
        <f>'Data-Kolom'!U100</f>
        <v>0</v>
      </c>
      <c r="G100">
        <f>'Data-Kolom'!T100</f>
        <v>0</v>
      </c>
      <c r="H100">
        <f>'Data-Kolom'!E100</f>
        <v>170</v>
      </c>
      <c r="I100">
        <f>'Data-Kolom'!F100</f>
        <v>600</v>
      </c>
      <c r="J100">
        <f>'Data-Kolom'!G100</f>
        <v>4500</v>
      </c>
      <c r="K100">
        <v>1</v>
      </c>
      <c r="M100">
        <f>IF(L100&gt;0,VLOOKUP(L100,'Data-PC'!$B$14:$F$36,4,FALSE),0)</f>
        <v>0</v>
      </c>
      <c r="N100">
        <f>'Data-Kolom'!H100</f>
        <v>10</v>
      </c>
      <c r="O100">
        <f>'Data-Kolom'!I100</f>
        <v>16</v>
      </c>
      <c r="P100">
        <f>IF(N100&gt;0,VLOOKUP(O100,$V$2:$X$9,2,FALSE),0)</f>
        <v>1010</v>
      </c>
      <c r="Q100">
        <f>IF(L100&gt;0,M100-50+$N$6*O100,VLOOKUP(O100,$V$2:$X$9,3,FALSE))</f>
        <v>770</v>
      </c>
      <c r="R100">
        <f>IF(E100="F",J100-$N$5+$N$6*O100+Q100,IF(E100="D",J100+Q100+P100,IF(E100="T",J100+P100,IF(E100="A",J100-$N$5+$N$6*O100,0))))</f>
        <v>5510</v>
      </c>
      <c r="T100">
        <f>SUM(R100:S100)</f>
        <v>5510</v>
      </c>
      <c r="U100">
        <f>K100*N100</f>
        <v>10</v>
      </c>
      <c r="V100">
        <f>'Data-Kolom'!J100</f>
        <v>0</v>
      </c>
      <c r="W100">
        <f>'Data-Kolom'!K100</f>
        <v>0</v>
      </c>
      <c r="X100">
        <f>IF(V100&gt;0,VLOOKUP(W100,$V$2:$X$9,2,FALSE),0)</f>
        <v>0</v>
      </c>
      <c r="Y100">
        <f>IF(V100&gt;0,IF(L100&gt;0,M100-50+$N$6*W100,VLOOKUP(W100,$V$2:$X$9,3,FALSE)),0)</f>
        <v>0</v>
      </c>
      <c r="Z100">
        <f>IF(E100="F",J100-$N$5+$N$6*W100+Y100,IF(E100="D",J100+Y100+X100,IF(E100="T",J100+X100,IF(E100="A",J100-$N$5+$N$6*W100,0))))</f>
        <v>4500</v>
      </c>
      <c r="AB100">
        <f>SUM(Z100:AA100)</f>
        <v>4500</v>
      </c>
      <c r="AC100">
        <f>V100*K100</f>
        <v>0</v>
      </c>
      <c r="AD100">
        <f>'Data-Kolom'!L100</f>
        <v>8</v>
      </c>
      <c r="AE100">
        <f>'Data-Kolom'!M100</f>
        <v>100</v>
      </c>
      <c r="AF100">
        <f>'Data-Kolom'!N100</f>
        <v>100</v>
      </c>
      <c r="AG100">
        <f>'Data-Kolom'!O100</f>
        <v>100</v>
      </c>
      <c r="AH100">
        <f>'Data-Kolom'!P100</f>
        <v>0.5</v>
      </c>
      <c r="AI100">
        <f>'Data-Kolom'!Q100</f>
        <v>8</v>
      </c>
      <c r="AJ100">
        <f>'Data-Kolom'!R100</f>
        <v>0</v>
      </c>
      <c r="AK100">
        <f>'Data-Kolom'!S100</f>
        <v>0</v>
      </c>
      <c r="AL100">
        <f>2*(H100+I100-4*$N$5)+2*MAX($F$5*AD100,75)</f>
        <v>1530</v>
      </c>
      <c r="AM100">
        <f>+AH100*(H100-2*$N$5+2*MAX($F$5*AI100,75))+AJ100*(I100-2*$N$5+2*MAX($F$5*AK100,75))</f>
        <v>140</v>
      </c>
      <c r="AN100">
        <f>(ROUND((1/2*J100+IF(M100&gt;0,(Q100-$N$6*AD100),0))/AE100,0)+(ROUND(1/2*J100/AF100,0)+1))*K100</f>
        <v>47</v>
      </c>
      <c r="AO100">
        <f>H100*I100*J100/1000000000*K100*(1+$T$5)</f>
        <v>0.459</v>
      </c>
      <c r="AP100">
        <f>0.006165*O100^2*T100*U100/1000*(1+$T$6)</f>
        <v>86.96102400000001</v>
      </c>
      <c r="AQ100">
        <f>0.006165*W100^2*AB100*AC100/1000*(1+$T$6)</f>
        <v>0</v>
      </c>
      <c r="AR100">
        <f>AN100*0.006165*AD100^2*AL100/1000*(1+$T$6)</f>
        <v>28.372809600000004</v>
      </c>
      <c r="AS100">
        <f>AN100*0.006165*AI100^2*AM100/1000*(1+$T$6)</f>
        <v>2.5962048000000006</v>
      </c>
      <c r="AT100">
        <f>K100*2*J100*(H100+I100)/1000000*(1+$T$7)</f>
        <v>6.93</v>
      </c>
      <c r="AU100">
        <f>SUM(AP100:AS100)/AO100</f>
        <v>256.92818823529416</v>
      </c>
      <c r="AV100">
        <f>AT100/AO100</f>
        <v>15.098039215686272</v>
      </c>
      <c r="AX100">
        <f>0.006165*O100^2*R100*U100/1000*(1+$T$6)</f>
        <v>86.96102400000001</v>
      </c>
      <c r="AZ100">
        <f>0.006165*O100^2*S100*U100/1000*(1+$T$6)</f>
        <v>0</v>
      </c>
      <c r="BA100">
        <f>AZ100/AP100</f>
        <v>0</v>
      </c>
    </row>
    <row r="101">
      <c r="A101">
        <f>'Data-Kolom'!A101</f>
        <v>38</v>
      </c>
      <c r="B101" t="str">
        <f>'Data-Kolom'!B101</f>
        <v>Lantai 1</v>
      </c>
      <c r="C101">
        <f>'Data-Kolom'!C101</f>
        <v>0</v>
      </c>
      <c r="D101" t="str">
        <f>'Data-Kolom'!D101</f>
        <v>K179-1</v>
      </c>
      <c r="E101" t="str">
        <v>T</v>
      </c>
      <c r="F101">
        <f>'Data-Kolom'!U101</f>
        <v>0</v>
      </c>
      <c r="G101">
        <f>'Data-Kolom'!T101</f>
        <v>0</v>
      </c>
      <c r="H101">
        <f>'Data-Kolom'!E101</f>
        <v>170</v>
      </c>
      <c r="I101">
        <f>'Data-Kolom'!F101</f>
        <v>900</v>
      </c>
      <c r="J101">
        <f>'Data-Kolom'!G101</f>
        <v>4500</v>
      </c>
      <c r="K101">
        <v>1</v>
      </c>
      <c r="M101">
        <f>IF(L101&gt;0,VLOOKUP(L101,'Data-PC'!$B$14:$F$36,4,FALSE),0)</f>
        <v>0</v>
      </c>
      <c r="N101">
        <f>'Data-Kolom'!H101</f>
        <v>14</v>
      </c>
      <c r="O101">
        <f>'Data-Kolom'!I101</f>
        <v>19</v>
      </c>
      <c r="P101">
        <f>IF(N101&gt;0,VLOOKUP(O101,$V$2:$X$9,2,FALSE),0)</f>
        <v>1190</v>
      </c>
      <c r="Q101">
        <f>IF(L101&gt;0,M101-50+$N$6*O101,VLOOKUP(O101,$V$2:$X$9,3,FALSE))</f>
        <v>910</v>
      </c>
      <c r="R101">
        <f>IF(E101="F",J101-$N$5+$N$6*O101+Q101,IF(E101="D",J101+Q101+P101,IF(E101="T",J101+P101,IF(E101="A",J101-$N$5+$N$6*O101,0))))</f>
        <v>5690</v>
      </c>
      <c r="T101">
        <f>SUM(R101:S101)</f>
        <v>5690</v>
      </c>
      <c r="U101">
        <f>K101*N101</f>
        <v>14</v>
      </c>
      <c r="V101">
        <f>'Data-Kolom'!J101</f>
        <v>0</v>
      </c>
      <c r="W101">
        <f>'Data-Kolom'!K101</f>
        <v>0</v>
      </c>
      <c r="X101">
        <f>IF(V101&gt;0,VLOOKUP(W101,$V$2:$X$9,2,FALSE),0)</f>
        <v>0</v>
      </c>
      <c r="Y101">
        <f>IF(V101&gt;0,IF(L101&gt;0,M101-50+$N$6*W101,VLOOKUP(W101,$V$2:$X$9,3,FALSE)),0)</f>
        <v>0</v>
      </c>
      <c r="Z101">
        <f>IF(E101="F",J101-$N$5+$N$6*W101+Y101,IF(E101="D",J101+Y101+X101,IF(E101="T",J101+X101,IF(E101="A",J101-$N$5+$N$6*W101,0))))</f>
        <v>4500</v>
      </c>
      <c r="AB101">
        <f>SUM(Z101:AA101)</f>
        <v>4500</v>
      </c>
      <c r="AC101">
        <f>V101*K101</f>
        <v>0</v>
      </c>
      <c r="AD101">
        <f>'Data-Kolom'!L101</f>
        <v>8</v>
      </c>
      <c r="AE101">
        <f>'Data-Kolom'!M101</f>
        <v>100</v>
      </c>
      <c r="AF101">
        <f>'Data-Kolom'!N101</f>
        <v>100</v>
      </c>
      <c r="AG101">
        <f>'Data-Kolom'!O101</f>
        <v>100</v>
      </c>
      <c r="AH101">
        <f>'Data-Kolom'!P101</f>
        <v>1</v>
      </c>
      <c r="AI101">
        <f>'Data-Kolom'!Q101</f>
        <v>8</v>
      </c>
      <c r="AJ101">
        <f>'Data-Kolom'!R101</f>
        <v>0</v>
      </c>
      <c r="AK101">
        <f>'Data-Kolom'!S101</f>
        <v>0</v>
      </c>
      <c r="AL101">
        <f>2*(H101+I101-4*$N$5)+2*MAX($F$5*AD101,75)</f>
        <v>2130</v>
      </c>
      <c r="AM101">
        <f>+AH101*(H101-2*$N$5+2*MAX($F$5*AI101,75))+AJ101*(I101-2*$N$5+2*MAX($F$5*AK101,75))</f>
        <v>280</v>
      </c>
      <c r="AN101">
        <f>(ROUND((1/2*J101+IF(M101&gt;0,(Q101-$N$6*AD101),0))/AE101,0)+(ROUND(1/2*J101/AF101,0)+1))*K101</f>
        <v>47</v>
      </c>
      <c r="AO101">
        <f>H101*I101*J101/1000000000*K101*(1+$T$5)</f>
        <v>0.6885</v>
      </c>
      <c r="AP101">
        <f>0.006165*O101^2*T101*U101/1000*(1+$T$6)</f>
        <v>177.28850789999998</v>
      </c>
      <c r="AQ101">
        <f>0.006165*W101^2*AB101*AC101/1000*(1+$T$6)</f>
        <v>0</v>
      </c>
      <c r="AR101">
        <f>AN101*0.006165*AD101^2*AL101/1000*(1+$T$6)</f>
        <v>39.499401600000006</v>
      </c>
      <c r="AS101">
        <f>AN101*0.006165*AI101^2*AM101/1000*(1+$T$6)</f>
        <v>5.192409600000001</v>
      </c>
      <c r="AT101">
        <f>K101*2*J101*(H101+I101)/1000000*(1+$T$7)</f>
        <v>9.63</v>
      </c>
      <c r="AU101">
        <f>SUM(AP101:AS101)/AO101</f>
        <v>322.4115019607843</v>
      </c>
      <c r="AV101">
        <f>AT101/AO101</f>
        <v>13.986928104575165</v>
      </c>
      <c r="AX101">
        <f>0.006165*O101^2*R101*U101/1000*(1+$T$6)</f>
        <v>177.28850789999998</v>
      </c>
      <c r="AZ101">
        <f>0.006165*O101^2*S101*U101/1000*(1+$T$6)</f>
        <v>0</v>
      </c>
      <c r="BA101">
        <f>AZ101/AP101</f>
        <v>0</v>
      </c>
    </row>
    <row r="102">
      <c r="A102">
        <f>'Data-Kolom'!A102</f>
        <v>108</v>
      </c>
      <c r="B102" t="str">
        <f>'Data-Kolom'!B102</f>
        <v>Lantai 1</v>
      </c>
      <c r="C102">
        <f>'Data-Kolom'!C102</f>
        <v>0</v>
      </c>
      <c r="D102" t="str">
        <f>'Data-Kolom'!D102</f>
        <v>KL175-3</v>
      </c>
      <c r="E102" t="str">
        <v>F</v>
      </c>
      <c r="F102">
        <f>'Data-Kolom'!U102</f>
        <v>0</v>
      </c>
      <c r="G102">
        <f>'Data-Kolom'!T102</f>
        <v>0</v>
      </c>
      <c r="H102">
        <f>'Data-Kolom'!E102</f>
        <v>170</v>
      </c>
      <c r="I102">
        <f>'Data-Kolom'!F102</f>
        <v>500</v>
      </c>
      <c r="J102">
        <f>'Data-Kolom'!G102</f>
        <v>4500</v>
      </c>
      <c r="K102">
        <v>2</v>
      </c>
      <c r="L102">
        <f>'Data-Kolom'!C102</f>
        <v>0</v>
      </c>
      <c r="M102">
        <f>IF(L102&gt;0,VLOOKUP(L102,'Data-PC'!$B$14:$F$36,4,FALSE),0)</f>
        <v>0</v>
      </c>
      <c r="N102">
        <f>'Data-Kolom'!H102</f>
        <v>8</v>
      </c>
      <c r="O102">
        <f>'Data-Kolom'!I102</f>
        <v>19</v>
      </c>
      <c r="P102">
        <f>IF(N102&gt;0,VLOOKUP(O102,$V$2:$X$9,2,FALSE),0)</f>
        <v>1190</v>
      </c>
      <c r="Q102">
        <f>IF(L102&gt;0,M102-50+$N$6*O102,VLOOKUP(O102,$V$2:$X$9,3,FALSE))</f>
        <v>910</v>
      </c>
      <c r="R102">
        <f>IF(E102="F",J102-$N$5+$N$6*O102+Q102,IF(E102="D",J102+Q102+P102,IF(E102="T",J102+P102,IF(E102="A",J102-$N$5+$N$6*O102,0))))</f>
        <v>5618</v>
      </c>
      <c r="T102">
        <f>SUM(R102:S102)</f>
        <v>5618</v>
      </c>
      <c r="U102">
        <f>K102*N102</f>
        <v>16</v>
      </c>
      <c r="V102">
        <f>'Data-Kolom'!J102</f>
        <v>0</v>
      </c>
      <c r="W102">
        <f>'Data-Kolom'!K102</f>
        <v>0</v>
      </c>
      <c r="X102">
        <f>IF(V102&gt;0,VLOOKUP(W102,$V$2:$X$9,2,FALSE),0)</f>
        <v>0</v>
      </c>
      <c r="Y102">
        <f>IF(V102&gt;0,IF(L102&gt;0,M102-50+$N$6*W102,VLOOKUP(W102,$V$2:$X$9,3,FALSE)),0)</f>
        <v>0</v>
      </c>
      <c r="Z102">
        <f>IF(E102="F",J102-$N$5+$N$6*W102+Y102,IF(E102="D",J102+Y102+X102,IF(E102="T",J102+X102,IF(E102="A",J102-$N$5+$N$6*W102,0))))</f>
        <v>4480</v>
      </c>
      <c r="AB102">
        <f>SUM(Z102:AA102)</f>
        <v>4480</v>
      </c>
      <c r="AC102">
        <f>V102*K102</f>
        <v>0</v>
      </c>
      <c r="AD102">
        <f>'Data-Kolom'!L102</f>
        <v>8</v>
      </c>
      <c r="AE102">
        <f>'Data-Kolom'!M102</f>
        <v>100</v>
      </c>
      <c r="AF102">
        <f>'Data-Kolom'!N102</f>
        <v>100</v>
      </c>
      <c r="AG102">
        <f>'Data-Kolom'!O102</f>
        <v>100</v>
      </c>
      <c r="AH102">
        <f>'Data-Kolom'!P102</f>
        <v>0.5</v>
      </c>
      <c r="AI102">
        <f>'Data-Kolom'!Q102</f>
        <v>8</v>
      </c>
      <c r="AJ102">
        <f>'Data-Kolom'!R102</f>
        <v>0</v>
      </c>
      <c r="AK102">
        <f>'Data-Kolom'!S102</f>
        <v>0</v>
      </c>
      <c r="AL102">
        <f>2*(H102+I102-4*$N$5)+2*MAX($F$5*AD102,75)</f>
        <v>1330</v>
      </c>
      <c r="AM102">
        <f>+AH102*(H102-2*$N$5+2*MAX($F$5*AI102,75))+AJ102*(I102-2*$N$5+2*MAX($F$5*AK102,75))</f>
        <v>140</v>
      </c>
      <c r="AN102">
        <f>(ROUND((1/2*J102+IF(M102&gt;0,(Q102-$N$6*AD102),0))/AE102,0)+(ROUND(1/2*J102/AF102,0)+1))*K102</f>
        <v>94</v>
      </c>
      <c r="AO102">
        <f>H102*I102*J102/1000000000*K102*(1+$T$5)-(K102/2*H102*H102*J102/1000000000)</f>
        <v>0.63495</v>
      </c>
      <c r="AP102">
        <f>0.006165*O102^2*T102*U102/1000*(1+$T$6)</f>
        <v>200.05158672</v>
      </c>
      <c r="AQ102">
        <f>0.006165*W102^2*AB102*AC102/1000*(1+$T$6)</f>
        <v>0</v>
      </c>
      <c r="AR102">
        <f>AN102*0.006165*AD102^2*AL102/1000*(1+$T$6)</f>
        <v>49.3278912</v>
      </c>
      <c r="AS102">
        <f>AN102*0.006165*AI102^2*AM102/1000*(1+$T$6)</f>
        <v>5.192409600000001</v>
      </c>
      <c r="AT102">
        <f>K102*2*J102*(H102+I102)/1000000*(1+$T$7)-(K102/2*4*H102*J102/1000000)</f>
        <v>9</v>
      </c>
      <c r="AU102">
        <f>SUM(AP102:AS102)/AO102</f>
        <v>400.93217973068744</v>
      </c>
      <c r="AV102">
        <f>AT102/AO102</f>
        <v>14.174344436569807</v>
      </c>
      <c r="AX102">
        <f>0.006165*O102^2*R102*U102/1000*(1+$T$6)</f>
        <v>200.05158672</v>
      </c>
      <c r="AZ102">
        <f>0.006165*O102^2*S102*U102/1000*(1+$T$6)</f>
        <v>0</v>
      </c>
      <c r="BA102">
        <f>AZ102/AP102</f>
        <v>0</v>
      </c>
    </row>
    <row r="103">
      <c r="A103">
        <f>'Data-Kolom'!A103</f>
        <v>43</v>
      </c>
      <c r="B103" t="str">
        <f>'Data-Kolom'!B103</f>
        <v>Lantai 1</v>
      </c>
      <c r="C103">
        <f>'Data-Kolom'!C103</f>
        <v>0</v>
      </c>
      <c r="D103" t="str">
        <f>'Data-Kolom'!D103</f>
        <v>K59-1</v>
      </c>
      <c r="E103" t="str">
        <v>A</v>
      </c>
      <c r="F103">
        <f>'Data-Kolom'!U103</f>
        <v>0</v>
      </c>
      <c r="G103">
        <f>'Data-Kolom'!T103</f>
        <v>0</v>
      </c>
      <c r="H103">
        <f>'Data-Kolom'!E103</f>
        <v>500</v>
      </c>
      <c r="I103">
        <f>'Data-Kolom'!F103</f>
        <v>900</v>
      </c>
      <c r="J103">
        <f>'Data-Kolom'!G103</f>
        <v>4500</v>
      </c>
      <c r="K103">
        <v>1</v>
      </c>
      <c r="M103">
        <f>IF(L103&gt;0,VLOOKUP(L103,'Data-PC'!$B$14:$F$36,4,FALSE),0)</f>
        <v>0</v>
      </c>
      <c r="N103">
        <f>'Data-Kolom'!H103</f>
        <v>18</v>
      </c>
      <c r="O103">
        <f>'Data-Kolom'!I103</f>
        <v>22</v>
      </c>
      <c r="P103">
        <f>IF(N103&gt;0,VLOOKUP(O103,$V$2:$X$9,2,FALSE),0)</f>
        <v>1700</v>
      </c>
      <c r="Q103">
        <f>IF(L103&gt;0,M103-50+$N$6*O103,VLOOKUP(O103,$V$2:$X$9,3,FALSE))</f>
        <v>1300</v>
      </c>
      <c r="R103">
        <f>IF(E103="F",J103-$N$5+$N$6*O103+Q103,IF(E103="D",J103+Q103+P103,IF(E103="T",J103+P103,IF(E103="A",J103-$N$5+$N$6*O103,0))))</f>
        <v>4744</v>
      </c>
      <c r="T103">
        <f>SUM(R103:S103)</f>
        <v>4744</v>
      </c>
      <c r="U103">
        <f>K103*N103</f>
        <v>18</v>
      </c>
      <c r="V103">
        <f>'Data-Kolom'!J103</f>
        <v>0</v>
      </c>
      <c r="W103">
        <f>'Data-Kolom'!K103</f>
        <v>0</v>
      </c>
      <c r="X103">
        <f>IF(V103&gt;0,VLOOKUP(W103,$V$2:$X$9,2,FALSE),0)</f>
        <v>0</v>
      </c>
      <c r="Y103">
        <f>IF(V103&gt;0,IF(L103&gt;0,M103-50+$N$6*W103,VLOOKUP(W103,$V$2:$X$9,3,FALSE)),0)</f>
        <v>0</v>
      </c>
      <c r="Z103">
        <f>IF(E103="F",J103-$N$5+$N$6*W103+Y103,IF(E103="D",J103+Y103+X103,IF(E103="T",J103+X103,IF(E103="A",J103-$N$5+$N$6*W103,0))))</f>
        <v>4480</v>
      </c>
      <c r="AB103">
        <f>SUM(Z103:AA103)</f>
        <v>4480</v>
      </c>
      <c r="AC103">
        <f>V103*K103</f>
        <v>0</v>
      </c>
      <c r="AD103">
        <f>'Data-Kolom'!L103</f>
        <v>10</v>
      </c>
      <c r="AE103">
        <f>'Data-Kolom'!M103</f>
        <v>100</v>
      </c>
      <c r="AF103">
        <f>'Data-Kolom'!N103</f>
        <v>100</v>
      </c>
      <c r="AG103">
        <f>'Data-Kolom'!O103</f>
        <v>100</v>
      </c>
      <c r="AH103">
        <f>'Data-Kolom'!P103</f>
        <v>2</v>
      </c>
      <c r="AI103">
        <f>'Data-Kolom'!Q103</f>
        <v>10</v>
      </c>
      <c r="AJ103">
        <f>'Data-Kolom'!R103</f>
        <v>1</v>
      </c>
      <c r="AK103">
        <f>'Data-Kolom'!S103</f>
        <v>10</v>
      </c>
      <c r="AL103">
        <f>2*(H103+I103-4*$N$5)+2*MAX($F$5*AD103,75)</f>
        <v>2790</v>
      </c>
      <c r="AM103">
        <f>+AH103*(H103-2*$N$5+2*MAX($F$5*AI103,75))+AJ103*(I103-2*$N$5+2*MAX($F$5*AK103,75))</f>
        <v>2230</v>
      </c>
      <c r="AN103">
        <f>(ROUND((1/2*J103+IF(M103&gt;0,(Q103-$N$6*AD103),0))/AE103,0)+(ROUND(1/2*J103/AF103,0)+1))*K103</f>
        <v>47</v>
      </c>
      <c r="AO103">
        <f>H103*I103*J103/1000000000*K103*(1+$T$5)</f>
        <v>2.025</v>
      </c>
      <c r="AP103">
        <f>0.006165*O103^2*T103*U103/1000*(1+$T$6)</f>
        <v>254.79777312</v>
      </c>
      <c r="AQ103">
        <f>0.006165*W103^2*AB103*AC103/1000*(1+$T$6)</f>
        <v>0</v>
      </c>
      <c r="AR103">
        <f>AN103*0.006165*AD103^2*AL103/1000*(1+$T$6)</f>
        <v>80.841645</v>
      </c>
      <c r="AS103">
        <f>AN103*0.006165*AI103^2*AM103/1000*(1+$T$6)</f>
        <v>64.61536500000001</v>
      </c>
      <c r="AT103">
        <f>K103*2*J103*(H103+I103)/1000000*(1+$T$7)</f>
        <v>12.6</v>
      </c>
      <c r="AU103">
        <f>SUM(AP103:AS103)/AO103</f>
        <v>197.6566830222222</v>
      </c>
      <c r="AV103">
        <f>AT103/AO103</f>
        <v>6.222222222222222</v>
      </c>
      <c r="AX103">
        <f>0.006165*O103^2*R103*U103/1000*(1+$T$6)</f>
        <v>254.79777312</v>
      </c>
      <c r="AZ103">
        <f>0.006165*O103^2*S103*U103/1000*(1+$T$6)</f>
        <v>0</v>
      </c>
      <c r="BA103">
        <f>AZ103/AP103</f>
        <v>0</v>
      </c>
    </row>
    <row r="104">
      <c r="A104">
        <f>'Data-Kolom'!A104</f>
        <v>109</v>
      </c>
      <c r="B104" t="str">
        <f>'Data-Kolom'!B104</f>
        <v>Lantai 1</v>
      </c>
      <c r="C104">
        <f>'Data-Kolom'!C104</f>
        <v>0</v>
      </c>
      <c r="D104" t="str">
        <f>'Data-Kolom'!D104</f>
        <v>K36-1</v>
      </c>
      <c r="E104" t="str">
        <v>F</v>
      </c>
      <c r="F104">
        <f>'Data-Kolom'!U104</f>
        <v>0</v>
      </c>
      <c r="G104">
        <f>'Data-Kolom'!T104</f>
        <v>0</v>
      </c>
      <c r="H104">
        <f>'Data-Kolom'!E104</f>
        <v>300</v>
      </c>
      <c r="I104">
        <f>'Data-Kolom'!F104</f>
        <v>600</v>
      </c>
      <c r="J104">
        <f>'Data-Kolom'!G104</f>
        <v>4500</v>
      </c>
      <c r="K104">
        <v>1</v>
      </c>
      <c r="M104">
        <f>IF(L104&gt;0,VLOOKUP(L104,'Data-PC'!$B$14:$F$36,4,FALSE),0)</f>
        <v>0</v>
      </c>
      <c r="N104">
        <f>'Data-Kolom'!H104</f>
        <v>14</v>
      </c>
      <c r="O104">
        <f>'Data-Kolom'!I104</f>
        <v>22</v>
      </c>
      <c r="P104">
        <f>IF(N104&gt;0,VLOOKUP(O104,$V$2:$X$9,2,FALSE),0)</f>
        <v>1700</v>
      </c>
      <c r="Q104">
        <f>IF(L104&gt;0,M104-50+$N$6*O104,VLOOKUP(O104,$V$2:$X$9,3,FALSE))</f>
        <v>1300</v>
      </c>
      <c r="R104">
        <f>IF(E104="F",J104-$N$5+$N$6*O104+Q104,IF(E104="D",J104+Q104+P104,IF(E104="T",J104+P104,IF(E104="A",J104-$N$5+$N$6*O104,0))))</f>
        <v>6044</v>
      </c>
      <c r="T104">
        <f>SUM(R104:S104)</f>
        <v>6044</v>
      </c>
      <c r="U104">
        <f>K104*N104</f>
        <v>14</v>
      </c>
      <c r="V104">
        <f>'Data-Kolom'!J104</f>
        <v>0</v>
      </c>
      <c r="W104">
        <f>'Data-Kolom'!K104</f>
        <v>0</v>
      </c>
      <c r="X104">
        <f>IF(V104&gt;0,VLOOKUP(W104,$V$2:$X$9,2,FALSE),0)</f>
        <v>0</v>
      </c>
      <c r="Y104">
        <f>IF(V104&gt;0,IF(L104&gt;0,M104-50+$N$6*W104,VLOOKUP(W104,$V$2:$X$9,3,FALSE)),0)</f>
        <v>0</v>
      </c>
      <c r="Z104">
        <f>IF(E104="F",J104-$N$5+$N$6*W104+Y104,IF(E104="D",J104+Y104+X104,IF(E104="T",J104+X104,IF(E104="A",J104-$N$5+$N$6*W104,0))))</f>
        <v>4480</v>
      </c>
      <c r="AB104">
        <f>SUM(Z104:AA104)</f>
        <v>4480</v>
      </c>
      <c r="AC104">
        <f>V104*K104</f>
        <v>0</v>
      </c>
      <c r="AD104">
        <f>'Data-Kolom'!L104</f>
        <v>10</v>
      </c>
      <c r="AE104">
        <f>'Data-Kolom'!M104</f>
        <v>100</v>
      </c>
      <c r="AF104">
        <f>'Data-Kolom'!N104</f>
        <v>100</v>
      </c>
      <c r="AG104">
        <f>'Data-Kolom'!O104</f>
        <v>100</v>
      </c>
      <c r="AH104">
        <f>'Data-Kolom'!P104</f>
        <v>1</v>
      </c>
      <c r="AI104">
        <f>'Data-Kolom'!Q104</f>
        <v>10</v>
      </c>
      <c r="AJ104">
        <f>'Data-Kolom'!R104</f>
        <v>0</v>
      </c>
      <c r="AK104">
        <f>'Data-Kolom'!S104</f>
        <v>0</v>
      </c>
      <c r="AL104">
        <f>2*(H104+I104-4*$N$5)+2*MAX($F$5*AD104,75)</f>
        <v>1790</v>
      </c>
      <c r="AM104">
        <f>+AH104*(H104-2*$N$5+2*MAX($F$5*AI104,75))+AJ104*(I104-2*$N$5+2*MAX($F$5*AK104,75))</f>
        <v>410</v>
      </c>
      <c r="AN104">
        <f>(ROUND((1/2*J104+IF(M104&gt;0,(Q104-$N$6*AD104),0))/AE104,0)+(ROUND(1/2*J104/AF104,0)+1))*K104</f>
        <v>47</v>
      </c>
      <c r="AO104">
        <f>H104*I104*J104/1000000000*K104*(1+$T$5)</f>
        <v>0.81</v>
      </c>
      <c r="AP104">
        <f>0.006165*O104^2*T104*U104/1000*(1+$T$6)</f>
        <v>252.48229776000002</v>
      </c>
      <c r="AQ104">
        <f>0.006165*W104^2*AB104*AC104/1000*(1+$T$6)</f>
        <v>0</v>
      </c>
      <c r="AR104">
        <f>AN104*0.006165*AD104^2*AL104/1000*(1+$T$6)</f>
        <v>51.866145</v>
      </c>
      <c r="AS104">
        <f>AN104*0.006165*AI104^2*AM104/1000*(1+$T$6)</f>
        <v>11.879955000000002</v>
      </c>
      <c r="AT104">
        <f>K104*2*J104*(H104+I104)/1000000*(1+$T$7)</f>
        <v>8.1</v>
      </c>
      <c r="AU104">
        <f>SUM(AP104:AS104)/AO104</f>
        <v>390.4054293333333</v>
      </c>
      <c r="AV104">
        <f>AT104/AO104</f>
        <v>9.999999999999998</v>
      </c>
      <c r="AX104">
        <f>0.006165*O104^2*R104*U104/1000*(1+$T$6)</f>
        <v>252.48229776000002</v>
      </c>
      <c r="AZ104">
        <f>0.006165*O104^2*S104*U104/1000*(1+$T$6)</f>
        <v>0</v>
      </c>
      <c r="BA104">
        <f>AZ104/AP104</f>
        <v>0</v>
      </c>
    </row>
    <row r="105">
      <c r="A105">
        <f>'Data-Kolom'!A105</f>
        <v>46</v>
      </c>
      <c r="B105" t="str">
        <f>'Data-Kolom'!B105</f>
        <v>Lantai 1</v>
      </c>
      <c r="C105">
        <f>'Data-Kolom'!C105</f>
        <v>0</v>
      </c>
      <c r="D105" t="str">
        <f>'Data-Kolom'!D105</f>
        <v>K59-1</v>
      </c>
      <c r="E105" t="str">
        <v>T</v>
      </c>
      <c r="F105">
        <f>'Data-Kolom'!U105</f>
        <v>0</v>
      </c>
      <c r="G105">
        <f>'Data-Kolom'!T105</f>
        <v>0</v>
      </c>
      <c r="H105">
        <f>'Data-Kolom'!E105</f>
        <v>500</v>
      </c>
      <c r="I105">
        <f>'Data-Kolom'!F105</f>
        <v>900</v>
      </c>
      <c r="J105">
        <f>'Data-Kolom'!G105</f>
        <v>4500</v>
      </c>
      <c r="K105">
        <v>1</v>
      </c>
      <c r="M105">
        <f>IF(L105&gt;0,VLOOKUP(L105,'Data-PC'!$B$14:$F$36,4,FALSE),0)</f>
        <v>0</v>
      </c>
      <c r="N105">
        <f>'Data-Kolom'!H105</f>
        <v>18</v>
      </c>
      <c r="O105">
        <f>'Data-Kolom'!I105</f>
        <v>22</v>
      </c>
      <c r="P105">
        <f>IF(N105&gt;0,VLOOKUP(O105,$V$2:$X$9,2,FALSE),0)</f>
        <v>1700</v>
      </c>
      <c r="Q105">
        <f>IF(L105&gt;0,M105-50+$N$6*O105,VLOOKUP(O105,$V$2:$X$9,3,FALSE))</f>
        <v>1300</v>
      </c>
      <c r="R105">
        <f>IF(E105="F",J105-$N$5+$N$6*O105+Q105,IF(E105="D",J105+Q105+P105,IF(E105="T",J105+P105,IF(E105="A",J105-$N$5+$N$6*O105,0))))</f>
        <v>6200</v>
      </c>
      <c r="T105">
        <f>SUM(R105:S105)</f>
        <v>6200</v>
      </c>
      <c r="U105">
        <f>K105*N105</f>
        <v>18</v>
      </c>
      <c r="V105">
        <f>'Data-Kolom'!J105</f>
        <v>0</v>
      </c>
      <c r="W105">
        <f>'Data-Kolom'!K105</f>
        <v>0</v>
      </c>
      <c r="X105">
        <f>IF(V105&gt;0,VLOOKUP(W105,$V$2:$X$9,2,FALSE),0)</f>
        <v>0</v>
      </c>
      <c r="Y105">
        <f>IF(V105&gt;0,IF(L105&gt;0,M105-50+$N$6*W105,VLOOKUP(W105,$V$2:$X$9,3,FALSE)),0)</f>
        <v>0</v>
      </c>
      <c r="Z105">
        <f>IF(E105="F",J105-$N$5+$N$6*W105+Y105,IF(E105="D",J105+Y105+X105,IF(E105="T",J105+X105,IF(E105="A",J105-$N$5+$N$6*W105,0))))</f>
        <v>4500</v>
      </c>
      <c r="AB105">
        <f>SUM(Z105:AA105)</f>
        <v>4500</v>
      </c>
      <c r="AC105">
        <f>V105*K105</f>
        <v>0</v>
      </c>
      <c r="AD105">
        <f>'Data-Kolom'!L105</f>
        <v>10</v>
      </c>
      <c r="AE105">
        <f>'Data-Kolom'!M105</f>
        <v>100</v>
      </c>
      <c r="AF105">
        <f>'Data-Kolom'!N105</f>
        <v>100</v>
      </c>
      <c r="AG105">
        <f>'Data-Kolom'!O105</f>
        <v>100</v>
      </c>
      <c r="AH105">
        <f>'Data-Kolom'!P105</f>
        <v>2</v>
      </c>
      <c r="AI105">
        <f>'Data-Kolom'!Q105</f>
        <v>10</v>
      </c>
      <c r="AJ105">
        <f>'Data-Kolom'!R105</f>
        <v>1</v>
      </c>
      <c r="AK105">
        <f>'Data-Kolom'!S105</f>
        <v>10</v>
      </c>
      <c r="AL105">
        <f>2*(H105+I105-4*$N$5)+2*MAX($F$5*AD105,75)</f>
        <v>2790</v>
      </c>
      <c r="AM105">
        <f>+AH105*(H105-2*$N$5+2*MAX($F$5*AI105,75))+AJ105*(I105-2*$N$5+2*MAX($F$5*AK105,75))</f>
        <v>2230</v>
      </c>
      <c r="AN105">
        <f>(ROUND((1/2*J105+IF(M105&gt;0,(Q105-$N$6*AD105),0))/AE105,0)+(ROUND(1/2*J105/AF105,0)+1))*K105</f>
        <v>47</v>
      </c>
      <c r="AO105">
        <f>H105*I105*J105/1000000000*K105*(1+$T$5)</f>
        <v>2.025</v>
      </c>
      <c r="AP105">
        <f>0.006165*O105^2*T105*U105/1000*(1+$T$6)</f>
        <v>332.998776</v>
      </c>
      <c r="AQ105">
        <f>0.006165*W105^2*AB105*AC105/1000*(1+$T$6)</f>
        <v>0</v>
      </c>
      <c r="AR105">
        <f>AN105*0.006165*AD105^2*AL105/1000*(1+$T$6)</f>
        <v>80.841645</v>
      </c>
      <c r="AS105">
        <f>AN105*0.006165*AI105^2*AM105/1000*(1+$T$6)</f>
        <v>64.61536500000001</v>
      </c>
      <c r="AT105">
        <f>K105*2*J105*(H105+I105)/1000000*(1+$T$7)</f>
        <v>12.6</v>
      </c>
      <c r="AU105">
        <f>SUM(AP105:AS105)/AO105</f>
        <v>236.27446222222224</v>
      </c>
      <c r="AV105">
        <f>AT105/AO105</f>
        <v>6.222222222222222</v>
      </c>
      <c r="AX105">
        <f>0.006165*O105^2*R105*U105/1000*(1+$T$6)</f>
        <v>332.998776</v>
      </c>
      <c r="AZ105">
        <f>0.006165*O105^2*S105*U105/1000*(1+$T$6)</f>
        <v>0</v>
      </c>
      <c r="BA105">
        <f>AZ105/AP105</f>
        <v>0</v>
      </c>
    </row>
    <row r="106">
      <c r="A106">
        <f>'Data-Kolom'!A106</f>
        <v>110</v>
      </c>
      <c r="B106" t="str">
        <f>'Data-Kolom'!B106</f>
        <v>Lantai 1</v>
      </c>
      <c r="C106">
        <f>'Data-Kolom'!C106</f>
        <v>0</v>
      </c>
      <c r="D106" t="str">
        <f>'Data-Kolom'!D106</f>
        <v>K178-2</v>
      </c>
      <c r="E106" t="str">
        <v>F</v>
      </c>
      <c r="F106">
        <f>'Data-Kolom'!U106</f>
        <v>0</v>
      </c>
      <c r="G106">
        <f>'Data-Kolom'!T106</f>
        <v>0</v>
      </c>
      <c r="H106">
        <f>'Data-Kolom'!E106</f>
        <v>170</v>
      </c>
      <c r="I106">
        <f>'Data-Kolom'!F106</f>
        <v>800</v>
      </c>
      <c r="J106">
        <f>'Data-Kolom'!G106</f>
        <v>4500</v>
      </c>
      <c r="K106">
        <v>1</v>
      </c>
      <c r="M106">
        <f>IF(L106&gt;0,VLOOKUP(L106,'Data-PC'!$B$14:$F$36,4,FALSE),0)</f>
        <v>0</v>
      </c>
      <c r="N106">
        <f>'Data-Kolom'!H106</f>
        <v>14</v>
      </c>
      <c r="O106">
        <f>'Data-Kolom'!I106</f>
        <v>19</v>
      </c>
      <c r="P106">
        <f>IF(N106&gt;0,VLOOKUP(O106,$V$2:$X$9,2,FALSE),0)</f>
        <v>1190</v>
      </c>
      <c r="Q106">
        <f>IF(L106&gt;0,M106-50+$N$6*O106,VLOOKUP(O106,$V$2:$X$9,3,FALSE))</f>
        <v>910</v>
      </c>
      <c r="R106">
        <f>IF(E106="F",J106-$N$5+$N$6*O106+Q106,IF(E106="D",J106+Q106+P106,IF(E106="T",J106+P106,IF(E106="A",J106-$N$5+$N$6*O106,0))))</f>
        <v>5618</v>
      </c>
      <c r="T106">
        <f>SUM(R106:S106)</f>
        <v>5618</v>
      </c>
      <c r="U106">
        <f>K106*N106</f>
        <v>14</v>
      </c>
      <c r="V106">
        <f>'Data-Kolom'!J106</f>
        <v>0</v>
      </c>
      <c r="W106">
        <f>'Data-Kolom'!K106</f>
        <v>0</v>
      </c>
      <c r="X106">
        <f>IF(V106&gt;0,VLOOKUP(W106,$V$2:$X$9,2,FALSE),0)</f>
        <v>0</v>
      </c>
      <c r="Y106">
        <f>IF(V106&gt;0,IF(L106&gt;0,M106-50+$N$6*W106,VLOOKUP(W106,$V$2:$X$9,3,FALSE)),0)</f>
        <v>0</v>
      </c>
      <c r="Z106">
        <f>IF(E106="F",J106-$N$5+$N$6*W106+Y106,IF(E106="D",J106+Y106+X106,IF(E106="T",J106+X106,IF(E106="A",J106-$N$5+$N$6*W106,0))))</f>
        <v>4480</v>
      </c>
      <c r="AB106">
        <f>SUM(Z106:AA106)</f>
        <v>4480</v>
      </c>
      <c r="AC106">
        <f>V106*K106</f>
        <v>0</v>
      </c>
      <c r="AD106">
        <f>'Data-Kolom'!L106</f>
        <v>8</v>
      </c>
      <c r="AE106">
        <f>'Data-Kolom'!M106</f>
        <v>100</v>
      </c>
      <c r="AF106">
        <f>'Data-Kolom'!N106</f>
        <v>100</v>
      </c>
      <c r="AG106">
        <f>'Data-Kolom'!O106</f>
        <v>100</v>
      </c>
      <c r="AH106">
        <f>'Data-Kolom'!P106</f>
        <v>1</v>
      </c>
      <c r="AI106">
        <f>'Data-Kolom'!Q106</f>
        <v>8</v>
      </c>
      <c r="AJ106">
        <f>'Data-Kolom'!R106</f>
        <v>0</v>
      </c>
      <c r="AK106">
        <f>'Data-Kolom'!S106</f>
        <v>0</v>
      </c>
      <c r="AL106">
        <f>2*(H106+I106-4*$N$5)+2*MAX($F$5*AD106,75)</f>
        <v>1930</v>
      </c>
      <c r="AM106">
        <f>+AH106*(H106-2*$N$5+2*MAX($F$5*AI106,75))+AJ106*(I106-2*$N$5+2*MAX($F$5*AK106,75))</f>
        <v>280</v>
      </c>
      <c r="AN106">
        <f>(ROUND((1/2*J106+IF(M106&gt;0,(Q106-$N$6*AD106),0))/AE106,0)+(ROUND(1/2*J106/AF106,0)+1))*K106</f>
        <v>47</v>
      </c>
      <c r="AO106">
        <f>H106*I106*J106/1000000000*K106*(1+$T$5)</f>
        <v>0.612</v>
      </c>
      <c r="AP106">
        <f>0.006165*O106^2*T106*U106/1000*(1+$T$6)</f>
        <v>175.04513838</v>
      </c>
      <c r="AQ106">
        <f>0.006165*W106^2*AB106*AC106/1000*(1+$T$6)</f>
        <v>0</v>
      </c>
      <c r="AR106">
        <f>AN106*0.006165*AD106^2*AL106/1000*(1+$T$6)</f>
        <v>35.7905376</v>
      </c>
      <c r="AS106">
        <f>AN106*0.006165*AI106^2*AM106/1000*(1+$T$6)</f>
        <v>5.192409600000001</v>
      </c>
      <c r="AT106">
        <f>K106*2*J106*(H106+I106)/1000000*(1+$T$7)</f>
        <v>8.73</v>
      </c>
      <c r="AU106">
        <f>SUM(AP106:AS106)/AO106</f>
        <v>352.98706794117646</v>
      </c>
      <c r="AV106">
        <f>AT106/AO106</f>
        <v>14.264705882352942</v>
      </c>
      <c r="AX106">
        <f>0.006165*O106^2*R106*U106/1000*(1+$T$6)</f>
        <v>175.04513838</v>
      </c>
      <c r="AZ106">
        <f>0.006165*O106^2*S106*U106/1000*(1+$T$6)</f>
        <v>0</v>
      </c>
      <c r="BA106">
        <f>AZ106/AP106</f>
        <v>0</v>
      </c>
    </row>
    <row r="107">
      <c r="A107">
        <f>'Data-Kolom'!A107</f>
        <v>111</v>
      </c>
      <c r="B107" t="str">
        <f>'Data-Kolom'!B107</f>
        <v>Lantai 1</v>
      </c>
      <c r="C107">
        <f>'Data-Kolom'!C107</f>
        <v>0</v>
      </c>
      <c r="D107" t="str">
        <f>'Data-Kolom'!D107</f>
        <v>K36-1</v>
      </c>
      <c r="E107" t="str">
        <v>D</v>
      </c>
      <c r="F107">
        <f>'Data-Kolom'!U107</f>
        <v>0</v>
      </c>
      <c r="G107">
        <f>'Data-Kolom'!T107</f>
        <v>0</v>
      </c>
      <c r="H107">
        <f>'Data-Kolom'!E107</f>
        <v>300</v>
      </c>
      <c r="I107">
        <f>'Data-Kolom'!F107</f>
        <v>600</v>
      </c>
      <c r="J107">
        <f>'Data-Kolom'!G107</f>
        <v>4500</v>
      </c>
      <c r="K107">
        <v>1</v>
      </c>
      <c r="M107">
        <f>IF(L107&gt;0,VLOOKUP(L107,'Data-PC'!$B$14:$F$36,4,FALSE),0)</f>
        <v>0</v>
      </c>
      <c r="N107">
        <f>'Data-Kolom'!H107</f>
        <v>14</v>
      </c>
      <c r="O107">
        <f>'Data-Kolom'!I107</f>
        <v>22</v>
      </c>
      <c r="P107">
        <f>IF(N107&gt;0,VLOOKUP(O107,$V$2:$X$9,2,FALSE),0)</f>
        <v>1700</v>
      </c>
      <c r="Q107">
        <f>IF(L107&gt;0,M107-50+$N$6*O107,VLOOKUP(O107,$V$2:$X$9,3,FALSE))</f>
        <v>1300</v>
      </c>
      <c r="R107">
        <f>IF(E107="F",J107-$N$5+$N$6*O107+Q107,IF(E107="D",J107+Q107+P107,IF(E107="T",J107+P107,IF(E107="A",J107-$N$5+$N$6*O107,0))))</f>
        <v>7500</v>
      </c>
      <c r="T107">
        <f>SUM(R107:S107)</f>
        <v>7500</v>
      </c>
      <c r="U107">
        <f>K107*N107</f>
        <v>14</v>
      </c>
      <c r="V107">
        <f>'Data-Kolom'!J107</f>
        <v>0</v>
      </c>
      <c r="W107">
        <f>'Data-Kolom'!K107</f>
        <v>0</v>
      </c>
      <c r="X107">
        <f>IF(V107&gt;0,VLOOKUP(W107,$V$2:$X$9,2,FALSE),0)</f>
        <v>0</v>
      </c>
      <c r="Y107">
        <f>IF(V107&gt;0,IF(L107&gt;0,M107-50+$N$6*W107,VLOOKUP(W107,$V$2:$X$9,3,FALSE)),0)</f>
        <v>0</v>
      </c>
      <c r="Z107">
        <f>IF(E107="F",J107-$N$5+$N$6*W107+Y107,IF(E107="D",J107+Y107+X107,IF(E107="T",J107+X107,IF(E107="A",J107-$N$5+$N$6*W107,0))))</f>
        <v>4500</v>
      </c>
      <c r="AB107">
        <f>SUM(Z107:AA107)</f>
        <v>4500</v>
      </c>
      <c r="AC107">
        <f>V107*K107</f>
        <v>0</v>
      </c>
      <c r="AD107">
        <f>'Data-Kolom'!L107</f>
        <v>10</v>
      </c>
      <c r="AE107">
        <f>'Data-Kolom'!M107</f>
        <v>100</v>
      </c>
      <c r="AF107">
        <f>'Data-Kolom'!N107</f>
        <v>100</v>
      </c>
      <c r="AG107">
        <f>'Data-Kolom'!O107</f>
        <v>100</v>
      </c>
      <c r="AH107">
        <f>'Data-Kolom'!P107</f>
        <v>1</v>
      </c>
      <c r="AI107">
        <f>'Data-Kolom'!Q107</f>
        <v>10</v>
      </c>
      <c r="AJ107">
        <f>'Data-Kolom'!R107</f>
        <v>0</v>
      </c>
      <c r="AK107">
        <f>'Data-Kolom'!S107</f>
        <v>0</v>
      </c>
      <c r="AL107">
        <f>2*(H107+I107-4*$N$5)+2*MAX($F$5*AD107,75)</f>
        <v>1790</v>
      </c>
      <c r="AM107">
        <f>+AH107*(H107-2*$N$5+2*MAX($F$5*AI107,75))+AJ107*(I107-2*$N$5+2*MAX($F$5*AK107,75))</f>
        <v>410</v>
      </c>
      <c r="AN107">
        <f>(ROUND((1/2*J107+IF(M107&gt;0,(Q107-$N$6*AD107),0))/AE107,0)+(ROUND(1/2*J107/AF107,0)+1))*K107</f>
        <v>47</v>
      </c>
      <c r="AO107">
        <f>H107*I107*J107/1000000000*K107*(1+$T$5)</f>
        <v>0.81</v>
      </c>
      <c r="AP107">
        <f>0.006165*O107^2*T107*U107/1000*(1+$T$6)</f>
        <v>313.3053</v>
      </c>
      <c r="AQ107">
        <f>0.006165*W107^2*AB107*AC107/1000*(1+$T$6)</f>
        <v>0</v>
      </c>
      <c r="AR107">
        <f>AN107*0.006165*AD107^2*AL107/1000*(1+$T$6)</f>
        <v>51.866145</v>
      </c>
      <c r="AS107">
        <f>AN107*0.006165*AI107^2*AM107/1000*(1+$T$6)</f>
        <v>11.879955000000002</v>
      </c>
      <c r="AT107">
        <f>K107*2*J107*(H107+I107)/1000000*(1+$T$7)</f>
        <v>8.1</v>
      </c>
      <c r="AU107">
        <f>SUM(AP107:AS107)/AO107</f>
        <v>465.49555555555554</v>
      </c>
      <c r="AV107">
        <f>AT107/AO107</f>
        <v>9.999999999999998</v>
      </c>
      <c r="AX107">
        <f>0.006165*O107^2*R107*U107/1000*(1+$T$6)</f>
        <v>313.3053</v>
      </c>
      <c r="AZ107">
        <f>0.006165*O107^2*S107*U107/1000*(1+$T$6)</f>
        <v>0</v>
      </c>
      <c r="BA107">
        <f>AZ107/AP107</f>
        <v>0</v>
      </c>
    </row>
    <row r="108">
      <c r="A108">
        <f>'Data-Kolom'!A108</f>
        <v>112</v>
      </c>
      <c r="B108" t="str">
        <f>'Data-Kolom'!B108</f>
        <v>Lantai 1</v>
      </c>
      <c r="C108">
        <f>'Data-Kolom'!C108</f>
        <v>0</v>
      </c>
      <c r="D108" t="str">
        <f>'Data-Kolom'!D108</f>
        <v>K275-1</v>
      </c>
      <c r="E108" t="str">
        <v>F</v>
      </c>
      <c r="F108">
        <f>'Data-Kolom'!U108</f>
        <v>0</v>
      </c>
      <c r="G108">
        <f>'Data-Kolom'!T108</f>
        <v>0</v>
      </c>
      <c r="H108">
        <f>'Data-Kolom'!E108</f>
        <v>270</v>
      </c>
      <c r="I108">
        <f>'Data-Kolom'!F108</f>
        <v>500</v>
      </c>
      <c r="J108">
        <f>'Data-Kolom'!G108</f>
        <v>4500</v>
      </c>
      <c r="K108">
        <v>1</v>
      </c>
      <c r="M108">
        <f>IF(L108&gt;0,VLOOKUP(L108,'Data-PC'!$B$14:$F$36,4,FALSE),0)</f>
        <v>0</v>
      </c>
      <c r="N108">
        <f>'Data-Kolom'!H108</f>
        <v>8</v>
      </c>
      <c r="O108">
        <f>'Data-Kolom'!I108</f>
        <v>19</v>
      </c>
      <c r="P108">
        <f>IF(N108&gt;0,VLOOKUP(O108,$V$2:$X$9,2,FALSE),0)</f>
        <v>1190</v>
      </c>
      <c r="Q108">
        <f>IF(L108&gt;0,M108-50+$N$6*O108,VLOOKUP(O108,$V$2:$X$9,3,FALSE))</f>
        <v>910</v>
      </c>
      <c r="R108">
        <f>IF(E108="F",J108-$N$5+$N$6*O108+Q108,IF(E108="D",J108+Q108+P108,IF(E108="T",J108+P108,IF(E108="A",J108-$N$5+$N$6*O108,0))))</f>
        <v>5618</v>
      </c>
      <c r="T108">
        <f>SUM(R108:S108)</f>
        <v>5618</v>
      </c>
      <c r="U108">
        <f>K108*N108</f>
        <v>8</v>
      </c>
      <c r="V108">
        <f>'Data-Kolom'!J108</f>
        <v>0</v>
      </c>
      <c r="W108">
        <f>'Data-Kolom'!K108</f>
        <v>0</v>
      </c>
      <c r="X108">
        <f>IF(V108&gt;0,VLOOKUP(W108,$V$2:$X$9,2,FALSE),0)</f>
        <v>0</v>
      </c>
      <c r="Y108">
        <f>IF(V108&gt;0,IF(L108&gt;0,M108-50+$N$6*W108,VLOOKUP(W108,$V$2:$X$9,3,FALSE)),0)</f>
        <v>0</v>
      </c>
      <c r="Z108">
        <f>IF(E108="F",J108-$N$5+$N$6*W108+Y108,IF(E108="D",J108+Y108+X108,IF(E108="T",J108+X108,IF(E108="A",J108-$N$5+$N$6*W108,0))))</f>
        <v>4480</v>
      </c>
      <c r="AB108">
        <f>SUM(Z108:AA108)</f>
        <v>4480</v>
      </c>
      <c r="AC108">
        <f>V108*K108</f>
        <v>0</v>
      </c>
      <c r="AD108">
        <f>'Data-Kolom'!L108</f>
        <v>10</v>
      </c>
      <c r="AE108">
        <f>'Data-Kolom'!M108</f>
        <v>100</v>
      </c>
      <c r="AF108">
        <f>'Data-Kolom'!N108</f>
        <v>100</v>
      </c>
      <c r="AG108">
        <f>'Data-Kolom'!O108</f>
        <v>100</v>
      </c>
      <c r="AH108">
        <f>'Data-Kolom'!P108</f>
        <v>0.5</v>
      </c>
      <c r="AI108">
        <f>'Data-Kolom'!Q108</f>
        <v>10</v>
      </c>
      <c r="AJ108">
        <f>'Data-Kolom'!R108</f>
        <v>0</v>
      </c>
      <c r="AK108">
        <f>'Data-Kolom'!S108</f>
        <v>0</v>
      </c>
      <c r="AL108">
        <f>2*(H108+I108-4*$N$5)+2*MAX($F$5*AD108,75)</f>
        <v>1530</v>
      </c>
      <c r="AM108">
        <f>+AH108*(H108-2*$N$5+2*MAX($F$5*AI108,75))+AJ108*(I108-2*$N$5+2*MAX($F$5*AK108,75))</f>
        <v>190</v>
      </c>
      <c r="AN108">
        <f>(ROUND((1/2*J108+IF(M108&gt;0,(Q108-$N$6*AD108),0))/AE108,0)+(ROUND(1/2*J108/AF108,0)+1))*K108</f>
        <v>47</v>
      </c>
      <c r="AO108">
        <f>H108*I108*J108/1000000000*K108*(1+$T$5)</f>
        <v>0.6075</v>
      </c>
      <c r="AP108">
        <f>0.006165*O108^2*T108*U108/1000*(1+$T$6)</f>
        <v>100.02579336</v>
      </c>
      <c r="AQ108">
        <f>0.006165*W108^2*AB108*AC108/1000*(1+$T$6)</f>
        <v>0</v>
      </c>
      <c r="AR108">
        <f>AN108*0.006165*AD108^2*AL108/1000*(1+$T$6)</f>
        <v>44.33251500000001</v>
      </c>
      <c r="AS108">
        <f>AN108*0.006165*AI108^2*AM108/1000*(1+$T$6)</f>
        <v>5.505345000000001</v>
      </c>
      <c r="AT108">
        <f>K108*2*J108*(H108+I108)/1000000*(1+$T$7)</f>
        <v>6.93</v>
      </c>
      <c r="AU108">
        <f>SUM(AP108:AS108)/AO108</f>
        <v>246.6891413333333</v>
      </c>
      <c r="AV108">
        <f>AT108/AO108</f>
        <v>11.407407407407407</v>
      </c>
      <c r="AX108">
        <f>0.006165*O108^2*R108*U108/1000*(1+$T$6)</f>
        <v>100.02579336</v>
      </c>
      <c r="AZ108">
        <f>0.006165*O108^2*S108*U108/1000*(1+$T$6)</f>
        <v>0</v>
      </c>
      <c r="BA108">
        <f>AZ108/AP108</f>
        <v>0</v>
      </c>
    </row>
    <row r="109">
      <c r="A109">
        <f>'Data-Kolom'!A109</f>
        <v>113</v>
      </c>
      <c r="B109" t="str">
        <f>'Data-Kolom'!B109</f>
        <v>Lantai 1</v>
      </c>
      <c r="C109">
        <f>'Data-Kolom'!C109</f>
        <v>0</v>
      </c>
      <c r="D109" t="str">
        <f>'Data-Kolom'!D109</f>
        <v>K275-1</v>
      </c>
      <c r="E109" t="str">
        <v>F</v>
      </c>
      <c r="F109">
        <f>'Data-Kolom'!U109</f>
        <v>0</v>
      </c>
      <c r="G109">
        <f>'Data-Kolom'!T109</f>
        <v>0</v>
      </c>
      <c r="H109">
        <f>'Data-Kolom'!E109</f>
        <v>270</v>
      </c>
      <c r="I109">
        <f>'Data-Kolom'!F109</f>
        <v>500</v>
      </c>
      <c r="J109">
        <f>'Data-Kolom'!G109</f>
        <v>4500</v>
      </c>
      <c r="K109">
        <v>1</v>
      </c>
      <c r="M109">
        <f>IF(L109&gt;0,VLOOKUP(L109,'Data-PC'!$B$14:$F$36,4,FALSE),0)</f>
        <v>0</v>
      </c>
      <c r="N109">
        <f>'Data-Kolom'!H109</f>
        <v>8</v>
      </c>
      <c r="O109">
        <f>'Data-Kolom'!I109</f>
        <v>19</v>
      </c>
      <c r="P109">
        <f>IF(N109&gt;0,VLOOKUP(O109,$V$2:$X$9,2,FALSE),0)</f>
        <v>1190</v>
      </c>
      <c r="Q109">
        <f>IF(L109&gt;0,M109-50+$N$6*O109,VLOOKUP(O109,$V$2:$X$9,3,FALSE))</f>
        <v>910</v>
      </c>
      <c r="R109">
        <f>IF(E109="F",J109-$N$5+$N$6*O109+Q109,IF(E109="D",J109+Q109+P109,IF(E109="T",J109+P109,IF(E109="A",J109-$N$5+$N$6*O109,0))))</f>
        <v>5618</v>
      </c>
      <c r="T109">
        <f>SUM(R109:S109)</f>
        <v>5618</v>
      </c>
      <c r="U109">
        <f>K109*N109</f>
        <v>8</v>
      </c>
      <c r="V109">
        <f>'Data-Kolom'!J109</f>
        <v>0</v>
      </c>
      <c r="W109">
        <f>'Data-Kolom'!K109</f>
        <v>0</v>
      </c>
      <c r="X109">
        <f>IF(V109&gt;0,VLOOKUP(W109,$V$2:$X$9,2,FALSE),0)</f>
        <v>0</v>
      </c>
      <c r="Y109">
        <f>IF(V109&gt;0,IF(L109&gt;0,M109-50+$N$6*W109,VLOOKUP(W109,$V$2:$X$9,3,FALSE)),0)</f>
        <v>0</v>
      </c>
      <c r="Z109">
        <f>IF(E109="F",J109-$N$5+$N$6*W109+Y109,IF(E109="D",J109+Y109+X109,IF(E109="T",J109+X109,IF(E109="A",J109-$N$5+$N$6*W109,0))))</f>
        <v>4480</v>
      </c>
      <c r="AB109">
        <f>SUM(Z109:AA109)</f>
        <v>4480</v>
      </c>
      <c r="AC109">
        <f>V109*K109</f>
        <v>0</v>
      </c>
      <c r="AD109">
        <f>'Data-Kolom'!L109</f>
        <v>10</v>
      </c>
      <c r="AE109">
        <f>'Data-Kolom'!M109</f>
        <v>100</v>
      </c>
      <c r="AF109">
        <f>'Data-Kolom'!N109</f>
        <v>100</v>
      </c>
      <c r="AG109">
        <f>'Data-Kolom'!O109</f>
        <v>100</v>
      </c>
      <c r="AH109">
        <f>'Data-Kolom'!P109</f>
        <v>0.5</v>
      </c>
      <c r="AI109">
        <f>'Data-Kolom'!Q109</f>
        <v>10</v>
      </c>
      <c r="AJ109">
        <f>'Data-Kolom'!R109</f>
        <v>0</v>
      </c>
      <c r="AK109">
        <f>'Data-Kolom'!S109</f>
        <v>0</v>
      </c>
      <c r="AL109">
        <f>2*(H109+I109-4*$N$5)+2*MAX($F$5*AD109,75)</f>
        <v>1530</v>
      </c>
      <c r="AM109">
        <f>+AH109*(H109-2*$N$5+2*MAX($F$5*AI109,75))+AJ109*(I109-2*$N$5+2*MAX($F$5*AK109,75))</f>
        <v>190</v>
      </c>
      <c r="AN109">
        <f>(ROUND((1/2*J109+IF(M109&gt;0,(Q109-$N$6*AD109),0))/AE109,0)+(ROUND(1/2*J109/AF109,0)+1))*K109</f>
        <v>47</v>
      </c>
      <c r="AO109">
        <f>H109*I109*J109/1000000000*K109*(1+$T$5)</f>
        <v>0.6075</v>
      </c>
      <c r="AP109">
        <f>0.006165*O109^2*T109*U109/1000*(1+$T$6)</f>
        <v>100.02579336</v>
      </c>
      <c r="AQ109">
        <f>0.006165*W109^2*AB109*AC109/1000*(1+$T$6)</f>
        <v>0</v>
      </c>
      <c r="AR109">
        <f>AN109*0.006165*AD109^2*AL109/1000*(1+$T$6)</f>
        <v>44.33251500000001</v>
      </c>
      <c r="AS109">
        <f>AN109*0.006165*AI109^2*AM109/1000*(1+$T$6)</f>
        <v>5.505345000000001</v>
      </c>
      <c r="AT109">
        <f>K109*2*J109*(H109+I109)/1000000*(1+$T$7)</f>
        <v>6.93</v>
      </c>
      <c r="AU109">
        <f>SUM(AP109:AS109)/AO109</f>
        <v>246.6891413333333</v>
      </c>
      <c r="AV109">
        <f>AT109/AO109</f>
        <v>11.407407407407407</v>
      </c>
      <c r="AX109">
        <f>0.006165*O109^2*R109*U109/1000*(1+$T$6)</f>
        <v>100.02579336</v>
      </c>
      <c r="AZ109">
        <f>0.006165*O109^2*S109*U109/1000*(1+$T$6)</f>
        <v>0</v>
      </c>
      <c r="BA109">
        <f>AZ109/AP109</f>
        <v>0</v>
      </c>
    </row>
    <row r="110">
      <c r="A110">
        <f>'Data-Kolom'!A110</f>
        <v>114</v>
      </c>
      <c r="B110" t="str">
        <f>'Data-Kolom'!B110</f>
        <v>Lantai 1</v>
      </c>
      <c r="C110">
        <f>'Data-Kolom'!C110</f>
        <v>0</v>
      </c>
      <c r="D110" t="str">
        <f>'Data-Kolom'!D110</f>
        <v>K275-1</v>
      </c>
      <c r="E110" t="str">
        <v>F</v>
      </c>
      <c r="F110">
        <f>'Data-Kolom'!U110</f>
        <v>0</v>
      </c>
      <c r="G110">
        <f>'Data-Kolom'!T110</f>
        <v>0</v>
      </c>
      <c r="H110">
        <f>'Data-Kolom'!E110</f>
        <v>270</v>
      </c>
      <c r="I110">
        <f>'Data-Kolom'!F110</f>
        <v>500</v>
      </c>
      <c r="J110">
        <f>'Data-Kolom'!G110</f>
        <v>4500</v>
      </c>
      <c r="K110">
        <v>1</v>
      </c>
      <c r="M110">
        <f>IF(L110&gt;0,VLOOKUP(L110,'Data-PC'!$B$14:$F$36,4,FALSE),0)</f>
        <v>0</v>
      </c>
      <c r="N110">
        <f>'Data-Kolom'!H110</f>
        <v>8</v>
      </c>
      <c r="O110">
        <f>'Data-Kolom'!I110</f>
        <v>19</v>
      </c>
      <c r="P110">
        <f>IF(N110&gt;0,VLOOKUP(O110,$V$2:$X$9,2,FALSE),0)</f>
        <v>1190</v>
      </c>
      <c r="Q110">
        <f>IF(L110&gt;0,M110-50+$N$6*O110,VLOOKUP(O110,$V$2:$X$9,3,FALSE))</f>
        <v>910</v>
      </c>
      <c r="R110">
        <f>IF(E110="F",J110-$N$5+$N$6*O110+Q110,IF(E110="D",J110+Q110+P110,IF(E110="T",J110+P110,IF(E110="A",J110-$N$5+$N$6*O110,0))))</f>
        <v>5618</v>
      </c>
      <c r="T110">
        <f>SUM(R110:S110)</f>
        <v>5618</v>
      </c>
      <c r="U110">
        <f>K110*N110</f>
        <v>8</v>
      </c>
      <c r="V110">
        <f>'Data-Kolom'!J110</f>
        <v>0</v>
      </c>
      <c r="W110">
        <f>'Data-Kolom'!K110</f>
        <v>0</v>
      </c>
      <c r="X110">
        <f>IF(V110&gt;0,VLOOKUP(W110,$V$2:$X$9,2,FALSE),0)</f>
        <v>0</v>
      </c>
      <c r="Y110">
        <f>IF(V110&gt;0,IF(L110&gt;0,M110-50+$N$6*W110,VLOOKUP(W110,$V$2:$X$9,3,FALSE)),0)</f>
        <v>0</v>
      </c>
      <c r="Z110">
        <f>IF(E110="F",J110-$N$5+$N$6*W110+Y110,IF(E110="D",J110+Y110+X110,IF(E110="T",J110+X110,IF(E110="A",J110-$N$5+$N$6*W110,0))))</f>
        <v>4480</v>
      </c>
      <c r="AB110">
        <f>SUM(Z110:AA110)</f>
        <v>4480</v>
      </c>
      <c r="AC110">
        <f>V110*K110</f>
        <v>0</v>
      </c>
      <c r="AD110">
        <f>'Data-Kolom'!L110</f>
        <v>10</v>
      </c>
      <c r="AE110">
        <f>'Data-Kolom'!M110</f>
        <v>100</v>
      </c>
      <c r="AF110">
        <f>'Data-Kolom'!N110</f>
        <v>100</v>
      </c>
      <c r="AG110">
        <f>'Data-Kolom'!O110</f>
        <v>100</v>
      </c>
      <c r="AH110">
        <f>'Data-Kolom'!P110</f>
        <v>0.5</v>
      </c>
      <c r="AI110">
        <f>'Data-Kolom'!Q110</f>
        <v>10</v>
      </c>
      <c r="AJ110">
        <f>'Data-Kolom'!R110</f>
        <v>0</v>
      </c>
      <c r="AK110">
        <f>'Data-Kolom'!S110</f>
        <v>0</v>
      </c>
      <c r="AL110">
        <f>2*(H110+I110-4*$N$5)+2*MAX($F$5*AD110,75)</f>
        <v>1530</v>
      </c>
      <c r="AM110">
        <f>+AH110*(H110-2*$N$5+2*MAX($F$5*AI110,75))+AJ110*(I110-2*$N$5+2*MAX($F$5*AK110,75))</f>
        <v>190</v>
      </c>
      <c r="AN110">
        <f>(ROUND((1/2*J110+IF(M110&gt;0,(Q110-$N$6*AD110),0))/AE110,0)+(ROUND(1/2*J110/AF110,0)+1))*K110</f>
        <v>47</v>
      </c>
      <c r="AO110">
        <f>H110*I110*J110/1000000000*K110*(1+$T$5)</f>
        <v>0.6075</v>
      </c>
      <c r="AP110">
        <f>0.006165*O110^2*T110*U110/1000*(1+$T$6)</f>
        <v>100.02579336</v>
      </c>
      <c r="AQ110">
        <f>0.006165*W110^2*AB110*AC110/1000*(1+$T$6)</f>
        <v>0</v>
      </c>
      <c r="AR110">
        <f>AN110*0.006165*AD110^2*AL110/1000*(1+$T$6)</f>
        <v>44.33251500000001</v>
      </c>
      <c r="AS110">
        <f>AN110*0.006165*AI110^2*AM110/1000*(1+$T$6)</f>
        <v>5.505345000000001</v>
      </c>
      <c r="AT110">
        <f>K110*2*J110*(H110+I110)/1000000*(1+$T$7)</f>
        <v>6.93</v>
      </c>
      <c r="AU110">
        <f>SUM(AP110:AS110)/AO110</f>
        <v>246.6891413333333</v>
      </c>
      <c r="AV110">
        <f>AT110/AO110</f>
        <v>11.407407407407407</v>
      </c>
      <c r="AX110">
        <f>0.006165*O110^2*R110*U110/1000*(1+$T$6)</f>
        <v>100.02579336</v>
      </c>
      <c r="AZ110">
        <f>0.006165*O110^2*S110*U110/1000*(1+$T$6)</f>
        <v>0</v>
      </c>
      <c r="BA110">
        <f>AZ110/AP110</f>
        <v>0</v>
      </c>
    </row>
    <row r="111">
      <c r="A111">
        <f>'Data-Kolom'!A111</f>
        <v>8</v>
      </c>
      <c r="B111" t="str">
        <f>'Data-Kolom'!B111</f>
        <v>Lantai 1</v>
      </c>
      <c r="C111">
        <f>'Data-Kolom'!C111</f>
        <v>0</v>
      </c>
      <c r="D111" t="str">
        <f>'Data-Kolom'!D111</f>
        <v>K12</v>
      </c>
      <c r="E111" t="str">
        <v>A</v>
      </c>
      <c r="F111">
        <f>'Data-Kolom'!U111</f>
        <v>0</v>
      </c>
      <c r="G111">
        <f>'Data-Kolom'!T111</f>
        <v>0</v>
      </c>
      <c r="H111">
        <f>'Data-Kolom'!E111</f>
        <v>130</v>
      </c>
      <c r="I111">
        <f>'Data-Kolom'!F111</f>
        <v>200</v>
      </c>
      <c r="J111">
        <f>'Data-Kolom'!G111</f>
        <v>4500</v>
      </c>
      <c r="K111">
        <v>1</v>
      </c>
      <c r="M111">
        <f>IF(L111&gt;0,VLOOKUP(L111,'Data-PC'!$B$14:$F$36,4,FALSE),0)</f>
        <v>0</v>
      </c>
      <c r="N111">
        <f>'Data-Kolom'!H111</f>
        <v>4</v>
      </c>
      <c r="O111">
        <f>'Data-Kolom'!I111</f>
        <v>10</v>
      </c>
      <c r="P111">
        <f>IF(N111&gt;0,VLOOKUP(O111,$V$2:$X$9,2,FALSE),0)</f>
        <v>640</v>
      </c>
      <c r="Q111">
        <f>IF(L111&gt;0,M111-50+$N$6*O111,VLOOKUP(O111,$V$2:$X$9,3,FALSE))</f>
        <v>490</v>
      </c>
      <c r="R111">
        <f>IF(E111="F",J111-$N$5+$N$6*O111+Q111,IF(E111="D",J111+Q111+P111,IF(E111="T",J111+P111,IF(E111="A",J111-$N$5+$N$6*O111,0))))</f>
        <v>4600</v>
      </c>
      <c r="T111">
        <f>SUM(R111:S111)</f>
        <v>4600</v>
      </c>
      <c r="U111">
        <f>K111*N111</f>
        <v>4</v>
      </c>
      <c r="V111">
        <f>'Data-Kolom'!J111</f>
        <v>0</v>
      </c>
      <c r="W111">
        <f>'Data-Kolom'!K111</f>
        <v>0</v>
      </c>
      <c r="X111">
        <f>IF(V111&gt;0,VLOOKUP(W111,$V$2:$X$9,2,FALSE),0)</f>
        <v>0</v>
      </c>
      <c r="Y111">
        <f>IF(V111&gt;0,IF(L111&gt;0,M111-50+$N$6*W111,VLOOKUP(W111,$V$2:$X$9,3,FALSE)),0)</f>
        <v>0</v>
      </c>
      <c r="Z111">
        <f>IF(E111="F",J111-$N$5+$N$6*W111+Y111,IF(E111="D",J111+Y111+X111,IF(E111="T",J111+X111,IF(E111="A",J111-$N$5+$N$6*W111,0))))</f>
        <v>4480</v>
      </c>
      <c r="AB111">
        <f>SUM(Z111:AA111)</f>
        <v>4480</v>
      </c>
      <c r="AC111">
        <f>V111*K111</f>
        <v>0</v>
      </c>
      <c r="AD111">
        <f>'Data-Kolom'!L111</f>
        <v>8</v>
      </c>
      <c r="AE111">
        <f>'Data-Kolom'!M111</f>
        <v>100</v>
      </c>
      <c r="AF111">
        <f>'Data-Kolom'!N111</f>
        <v>100</v>
      </c>
      <c r="AG111">
        <f>'Data-Kolom'!O111</f>
        <v>100</v>
      </c>
      <c r="AH111">
        <f>'Data-Kolom'!P111</f>
        <v>0</v>
      </c>
      <c r="AI111">
        <f>'Data-Kolom'!Q111</f>
        <v>0</v>
      </c>
      <c r="AJ111">
        <f>'Data-Kolom'!R111</f>
        <v>0</v>
      </c>
      <c r="AK111">
        <f>'Data-Kolom'!S111</f>
        <v>0</v>
      </c>
      <c r="AL111">
        <f>2*(H111+I111-4*$N$5)+2*MAX($F$5*AD111,75)</f>
        <v>650</v>
      </c>
      <c r="AM111">
        <f>+AH111*(H111-2*$N$5+2*MAX($F$5*AI111,75))+AJ111*(I111-2*$N$5+2*MAX($F$5*AK111,75))</f>
        <v>0</v>
      </c>
      <c r="AN111">
        <f>(ROUND((1/2*J111+IF(M111&gt;0,(Q111-$N$6*AD111),0))/AE111,0)+(ROUND(1/2*J111/AF111,0)+1))*K111</f>
        <v>47</v>
      </c>
      <c r="AO111">
        <f>H111*I111*J111/1000000000*K111*(1+$T$5)</f>
        <v>0.117</v>
      </c>
      <c r="AP111">
        <f>0.006165*O111^2*T111*U111/1000*(1+$T$6)</f>
        <v>11.3436</v>
      </c>
      <c r="AQ111">
        <f>0.006165*W111^2*AB111*AC111/1000*(1+$T$6)</f>
        <v>0</v>
      </c>
      <c r="AR111">
        <f>AN111*0.006165*AD111^2*AL111/1000*(1+$T$6)</f>
        <v>12.053808</v>
      </c>
      <c r="AS111">
        <f>AN111*0.006165*AI111^2*AM111/1000*(1+$T$6)</f>
        <v>0</v>
      </c>
      <c r="AT111">
        <f>K111*2*J111*(H111+I111)/1000000*(1+$T$7)</f>
        <v>2.97</v>
      </c>
      <c r="AU111">
        <f>SUM(AP111:AS111)/AO111</f>
        <v>199.97784615384614</v>
      </c>
      <c r="AV111">
        <f>AT111/AO111</f>
        <v>25.384615384615383</v>
      </c>
      <c r="AX111">
        <f>0.006165*O111^2*R111*U111/1000*(1+$T$6)</f>
        <v>11.3436</v>
      </c>
      <c r="AZ111">
        <f>0.006165*O111^2*S111*U111/1000*(1+$T$6)</f>
        <v>0</v>
      </c>
      <c r="BA111">
        <f>AZ111/AP111</f>
        <v>0</v>
      </c>
    </row>
    <row r="112">
      <c r="A112">
        <f>'Data-Kolom'!A112</f>
        <v>115</v>
      </c>
      <c r="B112" t="str">
        <f>'Data-Kolom'!B112</f>
        <v>Lantai 1</v>
      </c>
      <c r="C112">
        <f>'Data-Kolom'!C112</f>
        <v>0</v>
      </c>
      <c r="D112" t="str">
        <f>'Data-Kolom'!D112</f>
        <v>K12</v>
      </c>
      <c r="E112" t="str">
        <v>F</v>
      </c>
      <c r="F112">
        <f>'Data-Kolom'!U112</f>
        <v>0</v>
      </c>
      <c r="G112">
        <f>'Data-Kolom'!T112</f>
        <v>0</v>
      </c>
      <c r="H112">
        <f>'Data-Kolom'!E112</f>
        <v>130</v>
      </c>
      <c r="I112">
        <f>'Data-Kolom'!F112</f>
        <v>200</v>
      </c>
      <c r="J112">
        <f>'Data-Kolom'!G112</f>
        <v>4500</v>
      </c>
      <c r="K112">
        <v>1</v>
      </c>
      <c r="M112">
        <f>IF(L112&gt;0,VLOOKUP(L112,'Data-PC'!$B$14:$F$36,4,FALSE),0)</f>
        <v>0</v>
      </c>
      <c r="N112">
        <f>'Data-Kolom'!H112</f>
        <v>4</v>
      </c>
      <c r="O112">
        <f>'Data-Kolom'!I112</f>
        <v>10</v>
      </c>
      <c r="P112">
        <f>IF(N112&gt;0,VLOOKUP(O112,$V$2:$X$9,2,FALSE),0)</f>
        <v>640</v>
      </c>
      <c r="Q112">
        <f>IF(L112&gt;0,M112-50+$N$6*O112,VLOOKUP(O112,$V$2:$X$9,3,FALSE))</f>
        <v>490</v>
      </c>
      <c r="R112">
        <f>IF(E112="F",J112-$N$5+$N$6*O112+Q112,IF(E112="D",J112+Q112+P112,IF(E112="T",J112+P112,IF(E112="A",J112-$N$5+$N$6*O112,0))))</f>
        <v>5090</v>
      </c>
      <c r="T112">
        <f>SUM(R112:S112)</f>
        <v>5090</v>
      </c>
      <c r="U112">
        <f>K112*N112</f>
        <v>4</v>
      </c>
      <c r="V112">
        <f>'Data-Kolom'!J112</f>
        <v>0</v>
      </c>
      <c r="W112">
        <f>'Data-Kolom'!K112</f>
        <v>0</v>
      </c>
      <c r="X112">
        <f>IF(V112&gt;0,VLOOKUP(W112,$V$2:$X$9,2,FALSE),0)</f>
        <v>0</v>
      </c>
      <c r="Y112">
        <f>IF(V112&gt;0,IF(L112&gt;0,M112-50+$N$6*W112,VLOOKUP(W112,$V$2:$X$9,3,FALSE)),0)</f>
        <v>0</v>
      </c>
      <c r="Z112">
        <f>IF(E112="F",J112-$N$5+$N$6*W112+Y112,IF(E112="D",J112+Y112+X112,IF(E112="T",J112+X112,IF(E112="A",J112-$N$5+$N$6*W112,0))))</f>
        <v>4480</v>
      </c>
      <c r="AB112">
        <f>SUM(Z112:AA112)</f>
        <v>4480</v>
      </c>
      <c r="AC112">
        <f>V112*K112</f>
        <v>0</v>
      </c>
      <c r="AD112">
        <f>'Data-Kolom'!L112</f>
        <v>8</v>
      </c>
      <c r="AE112">
        <f>'Data-Kolom'!M112</f>
        <v>100</v>
      </c>
      <c r="AF112">
        <f>'Data-Kolom'!N112</f>
        <v>100</v>
      </c>
      <c r="AG112">
        <f>'Data-Kolom'!O112</f>
        <v>100</v>
      </c>
      <c r="AH112">
        <f>'Data-Kolom'!P112</f>
        <v>0</v>
      </c>
      <c r="AI112">
        <f>'Data-Kolom'!Q112</f>
        <v>0</v>
      </c>
      <c r="AJ112">
        <f>'Data-Kolom'!R112</f>
        <v>0</v>
      </c>
      <c r="AK112">
        <f>'Data-Kolom'!S112</f>
        <v>0</v>
      </c>
      <c r="AL112">
        <f>2*(H112+I112-4*$N$5)+2*MAX($F$5*AD112,75)</f>
        <v>650</v>
      </c>
      <c r="AM112">
        <f>+AH112*(H112-2*$N$5+2*MAX($F$5*AI112,75))+AJ112*(I112-2*$N$5+2*MAX($F$5*AK112,75))</f>
        <v>0</v>
      </c>
      <c r="AN112">
        <f>(ROUND((1/2*J112+IF(M112&gt;0,(Q112-$N$6*AD112),0))/AE112,0)+(ROUND(1/2*J112/AF112,0)+1))*K112</f>
        <v>47</v>
      </c>
      <c r="AO112">
        <f>H112*I112*J112/1000000000*K112*(1+$T$5)</f>
        <v>0.117</v>
      </c>
      <c r="AP112">
        <f>0.006165*O112^2*T112*U112/1000*(1+$T$6)</f>
        <v>12.55194</v>
      </c>
      <c r="AQ112">
        <f>0.006165*W112^2*AB112*AC112/1000*(1+$T$6)</f>
        <v>0</v>
      </c>
      <c r="AR112">
        <f>AN112*0.006165*AD112^2*AL112/1000*(1+$T$6)</f>
        <v>12.053808</v>
      </c>
      <c r="AS112">
        <f>AN112*0.006165*AI112^2*AM112/1000*(1+$T$6)</f>
        <v>0</v>
      </c>
      <c r="AT112">
        <f>K112*2*J112*(H112+I112)/1000000*(1+$T$7)</f>
        <v>2.97</v>
      </c>
      <c r="AU112">
        <f>SUM(AP112:AS112)/AO112</f>
        <v>210.30553846153845</v>
      </c>
      <c r="AV112">
        <f>AT112/AO112</f>
        <v>25.384615384615383</v>
      </c>
      <c r="AX112">
        <f>0.006165*O112^2*R112*U112/1000*(1+$T$6)</f>
        <v>12.55194</v>
      </c>
      <c r="AZ112">
        <f>0.006165*O112^2*S112*U112/1000*(1+$T$6)</f>
        <v>0</v>
      </c>
      <c r="BA112">
        <f>AZ112/AP112</f>
        <v>0</v>
      </c>
    </row>
    <row r="113">
      <c r="A113">
        <f>'Data-Kolom'!A113</f>
        <v>116</v>
      </c>
      <c r="B113" t="str">
        <f>'Data-Kolom'!B113</f>
        <v>Lantai 1</v>
      </c>
      <c r="C113">
        <f>'Data-Kolom'!C113</f>
        <v>0</v>
      </c>
      <c r="D113" t="str">
        <f>'Data-Kolom'!D113</f>
        <v>K12</v>
      </c>
      <c r="E113" t="str">
        <v>F</v>
      </c>
      <c r="F113">
        <f>'Data-Kolom'!U113</f>
        <v>0</v>
      </c>
      <c r="G113">
        <f>'Data-Kolom'!T113</f>
        <v>0</v>
      </c>
      <c r="H113">
        <f>'Data-Kolom'!E113</f>
        <v>130</v>
      </c>
      <c r="I113">
        <f>'Data-Kolom'!F113</f>
        <v>200</v>
      </c>
      <c r="J113">
        <f>'Data-Kolom'!G113</f>
        <v>4500</v>
      </c>
      <c r="K113">
        <v>1</v>
      </c>
      <c r="M113">
        <f>IF(L113&gt;0,VLOOKUP(L113,'Data-PC'!$B$14:$F$36,4,FALSE),0)</f>
        <v>0</v>
      </c>
      <c r="N113">
        <f>'Data-Kolom'!H113</f>
        <v>4</v>
      </c>
      <c r="O113">
        <f>'Data-Kolom'!I113</f>
        <v>10</v>
      </c>
      <c r="P113">
        <f>IF(N113&gt;0,VLOOKUP(O113,$V$2:$X$9,2,FALSE),0)</f>
        <v>640</v>
      </c>
      <c r="Q113">
        <f>IF(L113&gt;0,M113-50+$N$6*O113,VLOOKUP(O113,$V$2:$X$9,3,FALSE))</f>
        <v>490</v>
      </c>
      <c r="R113">
        <f>IF(E113="F",J113-$N$5+$N$6*O113+Q113,IF(E113="D",J113+Q113+P113,IF(E113="T",J113+P113,IF(E113="A",J113-$N$5+$N$6*O113,0))))</f>
        <v>5090</v>
      </c>
      <c r="T113">
        <f>SUM(R113:S113)</f>
        <v>5090</v>
      </c>
      <c r="U113">
        <f>K113*N113</f>
        <v>4</v>
      </c>
      <c r="V113">
        <f>'Data-Kolom'!J113</f>
        <v>0</v>
      </c>
      <c r="W113">
        <f>'Data-Kolom'!K113</f>
        <v>0</v>
      </c>
      <c r="X113">
        <f>IF(V113&gt;0,VLOOKUP(W113,$V$2:$X$9,2,FALSE),0)</f>
        <v>0</v>
      </c>
      <c r="Y113">
        <f>IF(V113&gt;0,IF(L113&gt;0,M113-50+$N$6*W113,VLOOKUP(W113,$V$2:$X$9,3,FALSE)),0)</f>
        <v>0</v>
      </c>
      <c r="Z113">
        <f>IF(E113="F",J113-$N$5+$N$6*W113+Y113,IF(E113="D",J113+Y113+X113,IF(E113="T",J113+X113,IF(E113="A",J113-$N$5+$N$6*W113,0))))</f>
        <v>4480</v>
      </c>
      <c r="AB113">
        <f>SUM(Z113:AA113)</f>
        <v>4480</v>
      </c>
      <c r="AC113">
        <f>V113*K113</f>
        <v>0</v>
      </c>
      <c r="AD113">
        <f>'Data-Kolom'!L113</f>
        <v>8</v>
      </c>
      <c r="AE113">
        <f>'Data-Kolom'!M113</f>
        <v>100</v>
      </c>
      <c r="AF113">
        <f>'Data-Kolom'!N113</f>
        <v>100</v>
      </c>
      <c r="AG113">
        <f>'Data-Kolom'!O113</f>
        <v>100</v>
      </c>
      <c r="AH113">
        <f>'Data-Kolom'!P113</f>
        <v>0</v>
      </c>
      <c r="AI113">
        <f>'Data-Kolom'!Q113</f>
        <v>0</v>
      </c>
      <c r="AJ113">
        <f>'Data-Kolom'!R113</f>
        <v>0</v>
      </c>
      <c r="AK113">
        <f>'Data-Kolom'!S113</f>
        <v>0</v>
      </c>
      <c r="AL113">
        <f>2*(H113+I113-4*$N$5)+2*MAX($F$5*AD113,75)</f>
        <v>650</v>
      </c>
      <c r="AM113">
        <f>+AH113*(H113-2*$N$5+2*MAX($F$5*AI113,75))+AJ113*(I113-2*$N$5+2*MAX($F$5*AK113,75))</f>
        <v>0</v>
      </c>
      <c r="AN113">
        <f>(ROUND((1/2*J113+IF(M113&gt;0,(Q113-$N$6*AD113),0))/AE113,0)+(ROUND(1/2*J113/AF113,0)+1))*K113</f>
        <v>47</v>
      </c>
      <c r="AO113">
        <f>H113*I113*J113/1000000000*K113*(1+$T$5)</f>
        <v>0.117</v>
      </c>
      <c r="AP113">
        <f>0.006165*O113^2*T113*U113/1000*(1+$T$6)</f>
        <v>12.55194</v>
      </c>
      <c r="AQ113">
        <f>0.006165*W113^2*AB113*AC113/1000*(1+$T$6)</f>
        <v>0</v>
      </c>
      <c r="AR113">
        <f>AN113*0.006165*AD113^2*AL113/1000*(1+$T$6)</f>
        <v>12.053808</v>
      </c>
      <c r="AS113">
        <f>AN113*0.006165*AI113^2*AM113/1000*(1+$T$6)</f>
        <v>0</v>
      </c>
      <c r="AT113">
        <f>K113*2*J113*(H113+I113)/1000000*(1+$T$7)</f>
        <v>2.97</v>
      </c>
      <c r="AU113">
        <f>SUM(AP113:AS113)/AO113</f>
        <v>210.30553846153845</v>
      </c>
      <c r="AV113">
        <f>AT113/AO113</f>
        <v>25.384615384615383</v>
      </c>
      <c r="AX113">
        <f>0.006165*O113^2*R113*U113/1000*(1+$T$6)</f>
        <v>12.55194</v>
      </c>
      <c r="AZ113">
        <f>0.006165*O113^2*S113*U113/1000*(1+$T$6)</f>
        <v>0</v>
      </c>
      <c r="BA113">
        <f>AZ113/AP113</f>
        <v>0</v>
      </c>
    </row>
    <row r="114">
      <c r="A114">
        <f>'Data-Kolom'!A114</f>
        <v>117</v>
      </c>
      <c r="B114" t="str">
        <f>'Data-Kolom'!B114</f>
        <v>Lantai 1</v>
      </c>
      <c r="C114">
        <f>'Data-Kolom'!C114</f>
        <v>0</v>
      </c>
      <c r="D114" t="str">
        <f>'Data-Kolom'!D114</f>
        <v>K12</v>
      </c>
      <c r="E114" t="str">
        <v>F</v>
      </c>
      <c r="F114">
        <f>'Data-Kolom'!U114</f>
        <v>0</v>
      </c>
      <c r="G114">
        <f>'Data-Kolom'!T114</f>
        <v>0</v>
      </c>
      <c r="H114">
        <f>'Data-Kolom'!E114</f>
        <v>130</v>
      </c>
      <c r="I114">
        <f>'Data-Kolom'!F114</f>
        <v>200</v>
      </c>
      <c r="J114">
        <f>'Data-Kolom'!G114</f>
        <v>4500</v>
      </c>
      <c r="K114">
        <v>1</v>
      </c>
      <c r="M114">
        <f>IF(L114&gt;0,VLOOKUP(L114,'Data-PC'!$B$14:$F$36,4,FALSE),0)</f>
        <v>0</v>
      </c>
      <c r="N114">
        <f>'Data-Kolom'!H114</f>
        <v>4</v>
      </c>
      <c r="O114">
        <f>'Data-Kolom'!I114</f>
        <v>10</v>
      </c>
      <c r="P114">
        <f>IF(N114&gt;0,VLOOKUP(O114,$V$2:$X$9,2,FALSE),0)</f>
        <v>640</v>
      </c>
      <c r="Q114">
        <f>IF(L114&gt;0,M114-50+$N$6*O114,VLOOKUP(O114,$V$2:$X$9,3,FALSE))</f>
        <v>490</v>
      </c>
      <c r="R114">
        <f>IF(E114="F",J114-$N$5+$N$6*O114+Q114,IF(E114="D",J114+Q114+P114,IF(E114="T",J114+P114,IF(E114="A",J114-$N$5+$N$6*O114,0))))</f>
        <v>5090</v>
      </c>
      <c r="T114">
        <f>SUM(R114:S114)</f>
        <v>5090</v>
      </c>
      <c r="U114">
        <f>K114*N114</f>
        <v>4</v>
      </c>
      <c r="V114">
        <f>'Data-Kolom'!J114</f>
        <v>0</v>
      </c>
      <c r="W114">
        <f>'Data-Kolom'!K114</f>
        <v>0</v>
      </c>
      <c r="X114">
        <f>IF(V114&gt;0,VLOOKUP(W114,$V$2:$X$9,2,FALSE),0)</f>
        <v>0</v>
      </c>
      <c r="Y114">
        <f>IF(V114&gt;0,IF(L114&gt;0,M114-50+$N$6*W114,VLOOKUP(W114,$V$2:$X$9,3,FALSE)),0)</f>
        <v>0</v>
      </c>
      <c r="Z114">
        <f>IF(E114="F",J114-$N$5+$N$6*W114+Y114,IF(E114="D",J114+Y114+X114,IF(E114="T",J114+X114,IF(E114="A",J114-$N$5+$N$6*W114,0))))</f>
        <v>4480</v>
      </c>
      <c r="AB114">
        <f>SUM(Z114:AA114)</f>
        <v>4480</v>
      </c>
      <c r="AC114">
        <f>V114*K114</f>
        <v>0</v>
      </c>
      <c r="AD114">
        <f>'Data-Kolom'!L114</f>
        <v>8</v>
      </c>
      <c r="AE114">
        <f>'Data-Kolom'!M114</f>
        <v>100</v>
      </c>
      <c r="AF114">
        <f>'Data-Kolom'!N114</f>
        <v>100</v>
      </c>
      <c r="AG114">
        <f>'Data-Kolom'!O114</f>
        <v>100</v>
      </c>
      <c r="AH114">
        <f>'Data-Kolom'!P114</f>
        <v>0</v>
      </c>
      <c r="AI114">
        <f>'Data-Kolom'!Q114</f>
        <v>0</v>
      </c>
      <c r="AJ114">
        <f>'Data-Kolom'!R114</f>
        <v>0</v>
      </c>
      <c r="AK114">
        <f>'Data-Kolom'!S114</f>
        <v>0</v>
      </c>
      <c r="AL114">
        <f>2*(H114+I114-4*$N$5)+2*MAX($F$5*AD114,75)</f>
        <v>650</v>
      </c>
      <c r="AM114">
        <f>+AH114*(H114-2*$N$5+2*MAX($F$5*AI114,75))+AJ114*(I114-2*$N$5+2*MAX($F$5*AK114,75))</f>
        <v>0</v>
      </c>
      <c r="AN114">
        <f>(ROUND((1/2*J114+IF(M114&gt;0,(Q114-$N$6*AD114),0))/AE114,0)+(ROUND(1/2*J114/AF114,0)+1))*K114</f>
        <v>47</v>
      </c>
      <c r="AO114">
        <f>H114*I114*J114/1000000000*K114*(1+$T$5)</f>
        <v>0.117</v>
      </c>
      <c r="AP114">
        <f>0.006165*O114^2*T114*U114/1000*(1+$T$6)</f>
        <v>12.55194</v>
      </c>
      <c r="AQ114">
        <f>0.006165*W114^2*AB114*AC114/1000*(1+$T$6)</f>
        <v>0</v>
      </c>
      <c r="AR114">
        <f>AN114*0.006165*AD114^2*AL114/1000*(1+$T$6)</f>
        <v>12.053808</v>
      </c>
      <c r="AS114">
        <f>AN114*0.006165*AI114^2*AM114/1000*(1+$T$6)</f>
        <v>0</v>
      </c>
      <c r="AT114">
        <f>K114*2*J114*(H114+I114)/1000000*(1+$T$7)</f>
        <v>2.97</v>
      </c>
      <c r="AU114">
        <f>SUM(AP114:AS114)/AO114</f>
        <v>210.30553846153845</v>
      </c>
      <c r="AV114">
        <f>AT114/AO114</f>
        <v>25.384615384615383</v>
      </c>
      <c r="AX114">
        <f>0.006165*O114^2*R114*U114/1000*(1+$T$6)</f>
        <v>12.55194</v>
      </c>
      <c r="AZ114">
        <f>0.006165*O114^2*S114*U114/1000*(1+$T$6)</f>
        <v>0</v>
      </c>
      <c r="BA114">
        <f>AZ114/AP114</f>
        <v>0</v>
      </c>
    </row>
    <row r="115">
      <c r="A115">
        <f>'Data-Kolom'!A115</f>
        <v>118</v>
      </c>
      <c r="B115" t="str">
        <f>'Data-Kolom'!B115</f>
        <v>Lantai 1</v>
      </c>
      <c r="C115">
        <f>'Data-Kolom'!C115</f>
        <v>0</v>
      </c>
      <c r="D115" t="str">
        <f>'Data-Kolom'!D115</f>
        <v>K12</v>
      </c>
      <c r="E115" t="str">
        <v>F</v>
      </c>
      <c r="F115">
        <f>'Data-Kolom'!U115</f>
        <v>0</v>
      </c>
      <c r="G115">
        <f>'Data-Kolom'!T115</f>
        <v>0</v>
      </c>
      <c r="H115">
        <f>'Data-Kolom'!E115</f>
        <v>130</v>
      </c>
      <c r="I115">
        <f>'Data-Kolom'!F115</f>
        <v>200</v>
      </c>
      <c r="J115">
        <f>'Data-Kolom'!G115</f>
        <v>4500</v>
      </c>
      <c r="K115">
        <v>1</v>
      </c>
      <c r="M115">
        <f>IF(L115&gt;0,VLOOKUP(L115,'Data-PC'!$B$14:$F$36,4,FALSE),0)</f>
        <v>0</v>
      </c>
      <c r="N115">
        <f>'Data-Kolom'!H115</f>
        <v>4</v>
      </c>
      <c r="O115">
        <f>'Data-Kolom'!I115</f>
        <v>10</v>
      </c>
      <c r="P115">
        <f>IF(N115&gt;0,VLOOKUP(O115,$V$2:$X$9,2,FALSE),0)</f>
        <v>640</v>
      </c>
      <c r="Q115">
        <f>IF(L115&gt;0,M115-50+$N$6*O115,VLOOKUP(O115,$V$2:$X$9,3,FALSE))</f>
        <v>490</v>
      </c>
      <c r="R115">
        <f>IF(E115="F",J115-$N$5+$N$6*O115+Q115,IF(E115="D",J115+Q115+P115,IF(E115="T",J115+P115,IF(E115="A",J115-$N$5+$N$6*O115,0))))</f>
        <v>5090</v>
      </c>
      <c r="T115">
        <f>SUM(R115:S115)</f>
        <v>5090</v>
      </c>
      <c r="U115">
        <f>K115*N115</f>
        <v>4</v>
      </c>
      <c r="V115">
        <f>'Data-Kolom'!J115</f>
        <v>0</v>
      </c>
      <c r="W115">
        <f>'Data-Kolom'!K115</f>
        <v>0</v>
      </c>
      <c r="X115">
        <f>IF(V115&gt;0,VLOOKUP(W115,$V$2:$X$9,2,FALSE),0)</f>
        <v>0</v>
      </c>
      <c r="Y115">
        <f>IF(V115&gt;0,IF(L115&gt;0,M115-50+$N$6*W115,VLOOKUP(W115,$V$2:$X$9,3,FALSE)),0)</f>
        <v>0</v>
      </c>
      <c r="Z115">
        <f>IF(E115="F",J115-$N$5+$N$6*W115+Y115,IF(E115="D",J115+Y115+X115,IF(E115="T",J115+X115,IF(E115="A",J115-$N$5+$N$6*W115,0))))</f>
        <v>4480</v>
      </c>
      <c r="AB115">
        <f>SUM(Z115:AA115)</f>
        <v>4480</v>
      </c>
      <c r="AC115">
        <f>V115*K115</f>
        <v>0</v>
      </c>
      <c r="AD115">
        <f>'Data-Kolom'!L115</f>
        <v>8</v>
      </c>
      <c r="AE115">
        <f>'Data-Kolom'!M115</f>
        <v>100</v>
      </c>
      <c r="AF115">
        <f>'Data-Kolom'!N115</f>
        <v>100</v>
      </c>
      <c r="AG115">
        <f>'Data-Kolom'!O115</f>
        <v>100</v>
      </c>
      <c r="AH115">
        <f>'Data-Kolom'!P115</f>
        <v>0</v>
      </c>
      <c r="AI115">
        <f>'Data-Kolom'!Q115</f>
        <v>0</v>
      </c>
      <c r="AJ115">
        <f>'Data-Kolom'!R115</f>
        <v>0</v>
      </c>
      <c r="AK115">
        <f>'Data-Kolom'!S115</f>
        <v>0</v>
      </c>
      <c r="AL115">
        <f>2*(H115+I115-4*$N$5)+2*MAX($F$5*AD115,75)</f>
        <v>650</v>
      </c>
      <c r="AM115">
        <f>+AH115*(H115-2*$N$5+2*MAX($F$5*AI115,75))+AJ115*(I115-2*$N$5+2*MAX($F$5*AK115,75))</f>
        <v>0</v>
      </c>
      <c r="AN115">
        <f>(ROUND((1/2*J115+IF(M115&gt;0,(Q115-$N$6*AD115),0))/AE115,0)+(ROUND(1/2*J115/AF115,0)+1))*K115</f>
        <v>47</v>
      </c>
      <c r="AO115">
        <f>H115*I115*J115/1000000000*K115*(1+$T$5)</f>
        <v>0.117</v>
      </c>
      <c r="AP115">
        <f>0.006165*O115^2*T115*U115/1000*(1+$T$6)</f>
        <v>12.55194</v>
      </c>
      <c r="AQ115">
        <f>0.006165*W115^2*AB115*AC115/1000*(1+$T$6)</f>
        <v>0</v>
      </c>
      <c r="AR115">
        <f>AN115*0.006165*AD115^2*AL115/1000*(1+$T$6)</f>
        <v>12.053808</v>
      </c>
      <c r="AS115">
        <f>AN115*0.006165*AI115^2*AM115/1000*(1+$T$6)</f>
        <v>0</v>
      </c>
      <c r="AT115">
        <f>K115*2*J115*(H115+I115)/1000000*(1+$T$7)</f>
        <v>2.97</v>
      </c>
      <c r="AU115">
        <f>SUM(AP115:AS115)/AO115</f>
        <v>210.30553846153845</v>
      </c>
      <c r="AV115">
        <f>AT115/AO115</f>
        <v>25.384615384615383</v>
      </c>
      <c r="AX115">
        <f>0.006165*O115^2*R115*U115/1000*(1+$T$6)</f>
        <v>12.55194</v>
      </c>
      <c r="AZ115">
        <f>0.006165*O115^2*S115*U115/1000*(1+$T$6)</f>
        <v>0</v>
      </c>
      <c r="BA115">
        <f>AZ115/AP115</f>
        <v>0</v>
      </c>
    </row>
    <row r="116">
      <c r="A116">
        <f>'Data-Kolom'!A116</f>
        <v>119</v>
      </c>
      <c r="B116" t="str">
        <f>'Data-Kolom'!B116</f>
        <v>Lantai 1</v>
      </c>
      <c r="C116">
        <f>'Data-Kolom'!C116</f>
        <v>0</v>
      </c>
      <c r="D116" t="str">
        <f>'Data-Kolom'!D116</f>
        <v>K12</v>
      </c>
      <c r="E116" t="str">
        <v>F</v>
      </c>
      <c r="F116">
        <f>'Data-Kolom'!U116</f>
        <v>0</v>
      </c>
      <c r="G116">
        <f>'Data-Kolom'!T116</f>
        <v>0</v>
      </c>
      <c r="H116">
        <f>'Data-Kolom'!E116</f>
        <v>130</v>
      </c>
      <c r="I116">
        <f>'Data-Kolom'!F116</f>
        <v>200</v>
      </c>
      <c r="J116">
        <f>'Data-Kolom'!G116</f>
        <v>4500</v>
      </c>
      <c r="K116">
        <v>1</v>
      </c>
      <c r="M116">
        <f>IF(L116&gt;0,VLOOKUP(L116,'Data-PC'!$B$14:$F$36,4,FALSE),0)</f>
        <v>0</v>
      </c>
      <c r="N116">
        <f>'Data-Kolom'!H116</f>
        <v>4</v>
      </c>
      <c r="O116">
        <f>'Data-Kolom'!I116</f>
        <v>10</v>
      </c>
      <c r="P116">
        <f>IF(N116&gt;0,VLOOKUP(O116,$V$2:$X$9,2,FALSE),0)</f>
        <v>640</v>
      </c>
      <c r="Q116">
        <f>IF(L116&gt;0,M116-50+$N$6*O116,VLOOKUP(O116,$V$2:$X$9,3,FALSE))</f>
        <v>490</v>
      </c>
      <c r="R116">
        <f>IF(E116="F",J116-$N$5+$N$6*O116+Q116,IF(E116="D",J116+Q116+P116,IF(E116="T",J116+P116,IF(E116="A",J116-$N$5+$N$6*O116,0))))</f>
        <v>5090</v>
      </c>
      <c r="T116">
        <f>SUM(R116:S116)</f>
        <v>5090</v>
      </c>
      <c r="U116">
        <f>K116*N116</f>
        <v>4</v>
      </c>
      <c r="V116">
        <f>'Data-Kolom'!J116</f>
        <v>0</v>
      </c>
      <c r="W116">
        <f>'Data-Kolom'!K116</f>
        <v>0</v>
      </c>
      <c r="X116">
        <f>IF(V116&gt;0,VLOOKUP(W116,$V$2:$X$9,2,FALSE),0)</f>
        <v>0</v>
      </c>
      <c r="Y116">
        <f>IF(V116&gt;0,IF(L116&gt;0,M116-50+$N$6*W116,VLOOKUP(W116,$V$2:$X$9,3,FALSE)),0)</f>
        <v>0</v>
      </c>
      <c r="Z116">
        <f>IF(E116="F",J116-$N$5+$N$6*W116+Y116,IF(E116="D",J116+Y116+X116,IF(E116="T",J116+X116,IF(E116="A",J116-$N$5+$N$6*W116,0))))</f>
        <v>4480</v>
      </c>
      <c r="AB116">
        <f>SUM(Z116:AA116)</f>
        <v>4480</v>
      </c>
      <c r="AC116">
        <f>V116*K116</f>
        <v>0</v>
      </c>
      <c r="AD116">
        <f>'Data-Kolom'!L116</f>
        <v>8</v>
      </c>
      <c r="AE116">
        <f>'Data-Kolom'!M116</f>
        <v>100</v>
      </c>
      <c r="AF116">
        <f>'Data-Kolom'!N116</f>
        <v>100</v>
      </c>
      <c r="AG116">
        <f>'Data-Kolom'!O116</f>
        <v>100</v>
      </c>
      <c r="AH116">
        <f>'Data-Kolom'!P116</f>
        <v>0</v>
      </c>
      <c r="AI116">
        <f>'Data-Kolom'!Q116</f>
        <v>0</v>
      </c>
      <c r="AJ116">
        <f>'Data-Kolom'!R116</f>
        <v>0</v>
      </c>
      <c r="AK116">
        <f>'Data-Kolom'!S116</f>
        <v>0</v>
      </c>
      <c r="AL116">
        <f>2*(H116+I116-4*$N$5)+2*MAX($F$5*AD116,75)</f>
        <v>650</v>
      </c>
      <c r="AM116">
        <f>+AH116*(H116-2*$N$5+2*MAX($F$5*AI116,75))+AJ116*(I116-2*$N$5+2*MAX($F$5*AK116,75))</f>
        <v>0</v>
      </c>
      <c r="AN116">
        <f>(ROUND((1/2*J116+IF(M116&gt;0,(Q116-$N$6*AD116),0))/AE116,0)+(ROUND(1/2*J116/AF116,0)+1))*K116</f>
        <v>47</v>
      </c>
      <c r="AO116">
        <f>H116*I116*J116/1000000000*K116*(1+$T$5)</f>
        <v>0.117</v>
      </c>
      <c r="AP116">
        <f>0.006165*O116^2*T116*U116/1000*(1+$T$6)</f>
        <v>12.55194</v>
      </c>
      <c r="AQ116">
        <f>0.006165*W116^2*AB116*AC116/1000*(1+$T$6)</f>
        <v>0</v>
      </c>
      <c r="AR116">
        <f>AN116*0.006165*AD116^2*AL116/1000*(1+$T$6)</f>
        <v>12.053808</v>
      </c>
      <c r="AS116">
        <f>AN116*0.006165*AI116^2*AM116/1000*(1+$T$6)</f>
        <v>0</v>
      </c>
      <c r="AT116">
        <f>K116*2*J116*(H116+I116)/1000000*(1+$T$7)</f>
        <v>2.97</v>
      </c>
      <c r="AU116">
        <f>SUM(AP116:AS116)/AO116</f>
        <v>210.30553846153845</v>
      </c>
      <c r="AV116">
        <f>AT116/AO116</f>
        <v>25.384615384615383</v>
      </c>
      <c r="AX116">
        <f>0.006165*O116^2*R116*U116/1000*(1+$T$6)</f>
        <v>12.55194</v>
      </c>
      <c r="AZ116">
        <f>0.006165*O116^2*S116*U116/1000*(1+$T$6)</f>
        <v>0</v>
      </c>
      <c r="BA116">
        <f>AZ116/AP116</f>
        <v>0</v>
      </c>
    </row>
    <row r="117">
      <c r="A117">
        <f>'Data-Kolom'!A117</f>
        <v>120</v>
      </c>
      <c r="B117" t="str">
        <f>'Data-Kolom'!B117</f>
        <v>Lantai 1</v>
      </c>
      <c r="C117">
        <f>'Data-Kolom'!C117</f>
        <v>0</v>
      </c>
      <c r="D117" t="str">
        <f>'Data-Kolom'!D117</f>
        <v>K12</v>
      </c>
      <c r="E117" t="str">
        <v>F</v>
      </c>
      <c r="F117">
        <f>'Data-Kolom'!U117</f>
        <v>0</v>
      </c>
      <c r="G117">
        <f>'Data-Kolom'!T117</f>
        <v>0</v>
      </c>
      <c r="H117">
        <f>'Data-Kolom'!E117</f>
        <v>130</v>
      </c>
      <c r="I117">
        <f>'Data-Kolom'!F117</f>
        <v>200</v>
      </c>
      <c r="J117">
        <f>'Data-Kolom'!G117</f>
        <v>4500</v>
      </c>
      <c r="K117">
        <v>1</v>
      </c>
      <c r="M117">
        <f>IF(L117&gt;0,VLOOKUP(L117,'Data-PC'!$B$14:$F$36,4,FALSE),0)</f>
        <v>0</v>
      </c>
      <c r="N117">
        <f>'Data-Kolom'!H117</f>
        <v>4</v>
      </c>
      <c r="O117">
        <f>'Data-Kolom'!I117</f>
        <v>10</v>
      </c>
      <c r="P117">
        <f>IF(N117&gt;0,VLOOKUP(O117,$V$2:$X$9,2,FALSE),0)</f>
        <v>640</v>
      </c>
      <c r="Q117">
        <f>IF(L117&gt;0,M117-50+$N$6*O117,VLOOKUP(O117,$V$2:$X$9,3,FALSE))</f>
        <v>490</v>
      </c>
      <c r="R117">
        <f>IF(E117="F",J117-$N$5+$N$6*O117+Q117,IF(E117="D",J117+Q117+P117,IF(E117="T",J117+P117,IF(E117="A",J117-$N$5+$N$6*O117,0))))</f>
        <v>5090</v>
      </c>
      <c r="T117">
        <f>SUM(R117:S117)</f>
        <v>5090</v>
      </c>
      <c r="U117">
        <f>K117*N117</f>
        <v>4</v>
      </c>
      <c r="V117">
        <f>'Data-Kolom'!J117</f>
        <v>0</v>
      </c>
      <c r="W117">
        <f>'Data-Kolom'!K117</f>
        <v>0</v>
      </c>
      <c r="X117">
        <f>IF(V117&gt;0,VLOOKUP(W117,$V$2:$X$9,2,FALSE),0)</f>
        <v>0</v>
      </c>
      <c r="Y117">
        <f>IF(V117&gt;0,IF(L117&gt;0,M117-50+$N$6*W117,VLOOKUP(W117,$V$2:$X$9,3,FALSE)),0)</f>
        <v>0</v>
      </c>
      <c r="Z117">
        <f>IF(E117="F",J117-$N$5+$N$6*W117+Y117,IF(E117="D",J117+Y117+X117,IF(E117="T",J117+X117,IF(E117="A",J117-$N$5+$N$6*W117,0))))</f>
        <v>4480</v>
      </c>
      <c r="AB117">
        <f>SUM(Z117:AA117)</f>
        <v>4480</v>
      </c>
      <c r="AC117">
        <f>V117*K117</f>
        <v>0</v>
      </c>
      <c r="AD117">
        <f>'Data-Kolom'!L117</f>
        <v>8</v>
      </c>
      <c r="AE117">
        <f>'Data-Kolom'!M117</f>
        <v>100</v>
      </c>
      <c r="AF117">
        <f>'Data-Kolom'!N117</f>
        <v>100</v>
      </c>
      <c r="AG117">
        <f>'Data-Kolom'!O117</f>
        <v>100</v>
      </c>
      <c r="AH117">
        <f>'Data-Kolom'!P117</f>
        <v>0</v>
      </c>
      <c r="AI117">
        <f>'Data-Kolom'!Q117</f>
        <v>0</v>
      </c>
      <c r="AJ117">
        <f>'Data-Kolom'!R117</f>
        <v>0</v>
      </c>
      <c r="AK117">
        <f>'Data-Kolom'!S117</f>
        <v>0</v>
      </c>
      <c r="AL117">
        <f>2*(H117+I117-4*$N$5)+2*MAX($F$5*AD117,75)</f>
        <v>650</v>
      </c>
      <c r="AM117">
        <f>+AH117*(H117-2*$N$5+2*MAX($F$5*AI117,75))+AJ117*(I117-2*$N$5+2*MAX($F$5*AK117,75))</f>
        <v>0</v>
      </c>
      <c r="AN117">
        <f>(ROUND((1/2*J117+IF(M117&gt;0,(Q117-$N$6*AD117),0))/AE117,0)+(ROUND(1/2*J117/AF117,0)+1))*K117</f>
        <v>47</v>
      </c>
      <c r="AO117">
        <f>H117*I117*J117/1000000000*K117*(1+$T$5)</f>
        <v>0.117</v>
      </c>
      <c r="AP117">
        <f>0.006165*O117^2*T117*U117/1000*(1+$T$6)</f>
        <v>12.55194</v>
      </c>
      <c r="AQ117">
        <f>0.006165*W117^2*AB117*AC117/1000*(1+$T$6)</f>
        <v>0</v>
      </c>
      <c r="AR117">
        <f>AN117*0.006165*AD117^2*AL117/1000*(1+$T$6)</f>
        <v>12.053808</v>
      </c>
      <c r="AS117">
        <f>AN117*0.006165*AI117^2*AM117/1000*(1+$T$6)</f>
        <v>0</v>
      </c>
      <c r="AT117">
        <f>K117*2*J117*(H117+I117)/1000000*(1+$T$7)</f>
        <v>2.97</v>
      </c>
      <c r="AU117">
        <f>SUM(AP117:AS117)/AO117</f>
        <v>210.30553846153845</v>
      </c>
      <c r="AV117">
        <f>AT117/AO117</f>
        <v>25.384615384615383</v>
      </c>
      <c r="AX117">
        <f>0.006165*O117^2*R117*U117/1000*(1+$T$6)</f>
        <v>12.55194</v>
      </c>
      <c r="AZ117">
        <f>0.006165*O117^2*S117*U117/1000*(1+$T$6)</f>
        <v>0</v>
      </c>
      <c r="BA117">
        <f>AZ117/AP117</f>
        <v>0</v>
      </c>
    </row>
    <row r="118">
      <c r="A118">
        <f>'Data-Kolom'!A118</f>
        <v>121</v>
      </c>
      <c r="B118" t="str">
        <f>'Data-Kolom'!B118</f>
        <v>Lantai 1</v>
      </c>
      <c r="C118">
        <f>'Data-Kolom'!C118</f>
        <v>0</v>
      </c>
      <c r="D118" t="str">
        <f>'Data-Kolom'!D118</f>
        <v>K12</v>
      </c>
      <c r="E118" t="str">
        <v>F</v>
      </c>
      <c r="F118">
        <f>'Data-Kolom'!U118</f>
        <v>0</v>
      </c>
      <c r="G118">
        <f>'Data-Kolom'!T118</f>
        <v>0</v>
      </c>
      <c r="H118">
        <f>'Data-Kolom'!E118</f>
        <v>130</v>
      </c>
      <c r="I118">
        <f>'Data-Kolom'!F118</f>
        <v>200</v>
      </c>
      <c r="J118">
        <f>'Data-Kolom'!G118</f>
        <v>4500</v>
      </c>
      <c r="K118">
        <v>1</v>
      </c>
      <c r="M118">
        <f>IF(L118&gt;0,VLOOKUP(L118,'Data-PC'!$B$14:$F$36,4,FALSE),0)</f>
        <v>0</v>
      </c>
      <c r="N118">
        <f>'Data-Kolom'!H118</f>
        <v>4</v>
      </c>
      <c r="O118">
        <f>'Data-Kolom'!I118</f>
        <v>10</v>
      </c>
      <c r="P118">
        <f>IF(N118&gt;0,VLOOKUP(O118,$V$2:$X$9,2,FALSE),0)</f>
        <v>640</v>
      </c>
      <c r="Q118">
        <f>IF(L118&gt;0,M118-50+$N$6*O118,VLOOKUP(O118,$V$2:$X$9,3,FALSE))</f>
        <v>490</v>
      </c>
      <c r="R118">
        <f>IF(E118="F",J118-$N$5+$N$6*O118+Q118,IF(E118="D",J118+Q118+P118,IF(E118="T",J118+P118,IF(E118="A",J118-$N$5+$N$6*O118,0))))</f>
        <v>5090</v>
      </c>
      <c r="T118">
        <f>SUM(R118:S118)</f>
        <v>5090</v>
      </c>
      <c r="U118">
        <f>K118*N118</f>
        <v>4</v>
      </c>
      <c r="V118">
        <f>'Data-Kolom'!J118</f>
        <v>0</v>
      </c>
      <c r="W118">
        <f>'Data-Kolom'!K118</f>
        <v>0</v>
      </c>
      <c r="X118">
        <f>IF(V118&gt;0,VLOOKUP(W118,$V$2:$X$9,2,FALSE),0)</f>
        <v>0</v>
      </c>
      <c r="Y118">
        <f>IF(V118&gt;0,IF(L118&gt;0,M118-50+$N$6*W118,VLOOKUP(W118,$V$2:$X$9,3,FALSE)),0)</f>
        <v>0</v>
      </c>
      <c r="Z118">
        <f>IF(E118="F",J118-$N$5+$N$6*W118+Y118,IF(E118="D",J118+Y118+X118,IF(E118="T",J118+X118,IF(E118="A",J118-$N$5+$N$6*W118,0))))</f>
        <v>4480</v>
      </c>
      <c r="AB118">
        <f>SUM(Z118:AA118)</f>
        <v>4480</v>
      </c>
      <c r="AC118">
        <f>V118*K118</f>
        <v>0</v>
      </c>
      <c r="AD118">
        <f>'Data-Kolom'!L118</f>
        <v>8</v>
      </c>
      <c r="AE118">
        <f>'Data-Kolom'!M118</f>
        <v>100</v>
      </c>
      <c r="AF118">
        <f>'Data-Kolom'!N118</f>
        <v>100</v>
      </c>
      <c r="AG118">
        <f>'Data-Kolom'!O118</f>
        <v>100</v>
      </c>
      <c r="AH118">
        <f>'Data-Kolom'!P118</f>
        <v>0</v>
      </c>
      <c r="AI118">
        <f>'Data-Kolom'!Q118</f>
        <v>0</v>
      </c>
      <c r="AJ118">
        <f>'Data-Kolom'!R118</f>
        <v>0</v>
      </c>
      <c r="AK118">
        <f>'Data-Kolom'!S118</f>
        <v>0</v>
      </c>
      <c r="AL118">
        <f>2*(H118+I118-4*$N$5)+2*MAX($F$5*AD118,75)</f>
        <v>650</v>
      </c>
      <c r="AM118">
        <f>+AH118*(H118-2*$N$5+2*MAX($F$5*AI118,75))+AJ118*(I118-2*$N$5+2*MAX($F$5*AK118,75))</f>
        <v>0</v>
      </c>
      <c r="AN118">
        <f>(ROUND((1/2*J118+IF(M118&gt;0,(Q118-$N$6*AD118),0))/AE118,0)+(ROUND(1/2*J118/AF118,0)+1))*K118</f>
        <v>47</v>
      </c>
      <c r="AO118">
        <f>H118*I118*J118/1000000000*K118*(1+$T$5)</f>
        <v>0.117</v>
      </c>
      <c r="AP118">
        <f>0.006165*O118^2*T118*U118/1000*(1+$T$6)</f>
        <v>12.55194</v>
      </c>
      <c r="AQ118">
        <f>0.006165*W118^2*AB118*AC118/1000*(1+$T$6)</f>
        <v>0</v>
      </c>
      <c r="AR118">
        <f>AN118*0.006165*AD118^2*AL118/1000*(1+$T$6)</f>
        <v>12.053808</v>
      </c>
      <c r="AS118">
        <f>AN118*0.006165*AI118^2*AM118/1000*(1+$T$6)</f>
        <v>0</v>
      </c>
      <c r="AT118">
        <f>K118*2*J118*(H118+I118)/1000000*(1+$T$7)</f>
        <v>2.97</v>
      </c>
      <c r="AU118">
        <f>SUM(AP118:AS118)/AO118</f>
        <v>210.30553846153845</v>
      </c>
      <c r="AV118">
        <f>AT118/AO118</f>
        <v>25.384615384615383</v>
      </c>
      <c r="AX118">
        <f>0.006165*O118^2*R118*U118/1000*(1+$T$6)</f>
        <v>12.55194</v>
      </c>
      <c r="AZ118">
        <f>0.006165*O118^2*S118*U118/1000*(1+$T$6)</f>
        <v>0</v>
      </c>
      <c r="BA118">
        <f>AZ118/AP118</f>
        <v>0</v>
      </c>
    </row>
    <row r="119">
      <c r="A119">
        <f>'Data-Kolom'!A119</f>
        <v>122</v>
      </c>
      <c r="B119" t="str">
        <f>'Data-Kolom'!B119</f>
        <v>Lantai 1</v>
      </c>
      <c r="C119">
        <f>'Data-Kolom'!C119</f>
        <v>0</v>
      </c>
      <c r="D119" t="str">
        <f>'Data-Kolom'!D119</f>
        <v>K12</v>
      </c>
      <c r="E119" t="str">
        <v>F</v>
      </c>
      <c r="F119">
        <f>'Data-Kolom'!U119</f>
        <v>0</v>
      </c>
      <c r="G119">
        <f>'Data-Kolom'!T119</f>
        <v>0</v>
      </c>
      <c r="H119">
        <f>'Data-Kolom'!E119</f>
        <v>130</v>
      </c>
      <c r="I119">
        <f>'Data-Kolom'!F119</f>
        <v>200</v>
      </c>
      <c r="J119">
        <f>'Data-Kolom'!G119</f>
        <v>4500</v>
      </c>
      <c r="K119">
        <v>1</v>
      </c>
      <c r="M119">
        <f>IF(L119&gt;0,VLOOKUP(L119,'Data-PC'!$B$14:$F$36,4,FALSE),0)</f>
        <v>0</v>
      </c>
      <c r="N119">
        <f>'Data-Kolom'!H119</f>
        <v>4</v>
      </c>
      <c r="O119">
        <f>'Data-Kolom'!I119</f>
        <v>10</v>
      </c>
      <c r="P119">
        <f>IF(N119&gt;0,VLOOKUP(O119,$V$2:$X$9,2,FALSE),0)</f>
        <v>640</v>
      </c>
      <c r="Q119">
        <f>IF(L119&gt;0,M119-50+$N$6*O119,VLOOKUP(O119,$V$2:$X$9,3,FALSE))</f>
        <v>490</v>
      </c>
      <c r="R119">
        <f>IF(E119="F",J119-$N$5+$N$6*O119+Q119,IF(E119="D",J119+Q119+P119,IF(E119="T",J119+P119,IF(E119="A",J119-$N$5+$N$6*O119,0))))</f>
        <v>5090</v>
      </c>
      <c r="T119">
        <f>SUM(R119:S119)</f>
        <v>5090</v>
      </c>
      <c r="U119">
        <f>K119*N119</f>
        <v>4</v>
      </c>
      <c r="V119">
        <f>'Data-Kolom'!J119</f>
        <v>0</v>
      </c>
      <c r="W119">
        <f>'Data-Kolom'!K119</f>
        <v>0</v>
      </c>
      <c r="X119">
        <f>IF(V119&gt;0,VLOOKUP(W119,$V$2:$X$9,2,FALSE),0)</f>
        <v>0</v>
      </c>
      <c r="Y119">
        <f>IF(V119&gt;0,IF(L119&gt;0,M119-50+$N$6*W119,VLOOKUP(W119,$V$2:$X$9,3,FALSE)),0)</f>
        <v>0</v>
      </c>
      <c r="Z119">
        <f>IF(E119="F",J119-$N$5+$N$6*W119+Y119,IF(E119="D",J119+Y119+X119,IF(E119="T",J119+X119,IF(E119="A",J119-$N$5+$N$6*W119,0))))</f>
        <v>4480</v>
      </c>
      <c r="AB119">
        <f>SUM(Z119:AA119)</f>
        <v>4480</v>
      </c>
      <c r="AC119">
        <f>V119*K119</f>
        <v>0</v>
      </c>
      <c r="AD119">
        <f>'Data-Kolom'!L119</f>
        <v>8</v>
      </c>
      <c r="AE119">
        <f>'Data-Kolom'!M119</f>
        <v>100</v>
      </c>
      <c r="AF119">
        <f>'Data-Kolom'!N119</f>
        <v>100</v>
      </c>
      <c r="AG119">
        <f>'Data-Kolom'!O119</f>
        <v>100</v>
      </c>
      <c r="AH119">
        <f>'Data-Kolom'!P119</f>
        <v>0</v>
      </c>
      <c r="AI119">
        <f>'Data-Kolom'!Q119</f>
        <v>0</v>
      </c>
      <c r="AJ119">
        <f>'Data-Kolom'!R119</f>
        <v>0</v>
      </c>
      <c r="AK119">
        <f>'Data-Kolom'!S119</f>
        <v>0</v>
      </c>
      <c r="AL119">
        <f>2*(H119+I119-4*$N$5)+2*MAX($F$5*AD119,75)</f>
        <v>650</v>
      </c>
      <c r="AM119">
        <f>+AH119*(H119-2*$N$5+2*MAX($F$5*AI119,75))+AJ119*(I119-2*$N$5+2*MAX($F$5*AK119,75))</f>
        <v>0</v>
      </c>
      <c r="AN119">
        <f>(ROUND((1/2*J119+IF(M119&gt;0,(Q119-$N$6*AD119),0))/AE119,0)+(ROUND(1/2*J119/AF119,0)+1))*K119</f>
        <v>47</v>
      </c>
      <c r="AO119">
        <f>H119*I119*J119/1000000000*K119*(1+$T$5)</f>
        <v>0.117</v>
      </c>
      <c r="AP119">
        <f>0.006165*O119^2*T119*U119/1000*(1+$T$6)</f>
        <v>12.55194</v>
      </c>
      <c r="AQ119">
        <f>0.006165*W119^2*AB119*AC119/1000*(1+$T$6)</f>
        <v>0</v>
      </c>
      <c r="AR119">
        <f>AN119*0.006165*AD119^2*AL119/1000*(1+$T$6)</f>
        <v>12.053808</v>
      </c>
      <c r="AS119">
        <f>AN119*0.006165*AI119^2*AM119/1000*(1+$T$6)</f>
        <v>0</v>
      </c>
      <c r="AT119">
        <f>K119*2*J119*(H119+I119)/1000000*(1+$T$7)</f>
        <v>2.97</v>
      </c>
      <c r="AU119">
        <f>SUM(AP119:AS119)/AO119</f>
        <v>210.30553846153845</v>
      </c>
      <c r="AV119">
        <f>AT119/AO119</f>
        <v>25.384615384615383</v>
      </c>
      <c r="AX119">
        <f>0.006165*O119^2*R119*U119/1000*(1+$T$6)</f>
        <v>12.55194</v>
      </c>
      <c r="AZ119">
        <f>0.006165*O119^2*S119*U119/1000*(1+$T$6)</f>
        <v>0</v>
      </c>
      <c r="BA119">
        <f>AZ119/AP119</f>
        <v>0</v>
      </c>
    </row>
    <row r="120">
      <c r="A120">
        <f>'Data-Kolom'!A120</f>
        <v>123</v>
      </c>
      <c r="B120" t="str">
        <f>'Data-Kolom'!B120</f>
        <v>Lantai 1</v>
      </c>
      <c r="C120">
        <f>'Data-Kolom'!C120</f>
        <v>0</v>
      </c>
      <c r="D120" t="str">
        <f>'Data-Kolom'!D120</f>
        <v>K12</v>
      </c>
      <c r="E120" t="str">
        <v>F</v>
      </c>
      <c r="F120">
        <f>'Data-Kolom'!U120</f>
        <v>0</v>
      </c>
      <c r="G120">
        <f>'Data-Kolom'!T120</f>
        <v>0</v>
      </c>
      <c r="H120">
        <f>'Data-Kolom'!E120</f>
        <v>130</v>
      </c>
      <c r="I120">
        <f>'Data-Kolom'!F120</f>
        <v>200</v>
      </c>
      <c r="J120">
        <f>'Data-Kolom'!G120</f>
        <v>4500</v>
      </c>
      <c r="K120">
        <v>1</v>
      </c>
      <c r="M120">
        <f>IF(L120&gt;0,VLOOKUP(L120,'Data-PC'!$B$14:$F$36,4,FALSE),0)</f>
        <v>0</v>
      </c>
      <c r="N120">
        <f>'Data-Kolom'!H120</f>
        <v>4</v>
      </c>
      <c r="O120">
        <f>'Data-Kolom'!I120</f>
        <v>10</v>
      </c>
      <c r="P120">
        <f>IF(N120&gt;0,VLOOKUP(O120,$V$2:$X$9,2,FALSE),0)</f>
        <v>640</v>
      </c>
      <c r="Q120">
        <f>IF(L120&gt;0,M120-50+$N$6*O120,VLOOKUP(O120,$V$2:$X$9,3,FALSE))</f>
        <v>490</v>
      </c>
      <c r="R120">
        <f>IF(E120="F",J120-$N$5+$N$6*O120+Q120,IF(E120="D",J120+Q120+P120,IF(E120="T",J120+P120,IF(E120="A",J120-$N$5+$N$6*O120,0))))</f>
        <v>5090</v>
      </c>
      <c r="T120">
        <f>SUM(R120:S120)</f>
        <v>5090</v>
      </c>
      <c r="U120">
        <f>K120*N120</f>
        <v>4</v>
      </c>
      <c r="V120">
        <f>'Data-Kolom'!J120</f>
        <v>0</v>
      </c>
      <c r="W120">
        <f>'Data-Kolom'!K120</f>
        <v>0</v>
      </c>
      <c r="X120">
        <f>IF(V120&gt;0,VLOOKUP(W120,$V$2:$X$9,2,FALSE),0)</f>
        <v>0</v>
      </c>
      <c r="Y120">
        <f>IF(V120&gt;0,IF(L120&gt;0,M120-50+$N$6*W120,VLOOKUP(W120,$V$2:$X$9,3,FALSE)),0)</f>
        <v>0</v>
      </c>
      <c r="Z120">
        <f>IF(E120="F",J120-$N$5+$N$6*W120+Y120,IF(E120="D",J120+Y120+X120,IF(E120="T",J120+X120,IF(E120="A",J120-$N$5+$N$6*W120,0))))</f>
        <v>4480</v>
      </c>
      <c r="AB120">
        <f>SUM(Z120:AA120)</f>
        <v>4480</v>
      </c>
      <c r="AC120">
        <f>V120*K120</f>
        <v>0</v>
      </c>
      <c r="AD120">
        <f>'Data-Kolom'!L120</f>
        <v>8</v>
      </c>
      <c r="AE120">
        <f>'Data-Kolom'!M120</f>
        <v>100</v>
      </c>
      <c r="AF120">
        <f>'Data-Kolom'!N120</f>
        <v>100</v>
      </c>
      <c r="AG120">
        <f>'Data-Kolom'!O120</f>
        <v>100</v>
      </c>
      <c r="AH120">
        <f>'Data-Kolom'!P120</f>
        <v>0</v>
      </c>
      <c r="AI120">
        <f>'Data-Kolom'!Q120</f>
        <v>0</v>
      </c>
      <c r="AJ120">
        <f>'Data-Kolom'!R120</f>
        <v>0</v>
      </c>
      <c r="AK120">
        <f>'Data-Kolom'!S120</f>
        <v>0</v>
      </c>
      <c r="AL120">
        <f>2*(H120+I120-4*$N$5)+2*MAX($F$5*AD120,75)</f>
        <v>650</v>
      </c>
      <c r="AM120">
        <f>+AH120*(H120-2*$N$5+2*MAX($F$5*AI120,75))+AJ120*(I120-2*$N$5+2*MAX($F$5*AK120,75))</f>
        <v>0</v>
      </c>
      <c r="AN120">
        <f>(ROUND((1/2*J120+IF(M120&gt;0,(Q120-$N$6*AD120),0))/AE120,0)+(ROUND(1/2*J120/AF120,0)+1))*K120</f>
        <v>47</v>
      </c>
      <c r="AO120">
        <f>H120*I120*J120/1000000000*K120*(1+$T$5)</f>
        <v>0.117</v>
      </c>
      <c r="AP120">
        <f>0.006165*O120^2*T120*U120/1000*(1+$T$6)</f>
        <v>12.55194</v>
      </c>
      <c r="AQ120">
        <f>0.006165*W120^2*AB120*AC120/1000*(1+$T$6)</f>
        <v>0</v>
      </c>
      <c r="AR120">
        <f>AN120*0.006165*AD120^2*AL120/1000*(1+$T$6)</f>
        <v>12.053808</v>
      </c>
      <c r="AS120">
        <f>AN120*0.006165*AI120^2*AM120/1000*(1+$T$6)</f>
        <v>0</v>
      </c>
      <c r="AT120">
        <f>K120*2*J120*(H120+I120)/1000000*(1+$T$7)</f>
        <v>2.97</v>
      </c>
      <c r="AU120">
        <f>SUM(AP120:AS120)/AO120</f>
        <v>210.30553846153845</v>
      </c>
      <c r="AV120">
        <f>AT120/AO120</f>
        <v>25.384615384615383</v>
      </c>
      <c r="AX120">
        <f>0.006165*O120^2*R120*U120/1000*(1+$T$6)</f>
        <v>12.55194</v>
      </c>
      <c r="AZ120">
        <f>0.006165*O120^2*S120*U120/1000*(1+$T$6)</f>
        <v>0</v>
      </c>
      <c r="BA120">
        <f>AZ120/AP120</f>
        <v>0</v>
      </c>
    </row>
    <row r="121">
      <c r="A121">
        <f>'Data-Kolom'!A121</f>
        <v>47</v>
      </c>
      <c r="B121" t="str">
        <f>'Data-Kolom'!B121</f>
        <v>Lantai 1</v>
      </c>
      <c r="C121">
        <f>'Data-Kolom'!C121</f>
        <v>0</v>
      </c>
      <c r="D121" t="str">
        <f>'Data-Kolom'!D121</f>
        <v>SW.1</v>
      </c>
      <c r="E121" t="str">
        <v>T</v>
      </c>
      <c r="F121">
        <f>'Data-Kolom'!U121</f>
        <v>0</v>
      </c>
      <c r="G121">
        <f>'Data-Kolom'!T121</f>
        <v>0</v>
      </c>
      <c r="H121">
        <f>'Data-Kolom'!E121</f>
        <v>170</v>
      </c>
      <c r="I121">
        <f>'Data-Kolom'!F121</f>
        <v>2170</v>
      </c>
      <c r="J121">
        <f>'Data-Kolom'!G121</f>
        <v>4500</v>
      </c>
      <c r="K121">
        <v>1</v>
      </c>
      <c r="L121">
        <f>'Data-Kolom'!C121</f>
        <v>0</v>
      </c>
      <c r="M121">
        <f>IF(L121&gt;0,VLOOKUP(L121,'Data-PC'!$B$14:$F$36,4,FALSE),0)</f>
        <v>0</v>
      </c>
      <c r="N121">
        <f>'Data-Kolom'!H121</f>
        <v>26</v>
      </c>
      <c r="O121">
        <f>'Data-Kolom'!I121</f>
        <v>13</v>
      </c>
      <c r="P121">
        <f>IF(N121&gt;0,VLOOKUP(O121,$V$2:$X$9,2,FALSE),0)</f>
        <v>820</v>
      </c>
      <c r="Q121">
        <f>IF(L121&gt;0,M121-50+$N$6*O121,VLOOKUP(O121,$V$2:$X$9,3,FALSE))</f>
        <v>630</v>
      </c>
      <c r="R121">
        <f>IF(E121="F",J121-$N$5+$N$6*O121+Q121,IF(E121="D",J121+Q121+P121,IF(E121="T",J121+P121,IF(E121="A",J121-$N$5+$N$6*O121,0))))</f>
        <v>5320</v>
      </c>
      <c r="T121">
        <f>SUM(R121:S121)</f>
        <v>5320</v>
      </c>
      <c r="U121">
        <f>K121*N121</f>
        <v>26</v>
      </c>
      <c r="V121">
        <f>'Data-Kolom'!J121</f>
        <v>0</v>
      </c>
      <c r="W121">
        <f>'Data-Kolom'!K121</f>
        <v>0</v>
      </c>
      <c r="X121">
        <f>IF(V121&gt;0,VLOOKUP(W121,$V$2:$X$9,2,FALSE),0)</f>
        <v>0</v>
      </c>
      <c r="Y121">
        <f>IF(V121&gt;0,IF(L121&gt;0,M121-50+$N$6*W121,VLOOKUP(W121,$V$2:$X$9,3,FALSE)),0)</f>
        <v>0</v>
      </c>
      <c r="Z121">
        <f>IF(E121="F",J121-$N$5+$N$6*W121+Y121,IF(E121="D",J121+Y121+X121,IF(E121="T",J121+X121,IF(E121="A",J121-$N$5+$N$6*W121,0))))</f>
        <v>4500</v>
      </c>
      <c r="AB121">
        <f>SUM(Z121:AA121)</f>
        <v>4500</v>
      </c>
      <c r="AC121">
        <f>V121*K121</f>
        <v>0</v>
      </c>
      <c r="AD121">
        <f>'Data-Kolom'!L121</f>
        <v>10</v>
      </c>
      <c r="AE121">
        <f>'Data-Kolom'!M121</f>
        <v>150</v>
      </c>
      <c r="AF121">
        <f>'Data-Kolom'!N121</f>
        <v>150</v>
      </c>
      <c r="AG121">
        <f>'Data-Kolom'!O121</f>
        <v>150</v>
      </c>
      <c r="AH121">
        <f>'Data-Kolom'!P121</f>
        <v>4</v>
      </c>
      <c r="AI121">
        <f>'Data-Kolom'!Q121</f>
        <v>10</v>
      </c>
      <c r="AJ121">
        <f>'Data-Kolom'!R121</f>
        <v>0</v>
      </c>
      <c r="AK121">
        <f>'Data-Kolom'!S121</f>
        <v>0</v>
      </c>
      <c r="AL121">
        <f>2*(H121+I121-4*$N$5)+2*MAX($F$5*AD121,75)</f>
        <v>4670</v>
      </c>
      <c r="AM121">
        <f>+AH121*(H121-2*$N$5+2*MAX($F$5*AI121,75))+AJ121*(I121-2*$N$5+2*MAX($F$5*AK121,75))</f>
        <v>1120</v>
      </c>
      <c r="AN121">
        <f>(ROUND((1/2*J121+IF(M121&gt;0,(Q121-$N$6*AD121),0))/AE121,0)+(ROUND(1/2*J121/AF121,0)+1))*K121</f>
        <v>31</v>
      </c>
      <c r="AO121">
        <f>H121*I121*J121/1000000000*K121*(1+$T$5)</f>
        <v>1.66005</v>
      </c>
      <c r="AP121">
        <f>0.006165*O121^2*T121*U121/1000*(1+$T$6)</f>
        <v>144.1135332</v>
      </c>
      <c r="AQ121">
        <f>0.006165*W121^2*AB121*AC121/1000*(1+$T$6)</f>
        <v>0</v>
      </c>
      <c r="AR121">
        <f>AN121*0.006165*AD121^2*AL121/1000*(1+$T$6)</f>
        <v>89.250705</v>
      </c>
      <c r="AS121">
        <f>AN121*0.006165*AI121^2*AM121/1000*(1+$T$6)</f>
        <v>21.404880000000002</v>
      </c>
      <c r="AT121">
        <f>K121*2*J121*(H121+I121)/1000000*(1+$T$7)</f>
        <v>21.06</v>
      </c>
      <c r="AU121">
        <f>SUM(AP121:AS121)/AO121</f>
        <v>153.47074979669284</v>
      </c>
      <c r="AV121">
        <f>AT121/AO121</f>
        <v>12.686364868528056</v>
      </c>
      <c r="AX121">
        <f>0.006165*O121^2*R121*U121/1000*(1+$T$6)</f>
        <v>144.1135332</v>
      </c>
      <c r="AZ121">
        <f>0.006165*O121^2*S121*U121/1000*(1+$T$6)</f>
        <v>0</v>
      </c>
      <c r="BA121">
        <f>AZ121/AP121</f>
        <v>0</v>
      </c>
    </row>
    <row r="122">
      <c r="A122">
        <f>'Data-Kolom'!A122</f>
        <v>47</v>
      </c>
      <c r="B122" t="str">
        <f>'Data-Kolom'!B122</f>
        <v>Lantai 1</v>
      </c>
      <c r="C122">
        <f>'Data-Kolom'!C122</f>
        <v>0</v>
      </c>
      <c r="D122" t="str">
        <f>'Data-Kolom'!D122</f>
        <v>SW.1</v>
      </c>
      <c r="E122" t="str">
        <v>T</v>
      </c>
      <c r="F122">
        <f>'Data-Kolom'!U122</f>
        <v>0</v>
      </c>
      <c r="G122">
        <f>'Data-Kolom'!T122</f>
        <v>0</v>
      </c>
      <c r="H122">
        <f>'Data-Kolom'!E122</f>
        <v>170</v>
      </c>
      <c r="I122">
        <f>'Data-Kolom'!F122</f>
        <v>2170</v>
      </c>
      <c r="J122">
        <f>'Data-Kolom'!G122</f>
        <v>4500</v>
      </c>
      <c r="K122">
        <v>1</v>
      </c>
      <c r="L122">
        <f>'Data-Kolom'!C122</f>
        <v>0</v>
      </c>
      <c r="M122">
        <f>IF(L122&gt;0,VLOOKUP(L122,'Data-PC'!$B$14:$F$36,4,FALSE),0)</f>
        <v>0</v>
      </c>
      <c r="N122">
        <f>'Data-Kolom'!H122</f>
        <v>18</v>
      </c>
      <c r="O122">
        <f>'Data-Kolom'!I122</f>
        <v>13</v>
      </c>
      <c r="P122">
        <f>IF(N122&gt;0,VLOOKUP(O122,$V$2:$X$9,2,FALSE),0)</f>
        <v>820</v>
      </c>
      <c r="Q122">
        <f>IF(L122&gt;0,M122-50+$N$6*O122,VLOOKUP(O122,$V$2:$X$9,3,FALSE))</f>
        <v>630</v>
      </c>
      <c r="R122">
        <f>IF(E122="F",J122-$N$5+$N$6*O122+Q122,IF(E122="D",J122+Q122+P122,IF(E122="T",J122+P122,IF(E122="A",J122-$N$5+$N$6*O122,0))))</f>
        <v>5320</v>
      </c>
      <c r="T122">
        <f>SUM(R122:S122)</f>
        <v>5320</v>
      </c>
      <c r="U122">
        <f>K122*N122</f>
        <v>18</v>
      </c>
      <c r="V122">
        <f>'Data-Kolom'!J122</f>
        <v>0</v>
      </c>
      <c r="W122">
        <f>'Data-Kolom'!K122</f>
        <v>0</v>
      </c>
      <c r="X122">
        <f>IF(V122&gt;0,VLOOKUP(W122,$V$2:$X$9,2,FALSE),0)</f>
        <v>0</v>
      </c>
      <c r="Y122">
        <f>IF(V122&gt;0,IF(L122&gt;0,M122-50+$N$6*W122,VLOOKUP(W122,$V$2:$X$9,3,FALSE)),0)</f>
        <v>0</v>
      </c>
      <c r="Z122">
        <f>IF(E122="F",J122-$N$5+$N$6*W122+Y122,IF(E122="D",J122+Y122+X122,IF(E122="T",J122+X122,IF(E122="A",J122-$N$5+$N$6*W122,0))))</f>
        <v>4500</v>
      </c>
      <c r="AB122">
        <f>SUM(Z122:AA122)</f>
        <v>4500</v>
      </c>
      <c r="AC122">
        <f>V122*K122</f>
        <v>0</v>
      </c>
      <c r="AD122">
        <f>'Data-Kolom'!L122</f>
        <v>10</v>
      </c>
      <c r="AE122">
        <f>'Data-Kolom'!M122</f>
        <v>150</v>
      </c>
      <c r="AF122">
        <f>'Data-Kolom'!N122</f>
        <v>150</v>
      </c>
      <c r="AG122">
        <f>'Data-Kolom'!O122</f>
        <v>150</v>
      </c>
      <c r="AH122">
        <f>'Data-Kolom'!P122</f>
        <v>4</v>
      </c>
      <c r="AI122">
        <f>'Data-Kolom'!Q122</f>
        <v>10</v>
      </c>
      <c r="AJ122">
        <f>'Data-Kolom'!R122</f>
        <v>0</v>
      </c>
      <c r="AK122">
        <f>'Data-Kolom'!S122</f>
        <v>0</v>
      </c>
      <c r="AL122">
        <f>2*(H122+I122-4*$N$5)+2*MAX($F$5*AD122,75)</f>
        <v>4670</v>
      </c>
      <c r="AM122">
        <f>+AH122*(H122-2*$N$5+2*MAX($F$5*AI122,75))+AJ122*(I122-2*$N$5+2*MAX($F$5*AK122,75))</f>
        <v>1120</v>
      </c>
      <c r="AN122">
        <f>(ROUND((1/2*J122+IF(M122&gt;0,(Q122-$N$6*AD122),0))/AE122,0)+(ROUND(1/2*J122/AF122,0)+1))*K122</f>
        <v>31</v>
      </c>
      <c r="AO122">
        <f>H122*I122*J122/1000000000*K122*(1+$T$5)</f>
        <v>1.66005</v>
      </c>
      <c r="AP122">
        <f>0.006165*O122^2*T122*U122/1000*(1+$T$6)</f>
        <v>99.7709076</v>
      </c>
      <c r="AQ122">
        <f>0.006165*W122^2*AB122*AC122/1000*(1+$T$6)</f>
        <v>0</v>
      </c>
      <c r="AR122">
        <f>AN122*0.006165*AD122^2*AL122/1000*(1+$T$6)</f>
        <v>89.250705</v>
      </c>
      <c r="AS122">
        <f>AN122*0.006165*AI122^2*AM122/1000*(1+$T$6)</f>
        <v>21.404880000000002</v>
      </c>
      <c r="AT122">
        <f>K122*2*J122*(H122+I122)/1000000*(1+$T$7)</f>
        <v>21.06</v>
      </c>
      <c r="AU122">
        <f>SUM(AP122:AS122)/AO122</f>
        <v>126.75912930333423</v>
      </c>
      <c r="AV122">
        <f>AT122/AO122</f>
        <v>12.686364868528056</v>
      </c>
      <c r="AX122">
        <f>0.006165*O122^2*R122*U122/1000*(1+$T$6)</f>
        <v>99.7709076</v>
      </c>
      <c r="AZ122">
        <f>0.006165*O122^2*S122*U122/1000*(1+$T$6)</f>
        <v>0</v>
      </c>
      <c r="BA122">
        <f>AZ122/AP122</f>
        <v>0</v>
      </c>
    </row>
    <row r="123">
      <c r="A123">
        <f>'Data-Kolom'!A123</f>
        <v>47</v>
      </c>
      <c r="B123" t="str">
        <f>'Data-Kolom'!B123</f>
        <v>Lantai 1</v>
      </c>
      <c r="C123">
        <f>'Data-Kolom'!C123</f>
        <v>0</v>
      </c>
      <c r="D123" t="str">
        <f>'Data-Kolom'!D123</f>
        <v>SW.1</v>
      </c>
      <c r="E123" t="str">
        <v>T</v>
      </c>
      <c r="F123">
        <f>'Data-Kolom'!U123</f>
        <v>0</v>
      </c>
      <c r="G123">
        <f>'Data-Kolom'!T123</f>
        <v>0</v>
      </c>
      <c r="H123">
        <f>'Data-Kolom'!E123</f>
        <v>170</v>
      </c>
      <c r="I123">
        <f>'Data-Kolom'!F123</f>
        <v>400</v>
      </c>
      <c r="J123">
        <f>'Data-Kolom'!G123</f>
        <v>4500</v>
      </c>
      <c r="K123">
        <v>2</v>
      </c>
      <c r="L123">
        <f>'Data-Kolom'!C123</f>
        <v>0</v>
      </c>
      <c r="M123">
        <f>IF(L123&gt;0,VLOOKUP(L123,'Data-PC'!$B$14:$F$36,4,FALSE),0)</f>
        <v>0</v>
      </c>
      <c r="N123">
        <f>'Data-Kolom'!H123</f>
        <v>8</v>
      </c>
      <c r="O123">
        <f>'Data-Kolom'!I123</f>
        <v>13</v>
      </c>
      <c r="P123">
        <f>IF(N123&gt;0,VLOOKUP(O123,$V$2:$X$9,2,FALSE),0)</f>
        <v>820</v>
      </c>
      <c r="Q123">
        <f>IF(L123&gt;0,M123-50+$N$6*O123,VLOOKUP(O123,$V$2:$X$9,3,FALSE))</f>
        <v>630</v>
      </c>
      <c r="R123">
        <f>IF(E123="F",J123-$N$5+$N$6*O123+Q123,IF(E123="D",J123+Q123+P123,IF(E123="T",J123+P123,IF(E123="A",J123-$N$5+$N$6*O123,0))))</f>
        <v>5320</v>
      </c>
      <c r="T123">
        <f>SUM(R123:S123)</f>
        <v>5320</v>
      </c>
      <c r="U123">
        <f>K123*N123</f>
        <v>16</v>
      </c>
      <c r="V123">
        <f>'Data-Kolom'!J123</f>
        <v>0</v>
      </c>
      <c r="W123">
        <f>'Data-Kolom'!K123</f>
        <v>0</v>
      </c>
      <c r="X123">
        <f>IF(V123&gt;0,VLOOKUP(W123,$V$2:$X$9,2,FALSE),0)</f>
        <v>0</v>
      </c>
      <c r="Y123">
        <f>IF(V123&gt;0,IF(L123&gt;0,M123-50+$N$6*W123,VLOOKUP(W123,$V$2:$X$9,3,FALSE)),0)</f>
        <v>0</v>
      </c>
      <c r="Z123">
        <f>IF(E123="F",J123-$N$5+$N$6*W123+Y123,IF(E123="D",J123+Y123+X123,IF(E123="T",J123+X123,IF(E123="A",J123-$N$5+$N$6*W123,0))))</f>
        <v>4500</v>
      </c>
      <c r="AB123">
        <f>SUM(Z123:AA123)</f>
        <v>4500</v>
      </c>
      <c r="AC123">
        <f>V123*K123</f>
        <v>0</v>
      </c>
      <c r="AD123">
        <f>'Data-Kolom'!L123</f>
        <v>10</v>
      </c>
      <c r="AE123">
        <f>'Data-Kolom'!M123</f>
        <v>150</v>
      </c>
      <c r="AF123">
        <f>'Data-Kolom'!N123</f>
        <v>150</v>
      </c>
      <c r="AG123">
        <f>'Data-Kolom'!O123</f>
        <v>150</v>
      </c>
      <c r="AH123">
        <f>'Data-Kolom'!P123</f>
        <v>4</v>
      </c>
      <c r="AI123">
        <f>'Data-Kolom'!Q123</f>
        <v>10</v>
      </c>
      <c r="AJ123">
        <f>'Data-Kolom'!R123</f>
        <v>0</v>
      </c>
      <c r="AK123">
        <f>'Data-Kolom'!S123</f>
        <v>0</v>
      </c>
      <c r="AL123">
        <f>2*(H123+I123-4*$N$5)+2*MAX($F$5*AD123,75)</f>
        <v>1130</v>
      </c>
      <c r="AM123">
        <f>+AH123*(H123-2*$N$5+2*MAX($F$5*AI123,75))+AJ123*(I123-2*$N$5+2*MAX($F$5*AK123,75))</f>
        <v>1120</v>
      </c>
      <c r="AN123">
        <f>(ROUND((1/2*J123+IF(M123&gt;0,(Q123-$N$6*AD123),0))/AE123,0)+(ROUND(1/2*J123/AF123,0)+1))*K123</f>
        <v>62</v>
      </c>
      <c r="AO123">
        <f>H123*I123*J123/1000000000*K123*(1+$T$5)</f>
        <v>0.612</v>
      </c>
      <c r="AP123">
        <f>0.006165*O123^2*T123*U123/1000*(1+$T$6)</f>
        <v>88.6852512</v>
      </c>
      <c r="AQ123">
        <f>0.006165*W123^2*AB123*AC123/1000*(1+$T$6)</f>
        <v>0</v>
      </c>
      <c r="AR123">
        <f>AN123*0.006165*AD123^2*AL123/1000*(1+$T$6)</f>
        <v>43.19199</v>
      </c>
      <c r="AS123">
        <f>AN123*0.006165*AI123^2*AM123/1000*(1+$T$6)</f>
        <v>42.809760000000004</v>
      </c>
      <c r="AT123">
        <f>K123*2*J123*(H123+I123)/1000000*(1+$T$7)</f>
        <v>10.26</v>
      </c>
      <c r="AU123">
        <f>SUM(AP123:AS123)/AO123</f>
        <v>285.4362764705882</v>
      </c>
      <c r="AV123">
        <f>AT123/AO123</f>
        <v>16.764705882352942</v>
      </c>
      <c r="AX123">
        <f>0.006165*O123^2*R123*U123/1000*(1+$T$6)</f>
        <v>88.6852512</v>
      </c>
      <c r="AZ123">
        <f>0.006165*O123^2*S123*U123/1000*(1+$T$6)</f>
        <v>0</v>
      </c>
      <c r="BA123">
        <f>AZ123/AP123</f>
        <v>0</v>
      </c>
    </row>
    <row r="124">
      <c r="A124">
        <f>'Data-Kolom'!A124</f>
        <v>47</v>
      </c>
      <c r="B124" t="str">
        <f>'Data-Kolom'!B124</f>
        <v>Lantai 1</v>
      </c>
      <c r="C124">
        <f>'Data-Kolom'!C124</f>
        <v>0</v>
      </c>
      <c r="D124" t="str">
        <f>'Data-Kolom'!D124</f>
        <v>SW.1</v>
      </c>
      <c r="E124" t="str">
        <v>F</v>
      </c>
      <c r="F124">
        <f>'Data-Kolom'!U124</f>
        <v>0</v>
      </c>
      <c r="G124">
        <f>'Data-Kolom'!T124</f>
        <v>0</v>
      </c>
      <c r="H124">
        <f>'Data-Kolom'!E124</f>
        <v>170</v>
      </c>
      <c r="I124">
        <f>'Data-Kolom'!F124</f>
        <v>1370</v>
      </c>
      <c r="J124">
        <f>'Data-Kolom'!G124</f>
        <v>4500</v>
      </c>
      <c r="K124">
        <v>1</v>
      </c>
      <c r="L124">
        <f>'Data-Kolom'!C124</f>
        <v>0</v>
      </c>
      <c r="M124">
        <f>IF(L124&gt;0,VLOOKUP(L124,'Data-PC'!$B$14:$F$36,4,FALSE),0)</f>
        <v>0</v>
      </c>
      <c r="N124">
        <f>'Data-Kolom'!H124</f>
        <v>14</v>
      </c>
      <c r="O124">
        <f>'Data-Kolom'!I124</f>
        <v>13</v>
      </c>
      <c r="P124">
        <f>IF(N124&gt;0,VLOOKUP(O124,$V$2:$X$9,2,FALSE),0)</f>
        <v>820</v>
      </c>
      <c r="Q124">
        <f>IF(L124&gt;0,M124-50+$N$6*O124,VLOOKUP(O124,$V$2:$X$9,3,FALSE))</f>
        <v>630</v>
      </c>
      <c r="R124">
        <f>IF(E124="F",J124-$N$5+$N$6*O124+Q124,IF(E124="D",J124+Q124+P124,IF(E124="T",J124+P124,IF(E124="A",J124-$N$5+$N$6*O124,0))))</f>
        <v>5266</v>
      </c>
      <c r="T124">
        <f>SUM(R124:S124)</f>
        <v>5266</v>
      </c>
      <c r="U124">
        <f>K124*N124</f>
        <v>14</v>
      </c>
      <c r="V124">
        <f>'Data-Kolom'!J124</f>
        <v>0</v>
      </c>
      <c r="W124">
        <f>'Data-Kolom'!K124</f>
        <v>0</v>
      </c>
      <c r="X124">
        <f>IF(V124&gt;0,VLOOKUP(W124,$V$2:$X$9,2,FALSE),0)</f>
        <v>0</v>
      </c>
      <c r="Y124">
        <f>IF(V124&gt;0,IF(L124&gt;0,M124-50+$N$6*W124,VLOOKUP(W124,$V$2:$X$9,3,FALSE)),0)</f>
        <v>0</v>
      </c>
      <c r="Z124">
        <f>IF(E124="F",J124-$N$5+$N$6*W124+Y124,IF(E124="D",J124+Y124+X124,IF(E124="T",J124+X124,IF(E124="A",J124-$N$5+$N$6*W124,0))))</f>
        <v>4480</v>
      </c>
      <c r="AB124">
        <f>SUM(Z124:AA124)</f>
        <v>4480</v>
      </c>
      <c r="AC124">
        <f>V124*K124</f>
        <v>0</v>
      </c>
      <c r="AD124">
        <f>'Data-Kolom'!L124</f>
        <v>10</v>
      </c>
      <c r="AE124">
        <f>'Data-Kolom'!M124</f>
        <v>150</v>
      </c>
      <c r="AF124">
        <f>'Data-Kolom'!N124</f>
        <v>150</v>
      </c>
      <c r="AG124">
        <f>'Data-Kolom'!O124</f>
        <v>150</v>
      </c>
      <c r="AH124">
        <f>'Data-Kolom'!P124</f>
        <v>4</v>
      </c>
      <c r="AI124">
        <f>'Data-Kolom'!Q124</f>
        <v>10</v>
      </c>
      <c r="AJ124">
        <f>'Data-Kolom'!R124</f>
        <v>0</v>
      </c>
      <c r="AK124">
        <f>'Data-Kolom'!S124</f>
        <v>0</v>
      </c>
      <c r="AL124">
        <f>2*(H124+I124-4*$N$5)+2*MAX($F$5*AD124,75)</f>
        <v>3070</v>
      </c>
      <c r="AM124">
        <f>+AH124*(H124-2*$N$5+2*MAX($F$5*AI124,75))+AJ124*(I124-2*$N$5+2*MAX($F$5*AK124,75))</f>
        <v>1120</v>
      </c>
      <c r="AN124">
        <f>(ROUND((1/2*J124+IF(M124&gt;0,(Q124-$N$6*AD124),0))/AE124,0)+(ROUND(1/2*J124/AF124,0)+1))*K124</f>
        <v>31</v>
      </c>
      <c r="AO124">
        <f>H124*I124*J124/1000000000*K124*(1+$T$5)</f>
        <v>1.04805</v>
      </c>
      <c r="AP124">
        <f>0.006165*O124^2*T124*U124/1000*(1+$T$6)</f>
        <v>76.81192974</v>
      </c>
      <c r="AQ124">
        <f>0.006165*W124^2*AB124*AC124/1000*(1+$T$6)</f>
        <v>0</v>
      </c>
      <c r="AR124">
        <f>AN124*0.006165*AD124^2*AL124/1000*(1+$T$6)</f>
        <v>58.672305</v>
      </c>
      <c r="AS124">
        <f>AN124*0.006165*AI124^2*AM124/1000*(1+$T$6)</f>
        <v>21.404880000000002</v>
      </c>
      <c r="AT124">
        <f>K124*2*J124*(H124+I124)/1000000*(1+$T$7)</f>
        <v>13.86</v>
      </c>
      <c r="AU124">
        <f>SUM(AP124:AS124)/AO124</f>
        <v>149.69621176470588</v>
      </c>
      <c r="AV124">
        <f>AT124/AO124</f>
        <v>13.224559896951481</v>
      </c>
      <c r="AX124">
        <f>0.006165*O124^2*R124*U124/1000*(1+$T$6)</f>
        <v>76.81192974</v>
      </c>
      <c r="AZ124">
        <f>0.006165*O124^2*S124*U124/1000*(1+$T$6)</f>
        <v>0</v>
      </c>
      <c r="BA124">
        <f>AZ124/AP124</f>
        <v>0</v>
      </c>
    </row>
    <row r="126">
      <c r="A126">
        <f>'Data-Kolom'!A126</f>
        <v>11</v>
      </c>
      <c r="B126" t="str">
        <f>'Data-Kolom'!B126</f>
        <v>Lantai 2</v>
      </c>
      <c r="C126">
        <f>'Data-Kolom'!C126</f>
        <v>0</v>
      </c>
      <c r="D126" t="str">
        <f>'Data-Kolom'!D126</f>
        <v>K175-1</v>
      </c>
      <c r="E126" t="str">
        <v>T</v>
      </c>
      <c r="F126">
        <f>'Data-Kolom'!U126</f>
        <v>0</v>
      </c>
      <c r="G126">
        <f>'Data-Kolom'!T126</f>
        <v>0</v>
      </c>
      <c r="H126">
        <f>'Data-Kolom'!E126</f>
        <v>170</v>
      </c>
      <c r="I126">
        <f>'Data-Kolom'!F126</f>
        <v>500</v>
      </c>
      <c r="J126">
        <f>'Data-Kolom'!G126</f>
        <v>4500</v>
      </c>
      <c r="K126">
        <v>1</v>
      </c>
      <c r="M126">
        <f>IF(L126&gt;0,VLOOKUP(L126,'Data-PC'!$B$14:$F$36,4,FALSE),0)</f>
        <v>0</v>
      </c>
      <c r="N126">
        <f>'Data-Kolom'!H126</f>
        <v>6</v>
      </c>
      <c r="O126">
        <f>'Data-Kolom'!I126</f>
        <v>16</v>
      </c>
      <c r="P126">
        <f>IF(N126&gt;0,VLOOKUP(O126,$V$2:$X$9,2,FALSE),0)</f>
        <v>1010</v>
      </c>
      <c r="Q126">
        <f>IF(L126&gt;0,M126-50+$N$6*O126,VLOOKUP(O126,$V$2:$X$9,3,FALSE))</f>
        <v>770</v>
      </c>
      <c r="R126">
        <f>IF(E126="F",J126-$N$5+$N$6*O126+Q126,IF(E126="D",J126+Q126+P126,IF(E126="T",J126+P126,IF(E126="A",J126-$N$5+$N$6*O126,0))))</f>
        <v>5510</v>
      </c>
      <c r="T126">
        <f>SUM(R126:S126)</f>
        <v>5510</v>
      </c>
      <c r="U126">
        <f>K126*N126</f>
        <v>6</v>
      </c>
      <c r="V126">
        <f>'Data-Kolom'!J126</f>
        <v>0</v>
      </c>
      <c r="W126">
        <f>'Data-Kolom'!K126</f>
        <v>0</v>
      </c>
      <c r="X126">
        <f>IF(V126&gt;0,VLOOKUP(W126,$V$2:$X$9,2,FALSE),0)</f>
        <v>0</v>
      </c>
      <c r="Y126">
        <f>IF(V126&gt;0,IF(L126&gt;0,M126-50+$N$6*W126,VLOOKUP(W126,$V$2:$X$9,3,FALSE)),0)</f>
        <v>0</v>
      </c>
      <c r="Z126">
        <f>IF(E126="F",J126-$N$5+$N$6*W126+Y126,IF(E126="D",J126+Y126+X126,IF(E126="T",J126+X126,IF(E126="A",J126-$N$5+$N$6*W126,0))))</f>
        <v>4500</v>
      </c>
      <c r="AB126">
        <f>SUM(Z126:AA126)</f>
        <v>4500</v>
      </c>
      <c r="AC126">
        <f>V126*K126</f>
        <v>0</v>
      </c>
      <c r="AD126">
        <f>'Data-Kolom'!L126</f>
        <v>8</v>
      </c>
      <c r="AE126">
        <f>'Data-Kolom'!M126</f>
        <v>100</v>
      </c>
      <c r="AF126">
        <f>'Data-Kolom'!N126</f>
        <v>100</v>
      </c>
      <c r="AG126">
        <f>'Data-Kolom'!O126</f>
        <v>100</v>
      </c>
      <c r="AH126">
        <f>'Data-Kolom'!P126</f>
        <v>0.5</v>
      </c>
      <c r="AI126">
        <f>'Data-Kolom'!Q126</f>
        <v>8</v>
      </c>
      <c r="AJ126">
        <f>'Data-Kolom'!R126</f>
        <v>0</v>
      </c>
      <c r="AK126">
        <f>'Data-Kolom'!S126</f>
        <v>0</v>
      </c>
      <c r="AL126">
        <f>2*(H126+I126-4*$N$5)+2*MAX($F$5*AD126,75)</f>
        <v>1330</v>
      </c>
      <c r="AM126">
        <f>+AH126*(H126-2*$N$5+2*MAX($F$5*AI126,75))+AJ126*(I126-2*$N$5+2*MAX($F$5*AK126,75))</f>
        <v>140</v>
      </c>
      <c r="AN126">
        <f>(ROUND((1/2*J126+IF(M126&gt;0,(Q126-$N$6*AD126),0))/AE126,0)+(ROUND(1/2*J126/AF126,0)+1))*K126</f>
        <v>47</v>
      </c>
      <c r="AO126">
        <f>H126*I126*J126/1000000000*K126*(1+$T$5)</f>
        <v>0.3825</v>
      </c>
      <c r="AP126">
        <f>0.006165*O126^2*T126*U126/1000*(1+$T$6)</f>
        <v>52.1766144</v>
      </c>
      <c r="AQ126">
        <f>0.006165*W126^2*AB126*AC126/1000*(1+$T$6)</f>
        <v>0</v>
      </c>
      <c r="AR126">
        <f>AN126*0.006165*AD126^2*AL126/1000*(1+$T$6)</f>
        <v>24.6639456</v>
      </c>
      <c r="AS126">
        <f>AN126*0.006165*AI126^2*AM126/1000*(1+$T$6)</f>
        <v>2.5962048000000006</v>
      </c>
      <c r="AT126">
        <f>K126*2*J126*(H126+I126)/1000000*(1+$T$7)</f>
        <v>6.03</v>
      </c>
      <c r="AU126">
        <f>SUM(AP126:AS126)/AO126</f>
        <v>207.6778164705882</v>
      </c>
      <c r="AV126">
        <f>AT126/AO126</f>
        <v>15.764705882352942</v>
      </c>
      <c r="AX126">
        <f>0.006165*O126^2*R126*U126/1000*(1+$T$6)</f>
        <v>52.1766144</v>
      </c>
      <c r="AZ126">
        <f>0.006165*O126^2*S126*U126/1000*(1+$T$6)</f>
        <v>0</v>
      </c>
      <c r="BA126">
        <f>AZ126/AP126</f>
        <v>0</v>
      </c>
    </row>
    <row r="127">
      <c r="A127">
        <f>'Data-Kolom'!A127</f>
        <v>12</v>
      </c>
      <c r="B127" t="str">
        <f>'Data-Kolom'!B127</f>
        <v>Lantai 2</v>
      </c>
      <c r="C127">
        <f>'Data-Kolom'!C127</f>
        <v>0</v>
      </c>
      <c r="D127" t="str">
        <f>'Data-Kolom'!D127</f>
        <v>K178-2</v>
      </c>
      <c r="E127" t="str">
        <v>T</v>
      </c>
      <c r="F127">
        <f>'Data-Kolom'!U127</f>
        <v>0</v>
      </c>
      <c r="G127">
        <f>'Data-Kolom'!T127</f>
        <v>0</v>
      </c>
      <c r="H127">
        <f>'Data-Kolom'!E127</f>
        <v>170</v>
      </c>
      <c r="I127">
        <f>'Data-Kolom'!F127</f>
        <v>800</v>
      </c>
      <c r="J127">
        <f>'Data-Kolom'!G127</f>
        <v>4500</v>
      </c>
      <c r="K127">
        <v>1</v>
      </c>
      <c r="M127">
        <f>IF(L127&gt;0,VLOOKUP(L127,'Data-PC'!$B$14:$F$36,4,FALSE),0)</f>
        <v>0</v>
      </c>
      <c r="N127">
        <f>'Data-Kolom'!H127</f>
        <v>14</v>
      </c>
      <c r="O127">
        <f>'Data-Kolom'!I127</f>
        <v>19</v>
      </c>
      <c r="P127">
        <f>IF(N127&gt;0,VLOOKUP(O127,$V$2:$X$9,2,FALSE),0)</f>
        <v>1190</v>
      </c>
      <c r="Q127">
        <f>IF(L127&gt;0,M127-50+$N$6*O127,VLOOKUP(O127,$V$2:$X$9,3,FALSE))</f>
        <v>910</v>
      </c>
      <c r="R127">
        <f>IF(E127="F",J127-$N$5+$N$6*O127+Q127,IF(E127="D",J127+Q127+P127,IF(E127="T",J127+P127,IF(E127="A",J127-$N$5+$N$6*O127,0))))</f>
        <v>5690</v>
      </c>
      <c r="T127">
        <f>SUM(R127:S127)</f>
        <v>5690</v>
      </c>
      <c r="U127">
        <f>K127*N127</f>
        <v>14</v>
      </c>
      <c r="V127">
        <f>'Data-Kolom'!J127</f>
        <v>0</v>
      </c>
      <c r="W127">
        <f>'Data-Kolom'!K127</f>
        <v>0</v>
      </c>
      <c r="X127">
        <f>IF(V127&gt;0,VLOOKUP(W127,$V$2:$X$9,2,FALSE),0)</f>
        <v>0</v>
      </c>
      <c r="Y127">
        <f>IF(V127&gt;0,IF(L127&gt;0,M127-50+$N$6*W127,VLOOKUP(W127,$V$2:$X$9,3,FALSE)),0)</f>
        <v>0</v>
      </c>
      <c r="Z127">
        <f>IF(E127="F",J127-$N$5+$N$6*W127+Y127,IF(E127="D",J127+Y127+X127,IF(E127="T",J127+X127,IF(E127="A",J127-$N$5+$N$6*W127,0))))</f>
        <v>4500</v>
      </c>
      <c r="AB127">
        <f>SUM(Z127:AA127)</f>
        <v>4500</v>
      </c>
      <c r="AC127">
        <f>V127*K127</f>
        <v>0</v>
      </c>
      <c r="AD127">
        <f>'Data-Kolom'!L127</f>
        <v>8</v>
      </c>
      <c r="AE127">
        <f>'Data-Kolom'!M127</f>
        <v>100</v>
      </c>
      <c r="AF127">
        <f>'Data-Kolom'!N127</f>
        <v>100</v>
      </c>
      <c r="AG127">
        <f>'Data-Kolom'!O127</f>
        <v>100</v>
      </c>
      <c r="AH127">
        <f>'Data-Kolom'!P127</f>
        <v>1</v>
      </c>
      <c r="AI127">
        <f>'Data-Kolom'!Q127</f>
        <v>8</v>
      </c>
      <c r="AJ127">
        <f>'Data-Kolom'!R127</f>
        <v>0</v>
      </c>
      <c r="AK127">
        <f>'Data-Kolom'!S127</f>
        <v>0</v>
      </c>
      <c r="AL127">
        <f>2*(H127+I127-4*$N$5)+2*MAX($F$5*AD127,75)</f>
        <v>1930</v>
      </c>
      <c r="AM127">
        <f>+AH127*(H127-2*$N$5+2*MAX($F$5*AI127,75))+AJ127*(I127-2*$N$5+2*MAX($F$5*AK127,75))</f>
        <v>280</v>
      </c>
      <c r="AN127">
        <f>(ROUND((1/2*J127+IF(M127&gt;0,(Q127-$N$6*AD127),0))/AE127,0)+(ROUND(1/2*J127/AF127,0)+1))*K127</f>
        <v>47</v>
      </c>
      <c r="AO127">
        <f>H127*I127*J127/1000000000*K127*(1+$T$5)</f>
        <v>0.612</v>
      </c>
      <c r="AP127">
        <f>0.006165*O127^2*T127*U127/1000*(1+$T$6)</f>
        <v>177.28850789999998</v>
      </c>
      <c r="AQ127">
        <f>0.006165*W127^2*AB127*AC127/1000*(1+$T$6)</f>
        <v>0</v>
      </c>
      <c r="AR127">
        <f>AN127*0.006165*AD127^2*AL127/1000*(1+$T$6)</f>
        <v>35.7905376</v>
      </c>
      <c r="AS127">
        <f>AN127*0.006165*AI127^2*AM127/1000*(1+$T$6)</f>
        <v>5.192409600000001</v>
      </c>
      <c r="AT127">
        <f>K127*2*J127*(H127+I127)/1000000*(1+$T$7)</f>
        <v>8.73</v>
      </c>
      <c r="AU127">
        <f>SUM(AP127:AS127)/AO127</f>
        <v>356.65270441176466</v>
      </c>
      <c r="AV127">
        <f>AT127/AO127</f>
        <v>14.264705882352942</v>
      </c>
      <c r="AX127">
        <f>0.006165*O127^2*R127*U127/1000*(1+$T$6)</f>
        <v>177.28850789999998</v>
      </c>
      <c r="AZ127">
        <f>0.006165*O127^2*S127*U127/1000*(1+$T$6)</f>
        <v>0</v>
      </c>
      <c r="BA127">
        <f>AZ127/AP127</f>
        <v>0</v>
      </c>
    </row>
    <row r="128">
      <c r="A128">
        <f>'Data-Kolom'!A128</f>
        <v>13</v>
      </c>
      <c r="B128" t="str">
        <f>'Data-Kolom'!B128</f>
        <v>Lantai 2</v>
      </c>
      <c r="C128">
        <f>'Data-Kolom'!C128</f>
        <v>0</v>
      </c>
      <c r="D128" t="str">
        <f>'Data-Kolom'!D128</f>
        <v>K175-2</v>
      </c>
      <c r="E128" t="str">
        <v>T</v>
      </c>
      <c r="F128">
        <f>'Data-Kolom'!U128</f>
        <v>0</v>
      </c>
      <c r="G128">
        <f>'Data-Kolom'!T128</f>
        <v>0</v>
      </c>
      <c r="H128">
        <f>'Data-Kolom'!E128</f>
        <v>170</v>
      </c>
      <c r="I128">
        <f>'Data-Kolom'!F128</f>
        <v>500</v>
      </c>
      <c r="J128">
        <f>'Data-Kolom'!G128</f>
        <v>4500</v>
      </c>
      <c r="K128">
        <v>1</v>
      </c>
      <c r="M128">
        <f>IF(L128&gt;0,VLOOKUP(L128,'Data-PC'!$B$14:$F$36,4,FALSE),0)</f>
        <v>0</v>
      </c>
      <c r="N128">
        <f>'Data-Kolom'!H128</f>
        <v>8</v>
      </c>
      <c r="O128">
        <f>'Data-Kolom'!I128</f>
        <v>16</v>
      </c>
      <c r="P128">
        <f>IF(N128&gt;0,VLOOKUP(O128,$V$2:$X$9,2,FALSE),0)</f>
        <v>1010</v>
      </c>
      <c r="Q128">
        <f>IF(L128&gt;0,M128-50+$N$6*O128,VLOOKUP(O128,$V$2:$X$9,3,FALSE))</f>
        <v>770</v>
      </c>
      <c r="R128">
        <f>IF(E128="F",J128-$N$5+$N$6*O128+Q128,IF(E128="D",J128+Q128+P128,IF(E128="T",J128+P128,IF(E128="A",J128-$N$5+$N$6*O128,0))))</f>
        <v>5510</v>
      </c>
      <c r="T128">
        <f>SUM(R128:S128)</f>
        <v>5510</v>
      </c>
      <c r="U128">
        <f>K128*N128</f>
        <v>8</v>
      </c>
      <c r="V128">
        <f>'Data-Kolom'!J128</f>
        <v>0</v>
      </c>
      <c r="W128">
        <f>'Data-Kolom'!K128</f>
        <v>0</v>
      </c>
      <c r="X128">
        <f>IF(V128&gt;0,VLOOKUP(W128,$V$2:$X$9,2,FALSE),0)</f>
        <v>0</v>
      </c>
      <c r="Y128">
        <f>IF(V128&gt;0,IF(L128&gt;0,M128-50+$N$6*W128,VLOOKUP(W128,$V$2:$X$9,3,FALSE)),0)</f>
        <v>0</v>
      </c>
      <c r="Z128">
        <f>IF(E128="F",J128-$N$5+$N$6*W128+Y128,IF(E128="D",J128+Y128+X128,IF(E128="T",J128+X128,IF(E128="A",J128-$N$5+$N$6*W128,0))))</f>
        <v>4500</v>
      </c>
      <c r="AB128">
        <f>SUM(Z128:AA128)</f>
        <v>4500</v>
      </c>
      <c r="AC128">
        <f>V128*K128</f>
        <v>0</v>
      </c>
      <c r="AD128">
        <f>'Data-Kolom'!L128</f>
        <v>8</v>
      </c>
      <c r="AE128">
        <f>'Data-Kolom'!M128</f>
        <v>100</v>
      </c>
      <c r="AF128">
        <f>'Data-Kolom'!N128</f>
        <v>100</v>
      </c>
      <c r="AG128">
        <f>'Data-Kolom'!O128</f>
        <v>100</v>
      </c>
      <c r="AH128">
        <f>'Data-Kolom'!P128</f>
        <v>0.5</v>
      </c>
      <c r="AI128">
        <f>'Data-Kolom'!Q128</f>
        <v>8</v>
      </c>
      <c r="AJ128">
        <f>'Data-Kolom'!R128</f>
        <v>0</v>
      </c>
      <c r="AK128">
        <f>'Data-Kolom'!S128</f>
        <v>0</v>
      </c>
      <c r="AL128">
        <f>2*(H128+I128-4*$N$5)+2*MAX($F$5*AD128,75)</f>
        <v>1330</v>
      </c>
      <c r="AM128">
        <f>+AH128*(H128-2*$N$5+2*MAX($F$5*AI128,75))+AJ128*(I128-2*$N$5+2*MAX($F$5*AK128,75))</f>
        <v>140</v>
      </c>
      <c r="AN128">
        <f>(ROUND((1/2*J128+IF(M128&gt;0,(Q128-$N$6*AD128),0))/AE128,0)+(ROUND(1/2*J128/AF128,0)+1))*K128</f>
        <v>47</v>
      </c>
      <c r="AO128">
        <f>H128*I128*J128/1000000000*K128*(1+$T$5)</f>
        <v>0.3825</v>
      </c>
      <c r="AP128">
        <f>0.006165*O128^2*T128*U128/1000*(1+$T$6)</f>
        <v>69.5688192</v>
      </c>
      <c r="AQ128">
        <f>0.006165*W128^2*AB128*AC128/1000*(1+$T$6)</f>
        <v>0</v>
      </c>
      <c r="AR128">
        <f>AN128*0.006165*AD128^2*AL128/1000*(1+$T$6)</f>
        <v>24.6639456</v>
      </c>
      <c r="AS128">
        <f>AN128*0.006165*AI128^2*AM128/1000*(1+$T$6)</f>
        <v>2.5962048000000006</v>
      </c>
      <c r="AT128">
        <f>K128*2*J128*(H128+I128)/1000000*(1+$T$7)</f>
        <v>6.03</v>
      </c>
      <c r="AU128">
        <f>SUM(AP128:AS128)/AO128</f>
        <v>253.14763294117645</v>
      </c>
      <c r="AV128">
        <f>AT128/AO128</f>
        <v>15.764705882352942</v>
      </c>
      <c r="AX128">
        <f>0.006165*O128^2*R128*U128/1000*(1+$T$6)</f>
        <v>69.5688192</v>
      </c>
      <c r="AZ128">
        <f>0.006165*O128^2*S128*U128/1000*(1+$T$6)</f>
        <v>0</v>
      </c>
      <c r="BA128">
        <f>AZ128/AP128</f>
        <v>0</v>
      </c>
    </row>
    <row r="129">
      <c r="A129">
        <f>'Data-Kolom'!A129</f>
        <v>14</v>
      </c>
      <c r="B129" t="str">
        <f>'Data-Kolom'!B129</f>
        <v>Lantai 2</v>
      </c>
      <c r="C129">
        <f>'Data-Kolom'!C129</f>
        <v>0</v>
      </c>
      <c r="D129" t="str">
        <f>'Data-Kolom'!D129</f>
        <v>K177-1</v>
      </c>
      <c r="E129" t="str">
        <v>T</v>
      </c>
      <c r="F129">
        <f>'Data-Kolom'!U129</f>
        <v>0</v>
      </c>
      <c r="G129">
        <f>'Data-Kolom'!T129</f>
        <v>0</v>
      </c>
      <c r="H129">
        <f>'Data-Kolom'!E129</f>
        <v>170</v>
      </c>
      <c r="I129">
        <f>'Data-Kolom'!F129</f>
        <v>700</v>
      </c>
      <c r="J129">
        <f>'Data-Kolom'!G129</f>
        <v>4500</v>
      </c>
      <c r="K129">
        <v>1</v>
      </c>
      <c r="M129">
        <f>IF(L129&gt;0,VLOOKUP(L129,'Data-PC'!$B$14:$F$36,4,FALSE),0)</f>
        <v>0</v>
      </c>
      <c r="N129">
        <f>'Data-Kolom'!H129</f>
        <v>10</v>
      </c>
      <c r="O129">
        <f>'Data-Kolom'!I129</f>
        <v>19</v>
      </c>
      <c r="P129">
        <f>IF(N129&gt;0,VLOOKUP(O129,$V$2:$X$9,2,FALSE),0)</f>
        <v>1190</v>
      </c>
      <c r="Q129">
        <f>IF(L129&gt;0,M129-50+$N$6*O129,VLOOKUP(O129,$V$2:$X$9,3,FALSE))</f>
        <v>910</v>
      </c>
      <c r="R129">
        <f>IF(E129="F",J129-$N$5+$N$6*O129+Q129,IF(E129="D",J129+Q129+P129,IF(E129="T",J129+P129,IF(E129="A",J129-$N$5+$N$6*O129,0))))</f>
        <v>5690</v>
      </c>
      <c r="T129">
        <f>SUM(R129:S129)</f>
        <v>5690</v>
      </c>
      <c r="U129">
        <f>K129*N129</f>
        <v>10</v>
      </c>
      <c r="V129">
        <f>'Data-Kolom'!J129</f>
        <v>0</v>
      </c>
      <c r="W129">
        <f>'Data-Kolom'!K129</f>
        <v>0</v>
      </c>
      <c r="X129">
        <f>IF(V129&gt;0,VLOOKUP(W129,$V$2:$X$9,2,FALSE),0)</f>
        <v>0</v>
      </c>
      <c r="Y129">
        <f>IF(V129&gt;0,IF(L129&gt;0,M129-50+$N$6*W129,VLOOKUP(W129,$V$2:$X$9,3,FALSE)),0)</f>
        <v>0</v>
      </c>
      <c r="Z129">
        <f>IF(E129="F",J129-$N$5+$N$6*W129+Y129,IF(E129="D",J129+Y129+X129,IF(E129="T",J129+X129,IF(E129="A",J129-$N$5+$N$6*W129,0))))</f>
        <v>4500</v>
      </c>
      <c r="AB129">
        <f>SUM(Z129:AA129)</f>
        <v>4500</v>
      </c>
      <c r="AC129">
        <f>V129*K129</f>
        <v>0</v>
      </c>
      <c r="AD129">
        <f>'Data-Kolom'!L129</f>
        <v>8</v>
      </c>
      <c r="AE129">
        <f>'Data-Kolom'!M129</f>
        <v>100</v>
      </c>
      <c r="AF129">
        <f>'Data-Kolom'!N129</f>
        <v>100</v>
      </c>
      <c r="AG129">
        <f>'Data-Kolom'!O129</f>
        <v>100</v>
      </c>
      <c r="AH129">
        <f>'Data-Kolom'!P129</f>
        <v>0.5</v>
      </c>
      <c r="AI129">
        <f>'Data-Kolom'!Q129</f>
        <v>8</v>
      </c>
      <c r="AJ129">
        <f>'Data-Kolom'!R129</f>
        <v>0</v>
      </c>
      <c r="AK129">
        <f>'Data-Kolom'!S129</f>
        <v>0</v>
      </c>
      <c r="AL129">
        <f>2*(H129+I129-4*$N$5)+2*MAX($F$5*AD129,75)</f>
        <v>1730</v>
      </c>
      <c r="AM129">
        <f>+AH129*(H129-2*$N$5+2*MAX($F$5*AI129,75))+AJ129*(I129-2*$N$5+2*MAX($F$5*AK129,75))</f>
        <v>140</v>
      </c>
      <c r="AN129">
        <f>(ROUND((1/2*J129+IF(M129&gt;0,(Q129-$N$6*AD129),0))/AE129,0)+(ROUND(1/2*J129/AF129,0)+1))*K129</f>
        <v>47</v>
      </c>
      <c r="AO129">
        <f>H129*I129*J129/1000000000*K129*(1+$T$5)</f>
        <v>0.5355</v>
      </c>
      <c r="AP129">
        <f>0.006165*O129^2*T129*U129/1000*(1+$T$6)</f>
        <v>126.63464850000001</v>
      </c>
      <c r="AQ129">
        <f>0.006165*W129^2*AB129*AC129/1000*(1+$T$6)</f>
        <v>0</v>
      </c>
      <c r="AR129">
        <f>AN129*0.006165*AD129^2*AL129/1000*(1+$T$6)</f>
        <v>32.0816736</v>
      </c>
      <c r="AS129">
        <f>AN129*0.006165*AI129^2*AM129/1000*(1+$T$6)</f>
        <v>2.5962048000000006</v>
      </c>
      <c r="AT129">
        <f>K129*2*J129*(H129+I129)/1000000*(1+$T$7)</f>
        <v>7.83</v>
      </c>
      <c r="AU129">
        <f>SUM(AP129:AS129)/AO129</f>
        <v>301.23721176470593</v>
      </c>
      <c r="AV129">
        <f>AT129/AO129</f>
        <v>14.6218487394958</v>
      </c>
      <c r="AX129">
        <f>0.006165*O129^2*R129*U129/1000*(1+$T$6)</f>
        <v>126.63464850000001</v>
      </c>
      <c r="AZ129">
        <f>0.006165*O129^2*S129*U129/1000*(1+$T$6)</f>
        <v>0</v>
      </c>
      <c r="BA129">
        <f>AZ129/AP129</f>
        <v>0</v>
      </c>
    </row>
    <row r="130">
      <c r="A130" t="str">
        <f>'Data-Kolom'!A130</f>
        <v>14A</v>
      </c>
      <c r="B130" t="str">
        <f>'Data-Kolom'!B130</f>
        <v>Lantai 2</v>
      </c>
      <c r="C130">
        <f>'Data-Kolom'!C130</f>
        <v>0</v>
      </c>
      <c r="D130" t="str">
        <f>'Data-Kolom'!D130</f>
        <v>K174-1</v>
      </c>
      <c r="E130" t="str">
        <v>T</v>
      </c>
      <c r="F130">
        <f>'Data-Kolom'!U130</f>
        <v>0</v>
      </c>
      <c r="G130">
        <f>'Data-Kolom'!T130</f>
        <v>0</v>
      </c>
      <c r="H130">
        <f>'Data-Kolom'!E130</f>
        <v>170</v>
      </c>
      <c r="I130">
        <f>'Data-Kolom'!F130</f>
        <v>400</v>
      </c>
      <c r="J130">
        <f>'Data-Kolom'!G130</f>
        <v>4500</v>
      </c>
      <c r="K130">
        <v>1</v>
      </c>
      <c r="M130">
        <f>IF(L130&gt;0,VLOOKUP(L130,'Data-PC'!$B$14:$F$36,4,FALSE),0)</f>
        <v>0</v>
      </c>
      <c r="N130">
        <f>'Data-Kolom'!H130</f>
        <v>8</v>
      </c>
      <c r="O130">
        <f>'Data-Kolom'!I130</f>
        <v>13</v>
      </c>
      <c r="P130">
        <f>IF(N130&gt;0,VLOOKUP(O130,$V$2:$X$9,2,FALSE),0)</f>
        <v>820</v>
      </c>
      <c r="Q130">
        <f>IF(L130&gt;0,M130-50+$N$6*O130,VLOOKUP(O130,$V$2:$X$9,3,FALSE))</f>
        <v>630</v>
      </c>
      <c r="R130">
        <f>IF(E130="F",J130-$N$5+$N$6*O130+Q130,IF(E130="D",J130+Q130+P130,IF(E130="T",J130+P130,IF(E130="A",J130-$N$5+$N$6*O130,0))))</f>
        <v>5320</v>
      </c>
      <c r="T130">
        <f>SUM(R130:S130)</f>
        <v>5320</v>
      </c>
      <c r="U130">
        <f>K130*N130</f>
        <v>8</v>
      </c>
      <c r="V130">
        <f>'Data-Kolom'!J130</f>
        <v>0</v>
      </c>
      <c r="W130">
        <f>'Data-Kolom'!K130</f>
        <v>0</v>
      </c>
      <c r="X130">
        <f>IF(V130&gt;0,VLOOKUP(W130,$V$2:$X$9,2,FALSE),0)</f>
        <v>0</v>
      </c>
      <c r="Y130">
        <f>IF(V130&gt;0,IF(L130&gt;0,M130-50+$N$6*W130,VLOOKUP(W130,$V$2:$X$9,3,FALSE)),0)</f>
        <v>0</v>
      </c>
      <c r="Z130">
        <f>IF(E130="F",J130-$N$5+$N$6*W130+Y130,IF(E130="D",J130+Y130+X130,IF(E130="T",J130+X130,IF(E130="A",J130-$N$5+$N$6*W130,0))))</f>
        <v>4500</v>
      </c>
      <c r="AB130">
        <f>SUM(Z130:AA130)</f>
        <v>4500</v>
      </c>
      <c r="AC130">
        <f>V130*K130</f>
        <v>0</v>
      </c>
      <c r="AD130">
        <f>'Data-Kolom'!L130</f>
        <v>8</v>
      </c>
      <c r="AE130">
        <f>'Data-Kolom'!M130</f>
        <v>100</v>
      </c>
      <c r="AF130">
        <f>'Data-Kolom'!N130</f>
        <v>100</v>
      </c>
      <c r="AG130">
        <f>'Data-Kolom'!O130</f>
        <v>100</v>
      </c>
      <c r="AH130">
        <f>'Data-Kolom'!P130</f>
        <v>0</v>
      </c>
      <c r="AI130">
        <f>'Data-Kolom'!Q130</f>
        <v>0</v>
      </c>
      <c r="AJ130">
        <f>'Data-Kolom'!R130</f>
        <v>0</v>
      </c>
      <c r="AK130">
        <f>'Data-Kolom'!S130</f>
        <v>0</v>
      </c>
      <c r="AL130">
        <f>2*(H130+I130-4*$N$5)+2*MAX($F$5*AD130,75)</f>
        <v>1130</v>
      </c>
      <c r="AM130">
        <f>+AH130*(H130-2*$N$5+2*MAX($F$5*AI130,75))+AJ130*(I130-2*$N$5+2*MAX($F$5*AK130,75))</f>
        <v>0</v>
      </c>
      <c r="AN130">
        <f>(ROUND((1/2*J130+IF(M130&gt;0,(Q130-$N$6*AD130),0))/AE130,0)+(ROUND(1/2*J130/AF130,0)+1))*K130</f>
        <v>47</v>
      </c>
      <c r="AO130">
        <f>H130*I130*J130/1000000000*K130*(1+$T$5)</f>
        <v>0.306</v>
      </c>
      <c r="AP130">
        <f>0.006165*O130^2*T130*U130/1000*(1+$T$6)</f>
        <v>44.3426256</v>
      </c>
      <c r="AQ130">
        <f>0.006165*W130^2*AB130*AC130/1000*(1+$T$6)</f>
        <v>0</v>
      </c>
      <c r="AR130">
        <f>AN130*0.006165*AD130^2*AL130/1000*(1+$T$6)</f>
        <v>20.9550816</v>
      </c>
      <c r="AS130">
        <f>AN130*0.006165*AI130^2*AM130/1000*(1+$T$6)</f>
        <v>0</v>
      </c>
      <c r="AT130">
        <f>K130*2*J130*(H130+I130)/1000000*(1+$T$7)</f>
        <v>5.13</v>
      </c>
      <c r="AU130">
        <f>SUM(AP130:AS130)/AO130</f>
        <v>213.39119999999997</v>
      </c>
      <c r="AV130">
        <f>AT130/AO130</f>
        <v>16.764705882352942</v>
      </c>
      <c r="AX130">
        <f>0.006165*O130^2*R130*U130/1000*(1+$T$6)</f>
        <v>44.3426256</v>
      </c>
      <c r="AZ130">
        <f>0.006165*O130^2*S130*U130/1000*(1+$T$6)</f>
        <v>0</v>
      </c>
      <c r="BA130">
        <f>AZ130/AP130</f>
        <v>0</v>
      </c>
    </row>
    <row r="131">
      <c r="A131">
        <f>'Data-Kolom'!A131</f>
        <v>15</v>
      </c>
      <c r="B131" t="str">
        <f>'Data-Kolom'!B131</f>
        <v>Lantai 2</v>
      </c>
      <c r="C131">
        <f>'Data-Kolom'!C131</f>
        <v>0</v>
      </c>
      <c r="D131" t="str">
        <f>'Data-Kolom'!D131</f>
        <v>K178-1</v>
      </c>
      <c r="E131" t="str">
        <v>T</v>
      </c>
      <c r="F131">
        <f>'Data-Kolom'!U131</f>
        <v>0</v>
      </c>
      <c r="G131">
        <f>'Data-Kolom'!T131</f>
        <v>0</v>
      </c>
      <c r="H131">
        <f>'Data-Kolom'!E131</f>
        <v>170</v>
      </c>
      <c r="I131">
        <f>'Data-Kolom'!F131</f>
        <v>800</v>
      </c>
      <c r="J131">
        <f>'Data-Kolom'!G131</f>
        <v>4500</v>
      </c>
      <c r="K131">
        <v>1</v>
      </c>
      <c r="M131">
        <f>IF(L131&gt;0,VLOOKUP(L131,'Data-PC'!$B$14:$F$36,4,FALSE),0)</f>
        <v>0</v>
      </c>
      <c r="N131">
        <f>'Data-Kolom'!H131</f>
        <v>8</v>
      </c>
      <c r="O131">
        <f>'Data-Kolom'!I131</f>
        <v>16</v>
      </c>
      <c r="P131">
        <f>IF(N131&gt;0,VLOOKUP(O131,$V$2:$X$9,2,FALSE),0)</f>
        <v>1010</v>
      </c>
      <c r="Q131">
        <f>IF(L131&gt;0,M131-50+$N$6*O131,VLOOKUP(O131,$V$2:$X$9,3,FALSE))</f>
        <v>770</v>
      </c>
      <c r="R131">
        <f>IF(E131="F",J131-$N$5+$N$6*O131+Q131,IF(E131="D",J131+Q131+P131,IF(E131="T",J131+P131,IF(E131="A",J131-$N$5+$N$6*O131,0))))</f>
        <v>5510</v>
      </c>
      <c r="T131">
        <f>SUM(R131:S131)</f>
        <v>5510</v>
      </c>
      <c r="U131">
        <f>K131*N131</f>
        <v>8</v>
      </c>
      <c r="V131">
        <f>'Data-Kolom'!J131</f>
        <v>0</v>
      </c>
      <c r="W131">
        <f>'Data-Kolom'!K131</f>
        <v>0</v>
      </c>
      <c r="X131">
        <f>IF(V131&gt;0,VLOOKUP(W131,$V$2:$X$9,2,FALSE),0)</f>
        <v>0</v>
      </c>
      <c r="Y131">
        <f>IF(V131&gt;0,IF(L131&gt;0,M131-50+$N$6*W131,VLOOKUP(W131,$V$2:$X$9,3,FALSE)),0)</f>
        <v>0</v>
      </c>
      <c r="Z131">
        <f>IF(E131="F",J131-$N$5+$N$6*W131+Y131,IF(E131="D",J131+Y131+X131,IF(E131="T",J131+X131,IF(E131="A",J131-$N$5+$N$6*W131,0))))</f>
        <v>4500</v>
      </c>
      <c r="AB131">
        <f>SUM(Z131:AA131)</f>
        <v>4500</v>
      </c>
      <c r="AC131">
        <f>V131*K131</f>
        <v>0</v>
      </c>
      <c r="AD131">
        <f>'Data-Kolom'!L131</f>
        <v>8</v>
      </c>
      <c r="AE131">
        <f>'Data-Kolom'!M131</f>
        <v>100</v>
      </c>
      <c r="AF131">
        <f>'Data-Kolom'!N131</f>
        <v>100</v>
      </c>
      <c r="AG131">
        <f>'Data-Kolom'!O131</f>
        <v>100</v>
      </c>
      <c r="AH131">
        <f>'Data-Kolom'!P131</f>
        <v>1</v>
      </c>
      <c r="AI131">
        <f>'Data-Kolom'!Q131</f>
        <v>8</v>
      </c>
      <c r="AJ131">
        <f>'Data-Kolom'!R131</f>
        <v>0</v>
      </c>
      <c r="AK131">
        <f>'Data-Kolom'!S131</f>
        <v>0</v>
      </c>
      <c r="AL131">
        <f>2*(H131+I131-4*$N$5)+2*MAX($F$5*AD131,75)</f>
        <v>1930</v>
      </c>
      <c r="AM131">
        <f>+AH131*(H131-2*$N$5+2*MAX($F$5*AI131,75))+AJ131*(I131-2*$N$5+2*MAX($F$5*AK131,75))</f>
        <v>280</v>
      </c>
      <c r="AN131">
        <f>(ROUND((1/2*J131+IF(M131&gt;0,(Q131-$N$6*AD131),0))/AE131,0)+(ROUND(1/2*J131/AF131,0)+1))*K131</f>
        <v>47</v>
      </c>
      <c r="AO131">
        <f>H131*I131*J131/1000000000*K131*(1+$T$5)</f>
        <v>0.612</v>
      </c>
      <c r="AP131">
        <f>0.006165*O131^2*T131*U131/1000*(1+$T$6)</f>
        <v>69.5688192</v>
      </c>
      <c r="AQ131">
        <f>0.006165*W131^2*AB131*AC131/1000*(1+$T$6)</f>
        <v>0</v>
      </c>
      <c r="AR131">
        <f>AN131*0.006165*AD131^2*AL131/1000*(1+$T$6)</f>
        <v>35.7905376</v>
      </c>
      <c r="AS131">
        <f>AN131*0.006165*AI131^2*AM131/1000*(1+$T$6)</f>
        <v>5.192409600000001</v>
      </c>
      <c r="AT131">
        <f>K131*2*J131*(H131+I131)/1000000*(1+$T$7)</f>
        <v>8.73</v>
      </c>
      <c r="AU131">
        <f>SUM(AP131:AS131)/AO131</f>
        <v>180.6401411764706</v>
      </c>
      <c r="AV131">
        <f>AT131/AO131</f>
        <v>14.264705882352942</v>
      </c>
      <c r="AX131">
        <f>0.006165*O131^2*R131*U131/1000*(1+$T$6)</f>
        <v>69.5688192</v>
      </c>
      <c r="AZ131">
        <f>0.006165*O131^2*S131*U131/1000*(1+$T$6)</f>
        <v>0</v>
      </c>
      <c r="BA131">
        <f>AZ131/AP131</f>
        <v>0</v>
      </c>
    </row>
    <row r="132">
      <c r="A132">
        <f>'Data-Kolom'!A132</f>
        <v>16</v>
      </c>
      <c r="B132" t="str">
        <f>'Data-Kolom'!B132</f>
        <v>Lantai 2</v>
      </c>
      <c r="C132">
        <f>'Data-Kolom'!C132</f>
        <v>0</v>
      </c>
      <c r="D132" t="str">
        <f>'Data-Kolom'!D132</f>
        <v>K175-2</v>
      </c>
      <c r="E132" t="str">
        <v>T</v>
      </c>
      <c r="F132">
        <f>'Data-Kolom'!U132</f>
        <v>0</v>
      </c>
      <c r="G132">
        <f>'Data-Kolom'!T132</f>
        <v>0</v>
      </c>
      <c r="H132">
        <f>'Data-Kolom'!E132</f>
        <v>170</v>
      </c>
      <c r="I132">
        <f>'Data-Kolom'!F132</f>
        <v>500</v>
      </c>
      <c r="J132">
        <f>'Data-Kolom'!G132</f>
        <v>4500</v>
      </c>
      <c r="K132">
        <v>1</v>
      </c>
      <c r="M132">
        <f>IF(L132&gt;0,VLOOKUP(L132,'Data-PC'!$B$14:$F$36,4,FALSE),0)</f>
        <v>0</v>
      </c>
      <c r="N132">
        <f>'Data-Kolom'!H132</f>
        <v>8</v>
      </c>
      <c r="O132">
        <f>'Data-Kolom'!I132</f>
        <v>16</v>
      </c>
      <c r="P132">
        <f>IF(N132&gt;0,VLOOKUP(O132,$V$2:$X$9,2,FALSE),0)</f>
        <v>1010</v>
      </c>
      <c r="Q132">
        <f>IF(L132&gt;0,M132-50+$N$6*O132,VLOOKUP(O132,$V$2:$X$9,3,FALSE))</f>
        <v>770</v>
      </c>
      <c r="R132">
        <f>IF(E132="F",J132-$N$5+$N$6*O132+Q132,IF(E132="D",J132+Q132+P132,IF(E132="T",J132+P132,IF(E132="A",J132-$N$5+$N$6*O132,0))))</f>
        <v>5510</v>
      </c>
      <c r="T132">
        <f>SUM(R132:S132)</f>
        <v>5510</v>
      </c>
      <c r="U132">
        <f>K132*N132</f>
        <v>8</v>
      </c>
      <c r="V132">
        <f>'Data-Kolom'!J132</f>
        <v>0</v>
      </c>
      <c r="W132">
        <f>'Data-Kolom'!K132</f>
        <v>0</v>
      </c>
      <c r="X132">
        <f>IF(V132&gt;0,VLOOKUP(W132,$V$2:$X$9,2,FALSE),0)</f>
        <v>0</v>
      </c>
      <c r="Y132">
        <f>IF(V132&gt;0,IF(L132&gt;0,M132-50+$N$6*W132,VLOOKUP(W132,$V$2:$X$9,3,FALSE)),0)</f>
        <v>0</v>
      </c>
      <c r="Z132">
        <f>IF(E132="F",J132-$N$5+$N$6*W132+Y132,IF(E132="D",J132+Y132+X132,IF(E132="T",J132+X132,IF(E132="A",J132-$N$5+$N$6*W132,0))))</f>
        <v>4500</v>
      </c>
      <c r="AB132">
        <f>SUM(Z132:AA132)</f>
        <v>4500</v>
      </c>
      <c r="AC132">
        <f>V132*K132</f>
        <v>0</v>
      </c>
      <c r="AD132">
        <f>'Data-Kolom'!L132</f>
        <v>8</v>
      </c>
      <c r="AE132">
        <f>'Data-Kolom'!M132</f>
        <v>100</v>
      </c>
      <c r="AF132">
        <f>'Data-Kolom'!N132</f>
        <v>100</v>
      </c>
      <c r="AG132">
        <f>'Data-Kolom'!O132</f>
        <v>100</v>
      </c>
      <c r="AH132">
        <f>'Data-Kolom'!P132</f>
        <v>0.5</v>
      </c>
      <c r="AI132">
        <f>'Data-Kolom'!Q132</f>
        <v>8</v>
      </c>
      <c r="AJ132">
        <f>'Data-Kolom'!R132</f>
        <v>0</v>
      </c>
      <c r="AK132">
        <f>'Data-Kolom'!S132</f>
        <v>0</v>
      </c>
      <c r="AL132">
        <f>2*(H132+I132-4*$N$5)+2*MAX($F$5*AD132,75)</f>
        <v>1330</v>
      </c>
      <c r="AM132">
        <f>+AH132*(H132-2*$N$5+2*MAX($F$5*AI132,75))+AJ132*(I132-2*$N$5+2*MAX($F$5*AK132,75))</f>
        <v>140</v>
      </c>
      <c r="AN132">
        <f>(ROUND((1/2*J132+IF(M132&gt;0,(Q132-$N$6*AD132),0))/AE132,0)+(ROUND(1/2*J132/AF132,0)+1))*K132</f>
        <v>47</v>
      </c>
      <c r="AO132">
        <f>H132*I132*J132/1000000000*K132*(1+$T$5)</f>
        <v>0.3825</v>
      </c>
      <c r="AP132">
        <f>0.006165*O132^2*T132*U132/1000*(1+$T$6)</f>
        <v>69.5688192</v>
      </c>
      <c r="AQ132">
        <f>0.006165*W132^2*AB132*AC132/1000*(1+$T$6)</f>
        <v>0</v>
      </c>
      <c r="AR132">
        <f>AN132*0.006165*AD132^2*AL132/1000*(1+$T$6)</f>
        <v>24.6639456</v>
      </c>
      <c r="AS132">
        <f>AN132*0.006165*AI132^2*AM132/1000*(1+$T$6)</f>
        <v>2.5962048000000006</v>
      </c>
      <c r="AT132">
        <f>K132*2*J132*(H132+I132)/1000000*(1+$T$7)</f>
        <v>6.03</v>
      </c>
      <c r="AU132">
        <f>SUM(AP132:AS132)/AO132</f>
        <v>253.14763294117645</v>
      </c>
      <c r="AV132">
        <f>AT132/AO132</f>
        <v>15.764705882352942</v>
      </c>
      <c r="AX132">
        <f>0.006165*O132^2*R132*U132/1000*(1+$T$6)</f>
        <v>69.5688192</v>
      </c>
      <c r="AZ132">
        <f>0.006165*O132^2*S132*U132/1000*(1+$T$6)</f>
        <v>0</v>
      </c>
      <c r="BA132">
        <f>AZ132/AP132</f>
        <v>0</v>
      </c>
    </row>
    <row r="133">
      <c r="A133">
        <f>'Data-Kolom'!A133</f>
        <v>18</v>
      </c>
      <c r="B133" t="str">
        <f>'Data-Kolom'!B133</f>
        <v>Lantai 2</v>
      </c>
      <c r="C133">
        <f>'Data-Kolom'!C133</f>
        <v>0</v>
      </c>
      <c r="D133" t="str">
        <f>'Data-Kolom'!D133</f>
        <v>K175-4</v>
      </c>
      <c r="E133" t="str">
        <v>T</v>
      </c>
      <c r="F133">
        <f>'Data-Kolom'!U133</f>
        <v>0</v>
      </c>
      <c r="G133">
        <f>'Data-Kolom'!T133</f>
        <v>0</v>
      </c>
      <c r="H133">
        <f>'Data-Kolom'!E133</f>
        <v>170</v>
      </c>
      <c r="I133">
        <f>'Data-Kolom'!F133</f>
        <v>500</v>
      </c>
      <c r="J133">
        <f>'Data-Kolom'!G133</f>
        <v>4500</v>
      </c>
      <c r="K133">
        <v>1</v>
      </c>
      <c r="M133">
        <f>IF(L133&gt;0,VLOOKUP(L133,'Data-PC'!$B$14:$F$36,4,FALSE),0)</f>
        <v>0</v>
      </c>
      <c r="N133">
        <f>'Data-Kolom'!H133</f>
        <v>8</v>
      </c>
      <c r="O133">
        <f>'Data-Kolom'!I133</f>
        <v>19</v>
      </c>
      <c r="P133">
        <f>IF(N133&gt;0,VLOOKUP(O133,$V$2:$X$9,2,FALSE),0)</f>
        <v>1190</v>
      </c>
      <c r="Q133">
        <f>IF(L133&gt;0,M133-50+$N$6*O133,VLOOKUP(O133,$V$2:$X$9,3,FALSE))</f>
        <v>910</v>
      </c>
      <c r="R133">
        <f>IF(E133="F",J133-$N$5+$N$6*O133+Q133,IF(E133="D",J133+Q133+P133,IF(E133="T",J133+P133,IF(E133="A",J133-$N$5+$N$6*O133,0))))</f>
        <v>5690</v>
      </c>
      <c r="T133">
        <f>SUM(R133:S133)</f>
        <v>5690</v>
      </c>
      <c r="U133">
        <f>K133*N133</f>
        <v>8</v>
      </c>
      <c r="V133">
        <f>'Data-Kolom'!J133</f>
        <v>2</v>
      </c>
      <c r="W133">
        <f>'Data-Kolom'!K133</f>
        <v>8</v>
      </c>
      <c r="X133">
        <f>IF(V133&gt;0,VLOOKUP(W133,$V$2:$X$9,2,FALSE),0)</f>
        <v>400</v>
      </c>
      <c r="Y133">
        <f>IF(V133&gt;0,IF(L133&gt;0,M133-50+$N$6*W133,VLOOKUP(W133,$V$2:$X$9,3,FALSE)),0)</f>
        <v>310</v>
      </c>
      <c r="Z133">
        <f>IF(E133="F",J133-$N$5+$N$6*W133+Y133,IF(E133="D",J133+Y133+X133,IF(E133="T",J133+X133,IF(E133="A",J133-$N$5+$N$6*W133,0))))</f>
        <v>4900</v>
      </c>
      <c r="AB133">
        <f>SUM(Z133:AA133)</f>
        <v>4900</v>
      </c>
      <c r="AC133">
        <f>V133*K133</f>
        <v>2</v>
      </c>
      <c r="AD133">
        <f>'Data-Kolom'!L133</f>
        <v>10</v>
      </c>
      <c r="AE133">
        <f>'Data-Kolom'!M133</f>
        <v>100</v>
      </c>
      <c r="AF133">
        <f>'Data-Kolom'!N133</f>
        <v>100</v>
      </c>
      <c r="AG133">
        <f>'Data-Kolom'!O133</f>
        <v>100</v>
      </c>
      <c r="AH133">
        <f>'Data-Kolom'!P133</f>
        <v>0.5</v>
      </c>
      <c r="AI133">
        <f>'Data-Kolom'!Q133</f>
        <v>8</v>
      </c>
      <c r="AJ133">
        <f>'Data-Kolom'!R133</f>
        <v>0</v>
      </c>
      <c r="AK133">
        <f>'Data-Kolom'!S133</f>
        <v>0</v>
      </c>
      <c r="AL133">
        <f>2*(H133+I133-4*$N$5)+2*MAX($F$5*AD133,75)</f>
        <v>1330</v>
      </c>
      <c r="AM133">
        <f>+AH133*(H133-2*$N$5+2*MAX($F$5*AI133,75))+AJ133*(I133-2*$N$5+2*MAX($F$5*AK133,75))</f>
        <v>140</v>
      </c>
      <c r="AN133">
        <f>(ROUND((1/2*J133+IF(M133&gt;0,(Q133-$N$6*AD133),0))/AE133,0)+(ROUND(1/2*J133/AF133,0)+1))*K133</f>
        <v>47</v>
      </c>
      <c r="AO133">
        <f>H133*I133*J133/1000000000*K133*(1+$T$5)</f>
        <v>0.3825</v>
      </c>
      <c r="AP133">
        <f>0.006165*O133^2*T133*U133/1000*(1+$T$6)</f>
        <v>101.3077188</v>
      </c>
      <c r="AQ133">
        <f>0.006165*W133^2*AB133*AC133/1000*(1+$T$6)</f>
        <v>3.866688</v>
      </c>
      <c r="AR133">
        <f>AN133*0.006165*AD133^2*AL133/1000*(1+$T$6)</f>
        <v>38.53741500000001</v>
      </c>
      <c r="AS133">
        <f>AN133*0.006165*AI133^2*AM133/1000*(1+$T$6)</f>
        <v>2.5962048000000006</v>
      </c>
      <c r="AT133">
        <f>K133*2*J133*(H133+I133)/1000000*(1+$T$7)</f>
        <v>6.03</v>
      </c>
      <c r="AU133">
        <f>SUM(AP133:AS133)/AO133</f>
        <v>382.50464470588236</v>
      </c>
      <c r="AV133">
        <f>AT133/AO133</f>
        <v>15.764705882352942</v>
      </c>
      <c r="AX133">
        <f>0.006165*O133^2*R133*U133/1000*(1+$T$6)</f>
        <v>101.3077188</v>
      </c>
      <c r="AZ133">
        <f>0.006165*O133^2*S133*U133/1000*(1+$T$6)</f>
        <v>0</v>
      </c>
      <c r="BA133">
        <f>AZ133/AP133</f>
        <v>0</v>
      </c>
    </row>
    <row r="134">
      <c r="A134">
        <f>'Data-Kolom'!A134</f>
        <v>19</v>
      </c>
      <c r="B134" t="str">
        <f>'Data-Kolom'!B134</f>
        <v>Lantai 2</v>
      </c>
      <c r="C134">
        <f>'Data-Kolom'!C134</f>
        <v>0</v>
      </c>
      <c r="D134" t="str">
        <f>'Data-Kolom'!D134</f>
        <v>K178-1</v>
      </c>
      <c r="E134" t="str">
        <v>T</v>
      </c>
      <c r="F134">
        <f>'Data-Kolom'!U134</f>
        <v>0</v>
      </c>
      <c r="G134">
        <f>'Data-Kolom'!T134</f>
        <v>0</v>
      </c>
      <c r="H134">
        <f>'Data-Kolom'!E134</f>
        <v>170</v>
      </c>
      <c r="I134">
        <f>'Data-Kolom'!F134</f>
        <v>800</v>
      </c>
      <c r="J134">
        <f>'Data-Kolom'!G134</f>
        <v>4500</v>
      </c>
      <c r="K134">
        <v>1</v>
      </c>
      <c r="M134">
        <f>IF(L134&gt;0,VLOOKUP(L134,'Data-PC'!$B$14:$F$36,4,FALSE),0)</f>
        <v>0</v>
      </c>
      <c r="N134">
        <f>'Data-Kolom'!H134</f>
        <v>8</v>
      </c>
      <c r="O134">
        <f>'Data-Kolom'!I134</f>
        <v>16</v>
      </c>
      <c r="P134">
        <f>IF(N134&gt;0,VLOOKUP(O134,$V$2:$X$9,2,FALSE),0)</f>
        <v>1010</v>
      </c>
      <c r="Q134">
        <f>IF(L134&gt;0,M134-50+$N$6*O134,VLOOKUP(O134,$V$2:$X$9,3,FALSE))</f>
        <v>770</v>
      </c>
      <c r="R134">
        <f>IF(E134="F",J134-$N$5+$N$6*O134+Q134,IF(E134="D",J134+Q134+P134,IF(E134="T",J134+P134,IF(E134="A",J134-$N$5+$N$6*O134,0))))</f>
        <v>5510</v>
      </c>
      <c r="T134">
        <f>SUM(R134:S134)</f>
        <v>5510</v>
      </c>
      <c r="U134">
        <f>K134*N134</f>
        <v>8</v>
      </c>
      <c r="V134">
        <f>'Data-Kolom'!J134</f>
        <v>0</v>
      </c>
      <c r="W134">
        <f>'Data-Kolom'!K134</f>
        <v>0</v>
      </c>
      <c r="X134">
        <f>IF(V134&gt;0,VLOOKUP(W134,$V$2:$X$9,2,FALSE),0)</f>
        <v>0</v>
      </c>
      <c r="Y134">
        <f>IF(V134&gt;0,IF(L134&gt;0,M134-50+$N$6*W134,VLOOKUP(W134,$V$2:$X$9,3,FALSE)),0)</f>
        <v>0</v>
      </c>
      <c r="Z134">
        <f>IF(E134="F",J134-$N$5+$N$6*W134+Y134,IF(E134="D",J134+Y134+X134,IF(E134="T",J134+X134,IF(E134="A",J134-$N$5+$N$6*W134,0))))</f>
        <v>4500</v>
      </c>
      <c r="AB134">
        <f>SUM(Z134:AA134)</f>
        <v>4500</v>
      </c>
      <c r="AC134">
        <f>V134*K134</f>
        <v>0</v>
      </c>
      <c r="AD134">
        <f>'Data-Kolom'!L134</f>
        <v>8</v>
      </c>
      <c r="AE134">
        <f>'Data-Kolom'!M134</f>
        <v>100</v>
      </c>
      <c r="AF134">
        <f>'Data-Kolom'!N134</f>
        <v>100</v>
      </c>
      <c r="AG134">
        <f>'Data-Kolom'!O134</f>
        <v>100</v>
      </c>
      <c r="AH134">
        <f>'Data-Kolom'!P134</f>
        <v>1</v>
      </c>
      <c r="AI134">
        <f>'Data-Kolom'!Q134</f>
        <v>8</v>
      </c>
      <c r="AJ134">
        <f>'Data-Kolom'!R134</f>
        <v>0</v>
      </c>
      <c r="AK134">
        <f>'Data-Kolom'!S134</f>
        <v>0</v>
      </c>
      <c r="AL134">
        <f>2*(H134+I134-4*$N$5)+2*MAX($F$5*AD134,75)</f>
        <v>1930</v>
      </c>
      <c r="AM134">
        <f>+AH134*(H134-2*$N$5+2*MAX($F$5*AI134,75))+AJ134*(I134-2*$N$5+2*MAX($F$5*AK134,75))</f>
        <v>280</v>
      </c>
      <c r="AN134">
        <f>(ROUND((1/2*J134+IF(M134&gt;0,(Q134-$N$6*AD134),0))/AE134,0)+(ROUND(1/2*J134/AF134,0)+1))*K134</f>
        <v>47</v>
      </c>
      <c r="AO134">
        <f>H134*I134*J134/1000000000*K134*(1+$T$5)</f>
        <v>0.612</v>
      </c>
      <c r="AP134">
        <f>0.006165*O134^2*T134*U134/1000*(1+$T$6)</f>
        <v>69.5688192</v>
      </c>
      <c r="AQ134">
        <f>0.006165*W134^2*AB134*AC134/1000*(1+$T$6)</f>
        <v>0</v>
      </c>
      <c r="AR134">
        <f>AN134*0.006165*AD134^2*AL134/1000*(1+$T$6)</f>
        <v>35.7905376</v>
      </c>
      <c r="AS134">
        <f>AN134*0.006165*AI134^2*AM134/1000*(1+$T$6)</f>
        <v>5.192409600000001</v>
      </c>
      <c r="AT134">
        <f>K134*2*J134*(H134+I134)/1000000*(1+$T$7)</f>
        <v>8.73</v>
      </c>
      <c r="AU134">
        <f>SUM(AP134:AS134)/AO134</f>
        <v>180.6401411764706</v>
      </c>
      <c r="AV134">
        <f>AT134/AO134</f>
        <v>14.264705882352942</v>
      </c>
      <c r="AX134">
        <f>0.006165*O134^2*R134*U134/1000*(1+$T$6)</f>
        <v>69.5688192</v>
      </c>
      <c r="AZ134">
        <f>0.006165*O134^2*S134*U134/1000*(1+$T$6)</f>
        <v>0</v>
      </c>
      <c r="BA134">
        <f>AZ134/AP134</f>
        <v>0</v>
      </c>
    </row>
    <row r="135">
      <c r="A135">
        <f>'Data-Kolom'!A135</f>
        <v>20</v>
      </c>
      <c r="B135" t="str">
        <f>'Data-Kolom'!B135</f>
        <v>Lantai 2</v>
      </c>
      <c r="C135">
        <f>'Data-Kolom'!C135</f>
        <v>0</v>
      </c>
      <c r="D135" t="str">
        <f>'Data-Kolom'!D135</f>
        <v>K174-1</v>
      </c>
      <c r="E135" t="str">
        <v>T</v>
      </c>
      <c r="F135">
        <f>'Data-Kolom'!U135</f>
        <v>0</v>
      </c>
      <c r="G135">
        <f>'Data-Kolom'!T135</f>
        <v>0</v>
      </c>
      <c r="H135">
        <f>'Data-Kolom'!E135</f>
        <v>170</v>
      </c>
      <c r="I135">
        <f>'Data-Kolom'!F135</f>
        <v>400</v>
      </c>
      <c r="J135">
        <f>'Data-Kolom'!G135</f>
        <v>4500</v>
      </c>
      <c r="K135">
        <v>1</v>
      </c>
      <c r="M135">
        <f>IF(L135&gt;0,VLOOKUP(L135,'Data-PC'!$B$14:$F$36,4,FALSE),0)</f>
        <v>0</v>
      </c>
      <c r="N135">
        <f>'Data-Kolom'!H135</f>
        <v>8</v>
      </c>
      <c r="O135">
        <f>'Data-Kolom'!I135</f>
        <v>13</v>
      </c>
      <c r="P135">
        <f>IF(N135&gt;0,VLOOKUP(O135,$V$2:$X$9,2,FALSE),0)</f>
        <v>820</v>
      </c>
      <c r="Q135">
        <f>IF(L135&gt;0,M135-50+$N$6*O135,VLOOKUP(O135,$V$2:$X$9,3,FALSE))</f>
        <v>630</v>
      </c>
      <c r="R135">
        <f>IF(E135="F",J135-$N$5+$N$6*O135+Q135,IF(E135="D",J135+Q135+P135,IF(E135="T",J135+P135,IF(E135="A",J135-$N$5+$N$6*O135,0))))</f>
        <v>5320</v>
      </c>
      <c r="T135">
        <f>SUM(R135:S135)</f>
        <v>5320</v>
      </c>
      <c r="U135">
        <f>K135*N135</f>
        <v>8</v>
      </c>
      <c r="V135">
        <f>'Data-Kolom'!J135</f>
        <v>0</v>
      </c>
      <c r="W135">
        <f>'Data-Kolom'!K135</f>
        <v>0</v>
      </c>
      <c r="X135">
        <f>IF(V135&gt;0,VLOOKUP(W135,$V$2:$X$9,2,FALSE),0)</f>
        <v>0</v>
      </c>
      <c r="Y135">
        <f>IF(V135&gt;0,IF(L135&gt;0,M135-50+$N$6*W135,VLOOKUP(W135,$V$2:$X$9,3,FALSE)),0)</f>
        <v>0</v>
      </c>
      <c r="Z135">
        <f>IF(E135="F",J135-$N$5+$N$6*W135+Y135,IF(E135="D",J135+Y135+X135,IF(E135="T",J135+X135,IF(E135="A",J135-$N$5+$N$6*W135,0))))</f>
        <v>4500</v>
      </c>
      <c r="AB135">
        <f>SUM(Z135:AA135)</f>
        <v>4500</v>
      </c>
      <c r="AC135">
        <f>V135*K135</f>
        <v>0</v>
      </c>
      <c r="AD135">
        <f>'Data-Kolom'!L135</f>
        <v>8</v>
      </c>
      <c r="AE135">
        <f>'Data-Kolom'!M135</f>
        <v>100</v>
      </c>
      <c r="AF135">
        <f>'Data-Kolom'!N135</f>
        <v>100</v>
      </c>
      <c r="AG135">
        <f>'Data-Kolom'!O135</f>
        <v>100</v>
      </c>
      <c r="AH135">
        <f>'Data-Kolom'!P135</f>
        <v>0</v>
      </c>
      <c r="AI135">
        <f>'Data-Kolom'!Q135</f>
        <v>0</v>
      </c>
      <c r="AJ135">
        <f>'Data-Kolom'!R135</f>
        <v>0</v>
      </c>
      <c r="AK135">
        <f>'Data-Kolom'!S135</f>
        <v>0</v>
      </c>
      <c r="AL135">
        <f>2*(H135+I135-4*$N$5)+2*MAX($F$5*AD135,75)</f>
        <v>1130</v>
      </c>
      <c r="AM135">
        <f>+AH135*(H135-2*$N$5+2*MAX($F$5*AI135,75))+AJ135*(I135-2*$N$5+2*MAX($F$5*AK135,75))</f>
        <v>0</v>
      </c>
      <c r="AN135">
        <f>(ROUND((1/2*J135+IF(M135&gt;0,(Q135-$N$6*AD135),0))/AE135,0)+(ROUND(1/2*J135/AF135,0)+1))*K135</f>
        <v>47</v>
      </c>
      <c r="AO135">
        <f>H135*I135*J135/1000000000*K135*(1+$T$5)</f>
        <v>0.306</v>
      </c>
      <c r="AP135">
        <f>0.006165*O135^2*T135*U135/1000*(1+$T$6)</f>
        <v>44.3426256</v>
      </c>
      <c r="AQ135">
        <f>0.006165*W135^2*AB135*AC135/1000*(1+$T$6)</f>
        <v>0</v>
      </c>
      <c r="AR135">
        <f>AN135*0.006165*AD135^2*AL135/1000*(1+$T$6)</f>
        <v>20.9550816</v>
      </c>
      <c r="AS135">
        <f>AN135*0.006165*AI135^2*AM135/1000*(1+$T$6)</f>
        <v>0</v>
      </c>
      <c r="AT135">
        <f>K135*2*J135*(H135+I135)/1000000*(1+$T$7)</f>
        <v>5.13</v>
      </c>
      <c r="AU135">
        <f>SUM(AP135:AS135)/AO135</f>
        <v>213.39119999999997</v>
      </c>
      <c r="AV135">
        <f>AT135/AO135</f>
        <v>16.764705882352942</v>
      </c>
      <c r="AX135">
        <f>0.006165*O135^2*R135*U135/1000*(1+$T$6)</f>
        <v>44.3426256</v>
      </c>
      <c r="AZ135">
        <f>0.006165*O135^2*S135*U135/1000*(1+$T$6)</f>
        <v>0</v>
      </c>
      <c r="BA135">
        <f>AZ135/AP135</f>
        <v>0</v>
      </c>
    </row>
    <row r="136">
      <c r="A136">
        <f>'Data-Kolom'!A136</f>
        <v>21</v>
      </c>
      <c r="B136" t="str">
        <f>'Data-Kolom'!B136</f>
        <v>Lantai 2</v>
      </c>
      <c r="C136">
        <f>'Data-Kolom'!C136</f>
        <v>0</v>
      </c>
      <c r="D136" t="str">
        <f>'Data-Kolom'!D136</f>
        <v>K178-1</v>
      </c>
      <c r="E136" t="str">
        <v>T</v>
      </c>
      <c r="F136">
        <f>'Data-Kolom'!U136</f>
        <v>0</v>
      </c>
      <c r="G136">
        <f>'Data-Kolom'!T136</f>
        <v>0</v>
      </c>
      <c r="H136">
        <f>'Data-Kolom'!E136</f>
        <v>170</v>
      </c>
      <c r="I136">
        <f>'Data-Kolom'!F136</f>
        <v>800</v>
      </c>
      <c r="J136">
        <f>'Data-Kolom'!G136</f>
        <v>4500</v>
      </c>
      <c r="K136">
        <v>1</v>
      </c>
      <c r="M136">
        <f>IF(L136&gt;0,VLOOKUP(L136,'Data-PC'!$B$14:$F$36,4,FALSE),0)</f>
        <v>0</v>
      </c>
      <c r="N136">
        <f>'Data-Kolom'!H136</f>
        <v>8</v>
      </c>
      <c r="O136">
        <f>'Data-Kolom'!I136</f>
        <v>16</v>
      </c>
      <c r="P136">
        <f>IF(N136&gt;0,VLOOKUP(O136,$V$2:$X$9,2,FALSE),0)</f>
        <v>1010</v>
      </c>
      <c r="Q136">
        <f>IF(L136&gt;0,M136-50+$N$6*O136,VLOOKUP(O136,$V$2:$X$9,3,FALSE))</f>
        <v>770</v>
      </c>
      <c r="R136">
        <f>IF(E136="F",J136-$N$5+$N$6*O136+Q136,IF(E136="D",J136+Q136+P136,IF(E136="T",J136+P136,IF(E136="A",J136-$N$5+$N$6*O136,0))))</f>
        <v>5510</v>
      </c>
      <c r="T136">
        <f>SUM(R136:S136)</f>
        <v>5510</v>
      </c>
      <c r="U136">
        <f>K136*N136</f>
        <v>8</v>
      </c>
      <c r="V136">
        <f>'Data-Kolom'!J136</f>
        <v>0</v>
      </c>
      <c r="W136">
        <f>'Data-Kolom'!K136</f>
        <v>0</v>
      </c>
      <c r="X136">
        <f>IF(V136&gt;0,VLOOKUP(W136,$V$2:$X$9,2,FALSE),0)</f>
        <v>0</v>
      </c>
      <c r="Y136">
        <f>IF(V136&gt;0,IF(L136&gt;0,M136-50+$N$6*W136,VLOOKUP(W136,$V$2:$X$9,3,FALSE)),0)</f>
        <v>0</v>
      </c>
      <c r="Z136">
        <f>IF(E136="F",J136-$N$5+$N$6*W136+Y136,IF(E136="D",J136+Y136+X136,IF(E136="T",J136+X136,IF(E136="A",J136-$N$5+$N$6*W136,0))))</f>
        <v>4500</v>
      </c>
      <c r="AB136">
        <f>SUM(Z136:AA136)</f>
        <v>4500</v>
      </c>
      <c r="AC136">
        <f>V136*K136</f>
        <v>0</v>
      </c>
      <c r="AD136">
        <f>'Data-Kolom'!L136</f>
        <v>8</v>
      </c>
      <c r="AE136">
        <f>'Data-Kolom'!M136</f>
        <v>100</v>
      </c>
      <c r="AF136">
        <f>'Data-Kolom'!N136</f>
        <v>100</v>
      </c>
      <c r="AG136">
        <f>'Data-Kolom'!O136</f>
        <v>100</v>
      </c>
      <c r="AH136">
        <f>'Data-Kolom'!P136</f>
        <v>1</v>
      </c>
      <c r="AI136">
        <f>'Data-Kolom'!Q136</f>
        <v>8</v>
      </c>
      <c r="AJ136">
        <f>'Data-Kolom'!R136</f>
        <v>0</v>
      </c>
      <c r="AK136">
        <f>'Data-Kolom'!S136</f>
        <v>0</v>
      </c>
      <c r="AL136">
        <f>2*(H136+I136-4*$N$5)+2*MAX($F$5*AD136,75)</f>
        <v>1930</v>
      </c>
      <c r="AM136">
        <f>+AH136*(H136-2*$N$5+2*MAX($F$5*AI136,75))+AJ136*(I136-2*$N$5+2*MAX($F$5*AK136,75))</f>
        <v>280</v>
      </c>
      <c r="AN136">
        <f>(ROUND((1/2*J136+IF(M136&gt;0,(Q136-$N$6*AD136),0))/AE136,0)+(ROUND(1/2*J136/AF136,0)+1))*K136</f>
        <v>47</v>
      </c>
      <c r="AO136">
        <f>H136*I136*J136/1000000000*K136*(1+$T$5)</f>
        <v>0.612</v>
      </c>
      <c r="AP136">
        <f>0.006165*O136^2*T136*U136/1000*(1+$T$6)</f>
        <v>69.5688192</v>
      </c>
      <c r="AQ136">
        <f>0.006165*W136^2*AB136*AC136/1000*(1+$T$6)</f>
        <v>0</v>
      </c>
      <c r="AR136">
        <f>AN136*0.006165*AD136^2*AL136/1000*(1+$T$6)</f>
        <v>35.7905376</v>
      </c>
      <c r="AS136">
        <f>AN136*0.006165*AI136^2*AM136/1000*(1+$T$6)</f>
        <v>5.192409600000001</v>
      </c>
      <c r="AT136">
        <f>K136*2*J136*(H136+I136)/1000000*(1+$T$7)</f>
        <v>8.73</v>
      </c>
      <c r="AU136">
        <f>SUM(AP136:AS136)/AO136</f>
        <v>180.6401411764706</v>
      </c>
      <c r="AV136">
        <f>AT136/AO136</f>
        <v>14.264705882352942</v>
      </c>
      <c r="AX136">
        <f>0.006165*O136^2*R136*U136/1000*(1+$T$6)</f>
        <v>69.5688192</v>
      </c>
      <c r="AZ136">
        <f>0.006165*O136^2*S136*U136/1000*(1+$T$6)</f>
        <v>0</v>
      </c>
      <c r="BA136">
        <f>AZ136/AP136</f>
        <v>0</v>
      </c>
    </row>
    <row r="137">
      <c r="A137">
        <f>'Data-Kolom'!A137</f>
        <v>22</v>
      </c>
      <c r="B137" t="str">
        <f>'Data-Kolom'!B137</f>
        <v>Lantai 2</v>
      </c>
      <c r="C137">
        <f>'Data-Kolom'!C137</f>
        <v>0</v>
      </c>
      <c r="D137" t="str">
        <f>'Data-Kolom'!D137</f>
        <v>K175-1</v>
      </c>
      <c r="E137" t="str">
        <v>T</v>
      </c>
      <c r="F137">
        <f>'Data-Kolom'!U137</f>
        <v>0</v>
      </c>
      <c r="G137">
        <f>'Data-Kolom'!T137</f>
        <v>0</v>
      </c>
      <c r="H137">
        <f>'Data-Kolom'!E137</f>
        <v>170</v>
      </c>
      <c r="I137">
        <f>'Data-Kolom'!F137</f>
        <v>500</v>
      </c>
      <c r="J137">
        <f>'Data-Kolom'!G137</f>
        <v>4500</v>
      </c>
      <c r="K137">
        <v>1</v>
      </c>
      <c r="M137">
        <f>IF(L137&gt;0,VLOOKUP(L137,'Data-PC'!$B$14:$F$36,4,FALSE),0)</f>
        <v>0</v>
      </c>
      <c r="N137">
        <f>'Data-Kolom'!H137</f>
        <v>6</v>
      </c>
      <c r="O137">
        <f>'Data-Kolom'!I137</f>
        <v>16</v>
      </c>
      <c r="P137">
        <f>IF(N137&gt;0,VLOOKUP(O137,$V$2:$X$9,2,FALSE),0)</f>
        <v>1010</v>
      </c>
      <c r="Q137">
        <f>IF(L137&gt;0,M137-50+$N$6*O137,VLOOKUP(O137,$V$2:$X$9,3,FALSE))</f>
        <v>770</v>
      </c>
      <c r="R137">
        <f>IF(E137="F",J137-$N$5+$N$6*O137+Q137,IF(E137="D",J137+Q137+P137,IF(E137="T",J137+P137,IF(E137="A",J137-$N$5+$N$6*O137,0))))</f>
        <v>5510</v>
      </c>
      <c r="T137">
        <f>SUM(R137:S137)</f>
        <v>5510</v>
      </c>
      <c r="U137">
        <f>K137*N137</f>
        <v>6</v>
      </c>
      <c r="V137">
        <f>'Data-Kolom'!J137</f>
        <v>0</v>
      </c>
      <c r="W137">
        <f>'Data-Kolom'!K137</f>
        <v>0</v>
      </c>
      <c r="X137">
        <f>IF(V137&gt;0,VLOOKUP(W137,$V$2:$X$9,2,FALSE),0)</f>
        <v>0</v>
      </c>
      <c r="Y137">
        <f>IF(V137&gt;0,IF(L137&gt;0,M137-50+$N$6*W137,VLOOKUP(W137,$V$2:$X$9,3,FALSE)),0)</f>
        <v>0</v>
      </c>
      <c r="Z137">
        <f>IF(E137="F",J137-$N$5+$N$6*W137+Y137,IF(E137="D",J137+Y137+X137,IF(E137="T",J137+X137,IF(E137="A",J137-$N$5+$N$6*W137,0))))</f>
        <v>4500</v>
      </c>
      <c r="AB137">
        <f>SUM(Z137:AA137)</f>
        <v>4500</v>
      </c>
      <c r="AC137">
        <f>V137*K137</f>
        <v>0</v>
      </c>
      <c r="AD137">
        <f>'Data-Kolom'!L137</f>
        <v>8</v>
      </c>
      <c r="AE137">
        <f>'Data-Kolom'!M137</f>
        <v>100</v>
      </c>
      <c r="AF137">
        <f>'Data-Kolom'!N137</f>
        <v>100</v>
      </c>
      <c r="AG137">
        <f>'Data-Kolom'!O137</f>
        <v>100</v>
      </c>
      <c r="AH137">
        <f>'Data-Kolom'!P137</f>
        <v>0.5</v>
      </c>
      <c r="AI137">
        <f>'Data-Kolom'!Q137</f>
        <v>8</v>
      </c>
      <c r="AJ137">
        <f>'Data-Kolom'!R137</f>
        <v>0</v>
      </c>
      <c r="AK137">
        <f>'Data-Kolom'!S137</f>
        <v>0</v>
      </c>
      <c r="AL137">
        <f>2*(H137+I137-4*$N$5)+2*MAX($F$5*AD137,75)</f>
        <v>1330</v>
      </c>
      <c r="AM137">
        <f>+AH137*(H137-2*$N$5+2*MAX($F$5*AI137,75))+AJ137*(I137-2*$N$5+2*MAX($F$5*AK137,75))</f>
        <v>140</v>
      </c>
      <c r="AN137">
        <f>(ROUND((1/2*J137+IF(M137&gt;0,(Q137-$N$6*AD137),0))/AE137,0)+(ROUND(1/2*J137/AF137,0)+1))*K137</f>
        <v>47</v>
      </c>
      <c r="AO137">
        <f>H137*I137*J137/1000000000*K137*(1+$T$5)</f>
        <v>0.3825</v>
      </c>
      <c r="AP137">
        <f>0.006165*O137^2*T137*U137/1000*(1+$T$6)</f>
        <v>52.1766144</v>
      </c>
      <c r="AQ137">
        <f>0.006165*W137^2*AB137*AC137/1000*(1+$T$6)</f>
        <v>0</v>
      </c>
      <c r="AR137">
        <f>AN137*0.006165*AD137^2*AL137/1000*(1+$T$6)</f>
        <v>24.6639456</v>
      </c>
      <c r="AS137">
        <f>AN137*0.006165*AI137^2*AM137/1000*(1+$T$6)</f>
        <v>2.5962048000000006</v>
      </c>
      <c r="AT137">
        <f>K137*2*J137*(H137+I137)/1000000*(1+$T$7)</f>
        <v>6.03</v>
      </c>
      <c r="AU137">
        <f>SUM(AP137:AS137)/AO137</f>
        <v>207.6778164705882</v>
      </c>
      <c r="AV137">
        <f>AT137/AO137</f>
        <v>15.764705882352942</v>
      </c>
      <c r="AX137">
        <f>0.006165*O137^2*R137*U137/1000*(1+$T$6)</f>
        <v>52.1766144</v>
      </c>
      <c r="AZ137">
        <f>0.006165*O137^2*S137*U137/1000*(1+$T$6)</f>
        <v>0</v>
      </c>
      <c r="BA137">
        <f>AZ137/AP137</f>
        <v>0</v>
      </c>
    </row>
    <row r="138">
      <c r="A138">
        <f>'Data-Kolom'!A138</f>
        <v>101</v>
      </c>
      <c r="B138" t="str">
        <f>'Data-Kolom'!B138</f>
        <v>Lantai 2</v>
      </c>
      <c r="C138">
        <f>'Data-Kolom'!C138</f>
        <v>0</v>
      </c>
      <c r="D138" t="str">
        <f>'Data-Kolom'!D138</f>
        <v>K176-1</v>
      </c>
      <c r="E138" t="str">
        <v>T</v>
      </c>
      <c r="F138">
        <f>'Data-Kolom'!U138</f>
        <v>0</v>
      </c>
      <c r="G138">
        <f>'Data-Kolom'!T138</f>
        <v>0</v>
      </c>
      <c r="H138">
        <f>'Data-Kolom'!E138</f>
        <v>170</v>
      </c>
      <c r="I138">
        <f>'Data-Kolom'!F138</f>
        <v>600</v>
      </c>
      <c r="J138">
        <f>'Data-Kolom'!G138</f>
        <v>4500</v>
      </c>
      <c r="K138">
        <v>1</v>
      </c>
      <c r="M138">
        <f>IF(L138&gt;0,VLOOKUP(L138,'Data-PC'!$B$14:$F$36,4,FALSE),0)</f>
        <v>0</v>
      </c>
      <c r="N138">
        <f>'Data-Kolom'!H138</f>
        <v>10</v>
      </c>
      <c r="O138">
        <f>'Data-Kolom'!I138</f>
        <v>16</v>
      </c>
      <c r="P138">
        <f>IF(N138&gt;0,VLOOKUP(O138,$V$2:$X$9,2,FALSE),0)</f>
        <v>1010</v>
      </c>
      <c r="Q138">
        <f>IF(L138&gt;0,M138-50+$N$6*O138,VLOOKUP(O138,$V$2:$X$9,3,FALSE))</f>
        <v>770</v>
      </c>
      <c r="R138">
        <f>IF(E138="F",J138-$N$5+$N$6*O138+Q138,IF(E138="D",J138+Q138+P138,IF(E138="T",J138+P138,IF(E138="A",J138-$N$5+$N$6*O138,0))))</f>
        <v>5510</v>
      </c>
      <c r="T138">
        <f>SUM(R138:S138)</f>
        <v>5510</v>
      </c>
      <c r="U138">
        <f>K138*N138</f>
        <v>10</v>
      </c>
      <c r="V138">
        <f>'Data-Kolom'!J138</f>
        <v>0</v>
      </c>
      <c r="W138">
        <f>'Data-Kolom'!K138</f>
        <v>0</v>
      </c>
      <c r="X138">
        <f>IF(V138&gt;0,VLOOKUP(W138,$V$2:$X$9,2,FALSE),0)</f>
        <v>0</v>
      </c>
      <c r="Y138">
        <f>IF(V138&gt;0,IF(L138&gt;0,M138-50+$N$6*W138,VLOOKUP(W138,$V$2:$X$9,3,FALSE)),0)</f>
        <v>0</v>
      </c>
      <c r="Z138">
        <f>IF(E138="F",J138-$N$5+$N$6*W138+Y138,IF(E138="D",J138+Y138+X138,IF(E138="T",J138+X138,IF(E138="A",J138-$N$5+$N$6*W138,0))))</f>
        <v>4500</v>
      </c>
      <c r="AB138">
        <f>SUM(Z138:AA138)</f>
        <v>4500</v>
      </c>
      <c r="AC138">
        <f>V138*K138</f>
        <v>0</v>
      </c>
      <c r="AD138">
        <f>'Data-Kolom'!L138</f>
        <v>8</v>
      </c>
      <c r="AE138">
        <f>'Data-Kolom'!M138</f>
        <v>100</v>
      </c>
      <c r="AF138">
        <f>'Data-Kolom'!N138</f>
        <v>100</v>
      </c>
      <c r="AG138">
        <f>'Data-Kolom'!O138</f>
        <v>100</v>
      </c>
      <c r="AH138">
        <f>'Data-Kolom'!P138</f>
        <v>0.5</v>
      </c>
      <c r="AI138">
        <f>'Data-Kolom'!Q138</f>
        <v>8</v>
      </c>
      <c r="AJ138">
        <f>'Data-Kolom'!R138</f>
        <v>0</v>
      </c>
      <c r="AK138">
        <f>'Data-Kolom'!S138</f>
        <v>0</v>
      </c>
      <c r="AL138">
        <f>2*(H138+I138-4*$N$5)+2*MAX($F$5*AD138,75)</f>
        <v>1530</v>
      </c>
      <c r="AM138">
        <f>+AH138*(H138-2*$N$5+2*MAX($F$5*AI138,75))+AJ138*(I138-2*$N$5+2*MAX($F$5*AK138,75))</f>
        <v>140</v>
      </c>
      <c r="AN138">
        <f>(ROUND((1/2*J138+IF(M138&gt;0,(Q138-$N$6*AD138),0))/AE138,0)+(ROUND(1/2*J138/AF138,0)+1))*K138</f>
        <v>47</v>
      </c>
      <c r="AO138">
        <f>H138*I138*J138/1000000000*K138*(1+$T$5)</f>
        <v>0.459</v>
      </c>
      <c r="AP138">
        <f>0.006165*O138^2*T138*U138/1000*(1+$T$6)</f>
        <v>86.96102400000001</v>
      </c>
      <c r="AQ138">
        <f>0.006165*W138^2*AB138*AC138/1000*(1+$T$6)</f>
        <v>0</v>
      </c>
      <c r="AR138">
        <f>AN138*0.006165*AD138^2*AL138/1000*(1+$T$6)</f>
        <v>28.372809600000004</v>
      </c>
      <c r="AS138">
        <f>AN138*0.006165*AI138^2*AM138/1000*(1+$T$6)</f>
        <v>2.5962048000000006</v>
      </c>
      <c r="AT138">
        <f>K138*2*J138*(H138+I138)/1000000*(1+$T$7)</f>
        <v>6.93</v>
      </c>
      <c r="AU138">
        <f>SUM(AP138:AS138)/AO138</f>
        <v>256.92818823529416</v>
      </c>
      <c r="AV138">
        <f>AT138/AO138</f>
        <v>15.098039215686272</v>
      </c>
      <c r="AX138">
        <f>0.006165*O138^2*R138*U138/1000*(1+$T$6)</f>
        <v>86.96102400000001</v>
      </c>
      <c r="AZ138">
        <f>0.006165*O138^2*S138*U138/1000*(1+$T$6)</f>
        <v>0</v>
      </c>
      <c r="BA138">
        <f>AZ138/AP138</f>
        <v>0</v>
      </c>
    </row>
    <row r="139">
      <c r="A139">
        <f>'Data-Kolom'!A139</f>
        <v>102</v>
      </c>
      <c r="B139" t="str">
        <f>'Data-Kolom'!B139</f>
        <v>Lantai 2</v>
      </c>
      <c r="C139">
        <f>'Data-Kolom'!C139</f>
        <v>0</v>
      </c>
      <c r="D139" t="str">
        <f>'Data-Kolom'!D139</f>
        <v>K175-1</v>
      </c>
      <c r="E139" t="str">
        <v>A</v>
      </c>
      <c r="F139">
        <f>'Data-Kolom'!U139</f>
        <v>0</v>
      </c>
      <c r="G139">
        <f>'Data-Kolom'!T139</f>
        <v>0</v>
      </c>
      <c r="H139">
        <f>'Data-Kolom'!E139</f>
        <v>170</v>
      </c>
      <c r="I139">
        <f>'Data-Kolom'!F139</f>
        <v>500</v>
      </c>
      <c r="J139">
        <f>'Data-Kolom'!G139</f>
        <v>4500</v>
      </c>
      <c r="K139">
        <v>1</v>
      </c>
      <c r="M139">
        <f>IF(L139&gt;0,VLOOKUP(L139,'Data-PC'!$B$14:$F$36,4,FALSE),0)</f>
        <v>0</v>
      </c>
      <c r="N139">
        <f>'Data-Kolom'!H139</f>
        <v>6</v>
      </c>
      <c r="O139">
        <f>'Data-Kolom'!I139</f>
        <v>16</v>
      </c>
      <c r="P139">
        <f>IF(N139&gt;0,VLOOKUP(O139,$V$2:$X$9,2,FALSE),0)</f>
        <v>1010</v>
      </c>
      <c r="Q139">
        <f>IF(L139&gt;0,M139-50+$N$6*O139,VLOOKUP(O139,$V$2:$X$9,3,FALSE))</f>
        <v>770</v>
      </c>
      <c r="R139">
        <f>IF(E139="F",J139-$N$5+$N$6*O139+Q139,IF(E139="D",J139+Q139+P139,IF(E139="T",J139+P139,IF(E139="A",J139-$N$5+$N$6*O139,0))))</f>
        <v>4672</v>
      </c>
      <c r="T139">
        <f>SUM(R139:S139)</f>
        <v>4672</v>
      </c>
      <c r="U139">
        <f>K139*N139</f>
        <v>6</v>
      </c>
      <c r="V139">
        <f>'Data-Kolom'!J139</f>
        <v>0</v>
      </c>
      <c r="W139">
        <f>'Data-Kolom'!K139</f>
        <v>0</v>
      </c>
      <c r="X139">
        <f>IF(V139&gt;0,VLOOKUP(W139,$V$2:$X$9,2,FALSE),0)</f>
        <v>0</v>
      </c>
      <c r="Y139">
        <f>IF(V139&gt;0,IF(L139&gt;0,M139-50+$N$6*W139,VLOOKUP(W139,$V$2:$X$9,3,FALSE)),0)</f>
        <v>0</v>
      </c>
      <c r="Z139">
        <f>IF(E139="F",J139-$N$5+$N$6*W139+Y139,IF(E139="D",J139+Y139+X139,IF(E139="T",J139+X139,IF(E139="A",J139-$N$5+$N$6*W139,0))))</f>
        <v>4480</v>
      </c>
      <c r="AB139">
        <f>SUM(Z139:AA139)</f>
        <v>4480</v>
      </c>
      <c r="AC139">
        <f>V139*K139</f>
        <v>0</v>
      </c>
      <c r="AD139">
        <f>'Data-Kolom'!L139</f>
        <v>8</v>
      </c>
      <c r="AE139">
        <f>'Data-Kolom'!M139</f>
        <v>100</v>
      </c>
      <c r="AF139">
        <f>'Data-Kolom'!N139</f>
        <v>100</v>
      </c>
      <c r="AG139">
        <f>'Data-Kolom'!O139</f>
        <v>100</v>
      </c>
      <c r="AH139">
        <f>'Data-Kolom'!P139</f>
        <v>0.5</v>
      </c>
      <c r="AI139">
        <f>'Data-Kolom'!Q139</f>
        <v>8</v>
      </c>
      <c r="AJ139">
        <f>'Data-Kolom'!R139</f>
        <v>0</v>
      </c>
      <c r="AK139">
        <f>'Data-Kolom'!S139</f>
        <v>0</v>
      </c>
      <c r="AL139">
        <f>2*(H139+I139-4*$N$5)+2*MAX($F$5*AD139,75)</f>
        <v>1330</v>
      </c>
      <c r="AM139">
        <f>+AH139*(H139-2*$N$5+2*MAX($F$5*AI139,75))+AJ139*(I139-2*$N$5+2*MAX($F$5*AK139,75))</f>
        <v>140</v>
      </c>
      <c r="AN139">
        <f>(ROUND((1/2*J139+IF(M139&gt;0,(Q139-$N$6*AD139),0))/AE139,0)+(ROUND(1/2*J139/AF139,0)+1))*K139</f>
        <v>47</v>
      </c>
      <c r="AO139">
        <f>H139*I139*J139/1000000000*K139*(1+$T$5)</f>
        <v>0.3825</v>
      </c>
      <c r="AP139">
        <f>0.006165*O139^2*T139*U139/1000*(1+$T$6)</f>
        <v>44.241223680000004</v>
      </c>
      <c r="AQ139">
        <f>0.006165*W139^2*AB139*AC139/1000*(1+$T$6)</f>
        <v>0</v>
      </c>
      <c r="AR139">
        <f>AN139*0.006165*AD139^2*AL139/1000*(1+$T$6)</f>
        <v>24.6639456</v>
      </c>
      <c r="AS139">
        <f>AN139*0.006165*AI139^2*AM139/1000*(1+$T$6)</f>
        <v>2.5962048000000006</v>
      </c>
      <c r="AT139">
        <f>K139*2*J139*(H139+I139)/1000000*(1+$T$7)</f>
        <v>6.03</v>
      </c>
      <c r="AU139">
        <f>SUM(AP139:AS139)/AO139</f>
        <v>186.93169694117648</v>
      </c>
      <c r="AV139">
        <f>AT139/AO139</f>
        <v>15.764705882352942</v>
      </c>
      <c r="AX139">
        <f>0.006165*O139^2*R139*U139/1000*(1+$T$6)</f>
        <v>44.241223680000004</v>
      </c>
      <c r="AZ139">
        <f>0.006165*O139^2*S139*U139/1000*(1+$T$6)</f>
        <v>0</v>
      </c>
      <c r="BA139">
        <f>AZ139/AP139</f>
        <v>0</v>
      </c>
    </row>
    <row r="140">
      <c r="A140">
        <f>'Data-Kolom'!A140</f>
        <v>103</v>
      </c>
      <c r="B140" t="str">
        <f>'Data-Kolom'!B140</f>
        <v>Lantai 2</v>
      </c>
      <c r="C140">
        <f>'Data-Kolom'!C140</f>
        <v>0</v>
      </c>
      <c r="D140" t="str">
        <f>'Data-Kolom'!D140</f>
        <v>K174-1</v>
      </c>
      <c r="E140" t="str">
        <v>A</v>
      </c>
      <c r="F140">
        <f>'Data-Kolom'!U140</f>
        <v>0</v>
      </c>
      <c r="G140">
        <f>'Data-Kolom'!T140</f>
        <v>0</v>
      </c>
      <c r="H140">
        <f>'Data-Kolom'!E140</f>
        <v>170</v>
      </c>
      <c r="I140">
        <f>'Data-Kolom'!F140</f>
        <v>400</v>
      </c>
      <c r="J140">
        <f>'Data-Kolom'!G140</f>
        <v>4500</v>
      </c>
      <c r="K140">
        <v>1</v>
      </c>
      <c r="M140">
        <f>IF(L140&gt;0,VLOOKUP(L140,'Data-PC'!$B$14:$F$36,4,FALSE),0)</f>
        <v>0</v>
      </c>
      <c r="N140">
        <f>'Data-Kolom'!H140</f>
        <v>8</v>
      </c>
      <c r="O140">
        <f>'Data-Kolom'!I140</f>
        <v>13</v>
      </c>
      <c r="P140">
        <f>IF(N140&gt;0,VLOOKUP(O140,$V$2:$X$9,2,FALSE),0)</f>
        <v>820</v>
      </c>
      <c r="Q140">
        <f>IF(L140&gt;0,M140-50+$N$6*O140,VLOOKUP(O140,$V$2:$X$9,3,FALSE))</f>
        <v>630</v>
      </c>
      <c r="R140">
        <f>IF(E140="F",J140-$N$5+$N$6*O140+Q140,IF(E140="D",J140+Q140+P140,IF(E140="T",J140+P140,IF(E140="A",J140-$N$5+$N$6*O140,0))))</f>
        <v>4636</v>
      </c>
      <c r="T140">
        <f>SUM(R140:S140)</f>
        <v>4636</v>
      </c>
      <c r="U140">
        <f>K140*N140</f>
        <v>8</v>
      </c>
      <c r="V140">
        <f>'Data-Kolom'!J140</f>
        <v>0</v>
      </c>
      <c r="W140">
        <f>'Data-Kolom'!K140</f>
        <v>0</v>
      </c>
      <c r="X140">
        <f>IF(V140&gt;0,VLOOKUP(W140,$V$2:$X$9,2,FALSE),0)</f>
        <v>0</v>
      </c>
      <c r="Y140">
        <f>IF(V140&gt;0,IF(L140&gt;0,M140-50+$N$6*W140,VLOOKUP(W140,$V$2:$X$9,3,FALSE)),0)</f>
        <v>0</v>
      </c>
      <c r="Z140">
        <f>IF(E140="F",J140-$N$5+$N$6*W140+Y140,IF(E140="D",J140+Y140+X140,IF(E140="T",J140+X140,IF(E140="A",J140-$N$5+$N$6*W140,0))))</f>
        <v>4480</v>
      </c>
      <c r="AB140">
        <f>SUM(Z140:AA140)</f>
        <v>4480</v>
      </c>
      <c r="AC140">
        <f>V140*K140</f>
        <v>0</v>
      </c>
      <c r="AD140">
        <f>'Data-Kolom'!L140</f>
        <v>8</v>
      </c>
      <c r="AE140">
        <f>'Data-Kolom'!M140</f>
        <v>100</v>
      </c>
      <c r="AF140">
        <f>'Data-Kolom'!N140</f>
        <v>100</v>
      </c>
      <c r="AG140">
        <f>'Data-Kolom'!O140</f>
        <v>100</v>
      </c>
      <c r="AH140">
        <f>'Data-Kolom'!P140</f>
        <v>0</v>
      </c>
      <c r="AI140">
        <f>'Data-Kolom'!Q140</f>
        <v>0</v>
      </c>
      <c r="AJ140">
        <f>'Data-Kolom'!R140</f>
        <v>0</v>
      </c>
      <c r="AK140">
        <f>'Data-Kolom'!S140</f>
        <v>0</v>
      </c>
      <c r="AL140">
        <f>2*(H140+I140-4*$N$5)+2*MAX($F$5*AD140,75)</f>
        <v>1130</v>
      </c>
      <c r="AM140">
        <f>+AH140*(H140-2*$N$5+2*MAX($F$5*AI140,75))+AJ140*(I140-2*$N$5+2*MAX($F$5*AK140,75))</f>
        <v>0</v>
      </c>
      <c r="AN140">
        <f>(ROUND((1/2*J140+IF(M140&gt;0,(Q140-$N$6*AD140),0))/AE140,0)+(ROUND(1/2*J140/AF140,0)+1))*K140</f>
        <v>47</v>
      </c>
      <c r="AO140">
        <f>H140*I140*J140/1000000000*K140*(1+$T$5)</f>
        <v>0.306</v>
      </c>
      <c r="AP140">
        <f>0.006165*O140^2*T140*U140/1000*(1+$T$6)</f>
        <v>38.64143088</v>
      </c>
      <c r="AQ140">
        <f>0.006165*W140^2*AB140*AC140/1000*(1+$T$6)</f>
        <v>0</v>
      </c>
      <c r="AR140">
        <f>AN140*0.006165*AD140^2*AL140/1000*(1+$T$6)</f>
        <v>20.9550816</v>
      </c>
      <c r="AS140">
        <f>AN140*0.006165*AI140^2*AM140/1000*(1+$T$6)</f>
        <v>0</v>
      </c>
      <c r="AT140">
        <f>K140*2*J140*(H140+I140)/1000000*(1+$T$7)</f>
        <v>5.13</v>
      </c>
      <c r="AU140">
        <f>SUM(AP140:AS140)/AO140</f>
        <v>194.75984470588236</v>
      </c>
      <c r="AV140">
        <f>AT140/AO140</f>
        <v>16.764705882352942</v>
      </c>
      <c r="AX140">
        <f>0.006165*O140^2*R140*U140/1000*(1+$T$6)</f>
        <v>38.64143088</v>
      </c>
      <c r="AZ140">
        <f>0.006165*O140^2*S140*U140/1000*(1+$T$6)</f>
        <v>0</v>
      </c>
      <c r="BA140">
        <f>AZ140/AP140</f>
        <v>0</v>
      </c>
    </row>
    <row r="141">
      <c r="A141">
        <f>'Data-Kolom'!A141</f>
        <v>104</v>
      </c>
      <c r="B141" t="str">
        <f>'Data-Kolom'!B141</f>
        <v>Lantai 2</v>
      </c>
      <c r="C141">
        <f>'Data-Kolom'!C141</f>
        <v>0</v>
      </c>
      <c r="D141" t="str">
        <f>'Data-Kolom'!D141</f>
        <v>K178-1</v>
      </c>
      <c r="E141" t="str">
        <v>T</v>
      </c>
      <c r="F141">
        <f>'Data-Kolom'!U141</f>
        <v>0</v>
      </c>
      <c r="G141">
        <f>'Data-Kolom'!T141</f>
        <v>0</v>
      </c>
      <c r="H141">
        <f>'Data-Kolom'!E141</f>
        <v>170</v>
      </c>
      <c r="I141">
        <f>'Data-Kolom'!F141</f>
        <v>800</v>
      </c>
      <c r="J141">
        <f>'Data-Kolom'!G141</f>
        <v>4500</v>
      </c>
      <c r="K141">
        <v>1</v>
      </c>
      <c r="M141">
        <f>IF(L141&gt;0,VLOOKUP(L141,'Data-PC'!$B$14:$F$36,4,FALSE),0)</f>
        <v>0</v>
      </c>
      <c r="N141">
        <f>'Data-Kolom'!H141</f>
        <v>8</v>
      </c>
      <c r="O141">
        <f>'Data-Kolom'!I141</f>
        <v>16</v>
      </c>
      <c r="P141">
        <f>IF(N141&gt;0,VLOOKUP(O141,$V$2:$X$9,2,FALSE),0)</f>
        <v>1010</v>
      </c>
      <c r="Q141">
        <f>IF(L141&gt;0,M141-50+$N$6*O141,VLOOKUP(O141,$V$2:$X$9,3,FALSE))</f>
        <v>770</v>
      </c>
      <c r="R141">
        <f>IF(E141="F",J141-$N$5+$N$6*O141+Q141,IF(E141="D",J141+Q141+P141,IF(E141="T",J141+P141,IF(E141="A",J141-$N$5+$N$6*O141,0))))</f>
        <v>5510</v>
      </c>
      <c r="T141">
        <f>SUM(R141:S141)</f>
        <v>5510</v>
      </c>
      <c r="U141">
        <f>K141*N141</f>
        <v>8</v>
      </c>
      <c r="V141">
        <f>'Data-Kolom'!J141</f>
        <v>0</v>
      </c>
      <c r="W141">
        <f>'Data-Kolom'!K141</f>
        <v>0</v>
      </c>
      <c r="X141">
        <f>IF(V141&gt;0,VLOOKUP(W141,$V$2:$X$9,2,FALSE),0)</f>
        <v>0</v>
      </c>
      <c r="Y141">
        <f>IF(V141&gt;0,IF(L141&gt;0,M141-50+$N$6*W141,VLOOKUP(W141,$V$2:$X$9,3,FALSE)),0)</f>
        <v>0</v>
      </c>
      <c r="Z141">
        <f>IF(E141="F",J141-$N$5+$N$6*W141+Y141,IF(E141="D",J141+Y141+X141,IF(E141="T",J141+X141,IF(E141="A",J141-$N$5+$N$6*W141,0))))</f>
        <v>4500</v>
      </c>
      <c r="AB141">
        <f>SUM(Z141:AA141)</f>
        <v>4500</v>
      </c>
      <c r="AC141">
        <f>V141*K141</f>
        <v>0</v>
      </c>
      <c r="AD141">
        <f>'Data-Kolom'!L141</f>
        <v>8</v>
      </c>
      <c r="AE141">
        <f>'Data-Kolom'!M141</f>
        <v>100</v>
      </c>
      <c r="AF141">
        <f>'Data-Kolom'!N141</f>
        <v>100</v>
      </c>
      <c r="AG141">
        <f>'Data-Kolom'!O141</f>
        <v>100</v>
      </c>
      <c r="AH141">
        <f>'Data-Kolom'!P141</f>
        <v>1</v>
      </c>
      <c r="AI141">
        <f>'Data-Kolom'!Q141</f>
        <v>8</v>
      </c>
      <c r="AJ141">
        <f>'Data-Kolom'!R141</f>
        <v>0</v>
      </c>
      <c r="AK141">
        <f>'Data-Kolom'!S141</f>
        <v>0</v>
      </c>
      <c r="AL141">
        <f>2*(H141+I141-4*$N$5)+2*MAX($F$5*AD141,75)</f>
        <v>1930</v>
      </c>
      <c r="AM141">
        <f>+AH141*(H141-2*$N$5+2*MAX($F$5*AI141,75))+AJ141*(I141-2*$N$5+2*MAX($F$5*AK141,75))</f>
        <v>280</v>
      </c>
      <c r="AN141">
        <f>(ROUND((1/2*J141+IF(M141&gt;0,(Q141-$N$6*AD141),0))/AE141,0)+(ROUND(1/2*J141/AF141,0)+1))*K141</f>
        <v>47</v>
      </c>
      <c r="AO141">
        <f>H141*I141*J141/1000000000*K141*(1+$T$5)</f>
        <v>0.612</v>
      </c>
      <c r="AP141">
        <f>0.006165*O141^2*T141*U141/1000*(1+$T$6)</f>
        <v>69.5688192</v>
      </c>
      <c r="AQ141">
        <f>0.006165*W141^2*AB141*AC141/1000*(1+$T$6)</f>
        <v>0</v>
      </c>
      <c r="AR141">
        <f>AN141*0.006165*AD141^2*AL141/1000*(1+$T$6)</f>
        <v>35.7905376</v>
      </c>
      <c r="AS141">
        <f>AN141*0.006165*AI141^2*AM141/1000*(1+$T$6)</f>
        <v>5.192409600000001</v>
      </c>
      <c r="AT141">
        <f>K141*2*J141*(H141+I141)/1000000*(1+$T$7)</f>
        <v>8.73</v>
      </c>
      <c r="AU141">
        <f>SUM(AP141:AS141)/AO141</f>
        <v>180.6401411764706</v>
      </c>
      <c r="AV141">
        <f>AT141/AO141</f>
        <v>14.264705882352942</v>
      </c>
      <c r="AX141">
        <f>0.006165*O141^2*R141*U141/1000*(1+$T$6)</f>
        <v>69.5688192</v>
      </c>
      <c r="AZ141">
        <f>0.006165*O141^2*S141*U141/1000*(1+$T$6)</f>
        <v>0</v>
      </c>
      <c r="BA141">
        <f>AZ141/AP141</f>
        <v>0</v>
      </c>
    </row>
    <row r="142">
      <c r="A142">
        <f>'Data-Kolom'!A142</f>
        <v>105</v>
      </c>
      <c r="B142" t="str">
        <f>'Data-Kolom'!B142</f>
        <v>Lantai 2</v>
      </c>
      <c r="C142">
        <f>'Data-Kolom'!C142</f>
        <v>0</v>
      </c>
      <c r="D142" t="str">
        <f>'Data-Kolom'!D142</f>
        <v>K176-4</v>
      </c>
      <c r="E142" t="str">
        <v>A</v>
      </c>
      <c r="F142">
        <f>'Data-Kolom'!U142</f>
        <v>0</v>
      </c>
      <c r="G142">
        <f>'Data-Kolom'!T142</f>
        <v>0</v>
      </c>
      <c r="H142">
        <f>'Data-Kolom'!E142</f>
        <v>170</v>
      </c>
      <c r="I142">
        <f>'Data-Kolom'!F142</f>
        <v>600</v>
      </c>
      <c r="J142">
        <f>'Data-Kolom'!G142</f>
        <v>4500</v>
      </c>
      <c r="K142">
        <v>1</v>
      </c>
      <c r="M142">
        <f>IF(L142&gt;0,VLOOKUP(L142,'Data-PC'!$B$14:$F$36,4,FALSE),0)</f>
        <v>0</v>
      </c>
      <c r="N142">
        <f>'Data-Kolom'!H142</f>
        <v>8</v>
      </c>
      <c r="O142">
        <f>'Data-Kolom'!I142</f>
        <v>19</v>
      </c>
      <c r="P142">
        <f>IF(N142&gt;0,VLOOKUP(O142,$V$2:$X$9,2,FALSE),0)</f>
        <v>1190</v>
      </c>
      <c r="Q142">
        <f>IF(L142&gt;0,M142-50+$N$6*O142,VLOOKUP(O142,$V$2:$X$9,3,FALSE))</f>
        <v>910</v>
      </c>
      <c r="R142">
        <f>IF(E142="F",J142-$N$5+$N$6*O142+Q142,IF(E142="D",J142+Q142+P142,IF(E142="T",J142+P142,IF(E142="A",J142-$N$5+$N$6*O142,0))))</f>
        <v>4708</v>
      </c>
      <c r="T142">
        <f>SUM(R142:S142)</f>
        <v>4708</v>
      </c>
      <c r="U142">
        <f>K142*N142</f>
        <v>8</v>
      </c>
      <c r="V142">
        <f>'Data-Kolom'!J142</f>
        <v>4</v>
      </c>
      <c r="W142">
        <f>'Data-Kolom'!K142</f>
        <v>16</v>
      </c>
      <c r="X142">
        <f>IF(V142&gt;0,VLOOKUP(W142,$V$2:$X$9,2,FALSE),0)</f>
        <v>1010</v>
      </c>
      <c r="Y142">
        <f>IF(V142&gt;0,IF(L142&gt;0,M142-50+$N$6*W142,VLOOKUP(W142,$V$2:$X$9,3,FALSE)),0)</f>
        <v>770</v>
      </c>
      <c r="Z142">
        <f>IF(E142="F",J142-$N$5+$N$6*W142+Y142,IF(E142="D",J142+Y142+X142,IF(E142="T",J142+X142,IF(E142="A",J142-$N$5+$N$6*W142,0))))</f>
        <v>4672</v>
      </c>
      <c r="AB142">
        <f>SUM(Z142:AA142)</f>
        <v>4672</v>
      </c>
      <c r="AC142">
        <f>V142*K142</f>
        <v>4</v>
      </c>
      <c r="AD142">
        <f>'Data-Kolom'!L142</f>
        <v>8</v>
      </c>
      <c r="AE142">
        <f>'Data-Kolom'!M142</f>
        <v>100</v>
      </c>
      <c r="AF142">
        <f>'Data-Kolom'!N142</f>
        <v>100</v>
      </c>
      <c r="AG142">
        <f>'Data-Kolom'!O142</f>
        <v>100</v>
      </c>
      <c r="AH142">
        <f>'Data-Kolom'!P142</f>
        <v>0.5</v>
      </c>
      <c r="AI142">
        <f>'Data-Kolom'!Q142</f>
        <v>8</v>
      </c>
      <c r="AJ142">
        <f>'Data-Kolom'!R142</f>
        <v>0</v>
      </c>
      <c r="AK142">
        <f>'Data-Kolom'!S142</f>
        <v>0</v>
      </c>
      <c r="AL142">
        <f>2*(H142+I142-4*$N$5)+2*MAX($F$5*AD142,75)</f>
        <v>1530</v>
      </c>
      <c r="AM142">
        <f>+AH142*(H142-2*$N$5+2*MAX($F$5*AI142,75))+AJ142*(I142-2*$N$5+2*MAX($F$5*AK142,75))</f>
        <v>140</v>
      </c>
      <c r="AN142">
        <f>(ROUND((1/2*J142+IF(M142&gt;0,(Q142-$N$6*AD142),0))/AE142,0)+(ROUND(1/2*J142/AF142,0)+1))*K142</f>
        <v>47</v>
      </c>
      <c r="AO142">
        <f>H142*I142*J142/1000000000*K142*(1+$T$5)</f>
        <v>0.459</v>
      </c>
      <c r="AP142">
        <f>0.006165*O142^2*T142*U142/1000*(1+$T$6)</f>
        <v>83.82368016000001</v>
      </c>
      <c r="AQ142">
        <f>0.006165*W142^2*AB142*AC142/1000*(1+$T$6)</f>
        <v>29.494149120000003</v>
      </c>
      <c r="AR142">
        <f>AN142*0.006165*AD142^2*AL142/1000*(1+$T$6)</f>
        <v>28.372809600000004</v>
      </c>
      <c r="AS142">
        <f>AN142*0.006165*AI142^2*AM142/1000*(1+$T$6)</f>
        <v>2.5962048000000006</v>
      </c>
      <c r="AT142">
        <f>K142*2*J142*(H142+I142)/1000000*(1+$T$7)</f>
        <v>6.93</v>
      </c>
      <c r="AU142">
        <f>SUM(AP142:AS142)/AO142</f>
        <v>314.3504219607844</v>
      </c>
      <c r="AV142">
        <f>AT142/AO142</f>
        <v>15.098039215686272</v>
      </c>
      <c r="AX142">
        <f>0.006165*O142^2*R142*U142/1000*(1+$T$6)</f>
        <v>83.82368016000001</v>
      </c>
      <c r="AZ142">
        <f>0.006165*O142^2*S142*U142/1000*(1+$T$6)</f>
        <v>0</v>
      </c>
      <c r="BA142">
        <f>AZ142/AP142</f>
        <v>0</v>
      </c>
    </row>
    <row r="143">
      <c r="A143">
        <f>'Data-Kolom'!A143</f>
        <v>106</v>
      </c>
      <c r="B143" t="str">
        <f>'Data-Kolom'!B143</f>
        <v>Lantai 2</v>
      </c>
      <c r="C143">
        <f>'Data-Kolom'!C143</f>
        <v>0</v>
      </c>
      <c r="D143" t="str">
        <f>'Data-Kolom'!D143</f>
        <v>K176-1</v>
      </c>
      <c r="E143" t="str">
        <v>A</v>
      </c>
      <c r="F143">
        <f>'Data-Kolom'!U143</f>
        <v>0</v>
      </c>
      <c r="G143">
        <f>'Data-Kolom'!T143</f>
        <v>0</v>
      </c>
      <c r="H143">
        <f>'Data-Kolom'!E143</f>
        <v>170</v>
      </c>
      <c r="I143">
        <f>'Data-Kolom'!F143</f>
        <v>600</v>
      </c>
      <c r="J143">
        <f>'Data-Kolom'!G143</f>
        <v>4500</v>
      </c>
      <c r="K143">
        <v>1</v>
      </c>
      <c r="M143">
        <f>IF(L143&gt;0,VLOOKUP(L143,'Data-PC'!$B$14:$F$36,4,FALSE),0)</f>
        <v>0</v>
      </c>
      <c r="N143">
        <f>'Data-Kolom'!H143</f>
        <v>10</v>
      </c>
      <c r="O143">
        <f>'Data-Kolom'!I143</f>
        <v>16</v>
      </c>
      <c r="P143">
        <f>IF(N143&gt;0,VLOOKUP(O143,$V$2:$X$9,2,FALSE),0)</f>
        <v>1010</v>
      </c>
      <c r="Q143">
        <f>IF(L143&gt;0,M143-50+$N$6*O143,VLOOKUP(O143,$V$2:$X$9,3,FALSE))</f>
        <v>770</v>
      </c>
      <c r="R143">
        <f>IF(E143="F",J143-$N$5+$N$6*O143+Q143,IF(E143="D",J143+Q143+P143,IF(E143="T",J143+P143,IF(E143="A",J143-$N$5+$N$6*O143,0))))</f>
        <v>4672</v>
      </c>
      <c r="T143">
        <f>SUM(R143:S143)</f>
        <v>4672</v>
      </c>
      <c r="U143">
        <f>K143*N143</f>
        <v>10</v>
      </c>
      <c r="V143">
        <f>'Data-Kolom'!J143</f>
        <v>0</v>
      </c>
      <c r="W143">
        <f>'Data-Kolom'!K143</f>
        <v>0</v>
      </c>
      <c r="X143">
        <f>IF(V143&gt;0,VLOOKUP(W143,$V$2:$X$9,2,FALSE),0)</f>
        <v>0</v>
      </c>
      <c r="Y143">
        <f>IF(V143&gt;0,IF(L143&gt;0,M143-50+$N$6*W143,VLOOKUP(W143,$V$2:$X$9,3,FALSE)),0)</f>
        <v>0</v>
      </c>
      <c r="Z143">
        <f>IF(E143="F",J143-$N$5+$N$6*W143+Y143,IF(E143="D",J143+Y143+X143,IF(E143="T",J143+X143,IF(E143="A",J143-$N$5+$N$6*W143,0))))</f>
        <v>4480</v>
      </c>
      <c r="AB143">
        <f>SUM(Z143:AA143)</f>
        <v>4480</v>
      </c>
      <c r="AC143">
        <f>V143*K143</f>
        <v>0</v>
      </c>
      <c r="AD143">
        <f>'Data-Kolom'!L143</f>
        <v>8</v>
      </c>
      <c r="AE143">
        <f>'Data-Kolom'!M143</f>
        <v>100</v>
      </c>
      <c r="AF143">
        <f>'Data-Kolom'!N143</f>
        <v>100</v>
      </c>
      <c r="AG143">
        <f>'Data-Kolom'!O143</f>
        <v>100</v>
      </c>
      <c r="AH143">
        <f>'Data-Kolom'!P143</f>
        <v>0.5</v>
      </c>
      <c r="AI143">
        <f>'Data-Kolom'!Q143</f>
        <v>8</v>
      </c>
      <c r="AJ143">
        <f>'Data-Kolom'!R143</f>
        <v>0</v>
      </c>
      <c r="AK143">
        <f>'Data-Kolom'!S143</f>
        <v>0</v>
      </c>
      <c r="AL143">
        <f>2*(H143+I143-4*$N$5)+2*MAX($F$5*AD143,75)</f>
        <v>1530</v>
      </c>
      <c r="AM143">
        <f>+AH143*(H143-2*$N$5+2*MAX($F$5*AI143,75))+AJ143*(I143-2*$N$5+2*MAX($F$5*AK143,75))</f>
        <v>140</v>
      </c>
      <c r="AN143">
        <f>(ROUND((1/2*J143+IF(M143&gt;0,(Q143-$N$6*AD143),0))/AE143,0)+(ROUND(1/2*J143/AF143,0)+1))*K143</f>
        <v>47</v>
      </c>
      <c r="AO143">
        <f>H143*I143*J143/1000000000*K143*(1+$T$5)</f>
        <v>0.459</v>
      </c>
      <c r="AP143">
        <f>0.006165*O143^2*T143*U143/1000*(1+$T$6)</f>
        <v>73.73537280000001</v>
      </c>
      <c r="AQ143">
        <f>0.006165*W143^2*AB143*AC143/1000*(1+$T$6)</f>
        <v>0</v>
      </c>
      <c r="AR143">
        <f>AN143*0.006165*AD143^2*AL143/1000*(1+$T$6)</f>
        <v>28.372809600000004</v>
      </c>
      <c r="AS143">
        <f>AN143*0.006165*AI143^2*AM143/1000*(1+$T$6)</f>
        <v>2.5962048000000006</v>
      </c>
      <c r="AT143">
        <f>K143*2*J143*(H143+I143)/1000000*(1+$T$7)</f>
        <v>6.93</v>
      </c>
      <c r="AU143">
        <f>SUM(AP143:AS143)/AO143</f>
        <v>228.1141333333333</v>
      </c>
      <c r="AV143">
        <f>AT143/AO143</f>
        <v>15.098039215686272</v>
      </c>
      <c r="AX143">
        <f>0.006165*O143^2*R143*U143/1000*(1+$T$6)</f>
        <v>73.73537280000001</v>
      </c>
      <c r="AZ143">
        <f>0.006165*O143^2*S143*U143/1000*(1+$T$6)</f>
        <v>0</v>
      </c>
      <c r="BA143">
        <f>AZ143/AP143</f>
        <v>0</v>
      </c>
    </row>
    <row r="144">
      <c r="A144">
        <f>'Data-Kolom'!A144</f>
        <v>107</v>
      </c>
      <c r="B144" t="str">
        <f>'Data-Kolom'!B144</f>
        <v>Lantai 2</v>
      </c>
      <c r="C144">
        <f>'Data-Kolom'!C144</f>
        <v>0</v>
      </c>
      <c r="D144" t="str">
        <f>'Data-Kolom'!D144</f>
        <v>K175-1</v>
      </c>
      <c r="E144" t="str">
        <v>A</v>
      </c>
      <c r="F144">
        <f>'Data-Kolom'!U144</f>
        <v>0</v>
      </c>
      <c r="G144">
        <f>'Data-Kolom'!T144</f>
        <v>0</v>
      </c>
      <c r="H144">
        <f>'Data-Kolom'!E144</f>
        <v>170</v>
      </c>
      <c r="I144">
        <f>'Data-Kolom'!F144</f>
        <v>500</v>
      </c>
      <c r="J144">
        <f>'Data-Kolom'!G144</f>
        <v>4500</v>
      </c>
      <c r="K144">
        <v>1</v>
      </c>
      <c r="M144">
        <f>IF(L144&gt;0,VLOOKUP(L144,'Data-PC'!$B$14:$F$36,4,FALSE),0)</f>
        <v>0</v>
      </c>
      <c r="N144">
        <f>'Data-Kolom'!H144</f>
        <v>6</v>
      </c>
      <c r="O144">
        <f>'Data-Kolom'!I144</f>
        <v>16</v>
      </c>
      <c r="P144">
        <f>IF(N144&gt;0,VLOOKUP(O144,$V$2:$X$9,2,FALSE),0)</f>
        <v>1010</v>
      </c>
      <c r="Q144">
        <f>IF(L144&gt;0,M144-50+$N$6*O144,VLOOKUP(O144,$V$2:$X$9,3,FALSE))</f>
        <v>770</v>
      </c>
      <c r="R144">
        <f>IF(E144="F",J144-$N$5+$N$6*O144+Q144,IF(E144="D",J144+Q144+P144,IF(E144="T",J144+P144,IF(E144="A",J144-$N$5+$N$6*O144,0))))</f>
        <v>4672</v>
      </c>
      <c r="T144">
        <f>SUM(R144:S144)</f>
        <v>4672</v>
      </c>
      <c r="U144">
        <f>K144*N144</f>
        <v>6</v>
      </c>
      <c r="V144">
        <f>'Data-Kolom'!J144</f>
        <v>0</v>
      </c>
      <c r="W144">
        <f>'Data-Kolom'!K144</f>
        <v>0</v>
      </c>
      <c r="X144">
        <f>IF(V144&gt;0,VLOOKUP(W144,$V$2:$X$9,2,FALSE),0)</f>
        <v>0</v>
      </c>
      <c r="Y144">
        <f>IF(V144&gt;0,IF(L144&gt;0,M144-50+$N$6*W144,VLOOKUP(W144,$V$2:$X$9,3,FALSE)),0)</f>
        <v>0</v>
      </c>
      <c r="Z144">
        <f>IF(E144="F",J144-$N$5+$N$6*W144+Y144,IF(E144="D",J144+Y144+X144,IF(E144="T",J144+X144,IF(E144="A",J144-$N$5+$N$6*W144,0))))</f>
        <v>4480</v>
      </c>
      <c r="AB144">
        <f>SUM(Z144:AA144)</f>
        <v>4480</v>
      </c>
      <c r="AC144">
        <f>V144*K144</f>
        <v>0</v>
      </c>
      <c r="AD144">
        <f>'Data-Kolom'!L144</f>
        <v>8</v>
      </c>
      <c r="AE144">
        <f>'Data-Kolom'!M144</f>
        <v>100</v>
      </c>
      <c r="AF144">
        <f>'Data-Kolom'!N144</f>
        <v>100</v>
      </c>
      <c r="AG144">
        <f>'Data-Kolom'!O144</f>
        <v>100</v>
      </c>
      <c r="AH144">
        <f>'Data-Kolom'!P144</f>
        <v>0.5</v>
      </c>
      <c r="AI144">
        <f>'Data-Kolom'!Q144</f>
        <v>8</v>
      </c>
      <c r="AJ144">
        <f>'Data-Kolom'!R144</f>
        <v>0</v>
      </c>
      <c r="AK144">
        <f>'Data-Kolom'!S144</f>
        <v>0</v>
      </c>
      <c r="AL144">
        <f>2*(H144+I144-4*$N$5)+2*MAX($F$5*AD144,75)</f>
        <v>1330</v>
      </c>
      <c r="AM144">
        <f>+AH144*(H144-2*$N$5+2*MAX($F$5*AI144,75))+AJ144*(I144-2*$N$5+2*MAX($F$5*AK144,75))</f>
        <v>140</v>
      </c>
      <c r="AN144">
        <f>(ROUND((1/2*J144+IF(M144&gt;0,(Q144-$N$6*AD144),0))/AE144,0)+(ROUND(1/2*J144/AF144,0)+1))*K144</f>
        <v>47</v>
      </c>
      <c r="AO144">
        <f>H144*I144*J144/1000000000*K144*(1+$T$5)</f>
        <v>0.3825</v>
      </c>
      <c r="AP144">
        <f>0.006165*O144^2*T144*U144/1000*(1+$T$6)</f>
        <v>44.241223680000004</v>
      </c>
      <c r="AQ144">
        <f>0.006165*W144^2*AB144*AC144/1000*(1+$T$6)</f>
        <v>0</v>
      </c>
      <c r="AR144">
        <f>AN144*0.006165*AD144^2*AL144/1000*(1+$T$6)</f>
        <v>24.6639456</v>
      </c>
      <c r="AS144">
        <f>AN144*0.006165*AI144^2*AM144/1000*(1+$T$6)</f>
        <v>2.5962048000000006</v>
      </c>
      <c r="AT144">
        <f>K144*2*J144*(H144+I144)/1000000*(1+$T$7)</f>
        <v>6.03</v>
      </c>
      <c r="AU144">
        <f>SUM(AP144:AS144)/AO144</f>
        <v>186.93169694117648</v>
      </c>
      <c r="AV144">
        <f>AT144/AO144</f>
        <v>15.764705882352942</v>
      </c>
      <c r="AX144">
        <f>0.006165*O144^2*R144*U144/1000*(1+$T$6)</f>
        <v>44.241223680000004</v>
      </c>
      <c r="AZ144">
        <f>0.006165*O144^2*S144*U144/1000*(1+$T$6)</f>
        <v>0</v>
      </c>
      <c r="BA144">
        <f>AZ144/AP144</f>
        <v>0</v>
      </c>
    </row>
    <row r="145">
      <c r="A145">
        <f>'Data-Kolom'!A145</f>
        <v>201</v>
      </c>
      <c r="B145" t="str">
        <f>'Data-Kolom'!B145</f>
        <v>Lantai 2</v>
      </c>
      <c r="C145">
        <f>'Data-Kolom'!C145</f>
        <v>0</v>
      </c>
      <c r="D145" t="str">
        <f>'Data-Kolom'!D145</f>
        <v>KL175-3</v>
      </c>
      <c r="E145" t="str">
        <v>F</v>
      </c>
      <c r="F145">
        <f>'Data-Kolom'!U145</f>
        <v>0</v>
      </c>
      <c r="G145">
        <f>'Data-Kolom'!T145</f>
        <v>0</v>
      </c>
      <c r="H145">
        <f>'Data-Kolom'!E145</f>
        <v>170</v>
      </c>
      <c r="I145">
        <f>'Data-Kolom'!F145</f>
        <v>500</v>
      </c>
      <c r="J145">
        <f>'Data-Kolom'!G145</f>
        <v>4500</v>
      </c>
      <c r="K145">
        <v>2</v>
      </c>
      <c r="L145">
        <f>'Data-Kolom'!C145</f>
        <v>0</v>
      </c>
      <c r="M145">
        <f>IF(L145&gt;0,VLOOKUP(L145,'Data-PC'!$B$14:$F$36,4,FALSE),0)</f>
        <v>0</v>
      </c>
      <c r="N145">
        <f>'Data-Kolom'!H145</f>
        <v>8</v>
      </c>
      <c r="O145">
        <f>'Data-Kolom'!I145</f>
        <v>19</v>
      </c>
      <c r="P145">
        <f>IF(N145&gt;0,VLOOKUP(O145,$V$2:$X$9,2,FALSE),0)</f>
        <v>1190</v>
      </c>
      <c r="Q145">
        <f>IF(L145&gt;0,M145-50+$N$6*O145,VLOOKUP(O145,$V$2:$X$9,3,FALSE))</f>
        <v>910</v>
      </c>
      <c r="R145">
        <f>IF(E145="F",J145-$N$5+$N$6*O145+Q145,IF(E145="D",J145+Q145+P145,IF(E145="T",J145+P145,IF(E145="A",J145-$N$5+$N$6*O145,0))))</f>
        <v>5618</v>
      </c>
      <c r="T145">
        <f>SUM(R145:S145)</f>
        <v>5618</v>
      </c>
      <c r="U145">
        <f>K145*N145</f>
        <v>16</v>
      </c>
      <c r="V145">
        <f>'Data-Kolom'!J145</f>
        <v>0</v>
      </c>
      <c r="W145">
        <f>'Data-Kolom'!K145</f>
        <v>0</v>
      </c>
      <c r="X145">
        <f>IF(V145&gt;0,VLOOKUP(W145,$V$2:$X$9,2,FALSE),0)</f>
        <v>0</v>
      </c>
      <c r="Y145">
        <f>IF(V145&gt;0,IF(L145&gt;0,M145-50+$N$6*W145,VLOOKUP(W145,$V$2:$X$9,3,FALSE)),0)</f>
        <v>0</v>
      </c>
      <c r="Z145">
        <f>IF(E145="F",J145-$N$5+$N$6*W145+Y145,IF(E145="D",J145+Y145+X145,IF(E145="T",J145+X145,IF(E145="A",J145-$N$5+$N$6*W145,0))))</f>
        <v>4480</v>
      </c>
      <c r="AB145">
        <f>SUM(Z145:AA145)</f>
        <v>4480</v>
      </c>
      <c r="AC145">
        <f>V145*K145</f>
        <v>0</v>
      </c>
      <c r="AD145">
        <f>'Data-Kolom'!L145</f>
        <v>8</v>
      </c>
      <c r="AE145">
        <f>'Data-Kolom'!M145</f>
        <v>100</v>
      </c>
      <c r="AF145">
        <f>'Data-Kolom'!N145</f>
        <v>100</v>
      </c>
      <c r="AG145">
        <f>'Data-Kolom'!O145</f>
        <v>100</v>
      </c>
      <c r="AH145">
        <f>'Data-Kolom'!P145</f>
        <v>0.5</v>
      </c>
      <c r="AI145">
        <f>'Data-Kolom'!Q145</f>
        <v>8</v>
      </c>
      <c r="AJ145">
        <f>'Data-Kolom'!R145</f>
        <v>0</v>
      </c>
      <c r="AK145">
        <f>'Data-Kolom'!S145</f>
        <v>0</v>
      </c>
      <c r="AL145">
        <f>2*(H145+I145-4*$N$5)+2*MAX($F$5*AD145,75)</f>
        <v>1330</v>
      </c>
      <c r="AM145">
        <f>+AH145*(H145-2*$N$5+2*MAX($F$5*AI145,75))+AJ145*(I145-2*$N$5+2*MAX($F$5*AK145,75))</f>
        <v>140</v>
      </c>
      <c r="AN145">
        <f>(ROUND((1/2*J145+IF(M145&gt;0,(Q145-$N$6*AD145),0))/AE145,0)+(ROUND(1/2*J145/AF145,0)+1))*K145</f>
        <v>94</v>
      </c>
      <c r="AO145">
        <f>H145*I145*J145/1000000000*K145*(1+$T$5)-(K145/2*H145*H145*J145/1000000000)</f>
        <v>0.63495</v>
      </c>
      <c r="AP145">
        <f>0.006165*O145^2*T145*U145/1000*(1+$T$6)</f>
        <v>200.05158672</v>
      </c>
      <c r="AQ145">
        <f>0.006165*W145^2*AB145*AC145/1000*(1+$T$6)</f>
        <v>0</v>
      </c>
      <c r="AR145">
        <f>AN145*0.006165*AD145^2*AL145/1000*(1+$T$6)</f>
        <v>49.3278912</v>
      </c>
      <c r="AS145">
        <f>AN145*0.006165*AI145^2*AM145/1000*(1+$T$6)</f>
        <v>5.192409600000001</v>
      </c>
      <c r="AT145">
        <f>K145*2*J145*(H145+I145)/1000000*(1+$T$7)-(K145/2*4*H145*J145/1000000)</f>
        <v>9</v>
      </c>
      <c r="AU145">
        <f>SUM(AP145:AS145)/AO145</f>
        <v>400.93217973068744</v>
      </c>
      <c r="AV145">
        <f>AT145/AO145</f>
        <v>14.174344436569807</v>
      </c>
      <c r="AX145">
        <f>0.006165*O145^2*R145*U145/1000*(1+$T$6)</f>
        <v>200.05158672</v>
      </c>
      <c r="AZ145">
        <f>0.006165*O145^2*S145*U145/1000*(1+$T$6)</f>
        <v>0</v>
      </c>
      <c r="BA145">
        <f>AZ145/AP145</f>
        <v>0</v>
      </c>
    </row>
    <row r="146">
      <c r="A146">
        <f>'Data-Kolom'!A146</f>
        <v>32</v>
      </c>
      <c r="B146" t="str">
        <f>'Data-Kolom'!B146</f>
        <v>Lantai 2</v>
      </c>
      <c r="C146">
        <f>'Data-Kolom'!C146</f>
        <v>0</v>
      </c>
      <c r="D146" t="str">
        <f>'Data-Kolom'!D146</f>
        <v>K278-1</v>
      </c>
      <c r="E146" t="str">
        <v>A</v>
      </c>
      <c r="F146">
        <f>'Data-Kolom'!U146</f>
        <v>0</v>
      </c>
      <c r="G146">
        <f>'Data-Kolom'!T146</f>
        <v>0</v>
      </c>
      <c r="H146">
        <f>'Data-Kolom'!E146</f>
        <v>270</v>
      </c>
      <c r="I146">
        <f>'Data-Kolom'!F146</f>
        <v>800</v>
      </c>
      <c r="J146">
        <f>'Data-Kolom'!G146</f>
        <v>4500</v>
      </c>
      <c r="K146">
        <v>1</v>
      </c>
      <c r="M146">
        <f>IF(L146&gt;0,VLOOKUP(L146,'Data-PC'!$B$14:$F$36,4,FALSE),0)</f>
        <v>0</v>
      </c>
      <c r="N146">
        <f>'Data-Kolom'!H146</f>
        <v>4</v>
      </c>
      <c r="O146">
        <f>'Data-Kolom'!I146</f>
        <v>22</v>
      </c>
      <c r="P146">
        <f>IF(N146&gt;0,VLOOKUP(O146,$V$2:$X$9,2,FALSE),0)</f>
        <v>1700</v>
      </c>
      <c r="Q146">
        <f>IF(L146&gt;0,M146-50+$N$6*O146,VLOOKUP(O146,$V$2:$X$9,3,FALSE))</f>
        <v>1300</v>
      </c>
      <c r="R146">
        <f>IF(E146="F",J146-$N$5+$N$6*O146+Q146,IF(E146="D",J146+Q146+P146,IF(E146="T",J146+P146,IF(E146="A",J146-$N$5+$N$6*O146,0))))</f>
        <v>4744</v>
      </c>
      <c r="T146">
        <f>SUM(R146:S146)</f>
        <v>4744</v>
      </c>
      <c r="U146">
        <f>K146*N146</f>
        <v>4</v>
      </c>
      <c r="V146">
        <f>'Data-Kolom'!J146</f>
        <v>8</v>
      </c>
      <c r="W146">
        <f>'Data-Kolom'!K146</f>
        <v>19</v>
      </c>
      <c r="X146">
        <f>IF(V146&gt;0,VLOOKUP(W146,$V$2:$X$9,2,FALSE),0)</f>
        <v>1190</v>
      </c>
      <c r="Y146">
        <f>IF(V146&gt;0,IF(L146&gt;0,M146-50+$N$6*W146,VLOOKUP(W146,$V$2:$X$9,3,FALSE)),0)</f>
        <v>910</v>
      </c>
      <c r="Z146">
        <f>IF(E146="F",J146-$N$5+$N$6*W146+Y146,IF(E146="D",J146+Y146+X146,IF(E146="T",J146+X146,IF(E146="A",J146-$N$5+$N$6*W146,0))))</f>
        <v>4708</v>
      </c>
      <c r="AB146">
        <f>SUM(Z146:AA146)</f>
        <v>4708</v>
      </c>
      <c r="AC146">
        <f>V146*K146</f>
        <v>8</v>
      </c>
      <c r="AD146">
        <f>'Data-Kolom'!L146</f>
        <v>10</v>
      </c>
      <c r="AE146">
        <f>'Data-Kolom'!M146</f>
        <v>100</v>
      </c>
      <c r="AF146">
        <f>'Data-Kolom'!N146</f>
        <v>100</v>
      </c>
      <c r="AG146">
        <f>'Data-Kolom'!O146</f>
        <v>100</v>
      </c>
      <c r="AH146">
        <f>'Data-Kolom'!P146</f>
        <v>1</v>
      </c>
      <c r="AI146">
        <f>'Data-Kolom'!Q146</f>
        <v>10</v>
      </c>
      <c r="AJ146">
        <f>'Data-Kolom'!R146</f>
        <v>0</v>
      </c>
      <c r="AK146">
        <f>'Data-Kolom'!S146</f>
        <v>0</v>
      </c>
      <c r="AL146">
        <f>2*(H146+I146-4*$N$5)+2*MAX($F$5*AD146,75)</f>
        <v>2130</v>
      </c>
      <c r="AM146">
        <f>+AH146*(H146-2*$N$5+2*MAX($F$5*AI146,75))+AJ146*(I146-2*$N$5+2*MAX($F$5*AK146,75))</f>
        <v>380</v>
      </c>
      <c r="AN146">
        <f>(ROUND((1/2*J146+IF(M146&gt;0,(Q146-$N$6*AD146),0))/AE146,0)+(ROUND(1/2*J146/AF146,0)+1))*K146</f>
        <v>47</v>
      </c>
      <c r="AO146">
        <f>H146*I146*J146/1000000000*K146*(1+$T$5)</f>
        <v>0.972</v>
      </c>
      <c r="AP146">
        <f>0.006165*O146^2*T146*U146/1000*(1+$T$6)</f>
        <v>56.621727359999994</v>
      </c>
      <c r="AQ146">
        <f>0.006165*W146^2*AB146*AC146/1000*(1+$T$6)</f>
        <v>83.82368016000001</v>
      </c>
      <c r="AR146">
        <f>AN146*0.006165*AD146^2*AL146/1000*(1+$T$6)</f>
        <v>61.71781500000001</v>
      </c>
      <c r="AS146">
        <f>AN146*0.006165*AI146^2*AM146/1000*(1+$T$6)</f>
        <v>11.010690000000002</v>
      </c>
      <c r="AT146">
        <f>K146*2*J146*(H146+I146)/1000000*(1+$T$7)</f>
        <v>9.63</v>
      </c>
      <c r="AU146">
        <f>SUM(AP146:AS146)/AO146</f>
        <v>219.31472481481484</v>
      </c>
      <c r="AV146">
        <f>AT146/AO146</f>
        <v>9.907407407407408</v>
      </c>
      <c r="AX146">
        <f>0.006165*O146^2*R146*U146/1000*(1+$T$6)</f>
        <v>56.621727359999994</v>
      </c>
      <c r="AZ146">
        <f>0.006165*O146^2*S146*U146/1000*(1+$T$6)</f>
        <v>0</v>
      </c>
      <c r="BA146">
        <f>AZ146/AP146</f>
        <v>0</v>
      </c>
    </row>
    <row r="147">
      <c r="A147">
        <f>'Data-Kolom'!A147</f>
        <v>34</v>
      </c>
      <c r="B147" t="str">
        <f>'Data-Kolom'!B147</f>
        <v>Lantai 2</v>
      </c>
      <c r="C147">
        <f>'Data-Kolom'!C147</f>
        <v>0</v>
      </c>
      <c r="D147" t="str">
        <f>'Data-Kolom'!D147</f>
        <v>K176-1</v>
      </c>
      <c r="E147" t="str">
        <v>T</v>
      </c>
      <c r="F147">
        <f>'Data-Kolom'!U147</f>
        <v>0</v>
      </c>
      <c r="G147">
        <f>'Data-Kolom'!T147</f>
        <v>0</v>
      </c>
      <c r="H147">
        <f>'Data-Kolom'!E147</f>
        <v>170</v>
      </c>
      <c r="I147">
        <f>'Data-Kolom'!F147</f>
        <v>600</v>
      </c>
      <c r="J147">
        <f>'Data-Kolom'!G147</f>
        <v>4500</v>
      </c>
      <c r="K147">
        <v>1</v>
      </c>
      <c r="M147">
        <f>IF(L147&gt;0,VLOOKUP(L147,'Data-PC'!$B$14:$F$36,4,FALSE),0)</f>
        <v>0</v>
      </c>
      <c r="N147">
        <f>'Data-Kolom'!H147</f>
        <v>10</v>
      </c>
      <c r="O147">
        <f>'Data-Kolom'!I147</f>
        <v>16</v>
      </c>
      <c r="P147">
        <f>IF(N147&gt;0,VLOOKUP(O147,$V$2:$X$9,2,FALSE),0)</f>
        <v>1010</v>
      </c>
      <c r="Q147">
        <f>IF(L147&gt;0,M147-50+$N$6*O147,VLOOKUP(O147,$V$2:$X$9,3,FALSE))</f>
        <v>770</v>
      </c>
      <c r="R147">
        <f>IF(E147="F",J147-$N$5+$N$6*O147+Q147,IF(E147="D",J147+Q147+P147,IF(E147="T",J147+P147,IF(E147="A",J147-$N$5+$N$6*O147,0))))</f>
        <v>5510</v>
      </c>
      <c r="T147">
        <f>SUM(R147:S147)</f>
        <v>5510</v>
      </c>
      <c r="U147">
        <f>K147*N147</f>
        <v>10</v>
      </c>
      <c r="V147">
        <f>'Data-Kolom'!J147</f>
        <v>0</v>
      </c>
      <c r="W147">
        <f>'Data-Kolom'!K147</f>
        <v>0</v>
      </c>
      <c r="X147">
        <f>IF(V147&gt;0,VLOOKUP(W147,$V$2:$X$9,2,FALSE),0)</f>
        <v>0</v>
      </c>
      <c r="Y147">
        <f>IF(V147&gt;0,IF(L147&gt;0,M147-50+$N$6*W147,VLOOKUP(W147,$V$2:$X$9,3,FALSE)),0)</f>
        <v>0</v>
      </c>
      <c r="Z147">
        <f>IF(E147="F",J147-$N$5+$N$6*W147+Y147,IF(E147="D",J147+Y147+X147,IF(E147="T",J147+X147,IF(E147="A",J147-$N$5+$N$6*W147,0))))</f>
        <v>4500</v>
      </c>
      <c r="AB147">
        <f>SUM(Z147:AA147)</f>
        <v>4500</v>
      </c>
      <c r="AC147">
        <f>V147*K147</f>
        <v>0</v>
      </c>
      <c r="AD147">
        <f>'Data-Kolom'!L147</f>
        <v>8</v>
      </c>
      <c r="AE147">
        <f>'Data-Kolom'!M147</f>
        <v>100</v>
      </c>
      <c r="AF147">
        <f>'Data-Kolom'!N147</f>
        <v>100</v>
      </c>
      <c r="AG147">
        <f>'Data-Kolom'!O147</f>
        <v>100</v>
      </c>
      <c r="AH147">
        <f>'Data-Kolom'!P147</f>
        <v>0.5</v>
      </c>
      <c r="AI147">
        <f>'Data-Kolom'!Q147</f>
        <v>8</v>
      </c>
      <c r="AJ147">
        <f>'Data-Kolom'!R147</f>
        <v>0</v>
      </c>
      <c r="AK147">
        <f>'Data-Kolom'!S147</f>
        <v>0</v>
      </c>
      <c r="AL147">
        <f>2*(H147+I147-4*$N$5)+2*MAX($F$5*AD147,75)</f>
        <v>1530</v>
      </c>
      <c r="AM147">
        <f>+AH147*(H147-2*$N$5+2*MAX($F$5*AI147,75))+AJ147*(I147-2*$N$5+2*MAX($F$5*AK147,75))</f>
        <v>140</v>
      </c>
      <c r="AN147">
        <f>(ROUND((1/2*J147+IF(M147&gt;0,(Q147-$N$6*AD147),0))/AE147,0)+(ROUND(1/2*J147/AF147,0)+1))*K147</f>
        <v>47</v>
      </c>
      <c r="AO147">
        <f>H147*I147*J147/1000000000*K147*(1+$T$5)</f>
        <v>0.459</v>
      </c>
      <c r="AP147">
        <f>0.006165*O147^2*T147*U147/1000*(1+$T$6)</f>
        <v>86.96102400000001</v>
      </c>
      <c r="AQ147">
        <f>0.006165*W147^2*AB147*AC147/1000*(1+$T$6)</f>
        <v>0</v>
      </c>
      <c r="AR147">
        <f>AN147*0.006165*AD147^2*AL147/1000*(1+$T$6)</f>
        <v>28.372809600000004</v>
      </c>
      <c r="AS147">
        <f>AN147*0.006165*AI147^2*AM147/1000*(1+$T$6)</f>
        <v>2.5962048000000006</v>
      </c>
      <c r="AT147">
        <f>K147*2*J147*(H147+I147)/1000000*(1+$T$7)</f>
        <v>6.93</v>
      </c>
      <c r="AU147">
        <f>SUM(AP147:AS147)/AO147</f>
        <v>256.92818823529416</v>
      </c>
      <c r="AV147">
        <f>AT147/AO147</f>
        <v>15.098039215686272</v>
      </c>
      <c r="AX147">
        <f>0.006165*O147^2*R147*U147/1000*(1+$T$6)</f>
        <v>86.96102400000001</v>
      </c>
      <c r="AZ147">
        <f>0.006165*O147^2*S147*U147/1000*(1+$T$6)</f>
        <v>0</v>
      </c>
      <c r="BA147">
        <f>AZ147/AP147</f>
        <v>0</v>
      </c>
    </row>
    <row r="148">
      <c r="A148">
        <f>'Data-Kolom'!A148</f>
        <v>38</v>
      </c>
      <c r="B148" t="str">
        <f>'Data-Kolom'!B148</f>
        <v>Lantai 2</v>
      </c>
      <c r="C148">
        <f>'Data-Kolom'!C148</f>
        <v>0</v>
      </c>
      <c r="D148" t="str">
        <f>'Data-Kolom'!D148</f>
        <v>K176-1</v>
      </c>
      <c r="E148" t="str">
        <v>A</v>
      </c>
      <c r="F148">
        <f>'Data-Kolom'!U148</f>
        <v>0</v>
      </c>
      <c r="G148">
        <f>'Data-Kolom'!T148</f>
        <v>0</v>
      </c>
      <c r="H148">
        <f>'Data-Kolom'!E148</f>
        <v>170</v>
      </c>
      <c r="I148">
        <f>'Data-Kolom'!F148</f>
        <v>600</v>
      </c>
      <c r="J148">
        <f>'Data-Kolom'!G148</f>
        <v>4500</v>
      </c>
      <c r="K148">
        <v>1</v>
      </c>
      <c r="M148">
        <f>IF(L148&gt;0,VLOOKUP(L148,'Data-PC'!$B$14:$F$36,4,FALSE),0)</f>
        <v>0</v>
      </c>
      <c r="N148">
        <f>'Data-Kolom'!H148</f>
        <v>10</v>
      </c>
      <c r="O148">
        <f>'Data-Kolom'!I148</f>
        <v>16</v>
      </c>
      <c r="P148">
        <f>IF(N148&gt;0,VLOOKUP(O148,$V$2:$X$9,2,FALSE),0)</f>
        <v>1010</v>
      </c>
      <c r="Q148">
        <f>IF(L148&gt;0,M148-50+$N$6*O148,VLOOKUP(O148,$V$2:$X$9,3,FALSE))</f>
        <v>770</v>
      </c>
      <c r="R148">
        <f>IF(E148="F",J148-$N$5+$N$6*O148+Q148,IF(E148="D",J148+Q148+P148,IF(E148="T",J148+P148,IF(E148="A",J148-$N$5+$N$6*O148,0))))</f>
        <v>4672</v>
      </c>
      <c r="T148">
        <f>SUM(R148:S148)</f>
        <v>4672</v>
      </c>
      <c r="U148">
        <f>K148*N148</f>
        <v>10</v>
      </c>
      <c r="V148">
        <f>'Data-Kolom'!J148</f>
        <v>0</v>
      </c>
      <c r="W148">
        <f>'Data-Kolom'!K148</f>
        <v>0</v>
      </c>
      <c r="X148">
        <f>IF(V148&gt;0,VLOOKUP(W148,$V$2:$X$9,2,FALSE),0)</f>
        <v>0</v>
      </c>
      <c r="Y148">
        <f>IF(V148&gt;0,IF(L148&gt;0,M148-50+$N$6*W148,VLOOKUP(W148,$V$2:$X$9,3,FALSE)),0)</f>
        <v>0</v>
      </c>
      <c r="Z148">
        <f>IF(E148="F",J148-$N$5+$N$6*W148+Y148,IF(E148="D",J148+Y148+X148,IF(E148="T",J148+X148,IF(E148="A",J148-$N$5+$N$6*W148,0))))</f>
        <v>4480</v>
      </c>
      <c r="AB148">
        <f>SUM(Z148:AA148)</f>
        <v>4480</v>
      </c>
      <c r="AC148">
        <f>V148*K148</f>
        <v>0</v>
      </c>
      <c r="AD148">
        <f>'Data-Kolom'!L148</f>
        <v>8</v>
      </c>
      <c r="AE148">
        <f>'Data-Kolom'!M148</f>
        <v>100</v>
      </c>
      <c r="AF148">
        <f>'Data-Kolom'!N148</f>
        <v>100</v>
      </c>
      <c r="AG148">
        <f>'Data-Kolom'!O148</f>
        <v>100</v>
      </c>
      <c r="AH148">
        <f>'Data-Kolom'!P148</f>
        <v>0.5</v>
      </c>
      <c r="AI148">
        <f>'Data-Kolom'!Q148</f>
        <v>8</v>
      </c>
      <c r="AJ148">
        <f>'Data-Kolom'!R148</f>
        <v>0</v>
      </c>
      <c r="AK148">
        <f>'Data-Kolom'!S148</f>
        <v>0</v>
      </c>
      <c r="AL148">
        <f>2*(H148+I148-4*$N$5)+2*MAX($F$5*AD148,75)</f>
        <v>1530</v>
      </c>
      <c r="AM148">
        <f>+AH148*(H148-2*$N$5+2*MAX($F$5*AI148,75))+AJ148*(I148-2*$N$5+2*MAX($F$5*AK148,75))</f>
        <v>140</v>
      </c>
      <c r="AN148">
        <f>(ROUND((1/2*J148+IF(M148&gt;0,(Q148-$N$6*AD148),0))/AE148,0)+(ROUND(1/2*J148/AF148,0)+1))*K148</f>
        <v>47</v>
      </c>
      <c r="AO148">
        <f>H148*I148*J148/1000000000*K148*(1+$T$5)</f>
        <v>0.459</v>
      </c>
      <c r="AP148">
        <f>0.006165*O148^2*T148*U148/1000*(1+$T$6)</f>
        <v>73.73537280000001</v>
      </c>
      <c r="AQ148">
        <f>0.006165*W148^2*AB148*AC148/1000*(1+$T$6)</f>
        <v>0</v>
      </c>
      <c r="AR148">
        <f>AN148*0.006165*AD148^2*AL148/1000*(1+$T$6)</f>
        <v>28.372809600000004</v>
      </c>
      <c r="AS148">
        <f>AN148*0.006165*AI148^2*AM148/1000*(1+$T$6)</f>
        <v>2.5962048000000006</v>
      </c>
      <c r="AT148">
        <f>K148*2*J148*(H148+I148)/1000000*(1+$T$7)</f>
        <v>6.93</v>
      </c>
      <c r="AU148">
        <f>SUM(AP148:AS148)/AO148</f>
        <v>228.1141333333333</v>
      </c>
      <c r="AV148">
        <f>AT148/AO148</f>
        <v>15.098039215686272</v>
      </c>
      <c r="AX148">
        <f>0.006165*O148^2*R148*U148/1000*(1+$T$6)</f>
        <v>73.73537280000001</v>
      </c>
      <c r="AZ148">
        <f>0.006165*O148^2*S148*U148/1000*(1+$T$6)</f>
        <v>0</v>
      </c>
      <c r="BA148">
        <f>AZ148/AP148</f>
        <v>0</v>
      </c>
    </row>
    <row r="149">
      <c r="A149">
        <f>'Data-Kolom'!A149</f>
        <v>111</v>
      </c>
      <c r="B149" t="str">
        <f>'Data-Kolom'!B149</f>
        <v>Lantai 2</v>
      </c>
      <c r="C149">
        <f>'Data-Kolom'!C149</f>
        <v>0</v>
      </c>
      <c r="D149" t="str">
        <f>'Data-Kolom'!D149</f>
        <v>K36-1</v>
      </c>
      <c r="E149" t="str">
        <v>T</v>
      </c>
      <c r="F149">
        <f>'Data-Kolom'!U149</f>
        <v>0</v>
      </c>
      <c r="G149">
        <f>'Data-Kolom'!T149</f>
        <v>0</v>
      </c>
      <c r="H149">
        <f>'Data-Kolom'!E149</f>
        <v>300</v>
      </c>
      <c r="I149">
        <f>'Data-Kolom'!F149</f>
        <v>600</v>
      </c>
      <c r="J149">
        <f>'Data-Kolom'!G149</f>
        <v>4500</v>
      </c>
      <c r="K149">
        <v>1</v>
      </c>
      <c r="M149">
        <f>IF(L149&gt;0,VLOOKUP(L149,'Data-PC'!$B$14:$F$36,4,FALSE),0)</f>
        <v>0</v>
      </c>
      <c r="N149">
        <f>'Data-Kolom'!H149</f>
        <v>14</v>
      </c>
      <c r="O149">
        <f>'Data-Kolom'!I149</f>
        <v>22</v>
      </c>
      <c r="P149">
        <f>IF(N149&gt;0,VLOOKUP(O149,$V$2:$X$9,2,FALSE),0)</f>
        <v>1700</v>
      </c>
      <c r="Q149">
        <f>IF(L149&gt;0,M149-50+$N$6*O149,VLOOKUP(O149,$V$2:$X$9,3,FALSE))</f>
        <v>1300</v>
      </c>
      <c r="R149">
        <f>IF(E149="F",J149-$N$5+$N$6*O149+Q149,IF(E149="D",J149+Q149+P149,IF(E149="T",J149+P149,IF(E149="A",J149-$N$5+$N$6*O149,0))))</f>
        <v>6200</v>
      </c>
      <c r="T149">
        <f>SUM(R149:S149)</f>
        <v>6200</v>
      </c>
      <c r="U149">
        <f>K149*N149</f>
        <v>14</v>
      </c>
      <c r="V149">
        <f>'Data-Kolom'!J149</f>
        <v>0</v>
      </c>
      <c r="W149">
        <f>'Data-Kolom'!K149</f>
        <v>0</v>
      </c>
      <c r="X149">
        <f>IF(V149&gt;0,VLOOKUP(W149,$V$2:$X$9,2,FALSE),0)</f>
        <v>0</v>
      </c>
      <c r="Y149">
        <f>IF(V149&gt;0,IF(L149&gt;0,M149-50+$N$6*W149,VLOOKUP(W149,$V$2:$X$9,3,FALSE)),0)</f>
        <v>0</v>
      </c>
      <c r="Z149">
        <f>IF(E149="F",J149-$N$5+$N$6*W149+Y149,IF(E149="D",J149+Y149+X149,IF(E149="T",J149+X149,IF(E149="A",J149-$N$5+$N$6*W149,0))))</f>
        <v>4500</v>
      </c>
      <c r="AB149">
        <f>SUM(Z149:AA149)</f>
        <v>4500</v>
      </c>
      <c r="AC149">
        <f>V149*K149</f>
        <v>0</v>
      </c>
      <c r="AD149">
        <f>'Data-Kolom'!L149</f>
        <v>10</v>
      </c>
      <c r="AE149">
        <f>'Data-Kolom'!M149</f>
        <v>100</v>
      </c>
      <c r="AF149">
        <f>'Data-Kolom'!N149</f>
        <v>100</v>
      </c>
      <c r="AG149">
        <f>'Data-Kolom'!O149</f>
        <v>100</v>
      </c>
      <c r="AH149">
        <f>'Data-Kolom'!P149</f>
        <v>1</v>
      </c>
      <c r="AI149">
        <f>'Data-Kolom'!Q149</f>
        <v>10</v>
      </c>
      <c r="AJ149">
        <f>'Data-Kolom'!R149</f>
        <v>0</v>
      </c>
      <c r="AK149">
        <f>'Data-Kolom'!S149</f>
        <v>0</v>
      </c>
      <c r="AL149">
        <f>2*(H149+I149-4*$N$5)+2*MAX($F$5*AD149,75)</f>
        <v>1790</v>
      </c>
      <c r="AM149">
        <f>+AH149*(H149-2*$N$5+2*MAX($F$5*AI149,75))+AJ149*(I149-2*$N$5+2*MAX($F$5*AK149,75))</f>
        <v>410</v>
      </c>
      <c r="AN149">
        <f>(ROUND((1/2*J149+IF(M149&gt;0,(Q149-$N$6*AD149),0))/AE149,0)+(ROUND(1/2*J149/AF149,0)+1))*K149</f>
        <v>47</v>
      </c>
      <c r="AO149">
        <f>H149*I149*J149/1000000000*K149*(1+$T$5)</f>
        <v>0.81</v>
      </c>
      <c r="AP149">
        <f>0.006165*O149^2*T149*U149/1000*(1+$T$6)</f>
        <v>258.999048</v>
      </c>
      <c r="AQ149">
        <f>0.006165*W149^2*AB149*AC149/1000*(1+$T$6)</f>
        <v>0</v>
      </c>
      <c r="AR149">
        <f>AN149*0.006165*AD149^2*AL149/1000*(1+$T$6)</f>
        <v>51.866145</v>
      </c>
      <c r="AS149">
        <f>AN149*0.006165*AI149^2*AM149/1000*(1+$T$6)</f>
        <v>11.879955000000002</v>
      </c>
      <c r="AT149">
        <f>K149*2*J149*(H149+I149)/1000000*(1+$T$7)</f>
        <v>8.1</v>
      </c>
      <c r="AU149">
        <f>SUM(AP149:AS149)/AO149</f>
        <v>398.4508</v>
      </c>
      <c r="AV149">
        <f>AT149/AO149</f>
        <v>9.999999999999998</v>
      </c>
      <c r="AX149">
        <f>0.006165*O149^2*R149*U149/1000*(1+$T$6)</f>
        <v>258.999048</v>
      </c>
      <c r="AZ149">
        <f>0.006165*O149^2*S149*U149/1000*(1+$T$6)</f>
        <v>0</v>
      </c>
      <c r="BA149">
        <f>AZ149/AP149</f>
        <v>0</v>
      </c>
    </row>
    <row r="150">
      <c r="A150">
        <f>'Data-Kolom'!A150</f>
        <v>202</v>
      </c>
      <c r="B150" t="str">
        <f>'Data-Kolom'!B150</f>
        <v>Lantai 2</v>
      </c>
      <c r="C150">
        <f>'Data-Kolom'!C150</f>
        <v>0</v>
      </c>
      <c r="D150" t="str">
        <f>'Data-Kolom'!D150</f>
        <v>K175-2</v>
      </c>
      <c r="E150" t="str">
        <v>F</v>
      </c>
      <c r="F150">
        <f>'Data-Kolom'!U150</f>
        <v>0</v>
      </c>
      <c r="G150">
        <f>'Data-Kolom'!T150</f>
        <v>0</v>
      </c>
      <c r="H150">
        <f>'Data-Kolom'!E150</f>
        <v>170</v>
      </c>
      <c r="I150">
        <f>'Data-Kolom'!F150</f>
        <v>500</v>
      </c>
      <c r="J150">
        <f>'Data-Kolom'!G150</f>
        <v>4500</v>
      </c>
      <c r="K150">
        <v>1</v>
      </c>
      <c r="M150">
        <f>IF(L150&gt;0,VLOOKUP(L150,'Data-PC'!$B$14:$F$36,4,FALSE),0)</f>
        <v>0</v>
      </c>
      <c r="N150">
        <f>'Data-Kolom'!H150</f>
        <v>8</v>
      </c>
      <c r="O150">
        <f>'Data-Kolom'!I150</f>
        <v>16</v>
      </c>
      <c r="P150">
        <f>IF(N150&gt;0,VLOOKUP(O150,$V$2:$X$9,2,FALSE),0)</f>
        <v>1010</v>
      </c>
      <c r="Q150">
        <f>IF(L150&gt;0,M150-50+$N$6*O150,VLOOKUP(O150,$V$2:$X$9,3,FALSE))</f>
        <v>770</v>
      </c>
      <c r="R150">
        <f>IF(E150="F",J150-$N$5+$N$6*O150+Q150,IF(E150="D",J150+Q150+P150,IF(E150="T",J150+P150,IF(E150="A",J150-$N$5+$N$6*O150,0))))</f>
        <v>5442</v>
      </c>
      <c r="T150">
        <f>SUM(R150:S150)</f>
        <v>5442</v>
      </c>
      <c r="U150">
        <f>K150*N150</f>
        <v>8</v>
      </c>
      <c r="V150">
        <f>'Data-Kolom'!J150</f>
        <v>0</v>
      </c>
      <c r="W150">
        <f>'Data-Kolom'!K150</f>
        <v>0</v>
      </c>
      <c r="X150">
        <f>IF(V150&gt;0,VLOOKUP(W150,$V$2:$X$9,2,FALSE),0)</f>
        <v>0</v>
      </c>
      <c r="Y150">
        <f>IF(V150&gt;0,IF(L150&gt;0,M150-50+$N$6*W150,VLOOKUP(W150,$V$2:$X$9,3,FALSE)),0)</f>
        <v>0</v>
      </c>
      <c r="Z150">
        <f>IF(E150="F",J150-$N$5+$N$6*W150+Y150,IF(E150="D",J150+Y150+X150,IF(E150="T",J150+X150,IF(E150="A",J150-$N$5+$N$6*W150,0))))</f>
        <v>4480</v>
      </c>
      <c r="AB150">
        <f>SUM(Z150:AA150)</f>
        <v>4480</v>
      </c>
      <c r="AC150">
        <f>V150*K150</f>
        <v>0</v>
      </c>
      <c r="AD150">
        <f>'Data-Kolom'!L150</f>
        <v>8</v>
      </c>
      <c r="AE150">
        <f>'Data-Kolom'!M150</f>
        <v>100</v>
      </c>
      <c r="AF150">
        <f>'Data-Kolom'!N150</f>
        <v>100</v>
      </c>
      <c r="AG150">
        <f>'Data-Kolom'!O150</f>
        <v>100</v>
      </c>
      <c r="AH150">
        <f>'Data-Kolom'!P150</f>
        <v>0.5</v>
      </c>
      <c r="AI150">
        <f>'Data-Kolom'!Q150</f>
        <v>8</v>
      </c>
      <c r="AJ150">
        <f>'Data-Kolom'!R150</f>
        <v>0</v>
      </c>
      <c r="AK150">
        <f>'Data-Kolom'!S150</f>
        <v>0</v>
      </c>
      <c r="AL150">
        <f>2*(H150+I150-4*$N$5)+2*MAX($F$5*AD150,75)</f>
        <v>1330</v>
      </c>
      <c r="AM150">
        <f>+AH150*(H150-2*$N$5+2*MAX($F$5*AI150,75))+AJ150*(I150-2*$N$5+2*MAX($F$5*AK150,75))</f>
        <v>140</v>
      </c>
      <c r="AN150">
        <f>(ROUND((1/2*J150+IF(M150&gt;0,(Q150-$N$6*AD150),0))/AE150,0)+(ROUND(1/2*J150/AF150,0)+1))*K150</f>
        <v>47</v>
      </c>
      <c r="AO150">
        <f>H150*I150*J150/1000000000*K150*(1+$T$5)</f>
        <v>0.3825</v>
      </c>
      <c r="AP150">
        <f>0.006165*O150^2*T150*U150/1000*(1+$T$6)</f>
        <v>68.71025664000001</v>
      </c>
      <c r="AQ150">
        <f>0.006165*W150^2*AB150*AC150/1000*(1+$T$6)</f>
        <v>0</v>
      </c>
      <c r="AR150">
        <f>AN150*0.006165*AD150^2*AL150/1000*(1+$T$6)</f>
        <v>24.6639456</v>
      </c>
      <c r="AS150">
        <f>AN150*0.006165*AI150^2*AM150/1000*(1+$T$6)</f>
        <v>2.5962048000000006</v>
      </c>
      <c r="AT150">
        <f>K150*2*J150*(H150+I150)/1000000*(1+$T$7)</f>
        <v>6.03</v>
      </c>
      <c r="AU150">
        <f>SUM(AP150:AS150)/AO150</f>
        <v>250.9030249411765</v>
      </c>
      <c r="AV150">
        <f>AT150/AO150</f>
        <v>15.764705882352942</v>
      </c>
      <c r="AX150">
        <f>0.006165*O150^2*R150*U150/1000*(1+$T$6)</f>
        <v>68.71025664000001</v>
      </c>
      <c r="AZ150">
        <f>0.006165*O150^2*S150*U150/1000*(1+$T$6)</f>
        <v>0</v>
      </c>
      <c r="BA150">
        <f>AZ150/AP150</f>
        <v>0</v>
      </c>
    </row>
    <row r="151">
      <c r="A151">
        <f>'Data-Kolom'!A151</f>
        <v>203</v>
      </c>
      <c r="B151" t="str">
        <f>'Data-Kolom'!B151</f>
        <v>Lantai 2</v>
      </c>
      <c r="C151">
        <f>'Data-Kolom'!C151</f>
        <v>0</v>
      </c>
      <c r="D151" t="str">
        <f>'Data-Kolom'!D151</f>
        <v>K175-3</v>
      </c>
      <c r="E151" t="str">
        <v>D</v>
      </c>
      <c r="F151">
        <f>'Data-Kolom'!U151</f>
        <v>0</v>
      </c>
      <c r="G151">
        <f>'Data-Kolom'!T151</f>
        <v>0</v>
      </c>
      <c r="H151">
        <f>'Data-Kolom'!E151</f>
        <v>170</v>
      </c>
      <c r="I151">
        <f>'Data-Kolom'!F151</f>
        <v>500</v>
      </c>
      <c r="J151">
        <f>'Data-Kolom'!G151</f>
        <v>4500</v>
      </c>
      <c r="K151">
        <v>1</v>
      </c>
      <c r="M151">
        <f>IF(L151&gt;0,VLOOKUP(L151,'Data-PC'!$B$14:$F$36,4,FALSE),0)</f>
        <v>0</v>
      </c>
      <c r="N151">
        <f>'Data-Kolom'!H151</f>
        <v>4</v>
      </c>
      <c r="O151">
        <f>'Data-Kolom'!I151</f>
        <v>19</v>
      </c>
      <c r="P151">
        <f>IF(N151&gt;0,VLOOKUP(O151,$V$2:$X$9,2,FALSE),0)</f>
        <v>1190</v>
      </c>
      <c r="Q151">
        <f>IF(L151&gt;0,M151-50+$N$6*O151,VLOOKUP(O151,$V$2:$X$9,3,FALSE))</f>
        <v>910</v>
      </c>
      <c r="R151">
        <f>IF(E151="F",J151-$N$5+$N$6*O151+Q151,IF(E151="D",J151+Q151+P151,IF(E151="T",J151+P151,IF(E151="A",J151-$N$5+$N$6*O151,0))))</f>
        <v>6600</v>
      </c>
      <c r="T151">
        <f>SUM(R151:S151)</f>
        <v>6600</v>
      </c>
      <c r="U151">
        <f>K151*N151</f>
        <v>4</v>
      </c>
      <c r="V151">
        <f>'Data-Kolom'!J151</f>
        <v>4</v>
      </c>
      <c r="W151">
        <f>'Data-Kolom'!K151</f>
        <v>16</v>
      </c>
      <c r="X151">
        <f>IF(V151&gt;0,VLOOKUP(W151,$V$2:$X$9,2,FALSE),0)</f>
        <v>1010</v>
      </c>
      <c r="Y151">
        <f>IF(V151&gt;0,IF(L151&gt;0,M151-50+$N$6*W151,VLOOKUP(W151,$V$2:$X$9,3,FALSE)),0)</f>
        <v>770</v>
      </c>
      <c r="Z151">
        <f>IF(E151="F",J151-$N$5+$N$6*W151+Y151,IF(E151="D",J151+Y151+X151,IF(E151="T",J151+X151,IF(E151="A",J151-$N$5+$N$6*W151,0))))</f>
        <v>6280</v>
      </c>
      <c r="AB151">
        <f>SUM(Z151:AA151)</f>
        <v>6280</v>
      </c>
      <c r="AC151">
        <f>V151*K151</f>
        <v>4</v>
      </c>
      <c r="AD151">
        <f>'Data-Kolom'!L151</f>
        <v>8</v>
      </c>
      <c r="AE151">
        <f>'Data-Kolom'!M151</f>
        <v>100</v>
      </c>
      <c r="AF151">
        <f>'Data-Kolom'!N151</f>
        <v>100</v>
      </c>
      <c r="AG151">
        <f>'Data-Kolom'!O151</f>
        <v>100</v>
      </c>
      <c r="AH151">
        <f>'Data-Kolom'!P151</f>
        <v>0.5</v>
      </c>
      <c r="AI151">
        <f>'Data-Kolom'!Q151</f>
        <v>8</v>
      </c>
      <c r="AJ151">
        <f>'Data-Kolom'!R151</f>
        <v>0</v>
      </c>
      <c r="AK151">
        <f>'Data-Kolom'!S151</f>
        <v>0</v>
      </c>
      <c r="AL151">
        <f>2*(H151+I151-4*$N$5)+2*MAX($F$5*AD151,75)</f>
        <v>1330</v>
      </c>
      <c r="AM151">
        <f>+AH151*(H151-2*$N$5+2*MAX($F$5*AI151,75))+AJ151*(I151-2*$N$5+2*MAX($F$5*AK151,75))</f>
        <v>140</v>
      </c>
      <c r="AN151">
        <f>(ROUND((1/2*J151+IF(M151&gt;0,(Q151-$N$6*AD151),0))/AE151,0)+(ROUND(1/2*J151/AF151,0)+1))*K151</f>
        <v>47</v>
      </c>
      <c r="AO151">
        <f>H151*I151*J151/1000000000*K151*(1+$T$5)</f>
        <v>0.3825</v>
      </c>
      <c r="AP151">
        <f>0.006165*O151^2*T151*U151/1000*(1+$T$6)</f>
        <v>58.754915999999994</v>
      </c>
      <c r="AQ151">
        <f>0.006165*W151^2*AB151*AC151/1000*(1+$T$6)</f>
        <v>39.6453888</v>
      </c>
      <c r="AR151">
        <f>AN151*0.006165*AD151^2*AL151/1000*(1+$T$6)</f>
        <v>24.6639456</v>
      </c>
      <c r="AS151">
        <f>AN151*0.006165*AI151^2*AM151/1000*(1+$T$6)</f>
        <v>2.5962048000000006</v>
      </c>
      <c r="AT151">
        <f>K151*2*J151*(H151+I151)/1000000*(1+$T$7)</f>
        <v>6.03</v>
      </c>
      <c r="AU151">
        <f>SUM(AP151:AS151)/AO151</f>
        <v>328.5240658823529</v>
      </c>
      <c r="AV151">
        <f>AT151/AO151</f>
        <v>15.764705882352942</v>
      </c>
      <c r="AX151">
        <f>0.006165*O151^2*R151*U151/1000*(1+$T$6)</f>
        <v>58.754915999999994</v>
      </c>
      <c r="AZ151">
        <f>0.006165*O151^2*S151*U151/1000*(1+$T$6)</f>
        <v>0</v>
      </c>
      <c r="BA151">
        <f>AZ151/AP151</f>
        <v>0</v>
      </c>
    </row>
    <row r="152">
      <c r="A152">
        <f>'Data-Kolom'!A152</f>
        <v>204</v>
      </c>
      <c r="B152" t="str">
        <f>'Data-Kolom'!B152</f>
        <v>Lantai 2</v>
      </c>
      <c r="C152">
        <f>'Data-Kolom'!C152</f>
        <v>0</v>
      </c>
      <c r="D152" t="str">
        <f>'Data-Kolom'!D152</f>
        <v>K177-1</v>
      </c>
      <c r="E152" t="str">
        <v>F</v>
      </c>
      <c r="F152">
        <f>'Data-Kolom'!U152</f>
        <v>0</v>
      </c>
      <c r="G152">
        <f>'Data-Kolom'!T152</f>
        <v>0</v>
      </c>
      <c r="H152">
        <f>'Data-Kolom'!E152</f>
        <v>170</v>
      </c>
      <c r="I152">
        <f>'Data-Kolom'!F152</f>
        <v>700</v>
      </c>
      <c r="J152">
        <f>'Data-Kolom'!G152</f>
        <v>4500</v>
      </c>
      <c r="K152">
        <v>1</v>
      </c>
      <c r="M152">
        <f>IF(L152&gt;0,VLOOKUP(L152,'Data-PC'!$B$14:$F$36,4,FALSE),0)</f>
        <v>0</v>
      </c>
      <c r="N152">
        <f>'Data-Kolom'!H152</f>
        <v>10</v>
      </c>
      <c r="O152">
        <f>'Data-Kolom'!I152</f>
        <v>19</v>
      </c>
      <c r="P152">
        <f>IF(N152&gt;0,VLOOKUP(O152,$V$2:$X$9,2,FALSE),0)</f>
        <v>1190</v>
      </c>
      <c r="Q152">
        <f>IF(L152&gt;0,M152-50+$N$6*O152,VLOOKUP(O152,$V$2:$X$9,3,FALSE))</f>
        <v>910</v>
      </c>
      <c r="R152">
        <f>IF(E152="F",J152-$N$5+$N$6*O152+Q152,IF(E152="D",J152+Q152+P152,IF(E152="T",J152+P152,IF(E152="A",J152-$N$5+$N$6*O152,0))))</f>
        <v>5618</v>
      </c>
      <c r="T152">
        <f>SUM(R152:S152)</f>
        <v>5618</v>
      </c>
      <c r="U152">
        <f>K152*N152</f>
        <v>10</v>
      </c>
      <c r="V152">
        <f>'Data-Kolom'!J152</f>
        <v>0</v>
      </c>
      <c r="W152">
        <f>'Data-Kolom'!K152</f>
        <v>0</v>
      </c>
      <c r="X152">
        <f>IF(V152&gt;0,VLOOKUP(W152,$V$2:$X$9,2,FALSE),0)</f>
        <v>0</v>
      </c>
      <c r="Y152">
        <f>IF(V152&gt;0,IF(L152&gt;0,M152-50+$N$6*W152,VLOOKUP(W152,$V$2:$X$9,3,FALSE)),0)</f>
        <v>0</v>
      </c>
      <c r="Z152">
        <f>IF(E152="F",J152-$N$5+$N$6*W152+Y152,IF(E152="D",J152+Y152+X152,IF(E152="T",J152+X152,IF(E152="A",J152-$N$5+$N$6*W152,0))))</f>
        <v>4480</v>
      </c>
      <c r="AB152">
        <f>SUM(Z152:AA152)</f>
        <v>4480</v>
      </c>
      <c r="AC152">
        <f>V152*K152</f>
        <v>0</v>
      </c>
      <c r="AD152">
        <f>'Data-Kolom'!L152</f>
        <v>8</v>
      </c>
      <c r="AE152">
        <f>'Data-Kolom'!M152</f>
        <v>100</v>
      </c>
      <c r="AF152">
        <f>'Data-Kolom'!N152</f>
        <v>100</v>
      </c>
      <c r="AG152">
        <f>'Data-Kolom'!O152</f>
        <v>100</v>
      </c>
      <c r="AH152">
        <f>'Data-Kolom'!P152</f>
        <v>0.5</v>
      </c>
      <c r="AI152">
        <f>'Data-Kolom'!Q152</f>
        <v>8</v>
      </c>
      <c r="AJ152">
        <f>'Data-Kolom'!R152</f>
        <v>0</v>
      </c>
      <c r="AK152">
        <f>'Data-Kolom'!S152</f>
        <v>0</v>
      </c>
      <c r="AL152">
        <f>2*(H152+I152-4*$N$5)+2*MAX($F$5*AD152,75)</f>
        <v>1730</v>
      </c>
      <c r="AM152">
        <f>+AH152*(H152-2*$N$5+2*MAX($F$5*AI152,75))+AJ152*(I152-2*$N$5+2*MAX($F$5*AK152,75))</f>
        <v>140</v>
      </c>
      <c r="AN152">
        <f>(ROUND((1/2*J152+IF(M152&gt;0,(Q152-$N$6*AD152),0))/AE152,0)+(ROUND(1/2*J152/AF152,0)+1))*K152</f>
        <v>47</v>
      </c>
      <c r="AO152">
        <f>H152*I152*J152/1000000000*K152*(1+$T$5)</f>
        <v>0.5355</v>
      </c>
      <c r="AP152">
        <f>0.006165*O152^2*T152*U152/1000*(1+$T$6)</f>
        <v>125.0322417</v>
      </c>
      <c r="AQ152">
        <f>0.006165*W152^2*AB152*AC152/1000*(1+$T$6)</f>
        <v>0</v>
      </c>
      <c r="AR152">
        <f>AN152*0.006165*AD152^2*AL152/1000*(1+$T$6)</f>
        <v>32.0816736</v>
      </c>
      <c r="AS152">
        <f>AN152*0.006165*AI152^2*AM152/1000*(1+$T$6)</f>
        <v>2.5962048000000006</v>
      </c>
      <c r="AT152">
        <f>K152*2*J152*(H152+I152)/1000000*(1+$T$7)</f>
        <v>7.83</v>
      </c>
      <c r="AU152">
        <f>SUM(AP152:AS152)/AO152</f>
        <v>298.2448554621849</v>
      </c>
      <c r="AV152">
        <f>AT152/AO152</f>
        <v>14.6218487394958</v>
      </c>
      <c r="AX152">
        <f>0.006165*O152^2*R152*U152/1000*(1+$T$6)</f>
        <v>125.0322417</v>
      </c>
      <c r="AZ152">
        <f>0.006165*O152^2*S152*U152/1000*(1+$T$6)</f>
        <v>0</v>
      </c>
      <c r="BA152">
        <f>AZ152/AP152</f>
        <v>0</v>
      </c>
    </row>
    <row r="153">
      <c r="A153">
        <f>'Data-Kolom'!A153</f>
        <v>205</v>
      </c>
      <c r="B153" t="str">
        <f>'Data-Kolom'!B153</f>
        <v>Lantai 2</v>
      </c>
      <c r="C153">
        <f>'Data-Kolom'!C153</f>
        <v>0</v>
      </c>
      <c r="D153" t="str">
        <f>'Data-Kolom'!D153</f>
        <v>K177-2</v>
      </c>
      <c r="E153" t="str">
        <v>F</v>
      </c>
      <c r="F153">
        <f>'Data-Kolom'!U153</f>
        <v>0</v>
      </c>
      <c r="G153">
        <f>'Data-Kolom'!T153</f>
        <v>0</v>
      </c>
      <c r="H153">
        <f>'Data-Kolom'!E153</f>
        <v>170</v>
      </c>
      <c r="I153">
        <f>'Data-Kolom'!F153</f>
        <v>700</v>
      </c>
      <c r="J153">
        <f>'Data-Kolom'!G153</f>
        <v>4500</v>
      </c>
      <c r="K153">
        <v>1</v>
      </c>
      <c r="M153">
        <f>IF(L153&gt;0,VLOOKUP(L153,'Data-PC'!$B$14:$F$36,4,FALSE),0)</f>
        <v>0</v>
      </c>
      <c r="N153">
        <f>'Data-Kolom'!H153</f>
        <v>12</v>
      </c>
      <c r="O153">
        <f>'Data-Kolom'!I153</f>
        <v>19</v>
      </c>
      <c r="P153">
        <f>IF(N153&gt;0,VLOOKUP(O153,$V$2:$X$9,2,FALSE),0)</f>
        <v>1190</v>
      </c>
      <c r="Q153">
        <f>IF(L153&gt;0,M153-50+$N$6*O153,VLOOKUP(O153,$V$2:$X$9,3,FALSE))</f>
        <v>910</v>
      </c>
      <c r="R153">
        <f>IF(E153="F",J153-$N$5+$N$6*O153+Q153,IF(E153="D",J153+Q153+P153,IF(E153="T",J153+P153,IF(E153="A",J153-$N$5+$N$6*O153,0))))</f>
        <v>5618</v>
      </c>
      <c r="T153">
        <f>SUM(R153:S153)</f>
        <v>5618</v>
      </c>
      <c r="U153">
        <f>K153*N153</f>
        <v>12</v>
      </c>
      <c r="V153">
        <f>'Data-Kolom'!J153</f>
        <v>0</v>
      </c>
      <c r="W153">
        <f>'Data-Kolom'!K153</f>
        <v>0</v>
      </c>
      <c r="X153">
        <f>IF(V153&gt;0,VLOOKUP(W153,$V$2:$X$9,2,FALSE),0)</f>
        <v>0</v>
      </c>
      <c r="Y153">
        <f>IF(V153&gt;0,IF(L153&gt;0,M153-50+$N$6*W153,VLOOKUP(W153,$V$2:$X$9,3,FALSE)),0)</f>
        <v>0</v>
      </c>
      <c r="Z153">
        <f>IF(E153="F",J153-$N$5+$N$6*W153+Y153,IF(E153="D",J153+Y153+X153,IF(E153="T",J153+X153,IF(E153="A",J153-$N$5+$N$6*W153,0))))</f>
        <v>4480</v>
      </c>
      <c r="AB153">
        <f>SUM(Z153:AA153)</f>
        <v>4480</v>
      </c>
      <c r="AC153">
        <f>V153*K153</f>
        <v>0</v>
      </c>
      <c r="AD153">
        <f>'Data-Kolom'!L153</f>
        <v>8</v>
      </c>
      <c r="AE153">
        <f>'Data-Kolom'!M153</f>
        <v>100</v>
      </c>
      <c r="AF153">
        <f>'Data-Kolom'!N153</f>
        <v>100</v>
      </c>
      <c r="AG153">
        <f>'Data-Kolom'!O153</f>
        <v>100</v>
      </c>
      <c r="AH153">
        <f>'Data-Kolom'!P153</f>
        <v>1</v>
      </c>
      <c r="AI153">
        <f>'Data-Kolom'!Q153</f>
        <v>8</v>
      </c>
      <c r="AJ153">
        <f>'Data-Kolom'!R153</f>
        <v>0</v>
      </c>
      <c r="AK153">
        <f>'Data-Kolom'!S153</f>
        <v>0</v>
      </c>
      <c r="AL153">
        <f>2*(H153+I153-4*$N$5)+2*MAX($F$5*AD153,75)</f>
        <v>1730</v>
      </c>
      <c r="AM153">
        <f>+AH153*(H153-2*$N$5+2*MAX($F$5*AI153,75))+AJ153*(I153-2*$N$5+2*MAX($F$5*AK153,75))</f>
        <v>280</v>
      </c>
      <c r="AN153">
        <f>(ROUND((1/2*J153+IF(M153&gt;0,(Q153-$N$6*AD153),0))/AE153,0)+(ROUND(1/2*J153/AF153,0)+1))*K153</f>
        <v>47</v>
      </c>
      <c r="AO153">
        <f>H153*I153*J153/1000000000*K153*(1+$T$5)</f>
        <v>0.5355</v>
      </c>
      <c r="AP153">
        <f>0.006165*O153^2*T153*U153/1000*(1+$T$6)</f>
        <v>150.03869003999998</v>
      </c>
      <c r="AQ153">
        <f>0.006165*W153^2*AB153*AC153/1000*(1+$T$6)</f>
        <v>0</v>
      </c>
      <c r="AR153">
        <f>AN153*0.006165*AD153^2*AL153/1000*(1+$T$6)</f>
        <v>32.0816736</v>
      </c>
      <c r="AS153">
        <f>AN153*0.006165*AI153^2*AM153/1000*(1+$T$6)</f>
        <v>5.192409600000001</v>
      </c>
      <c r="AT153">
        <f>K153*2*J153*(H153+I153)/1000000*(1+$T$7)</f>
        <v>7.83</v>
      </c>
      <c r="AU153">
        <f>SUM(AP153:AS153)/AO153</f>
        <v>349.79042621848737</v>
      </c>
      <c r="AV153">
        <f>AT153/AO153</f>
        <v>14.6218487394958</v>
      </c>
      <c r="AX153">
        <f>0.006165*O153^2*R153*U153/1000*(1+$T$6)</f>
        <v>150.03869003999998</v>
      </c>
      <c r="AZ153">
        <f>0.006165*O153^2*S153*U153/1000*(1+$T$6)</f>
        <v>0</v>
      </c>
      <c r="BA153">
        <f>AZ153/AP153</f>
        <v>0</v>
      </c>
    </row>
    <row r="154">
      <c r="A154">
        <f>'Data-Kolom'!A154</f>
        <v>206</v>
      </c>
      <c r="B154" t="str">
        <f>'Data-Kolom'!B154</f>
        <v>Lantai 2</v>
      </c>
      <c r="C154">
        <f>'Data-Kolom'!C154</f>
        <v>0</v>
      </c>
      <c r="D154" t="str">
        <f>'Data-Kolom'!D154</f>
        <v>KL175-2</v>
      </c>
      <c r="E154" t="str">
        <v>F</v>
      </c>
      <c r="F154">
        <f>'Data-Kolom'!U154</f>
        <v>0</v>
      </c>
      <c r="G154">
        <f>'Data-Kolom'!T154</f>
        <v>0</v>
      </c>
      <c r="H154">
        <f>'Data-Kolom'!E154</f>
        <v>170</v>
      </c>
      <c r="I154">
        <f>'Data-Kolom'!F154</f>
        <v>500</v>
      </c>
      <c r="J154">
        <f>'Data-Kolom'!G154</f>
        <v>4500</v>
      </c>
      <c r="K154">
        <v>2</v>
      </c>
      <c r="L154">
        <f>'Data-Kolom'!C154</f>
        <v>0</v>
      </c>
      <c r="M154">
        <f>IF(L154&gt;0,VLOOKUP(L154,'Data-PC'!$B$14:$F$36,4,FALSE),0)</f>
        <v>0</v>
      </c>
      <c r="N154">
        <f>'Data-Kolom'!H154</f>
        <v>4</v>
      </c>
      <c r="O154">
        <f>'Data-Kolom'!I154</f>
        <v>19</v>
      </c>
      <c r="P154">
        <f>IF(N154&gt;0,VLOOKUP(O154,$V$2:$X$9,2,FALSE),0)</f>
        <v>1190</v>
      </c>
      <c r="Q154">
        <f>IF(L154&gt;0,M154-50+$N$6*O154,VLOOKUP(O154,$V$2:$X$9,3,FALSE))</f>
        <v>910</v>
      </c>
      <c r="R154">
        <f>IF(E154="F",J154-$N$5+$N$6*O154+Q154,IF(E154="D",J154+Q154+P154,IF(E154="T",J154+P154,IF(E154="A",J154-$N$5+$N$6*O154,0))))</f>
        <v>5618</v>
      </c>
      <c r="T154">
        <f>SUM(R154:S154)</f>
        <v>5618</v>
      </c>
      <c r="U154">
        <f>K154*N154</f>
        <v>8</v>
      </c>
      <c r="V154">
        <f>'Data-Kolom'!J154</f>
        <v>2</v>
      </c>
      <c r="W154">
        <f>'Data-Kolom'!K154</f>
        <v>13</v>
      </c>
      <c r="X154">
        <f>IF(V154&gt;0,VLOOKUP(W154,$V$2:$X$9,2,FALSE),0)</f>
        <v>820</v>
      </c>
      <c r="Y154">
        <f>IF(V154&gt;0,IF(L154&gt;0,M154-50+$N$6*W154,VLOOKUP(W154,$V$2:$X$9,3,FALSE)),0)</f>
        <v>630</v>
      </c>
      <c r="Z154">
        <f>IF(E154="F",J154-$N$5+$N$6*W154+Y154,IF(E154="D",J154+Y154+X154,IF(E154="T",J154+X154,IF(E154="A",J154-$N$5+$N$6*W154,0))))</f>
        <v>5266</v>
      </c>
      <c r="AB154">
        <f>SUM(Z154:AA154)</f>
        <v>5266</v>
      </c>
      <c r="AC154">
        <f>V154*K154</f>
        <v>4</v>
      </c>
      <c r="AD154">
        <f>'Data-Kolom'!L154</f>
        <v>8</v>
      </c>
      <c r="AE154">
        <f>'Data-Kolom'!M154</f>
        <v>100</v>
      </c>
      <c r="AF154">
        <f>'Data-Kolom'!N154</f>
        <v>100</v>
      </c>
      <c r="AG154">
        <f>'Data-Kolom'!O154</f>
        <v>100</v>
      </c>
      <c r="AH154">
        <f>'Data-Kolom'!P154</f>
        <v>0</v>
      </c>
      <c r="AI154">
        <f>'Data-Kolom'!Q154</f>
        <v>0</v>
      </c>
      <c r="AJ154">
        <f>'Data-Kolom'!R154</f>
        <v>0</v>
      </c>
      <c r="AK154">
        <f>'Data-Kolom'!S154</f>
        <v>0</v>
      </c>
      <c r="AL154">
        <f>2*(H154+I154-4*$N$5)+2*MAX($F$5*AD154,75)</f>
        <v>1330</v>
      </c>
      <c r="AM154">
        <f>+AH154*(H154-2*$N$5+2*MAX($F$5*AI154,75))+AJ154*(I154-2*$N$5+2*MAX($F$5*AK154,75))</f>
        <v>0</v>
      </c>
      <c r="AN154">
        <f>(ROUND((1/2*J154+IF(M154&gt;0,(Q154-$N$6*AD154),0))/AE154,0)+(ROUND(1/2*J154/AF154,0)+1))*K154</f>
        <v>94</v>
      </c>
      <c r="AO154">
        <f>H154*I154*J154/1000000000*K154*(1+$T$5)-(K154/2*H154*H154*J154/1000000000)</f>
        <v>0.63495</v>
      </c>
      <c r="AP154">
        <f>0.006165*O154^2*T154*U154/1000*(1+$T$6)</f>
        <v>100.02579336</v>
      </c>
      <c r="AQ154">
        <f>0.006165*W154^2*AB154*AC154/1000*(1+$T$6)</f>
        <v>21.946265639999996</v>
      </c>
      <c r="AR154">
        <f>AN154*0.006165*AD154^2*AL154/1000*(1+$T$6)</f>
        <v>49.3278912</v>
      </c>
      <c r="AS154">
        <f>AN154*0.006165*AI154^2*AM154/1000*(1+$T$6)</f>
        <v>0</v>
      </c>
      <c r="AT154">
        <f>K154*2*J154*(H154+I154)/1000000*(1+$T$7)-(K154/2*4*H154*J154/1000000)</f>
        <v>9</v>
      </c>
      <c r="AU154">
        <f>SUM(AP154:AS154)/AO154</f>
        <v>269.78494401133946</v>
      </c>
      <c r="AV154">
        <f>AT154/AO154</f>
        <v>14.174344436569807</v>
      </c>
      <c r="AX154">
        <f>0.006165*O154^2*R154*U154/1000*(1+$T$6)</f>
        <v>100.02579336</v>
      </c>
      <c r="AZ154">
        <f>0.006165*O154^2*S154*U154/1000*(1+$T$6)</f>
        <v>0</v>
      </c>
      <c r="BA154">
        <f>AZ154/AP154</f>
        <v>0</v>
      </c>
    </row>
    <row r="155">
      <c r="A155">
        <f>'Data-Kolom'!A155</f>
        <v>207</v>
      </c>
      <c r="B155" t="str">
        <f>'Data-Kolom'!B155</f>
        <v>Lantai 2</v>
      </c>
      <c r="C155">
        <f>'Data-Kolom'!C155</f>
        <v>0</v>
      </c>
      <c r="D155" t="str">
        <f>'Data-Kolom'!D155</f>
        <v>KL175-1</v>
      </c>
      <c r="E155" t="str">
        <v>F</v>
      </c>
      <c r="F155">
        <f>'Data-Kolom'!U155</f>
        <v>0</v>
      </c>
      <c r="G155">
        <f>'Data-Kolom'!T155</f>
        <v>0</v>
      </c>
      <c r="H155">
        <f>'Data-Kolom'!E155</f>
        <v>170</v>
      </c>
      <c r="I155">
        <f>'Data-Kolom'!F155</f>
        <v>500</v>
      </c>
      <c r="J155">
        <f>'Data-Kolom'!G155</f>
        <v>4500</v>
      </c>
      <c r="K155">
        <v>2</v>
      </c>
      <c r="L155">
        <f>'Data-Kolom'!C155</f>
        <v>0</v>
      </c>
      <c r="M155">
        <f>IF(L155&gt;0,VLOOKUP(L155,'Data-PC'!$B$14:$F$36,4,FALSE),0)</f>
        <v>0</v>
      </c>
      <c r="N155">
        <f>'Data-Kolom'!H155</f>
        <v>6</v>
      </c>
      <c r="O155">
        <f>'Data-Kolom'!I155</f>
        <v>16</v>
      </c>
      <c r="P155">
        <f>IF(N155&gt;0,VLOOKUP(O155,$V$2:$X$9,2,FALSE),0)</f>
        <v>1010</v>
      </c>
      <c r="Q155">
        <f>IF(L155&gt;0,M155-50+$N$6*O155,VLOOKUP(O155,$V$2:$X$9,3,FALSE))</f>
        <v>770</v>
      </c>
      <c r="R155">
        <f>IF(E155="F",J155-$N$5+$N$6*O155+Q155,IF(E155="D",J155+Q155+P155,IF(E155="T",J155+P155,IF(E155="A",J155-$N$5+$N$6*O155,0))))</f>
        <v>5442</v>
      </c>
      <c r="T155">
        <f>SUM(R155:S155)</f>
        <v>5442</v>
      </c>
      <c r="U155">
        <f>K155*N155</f>
        <v>12</v>
      </c>
      <c r="V155">
        <f>'Data-Kolom'!J155</f>
        <v>0</v>
      </c>
      <c r="W155">
        <f>'Data-Kolom'!K155</f>
        <v>0</v>
      </c>
      <c r="X155">
        <f>IF(V155&gt;0,VLOOKUP(W155,$V$2:$X$9,2,FALSE),0)</f>
        <v>0</v>
      </c>
      <c r="Y155">
        <f>IF(V155&gt;0,IF(L155&gt;0,M155-50+$N$6*W155,VLOOKUP(W155,$V$2:$X$9,3,FALSE)),0)</f>
        <v>0</v>
      </c>
      <c r="Z155">
        <f>IF(E155="F",J155-$N$5+$N$6*W155+Y155,IF(E155="D",J155+Y155+X155,IF(E155="T",J155+X155,IF(E155="A",J155-$N$5+$N$6*W155,0))))</f>
        <v>4480</v>
      </c>
      <c r="AB155">
        <f>SUM(Z155:AA155)</f>
        <v>4480</v>
      </c>
      <c r="AC155">
        <f>V155*K155</f>
        <v>0</v>
      </c>
      <c r="AD155">
        <f>'Data-Kolom'!L155</f>
        <v>8</v>
      </c>
      <c r="AE155">
        <f>'Data-Kolom'!M155</f>
        <v>100</v>
      </c>
      <c r="AF155">
        <f>'Data-Kolom'!N155</f>
        <v>100</v>
      </c>
      <c r="AG155">
        <f>'Data-Kolom'!O155</f>
        <v>100</v>
      </c>
      <c r="AH155">
        <f>'Data-Kolom'!P155</f>
        <v>0</v>
      </c>
      <c r="AI155">
        <f>'Data-Kolom'!Q155</f>
        <v>0</v>
      </c>
      <c r="AJ155">
        <f>'Data-Kolom'!R155</f>
        <v>0</v>
      </c>
      <c r="AK155">
        <f>'Data-Kolom'!S155</f>
        <v>0</v>
      </c>
      <c r="AL155">
        <f>2*(H155+I155-4*$N$5)+2*MAX($F$5*AD155,75)</f>
        <v>1330</v>
      </c>
      <c r="AM155">
        <f>+AH155*(H155-2*$N$5+2*MAX($F$5*AI155,75))+AJ155*(I155-2*$N$5+2*MAX($F$5*AK155,75))</f>
        <v>0</v>
      </c>
      <c r="AN155">
        <f>(ROUND((1/2*J155+IF(M155&gt;0,(Q155-$N$6*AD155),0))/AE155,0)+(ROUND(1/2*J155/AF155,0)+1))*K155</f>
        <v>94</v>
      </c>
      <c r="AO155">
        <f>H155*I155*J155/1000000000*K155*(1+$T$5)-(K155/2*H155*H155*J155/1000000000)</f>
        <v>0.63495</v>
      </c>
      <c r="AP155">
        <f>0.006165*O155^2*T155*U155/1000*(1+$T$6)</f>
        <v>103.06538496000002</v>
      </c>
      <c r="AQ155">
        <f>0.006165*W155^2*AB155*AC155/1000*(1+$T$6)</f>
        <v>0</v>
      </c>
      <c r="AR155">
        <f>AN155*0.006165*AD155^2*AL155/1000*(1+$T$6)</f>
        <v>49.3278912</v>
      </c>
      <c r="AS155">
        <f>AN155*0.006165*AI155^2*AM155/1000*(1+$T$6)</f>
        <v>0</v>
      </c>
      <c r="AT155">
        <f>K155*2*J155*(H155+I155)/1000000*(1+$T$7)-(K155/2*4*H155*J155/1000000)</f>
        <v>9</v>
      </c>
      <c r="AU155">
        <f>SUM(AP155:AS155)/AO155</f>
        <v>240.00830956768255</v>
      </c>
      <c r="AV155">
        <f>AT155/AO155</f>
        <v>14.174344436569807</v>
      </c>
      <c r="AX155">
        <f>0.006165*O155^2*R155*U155/1000*(1+$T$6)</f>
        <v>103.06538496000002</v>
      </c>
      <c r="AZ155">
        <f>0.006165*O155^2*S155*U155/1000*(1+$T$6)</f>
        <v>0</v>
      </c>
      <c r="BA155">
        <f>AZ155/AP155</f>
        <v>0</v>
      </c>
    </row>
    <row r="156">
      <c r="A156">
        <f>'Data-Kolom'!A156</f>
        <v>208</v>
      </c>
      <c r="B156" t="str">
        <f>'Data-Kolom'!B156</f>
        <v>Lantai 2</v>
      </c>
      <c r="C156">
        <f>'Data-Kolom'!C156</f>
        <v>0</v>
      </c>
      <c r="D156" t="str">
        <f>'Data-Kolom'!D156</f>
        <v>K175-1</v>
      </c>
      <c r="E156" t="str">
        <v>F</v>
      </c>
      <c r="F156">
        <f>'Data-Kolom'!U156</f>
        <v>0</v>
      </c>
      <c r="G156">
        <f>'Data-Kolom'!T156</f>
        <v>0</v>
      </c>
      <c r="H156">
        <f>'Data-Kolom'!E156</f>
        <v>170</v>
      </c>
      <c r="I156">
        <f>'Data-Kolom'!F156</f>
        <v>500</v>
      </c>
      <c r="J156">
        <f>'Data-Kolom'!G156</f>
        <v>4500</v>
      </c>
      <c r="K156">
        <v>1</v>
      </c>
      <c r="M156">
        <f>IF(L156&gt;0,VLOOKUP(L156,'Data-PC'!$B$14:$F$36,4,FALSE),0)</f>
        <v>0</v>
      </c>
      <c r="N156">
        <f>'Data-Kolom'!H156</f>
        <v>6</v>
      </c>
      <c r="O156">
        <f>'Data-Kolom'!I156</f>
        <v>16</v>
      </c>
      <c r="P156">
        <f>IF(N156&gt;0,VLOOKUP(O156,$V$2:$X$9,2,FALSE),0)</f>
        <v>1010</v>
      </c>
      <c r="Q156">
        <f>IF(L156&gt;0,M156-50+$N$6*O156,VLOOKUP(O156,$V$2:$X$9,3,FALSE))</f>
        <v>770</v>
      </c>
      <c r="R156">
        <f>IF(E156="F",J156-$N$5+$N$6*O156+Q156,IF(E156="D",J156+Q156+P156,IF(E156="T",J156+P156,IF(E156="A",J156-$N$5+$N$6*O156,0))))</f>
        <v>5442</v>
      </c>
      <c r="T156">
        <f>SUM(R156:S156)</f>
        <v>5442</v>
      </c>
      <c r="U156">
        <f>K156*N156</f>
        <v>6</v>
      </c>
      <c r="V156">
        <f>'Data-Kolom'!J156</f>
        <v>0</v>
      </c>
      <c r="W156">
        <f>'Data-Kolom'!K156</f>
        <v>0</v>
      </c>
      <c r="X156">
        <f>IF(V156&gt;0,VLOOKUP(W156,$V$2:$X$9,2,FALSE),0)</f>
        <v>0</v>
      </c>
      <c r="Y156">
        <f>IF(V156&gt;0,IF(L156&gt;0,M156-50+$N$6*W156,VLOOKUP(W156,$V$2:$X$9,3,FALSE)),0)</f>
        <v>0</v>
      </c>
      <c r="Z156">
        <f>IF(E156="F",J156-$N$5+$N$6*W156+Y156,IF(E156="D",J156+Y156+X156,IF(E156="T",J156+X156,IF(E156="A",J156-$N$5+$N$6*W156,0))))</f>
        <v>4480</v>
      </c>
      <c r="AB156">
        <f>SUM(Z156:AA156)</f>
        <v>4480</v>
      </c>
      <c r="AC156">
        <f>V156*K156</f>
        <v>0</v>
      </c>
      <c r="AD156">
        <f>'Data-Kolom'!L156</f>
        <v>8</v>
      </c>
      <c r="AE156">
        <f>'Data-Kolom'!M156</f>
        <v>100</v>
      </c>
      <c r="AF156">
        <f>'Data-Kolom'!N156</f>
        <v>100</v>
      </c>
      <c r="AG156">
        <f>'Data-Kolom'!O156</f>
        <v>100</v>
      </c>
      <c r="AH156">
        <f>'Data-Kolom'!P156</f>
        <v>0.5</v>
      </c>
      <c r="AI156">
        <f>'Data-Kolom'!Q156</f>
        <v>8</v>
      </c>
      <c r="AJ156">
        <f>'Data-Kolom'!R156</f>
        <v>0</v>
      </c>
      <c r="AK156">
        <f>'Data-Kolom'!S156</f>
        <v>0</v>
      </c>
      <c r="AL156">
        <f>2*(H156+I156-4*$N$5)+2*MAX($F$5*AD156,75)</f>
        <v>1330</v>
      </c>
      <c r="AM156">
        <f>+AH156*(H156-2*$N$5+2*MAX($F$5*AI156,75))+AJ156*(I156-2*$N$5+2*MAX($F$5*AK156,75))</f>
        <v>140</v>
      </c>
      <c r="AN156">
        <f>(ROUND((1/2*J156+IF(M156&gt;0,(Q156-$N$6*AD156),0))/AE156,0)+(ROUND(1/2*J156/AF156,0)+1))*K156</f>
        <v>47</v>
      </c>
      <c r="AO156">
        <f>H156*I156*J156/1000000000*K156*(1+$T$5)</f>
        <v>0.3825</v>
      </c>
      <c r="AP156">
        <f>0.006165*O156^2*T156*U156/1000*(1+$T$6)</f>
        <v>51.53269248000001</v>
      </c>
      <c r="AQ156">
        <f>0.006165*W156^2*AB156*AC156/1000*(1+$T$6)</f>
        <v>0</v>
      </c>
      <c r="AR156">
        <f>AN156*0.006165*AD156^2*AL156/1000*(1+$T$6)</f>
        <v>24.6639456</v>
      </c>
      <c r="AS156">
        <f>AN156*0.006165*AI156^2*AM156/1000*(1+$T$6)</f>
        <v>2.5962048000000006</v>
      </c>
      <c r="AT156">
        <f>K156*2*J156*(H156+I156)/1000000*(1+$T$7)</f>
        <v>6.03</v>
      </c>
      <c r="AU156">
        <f>SUM(AP156:AS156)/AO156</f>
        <v>205.99436047058825</v>
      </c>
      <c r="AV156">
        <f>AT156/AO156</f>
        <v>15.764705882352942</v>
      </c>
      <c r="AX156">
        <f>0.006165*O156^2*R156*U156/1000*(1+$T$6)</f>
        <v>51.53269248000001</v>
      </c>
      <c r="AZ156">
        <f>0.006165*O156^2*S156*U156/1000*(1+$T$6)</f>
        <v>0</v>
      </c>
      <c r="BA156">
        <f>AZ156/AP156</f>
        <v>0</v>
      </c>
    </row>
    <row r="157">
      <c r="A157">
        <f>'Data-Kolom'!A157</f>
        <v>209</v>
      </c>
      <c r="B157" t="str">
        <f>'Data-Kolom'!B157</f>
        <v>Lantai 2</v>
      </c>
      <c r="C157">
        <f>'Data-Kolom'!C157</f>
        <v>0</v>
      </c>
      <c r="D157" t="str">
        <f>'Data-Kolom'!D157</f>
        <v>K175-2</v>
      </c>
      <c r="E157" t="str">
        <v>F</v>
      </c>
      <c r="F157">
        <f>'Data-Kolom'!U157</f>
        <v>0</v>
      </c>
      <c r="G157">
        <f>'Data-Kolom'!T157</f>
        <v>0</v>
      </c>
      <c r="H157">
        <f>'Data-Kolom'!E157</f>
        <v>170</v>
      </c>
      <c r="I157">
        <f>'Data-Kolom'!F157</f>
        <v>500</v>
      </c>
      <c r="J157">
        <f>'Data-Kolom'!G157</f>
        <v>4500</v>
      </c>
      <c r="K157">
        <v>1</v>
      </c>
      <c r="M157">
        <f>IF(L157&gt;0,VLOOKUP(L157,'Data-PC'!$B$14:$F$36,4,FALSE),0)</f>
        <v>0</v>
      </c>
      <c r="N157">
        <f>'Data-Kolom'!H157</f>
        <v>8</v>
      </c>
      <c r="O157">
        <f>'Data-Kolom'!I157</f>
        <v>16</v>
      </c>
      <c r="P157">
        <f>IF(N157&gt;0,VLOOKUP(O157,$V$2:$X$9,2,FALSE),0)</f>
        <v>1010</v>
      </c>
      <c r="Q157">
        <f>IF(L157&gt;0,M157-50+$N$6*O157,VLOOKUP(O157,$V$2:$X$9,3,FALSE))</f>
        <v>770</v>
      </c>
      <c r="R157">
        <f>IF(E157="F",J157-$N$5+$N$6*O157+Q157,IF(E157="D",J157+Q157+P157,IF(E157="T",J157+P157,IF(E157="A",J157-$N$5+$N$6*O157,0))))</f>
        <v>5442</v>
      </c>
      <c r="T157">
        <f>SUM(R157:S157)</f>
        <v>5442</v>
      </c>
      <c r="U157">
        <f>K157*N157</f>
        <v>8</v>
      </c>
      <c r="V157">
        <f>'Data-Kolom'!J157</f>
        <v>0</v>
      </c>
      <c r="W157">
        <f>'Data-Kolom'!K157</f>
        <v>0</v>
      </c>
      <c r="X157">
        <f>IF(V157&gt;0,VLOOKUP(W157,$V$2:$X$9,2,FALSE),0)</f>
        <v>0</v>
      </c>
      <c r="Y157">
        <f>IF(V157&gt;0,IF(L157&gt;0,M157-50+$N$6*W157,VLOOKUP(W157,$V$2:$X$9,3,FALSE)),0)</f>
        <v>0</v>
      </c>
      <c r="Z157">
        <f>IF(E157="F",J157-$N$5+$N$6*W157+Y157,IF(E157="D",J157+Y157+X157,IF(E157="T",J157+X157,IF(E157="A",J157-$N$5+$N$6*W157,0))))</f>
        <v>4480</v>
      </c>
      <c r="AB157">
        <f>SUM(Z157:AA157)</f>
        <v>4480</v>
      </c>
      <c r="AC157">
        <f>V157*K157</f>
        <v>0</v>
      </c>
      <c r="AD157">
        <f>'Data-Kolom'!L157</f>
        <v>8</v>
      </c>
      <c r="AE157">
        <f>'Data-Kolom'!M157</f>
        <v>100</v>
      </c>
      <c r="AF157">
        <f>'Data-Kolom'!N157</f>
        <v>100</v>
      </c>
      <c r="AG157">
        <f>'Data-Kolom'!O157</f>
        <v>100</v>
      </c>
      <c r="AH157">
        <f>'Data-Kolom'!P157</f>
        <v>0.5</v>
      </c>
      <c r="AI157">
        <f>'Data-Kolom'!Q157</f>
        <v>8</v>
      </c>
      <c r="AJ157">
        <f>'Data-Kolom'!R157</f>
        <v>0</v>
      </c>
      <c r="AK157">
        <f>'Data-Kolom'!S157</f>
        <v>0</v>
      </c>
      <c r="AL157">
        <f>2*(H157+I157-4*$N$5)+2*MAX($F$5*AD157,75)</f>
        <v>1330</v>
      </c>
      <c r="AM157">
        <f>+AH157*(H157-2*$N$5+2*MAX($F$5*AI157,75))+AJ157*(I157-2*$N$5+2*MAX($F$5*AK157,75))</f>
        <v>140</v>
      </c>
      <c r="AN157">
        <f>(ROUND((1/2*J157+IF(M157&gt;0,(Q157-$N$6*AD157),0))/AE157,0)+(ROUND(1/2*J157/AF157,0)+1))*K157</f>
        <v>47</v>
      </c>
      <c r="AO157">
        <f>H157*I157*J157/1000000000*K157*(1+$T$5)</f>
        <v>0.3825</v>
      </c>
      <c r="AP157">
        <f>0.006165*O157^2*T157*U157/1000*(1+$T$6)</f>
        <v>68.71025664000001</v>
      </c>
      <c r="AQ157">
        <f>0.006165*W157^2*AB157*AC157/1000*(1+$T$6)</f>
        <v>0</v>
      </c>
      <c r="AR157">
        <f>AN157*0.006165*AD157^2*AL157/1000*(1+$T$6)</f>
        <v>24.6639456</v>
      </c>
      <c r="AS157">
        <f>AN157*0.006165*AI157^2*AM157/1000*(1+$T$6)</f>
        <v>2.5962048000000006</v>
      </c>
      <c r="AT157">
        <f>K157*2*J157*(H157+I157)/1000000*(1+$T$7)</f>
        <v>6.03</v>
      </c>
      <c r="AU157">
        <f>SUM(AP157:AS157)/AO157</f>
        <v>250.9030249411765</v>
      </c>
      <c r="AV157">
        <f>AT157/AO157</f>
        <v>15.764705882352942</v>
      </c>
      <c r="AX157">
        <f>0.006165*O157^2*R157*U157/1000*(1+$T$6)</f>
        <v>68.71025664000001</v>
      </c>
      <c r="AZ157">
        <f>0.006165*O157^2*S157*U157/1000*(1+$T$6)</f>
        <v>0</v>
      </c>
      <c r="BA157">
        <f>AZ157/AP157</f>
        <v>0</v>
      </c>
    </row>
    <row r="158">
      <c r="A158">
        <f>'Data-Kolom'!A158</f>
        <v>210</v>
      </c>
      <c r="B158" t="str">
        <f>'Data-Kolom'!B158</f>
        <v>Lantai 2</v>
      </c>
      <c r="C158">
        <f>'Data-Kolom'!C158</f>
        <v>0</v>
      </c>
      <c r="D158" t="str">
        <f>'Data-Kolom'!D158</f>
        <v>K175-4</v>
      </c>
      <c r="E158" t="str">
        <v>F</v>
      </c>
      <c r="F158">
        <f>'Data-Kolom'!U158</f>
        <v>0</v>
      </c>
      <c r="G158">
        <f>'Data-Kolom'!T158</f>
        <v>0</v>
      </c>
      <c r="H158">
        <f>'Data-Kolom'!E158</f>
        <v>170</v>
      </c>
      <c r="I158">
        <f>'Data-Kolom'!F158</f>
        <v>500</v>
      </c>
      <c r="J158">
        <f>'Data-Kolom'!G158</f>
        <v>4500</v>
      </c>
      <c r="K158">
        <v>1</v>
      </c>
      <c r="M158">
        <f>IF(L158&gt;0,VLOOKUP(L158,'Data-PC'!$B$14:$F$36,4,FALSE),0)</f>
        <v>0</v>
      </c>
      <c r="N158">
        <f>'Data-Kolom'!H158</f>
        <v>8</v>
      </c>
      <c r="O158">
        <f>'Data-Kolom'!I158</f>
        <v>19</v>
      </c>
      <c r="P158">
        <f>IF(N158&gt;0,VLOOKUP(O158,$V$2:$X$9,2,FALSE),0)</f>
        <v>1190</v>
      </c>
      <c r="Q158">
        <f>IF(L158&gt;0,M158-50+$N$6*O158,VLOOKUP(O158,$V$2:$X$9,3,FALSE))</f>
        <v>910</v>
      </c>
      <c r="R158">
        <f>IF(E158="F",J158-$N$5+$N$6*O158+Q158,IF(E158="D",J158+Q158+P158,IF(E158="T",J158+P158,IF(E158="A",J158-$N$5+$N$6*O158,0))))</f>
        <v>5618</v>
      </c>
      <c r="T158">
        <f>SUM(R158:S158)</f>
        <v>5618</v>
      </c>
      <c r="U158">
        <f>K158*N158</f>
        <v>8</v>
      </c>
      <c r="V158">
        <f>'Data-Kolom'!J158</f>
        <v>2</v>
      </c>
      <c r="W158">
        <f>'Data-Kolom'!K158</f>
        <v>8</v>
      </c>
      <c r="X158">
        <f>IF(V158&gt;0,VLOOKUP(W158,$V$2:$X$9,2,FALSE),0)</f>
        <v>400</v>
      </c>
      <c r="Y158">
        <f>IF(V158&gt;0,IF(L158&gt;0,M158-50+$N$6*W158,VLOOKUP(W158,$V$2:$X$9,3,FALSE)),0)</f>
        <v>310</v>
      </c>
      <c r="Z158">
        <f>IF(E158="F",J158-$N$5+$N$6*W158+Y158,IF(E158="D",J158+Y158+X158,IF(E158="T",J158+X158,IF(E158="A",J158-$N$5+$N$6*W158,0))))</f>
        <v>4886</v>
      </c>
      <c r="AB158">
        <f>SUM(Z158:AA158)</f>
        <v>4886</v>
      </c>
      <c r="AC158">
        <f>V158*K158</f>
        <v>2</v>
      </c>
      <c r="AD158">
        <f>'Data-Kolom'!L158</f>
        <v>10</v>
      </c>
      <c r="AE158">
        <f>'Data-Kolom'!M158</f>
        <v>100</v>
      </c>
      <c r="AF158">
        <f>'Data-Kolom'!N158</f>
        <v>100</v>
      </c>
      <c r="AG158">
        <f>'Data-Kolom'!O158</f>
        <v>100</v>
      </c>
      <c r="AH158">
        <f>'Data-Kolom'!P158</f>
        <v>0.5</v>
      </c>
      <c r="AI158">
        <f>'Data-Kolom'!Q158</f>
        <v>8</v>
      </c>
      <c r="AJ158">
        <f>'Data-Kolom'!R158</f>
        <v>0</v>
      </c>
      <c r="AK158">
        <f>'Data-Kolom'!S158</f>
        <v>0</v>
      </c>
      <c r="AL158">
        <f>2*(H158+I158-4*$N$5)+2*MAX($F$5*AD158,75)</f>
        <v>1330</v>
      </c>
      <c r="AM158">
        <f>+AH158*(H158-2*$N$5+2*MAX($F$5*AI158,75))+AJ158*(I158-2*$N$5+2*MAX($F$5*AK158,75))</f>
        <v>140</v>
      </c>
      <c r="AN158">
        <f>(ROUND((1/2*J158+IF(M158&gt;0,(Q158-$N$6*AD158),0))/AE158,0)+(ROUND(1/2*J158/AF158,0)+1))*K158</f>
        <v>47</v>
      </c>
      <c r="AO158">
        <f>H158*I158*J158/1000000000*K158*(1+$T$5)</f>
        <v>0.3825</v>
      </c>
      <c r="AP158">
        <f>0.006165*O158^2*T158*U158/1000*(1+$T$6)</f>
        <v>100.02579336</v>
      </c>
      <c r="AQ158">
        <f>0.006165*W158^2*AB158*AC158/1000*(1+$T$6)</f>
        <v>3.8556403200000005</v>
      </c>
      <c r="AR158">
        <f>AN158*0.006165*AD158^2*AL158/1000*(1+$T$6)</f>
        <v>38.53741500000001</v>
      </c>
      <c r="AS158">
        <f>AN158*0.006165*AI158^2*AM158/1000*(1+$T$6)</f>
        <v>2.5962048000000006</v>
      </c>
      <c r="AT158">
        <f>K158*2*J158*(H158+I158)/1000000*(1+$T$7)</f>
        <v>6.03</v>
      </c>
      <c r="AU158">
        <f>SUM(AP158:AS158)/AO158</f>
        <v>379.12432282352944</v>
      </c>
      <c r="AV158">
        <f>AT158/AO158</f>
        <v>15.764705882352942</v>
      </c>
      <c r="AX158">
        <f>0.006165*O158^2*R158*U158/1000*(1+$T$6)</f>
        <v>100.02579336</v>
      </c>
      <c r="AZ158">
        <f>0.006165*O158^2*S158*U158/1000*(1+$T$6)</f>
        <v>0</v>
      </c>
      <c r="BA158">
        <f>AZ158/AP158</f>
        <v>0</v>
      </c>
    </row>
    <row r="159">
      <c r="A159">
        <f>'Data-Kolom'!A159</f>
        <v>211</v>
      </c>
      <c r="B159" t="str">
        <f>'Data-Kolom'!B159</f>
        <v>Lantai 2</v>
      </c>
      <c r="C159">
        <f>'Data-Kolom'!C159</f>
        <v>0</v>
      </c>
      <c r="D159" t="str">
        <f>'Data-Kolom'!D159</f>
        <v>K175-2</v>
      </c>
      <c r="E159" t="str">
        <v>F</v>
      </c>
      <c r="F159">
        <f>'Data-Kolom'!U159</f>
        <v>0</v>
      </c>
      <c r="G159">
        <f>'Data-Kolom'!T159</f>
        <v>0</v>
      </c>
      <c r="H159">
        <f>'Data-Kolom'!E159</f>
        <v>170</v>
      </c>
      <c r="I159">
        <f>'Data-Kolom'!F159</f>
        <v>500</v>
      </c>
      <c r="J159">
        <f>'Data-Kolom'!G159</f>
        <v>4500</v>
      </c>
      <c r="K159">
        <v>1</v>
      </c>
      <c r="M159">
        <f>IF(L159&gt;0,VLOOKUP(L159,'Data-PC'!$B$14:$F$36,4,FALSE),0)</f>
        <v>0</v>
      </c>
      <c r="N159">
        <f>'Data-Kolom'!H159</f>
        <v>8</v>
      </c>
      <c r="O159">
        <f>'Data-Kolom'!I159</f>
        <v>16</v>
      </c>
      <c r="P159">
        <f>IF(N159&gt;0,VLOOKUP(O159,$V$2:$X$9,2,FALSE),0)</f>
        <v>1010</v>
      </c>
      <c r="Q159">
        <f>IF(L159&gt;0,M159-50+$N$6*O159,VLOOKUP(O159,$V$2:$X$9,3,FALSE))</f>
        <v>770</v>
      </c>
      <c r="R159">
        <f>IF(E159="F",J159-$N$5+$N$6*O159+Q159,IF(E159="D",J159+Q159+P159,IF(E159="T",J159+P159,IF(E159="A",J159-$N$5+$N$6*O159,0))))</f>
        <v>5442</v>
      </c>
      <c r="T159">
        <f>SUM(R159:S159)</f>
        <v>5442</v>
      </c>
      <c r="U159">
        <f>K159*N159</f>
        <v>8</v>
      </c>
      <c r="V159">
        <f>'Data-Kolom'!J159</f>
        <v>0</v>
      </c>
      <c r="W159">
        <f>'Data-Kolom'!K159</f>
        <v>0</v>
      </c>
      <c r="X159">
        <f>IF(V159&gt;0,VLOOKUP(W159,$V$2:$X$9,2,FALSE),0)</f>
        <v>0</v>
      </c>
      <c r="Y159">
        <f>IF(V159&gt;0,IF(L159&gt;0,M159-50+$N$6*W159,VLOOKUP(W159,$V$2:$X$9,3,FALSE)),0)</f>
        <v>0</v>
      </c>
      <c r="Z159">
        <f>IF(E159="F",J159-$N$5+$N$6*W159+Y159,IF(E159="D",J159+Y159+X159,IF(E159="T",J159+X159,IF(E159="A",J159-$N$5+$N$6*W159,0))))</f>
        <v>4480</v>
      </c>
      <c r="AB159">
        <f>SUM(Z159:AA159)</f>
        <v>4480</v>
      </c>
      <c r="AC159">
        <f>V159*K159</f>
        <v>0</v>
      </c>
      <c r="AD159">
        <f>'Data-Kolom'!L159</f>
        <v>8</v>
      </c>
      <c r="AE159">
        <f>'Data-Kolom'!M159</f>
        <v>100</v>
      </c>
      <c r="AF159">
        <f>'Data-Kolom'!N159</f>
        <v>100</v>
      </c>
      <c r="AG159">
        <f>'Data-Kolom'!O159</f>
        <v>100</v>
      </c>
      <c r="AH159">
        <f>'Data-Kolom'!P159</f>
        <v>0.5</v>
      </c>
      <c r="AI159">
        <f>'Data-Kolom'!Q159</f>
        <v>8</v>
      </c>
      <c r="AJ159">
        <f>'Data-Kolom'!R159</f>
        <v>0</v>
      </c>
      <c r="AK159">
        <f>'Data-Kolom'!S159</f>
        <v>0</v>
      </c>
      <c r="AL159">
        <f>2*(H159+I159-4*$N$5)+2*MAX($F$5*AD159,75)</f>
        <v>1330</v>
      </c>
      <c r="AM159">
        <f>+AH159*(H159-2*$N$5+2*MAX($F$5*AI159,75))+AJ159*(I159-2*$N$5+2*MAX($F$5*AK159,75))</f>
        <v>140</v>
      </c>
      <c r="AN159">
        <f>(ROUND((1/2*J159+IF(M159&gt;0,(Q159-$N$6*AD159),0))/AE159,0)+(ROUND(1/2*J159/AF159,0)+1))*K159</f>
        <v>47</v>
      </c>
      <c r="AO159">
        <f>H159*I159*J159/1000000000*K159*(1+$T$5)</f>
        <v>0.3825</v>
      </c>
      <c r="AP159">
        <f>0.006165*O159^2*T159*U159/1000*(1+$T$6)</f>
        <v>68.71025664000001</v>
      </c>
      <c r="AQ159">
        <f>0.006165*W159^2*AB159*AC159/1000*(1+$T$6)</f>
        <v>0</v>
      </c>
      <c r="AR159">
        <f>AN159*0.006165*AD159^2*AL159/1000*(1+$T$6)</f>
        <v>24.6639456</v>
      </c>
      <c r="AS159">
        <f>AN159*0.006165*AI159^2*AM159/1000*(1+$T$6)</f>
        <v>2.5962048000000006</v>
      </c>
      <c r="AT159">
        <f>K159*2*J159*(H159+I159)/1000000*(1+$T$7)</f>
        <v>6.03</v>
      </c>
      <c r="AU159">
        <f>SUM(AP159:AS159)/AO159</f>
        <v>250.9030249411765</v>
      </c>
      <c r="AV159">
        <f>AT159/AO159</f>
        <v>15.764705882352942</v>
      </c>
      <c r="AX159">
        <f>0.006165*O159^2*R159*U159/1000*(1+$T$6)</f>
        <v>68.71025664000001</v>
      </c>
      <c r="AZ159">
        <f>0.006165*O159^2*S159*U159/1000*(1+$T$6)</f>
        <v>0</v>
      </c>
      <c r="BA159">
        <f>AZ159/AP159</f>
        <v>0</v>
      </c>
    </row>
    <row r="160">
      <c r="A160">
        <f>'Data-Kolom'!A160</f>
        <v>47</v>
      </c>
      <c r="B160" t="str">
        <f>'Data-Kolom'!B160</f>
        <v>Lantai 2</v>
      </c>
      <c r="C160">
        <f>'Data-Kolom'!C160</f>
        <v>0</v>
      </c>
      <c r="D160" t="str">
        <f>'Data-Kolom'!D160</f>
        <v>SW.1</v>
      </c>
      <c r="E160" t="str">
        <v>T</v>
      </c>
      <c r="F160">
        <f>'Data-Kolom'!U160</f>
        <v>0</v>
      </c>
      <c r="G160">
        <f>'Data-Kolom'!T160</f>
        <v>0</v>
      </c>
      <c r="H160">
        <f>'Data-Kolom'!E160</f>
        <v>170</v>
      </c>
      <c r="I160">
        <f>'Data-Kolom'!F160</f>
        <v>2170</v>
      </c>
      <c r="J160">
        <f>'Data-Kolom'!G160</f>
        <v>4500</v>
      </c>
      <c r="K160">
        <v>1</v>
      </c>
      <c r="L160">
        <f>'Data-Kolom'!C160</f>
        <v>0</v>
      </c>
      <c r="M160">
        <f>IF(L160&gt;0,VLOOKUP(L160,'Data-PC'!$B$14:$F$36,4,FALSE),0)</f>
        <v>0</v>
      </c>
      <c r="N160">
        <f>'Data-Kolom'!H160</f>
        <v>26</v>
      </c>
      <c r="O160">
        <f>'Data-Kolom'!I160</f>
        <v>13</v>
      </c>
      <c r="P160">
        <f>IF(N160&gt;0,VLOOKUP(O160,$V$2:$X$9,2,FALSE),0)</f>
        <v>820</v>
      </c>
      <c r="Q160">
        <f>IF(L160&gt;0,M160-50+$N$6*O160,VLOOKUP(O160,$V$2:$X$9,3,FALSE))</f>
        <v>630</v>
      </c>
      <c r="R160">
        <f>IF(E160="F",J160-$N$5+$N$6*O160+Q160,IF(E160="D",J160+Q160+P160,IF(E160="T",J160+P160,IF(E160="A",J160-$N$5+$N$6*O160,0))))</f>
        <v>5320</v>
      </c>
      <c r="T160">
        <f>SUM(R160:S160)</f>
        <v>5320</v>
      </c>
      <c r="U160">
        <f>K160*N160</f>
        <v>26</v>
      </c>
      <c r="V160">
        <f>'Data-Kolom'!J160</f>
        <v>0</v>
      </c>
      <c r="W160">
        <f>'Data-Kolom'!K160</f>
        <v>0</v>
      </c>
      <c r="X160">
        <f>IF(V160&gt;0,VLOOKUP(W160,$V$2:$X$9,2,FALSE),0)</f>
        <v>0</v>
      </c>
      <c r="Y160">
        <f>IF(V160&gt;0,IF(L160&gt;0,M160-50+$N$6*W160,VLOOKUP(W160,$V$2:$X$9,3,FALSE)),0)</f>
        <v>0</v>
      </c>
      <c r="Z160">
        <f>IF(E160="F",J160-$N$5+$N$6*W160+Y160,IF(E160="D",J160+Y160+X160,IF(E160="T",J160+X160,IF(E160="A",J160-$N$5+$N$6*W160,0))))</f>
        <v>4500</v>
      </c>
      <c r="AB160">
        <f>SUM(Z160:AA160)</f>
        <v>4500</v>
      </c>
      <c r="AC160">
        <f>V160*K160</f>
        <v>0</v>
      </c>
      <c r="AD160">
        <f>'Data-Kolom'!L160</f>
        <v>10</v>
      </c>
      <c r="AE160">
        <f>'Data-Kolom'!M160</f>
        <v>150</v>
      </c>
      <c r="AF160">
        <f>'Data-Kolom'!N160</f>
        <v>150</v>
      </c>
      <c r="AG160">
        <f>'Data-Kolom'!O160</f>
        <v>150</v>
      </c>
      <c r="AH160">
        <f>'Data-Kolom'!P160</f>
        <v>4</v>
      </c>
      <c r="AI160">
        <f>'Data-Kolom'!Q160</f>
        <v>10</v>
      </c>
      <c r="AJ160">
        <f>'Data-Kolom'!R160</f>
        <v>0</v>
      </c>
      <c r="AK160">
        <f>'Data-Kolom'!S160</f>
        <v>0</v>
      </c>
      <c r="AL160">
        <f>2*(H160+I160-4*$N$5)+2*MAX($F$5*AD160,75)</f>
        <v>4670</v>
      </c>
      <c r="AM160">
        <f>+AH160*(H160-2*$N$5+2*MAX($F$5*AI160,75))+AJ160*(I160-2*$N$5+2*MAX($F$5*AK160,75))</f>
        <v>1120</v>
      </c>
      <c r="AN160">
        <f>(ROUND((1/2*J160+IF(M160&gt;0,(Q160-$N$6*AD160),0))/AE160,0)+(ROUND(1/2*J160/AF160,0)+1))*K160</f>
        <v>31</v>
      </c>
      <c r="AO160">
        <f>H160*I160*J160/1000000000*K160*(1+$T$5)</f>
        <v>1.66005</v>
      </c>
      <c r="AP160">
        <f>0.006165*O160^2*T160*U160/1000*(1+$T$6)</f>
        <v>144.1135332</v>
      </c>
      <c r="AQ160">
        <f>0.006165*W160^2*AB160*AC160/1000*(1+$T$6)</f>
        <v>0</v>
      </c>
      <c r="AR160">
        <f>AN160*0.006165*AD160^2*AL160/1000*(1+$T$6)</f>
        <v>89.250705</v>
      </c>
      <c r="AS160">
        <f>AN160*0.006165*AI160^2*AM160/1000*(1+$T$6)</f>
        <v>21.404880000000002</v>
      </c>
      <c r="AT160">
        <f>K160*2*J160*(H160+I160)/1000000*(1+$T$7)</f>
        <v>21.06</v>
      </c>
      <c r="AU160">
        <f>SUM(AP160:AS160)/AO160</f>
        <v>153.47074979669284</v>
      </c>
      <c r="AV160">
        <f>AT160/AO160</f>
        <v>12.686364868528056</v>
      </c>
      <c r="AX160">
        <f>0.006165*O160^2*R160*U160/1000*(1+$T$6)</f>
        <v>144.1135332</v>
      </c>
      <c r="AZ160">
        <f>0.006165*O160^2*S160*U160/1000*(1+$T$6)</f>
        <v>0</v>
      </c>
      <c r="BA160">
        <f>AZ160/AP160</f>
        <v>0</v>
      </c>
    </row>
    <row r="161">
      <c r="A161">
        <f>'Data-Kolom'!A161</f>
        <v>47</v>
      </c>
      <c r="B161" t="str">
        <f>'Data-Kolom'!B161</f>
        <v>Lantai 2</v>
      </c>
      <c r="C161">
        <f>'Data-Kolom'!C161</f>
        <v>0</v>
      </c>
      <c r="D161" t="str">
        <f>'Data-Kolom'!D161</f>
        <v>SW.1</v>
      </c>
      <c r="E161" t="str">
        <v>T</v>
      </c>
      <c r="F161">
        <f>'Data-Kolom'!U161</f>
        <v>0</v>
      </c>
      <c r="G161">
        <f>'Data-Kolom'!T161</f>
        <v>0</v>
      </c>
      <c r="H161">
        <f>'Data-Kolom'!E161</f>
        <v>170</v>
      </c>
      <c r="I161">
        <f>'Data-Kolom'!F161</f>
        <v>2170</v>
      </c>
      <c r="J161">
        <f>'Data-Kolom'!G161</f>
        <v>4500</v>
      </c>
      <c r="K161">
        <v>1</v>
      </c>
      <c r="L161">
        <f>'Data-Kolom'!C161</f>
        <v>0</v>
      </c>
      <c r="M161">
        <f>IF(L161&gt;0,VLOOKUP(L161,'Data-PC'!$B$14:$F$36,4,FALSE),0)</f>
        <v>0</v>
      </c>
      <c r="N161">
        <f>'Data-Kolom'!H161</f>
        <v>18</v>
      </c>
      <c r="O161">
        <f>'Data-Kolom'!I161</f>
        <v>13</v>
      </c>
      <c r="P161">
        <f>IF(N161&gt;0,VLOOKUP(O161,$V$2:$X$9,2,FALSE),0)</f>
        <v>820</v>
      </c>
      <c r="Q161">
        <f>IF(L161&gt;0,M161-50+$N$6*O161,VLOOKUP(O161,$V$2:$X$9,3,FALSE))</f>
        <v>630</v>
      </c>
      <c r="R161">
        <f>IF(E161="F",J161-$N$5+$N$6*O161+Q161,IF(E161="D",J161+Q161+P161,IF(E161="T",J161+P161,IF(E161="A",J161-$N$5+$N$6*O161,0))))</f>
        <v>5320</v>
      </c>
      <c r="T161">
        <f>SUM(R161:S161)</f>
        <v>5320</v>
      </c>
      <c r="U161">
        <f>K161*N161</f>
        <v>18</v>
      </c>
      <c r="V161">
        <f>'Data-Kolom'!J161</f>
        <v>0</v>
      </c>
      <c r="W161">
        <f>'Data-Kolom'!K161</f>
        <v>0</v>
      </c>
      <c r="X161">
        <f>IF(V161&gt;0,VLOOKUP(W161,$V$2:$X$9,2,FALSE),0)</f>
        <v>0</v>
      </c>
      <c r="Y161">
        <f>IF(V161&gt;0,IF(L161&gt;0,M161-50+$N$6*W161,VLOOKUP(W161,$V$2:$X$9,3,FALSE)),0)</f>
        <v>0</v>
      </c>
      <c r="Z161">
        <f>IF(E161="F",J161-$N$5+$N$6*W161+Y161,IF(E161="D",J161+Y161+X161,IF(E161="T",J161+X161,IF(E161="A",J161-$N$5+$N$6*W161,0))))</f>
        <v>4500</v>
      </c>
      <c r="AB161">
        <f>SUM(Z161:AA161)</f>
        <v>4500</v>
      </c>
      <c r="AC161">
        <f>V161*K161</f>
        <v>0</v>
      </c>
      <c r="AD161">
        <f>'Data-Kolom'!L161</f>
        <v>10</v>
      </c>
      <c r="AE161">
        <f>'Data-Kolom'!M161</f>
        <v>150</v>
      </c>
      <c r="AF161">
        <f>'Data-Kolom'!N161</f>
        <v>150</v>
      </c>
      <c r="AG161">
        <f>'Data-Kolom'!O161</f>
        <v>150</v>
      </c>
      <c r="AH161">
        <f>'Data-Kolom'!P161</f>
        <v>4</v>
      </c>
      <c r="AI161">
        <f>'Data-Kolom'!Q161</f>
        <v>10</v>
      </c>
      <c r="AJ161">
        <f>'Data-Kolom'!R161</f>
        <v>0</v>
      </c>
      <c r="AK161">
        <f>'Data-Kolom'!S161</f>
        <v>0</v>
      </c>
      <c r="AL161">
        <f>2*(H161+I161-4*$N$5)+2*MAX($F$5*AD161,75)</f>
        <v>4670</v>
      </c>
      <c r="AM161">
        <f>+AH161*(H161-2*$N$5+2*MAX($F$5*AI161,75))+AJ161*(I161-2*$N$5+2*MAX($F$5*AK161,75))</f>
        <v>1120</v>
      </c>
      <c r="AN161">
        <f>(ROUND((1/2*J161+IF(M161&gt;0,(Q161-$N$6*AD161),0))/AE161,0)+(ROUND(1/2*J161/AF161,0)+1))*K161</f>
        <v>31</v>
      </c>
      <c r="AO161">
        <f>H161*I161*J161/1000000000*K161*(1+$T$5)</f>
        <v>1.66005</v>
      </c>
      <c r="AP161">
        <f>0.006165*O161^2*T161*U161/1000*(1+$T$6)</f>
        <v>99.7709076</v>
      </c>
      <c r="AQ161">
        <f>0.006165*W161^2*AB161*AC161/1000*(1+$T$6)</f>
        <v>0</v>
      </c>
      <c r="AR161">
        <f>AN161*0.006165*AD161^2*AL161/1000*(1+$T$6)</f>
        <v>89.250705</v>
      </c>
      <c r="AS161">
        <f>AN161*0.006165*AI161^2*AM161/1000*(1+$T$6)</f>
        <v>21.404880000000002</v>
      </c>
      <c r="AT161">
        <f>K161*2*J161*(H161+I161)/1000000*(1+$T$7)</f>
        <v>21.06</v>
      </c>
      <c r="AU161">
        <f>SUM(AP161:AS161)/AO161</f>
        <v>126.75912930333423</v>
      </c>
      <c r="AV161">
        <f>AT161/AO161</f>
        <v>12.686364868528056</v>
      </c>
      <c r="AX161">
        <f>0.006165*O161^2*R161*U161/1000*(1+$T$6)</f>
        <v>99.7709076</v>
      </c>
      <c r="AZ161">
        <f>0.006165*O161^2*S161*U161/1000*(1+$T$6)</f>
        <v>0</v>
      </c>
      <c r="BA161">
        <f>AZ161/AP161</f>
        <v>0</v>
      </c>
    </row>
    <row r="162">
      <c r="A162">
        <f>'Data-Kolom'!A162</f>
        <v>47</v>
      </c>
      <c r="B162" t="str">
        <f>'Data-Kolom'!B162</f>
        <v>Lantai 2</v>
      </c>
      <c r="C162">
        <f>'Data-Kolom'!C162</f>
        <v>0</v>
      </c>
      <c r="D162" t="str">
        <f>'Data-Kolom'!D162</f>
        <v>SW.1</v>
      </c>
      <c r="E162" t="str">
        <v>T</v>
      </c>
      <c r="F162">
        <f>'Data-Kolom'!U162</f>
        <v>0</v>
      </c>
      <c r="G162">
        <f>'Data-Kolom'!T162</f>
        <v>0</v>
      </c>
      <c r="H162">
        <f>'Data-Kolom'!E162</f>
        <v>170</v>
      </c>
      <c r="I162">
        <f>'Data-Kolom'!F162</f>
        <v>400</v>
      </c>
      <c r="J162">
        <f>'Data-Kolom'!G162</f>
        <v>4500</v>
      </c>
      <c r="K162">
        <v>2</v>
      </c>
      <c r="L162">
        <f>'Data-Kolom'!C162</f>
        <v>0</v>
      </c>
      <c r="M162">
        <f>IF(L162&gt;0,VLOOKUP(L162,'Data-PC'!$B$14:$F$36,4,FALSE),0)</f>
        <v>0</v>
      </c>
      <c r="N162">
        <f>'Data-Kolom'!H162</f>
        <v>8</v>
      </c>
      <c r="O162">
        <f>'Data-Kolom'!I162</f>
        <v>13</v>
      </c>
      <c r="P162">
        <f>IF(N162&gt;0,VLOOKUP(O162,$V$2:$X$9,2,FALSE),0)</f>
        <v>820</v>
      </c>
      <c r="Q162">
        <f>IF(L162&gt;0,M162-50+$N$6*O162,VLOOKUP(O162,$V$2:$X$9,3,FALSE))</f>
        <v>630</v>
      </c>
      <c r="R162">
        <f>IF(E162="F",J162-$N$5+$N$6*O162+Q162,IF(E162="D",J162+Q162+P162,IF(E162="T",J162+P162,IF(E162="A",J162-$N$5+$N$6*O162,0))))</f>
        <v>5320</v>
      </c>
      <c r="T162">
        <f>SUM(R162:S162)</f>
        <v>5320</v>
      </c>
      <c r="U162">
        <f>K162*N162</f>
        <v>16</v>
      </c>
      <c r="V162">
        <f>'Data-Kolom'!J162</f>
        <v>0</v>
      </c>
      <c r="W162">
        <f>'Data-Kolom'!K162</f>
        <v>0</v>
      </c>
      <c r="X162">
        <f>IF(V162&gt;0,VLOOKUP(W162,$V$2:$X$9,2,FALSE),0)</f>
        <v>0</v>
      </c>
      <c r="Y162">
        <f>IF(V162&gt;0,IF(L162&gt;0,M162-50+$N$6*W162,VLOOKUP(W162,$V$2:$X$9,3,FALSE)),0)</f>
        <v>0</v>
      </c>
      <c r="Z162">
        <f>IF(E162="F",J162-$N$5+$N$6*W162+Y162,IF(E162="D",J162+Y162+X162,IF(E162="T",J162+X162,IF(E162="A",J162-$N$5+$N$6*W162,0))))</f>
        <v>4500</v>
      </c>
      <c r="AB162">
        <f>SUM(Z162:AA162)</f>
        <v>4500</v>
      </c>
      <c r="AC162">
        <f>V162*K162</f>
        <v>0</v>
      </c>
      <c r="AD162">
        <f>'Data-Kolom'!L162</f>
        <v>10</v>
      </c>
      <c r="AE162">
        <f>'Data-Kolom'!M162</f>
        <v>150</v>
      </c>
      <c r="AF162">
        <f>'Data-Kolom'!N162</f>
        <v>150</v>
      </c>
      <c r="AG162">
        <f>'Data-Kolom'!O162</f>
        <v>150</v>
      </c>
      <c r="AH162">
        <f>'Data-Kolom'!P162</f>
        <v>4</v>
      </c>
      <c r="AI162">
        <f>'Data-Kolom'!Q162</f>
        <v>10</v>
      </c>
      <c r="AJ162">
        <f>'Data-Kolom'!R162</f>
        <v>0</v>
      </c>
      <c r="AK162">
        <f>'Data-Kolom'!S162</f>
        <v>0</v>
      </c>
      <c r="AL162">
        <f>2*(H162+I162-4*$N$5)+2*MAX($F$5*AD162,75)</f>
        <v>1130</v>
      </c>
      <c r="AM162">
        <f>+AH162*(H162-2*$N$5+2*MAX($F$5*AI162,75))+AJ162*(I162-2*$N$5+2*MAX($F$5*AK162,75))</f>
        <v>1120</v>
      </c>
      <c r="AN162">
        <f>(ROUND((1/2*J162+IF(M162&gt;0,(Q162-$N$6*AD162),0))/AE162,0)+(ROUND(1/2*J162/AF162,0)+1))*K162</f>
        <v>62</v>
      </c>
      <c r="AO162">
        <f>H162*I162*J162/1000000000*K162*(1+$T$5)</f>
        <v>0.612</v>
      </c>
      <c r="AP162">
        <f>0.006165*O162^2*T162*U162/1000*(1+$T$6)</f>
        <v>88.6852512</v>
      </c>
      <c r="AQ162">
        <f>0.006165*W162^2*AB162*AC162/1000*(1+$T$6)</f>
        <v>0</v>
      </c>
      <c r="AR162">
        <f>AN162*0.006165*AD162^2*AL162/1000*(1+$T$6)</f>
        <v>43.19199</v>
      </c>
      <c r="AS162">
        <f>AN162*0.006165*AI162^2*AM162/1000*(1+$T$6)</f>
        <v>42.809760000000004</v>
      </c>
      <c r="AT162">
        <f>K162*2*J162*(H162+I162)/1000000*(1+$T$7)</f>
        <v>10.26</v>
      </c>
      <c r="AU162">
        <f>SUM(AP162:AS162)/AO162</f>
        <v>285.4362764705882</v>
      </c>
      <c r="AV162">
        <f>AT162/AO162</f>
        <v>16.764705882352942</v>
      </c>
      <c r="AX162">
        <f>0.006165*O162^2*R162*U162/1000*(1+$T$6)</f>
        <v>88.6852512</v>
      </c>
      <c r="AZ162">
        <f>0.006165*O162^2*S162*U162/1000*(1+$T$6)</f>
        <v>0</v>
      </c>
      <c r="BA162">
        <f>AZ162/AP162</f>
        <v>0</v>
      </c>
    </row>
    <row r="163">
      <c r="A163">
        <f>'Data-Kolom'!A163</f>
        <v>47</v>
      </c>
      <c r="B163" t="str">
        <f>'Data-Kolom'!B163</f>
        <v>Lantai 2</v>
      </c>
      <c r="C163">
        <f>'Data-Kolom'!C163</f>
        <v>0</v>
      </c>
      <c r="D163" t="str">
        <f>'Data-Kolom'!D163</f>
        <v>SW.1</v>
      </c>
      <c r="E163" t="str">
        <v>F</v>
      </c>
      <c r="F163">
        <f>'Data-Kolom'!U163</f>
        <v>0</v>
      </c>
      <c r="G163">
        <f>'Data-Kolom'!T163</f>
        <v>0</v>
      </c>
      <c r="H163">
        <f>'Data-Kolom'!E163</f>
        <v>170</v>
      </c>
      <c r="I163">
        <f>'Data-Kolom'!F163</f>
        <v>1370</v>
      </c>
      <c r="J163">
        <f>'Data-Kolom'!G163</f>
        <v>4500</v>
      </c>
      <c r="K163">
        <v>1</v>
      </c>
      <c r="L163">
        <f>'Data-Kolom'!C163</f>
        <v>0</v>
      </c>
      <c r="M163">
        <f>IF(L163&gt;0,VLOOKUP(L163,'Data-PC'!$B$14:$F$36,4,FALSE),0)</f>
        <v>0</v>
      </c>
      <c r="N163">
        <f>'Data-Kolom'!H163</f>
        <v>14</v>
      </c>
      <c r="O163">
        <f>'Data-Kolom'!I163</f>
        <v>13</v>
      </c>
      <c r="P163">
        <f>IF(N163&gt;0,VLOOKUP(O163,$V$2:$X$9,2,FALSE),0)</f>
        <v>820</v>
      </c>
      <c r="Q163">
        <f>IF(L163&gt;0,M163-50+$N$6*O163,VLOOKUP(O163,$V$2:$X$9,3,FALSE))</f>
        <v>630</v>
      </c>
      <c r="R163">
        <f>IF(E163="F",J163-$N$5+$N$6*O163+Q163,IF(E163="D",J163+Q163+P163,IF(E163="T",J163+P163,IF(E163="A",J163-$N$5+$N$6*O163,0))))</f>
        <v>5266</v>
      </c>
      <c r="T163">
        <f>SUM(R163:S163)</f>
        <v>5266</v>
      </c>
      <c r="U163">
        <f>K163*N163</f>
        <v>14</v>
      </c>
      <c r="V163">
        <f>'Data-Kolom'!J163</f>
        <v>0</v>
      </c>
      <c r="W163">
        <f>'Data-Kolom'!K163</f>
        <v>0</v>
      </c>
      <c r="X163">
        <f>IF(V163&gt;0,VLOOKUP(W163,$V$2:$X$9,2,FALSE),0)</f>
        <v>0</v>
      </c>
      <c r="Y163">
        <f>IF(V163&gt;0,IF(L163&gt;0,M163-50+$N$6*W163,VLOOKUP(W163,$V$2:$X$9,3,FALSE)),0)</f>
        <v>0</v>
      </c>
      <c r="Z163">
        <f>IF(E163="F",J163-$N$5+$N$6*W163+Y163,IF(E163="D",J163+Y163+X163,IF(E163="T",J163+X163,IF(E163="A",J163-$N$5+$N$6*W163,0))))</f>
        <v>4480</v>
      </c>
      <c r="AB163">
        <f>SUM(Z163:AA163)</f>
        <v>4480</v>
      </c>
      <c r="AC163">
        <f>V163*K163</f>
        <v>0</v>
      </c>
      <c r="AD163">
        <f>'Data-Kolom'!L163</f>
        <v>10</v>
      </c>
      <c r="AE163">
        <f>'Data-Kolom'!M163</f>
        <v>150</v>
      </c>
      <c r="AF163">
        <f>'Data-Kolom'!N163</f>
        <v>150</v>
      </c>
      <c r="AG163">
        <f>'Data-Kolom'!O163</f>
        <v>150</v>
      </c>
      <c r="AH163">
        <f>'Data-Kolom'!P163</f>
        <v>4</v>
      </c>
      <c r="AI163">
        <f>'Data-Kolom'!Q163</f>
        <v>10</v>
      </c>
      <c r="AJ163">
        <f>'Data-Kolom'!R163</f>
        <v>0</v>
      </c>
      <c r="AK163">
        <f>'Data-Kolom'!S163</f>
        <v>0</v>
      </c>
      <c r="AL163">
        <f>2*(H163+I163-4*$N$5)+2*MAX($F$5*AD163,75)</f>
        <v>3070</v>
      </c>
      <c r="AM163">
        <f>+AH163*(H163-2*$N$5+2*MAX($F$5*AI163,75))+AJ163*(I163-2*$N$5+2*MAX($F$5*AK163,75))</f>
        <v>1120</v>
      </c>
      <c r="AN163">
        <f>(ROUND((1/2*J163+IF(M163&gt;0,(Q163-$N$6*AD163),0))/AE163,0)+(ROUND(1/2*J163/AF163,0)+1))*K163</f>
        <v>31</v>
      </c>
      <c r="AO163">
        <f>H163*I163*J163/1000000000*K163*(1+$T$5)</f>
        <v>1.04805</v>
      </c>
      <c r="AP163">
        <f>0.006165*O163^2*T163*U163/1000*(1+$T$6)</f>
        <v>76.81192974</v>
      </c>
      <c r="AQ163">
        <f>0.006165*W163^2*AB163*AC163/1000*(1+$T$6)</f>
        <v>0</v>
      </c>
      <c r="AR163">
        <f>AN163*0.006165*AD163^2*AL163/1000*(1+$T$6)</f>
        <v>58.672305</v>
      </c>
      <c r="AS163">
        <f>AN163*0.006165*AI163^2*AM163/1000*(1+$T$6)</f>
        <v>21.404880000000002</v>
      </c>
      <c r="AT163">
        <f>K163*2*J163*(H163+I163)/1000000*(1+$T$7)</f>
        <v>13.86</v>
      </c>
      <c r="AU163">
        <f>SUM(AP163:AS163)/AO163</f>
        <v>149.69621176470588</v>
      </c>
      <c r="AV163">
        <f>AT163/AO163</f>
        <v>13.224559896951481</v>
      </c>
      <c r="AX163">
        <f>0.006165*O163^2*R163*U163/1000*(1+$T$6)</f>
        <v>76.81192974</v>
      </c>
      <c r="AZ163">
        <f>0.006165*O163^2*S163*U163/1000*(1+$T$6)</f>
        <v>0</v>
      </c>
      <c r="BA163">
        <f>AZ163/AP163</f>
        <v>0</v>
      </c>
    </row>
    <row r="165">
      <c r="A165">
        <f>'Data-Kolom'!A165</f>
        <v>11</v>
      </c>
      <c r="B165" t="str">
        <f>'Data-Kolom'!B165</f>
        <v>Lantai Attic</v>
      </c>
      <c r="C165">
        <f>'Data-Kolom'!C165</f>
        <v>0</v>
      </c>
      <c r="D165" t="str">
        <f>'Data-Kolom'!D165</f>
        <v>K175-1</v>
      </c>
      <c r="E165" t="str">
        <v>A</v>
      </c>
      <c r="F165">
        <f>'Data-Kolom'!U165</f>
        <v>0</v>
      </c>
      <c r="G165">
        <f>'Data-Kolom'!T165</f>
        <v>0</v>
      </c>
      <c r="H165">
        <f>'Data-Kolom'!E165</f>
        <v>170</v>
      </c>
      <c r="I165">
        <f>'Data-Kolom'!F165</f>
        <v>500</v>
      </c>
      <c r="J165">
        <f>'Data-Kolom'!G165</f>
        <v>3500</v>
      </c>
      <c r="K165">
        <v>1</v>
      </c>
      <c r="M165">
        <f>IF(L165&gt;0,VLOOKUP(L165,'Data-PC'!$B$14:$F$36,4,FALSE),0)</f>
        <v>0</v>
      </c>
      <c r="N165">
        <f>'Data-Kolom'!H165</f>
        <v>6</v>
      </c>
      <c r="O165">
        <f>'Data-Kolom'!I165</f>
        <v>16</v>
      </c>
      <c r="P165">
        <f>IF(N165&gt;0,VLOOKUP(O165,$V$2:$X$9,2,FALSE),0)</f>
        <v>1010</v>
      </c>
      <c r="Q165">
        <f>IF(L165&gt;0,M165-50+$N$6*O165,VLOOKUP(O165,$V$2:$X$9,3,FALSE))</f>
        <v>770</v>
      </c>
      <c r="R165">
        <f>IF(E165="F",J165-$N$5+$N$6*O165+Q165,IF(E165="D",J165+Q165+P165,IF(E165="T",J165+P165,IF(E165="A",J165-$N$5+$N$6*O165,0))))</f>
        <v>3672</v>
      </c>
      <c r="T165">
        <f>SUM(R165:S165)</f>
        <v>3672</v>
      </c>
      <c r="U165">
        <f>K165*N165</f>
        <v>6</v>
      </c>
      <c r="V165">
        <f>'Data-Kolom'!J165</f>
        <v>0</v>
      </c>
      <c r="W165">
        <f>'Data-Kolom'!K165</f>
        <v>0</v>
      </c>
      <c r="X165">
        <f>IF(V165&gt;0,VLOOKUP(W165,$V$2:$X$9,2,FALSE),0)</f>
        <v>0</v>
      </c>
      <c r="Y165">
        <f>IF(V165&gt;0,IF(L165&gt;0,M165-50+$N$6*W165,VLOOKUP(W165,$V$2:$X$9,3,FALSE)),0)</f>
        <v>0</v>
      </c>
      <c r="Z165">
        <f>IF(E165="F",J165-$N$5+$N$6*W165+Y165,IF(E165="D",J165+Y165+X165,IF(E165="T",J165+X165,IF(E165="A",J165-$N$5+$N$6*W165,0))))</f>
        <v>3480</v>
      </c>
      <c r="AB165">
        <f>SUM(Z165:AA165)</f>
        <v>3480</v>
      </c>
      <c r="AC165">
        <f>V165*K165</f>
        <v>0</v>
      </c>
      <c r="AD165">
        <f>'Data-Kolom'!L165</f>
        <v>8</v>
      </c>
      <c r="AE165">
        <f>'Data-Kolom'!M165</f>
        <v>100</v>
      </c>
      <c r="AF165">
        <f>'Data-Kolom'!N165</f>
        <v>100</v>
      </c>
      <c r="AG165">
        <f>'Data-Kolom'!O165</f>
        <v>100</v>
      </c>
      <c r="AH165">
        <f>'Data-Kolom'!P165</f>
        <v>0.5</v>
      </c>
      <c r="AI165">
        <f>'Data-Kolom'!Q165</f>
        <v>8</v>
      </c>
      <c r="AJ165">
        <f>'Data-Kolom'!R165</f>
        <v>0</v>
      </c>
      <c r="AK165">
        <f>'Data-Kolom'!S165</f>
        <v>0</v>
      </c>
      <c r="AL165">
        <f>2*(H165+I165-4*$N$5)+2*MAX($F$5*AD165,75)</f>
        <v>1330</v>
      </c>
      <c r="AM165">
        <f>+AH165*(H165-2*$N$5+2*MAX($F$5*AI165,75))+AJ165*(I165-2*$N$5+2*MAX($F$5*AK165,75))</f>
        <v>140</v>
      </c>
      <c r="AN165">
        <f>(ROUND((1/2*J165+IF(M165&gt;0,(Q165-$N$6*AD165),0))/AE165,0)+(ROUND(1/2*J165/AF165,0)+1))*K165</f>
        <v>37</v>
      </c>
      <c r="AO165">
        <f>H165*I165*J165/1000000000*K165*(1+$T$5)</f>
        <v>0.2975</v>
      </c>
      <c r="AP165">
        <f>0.006165*O165^2*T165*U165/1000*(1+$T$6)</f>
        <v>34.771783680000006</v>
      </c>
      <c r="AQ165">
        <f>0.006165*W165^2*AB165*AC165/1000*(1+$T$6)</f>
        <v>0</v>
      </c>
      <c r="AR165">
        <f>AN165*0.006165*AD165^2*AL165/1000*(1+$T$6)</f>
        <v>19.4162976</v>
      </c>
      <c r="AS165">
        <f>AN165*0.006165*AI165^2*AM165/1000*(1+$T$6)</f>
        <v>2.0438207999999998</v>
      </c>
      <c r="AT165">
        <f>K165*2*J165*(H165+I165)/1000000*(1+$T$7)</f>
        <v>4.69</v>
      </c>
      <c r="AU165">
        <f>SUM(AP165:AS165)/AO165</f>
        <v>189.01479690756304</v>
      </c>
      <c r="AV165">
        <f>AT165/AO165</f>
        <v>15.764705882352944</v>
      </c>
      <c r="AX165">
        <f>0.006165*O165^2*R165*U165/1000*(1+$T$6)</f>
        <v>34.771783680000006</v>
      </c>
      <c r="AZ165">
        <f>0.006165*O165^2*S165*U165/1000*(1+$T$6)</f>
        <v>0</v>
      </c>
      <c r="BA165">
        <f>AZ165/AP165</f>
        <v>0</v>
      </c>
    </row>
    <row r="166">
      <c r="A166">
        <f>'Data-Kolom'!A166</f>
        <v>12</v>
      </c>
      <c r="B166" t="str">
        <f>'Data-Kolom'!B166</f>
        <v>Lantai Attic</v>
      </c>
      <c r="C166">
        <f>'Data-Kolom'!C166</f>
        <v>0</v>
      </c>
      <c r="D166" t="str">
        <f>'Data-Kolom'!D166</f>
        <v>K178-2</v>
      </c>
      <c r="E166" t="str">
        <v>A</v>
      </c>
      <c r="F166">
        <f>'Data-Kolom'!U166</f>
        <v>0</v>
      </c>
      <c r="G166">
        <f>'Data-Kolom'!T166</f>
        <v>0</v>
      </c>
      <c r="H166">
        <f>'Data-Kolom'!E166</f>
        <v>170</v>
      </c>
      <c r="I166">
        <f>'Data-Kolom'!F166</f>
        <v>800</v>
      </c>
      <c r="J166">
        <f>'Data-Kolom'!G166</f>
        <v>3500</v>
      </c>
      <c r="K166">
        <v>1</v>
      </c>
      <c r="M166">
        <f>IF(L166&gt;0,VLOOKUP(L166,'Data-PC'!$B$14:$F$36,4,FALSE),0)</f>
        <v>0</v>
      </c>
      <c r="N166">
        <f>'Data-Kolom'!H166</f>
        <v>14</v>
      </c>
      <c r="O166">
        <f>'Data-Kolom'!I166</f>
        <v>19</v>
      </c>
      <c r="P166">
        <f>IF(N166&gt;0,VLOOKUP(O166,$V$2:$X$9,2,FALSE),0)</f>
        <v>1190</v>
      </c>
      <c r="Q166">
        <f>IF(L166&gt;0,M166-50+$N$6*O166,VLOOKUP(O166,$V$2:$X$9,3,FALSE))</f>
        <v>910</v>
      </c>
      <c r="R166">
        <f>IF(E166="F",J166-$N$5+$N$6*O166+Q166,IF(E166="D",J166+Q166+P166,IF(E166="T",J166+P166,IF(E166="A",J166-$N$5+$N$6*O166,0))))</f>
        <v>3708</v>
      </c>
      <c r="T166">
        <f>SUM(R166:S166)</f>
        <v>3708</v>
      </c>
      <c r="U166">
        <f>K166*N166</f>
        <v>14</v>
      </c>
      <c r="V166">
        <f>'Data-Kolom'!J166</f>
        <v>0</v>
      </c>
      <c r="W166">
        <f>'Data-Kolom'!K166</f>
        <v>0</v>
      </c>
      <c r="X166">
        <f>IF(V166&gt;0,VLOOKUP(W166,$V$2:$X$9,2,FALSE),0)</f>
        <v>0</v>
      </c>
      <c r="Y166">
        <f>IF(V166&gt;0,IF(L166&gt;0,M166-50+$N$6*W166,VLOOKUP(W166,$V$2:$X$9,3,FALSE)),0)</f>
        <v>0</v>
      </c>
      <c r="Z166">
        <f>IF(E166="F",J166-$N$5+$N$6*W166+Y166,IF(E166="D",J166+Y166+X166,IF(E166="T",J166+X166,IF(E166="A",J166-$N$5+$N$6*W166,0))))</f>
        <v>3480</v>
      </c>
      <c r="AB166">
        <f>SUM(Z166:AA166)</f>
        <v>3480</v>
      </c>
      <c r="AC166">
        <f>V166*K166</f>
        <v>0</v>
      </c>
      <c r="AD166">
        <f>'Data-Kolom'!L166</f>
        <v>8</v>
      </c>
      <c r="AE166">
        <f>'Data-Kolom'!M166</f>
        <v>100</v>
      </c>
      <c r="AF166">
        <f>'Data-Kolom'!N166</f>
        <v>100</v>
      </c>
      <c r="AG166">
        <f>'Data-Kolom'!O166</f>
        <v>100</v>
      </c>
      <c r="AH166">
        <f>'Data-Kolom'!P166</f>
        <v>1</v>
      </c>
      <c r="AI166">
        <f>'Data-Kolom'!Q166</f>
        <v>8</v>
      </c>
      <c r="AJ166">
        <f>'Data-Kolom'!R166</f>
        <v>0</v>
      </c>
      <c r="AK166">
        <f>'Data-Kolom'!S166</f>
        <v>0</v>
      </c>
      <c r="AL166">
        <f>2*(H166+I166-4*$N$5)+2*MAX($F$5*AD166,75)</f>
        <v>1930</v>
      </c>
      <c r="AM166">
        <f>+AH166*(H166-2*$N$5+2*MAX($F$5*AI166,75))+AJ166*(I166-2*$N$5+2*MAX($F$5*AK166,75))</f>
        <v>280</v>
      </c>
      <c r="AN166">
        <f>(ROUND((1/2*J166+IF(M166&gt;0,(Q166-$N$6*AD166),0))/AE166,0)+(ROUND(1/2*J166/AF166,0)+1))*K166</f>
        <v>37</v>
      </c>
      <c r="AO166">
        <f>H166*I166*J166/1000000000*K166*(1+$T$5)</f>
        <v>0.476</v>
      </c>
      <c r="AP166">
        <f>0.006165*O166^2*T166*U166/1000*(1+$T$6)</f>
        <v>115.53353028000001</v>
      </c>
      <c r="AQ166">
        <f>0.006165*W166^2*AB166*AC166/1000*(1+$T$6)</f>
        <v>0</v>
      </c>
      <c r="AR166">
        <f>AN166*0.006165*AD166^2*AL166/1000*(1+$T$6)</f>
        <v>28.1755296</v>
      </c>
      <c r="AS166">
        <f>AN166*0.006165*AI166^2*AM166/1000*(1+$T$6)</f>
        <v>4.0876415999999995</v>
      </c>
      <c r="AT166">
        <f>K166*2*J166*(H166+I166)/1000000*(1+$T$7)</f>
        <v>6.79</v>
      </c>
      <c r="AU166">
        <f>SUM(AP166:AS166)/AO166</f>
        <v>310.4972720168068</v>
      </c>
      <c r="AV166">
        <f>AT166/AO166</f>
        <v>14.264705882352942</v>
      </c>
      <c r="AX166">
        <f>0.006165*O166^2*R166*U166/1000*(1+$T$6)</f>
        <v>115.53353028000001</v>
      </c>
      <c r="AZ166">
        <f>0.006165*O166^2*S166*U166/1000*(1+$T$6)</f>
        <v>0</v>
      </c>
      <c r="BA166">
        <f>AZ166/AP166</f>
        <v>0</v>
      </c>
    </row>
    <row r="167">
      <c r="A167">
        <f>'Data-Kolom'!A167</f>
        <v>13</v>
      </c>
      <c r="B167" t="str">
        <f>'Data-Kolom'!B167</f>
        <v>Lantai Attic</v>
      </c>
      <c r="C167">
        <f>'Data-Kolom'!C167</f>
        <v>0</v>
      </c>
      <c r="D167" t="str">
        <f>'Data-Kolom'!D167</f>
        <v>K175-2</v>
      </c>
      <c r="E167" t="str">
        <v>A</v>
      </c>
      <c r="F167">
        <f>'Data-Kolom'!U167</f>
        <v>0</v>
      </c>
      <c r="G167">
        <f>'Data-Kolom'!T167</f>
        <v>0</v>
      </c>
      <c r="H167">
        <f>'Data-Kolom'!E167</f>
        <v>170</v>
      </c>
      <c r="I167">
        <f>'Data-Kolom'!F167</f>
        <v>500</v>
      </c>
      <c r="J167">
        <f>'Data-Kolom'!G167</f>
        <v>3500</v>
      </c>
      <c r="K167">
        <v>1</v>
      </c>
      <c r="M167">
        <f>IF(L167&gt;0,VLOOKUP(L167,'Data-PC'!$B$14:$F$36,4,FALSE),0)</f>
        <v>0</v>
      </c>
      <c r="N167">
        <f>'Data-Kolom'!H167</f>
        <v>8</v>
      </c>
      <c r="O167">
        <f>'Data-Kolom'!I167</f>
        <v>16</v>
      </c>
      <c r="P167">
        <f>IF(N167&gt;0,VLOOKUP(O167,$V$2:$X$9,2,FALSE),0)</f>
        <v>1010</v>
      </c>
      <c r="Q167">
        <f>IF(L167&gt;0,M167-50+$N$6*O167,VLOOKUP(O167,$V$2:$X$9,3,FALSE))</f>
        <v>770</v>
      </c>
      <c r="R167">
        <f>IF(E167="F",J167-$N$5+$N$6*O167+Q167,IF(E167="D",J167+Q167+P167,IF(E167="T",J167+P167,IF(E167="A",J167-$N$5+$N$6*O167,0))))</f>
        <v>3672</v>
      </c>
      <c r="T167">
        <f>SUM(R167:S167)</f>
        <v>3672</v>
      </c>
      <c r="U167">
        <f>K167*N167</f>
        <v>8</v>
      </c>
      <c r="V167">
        <f>'Data-Kolom'!J167</f>
        <v>0</v>
      </c>
      <c r="W167">
        <f>'Data-Kolom'!K167</f>
        <v>0</v>
      </c>
      <c r="X167">
        <f>IF(V167&gt;0,VLOOKUP(W167,$V$2:$X$9,2,FALSE),0)</f>
        <v>0</v>
      </c>
      <c r="Y167">
        <f>IF(V167&gt;0,IF(L167&gt;0,M167-50+$N$6*W167,VLOOKUP(W167,$V$2:$X$9,3,FALSE)),0)</f>
        <v>0</v>
      </c>
      <c r="Z167">
        <f>IF(E167="F",J167-$N$5+$N$6*W167+Y167,IF(E167="D",J167+Y167+X167,IF(E167="T",J167+X167,IF(E167="A",J167-$N$5+$N$6*W167,0))))</f>
        <v>3480</v>
      </c>
      <c r="AB167">
        <f>SUM(Z167:AA167)</f>
        <v>3480</v>
      </c>
      <c r="AC167">
        <f>V167*K167</f>
        <v>0</v>
      </c>
      <c r="AD167">
        <f>'Data-Kolom'!L167</f>
        <v>8</v>
      </c>
      <c r="AE167">
        <f>'Data-Kolom'!M167</f>
        <v>100</v>
      </c>
      <c r="AF167">
        <f>'Data-Kolom'!N167</f>
        <v>100</v>
      </c>
      <c r="AG167">
        <f>'Data-Kolom'!O167</f>
        <v>100</v>
      </c>
      <c r="AH167">
        <f>'Data-Kolom'!P167</f>
        <v>0.5</v>
      </c>
      <c r="AI167">
        <f>'Data-Kolom'!Q167</f>
        <v>8</v>
      </c>
      <c r="AJ167">
        <f>'Data-Kolom'!R167</f>
        <v>0</v>
      </c>
      <c r="AK167">
        <f>'Data-Kolom'!S167</f>
        <v>0</v>
      </c>
      <c r="AL167">
        <f>2*(H167+I167-4*$N$5)+2*MAX($F$5*AD167,75)</f>
        <v>1330</v>
      </c>
      <c r="AM167">
        <f>+AH167*(H167-2*$N$5+2*MAX($F$5*AI167,75))+AJ167*(I167-2*$N$5+2*MAX($F$5*AK167,75))</f>
        <v>140</v>
      </c>
      <c r="AN167">
        <f>(ROUND((1/2*J167+IF(M167&gt;0,(Q167-$N$6*AD167),0))/AE167,0)+(ROUND(1/2*J167/AF167,0)+1))*K167</f>
        <v>37</v>
      </c>
      <c r="AO167">
        <f>H167*I167*J167/1000000000*K167*(1+$T$5)</f>
        <v>0.2975</v>
      </c>
      <c r="AP167">
        <f>0.006165*O167^2*T167*U167/1000*(1+$T$6)</f>
        <v>46.362378240000005</v>
      </c>
      <c r="AQ167">
        <f>0.006165*W167^2*AB167*AC167/1000*(1+$T$6)</f>
        <v>0</v>
      </c>
      <c r="AR167">
        <f>AN167*0.006165*AD167^2*AL167/1000*(1+$T$6)</f>
        <v>19.4162976</v>
      </c>
      <c r="AS167">
        <f>AN167*0.006165*AI167^2*AM167/1000*(1+$T$6)</f>
        <v>2.0438207999999998</v>
      </c>
      <c r="AT167">
        <f>K167*2*J167*(H167+I167)/1000000*(1+$T$7)</f>
        <v>4.69</v>
      </c>
      <c r="AU167">
        <f>SUM(AP167:AS167)/AO167</f>
        <v>227.9747786218488</v>
      </c>
      <c r="AV167">
        <f>AT167/AO167</f>
        <v>15.764705882352944</v>
      </c>
      <c r="AX167">
        <f>0.006165*O167^2*R167*U167/1000*(1+$T$6)</f>
        <v>46.362378240000005</v>
      </c>
      <c r="AZ167">
        <f>0.006165*O167^2*S167*U167/1000*(1+$T$6)</f>
        <v>0</v>
      </c>
      <c r="BA167">
        <f>AZ167/AP167</f>
        <v>0</v>
      </c>
    </row>
    <row r="168">
      <c r="A168">
        <f>'Data-Kolom'!A168</f>
        <v>14</v>
      </c>
      <c r="B168" t="str">
        <f>'Data-Kolom'!B168</f>
        <v>Lantai Attic</v>
      </c>
      <c r="C168">
        <f>'Data-Kolom'!C168</f>
        <v>0</v>
      </c>
      <c r="D168" t="str">
        <f>'Data-Kolom'!D168</f>
        <v>K177-1</v>
      </c>
      <c r="E168" t="str">
        <v>A</v>
      </c>
      <c r="F168">
        <f>'Data-Kolom'!U168</f>
        <v>0</v>
      </c>
      <c r="G168">
        <f>'Data-Kolom'!T168</f>
        <v>0</v>
      </c>
      <c r="H168">
        <f>'Data-Kolom'!E168</f>
        <v>170</v>
      </c>
      <c r="I168">
        <f>'Data-Kolom'!F168</f>
        <v>700</v>
      </c>
      <c r="J168">
        <f>'Data-Kolom'!G168</f>
        <v>3500</v>
      </c>
      <c r="K168">
        <v>1</v>
      </c>
      <c r="M168">
        <f>IF(L168&gt;0,VLOOKUP(L168,'Data-PC'!$B$14:$F$36,4,FALSE),0)</f>
        <v>0</v>
      </c>
      <c r="N168">
        <f>'Data-Kolom'!H168</f>
        <v>10</v>
      </c>
      <c r="O168">
        <f>'Data-Kolom'!I168</f>
        <v>19</v>
      </c>
      <c r="P168">
        <f>IF(N168&gt;0,VLOOKUP(O168,$V$2:$X$9,2,FALSE),0)</f>
        <v>1190</v>
      </c>
      <c r="Q168">
        <f>IF(L168&gt;0,M168-50+$N$6*O168,VLOOKUP(O168,$V$2:$X$9,3,FALSE))</f>
        <v>910</v>
      </c>
      <c r="R168">
        <f>IF(E168="F",J168-$N$5+$N$6*O168+Q168,IF(E168="D",J168+Q168+P168,IF(E168="T",J168+P168,IF(E168="A",J168-$N$5+$N$6*O168,0))))</f>
        <v>3708</v>
      </c>
      <c r="T168">
        <f>SUM(R168:S168)</f>
        <v>3708</v>
      </c>
      <c r="U168">
        <f>K168*N168</f>
        <v>10</v>
      </c>
      <c r="V168">
        <f>'Data-Kolom'!J168</f>
        <v>0</v>
      </c>
      <c r="W168">
        <f>'Data-Kolom'!K168</f>
        <v>0</v>
      </c>
      <c r="X168">
        <f>IF(V168&gt;0,VLOOKUP(W168,$V$2:$X$9,2,FALSE),0)</f>
        <v>0</v>
      </c>
      <c r="Y168">
        <f>IF(V168&gt;0,IF(L168&gt;0,M168-50+$N$6*W168,VLOOKUP(W168,$V$2:$X$9,3,FALSE)),0)</f>
        <v>0</v>
      </c>
      <c r="Z168">
        <f>IF(E168="F",J168-$N$5+$N$6*W168+Y168,IF(E168="D",J168+Y168+X168,IF(E168="T",J168+X168,IF(E168="A",J168-$N$5+$N$6*W168,0))))</f>
        <v>3480</v>
      </c>
      <c r="AB168">
        <f>SUM(Z168:AA168)</f>
        <v>3480</v>
      </c>
      <c r="AC168">
        <f>V168*K168</f>
        <v>0</v>
      </c>
      <c r="AD168">
        <f>'Data-Kolom'!L168</f>
        <v>8</v>
      </c>
      <c r="AE168">
        <f>'Data-Kolom'!M168</f>
        <v>100</v>
      </c>
      <c r="AF168">
        <f>'Data-Kolom'!N168</f>
        <v>100</v>
      </c>
      <c r="AG168">
        <f>'Data-Kolom'!O168</f>
        <v>100</v>
      </c>
      <c r="AH168">
        <f>'Data-Kolom'!P168</f>
        <v>0.5</v>
      </c>
      <c r="AI168">
        <f>'Data-Kolom'!Q168</f>
        <v>8</v>
      </c>
      <c r="AJ168">
        <f>'Data-Kolom'!R168</f>
        <v>0</v>
      </c>
      <c r="AK168">
        <f>'Data-Kolom'!S168</f>
        <v>0</v>
      </c>
      <c r="AL168">
        <f>2*(H168+I168-4*$N$5)+2*MAX($F$5*AD168,75)</f>
        <v>1730</v>
      </c>
      <c r="AM168">
        <f>+AH168*(H168-2*$N$5+2*MAX($F$5*AI168,75))+AJ168*(I168-2*$N$5+2*MAX($F$5*AK168,75))</f>
        <v>140</v>
      </c>
      <c r="AN168">
        <f>(ROUND((1/2*J168+IF(M168&gt;0,(Q168-$N$6*AD168),0))/AE168,0)+(ROUND(1/2*J168/AF168,0)+1))*K168</f>
        <v>37</v>
      </c>
      <c r="AO168">
        <f>H168*I168*J168/1000000000*K168*(1+$T$5)</f>
        <v>0.4165</v>
      </c>
      <c r="AP168">
        <f>0.006165*O168^2*T168*U168/1000*(1+$T$6)</f>
        <v>82.52395019999999</v>
      </c>
      <c r="AQ168">
        <f>0.006165*W168^2*AB168*AC168/1000*(1+$T$6)</f>
        <v>0</v>
      </c>
      <c r="AR168">
        <f>AN168*0.006165*AD168^2*AL168/1000*(1+$T$6)</f>
        <v>25.2557856</v>
      </c>
      <c r="AS168">
        <f>AN168*0.006165*AI168^2*AM168/1000*(1+$T$6)</f>
        <v>2.0438207999999998</v>
      </c>
      <c r="AT168">
        <f>K168*2*J168*(H168+I168)/1000000*(1+$T$7)</f>
        <v>6.09</v>
      </c>
      <c r="AU168">
        <f>SUM(AP168:AS168)/AO168</f>
        <v>263.6820086434574</v>
      </c>
      <c r="AV168">
        <f>AT168/AO168</f>
        <v>14.621848739495798</v>
      </c>
      <c r="AX168">
        <f>0.006165*O168^2*R168*U168/1000*(1+$T$6)</f>
        <v>82.52395019999999</v>
      </c>
      <c r="AZ168">
        <f>0.006165*O168^2*S168*U168/1000*(1+$T$6)</f>
        <v>0</v>
      </c>
      <c r="BA168">
        <f>AZ168/AP168</f>
        <v>0</v>
      </c>
    </row>
    <row r="169">
      <c r="A169" t="str">
        <f>'Data-Kolom'!A169</f>
        <v>14A</v>
      </c>
      <c r="B169" t="str">
        <f>'Data-Kolom'!B169</f>
        <v>Lantai Attic</v>
      </c>
      <c r="C169">
        <f>'Data-Kolom'!C169</f>
        <v>0</v>
      </c>
      <c r="D169" t="str">
        <f>'Data-Kolom'!D169</f>
        <v>K174-1</v>
      </c>
      <c r="E169" t="str">
        <v>A</v>
      </c>
      <c r="F169">
        <f>'Data-Kolom'!U169</f>
        <v>0</v>
      </c>
      <c r="G169">
        <f>'Data-Kolom'!T169</f>
        <v>0</v>
      </c>
      <c r="H169">
        <f>'Data-Kolom'!E169</f>
        <v>170</v>
      </c>
      <c r="I169">
        <f>'Data-Kolom'!F169</f>
        <v>400</v>
      </c>
      <c r="J169">
        <f>'Data-Kolom'!G169</f>
        <v>3500</v>
      </c>
      <c r="K169">
        <v>1</v>
      </c>
      <c r="M169">
        <f>IF(L169&gt;0,VLOOKUP(L169,'Data-PC'!$B$14:$F$36,4,FALSE),0)</f>
        <v>0</v>
      </c>
      <c r="N169">
        <f>'Data-Kolom'!H169</f>
        <v>8</v>
      </c>
      <c r="O169">
        <f>'Data-Kolom'!I169</f>
        <v>13</v>
      </c>
      <c r="P169">
        <f>IF(N169&gt;0,VLOOKUP(O169,$V$2:$X$9,2,FALSE),0)</f>
        <v>820</v>
      </c>
      <c r="Q169">
        <f>IF(L169&gt;0,M169-50+$N$6*O169,VLOOKUP(O169,$V$2:$X$9,3,FALSE))</f>
        <v>630</v>
      </c>
      <c r="R169">
        <f>IF(E169="F",J169-$N$5+$N$6*O169+Q169,IF(E169="D",J169+Q169+P169,IF(E169="T",J169+P169,IF(E169="A",J169-$N$5+$N$6*O169,0))))</f>
        <v>3636</v>
      </c>
      <c r="T169">
        <f>SUM(R169:S169)</f>
        <v>3636</v>
      </c>
      <c r="U169">
        <f>K169*N169</f>
        <v>8</v>
      </c>
      <c r="V169">
        <f>'Data-Kolom'!J169</f>
        <v>0</v>
      </c>
      <c r="W169">
        <f>'Data-Kolom'!K169</f>
        <v>0</v>
      </c>
      <c r="X169">
        <f>IF(V169&gt;0,VLOOKUP(W169,$V$2:$X$9,2,FALSE),0)</f>
        <v>0</v>
      </c>
      <c r="Y169">
        <f>IF(V169&gt;0,IF(L169&gt;0,M169-50+$N$6*W169,VLOOKUP(W169,$V$2:$X$9,3,FALSE)),0)</f>
        <v>0</v>
      </c>
      <c r="Z169">
        <f>IF(E169="F",J169-$N$5+$N$6*W169+Y169,IF(E169="D",J169+Y169+X169,IF(E169="T",J169+X169,IF(E169="A",J169-$N$5+$N$6*W169,0))))</f>
        <v>3480</v>
      </c>
      <c r="AB169">
        <f>SUM(Z169:AA169)</f>
        <v>3480</v>
      </c>
      <c r="AC169">
        <f>V169*K169</f>
        <v>0</v>
      </c>
      <c r="AD169">
        <f>'Data-Kolom'!L169</f>
        <v>8</v>
      </c>
      <c r="AE169">
        <f>'Data-Kolom'!M169</f>
        <v>100</v>
      </c>
      <c r="AF169">
        <f>'Data-Kolom'!N169</f>
        <v>100</v>
      </c>
      <c r="AG169">
        <f>'Data-Kolom'!O169</f>
        <v>100</v>
      </c>
      <c r="AH169">
        <f>'Data-Kolom'!P169</f>
        <v>0</v>
      </c>
      <c r="AI169">
        <f>'Data-Kolom'!Q169</f>
        <v>0</v>
      </c>
      <c r="AJ169">
        <f>'Data-Kolom'!R169</f>
        <v>0</v>
      </c>
      <c r="AK169">
        <f>'Data-Kolom'!S169</f>
        <v>0</v>
      </c>
      <c r="AL169">
        <f>2*(H169+I169-4*$N$5)+2*MAX($F$5*AD169,75)</f>
        <v>1130</v>
      </c>
      <c r="AM169">
        <f>+AH169*(H169-2*$N$5+2*MAX($F$5*AI169,75))+AJ169*(I169-2*$N$5+2*MAX($F$5*AK169,75))</f>
        <v>0</v>
      </c>
      <c r="AN169">
        <f>(ROUND((1/2*J169+IF(M169&gt;0,(Q169-$N$6*AD169),0))/AE169,0)+(ROUND(1/2*J169/AF169,0)+1))*K169</f>
        <v>37</v>
      </c>
      <c r="AO169">
        <f>H169*I169*J169/1000000000*K169*(1+$T$5)</f>
        <v>0.238</v>
      </c>
      <c r="AP169">
        <f>0.006165*O169^2*T169*U169/1000*(1+$T$6)</f>
        <v>30.306350879999997</v>
      </c>
      <c r="AQ169">
        <f>0.006165*W169^2*AB169*AC169/1000*(1+$T$6)</f>
        <v>0</v>
      </c>
      <c r="AR169">
        <f>AN169*0.006165*AD169^2*AL169/1000*(1+$T$6)</f>
        <v>16.4965536</v>
      </c>
      <c r="AS169">
        <f>AN169*0.006165*AI169^2*AM169/1000*(1+$T$6)</f>
        <v>0</v>
      </c>
      <c r="AT169">
        <f>K169*2*J169*(H169+I169)/1000000*(1+$T$7)</f>
        <v>3.99</v>
      </c>
      <c r="AU169">
        <f>SUM(AP169:AS169)/AO169</f>
        <v>196.65085915966387</v>
      </c>
      <c r="AV169">
        <f>AT169/AO169</f>
        <v>16.764705882352942</v>
      </c>
      <c r="AX169">
        <f>0.006165*O169^2*R169*U169/1000*(1+$T$6)</f>
        <v>30.306350879999997</v>
      </c>
      <c r="AZ169">
        <f>0.006165*O169^2*S169*U169/1000*(1+$T$6)</f>
        <v>0</v>
      </c>
      <c r="BA169">
        <f>AZ169/AP169</f>
        <v>0</v>
      </c>
    </row>
    <row r="170">
      <c r="A170">
        <f>'Data-Kolom'!A170</f>
        <v>15</v>
      </c>
      <c r="B170" t="str">
        <f>'Data-Kolom'!B170</f>
        <v>Lantai Attic</v>
      </c>
      <c r="C170">
        <f>'Data-Kolom'!C170</f>
        <v>0</v>
      </c>
      <c r="D170" t="str">
        <f>'Data-Kolom'!D170</f>
        <v>K178-1</v>
      </c>
      <c r="E170" t="str">
        <v>A</v>
      </c>
      <c r="F170">
        <f>'Data-Kolom'!U170</f>
        <v>0</v>
      </c>
      <c r="G170">
        <f>'Data-Kolom'!T170</f>
        <v>0</v>
      </c>
      <c r="H170">
        <f>'Data-Kolom'!E170</f>
        <v>170</v>
      </c>
      <c r="I170">
        <f>'Data-Kolom'!F170</f>
        <v>800</v>
      </c>
      <c r="J170">
        <f>'Data-Kolom'!G170</f>
        <v>3500</v>
      </c>
      <c r="K170">
        <v>1</v>
      </c>
      <c r="M170">
        <f>IF(L170&gt;0,VLOOKUP(L170,'Data-PC'!$B$14:$F$36,4,FALSE),0)</f>
        <v>0</v>
      </c>
      <c r="N170">
        <f>'Data-Kolom'!H170</f>
        <v>8</v>
      </c>
      <c r="O170">
        <f>'Data-Kolom'!I170</f>
        <v>16</v>
      </c>
      <c r="P170">
        <f>IF(N170&gt;0,VLOOKUP(O170,$V$2:$X$9,2,FALSE),0)</f>
        <v>1010</v>
      </c>
      <c r="Q170">
        <f>IF(L170&gt;0,M170-50+$N$6*O170,VLOOKUP(O170,$V$2:$X$9,3,FALSE))</f>
        <v>770</v>
      </c>
      <c r="R170">
        <f>IF(E170="F",J170-$N$5+$N$6*O170+Q170,IF(E170="D",J170+Q170+P170,IF(E170="T",J170+P170,IF(E170="A",J170-$N$5+$N$6*O170,0))))</f>
        <v>3672</v>
      </c>
      <c r="T170">
        <f>SUM(R170:S170)</f>
        <v>3672</v>
      </c>
      <c r="U170">
        <f>K170*N170</f>
        <v>8</v>
      </c>
      <c r="V170">
        <f>'Data-Kolom'!J170</f>
        <v>0</v>
      </c>
      <c r="W170">
        <f>'Data-Kolom'!K170</f>
        <v>0</v>
      </c>
      <c r="X170">
        <f>IF(V170&gt;0,VLOOKUP(W170,$V$2:$X$9,2,FALSE),0)</f>
        <v>0</v>
      </c>
      <c r="Y170">
        <f>IF(V170&gt;0,IF(L170&gt;0,M170-50+$N$6*W170,VLOOKUP(W170,$V$2:$X$9,3,FALSE)),0)</f>
        <v>0</v>
      </c>
      <c r="Z170">
        <f>IF(E170="F",J170-$N$5+$N$6*W170+Y170,IF(E170="D",J170+Y170+X170,IF(E170="T",J170+X170,IF(E170="A",J170-$N$5+$N$6*W170,0))))</f>
        <v>3480</v>
      </c>
      <c r="AB170">
        <f>SUM(Z170:AA170)</f>
        <v>3480</v>
      </c>
      <c r="AC170">
        <f>V170*K170</f>
        <v>0</v>
      </c>
      <c r="AD170">
        <f>'Data-Kolom'!L170</f>
        <v>8</v>
      </c>
      <c r="AE170">
        <f>'Data-Kolom'!M170</f>
        <v>100</v>
      </c>
      <c r="AF170">
        <f>'Data-Kolom'!N170</f>
        <v>100</v>
      </c>
      <c r="AG170">
        <f>'Data-Kolom'!O170</f>
        <v>100</v>
      </c>
      <c r="AH170">
        <f>'Data-Kolom'!P170</f>
        <v>1</v>
      </c>
      <c r="AI170">
        <f>'Data-Kolom'!Q170</f>
        <v>8</v>
      </c>
      <c r="AJ170">
        <f>'Data-Kolom'!R170</f>
        <v>0</v>
      </c>
      <c r="AK170">
        <f>'Data-Kolom'!S170</f>
        <v>0</v>
      </c>
      <c r="AL170">
        <f>2*(H170+I170-4*$N$5)+2*MAX($F$5*AD170,75)</f>
        <v>1930</v>
      </c>
      <c r="AM170">
        <f>+AH170*(H170-2*$N$5+2*MAX($F$5*AI170,75))+AJ170*(I170-2*$N$5+2*MAX($F$5*AK170,75))</f>
        <v>280</v>
      </c>
      <c r="AN170">
        <f>(ROUND((1/2*J170+IF(M170&gt;0,(Q170-$N$6*AD170),0))/AE170,0)+(ROUND(1/2*J170/AF170,0)+1))*K170</f>
        <v>37</v>
      </c>
      <c r="AO170">
        <f>H170*I170*J170/1000000000*K170*(1+$T$5)</f>
        <v>0.476</v>
      </c>
      <c r="AP170">
        <f>0.006165*O170^2*T170*U170/1000*(1+$T$6)</f>
        <v>46.362378240000005</v>
      </c>
      <c r="AQ170">
        <f>0.006165*W170^2*AB170*AC170/1000*(1+$T$6)</f>
        <v>0</v>
      </c>
      <c r="AR170">
        <f>AN170*0.006165*AD170^2*AL170/1000*(1+$T$6)</f>
        <v>28.1755296</v>
      </c>
      <c r="AS170">
        <f>AN170*0.006165*AI170^2*AM170/1000*(1+$T$6)</f>
        <v>4.0876415999999995</v>
      </c>
      <c r="AT170">
        <f>K170*2*J170*(H170+I170)/1000000*(1+$T$7)</f>
        <v>6.79</v>
      </c>
      <c r="AU170">
        <f>SUM(AP170:AS170)/AO170</f>
        <v>165.17972571428572</v>
      </c>
      <c r="AV170">
        <f>AT170/AO170</f>
        <v>14.264705882352942</v>
      </c>
      <c r="AX170">
        <f>0.006165*O170^2*R170*U170/1000*(1+$T$6)</f>
        <v>46.362378240000005</v>
      </c>
      <c r="AZ170">
        <f>0.006165*O170^2*S170*U170/1000*(1+$T$6)</f>
        <v>0</v>
      </c>
      <c r="BA170">
        <f>AZ170/AP170</f>
        <v>0</v>
      </c>
    </row>
    <row r="171">
      <c r="A171">
        <f>'Data-Kolom'!A171</f>
        <v>16</v>
      </c>
      <c r="B171" t="str">
        <f>'Data-Kolom'!B171</f>
        <v>Lantai Attic</v>
      </c>
      <c r="C171">
        <f>'Data-Kolom'!C171</f>
        <v>0</v>
      </c>
      <c r="D171" t="str">
        <f>'Data-Kolom'!D171</f>
        <v>K175-2</v>
      </c>
      <c r="E171" t="str">
        <v>A</v>
      </c>
      <c r="F171">
        <f>'Data-Kolom'!U171</f>
        <v>0</v>
      </c>
      <c r="G171">
        <f>'Data-Kolom'!T171</f>
        <v>0</v>
      </c>
      <c r="H171">
        <f>'Data-Kolom'!E171</f>
        <v>170</v>
      </c>
      <c r="I171">
        <f>'Data-Kolom'!F171</f>
        <v>500</v>
      </c>
      <c r="J171">
        <f>'Data-Kolom'!G171</f>
        <v>3500</v>
      </c>
      <c r="K171">
        <v>1</v>
      </c>
      <c r="M171">
        <f>IF(L171&gt;0,VLOOKUP(L171,'Data-PC'!$B$14:$F$36,4,FALSE),0)</f>
        <v>0</v>
      </c>
      <c r="N171">
        <f>'Data-Kolom'!H171</f>
        <v>8</v>
      </c>
      <c r="O171">
        <f>'Data-Kolom'!I171</f>
        <v>16</v>
      </c>
      <c r="P171">
        <f>IF(N171&gt;0,VLOOKUP(O171,$V$2:$X$9,2,FALSE),0)</f>
        <v>1010</v>
      </c>
      <c r="Q171">
        <f>IF(L171&gt;0,M171-50+$N$6*O171,VLOOKUP(O171,$V$2:$X$9,3,FALSE))</f>
        <v>770</v>
      </c>
      <c r="R171">
        <f>IF(E171="F",J171-$N$5+$N$6*O171+Q171,IF(E171="D",J171+Q171+P171,IF(E171="T",J171+P171,IF(E171="A",J171-$N$5+$N$6*O171,0))))</f>
        <v>3672</v>
      </c>
      <c r="T171">
        <f>SUM(R171:S171)</f>
        <v>3672</v>
      </c>
      <c r="U171">
        <f>K171*N171</f>
        <v>8</v>
      </c>
      <c r="V171">
        <f>'Data-Kolom'!J171</f>
        <v>0</v>
      </c>
      <c r="W171">
        <f>'Data-Kolom'!K171</f>
        <v>0</v>
      </c>
      <c r="X171">
        <f>IF(V171&gt;0,VLOOKUP(W171,$V$2:$X$9,2,FALSE),0)</f>
        <v>0</v>
      </c>
      <c r="Y171">
        <f>IF(V171&gt;0,IF(L171&gt;0,M171-50+$N$6*W171,VLOOKUP(W171,$V$2:$X$9,3,FALSE)),0)</f>
        <v>0</v>
      </c>
      <c r="Z171">
        <f>IF(E171="F",J171-$N$5+$N$6*W171+Y171,IF(E171="D",J171+Y171+X171,IF(E171="T",J171+X171,IF(E171="A",J171-$N$5+$N$6*W171,0))))</f>
        <v>3480</v>
      </c>
      <c r="AB171">
        <f>SUM(Z171:AA171)</f>
        <v>3480</v>
      </c>
      <c r="AC171">
        <f>V171*K171</f>
        <v>0</v>
      </c>
      <c r="AD171">
        <f>'Data-Kolom'!L171</f>
        <v>8</v>
      </c>
      <c r="AE171">
        <f>'Data-Kolom'!M171</f>
        <v>100</v>
      </c>
      <c r="AF171">
        <f>'Data-Kolom'!N171</f>
        <v>100</v>
      </c>
      <c r="AG171">
        <f>'Data-Kolom'!O171</f>
        <v>100</v>
      </c>
      <c r="AH171">
        <f>'Data-Kolom'!P171</f>
        <v>0.5</v>
      </c>
      <c r="AI171">
        <f>'Data-Kolom'!Q171</f>
        <v>8</v>
      </c>
      <c r="AJ171">
        <f>'Data-Kolom'!R171</f>
        <v>0</v>
      </c>
      <c r="AK171">
        <f>'Data-Kolom'!S171</f>
        <v>0</v>
      </c>
      <c r="AL171">
        <f>2*(H171+I171-4*$N$5)+2*MAX($F$5*AD171,75)</f>
        <v>1330</v>
      </c>
      <c r="AM171">
        <f>+AH171*(H171-2*$N$5+2*MAX($F$5*AI171,75))+AJ171*(I171-2*$N$5+2*MAX($F$5*AK171,75))</f>
        <v>140</v>
      </c>
      <c r="AN171">
        <f>(ROUND((1/2*J171+IF(M171&gt;0,(Q171-$N$6*AD171),0))/AE171,0)+(ROUND(1/2*J171/AF171,0)+1))*K171</f>
        <v>37</v>
      </c>
      <c r="AO171">
        <f>H171*I171*J171/1000000000*K171*(1+$T$5)</f>
        <v>0.2975</v>
      </c>
      <c r="AP171">
        <f>0.006165*O171^2*T171*U171/1000*(1+$T$6)</f>
        <v>46.362378240000005</v>
      </c>
      <c r="AQ171">
        <f>0.006165*W171^2*AB171*AC171/1000*(1+$T$6)</f>
        <v>0</v>
      </c>
      <c r="AR171">
        <f>AN171*0.006165*AD171^2*AL171/1000*(1+$T$6)</f>
        <v>19.4162976</v>
      </c>
      <c r="AS171">
        <f>AN171*0.006165*AI171^2*AM171/1000*(1+$T$6)</f>
        <v>2.0438207999999998</v>
      </c>
      <c r="AT171">
        <f>K171*2*J171*(H171+I171)/1000000*(1+$T$7)</f>
        <v>4.69</v>
      </c>
      <c r="AU171">
        <f>SUM(AP171:AS171)/AO171</f>
        <v>227.9747786218488</v>
      </c>
      <c r="AV171">
        <f>AT171/AO171</f>
        <v>15.764705882352944</v>
      </c>
      <c r="AX171">
        <f>0.006165*O171^2*R171*U171/1000*(1+$T$6)</f>
        <v>46.362378240000005</v>
      </c>
      <c r="AZ171">
        <f>0.006165*O171^2*S171*U171/1000*(1+$T$6)</f>
        <v>0</v>
      </c>
      <c r="BA171">
        <f>AZ171/AP171</f>
        <v>0</v>
      </c>
    </row>
    <row r="172">
      <c r="A172">
        <f>'Data-Kolom'!A172</f>
        <v>18</v>
      </c>
      <c r="B172" t="str">
        <f>'Data-Kolom'!B172</f>
        <v>Lantai Attic</v>
      </c>
      <c r="C172">
        <f>'Data-Kolom'!C172</f>
        <v>0</v>
      </c>
      <c r="D172" t="str">
        <f>'Data-Kolom'!D172</f>
        <v>K175-4</v>
      </c>
      <c r="E172" t="str">
        <v>A</v>
      </c>
      <c r="F172">
        <f>'Data-Kolom'!U172</f>
        <v>0</v>
      </c>
      <c r="G172">
        <f>'Data-Kolom'!T172</f>
        <v>0</v>
      </c>
      <c r="H172">
        <f>'Data-Kolom'!E172</f>
        <v>170</v>
      </c>
      <c r="I172">
        <f>'Data-Kolom'!F172</f>
        <v>500</v>
      </c>
      <c r="J172">
        <f>'Data-Kolom'!G172</f>
        <v>3500</v>
      </c>
      <c r="K172">
        <v>1</v>
      </c>
      <c r="M172">
        <f>IF(L172&gt;0,VLOOKUP(L172,'Data-PC'!$B$14:$F$36,4,FALSE),0)</f>
        <v>0</v>
      </c>
      <c r="N172">
        <f>'Data-Kolom'!H172</f>
        <v>8</v>
      </c>
      <c r="O172">
        <f>'Data-Kolom'!I172</f>
        <v>19</v>
      </c>
      <c r="P172">
        <f>IF(N172&gt;0,VLOOKUP(O172,$V$2:$X$9,2,FALSE),0)</f>
        <v>1190</v>
      </c>
      <c r="Q172">
        <f>IF(L172&gt;0,M172-50+$N$6*O172,VLOOKUP(O172,$V$2:$X$9,3,FALSE))</f>
        <v>910</v>
      </c>
      <c r="R172">
        <f>IF(E172="F",J172-$N$5+$N$6*O172+Q172,IF(E172="D",J172+Q172+P172,IF(E172="T",J172+P172,IF(E172="A",J172-$N$5+$N$6*O172,0))))</f>
        <v>3708</v>
      </c>
      <c r="T172">
        <f>SUM(R172:S172)</f>
        <v>3708</v>
      </c>
      <c r="U172">
        <f>K172*N172</f>
        <v>8</v>
      </c>
      <c r="V172">
        <f>'Data-Kolom'!J172</f>
        <v>2</v>
      </c>
      <c r="W172">
        <f>'Data-Kolom'!K172</f>
        <v>8</v>
      </c>
      <c r="X172">
        <f>IF(V172&gt;0,VLOOKUP(W172,$V$2:$X$9,2,FALSE),0)</f>
        <v>400</v>
      </c>
      <c r="Y172">
        <f>IF(V172&gt;0,IF(L172&gt;0,M172-50+$N$6*W172,VLOOKUP(W172,$V$2:$X$9,3,FALSE)),0)</f>
        <v>310</v>
      </c>
      <c r="Z172">
        <f>IF(E172="F",J172-$N$5+$N$6*W172+Y172,IF(E172="D",J172+Y172+X172,IF(E172="T",J172+X172,IF(E172="A",J172-$N$5+$N$6*W172,0))))</f>
        <v>3576</v>
      </c>
      <c r="AB172">
        <f>SUM(Z172:AA172)</f>
        <v>3576</v>
      </c>
      <c r="AC172">
        <f>V172*K172</f>
        <v>2</v>
      </c>
      <c r="AD172">
        <f>'Data-Kolom'!L172</f>
        <v>10</v>
      </c>
      <c r="AE172">
        <f>'Data-Kolom'!M172</f>
        <v>100</v>
      </c>
      <c r="AF172">
        <f>'Data-Kolom'!N172</f>
        <v>100</v>
      </c>
      <c r="AG172">
        <f>'Data-Kolom'!O172</f>
        <v>100</v>
      </c>
      <c r="AH172">
        <f>'Data-Kolom'!P172</f>
        <v>0.5</v>
      </c>
      <c r="AI172">
        <f>'Data-Kolom'!Q172</f>
        <v>8</v>
      </c>
      <c r="AJ172">
        <f>'Data-Kolom'!R172</f>
        <v>0</v>
      </c>
      <c r="AK172">
        <f>'Data-Kolom'!S172</f>
        <v>0</v>
      </c>
      <c r="AL172">
        <f>2*(H172+I172-4*$N$5)+2*MAX($F$5*AD172,75)</f>
        <v>1330</v>
      </c>
      <c r="AM172">
        <f>+AH172*(H172-2*$N$5+2*MAX($F$5*AI172,75))+AJ172*(I172-2*$N$5+2*MAX($F$5*AK172,75))</f>
        <v>140</v>
      </c>
      <c r="AN172">
        <f>(ROUND((1/2*J172+IF(M172&gt;0,(Q172-$N$6*AD172),0))/AE172,0)+(ROUND(1/2*J172/AF172,0)+1))*K172</f>
        <v>37</v>
      </c>
      <c r="AO172">
        <f>H172*I172*J172/1000000000*K172*(1+$T$5)</f>
        <v>0.2975</v>
      </c>
      <c r="AP172">
        <f>0.006165*O172^2*T172*U172/1000*(1+$T$6)</f>
        <v>66.01916016</v>
      </c>
      <c r="AQ172">
        <f>0.006165*W172^2*AB172*AC172/1000*(1+$T$6)</f>
        <v>2.8218931200000004</v>
      </c>
      <c r="AR172">
        <f>AN172*0.006165*AD172^2*AL172/1000*(1+$T$6)</f>
        <v>30.337965</v>
      </c>
      <c r="AS172">
        <f>AN172*0.006165*AI172^2*AM172/1000*(1+$T$6)</f>
        <v>2.0438207999999998</v>
      </c>
      <c r="AT172">
        <f>K172*2*J172*(H172+I172)/1000000*(1+$T$7)</f>
        <v>4.69</v>
      </c>
      <c r="AU172">
        <f>SUM(AP172:AS172)/AO172</f>
        <v>340.2448372436975</v>
      </c>
      <c r="AV172">
        <f>AT172/AO172</f>
        <v>15.764705882352944</v>
      </c>
      <c r="AX172">
        <f>0.006165*O172^2*R172*U172/1000*(1+$T$6)</f>
        <v>66.01916016</v>
      </c>
      <c r="AZ172">
        <f>0.006165*O172^2*S172*U172/1000*(1+$T$6)</f>
        <v>0</v>
      </c>
      <c r="BA172">
        <f>AZ172/AP172</f>
        <v>0</v>
      </c>
    </row>
    <row r="173">
      <c r="A173">
        <f>'Data-Kolom'!A173</f>
        <v>19</v>
      </c>
      <c r="B173" t="str">
        <f>'Data-Kolom'!B173</f>
        <v>Lantai Attic</v>
      </c>
      <c r="C173">
        <f>'Data-Kolom'!C173</f>
        <v>0</v>
      </c>
      <c r="D173" t="str">
        <f>'Data-Kolom'!D173</f>
        <v>K178-1</v>
      </c>
      <c r="E173" t="str">
        <v>A</v>
      </c>
      <c r="F173">
        <f>'Data-Kolom'!U173</f>
        <v>0</v>
      </c>
      <c r="G173">
        <f>'Data-Kolom'!T173</f>
        <v>0</v>
      </c>
      <c r="H173">
        <f>'Data-Kolom'!E173</f>
        <v>170</v>
      </c>
      <c r="I173">
        <f>'Data-Kolom'!F173</f>
        <v>800</v>
      </c>
      <c r="J173">
        <f>'Data-Kolom'!G173</f>
        <v>3500</v>
      </c>
      <c r="K173">
        <v>1</v>
      </c>
      <c r="M173">
        <f>IF(L173&gt;0,VLOOKUP(L173,'Data-PC'!$B$14:$F$36,4,FALSE),0)</f>
        <v>0</v>
      </c>
      <c r="N173">
        <f>'Data-Kolom'!H173</f>
        <v>8</v>
      </c>
      <c r="O173">
        <f>'Data-Kolom'!I173</f>
        <v>16</v>
      </c>
      <c r="P173">
        <f>IF(N173&gt;0,VLOOKUP(O173,$V$2:$X$9,2,FALSE),0)</f>
        <v>1010</v>
      </c>
      <c r="Q173">
        <f>IF(L173&gt;0,M173-50+$N$6*O173,VLOOKUP(O173,$V$2:$X$9,3,FALSE))</f>
        <v>770</v>
      </c>
      <c r="R173">
        <f>IF(E173="F",J173-$N$5+$N$6*O173+Q173,IF(E173="D",J173+Q173+P173,IF(E173="T",J173+P173,IF(E173="A",J173-$N$5+$N$6*O173,0))))</f>
        <v>3672</v>
      </c>
      <c r="T173">
        <f>SUM(R173:S173)</f>
        <v>3672</v>
      </c>
      <c r="U173">
        <f>K173*N173</f>
        <v>8</v>
      </c>
      <c r="V173">
        <f>'Data-Kolom'!J173</f>
        <v>0</v>
      </c>
      <c r="W173">
        <f>'Data-Kolom'!K173</f>
        <v>0</v>
      </c>
      <c r="X173">
        <f>IF(V173&gt;0,VLOOKUP(W173,$V$2:$X$9,2,FALSE),0)</f>
        <v>0</v>
      </c>
      <c r="Y173">
        <f>IF(V173&gt;0,IF(L173&gt;0,M173-50+$N$6*W173,VLOOKUP(W173,$V$2:$X$9,3,FALSE)),0)</f>
        <v>0</v>
      </c>
      <c r="Z173">
        <f>IF(E173="F",J173-$N$5+$N$6*W173+Y173,IF(E173="D",J173+Y173+X173,IF(E173="T",J173+X173,IF(E173="A",J173-$N$5+$N$6*W173,0))))</f>
        <v>3480</v>
      </c>
      <c r="AB173">
        <f>SUM(Z173:AA173)</f>
        <v>3480</v>
      </c>
      <c r="AC173">
        <f>V173*K173</f>
        <v>0</v>
      </c>
      <c r="AD173">
        <f>'Data-Kolom'!L173</f>
        <v>8</v>
      </c>
      <c r="AE173">
        <f>'Data-Kolom'!M173</f>
        <v>100</v>
      </c>
      <c r="AF173">
        <f>'Data-Kolom'!N173</f>
        <v>100</v>
      </c>
      <c r="AG173">
        <f>'Data-Kolom'!O173</f>
        <v>100</v>
      </c>
      <c r="AH173">
        <f>'Data-Kolom'!P173</f>
        <v>1</v>
      </c>
      <c r="AI173">
        <f>'Data-Kolom'!Q173</f>
        <v>8</v>
      </c>
      <c r="AJ173">
        <f>'Data-Kolom'!R173</f>
        <v>0</v>
      </c>
      <c r="AK173">
        <f>'Data-Kolom'!S173</f>
        <v>0</v>
      </c>
      <c r="AL173">
        <f>2*(H173+I173-4*$N$5)+2*MAX($F$5*AD173,75)</f>
        <v>1930</v>
      </c>
      <c r="AM173">
        <f>+AH173*(H173-2*$N$5+2*MAX($F$5*AI173,75))+AJ173*(I173-2*$N$5+2*MAX($F$5*AK173,75))</f>
        <v>280</v>
      </c>
      <c r="AN173">
        <f>(ROUND((1/2*J173+IF(M173&gt;0,(Q173-$N$6*AD173),0))/AE173,0)+(ROUND(1/2*J173/AF173,0)+1))*K173</f>
        <v>37</v>
      </c>
      <c r="AO173">
        <f>H173*I173*J173/1000000000*K173*(1+$T$5)</f>
        <v>0.476</v>
      </c>
      <c r="AP173">
        <f>0.006165*O173^2*T173*U173/1000*(1+$T$6)</f>
        <v>46.362378240000005</v>
      </c>
      <c r="AQ173">
        <f>0.006165*W173^2*AB173*AC173/1000*(1+$T$6)</f>
        <v>0</v>
      </c>
      <c r="AR173">
        <f>AN173*0.006165*AD173^2*AL173/1000*(1+$T$6)</f>
        <v>28.1755296</v>
      </c>
      <c r="AS173">
        <f>AN173*0.006165*AI173^2*AM173/1000*(1+$T$6)</f>
        <v>4.0876415999999995</v>
      </c>
      <c r="AT173">
        <f>K173*2*J173*(H173+I173)/1000000*(1+$T$7)</f>
        <v>6.79</v>
      </c>
      <c r="AU173">
        <f>SUM(AP173:AS173)/AO173</f>
        <v>165.17972571428572</v>
      </c>
      <c r="AV173">
        <f>AT173/AO173</f>
        <v>14.264705882352942</v>
      </c>
      <c r="AX173">
        <f>0.006165*O173^2*R173*U173/1000*(1+$T$6)</f>
        <v>46.362378240000005</v>
      </c>
      <c r="AZ173">
        <f>0.006165*O173^2*S173*U173/1000*(1+$T$6)</f>
        <v>0</v>
      </c>
      <c r="BA173">
        <f>AZ173/AP173</f>
        <v>0</v>
      </c>
    </row>
    <row r="174">
      <c r="A174">
        <f>'Data-Kolom'!A174</f>
        <v>20</v>
      </c>
      <c r="B174" t="str">
        <f>'Data-Kolom'!B174</f>
        <v>Lantai Attic</v>
      </c>
      <c r="C174">
        <f>'Data-Kolom'!C174</f>
        <v>0</v>
      </c>
      <c r="D174" t="str">
        <f>'Data-Kolom'!D174</f>
        <v>K174-1</v>
      </c>
      <c r="E174" t="str">
        <v>A</v>
      </c>
      <c r="F174">
        <f>'Data-Kolom'!U174</f>
        <v>0</v>
      </c>
      <c r="G174">
        <f>'Data-Kolom'!T174</f>
        <v>0</v>
      </c>
      <c r="H174">
        <f>'Data-Kolom'!E174</f>
        <v>170</v>
      </c>
      <c r="I174">
        <f>'Data-Kolom'!F174</f>
        <v>400</v>
      </c>
      <c r="J174">
        <f>'Data-Kolom'!G174</f>
        <v>3500</v>
      </c>
      <c r="K174">
        <v>1</v>
      </c>
      <c r="M174">
        <f>IF(L174&gt;0,VLOOKUP(L174,'Data-PC'!$B$14:$F$36,4,FALSE),0)</f>
        <v>0</v>
      </c>
      <c r="N174">
        <f>'Data-Kolom'!H174</f>
        <v>8</v>
      </c>
      <c r="O174">
        <f>'Data-Kolom'!I174</f>
        <v>13</v>
      </c>
      <c r="P174">
        <f>IF(N174&gt;0,VLOOKUP(O174,$V$2:$X$9,2,FALSE),0)</f>
        <v>820</v>
      </c>
      <c r="Q174">
        <f>IF(L174&gt;0,M174-50+$N$6*O174,VLOOKUP(O174,$V$2:$X$9,3,FALSE))</f>
        <v>630</v>
      </c>
      <c r="R174">
        <f>IF(E174="F",J174-$N$5+$N$6*O174+Q174,IF(E174="D",J174+Q174+P174,IF(E174="T",J174+P174,IF(E174="A",J174-$N$5+$N$6*O174,0))))</f>
        <v>3636</v>
      </c>
      <c r="T174">
        <f>SUM(R174:S174)</f>
        <v>3636</v>
      </c>
      <c r="U174">
        <f>K174*N174</f>
        <v>8</v>
      </c>
      <c r="V174">
        <f>'Data-Kolom'!J174</f>
        <v>0</v>
      </c>
      <c r="W174">
        <f>'Data-Kolom'!K174</f>
        <v>0</v>
      </c>
      <c r="X174">
        <f>IF(V174&gt;0,VLOOKUP(W174,$V$2:$X$9,2,FALSE),0)</f>
        <v>0</v>
      </c>
      <c r="Y174">
        <f>IF(V174&gt;0,IF(L174&gt;0,M174-50+$N$6*W174,VLOOKUP(W174,$V$2:$X$9,3,FALSE)),0)</f>
        <v>0</v>
      </c>
      <c r="Z174">
        <f>IF(E174="F",J174-$N$5+$N$6*W174+Y174,IF(E174="D",J174+Y174+X174,IF(E174="T",J174+X174,IF(E174="A",J174-$N$5+$N$6*W174,0))))</f>
        <v>3480</v>
      </c>
      <c r="AB174">
        <f>SUM(Z174:AA174)</f>
        <v>3480</v>
      </c>
      <c r="AC174">
        <f>V174*K174</f>
        <v>0</v>
      </c>
      <c r="AD174">
        <f>'Data-Kolom'!L174</f>
        <v>8</v>
      </c>
      <c r="AE174">
        <f>'Data-Kolom'!M174</f>
        <v>100</v>
      </c>
      <c r="AF174">
        <f>'Data-Kolom'!N174</f>
        <v>100</v>
      </c>
      <c r="AG174">
        <f>'Data-Kolom'!O174</f>
        <v>100</v>
      </c>
      <c r="AH174">
        <f>'Data-Kolom'!P174</f>
        <v>0</v>
      </c>
      <c r="AI174">
        <f>'Data-Kolom'!Q174</f>
        <v>0</v>
      </c>
      <c r="AJ174">
        <f>'Data-Kolom'!R174</f>
        <v>0</v>
      </c>
      <c r="AK174">
        <f>'Data-Kolom'!S174</f>
        <v>0</v>
      </c>
      <c r="AL174">
        <f>2*(H174+I174-4*$N$5)+2*MAX($F$5*AD174,75)</f>
        <v>1130</v>
      </c>
      <c r="AM174">
        <f>+AH174*(H174-2*$N$5+2*MAX($F$5*AI174,75))+AJ174*(I174-2*$N$5+2*MAX($F$5*AK174,75))</f>
        <v>0</v>
      </c>
      <c r="AN174">
        <f>(ROUND((1/2*J174+IF(M174&gt;0,(Q174-$N$6*AD174),0))/AE174,0)+(ROUND(1/2*J174/AF174,0)+1))*K174</f>
        <v>37</v>
      </c>
      <c r="AO174">
        <f>H174*I174*J174/1000000000*K174*(1+$T$5)</f>
        <v>0.238</v>
      </c>
      <c r="AP174">
        <f>0.006165*O174^2*T174*U174/1000*(1+$T$6)</f>
        <v>30.306350879999997</v>
      </c>
      <c r="AQ174">
        <f>0.006165*W174^2*AB174*AC174/1000*(1+$T$6)</f>
        <v>0</v>
      </c>
      <c r="AR174">
        <f>AN174*0.006165*AD174^2*AL174/1000*(1+$T$6)</f>
        <v>16.4965536</v>
      </c>
      <c r="AS174">
        <f>AN174*0.006165*AI174^2*AM174/1000*(1+$T$6)</f>
        <v>0</v>
      </c>
      <c r="AT174">
        <f>K174*2*J174*(H174+I174)/1000000*(1+$T$7)</f>
        <v>3.99</v>
      </c>
      <c r="AU174">
        <f>SUM(AP174:AS174)/AO174</f>
        <v>196.65085915966387</v>
      </c>
      <c r="AV174">
        <f>AT174/AO174</f>
        <v>16.764705882352942</v>
      </c>
      <c r="AX174">
        <f>0.006165*O174^2*R174*U174/1000*(1+$T$6)</f>
        <v>30.306350879999997</v>
      </c>
      <c r="AZ174">
        <f>0.006165*O174^2*S174*U174/1000*(1+$T$6)</f>
        <v>0</v>
      </c>
      <c r="BA174">
        <f>AZ174/AP174</f>
        <v>0</v>
      </c>
    </row>
    <row r="175">
      <c r="A175">
        <f>'Data-Kolom'!A175</f>
        <v>21</v>
      </c>
      <c r="B175" t="str">
        <f>'Data-Kolom'!B175</f>
        <v>Lantai Attic</v>
      </c>
      <c r="C175">
        <f>'Data-Kolom'!C175</f>
        <v>0</v>
      </c>
      <c r="D175" t="str">
        <f>'Data-Kolom'!D175</f>
        <v>K178-1</v>
      </c>
      <c r="E175" t="str">
        <v>A</v>
      </c>
      <c r="F175">
        <f>'Data-Kolom'!U175</f>
        <v>0</v>
      </c>
      <c r="G175">
        <f>'Data-Kolom'!T175</f>
        <v>0</v>
      </c>
      <c r="H175">
        <f>'Data-Kolom'!E175</f>
        <v>170</v>
      </c>
      <c r="I175">
        <f>'Data-Kolom'!F175</f>
        <v>800</v>
      </c>
      <c r="J175">
        <f>'Data-Kolom'!G175</f>
        <v>3500</v>
      </c>
      <c r="K175">
        <v>1</v>
      </c>
      <c r="M175">
        <f>IF(L175&gt;0,VLOOKUP(L175,'Data-PC'!$B$14:$F$36,4,FALSE),0)</f>
        <v>0</v>
      </c>
      <c r="N175">
        <f>'Data-Kolom'!H175</f>
        <v>8</v>
      </c>
      <c r="O175">
        <f>'Data-Kolom'!I175</f>
        <v>16</v>
      </c>
      <c r="P175">
        <f>IF(N175&gt;0,VLOOKUP(O175,$V$2:$X$9,2,FALSE),0)</f>
        <v>1010</v>
      </c>
      <c r="Q175">
        <f>IF(L175&gt;0,M175-50+$N$6*O175,VLOOKUP(O175,$V$2:$X$9,3,FALSE))</f>
        <v>770</v>
      </c>
      <c r="R175">
        <f>IF(E175="F",J175-$N$5+$N$6*O175+Q175,IF(E175="D",J175+Q175+P175,IF(E175="T",J175+P175,IF(E175="A",J175-$N$5+$N$6*O175,0))))</f>
        <v>3672</v>
      </c>
      <c r="T175">
        <f>SUM(R175:S175)</f>
        <v>3672</v>
      </c>
      <c r="U175">
        <f>K175*N175</f>
        <v>8</v>
      </c>
      <c r="V175">
        <f>'Data-Kolom'!J175</f>
        <v>0</v>
      </c>
      <c r="W175">
        <f>'Data-Kolom'!K175</f>
        <v>0</v>
      </c>
      <c r="X175">
        <f>IF(V175&gt;0,VLOOKUP(W175,$V$2:$X$9,2,FALSE),0)</f>
        <v>0</v>
      </c>
      <c r="Y175">
        <f>IF(V175&gt;0,IF(L175&gt;0,M175-50+$N$6*W175,VLOOKUP(W175,$V$2:$X$9,3,FALSE)),0)</f>
        <v>0</v>
      </c>
      <c r="Z175">
        <f>IF(E175="F",J175-$N$5+$N$6*W175+Y175,IF(E175="D",J175+Y175+X175,IF(E175="T",J175+X175,IF(E175="A",J175-$N$5+$N$6*W175,0))))</f>
        <v>3480</v>
      </c>
      <c r="AB175">
        <f>SUM(Z175:AA175)</f>
        <v>3480</v>
      </c>
      <c r="AC175">
        <f>V175*K175</f>
        <v>0</v>
      </c>
      <c r="AD175">
        <f>'Data-Kolom'!L175</f>
        <v>8</v>
      </c>
      <c r="AE175">
        <f>'Data-Kolom'!M175</f>
        <v>100</v>
      </c>
      <c r="AF175">
        <f>'Data-Kolom'!N175</f>
        <v>100</v>
      </c>
      <c r="AG175">
        <f>'Data-Kolom'!O175</f>
        <v>100</v>
      </c>
      <c r="AH175">
        <f>'Data-Kolom'!P175</f>
        <v>1</v>
      </c>
      <c r="AI175">
        <f>'Data-Kolom'!Q175</f>
        <v>8</v>
      </c>
      <c r="AJ175">
        <f>'Data-Kolom'!R175</f>
        <v>0</v>
      </c>
      <c r="AK175">
        <f>'Data-Kolom'!S175</f>
        <v>0</v>
      </c>
      <c r="AL175">
        <f>2*(H175+I175-4*$N$5)+2*MAX($F$5*AD175,75)</f>
        <v>1930</v>
      </c>
      <c r="AM175">
        <f>+AH175*(H175-2*$N$5+2*MAX($F$5*AI175,75))+AJ175*(I175-2*$N$5+2*MAX($F$5*AK175,75))</f>
        <v>280</v>
      </c>
      <c r="AN175">
        <f>(ROUND((1/2*J175+IF(M175&gt;0,(Q175-$N$6*AD175),0))/AE175,0)+(ROUND(1/2*J175/AF175,0)+1))*K175</f>
        <v>37</v>
      </c>
      <c r="AO175">
        <f>H175*I175*J175/1000000000*K175*(1+$T$5)</f>
        <v>0.476</v>
      </c>
      <c r="AP175">
        <f>0.006165*O175^2*T175*U175/1000*(1+$T$6)</f>
        <v>46.362378240000005</v>
      </c>
      <c r="AQ175">
        <f>0.006165*W175^2*AB175*AC175/1000*(1+$T$6)</f>
        <v>0</v>
      </c>
      <c r="AR175">
        <f>AN175*0.006165*AD175^2*AL175/1000*(1+$T$6)</f>
        <v>28.1755296</v>
      </c>
      <c r="AS175">
        <f>AN175*0.006165*AI175^2*AM175/1000*(1+$T$6)</f>
        <v>4.0876415999999995</v>
      </c>
      <c r="AT175">
        <f>K175*2*J175*(H175+I175)/1000000*(1+$T$7)</f>
        <v>6.79</v>
      </c>
      <c r="AU175">
        <f>SUM(AP175:AS175)/AO175</f>
        <v>165.17972571428572</v>
      </c>
      <c r="AV175">
        <f>AT175/AO175</f>
        <v>14.264705882352942</v>
      </c>
      <c r="AX175">
        <f>0.006165*O175^2*R175*U175/1000*(1+$T$6)</f>
        <v>46.362378240000005</v>
      </c>
      <c r="AZ175">
        <f>0.006165*O175^2*S175*U175/1000*(1+$T$6)</f>
        <v>0</v>
      </c>
      <c r="BA175">
        <f>AZ175/AP175</f>
        <v>0</v>
      </c>
    </row>
    <row r="176">
      <c r="A176">
        <f>'Data-Kolom'!A176</f>
        <v>22</v>
      </c>
      <c r="B176" t="str">
        <f>'Data-Kolom'!B176</f>
        <v>Lantai Attic</v>
      </c>
      <c r="C176">
        <f>'Data-Kolom'!C176</f>
        <v>0</v>
      </c>
      <c r="D176" t="str">
        <f>'Data-Kolom'!D176</f>
        <v>K175-1</v>
      </c>
      <c r="E176" t="str">
        <v>A</v>
      </c>
      <c r="F176">
        <f>'Data-Kolom'!U176</f>
        <v>0</v>
      </c>
      <c r="G176">
        <f>'Data-Kolom'!T176</f>
        <v>0</v>
      </c>
      <c r="H176">
        <f>'Data-Kolom'!E176</f>
        <v>170</v>
      </c>
      <c r="I176">
        <f>'Data-Kolom'!F176</f>
        <v>500</v>
      </c>
      <c r="J176">
        <f>'Data-Kolom'!G176</f>
        <v>3500</v>
      </c>
      <c r="K176">
        <v>1</v>
      </c>
      <c r="M176">
        <f>IF(L176&gt;0,VLOOKUP(L176,'Data-PC'!$B$14:$F$36,4,FALSE),0)</f>
        <v>0</v>
      </c>
      <c r="N176">
        <f>'Data-Kolom'!H176</f>
        <v>6</v>
      </c>
      <c r="O176">
        <f>'Data-Kolom'!I176</f>
        <v>16</v>
      </c>
      <c r="P176">
        <f>IF(N176&gt;0,VLOOKUP(O176,$V$2:$X$9,2,FALSE),0)</f>
        <v>1010</v>
      </c>
      <c r="Q176">
        <f>IF(L176&gt;0,M176-50+$N$6*O176,VLOOKUP(O176,$V$2:$X$9,3,FALSE))</f>
        <v>770</v>
      </c>
      <c r="R176">
        <f>IF(E176="F",J176-$N$5+$N$6*O176+Q176,IF(E176="D",J176+Q176+P176,IF(E176="T",J176+P176,IF(E176="A",J176-$N$5+$N$6*O176,0))))</f>
        <v>3672</v>
      </c>
      <c r="T176">
        <f>SUM(R176:S176)</f>
        <v>3672</v>
      </c>
      <c r="U176">
        <f>K176*N176</f>
        <v>6</v>
      </c>
      <c r="V176">
        <f>'Data-Kolom'!J176</f>
        <v>0</v>
      </c>
      <c r="W176">
        <f>'Data-Kolom'!K176</f>
        <v>0</v>
      </c>
      <c r="X176">
        <f>IF(V176&gt;0,VLOOKUP(W176,$V$2:$X$9,2,FALSE),0)</f>
        <v>0</v>
      </c>
      <c r="Y176">
        <f>IF(V176&gt;0,IF(L176&gt;0,M176-50+$N$6*W176,VLOOKUP(W176,$V$2:$X$9,3,FALSE)),0)</f>
        <v>0</v>
      </c>
      <c r="Z176">
        <f>IF(E176="F",J176-$N$5+$N$6*W176+Y176,IF(E176="D",J176+Y176+X176,IF(E176="T",J176+X176,IF(E176="A",J176-$N$5+$N$6*W176,0))))</f>
        <v>3480</v>
      </c>
      <c r="AB176">
        <f>SUM(Z176:AA176)</f>
        <v>3480</v>
      </c>
      <c r="AC176">
        <f>V176*K176</f>
        <v>0</v>
      </c>
      <c r="AD176">
        <f>'Data-Kolom'!L176</f>
        <v>8</v>
      </c>
      <c r="AE176">
        <f>'Data-Kolom'!M176</f>
        <v>100</v>
      </c>
      <c r="AF176">
        <f>'Data-Kolom'!N176</f>
        <v>100</v>
      </c>
      <c r="AG176">
        <f>'Data-Kolom'!O176</f>
        <v>100</v>
      </c>
      <c r="AH176">
        <f>'Data-Kolom'!P176</f>
        <v>0.5</v>
      </c>
      <c r="AI176">
        <f>'Data-Kolom'!Q176</f>
        <v>8</v>
      </c>
      <c r="AJ176">
        <f>'Data-Kolom'!R176</f>
        <v>0</v>
      </c>
      <c r="AK176">
        <f>'Data-Kolom'!S176</f>
        <v>0</v>
      </c>
      <c r="AL176">
        <f>2*(H176+I176-4*$N$5)+2*MAX($F$5*AD176,75)</f>
        <v>1330</v>
      </c>
      <c r="AM176">
        <f>+AH176*(H176-2*$N$5+2*MAX($F$5*AI176,75))+AJ176*(I176-2*$N$5+2*MAX($F$5*AK176,75))</f>
        <v>140</v>
      </c>
      <c r="AN176">
        <f>(ROUND((1/2*J176+IF(M176&gt;0,(Q176-$N$6*AD176),0))/AE176,0)+(ROUND(1/2*J176/AF176,0)+1))*K176</f>
        <v>37</v>
      </c>
      <c r="AO176">
        <f>H176*I176*J176/1000000000*K176*(1+$T$5)</f>
        <v>0.2975</v>
      </c>
      <c r="AP176">
        <f>0.006165*O176^2*T176*U176/1000*(1+$T$6)</f>
        <v>34.771783680000006</v>
      </c>
      <c r="AQ176">
        <f>0.006165*W176^2*AB176*AC176/1000*(1+$T$6)</f>
        <v>0</v>
      </c>
      <c r="AR176">
        <f>AN176*0.006165*AD176^2*AL176/1000*(1+$T$6)</f>
        <v>19.4162976</v>
      </c>
      <c r="AS176">
        <f>AN176*0.006165*AI176^2*AM176/1000*(1+$T$6)</f>
        <v>2.0438207999999998</v>
      </c>
      <c r="AT176">
        <f>K176*2*J176*(H176+I176)/1000000*(1+$T$7)</f>
        <v>4.69</v>
      </c>
      <c r="AU176">
        <f>SUM(AP176:AS176)/AO176</f>
        <v>189.01479690756304</v>
      </c>
      <c r="AV176">
        <f>AT176/AO176</f>
        <v>15.764705882352944</v>
      </c>
      <c r="AX176">
        <f>0.006165*O176^2*R176*U176/1000*(1+$T$6)</f>
        <v>34.771783680000006</v>
      </c>
      <c r="AZ176">
        <f>0.006165*O176^2*S176*U176/1000*(1+$T$6)</f>
        <v>0</v>
      </c>
      <c r="BA176">
        <f>AZ176/AP176</f>
        <v>0</v>
      </c>
    </row>
    <row r="177">
      <c r="A177">
        <f>'Data-Kolom'!A177</f>
        <v>101</v>
      </c>
      <c r="B177" t="str">
        <f>'Data-Kolom'!B177</f>
        <v>Lantai Attic</v>
      </c>
      <c r="C177">
        <f>'Data-Kolom'!C177</f>
        <v>0</v>
      </c>
      <c r="D177" t="str">
        <f>'Data-Kolom'!D177</f>
        <v>K176-1</v>
      </c>
      <c r="E177" t="str">
        <v>A</v>
      </c>
      <c r="F177">
        <f>'Data-Kolom'!U177</f>
        <v>0</v>
      </c>
      <c r="G177">
        <f>'Data-Kolom'!T177</f>
        <v>0</v>
      </c>
      <c r="H177">
        <f>'Data-Kolom'!E177</f>
        <v>170</v>
      </c>
      <c r="I177">
        <f>'Data-Kolom'!F177</f>
        <v>600</v>
      </c>
      <c r="J177">
        <f>'Data-Kolom'!G177</f>
        <v>3500</v>
      </c>
      <c r="K177">
        <v>1</v>
      </c>
      <c r="M177">
        <f>IF(L177&gt;0,VLOOKUP(L177,'Data-PC'!$B$14:$F$36,4,FALSE),0)</f>
        <v>0</v>
      </c>
      <c r="N177">
        <f>'Data-Kolom'!H177</f>
        <v>10</v>
      </c>
      <c r="O177">
        <f>'Data-Kolom'!I177</f>
        <v>16</v>
      </c>
      <c r="P177">
        <f>IF(N177&gt;0,VLOOKUP(O177,$V$2:$X$9,2,FALSE),0)</f>
        <v>1010</v>
      </c>
      <c r="Q177">
        <f>IF(L177&gt;0,M177-50+$N$6*O177,VLOOKUP(O177,$V$2:$X$9,3,FALSE))</f>
        <v>770</v>
      </c>
      <c r="R177">
        <f>IF(E177="F",J177-$N$5+$N$6*O177+Q177,IF(E177="D",J177+Q177+P177,IF(E177="T",J177+P177,IF(E177="A",J177-$N$5+$N$6*O177,0))))</f>
        <v>3672</v>
      </c>
      <c r="T177">
        <f>SUM(R177:S177)</f>
        <v>3672</v>
      </c>
      <c r="U177">
        <f>K177*N177</f>
        <v>10</v>
      </c>
      <c r="V177">
        <f>'Data-Kolom'!J177</f>
        <v>0</v>
      </c>
      <c r="W177">
        <f>'Data-Kolom'!K177</f>
        <v>0</v>
      </c>
      <c r="X177">
        <f>IF(V177&gt;0,VLOOKUP(W177,$V$2:$X$9,2,FALSE),0)</f>
        <v>0</v>
      </c>
      <c r="Y177">
        <f>IF(V177&gt;0,IF(L177&gt;0,M177-50+$N$6*W177,VLOOKUP(W177,$V$2:$X$9,3,FALSE)),0)</f>
        <v>0</v>
      </c>
      <c r="Z177">
        <f>IF(E177="F",J177-$N$5+$N$6*W177+Y177,IF(E177="D",J177+Y177+X177,IF(E177="T",J177+X177,IF(E177="A",J177-$N$5+$N$6*W177,0))))</f>
        <v>3480</v>
      </c>
      <c r="AB177">
        <f>SUM(Z177:AA177)</f>
        <v>3480</v>
      </c>
      <c r="AC177">
        <f>V177*K177</f>
        <v>0</v>
      </c>
      <c r="AD177">
        <f>'Data-Kolom'!L177</f>
        <v>8</v>
      </c>
      <c r="AE177">
        <f>'Data-Kolom'!M177</f>
        <v>100</v>
      </c>
      <c r="AF177">
        <f>'Data-Kolom'!N177</f>
        <v>100</v>
      </c>
      <c r="AG177">
        <f>'Data-Kolom'!O177</f>
        <v>100</v>
      </c>
      <c r="AH177">
        <f>'Data-Kolom'!P177</f>
        <v>0.5</v>
      </c>
      <c r="AI177">
        <f>'Data-Kolom'!Q177</f>
        <v>8</v>
      </c>
      <c r="AJ177">
        <f>'Data-Kolom'!R177</f>
        <v>0</v>
      </c>
      <c r="AK177">
        <f>'Data-Kolom'!S177</f>
        <v>0</v>
      </c>
      <c r="AL177">
        <f>2*(H177+I177-4*$N$5)+2*MAX($F$5*AD177,75)</f>
        <v>1530</v>
      </c>
      <c r="AM177">
        <f>+AH177*(H177-2*$N$5+2*MAX($F$5*AI177,75))+AJ177*(I177-2*$N$5+2*MAX($F$5*AK177,75))</f>
        <v>140</v>
      </c>
      <c r="AN177">
        <f>(ROUND((1/2*J177+IF(M177&gt;0,(Q177-$N$6*AD177),0))/AE177,0)+(ROUND(1/2*J177/AF177,0)+1))*K177</f>
        <v>37</v>
      </c>
      <c r="AO177">
        <f>H177*I177*J177/1000000000*K177*(1+$T$5)</f>
        <v>0.357</v>
      </c>
      <c r="AP177">
        <f>0.006165*O177^2*T177*U177/1000*(1+$T$6)</f>
        <v>57.952972800000005</v>
      </c>
      <c r="AQ177">
        <f>0.006165*W177^2*AB177*AC177/1000*(1+$T$6)</f>
        <v>0</v>
      </c>
      <c r="AR177">
        <f>AN177*0.006165*AD177^2*AL177/1000*(1+$T$6)</f>
        <v>22.3360416</v>
      </c>
      <c r="AS177">
        <f>AN177*0.006165*AI177^2*AM177/1000*(1+$T$6)</f>
        <v>2.0438207999999998</v>
      </c>
      <c r="AT177">
        <f>K177*2*J177*(H177+I177)/1000000*(1+$T$7)</f>
        <v>5.39</v>
      </c>
      <c r="AU177">
        <f>SUM(AP177:AS177)/AO177</f>
        <v>230.62418823529418</v>
      </c>
      <c r="AV177">
        <f>AT177/AO177</f>
        <v>15.098039215686274</v>
      </c>
      <c r="AX177">
        <f>0.006165*O177^2*R177*U177/1000*(1+$T$6)</f>
        <v>57.952972800000005</v>
      </c>
      <c r="AZ177">
        <f>0.006165*O177^2*S177*U177/1000*(1+$T$6)</f>
        <v>0</v>
      </c>
      <c r="BA177">
        <f>AZ177/AP177</f>
        <v>0</v>
      </c>
    </row>
    <row r="178">
      <c r="A178">
        <f>'Data-Kolom'!A178</f>
        <v>301</v>
      </c>
      <c r="B178" t="str">
        <f>'Data-Kolom'!B178</f>
        <v>Lantai Attic</v>
      </c>
      <c r="C178">
        <f>'Data-Kolom'!C178</f>
        <v>0</v>
      </c>
      <c r="D178" t="str">
        <f>'Data-Kolom'!D178</f>
        <v>K175-3</v>
      </c>
      <c r="E178" t="str">
        <v>F</v>
      </c>
      <c r="F178">
        <f>'Data-Kolom'!U178</f>
        <v>0</v>
      </c>
      <c r="G178">
        <f>'Data-Kolom'!T178</f>
        <v>0</v>
      </c>
      <c r="H178">
        <f>'Data-Kolom'!E178</f>
        <v>170</v>
      </c>
      <c r="I178">
        <f>'Data-Kolom'!F178</f>
        <v>500</v>
      </c>
      <c r="J178">
        <f>'Data-Kolom'!G178</f>
        <v>3500</v>
      </c>
      <c r="K178">
        <v>1</v>
      </c>
      <c r="M178">
        <f>IF(L178&gt;0,VLOOKUP(L178,'Data-PC'!$B$14:$F$36,4,FALSE),0)</f>
        <v>0</v>
      </c>
      <c r="N178">
        <f>'Data-Kolom'!H178</f>
        <v>4</v>
      </c>
      <c r="O178">
        <f>'Data-Kolom'!I178</f>
        <v>19</v>
      </c>
      <c r="P178">
        <f>IF(N178&gt;0,VLOOKUP(O178,$V$2:$X$9,2,FALSE),0)</f>
        <v>1190</v>
      </c>
      <c r="Q178">
        <f>IF(L178&gt;0,M178-50+$N$6*O178,VLOOKUP(O178,$V$2:$X$9,3,FALSE))</f>
        <v>910</v>
      </c>
      <c r="R178">
        <f>IF(E178="F",J178-$N$5+$N$6*O178+Q178,IF(E178="D",J178+Q178+P178,IF(E178="T",J178+P178,IF(E178="A",J178-$N$5+$N$6*O178,0))))</f>
        <v>4618</v>
      </c>
      <c r="T178">
        <f>SUM(R178:S178)</f>
        <v>4618</v>
      </c>
      <c r="U178">
        <f>K178*N178</f>
        <v>4</v>
      </c>
      <c r="V178">
        <f>'Data-Kolom'!J178</f>
        <v>4</v>
      </c>
      <c r="W178">
        <f>'Data-Kolom'!K178</f>
        <v>16</v>
      </c>
      <c r="X178">
        <f>IF(V178&gt;0,VLOOKUP(W178,$V$2:$X$9,2,FALSE),0)</f>
        <v>1010</v>
      </c>
      <c r="Y178">
        <f>IF(V178&gt;0,IF(L178&gt;0,M178-50+$N$6*W178,VLOOKUP(W178,$V$2:$X$9,3,FALSE)),0)</f>
        <v>770</v>
      </c>
      <c r="Z178">
        <f>IF(E178="F",J178-$N$5+$N$6*W178+Y178,IF(E178="D",J178+Y178+X178,IF(E178="T",J178+X178,IF(E178="A",J178-$N$5+$N$6*W178,0))))</f>
        <v>4442</v>
      </c>
      <c r="AB178">
        <f>SUM(Z178:AA178)</f>
        <v>4442</v>
      </c>
      <c r="AC178">
        <f>V178*K178</f>
        <v>4</v>
      </c>
      <c r="AD178">
        <f>'Data-Kolom'!L178</f>
        <v>8</v>
      </c>
      <c r="AE178">
        <f>'Data-Kolom'!M178</f>
        <v>100</v>
      </c>
      <c r="AF178">
        <f>'Data-Kolom'!N178</f>
        <v>100</v>
      </c>
      <c r="AG178">
        <f>'Data-Kolom'!O178</f>
        <v>100</v>
      </c>
      <c r="AH178">
        <f>'Data-Kolom'!P178</f>
        <v>0.5</v>
      </c>
      <c r="AI178">
        <f>'Data-Kolom'!Q178</f>
        <v>8</v>
      </c>
      <c r="AJ178">
        <f>'Data-Kolom'!R178</f>
        <v>0</v>
      </c>
      <c r="AK178">
        <f>'Data-Kolom'!S178</f>
        <v>0</v>
      </c>
      <c r="AL178">
        <f>2*(H178+I178-4*$N$5)+2*MAX($F$5*AD178,75)</f>
        <v>1330</v>
      </c>
      <c r="AM178">
        <f>+AH178*(H178-2*$N$5+2*MAX($F$5*AI178,75))+AJ178*(I178-2*$N$5+2*MAX($F$5*AK178,75))</f>
        <v>140</v>
      </c>
      <c r="AN178">
        <f>(ROUND((1/2*J178+IF(M178&gt;0,(Q178-$N$6*AD178),0))/AE178,0)+(ROUND(1/2*J178/AF178,0)+1))*K178</f>
        <v>37</v>
      </c>
      <c r="AO178">
        <f>H178*I178*J178/1000000000*K178*(1+$T$5)</f>
        <v>0.2975</v>
      </c>
      <c r="AP178">
        <f>0.006165*O178^2*T178*U178/1000*(1+$T$6)</f>
        <v>41.110636680000006</v>
      </c>
      <c r="AQ178">
        <f>0.006165*W178^2*AB178*AC178/1000*(1+$T$6)</f>
        <v>28.042168320000002</v>
      </c>
      <c r="AR178">
        <f>AN178*0.006165*AD178^2*AL178/1000*(1+$T$6)</f>
        <v>19.4162976</v>
      </c>
      <c r="AS178">
        <f>AN178*0.006165*AI178^2*AM178/1000*(1+$T$6)</f>
        <v>2.0438207999999998</v>
      </c>
      <c r="AT178">
        <f>K178*2*J178*(H178+I178)/1000000*(1+$T$7)</f>
        <v>4.69</v>
      </c>
      <c r="AU178">
        <f>SUM(AP178:AS178)/AO178</f>
        <v>304.5812551260505</v>
      </c>
      <c r="AV178">
        <f>AT178/AO178</f>
        <v>15.764705882352944</v>
      </c>
      <c r="AX178">
        <f>0.006165*O178^2*R178*U178/1000*(1+$T$6)</f>
        <v>41.110636680000006</v>
      </c>
      <c r="AZ178">
        <f>0.006165*O178^2*S178*U178/1000*(1+$T$6)</f>
        <v>0</v>
      </c>
      <c r="BA178">
        <f>AZ178/AP178</f>
        <v>0</v>
      </c>
    </row>
    <row r="179">
      <c r="A179">
        <f>'Data-Kolom'!A179</f>
        <v>104</v>
      </c>
      <c r="B179" t="str">
        <f>'Data-Kolom'!B179</f>
        <v>Lantai Attic</v>
      </c>
      <c r="C179">
        <f>'Data-Kolom'!C179</f>
        <v>0</v>
      </c>
      <c r="D179" t="str">
        <f>'Data-Kolom'!D179</f>
        <v>K178-1</v>
      </c>
      <c r="E179" t="str">
        <v>A</v>
      </c>
      <c r="F179">
        <f>'Data-Kolom'!U179</f>
        <v>0</v>
      </c>
      <c r="G179">
        <f>'Data-Kolom'!T179</f>
        <v>0</v>
      </c>
      <c r="H179">
        <f>'Data-Kolom'!E179</f>
        <v>170</v>
      </c>
      <c r="I179">
        <f>'Data-Kolom'!F179</f>
        <v>800</v>
      </c>
      <c r="J179">
        <f>'Data-Kolom'!G179</f>
        <v>3500</v>
      </c>
      <c r="K179">
        <v>1</v>
      </c>
      <c r="M179">
        <f>IF(L179&gt;0,VLOOKUP(L179,'Data-PC'!$B$14:$F$36,4,FALSE),0)</f>
        <v>0</v>
      </c>
      <c r="N179">
        <f>'Data-Kolom'!H179</f>
        <v>8</v>
      </c>
      <c r="O179">
        <f>'Data-Kolom'!I179</f>
        <v>16</v>
      </c>
      <c r="P179">
        <f>IF(N179&gt;0,VLOOKUP(O179,$V$2:$X$9,2,FALSE),0)</f>
        <v>1010</v>
      </c>
      <c r="Q179">
        <f>IF(L179&gt;0,M179-50+$N$6*O179,VLOOKUP(O179,$V$2:$X$9,3,FALSE))</f>
        <v>770</v>
      </c>
      <c r="R179">
        <f>IF(E179="F",J179-$N$5+$N$6*O179+Q179,IF(E179="D",J179+Q179+P179,IF(E179="T",J179+P179,IF(E179="A",J179-$N$5+$N$6*O179,0))))</f>
        <v>3672</v>
      </c>
      <c r="T179">
        <f>SUM(R179:S179)</f>
        <v>3672</v>
      </c>
      <c r="U179">
        <f>K179*N179</f>
        <v>8</v>
      </c>
      <c r="V179">
        <f>'Data-Kolom'!J179</f>
        <v>0</v>
      </c>
      <c r="W179">
        <f>'Data-Kolom'!K179</f>
        <v>0</v>
      </c>
      <c r="X179">
        <f>IF(V179&gt;0,VLOOKUP(W179,$V$2:$X$9,2,FALSE),0)</f>
        <v>0</v>
      </c>
      <c r="Y179">
        <f>IF(V179&gt;0,IF(L179&gt;0,M179-50+$N$6*W179,VLOOKUP(W179,$V$2:$X$9,3,FALSE)),0)</f>
        <v>0</v>
      </c>
      <c r="Z179">
        <f>IF(E179="F",J179-$N$5+$N$6*W179+Y179,IF(E179="D",J179+Y179+X179,IF(E179="T",J179+X179,IF(E179="A",J179-$N$5+$N$6*W179,0))))</f>
        <v>3480</v>
      </c>
      <c r="AB179">
        <f>SUM(Z179:AA179)</f>
        <v>3480</v>
      </c>
      <c r="AC179">
        <f>V179*K179</f>
        <v>0</v>
      </c>
      <c r="AD179">
        <f>'Data-Kolom'!L179</f>
        <v>8</v>
      </c>
      <c r="AE179">
        <f>'Data-Kolom'!M179</f>
        <v>100</v>
      </c>
      <c r="AF179">
        <f>'Data-Kolom'!N179</f>
        <v>100</v>
      </c>
      <c r="AG179">
        <f>'Data-Kolom'!O179</f>
        <v>100</v>
      </c>
      <c r="AH179">
        <f>'Data-Kolom'!P179</f>
        <v>1</v>
      </c>
      <c r="AI179">
        <f>'Data-Kolom'!Q179</f>
        <v>8</v>
      </c>
      <c r="AJ179">
        <f>'Data-Kolom'!R179</f>
        <v>0</v>
      </c>
      <c r="AK179">
        <f>'Data-Kolom'!S179</f>
        <v>0</v>
      </c>
      <c r="AL179">
        <f>2*(H179+I179-4*$N$5)+2*MAX($F$5*AD179,75)</f>
        <v>1930</v>
      </c>
      <c r="AM179">
        <f>+AH179*(H179-2*$N$5+2*MAX($F$5*AI179,75))+AJ179*(I179-2*$N$5+2*MAX($F$5*AK179,75))</f>
        <v>280</v>
      </c>
      <c r="AN179">
        <f>(ROUND((1/2*J179+IF(M179&gt;0,(Q179-$N$6*AD179),0))/AE179,0)+(ROUND(1/2*J179/AF179,0)+1))*K179</f>
        <v>37</v>
      </c>
      <c r="AO179">
        <f>H179*I179*J179/1000000000*K179*(1+$T$5)</f>
        <v>0.476</v>
      </c>
      <c r="AP179">
        <f>0.006165*O179^2*T179*U179/1000*(1+$T$6)</f>
        <v>46.362378240000005</v>
      </c>
      <c r="AQ179">
        <f>0.006165*W179^2*AB179*AC179/1000*(1+$T$6)</f>
        <v>0</v>
      </c>
      <c r="AR179">
        <f>AN179*0.006165*AD179^2*AL179/1000*(1+$T$6)</f>
        <v>28.1755296</v>
      </c>
      <c r="AS179">
        <f>AN179*0.006165*AI179^2*AM179/1000*(1+$T$6)</f>
        <v>4.0876415999999995</v>
      </c>
      <c r="AT179">
        <f>K179*2*J179*(H179+I179)/1000000*(1+$T$7)</f>
        <v>6.79</v>
      </c>
      <c r="AU179">
        <f>SUM(AP179:AS179)/AO179</f>
        <v>165.17972571428572</v>
      </c>
      <c r="AV179">
        <f>AT179/AO179</f>
        <v>14.264705882352942</v>
      </c>
      <c r="AX179">
        <f>0.006165*O179^2*R179*U179/1000*(1+$T$6)</f>
        <v>46.362378240000005</v>
      </c>
      <c r="AZ179">
        <f>0.006165*O179^2*S179*U179/1000*(1+$T$6)</f>
        <v>0</v>
      </c>
      <c r="BA179">
        <f>AZ179/AP179</f>
        <v>0</v>
      </c>
    </row>
    <row r="180">
      <c r="A180">
        <f>'Data-Kolom'!A180</f>
        <v>302</v>
      </c>
      <c r="B180" t="str">
        <f>'Data-Kolom'!B180</f>
        <v>Lantai Attic</v>
      </c>
      <c r="C180">
        <f>'Data-Kolom'!C180</f>
        <v>0</v>
      </c>
      <c r="D180" t="str">
        <f>'Data-Kolom'!D180</f>
        <v>K175-4</v>
      </c>
      <c r="E180" t="str">
        <v>F</v>
      </c>
      <c r="F180">
        <f>'Data-Kolom'!U180</f>
        <v>0</v>
      </c>
      <c r="G180">
        <f>'Data-Kolom'!T180</f>
        <v>0</v>
      </c>
      <c r="H180">
        <f>'Data-Kolom'!E180</f>
        <v>170</v>
      </c>
      <c r="I180">
        <f>'Data-Kolom'!F180</f>
        <v>500</v>
      </c>
      <c r="J180">
        <f>'Data-Kolom'!G180</f>
        <v>3500</v>
      </c>
      <c r="K180">
        <v>1</v>
      </c>
      <c r="M180">
        <f>IF(L180&gt;0,VLOOKUP(L180,'Data-PC'!$B$14:$F$36,4,FALSE),0)</f>
        <v>0</v>
      </c>
      <c r="N180">
        <f>'Data-Kolom'!H180</f>
        <v>8</v>
      </c>
      <c r="O180">
        <f>'Data-Kolom'!I180</f>
        <v>19</v>
      </c>
      <c r="P180">
        <f>IF(N180&gt;0,VLOOKUP(O180,$V$2:$X$9,2,FALSE),0)</f>
        <v>1190</v>
      </c>
      <c r="Q180">
        <f>IF(L180&gt;0,M180-50+$N$6*O180,VLOOKUP(O180,$V$2:$X$9,3,FALSE))</f>
        <v>910</v>
      </c>
      <c r="R180">
        <f>IF(E180="F",J180-$N$5+$N$6*O180+Q180,IF(E180="D",J180+Q180+P180,IF(E180="T",J180+P180,IF(E180="A",J180-$N$5+$N$6*O180,0))))</f>
        <v>4618</v>
      </c>
      <c r="T180">
        <f>SUM(R180:S180)</f>
        <v>4618</v>
      </c>
      <c r="U180">
        <f>K180*N180</f>
        <v>8</v>
      </c>
      <c r="V180">
        <f>'Data-Kolom'!J180</f>
        <v>2</v>
      </c>
      <c r="W180">
        <f>'Data-Kolom'!K180</f>
        <v>8</v>
      </c>
      <c r="X180">
        <f>IF(V180&gt;0,VLOOKUP(W180,$V$2:$X$9,2,FALSE),0)</f>
        <v>400</v>
      </c>
      <c r="Y180">
        <f>IF(V180&gt;0,IF(L180&gt;0,M180-50+$N$6*W180,VLOOKUP(W180,$V$2:$X$9,3,FALSE)),0)</f>
        <v>310</v>
      </c>
      <c r="Z180">
        <f>IF(E180="F",J180-$N$5+$N$6*W180+Y180,IF(E180="D",J180+Y180+X180,IF(E180="T",J180+X180,IF(E180="A",J180-$N$5+$N$6*W180,0))))</f>
        <v>3886</v>
      </c>
      <c r="AB180">
        <f>SUM(Z180:AA180)</f>
        <v>3886</v>
      </c>
      <c r="AC180">
        <f>V180*K180</f>
        <v>2</v>
      </c>
      <c r="AD180">
        <f>'Data-Kolom'!L180</f>
        <v>10</v>
      </c>
      <c r="AE180">
        <f>'Data-Kolom'!M180</f>
        <v>100</v>
      </c>
      <c r="AF180">
        <f>'Data-Kolom'!N180</f>
        <v>100</v>
      </c>
      <c r="AG180">
        <f>'Data-Kolom'!O180</f>
        <v>100</v>
      </c>
      <c r="AH180">
        <f>'Data-Kolom'!P180</f>
        <v>0.5</v>
      </c>
      <c r="AI180">
        <f>'Data-Kolom'!Q180</f>
        <v>8</v>
      </c>
      <c r="AJ180">
        <f>'Data-Kolom'!R180</f>
        <v>0</v>
      </c>
      <c r="AK180">
        <f>'Data-Kolom'!S180</f>
        <v>0</v>
      </c>
      <c r="AL180">
        <f>2*(H180+I180-4*$N$5)+2*MAX($F$5*AD180,75)</f>
        <v>1330</v>
      </c>
      <c r="AM180">
        <f>+AH180*(H180-2*$N$5+2*MAX($F$5*AI180,75))+AJ180*(I180-2*$N$5+2*MAX($F$5*AK180,75))</f>
        <v>140</v>
      </c>
      <c r="AN180">
        <f>(ROUND((1/2*J180+IF(M180&gt;0,(Q180-$N$6*AD180),0))/AE180,0)+(ROUND(1/2*J180/AF180,0)+1))*K180</f>
        <v>37</v>
      </c>
      <c r="AO180">
        <f>H180*I180*J180/1000000000*K180*(1+$T$5)</f>
        <v>0.2975</v>
      </c>
      <c r="AP180">
        <f>0.006165*O180^2*T180*U180/1000*(1+$T$6)</f>
        <v>82.22127336000001</v>
      </c>
      <c r="AQ180">
        <f>0.006165*W180^2*AB180*AC180/1000*(1+$T$6)</f>
        <v>3.06652032</v>
      </c>
      <c r="AR180">
        <f>AN180*0.006165*AD180^2*AL180/1000*(1+$T$6)</f>
        <v>30.337965</v>
      </c>
      <c r="AS180">
        <f>AN180*0.006165*AI180^2*AM180/1000*(1+$T$6)</f>
        <v>2.0438207999999998</v>
      </c>
      <c r="AT180">
        <f>K180*2*J180*(H180+I180)/1000000*(1+$T$7)</f>
        <v>4.69</v>
      </c>
      <c r="AU180">
        <f>SUM(AP180:AS180)/AO180</f>
        <v>395.5279982521009</v>
      </c>
      <c r="AV180">
        <f>AT180/AO180</f>
        <v>15.764705882352944</v>
      </c>
      <c r="AX180">
        <f>0.006165*O180^2*R180*U180/1000*(1+$T$6)</f>
        <v>82.22127336000001</v>
      </c>
      <c r="AZ180">
        <f>0.006165*O180^2*S180*U180/1000*(1+$T$6)</f>
        <v>0</v>
      </c>
      <c r="BA180">
        <f>AZ180/AP180</f>
        <v>0</v>
      </c>
    </row>
    <row r="181">
      <c r="A181">
        <f>'Data-Kolom'!A181</f>
        <v>303</v>
      </c>
      <c r="B181" t="str">
        <f>'Data-Kolom'!B181</f>
        <v>Lantai Attic</v>
      </c>
      <c r="C181">
        <f>'Data-Kolom'!C181</f>
        <v>0</v>
      </c>
      <c r="D181" t="str">
        <f>'Data-Kolom'!D181</f>
        <v>K175-3</v>
      </c>
      <c r="E181" t="str">
        <v>F</v>
      </c>
      <c r="F181">
        <f>'Data-Kolom'!U181</f>
        <v>0</v>
      </c>
      <c r="G181">
        <f>'Data-Kolom'!T181</f>
        <v>0</v>
      </c>
      <c r="H181">
        <f>'Data-Kolom'!E181</f>
        <v>170</v>
      </c>
      <c r="I181">
        <f>'Data-Kolom'!F181</f>
        <v>500</v>
      </c>
      <c r="J181">
        <f>'Data-Kolom'!G181</f>
        <v>3500</v>
      </c>
      <c r="K181">
        <v>1</v>
      </c>
      <c r="M181">
        <f>IF(L181&gt;0,VLOOKUP(L181,'Data-PC'!$B$14:$F$36,4,FALSE),0)</f>
        <v>0</v>
      </c>
      <c r="N181">
        <f>'Data-Kolom'!H181</f>
        <v>4</v>
      </c>
      <c r="O181">
        <f>'Data-Kolom'!I181</f>
        <v>19</v>
      </c>
      <c r="P181">
        <f>IF(N181&gt;0,VLOOKUP(O181,$V$2:$X$9,2,FALSE),0)</f>
        <v>1190</v>
      </c>
      <c r="Q181">
        <f>IF(L181&gt;0,M181-50+$N$6*O181,VLOOKUP(O181,$V$2:$X$9,3,FALSE))</f>
        <v>910</v>
      </c>
      <c r="R181">
        <f>IF(E181="F",J181-$N$5+$N$6*O181+Q181,IF(E181="D",J181+Q181+P181,IF(E181="T",J181+P181,IF(E181="A",J181-$N$5+$N$6*O181,0))))</f>
        <v>4618</v>
      </c>
      <c r="T181">
        <f>SUM(R181:S181)</f>
        <v>4618</v>
      </c>
      <c r="U181">
        <f>K181*N181</f>
        <v>4</v>
      </c>
      <c r="V181">
        <f>'Data-Kolom'!J181</f>
        <v>4</v>
      </c>
      <c r="W181">
        <f>'Data-Kolom'!K181</f>
        <v>16</v>
      </c>
      <c r="X181">
        <f>IF(V181&gt;0,VLOOKUP(W181,$V$2:$X$9,2,FALSE),0)</f>
        <v>1010</v>
      </c>
      <c r="Y181">
        <f>IF(V181&gt;0,IF(L181&gt;0,M181-50+$N$6*W181,VLOOKUP(W181,$V$2:$X$9,3,FALSE)),0)</f>
        <v>770</v>
      </c>
      <c r="Z181">
        <f>IF(E181="F",J181-$N$5+$N$6*W181+Y181,IF(E181="D",J181+Y181+X181,IF(E181="T",J181+X181,IF(E181="A",J181-$N$5+$N$6*W181,0))))</f>
        <v>4442</v>
      </c>
      <c r="AB181">
        <f>SUM(Z181:AA181)</f>
        <v>4442</v>
      </c>
      <c r="AC181">
        <f>V181*K181</f>
        <v>4</v>
      </c>
      <c r="AD181">
        <f>'Data-Kolom'!L181</f>
        <v>8</v>
      </c>
      <c r="AE181">
        <f>'Data-Kolom'!M181</f>
        <v>100</v>
      </c>
      <c r="AF181">
        <f>'Data-Kolom'!N181</f>
        <v>100</v>
      </c>
      <c r="AG181">
        <f>'Data-Kolom'!O181</f>
        <v>100</v>
      </c>
      <c r="AH181">
        <f>'Data-Kolom'!P181</f>
        <v>0.5</v>
      </c>
      <c r="AI181">
        <f>'Data-Kolom'!Q181</f>
        <v>8</v>
      </c>
      <c r="AJ181">
        <f>'Data-Kolom'!R181</f>
        <v>0</v>
      </c>
      <c r="AK181">
        <f>'Data-Kolom'!S181</f>
        <v>0</v>
      </c>
      <c r="AL181">
        <f>2*(H181+I181-4*$N$5)+2*MAX($F$5*AD181,75)</f>
        <v>1330</v>
      </c>
      <c r="AM181">
        <f>+AH181*(H181-2*$N$5+2*MAX($F$5*AI181,75))+AJ181*(I181-2*$N$5+2*MAX($F$5*AK181,75))</f>
        <v>140</v>
      </c>
      <c r="AN181">
        <f>(ROUND((1/2*J181+IF(M181&gt;0,(Q181-$N$6*AD181),0))/AE181,0)+(ROUND(1/2*J181/AF181,0)+1))*K181</f>
        <v>37</v>
      </c>
      <c r="AO181">
        <f>H181*I181*J181/1000000000*K181*(1+$T$5)</f>
        <v>0.2975</v>
      </c>
      <c r="AP181">
        <f>0.006165*O181^2*T181*U181/1000*(1+$T$6)</f>
        <v>41.110636680000006</v>
      </c>
      <c r="AQ181">
        <f>0.006165*W181^2*AB181*AC181/1000*(1+$T$6)</f>
        <v>28.042168320000002</v>
      </c>
      <c r="AR181">
        <f>AN181*0.006165*AD181^2*AL181/1000*(1+$T$6)</f>
        <v>19.4162976</v>
      </c>
      <c r="AS181">
        <f>AN181*0.006165*AI181^2*AM181/1000*(1+$T$6)</f>
        <v>2.0438207999999998</v>
      </c>
      <c r="AT181">
        <f>K181*2*J181*(H181+I181)/1000000*(1+$T$7)</f>
        <v>4.69</v>
      </c>
      <c r="AU181">
        <f>SUM(AP181:AS181)/AO181</f>
        <v>304.5812551260505</v>
      </c>
      <c r="AV181">
        <f>AT181/AO181</f>
        <v>15.764705882352944</v>
      </c>
      <c r="AX181">
        <f>0.006165*O181^2*R181*U181/1000*(1+$T$6)</f>
        <v>41.110636680000006</v>
      </c>
      <c r="AZ181">
        <f>0.006165*O181^2*S181*U181/1000*(1+$T$6)</f>
        <v>0</v>
      </c>
      <c r="BA181">
        <f>AZ181/AP181</f>
        <v>0</v>
      </c>
    </row>
    <row r="182">
      <c r="A182">
        <f>'Data-Kolom'!A182</f>
        <v>304</v>
      </c>
      <c r="B182" t="str">
        <f>'Data-Kolom'!B182</f>
        <v>Lantai Attic</v>
      </c>
      <c r="C182">
        <f>'Data-Kolom'!C182</f>
        <v>0</v>
      </c>
      <c r="D182" t="str">
        <f>'Data-Kolom'!D182</f>
        <v>K175-2</v>
      </c>
      <c r="E182" t="str">
        <v>F</v>
      </c>
      <c r="F182">
        <f>'Data-Kolom'!U182</f>
        <v>0</v>
      </c>
      <c r="G182">
        <f>'Data-Kolom'!T182</f>
        <v>0</v>
      </c>
      <c r="H182">
        <f>'Data-Kolom'!E182</f>
        <v>170</v>
      </c>
      <c r="I182">
        <f>'Data-Kolom'!F182</f>
        <v>500</v>
      </c>
      <c r="J182">
        <f>'Data-Kolom'!G182</f>
        <v>3500</v>
      </c>
      <c r="K182">
        <v>1</v>
      </c>
      <c r="M182">
        <f>IF(L182&gt;0,VLOOKUP(L182,'Data-PC'!$B$14:$F$36,4,FALSE),0)</f>
        <v>0</v>
      </c>
      <c r="N182">
        <f>'Data-Kolom'!H182</f>
        <v>8</v>
      </c>
      <c r="O182">
        <f>'Data-Kolom'!I182</f>
        <v>16</v>
      </c>
      <c r="P182">
        <f>IF(N182&gt;0,VLOOKUP(O182,$V$2:$X$9,2,FALSE),0)</f>
        <v>1010</v>
      </c>
      <c r="Q182">
        <f>IF(L182&gt;0,M182-50+$N$6*O182,VLOOKUP(O182,$V$2:$X$9,3,FALSE))</f>
        <v>770</v>
      </c>
      <c r="R182">
        <f>IF(E182="F",J182-$N$5+$N$6*O182+Q182,IF(E182="D",J182+Q182+P182,IF(E182="T",J182+P182,IF(E182="A",J182-$N$5+$N$6*O182,0))))</f>
        <v>4442</v>
      </c>
      <c r="T182">
        <f>SUM(R182:S182)</f>
        <v>4442</v>
      </c>
      <c r="U182">
        <f>K182*N182</f>
        <v>8</v>
      </c>
      <c r="V182">
        <f>'Data-Kolom'!J182</f>
        <v>0</v>
      </c>
      <c r="W182">
        <f>'Data-Kolom'!K182</f>
        <v>0</v>
      </c>
      <c r="X182">
        <f>IF(V182&gt;0,VLOOKUP(W182,$V$2:$X$9,2,FALSE),0)</f>
        <v>0</v>
      </c>
      <c r="Y182">
        <f>IF(V182&gt;0,IF(L182&gt;0,M182-50+$N$6*W182,VLOOKUP(W182,$V$2:$X$9,3,FALSE)),0)</f>
        <v>0</v>
      </c>
      <c r="Z182">
        <f>IF(E182="F",J182-$N$5+$N$6*W182+Y182,IF(E182="D",J182+Y182+X182,IF(E182="T",J182+X182,IF(E182="A",J182-$N$5+$N$6*W182,0))))</f>
        <v>3480</v>
      </c>
      <c r="AB182">
        <f>SUM(Z182:AA182)</f>
        <v>3480</v>
      </c>
      <c r="AC182">
        <f>V182*K182</f>
        <v>0</v>
      </c>
      <c r="AD182">
        <f>'Data-Kolom'!L182</f>
        <v>8</v>
      </c>
      <c r="AE182">
        <f>'Data-Kolom'!M182</f>
        <v>100</v>
      </c>
      <c r="AF182">
        <f>'Data-Kolom'!N182</f>
        <v>100</v>
      </c>
      <c r="AG182">
        <f>'Data-Kolom'!O182</f>
        <v>100</v>
      </c>
      <c r="AH182">
        <f>'Data-Kolom'!P182</f>
        <v>0.5</v>
      </c>
      <c r="AI182">
        <f>'Data-Kolom'!Q182</f>
        <v>8</v>
      </c>
      <c r="AJ182">
        <f>'Data-Kolom'!R182</f>
        <v>0</v>
      </c>
      <c r="AK182">
        <f>'Data-Kolom'!S182</f>
        <v>0</v>
      </c>
      <c r="AL182">
        <f>2*(H182+I182-4*$N$5)+2*MAX($F$5*AD182,75)</f>
        <v>1330</v>
      </c>
      <c r="AM182">
        <f>+AH182*(H182-2*$N$5+2*MAX($F$5*AI182,75))+AJ182*(I182-2*$N$5+2*MAX($F$5*AK182,75))</f>
        <v>140</v>
      </c>
      <c r="AN182">
        <f>(ROUND((1/2*J182+IF(M182&gt;0,(Q182-$N$6*AD182),0))/AE182,0)+(ROUND(1/2*J182/AF182,0)+1))*K182</f>
        <v>37</v>
      </c>
      <c r="AO182">
        <f>H182*I182*J182/1000000000*K182*(1+$T$5)</f>
        <v>0.2975</v>
      </c>
      <c r="AP182">
        <f>0.006165*O182^2*T182*U182/1000*(1+$T$6)</f>
        <v>56.084336640000004</v>
      </c>
      <c r="AQ182">
        <f>0.006165*W182^2*AB182*AC182/1000*(1+$T$6)</f>
        <v>0</v>
      </c>
      <c r="AR182">
        <f>AN182*0.006165*AD182^2*AL182/1000*(1+$T$6)</f>
        <v>19.4162976</v>
      </c>
      <c r="AS182">
        <f>AN182*0.006165*AI182^2*AM182/1000*(1+$T$6)</f>
        <v>2.0438207999999998</v>
      </c>
      <c r="AT182">
        <f>K182*2*J182*(H182+I182)/1000000*(1+$T$7)</f>
        <v>4.69</v>
      </c>
      <c r="AU182">
        <f>SUM(AP182:AS182)/AO182</f>
        <v>260.6536303865547</v>
      </c>
      <c r="AV182">
        <f>AT182/AO182</f>
        <v>15.764705882352944</v>
      </c>
      <c r="AX182">
        <f>0.006165*O182^2*R182*U182/1000*(1+$T$6)</f>
        <v>56.084336640000004</v>
      </c>
      <c r="AZ182">
        <f>0.006165*O182^2*S182*U182/1000*(1+$T$6)</f>
        <v>0</v>
      </c>
      <c r="BA182">
        <f>AZ182/AP182</f>
        <v>0</v>
      </c>
    </row>
    <row r="183">
      <c r="A183">
        <f>'Data-Kolom'!A183</f>
        <v>34</v>
      </c>
      <c r="B183" t="str">
        <f>'Data-Kolom'!B183</f>
        <v>Lantai Attic</v>
      </c>
      <c r="C183">
        <f>'Data-Kolom'!C183</f>
        <v>0</v>
      </c>
      <c r="D183" t="str">
        <f>'Data-Kolom'!D183</f>
        <v>K176-1</v>
      </c>
      <c r="E183" t="str">
        <v>A</v>
      </c>
      <c r="F183">
        <f>'Data-Kolom'!U183</f>
        <v>0</v>
      </c>
      <c r="G183">
        <f>'Data-Kolom'!T183</f>
        <v>0</v>
      </c>
      <c r="H183">
        <f>'Data-Kolom'!E183</f>
        <v>170</v>
      </c>
      <c r="I183">
        <f>'Data-Kolom'!F183</f>
        <v>600</v>
      </c>
      <c r="J183">
        <f>'Data-Kolom'!G183</f>
        <v>3500</v>
      </c>
      <c r="K183">
        <v>1</v>
      </c>
      <c r="M183">
        <f>IF(L183&gt;0,VLOOKUP(L183,'Data-PC'!$B$14:$F$36,4,FALSE),0)</f>
        <v>0</v>
      </c>
      <c r="N183">
        <f>'Data-Kolom'!H183</f>
        <v>10</v>
      </c>
      <c r="O183">
        <f>'Data-Kolom'!I183</f>
        <v>16</v>
      </c>
      <c r="P183">
        <f>IF(N183&gt;0,VLOOKUP(O183,$V$2:$X$9,2,FALSE),0)</f>
        <v>1010</v>
      </c>
      <c r="Q183">
        <f>IF(L183&gt;0,M183-50+$N$6*O183,VLOOKUP(O183,$V$2:$X$9,3,FALSE))</f>
        <v>770</v>
      </c>
      <c r="R183">
        <f>IF(E183="F",J183-$N$5+$N$6*O183+Q183,IF(E183="D",J183+Q183+P183,IF(E183="T",J183+P183,IF(E183="A",J183-$N$5+$N$6*O183,0))))</f>
        <v>3672</v>
      </c>
      <c r="T183">
        <f>SUM(R183:S183)</f>
        <v>3672</v>
      </c>
      <c r="U183">
        <f>K183*N183</f>
        <v>10</v>
      </c>
      <c r="V183">
        <f>'Data-Kolom'!J183</f>
        <v>0</v>
      </c>
      <c r="W183">
        <f>'Data-Kolom'!K183</f>
        <v>0</v>
      </c>
      <c r="X183">
        <f>IF(V183&gt;0,VLOOKUP(W183,$V$2:$X$9,2,FALSE),0)</f>
        <v>0</v>
      </c>
      <c r="Y183">
        <f>IF(V183&gt;0,IF(L183&gt;0,M183-50+$N$6*W183,VLOOKUP(W183,$V$2:$X$9,3,FALSE)),0)</f>
        <v>0</v>
      </c>
      <c r="Z183">
        <f>IF(E183="F",J183-$N$5+$N$6*W183+Y183,IF(E183="D",J183+Y183+X183,IF(E183="T",J183+X183,IF(E183="A",J183-$N$5+$N$6*W183,0))))</f>
        <v>3480</v>
      </c>
      <c r="AB183">
        <f>SUM(Z183:AA183)</f>
        <v>3480</v>
      </c>
      <c r="AC183">
        <f>V183*K183</f>
        <v>0</v>
      </c>
      <c r="AD183">
        <f>'Data-Kolom'!L183</f>
        <v>8</v>
      </c>
      <c r="AE183">
        <f>'Data-Kolom'!M183</f>
        <v>100</v>
      </c>
      <c r="AF183">
        <f>'Data-Kolom'!N183</f>
        <v>100</v>
      </c>
      <c r="AG183">
        <f>'Data-Kolom'!O183</f>
        <v>100</v>
      </c>
      <c r="AH183">
        <f>'Data-Kolom'!P183</f>
        <v>0.5</v>
      </c>
      <c r="AI183">
        <f>'Data-Kolom'!Q183</f>
        <v>8</v>
      </c>
      <c r="AJ183">
        <f>'Data-Kolom'!R183</f>
        <v>0</v>
      </c>
      <c r="AK183">
        <f>'Data-Kolom'!S183</f>
        <v>0</v>
      </c>
      <c r="AL183">
        <f>2*(H183+I183-4*$N$5)+2*MAX($F$5*AD183,75)</f>
        <v>1530</v>
      </c>
      <c r="AM183">
        <f>+AH183*(H183-2*$N$5+2*MAX($F$5*AI183,75))+AJ183*(I183-2*$N$5+2*MAX($F$5*AK183,75))</f>
        <v>140</v>
      </c>
      <c r="AN183">
        <f>(ROUND((1/2*J183+IF(M183&gt;0,(Q183-$N$6*AD183),0))/AE183,0)+(ROUND(1/2*J183/AF183,0)+1))*K183</f>
        <v>37</v>
      </c>
      <c r="AO183">
        <f>H183*I183*J183/1000000000*K183*(1+$T$5)</f>
        <v>0.357</v>
      </c>
      <c r="AP183">
        <f>0.006165*O183^2*T183*U183/1000*(1+$T$6)</f>
        <v>57.952972800000005</v>
      </c>
      <c r="AQ183">
        <f>0.006165*W183^2*AB183*AC183/1000*(1+$T$6)</f>
        <v>0</v>
      </c>
      <c r="AR183">
        <f>AN183*0.006165*AD183^2*AL183/1000*(1+$T$6)</f>
        <v>22.3360416</v>
      </c>
      <c r="AS183">
        <f>AN183*0.006165*AI183^2*AM183/1000*(1+$T$6)</f>
        <v>2.0438207999999998</v>
      </c>
      <c r="AT183">
        <f>K183*2*J183*(H183+I183)/1000000*(1+$T$7)</f>
        <v>5.39</v>
      </c>
      <c r="AU183">
        <f>SUM(AP183:AS183)/AO183</f>
        <v>230.62418823529418</v>
      </c>
      <c r="AV183">
        <f>AT183/AO183</f>
        <v>15.098039215686274</v>
      </c>
      <c r="AX183">
        <f>0.006165*O183^2*R183*U183/1000*(1+$T$6)</f>
        <v>57.952972800000005</v>
      </c>
      <c r="AZ183">
        <f>0.006165*O183^2*S183*U183/1000*(1+$T$6)</f>
        <v>0</v>
      </c>
      <c r="BA183">
        <f>AZ183/AP183</f>
        <v>0</v>
      </c>
    </row>
    <row r="184">
      <c r="A184">
        <f>'Data-Kolom'!A184</f>
        <v>305</v>
      </c>
      <c r="B184" t="str">
        <f>'Data-Kolom'!B184</f>
        <v>Lantai Attic</v>
      </c>
      <c r="C184">
        <f>'Data-Kolom'!C184</f>
        <v>0</v>
      </c>
      <c r="D184" t="str">
        <f>'Data-Kolom'!D184</f>
        <v>K175-2</v>
      </c>
      <c r="E184" t="str">
        <v>F</v>
      </c>
      <c r="F184">
        <f>'Data-Kolom'!U184</f>
        <v>0</v>
      </c>
      <c r="G184">
        <f>'Data-Kolom'!T184</f>
        <v>0</v>
      </c>
      <c r="H184">
        <f>'Data-Kolom'!E184</f>
        <v>170</v>
      </c>
      <c r="I184">
        <f>'Data-Kolom'!F184</f>
        <v>500</v>
      </c>
      <c r="J184">
        <f>'Data-Kolom'!G184</f>
        <v>3500</v>
      </c>
      <c r="K184">
        <v>1</v>
      </c>
      <c r="M184">
        <f>IF(L184&gt;0,VLOOKUP(L184,'Data-PC'!$B$14:$F$36,4,FALSE),0)</f>
        <v>0</v>
      </c>
      <c r="N184">
        <f>'Data-Kolom'!H184</f>
        <v>8</v>
      </c>
      <c r="O184">
        <f>'Data-Kolom'!I184</f>
        <v>16</v>
      </c>
      <c r="P184">
        <f>IF(N184&gt;0,VLOOKUP(O184,$V$2:$X$9,2,FALSE),0)</f>
        <v>1010</v>
      </c>
      <c r="Q184">
        <f>IF(L184&gt;0,M184-50+$N$6*O184,VLOOKUP(O184,$V$2:$X$9,3,FALSE))</f>
        <v>770</v>
      </c>
      <c r="R184">
        <f>IF(E184="F",J184-$N$5+$N$6*O184+Q184,IF(E184="D",J184+Q184+P184,IF(E184="T",J184+P184,IF(E184="A",J184-$N$5+$N$6*O184,0))))</f>
        <v>4442</v>
      </c>
      <c r="T184">
        <f>SUM(R184:S184)</f>
        <v>4442</v>
      </c>
      <c r="U184">
        <f>K184*N184</f>
        <v>8</v>
      </c>
      <c r="V184">
        <f>'Data-Kolom'!J184</f>
        <v>0</v>
      </c>
      <c r="W184">
        <f>'Data-Kolom'!K184</f>
        <v>0</v>
      </c>
      <c r="X184">
        <f>IF(V184&gt;0,VLOOKUP(W184,$V$2:$X$9,2,FALSE),0)</f>
        <v>0</v>
      </c>
      <c r="Y184">
        <f>IF(V184&gt;0,IF(L184&gt;0,M184-50+$N$6*W184,VLOOKUP(W184,$V$2:$X$9,3,FALSE)),0)</f>
        <v>0</v>
      </c>
      <c r="Z184">
        <f>IF(E184="F",J184-$N$5+$N$6*W184+Y184,IF(E184="D",J184+Y184+X184,IF(E184="T",J184+X184,IF(E184="A",J184-$N$5+$N$6*W184,0))))</f>
        <v>3480</v>
      </c>
      <c r="AB184">
        <f>SUM(Z184:AA184)</f>
        <v>3480</v>
      </c>
      <c r="AC184">
        <f>V184*K184</f>
        <v>0</v>
      </c>
      <c r="AD184">
        <f>'Data-Kolom'!L184</f>
        <v>8</v>
      </c>
      <c r="AE184">
        <f>'Data-Kolom'!M184</f>
        <v>100</v>
      </c>
      <c r="AF184">
        <f>'Data-Kolom'!N184</f>
        <v>100</v>
      </c>
      <c r="AG184">
        <f>'Data-Kolom'!O184</f>
        <v>100</v>
      </c>
      <c r="AH184">
        <f>'Data-Kolom'!P184</f>
        <v>0.5</v>
      </c>
      <c r="AI184">
        <f>'Data-Kolom'!Q184</f>
        <v>8</v>
      </c>
      <c r="AJ184">
        <f>'Data-Kolom'!R184</f>
        <v>0</v>
      </c>
      <c r="AK184">
        <f>'Data-Kolom'!S184</f>
        <v>0</v>
      </c>
      <c r="AL184">
        <f>2*(H184+I184-4*$N$5)+2*MAX($F$5*AD184,75)</f>
        <v>1330</v>
      </c>
      <c r="AM184">
        <f>+AH184*(H184-2*$N$5+2*MAX($F$5*AI184,75))+AJ184*(I184-2*$N$5+2*MAX($F$5*AK184,75))</f>
        <v>140</v>
      </c>
      <c r="AN184">
        <f>(ROUND((1/2*J184+IF(M184&gt;0,(Q184-$N$6*AD184),0))/AE184,0)+(ROUND(1/2*J184/AF184,0)+1))*K184</f>
        <v>37</v>
      </c>
      <c r="AO184">
        <f>H184*I184*J184/1000000000*K184*(1+$T$5)</f>
        <v>0.2975</v>
      </c>
      <c r="AP184">
        <f>0.006165*O184^2*T184*U184/1000*(1+$T$6)</f>
        <v>56.084336640000004</v>
      </c>
      <c r="AQ184">
        <f>0.006165*W184^2*AB184*AC184/1000*(1+$T$6)</f>
        <v>0</v>
      </c>
      <c r="AR184">
        <f>AN184*0.006165*AD184^2*AL184/1000*(1+$T$6)</f>
        <v>19.4162976</v>
      </c>
      <c r="AS184">
        <f>AN184*0.006165*AI184^2*AM184/1000*(1+$T$6)</f>
        <v>2.0438207999999998</v>
      </c>
      <c r="AT184">
        <f>K184*2*J184*(H184+I184)/1000000*(1+$T$7)</f>
        <v>4.69</v>
      </c>
      <c r="AU184">
        <f>SUM(AP184:AS184)/AO184</f>
        <v>260.6536303865547</v>
      </c>
      <c r="AV184">
        <f>AT184/AO184</f>
        <v>15.764705882352944</v>
      </c>
      <c r="AX184">
        <f>0.006165*O184^2*R184*U184/1000*(1+$T$6)</f>
        <v>56.084336640000004</v>
      </c>
      <c r="AZ184">
        <f>0.006165*O184^2*S184*U184/1000*(1+$T$6)</f>
        <v>0</v>
      </c>
      <c r="BA184">
        <f>AZ184/AP184</f>
        <v>0</v>
      </c>
    </row>
    <row r="185">
      <c r="A185">
        <f>'Data-Kolom'!A185</f>
        <v>306</v>
      </c>
      <c r="B185" t="str">
        <f>'Data-Kolom'!B185</f>
        <v>Lantai Attic</v>
      </c>
      <c r="C185">
        <f>'Data-Kolom'!C185</f>
        <v>0</v>
      </c>
      <c r="D185" t="str">
        <f>'Data-Kolom'!D185</f>
        <v>K175-3</v>
      </c>
      <c r="E185" t="str">
        <v>F</v>
      </c>
      <c r="F185">
        <f>'Data-Kolom'!U185</f>
        <v>0</v>
      </c>
      <c r="G185">
        <f>'Data-Kolom'!T185</f>
        <v>0</v>
      </c>
      <c r="H185">
        <f>'Data-Kolom'!E185</f>
        <v>170</v>
      </c>
      <c r="I185">
        <f>'Data-Kolom'!F185</f>
        <v>500</v>
      </c>
      <c r="J185">
        <f>'Data-Kolom'!G185</f>
        <v>3500</v>
      </c>
      <c r="K185">
        <v>1</v>
      </c>
      <c r="M185">
        <f>IF(L185&gt;0,VLOOKUP(L185,'Data-PC'!$B$14:$F$36,4,FALSE),0)</f>
        <v>0</v>
      </c>
      <c r="N185">
        <f>'Data-Kolom'!H185</f>
        <v>4</v>
      </c>
      <c r="O185">
        <f>'Data-Kolom'!I185</f>
        <v>19</v>
      </c>
      <c r="P185">
        <f>IF(N185&gt;0,VLOOKUP(O185,$V$2:$X$9,2,FALSE),0)</f>
        <v>1190</v>
      </c>
      <c r="Q185">
        <f>IF(L185&gt;0,M185-50+$N$6*O185,VLOOKUP(O185,$V$2:$X$9,3,FALSE))</f>
        <v>910</v>
      </c>
      <c r="R185">
        <f>IF(E185="F",J185-$N$5+$N$6*O185+Q185,IF(E185="D",J185+Q185+P185,IF(E185="T",J185+P185,IF(E185="A",J185-$N$5+$N$6*O185,0))))</f>
        <v>4618</v>
      </c>
      <c r="T185">
        <f>SUM(R185:S185)</f>
        <v>4618</v>
      </c>
      <c r="U185">
        <f>K185*N185</f>
        <v>4</v>
      </c>
      <c r="V185">
        <f>'Data-Kolom'!J185</f>
        <v>4</v>
      </c>
      <c r="W185">
        <f>'Data-Kolom'!K185</f>
        <v>16</v>
      </c>
      <c r="X185">
        <f>IF(V185&gt;0,VLOOKUP(W185,$V$2:$X$9,2,FALSE),0)</f>
        <v>1010</v>
      </c>
      <c r="Y185">
        <f>IF(V185&gt;0,IF(L185&gt;0,M185-50+$N$6*W185,VLOOKUP(W185,$V$2:$X$9,3,FALSE)),0)</f>
        <v>770</v>
      </c>
      <c r="Z185">
        <f>IF(E185="F",J185-$N$5+$N$6*W185+Y185,IF(E185="D",J185+Y185+X185,IF(E185="T",J185+X185,IF(E185="A",J185-$N$5+$N$6*W185,0))))</f>
        <v>4442</v>
      </c>
      <c r="AB185">
        <f>SUM(Z185:AA185)</f>
        <v>4442</v>
      </c>
      <c r="AC185">
        <f>V185*K185</f>
        <v>4</v>
      </c>
      <c r="AD185">
        <f>'Data-Kolom'!L185</f>
        <v>8</v>
      </c>
      <c r="AE185">
        <f>'Data-Kolom'!M185</f>
        <v>100</v>
      </c>
      <c r="AF185">
        <f>'Data-Kolom'!N185</f>
        <v>100</v>
      </c>
      <c r="AG185">
        <f>'Data-Kolom'!O185</f>
        <v>100</v>
      </c>
      <c r="AH185">
        <f>'Data-Kolom'!P185</f>
        <v>0.5</v>
      </c>
      <c r="AI185">
        <f>'Data-Kolom'!Q185</f>
        <v>8</v>
      </c>
      <c r="AJ185">
        <f>'Data-Kolom'!R185</f>
        <v>0</v>
      </c>
      <c r="AK185">
        <f>'Data-Kolom'!S185</f>
        <v>0</v>
      </c>
      <c r="AL185">
        <f>2*(H185+I185-4*$N$5)+2*MAX($F$5*AD185,75)</f>
        <v>1330</v>
      </c>
      <c r="AM185">
        <f>+AH185*(H185-2*$N$5+2*MAX($F$5*AI185,75))+AJ185*(I185-2*$N$5+2*MAX($F$5*AK185,75))</f>
        <v>140</v>
      </c>
      <c r="AN185">
        <f>(ROUND((1/2*J185+IF(M185&gt;0,(Q185-$N$6*AD185),0))/AE185,0)+(ROUND(1/2*J185/AF185,0)+1))*K185</f>
        <v>37</v>
      </c>
      <c r="AO185">
        <f>H185*I185*J185/1000000000*K185*(1+$T$5)</f>
        <v>0.2975</v>
      </c>
      <c r="AP185">
        <f>0.006165*O185^2*T185*U185/1000*(1+$T$6)</f>
        <v>41.110636680000006</v>
      </c>
      <c r="AQ185">
        <f>0.006165*W185^2*AB185*AC185/1000*(1+$T$6)</f>
        <v>28.042168320000002</v>
      </c>
      <c r="AR185">
        <f>AN185*0.006165*AD185^2*AL185/1000*(1+$T$6)</f>
        <v>19.4162976</v>
      </c>
      <c r="AS185">
        <f>AN185*0.006165*AI185^2*AM185/1000*(1+$T$6)</f>
        <v>2.0438207999999998</v>
      </c>
      <c r="AT185">
        <f>K185*2*J185*(H185+I185)/1000000*(1+$T$7)</f>
        <v>4.69</v>
      </c>
      <c r="AU185">
        <f>SUM(AP185:AS185)/AO185</f>
        <v>304.5812551260505</v>
      </c>
      <c r="AV185">
        <f>AT185/AO185</f>
        <v>15.764705882352944</v>
      </c>
      <c r="AX185">
        <f>0.006165*O185^2*R185*U185/1000*(1+$T$6)</f>
        <v>41.110636680000006</v>
      </c>
      <c r="AZ185">
        <f>0.006165*O185^2*S185*U185/1000*(1+$T$6)</f>
        <v>0</v>
      </c>
      <c r="BA185">
        <f>AZ185/AP185</f>
        <v>0</v>
      </c>
    </row>
    <row r="186">
      <c r="A186">
        <f>'Data-Kolom'!A186</f>
        <v>307</v>
      </c>
      <c r="B186" t="str">
        <f>'Data-Kolom'!B186</f>
        <v>Lantai Attic</v>
      </c>
      <c r="C186">
        <f>'Data-Kolom'!C186</f>
        <v>0</v>
      </c>
      <c r="D186" t="str">
        <f>'Data-Kolom'!D186</f>
        <v>K175-3</v>
      </c>
      <c r="E186" t="str">
        <v>F</v>
      </c>
      <c r="F186">
        <f>'Data-Kolom'!U186</f>
        <v>0</v>
      </c>
      <c r="G186">
        <f>'Data-Kolom'!T186</f>
        <v>0</v>
      </c>
      <c r="H186">
        <f>'Data-Kolom'!E186</f>
        <v>170</v>
      </c>
      <c r="I186">
        <f>'Data-Kolom'!F186</f>
        <v>500</v>
      </c>
      <c r="J186">
        <f>'Data-Kolom'!G186</f>
        <v>3500</v>
      </c>
      <c r="K186">
        <v>1</v>
      </c>
      <c r="M186">
        <f>IF(L186&gt;0,VLOOKUP(L186,'Data-PC'!$B$14:$F$36,4,FALSE),0)</f>
        <v>0</v>
      </c>
      <c r="N186">
        <f>'Data-Kolom'!H186</f>
        <v>4</v>
      </c>
      <c r="O186">
        <f>'Data-Kolom'!I186</f>
        <v>19</v>
      </c>
      <c r="P186">
        <f>IF(N186&gt;0,VLOOKUP(O186,$V$2:$X$9,2,FALSE),0)</f>
        <v>1190</v>
      </c>
      <c r="Q186">
        <f>IF(L186&gt;0,M186-50+$N$6*O186,VLOOKUP(O186,$V$2:$X$9,3,FALSE))</f>
        <v>910</v>
      </c>
      <c r="R186">
        <f>IF(E186="F",J186-$N$5+$N$6*O186+Q186,IF(E186="D",J186+Q186+P186,IF(E186="T",J186+P186,IF(E186="A",J186-$N$5+$N$6*O186,0))))</f>
        <v>4618</v>
      </c>
      <c r="T186">
        <f>SUM(R186:S186)</f>
        <v>4618</v>
      </c>
      <c r="U186">
        <f>K186*N186</f>
        <v>4</v>
      </c>
      <c r="V186">
        <f>'Data-Kolom'!J186</f>
        <v>4</v>
      </c>
      <c r="W186">
        <f>'Data-Kolom'!K186</f>
        <v>16</v>
      </c>
      <c r="X186">
        <f>IF(V186&gt;0,VLOOKUP(W186,$V$2:$X$9,2,FALSE),0)</f>
        <v>1010</v>
      </c>
      <c r="Y186">
        <f>IF(V186&gt;0,IF(L186&gt;0,M186-50+$N$6*W186,VLOOKUP(W186,$V$2:$X$9,3,FALSE)),0)</f>
        <v>770</v>
      </c>
      <c r="Z186">
        <f>IF(E186="F",J186-$N$5+$N$6*W186+Y186,IF(E186="D",J186+Y186+X186,IF(E186="T",J186+X186,IF(E186="A",J186-$N$5+$N$6*W186,0))))</f>
        <v>4442</v>
      </c>
      <c r="AB186">
        <f>SUM(Z186:AA186)</f>
        <v>4442</v>
      </c>
      <c r="AC186">
        <f>V186*K186</f>
        <v>4</v>
      </c>
      <c r="AD186">
        <f>'Data-Kolom'!L186</f>
        <v>8</v>
      </c>
      <c r="AE186">
        <f>'Data-Kolom'!M186</f>
        <v>100</v>
      </c>
      <c r="AF186">
        <f>'Data-Kolom'!N186</f>
        <v>100</v>
      </c>
      <c r="AG186">
        <f>'Data-Kolom'!O186</f>
        <v>100</v>
      </c>
      <c r="AH186">
        <f>'Data-Kolom'!P186</f>
        <v>0.5</v>
      </c>
      <c r="AI186">
        <f>'Data-Kolom'!Q186</f>
        <v>8</v>
      </c>
      <c r="AJ186">
        <f>'Data-Kolom'!R186</f>
        <v>0</v>
      </c>
      <c r="AK186">
        <f>'Data-Kolom'!S186</f>
        <v>0</v>
      </c>
      <c r="AL186">
        <f>2*(H186+I186-4*$N$5)+2*MAX($F$5*AD186,75)</f>
        <v>1330</v>
      </c>
      <c r="AM186">
        <f>+AH186*(H186-2*$N$5+2*MAX($F$5*AI186,75))+AJ186*(I186-2*$N$5+2*MAX($F$5*AK186,75))</f>
        <v>140</v>
      </c>
      <c r="AN186">
        <f>(ROUND((1/2*J186+IF(M186&gt;0,(Q186-$N$6*AD186),0))/AE186,0)+(ROUND(1/2*J186/AF186,0)+1))*K186</f>
        <v>37</v>
      </c>
      <c r="AO186">
        <f>H186*I186*J186/1000000000*K186*(1+$T$5)</f>
        <v>0.2975</v>
      </c>
      <c r="AP186">
        <f>0.006165*O186^2*T186*U186/1000*(1+$T$6)</f>
        <v>41.110636680000006</v>
      </c>
      <c r="AQ186">
        <f>0.006165*W186^2*AB186*AC186/1000*(1+$T$6)</f>
        <v>28.042168320000002</v>
      </c>
      <c r="AR186">
        <f>AN186*0.006165*AD186^2*AL186/1000*(1+$T$6)</f>
        <v>19.4162976</v>
      </c>
      <c r="AS186">
        <f>AN186*0.006165*AI186^2*AM186/1000*(1+$T$6)</f>
        <v>2.0438207999999998</v>
      </c>
      <c r="AT186">
        <f>K186*2*J186*(H186+I186)/1000000*(1+$T$7)</f>
        <v>4.69</v>
      </c>
      <c r="AU186">
        <f>SUM(AP186:AS186)/AO186</f>
        <v>304.5812551260505</v>
      </c>
      <c r="AV186">
        <f>AT186/AO186</f>
        <v>15.764705882352944</v>
      </c>
      <c r="AX186">
        <f>0.006165*O186^2*R186*U186/1000*(1+$T$6)</f>
        <v>41.110636680000006</v>
      </c>
      <c r="AZ186">
        <f>0.006165*O186^2*S186*U186/1000*(1+$T$6)</f>
        <v>0</v>
      </c>
      <c r="BA186">
        <f>AZ186/AP186</f>
        <v>0</v>
      </c>
    </row>
    <row r="187">
      <c r="A187">
        <f>'Data-Kolom'!A187</f>
        <v>203</v>
      </c>
      <c r="B187" t="str">
        <f>'Data-Kolom'!B187</f>
        <v>Lantai Attic</v>
      </c>
      <c r="C187">
        <f>'Data-Kolom'!C187</f>
        <v>0</v>
      </c>
      <c r="D187" t="str">
        <f>'Data-Kolom'!D187</f>
        <v>K175-3</v>
      </c>
      <c r="E187" t="str">
        <v>F</v>
      </c>
      <c r="F187">
        <f>'Data-Kolom'!U187</f>
        <v>0</v>
      </c>
      <c r="G187">
        <f>'Data-Kolom'!T187</f>
        <v>0</v>
      </c>
      <c r="H187">
        <f>'Data-Kolom'!E187</f>
        <v>170</v>
      </c>
      <c r="I187">
        <f>'Data-Kolom'!F187</f>
        <v>500</v>
      </c>
      <c r="J187">
        <f>'Data-Kolom'!G187</f>
        <v>3500</v>
      </c>
      <c r="K187">
        <v>1</v>
      </c>
      <c r="M187">
        <f>IF(L187&gt;0,VLOOKUP(L187,'Data-PC'!$B$14:$F$36,4,FALSE),0)</f>
        <v>0</v>
      </c>
      <c r="N187">
        <f>'Data-Kolom'!H187</f>
        <v>4</v>
      </c>
      <c r="O187">
        <f>'Data-Kolom'!I187</f>
        <v>19</v>
      </c>
      <c r="P187">
        <f>IF(N187&gt;0,VLOOKUP(O187,$V$2:$X$9,2,FALSE),0)</f>
        <v>1190</v>
      </c>
      <c r="Q187">
        <f>IF(L187&gt;0,M187-50+$N$6*O187,VLOOKUP(O187,$V$2:$X$9,3,FALSE))</f>
        <v>910</v>
      </c>
      <c r="R187">
        <f>IF(E187="F",J187-$N$5+$N$6*O187+Q187,IF(E187="D",J187+Q187+P187,IF(E187="T",J187+P187,IF(E187="A",J187-$N$5+$N$6*O187,0))))</f>
        <v>4618</v>
      </c>
      <c r="T187">
        <f>SUM(R187:S187)</f>
        <v>4618</v>
      </c>
      <c r="U187">
        <f>K187*N187</f>
        <v>4</v>
      </c>
      <c r="V187">
        <f>'Data-Kolom'!J187</f>
        <v>4</v>
      </c>
      <c r="W187">
        <f>'Data-Kolom'!K187</f>
        <v>16</v>
      </c>
      <c r="X187">
        <f>IF(V187&gt;0,VLOOKUP(W187,$V$2:$X$9,2,FALSE),0)</f>
        <v>1010</v>
      </c>
      <c r="Y187">
        <f>IF(V187&gt;0,IF(L187&gt;0,M187-50+$N$6*W187,VLOOKUP(W187,$V$2:$X$9,3,FALSE)),0)</f>
        <v>770</v>
      </c>
      <c r="Z187">
        <f>IF(E187="F",J187-$N$5+$N$6*W187+Y187,IF(E187="D",J187+Y187+X187,IF(E187="T",J187+X187,IF(E187="A",J187-$N$5+$N$6*W187,0))))</f>
        <v>4442</v>
      </c>
      <c r="AB187">
        <f>SUM(Z187:AA187)</f>
        <v>4442</v>
      </c>
      <c r="AC187">
        <f>V187*K187</f>
        <v>4</v>
      </c>
      <c r="AD187">
        <f>'Data-Kolom'!L187</f>
        <v>8</v>
      </c>
      <c r="AE187">
        <f>'Data-Kolom'!M187</f>
        <v>100</v>
      </c>
      <c r="AF187">
        <f>'Data-Kolom'!N187</f>
        <v>100</v>
      </c>
      <c r="AG187">
        <f>'Data-Kolom'!O187</f>
        <v>100</v>
      </c>
      <c r="AH187">
        <f>'Data-Kolom'!P187</f>
        <v>0.5</v>
      </c>
      <c r="AI187">
        <f>'Data-Kolom'!Q187</f>
        <v>8</v>
      </c>
      <c r="AJ187">
        <f>'Data-Kolom'!R187</f>
        <v>0</v>
      </c>
      <c r="AK187">
        <f>'Data-Kolom'!S187</f>
        <v>0</v>
      </c>
      <c r="AL187">
        <f>2*(H187+I187-4*$N$5)+2*MAX($F$5*AD187,75)</f>
        <v>1330</v>
      </c>
      <c r="AM187">
        <f>+AH187*(H187-2*$N$5+2*MAX($F$5*AI187,75))+AJ187*(I187-2*$N$5+2*MAX($F$5*AK187,75))</f>
        <v>140</v>
      </c>
      <c r="AN187">
        <f>(ROUND((1/2*J187+IF(M187&gt;0,(Q187-$N$6*AD187),0))/AE187,0)+(ROUND(1/2*J187/AF187,0)+1))*K187</f>
        <v>37</v>
      </c>
      <c r="AO187">
        <f>H187*I187*J187/1000000000*K187*(1+$T$5)</f>
        <v>0.2975</v>
      </c>
      <c r="AP187">
        <f>0.006165*O187^2*T187*U187/1000*(1+$T$6)</f>
        <v>41.110636680000006</v>
      </c>
      <c r="AQ187">
        <f>0.006165*W187^2*AB187*AC187/1000*(1+$T$6)</f>
        <v>28.042168320000002</v>
      </c>
      <c r="AR187">
        <f>AN187*0.006165*AD187^2*AL187/1000*(1+$T$6)</f>
        <v>19.4162976</v>
      </c>
      <c r="AS187">
        <f>AN187*0.006165*AI187^2*AM187/1000*(1+$T$6)</f>
        <v>2.0438207999999998</v>
      </c>
      <c r="AT187">
        <f>K187*2*J187*(H187+I187)/1000000*(1+$T$7)</f>
        <v>4.69</v>
      </c>
      <c r="AU187">
        <f>SUM(AP187:AS187)/AO187</f>
        <v>304.5812551260505</v>
      </c>
      <c r="AV187">
        <f>AT187/AO187</f>
        <v>15.764705882352944</v>
      </c>
      <c r="AX187">
        <f>0.006165*O187^2*R187*U187/1000*(1+$T$6)</f>
        <v>41.110636680000006</v>
      </c>
      <c r="AZ187">
        <f>0.006165*O187^2*S187*U187/1000*(1+$T$6)</f>
        <v>0</v>
      </c>
      <c r="BA187">
        <f>AZ187/AP187</f>
        <v>0</v>
      </c>
    </row>
    <row r="188">
      <c r="A188">
        <f>'Data-Kolom'!A188</f>
        <v>308</v>
      </c>
      <c r="B188" t="str">
        <f>'Data-Kolom'!B188</f>
        <v>Lantai Attic</v>
      </c>
      <c r="C188">
        <f>'Data-Kolom'!C188</f>
        <v>0</v>
      </c>
      <c r="D188" t="str">
        <f>'Data-Kolom'!D188</f>
        <v>K177-1</v>
      </c>
      <c r="E188" t="str">
        <v>F</v>
      </c>
      <c r="F188">
        <f>'Data-Kolom'!U188</f>
        <v>0</v>
      </c>
      <c r="G188">
        <f>'Data-Kolom'!T188</f>
        <v>0</v>
      </c>
      <c r="H188">
        <f>'Data-Kolom'!E188</f>
        <v>170</v>
      </c>
      <c r="I188">
        <f>'Data-Kolom'!F188</f>
        <v>700</v>
      </c>
      <c r="J188">
        <f>'Data-Kolom'!G188</f>
        <v>3500</v>
      </c>
      <c r="K188">
        <v>1</v>
      </c>
      <c r="M188">
        <f>IF(L188&gt;0,VLOOKUP(L188,'Data-PC'!$B$14:$F$36,4,FALSE),0)</f>
        <v>0</v>
      </c>
      <c r="N188">
        <f>'Data-Kolom'!H188</f>
        <v>10</v>
      </c>
      <c r="O188">
        <f>'Data-Kolom'!I188</f>
        <v>19</v>
      </c>
      <c r="P188">
        <f>IF(N188&gt;0,VLOOKUP(O188,$V$2:$X$9,2,FALSE),0)</f>
        <v>1190</v>
      </c>
      <c r="Q188">
        <f>IF(L188&gt;0,M188-50+$N$6*O188,VLOOKUP(O188,$V$2:$X$9,3,FALSE))</f>
        <v>910</v>
      </c>
      <c r="R188">
        <f>IF(E188="F",J188-$N$5+$N$6*O188+Q188,IF(E188="D",J188+Q188+P188,IF(E188="T",J188+P188,IF(E188="A",J188-$N$5+$N$6*O188,0))))</f>
        <v>4618</v>
      </c>
      <c r="T188">
        <f>SUM(R188:S188)</f>
        <v>4618</v>
      </c>
      <c r="U188">
        <f>K188*N188</f>
        <v>10</v>
      </c>
      <c r="V188">
        <f>'Data-Kolom'!J188</f>
        <v>0</v>
      </c>
      <c r="W188">
        <f>'Data-Kolom'!K188</f>
        <v>0</v>
      </c>
      <c r="X188">
        <f>IF(V188&gt;0,VLOOKUP(W188,$V$2:$X$9,2,FALSE),0)</f>
        <v>0</v>
      </c>
      <c r="Y188">
        <f>IF(V188&gt;0,IF(L188&gt;0,M188-50+$N$6*W188,VLOOKUP(W188,$V$2:$X$9,3,FALSE)),0)</f>
        <v>0</v>
      </c>
      <c r="Z188">
        <f>IF(E188="F",J188-$N$5+$N$6*W188+Y188,IF(E188="D",J188+Y188+X188,IF(E188="T",J188+X188,IF(E188="A",J188-$N$5+$N$6*W188,0))))</f>
        <v>3480</v>
      </c>
      <c r="AB188">
        <f>SUM(Z188:AA188)</f>
        <v>3480</v>
      </c>
      <c r="AC188">
        <f>V188*K188</f>
        <v>0</v>
      </c>
      <c r="AD188">
        <f>'Data-Kolom'!L188</f>
        <v>8</v>
      </c>
      <c r="AE188">
        <f>'Data-Kolom'!M188</f>
        <v>100</v>
      </c>
      <c r="AF188">
        <f>'Data-Kolom'!N188</f>
        <v>100</v>
      </c>
      <c r="AG188">
        <f>'Data-Kolom'!O188</f>
        <v>100</v>
      </c>
      <c r="AH188">
        <f>'Data-Kolom'!P188</f>
        <v>0.5</v>
      </c>
      <c r="AI188">
        <f>'Data-Kolom'!Q188</f>
        <v>8</v>
      </c>
      <c r="AJ188">
        <f>'Data-Kolom'!R188</f>
        <v>0</v>
      </c>
      <c r="AK188">
        <f>'Data-Kolom'!S188</f>
        <v>0</v>
      </c>
      <c r="AL188">
        <f>2*(H188+I188-4*$N$5)+2*MAX($F$5*AD188,75)</f>
        <v>1730</v>
      </c>
      <c r="AM188">
        <f>+AH188*(H188-2*$N$5+2*MAX($F$5*AI188,75))+AJ188*(I188-2*$N$5+2*MAX($F$5*AK188,75))</f>
        <v>140</v>
      </c>
      <c r="AN188">
        <f>(ROUND((1/2*J188+IF(M188&gt;0,(Q188-$N$6*AD188),0))/AE188,0)+(ROUND(1/2*J188/AF188,0)+1))*K188</f>
        <v>37</v>
      </c>
      <c r="AO188">
        <f>H188*I188*J188/1000000000*K188*(1+$T$5)</f>
        <v>0.4165</v>
      </c>
      <c r="AP188">
        <f>0.006165*O188^2*T188*U188/1000*(1+$T$6)</f>
        <v>102.77659170000001</v>
      </c>
      <c r="AQ188">
        <f>0.006165*W188^2*AB188*AC188/1000*(1+$T$6)</f>
        <v>0</v>
      </c>
      <c r="AR188">
        <f>AN188*0.006165*AD188^2*AL188/1000*(1+$T$6)</f>
        <v>25.2557856</v>
      </c>
      <c r="AS188">
        <f>AN188*0.006165*AI188^2*AM188/1000*(1+$T$6)</f>
        <v>2.0438207999999998</v>
      </c>
      <c r="AT188">
        <f>K188*2*J188*(H188+I188)/1000000*(1+$T$7)</f>
        <v>6.09</v>
      </c>
      <c r="AU188">
        <f>SUM(AP188:AS188)/AO188</f>
        <v>312.30779855942376</v>
      </c>
      <c r="AV188">
        <f>AT188/AO188</f>
        <v>14.621848739495798</v>
      </c>
      <c r="AX188">
        <f>0.006165*O188^2*R188*U188/1000*(1+$T$6)</f>
        <v>102.77659170000001</v>
      </c>
      <c r="AZ188">
        <f>0.006165*O188^2*S188*U188/1000*(1+$T$6)</f>
        <v>0</v>
      </c>
      <c r="BA188">
        <f>AZ188/AP188</f>
        <v>0</v>
      </c>
    </row>
    <row r="189">
      <c r="A189">
        <f>'Data-Kolom'!A189</f>
        <v>309</v>
      </c>
      <c r="B189" t="str">
        <f>'Data-Kolom'!B189</f>
        <v>Lantai Attic</v>
      </c>
      <c r="C189">
        <f>'Data-Kolom'!C189</f>
        <v>0</v>
      </c>
      <c r="D189" t="str">
        <f>'Data-Kolom'!D189</f>
        <v>K175-3</v>
      </c>
      <c r="E189" t="str">
        <v>F</v>
      </c>
      <c r="F189">
        <f>'Data-Kolom'!U189</f>
        <v>0</v>
      </c>
      <c r="G189">
        <f>'Data-Kolom'!T189</f>
        <v>0</v>
      </c>
      <c r="H189">
        <f>'Data-Kolom'!E189</f>
        <v>170</v>
      </c>
      <c r="I189">
        <f>'Data-Kolom'!F189</f>
        <v>500</v>
      </c>
      <c r="J189">
        <f>'Data-Kolom'!G189</f>
        <v>3500</v>
      </c>
      <c r="K189">
        <v>1</v>
      </c>
      <c r="M189">
        <f>IF(L189&gt;0,VLOOKUP(L189,'Data-PC'!$B$14:$F$36,4,FALSE),0)</f>
        <v>0</v>
      </c>
      <c r="N189">
        <f>'Data-Kolom'!H189</f>
        <v>4</v>
      </c>
      <c r="O189">
        <f>'Data-Kolom'!I189</f>
        <v>19</v>
      </c>
      <c r="P189">
        <f>IF(N189&gt;0,VLOOKUP(O189,$V$2:$X$9,2,FALSE),0)</f>
        <v>1190</v>
      </c>
      <c r="Q189">
        <f>IF(L189&gt;0,M189-50+$N$6*O189,VLOOKUP(O189,$V$2:$X$9,3,FALSE))</f>
        <v>910</v>
      </c>
      <c r="R189">
        <f>IF(E189="F",J189-$N$5+$N$6*O189+Q189,IF(E189="D",J189+Q189+P189,IF(E189="T",J189+P189,IF(E189="A",J189-$N$5+$N$6*O189,0))))</f>
        <v>4618</v>
      </c>
      <c r="T189">
        <f>SUM(R189:S189)</f>
        <v>4618</v>
      </c>
      <c r="U189">
        <f>K189*N189</f>
        <v>4</v>
      </c>
      <c r="V189">
        <f>'Data-Kolom'!J189</f>
        <v>4</v>
      </c>
      <c r="W189">
        <f>'Data-Kolom'!K189</f>
        <v>16</v>
      </c>
      <c r="X189">
        <f>IF(V189&gt;0,VLOOKUP(W189,$V$2:$X$9,2,FALSE),0)</f>
        <v>1010</v>
      </c>
      <c r="Y189">
        <f>IF(V189&gt;0,IF(L189&gt;0,M189-50+$N$6*W189,VLOOKUP(W189,$V$2:$X$9,3,FALSE)),0)</f>
        <v>770</v>
      </c>
      <c r="Z189">
        <f>IF(E189="F",J189-$N$5+$N$6*W189+Y189,IF(E189="D",J189+Y189+X189,IF(E189="T",J189+X189,IF(E189="A",J189-$N$5+$N$6*W189,0))))</f>
        <v>4442</v>
      </c>
      <c r="AB189">
        <f>SUM(Z189:AA189)</f>
        <v>4442</v>
      </c>
      <c r="AC189">
        <f>V189*K189</f>
        <v>4</v>
      </c>
      <c r="AD189">
        <f>'Data-Kolom'!L189</f>
        <v>8</v>
      </c>
      <c r="AE189">
        <f>'Data-Kolom'!M189</f>
        <v>100</v>
      </c>
      <c r="AF189">
        <f>'Data-Kolom'!N189</f>
        <v>100</v>
      </c>
      <c r="AG189">
        <f>'Data-Kolom'!O189</f>
        <v>100</v>
      </c>
      <c r="AH189">
        <f>'Data-Kolom'!P189</f>
        <v>0.5</v>
      </c>
      <c r="AI189">
        <f>'Data-Kolom'!Q189</f>
        <v>8</v>
      </c>
      <c r="AJ189">
        <f>'Data-Kolom'!R189</f>
        <v>0</v>
      </c>
      <c r="AK189">
        <f>'Data-Kolom'!S189</f>
        <v>0</v>
      </c>
      <c r="AL189">
        <f>2*(H189+I189-4*$N$5)+2*MAX($F$5*AD189,75)</f>
        <v>1330</v>
      </c>
      <c r="AM189">
        <f>+AH189*(H189-2*$N$5+2*MAX($F$5*AI189,75))+AJ189*(I189-2*$N$5+2*MAX($F$5*AK189,75))</f>
        <v>140</v>
      </c>
      <c r="AN189">
        <f>(ROUND((1/2*J189+IF(M189&gt;0,(Q189-$N$6*AD189),0))/AE189,0)+(ROUND(1/2*J189/AF189,0)+1))*K189</f>
        <v>37</v>
      </c>
      <c r="AO189">
        <f>H189*I189*J189/1000000000*K189*(1+$T$5)</f>
        <v>0.2975</v>
      </c>
      <c r="AP189">
        <f>0.006165*O189^2*T189*U189/1000*(1+$T$6)</f>
        <v>41.110636680000006</v>
      </c>
      <c r="AQ189">
        <f>0.006165*W189^2*AB189*AC189/1000*(1+$T$6)</f>
        <v>28.042168320000002</v>
      </c>
      <c r="AR189">
        <f>AN189*0.006165*AD189^2*AL189/1000*(1+$T$6)</f>
        <v>19.4162976</v>
      </c>
      <c r="AS189">
        <f>AN189*0.006165*AI189^2*AM189/1000*(1+$T$6)</f>
        <v>2.0438207999999998</v>
      </c>
      <c r="AT189">
        <f>K189*2*J189*(H189+I189)/1000000*(1+$T$7)</f>
        <v>4.69</v>
      </c>
      <c r="AU189">
        <f>SUM(AP189:AS189)/AO189</f>
        <v>304.5812551260505</v>
      </c>
      <c r="AV189">
        <f>AT189/AO189</f>
        <v>15.764705882352944</v>
      </c>
      <c r="AX189">
        <f>0.006165*O189^2*R189*U189/1000*(1+$T$6)</f>
        <v>41.110636680000006</v>
      </c>
      <c r="AZ189">
        <f>0.006165*O189^2*S189*U189/1000*(1+$T$6)</f>
        <v>0</v>
      </c>
      <c r="BA189">
        <f>AZ189/AP189</f>
        <v>0</v>
      </c>
    </row>
    <row r="190">
      <c r="A190">
        <f>'Data-Kolom'!A190</f>
        <v>310</v>
      </c>
      <c r="B190" t="str">
        <f>'Data-Kolom'!B190</f>
        <v>Lantai Attic</v>
      </c>
      <c r="C190">
        <f>'Data-Kolom'!C190</f>
        <v>0</v>
      </c>
      <c r="D190" t="str">
        <f>'Data-Kolom'!D190</f>
        <v>K175-2</v>
      </c>
      <c r="E190" t="str">
        <v>F</v>
      </c>
      <c r="F190">
        <f>'Data-Kolom'!U190</f>
        <v>0</v>
      </c>
      <c r="G190">
        <f>'Data-Kolom'!T190</f>
        <v>0</v>
      </c>
      <c r="H190">
        <f>'Data-Kolom'!E190</f>
        <v>170</v>
      </c>
      <c r="I190">
        <f>'Data-Kolom'!F190</f>
        <v>500</v>
      </c>
      <c r="J190">
        <f>'Data-Kolom'!G190</f>
        <v>3500</v>
      </c>
      <c r="K190">
        <v>1</v>
      </c>
      <c r="M190">
        <f>IF(L190&gt;0,VLOOKUP(L190,'Data-PC'!$B$14:$F$36,4,FALSE),0)</f>
        <v>0</v>
      </c>
      <c r="N190">
        <f>'Data-Kolom'!H190</f>
        <v>8</v>
      </c>
      <c r="O190">
        <f>'Data-Kolom'!I190</f>
        <v>16</v>
      </c>
      <c r="P190">
        <f>IF(N190&gt;0,VLOOKUP(O190,$V$2:$X$9,2,FALSE),0)</f>
        <v>1010</v>
      </c>
      <c r="Q190">
        <f>IF(L190&gt;0,M190-50+$N$6*O190,VLOOKUP(O190,$V$2:$X$9,3,FALSE))</f>
        <v>770</v>
      </c>
      <c r="R190">
        <f>IF(E190="F",J190-$N$5+$N$6*O190+Q190,IF(E190="D",J190+Q190+P190,IF(E190="T",J190+P190,IF(E190="A",J190-$N$5+$N$6*O190,0))))</f>
        <v>4442</v>
      </c>
      <c r="T190">
        <f>SUM(R190:S190)</f>
        <v>4442</v>
      </c>
      <c r="U190">
        <f>K190*N190</f>
        <v>8</v>
      </c>
      <c r="V190">
        <f>'Data-Kolom'!J190</f>
        <v>0</v>
      </c>
      <c r="W190">
        <f>'Data-Kolom'!K190</f>
        <v>0</v>
      </c>
      <c r="X190">
        <f>IF(V190&gt;0,VLOOKUP(W190,$V$2:$X$9,2,FALSE),0)</f>
        <v>0</v>
      </c>
      <c r="Y190">
        <f>IF(V190&gt;0,IF(L190&gt;0,M190-50+$N$6*W190,VLOOKUP(W190,$V$2:$X$9,3,FALSE)),0)</f>
        <v>0</v>
      </c>
      <c r="Z190">
        <f>IF(E190="F",J190-$N$5+$N$6*W190+Y190,IF(E190="D",J190+Y190+X190,IF(E190="T",J190+X190,IF(E190="A",J190-$N$5+$N$6*W190,0))))</f>
        <v>3480</v>
      </c>
      <c r="AB190">
        <f>SUM(Z190:AA190)</f>
        <v>3480</v>
      </c>
      <c r="AC190">
        <f>V190*K190</f>
        <v>0</v>
      </c>
      <c r="AD190">
        <f>'Data-Kolom'!L190</f>
        <v>8</v>
      </c>
      <c r="AE190">
        <f>'Data-Kolom'!M190</f>
        <v>100</v>
      </c>
      <c r="AF190">
        <f>'Data-Kolom'!N190</f>
        <v>100</v>
      </c>
      <c r="AG190">
        <f>'Data-Kolom'!O190</f>
        <v>100</v>
      </c>
      <c r="AH190">
        <f>'Data-Kolom'!P190</f>
        <v>0.5</v>
      </c>
      <c r="AI190">
        <f>'Data-Kolom'!Q190</f>
        <v>8</v>
      </c>
      <c r="AJ190">
        <f>'Data-Kolom'!R190</f>
        <v>0</v>
      </c>
      <c r="AK190">
        <f>'Data-Kolom'!S190</f>
        <v>0</v>
      </c>
      <c r="AL190">
        <f>2*(H190+I190-4*$N$5)+2*MAX($F$5*AD190,75)</f>
        <v>1330</v>
      </c>
      <c r="AM190">
        <f>+AH190*(H190-2*$N$5+2*MAX($F$5*AI190,75))+AJ190*(I190-2*$N$5+2*MAX($F$5*AK190,75))</f>
        <v>140</v>
      </c>
      <c r="AN190">
        <f>(ROUND((1/2*J190+IF(M190&gt;0,(Q190-$N$6*AD190),0))/AE190,0)+(ROUND(1/2*J190/AF190,0)+1))*K190</f>
        <v>37</v>
      </c>
      <c r="AO190">
        <f>H190*I190*J190/1000000000*K190*(1+$T$5)</f>
        <v>0.2975</v>
      </c>
      <c r="AP190">
        <f>0.006165*O190^2*T190*U190/1000*(1+$T$6)</f>
        <v>56.084336640000004</v>
      </c>
      <c r="AQ190">
        <f>0.006165*W190^2*AB190*AC190/1000*(1+$T$6)</f>
        <v>0</v>
      </c>
      <c r="AR190">
        <f>AN190*0.006165*AD190^2*AL190/1000*(1+$T$6)</f>
        <v>19.4162976</v>
      </c>
      <c r="AS190">
        <f>AN190*0.006165*AI190^2*AM190/1000*(1+$T$6)</f>
        <v>2.0438207999999998</v>
      </c>
      <c r="AT190">
        <f>K190*2*J190*(H190+I190)/1000000*(1+$T$7)</f>
        <v>4.69</v>
      </c>
      <c r="AU190">
        <f>SUM(AP190:AS190)/AO190</f>
        <v>260.6536303865547</v>
      </c>
      <c r="AV190">
        <f>AT190/AO190</f>
        <v>15.764705882352944</v>
      </c>
      <c r="AX190">
        <f>0.006165*O190^2*R190*U190/1000*(1+$T$6)</f>
        <v>56.084336640000004</v>
      </c>
      <c r="AZ190">
        <f>0.006165*O190^2*S190*U190/1000*(1+$T$6)</f>
        <v>0</v>
      </c>
      <c r="BA190">
        <f>AZ190/AP190</f>
        <v>0</v>
      </c>
    </row>
    <row r="191">
      <c r="A191">
        <f>'Data-Kolom'!A191</f>
        <v>311</v>
      </c>
      <c r="B191" t="str">
        <f>'Data-Kolom'!B191</f>
        <v>Lantai Attic</v>
      </c>
      <c r="C191">
        <f>'Data-Kolom'!C191</f>
        <v>0</v>
      </c>
      <c r="D191" t="str">
        <f>'Data-Kolom'!D191</f>
        <v>KL175-2</v>
      </c>
      <c r="E191" t="str">
        <v>F</v>
      </c>
      <c r="F191">
        <f>'Data-Kolom'!U191</f>
        <v>0</v>
      </c>
      <c r="G191">
        <f>'Data-Kolom'!T191</f>
        <v>0</v>
      </c>
      <c r="H191">
        <f>'Data-Kolom'!E191</f>
        <v>170</v>
      </c>
      <c r="I191">
        <f>'Data-Kolom'!F191</f>
        <v>500</v>
      </c>
      <c r="J191">
        <f>'Data-Kolom'!G191</f>
        <v>3500</v>
      </c>
      <c r="K191">
        <v>2</v>
      </c>
      <c r="L191">
        <f>'Data-Kolom'!C191</f>
        <v>0</v>
      </c>
      <c r="M191">
        <f>IF(L191&gt;0,VLOOKUP(L191,'Data-PC'!$B$14:$F$36,4,FALSE),0)</f>
        <v>0</v>
      </c>
      <c r="N191">
        <f>'Data-Kolom'!H191</f>
        <v>4</v>
      </c>
      <c r="O191">
        <f>'Data-Kolom'!I191</f>
        <v>19</v>
      </c>
      <c r="P191">
        <f>IF(N191&gt;0,VLOOKUP(O191,$V$2:$X$9,2,FALSE),0)</f>
        <v>1190</v>
      </c>
      <c r="Q191">
        <f>IF(L191&gt;0,M191-50+$N$6*O191,VLOOKUP(O191,$V$2:$X$9,3,FALSE))</f>
        <v>910</v>
      </c>
      <c r="R191">
        <f>IF(E191="F",J191-$N$5+$N$6*O191+Q191,IF(E191="D",J191+Q191+P191,IF(E191="T",J191+P191,IF(E191="A",J191-$N$5+$N$6*O191,0))))</f>
        <v>4618</v>
      </c>
      <c r="T191">
        <f>SUM(R191:S191)</f>
        <v>4618</v>
      </c>
      <c r="U191">
        <f>K191*N191</f>
        <v>8</v>
      </c>
      <c r="V191">
        <f>'Data-Kolom'!J191</f>
        <v>2</v>
      </c>
      <c r="W191">
        <f>'Data-Kolom'!K191</f>
        <v>13</v>
      </c>
      <c r="X191">
        <f>IF(V191&gt;0,VLOOKUP(W191,$V$2:$X$9,2,FALSE),0)</f>
        <v>820</v>
      </c>
      <c r="Y191">
        <f>IF(V191&gt;0,IF(L191&gt;0,M191-50+$N$6*W191,VLOOKUP(W191,$V$2:$X$9,3,FALSE)),0)</f>
        <v>630</v>
      </c>
      <c r="Z191">
        <f>IF(E191="F",J191-$N$5+$N$6*W191+Y191,IF(E191="D",J191+Y191+X191,IF(E191="T",J191+X191,IF(E191="A",J191-$N$5+$N$6*W191,0))))</f>
        <v>4266</v>
      </c>
      <c r="AB191">
        <f>SUM(Z191:AA191)</f>
        <v>4266</v>
      </c>
      <c r="AC191">
        <f>V191*K191</f>
        <v>4</v>
      </c>
      <c r="AD191">
        <f>'Data-Kolom'!L191</f>
        <v>8</v>
      </c>
      <c r="AE191">
        <f>'Data-Kolom'!M191</f>
        <v>100</v>
      </c>
      <c r="AF191">
        <f>'Data-Kolom'!N191</f>
        <v>100</v>
      </c>
      <c r="AG191">
        <f>'Data-Kolom'!O191</f>
        <v>100</v>
      </c>
      <c r="AH191">
        <f>'Data-Kolom'!P191</f>
        <v>0.5</v>
      </c>
      <c r="AI191">
        <f>'Data-Kolom'!Q191</f>
        <v>8</v>
      </c>
      <c r="AJ191">
        <f>'Data-Kolom'!R191</f>
        <v>0</v>
      </c>
      <c r="AK191">
        <f>'Data-Kolom'!S191</f>
        <v>0</v>
      </c>
      <c r="AL191">
        <f>2*(H191+I191-4*$N$5)+2*MAX($F$5*AD191,75)</f>
        <v>1330</v>
      </c>
      <c r="AM191">
        <f>+AH191*(H191-2*$N$5+2*MAX($F$5*AI191,75))+AJ191*(I191-2*$N$5+2*MAX($F$5*AK191,75))</f>
        <v>140</v>
      </c>
      <c r="AN191">
        <f>(ROUND((1/2*J191+IF(M191&gt;0,(Q191-$N$6*AD191),0))/AE191,0)+(ROUND(1/2*J191/AF191,0)+1))*K191</f>
        <v>74</v>
      </c>
      <c r="AO191">
        <f>H191*I191*J191/1000000000*K191*(1+$T$5)-(K191/2*H191*H191*J191/1000000000)</f>
        <v>0.49384999999999996</v>
      </c>
      <c r="AP191">
        <f>0.006165*O191^2*T191*U191/1000*(1+$T$6)</f>
        <v>82.22127336000001</v>
      </c>
      <c r="AQ191">
        <f>0.006165*W191^2*AB191*AC191/1000*(1+$T$6)</f>
        <v>17.77872564</v>
      </c>
      <c r="AR191">
        <f>AN191*0.006165*AD191^2*AL191/1000*(1+$T$6)</f>
        <v>38.8325952</v>
      </c>
      <c r="AS191">
        <f>AN191*0.006165*AI191^2*AM191/1000*(1+$T$6)</f>
        <v>4.0876415999999995</v>
      </c>
      <c r="AT191">
        <f>K191*2*J191*(H191+I191)/1000000*(1+$T$7)-(K191/2*4*H191*J191/1000000)</f>
        <v>7.000000000000001</v>
      </c>
      <c r="AU191">
        <f>SUM(AP191:AS191)/AO191</f>
        <v>289.4000927407108</v>
      </c>
      <c r="AV191">
        <f>AT191/AO191</f>
        <v>14.174344436569811</v>
      </c>
      <c r="AX191">
        <f>0.006165*O191^2*R191*U191/1000*(1+$T$6)</f>
        <v>82.22127336000001</v>
      </c>
      <c r="AZ191">
        <f>0.006165*O191^2*S191*U191/1000*(1+$T$6)</f>
        <v>0</v>
      </c>
      <c r="BA191">
        <f>AZ191/AP191</f>
        <v>0</v>
      </c>
    </row>
    <row r="192">
      <c r="A192">
        <f>'Data-Kolom'!A192</f>
        <v>312</v>
      </c>
      <c r="B192" t="str">
        <f>'Data-Kolom'!B192</f>
        <v>Lantai Attic</v>
      </c>
      <c r="C192">
        <f>'Data-Kolom'!C192</f>
        <v>0</v>
      </c>
      <c r="D192" t="str">
        <f>'Data-Kolom'!D192</f>
        <v>K174-2</v>
      </c>
      <c r="E192" t="str">
        <v>F</v>
      </c>
      <c r="F192">
        <f>'Data-Kolom'!U192</f>
        <v>0</v>
      </c>
      <c r="G192">
        <f>'Data-Kolom'!T192</f>
        <v>0</v>
      </c>
      <c r="H192">
        <f>'Data-Kolom'!E192</f>
        <v>170</v>
      </c>
      <c r="I192">
        <f>'Data-Kolom'!F192</f>
        <v>400</v>
      </c>
      <c r="J192">
        <f>'Data-Kolom'!G192</f>
        <v>3500</v>
      </c>
      <c r="K192">
        <v>1</v>
      </c>
      <c r="M192">
        <f>IF(L192&gt;0,VLOOKUP(L192,'Data-PC'!$B$14:$F$36,4,FALSE),0)</f>
        <v>0</v>
      </c>
      <c r="N192">
        <f>'Data-Kolom'!H192</f>
        <v>8</v>
      </c>
      <c r="O192">
        <f>'Data-Kolom'!I192</f>
        <v>16</v>
      </c>
      <c r="P192">
        <f>IF(N192&gt;0,VLOOKUP(O192,$V$2:$X$9,2,FALSE),0)</f>
        <v>1010</v>
      </c>
      <c r="Q192">
        <f>IF(L192&gt;0,M192-50+$N$6*O192,VLOOKUP(O192,$V$2:$X$9,3,FALSE))</f>
        <v>770</v>
      </c>
      <c r="R192">
        <f>IF(E192="F",J192-$N$5+$N$6*O192+Q192,IF(E192="D",J192+Q192+P192,IF(E192="T",J192+P192,IF(E192="A",J192-$N$5+$N$6*O192,0))))</f>
        <v>4442</v>
      </c>
      <c r="T192">
        <f>SUM(R192:S192)</f>
        <v>4442</v>
      </c>
      <c r="U192">
        <f>K192*N192</f>
        <v>8</v>
      </c>
      <c r="V192">
        <f>'Data-Kolom'!J192</f>
        <v>0</v>
      </c>
      <c r="W192">
        <f>'Data-Kolom'!K192</f>
        <v>0</v>
      </c>
      <c r="X192">
        <f>IF(V192&gt;0,VLOOKUP(W192,$V$2:$X$9,2,FALSE),0)</f>
        <v>0</v>
      </c>
      <c r="Y192">
        <f>IF(V192&gt;0,IF(L192&gt;0,M192-50+$N$6*W192,VLOOKUP(W192,$V$2:$X$9,3,FALSE)),0)</f>
        <v>0</v>
      </c>
      <c r="Z192">
        <f>IF(E192="F",J192-$N$5+$N$6*W192+Y192,IF(E192="D",J192+Y192+X192,IF(E192="T",J192+X192,IF(E192="A",J192-$N$5+$N$6*W192,0))))</f>
        <v>3480</v>
      </c>
      <c r="AB192">
        <f>SUM(Z192:AA192)</f>
        <v>3480</v>
      </c>
      <c r="AC192">
        <f>V192*K192</f>
        <v>0</v>
      </c>
      <c r="AD192">
        <f>'Data-Kolom'!L192</f>
        <v>8</v>
      </c>
      <c r="AE192">
        <f>'Data-Kolom'!M192</f>
        <v>100</v>
      </c>
      <c r="AF192">
        <f>'Data-Kolom'!N192</f>
        <v>100</v>
      </c>
      <c r="AG192">
        <f>'Data-Kolom'!O192</f>
        <v>100</v>
      </c>
      <c r="AH192">
        <f>'Data-Kolom'!P192</f>
        <v>0</v>
      </c>
      <c r="AI192">
        <f>'Data-Kolom'!Q192</f>
        <v>0</v>
      </c>
      <c r="AJ192">
        <f>'Data-Kolom'!R192</f>
        <v>0</v>
      </c>
      <c r="AK192">
        <f>'Data-Kolom'!S192</f>
        <v>0</v>
      </c>
      <c r="AL192">
        <f>2*(H192+I192-4*$N$5)+2*MAX($F$5*AD192,75)</f>
        <v>1130</v>
      </c>
      <c r="AM192">
        <f>+AH192*(H192-2*$N$5+2*MAX($F$5*AI192,75))+AJ192*(I192-2*$N$5+2*MAX($F$5*AK192,75))</f>
        <v>0</v>
      </c>
      <c r="AN192">
        <f>(ROUND((1/2*J192+IF(M192&gt;0,(Q192-$N$6*AD192),0))/AE192,0)+(ROUND(1/2*J192/AF192,0)+1))*K192</f>
        <v>37</v>
      </c>
      <c r="AO192">
        <f>H192*I192*J192/1000000000*K192*(1+$T$5)</f>
        <v>0.238</v>
      </c>
      <c r="AP192">
        <f>0.006165*O192^2*T192*U192/1000*(1+$T$6)</f>
        <v>56.084336640000004</v>
      </c>
      <c r="AQ192">
        <f>0.006165*W192^2*AB192*AC192/1000*(1+$T$6)</f>
        <v>0</v>
      </c>
      <c r="AR192">
        <f>AN192*0.006165*AD192^2*AL192/1000*(1+$T$6)</f>
        <v>16.4965536</v>
      </c>
      <c r="AS192">
        <f>AN192*0.006165*AI192^2*AM192/1000*(1+$T$6)</f>
        <v>0</v>
      </c>
      <c r="AT192">
        <f>K192*2*J192*(H192+I192)/1000000*(1+$T$7)</f>
        <v>3.99</v>
      </c>
      <c r="AU192">
        <f>SUM(AP192:AS192)/AO192</f>
        <v>304.961723697479</v>
      </c>
      <c r="AV192">
        <f>AT192/AO192</f>
        <v>16.764705882352942</v>
      </c>
      <c r="AX192">
        <f>0.006165*O192^2*R192*U192/1000*(1+$T$6)</f>
        <v>56.084336640000004</v>
      </c>
      <c r="AZ192">
        <f>0.006165*O192^2*S192*U192/1000*(1+$T$6)</f>
        <v>0</v>
      </c>
      <c r="BA192">
        <f>AZ192/AP192</f>
        <v>0</v>
      </c>
    </row>
    <row r="193">
      <c r="A193">
        <f>'Data-Kolom'!A193</f>
        <v>313</v>
      </c>
      <c r="B193" t="str">
        <f>'Data-Kolom'!B193</f>
        <v>Lantai Attic</v>
      </c>
      <c r="C193">
        <f>'Data-Kolom'!C193</f>
        <v>0</v>
      </c>
      <c r="D193" t="str">
        <f>'Data-Kolom'!D193</f>
        <v>K174-1</v>
      </c>
      <c r="E193" t="str">
        <v>F</v>
      </c>
      <c r="F193">
        <f>'Data-Kolom'!U193</f>
        <v>0</v>
      </c>
      <c r="G193">
        <f>'Data-Kolom'!T193</f>
        <v>0</v>
      </c>
      <c r="H193">
        <f>'Data-Kolom'!E193</f>
        <v>170</v>
      </c>
      <c r="I193">
        <f>'Data-Kolom'!F193</f>
        <v>400</v>
      </c>
      <c r="J193">
        <f>'Data-Kolom'!G193</f>
        <v>3500</v>
      </c>
      <c r="K193">
        <v>1</v>
      </c>
      <c r="M193">
        <f>IF(L193&gt;0,VLOOKUP(L193,'Data-PC'!$B$14:$F$36,4,FALSE),0)</f>
        <v>0</v>
      </c>
      <c r="N193">
        <f>'Data-Kolom'!H193</f>
        <v>8</v>
      </c>
      <c r="O193">
        <f>'Data-Kolom'!I193</f>
        <v>13</v>
      </c>
      <c r="P193">
        <f>IF(N193&gt;0,VLOOKUP(O193,$V$2:$X$9,2,FALSE),0)</f>
        <v>820</v>
      </c>
      <c r="Q193">
        <f>IF(L193&gt;0,M193-50+$N$6*O193,VLOOKUP(O193,$V$2:$X$9,3,FALSE))</f>
        <v>630</v>
      </c>
      <c r="R193">
        <f>IF(E193="F",J193-$N$5+$N$6*O193+Q193,IF(E193="D",J193+Q193+P193,IF(E193="T",J193+P193,IF(E193="A",J193-$N$5+$N$6*O193,0))))</f>
        <v>4266</v>
      </c>
      <c r="T193">
        <f>SUM(R193:S193)</f>
        <v>4266</v>
      </c>
      <c r="U193">
        <f>K193*N193</f>
        <v>8</v>
      </c>
      <c r="V193">
        <f>'Data-Kolom'!J193</f>
        <v>0</v>
      </c>
      <c r="W193">
        <f>'Data-Kolom'!K193</f>
        <v>0</v>
      </c>
      <c r="X193">
        <f>IF(V193&gt;0,VLOOKUP(W193,$V$2:$X$9,2,FALSE),0)</f>
        <v>0</v>
      </c>
      <c r="Y193">
        <f>IF(V193&gt;0,IF(L193&gt;0,M193-50+$N$6*W193,VLOOKUP(W193,$V$2:$X$9,3,FALSE)),0)</f>
        <v>0</v>
      </c>
      <c r="Z193">
        <f>IF(E193="F",J193-$N$5+$N$6*W193+Y193,IF(E193="D",J193+Y193+X193,IF(E193="T",J193+X193,IF(E193="A",J193-$N$5+$N$6*W193,0))))</f>
        <v>3480</v>
      </c>
      <c r="AB193">
        <f>SUM(Z193:AA193)</f>
        <v>3480</v>
      </c>
      <c r="AC193">
        <f>V193*K193</f>
        <v>0</v>
      </c>
      <c r="AD193">
        <f>'Data-Kolom'!L193</f>
        <v>8</v>
      </c>
      <c r="AE193">
        <f>'Data-Kolom'!M193</f>
        <v>100</v>
      </c>
      <c r="AF193">
        <f>'Data-Kolom'!N193</f>
        <v>100</v>
      </c>
      <c r="AG193">
        <f>'Data-Kolom'!O193</f>
        <v>100</v>
      </c>
      <c r="AH193">
        <f>'Data-Kolom'!P193</f>
        <v>0</v>
      </c>
      <c r="AI193">
        <f>'Data-Kolom'!Q193</f>
        <v>0</v>
      </c>
      <c r="AJ193">
        <f>'Data-Kolom'!R193</f>
        <v>0</v>
      </c>
      <c r="AK193">
        <f>'Data-Kolom'!S193</f>
        <v>0</v>
      </c>
      <c r="AL193">
        <f>2*(H193+I193-4*$N$5)+2*MAX($F$5*AD193,75)</f>
        <v>1130</v>
      </c>
      <c r="AM193">
        <f>+AH193*(H193-2*$N$5+2*MAX($F$5*AI193,75))+AJ193*(I193-2*$N$5+2*MAX($F$5*AK193,75))</f>
        <v>0</v>
      </c>
      <c r="AN193">
        <f>(ROUND((1/2*J193+IF(M193&gt;0,(Q193-$N$6*AD193),0))/AE193,0)+(ROUND(1/2*J193/AF193,0)+1))*K193</f>
        <v>37</v>
      </c>
      <c r="AO193">
        <f>H193*I193*J193/1000000000*K193*(1+$T$5)</f>
        <v>0.238</v>
      </c>
      <c r="AP193">
        <f>0.006165*O193^2*T193*U193/1000*(1+$T$6)</f>
        <v>35.55745128</v>
      </c>
      <c r="AQ193">
        <f>0.006165*W193^2*AB193*AC193/1000*(1+$T$6)</f>
        <v>0</v>
      </c>
      <c r="AR193">
        <f>AN193*0.006165*AD193^2*AL193/1000*(1+$T$6)</f>
        <v>16.4965536</v>
      </c>
      <c r="AS193">
        <f>AN193*0.006165*AI193^2*AM193/1000*(1+$T$6)</f>
        <v>0</v>
      </c>
      <c r="AT193">
        <f>K193*2*J193*(H193+I193)/1000000*(1+$T$7)</f>
        <v>3.99</v>
      </c>
      <c r="AU193">
        <f>SUM(AP193:AS193)/AO193</f>
        <v>218.7143062184874</v>
      </c>
      <c r="AV193">
        <f>AT193/AO193</f>
        <v>16.764705882352942</v>
      </c>
      <c r="AX193">
        <f>0.006165*O193^2*R193*U193/1000*(1+$T$6)</f>
        <v>35.55745128</v>
      </c>
      <c r="AZ193">
        <f>0.006165*O193^2*S193*U193/1000*(1+$T$6)</f>
        <v>0</v>
      </c>
      <c r="BA193">
        <f>AZ193/AP193</f>
        <v>0</v>
      </c>
    </row>
    <row r="194">
      <c r="A194">
        <f>'Data-Kolom'!A194</f>
        <v>314</v>
      </c>
      <c r="B194" t="str">
        <f>'Data-Kolom'!B194</f>
        <v>Lantai Attic</v>
      </c>
      <c r="C194">
        <f>'Data-Kolom'!C194</f>
        <v>0</v>
      </c>
      <c r="D194" t="str">
        <f>'Data-Kolom'!D194</f>
        <v>K176-4</v>
      </c>
      <c r="E194" t="str">
        <v>F</v>
      </c>
      <c r="F194">
        <f>'Data-Kolom'!U194</f>
        <v>0</v>
      </c>
      <c r="G194">
        <f>'Data-Kolom'!T194</f>
        <v>0</v>
      </c>
      <c r="H194">
        <f>'Data-Kolom'!E194</f>
        <v>170</v>
      </c>
      <c r="I194">
        <f>'Data-Kolom'!F194</f>
        <v>600</v>
      </c>
      <c r="J194">
        <f>'Data-Kolom'!G194</f>
        <v>3500</v>
      </c>
      <c r="K194">
        <v>1</v>
      </c>
      <c r="M194">
        <f>IF(L194&gt;0,VLOOKUP(L194,'Data-PC'!$B$14:$F$36,4,FALSE),0)</f>
        <v>0</v>
      </c>
      <c r="N194">
        <f>'Data-Kolom'!H194</f>
        <v>8</v>
      </c>
      <c r="O194">
        <f>'Data-Kolom'!I194</f>
        <v>19</v>
      </c>
      <c r="P194">
        <f>IF(N194&gt;0,VLOOKUP(O194,$V$2:$X$9,2,FALSE),0)</f>
        <v>1190</v>
      </c>
      <c r="Q194">
        <f>IF(L194&gt;0,M194-50+$N$6*O194,VLOOKUP(O194,$V$2:$X$9,3,FALSE))</f>
        <v>910</v>
      </c>
      <c r="R194">
        <f>IF(E194="F",J194-$N$5+$N$6*O194+Q194,IF(E194="D",J194+Q194+P194,IF(E194="T",J194+P194,IF(E194="A",J194-$N$5+$N$6*O194,0))))</f>
        <v>4618</v>
      </c>
      <c r="T194">
        <f>SUM(R194:S194)</f>
        <v>4618</v>
      </c>
      <c r="U194">
        <f>K194*N194</f>
        <v>8</v>
      </c>
      <c r="V194">
        <f>'Data-Kolom'!J194</f>
        <v>4</v>
      </c>
      <c r="W194">
        <f>'Data-Kolom'!K194</f>
        <v>16</v>
      </c>
      <c r="X194">
        <f>IF(V194&gt;0,VLOOKUP(W194,$V$2:$X$9,2,FALSE),0)</f>
        <v>1010</v>
      </c>
      <c r="Y194">
        <f>IF(V194&gt;0,IF(L194&gt;0,M194-50+$N$6*W194,VLOOKUP(W194,$V$2:$X$9,3,FALSE)),0)</f>
        <v>770</v>
      </c>
      <c r="Z194">
        <f>IF(E194="F",J194-$N$5+$N$6*W194+Y194,IF(E194="D",J194+Y194+X194,IF(E194="T",J194+X194,IF(E194="A",J194-$N$5+$N$6*W194,0))))</f>
        <v>4442</v>
      </c>
      <c r="AB194">
        <f>SUM(Z194:AA194)</f>
        <v>4442</v>
      </c>
      <c r="AC194">
        <f>V194*K194</f>
        <v>4</v>
      </c>
      <c r="AD194">
        <f>'Data-Kolom'!L194</f>
        <v>8</v>
      </c>
      <c r="AE194">
        <f>'Data-Kolom'!M194</f>
        <v>100</v>
      </c>
      <c r="AF194">
        <f>'Data-Kolom'!N194</f>
        <v>100</v>
      </c>
      <c r="AG194">
        <f>'Data-Kolom'!O194</f>
        <v>100</v>
      </c>
      <c r="AH194">
        <f>'Data-Kolom'!P194</f>
        <v>0.5</v>
      </c>
      <c r="AI194">
        <f>'Data-Kolom'!Q194</f>
        <v>8</v>
      </c>
      <c r="AJ194">
        <f>'Data-Kolom'!R194</f>
        <v>0</v>
      </c>
      <c r="AK194">
        <f>'Data-Kolom'!S194</f>
        <v>0</v>
      </c>
      <c r="AL194">
        <f>2*(H194+I194-4*$N$5)+2*MAX($F$5*AD194,75)</f>
        <v>1530</v>
      </c>
      <c r="AM194">
        <f>+AH194*(H194-2*$N$5+2*MAX($F$5*AI194,75))+AJ194*(I194-2*$N$5+2*MAX($F$5*AK194,75))</f>
        <v>140</v>
      </c>
      <c r="AN194">
        <f>(ROUND((1/2*J194+IF(M194&gt;0,(Q194-$N$6*AD194),0))/AE194,0)+(ROUND(1/2*J194/AF194,0)+1))*K194</f>
        <v>37</v>
      </c>
      <c r="AO194">
        <f>H194*I194*J194/1000000000*K194*(1+$T$5)</f>
        <v>0.357</v>
      </c>
      <c r="AP194">
        <f>0.006165*O194^2*T194*U194/1000*(1+$T$6)</f>
        <v>82.22127336000001</v>
      </c>
      <c r="AQ194">
        <f>0.006165*W194^2*AB194*AC194/1000*(1+$T$6)</f>
        <v>28.042168320000002</v>
      </c>
      <c r="AR194">
        <f>AN194*0.006165*AD194^2*AL194/1000*(1+$T$6)</f>
        <v>22.3360416</v>
      </c>
      <c r="AS194">
        <f>AN194*0.006165*AI194^2*AM194/1000*(1+$T$6)</f>
        <v>2.0438207999999998</v>
      </c>
      <c r="AT194">
        <f>K194*2*J194*(H194+I194)/1000000*(1+$T$7)</f>
        <v>5.39</v>
      </c>
      <c r="AU194">
        <f>SUM(AP194:AS194)/AO194</f>
        <v>377.1521122689076</v>
      </c>
      <c r="AV194">
        <f>AT194/AO194</f>
        <v>15.098039215686274</v>
      </c>
      <c r="AX194">
        <f>0.006165*O194^2*R194*U194/1000*(1+$T$6)</f>
        <v>82.22127336000001</v>
      </c>
      <c r="AZ194">
        <f>0.006165*O194^2*S194*U194/1000*(1+$T$6)</f>
        <v>0</v>
      </c>
      <c r="BA194">
        <f>AZ194/AP194</f>
        <v>0</v>
      </c>
    </row>
    <row r="195">
      <c r="A195">
        <f>'Data-Kolom'!A195</f>
        <v>315</v>
      </c>
      <c r="B195" t="str">
        <f>'Data-Kolom'!B195</f>
        <v>Lantai Attic</v>
      </c>
      <c r="C195">
        <f>'Data-Kolom'!C195</f>
        <v>0</v>
      </c>
      <c r="D195" t="str">
        <f>'Data-Kolom'!D195</f>
        <v>K175-4</v>
      </c>
      <c r="E195" t="str">
        <v>F</v>
      </c>
      <c r="F195">
        <f>'Data-Kolom'!U195</f>
        <v>0</v>
      </c>
      <c r="G195">
        <f>'Data-Kolom'!T195</f>
        <v>0</v>
      </c>
      <c r="H195">
        <f>'Data-Kolom'!E195</f>
        <v>170</v>
      </c>
      <c r="I195">
        <f>'Data-Kolom'!F195</f>
        <v>500</v>
      </c>
      <c r="J195">
        <f>'Data-Kolom'!G195</f>
        <v>3500</v>
      </c>
      <c r="K195">
        <v>1</v>
      </c>
      <c r="M195">
        <f>IF(L195&gt;0,VLOOKUP(L195,'Data-PC'!$B$14:$F$36,4,FALSE),0)</f>
        <v>0</v>
      </c>
      <c r="N195">
        <f>'Data-Kolom'!H195</f>
        <v>8</v>
      </c>
      <c r="O195">
        <f>'Data-Kolom'!I195</f>
        <v>19</v>
      </c>
      <c r="P195">
        <f>IF(N195&gt;0,VLOOKUP(O195,$V$2:$X$9,2,FALSE),0)</f>
        <v>1190</v>
      </c>
      <c r="Q195">
        <f>IF(L195&gt;0,M195-50+$N$6*O195,VLOOKUP(O195,$V$2:$X$9,3,FALSE))</f>
        <v>910</v>
      </c>
      <c r="R195">
        <f>IF(E195="F",J195-$N$5+$N$6*O195+Q195,IF(E195="D",J195+Q195+P195,IF(E195="T",J195+P195,IF(E195="A",J195-$N$5+$N$6*O195,0))))</f>
        <v>4618</v>
      </c>
      <c r="T195">
        <f>SUM(R195:S195)</f>
        <v>4618</v>
      </c>
      <c r="U195">
        <f>K195*N195</f>
        <v>8</v>
      </c>
      <c r="V195">
        <f>'Data-Kolom'!J195</f>
        <v>2</v>
      </c>
      <c r="W195">
        <f>'Data-Kolom'!K195</f>
        <v>8</v>
      </c>
      <c r="X195">
        <f>IF(V195&gt;0,VLOOKUP(W195,$V$2:$X$9,2,FALSE),0)</f>
        <v>400</v>
      </c>
      <c r="Y195">
        <f>IF(V195&gt;0,IF(L195&gt;0,M195-50+$N$6*W195,VLOOKUP(W195,$V$2:$X$9,3,FALSE)),0)</f>
        <v>310</v>
      </c>
      <c r="Z195">
        <f>IF(E195="F",J195-$N$5+$N$6*W195+Y195,IF(E195="D",J195+Y195+X195,IF(E195="T",J195+X195,IF(E195="A",J195-$N$5+$N$6*W195,0))))</f>
        <v>3886</v>
      </c>
      <c r="AB195">
        <f>SUM(Z195:AA195)</f>
        <v>3886</v>
      </c>
      <c r="AC195">
        <f>V195*K195</f>
        <v>2</v>
      </c>
      <c r="AD195">
        <f>'Data-Kolom'!L195</f>
        <v>10</v>
      </c>
      <c r="AE195">
        <f>'Data-Kolom'!M195</f>
        <v>100</v>
      </c>
      <c r="AF195">
        <f>'Data-Kolom'!N195</f>
        <v>100</v>
      </c>
      <c r="AG195">
        <f>'Data-Kolom'!O195</f>
        <v>100</v>
      </c>
      <c r="AH195">
        <f>'Data-Kolom'!P195</f>
        <v>0.5</v>
      </c>
      <c r="AI195">
        <f>'Data-Kolom'!Q195</f>
        <v>8</v>
      </c>
      <c r="AJ195">
        <f>'Data-Kolom'!R195</f>
        <v>0</v>
      </c>
      <c r="AK195">
        <f>'Data-Kolom'!S195</f>
        <v>0</v>
      </c>
      <c r="AL195">
        <f>2*(H195+I195-4*$N$5)+2*MAX($F$5*AD195,75)</f>
        <v>1330</v>
      </c>
      <c r="AM195">
        <f>+AH195*(H195-2*$N$5+2*MAX($F$5*AI195,75))+AJ195*(I195-2*$N$5+2*MAX($F$5*AK195,75))</f>
        <v>140</v>
      </c>
      <c r="AN195">
        <f>(ROUND((1/2*J195+IF(M195&gt;0,(Q195-$N$6*AD195),0))/AE195,0)+(ROUND(1/2*J195/AF195,0)+1))*K195</f>
        <v>37</v>
      </c>
      <c r="AO195">
        <f>H195*I195*J195/1000000000*K195*(1+$T$5)</f>
        <v>0.2975</v>
      </c>
      <c r="AP195">
        <f>0.006165*O195^2*T195*U195/1000*(1+$T$6)</f>
        <v>82.22127336000001</v>
      </c>
      <c r="AQ195">
        <f>0.006165*W195^2*AB195*AC195/1000*(1+$T$6)</f>
        <v>3.06652032</v>
      </c>
      <c r="AR195">
        <f>AN195*0.006165*AD195^2*AL195/1000*(1+$T$6)</f>
        <v>30.337965</v>
      </c>
      <c r="AS195">
        <f>AN195*0.006165*AI195^2*AM195/1000*(1+$T$6)</f>
        <v>2.0438207999999998</v>
      </c>
      <c r="AT195">
        <f>K195*2*J195*(H195+I195)/1000000*(1+$T$7)</f>
        <v>4.69</v>
      </c>
      <c r="AU195">
        <f>SUM(AP195:AS195)/AO195</f>
        <v>395.5279982521009</v>
      </c>
      <c r="AV195">
        <f>AT195/AO195</f>
        <v>15.764705882352944</v>
      </c>
      <c r="AX195">
        <f>0.006165*O195^2*R195*U195/1000*(1+$T$6)</f>
        <v>82.22127336000001</v>
      </c>
      <c r="AZ195">
        <f>0.006165*O195^2*S195*U195/1000*(1+$T$6)</f>
        <v>0</v>
      </c>
      <c r="BA195">
        <f>AZ195/AP195</f>
        <v>0</v>
      </c>
    </row>
    <row r="196">
      <c r="A196">
        <f>'Data-Kolom'!A196</f>
        <v>316</v>
      </c>
      <c r="B196" t="str">
        <f>'Data-Kolom'!B196</f>
        <v>Lantai Attic</v>
      </c>
      <c r="C196">
        <f>'Data-Kolom'!C196</f>
        <v>0</v>
      </c>
      <c r="D196" t="str">
        <f>'Data-Kolom'!D196</f>
        <v>K175-3</v>
      </c>
      <c r="E196" t="str">
        <v>F</v>
      </c>
      <c r="F196">
        <f>'Data-Kolom'!U196</f>
        <v>0</v>
      </c>
      <c r="G196">
        <f>'Data-Kolom'!T196</f>
        <v>0</v>
      </c>
      <c r="H196">
        <f>'Data-Kolom'!E196</f>
        <v>170</v>
      </c>
      <c r="I196">
        <f>'Data-Kolom'!F196</f>
        <v>500</v>
      </c>
      <c r="J196">
        <f>'Data-Kolom'!G196</f>
        <v>3500</v>
      </c>
      <c r="K196">
        <v>1</v>
      </c>
      <c r="M196">
        <f>IF(L196&gt;0,VLOOKUP(L196,'Data-PC'!$B$14:$F$36,4,FALSE),0)</f>
        <v>0</v>
      </c>
      <c r="N196">
        <f>'Data-Kolom'!H196</f>
        <v>4</v>
      </c>
      <c r="O196">
        <f>'Data-Kolom'!I196</f>
        <v>19</v>
      </c>
      <c r="P196">
        <f>IF(N196&gt;0,VLOOKUP(O196,$V$2:$X$9,2,FALSE),0)</f>
        <v>1190</v>
      </c>
      <c r="Q196">
        <f>IF(L196&gt;0,M196-50+$N$6*O196,VLOOKUP(O196,$V$2:$X$9,3,FALSE))</f>
        <v>910</v>
      </c>
      <c r="R196">
        <f>IF(E196="F",J196-$N$5+$N$6*O196+Q196,IF(E196="D",J196+Q196+P196,IF(E196="T",J196+P196,IF(E196="A",J196-$N$5+$N$6*O196,0))))</f>
        <v>4618</v>
      </c>
      <c r="T196">
        <f>SUM(R196:S196)</f>
        <v>4618</v>
      </c>
      <c r="U196">
        <f>K196*N196</f>
        <v>4</v>
      </c>
      <c r="V196">
        <f>'Data-Kolom'!J196</f>
        <v>4</v>
      </c>
      <c r="W196">
        <f>'Data-Kolom'!K196</f>
        <v>16</v>
      </c>
      <c r="X196">
        <f>IF(V196&gt;0,VLOOKUP(W196,$V$2:$X$9,2,FALSE),0)</f>
        <v>1010</v>
      </c>
      <c r="Y196">
        <f>IF(V196&gt;0,IF(L196&gt;0,M196-50+$N$6*W196,VLOOKUP(W196,$V$2:$X$9,3,FALSE)),0)</f>
        <v>770</v>
      </c>
      <c r="Z196">
        <f>IF(E196="F",J196-$N$5+$N$6*W196+Y196,IF(E196="D",J196+Y196+X196,IF(E196="T",J196+X196,IF(E196="A",J196-$N$5+$N$6*W196,0))))</f>
        <v>4442</v>
      </c>
      <c r="AB196">
        <f>SUM(Z196:AA196)</f>
        <v>4442</v>
      </c>
      <c r="AC196">
        <f>V196*K196</f>
        <v>4</v>
      </c>
      <c r="AD196">
        <f>'Data-Kolom'!L196</f>
        <v>8</v>
      </c>
      <c r="AE196">
        <f>'Data-Kolom'!M196</f>
        <v>100</v>
      </c>
      <c r="AF196">
        <f>'Data-Kolom'!N196</f>
        <v>100</v>
      </c>
      <c r="AG196">
        <f>'Data-Kolom'!O196</f>
        <v>100</v>
      </c>
      <c r="AH196">
        <f>'Data-Kolom'!P196</f>
        <v>0.5</v>
      </c>
      <c r="AI196">
        <f>'Data-Kolom'!Q196</f>
        <v>8</v>
      </c>
      <c r="AJ196">
        <f>'Data-Kolom'!R196</f>
        <v>0</v>
      </c>
      <c r="AK196">
        <f>'Data-Kolom'!S196</f>
        <v>0</v>
      </c>
      <c r="AL196">
        <f>2*(H196+I196-4*$N$5)+2*MAX($F$5*AD196,75)</f>
        <v>1330</v>
      </c>
      <c r="AM196">
        <f>+AH196*(H196-2*$N$5+2*MAX($F$5*AI196,75))+AJ196*(I196-2*$N$5+2*MAX($F$5*AK196,75))</f>
        <v>140</v>
      </c>
      <c r="AN196">
        <f>(ROUND((1/2*J196+IF(M196&gt;0,(Q196-$N$6*AD196),0))/AE196,0)+(ROUND(1/2*J196/AF196,0)+1))*K196</f>
        <v>37</v>
      </c>
      <c r="AO196">
        <f>H196*I196*J196/1000000000*K196*(1+$T$5)</f>
        <v>0.2975</v>
      </c>
      <c r="AP196">
        <f>0.006165*O196^2*T196*U196/1000*(1+$T$6)</f>
        <v>41.110636680000006</v>
      </c>
      <c r="AQ196">
        <f>0.006165*W196^2*AB196*AC196/1000*(1+$T$6)</f>
        <v>28.042168320000002</v>
      </c>
      <c r="AR196">
        <f>AN196*0.006165*AD196^2*AL196/1000*(1+$T$6)</f>
        <v>19.4162976</v>
      </c>
      <c r="AS196">
        <f>AN196*0.006165*AI196^2*AM196/1000*(1+$T$6)</f>
        <v>2.0438207999999998</v>
      </c>
      <c r="AT196">
        <f>K196*2*J196*(H196+I196)/1000000*(1+$T$7)</f>
        <v>4.69</v>
      </c>
      <c r="AU196">
        <f>SUM(AP196:AS196)/AO196</f>
        <v>304.5812551260505</v>
      </c>
      <c r="AV196">
        <f>AT196/AO196</f>
        <v>15.764705882352944</v>
      </c>
      <c r="AX196">
        <f>0.006165*O196^2*R196*U196/1000*(1+$T$6)</f>
        <v>41.110636680000006</v>
      </c>
      <c r="AZ196">
        <f>0.006165*O196^2*S196*U196/1000*(1+$T$6)</f>
        <v>0</v>
      </c>
      <c r="BA196">
        <f>AZ196/AP196</f>
        <v>0</v>
      </c>
    </row>
    <row r="197">
      <c r="A197">
        <f>'Data-Kolom'!A197</f>
        <v>317</v>
      </c>
      <c r="B197" t="str">
        <f>'Data-Kolom'!B197</f>
        <v>Lantai Attic</v>
      </c>
      <c r="C197">
        <f>'Data-Kolom'!C197</f>
        <v>0</v>
      </c>
      <c r="D197" t="str">
        <f>'Data-Kolom'!D197</f>
        <v>K174-2</v>
      </c>
      <c r="E197" t="str">
        <v>F</v>
      </c>
      <c r="F197">
        <f>'Data-Kolom'!U197</f>
        <v>0</v>
      </c>
      <c r="G197">
        <f>'Data-Kolom'!T197</f>
        <v>0</v>
      </c>
      <c r="H197">
        <f>'Data-Kolom'!E197</f>
        <v>170</v>
      </c>
      <c r="I197">
        <f>'Data-Kolom'!F197</f>
        <v>400</v>
      </c>
      <c r="J197">
        <f>'Data-Kolom'!G197</f>
        <v>3500</v>
      </c>
      <c r="K197">
        <v>1</v>
      </c>
      <c r="M197">
        <f>IF(L197&gt;0,VLOOKUP(L197,'Data-PC'!$B$14:$F$36,4,FALSE),0)</f>
        <v>0</v>
      </c>
      <c r="N197">
        <f>'Data-Kolom'!H197</f>
        <v>8</v>
      </c>
      <c r="O197">
        <f>'Data-Kolom'!I197</f>
        <v>16</v>
      </c>
      <c r="P197">
        <f>IF(N197&gt;0,VLOOKUP(O197,$V$2:$X$9,2,FALSE),0)</f>
        <v>1010</v>
      </c>
      <c r="Q197">
        <f>IF(L197&gt;0,M197-50+$N$6*O197,VLOOKUP(O197,$V$2:$X$9,3,FALSE))</f>
        <v>770</v>
      </c>
      <c r="R197">
        <f>IF(E197="F",J197-$N$5+$N$6*O197+Q197,IF(E197="D",J197+Q197+P197,IF(E197="T",J197+P197,IF(E197="A",J197-$N$5+$N$6*O197,0))))</f>
        <v>4442</v>
      </c>
      <c r="T197">
        <f>SUM(R197:S197)</f>
        <v>4442</v>
      </c>
      <c r="U197">
        <f>K197*N197</f>
        <v>8</v>
      </c>
      <c r="V197">
        <f>'Data-Kolom'!J197</f>
        <v>0</v>
      </c>
      <c r="W197">
        <f>'Data-Kolom'!K197</f>
        <v>0</v>
      </c>
      <c r="X197">
        <f>IF(V197&gt;0,VLOOKUP(W197,$V$2:$X$9,2,FALSE),0)</f>
        <v>0</v>
      </c>
      <c r="Y197">
        <f>IF(V197&gt;0,IF(L197&gt;0,M197-50+$N$6*W197,VLOOKUP(W197,$V$2:$X$9,3,FALSE)),0)</f>
        <v>0</v>
      </c>
      <c r="Z197">
        <f>IF(E197="F",J197-$N$5+$N$6*W197+Y197,IF(E197="D",J197+Y197+X197,IF(E197="T",J197+X197,IF(E197="A",J197-$N$5+$N$6*W197,0))))</f>
        <v>3480</v>
      </c>
      <c r="AB197">
        <f>SUM(Z197:AA197)</f>
        <v>3480</v>
      </c>
      <c r="AC197">
        <f>V197*K197</f>
        <v>0</v>
      </c>
      <c r="AD197">
        <f>'Data-Kolom'!L197</f>
        <v>8</v>
      </c>
      <c r="AE197">
        <f>'Data-Kolom'!M197</f>
        <v>100</v>
      </c>
      <c r="AF197">
        <f>'Data-Kolom'!N197</f>
        <v>100</v>
      </c>
      <c r="AG197">
        <f>'Data-Kolom'!O197</f>
        <v>100</v>
      </c>
      <c r="AH197">
        <f>'Data-Kolom'!P197</f>
        <v>0</v>
      </c>
      <c r="AI197">
        <f>'Data-Kolom'!Q197</f>
        <v>0</v>
      </c>
      <c r="AJ197">
        <f>'Data-Kolom'!R197</f>
        <v>0</v>
      </c>
      <c r="AK197">
        <f>'Data-Kolom'!S197</f>
        <v>0</v>
      </c>
      <c r="AL197">
        <f>2*(H197+I197-4*$N$5)+2*MAX($F$5*AD197,75)</f>
        <v>1130</v>
      </c>
      <c r="AM197">
        <f>+AH197*(H197-2*$N$5+2*MAX($F$5*AI197,75))+AJ197*(I197-2*$N$5+2*MAX($F$5*AK197,75))</f>
        <v>0</v>
      </c>
      <c r="AN197">
        <f>(ROUND((1/2*J197+IF(M197&gt;0,(Q197-$N$6*AD197),0))/AE197,0)+(ROUND(1/2*J197/AF197,0)+1))*K197</f>
        <v>37</v>
      </c>
      <c r="AO197">
        <f>H197*I197*J197/1000000000*K197*(1+$T$5)</f>
        <v>0.238</v>
      </c>
      <c r="AP197">
        <f>0.006165*O197^2*T197*U197/1000*(1+$T$6)</f>
        <v>56.084336640000004</v>
      </c>
      <c r="AQ197">
        <f>0.006165*W197^2*AB197*AC197/1000*(1+$T$6)</f>
        <v>0</v>
      </c>
      <c r="AR197">
        <f>AN197*0.006165*AD197^2*AL197/1000*(1+$T$6)</f>
        <v>16.4965536</v>
      </c>
      <c r="AS197">
        <f>AN197*0.006165*AI197^2*AM197/1000*(1+$T$6)</f>
        <v>0</v>
      </c>
      <c r="AT197">
        <f>K197*2*J197*(H197+I197)/1000000*(1+$T$7)</f>
        <v>3.99</v>
      </c>
      <c r="AU197">
        <f>SUM(AP197:AS197)/AO197</f>
        <v>304.961723697479</v>
      </c>
      <c r="AV197">
        <f>AT197/AO197</f>
        <v>16.764705882352942</v>
      </c>
      <c r="AX197">
        <f>0.006165*O197^2*R197*U197/1000*(1+$T$6)</f>
        <v>56.084336640000004</v>
      </c>
      <c r="AZ197">
        <f>0.006165*O197^2*S197*U197/1000*(1+$T$6)</f>
        <v>0</v>
      </c>
      <c r="BA197">
        <f>AZ197/AP197</f>
        <v>0</v>
      </c>
    </row>
    <row r="198">
      <c r="A198">
        <f>'Data-Kolom'!A198</f>
        <v>318</v>
      </c>
      <c r="B198" t="str">
        <f>'Data-Kolom'!B198</f>
        <v>Lantai Attic</v>
      </c>
      <c r="C198">
        <f>'Data-Kolom'!C198</f>
        <v>0</v>
      </c>
      <c r="D198" t="str">
        <f>'Data-Kolom'!D198</f>
        <v>K13-1</v>
      </c>
      <c r="E198" t="str">
        <v>F</v>
      </c>
      <c r="F198">
        <f>'Data-Kolom'!U198</f>
        <v>0</v>
      </c>
      <c r="G198">
        <f>'Data-Kolom'!T198</f>
        <v>0</v>
      </c>
      <c r="H198">
        <f>'Data-Kolom'!E198</f>
        <v>130</v>
      </c>
      <c r="I198">
        <f>'Data-Kolom'!F198</f>
        <v>300</v>
      </c>
      <c r="J198">
        <f>'Data-Kolom'!G198</f>
        <v>3500</v>
      </c>
      <c r="K198">
        <v>1</v>
      </c>
      <c r="M198">
        <f>IF(L198&gt;0,VLOOKUP(L198,'Data-PC'!$B$14:$F$36,4,FALSE),0)</f>
        <v>0</v>
      </c>
      <c r="N198">
        <f>'Data-Kolom'!H198</f>
        <v>6</v>
      </c>
      <c r="O198">
        <f>'Data-Kolom'!I198</f>
        <v>10</v>
      </c>
      <c r="P198">
        <f>IF(N198&gt;0,VLOOKUP(O198,$V$2:$X$9,2,FALSE),0)</f>
        <v>640</v>
      </c>
      <c r="Q198">
        <f>IF(L198&gt;0,M198-50+$N$6*O198,VLOOKUP(O198,$V$2:$X$9,3,FALSE))</f>
        <v>490</v>
      </c>
      <c r="R198">
        <f>IF(E198="F",J198-$N$5+$N$6*O198+Q198,IF(E198="D",J198+Q198+P198,IF(E198="T",J198+P198,IF(E198="A",J198-$N$5+$N$6*O198,0))))</f>
        <v>4090</v>
      </c>
      <c r="T198">
        <f>SUM(R198:S198)</f>
        <v>4090</v>
      </c>
      <c r="U198">
        <f>K198*N198</f>
        <v>6</v>
      </c>
      <c r="V198">
        <f>'Data-Kolom'!J198</f>
        <v>0</v>
      </c>
      <c r="W198">
        <f>'Data-Kolom'!K198</f>
        <v>0</v>
      </c>
      <c r="X198">
        <f>IF(V198&gt;0,VLOOKUP(W198,$V$2:$X$9,2,FALSE),0)</f>
        <v>0</v>
      </c>
      <c r="Y198">
        <f>IF(V198&gt;0,IF(L198&gt;0,M198-50+$N$6*W198,VLOOKUP(W198,$V$2:$X$9,3,FALSE)),0)</f>
        <v>0</v>
      </c>
      <c r="Z198">
        <f>IF(E198="F",J198-$N$5+$N$6*W198+Y198,IF(E198="D",J198+Y198+X198,IF(E198="T",J198+X198,IF(E198="A",J198-$N$5+$N$6*W198,0))))</f>
        <v>3480</v>
      </c>
      <c r="AB198">
        <f>SUM(Z198:AA198)</f>
        <v>3480</v>
      </c>
      <c r="AC198">
        <f>V198*K198</f>
        <v>0</v>
      </c>
      <c r="AD198">
        <f>'Data-Kolom'!L198</f>
        <v>8</v>
      </c>
      <c r="AE198">
        <f>'Data-Kolom'!M198</f>
        <v>100</v>
      </c>
      <c r="AF198">
        <f>'Data-Kolom'!N198</f>
        <v>100</v>
      </c>
      <c r="AG198">
        <f>'Data-Kolom'!O198</f>
        <v>100</v>
      </c>
      <c r="AH198">
        <f>'Data-Kolom'!P198</f>
        <v>0</v>
      </c>
      <c r="AI198">
        <f>'Data-Kolom'!Q198</f>
        <v>0</v>
      </c>
      <c r="AJ198">
        <f>'Data-Kolom'!R198</f>
        <v>0</v>
      </c>
      <c r="AK198">
        <f>'Data-Kolom'!S198</f>
        <v>0</v>
      </c>
      <c r="AL198">
        <f>2*(H198+I198-4*$N$5)+2*MAX($F$5*AD198,75)</f>
        <v>850</v>
      </c>
      <c r="AM198">
        <f>+AH198*(H198-2*$N$5+2*MAX($F$5*AI198,75))+AJ198*(I198-2*$N$5+2*MAX($F$5*AK198,75))</f>
        <v>0</v>
      </c>
      <c r="AN198">
        <f>(ROUND((1/2*J198+IF(M198&gt;0,(Q198-$N$6*AD198),0))/AE198,0)+(ROUND(1/2*J198/AF198,0)+1))*K198</f>
        <v>37</v>
      </c>
      <c r="AO198">
        <f>H198*I198*J198/1000000000*K198*(1+$T$5)</f>
        <v>0.1365</v>
      </c>
      <c r="AP198">
        <f>0.006165*O198^2*T198*U198/1000*(1+$T$6)</f>
        <v>15.12891</v>
      </c>
      <c r="AQ198">
        <f>0.006165*W198^2*AB198*AC198/1000*(1+$T$6)</f>
        <v>0</v>
      </c>
      <c r="AR198">
        <f>AN198*0.006165*AD198^2*AL198/1000*(1+$T$6)</f>
        <v>12.408912</v>
      </c>
      <c r="AS198">
        <f>AN198*0.006165*AI198^2*AM198/1000*(1+$T$6)</f>
        <v>0</v>
      </c>
      <c r="AT198">
        <f>K198*2*J198*(H198+I198)/1000000*(1+$T$7)</f>
        <v>3.01</v>
      </c>
      <c r="AU198">
        <f>SUM(AP198:AS198)/AO198</f>
        <v>201.74228571428569</v>
      </c>
      <c r="AV198">
        <f>AT198/AO198</f>
        <v>22.051282051282048</v>
      </c>
      <c r="AX198">
        <f>0.006165*O198^2*R198*U198/1000*(1+$T$6)</f>
        <v>15.12891</v>
      </c>
      <c r="AZ198">
        <f>0.006165*O198^2*S198*U198/1000*(1+$T$6)</f>
        <v>0</v>
      </c>
      <c r="BA198">
        <f>AZ198/AP198</f>
        <v>0</v>
      </c>
    </row>
    <row r="199">
      <c r="A199">
        <f>'Data-Kolom'!A199</f>
        <v>319</v>
      </c>
      <c r="B199" t="str">
        <f>'Data-Kolom'!B199</f>
        <v>Lantai Attic</v>
      </c>
      <c r="C199">
        <f>'Data-Kolom'!C199</f>
        <v>0</v>
      </c>
      <c r="D199" t="str">
        <f>'Data-Kolom'!D199</f>
        <v>K13-1</v>
      </c>
      <c r="E199" t="str">
        <v>F</v>
      </c>
      <c r="F199">
        <f>'Data-Kolom'!U199</f>
        <v>0</v>
      </c>
      <c r="G199">
        <f>'Data-Kolom'!T199</f>
        <v>0</v>
      </c>
      <c r="H199">
        <f>'Data-Kolom'!E199</f>
        <v>130</v>
      </c>
      <c r="I199">
        <f>'Data-Kolom'!F199</f>
        <v>300</v>
      </c>
      <c r="J199">
        <f>'Data-Kolom'!G199</f>
        <v>3500</v>
      </c>
      <c r="K199">
        <v>1</v>
      </c>
      <c r="M199">
        <f>IF(L199&gt;0,VLOOKUP(L199,'Data-PC'!$B$14:$F$36,4,FALSE),0)</f>
        <v>0</v>
      </c>
      <c r="N199">
        <f>'Data-Kolom'!H199</f>
        <v>6</v>
      </c>
      <c r="O199">
        <f>'Data-Kolom'!I199</f>
        <v>10</v>
      </c>
      <c r="P199">
        <f>IF(N199&gt;0,VLOOKUP(O199,$V$2:$X$9,2,FALSE),0)</f>
        <v>640</v>
      </c>
      <c r="Q199">
        <f>IF(L199&gt;0,M199-50+$N$6*O199,VLOOKUP(O199,$V$2:$X$9,3,FALSE))</f>
        <v>490</v>
      </c>
      <c r="R199">
        <f>IF(E199="F",J199-$N$5+$N$6*O199+Q199,IF(E199="D",J199+Q199+P199,IF(E199="T",J199+P199,IF(E199="A",J199-$N$5+$N$6*O199,0))))</f>
        <v>4090</v>
      </c>
      <c r="T199">
        <f>SUM(R199:S199)</f>
        <v>4090</v>
      </c>
      <c r="U199">
        <f>K199*N199</f>
        <v>6</v>
      </c>
      <c r="V199">
        <f>'Data-Kolom'!J199</f>
        <v>0</v>
      </c>
      <c r="W199">
        <f>'Data-Kolom'!K199</f>
        <v>0</v>
      </c>
      <c r="X199">
        <f>IF(V199&gt;0,VLOOKUP(W199,$V$2:$X$9,2,FALSE),0)</f>
        <v>0</v>
      </c>
      <c r="Y199">
        <f>IF(V199&gt;0,IF(L199&gt;0,M199-50+$N$6*W199,VLOOKUP(W199,$V$2:$X$9,3,FALSE)),0)</f>
        <v>0</v>
      </c>
      <c r="Z199">
        <f>IF(E199="F",J199-$N$5+$N$6*W199+Y199,IF(E199="D",J199+Y199+X199,IF(E199="T",J199+X199,IF(E199="A",J199-$N$5+$N$6*W199,0))))</f>
        <v>3480</v>
      </c>
      <c r="AB199">
        <f>SUM(Z199:AA199)</f>
        <v>3480</v>
      </c>
      <c r="AC199">
        <f>V199*K199</f>
        <v>0</v>
      </c>
      <c r="AD199">
        <f>'Data-Kolom'!L199</f>
        <v>8</v>
      </c>
      <c r="AE199">
        <f>'Data-Kolom'!M199</f>
        <v>100</v>
      </c>
      <c r="AF199">
        <f>'Data-Kolom'!N199</f>
        <v>100</v>
      </c>
      <c r="AG199">
        <f>'Data-Kolom'!O199</f>
        <v>100</v>
      </c>
      <c r="AH199">
        <f>'Data-Kolom'!P199</f>
        <v>0</v>
      </c>
      <c r="AI199">
        <f>'Data-Kolom'!Q199</f>
        <v>0</v>
      </c>
      <c r="AJ199">
        <f>'Data-Kolom'!R199</f>
        <v>0</v>
      </c>
      <c r="AK199">
        <f>'Data-Kolom'!S199</f>
        <v>0</v>
      </c>
      <c r="AL199">
        <f>2*(H199+I199-4*$N$5)+2*MAX($F$5*AD199,75)</f>
        <v>850</v>
      </c>
      <c r="AM199">
        <f>+AH199*(H199-2*$N$5+2*MAX($F$5*AI199,75))+AJ199*(I199-2*$N$5+2*MAX($F$5*AK199,75))</f>
        <v>0</v>
      </c>
      <c r="AN199">
        <f>(ROUND((1/2*J199+IF(M199&gt;0,(Q199-$N$6*AD199),0))/AE199,0)+(ROUND(1/2*J199/AF199,0)+1))*K199</f>
        <v>37</v>
      </c>
      <c r="AO199">
        <f>H199*I199*J199/1000000000*K199*(1+$T$5)</f>
        <v>0.1365</v>
      </c>
      <c r="AP199">
        <f>0.006165*O199^2*T199*U199/1000*(1+$T$6)</f>
        <v>15.12891</v>
      </c>
      <c r="AQ199">
        <f>0.006165*W199^2*AB199*AC199/1000*(1+$T$6)</f>
        <v>0</v>
      </c>
      <c r="AR199">
        <f>AN199*0.006165*AD199^2*AL199/1000*(1+$T$6)</f>
        <v>12.408912</v>
      </c>
      <c r="AS199">
        <f>AN199*0.006165*AI199^2*AM199/1000*(1+$T$6)</f>
        <v>0</v>
      </c>
      <c r="AT199">
        <f>K199*2*J199*(H199+I199)/1000000*(1+$T$7)</f>
        <v>3.01</v>
      </c>
      <c r="AU199">
        <f>SUM(AP199:AS199)/AO199</f>
        <v>201.74228571428569</v>
      </c>
      <c r="AV199">
        <f>AT199/AO199</f>
        <v>22.051282051282048</v>
      </c>
      <c r="AX199">
        <f>0.006165*O199^2*R199*U199/1000*(1+$T$6)</f>
        <v>15.12891</v>
      </c>
      <c r="AZ199">
        <f>0.006165*O199^2*S199*U199/1000*(1+$T$6)</f>
        <v>0</v>
      </c>
      <c r="BA199">
        <f>AZ199/AP199</f>
        <v>0</v>
      </c>
    </row>
    <row r="200">
      <c r="A200">
        <f>'Data-Kolom'!A200</f>
        <v>320</v>
      </c>
      <c r="B200" t="str">
        <f>'Data-Kolom'!B200</f>
        <v>Lantai Attic</v>
      </c>
      <c r="C200">
        <f>'Data-Kolom'!C200</f>
        <v>0</v>
      </c>
      <c r="D200" t="str">
        <f>'Data-Kolom'!D200</f>
        <v>K13-1</v>
      </c>
      <c r="E200" t="str">
        <v>F</v>
      </c>
      <c r="F200">
        <f>'Data-Kolom'!U200</f>
        <v>0</v>
      </c>
      <c r="G200">
        <f>'Data-Kolom'!T200</f>
        <v>0</v>
      </c>
      <c r="H200">
        <f>'Data-Kolom'!E200</f>
        <v>130</v>
      </c>
      <c r="I200">
        <f>'Data-Kolom'!F200</f>
        <v>300</v>
      </c>
      <c r="J200">
        <f>'Data-Kolom'!G200</f>
        <v>3500</v>
      </c>
      <c r="K200">
        <v>1</v>
      </c>
      <c r="M200">
        <f>IF(L200&gt;0,VLOOKUP(L200,'Data-PC'!$B$14:$F$36,4,FALSE),0)</f>
        <v>0</v>
      </c>
      <c r="N200">
        <f>'Data-Kolom'!H200</f>
        <v>6</v>
      </c>
      <c r="O200">
        <f>'Data-Kolom'!I200</f>
        <v>10</v>
      </c>
      <c r="P200">
        <f>IF(N200&gt;0,VLOOKUP(O200,$V$2:$X$9,2,FALSE),0)</f>
        <v>640</v>
      </c>
      <c r="Q200">
        <f>IF(L200&gt;0,M200-50+$N$6*O200,VLOOKUP(O200,$V$2:$X$9,3,FALSE))</f>
        <v>490</v>
      </c>
      <c r="R200">
        <f>IF(E200="F",J200-$N$5+$N$6*O200+Q200,IF(E200="D",J200+Q200+P200,IF(E200="T",J200+P200,IF(E200="A",J200-$N$5+$N$6*O200,0))))</f>
        <v>4090</v>
      </c>
      <c r="T200">
        <f>SUM(R200:S200)</f>
        <v>4090</v>
      </c>
      <c r="U200">
        <f>K200*N200</f>
        <v>6</v>
      </c>
      <c r="V200">
        <f>'Data-Kolom'!J200</f>
        <v>0</v>
      </c>
      <c r="W200">
        <f>'Data-Kolom'!K200</f>
        <v>0</v>
      </c>
      <c r="X200">
        <f>IF(V200&gt;0,VLOOKUP(W200,$V$2:$X$9,2,FALSE),0)</f>
        <v>0</v>
      </c>
      <c r="Y200">
        <f>IF(V200&gt;0,IF(L200&gt;0,M200-50+$N$6*W200,VLOOKUP(W200,$V$2:$X$9,3,FALSE)),0)</f>
        <v>0</v>
      </c>
      <c r="Z200">
        <f>IF(E200="F",J200-$N$5+$N$6*W200+Y200,IF(E200="D",J200+Y200+X200,IF(E200="T",J200+X200,IF(E200="A",J200-$N$5+$N$6*W200,0))))</f>
        <v>3480</v>
      </c>
      <c r="AB200">
        <f>SUM(Z200:AA200)</f>
        <v>3480</v>
      </c>
      <c r="AC200">
        <f>V200*K200</f>
        <v>0</v>
      </c>
      <c r="AD200">
        <f>'Data-Kolom'!L200</f>
        <v>8</v>
      </c>
      <c r="AE200">
        <f>'Data-Kolom'!M200</f>
        <v>100</v>
      </c>
      <c r="AF200">
        <f>'Data-Kolom'!N200</f>
        <v>100</v>
      </c>
      <c r="AG200">
        <f>'Data-Kolom'!O200</f>
        <v>100</v>
      </c>
      <c r="AH200">
        <f>'Data-Kolom'!P200</f>
        <v>0</v>
      </c>
      <c r="AI200">
        <f>'Data-Kolom'!Q200</f>
        <v>0</v>
      </c>
      <c r="AJ200">
        <f>'Data-Kolom'!R200</f>
        <v>0</v>
      </c>
      <c r="AK200">
        <f>'Data-Kolom'!S200</f>
        <v>0</v>
      </c>
      <c r="AL200">
        <f>2*(H200+I200-4*$N$5)+2*MAX($F$5*AD200,75)</f>
        <v>850</v>
      </c>
      <c r="AM200">
        <f>+AH200*(H200-2*$N$5+2*MAX($F$5*AI200,75))+AJ200*(I200-2*$N$5+2*MAX($F$5*AK200,75))</f>
        <v>0</v>
      </c>
      <c r="AN200">
        <f>(ROUND((1/2*J200+IF(M200&gt;0,(Q200-$N$6*AD200),0))/AE200,0)+(ROUND(1/2*J200/AF200,0)+1))*K200</f>
        <v>37</v>
      </c>
      <c r="AO200">
        <f>H200*I200*J200/1000000000*K200*(1+$T$5)</f>
        <v>0.1365</v>
      </c>
      <c r="AP200">
        <f>0.006165*O200^2*T200*U200/1000*(1+$T$6)</f>
        <v>15.12891</v>
      </c>
      <c r="AQ200">
        <f>0.006165*W200^2*AB200*AC200/1000*(1+$T$6)</f>
        <v>0</v>
      </c>
      <c r="AR200">
        <f>AN200*0.006165*AD200^2*AL200/1000*(1+$T$6)</f>
        <v>12.408912</v>
      </c>
      <c r="AS200">
        <f>AN200*0.006165*AI200^2*AM200/1000*(1+$T$6)</f>
        <v>0</v>
      </c>
      <c r="AT200">
        <f>K200*2*J200*(H200+I200)/1000000*(1+$T$7)</f>
        <v>3.01</v>
      </c>
      <c r="AU200">
        <f>SUM(AP200:AS200)/AO200</f>
        <v>201.74228571428569</v>
      </c>
      <c r="AV200">
        <f>AT200/AO200</f>
        <v>22.051282051282048</v>
      </c>
      <c r="AX200">
        <f>0.006165*O200^2*R200*U200/1000*(1+$T$6)</f>
        <v>15.12891</v>
      </c>
      <c r="AZ200">
        <f>0.006165*O200^2*S200*U200/1000*(1+$T$6)</f>
        <v>0</v>
      </c>
      <c r="BA200">
        <f>AZ200/AP200</f>
        <v>0</v>
      </c>
    </row>
    <row r="201">
      <c r="A201">
        <f>'Data-Kolom'!A201</f>
        <v>321</v>
      </c>
      <c r="B201" t="str">
        <f>'Data-Kolom'!B201</f>
        <v>Lantai Attic</v>
      </c>
      <c r="C201">
        <f>'Data-Kolom'!C201</f>
        <v>0</v>
      </c>
      <c r="D201" t="str">
        <f>'Data-Kolom'!D201</f>
        <v>K13-1</v>
      </c>
      <c r="E201" t="str">
        <v>F</v>
      </c>
      <c r="F201">
        <f>'Data-Kolom'!U201</f>
        <v>0</v>
      </c>
      <c r="G201">
        <f>'Data-Kolom'!T201</f>
        <v>0</v>
      </c>
      <c r="H201">
        <f>'Data-Kolom'!E201</f>
        <v>130</v>
      </c>
      <c r="I201">
        <f>'Data-Kolom'!F201</f>
        <v>300</v>
      </c>
      <c r="J201">
        <f>'Data-Kolom'!G201</f>
        <v>3500</v>
      </c>
      <c r="K201">
        <v>1</v>
      </c>
      <c r="M201">
        <f>IF(L201&gt;0,VLOOKUP(L201,'Data-PC'!$B$14:$F$36,4,FALSE),0)</f>
        <v>0</v>
      </c>
      <c r="N201">
        <f>'Data-Kolom'!H201</f>
        <v>6</v>
      </c>
      <c r="O201">
        <f>'Data-Kolom'!I201</f>
        <v>10</v>
      </c>
      <c r="P201">
        <f>IF(N201&gt;0,VLOOKUP(O201,$V$2:$X$9,2,FALSE),0)</f>
        <v>640</v>
      </c>
      <c r="Q201">
        <f>IF(L201&gt;0,M201-50+$N$6*O201,VLOOKUP(O201,$V$2:$X$9,3,FALSE))</f>
        <v>490</v>
      </c>
      <c r="R201">
        <f>IF(E201="F",J201-$N$5+$N$6*O201+Q201,IF(E201="D",J201+Q201+P201,IF(E201="T",J201+P201,IF(E201="A",J201-$N$5+$N$6*O201,0))))</f>
        <v>4090</v>
      </c>
      <c r="T201">
        <f>SUM(R201:S201)</f>
        <v>4090</v>
      </c>
      <c r="U201">
        <f>K201*N201</f>
        <v>6</v>
      </c>
      <c r="V201">
        <f>'Data-Kolom'!J201</f>
        <v>0</v>
      </c>
      <c r="W201">
        <f>'Data-Kolom'!K201</f>
        <v>0</v>
      </c>
      <c r="X201">
        <f>IF(V201&gt;0,VLOOKUP(W201,$V$2:$X$9,2,FALSE),0)</f>
        <v>0</v>
      </c>
      <c r="Y201">
        <f>IF(V201&gt;0,IF(L201&gt;0,M201-50+$N$6*W201,VLOOKUP(W201,$V$2:$X$9,3,FALSE)),0)</f>
        <v>0</v>
      </c>
      <c r="Z201">
        <f>IF(E201="F",J201-$N$5+$N$6*W201+Y201,IF(E201="D",J201+Y201+X201,IF(E201="T",J201+X201,IF(E201="A",J201-$N$5+$N$6*W201,0))))</f>
        <v>3480</v>
      </c>
      <c r="AB201">
        <f>SUM(Z201:AA201)</f>
        <v>3480</v>
      </c>
      <c r="AC201">
        <f>V201*K201</f>
        <v>0</v>
      </c>
      <c r="AD201">
        <f>'Data-Kolom'!L201</f>
        <v>8</v>
      </c>
      <c r="AE201">
        <f>'Data-Kolom'!M201</f>
        <v>100</v>
      </c>
      <c r="AF201">
        <f>'Data-Kolom'!N201</f>
        <v>100</v>
      </c>
      <c r="AG201">
        <f>'Data-Kolom'!O201</f>
        <v>100</v>
      </c>
      <c r="AH201">
        <f>'Data-Kolom'!P201</f>
        <v>0</v>
      </c>
      <c r="AI201">
        <f>'Data-Kolom'!Q201</f>
        <v>0</v>
      </c>
      <c r="AJ201">
        <f>'Data-Kolom'!R201</f>
        <v>0</v>
      </c>
      <c r="AK201">
        <f>'Data-Kolom'!S201</f>
        <v>0</v>
      </c>
      <c r="AL201">
        <f>2*(H201+I201-4*$N$5)+2*MAX($F$5*AD201,75)</f>
        <v>850</v>
      </c>
      <c r="AM201">
        <f>+AH201*(H201-2*$N$5+2*MAX($F$5*AI201,75))+AJ201*(I201-2*$N$5+2*MAX($F$5*AK201,75))</f>
        <v>0</v>
      </c>
      <c r="AN201">
        <f>(ROUND((1/2*J201+IF(M201&gt;0,(Q201-$N$6*AD201),0))/AE201,0)+(ROUND(1/2*J201/AF201,0)+1))*K201</f>
        <v>37</v>
      </c>
      <c r="AO201">
        <f>H201*I201*J201/1000000000*K201*(1+$T$5)</f>
        <v>0.1365</v>
      </c>
      <c r="AP201">
        <f>0.006165*O201^2*T201*U201/1000*(1+$T$6)</f>
        <v>15.12891</v>
      </c>
      <c r="AQ201">
        <f>0.006165*W201^2*AB201*AC201/1000*(1+$T$6)</f>
        <v>0</v>
      </c>
      <c r="AR201">
        <f>AN201*0.006165*AD201^2*AL201/1000*(1+$T$6)</f>
        <v>12.408912</v>
      </c>
      <c r="AS201">
        <f>AN201*0.006165*AI201^2*AM201/1000*(1+$T$6)</f>
        <v>0</v>
      </c>
      <c r="AT201">
        <f>K201*2*J201*(H201+I201)/1000000*(1+$T$7)</f>
        <v>3.01</v>
      </c>
      <c r="AU201">
        <f>SUM(AP201:AS201)/AO201</f>
        <v>201.74228571428569</v>
      </c>
      <c r="AV201">
        <f>AT201/AO201</f>
        <v>22.051282051282048</v>
      </c>
      <c r="AX201">
        <f>0.006165*O201^2*R201*U201/1000*(1+$T$6)</f>
        <v>15.12891</v>
      </c>
      <c r="AZ201">
        <f>0.006165*O201^2*S201*U201/1000*(1+$T$6)</f>
        <v>0</v>
      </c>
      <c r="BA201">
        <f>AZ201/AP201</f>
        <v>0</v>
      </c>
    </row>
    <row r="202">
      <c r="A202">
        <f>'Data-Kolom'!A202</f>
        <v>47</v>
      </c>
      <c r="B202" t="str">
        <f>'Data-Kolom'!B202</f>
        <v>Lantai Attic</v>
      </c>
      <c r="C202">
        <f>'Data-Kolom'!C202</f>
        <v>0</v>
      </c>
      <c r="D202" t="str">
        <f>'Data-Kolom'!D202</f>
        <v>SW.1</v>
      </c>
      <c r="E202" t="str">
        <v>F</v>
      </c>
      <c r="F202">
        <f>'Data-Kolom'!U202</f>
        <v>0</v>
      </c>
      <c r="G202">
        <f>'Data-Kolom'!T202</f>
        <v>0</v>
      </c>
      <c r="H202">
        <f>'Data-Kolom'!E202</f>
        <v>170</v>
      </c>
      <c r="I202">
        <f>'Data-Kolom'!F202</f>
        <v>2170</v>
      </c>
      <c r="J202">
        <f>'Data-Kolom'!G202</f>
        <v>4500</v>
      </c>
      <c r="K202">
        <v>1</v>
      </c>
      <c r="L202">
        <f>'Data-Kolom'!C202</f>
        <v>0</v>
      </c>
      <c r="M202">
        <f>IF(L202&gt;0,VLOOKUP(L202,'Data-PC'!$B$14:$F$36,4,FALSE),0)</f>
        <v>0</v>
      </c>
      <c r="N202">
        <f>'Data-Kolom'!H202</f>
        <v>26</v>
      </c>
      <c r="O202">
        <f>'Data-Kolom'!I202</f>
        <v>13</v>
      </c>
      <c r="P202">
        <f>IF(N202&gt;0,VLOOKUP(O202,$V$2:$X$9,2,FALSE),0)</f>
        <v>820</v>
      </c>
      <c r="Q202">
        <f>IF(L202&gt;0,M202-50+$N$6*O202,VLOOKUP(O202,$V$2:$X$9,3,FALSE))</f>
        <v>630</v>
      </c>
      <c r="R202">
        <f>IF(E202="F",J202-$N$5+$N$6*O202+Q202,IF(E202="D",J202+Q202+P202,IF(E202="T",J202+P202,IF(E202="A",J202-$N$5+$N$6*O202,0))))</f>
        <v>5266</v>
      </c>
      <c r="T202">
        <f>SUM(R202:S202)</f>
        <v>5266</v>
      </c>
      <c r="U202">
        <f>K202*N202</f>
        <v>26</v>
      </c>
      <c r="V202">
        <f>'Data-Kolom'!J202</f>
        <v>0</v>
      </c>
      <c r="W202">
        <f>'Data-Kolom'!K202</f>
        <v>0</v>
      </c>
      <c r="X202">
        <f>IF(V202&gt;0,VLOOKUP(W202,$V$2:$X$9,2,FALSE),0)</f>
        <v>0</v>
      </c>
      <c r="Y202">
        <f>IF(V202&gt;0,IF(L202&gt;0,M202-50+$N$6*W202,VLOOKUP(W202,$V$2:$X$9,3,FALSE)),0)</f>
        <v>0</v>
      </c>
      <c r="Z202">
        <f>IF(E202="F",J202-$N$5+$N$6*W202+Y202,IF(E202="D",J202+Y202+X202,IF(E202="T",J202+X202,IF(E202="A",J202-$N$5+$N$6*W202,0))))</f>
        <v>4480</v>
      </c>
      <c r="AB202">
        <f>SUM(Z202:AA202)</f>
        <v>4480</v>
      </c>
      <c r="AC202">
        <f>V202*K202</f>
        <v>0</v>
      </c>
      <c r="AD202">
        <f>'Data-Kolom'!L202</f>
        <v>10</v>
      </c>
      <c r="AE202">
        <f>'Data-Kolom'!M202</f>
        <v>150</v>
      </c>
      <c r="AF202">
        <f>'Data-Kolom'!N202</f>
        <v>150</v>
      </c>
      <c r="AG202">
        <f>'Data-Kolom'!O202</f>
        <v>150</v>
      </c>
      <c r="AH202">
        <f>'Data-Kolom'!P202</f>
        <v>4</v>
      </c>
      <c r="AI202">
        <f>'Data-Kolom'!Q202</f>
        <v>10</v>
      </c>
      <c r="AJ202">
        <f>'Data-Kolom'!R202</f>
        <v>0</v>
      </c>
      <c r="AK202">
        <f>'Data-Kolom'!S202</f>
        <v>0</v>
      </c>
      <c r="AL202">
        <f>2*(H202+I202-4*$N$5)+2*MAX($F$5*AD202,75)</f>
        <v>4670</v>
      </c>
      <c r="AM202">
        <f>+AH202*(H202-2*$N$5+2*MAX($F$5*AI202,75))+AJ202*(I202-2*$N$5+2*MAX($F$5*AK202,75))</f>
        <v>1120</v>
      </c>
      <c r="AN202">
        <f>(ROUND((1/2*J202+IF(M202&gt;0,(Q202-$N$6*AD202),0))/AE202,0)+(ROUND(1/2*J202/AF202,0)+1))*K202</f>
        <v>31</v>
      </c>
      <c r="AO202">
        <f>H202*I202*J202/1000000000*K202*(1+$T$5)</f>
        <v>1.66005</v>
      </c>
      <c r="AP202">
        <f>0.006165*O202^2*T202*U202/1000*(1+$T$6)</f>
        <v>142.65072665999998</v>
      </c>
      <c r="AQ202">
        <f>0.006165*W202^2*AB202*AC202/1000*(1+$T$6)</f>
        <v>0</v>
      </c>
      <c r="AR202">
        <f>AN202*0.006165*AD202^2*AL202/1000*(1+$T$6)</f>
        <v>89.250705</v>
      </c>
      <c r="AS202">
        <f>AN202*0.006165*AI202^2*AM202/1000*(1+$T$6)</f>
        <v>21.404880000000002</v>
      </c>
      <c r="AT202">
        <f>K202*2*J202*(H202+I202)/1000000*(1+$T$7)</f>
        <v>21.06</v>
      </c>
      <c r="AU202">
        <f>SUM(AP202:AS202)/AO202</f>
        <v>152.58956757928974</v>
      </c>
      <c r="AV202">
        <f>AT202/AO202</f>
        <v>12.686364868528056</v>
      </c>
      <c r="AX202">
        <f>0.006165*O202^2*R202*U202/1000*(1+$T$6)</f>
        <v>142.65072665999998</v>
      </c>
      <c r="AZ202">
        <f>0.006165*O202^2*S202*U202/1000*(1+$T$6)</f>
        <v>0</v>
      </c>
      <c r="BA202">
        <f>AZ202/AP202</f>
        <v>0</v>
      </c>
    </row>
    <row r="203">
      <c r="A203">
        <f>'Data-Kolom'!A203</f>
        <v>47</v>
      </c>
      <c r="B203" t="str">
        <f>'Data-Kolom'!B203</f>
        <v>Lantai Attic</v>
      </c>
      <c r="C203">
        <f>'Data-Kolom'!C203</f>
        <v>0</v>
      </c>
      <c r="D203" t="str">
        <f>'Data-Kolom'!D203</f>
        <v>SW.1</v>
      </c>
      <c r="E203" t="str">
        <v>F</v>
      </c>
      <c r="F203">
        <f>'Data-Kolom'!U203</f>
        <v>0</v>
      </c>
      <c r="G203">
        <f>'Data-Kolom'!T203</f>
        <v>0</v>
      </c>
      <c r="H203">
        <f>'Data-Kolom'!E203</f>
        <v>170</v>
      </c>
      <c r="I203">
        <f>'Data-Kolom'!F203</f>
        <v>2170</v>
      </c>
      <c r="J203">
        <f>'Data-Kolom'!G203</f>
        <v>4500</v>
      </c>
      <c r="K203">
        <v>1</v>
      </c>
      <c r="L203">
        <f>'Data-Kolom'!C203</f>
        <v>0</v>
      </c>
      <c r="M203">
        <f>IF(L203&gt;0,VLOOKUP(L203,'Data-PC'!$B$14:$F$36,4,FALSE),0)</f>
        <v>0</v>
      </c>
      <c r="N203">
        <f>'Data-Kolom'!H203</f>
        <v>18</v>
      </c>
      <c r="O203">
        <f>'Data-Kolom'!I203</f>
        <v>13</v>
      </c>
      <c r="P203">
        <f>IF(N203&gt;0,VLOOKUP(O203,$V$2:$X$9,2,FALSE),0)</f>
        <v>820</v>
      </c>
      <c r="Q203">
        <f>IF(L203&gt;0,M203-50+$N$6*O203,VLOOKUP(O203,$V$2:$X$9,3,FALSE))</f>
        <v>630</v>
      </c>
      <c r="R203">
        <f>IF(E203="F",J203-$N$5+$N$6*O203+Q203,IF(E203="D",J203+Q203+P203,IF(E203="T",J203+P203,IF(E203="A",J203-$N$5+$N$6*O203,0))))</f>
        <v>5266</v>
      </c>
      <c r="T203">
        <f>SUM(R203:S203)</f>
        <v>5266</v>
      </c>
      <c r="U203">
        <f>K203*N203</f>
        <v>18</v>
      </c>
      <c r="V203">
        <f>'Data-Kolom'!J203</f>
        <v>0</v>
      </c>
      <c r="W203">
        <f>'Data-Kolom'!K203</f>
        <v>0</v>
      </c>
      <c r="X203">
        <f>IF(V203&gt;0,VLOOKUP(W203,$V$2:$X$9,2,FALSE),0)</f>
        <v>0</v>
      </c>
      <c r="Y203">
        <f>IF(V203&gt;0,IF(L203&gt;0,M203-50+$N$6*W203,VLOOKUP(W203,$V$2:$X$9,3,FALSE)),0)</f>
        <v>0</v>
      </c>
      <c r="Z203">
        <f>IF(E203="F",J203-$N$5+$N$6*W203+Y203,IF(E203="D",J203+Y203+X203,IF(E203="T",J203+X203,IF(E203="A",J203-$N$5+$N$6*W203,0))))</f>
        <v>4480</v>
      </c>
      <c r="AB203">
        <f>SUM(Z203:AA203)</f>
        <v>4480</v>
      </c>
      <c r="AC203">
        <f>V203*K203</f>
        <v>0</v>
      </c>
      <c r="AD203">
        <f>'Data-Kolom'!L203</f>
        <v>10</v>
      </c>
      <c r="AE203">
        <f>'Data-Kolom'!M203</f>
        <v>150</v>
      </c>
      <c r="AF203">
        <f>'Data-Kolom'!N203</f>
        <v>150</v>
      </c>
      <c r="AG203">
        <f>'Data-Kolom'!O203</f>
        <v>150</v>
      </c>
      <c r="AH203">
        <f>'Data-Kolom'!P203</f>
        <v>4</v>
      </c>
      <c r="AI203">
        <f>'Data-Kolom'!Q203</f>
        <v>10</v>
      </c>
      <c r="AJ203">
        <f>'Data-Kolom'!R203</f>
        <v>0</v>
      </c>
      <c r="AK203">
        <f>'Data-Kolom'!S203</f>
        <v>0</v>
      </c>
      <c r="AL203">
        <f>2*(H203+I203-4*$N$5)+2*MAX($F$5*AD203,75)</f>
        <v>4670</v>
      </c>
      <c r="AM203">
        <f>+AH203*(H203-2*$N$5+2*MAX($F$5*AI203,75))+AJ203*(I203-2*$N$5+2*MAX($F$5*AK203,75))</f>
        <v>1120</v>
      </c>
      <c r="AN203">
        <f>(ROUND((1/2*J203+IF(M203&gt;0,(Q203-$N$6*AD203),0))/AE203,0)+(ROUND(1/2*J203/AF203,0)+1))*K203</f>
        <v>31</v>
      </c>
      <c r="AO203">
        <f>H203*I203*J203/1000000000*K203*(1+$T$5)</f>
        <v>1.66005</v>
      </c>
      <c r="AP203">
        <f>0.006165*O203^2*T203*U203/1000*(1+$T$6)</f>
        <v>98.75819537999999</v>
      </c>
      <c r="AQ203">
        <f>0.006165*W203^2*AB203*AC203/1000*(1+$T$6)</f>
        <v>0</v>
      </c>
      <c r="AR203">
        <f>AN203*0.006165*AD203^2*AL203/1000*(1+$T$6)</f>
        <v>89.250705</v>
      </c>
      <c r="AS203">
        <f>AN203*0.006165*AI203^2*AM203/1000*(1+$T$6)</f>
        <v>21.404880000000002</v>
      </c>
      <c r="AT203">
        <f>K203*2*J203*(H203+I203)/1000000*(1+$T$7)</f>
        <v>21.06</v>
      </c>
      <c r="AU203">
        <f>SUM(AP203:AS203)/AO203</f>
        <v>126.14908007590132</v>
      </c>
      <c r="AV203">
        <f>AT203/AO203</f>
        <v>12.686364868528056</v>
      </c>
      <c r="AX203">
        <f>0.006165*O203^2*R203*U203/1000*(1+$T$6)</f>
        <v>98.75819537999999</v>
      </c>
      <c r="AZ203">
        <f>0.006165*O203^2*S203*U203/1000*(1+$T$6)</f>
        <v>0</v>
      </c>
      <c r="BA203">
        <f>AZ203/AP203</f>
        <v>0</v>
      </c>
    </row>
    <row r="204">
      <c r="A204">
        <f>'Data-Kolom'!A204</f>
        <v>47</v>
      </c>
      <c r="B204" t="str">
        <f>'Data-Kolom'!B204</f>
        <v>Lantai Attic</v>
      </c>
      <c r="C204">
        <f>'Data-Kolom'!C204</f>
        <v>0</v>
      </c>
      <c r="D204" t="str">
        <f>'Data-Kolom'!D204</f>
        <v>SW.1</v>
      </c>
      <c r="E204" t="str">
        <v>F</v>
      </c>
      <c r="F204">
        <f>'Data-Kolom'!U204</f>
        <v>0</v>
      </c>
      <c r="G204">
        <f>'Data-Kolom'!T204</f>
        <v>0</v>
      </c>
      <c r="H204">
        <f>'Data-Kolom'!E204</f>
        <v>170</v>
      </c>
      <c r="I204">
        <f>'Data-Kolom'!F204</f>
        <v>400</v>
      </c>
      <c r="J204">
        <f>'Data-Kolom'!G204</f>
        <v>4500</v>
      </c>
      <c r="K204">
        <v>2</v>
      </c>
      <c r="L204">
        <f>'Data-Kolom'!C204</f>
        <v>0</v>
      </c>
      <c r="M204">
        <f>IF(L204&gt;0,VLOOKUP(L204,'Data-PC'!$B$14:$F$36,4,FALSE),0)</f>
        <v>0</v>
      </c>
      <c r="N204">
        <f>'Data-Kolom'!H204</f>
        <v>8</v>
      </c>
      <c r="O204">
        <f>'Data-Kolom'!I204</f>
        <v>13</v>
      </c>
      <c r="P204">
        <f>IF(N204&gt;0,VLOOKUP(O204,$V$2:$X$9,2,FALSE),0)</f>
        <v>820</v>
      </c>
      <c r="Q204">
        <f>IF(L204&gt;0,M204-50+$N$6*O204,VLOOKUP(O204,$V$2:$X$9,3,FALSE))</f>
        <v>630</v>
      </c>
      <c r="R204">
        <f>IF(E204="F",J204-$N$5+$N$6*O204+Q204,IF(E204="D",J204+Q204+P204,IF(E204="T",J204+P204,IF(E204="A",J204-$N$5+$N$6*O204,0))))</f>
        <v>5266</v>
      </c>
      <c r="T204">
        <f>SUM(R204:S204)</f>
        <v>5266</v>
      </c>
      <c r="U204">
        <f>K204*N204</f>
        <v>16</v>
      </c>
      <c r="V204">
        <f>'Data-Kolom'!J204</f>
        <v>0</v>
      </c>
      <c r="W204">
        <f>'Data-Kolom'!K204</f>
        <v>0</v>
      </c>
      <c r="X204">
        <f>IF(V204&gt;0,VLOOKUP(W204,$V$2:$X$9,2,FALSE),0)</f>
        <v>0</v>
      </c>
      <c r="Y204">
        <f>IF(V204&gt;0,IF(L204&gt;0,M204-50+$N$6*W204,VLOOKUP(W204,$V$2:$X$9,3,FALSE)),0)</f>
        <v>0</v>
      </c>
      <c r="Z204">
        <f>IF(E204="F",J204-$N$5+$N$6*W204+Y204,IF(E204="D",J204+Y204+X204,IF(E204="T",J204+X204,IF(E204="A",J204-$N$5+$N$6*W204,0))))</f>
        <v>4480</v>
      </c>
      <c r="AB204">
        <f>SUM(Z204:AA204)</f>
        <v>4480</v>
      </c>
      <c r="AC204">
        <f>V204*K204</f>
        <v>0</v>
      </c>
      <c r="AD204">
        <f>'Data-Kolom'!L204</f>
        <v>10</v>
      </c>
      <c r="AE204">
        <f>'Data-Kolom'!M204</f>
        <v>150</v>
      </c>
      <c r="AF204">
        <f>'Data-Kolom'!N204</f>
        <v>150</v>
      </c>
      <c r="AG204">
        <f>'Data-Kolom'!O204</f>
        <v>150</v>
      </c>
      <c r="AH204">
        <f>'Data-Kolom'!P204</f>
        <v>4</v>
      </c>
      <c r="AI204">
        <f>'Data-Kolom'!Q204</f>
        <v>10</v>
      </c>
      <c r="AJ204">
        <f>'Data-Kolom'!R204</f>
        <v>0</v>
      </c>
      <c r="AK204">
        <f>'Data-Kolom'!S204</f>
        <v>0</v>
      </c>
      <c r="AL204">
        <f>2*(H204+I204-4*$N$5)+2*MAX($F$5*AD204,75)</f>
        <v>1130</v>
      </c>
      <c r="AM204">
        <f>+AH204*(H204-2*$N$5+2*MAX($F$5*AI204,75))+AJ204*(I204-2*$N$5+2*MAX($F$5*AK204,75))</f>
        <v>1120</v>
      </c>
      <c r="AN204">
        <f>(ROUND((1/2*J204+IF(M204&gt;0,(Q204-$N$6*AD204),0))/AE204,0)+(ROUND(1/2*J204/AF204,0)+1))*K204</f>
        <v>62</v>
      </c>
      <c r="AO204">
        <f>H204*I204*J204/1000000000*K204*(1+$T$5)</f>
        <v>0.612</v>
      </c>
      <c r="AP204">
        <f>0.006165*O204^2*T204*U204/1000*(1+$T$6)</f>
        <v>87.78506255999999</v>
      </c>
      <c r="AQ204">
        <f>0.006165*W204^2*AB204*AC204/1000*(1+$T$6)</f>
        <v>0</v>
      </c>
      <c r="AR204">
        <f>AN204*0.006165*AD204^2*AL204/1000*(1+$T$6)</f>
        <v>43.19199</v>
      </c>
      <c r="AS204">
        <f>AN204*0.006165*AI204^2*AM204/1000*(1+$T$6)</f>
        <v>42.809760000000004</v>
      </c>
      <c r="AT204">
        <f>K204*2*J204*(H204+I204)/1000000*(1+$T$7)</f>
        <v>10.26</v>
      </c>
      <c r="AU204">
        <f>SUM(AP204:AS204)/AO204</f>
        <v>283.96538</v>
      </c>
      <c r="AV204">
        <f>AT204/AO204</f>
        <v>16.764705882352942</v>
      </c>
      <c r="AX204">
        <f>0.006165*O204^2*R204*U204/1000*(1+$T$6)</f>
        <v>87.78506255999999</v>
      </c>
      <c r="AZ204">
        <f>0.006165*O204^2*S204*U204/1000*(1+$T$6)</f>
        <v>0</v>
      </c>
      <c r="BA204">
        <f>AZ204/AP204</f>
        <v>0</v>
      </c>
    </row>
    <row r="205">
      <c r="A205">
        <f>'Data-Kolom'!A205</f>
        <v>47</v>
      </c>
      <c r="B205" t="str">
        <f>'Data-Kolom'!B205</f>
        <v>Lantai Attic</v>
      </c>
      <c r="C205">
        <f>'Data-Kolom'!C205</f>
        <v>0</v>
      </c>
      <c r="D205" t="str">
        <f>'Data-Kolom'!D205</f>
        <v>SW.1</v>
      </c>
      <c r="E205" t="str">
        <v>F</v>
      </c>
      <c r="F205">
        <f>'Data-Kolom'!U205</f>
        <v>0</v>
      </c>
      <c r="G205">
        <f>'Data-Kolom'!T205</f>
        <v>0</v>
      </c>
      <c r="H205">
        <f>'Data-Kolom'!E205</f>
        <v>170</v>
      </c>
      <c r="I205">
        <f>'Data-Kolom'!F205</f>
        <v>1370</v>
      </c>
      <c r="J205">
        <f>'Data-Kolom'!G205</f>
        <v>4500</v>
      </c>
      <c r="K205">
        <v>1</v>
      </c>
      <c r="L205">
        <f>'Data-Kolom'!C205</f>
        <v>0</v>
      </c>
      <c r="M205">
        <f>IF(L205&gt;0,VLOOKUP(L205,'Data-PC'!$B$14:$F$36,4,FALSE),0)</f>
        <v>0</v>
      </c>
      <c r="N205">
        <f>'Data-Kolom'!H205</f>
        <v>14</v>
      </c>
      <c r="O205">
        <f>'Data-Kolom'!I205</f>
        <v>13</v>
      </c>
      <c r="P205">
        <f>IF(N205&gt;0,VLOOKUP(O205,$V$2:$X$9,2,FALSE),0)</f>
        <v>820</v>
      </c>
      <c r="Q205">
        <f>IF(L205&gt;0,M205-50+$N$6*O205,VLOOKUP(O205,$V$2:$X$9,3,FALSE))</f>
        <v>630</v>
      </c>
      <c r="R205">
        <f>IF(E205="F",J205-$N$5+$N$6*O205+Q205,IF(E205="D",J205+Q205+P205,IF(E205="T",J205+P205,IF(E205="A",J205-$N$5+$N$6*O205,0))))</f>
        <v>5266</v>
      </c>
      <c r="T205">
        <f>SUM(R205:S205)</f>
        <v>5266</v>
      </c>
      <c r="U205">
        <f>K205*N205</f>
        <v>14</v>
      </c>
      <c r="V205">
        <f>'Data-Kolom'!J205</f>
        <v>0</v>
      </c>
      <c r="W205">
        <f>'Data-Kolom'!K205</f>
        <v>0</v>
      </c>
      <c r="X205">
        <f>IF(V205&gt;0,VLOOKUP(W205,$V$2:$X$9,2,FALSE),0)</f>
        <v>0</v>
      </c>
      <c r="Y205">
        <f>IF(V205&gt;0,IF(L205&gt;0,M205-50+$N$6*W205,VLOOKUP(W205,$V$2:$X$9,3,FALSE)),0)</f>
        <v>0</v>
      </c>
      <c r="Z205">
        <f>IF(E205="F",J205-$N$5+$N$6*W205+Y205,IF(E205="D",J205+Y205+X205,IF(E205="T",J205+X205,IF(E205="A",J205-$N$5+$N$6*W205,0))))</f>
        <v>4480</v>
      </c>
      <c r="AB205">
        <f>SUM(Z205:AA205)</f>
        <v>4480</v>
      </c>
      <c r="AC205">
        <f>V205*K205</f>
        <v>0</v>
      </c>
      <c r="AD205">
        <f>'Data-Kolom'!L205</f>
        <v>10</v>
      </c>
      <c r="AE205">
        <f>'Data-Kolom'!M205</f>
        <v>150</v>
      </c>
      <c r="AF205">
        <f>'Data-Kolom'!N205</f>
        <v>150</v>
      </c>
      <c r="AG205">
        <f>'Data-Kolom'!O205</f>
        <v>150</v>
      </c>
      <c r="AH205">
        <f>'Data-Kolom'!P205</f>
        <v>4</v>
      </c>
      <c r="AI205">
        <f>'Data-Kolom'!Q205</f>
        <v>10</v>
      </c>
      <c r="AJ205">
        <f>'Data-Kolom'!R205</f>
        <v>0</v>
      </c>
      <c r="AK205">
        <f>'Data-Kolom'!S205</f>
        <v>0</v>
      </c>
      <c r="AL205">
        <f>2*(H205+I205-4*$N$5)+2*MAX($F$5*AD205,75)</f>
        <v>3070</v>
      </c>
      <c r="AM205">
        <f>+AH205*(H205-2*$N$5+2*MAX($F$5*AI205,75))+AJ205*(I205-2*$N$5+2*MAX($F$5*AK205,75))</f>
        <v>1120</v>
      </c>
      <c r="AN205">
        <f>(ROUND((1/2*J205+IF(M205&gt;0,(Q205-$N$6*AD205),0))/AE205,0)+(ROUND(1/2*J205/AF205,0)+1))*K205</f>
        <v>31</v>
      </c>
      <c r="AO205">
        <f>H205*I205*J205/1000000000*K205*(1+$T$5)</f>
        <v>1.04805</v>
      </c>
      <c r="AP205">
        <f>0.006165*O205^2*T205*U205/1000*(1+$T$6)</f>
        <v>76.81192974</v>
      </c>
      <c r="AQ205">
        <f>0.006165*W205^2*AB205*AC205/1000*(1+$T$6)</f>
        <v>0</v>
      </c>
      <c r="AR205">
        <f>AN205*0.006165*AD205^2*AL205/1000*(1+$T$6)</f>
        <v>58.672305</v>
      </c>
      <c r="AS205">
        <f>AN205*0.006165*AI205^2*AM205/1000*(1+$T$6)</f>
        <v>21.404880000000002</v>
      </c>
      <c r="AT205">
        <f>K205*2*J205*(H205+I205)/1000000*(1+$T$7)</f>
        <v>13.86</v>
      </c>
      <c r="AU205">
        <f>SUM(AP205:AS205)/AO205</f>
        <v>149.69621176470588</v>
      </c>
      <c r="AV205">
        <f>AT205/AO205</f>
        <v>13.224559896951481</v>
      </c>
      <c r="AX205">
        <f>0.006165*O205^2*R205*U205/1000*(1+$T$6)</f>
        <v>76.81192974</v>
      </c>
      <c r="AZ205">
        <f>0.006165*O205^2*S205*U205/1000*(1+$T$6)</f>
        <v>0</v>
      </c>
      <c r="BA205">
        <f>AZ205/AP205</f>
        <v>0</v>
      </c>
    </row>
    <row r="207">
      <c r="AL207" t="str">
        <v>TOTAL</v>
      </c>
      <c r="AO207">
        <f>SUM(AO14:AO206)</f>
        <v>98.69704999999989</v>
      </c>
      <c r="AP207">
        <f>SUM(AP14:AP206)</f>
        <v>15845.859008280002</v>
      </c>
      <c r="AQ207">
        <f>SUM(AQ14:AQ206)</f>
        <v>1029.5593401599997</v>
      </c>
      <c r="AR207">
        <f>SUM(AR14:AR206)</f>
        <v>6349.774913999999</v>
      </c>
      <c r="AS207">
        <f>SUM(AS14:AS206)</f>
        <v>1507.2608754000007</v>
      </c>
      <c r="AT207">
        <f>SUM(AT14:AT206)</f>
        <v>1287.684</v>
      </c>
      <c r="AU207">
        <f>AVERAGE(AU14:AU206)</f>
        <v>259.5604715968759</v>
      </c>
      <c r="AV207">
        <f>AVERAGE(AV14:AV206)</f>
        <v>15.022927039847069</v>
      </c>
      <c r="AX207">
        <f>SUM(AX14:AX206)</f>
        <v>15845.859008280002</v>
      </c>
      <c r="AY207" t="str">
        <v>vol besi jika pakai hitungan estimasi biasa</v>
      </c>
    </row>
    <row r="208">
      <c r="C208" t="str">
        <v>cek jumlah</v>
      </c>
      <c r="D208">
        <f>COUNT(B14:B206)-COUNT('Data-Kolom'!D14:D272)</f>
        <v>0</v>
      </c>
      <c r="AL208" t="str">
        <v>CEK RASIO</v>
      </c>
      <c r="AP208">
        <f>SUM(AP207:AS207)/AO207</f>
        <v>250.58959855274324</v>
      </c>
      <c r="AT208">
        <f>AT207/AO207</f>
        <v>13.046833719954156</v>
      </c>
      <c r="AX208">
        <f>AP207-AX207</f>
        <v>0</v>
      </c>
      <c r="AY208" t="str">
        <v>selisih vol besi BBS dan estimasi biasa</v>
      </c>
    </row>
    <row r="209">
      <c r="AZ209">
        <f>AX208/AP207</f>
        <v>0</v>
      </c>
      <c r="BA209" t="str">
        <v>"waste" dari BBS</v>
      </c>
    </row>
    <row r="210">
      <c r="B210" t="str">
        <v>REKAP VOLUME</v>
      </c>
    </row>
    <row r="212">
      <c r="B212" t="str">
        <v>Bangunan</v>
      </c>
      <c r="D212" t="str">
        <v>Tipe Kolom</v>
      </c>
      <c r="F212" t="str">
        <v>Beton</v>
      </c>
      <c r="G212" t="str">
        <v>Bekisting</v>
      </c>
      <c r="H212" t="str">
        <v>Besi Sengkang</v>
      </c>
      <c r="L212" t="str">
        <v>Besi Utama + Extra</v>
      </c>
      <c r="T212" t="str">
        <v>TOTAL BESI</v>
      </c>
      <c r="V212" t="str">
        <v>RASIO (TOTAL)</v>
      </c>
    </row>
    <row r="213">
      <c r="H213">
        <v>8</v>
      </c>
      <c r="I213">
        <v>10</v>
      </c>
      <c r="J213">
        <v>13</v>
      </c>
      <c r="K213">
        <v>16</v>
      </c>
      <c r="L213">
        <v>8</v>
      </c>
      <c r="M213">
        <v>10</v>
      </c>
      <c r="N213">
        <v>13</v>
      </c>
      <c r="O213">
        <v>16</v>
      </c>
      <c r="P213">
        <v>19</v>
      </c>
      <c r="Q213">
        <v>22</v>
      </c>
      <c r="R213">
        <v>25</v>
      </c>
      <c r="S213">
        <v>29</v>
      </c>
      <c r="V213" t="str">
        <v>BEKISTING</v>
      </c>
      <c r="W213" t="str">
        <v>BESI</v>
      </c>
    </row>
    <row r="215">
      <c r="B215" t="str">
        <v>Basement</v>
      </c>
    </row>
    <row r="216">
      <c r="D216" t="str">
        <v>K12</v>
      </c>
      <c r="F216">
        <f>SUMIFS($AO$15:$AO$206,$B$15:$B$206,$B$215,$D$15:$D$206,$D216)</f>
        <v>0</v>
      </c>
      <c r="G216">
        <f>SUMIFS($AT$15:$AT$206,$B$15:$B$206,$B$215,$D$15:$D$206,$D216)</f>
        <v>0</v>
      </c>
      <c r="H216">
        <f>SUMIFS($AR$15:$AR$206,$B$15:$B$206,$B$215,$D$15:$D$206,$D216,$AD$15:$AD$206,H$213)+SUMIFS($AS$15:$AS$206,$B$15:$B$206,$B$215,$D$15:$D$206,$D216,$AI$15:$AI$206,H$213)</f>
        <v>0</v>
      </c>
      <c r="I216">
        <f>SUMIFS($AR$15:$AR$206,$B$15:$B$206,$B$215,$D$15:$D$206,$D216,$AD$15:$AD$206,I$213)+SUMIFS($AS$15:$AS$206,$B$15:$B$206,$B$215,$D$15:$D$206,$D216,$AI$15:$AI$206,I$213)</f>
        <v>0</v>
      </c>
      <c r="J216">
        <f>SUMIFS($AR$15:$AR$206,$B$15:$B$206,$B$215,$D$15:$D$206,$D216,$AD$15:$AD$206,J$213)+SUMIFS($AS$15:$AS$206,$B$15:$B$206,$B$215,$D$15:$D$206,$D216,$AI$15:$AI$206,J$213)</f>
        <v>0</v>
      </c>
      <c r="K216">
        <f>SUMIFS($AR$15:$AR$206,$B$15:$B$206,$B$215,$D$15:$D$206,$D216,$AD$15:$AD$206,K$213)+SUMIFS($AS$15:$AS$206,$B$15:$B$206,$B$215,$D$15:$D$206,$D216,$AI$15:$AI$206,K$213)</f>
        <v>0</v>
      </c>
      <c r="L216">
        <f>SUMIFS($AP$15:$AP$206,$B$15:$B$206,$B$215,$D$15:$D$206,$D216,$O$15:$O$206,L$213)+SUMIFS($AQ$15:$AQ$206,$B$15:$B$206,$B$215,$D$15:$D$206,$D216,$W$15:$W$206,L$213)</f>
        <v>0</v>
      </c>
      <c r="M216">
        <f>SUMIFS($AP$15:$AP$206,$B$15:$B$206,$B$215,$D$15:$D$206,$D216,$O$15:$O$206,M$213)+SUMIFS($AQ$15:$AQ$206,$B$15:$B$206,$B$215,$D$15:$D$206,$D216,$W$15:$W$206,M$213)</f>
        <v>0</v>
      </c>
      <c r="N216">
        <f>SUMIFS($AP$15:$AP$206,$B$15:$B$206,$B$215,$D$15:$D$206,$D216,$O$15:$O$206,N$213)+SUMIFS($AQ$15:$AQ$206,$B$15:$B$206,$B$215,$D$15:$D$206,$D216,$W$15:$W$206,N$213)</f>
        <v>0</v>
      </c>
      <c r="O216">
        <f>SUMIFS($AP$15:$AP$206,$B$15:$B$206,$B$215,$D$15:$D$206,$D216,$O$15:$O$206,O$213)+SUMIFS($AQ$15:$AQ$206,$B$15:$B$206,$B$215,$D$15:$D$206,$D216,$W$15:$W$206,O$213)</f>
        <v>0</v>
      </c>
      <c r="P216">
        <f>SUMIFS($AP$15:$AP$206,$B$15:$B$206,$B$215,$D$15:$D$206,$D216,$O$15:$O$206,P$213)+SUMIFS($AQ$15:$AQ$206,$B$15:$B$206,$B$215,$D$15:$D$206,$D216,$W$15:$W$206,P$213)</f>
        <v>0</v>
      </c>
      <c r="Q216">
        <f>SUMIFS($AP$15:$AP$206,$B$15:$B$206,$B$215,$D$15:$D$206,$D216,$O$15:$O$206,Q$213)+SUMIFS($AQ$15:$AQ$206,$B$15:$B$206,$B$215,$D$15:$D$206,$D216,$W$15:$W$206,Q$213)</f>
        <v>0</v>
      </c>
      <c r="R216">
        <f>SUMIFS($AP$15:$AP$206,$B$15:$B$206,$B$215,$D$15:$D$206,$D216,$O$15:$O$206,R$213)+SUMIFS($AQ$15:$AQ$206,$B$15:$B$206,$B$215,$D$15:$D$206,$D216,$W$15:$W$206,R$213)</f>
        <v>0</v>
      </c>
      <c r="S216">
        <f>SUMIFS($AP$15:$AP$206,$B$15:$B$206,$B$215,$D$15:$D$206,$D216,$O$15:$O$206,S$213)+SUMIFS($AQ$15:$AQ$206,$B$15:$B$206,$B$215,$D$15:$D$206,$D216,$W$15:$W$206,S$213)</f>
        <v>0</v>
      </c>
      <c r="T216">
        <f>SUM(H216:R216)</f>
        <v>0</v>
      </c>
      <c r="V216">
        <f>IF(F216&gt;0,G216/F216,0)</f>
        <v>0</v>
      </c>
      <c r="W216">
        <f>IF(F216&gt;0,T216/F216,0)</f>
        <v>0</v>
      </c>
    </row>
    <row r="217">
      <c r="D217" t="str">
        <v>K13-1</v>
      </c>
      <c r="F217">
        <f>SUMIFS($AO$15:$AO$206,$B$15:$B$206,$B$215,$D$15:$D$206,$D217)</f>
        <v>0</v>
      </c>
      <c r="G217">
        <f>SUMIFS($AT$15:$AT$206,$B$15:$B$206,$B$215,$D$15:$D$206,$D217)</f>
        <v>0</v>
      </c>
      <c r="H217">
        <f>SUMIFS($AR$15:$AR$206,$B$15:$B$206,$B$215,$D$15:$D$206,$D217,$AD$15:$AD$206,H$213)+SUMIFS($AS$15:$AS$206,$B$15:$B$206,$B$215,$D$15:$D$206,$D217,$AI$15:$AI$206,H$213)</f>
        <v>0</v>
      </c>
      <c r="I217">
        <f>SUMIFS($AR$15:$AR$206,$B$15:$B$206,$B$215,$D$15:$D$206,$D217,$AD$15:$AD$206,I$213)+SUMIFS($AS$15:$AS$206,$B$15:$B$206,$B$215,$D$15:$D$206,$D217,$AI$15:$AI$206,I$213)</f>
        <v>0</v>
      </c>
      <c r="J217">
        <f>SUMIFS($AR$15:$AR$206,$B$15:$B$206,$B$215,$D$15:$D$206,$D217,$AD$15:$AD$206,J$213)+SUMIFS($AS$15:$AS$206,$B$15:$B$206,$B$215,$D$15:$D$206,$D217,$AI$15:$AI$206,J$213)</f>
        <v>0</v>
      </c>
      <c r="K217">
        <f>SUMIFS($AR$15:$AR$206,$B$15:$B$206,$B$215,$D$15:$D$206,$D217,$AD$15:$AD$206,K$213)+SUMIFS($AS$15:$AS$206,$B$15:$B$206,$B$215,$D$15:$D$206,$D217,$AI$15:$AI$206,K$213)</f>
        <v>0</v>
      </c>
      <c r="L217">
        <f>SUMIFS($AP$15:$AP$206,$B$15:$B$206,$B$215,$D$15:$D$206,$D217,$O$15:$O$206,L$213)+SUMIFS($AQ$15:$AQ$206,$B$15:$B$206,$B$215,$D$15:$D$206,$D217,$W$15:$W$206,L$213)</f>
        <v>0</v>
      </c>
      <c r="M217">
        <f>SUMIFS($AP$15:$AP$206,$B$15:$B$206,$B$215,$D$15:$D$206,$D217,$O$15:$O$206,M$213)+SUMIFS($AQ$15:$AQ$206,$B$15:$B$206,$B$215,$D$15:$D$206,$D217,$W$15:$W$206,M$213)</f>
        <v>0</v>
      </c>
      <c r="N217">
        <f>SUMIFS($AP$15:$AP$206,$B$15:$B$206,$B$215,$D$15:$D$206,$D217,$O$15:$O$206,N$213)+SUMIFS($AQ$15:$AQ$206,$B$15:$B$206,$B$215,$D$15:$D$206,$D217,$W$15:$W$206,N$213)</f>
        <v>0</v>
      </c>
      <c r="O217">
        <f>SUMIFS($AP$15:$AP$206,$B$15:$B$206,$B$215,$D$15:$D$206,$D217,$O$15:$O$206,O$213)+SUMIFS($AQ$15:$AQ$206,$B$15:$B$206,$B$215,$D$15:$D$206,$D217,$W$15:$W$206,O$213)</f>
        <v>0</v>
      </c>
      <c r="P217">
        <f>SUMIFS($AP$15:$AP$206,$B$15:$B$206,$B$215,$D$15:$D$206,$D217,$O$15:$O$206,P$213)+SUMIFS($AQ$15:$AQ$206,$B$15:$B$206,$B$215,$D$15:$D$206,$D217,$W$15:$W$206,P$213)</f>
        <v>0</v>
      </c>
      <c r="Q217">
        <f>SUMIFS($AP$15:$AP$206,$B$15:$B$206,$B$215,$D$15:$D$206,$D217,$O$15:$O$206,Q$213)+SUMIFS($AQ$15:$AQ$206,$B$15:$B$206,$B$215,$D$15:$D$206,$D217,$W$15:$W$206,Q$213)</f>
        <v>0</v>
      </c>
      <c r="R217">
        <f>SUMIFS($AP$15:$AP$206,$B$15:$B$206,$B$215,$D$15:$D$206,$D217,$O$15:$O$206,R$213)+SUMIFS($AQ$15:$AQ$206,$B$15:$B$206,$B$215,$D$15:$D$206,$D217,$W$15:$W$206,R$213)</f>
        <v>0</v>
      </c>
      <c r="S217">
        <f>SUMIFS($AP$15:$AP$206,$B$15:$B$206,$B$215,$D$15:$D$206,$D217,$O$15:$O$206,S$213)+SUMIFS($AQ$15:$AQ$206,$B$15:$B$206,$B$215,$D$15:$D$206,$D217,$W$15:$W$206,S$213)</f>
        <v>0</v>
      </c>
      <c r="T217">
        <f>SUM(H217:R217)</f>
        <v>0</v>
      </c>
      <c r="V217">
        <f>IF(F217&gt;0,G217/F217,0)</f>
        <v>0</v>
      </c>
      <c r="W217">
        <f>IF(F217&gt;0,T217/F217,0)</f>
        <v>0</v>
      </c>
    </row>
    <row r="218">
      <c r="D218" t="str">
        <v>K174-1</v>
      </c>
      <c r="F218">
        <f>SUMIFS($AO$15:$AO$206,$B$15:$B$206,$B$215,$D$15:$D$206,$D218)</f>
        <v>1.1219999999999999</v>
      </c>
      <c r="G218">
        <f>SUMIFS($AT$15:$AT$206,$B$15:$B$206,$B$215,$D$15:$D$206,$D218)</f>
        <v>18.81</v>
      </c>
      <c r="H218">
        <f>SUMIFS($AR$15:$AR$206,$B$15:$B$206,$B$215,$D$15:$D$206,$D218,$AD$15:$AD$206,H$213)+SUMIFS($AS$15:$AS$206,$B$15:$B$206,$B$215,$D$15:$D$206,$D218,$AI$15:$AI$206,H$213)</f>
        <v>89.17056000000001</v>
      </c>
      <c r="I218">
        <f>SUMIFS($AR$15:$AR$206,$B$15:$B$206,$B$215,$D$15:$D$206,$D218,$AD$15:$AD$206,I$213)+SUMIFS($AS$15:$AS$206,$B$15:$B$206,$B$215,$D$15:$D$206,$D218,$AI$15:$AI$206,I$213)</f>
        <v>0</v>
      </c>
      <c r="J218">
        <f>SUMIFS($AR$15:$AR$206,$B$15:$B$206,$B$215,$D$15:$D$206,$D218,$AD$15:$AD$206,J$213)+SUMIFS($AS$15:$AS$206,$B$15:$B$206,$B$215,$D$15:$D$206,$D218,$AI$15:$AI$206,J$213)</f>
        <v>0</v>
      </c>
      <c r="K218">
        <f>SUMIFS($AR$15:$AR$206,$B$15:$B$206,$B$215,$D$15:$D$206,$D218,$AD$15:$AD$206,K$213)+SUMIFS($AS$15:$AS$206,$B$15:$B$206,$B$215,$D$15:$D$206,$D218,$AI$15:$AI$206,K$213)</f>
        <v>0</v>
      </c>
      <c r="L218">
        <f>SUMIFS($AP$15:$AP$206,$B$15:$B$206,$B$215,$D$15:$D$206,$D218,$O$15:$O$206,L$213)+SUMIFS($AQ$15:$AQ$206,$B$15:$B$206,$B$215,$D$15:$D$206,$D218,$W$15:$W$206,L$213)</f>
        <v>0</v>
      </c>
      <c r="M218">
        <f>SUMIFS($AP$15:$AP$206,$B$15:$B$206,$B$215,$D$15:$D$206,$D218,$O$15:$O$206,M$213)+SUMIFS($AQ$15:$AQ$206,$B$15:$B$206,$B$215,$D$15:$D$206,$D218,$W$15:$W$206,M$213)</f>
        <v>0</v>
      </c>
      <c r="N218">
        <f>SUMIFS($AP$15:$AP$206,$B$15:$B$206,$B$215,$D$15:$D$206,$D218,$O$15:$O$206,N$213)+SUMIFS($AQ$15:$AQ$206,$B$15:$B$206,$B$215,$D$15:$D$206,$D218,$W$15:$W$206,N$213)</f>
        <v>179.85435624</v>
      </c>
      <c r="O218">
        <f>SUMIFS($AP$15:$AP$206,$B$15:$B$206,$B$215,$D$15:$D$206,$D218,$O$15:$O$206,O$213)+SUMIFS($AQ$15:$AQ$206,$B$15:$B$206,$B$215,$D$15:$D$206,$D218,$W$15:$W$206,O$213)</f>
        <v>0</v>
      </c>
      <c r="P218">
        <f>SUMIFS($AP$15:$AP$206,$B$15:$B$206,$B$215,$D$15:$D$206,$D218,$O$15:$O$206,P$213)+SUMIFS($AQ$15:$AQ$206,$B$15:$B$206,$B$215,$D$15:$D$206,$D218,$W$15:$W$206,P$213)</f>
        <v>0</v>
      </c>
      <c r="Q218">
        <f>SUMIFS($AP$15:$AP$206,$B$15:$B$206,$B$215,$D$15:$D$206,$D218,$O$15:$O$206,Q$213)+SUMIFS($AQ$15:$AQ$206,$B$15:$B$206,$B$215,$D$15:$D$206,$D218,$W$15:$W$206,Q$213)</f>
        <v>0</v>
      </c>
      <c r="R218">
        <f>SUMIFS($AP$15:$AP$206,$B$15:$B$206,$B$215,$D$15:$D$206,$D218,$O$15:$O$206,R$213)+SUMIFS($AQ$15:$AQ$206,$B$15:$B$206,$B$215,$D$15:$D$206,$D218,$W$15:$W$206,R$213)</f>
        <v>0</v>
      </c>
      <c r="S218">
        <f>SUMIFS($AP$15:$AP$206,$B$15:$B$206,$B$215,$D$15:$D$206,$D218,$O$15:$O$206,S$213)+SUMIFS($AQ$15:$AQ$206,$B$15:$B$206,$B$215,$D$15:$D$206,$D218,$W$15:$W$206,S$213)</f>
        <v>0</v>
      </c>
      <c r="T218">
        <f>SUM(H218:R218)</f>
        <v>269.02491624</v>
      </c>
      <c r="V218">
        <f>IF(F218&gt;0,G218/F218,0)</f>
        <v>16.764705882352942</v>
      </c>
      <c r="W218">
        <f>IF(F218&gt;0,T218/F218,0)</f>
        <v>239.77265262032086</v>
      </c>
    </row>
    <row r="219">
      <c r="D219" t="str">
        <v>K174-2</v>
      </c>
      <c r="F219">
        <f>SUMIFS($AO$15:$AO$206,$B$15:$B$206,$B$215,$D$15:$D$206,$D219)</f>
        <v>0</v>
      </c>
      <c r="G219">
        <f>SUMIFS($AT$15:$AT$206,$B$15:$B$206,$B$215,$D$15:$D$206,$D219)</f>
        <v>0</v>
      </c>
      <c r="H219">
        <f>SUMIFS($AR$15:$AR$206,$B$15:$B$206,$B$215,$D$15:$D$206,$D219,$AD$15:$AD$206,H$213)+SUMIFS($AS$15:$AS$206,$B$15:$B$206,$B$215,$D$15:$D$206,$D219,$AI$15:$AI$206,H$213)</f>
        <v>0</v>
      </c>
      <c r="I219">
        <f>SUMIFS($AR$15:$AR$206,$B$15:$B$206,$B$215,$D$15:$D$206,$D219,$AD$15:$AD$206,I$213)+SUMIFS($AS$15:$AS$206,$B$15:$B$206,$B$215,$D$15:$D$206,$D219,$AI$15:$AI$206,I$213)</f>
        <v>0</v>
      </c>
      <c r="J219">
        <f>SUMIFS($AR$15:$AR$206,$B$15:$B$206,$B$215,$D$15:$D$206,$D219,$AD$15:$AD$206,J$213)+SUMIFS($AS$15:$AS$206,$B$15:$B$206,$B$215,$D$15:$D$206,$D219,$AI$15:$AI$206,J$213)</f>
        <v>0</v>
      </c>
      <c r="K219">
        <f>SUMIFS($AR$15:$AR$206,$B$15:$B$206,$B$215,$D$15:$D$206,$D219,$AD$15:$AD$206,K$213)+SUMIFS($AS$15:$AS$206,$B$15:$B$206,$B$215,$D$15:$D$206,$D219,$AI$15:$AI$206,K$213)</f>
        <v>0</v>
      </c>
      <c r="L219">
        <f>SUMIFS($AP$15:$AP$206,$B$15:$B$206,$B$215,$D$15:$D$206,$D219,$O$15:$O$206,L$213)+SUMIFS($AQ$15:$AQ$206,$B$15:$B$206,$B$215,$D$15:$D$206,$D219,$W$15:$W$206,L$213)</f>
        <v>0</v>
      </c>
      <c r="M219">
        <f>SUMIFS($AP$15:$AP$206,$B$15:$B$206,$B$215,$D$15:$D$206,$D219,$O$15:$O$206,M$213)+SUMIFS($AQ$15:$AQ$206,$B$15:$B$206,$B$215,$D$15:$D$206,$D219,$W$15:$W$206,M$213)</f>
        <v>0</v>
      </c>
      <c r="N219">
        <f>SUMIFS($AP$15:$AP$206,$B$15:$B$206,$B$215,$D$15:$D$206,$D219,$O$15:$O$206,N$213)+SUMIFS($AQ$15:$AQ$206,$B$15:$B$206,$B$215,$D$15:$D$206,$D219,$W$15:$W$206,N$213)</f>
        <v>0</v>
      </c>
      <c r="O219">
        <f>SUMIFS($AP$15:$AP$206,$B$15:$B$206,$B$215,$D$15:$D$206,$D219,$O$15:$O$206,O$213)+SUMIFS($AQ$15:$AQ$206,$B$15:$B$206,$B$215,$D$15:$D$206,$D219,$W$15:$W$206,O$213)</f>
        <v>0</v>
      </c>
      <c r="P219">
        <f>SUMIFS($AP$15:$AP$206,$B$15:$B$206,$B$215,$D$15:$D$206,$D219,$O$15:$O$206,P$213)+SUMIFS($AQ$15:$AQ$206,$B$15:$B$206,$B$215,$D$15:$D$206,$D219,$W$15:$W$206,P$213)</f>
        <v>0</v>
      </c>
      <c r="Q219">
        <f>SUMIFS($AP$15:$AP$206,$B$15:$B$206,$B$215,$D$15:$D$206,$D219,$O$15:$O$206,Q$213)+SUMIFS($AQ$15:$AQ$206,$B$15:$B$206,$B$215,$D$15:$D$206,$D219,$W$15:$W$206,Q$213)</f>
        <v>0</v>
      </c>
      <c r="R219">
        <f>SUMIFS($AP$15:$AP$206,$B$15:$B$206,$B$215,$D$15:$D$206,$D219,$O$15:$O$206,R$213)+SUMIFS($AQ$15:$AQ$206,$B$15:$B$206,$B$215,$D$15:$D$206,$D219,$W$15:$W$206,R$213)</f>
        <v>0</v>
      </c>
      <c r="S219">
        <f>SUMIFS($AP$15:$AP$206,$B$15:$B$206,$B$215,$D$15:$D$206,$D219,$O$15:$O$206,S$213)+SUMIFS($AQ$15:$AQ$206,$B$15:$B$206,$B$215,$D$15:$D$206,$D219,$W$15:$W$206,S$213)</f>
        <v>0</v>
      </c>
      <c r="T219">
        <f>SUM(H219:R219)</f>
        <v>0</v>
      </c>
      <c r="V219">
        <f>IF(F219&gt;0,G219/F219,0)</f>
        <v>0</v>
      </c>
      <c r="W219">
        <f>IF(F219&gt;0,T219/F219,0)</f>
        <v>0</v>
      </c>
    </row>
    <row r="220">
      <c r="D220" t="str">
        <v>K175-1</v>
      </c>
      <c r="F220">
        <f>SUMIFS($AO$15:$AO$206,$B$15:$B$206,$B$215,$D$15:$D$206,$D220)</f>
        <v>1.122</v>
      </c>
      <c r="G220">
        <f>SUMIFS($AT$15:$AT$206,$B$15:$B$206,$B$215,$D$15:$D$206,$D220)</f>
        <v>17.688</v>
      </c>
      <c r="H220">
        <f>SUMIFS($AR$15:$AR$206,$B$15:$B$206,$B$215,$D$15:$D$206,$D220,$AD$15:$AD$206,H$213)+SUMIFS($AS$15:$AS$206,$B$15:$B$206,$B$215,$D$15:$D$206,$D220,$AI$15:$AI$206,H$213)</f>
        <v>93.38051520000002</v>
      </c>
      <c r="I220">
        <f>SUMIFS($AR$15:$AR$206,$B$15:$B$206,$B$215,$D$15:$D$206,$D220,$AD$15:$AD$206,I$213)+SUMIFS($AS$15:$AS$206,$B$15:$B$206,$B$215,$D$15:$D$206,$D220,$AI$15:$AI$206,I$213)</f>
        <v>0</v>
      </c>
      <c r="J220">
        <f>SUMIFS($AR$15:$AR$206,$B$15:$B$206,$B$215,$D$15:$D$206,$D220,$AD$15:$AD$206,J$213)+SUMIFS($AS$15:$AS$206,$B$15:$B$206,$B$215,$D$15:$D$206,$D220,$AI$15:$AI$206,J$213)</f>
        <v>0</v>
      </c>
      <c r="K220">
        <f>SUMIFS($AR$15:$AR$206,$B$15:$B$206,$B$215,$D$15:$D$206,$D220,$AD$15:$AD$206,K$213)+SUMIFS($AS$15:$AS$206,$B$15:$B$206,$B$215,$D$15:$D$206,$D220,$AI$15:$AI$206,K$213)</f>
        <v>0</v>
      </c>
      <c r="L220">
        <f>SUMIFS($AP$15:$AP$206,$B$15:$B$206,$B$215,$D$15:$D$206,$D220,$O$15:$O$206,L$213)+SUMIFS($AQ$15:$AQ$206,$B$15:$B$206,$B$215,$D$15:$D$206,$D220,$W$15:$W$206,L$213)</f>
        <v>0</v>
      </c>
      <c r="M220">
        <f>SUMIFS($AP$15:$AP$206,$B$15:$B$206,$B$215,$D$15:$D$206,$D220,$O$15:$O$206,M$213)+SUMIFS($AQ$15:$AQ$206,$B$15:$B$206,$B$215,$D$15:$D$206,$D220,$W$15:$W$206,M$213)</f>
        <v>0</v>
      </c>
      <c r="N220">
        <f>SUMIFS($AP$15:$AP$206,$B$15:$B$206,$B$215,$D$15:$D$206,$D220,$O$15:$O$206,N$213)+SUMIFS($AQ$15:$AQ$206,$B$15:$B$206,$B$215,$D$15:$D$206,$D220,$W$15:$W$206,N$213)</f>
        <v>0</v>
      </c>
      <c r="O220">
        <f>SUMIFS($AP$15:$AP$206,$B$15:$B$206,$B$215,$D$15:$D$206,$D220,$O$15:$O$206,O$213)+SUMIFS($AQ$15:$AQ$206,$B$15:$B$206,$B$215,$D$15:$D$206,$D220,$W$15:$W$206,O$213)</f>
        <v>172.64683008000003</v>
      </c>
      <c r="P220">
        <f>SUMIFS($AP$15:$AP$206,$B$15:$B$206,$B$215,$D$15:$D$206,$D220,$O$15:$O$206,P$213)+SUMIFS($AQ$15:$AQ$206,$B$15:$B$206,$B$215,$D$15:$D$206,$D220,$W$15:$W$206,P$213)</f>
        <v>0</v>
      </c>
      <c r="Q220">
        <f>SUMIFS($AP$15:$AP$206,$B$15:$B$206,$B$215,$D$15:$D$206,$D220,$O$15:$O$206,Q$213)+SUMIFS($AQ$15:$AQ$206,$B$15:$B$206,$B$215,$D$15:$D$206,$D220,$W$15:$W$206,Q$213)</f>
        <v>0</v>
      </c>
      <c r="R220">
        <f>SUMIFS($AP$15:$AP$206,$B$15:$B$206,$B$215,$D$15:$D$206,$D220,$O$15:$O$206,R$213)+SUMIFS($AQ$15:$AQ$206,$B$15:$B$206,$B$215,$D$15:$D$206,$D220,$W$15:$W$206,R$213)</f>
        <v>0</v>
      </c>
      <c r="S220">
        <f>SUMIFS($AP$15:$AP$206,$B$15:$B$206,$B$215,$D$15:$D$206,$D220,$O$15:$O$206,S$213)+SUMIFS($AQ$15:$AQ$206,$B$15:$B$206,$B$215,$D$15:$D$206,$D220,$W$15:$W$206,S$213)</f>
        <v>0</v>
      </c>
      <c r="T220">
        <f>SUM(H220:R220)</f>
        <v>266.0273452800001</v>
      </c>
      <c r="V220">
        <f>IF(F220&gt;0,G220/F220,0)</f>
        <v>15.764705882352938</v>
      </c>
      <c r="W220">
        <f>IF(F220&gt;0,T220/F220,0)</f>
        <v>237.10102074866316</v>
      </c>
    </row>
    <row r="221">
      <c r="D221" t="str">
        <v>K175-2</v>
      </c>
      <c r="F221">
        <f>SUMIFS($AO$15:$AO$206,$B$15:$B$206,$B$215,$D$15:$D$206,$D221)</f>
        <v>4.488</v>
      </c>
      <c r="G221">
        <f>SUMIFS($AT$15:$AT$206,$B$15:$B$206,$B$215,$D$15:$D$206,$D221)</f>
        <v>70.75199999999998</v>
      </c>
      <c r="H221">
        <f>SUMIFS($AR$15:$AR$206,$B$15:$B$206,$B$215,$D$15:$D$206,$D221,$AD$15:$AD$206,H$213)+SUMIFS($AS$15:$AS$206,$B$15:$B$206,$B$215,$D$15:$D$206,$D221,$AI$15:$AI$206,H$213)</f>
        <v>372.9420576</v>
      </c>
      <c r="I221">
        <f>SUMIFS($AR$15:$AR$206,$B$15:$B$206,$B$215,$D$15:$D$206,$D221,$AD$15:$AD$206,I$213)+SUMIFS($AS$15:$AS$206,$B$15:$B$206,$B$215,$D$15:$D$206,$D221,$AI$15:$AI$206,I$213)</f>
        <v>0</v>
      </c>
      <c r="J221">
        <f>SUMIFS($AR$15:$AR$206,$B$15:$B$206,$B$215,$D$15:$D$206,$D221,$AD$15:$AD$206,J$213)+SUMIFS($AS$15:$AS$206,$B$15:$B$206,$B$215,$D$15:$D$206,$D221,$AI$15:$AI$206,J$213)</f>
        <v>0</v>
      </c>
      <c r="K221">
        <f>SUMIFS($AR$15:$AR$206,$B$15:$B$206,$B$215,$D$15:$D$206,$D221,$AD$15:$AD$206,K$213)+SUMIFS($AS$15:$AS$206,$B$15:$B$206,$B$215,$D$15:$D$206,$D221,$AI$15:$AI$206,K$213)</f>
        <v>0</v>
      </c>
      <c r="L221">
        <f>SUMIFS($AP$15:$AP$206,$B$15:$B$206,$B$215,$D$15:$D$206,$D221,$O$15:$O$206,L$213)+SUMIFS($AQ$15:$AQ$206,$B$15:$B$206,$B$215,$D$15:$D$206,$D221,$W$15:$W$206,L$213)</f>
        <v>0</v>
      </c>
      <c r="M221">
        <f>SUMIFS($AP$15:$AP$206,$B$15:$B$206,$B$215,$D$15:$D$206,$D221,$O$15:$O$206,M$213)+SUMIFS($AQ$15:$AQ$206,$B$15:$B$206,$B$215,$D$15:$D$206,$D221,$W$15:$W$206,M$213)</f>
        <v>0</v>
      </c>
      <c r="N221">
        <f>SUMIFS($AP$15:$AP$206,$B$15:$B$206,$B$215,$D$15:$D$206,$D221,$O$15:$O$206,N$213)+SUMIFS($AQ$15:$AQ$206,$B$15:$B$206,$B$215,$D$15:$D$206,$D221,$W$15:$W$206,N$213)</f>
        <v>0</v>
      </c>
      <c r="O221">
        <f>SUMIFS($AP$15:$AP$206,$B$15:$B$206,$B$215,$D$15:$D$206,$D221,$O$15:$O$206,O$213)+SUMIFS($AQ$15:$AQ$206,$B$15:$B$206,$B$215,$D$15:$D$206,$D221,$W$15:$W$206,O$213)</f>
        <v>887.77893888</v>
      </c>
      <c r="P221">
        <f>SUMIFS($AP$15:$AP$206,$B$15:$B$206,$B$215,$D$15:$D$206,$D221,$O$15:$O$206,P$213)+SUMIFS($AQ$15:$AQ$206,$B$15:$B$206,$B$215,$D$15:$D$206,$D221,$W$15:$W$206,P$213)</f>
        <v>0</v>
      </c>
      <c r="Q221">
        <f>SUMIFS($AP$15:$AP$206,$B$15:$B$206,$B$215,$D$15:$D$206,$D221,$O$15:$O$206,Q$213)+SUMIFS($AQ$15:$AQ$206,$B$15:$B$206,$B$215,$D$15:$D$206,$D221,$W$15:$W$206,Q$213)</f>
        <v>0</v>
      </c>
      <c r="R221">
        <f>SUMIFS($AP$15:$AP$206,$B$15:$B$206,$B$215,$D$15:$D$206,$D221,$O$15:$O$206,R$213)+SUMIFS($AQ$15:$AQ$206,$B$15:$B$206,$B$215,$D$15:$D$206,$D221,$W$15:$W$206,R$213)</f>
        <v>0</v>
      </c>
      <c r="S221">
        <f>SUMIFS($AP$15:$AP$206,$B$15:$B$206,$B$215,$D$15:$D$206,$D221,$O$15:$O$206,S$213)+SUMIFS($AQ$15:$AQ$206,$B$15:$B$206,$B$215,$D$15:$D$206,$D221,$W$15:$W$206,S$213)</f>
        <v>0</v>
      </c>
      <c r="T221">
        <f>SUM(H221:R221)</f>
        <v>1260.72099648</v>
      </c>
      <c r="V221">
        <f>IF(F221&gt;0,G221/F221,0)</f>
        <v>15.764705882352935</v>
      </c>
      <c r="W221">
        <f>IF(F221&gt;0,T221/F221,0)</f>
        <v>280.90931294117644</v>
      </c>
    </row>
    <row r="222">
      <c r="D222" t="str">
        <v>K175-3</v>
      </c>
      <c r="F222">
        <f>SUMIFS($AO$15:$AO$206,$B$15:$B$206,$B$215,$D$15:$D$206,$D222)</f>
        <v>0.561</v>
      </c>
      <c r="G222">
        <f>SUMIFS($AT$15:$AT$206,$B$15:$B$206,$B$215,$D$15:$D$206,$D222)</f>
        <v>8.844</v>
      </c>
      <c r="H222">
        <f>SUMIFS($AR$15:$AR$206,$B$15:$B$206,$B$215,$D$15:$D$206,$D222,$AD$15:$AD$206,H$213)+SUMIFS($AS$15:$AS$206,$B$15:$B$206,$B$215,$D$15:$D$206,$D222,$AI$15:$AI$206,H$213)</f>
        <v>46.9802592</v>
      </c>
      <c r="I222">
        <f>SUMIFS($AR$15:$AR$206,$B$15:$B$206,$B$215,$D$15:$D$206,$D222,$AD$15:$AD$206,I$213)+SUMIFS($AS$15:$AS$206,$B$15:$B$206,$B$215,$D$15:$D$206,$D222,$AI$15:$AI$206,I$213)</f>
        <v>0</v>
      </c>
      <c r="J222">
        <f>SUMIFS($AR$15:$AR$206,$B$15:$B$206,$B$215,$D$15:$D$206,$D222,$AD$15:$AD$206,J$213)+SUMIFS($AS$15:$AS$206,$B$15:$B$206,$B$215,$D$15:$D$206,$D222,$AI$15:$AI$206,J$213)</f>
        <v>0</v>
      </c>
      <c r="K222">
        <f>SUMIFS($AR$15:$AR$206,$B$15:$B$206,$B$215,$D$15:$D$206,$D222,$AD$15:$AD$206,K$213)+SUMIFS($AS$15:$AS$206,$B$15:$B$206,$B$215,$D$15:$D$206,$D222,$AI$15:$AI$206,K$213)</f>
        <v>0</v>
      </c>
      <c r="L222">
        <f>SUMIFS($AP$15:$AP$206,$B$15:$B$206,$B$215,$D$15:$D$206,$D222,$O$15:$O$206,L$213)+SUMIFS($AQ$15:$AQ$206,$B$15:$B$206,$B$215,$D$15:$D$206,$D222,$W$15:$W$206,L$213)</f>
        <v>0</v>
      </c>
      <c r="M222">
        <f>SUMIFS($AP$15:$AP$206,$B$15:$B$206,$B$215,$D$15:$D$206,$D222,$O$15:$O$206,M$213)+SUMIFS($AQ$15:$AQ$206,$B$15:$B$206,$B$215,$D$15:$D$206,$D222,$W$15:$W$206,M$213)</f>
        <v>0</v>
      </c>
      <c r="N222">
        <f>SUMIFS($AP$15:$AP$206,$B$15:$B$206,$B$215,$D$15:$D$206,$D222,$O$15:$O$206,N$213)+SUMIFS($AQ$15:$AQ$206,$B$15:$B$206,$B$215,$D$15:$D$206,$D222,$W$15:$W$206,N$213)</f>
        <v>0</v>
      </c>
      <c r="O222">
        <f>SUMIFS($AP$15:$AP$206,$B$15:$B$206,$B$215,$D$15:$D$206,$D222,$O$15:$O$206,O$213)+SUMIFS($AQ$15:$AQ$206,$B$15:$B$206,$B$215,$D$15:$D$206,$D222,$W$15:$W$206,O$213)</f>
        <v>52.574330880000005</v>
      </c>
      <c r="P222">
        <f>SUMIFS($AP$15:$AP$206,$B$15:$B$206,$B$215,$D$15:$D$206,$D222,$O$15:$O$206,P$213)+SUMIFS($AQ$15:$AQ$206,$B$15:$B$206,$B$215,$D$15:$D$206,$D222,$W$15:$W$206,P$213)</f>
        <v>75.41994672</v>
      </c>
      <c r="Q222">
        <f>SUMIFS($AP$15:$AP$206,$B$15:$B$206,$B$215,$D$15:$D$206,$D222,$O$15:$O$206,Q$213)+SUMIFS($AQ$15:$AQ$206,$B$15:$B$206,$B$215,$D$15:$D$206,$D222,$W$15:$W$206,Q$213)</f>
        <v>0</v>
      </c>
      <c r="R222">
        <f>SUMIFS($AP$15:$AP$206,$B$15:$B$206,$B$215,$D$15:$D$206,$D222,$O$15:$O$206,R$213)+SUMIFS($AQ$15:$AQ$206,$B$15:$B$206,$B$215,$D$15:$D$206,$D222,$W$15:$W$206,R$213)</f>
        <v>0</v>
      </c>
      <c r="S222">
        <f>SUMIFS($AP$15:$AP$206,$B$15:$B$206,$B$215,$D$15:$D$206,$D222,$O$15:$O$206,S$213)+SUMIFS($AQ$15:$AQ$206,$B$15:$B$206,$B$215,$D$15:$D$206,$D222,$W$15:$W$206,S$213)</f>
        <v>0</v>
      </c>
      <c r="T222">
        <f>SUM(H222:R222)</f>
        <v>174.9745368</v>
      </c>
      <c r="V222">
        <f>IF(F222&gt;0,G222/F222,0)</f>
        <v>15.764705882352938</v>
      </c>
      <c r="W222">
        <f>IF(F222&gt;0,T222/F222,0)</f>
        <v>311.89757005347593</v>
      </c>
    </row>
    <row r="223">
      <c r="D223" t="str">
        <v>K175-4</v>
      </c>
      <c r="F223">
        <f>SUMIFS($AO$15:$AO$206,$B$15:$B$206,$B$215,$D$15:$D$206,$D223)</f>
        <v>0.8415000000000001</v>
      </c>
      <c r="G223">
        <f>SUMIFS($AT$15:$AT$206,$B$15:$B$206,$B$215,$D$15:$D$206,$D223)</f>
        <v>13.265999999999998</v>
      </c>
      <c r="H223">
        <f>SUMIFS($AR$15:$AR$206,$B$15:$B$206,$B$215,$D$15:$D$206,$D223,$AD$15:$AD$206,H$213)+SUMIFS($AS$15:$AS$206,$B$15:$B$206,$B$215,$D$15:$D$206,$D223,$AI$15:$AI$206,H$213)</f>
        <v>6.628608</v>
      </c>
      <c r="I223">
        <f>SUMIFS($AR$15:$AR$206,$B$15:$B$206,$B$215,$D$15:$D$206,$D223,$AD$15:$AD$206,I$213)+SUMIFS($AS$15:$AS$206,$B$15:$B$206,$B$215,$D$15:$D$206,$D223,$AI$15:$AI$206,I$213)</f>
        <v>98.39340000000001</v>
      </c>
      <c r="J223">
        <f>SUMIFS($AR$15:$AR$206,$B$15:$B$206,$B$215,$D$15:$D$206,$D223,$AD$15:$AD$206,J$213)+SUMIFS($AS$15:$AS$206,$B$15:$B$206,$B$215,$D$15:$D$206,$D223,$AI$15:$AI$206,J$213)</f>
        <v>0</v>
      </c>
      <c r="K223">
        <f>SUMIFS($AR$15:$AR$206,$B$15:$B$206,$B$215,$D$15:$D$206,$D223,$AD$15:$AD$206,K$213)+SUMIFS($AS$15:$AS$206,$B$15:$B$206,$B$215,$D$15:$D$206,$D223,$AI$15:$AI$206,K$213)</f>
        <v>0</v>
      </c>
      <c r="L223">
        <f>SUMIFS($AP$15:$AP$206,$B$15:$B$206,$B$215,$D$15:$D$206,$D223,$O$15:$O$206,L$213)+SUMIFS($AQ$15:$AQ$206,$B$15:$B$206,$B$215,$D$15:$D$206,$D223,$W$15:$W$206,L$213)</f>
        <v>9.5404608</v>
      </c>
      <c r="M223">
        <f>SUMIFS($AP$15:$AP$206,$B$15:$B$206,$B$215,$D$15:$D$206,$D223,$O$15:$O$206,M$213)+SUMIFS($AQ$15:$AQ$206,$B$15:$B$206,$B$215,$D$15:$D$206,$D223,$W$15:$W$206,M$213)</f>
        <v>0</v>
      </c>
      <c r="N223">
        <f>SUMIFS($AP$15:$AP$206,$B$15:$B$206,$B$215,$D$15:$D$206,$D223,$O$15:$O$206,N$213)+SUMIFS($AQ$15:$AQ$206,$B$15:$B$206,$B$215,$D$15:$D$206,$D223,$W$15:$W$206,N$213)</f>
        <v>0</v>
      </c>
      <c r="O223">
        <f>SUMIFS($AP$15:$AP$206,$B$15:$B$206,$B$215,$D$15:$D$206,$D223,$O$15:$O$206,O$213)+SUMIFS($AQ$15:$AQ$206,$B$15:$B$206,$B$215,$D$15:$D$206,$D223,$W$15:$W$206,O$213)</f>
        <v>0</v>
      </c>
      <c r="P223">
        <f>SUMIFS($AP$15:$AP$206,$B$15:$B$206,$B$215,$D$15:$D$206,$D223,$O$15:$O$206,P$213)+SUMIFS($AQ$15:$AQ$206,$B$15:$B$206,$B$215,$D$15:$D$206,$D223,$W$15:$W$206,P$213)</f>
        <v>241.0732008</v>
      </c>
      <c r="Q223">
        <f>SUMIFS($AP$15:$AP$206,$B$15:$B$206,$B$215,$D$15:$D$206,$D223,$O$15:$O$206,Q$213)+SUMIFS($AQ$15:$AQ$206,$B$15:$B$206,$B$215,$D$15:$D$206,$D223,$W$15:$W$206,Q$213)</f>
        <v>0</v>
      </c>
      <c r="R223">
        <f>SUMIFS($AP$15:$AP$206,$B$15:$B$206,$B$215,$D$15:$D$206,$D223,$O$15:$O$206,R$213)+SUMIFS($AQ$15:$AQ$206,$B$15:$B$206,$B$215,$D$15:$D$206,$D223,$W$15:$W$206,R$213)</f>
        <v>0</v>
      </c>
      <c r="S223">
        <f>SUMIFS($AP$15:$AP$206,$B$15:$B$206,$B$215,$D$15:$D$206,$D223,$O$15:$O$206,S$213)+SUMIFS($AQ$15:$AQ$206,$B$15:$B$206,$B$215,$D$15:$D$206,$D223,$W$15:$W$206,S$213)</f>
        <v>0</v>
      </c>
      <c r="T223">
        <f>SUM(H223:R223)</f>
        <v>355.6356696</v>
      </c>
      <c r="V223">
        <f>IF(F223&gt;0,G223/F223,0)</f>
        <v>15.764705882352937</v>
      </c>
      <c r="W223">
        <f>IF(F223&gt;0,T223/F223,0)</f>
        <v>422.6211165775401</v>
      </c>
    </row>
    <row r="224">
      <c r="D224" t="str">
        <v>K176-1</v>
      </c>
      <c r="F224">
        <f>SUMIFS($AO$15:$AO$206,$B$15:$B$206,$B$215,$D$15:$D$206,$D224)</f>
        <v>0.3366</v>
      </c>
      <c r="G224">
        <f>SUMIFS($AT$15:$AT$206,$B$15:$B$206,$B$215,$D$15:$D$206,$D224)</f>
        <v>5.082</v>
      </c>
      <c r="H224">
        <f>SUMIFS($AR$15:$AR$206,$B$15:$B$206,$B$215,$D$15:$D$206,$D224,$AD$15:$AD$206,H$213)+SUMIFS($AS$15:$AS$206,$B$15:$B$206,$B$215,$D$15:$D$206,$D224,$AI$15:$AI$206,H$213)</f>
        <v>27.0155232</v>
      </c>
      <c r="I224">
        <f>SUMIFS($AR$15:$AR$206,$B$15:$B$206,$B$215,$D$15:$D$206,$D224,$AD$15:$AD$206,I$213)+SUMIFS($AS$15:$AS$206,$B$15:$B$206,$B$215,$D$15:$D$206,$D224,$AI$15:$AI$206,I$213)</f>
        <v>0</v>
      </c>
      <c r="J224">
        <f>SUMIFS($AR$15:$AR$206,$B$15:$B$206,$B$215,$D$15:$D$206,$D224,$AD$15:$AD$206,J$213)+SUMIFS($AS$15:$AS$206,$B$15:$B$206,$B$215,$D$15:$D$206,$D224,$AI$15:$AI$206,J$213)</f>
        <v>0</v>
      </c>
      <c r="K224">
        <f>SUMIFS($AR$15:$AR$206,$B$15:$B$206,$B$215,$D$15:$D$206,$D224,$AD$15:$AD$206,K$213)+SUMIFS($AS$15:$AS$206,$B$15:$B$206,$B$215,$D$15:$D$206,$D224,$AI$15:$AI$206,K$213)</f>
        <v>0</v>
      </c>
      <c r="L224">
        <f>SUMIFS($AP$15:$AP$206,$B$15:$B$206,$B$215,$D$15:$D$206,$D224,$O$15:$O$206,L$213)+SUMIFS($AQ$15:$AQ$206,$B$15:$B$206,$B$215,$D$15:$D$206,$D224,$W$15:$W$206,L$213)</f>
        <v>0</v>
      </c>
      <c r="M224">
        <f>SUMIFS($AP$15:$AP$206,$B$15:$B$206,$B$215,$D$15:$D$206,$D224,$O$15:$O$206,M$213)+SUMIFS($AQ$15:$AQ$206,$B$15:$B$206,$B$215,$D$15:$D$206,$D224,$W$15:$W$206,M$213)</f>
        <v>0</v>
      </c>
      <c r="N224">
        <f>SUMIFS($AP$15:$AP$206,$B$15:$B$206,$B$215,$D$15:$D$206,$D224,$O$15:$O$206,N$213)+SUMIFS($AQ$15:$AQ$206,$B$15:$B$206,$B$215,$D$15:$D$206,$D224,$W$15:$W$206,N$213)</f>
        <v>0</v>
      </c>
      <c r="O224">
        <f>SUMIFS($AP$15:$AP$206,$B$15:$B$206,$B$215,$D$15:$D$206,$D224,$O$15:$O$206,O$213)+SUMIFS($AQ$15:$AQ$206,$B$15:$B$206,$B$215,$D$15:$D$206,$D224,$W$15:$W$206,O$213)</f>
        <v>79.7326848</v>
      </c>
      <c r="P224">
        <f>SUMIFS($AP$15:$AP$206,$B$15:$B$206,$B$215,$D$15:$D$206,$D224,$O$15:$O$206,P$213)+SUMIFS($AQ$15:$AQ$206,$B$15:$B$206,$B$215,$D$15:$D$206,$D224,$W$15:$W$206,P$213)</f>
        <v>0</v>
      </c>
      <c r="Q224">
        <f>SUMIFS($AP$15:$AP$206,$B$15:$B$206,$B$215,$D$15:$D$206,$D224,$O$15:$O$206,Q$213)+SUMIFS($AQ$15:$AQ$206,$B$15:$B$206,$B$215,$D$15:$D$206,$D224,$W$15:$W$206,Q$213)</f>
        <v>0</v>
      </c>
      <c r="R224">
        <f>SUMIFS($AP$15:$AP$206,$B$15:$B$206,$B$215,$D$15:$D$206,$D224,$O$15:$O$206,R$213)+SUMIFS($AQ$15:$AQ$206,$B$15:$B$206,$B$215,$D$15:$D$206,$D224,$W$15:$W$206,R$213)</f>
        <v>0</v>
      </c>
      <c r="S224">
        <f>SUMIFS($AP$15:$AP$206,$B$15:$B$206,$B$215,$D$15:$D$206,$D224,$O$15:$O$206,S$213)+SUMIFS($AQ$15:$AQ$206,$B$15:$B$206,$B$215,$D$15:$D$206,$D224,$W$15:$W$206,S$213)</f>
        <v>0</v>
      </c>
      <c r="T224">
        <f>SUM(H224:R224)</f>
        <v>106.748208</v>
      </c>
      <c r="V224">
        <f>IF(F224&gt;0,G224/F224,0)</f>
        <v>15.098039215686274</v>
      </c>
      <c r="W224">
        <f>IF(F224&gt;0,T224/F224,0)</f>
        <v>317.1366844919786</v>
      </c>
    </row>
    <row r="225">
      <c r="D225" t="str">
        <v>K176-4</v>
      </c>
      <c r="F225">
        <f>SUMIFS($AO$15:$AO$206,$B$15:$B$206,$B$215,$D$15:$D$206,$D225)</f>
        <v>0</v>
      </c>
      <c r="G225">
        <f>SUMIFS($AT$15:$AT$206,$B$15:$B$206,$B$215,$D$15:$D$206,$D225)</f>
        <v>0</v>
      </c>
      <c r="H225">
        <f>SUMIFS($AR$15:$AR$206,$B$15:$B$206,$B$215,$D$15:$D$206,$D225,$AD$15:$AD$206,H$213)+SUMIFS($AS$15:$AS$206,$B$15:$B$206,$B$215,$D$15:$D$206,$D225,$AI$15:$AI$206,H$213)</f>
        <v>0</v>
      </c>
      <c r="I225">
        <f>SUMIFS($AR$15:$AR$206,$B$15:$B$206,$B$215,$D$15:$D$206,$D225,$AD$15:$AD$206,I$213)+SUMIFS($AS$15:$AS$206,$B$15:$B$206,$B$215,$D$15:$D$206,$D225,$AI$15:$AI$206,I$213)</f>
        <v>0</v>
      </c>
      <c r="J225">
        <f>SUMIFS($AR$15:$AR$206,$B$15:$B$206,$B$215,$D$15:$D$206,$D225,$AD$15:$AD$206,J$213)+SUMIFS($AS$15:$AS$206,$B$15:$B$206,$B$215,$D$15:$D$206,$D225,$AI$15:$AI$206,J$213)</f>
        <v>0</v>
      </c>
      <c r="K225">
        <f>SUMIFS($AR$15:$AR$206,$B$15:$B$206,$B$215,$D$15:$D$206,$D225,$AD$15:$AD$206,K$213)+SUMIFS($AS$15:$AS$206,$B$15:$B$206,$B$215,$D$15:$D$206,$D225,$AI$15:$AI$206,K$213)</f>
        <v>0</v>
      </c>
      <c r="L225">
        <f>SUMIFS($AP$15:$AP$206,$B$15:$B$206,$B$215,$D$15:$D$206,$D225,$O$15:$O$206,L$213)+SUMIFS($AQ$15:$AQ$206,$B$15:$B$206,$B$215,$D$15:$D$206,$D225,$W$15:$W$206,L$213)</f>
        <v>0</v>
      </c>
      <c r="M225">
        <f>SUMIFS($AP$15:$AP$206,$B$15:$B$206,$B$215,$D$15:$D$206,$D225,$O$15:$O$206,M$213)+SUMIFS($AQ$15:$AQ$206,$B$15:$B$206,$B$215,$D$15:$D$206,$D225,$W$15:$W$206,M$213)</f>
        <v>0</v>
      </c>
      <c r="N225">
        <f>SUMIFS($AP$15:$AP$206,$B$15:$B$206,$B$215,$D$15:$D$206,$D225,$O$15:$O$206,N$213)+SUMIFS($AQ$15:$AQ$206,$B$15:$B$206,$B$215,$D$15:$D$206,$D225,$W$15:$W$206,N$213)</f>
        <v>0</v>
      </c>
      <c r="O225">
        <f>SUMIFS($AP$15:$AP$206,$B$15:$B$206,$B$215,$D$15:$D$206,$D225,$O$15:$O$206,O$213)+SUMIFS($AQ$15:$AQ$206,$B$15:$B$206,$B$215,$D$15:$D$206,$D225,$W$15:$W$206,O$213)</f>
        <v>0</v>
      </c>
      <c r="P225">
        <f>SUMIFS($AP$15:$AP$206,$B$15:$B$206,$B$215,$D$15:$D$206,$D225,$O$15:$O$206,P$213)+SUMIFS($AQ$15:$AQ$206,$B$15:$B$206,$B$215,$D$15:$D$206,$D225,$W$15:$W$206,P$213)</f>
        <v>0</v>
      </c>
      <c r="Q225">
        <f>SUMIFS($AP$15:$AP$206,$B$15:$B$206,$B$215,$D$15:$D$206,$D225,$O$15:$O$206,Q$213)+SUMIFS($AQ$15:$AQ$206,$B$15:$B$206,$B$215,$D$15:$D$206,$D225,$W$15:$W$206,Q$213)</f>
        <v>0</v>
      </c>
      <c r="R225">
        <f>SUMIFS($AP$15:$AP$206,$B$15:$B$206,$B$215,$D$15:$D$206,$D225,$O$15:$O$206,R$213)+SUMIFS($AQ$15:$AQ$206,$B$15:$B$206,$B$215,$D$15:$D$206,$D225,$W$15:$W$206,R$213)</f>
        <v>0</v>
      </c>
      <c r="S225">
        <f>SUMIFS($AP$15:$AP$206,$B$15:$B$206,$B$215,$D$15:$D$206,$D225,$O$15:$O$206,S$213)+SUMIFS($AQ$15:$AQ$206,$B$15:$B$206,$B$215,$D$15:$D$206,$D225,$W$15:$W$206,S$213)</f>
        <v>0</v>
      </c>
      <c r="T225">
        <f>SUM(H225:R225)</f>
        <v>0</v>
      </c>
      <c r="V225">
        <f>IF(F225&gt;0,G225/F225,0)</f>
        <v>0</v>
      </c>
      <c r="W225">
        <f>IF(F225&gt;0,T225/F225,0)</f>
        <v>0</v>
      </c>
    </row>
    <row r="226">
      <c r="D226" t="str">
        <v>K177-1</v>
      </c>
      <c r="F226">
        <f>SUMIFS($AO$15:$AO$206,$B$15:$B$206,$B$215,$D$15:$D$206,$D226)</f>
        <v>0.3927</v>
      </c>
      <c r="G226">
        <f>SUMIFS($AT$15:$AT$206,$B$15:$B$206,$B$215,$D$15:$D$206,$D226)</f>
        <v>5.742</v>
      </c>
      <c r="H226">
        <f>SUMIFS($AR$15:$AR$206,$B$15:$B$206,$B$215,$D$15:$D$206,$D226,$AD$15:$AD$206,H$213)+SUMIFS($AS$15:$AS$206,$B$15:$B$206,$B$215,$D$15:$D$206,$D226,$AI$15:$AI$206,H$213)</f>
        <v>30.2509152</v>
      </c>
      <c r="I226">
        <f>SUMIFS($AR$15:$AR$206,$B$15:$B$206,$B$215,$D$15:$D$206,$D226,$AD$15:$AD$206,I$213)+SUMIFS($AS$15:$AS$206,$B$15:$B$206,$B$215,$D$15:$D$206,$D226,$AI$15:$AI$206,I$213)</f>
        <v>0</v>
      </c>
      <c r="J226">
        <f>SUMIFS($AR$15:$AR$206,$B$15:$B$206,$B$215,$D$15:$D$206,$D226,$AD$15:$AD$206,J$213)+SUMIFS($AS$15:$AS$206,$B$15:$B$206,$B$215,$D$15:$D$206,$D226,$AI$15:$AI$206,J$213)</f>
        <v>0</v>
      </c>
      <c r="K226">
        <f>SUMIFS($AR$15:$AR$206,$B$15:$B$206,$B$215,$D$15:$D$206,$D226,$AD$15:$AD$206,K$213)+SUMIFS($AS$15:$AS$206,$B$15:$B$206,$B$215,$D$15:$D$206,$D226,$AI$15:$AI$206,K$213)</f>
        <v>0</v>
      </c>
      <c r="L226">
        <f>SUMIFS($AP$15:$AP$206,$B$15:$B$206,$B$215,$D$15:$D$206,$D226,$O$15:$O$206,L$213)+SUMIFS($AQ$15:$AQ$206,$B$15:$B$206,$B$215,$D$15:$D$206,$D226,$W$15:$W$206,L$213)</f>
        <v>0</v>
      </c>
      <c r="M226">
        <f>SUMIFS($AP$15:$AP$206,$B$15:$B$206,$B$215,$D$15:$D$206,$D226,$O$15:$O$206,M$213)+SUMIFS($AQ$15:$AQ$206,$B$15:$B$206,$B$215,$D$15:$D$206,$D226,$W$15:$W$206,M$213)</f>
        <v>0</v>
      </c>
      <c r="N226">
        <f>SUMIFS($AP$15:$AP$206,$B$15:$B$206,$B$215,$D$15:$D$206,$D226,$O$15:$O$206,N$213)+SUMIFS($AQ$15:$AQ$206,$B$15:$B$206,$B$215,$D$15:$D$206,$D226,$W$15:$W$206,N$213)</f>
        <v>0</v>
      </c>
      <c r="O226">
        <f>SUMIFS($AP$15:$AP$206,$B$15:$B$206,$B$215,$D$15:$D$206,$D226,$O$15:$O$206,O$213)+SUMIFS($AQ$15:$AQ$206,$B$15:$B$206,$B$215,$D$15:$D$206,$D226,$W$15:$W$206,O$213)</f>
        <v>0</v>
      </c>
      <c r="P226">
        <f>SUMIFS($AP$15:$AP$206,$B$15:$B$206,$B$215,$D$15:$D$206,$D226,$O$15:$O$206,P$213)+SUMIFS($AQ$15:$AQ$206,$B$15:$B$206,$B$215,$D$15:$D$206,$D226,$W$15:$W$206,P$213)</f>
        <v>117.24276420000001</v>
      </c>
      <c r="Q226">
        <f>SUMIFS($AP$15:$AP$206,$B$15:$B$206,$B$215,$D$15:$D$206,$D226,$O$15:$O$206,Q$213)+SUMIFS($AQ$15:$AQ$206,$B$15:$B$206,$B$215,$D$15:$D$206,$D226,$W$15:$W$206,Q$213)</f>
        <v>0</v>
      </c>
      <c r="R226">
        <f>SUMIFS($AP$15:$AP$206,$B$15:$B$206,$B$215,$D$15:$D$206,$D226,$O$15:$O$206,R$213)+SUMIFS($AQ$15:$AQ$206,$B$15:$B$206,$B$215,$D$15:$D$206,$D226,$W$15:$W$206,R$213)</f>
        <v>0</v>
      </c>
      <c r="S226">
        <f>SUMIFS($AP$15:$AP$206,$B$15:$B$206,$B$215,$D$15:$D$206,$D226,$O$15:$O$206,S$213)+SUMIFS($AQ$15:$AQ$206,$B$15:$B$206,$B$215,$D$15:$D$206,$D226,$W$15:$W$206,S$213)</f>
        <v>0</v>
      </c>
      <c r="T226">
        <f>SUM(H226:R226)</f>
        <v>147.49367940000002</v>
      </c>
      <c r="V226">
        <f>IF(F226&gt;0,G226/F226,0)</f>
        <v>14.621848739495798</v>
      </c>
      <c r="W226">
        <f>IF(F226&gt;0,T226/F226,0)</f>
        <v>375.5886921313981</v>
      </c>
    </row>
    <row r="227">
      <c r="D227" t="str">
        <v>K177-2</v>
      </c>
      <c r="F227">
        <f>SUMIFS($AO$15:$AO$206,$B$15:$B$206,$B$215,$D$15:$D$206,$D227)</f>
        <v>0</v>
      </c>
      <c r="G227">
        <f>SUMIFS($AT$15:$AT$206,$B$15:$B$206,$B$215,$D$15:$D$206,$D227)</f>
        <v>0</v>
      </c>
      <c r="H227">
        <f>SUMIFS($AR$15:$AR$206,$B$15:$B$206,$B$215,$D$15:$D$206,$D227,$AD$15:$AD$206,H$213)+SUMIFS($AS$15:$AS$206,$B$15:$B$206,$B$215,$D$15:$D$206,$D227,$AI$15:$AI$206,H$213)</f>
        <v>0</v>
      </c>
      <c r="I227">
        <f>SUMIFS($AR$15:$AR$206,$B$15:$B$206,$B$215,$D$15:$D$206,$D227,$AD$15:$AD$206,I$213)+SUMIFS($AS$15:$AS$206,$B$15:$B$206,$B$215,$D$15:$D$206,$D227,$AI$15:$AI$206,I$213)</f>
        <v>0</v>
      </c>
      <c r="J227">
        <f>SUMIFS($AR$15:$AR$206,$B$15:$B$206,$B$215,$D$15:$D$206,$D227,$AD$15:$AD$206,J$213)+SUMIFS($AS$15:$AS$206,$B$15:$B$206,$B$215,$D$15:$D$206,$D227,$AI$15:$AI$206,J$213)</f>
        <v>0</v>
      </c>
      <c r="K227">
        <f>SUMIFS($AR$15:$AR$206,$B$15:$B$206,$B$215,$D$15:$D$206,$D227,$AD$15:$AD$206,K$213)+SUMIFS($AS$15:$AS$206,$B$15:$B$206,$B$215,$D$15:$D$206,$D227,$AI$15:$AI$206,K$213)</f>
        <v>0</v>
      </c>
      <c r="L227">
        <f>SUMIFS($AP$15:$AP$206,$B$15:$B$206,$B$215,$D$15:$D$206,$D227,$O$15:$O$206,L$213)+SUMIFS($AQ$15:$AQ$206,$B$15:$B$206,$B$215,$D$15:$D$206,$D227,$W$15:$W$206,L$213)</f>
        <v>0</v>
      </c>
      <c r="M227">
        <f>SUMIFS($AP$15:$AP$206,$B$15:$B$206,$B$215,$D$15:$D$206,$D227,$O$15:$O$206,M$213)+SUMIFS($AQ$15:$AQ$206,$B$15:$B$206,$B$215,$D$15:$D$206,$D227,$W$15:$W$206,M$213)</f>
        <v>0</v>
      </c>
      <c r="N227">
        <f>SUMIFS($AP$15:$AP$206,$B$15:$B$206,$B$215,$D$15:$D$206,$D227,$O$15:$O$206,N$213)+SUMIFS($AQ$15:$AQ$206,$B$15:$B$206,$B$215,$D$15:$D$206,$D227,$W$15:$W$206,N$213)</f>
        <v>0</v>
      </c>
      <c r="O227">
        <f>SUMIFS($AP$15:$AP$206,$B$15:$B$206,$B$215,$D$15:$D$206,$D227,$O$15:$O$206,O$213)+SUMIFS($AQ$15:$AQ$206,$B$15:$B$206,$B$215,$D$15:$D$206,$D227,$W$15:$W$206,O$213)</f>
        <v>0</v>
      </c>
      <c r="P227">
        <f>SUMIFS($AP$15:$AP$206,$B$15:$B$206,$B$215,$D$15:$D$206,$D227,$O$15:$O$206,P$213)+SUMIFS($AQ$15:$AQ$206,$B$15:$B$206,$B$215,$D$15:$D$206,$D227,$W$15:$W$206,P$213)</f>
        <v>0</v>
      </c>
      <c r="Q227">
        <f>SUMIFS($AP$15:$AP$206,$B$15:$B$206,$B$215,$D$15:$D$206,$D227,$O$15:$O$206,Q$213)+SUMIFS($AQ$15:$AQ$206,$B$15:$B$206,$B$215,$D$15:$D$206,$D227,$W$15:$W$206,Q$213)</f>
        <v>0</v>
      </c>
      <c r="R227">
        <f>SUMIFS($AP$15:$AP$206,$B$15:$B$206,$B$215,$D$15:$D$206,$D227,$O$15:$O$206,R$213)+SUMIFS($AQ$15:$AQ$206,$B$15:$B$206,$B$215,$D$15:$D$206,$D227,$W$15:$W$206,R$213)</f>
        <v>0</v>
      </c>
      <c r="S227">
        <f>SUMIFS($AP$15:$AP$206,$B$15:$B$206,$B$215,$D$15:$D$206,$D227,$O$15:$O$206,S$213)+SUMIFS($AQ$15:$AQ$206,$B$15:$B$206,$B$215,$D$15:$D$206,$D227,$W$15:$W$206,S$213)</f>
        <v>0</v>
      </c>
      <c r="T227">
        <f>SUM(H227:R227)</f>
        <v>0</v>
      </c>
      <c r="V227">
        <f>IF(F227&gt;0,G227/F227,0)</f>
        <v>0</v>
      </c>
      <c r="W227">
        <f>IF(F227&gt;0,T227/F227,0)</f>
        <v>0</v>
      </c>
    </row>
    <row r="228">
      <c r="D228" t="str">
        <v>K178-1</v>
      </c>
      <c r="F228">
        <f>SUMIFS($AO$15:$AO$206,$B$15:$B$206,$B$215,$D$15:$D$206,$D228)</f>
        <v>1.3464</v>
      </c>
      <c r="G228">
        <f>SUMIFS($AT$15:$AT$206,$B$15:$B$206,$B$215,$D$15:$D$206,$D228)</f>
        <v>19.206</v>
      </c>
      <c r="H228">
        <f>SUMIFS($AR$15:$AR$206,$B$15:$B$206,$B$215,$D$15:$D$206,$D228,$AD$15:$AD$206,H$213)+SUMIFS($AS$15:$AS$206,$B$15:$B$206,$B$215,$D$15:$D$206,$D228,$AI$15:$AI$206,H$213)</f>
        <v>105.5092896</v>
      </c>
      <c r="I228">
        <f>SUMIFS($AR$15:$AR$206,$B$15:$B$206,$B$215,$D$15:$D$206,$D228,$AD$15:$AD$206,I$213)+SUMIFS($AS$15:$AS$206,$B$15:$B$206,$B$215,$D$15:$D$206,$D228,$AI$15:$AI$206,I$213)</f>
        <v>0</v>
      </c>
      <c r="J228">
        <f>SUMIFS($AR$15:$AR$206,$B$15:$B$206,$B$215,$D$15:$D$206,$D228,$AD$15:$AD$206,J$213)+SUMIFS($AS$15:$AS$206,$B$15:$B$206,$B$215,$D$15:$D$206,$D228,$AI$15:$AI$206,J$213)</f>
        <v>0</v>
      </c>
      <c r="K228">
        <f>SUMIFS($AR$15:$AR$206,$B$15:$B$206,$B$215,$D$15:$D$206,$D228,$AD$15:$AD$206,K$213)+SUMIFS($AS$15:$AS$206,$B$15:$B$206,$B$215,$D$15:$D$206,$D228,$AI$15:$AI$206,K$213)</f>
        <v>0</v>
      </c>
      <c r="L228">
        <f>SUMIFS($AP$15:$AP$206,$B$15:$B$206,$B$215,$D$15:$D$206,$D228,$O$15:$O$206,L$213)+SUMIFS($AQ$15:$AQ$206,$B$15:$B$206,$B$215,$D$15:$D$206,$D228,$W$15:$W$206,L$213)</f>
        <v>0</v>
      </c>
      <c r="M228">
        <f>SUMIFS($AP$15:$AP$206,$B$15:$B$206,$B$215,$D$15:$D$206,$D228,$O$15:$O$206,M$213)+SUMIFS($AQ$15:$AQ$206,$B$15:$B$206,$B$215,$D$15:$D$206,$D228,$W$15:$W$206,M$213)</f>
        <v>0</v>
      </c>
      <c r="N228">
        <f>SUMIFS($AP$15:$AP$206,$B$15:$B$206,$B$215,$D$15:$D$206,$D228,$O$15:$O$206,N$213)+SUMIFS($AQ$15:$AQ$206,$B$15:$B$206,$B$215,$D$15:$D$206,$D228,$W$15:$W$206,N$213)</f>
        <v>0</v>
      </c>
      <c r="O228">
        <f>SUMIFS($AP$15:$AP$206,$B$15:$B$206,$B$215,$D$15:$D$206,$D228,$O$15:$O$206,O$213)+SUMIFS($AQ$15:$AQ$206,$B$15:$B$206,$B$215,$D$15:$D$206,$D228,$W$15:$W$206,O$213)</f>
        <v>188.83325952</v>
      </c>
      <c r="P228">
        <f>SUMIFS($AP$15:$AP$206,$B$15:$B$206,$B$215,$D$15:$D$206,$D228,$O$15:$O$206,P$213)+SUMIFS($AQ$15:$AQ$206,$B$15:$B$206,$B$215,$D$15:$D$206,$D228,$W$15:$W$206,P$213)</f>
        <v>0</v>
      </c>
      <c r="Q228">
        <f>SUMIFS($AP$15:$AP$206,$B$15:$B$206,$B$215,$D$15:$D$206,$D228,$O$15:$O$206,Q$213)+SUMIFS($AQ$15:$AQ$206,$B$15:$B$206,$B$215,$D$15:$D$206,$D228,$W$15:$W$206,Q$213)</f>
        <v>0</v>
      </c>
      <c r="R228">
        <f>SUMIFS($AP$15:$AP$206,$B$15:$B$206,$B$215,$D$15:$D$206,$D228,$O$15:$O$206,R$213)+SUMIFS($AQ$15:$AQ$206,$B$15:$B$206,$B$215,$D$15:$D$206,$D228,$W$15:$W$206,R$213)</f>
        <v>0</v>
      </c>
      <c r="S228">
        <f>SUMIFS($AP$15:$AP$206,$B$15:$B$206,$B$215,$D$15:$D$206,$D228,$O$15:$O$206,S$213)+SUMIFS($AQ$15:$AQ$206,$B$15:$B$206,$B$215,$D$15:$D$206,$D228,$W$15:$W$206,S$213)</f>
        <v>0</v>
      </c>
      <c r="T228">
        <f>SUM(H228:R228)</f>
        <v>294.34254912</v>
      </c>
      <c r="V228">
        <f>IF(F228&gt;0,G228/F228,0)</f>
        <v>14.26470588235294</v>
      </c>
      <c r="W228">
        <f>IF(F228&gt;0,T228/F228,0)</f>
        <v>218.61448983957217</v>
      </c>
    </row>
    <row r="229">
      <c r="D229" t="str">
        <v>K178-2</v>
      </c>
      <c r="F229">
        <f>SUMIFS($AO$15:$AO$206,$B$15:$B$206,$B$215,$D$15:$D$206,$D229)</f>
        <v>0.4488</v>
      </c>
      <c r="G229">
        <f>SUMIFS($AT$15:$AT$206,$B$15:$B$206,$B$215,$D$15:$D$206,$D229)</f>
        <v>6.402</v>
      </c>
      <c r="H229">
        <f>SUMIFS($AR$15:$AR$206,$B$15:$B$206,$B$215,$D$15:$D$206,$D229,$AD$15:$AD$206,H$213)+SUMIFS($AS$15:$AS$206,$B$15:$B$206,$B$215,$D$15:$D$206,$D229,$AI$15:$AI$206,H$213)</f>
        <v>35.751081600000006</v>
      </c>
      <c r="I229">
        <f>SUMIFS($AR$15:$AR$206,$B$15:$B$206,$B$215,$D$15:$D$206,$D229,$AD$15:$AD$206,I$213)+SUMIFS($AS$15:$AS$206,$B$15:$B$206,$B$215,$D$15:$D$206,$D229,$AI$15:$AI$206,I$213)</f>
        <v>0</v>
      </c>
      <c r="J229">
        <f>SUMIFS($AR$15:$AR$206,$B$15:$B$206,$B$215,$D$15:$D$206,$D229,$AD$15:$AD$206,J$213)+SUMIFS($AS$15:$AS$206,$B$15:$B$206,$B$215,$D$15:$D$206,$D229,$AI$15:$AI$206,J$213)</f>
        <v>0</v>
      </c>
      <c r="K229">
        <f>SUMIFS($AR$15:$AR$206,$B$15:$B$206,$B$215,$D$15:$D$206,$D229,$AD$15:$AD$206,K$213)+SUMIFS($AS$15:$AS$206,$B$15:$B$206,$B$215,$D$15:$D$206,$D229,$AI$15:$AI$206,K$213)</f>
        <v>0</v>
      </c>
      <c r="L229">
        <f>SUMIFS($AP$15:$AP$206,$B$15:$B$206,$B$215,$D$15:$D$206,$D229,$O$15:$O$206,L$213)+SUMIFS($AQ$15:$AQ$206,$B$15:$B$206,$B$215,$D$15:$D$206,$D229,$W$15:$W$206,L$213)</f>
        <v>0</v>
      </c>
      <c r="M229">
        <f>SUMIFS($AP$15:$AP$206,$B$15:$B$206,$B$215,$D$15:$D$206,$D229,$O$15:$O$206,M$213)+SUMIFS($AQ$15:$AQ$206,$B$15:$B$206,$B$215,$D$15:$D$206,$D229,$W$15:$W$206,M$213)</f>
        <v>0</v>
      </c>
      <c r="N229">
        <f>SUMIFS($AP$15:$AP$206,$B$15:$B$206,$B$215,$D$15:$D$206,$D229,$O$15:$O$206,N$213)+SUMIFS($AQ$15:$AQ$206,$B$15:$B$206,$B$215,$D$15:$D$206,$D229,$W$15:$W$206,N$213)</f>
        <v>0</v>
      </c>
      <c r="O229">
        <f>SUMIFS($AP$15:$AP$206,$B$15:$B$206,$B$215,$D$15:$D$206,$D229,$O$15:$O$206,O$213)+SUMIFS($AQ$15:$AQ$206,$B$15:$B$206,$B$215,$D$15:$D$206,$D229,$W$15:$W$206,O$213)</f>
        <v>0</v>
      </c>
      <c r="P229">
        <f>SUMIFS($AP$15:$AP$206,$B$15:$B$206,$B$215,$D$15:$D$206,$D229,$O$15:$O$206,P$213)+SUMIFS($AQ$15:$AQ$206,$B$15:$B$206,$B$215,$D$15:$D$206,$D229,$W$15:$W$206,P$213)</f>
        <v>164.13986988000002</v>
      </c>
      <c r="Q229">
        <f>SUMIFS($AP$15:$AP$206,$B$15:$B$206,$B$215,$D$15:$D$206,$D229,$O$15:$O$206,Q$213)+SUMIFS($AQ$15:$AQ$206,$B$15:$B$206,$B$215,$D$15:$D$206,$D229,$W$15:$W$206,Q$213)</f>
        <v>0</v>
      </c>
      <c r="R229">
        <f>SUMIFS($AP$15:$AP$206,$B$15:$B$206,$B$215,$D$15:$D$206,$D229,$O$15:$O$206,R$213)+SUMIFS($AQ$15:$AQ$206,$B$15:$B$206,$B$215,$D$15:$D$206,$D229,$W$15:$W$206,R$213)</f>
        <v>0</v>
      </c>
      <c r="S229">
        <f>SUMIFS($AP$15:$AP$206,$B$15:$B$206,$B$215,$D$15:$D$206,$D229,$O$15:$O$206,S$213)+SUMIFS($AQ$15:$AQ$206,$B$15:$B$206,$B$215,$D$15:$D$206,$D229,$W$15:$W$206,S$213)</f>
        <v>0</v>
      </c>
      <c r="T229">
        <f>SUM(H229:R229)</f>
        <v>199.89095148</v>
      </c>
      <c r="V229">
        <f>IF(F229&gt;0,G229/F229,0)</f>
        <v>14.264705882352942</v>
      </c>
      <c r="W229">
        <f>IF(F229&gt;0,T229/F229,0)</f>
        <v>445.38982058823535</v>
      </c>
    </row>
    <row r="230">
      <c r="D230" t="str">
        <v>K179-1</v>
      </c>
      <c r="F230">
        <f>SUMIFS($AO$15:$AO$206,$B$15:$B$206,$B$215,$D$15:$D$206,$D230)</f>
        <v>0.5049</v>
      </c>
      <c r="G230">
        <f>SUMIFS($AT$15:$AT$206,$B$15:$B$206,$B$215,$D$15:$D$206,$D230)</f>
        <v>7.062</v>
      </c>
      <c r="H230">
        <f>SUMIFS($AR$15:$AR$206,$B$15:$B$206,$B$215,$D$15:$D$206,$D230,$AD$15:$AD$206,H$213)+SUMIFS($AS$15:$AS$206,$B$15:$B$206,$B$215,$D$15:$D$206,$D230,$AI$15:$AI$206,H$213)</f>
        <v>38.986473600000004</v>
      </c>
      <c r="I230">
        <f>SUMIFS($AR$15:$AR$206,$B$15:$B$206,$B$215,$D$15:$D$206,$D230,$AD$15:$AD$206,I$213)+SUMIFS($AS$15:$AS$206,$B$15:$B$206,$B$215,$D$15:$D$206,$D230,$AI$15:$AI$206,I$213)</f>
        <v>0</v>
      </c>
      <c r="J230">
        <f>SUMIFS($AR$15:$AR$206,$B$15:$B$206,$B$215,$D$15:$D$206,$D230,$AD$15:$AD$206,J$213)+SUMIFS($AS$15:$AS$206,$B$15:$B$206,$B$215,$D$15:$D$206,$D230,$AI$15:$AI$206,J$213)</f>
        <v>0</v>
      </c>
      <c r="K230">
        <f>SUMIFS($AR$15:$AR$206,$B$15:$B$206,$B$215,$D$15:$D$206,$D230,$AD$15:$AD$206,K$213)+SUMIFS($AS$15:$AS$206,$B$15:$B$206,$B$215,$D$15:$D$206,$D230,$AI$15:$AI$206,K$213)</f>
        <v>0</v>
      </c>
      <c r="L230">
        <f>SUMIFS($AP$15:$AP$206,$B$15:$B$206,$B$215,$D$15:$D$206,$D230,$O$15:$O$206,L$213)+SUMIFS($AQ$15:$AQ$206,$B$15:$B$206,$B$215,$D$15:$D$206,$D230,$W$15:$W$206,L$213)</f>
        <v>0</v>
      </c>
      <c r="M230">
        <f>SUMIFS($AP$15:$AP$206,$B$15:$B$206,$B$215,$D$15:$D$206,$D230,$O$15:$O$206,M$213)+SUMIFS($AQ$15:$AQ$206,$B$15:$B$206,$B$215,$D$15:$D$206,$D230,$W$15:$W$206,M$213)</f>
        <v>0</v>
      </c>
      <c r="N230">
        <f>SUMIFS($AP$15:$AP$206,$B$15:$B$206,$B$215,$D$15:$D$206,$D230,$O$15:$O$206,N$213)+SUMIFS($AQ$15:$AQ$206,$B$15:$B$206,$B$215,$D$15:$D$206,$D230,$W$15:$W$206,N$213)</f>
        <v>0</v>
      </c>
      <c r="O230">
        <f>SUMIFS($AP$15:$AP$206,$B$15:$B$206,$B$215,$D$15:$D$206,$D230,$O$15:$O$206,O$213)+SUMIFS($AQ$15:$AQ$206,$B$15:$B$206,$B$215,$D$15:$D$206,$D230,$W$15:$W$206,O$213)</f>
        <v>0</v>
      </c>
      <c r="P230">
        <f>SUMIFS($AP$15:$AP$206,$B$15:$B$206,$B$215,$D$15:$D$206,$D230,$O$15:$O$206,P$213)+SUMIFS($AQ$15:$AQ$206,$B$15:$B$206,$B$215,$D$15:$D$206,$D230,$W$15:$W$206,P$213)</f>
        <v>164.13986988000002</v>
      </c>
      <c r="Q230">
        <f>SUMIFS($AP$15:$AP$206,$B$15:$B$206,$B$215,$D$15:$D$206,$D230,$O$15:$O$206,Q$213)+SUMIFS($AQ$15:$AQ$206,$B$15:$B$206,$B$215,$D$15:$D$206,$D230,$W$15:$W$206,Q$213)</f>
        <v>0</v>
      </c>
      <c r="R230">
        <f>SUMIFS($AP$15:$AP$206,$B$15:$B$206,$B$215,$D$15:$D$206,$D230,$O$15:$O$206,R$213)+SUMIFS($AQ$15:$AQ$206,$B$15:$B$206,$B$215,$D$15:$D$206,$D230,$W$15:$W$206,R$213)</f>
        <v>0</v>
      </c>
      <c r="S230">
        <f>SUMIFS($AP$15:$AP$206,$B$15:$B$206,$B$215,$D$15:$D$206,$D230,$O$15:$O$206,S$213)+SUMIFS($AQ$15:$AQ$206,$B$15:$B$206,$B$215,$D$15:$D$206,$D230,$W$15:$W$206,S$213)</f>
        <v>0</v>
      </c>
      <c r="T230">
        <f>SUM(H230:R230)</f>
        <v>203.12634348000003</v>
      </c>
      <c r="V230">
        <f>IF(F230&gt;0,G230/F230,0)</f>
        <v>13.986928104575163</v>
      </c>
      <c r="W230">
        <f>IF(F230&gt;0,T230/F230,0)</f>
        <v>402.31004848484855</v>
      </c>
    </row>
    <row r="231">
      <c r="D231" t="str">
        <v>K275-1</v>
      </c>
      <c r="F231">
        <f>SUMIFS($AO$15:$AO$206,$B$15:$B$206,$B$215,$D$15:$D$206,$D231)</f>
        <v>0</v>
      </c>
      <c r="G231">
        <f>SUMIFS($AT$15:$AT$206,$B$15:$B$206,$B$215,$D$15:$D$206,$D231)</f>
        <v>0</v>
      </c>
      <c r="H231">
        <f>SUMIFS($AR$15:$AR$206,$B$15:$B$206,$B$215,$D$15:$D$206,$D231,$AD$15:$AD$206,H$213)+SUMIFS($AS$15:$AS$206,$B$15:$B$206,$B$215,$D$15:$D$206,$D231,$AI$15:$AI$206,H$213)</f>
        <v>0</v>
      </c>
      <c r="I231">
        <f>SUMIFS($AR$15:$AR$206,$B$15:$B$206,$B$215,$D$15:$D$206,$D231,$AD$15:$AD$206,I$213)+SUMIFS($AS$15:$AS$206,$B$15:$B$206,$B$215,$D$15:$D$206,$D231,$AI$15:$AI$206,I$213)</f>
        <v>0</v>
      </c>
      <c r="J231">
        <f>SUMIFS($AR$15:$AR$206,$B$15:$B$206,$B$215,$D$15:$D$206,$D231,$AD$15:$AD$206,J$213)+SUMIFS($AS$15:$AS$206,$B$15:$B$206,$B$215,$D$15:$D$206,$D231,$AI$15:$AI$206,J$213)</f>
        <v>0</v>
      </c>
      <c r="K231">
        <f>SUMIFS($AR$15:$AR$206,$B$15:$B$206,$B$215,$D$15:$D$206,$D231,$AD$15:$AD$206,K$213)+SUMIFS($AS$15:$AS$206,$B$15:$B$206,$B$215,$D$15:$D$206,$D231,$AI$15:$AI$206,K$213)</f>
        <v>0</v>
      </c>
      <c r="L231">
        <f>SUMIFS($AP$15:$AP$206,$B$15:$B$206,$B$215,$D$15:$D$206,$D231,$O$15:$O$206,L$213)+SUMIFS($AQ$15:$AQ$206,$B$15:$B$206,$B$215,$D$15:$D$206,$D231,$W$15:$W$206,L$213)</f>
        <v>0</v>
      </c>
      <c r="M231">
        <f>SUMIFS($AP$15:$AP$206,$B$15:$B$206,$B$215,$D$15:$D$206,$D231,$O$15:$O$206,M$213)+SUMIFS($AQ$15:$AQ$206,$B$15:$B$206,$B$215,$D$15:$D$206,$D231,$W$15:$W$206,M$213)</f>
        <v>0</v>
      </c>
      <c r="N231">
        <f>SUMIFS($AP$15:$AP$206,$B$15:$B$206,$B$215,$D$15:$D$206,$D231,$O$15:$O$206,N$213)+SUMIFS($AQ$15:$AQ$206,$B$15:$B$206,$B$215,$D$15:$D$206,$D231,$W$15:$W$206,N$213)</f>
        <v>0</v>
      </c>
      <c r="O231">
        <f>SUMIFS($AP$15:$AP$206,$B$15:$B$206,$B$215,$D$15:$D$206,$D231,$O$15:$O$206,O$213)+SUMIFS($AQ$15:$AQ$206,$B$15:$B$206,$B$215,$D$15:$D$206,$D231,$W$15:$W$206,O$213)</f>
        <v>0</v>
      </c>
      <c r="P231">
        <f>SUMIFS($AP$15:$AP$206,$B$15:$B$206,$B$215,$D$15:$D$206,$D231,$O$15:$O$206,P$213)+SUMIFS($AQ$15:$AQ$206,$B$15:$B$206,$B$215,$D$15:$D$206,$D231,$W$15:$W$206,P$213)</f>
        <v>0</v>
      </c>
      <c r="Q231">
        <f>SUMIFS($AP$15:$AP$206,$B$15:$B$206,$B$215,$D$15:$D$206,$D231,$O$15:$O$206,Q$213)+SUMIFS($AQ$15:$AQ$206,$B$15:$B$206,$B$215,$D$15:$D$206,$D231,$W$15:$W$206,Q$213)</f>
        <v>0</v>
      </c>
      <c r="R231">
        <f>SUMIFS($AP$15:$AP$206,$B$15:$B$206,$B$215,$D$15:$D$206,$D231,$O$15:$O$206,R$213)+SUMIFS($AQ$15:$AQ$206,$B$15:$B$206,$B$215,$D$15:$D$206,$D231,$W$15:$W$206,R$213)</f>
        <v>0</v>
      </c>
      <c r="S231">
        <f>SUMIFS($AP$15:$AP$206,$B$15:$B$206,$B$215,$D$15:$D$206,$D231,$O$15:$O$206,S$213)+SUMIFS($AQ$15:$AQ$206,$B$15:$B$206,$B$215,$D$15:$D$206,$D231,$W$15:$W$206,S$213)</f>
        <v>0</v>
      </c>
      <c r="T231">
        <f>SUM(H231:R231)</f>
        <v>0</v>
      </c>
      <c r="V231">
        <f>IF(F231&gt;0,G231/F231,0)</f>
        <v>0</v>
      </c>
      <c r="W231">
        <f>IF(F231&gt;0,T231/F231,0)</f>
        <v>0</v>
      </c>
    </row>
    <row r="232">
      <c r="D232" t="str">
        <v>K278-1</v>
      </c>
      <c r="F232">
        <f>SUMIFS($AO$15:$AO$206,$B$15:$B$206,$B$215,$D$15:$D$206,$D232)</f>
        <v>1.4256</v>
      </c>
      <c r="G232">
        <f>SUMIFS($AT$15:$AT$206,$B$15:$B$206,$B$215,$D$15:$D$206,$D232)</f>
        <v>14.124</v>
      </c>
      <c r="H232">
        <f>SUMIFS($AR$15:$AR$206,$B$15:$B$206,$B$215,$D$15:$D$206,$D232,$AD$15:$AD$206,H$213)+SUMIFS($AS$15:$AS$206,$B$15:$B$206,$B$215,$D$15:$D$206,$D232,$AI$15:$AI$206,H$213)</f>
        <v>0</v>
      </c>
      <c r="I232">
        <f>SUMIFS($AR$15:$AR$206,$B$15:$B$206,$B$215,$D$15:$D$206,$D232,$AD$15:$AD$206,I$213)+SUMIFS($AS$15:$AS$206,$B$15:$B$206,$B$215,$D$15:$D$206,$D232,$AI$15:$AI$206,I$213)</f>
        <v>126.88803</v>
      </c>
      <c r="J232">
        <f>SUMIFS($AR$15:$AR$206,$B$15:$B$206,$B$215,$D$15:$D$206,$D232,$AD$15:$AD$206,J$213)+SUMIFS($AS$15:$AS$206,$B$15:$B$206,$B$215,$D$15:$D$206,$D232,$AI$15:$AI$206,J$213)</f>
        <v>0</v>
      </c>
      <c r="K232">
        <f>SUMIFS($AR$15:$AR$206,$B$15:$B$206,$B$215,$D$15:$D$206,$D232,$AD$15:$AD$206,K$213)+SUMIFS($AS$15:$AS$206,$B$15:$B$206,$B$215,$D$15:$D$206,$D232,$AI$15:$AI$206,K$213)</f>
        <v>0</v>
      </c>
      <c r="L232">
        <f>SUMIFS($AP$15:$AP$206,$B$15:$B$206,$B$215,$D$15:$D$206,$D232,$O$15:$O$206,L$213)+SUMIFS($AQ$15:$AQ$206,$B$15:$B$206,$B$215,$D$15:$D$206,$D232,$W$15:$W$206,L$213)</f>
        <v>0</v>
      </c>
      <c r="M232">
        <f>SUMIFS($AP$15:$AP$206,$B$15:$B$206,$B$215,$D$15:$D$206,$D232,$O$15:$O$206,M$213)+SUMIFS($AQ$15:$AQ$206,$B$15:$B$206,$B$215,$D$15:$D$206,$D232,$W$15:$W$206,M$213)</f>
        <v>0</v>
      </c>
      <c r="N232">
        <f>SUMIFS($AP$15:$AP$206,$B$15:$B$206,$B$215,$D$15:$D$206,$D232,$O$15:$O$206,N$213)+SUMIFS($AQ$15:$AQ$206,$B$15:$B$206,$B$215,$D$15:$D$206,$D232,$W$15:$W$206,N$213)</f>
        <v>0</v>
      </c>
      <c r="O232">
        <f>SUMIFS($AP$15:$AP$206,$B$15:$B$206,$B$215,$D$15:$D$206,$D232,$O$15:$O$206,O$213)+SUMIFS($AQ$15:$AQ$206,$B$15:$B$206,$B$215,$D$15:$D$206,$D232,$W$15:$W$206,O$213)</f>
        <v>0</v>
      </c>
      <c r="P232">
        <f>SUMIFS($AP$15:$AP$206,$B$15:$B$206,$B$215,$D$15:$D$206,$D232,$O$15:$O$206,P$213)+SUMIFS($AQ$15:$AQ$206,$B$15:$B$206,$B$215,$D$15:$D$206,$D232,$W$15:$W$206,P$213)</f>
        <v>187.58842271999998</v>
      </c>
      <c r="Q232">
        <f>SUMIFS($AP$15:$AP$206,$B$15:$B$206,$B$215,$D$15:$D$206,$D232,$O$15:$O$206,Q$213)+SUMIFS($AQ$15:$AQ$206,$B$15:$B$206,$B$215,$D$15:$D$206,$D232,$W$15:$W$206,Q$213)</f>
        <v>138.78529632000001</v>
      </c>
      <c r="R232">
        <f>SUMIFS($AP$15:$AP$206,$B$15:$B$206,$B$215,$D$15:$D$206,$D232,$O$15:$O$206,R$213)+SUMIFS($AQ$15:$AQ$206,$B$15:$B$206,$B$215,$D$15:$D$206,$D232,$W$15:$W$206,R$213)</f>
        <v>0</v>
      </c>
      <c r="S232">
        <f>SUMIFS($AP$15:$AP$206,$B$15:$B$206,$B$215,$D$15:$D$206,$D232,$O$15:$O$206,S$213)+SUMIFS($AQ$15:$AQ$206,$B$15:$B$206,$B$215,$D$15:$D$206,$D232,$W$15:$W$206,S$213)</f>
        <v>0</v>
      </c>
      <c r="T232">
        <f>SUM(H232:R232)</f>
        <v>453.26174904000004</v>
      </c>
      <c r="V232">
        <f>IF(F232&gt;0,G232/F232,0)</f>
        <v>9.907407407407408</v>
      </c>
      <c r="W232">
        <f>IF(F232&gt;0,T232/F232,0)</f>
        <v>317.94454898989903</v>
      </c>
    </row>
    <row r="233">
      <c r="D233" t="str">
        <v>K36-1</v>
      </c>
      <c r="F233">
        <f>SUMIFS($AO$15:$AO$206,$B$15:$B$206,$B$215,$D$15:$D$206,$D233)</f>
        <v>0</v>
      </c>
      <c r="G233">
        <f>SUMIFS($AT$15:$AT$206,$B$15:$B$206,$B$215,$D$15:$D$206,$D233)</f>
        <v>0</v>
      </c>
      <c r="H233">
        <f>SUMIFS($AR$15:$AR$206,$B$15:$B$206,$B$215,$D$15:$D$206,$D233,$AD$15:$AD$206,H$213)+SUMIFS($AS$15:$AS$206,$B$15:$B$206,$B$215,$D$15:$D$206,$D233,$AI$15:$AI$206,H$213)</f>
        <v>0</v>
      </c>
      <c r="I233">
        <f>SUMIFS($AR$15:$AR$206,$B$15:$B$206,$B$215,$D$15:$D$206,$D233,$AD$15:$AD$206,I$213)+SUMIFS($AS$15:$AS$206,$B$15:$B$206,$B$215,$D$15:$D$206,$D233,$AI$15:$AI$206,I$213)</f>
        <v>0</v>
      </c>
      <c r="J233">
        <f>SUMIFS($AR$15:$AR$206,$B$15:$B$206,$B$215,$D$15:$D$206,$D233,$AD$15:$AD$206,J$213)+SUMIFS($AS$15:$AS$206,$B$15:$B$206,$B$215,$D$15:$D$206,$D233,$AI$15:$AI$206,J$213)</f>
        <v>0</v>
      </c>
      <c r="K233">
        <f>SUMIFS($AR$15:$AR$206,$B$15:$B$206,$B$215,$D$15:$D$206,$D233,$AD$15:$AD$206,K$213)+SUMIFS($AS$15:$AS$206,$B$15:$B$206,$B$215,$D$15:$D$206,$D233,$AI$15:$AI$206,K$213)</f>
        <v>0</v>
      </c>
      <c r="L233">
        <f>SUMIFS($AP$15:$AP$206,$B$15:$B$206,$B$215,$D$15:$D$206,$D233,$O$15:$O$206,L$213)+SUMIFS($AQ$15:$AQ$206,$B$15:$B$206,$B$215,$D$15:$D$206,$D233,$W$15:$W$206,L$213)</f>
        <v>0</v>
      </c>
      <c r="M233">
        <f>SUMIFS($AP$15:$AP$206,$B$15:$B$206,$B$215,$D$15:$D$206,$D233,$O$15:$O$206,M$213)+SUMIFS($AQ$15:$AQ$206,$B$15:$B$206,$B$215,$D$15:$D$206,$D233,$W$15:$W$206,M$213)</f>
        <v>0</v>
      </c>
      <c r="N233">
        <f>SUMIFS($AP$15:$AP$206,$B$15:$B$206,$B$215,$D$15:$D$206,$D233,$O$15:$O$206,N$213)+SUMIFS($AQ$15:$AQ$206,$B$15:$B$206,$B$215,$D$15:$D$206,$D233,$W$15:$W$206,N$213)</f>
        <v>0</v>
      </c>
      <c r="O233">
        <f>SUMIFS($AP$15:$AP$206,$B$15:$B$206,$B$215,$D$15:$D$206,$D233,$O$15:$O$206,O$213)+SUMIFS($AQ$15:$AQ$206,$B$15:$B$206,$B$215,$D$15:$D$206,$D233,$W$15:$W$206,O$213)</f>
        <v>0</v>
      </c>
      <c r="P233">
        <f>SUMIFS($AP$15:$AP$206,$B$15:$B$206,$B$215,$D$15:$D$206,$D233,$O$15:$O$206,P$213)+SUMIFS($AQ$15:$AQ$206,$B$15:$B$206,$B$215,$D$15:$D$206,$D233,$W$15:$W$206,P$213)</f>
        <v>0</v>
      </c>
      <c r="Q233">
        <f>SUMIFS($AP$15:$AP$206,$B$15:$B$206,$B$215,$D$15:$D$206,$D233,$O$15:$O$206,Q$213)+SUMIFS($AQ$15:$AQ$206,$B$15:$B$206,$B$215,$D$15:$D$206,$D233,$W$15:$W$206,Q$213)</f>
        <v>0</v>
      </c>
      <c r="R233">
        <f>SUMIFS($AP$15:$AP$206,$B$15:$B$206,$B$215,$D$15:$D$206,$D233,$O$15:$O$206,R$213)+SUMIFS($AQ$15:$AQ$206,$B$15:$B$206,$B$215,$D$15:$D$206,$D233,$W$15:$W$206,R$213)</f>
        <v>0</v>
      </c>
      <c r="S233">
        <f>SUMIFS($AP$15:$AP$206,$B$15:$B$206,$B$215,$D$15:$D$206,$D233,$O$15:$O$206,S$213)+SUMIFS($AQ$15:$AQ$206,$B$15:$B$206,$B$215,$D$15:$D$206,$D233,$W$15:$W$206,S$213)</f>
        <v>0</v>
      </c>
      <c r="T233">
        <f>SUM(H233:R233)</f>
        <v>0</v>
      </c>
      <c r="V233">
        <f>IF(F233&gt;0,G233/F233,0)</f>
        <v>0</v>
      </c>
      <c r="W233">
        <f>IF(F233&gt;0,T233/F233,0)</f>
        <v>0</v>
      </c>
    </row>
    <row r="234">
      <c r="D234" t="str">
        <v>K48-1</v>
      </c>
      <c r="F234">
        <f>SUMIFS($AO$15:$AO$206,$B$15:$B$206,$B$215,$D$15:$D$206,$D234)</f>
        <v>2.112</v>
      </c>
      <c r="G234">
        <f>SUMIFS($AT$15:$AT$206,$B$15:$B$206,$B$215,$D$15:$D$206,$D234)</f>
        <v>15.84</v>
      </c>
      <c r="H234">
        <f>SUMIFS($AR$15:$AR$206,$B$15:$B$206,$B$215,$D$15:$D$206,$D234,$AD$15:$AD$206,H$213)+SUMIFS($AS$15:$AS$206,$B$15:$B$206,$B$215,$D$15:$D$206,$D234,$AI$15:$AI$206,H$213)</f>
        <v>0</v>
      </c>
      <c r="I234">
        <f>SUMIFS($AR$15:$AR$206,$B$15:$B$206,$B$215,$D$15:$D$206,$D234,$AD$15:$AD$206,I$213)+SUMIFS($AS$15:$AS$206,$B$15:$B$206,$B$215,$D$15:$D$206,$D234,$AI$15:$AI$206,I$213)</f>
        <v>218.38896</v>
      </c>
      <c r="J234">
        <f>SUMIFS($AR$15:$AR$206,$B$15:$B$206,$B$215,$D$15:$D$206,$D234,$AD$15:$AD$206,J$213)+SUMIFS($AS$15:$AS$206,$B$15:$B$206,$B$215,$D$15:$D$206,$D234,$AI$15:$AI$206,J$213)</f>
        <v>0</v>
      </c>
      <c r="K234">
        <f>SUMIFS($AR$15:$AR$206,$B$15:$B$206,$B$215,$D$15:$D$206,$D234,$AD$15:$AD$206,K$213)+SUMIFS($AS$15:$AS$206,$B$15:$B$206,$B$215,$D$15:$D$206,$D234,$AI$15:$AI$206,K$213)</f>
        <v>0</v>
      </c>
      <c r="L234">
        <f>SUMIFS($AP$15:$AP$206,$B$15:$B$206,$B$215,$D$15:$D$206,$D234,$O$15:$O$206,L$213)+SUMIFS($AQ$15:$AQ$206,$B$15:$B$206,$B$215,$D$15:$D$206,$D234,$W$15:$W$206,L$213)</f>
        <v>0</v>
      </c>
      <c r="M234">
        <f>SUMIFS($AP$15:$AP$206,$B$15:$B$206,$B$215,$D$15:$D$206,$D234,$O$15:$O$206,M$213)+SUMIFS($AQ$15:$AQ$206,$B$15:$B$206,$B$215,$D$15:$D$206,$D234,$W$15:$W$206,M$213)</f>
        <v>0</v>
      </c>
      <c r="N234">
        <f>SUMIFS($AP$15:$AP$206,$B$15:$B$206,$B$215,$D$15:$D$206,$D234,$O$15:$O$206,N$213)+SUMIFS($AQ$15:$AQ$206,$B$15:$B$206,$B$215,$D$15:$D$206,$D234,$W$15:$W$206,N$213)</f>
        <v>0</v>
      </c>
      <c r="O234">
        <f>SUMIFS($AP$15:$AP$206,$B$15:$B$206,$B$215,$D$15:$D$206,$D234,$O$15:$O$206,O$213)+SUMIFS($AQ$15:$AQ$206,$B$15:$B$206,$B$215,$D$15:$D$206,$D234,$W$15:$W$206,O$213)</f>
        <v>0</v>
      </c>
      <c r="P234">
        <f>SUMIFS($AP$15:$AP$206,$B$15:$B$206,$B$215,$D$15:$D$206,$D234,$O$15:$O$206,P$213)+SUMIFS($AQ$15:$AQ$206,$B$15:$B$206,$B$215,$D$15:$D$206,$D234,$W$15:$W$206,P$213)</f>
        <v>0</v>
      </c>
      <c r="Q234">
        <f>SUMIFS($AP$15:$AP$206,$B$15:$B$206,$B$215,$D$15:$D$206,$D234,$O$15:$O$206,Q$213)+SUMIFS($AQ$15:$AQ$206,$B$15:$B$206,$B$215,$D$15:$D$206,$D234,$W$15:$W$206,Q$213)</f>
        <v>572.16112272</v>
      </c>
      <c r="R234">
        <f>SUMIFS($AP$15:$AP$206,$B$15:$B$206,$B$215,$D$15:$D$206,$D234,$O$15:$O$206,R$213)+SUMIFS($AQ$15:$AQ$206,$B$15:$B$206,$B$215,$D$15:$D$206,$D234,$W$15:$W$206,R$213)</f>
        <v>0</v>
      </c>
      <c r="S234">
        <f>SUMIFS($AP$15:$AP$206,$B$15:$B$206,$B$215,$D$15:$D$206,$D234,$O$15:$O$206,S$213)+SUMIFS($AQ$15:$AQ$206,$B$15:$B$206,$B$215,$D$15:$D$206,$D234,$W$15:$W$206,S$213)</f>
        <v>0</v>
      </c>
      <c r="T234">
        <f>SUM(H234:R234)</f>
        <v>790.55008272</v>
      </c>
      <c r="V234">
        <f>IF(F234&gt;0,G234/F234,0)</f>
        <v>7.5</v>
      </c>
      <c r="W234">
        <f>IF(F234&gt;0,T234/F234,0)</f>
        <v>374.3134861363636</v>
      </c>
    </row>
    <row r="235">
      <c r="D235" t="str">
        <v>K55-1</v>
      </c>
      <c r="F235">
        <f>SUMIFS($AO$15:$AO$206,$B$15:$B$206,$B$215,$D$15:$D$206,$D235)</f>
        <v>2.4749999999999996</v>
      </c>
      <c r="G235">
        <f>SUMIFS($AT$15:$AT$206,$B$15:$B$206,$B$215,$D$15:$D$206,$D235)</f>
        <v>19.799999999999997</v>
      </c>
      <c r="H235">
        <f>SUMIFS($AR$15:$AR$206,$B$15:$B$206,$B$215,$D$15:$D$206,$D235,$AD$15:$AD$206,H$213)+SUMIFS($AS$15:$AS$206,$B$15:$B$206,$B$215,$D$15:$D$206,$D235,$AI$15:$AI$206,H$213)</f>
        <v>0</v>
      </c>
      <c r="I235">
        <f>SUMIFS($AR$15:$AR$206,$B$15:$B$206,$B$215,$D$15:$D$206,$D235,$AD$15:$AD$206,I$213)+SUMIFS($AS$15:$AS$206,$B$15:$B$206,$B$215,$D$15:$D$206,$D235,$AI$15:$AI$206,I$213)</f>
        <v>243.412695</v>
      </c>
      <c r="J235">
        <f>SUMIFS($AR$15:$AR$206,$B$15:$B$206,$B$215,$D$15:$D$206,$D235,$AD$15:$AD$206,J$213)+SUMIFS($AS$15:$AS$206,$B$15:$B$206,$B$215,$D$15:$D$206,$D235,$AI$15:$AI$206,J$213)</f>
        <v>0</v>
      </c>
      <c r="K235">
        <f>SUMIFS($AR$15:$AR$206,$B$15:$B$206,$B$215,$D$15:$D$206,$D235,$AD$15:$AD$206,K$213)+SUMIFS($AS$15:$AS$206,$B$15:$B$206,$B$215,$D$15:$D$206,$D235,$AI$15:$AI$206,K$213)</f>
        <v>0</v>
      </c>
      <c r="L235">
        <f>SUMIFS($AP$15:$AP$206,$B$15:$B$206,$B$215,$D$15:$D$206,$D235,$O$15:$O$206,L$213)+SUMIFS($AQ$15:$AQ$206,$B$15:$B$206,$B$215,$D$15:$D$206,$D235,$W$15:$W$206,L$213)</f>
        <v>0</v>
      </c>
      <c r="M235">
        <f>SUMIFS($AP$15:$AP$206,$B$15:$B$206,$B$215,$D$15:$D$206,$D235,$O$15:$O$206,M$213)+SUMIFS($AQ$15:$AQ$206,$B$15:$B$206,$B$215,$D$15:$D$206,$D235,$W$15:$W$206,M$213)</f>
        <v>0</v>
      </c>
      <c r="N235">
        <f>SUMIFS($AP$15:$AP$206,$B$15:$B$206,$B$215,$D$15:$D$206,$D235,$O$15:$O$206,N$213)+SUMIFS($AQ$15:$AQ$206,$B$15:$B$206,$B$215,$D$15:$D$206,$D235,$W$15:$W$206,N$213)</f>
        <v>0</v>
      </c>
      <c r="O235">
        <f>SUMIFS($AP$15:$AP$206,$B$15:$B$206,$B$215,$D$15:$D$206,$D235,$O$15:$O$206,O$213)+SUMIFS($AQ$15:$AQ$206,$B$15:$B$206,$B$215,$D$15:$D$206,$D235,$W$15:$W$206,O$213)</f>
        <v>0</v>
      </c>
      <c r="P235">
        <f>SUMIFS($AP$15:$AP$206,$B$15:$B$206,$B$215,$D$15:$D$206,$D235,$O$15:$O$206,P$213)+SUMIFS($AQ$15:$AQ$206,$B$15:$B$206,$B$215,$D$15:$D$206,$D235,$W$15:$W$206,P$213)</f>
        <v>457.86103632</v>
      </c>
      <c r="Q235">
        <f>SUMIFS($AP$15:$AP$206,$B$15:$B$206,$B$215,$D$15:$D$206,$D235,$O$15:$O$206,Q$213)+SUMIFS($AQ$15:$AQ$206,$B$15:$B$206,$B$215,$D$15:$D$206,$D235,$W$15:$W$206,Q$213)</f>
        <v>0</v>
      </c>
      <c r="R235">
        <f>SUMIFS($AP$15:$AP$206,$B$15:$B$206,$B$215,$D$15:$D$206,$D235,$O$15:$O$206,R$213)+SUMIFS($AQ$15:$AQ$206,$B$15:$B$206,$B$215,$D$15:$D$206,$D235,$W$15:$W$206,R$213)</f>
        <v>0</v>
      </c>
      <c r="S235">
        <f>SUMIFS($AP$15:$AP$206,$B$15:$B$206,$B$215,$D$15:$D$206,$D235,$O$15:$O$206,S$213)+SUMIFS($AQ$15:$AQ$206,$B$15:$B$206,$B$215,$D$15:$D$206,$D235,$W$15:$W$206,S$213)</f>
        <v>0</v>
      </c>
      <c r="T235">
        <f>SUM(H235:R235)</f>
        <v>701.27373132</v>
      </c>
      <c r="V235">
        <f>IF(F235&gt;0,G235/F235,0)</f>
        <v>8</v>
      </c>
      <c r="W235">
        <f>IF(F235&gt;0,T235/F235,0)</f>
        <v>283.3429217454546</v>
      </c>
    </row>
    <row r="236">
      <c r="D236" t="str">
        <v>K59-1</v>
      </c>
      <c r="F236">
        <f>SUMIFS($AO$15:$AO$206,$B$15:$B$206,$B$215,$D$15:$D$206,$D236)</f>
        <v>7.425000000000001</v>
      </c>
      <c r="G236">
        <f>SUMIFS($AT$15:$AT$206,$B$15:$B$206,$B$215,$D$15:$D$206,$D236)</f>
        <v>46.2</v>
      </c>
      <c r="H236">
        <f>SUMIFS($AR$15:$AR$206,$B$15:$B$206,$B$215,$D$15:$D$206,$D236,$AD$15:$AD$206,H$213)+SUMIFS($AS$15:$AS$206,$B$15:$B$206,$B$215,$D$15:$D$206,$D236,$AI$15:$AI$206,H$213)</f>
        <v>0</v>
      </c>
      <c r="I236">
        <f>SUMIFS($AR$15:$AR$206,$B$15:$B$206,$B$215,$D$15:$D$206,$D236,$AD$15:$AD$206,I$213)+SUMIFS($AS$15:$AS$206,$B$15:$B$206,$B$215,$D$15:$D$206,$D236,$AI$15:$AI$206,I$213)</f>
        <v>659.19879</v>
      </c>
      <c r="J236">
        <f>SUMIFS($AR$15:$AR$206,$B$15:$B$206,$B$215,$D$15:$D$206,$D236,$AD$15:$AD$206,J$213)+SUMIFS($AS$15:$AS$206,$B$15:$B$206,$B$215,$D$15:$D$206,$D236,$AI$15:$AI$206,J$213)</f>
        <v>0</v>
      </c>
      <c r="K236">
        <f>SUMIFS($AR$15:$AR$206,$B$15:$B$206,$B$215,$D$15:$D$206,$D236,$AD$15:$AD$206,K$213)+SUMIFS($AS$15:$AS$206,$B$15:$B$206,$B$215,$D$15:$D$206,$D236,$AI$15:$AI$206,K$213)</f>
        <v>0</v>
      </c>
      <c r="L236">
        <f>SUMIFS($AP$15:$AP$206,$B$15:$B$206,$B$215,$D$15:$D$206,$D236,$O$15:$O$206,L$213)+SUMIFS($AQ$15:$AQ$206,$B$15:$B$206,$B$215,$D$15:$D$206,$D236,$W$15:$W$206,L$213)</f>
        <v>0</v>
      </c>
      <c r="M236">
        <f>SUMIFS($AP$15:$AP$206,$B$15:$B$206,$B$215,$D$15:$D$206,$D236,$O$15:$O$206,M$213)+SUMIFS($AQ$15:$AQ$206,$B$15:$B$206,$B$215,$D$15:$D$206,$D236,$W$15:$W$206,M$213)</f>
        <v>0</v>
      </c>
      <c r="N236">
        <f>SUMIFS($AP$15:$AP$206,$B$15:$B$206,$B$215,$D$15:$D$206,$D236,$O$15:$O$206,N$213)+SUMIFS($AQ$15:$AQ$206,$B$15:$B$206,$B$215,$D$15:$D$206,$D236,$W$15:$W$206,N$213)</f>
        <v>0</v>
      </c>
      <c r="O236">
        <f>SUMIFS($AP$15:$AP$206,$B$15:$B$206,$B$215,$D$15:$D$206,$D236,$O$15:$O$206,O$213)+SUMIFS($AQ$15:$AQ$206,$B$15:$B$206,$B$215,$D$15:$D$206,$D236,$W$15:$W$206,O$213)</f>
        <v>0</v>
      </c>
      <c r="P236">
        <f>SUMIFS($AP$15:$AP$206,$B$15:$B$206,$B$215,$D$15:$D$206,$D236,$O$15:$O$206,P$213)+SUMIFS($AQ$15:$AQ$206,$B$15:$B$206,$B$215,$D$15:$D$206,$D236,$W$15:$W$206,P$213)</f>
        <v>0</v>
      </c>
      <c r="Q236">
        <f>SUMIFS($AP$15:$AP$206,$B$15:$B$206,$B$215,$D$15:$D$206,$D236,$O$15:$O$206,Q$213)+SUMIFS($AQ$15:$AQ$206,$B$15:$B$206,$B$215,$D$15:$D$206,$D236,$W$15:$W$206,Q$213)</f>
        <v>1369.69915896</v>
      </c>
      <c r="R236">
        <f>SUMIFS($AP$15:$AP$206,$B$15:$B$206,$B$215,$D$15:$D$206,$D236,$O$15:$O$206,R$213)+SUMIFS($AQ$15:$AQ$206,$B$15:$B$206,$B$215,$D$15:$D$206,$D236,$W$15:$W$206,R$213)</f>
        <v>0</v>
      </c>
      <c r="S236">
        <f>SUMIFS($AP$15:$AP$206,$B$15:$B$206,$B$215,$D$15:$D$206,$D236,$O$15:$O$206,S$213)+SUMIFS($AQ$15:$AQ$206,$B$15:$B$206,$B$215,$D$15:$D$206,$D236,$W$15:$W$206,S$213)</f>
        <v>0</v>
      </c>
      <c r="T236">
        <f>SUM(H236:R236)</f>
        <v>2028.8979489600001</v>
      </c>
      <c r="V236">
        <f>IF(F236&gt;0,G236/F236,0)</f>
        <v>6.222222222222222</v>
      </c>
      <c r="W236">
        <f>IF(F236&gt;0,T236/F236,0)</f>
        <v>273.25224901818183</v>
      </c>
    </row>
    <row r="237">
      <c r="D237" t="str">
        <v>KL172258-1</v>
      </c>
      <c r="F237">
        <f>SUMIFS($AO$15:$AO$206,$B$15:$B$206,$B$215,$D$15:$D$206,$D237)</f>
        <v>0.78408</v>
      </c>
      <c r="G237">
        <f>SUMIFS($AT$15:$AT$206,$B$15:$B$206,$B$215,$D$15:$D$206,$D237)</f>
        <v>8.58</v>
      </c>
      <c r="H237">
        <f>SUMIFS($AR$15:$AR$206,$B$15:$B$206,$B$215,$D$15:$D$206,$D237,$AD$15:$AD$206,H$213)+SUMIFS($AS$15:$AS$206,$B$15:$B$206,$B$215,$D$15:$D$206,$D237,$AI$15:$AI$206,H$213)</f>
        <v>0</v>
      </c>
      <c r="I237">
        <f>SUMIFS($AR$15:$AR$206,$B$15:$B$206,$B$215,$D$15:$D$206,$D237,$AD$15:$AD$206,I$213)+SUMIFS($AS$15:$AS$206,$B$15:$B$206,$B$215,$D$15:$D$206,$D237,$AI$15:$AI$206,I$213)</f>
        <v>106.67916000000001</v>
      </c>
      <c r="J237">
        <f>SUMIFS($AR$15:$AR$206,$B$15:$B$206,$B$215,$D$15:$D$206,$D237,$AD$15:$AD$206,J$213)+SUMIFS($AS$15:$AS$206,$B$15:$B$206,$B$215,$D$15:$D$206,$D237,$AI$15:$AI$206,J$213)</f>
        <v>0</v>
      </c>
      <c r="K237">
        <f>SUMIFS($AR$15:$AR$206,$B$15:$B$206,$B$215,$D$15:$D$206,$D237,$AD$15:$AD$206,K$213)+SUMIFS($AS$15:$AS$206,$B$15:$B$206,$B$215,$D$15:$D$206,$D237,$AI$15:$AI$206,K$213)</f>
        <v>0</v>
      </c>
      <c r="L237">
        <f>SUMIFS($AP$15:$AP$206,$B$15:$B$206,$B$215,$D$15:$D$206,$D237,$O$15:$O$206,L$213)+SUMIFS($AQ$15:$AQ$206,$B$15:$B$206,$B$215,$D$15:$D$206,$D237,$W$15:$W$206,L$213)</f>
        <v>0</v>
      </c>
      <c r="M237">
        <f>SUMIFS($AP$15:$AP$206,$B$15:$B$206,$B$215,$D$15:$D$206,$D237,$O$15:$O$206,M$213)+SUMIFS($AQ$15:$AQ$206,$B$15:$B$206,$B$215,$D$15:$D$206,$D237,$W$15:$W$206,M$213)</f>
        <v>0</v>
      </c>
      <c r="N237">
        <f>SUMIFS($AP$15:$AP$206,$B$15:$B$206,$B$215,$D$15:$D$206,$D237,$O$15:$O$206,N$213)+SUMIFS($AQ$15:$AQ$206,$B$15:$B$206,$B$215,$D$15:$D$206,$D237,$W$15:$W$206,N$213)</f>
        <v>0</v>
      </c>
      <c r="O237">
        <f>SUMIFS($AP$15:$AP$206,$B$15:$B$206,$B$215,$D$15:$D$206,$D237,$O$15:$O$206,O$213)+SUMIFS($AQ$15:$AQ$206,$B$15:$B$206,$B$215,$D$15:$D$206,$D237,$W$15:$W$206,O$213)</f>
        <v>0</v>
      </c>
      <c r="P237">
        <f>SUMIFS($AP$15:$AP$206,$B$15:$B$206,$B$215,$D$15:$D$206,$D237,$O$15:$O$206,P$213)+SUMIFS($AQ$15:$AQ$206,$B$15:$B$206,$B$215,$D$15:$D$206,$D237,$W$15:$W$206,P$213)</f>
        <v>156.18124944000002</v>
      </c>
      <c r="Q237">
        <f>SUMIFS($AP$15:$AP$206,$B$15:$B$206,$B$215,$D$15:$D$206,$D237,$O$15:$O$206,Q$213)+SUMIFS($AQ$15:$AQ$206,$B$15:$B$206,$B$215,$D$15:$D$206,$D237,$W$15:$W$206,Q$213)</f>
        <v>0</v>
      </c>
      <c r="R237">
        <f>SUMIFS($AP$15:$AP$206,$B$15:$B$206,$B$215,$D$15:$D$206,$D237,$O$15:$O$206,R$213)+SUMIFS($AQ$15:$AQ$206,$B$15:$B$206,$B$215,$D$15:$D$206,$D237,$W$15:$W$206,R$213)</f>
        <v>0</v>
      </c>
      <c r="S237">
        <f>SUMIFS($AP$15:$AP$206,$B$15:$B$206,$B$215,$D$15:$D$206,$D237,$O$15:$O$206,S$213)+SUMIFS($AQ$15:$AQ$206,$B$15:$B$206,$B$215,$D$15:$D$206,$D237,$W$15:$W$206,S$213)</f>
        <v>0</v>
      </c>
      <c r="T237">
        <f>SUM(H237:R237)</f>
        <v>262.86040944</v>
      </c>
      <c r="V237">
        <f>IF(F237&gt;0,G237/F237,0)</f>
        <v>10.942760942760943</v>
      </c>
      <c r="W237">
        <f>IF(F237&gt;0,T237/F237,0)</f>
        <v>335.2469256198347</v>
      </c>
    </row>
    <row r="238">
      <c r="D238" t="str">
        <v>KL174-1</v>
      </c>
      <c r="F238">
        <f>SUMIFS($AO$15:$AO$206,$B$15:$B$206,$B$215,$D$15:$D$206,$D238)</f>
        <v>0.7068599999999999</v>
      </c>
      <c r="G238">
        <f>SUMIFS($AT$15:$AT$206,$B$15:$B$206,$B$215,$D$15:$D$206,$D238)</f>
        <v>10.559999999999999</v>
      </c>
      <c r="H238">
        <f>SUMIFS($AR$15:$AR$206,$B$15:$B$206,$B$215,$D$15:$D$206,$D238,$AD$15:$AD$206,H$213)+SUMIFS($AS$15:$AS$206,$B$15:$B$206,$B$215,$D$15:$D$206,$D238,$AI$15:$AI$206,H$213)</f>
        <v>71.336448</v>
      </c>
      <c r="I238">
        <f>SUMIFS($AR$15:$AR$206,$B$15:$B$206,$B$215,$D$15:$D$206,$D238,$AD$15:$AD$206,I$213)+SUMIFS($AS$15:$AS$206,$B$15:$B$206,$B$215,$D$15:$D$206,$D238,$AI$15:$AI$206,I$213)</f>
        <v>0</v>
      </c>
      <c r="J238">
        <f>SUMIFS($AR$15:$AR$206,$B$15:$B$206,$B$215,$D$15:$D$206,$D238,$AD$15:$AD$206,J$213)+SUMIFS($AS$15:$AS$206,$B$15:$B$206,$B$215,$D$15:$D$206,$D238,$AI$15:$AI$206,J$213)</f>
        <v>0</v>
      </c>
      <c r="K238">
        <f>SUMIFS($AR$15:$AR$206,$B$15:$B$206,$B$215,$D$15:$D$206,$D238,$AD$15:$AD$206,K$213)+SUMIFS($AS$15:$AS$206,$B$15:$B$206,$B$215,$D$15:$D$206,$D238,$AI$15:$AI$206,K$213)</f>
        <v>0</v>
      </c>
      <c r="L238">
        <f>SUMIFS($AP$15:$AP$206,$B$15:$B$206,$B$215,$D$15:$D$206,$D238,$O$15:$O$206,L$213)+SUMIFS($AQ$15:$AQ$206,$B$15:$B$206,$B$215,$D$15:$D$206,$D238,$W$15:$W$206,L$213)</f>
        <v>0</v>
      </c>
      <c r="M238">
        <f>SUMIFS($AP$15:$AP$206,$B$15:$B$206,$B$215,$D$15:$D$206,$D238,$O$15:$O$206,M$213)+SUMIFS($AQ$15:$AQ$206,$B$15:$B$206,$B$215,$D$15:$D$206,$D238,$W$15:$W$206,M$213)</f>
        <v>0</v>
      </c>
      <c r="N238">
        <f>SUMIFS($AP$15:$AP$206,$B$15:$B$206,$B$215,$D$15:$D$206,$D238,$O$15:$O$206,N$213)+SUMIFS($AQ$15:$AQ$206,$B$15:$B$206,$B$215,$D$15:$D$206,$D238,$W$15:$W$206,N$213)</f>
        <v>0</v>
      </c>
      <c r="O238">
        <f>SUMIFS($AP$15:$AP$206,$B$15:$B$206,$B$215,$D$15:$D$206,$D238,$O$15:$O$206,O$213)+SUMIFS($AQ$15:$AQ$206,$B$15:$B$206,$B$215,$D$15:$D$206,$D238,$W$15:$W$206,O$213)</f>
        <v>103.88606976</v>
      </c>
      <c r="P238">
        <f>SUMIFS($AP$15:$AP$206,$B$15:$B$206,$B$215,$D$15:$D$206,$D238,$O$15:$O$206,P$213)+SUMIFS($AQ$15:$AQ$206,$B$15:$B$206,$B$215,$D$15:$D$206,$D238,$W$15:$W$206,P$213)</f>
        <v>0</v>
      </c>
      <c r="Q238">
        <f>SUMIFS($AP$15:$AP$206,$B$15:$B$206,$B$215,$D$15:$D$206,$D238,$O$15:$O$206,Q$213)+SUMIFS($AQ$15:$AQ$206,$B$15:$B$206,$B$215,$D$15:$D$206,$D238,$W$15:$W$206,Q$213)</f>
        <v>0</v>
      </c>
      <c r="R238">
        <f>SUMIFS($AP$15:$AP$206,$B$15:$B$206,$B$215,$D$15:$D$206,$D238,$O$15:$O$206,R$213)+SUMIFS($AQ$15:$AQ$206,$B$15:$B$206,$B$215,$D$15:$D$206,$D238,$W$15:$W$206,R$213)</f>
        <v>0</v>
      </c>
      <c r="S238">
        <f>SUMIFS($AP$15:$AP$206,$B$15:$B$206,$B$215,$D$15:$D$206,$D238,$O$15:$O$206,S$213)+SUMIFS($AQ$15:$AQ$206,$B$15:$B$206,$B$215,$D$15:$D$206,$D238,$W$15:$W$206,S$213)</f>
        <v>0</v>
      </c>
      <c r="T238">
        <f>SUM(H238:R238)</f>
        <v>175.22251776000002</v>
      </c>
      <c r="V238">
        <f>IF(F238&gt;0,G238/F238,0)</f>
        <v>14.939309056956116</v>
      </c>
      <c r="W238">
        <f>IF(F238&gt;0,T238/F238,0)</f>
        <v>247.88857448433924</v>
      </c>
    </row>
    <row r="239">
      <c r="D239" t="str">
        <v>KL175-1</v>
      </c>
      <c r="F239">
        <f>SUMIFS($AO$15:$AO$206,$B$15:$B$206,$B$215,$D$15:$D$206,$D239)</f>
        <v>0</v>
      </c>
      <c r="G239">
        <f>SUMIFS($AT$15:$AT$206,$B$15:$B$206,$B$215,$D$15:$D$206,$D239)</f>
        <v>0</v>
      </c>
      <c r="H239">
        <f>SUMIFS($AR$15:$AR$206,$B$15:$B$206,$B$215,$D$15:$D$206,$D239,$AD$15:$AD$206,H$213)+SUMIFS($AS$15:$AS$206,$B$15:$B$206,$B$215,$D$15:$D$206,$D239,$AI$15:$AI$206,H$213)</f>
        <v>0</v>
      </c>
      <c r="I239">
        <f>SUMIFS($AR$15:$AR$206,$B$15:$B$206,$B$215,$D$15:$D$206,$D239,$AD$15:$AD$206,I$213)+SUMIFS($AS$15:$AS$206,$B$15:$B$206,$B$215,$D$15:$D$206,$D239,$AI$15:$AI$206,I$213)</f>
        <v>0</v>
      </c>
      <c r="J239">
        <f>SUMIFS($AR$15:$AR$206,$B$15:$B$206,$B$215,$D$15:$D$206,$D239,$AD$15:$AD$206,J$213)+SUMIFS($AS$15:$AS$206,$B$15:$B$206,$B$215,$D$15:$D$206,$D239,$AI$15:$AI$206,J$213)</f>
        <v>0</v>
      </c>
      <c r="K239">
        <f>SUMIFS($AR$15:$AR$206,$B$15:$B$206,$B$215,$D$15:$D$206,$D239,$AD$15:$AD$206,K$213)+SUMIFS($AS$15:$AS$206,$B$15:$B$206,$B$215,$D$15:$D$206,$D239,$AI$15:$AI$206,K$213)</f>
        <v>0</v>
      </c>
      <c r="L239">
        <f>SUMIFS($AP$15:$AP$206,$B$15:$B$206,$B$215,$D$15:$D$206,$D239,$O$15:$O$206,L$213)+SUMIFS($AQ$15:$AQ$206,$B$15:$B$206,$B$215,$D$15:$D$206,$D239,$W$15:$W$206,L$213)</f>
        <v>0</v>
      </c>
      <c r="M239">
        <f>SUMIFS($AP$15:$AP$206,$B$15:$B$206,$B$215,$D$15:$D$206,$D239,$O$15:$O$206,M$213)+SUMIFS($AQ$15:$AQ$206,$B$15:$B$206,$B$215,$D$15:$D$206,$D239,$W$15:$W$206,M$213)</f>
        <v>0</v>
      </c>
      <c r="N239">
        <f>SUMIFS($AP$15:$AP$206,$B$15:$B$206,$B$215,$D$15:$D$206,$D239,$O$15:$O$206,N$213)+SUMIFS($AQ$15:$AQ$206,$B$15:$B$206,$B$215,$D$15:$D$206,$D239,$W$15:$W$206,N$213)</f>
        <v>0</v>
      </c>
      <c r="O239">
        <f>SUMIFS($AP$15:$AP$206,$B$15:$B$206,$B$215,$D$15:$D$206,$D239,$O$15:$O$206,O$213)+SUMIFS($AQ$15:$AQ$206,$B$15:$B$206,$B$215,$D$15:$D$206,$D239,$W$15:$W$206,O$213)</f>
        <v>0</v>
      </c>
      <c r="P239">
        <f>SUMIFS($AP$15:$AP$206,$B$15:$B$206,$B$215,$D$15:$D$206,$D239,$O$15:$O$206,P$213)+SUMIFS($AQ$15:$AQ$206,$B$15:$B$206,$B$215,$D$15:$D$206,$D239,$W$15:$W$206,P$213)</f>
        <v>0</v>
      </c>
      <c r="Q239">
        <f>SUMIFS($AP$15:$AP$206,$B$15:$B$206,$B$215,$D$15:$D$206,$D239,$O$15:$O$206,Q$213)+SUMIFS($AQ$15:$AQ$206,$B$15:$B$206,$B$215,$D$15:$D$206,$D239,$W$15:$W$206,Q$213)</f>
        <v>0</v>
      </c>
      <c r="R239">
        <f>SUMIFS($AP$15:$AP$206,$B$15:$B$206,$B$215,$D$15:$D$206,$D239,$O$15:$O$206,R$213)+SUMIFS($AQ$15:$AQ$206,$B$15:$B$206,$B$215,$D$15:$D$206,$D239,$W$15:$W$206,R$213)</f>
        <v>0</v>
      </c>
      <c r="S239">
        <f>SUMIFS($AP$15:$AP$206,$B$15:$B$206,$B$215,$D$15:$D$206,$D239,$O$15:$O$206,S$213)+SUMIFS($AQ$15:$AQ$206,$B$15:$B$206,$B$215,$D$15:$D$206,$D239,$W$15:$W$206,S$213)</f>
        <v>0</v>
      </c>
      <c r="T239">
        <f>SUM(H239:R239)</f>
        <v>0</v>
      </c>
      <c r="V239">
        <f>IF(F239&gt;0,G239/F239,0)</f>
        <v>0</v>
      </c>
      <c r="W239">
        <f>IF(F239&gt;0,T239/F239,0)</f>
        <v>0</v>
      </c>
    </row>
    <row r="240">
      <c r="D240" t="str">
        <v>KL175-2</v>
      </c>
      <c r="F240">
        <f>SUMIFS($AO$15:$AO$206,$B$15:$B$206,$B$215,$D$15:$D$206,$D240)</f>
        <v>0</v>
      </c>
      <c r="G240">
        <f>SUMIFS($AT$15:$AT$206,$B$15:$B$206,$B$215,$D$15:$D$206,$D240)</f>
        <v>0</v>
      </c>
      <c r="H240">
        <f>SUMIFS($AR$15:$AR$206,$B$15:$B$206,$B$215,$D$15:$D$206,$D240,$AD$15:$AD$206,H$213)+SUMIFS($AS$15:$AS$206,$B$15:$B$206,$B$215,$D$15:$D$206,$D240,$AI$15:$AI$206,H$213)</f>
        <v>0</v>
      </c>
      <c r="I240">
        <f>SUMIFS($AR$15:$AR$206,$B$15:$B$206,$B$215,$D$15:$D$206,$D240,$AD$15:$AD$206,I$213)+SUMIFS($AS$15:$AS$206,$B$15:$B$206,$B$215,$D$15:$D$206,$D240,$AI$15:$AI$206,I$213)</f>
        <v>0</v>
      </c>
      <c r="J240">
        <f>SUMIFS($AR$15:$AR$206,$B$15:$B$206,$B$215,$D$15:$D$206,$D240,$AD$15:$AD$206,J$213)+SUMIFS($AS$15:$AS$206,$B$15:$B$206,$B$215,$D$15:$D$206,$D240,$AI$15:$AI$206,J$213)</f>
        <v>0</v>
      </c>
      <c r="K240">
        <f>SUMIFS($AR$15:$AR$206,$B$15:$B$206,$B$215,$D$15:$D$206,$D240,$AD$15:$AD$206,K$213)+SUMIFS($AS$15:$AS$206,$B$15:$B$206,$B$215,$D$15:$D$206,$D240,$AI$15:$AI$206,K$213)</f>
        <v>0</v>
      </c>
      <c r="L240">
        <f>SUMIFS($AP$15:$AP$206,$B$15:$B$206,$B$215,$D$15:$D$206,$D240,$O$15:$O$206,L$213)+SUMIFS($AQ$15:$AQ$206,$B$15:$B$206,$B$215,$D$15:$D$206,$D240,$W$15:$W$206,L$213)</f>
        <v>0</v>
      </c>
      <c r="M240">
        <f>SUMIFS($AP$15:$AP$206,$B$15:$B$206,$B$215,$D$15:$D$206,$D240,$O$15:$O$206,M$213)+SUMIFS($AQ$15:$AQ$206,$B$15:$B$206,$B$215,$D$15:$D$206,$D240,$W$15:$W$206,M$213)</f>
        <v>0</v>
      </c>
      <c r="N240">
        <f>SUMIFS($AP$15:$AP$206,$B$15:$B$206,$B$215,$D$15:$D$206,$D240,$O$15:$O$206,N$213)+SUMIFS($AQ$15:$AQ$206,$B$15:$B$206,$B$215,$D$15:$D$206,$D240,$W$15:$W$206,N$213)</f>
        <v>0</v>
      </c>
      <c r="O240">
        <f>SUMIFS($AP$15:$AP$206,$B$15:$B$206,$B$215,$D$15:$D$206,$D240,$O$15:$O$206,O$213)+SUMIFS($AQ$15:$AQ$206,$B$15:$B$206,$B$215,$D$15:$D$206,$D240,$W$15:$W$206,O$213)</f>
        <v>0</v>
      </c>
      <c r="P240">
        <f>SUMIFS($AP$15:$AP$206,$B$15:$B$206,$B$215,$D$15:$D$206,$D240,$O$15:$O$206,P$213)+SUMIFS($AQ$15:$AQ$206,$B$15:$B$206,$B$215,$D$15:$D$206,$D240,$W$15:$W$206,P$213)</f>
        <v>0</v>
      </c>
      <c r="Q240">
        <f>SUMIFS($AP$15:$AP$206,$B$15:$B$206,$B$215,$D$15:$D$206,$D240,$O$15:$O$206,Q$213)+SUMIFS($AQ$15:$AQ$206,$B$15:$B$206,$B$215,$D$15:$D$206,$D240,$W$15:$W$206,Q$213)</f>
        <v>0</v>
      </c>
      <c r="R240">
        <f>SUMIFS($AP$15:$AP$206,$B$15:$B$206,$B$215,$D$15:$D$206,$D240,$O$15:$O$206,R$213)+SUMIFS($AQ$15:$AQ$206,$B$15:$B$206,$B$215,$D$15:$D$206,$D240,$W$15:$W$206,R$213)</f>
        <v>0</v>
      </c>
      <c r="S240">
        <f>SUMIFS($AP$15:$AP$206,$B$15:$B$206,$B$215,$D$15:$D$206,$D240,$O$15:$O$206,S$213)+SUMIFS($AQ$15:$AQ$206,$B$15:$B$206,$B$215,$D$15:$D$206,$D240,$W$15:$W$206,S$213)</f>
        <v>0</v>
      </c>
      <c r="T240">
        <f>SUM(H240:R240)</f>
        <v>0</v>
      </c>
      <c r="V240">
        <f>IF(F240&gt;0,G240/F240,0)</f>
        <v>0</v>
      </c>
      <c r="W240">
        <f>IF(F240&gt;0,T240/F240,0)</f>
        <v>0</v>
      </c>
    </row>
    <row r="241">
      <c r="D241" t="str">
        <v>KL175-3</v>
      </c>
      <c r="F241">
        <f>SUMIFS($AO$15:$AO$206,$B$15:$B$206,$B$215,$D$15:$D$206,$D241)</f>
        <v>0</v>
      </c>
      <c r="G241">
        <f>SUMIFS($AT$15:$AT$206,$B$15:$B$206,$B$215,$D$15:$D$206,$D241)</f>
        <v>0</v>
      </c>
      <c r="H241">
        <f>SUMIFS($AR$15:$AR$206,$B$15:$B$206,$B$215,$D$15:$D$206,$D241,$AD$15:$AD$206,H$213)+SUMIFS($AS$15:$AS$206,$B$15:$B$206,$B$215,$D$15:$D$206,$D241,$AI$15:$AI$206,H$213)</f>
        <v>0</v>
      </c>
      <c r="I241">
        <f>SUMIFS($AR$15:$AR$206,$B$15:$B$206,$B$215,$D$15:$D$206,$D241,$AD$15:$AD$206,I$213)+SUMIFS($AS$15:$AS$206,$B$15:$B$206,$B$215,$D$15:$D$206,$D241,$AI$15:$AI$206,I$213)</f>
        <v>0</v>
      </c>
      <c r="J241">
        <f>SUMIFS($AR$15:$AR$206,$B$15:$B$206,$B$215,$D$15:$D$206,$D241,$AD$15:$AD$206,J$213)+SUMIFS($AS$15:$AS$206,$B$15:$B$206,$B$215,$D$15:$D$206,$D241,$AI$15:$AI$206,J$213)</f>
        <v>0</v>
      </c>
      <c r="K241">
        <f>SUMIFS($AR$15:$AR$206,$B$15:$B$206,$B$215,$D$15:$D$206,$D241,$AD$15:$AD$206,K$213)+SUMIFS($AS$15:$AS$206,$B$15:$B$206,$B$215,$D$15:$D$206,$D241,$AI$15:$AI$206,K$213)</f>
        <v>0</v>
      </c>
      <c r="L241">
        <f>SUMIFS($AP$15:$AP$206,$B$15:$B$206,$B$215,$D$15:$D$206,$D241,$O$15:$O$206,L$213)+SUMIFS($AQ$15:$AQ$206,$B$15:$B$206,$B$215,$D$15:$D$206,$D241,$W$15:$W$206,L$213)</f>
        <v>0</v>
      </c>
      <c r="M241">
        <f>SUMIFS($AP$15:$AP$206,$B$15:$B$206,$B$215,$D$15:$D$206,$D241,$O$15:$O$206,M$213)+SUMIFS($AQ$15:$AQ$206,$B$15:$B$206,$B$215,$D$15:$D$206,$D241,$W$15:$W$206,M$213)</f>
        <v>0</v>
      </c>
      <c r="N241">
        <f>SUMIFS($AP$15:$AP$206,$B$15:$B$206,$B$215,$D$15:$D$206,$D241,$O$15:$O$206,N$213)+SUMIFS($AQ$15:$AQ$206,$B$15:$B$206,$B$215,$D$15:$D$206,$D241,$W$15:$W$206,N$213)</f>
        <v>0</v>
      </c>
      <c r="O241">
        <f>SUMIFS($AP$15:$AP$206,$B$15:$B$206,$B$215,$D$15:$D$206,$D241,$O$15:$O$206,O$213)+SUMIFS($AQ$15:$AQ$206,$B$15:$B$206,$B$215,$D$15:$D$206,$D241,$W$15:$W$206,O$213)</f>
        <v>0</v>
      </c>
      <c r="P241">
        <f>SUMIFS($AP$15:$AP$206,$B$15:$B$206,$B$215,$D$15:$D$206,$D241,$O$15:$O$206,P$213)+SUMIFS($AQ$15:$AQ$206,$B$15:$B$206,$B$215,$D$15:$D$206,$D241,$W$15:$W$206,P$213)</f>
        <v>0</v>
      </c>
      <c r="Q241">
        <f>SUMIFS($AP$15:$AP$206,$B$15:$B$206,$B$215,$D$15:$D$206,$D241,$O$15:$O$206,Q$213)+SUMIFS($AQ$15:$AQ$206,$B$15:$B$206,$B$215,$D$15:$D$206,$D241,$W$15:$W$206,Q$213)</f>
        <v>0</v>
      </c>
      <c r="R241">
        <f>SUMIFS($AP$15:$AP$206,$B$15:$B$206,$B$215,$D$15:$D$206,$D241,$O$15:$O$206,R$213)+SUMIFS($AQ$15:$AQ$206,$B$15:$B$206,$B$215,$D$15:$D$206,$D241,$W$15:$W$206,R$213)</f>
        <v>0</v>
      </c>
      <c r="S241">
        <f>SUMIFS($AP$15:$AP$206,$B$15:$B$206,$B$215,$D$15:$D$206,$D241,$O$15:$O$206,S$213)+SUMIFS($AQ$15:$AQ$206,$B$15:$B$206,$B$215,$D$15:$D$206,$D241,$W$15:$W$206,S$213)</f>
        <v>0</v>
      </c>
      <c r="T241">
        <f>SUM(H241:R241)</f>
        <v>0</v>
      </c>
      <c r="V241">
        <f>IF(F241&gt;0,G241/F241,0)</f>
        <v>0</v>
      </c>
      <c r="W241">
        <f>IF(F241&gt;0,T241/F241,0)</f>
        <v>0</v>
      </c>
    </row>
    <row r="243">
      <c r="B243" t="str">
        <v>Subtotal Basement</v>
      </c>
      <c r="F243">
        <f>SUM(F215:F242)</f>
        <v>26.092439999999996</v>
      </c>
      <c r="G243">
        <f>SUM(G215:G242)</f>
        <v>287.9579999999999</v>
      </c>
      <c r="H243">
        <f>SUM(H215:H242)</f>
        <v>917.9517311999999</v>
      </c>
      <c r="I243">
        <f>SUM(I215:I242)</f>
        <v>1452.961035</v>
      </c>
      <c r="J243">
        <f>SUM(J215:J242)</f>
        <v>0</v>
      </c>
      <c r="K243">
        <f>SUM(K215:K242)</f>
        <v>0</v>
      </c>
      <c r="L243">
        <f>SUM(L215:L242)</f>
        <v>9.5404608</v>
      </c>
      <c r="M243">
        <f>SUM(M215:M242)</f>
        <v>0</v>
      </c>
      <c r="N243">
        <f>SUM(N215:N242)</f>
        <v>179.85435624</v>
      </c>
      <c r="O243">
        <f>SUM(O215:O242)</f>
        <v>1485.45211392</v>
      </c>
      <c r="P243">
        <f>SUM(P215:P242)</f>
        <v>1563.6463599600002</v>
      </c>
      <c r="Q243">
        <f>SUM(Q215:Q242)</f>
        <v>2080.645578</v>
      </c>
      <c r="R243">
        <f>SUM(R215:R242)</f>
        <v>0</v>
      </c>
      <c r="S243">
        <f>SUM(S215:S242)</f>
        <v>0</v>
      </c>
      <c r="T243">
        <f>SUM(T216:T242)</f>
        <v>7690.051635120001</v>
      </c>
    </row>
    <row r="245">
      <c r="B245" t="str">
        <v>Lantai 1</v>
      </c>
    </row>
    <row r="246">
      <c r="D246" t="str">
        <v>K12</v>
      </c>
      <c r="F246">
        <f>SUMIFS($AO$15:$AO$206,$B$15:$B$206,$B$245,$D$15:$D$206,$D246)</f>
        <v>1.1700000000000002</v>
      </c>
      <c r="G246">
        <f>SUMIFS($AT$15:$AT$206,$B$15:$B$206,$B$245,$D$15:$D$206,$D246)</f>
        <v>29.699999999999996</v>
      </c>
      <c r="H246">
        <f>SUMIFS($AR$15:$AR$206,$B$15:$B$206,$B$245,$D$15:$D$206,$D246,$AD$15:$AD$206,H$213)+SUMIFS($AS$15:$AS$206,$B$15:$B$206,$B$245,$D$15:$D$206,$D246,$AI$15:$AI$206,H$213)</f>
        <v>120.53808000000002</v>
      </c>
      <c r="I246">
        <f>SUMIFS($AR$15:$AR$206,$B$15:$B$206,$B$245,$D$15:$D$206,$D246,$AD$15:$AD$206,I$213)+SUMIFS($AS$15:$AS$206,$B$15:$B$206,$B$245,$D$15:$D$206,$D246,$AI$15:$AI$206,I$213)</f>
        <v>0</v>
      </c>
      <c r="J246">
        <f>SUMIFS($AR$15:$AR$206,$B$15:$B$206,$B$245,$D$15:$D$206,$D246,$AD$15:$AD$206,J$213)+SUMIFS($AS$15:$AS$206,$B$15:$B$206,$B$245,$D$15:$D$206,$D246,$AI$15:$AI$206,J$213)</f>
        <v>0</v>
      </c>
      <c r="K246">
        <f>SUMIFS($AR$15:$AR$206,$B$15:$B$206,$B$245,$D$15:$D$206,$D246,$AD$15:$AD$206,K$213)+SUMIFS($AS$15:$AS$206,$B$15:$B$206,$B$245,$D$15:$D$206,$D246,$AI$15:$AI$206,K$213)</f>
        <v>0</v>
      </c>
      <c r="L246">
        <f>SUMIFS($AP$15:$AP$206,$B$15:$B$206,$B$245,$D$15:$D$206,$D246,$O$15:$O$206,L$213)+SUMIFS($AQ$15:$AQ$206,$B$15:$B$206,$B$245,$D$15:$D$206,$D246,$W$15:$W$206,L$213)</f>
        <v>0</v>
      </c>
      <c r="M246">
        <f>SUMIFS($AP$15:$AP$206,$B$15:$B$206,$B$245,$D$15:$D$206,$D246,$O$15:$O$206,M$213)+SUMIFS($AQ$15:$AQ$206,$B$15:$B$206,$B$245,$D$15:$D$206,$D246,$W$15:$W$206,M$213)</f>
        <v>124.31106000000001</v>
      </c>
      <c r="N246">
        <f>SUMIFS($AP$15:$AP$206,$B$15:$B$206,$B$245,$D$15:$D$206,$D246,$O$15:$O$206,N$213)+SUMIFS($AQ$15:$AQ$206,$B$15:$B$206,$B$245,$D$15:$D$206,$D246,$W$15:$W$206,N$213)</f>
        <v>0</v>
      </c>
      <c r="O246">
        <f>SUMIFS($AP$15:$AP$206,$B$15:$B$206,$B$245,$D$15:$D$206,$D246,$O$15:$O$206,O$213)+SUMIFS($AQ$15:$AQ$206,$B$15:$B$206,$B$245,$D$15:$D$206,$D246,$W$15:$W$206,O$213)</f>
        <v>0</v>
      </c>
      <c r="P246">
        <f>SUMIFS($AP$15:$AP$206,$B$15:$B$206,$B$245,$D$15:$D$206,$D246,$O$15:$O$206,P$213)+SUMIFS($AQ$15:$AQ$206,$B$15:$B$206,$B$245,$D$15:$D$206,$D246,$W$15:$W$206,P$213)</f>
        <v>0</v>
      </c>
      <c r="Q246">
        <f>SUMIFS($AP$15:$AP$206,$B$15:$B$206,$B$245,$D$15:$D$206,$D246,$O$15:$O$206,Q$213)+SUMIFS($AQ$15:$AQ$206,$B$15:$B$206,$B$245,$D$15:$D$206,$D246,$W$15:$W$206,Q$213)</f>
        <v>0</v>
      </c>
      <c r="R246">
        <f>SUMIFS($AP$15:$AP$206,$B$15:$B$206,$B$245,$D$15:$D$206,$D246,$O$15:$O$206,R$213)+SUMIFS($AQ$15:$AQ$206,$B$15:$B$206,$B$245,$D$15:$D$206,$D246,$W$15:$W$206,R$213)</f>
        <v>0</v>
      </c>
      <c r="S246">
        <f>SUMIFS($AP$15:$AP$206,$B$15:$B$206,$B$245,$D$15:$D$206,$D246,$O$15:$O$206,S$213)+SUMIFS($AQ$15:$AQ$206,$B$15:$B$206,$B$245,$D$15:$D$206,$D246,$W$15:$W$206,S$213)</f>
        <v>0</v>
      </c>
      <c r="T246">
        <f>SUM(H246:R246)</f>
        <v>244.84914000000003</v>
      </c>
      <c r="V246">
        <f>IF(F246&gt;0,G246/F246,0)</f>
        <v>25.384615384615376</v>
      </c>
      <c r="W246">
        <f>IF(F246&gt;0,T246/F246,0)</f>
        <v>209.27276923076923</v>
      </c>
    </row>
    <row r="247">
      <c r="D247" t="str">
        <v>K13-1</v>
      </c>
      <c r="F247">
        <f>SUMIFS($AO$15:$AO$206,$B$15:$B$206,$B$245,$D$15:$D$206,$D247)</f>
        <v>0</v>
      </c>
      <c r="G247">
        <f>SUMIFS($AT$15:$AT$206,$B$15:$B$206,$B$245,$D$15:$D$206,$D247)</f>
        <v>0</v>
      </c>
      <c r="H247">
        <f>SUMIFS($AR$15:$AR$206,$B$15:$B$206,$B$245,$D$15:$D$206,$D247,$AD$15:$AD$206,H$213)+SUMIFS($AS$15:$AS$206,$B$15:$B$206,$B$245,$D$15:$D$206,$D247,$AI$15:$AI$206,H$213)</f>
        <v>0</v>
      </c>
      <c r="I247">
        <f>SUMIFS($AR$15:$AR$206,$B$15:$B$206,$B$245,$D$15:$D$206,$D247,$AD$15:$AD$206,I$213)+SUMIFS($AS$15:$AS$206,$B$15:$B$206,$B$245,$D$15:$D$206,$D247,$AI$15:$AI$206,I$213)</f>
        <v>0</v>
      </c>
      <c r="J247">
        <f>SUMIFS($AR$15:$AR$206,$B$15:$B$206,$B$245,$D$15:$D$206,$D247,$AD$15:$AD$206,J$213)+SUMIFS($AS$15:$AS$206,$B$15:$B$206,$B$245,$D$15:$D$206,$D247,$AI$15:$AI$206,J$213)</f>
        <v>0</v>
      </c>
      <c r="K247">
        <f>SUMIFS($AR$15:$AR$206,$B$15:$B$206,$B$245,$D$15:$D$206,$D247,$AD$15:$AD$206,K$213)+SUMIFS($AS$15:$AS$206,$B$15:$B$206,$B$245,$D$15:$D$206,$D247,$AI$15:$AI$206,K$213)</f>
        <v>0</v>
      </c>
      <c r="L247">
        <f>SUMIFS($AP$15:$AP$206,$B$15:$B$206,$B$245,$D$15:$D$206,$D247,$O$15:$O$206,L$213)+SUMIFS($AQ$15:$AQ$206,$B$15:$B$206,$B$245,$D$15:$D$206,$D247,$W$15:$W$206,L$213)</f>
        <v>0</v>
      </c>
      <c r="M247">
        <f>SUMIFS($AP$15:$AP$206,$B$15:$B$206,$B$245,$D$15:$D$206,$D247,$O$15:$O$206,M$213)+SUMIFS($AQ$15:$AQ$206,$B$15:$B$206,$B$245,$D$15:$D$206,$D247,$W$15:$W$206,M$213)</f>
        <v>0</v>
      </c>
      <c r="N247">
        <f>SUMIFS($AP$15:$AP$206,$B$15:$B$206,$B$245,$D$15:$D$206,$D247,$O$15:$O$206,N$213)+SUMIFS($AQ$15:$AQ$206,$B$15:$B$206,$B$245,$D$15:$D$206,$D247,$W$15:$W$206,N$213)</f>
        <v>0</v>
      </c>
      <c r="O247">
        <f>SUMIFS($AP$15:$AP$206,$B$15:$B$206,$B$245,$D$15:$D$206,$D247,$O$15:$O$206,O$213)+SUMIFS($AQ$15:$AQ$206,$B$15:$B$206,$B$245,$D$15:$D$206,$D247,$W$15:$W$206,O$213)</f>
        <v>0</v>
      </c>
      <c r="P247">
        <f>SUMIFS($AP$15:$AP$206,$B$15:$B$206,$B$245,$D$15:$D$206,$D247,$O$15:$O$206,P$213)+SUMIFS($AQ$15:$AQ$206,$B$15:$B$206,$B$245,$D$15:$D$206,$D247,$W$15:$W$206,P$213)</f>
        <v>0</v>
      </c>
      <c r="Q247">
        <f>SUMIFS($AP$15:$AP$206,$B$15:$B$206,$B$245,$D$15:$D$206,$D247,$O$15:$O$206,Q$213)+SUMIFS($AQ$15:$AQ$206,$B$15:$B$206,$B$245,$D$15:$D$206,$D247,$W$15:$W$206,Q$213)</f>
        <v>0</v>
      </c>
      <c r="R247">
        <f>SUMIFS($AP$15:$AP$206,$B$15:$B$206,$B$245,$D$15:$D$206,$D247,$O$15:$O$206,R$213)+SUMIFS($AQ$15:$AQ$206,$B$15:$B$206,$B$245,$D$15:$D$206,$D247,$W$15:$W$206,R$213)</f>
        <v>0</v>
      </c>
      <c r="S247">
        <f>SUMIFS($AP$15:$AP$206,$B$15:$B$206,$B$245,$D$15:$D$206,$D247,$O$15:$O$206,S$213)+SUMIFS($AQ$15:$AQ$206,$B$15:$B$206,$B$245,$D$15:$D$206,$D247,$W$15:$W$206,S$213)</f>
        <v>0</v>
      </c>
      <c r="T247">
        <f>SUM(H247:R247)</f>
        <v>0</v>
      </c>
      <c r="V247">
        <f>IF(F247&gt;0,G247/F247,0)</f>
        <v>0</v>
      </c>
      <c r="W247">
        <f>IF(F247&gt;0,T247/F247,0)</f>
        <v>0</v>
      </c>
    </row>
    <row r="248">
      <c r="D248" t="str">
        <v>K174-1</v>
      </c>
      <c r="F248">
        <f>SUMIFS($AO$15:$AO$206,$B$15:$B$206,$B$245,$D$15:$D$206,$D248)</f>
        <v>0.9179999999999999</v>
      </c>
      <c r="G248">
        <f>SUMIFS($AT$15:$AT$206,$B$15:$B$206,$B$245,$D$15:$D$206,$D248)</f>
        <v>15.39</v>
      </c>
      <c r="H248">
        <f>SUMIFS($AR$15:$AR$206,$B$15:$B$206,$B$245,$D$15:$D$206,$D248,$AD$15:$AD$206,H$213)+SUMIFS($AS$15:$AS$206,$B$15:$B$206,$B$245,$D$15:$D$206,$D248,$AI$15:$AI$206,H$213)</f>
        <v>62.8652448</v>
      </c>
      <c r="I248">
        <f>SUMIFS($AR$15:$AR$206,$B$15:$B$206,$B$245,$D$15:$D$206,$D248,$AD$15:$AD$206,I$213)+SUMIFS($AS$15:$AS$206,$B$15:$B$206,$B$245,$D$15:$D$206,$D248,$AI$15:$AI$206,I$213)</f>
        <v>0</v>
      </c>
      <c r="J248">
        <f>SUMIFS($AR$15:$AR$206,$B$15:$B$206,$B$245,$D$15:$D$206,$D248,$AD$15:$AD$206,J$213)+SUMIFS($AS$15:$AS$206,$B$15:$B$206,$B$245,$D$15:$D$206,$D248,$AI$15:$AI$206,J$213)</f>
        <v>0</v>
      </c>
      <c r="K248">
        <f>SUMIFS($AR$15:$AR$206,$B$15:$B$206,$B$245,$D$15:$D$206,$D248,$AD$15:$AD$206,K$213)+SUMIFS($AS$15:$AS$206,$B$15:$B$206,$B$245,$D$15:$D$206,$D248,$AI$15:$AI$206,K$213)</f>
        <v>0</v>
      </c>
      <c r="L248">
        <f>SUMIFS($AP$15:$AP$206,$B$15:$B$206,$B$245,$D$15:$D$206,$D248,$O$15:$O$206,L$213)+SUMIFS($AQ$15:$AQ$206,$B$15:$B$206,$B$245,$D$15:$D$206,$D248,$W$15:$W$206,L$213)</f>
        <v>0</v>
      </c>
      <c r="M248">
        <f>SUMIFS($AP$15:$AP$206,$B$15:$B$206,$B$245,$D$15:$D$206,$D248,$O$15:$O$206,M$213)+SUMIFS($AQ$15:$AQ$206,$B$15:$B$206,$B$245,$D$15:$D$206,$D248,$W$15:$W$206,M$213)</f>
        <v>0</v>
      </c>
      <c r="N248">
        <f>SUMIFS($AP$15:$AP$206,$B$15:$B$206,$B$245,$D$15:$D$206,$D248,$O$15:$O$206,N$213)+SUMIFS($AQ$15:$AQ$206,$B$15:$B$206,$B$245,$D$15:$D$206,$D248,$W$15:$W$206,N$213)</f>
        <v>138.27897719999999</v>
      </c>
      <c r="O248">
        <f>SUMIFS($AP$15:$AP$206,$B$15:$B$206,$B$245,$D$15:$D$206,$D248,$O$15:$O$206,O$213)+SUMIFS($AQ$15:$AQ$206,$B$15:$B$206,$B$245,$D$15:$D$206,$D248,$W$15:$W$206,O$213)</f>
        <v>0</v>
      </c>
      <c r="P248">
        <f>SUMIFS($AP$15:$AP$206,$B$15:$B$206,$B$245,$D$15:$D$206,$D248,$O$15:$O$206,P$213)+SUMIFS($AQ$15:$AQ$206,$B$15:$B$206,$B$245,$D$15:$D$206,$D248,$W$15:$W$206,P$213)</f>
        <v>0</v>
      </c>
      <c r="Q248">
        <f>SUMIFS($AP$15:$AP$206,$B$15:$B$206,$B$245,$D$15:$D$206,$D248,$O$15:$O$206,Q$213)+SUMIFS($AQ$15:$AQ$206,$B$15:$B$206,$B$245,$D$15:$D$206,$D248,$W$15:$W$206,Q$213)</f>
        <v>0</v>
      </c>
      <c r="R248">
        <f>SUMIFS($AP$15:$AP$206,$B$15:$B$206,$B$245,$D$15:$D$206,$D248,$O$15:$O$206,R$213)+SUMIFS($AQ$15:$AQ$206,$B$15:$B$206,$B$245,$D$15:$D$206,$D248,$W$15:$W$206,R$213)</f>
        <v>0</v>
      </c>
      <c r="S248">
        <f>SUMIFS($AP$15:$AP$206,$B$15:$B$206,$B$245,$D$15:$D$206,$D248,$O$15:$O$206,S$213)+SUMIFS($AQ$15:$AQ$206,$B$15:$B$206,$B$245,$D$15:$D$206,$D248,$W$15:$W$206,S$213)</f>
        <v>0</v>
      </c>
      <c r="T248">
        <f>SUM(H248:R248)</f>
        <v>201.14422199999998</v>
      </c>
      <c r="V248">
        <f>IF(F248&gt;0,G248/F248,0)</f>
        <v>16.764705882352942</v>
      </c>
      <c r="W248">
        <f>IF(F248&gt;0,T248/F248,0)</f>
        <v>219.11135294117648</v>
      </c>
    </row>
    <row r="249">
      <c r="D249" t="str">
        <v>K174-2</v>
      </c>
      <c r="F249">
        <f>SUMIFS($AO$15:$AO$206,$B$15:$B$206,$B$245,$D$15:$D$206,$D249)</f>
        <v>0</v>
      </c>
      <c r="G249">
        <f>SUMIFS($AT$15:$AT$206,$B$15:$B$206,$B$245,$D$15:$D$206,$D249)</f>
        <v>0</v>
      </c>
      <c r="H249">
        <f>SUMIFS($AR$15:$AR$206,$B$15:$B$206,$B$245,$D$15:$D$206,$D249,$AD$15:$AD$206,H$213)+SUMIFS($AS$15:$AS$206,$B$15:$B$206,$B$245,$D$15:$D$206,$D249,$AI$15:$AI$206,H$213)</f>
        <v>0</v>
      </c>
      <c r="I249">
        <f>SUMIFS($AR$15:$AR$206,$B$15:$B$206,$B$245,$D$15:$D$206,$D249,$AD$15:$AD$206,I$213)+SUMIFS($AS$15:$AS$206,$B$15:$B$206,$B$245,$D$15:$D$206,$D249,$AI$15:$AI$206,I$213)</f>
        <v>0</v>
      </c>
      <c r="J249">
        <f>SUMIFS($AR$15:$AR$206,$B$15:$B$206,$B$245,$D$15:$D$206,$D249,$AD$15:$AD$206,J$213)+SUMIFS($AS$15:$AS$206,$B$15:$B$206,$B$245,$D$15:$D$206,$D249,$AI$15:$AI$206,J$213)</f>
        <v>0</v>
      </c>
      <c r="K249">
        <f>SUMIFS($AR$15:$AR$206,$B$15:$B$206,$B$245,$D$15:$D$206,$D249,$AD$15:$AD$206,K$213)+SUMIFS($AS$15:$AS$206,$B$15:$B$206,$B$245,$D$15:$D$206,$D249,$AI$15:$AI$206,K$213)</f>
        <v>0</v>
      </c>
      <c r="L249">
        <f>SUMIFS($AP$15:$AP$206,$B$15:$B$206,$B$245,$D$15:$D$206,$D249,$O$15:$O$206,L$213)+SUMIFS($AQ$15:$AQ$206,$B$15:$B$206,$B$245,$D$15:$D$206,$D249,$W$15:$W$206,L$213)</f>
        <v>0</v>
      </c>
      <c r="M249">
        <f>SUMIFS($AP$15:$AP$206,$B$15:$B$206,$B$245,$D$15:$D$206,$D249,$O$15:$O$206,M$213)+SUMIFS($AQ$15:$AQ$206,$B$15:$B$206,$B$245,$D$15:$D$206,$D249,$W$15:$W$206,M$213)</f>
        <v>0</v>
      </c>
      <c r="N249">
        <f>SUMIFS($AP$15:$AP$206,$B$15:$B$206,$B$245,$D$15:$D$206,$D249,$O$15:$O$206,N$213)+SUMIFS($AQ$15:$AQ$206,$B$15:$B$206,$B$245,$D$15:$D$206,$D249,$W$15:$W$206,N$213)</f>
        <v>0</v>
      </c>
      <c r="O249">
        <f>SUMIFS($AP$15:$AP$206,$B$15:$B$206,$B$245,$D$15:$D$206,$D249,$O$15:$O$206,O$213)+SUMIFS($AQ$15:$AQ$206,$B$15:$B$206,$B$245,$D$15:$D$206,$D249,$W$15:$W$206,O$213)</f>
        <v>0</v>
      </c>
      <c r="P249">
        <f>SUMIFS($AP$15:$AP$206,$B$15:$B$206,$B$245,$D$15:$D$206,$D249,$O$15:$O$206,P$213)+SUMIFS($AQ$15:$AQ$206,$B$15:$B$206,$B$245,$D$15:$D$206,$D249,$W$15:$W$206,P$213)</f>
        <v>0</v>
      </c>
      <c r="Q249">
        <f>SUMIFS($AP$15:$AP$206,$B$15:$B$206,$B$245,$D$15:$D$206,$D249,$O$15:$O$206,Q$213)+SUMIFS($AQ$15:$AQ$206,$B$15:$B$206,$B$245,$D$15:$D$206,$D249,$W$15:$W$206,Q$213)</f>
        <v>0</v>
      </c>
      <c r="R249">
        <f>SUMIFS($AP$15:$AP$206,$B$15:$B$206,$B$245,$D$15:$D$206,$D249,$O$15:$O$206,R$213)+SUMIFS($AQ$15:$AQ$206,$B$15:$B$206,$B$245,$D$15:$D$206,$D249,$W$15:$W$206,R$213)</f>
        <v>0</v>
      </c>
      <c r="S249">
        <f>SUMIFS($AP$15:$AP$206,$B$15:$B$206,$B$245,$D$15:$D$206,$D249,$O$15:$O$206,S$213)+SUMIFS($AQ$15:$AQ$206,$B$15:$B$206,$B$245,$D$15:$D$206,$D249,$W$15:$W$206,S$213)</f>
        <v>0</v>
      </c>
      <c r="T249">
        <f>SUM(H249:R249)</f>
        <v>0</v>
      </c>
      <c r="V249">
        <f>IF(F249&gt;0,G249/F249,0)</f>
        <v>0</v>
      </c>
      <c r="W249">
        <f>IF(F249&gt;0,T249/F249,0)</f>
        <v>0</v>
      </c>
    </row>
    <row r="250">
      <c r="D250" t="str">
        <v>K175-1</v>
      </c>
      <c r="F250">
        <f>SUMIFS($AO$15:$AO$206,$B$15:$B$206,$B$245,$D$15:$D$206,$D250)</f>
        <v>1.1475</v>
      </c>
      <c r="G250">
        <f>SUMIFS($AT$15:$AT$206,$B$15:$B$206,$B$245,$D$15:$D$206,$D250)</f>
        <v>18.09</v>
      </c>
      <c r="H250">
        <f>SUMIFS($AR$15:$AR$206,$B$15:$B$206,$B$245,$D$15:$D$206,$D250,$AD$15:$AD$206,H$213)+SUMIFS($AS$15:$AS$206,$B$15:$B$206,$B$245,$D$15:$D$206,$D250,$AI$15:$AI$206,H$213)</f>
        <v>81.7804512</v>
      </c>
      <c r="I250">
        <f>SUMIFS($AR$15:$AR$206,$B$15:$B$206,$B$245,$D$15:$D$206,$D250,$AD$15:$AD$206,I$213)+SUMIFS($AS$15:$AS$206,$B$15:$B$206,$B$245,$D$15:$D$206,$D250,$AI$15:$AI$206,I$213)</f>
        <v>0</v>
      </c>
      <c r="J250">
        <f>SUMIFS($AR$15:$AR$206,$B$15:$B$206,$B$245,$D$15:$D$206,$D250,$AD$15:$AD$206,J$213)+SUMIFS($AS$15:$AS$206,$B$15:$B$206,$B$245,$D$15:$D$206,$D250,$AI$15:$AI$206,J$213)</f>
        <v>0</v>
      </c>
      <c r="K250">
        <f>SUMIFS($AR$15:$AR$206,$B$15:$B$206,$B$245,$D$15:$D$206,$D250,$AD$15:$AD$206,K$213)+SUMIFS($AS$15:$AS$206,$B$15:$B$206,$B$245,$D$15:$D$206,$D250,$AI$15:$AI$206,K$213)</f>
        <v>0</v>
      </c>
      <c r="L250">
        <f>SUMIFS($AP$15:$AP$206,$B$15:$B$206,$B$245,$D$15:$D$206,$D250,$O$15:$O$206,L$213)+SUMIFS($AQ$15:$AQ$206,$B$15:$B$206,$B$245,$D$15:$D$206,$D250,$W$15:$W$206,L$213)</f>
        <v>0</v>
      </c>
      <c r="M250">
        <f>SUMIFS($AP$15:$AP$206,$B$15:$B$206,$B$245,$D$15:$D$206,$D250,$O$15:$O$206,M$213)+SUMIFS($AQ$15:$AQ$206,$B$15:$B$206,$B$245,$D$15:$D$206,$D250,$W$15:$W$206,M$213)</f>
        <v>0</v>
      </c>
      <c r="N250">
        <f>SUMIFS($AP$15:$AP$206,$B$15:$B$206,$B$245,$D$15:$D$206,$D250,$O$15:$O$206,N$213)+SUMIFS($AQ$15:$AQ$206,$B$15:$B$206,$B$245,$D$15:$D$206,$D250,$W$15:$W$206,N$213)</f>
        <v>0</v>
      </c>
      <c r="O250">
        <f>SUMIFS($AP$15:$AP$206,$B$15:$B$206,$B$245,$D$15:$D$206,$D250,$O$15:$O$206,O$213)+SUMIFS($AQ$15:$AQ$206,$B$15:$B$206,$B$245,$D$15:$D$206,$D250,$W$15:$W$206,O$213)</f>
        <v>163.821312</v>
      </c>
      <c r="P250">
        <f>SUMIFS($AP$15:$AP$206,$B$15:$B$206,$B$245,$D$15:$D$206,$D250,$O$15:$O$206,P$213)+SUMIFS($AQ$15:$AQ$206,$B$15:$B$206,$B$245,$D$15:$D$206,$D250,$W$15:$W$206,P$213)</f>
        <v>0</v>
      </c>
      <c r="Q250">
        <f>SUMIFS($AP$15:$AP$206,$B$15:$B$206,$B$245,$D$15:$D$206,$D250,$O$15:$O$206,Q$213)+SUMIFS($AQ$15:$AQ$206,$B$15:$B$206,$B$245,$D$15:$D$206,$D250,$W$15:$W$206,Q$213)</f>
        <v>0</v>
      </c>
      <c r="R250">
        <f>SUMIFS($AP$15:$AP$206,$B$15:$B$206,$B$245,$D$15:$D$206,$D250,$O$15:$O$206,R$213)+SUMIFS($AQ$15:$AQ$206,$B$15:$B$206,$B$245,$D$15:$D$206,$D250,$W$15:$W$206,R$213)</f>
        <v>0</v>
      </c>
      <c r="S250">
        <f>SUMIFS($AP$15:$AP$206,$B$15:$B$206,$B$245,$D$15:$D$206,$D250,$O$15:$O$206,S$213)+SUMIFS($AQ$15:$AQ$206,$B$15:$B$206,$B$245,$D$15:$D$206,$D250,$W$15:$W$206,S$213)</f>
        <v>0</v>
      </c>
      <c r="T250">
        <f>SUM(H250:R250)</f>
        <v>245.6017632</v>
      </c>
      <c r="V250">
        <f>IF(F250&gt;0,G250/F250,0)</f>
        <v>15.764705882352942</v>
      </c>
      <c r="W250">
        <f>IF(F250&gt;0,T250/F250,0)</f>
        <v>214.03203764705881</v>
      </c>
    </row>
    <row r="251">
      <c r="D251" t="str">
        <v>K175-2</v>
      </c>
      <c r="F251">
        <f>SUMIFS($AO$15:$AO$206,$B$15:$B$206,$B$245,$D$15:$D$206,$D251)</f>
        <v>2.295</v>
      </c>
      <c r="G251">
        <f>SUMIFS($AT$15:$AT$206,$B$15:$B$206,$B$245,$D$15:$D$206,$D251)</f>
        <v>36.18</v>
      </c>
      <c r="H251">
        <f>SUMIFS($AR$15:$AR$206,$B$15:$B$206,$B$245,$D$15:$D$206,$D251,$AD$15:$AD$206,H$213)+SUMIFS($AS$15:$AS$206,$B$15:$B$206,$B$245,$D$15:$D$206,$D251,$AI$15:$AI$206,H$213)</f>
        <v>163.5609024</v>
      </c>
      <c r="I251">
        <f>SUMIFS($AR$15:$AR$206,$B$15:$B$206,$B$245,$D$15:$D$206,$D251,$AD$15:$AD$206,I$213)+SUMIFS($AS$15:$AS$206,$B$15:$B$206,$B$245,$D$15:$D$206,$D251,$AI$15:$AI$206,I$213)</f>
        <v>0</v>
      </c>
      <c r="J251">
        <f>SUMIFS($AR$15:$AR$206,$B$15:$B$206,$B$245,$D$15:$D$206,$D251,$AD$15:$AD$206,J$213)+SUMIFS($AS$15:$AS$206,$B$15:$B$206,$B$245,$D$15:$D$206,$D251,$AI$15:$AI$206,J$213)</f>
        <v>0</v>
      </c>
      <c r="K251">
        <f>SUMIFS($AR$15:$AR$206,$B$15:$B$206,$B$245,$D$15:$D$206,$D251,$AD$15:$AD$206,K$213)+SUMIFS($AS$15:$AS$206,$B$15:$B$206,$B$245,$D$15:$D$206,$D251,$AI$15:$AI$206,K$213)</f>
        <v>0</v>
      </c>
      <c r="L251">
        <f>SUMIFS($AP$15:$AP$206,$B$15:$B$206,$B$245,$D$15:$D$206,$D251,$O$15:$O$206,L$213)+SUMIFS($AQ$15:$AQ$206,$B$15:$B$206,$B$245,$D$15:$D$206,$D251,$W$15:$W$206,L$213)</f>
        <v>0</v>
      </c>
      <c r="M251">
        <f>SUMIFS($AP$15:$AP$206,$B$15:$B$206,$B$245,$D$15:$D$206,$D251,$O$15:$O$206,M$213)+SUMIFS($AQ$15:$AQ$206,$B$15:$B$206,$B$245,$D$15:$D$206,$D251,$W$15:$W$206,M$213)</f>
        <v>0</v>
      </c>
      <c r="N251">
        <f>SUMIFS($AP$15:$AP$206,$B$15:$B$206,$B$245,$D$15:$D$206,$D251,$O$15:$O$206,N$213)+SUMIFS($AQ$15:$AQ$206,$B$15:$B$206,$B$245,$D$15:$D$206,$D251,$W$15:$W$206,N$213)</f>
        <v>0</v>
      </c>
      <c r="O251">
        <f>SUMIFS($AP$15:$AP$206,$B$15:$B$206,$B$245,$D$15:$D$206,$D251,$O$15:$O$206,O$213)+SUMIFS($AQ$15:$AQ$206,$B$15:$B$206,$B$245,$D$15:$D$206,$D251,$W$15:$W$206,O$213)</f>
        <v>384.81278976000004</v>
      </c>
      <c r="P251">
        <f>SUMIFS($AP$15:$AP$206,$B$15:$B$206,$B$245,$D$15:$D$206,$D251,$O$15:$O$206,P$213)+SUMIFS($AQ$15:$AQ$206,$B$15:$B$206,$B$245,$D$15:$D$206,$D251,$W$15:$W$206,P$213)</f>
        <v>0</v>
      </c>
      <c r="Q251">
        <f>SUMIFS($AP$15:$AP$206,$B$15:$B$206,$B$245,$D$15:$D$206,$D251,$O$15:$O$206,Q$213)+SUMIFS($AQ$15:$AQ$206,$B$15:$B$206,$B$245,$D$15:$D$206,$D251,$W$15:$W$206,Q$213)</f>
        <v>0</v>
      </c>
      <c r="R251">
        <f>SUMIFS($AP$15:$AP$206,$B$15:$B$206,$B$245,$D$15:$D$206,$D251,$O$15:$O$206,R$213)+SUMIFS($AQ$15:$AQ$206,$B$15:$B$206,$B$245,$D$15:$D$206,$D251,$W$15:$W$206,R$213)</f>
        <v>0</v>
      </c>
      <c r="S251">
        <f>SUMIFS($AP$15:$AP$206,$B$15:$B$206,$B$245,$D$15:$D$206,$D251,$O$15:$O$206,S$213)+SUMIFS($AQ$15:$AQ$206,$B$15:$B$206,$B$245,$D$15:$D$206,$D251,$W$15:$W$206,S$213)</f>
        <v>0</v>
      </c>
      <c r="T251">
        <f>SUM(H251:R251)</f>
        <v>548.37369216</v>
      </c>
      <c r="V251">
        <f>IF(F251&gt;0,G251/F251,0)</f>
        <v>15.764705882352942</v>
      </c>
      <c r="W251">
        <f>IF(F251&gt;0,T251/F251,0)</f>
        <v>238.94278525490196</v>
      </c>
    </row>
    <row r="252">
      <c r="D252" t="str">
        <v>K175-3</v>
      </c>
      <c r="F252">
        <f>SUMIFS($AO$15:$AO$206,$B$15:$B$206,$B$245,$D$15:$D$206,$D252)</f>
        <v>0</v>
      </c>
      <c r="G252">
        <f>SUMIFS($AT$15:$AT$206,$B$15:$B$206,$B$245,$D$15:$D$206,$D252)</f>
        <v>0</v>
      </c>
      <c r="H252">
        <f>SUMIFS($AR$15:$AR$206,$B$15:$B$206,$B$245,$D$15:$D$206,$D252,$AD$15:$AD$206,H$213)+SUMIFS($AS$15:$AS$206,$B$15:$B$206,$B$245,$D$15:$D$206,$D252,$AI$15:$AI$206,H$213)</f>
        <v>0</v>
      </c>
      <c r="I252">
        <f>SUMIFS($AR$15:$AR$206,$B$15:$B$206,$B$245,$D$15:$D$206,$D252,$AD$15:$AD$206,I$213)+SUMIFS($AS$15:$AS$206,$B$15:$B$206,$B$245,$D$15:$D$206,$D252,$AI$15:$AI$206,I$213)</f>
        <v>0</v>
      </c>
      <c r="J252">
        <f>SUMIFS($AR$15:$AR$206,$B$15:$B$206,$B$245,$D$15:$D$206,$D252,$AD$15:$AD$206,J$213)+SUMIFS($AS$15:$AS$206,$B$15:$B$206,$B$245,$D$15:$D$206,$D252,$AI$15:$AI$206,J$213)</f>
        <v>0</v>
      </c>
      <c r="K252">
        <f>SUMIFS($AR$15:$AR$206,$B$15:$B$206,$B$245,$D$15:$D$206,$D252,$AD$15:$AD$206,K$213)+SUMIFS($AS$15:$AS$206,$B$15:$B$206,$B$245,$D$15:$D$206,$D252,$AI$15:$AI$206,K$213)</f>
        <v>0</v>
      </c>
      <c r="L252">
        <f>SUMIFS($AP$15:$AP$206,$B$15:$B$206,$B$245,$D$15:$D$206,$D252,$O$15:$O$206,L$213)+SUMIFS($AQ$15:$AQ$206,$B$15:$B$206,$B$245,$D$15:$D$206,$D252,$W$15:$W$206,L$213)</f>
        <v>0</v>
      </c>
      <c r="M252">
        <f>SUMIFS($AP$15:$AP$206,$B$15:$B$206,$B$245,$D$15:$D$206,$D252,$O$15:$O$206,M$213)+SUMIFS($AQ$15:$AQ$206,$B$15:$B$206,$B$245,$D$15:$D$206,$D252,$W$15:$W$206,M$213)</f>
        <v>0</v>
      </c>
      <c r="N252">
        <f>SUMIFS($AP$15:$AP$206,$B$15:$B$206,$B$245,$D$15:$D$206,$D252,$O$15:$O$206,N$213)+SUMIFS($AQ$15:$AQ$206,$B$15:$B$206,$B$245,$D$15:$D$206,$D252,$W$15:$W$206,N$213)</f>
        <v>0</v>
      </c>
      <c r="O252">
        <f>SUMIFS($AP$15:$AP$206,$B$15:$B$206,$B$245,$D$15:$D$206,$D252,$O$15:$O$206,O$213)+SUMIFS($AQ$15:$AQ$206,$B$15:$B$206,$B$245,$D$15:$D$206,$D252,$W$15:$W$206,O$213)</f>
        <v>0</v>
      </c>
      <c r="P252">
        <f>SUMIFS($AP$15:$AP$206,$B$15:$B$206,$B$245,$D$15:$D$206,$D252,$O$15:$O$206,P$213)+SUMIFS($AQ$15:$AQ$206,$B$15:$B$206,$B$245,$D$15:$D$206,$D252,$W$15:$W$206,P$213)</f>
        <v>0</v>
      </c>
      <c r="Q252">
        <f>SUMIFS($AP$15:$AP$206,$B$15:$B$206,$B$245,$D$15:$D$206,$D252,$O$15:$O$206,Q$213)+SUMIFS($AQ$15:$AQ$206,$B$15:$B$206,$B$245,$D$15:$D$206,$D252,$W$15:$W$206,Q$213)</f>
        <v>0</v>
      </c>
      <c r="R252">
        <f>SUMIFS($AP$15:$AP$206,$B$15:$B$206,$B$245,$D$15:$D$206,$D252,$O$15:$O$206,R$213)+SUMIFS($AQ$15:$AQ$206,$B$15:$B$206,$B$245,$D$15:$D$206,$D252,$W$15:$W$206,R$213)</f>
        <v>0</v>
      </c>
      <c r="S252">
        <f>SUMIFS($AP$15:$AP$206,$B$15:$B$206,$B$245,$D$15:$D$206,$D252,$O$15:$O$206,S$213)+SUMIFS($AQ$15:$AQ$206,$B$15:$B$206,$B$245,$D$15:$D$206,$D252,$W$15:$W$206,S$213)</f>
        <v>0</v>
      </c>
      <c r="T252">
        <f>SUM(H252:R252)</f>
        <v>0</v>
      </c>
      <c r="V252">
        <f>IF(F252&gt;0,G252/F252,0)</f>
        <v>0</v>
      </c>
      <c r="W252">
        <f>IF(F252&gt;0,T252/F252,0)</f>
        <v>0</v>
      </c>
    </row>
    <row r="253">
      <c r="D253" t="str">
        <v>K175-4</v>
      </c>
      <c r="F253">
        <f>SUMIFS($AO$15:$AO$206,$B$15:$B$206,$B$245,$D$15:$D$206,$D253)</f>
        <v>0.3825</v>
      </c>
      <c r="G253">
        <f>SUMIFS($AT$15:$AT$206,$B$15:$B$206,$B$245,$D$15:$D$206,$D253)</f>
        <v>6.03</v>
      </c>
      <c r="H253">
        <f>SUMIFS($AR$15:$AR$206,$B$15:$B$206,$B$245,$D$15:$D$206,$D253,$AD$15:$AD$206,H$213)+SUMIFS($AS$15:$AS$206,$B$15:$B$206,$B$245,$D$15:$D$206,$D253,$AI$15:$AI$206,H$213)</f>
        <v>2.5962048000000006</v>
      </c>
      <c r="I253">
        <f>SUMIFS($AR$15:$AR$206,$B$15:$B$206,$B$245,$D$15:$D$206,$D253,$AD$15:$AD$206,I$213)+SUMIFS($AS$15:$AS$206,$B$15:$B$206,$B$245,$D$15:$D$206,$D253,$AI$15:$AI$206,I$213)</f>
        <v>38.53741500000001</v>
      </c>
      <c r="J253">
        <f>SUMIFS($AR$15:$AR$206,$B$15:$B$206,$B$245,$D$15:$D$206,$D253,$AD$15:$AD$206,J$213)+SUMIFS($AS$15:$AS$206,$B$15:$B$206,$B$245,$D$15:$D$206,$D253,$AI$15:$AI$206,J$213)</f>
        <v>0</v>
      </c>
      <c r="K253">
        <f>SUMIFS($AR$15:$AR$206,$B$15:$B$206,$B$245,$D$15:$D$206,$D253,$AD$15:$AD$206,K$213)+SUMIFS($AS$15:$AS$206,$B$15:$B$206,$B$245,$D$15:$D$206,$D253,$AI$15:$AI$206,K$213)</f>
        <v>0</v>
      </c>
      <c r="L253">
        <f>SUMIFS($AP$15:$AP$206,$B$15:$B$206,$B$245,$D$15:$D$206,$D253,$O$15:$O$206,L$213)+SUMIFS($AQ$15:$AQ$206,$B$15:$B$206,$B$245,$D$15:$D$206,$D253,$W$15:$W$206,L$213)</f>
        <v>3.866688</v>
      </c>
      <c r="M253">
        <f>SUMIFS($AP$15:$AP$206,$B$15:$B$206,$B$245,$D$15:$D$206,$D253,$O$15:$O$206,M$213)+SUMIFS($AQ$15:$AQ$206,$B$15:$B$206,$B$245,$D$15:$D$206,$D253,$W$15:$W$206,M$213)</f>
        <v>0</v>
      </c>
      <c r="N253">
        <f>SUMIFS($AP$15:$AP$206,$B$15:$B$206,$B$245,$D$15:$D$206,$D253,$O$15:$O$206,N$213)+SUMIFS($AQ$15:$AQ$206,$B$15:$B$206,$B$245,$D$15:$D$206,$D253,$W$15:$W$206,N$213)</f>
        <v>0</v>
      </c>
      <c r="O253">
        <f>SUMIFS($AP$15:$AP$206,$B$15:$B$206,$B$245,$D$15:$D$206,$D253,$O$15:$O$206,O$213)+SUMIFS($AQ$15:$AQ$206,$B$15:$B$206,$B$245,$D$15:$D$206,$D253,$W$15:$W$206,O$213)</f>
        <v>0</v>
      </c>
      <c r="P253">
        <f>SUMIFS($AP$15:$AP$206,$B$15:$B$206,$B$245,$D$15:$D$206,$D253,$O$15:$O$206,P$213)+SUMIFS($AQ$15:$AQ$206,$B$15:$B$206,$B$245,$D$15:$D$206,$D253,$W$15:$W$206,P$213)</f>
        <v>101.3077188</v>
      </c>
      <c r="Q253">
        <f>SUMIFS($AP$15:$AP$206,$B$15:$B$206,$B$245,$D$15:$D$206,$D253,$O$15:$O$206,Q$213)+SUMIFS($AQ$15:$AQ$206,$B$15:$B$206,$B$245,$D$15:$D$206,$D253,$W$15:$W$206,Q$213)</f>
        <v>0</v>
      </c>
      <c r="R253">
        <f>SUMIFS($AP$15:$AP$206,$B$15:$B$206,$B$245,$D$15:$D$206,$D253,$O$15:$O$206,R$213)+SUMIFS($AQ$15:$AQ$206,$B$15:$B$206,$B$245,$D$15:$D$206,$D253,$W$15:$W$206,R$213)</f>
        <v>0</v>
      </c>
      <c r="S253">
        <f>SUMIFS($AP$15:$AP$206,$B$15:$B$206,$B$245,$D$15:$D$206,$D253,$O$15:$O$206,S$213)+SUMIFS($AQ$15:$AQ$206,$B$15:$B$206,$B$245,$D$15:$D$206,$D253,$W$15:$W$206,S$213)</f>
        <v>0</v>
      </c>
      <c r="T253">
        <f>SUM(H253:R253)</f>
        <v>146.3080266</v>
      </c>
      <c r="V253">
        <f>IF(F253&gt;0,G253/F253,0)</f>
        <v>15.764705882352942</v>
      </c>
      <c r="W253">
        <f>IF(F253&gt;0,T253/F253,0)</f>
        <v>382.50464470588236</v>
      </c>
    </row>
    <row r="254">
      <c r="D254" t="str">
        <v>K176-1</v>
      </c>
      <c r="F254">
        <f>SUMIFS($AO$15:$AO$206,$B$15:$B$206,$B$245,$D$15:$D$206,$D254)</f>
        <v>1.377</v>
      </c>
      <c r="G254">
        <f>SUMIFS($AT$15:$AT$206,$B$15:$B$206,$B$245,$D$15:$D$206,$D254)</f>
        <v>20.79</v>
      </c>
      <c r="H254">
        <f>SUMIFS($AR$15:$AR$206,$B$15:$B$206,$B$245,$D$15:$D$206,$D254,$AD$15:$AD$206,H$213)+SUMIFS($AS$15:$AS$206,$B$15:$B$206,$B$245,$D$15:$D$206,$D254,$AI$15:$AI$206,H$213)</f>
        <v>92.9070432</v>
      </c>
      <c r="I254">
        <f>SUMIFS($AR$15:$AR$206,$B$15:$B$206,$B$245,$D$15:$D$206,$D254,$AD$15:$AD$206,I$213)+SUMIFS($AS$15:$AS$206,$B$15:$B$206,$B$245,$D$15:$D$206,$D254,$AI$15:$AI$206,I$213)</f>
        <v>0</v>
      </c>
      <c r="J254">
        <f>SUMIFS($AR$15:$AR$206,$B$15:$B$206,$B$245,$D$15:$D$206,$D254,$AD$15:$AD$206,J$213)+SUMIFS($AS$15:$AS$206,$B$15:$B$206,$B$245,$D$15:$D$206,$D254,$AI$15:$AI$206,J$213)</f>
        <v>0</v>
      </c>
      <c r="K254">
        <f>SUMIFS($AR$15:$AR$206,$B$15:$B$206,$B$245,$D$15:$D$206,$D254,$AD$15:$AD$206,K$213)+SUMIFS($AS$15:$AS$206,$B$15:$B$206,$B$245,$D$15:$D$206,$D254,$AI$15:$AI$206,K$213)</f>
        <v>0</v>
      </c>
      <c r="L254">
        <f>SUMIFS($AP$15:$AP$206,$B$15:$B$206,$B$245,$D$15:$D$206,$D254,$O$15:$O$206,L$213)+SUMIFS($AQ$15:$AQ$206,$B$15:$B$206,$B$245,$D$15:$D$206,$D254,$W$15:$W$206,L$213)</f>
        <v>0</v>
      </c>
      <c r="M254">
        <f>SUMIFS($AP$15:$AP$206,$B$15:$B$206,$B$245,$D$15:$D$206,$D254,$O$15:$O$206,M$213)+SUMIFS($AQ$15:$AQ$206,$B$15:$B$206,$B$245,$D$15:$D$206,$D254,$W$15:$W$206,M$213)</f>
        <v>0</v>
      </c>
      <c r="N254">
        <f>SUMIFS($AP$15:$AP$206,$B$15:$B$206,$B$245,$D$15:$D$206,$D254,$O$15:$O$206,N$213)+SUMIFS($AQ$15:$AQ$206,$B$15:$B$206,$B$245,$D$15:$D$206,$D254,$W$15:$W$206,N$213)</f>
        <v>0</v>
      </c>
      <c r="O254">
        <f>SUMIFS($AP$15:$AP$206,$B$15:$B$206,$B$245,$D$15:$D$206,$D254,$O$15:$O$206,O$213)+SUMIFS($AQ$15:$AQ$206,$B$15:$B$206,$B$245,$D$15:$D$206,$D254,$W$15:$W$206,O$213)</f>
        <v>285.18796800000007</v>
      </c>
      <c r="P254">
        <f>SUMIFS($AP$15:$AP$206,$B$15:$B$206,$B$245,$D$15:$D$206,$D254,$O$15:$O$206,P$213)+SUMIFS($AQ$15:$AQ$206,$B$15:$B$206,$B$245,$D$15:$D$206,$D254,$W$15:$W$206,P$213)</f>
        <v>0</v>
      </c>
      <c r="Q254">
        <f>SUMIFS($AP$15:$AP$206,$B$15:$B$206,$B$245,$D$15:$D$206,$D254,$O$15:$O$206,Q$213)+SUMIFS($AQ$15:$AQ$206,$B$15:$B$206,$B$245,$D$15:$D$206,$D254,$W$15:$W$206,Q$213)</f>
        <v>0</v>
      </c>
      <c r="R254">
        <f>SUMIFS($AP$15:$AP$206,$B$15:$B$206,$B$245,$D$15:$D$206,$D254,$O$15:$O$206,R$213)+SUMIFS($AQ$15:$AQ$206,$B$15:$B$206,$B$245,$D$15:$D$206,$D254,$W$15:$W$206,R$213)</f>
        <v>0</v>
      </c>
      <c r="S254">
        <f>SUMIFS($AP$15:$AP$206,$B$15:$B$206,$B$245,$D$15:$D$206,$D254,$O$15:$O$206,S$213)+SUMIFS($AQ$15:$AQ$206,$B$15:$B$206,$B$245,$D$15:$D$206,$D254,$W$15:$W$206,S$213)</f>
        <v>0</v>
      </c>
      <c r="T254">
        <f>SUM(H254:R254)</f>
        <v>378.09501120000004</v>
      </c>
      <c r="V254">
        <f>IF(F254&gt;0,G254/F254,0)</f>
        <v>15.098039215686274</v>
      </c>
      <c r="W254">
        <f>IF(F254&gt;0,T254/F254,0)</f>
        <v>274.57880261437913</v>
      </c>
    </row>
    <row r="255">
      <c r="D255" t="str">
        <v>K176-4</v>
      </c>
      <c r="F255">
        <f>SUMIFS($AO$15:$AO$206,$B$15:$B$206,$B$245,$D$15:$D$206,$D255)</f>
        <v>0.459</v>
      </c>
      <c r="G255">
        <f>SUMIFS($AT$15:$AT$206,$B$15:$B$206,$B$245,$D$15:$D$206,$D255)</f>
        <v>6.93</v>
      </c>
      <c r="H255">
        <f>SUMIFS($AR$15:$AR$206,$B$15:$B$206,$B$245,$D$15:$D$206,$D255,$AD$15:$AD$206,H$213)+SUMIFS($AS$15:$AS$206,$B$15:$B$206,$B$245,$D$15:$D$206,$D255,$AI$15:$AI$206,H$213)</f>
        <v>30.969014400000006</v>
      </c>
      <c r="I255">
        <f>SUMIFS($AR$15:$AR$206,$B$15:$B$206,$B$245,$D$15:$D$206,$D255,$AD$15:$AD$206,I$213)+SUMIFS($AS$15:$AS$206,$B$15:$B$206,$B$245,$D$15:$D$206,$D255,$AI$15:$AI$206,I$213)</f>
        <v>0</v>
      </c>
      <c r="J255">
        <f>SUMIFS($AR$15:$AR$206,$B$15:$B$206,$B$245,$D$15:$D$206,$D255,$AD$15:$AD$206,J$213)+SUMIFS($AS$15:$AS$206,$B$15:$B$206,$B$245,$D$15:$D$206,$D255,$AI$15:$AI$206,J$213)</f>
        <v>0</v>
      </c>
      <c r="K255">
        <f>SUMIFS($AR$15:$AR$206,$B$15:$B$206,$B$245,$D$15:$D$206,$D255,$AD$15:$AD$206,K$213)+SUMIFS($AS$15:$AS$206,$B$15:$B$206,$B$245,$D$15:$D$206,$D255,$AI$15:$AI$206,K$213)</f>
        <v>0</v>
      </c>
      <c r="L255">
        <f>SUMIFS($AP$15:$AP$206,$B$15:$B$206,$B$245,$D$15:$D$206,$D255,$O$15:$O$206,L$213)+SUMIFS($AQ$15:$AQ$206,$B$15:$B$206,$B$245,$D$15:$D$206,$D255,$W$15:$W$206,L$213)</f>
        <v>0</v>
      </c>
      <c r="M255">
        <f>SUMIFS($AP$15:$AP$206,$B$15:$B$206,$B$245,$D$15:$D$206,$D255,$O$15:$O$206,M$213)+SUMIFS($AQ$15:$AQ$206,$B$15:$B$206,$B$245,$D$15:$D$206,$D255,$W$15:$W$206,M$213)</f>
        <v>0</v>
      </c>
      <c r="N255">
        <f>SUMIFS($AP$15:$AP$206,$B$15:$B$206,$B$245,$D$15:$D$206,$D255,$O$15:$O$206,N$213)+SUMIFS($AQ$15:$AQ$206,$B$15:$B$206,$B$245,$D$15:$D$206,$D255,$W$15:$W$206,N$213)</f>
        <v>0</v>
      </c>
      <c r="O255">
        <f>SUMIFS($AP$15:$AP$206,$B$15:$B$206,$B$245,$D$15:$D$206,$D255,$O$15:$O$206,O$213)+SUMIFS($AQ$15:$AQ$206,$B$15:$B$206,$B$245,$D$15:$D$206,$D255,$W$15:$W$206,O$213)</f>
        <v>39.6453888</v>
      </c>
      <c r="P255">
        <f>SUMIFS($AP$15:$AP$206,$B$15:$B$206,$B$245,$D$15:$D$206,$D255,$O$15:$O$206,P$213)+SUMIFS($AQ$15:$AQ$206,$B$15:$B$206,$B$245,$D$15:$D$206,$D255,$W$15:$W$206,P$213)</f>
        <v>117.50983199999999</v>
      </c>
      <c r="Q255">
        <f>SUMIFS($AP$15:$AP$206,$B$15:$B$206,$B$245,$D$15:$D$206,$D255,$O$15:$O$206,Q$213)+SUMIFS($AQ$15:$AQ$206,$B$15:$B$206,$B$245,$D$15:$D$206,$D255,$W$15:$W$206,Q$213)</f>
        <v>0</v>
      </c>
      <c r="R255">
        <f>SUMIFS($AP$15:$AP$206,$B$15:$B$206,$B$245,$D$15:$D$206,$D255,$O$15:$O$206,R$213)+SUMIFS($AQ$15:$AQ$206,$B$15:$B$206,$B$245,$D$15:$D$206,$D255,$W$15:$W$206,R$213)</f>
        <v>0</v>
      </c>
      <c r="S255">
        <f>SUMIFS($AP$15:$AP$206,$B$15:$B$206,$B$245,$D$15:$D$206,$D255,$O$15:$O$206,S$213)+SUMIFS($AQ$15:$AQ$206,$B$15:$B$206,$B$245,$D$15:$D$206,$D255,$W$15:$W$206,S$213)</f>
        <v>0</v>
      </c>
      <c r="T255">
        <f>SUM(H255:R255)</f>
        <v>188.1242352</v>
      </c>
      <c r="V255">
        <f>IF(F255&gt;0,G255/F255,0)</f>
        <v>15.098039215686272</v>
      </c>
      <c r="W255">
        <f>IF(F255&gt;0,T255/F255,0)</f>
        <v>409.8567215686274</v>
      </c>
    </row>
    <row r="256">
      <c r="D256" t="str">
        <v>K177-1</v>
      </c>
      <c r="F256">
        <f>SUMIFS($AO$15:$AO$206,$B$15:$B$206,$B$245,$D$15:$D$206,$D256)</f>
        <v>0.5355</v>
      </c>
      <c r="G256">
        <f>SUMIFS($AT$15:$AT$206,$B$15:$B$206,$B$245,$D$15:$D$206,$D256)</f>
        <v>7.83</v>
      </c>
      <c r="H256">
        <f>SUMIFS($AR$15:$AR$206,$B$15:$B$206,$B$245,$D$15:$D$206,$D256,$AD$15:$AD$206,H$213)+SUMIFS($AS$15:$AS$206,$B$15:$B$206,$B$245,$D$15:$D$206,$D256,$AI$15:$AI$206,H$213)</f>
        <v>34.677878400000004</v>
      </c>
      <c r="I256">
        <f>SUMIFS($AR$15:$AR$206,$B$15:$B$206,$B$245,$D$15:$D$206,$D256,$AD$15:$AD$206,I$213)+SUMIFS($AS$15:$AS$206,$B$15:$B$206,$B$245,$D$15:$D$206,$D256,$AI$15:$AI$206,I$213)</f>
        <v>0</v>
      </c>
      <c r="J256">
        <f>SUMIFS($AR$15:$AR$206,$B$15:$B$206,$B$245,$D$15:$D$206,$D256,$AD$15:$AD$206,J$213)+SUMIFS($AS$15:$AS$206,$B$15:$B$206,$B$245,$D$15:$D$206,$D256,$AI$15:$AI$206,J$213)</f>
        <v>0</v>
      </c>
      <c r="K256">
        <f>SUMIFS($AR$15:$AR$206,$B$15:$B$206,$B$245,$D$15:$D$206,$D256,$AD$15:$AD$206,K$213)+SUMIFS($AS$15:$AS$206,$B$15:$B$206,$B$245,$D$15:$D$206,$D256,$AI$15:$AI$206,K$213)</f>
        <v>0</v>
      </c>
      <c r="L256">
        <f>SUMIFS($AP$15:$AP$206,$B$15:$B$206,$B$245,$D$15:$D$206,$D256,$O$15:$O$206,L$213)+SUMIFS($AQ$15:$AQ$206,$B$15:$B$206,$B$245,$D$15:$D$206,$D256,$W$15:$W$206,L$213)</f>
        <v>0</v>
      </c>
      <c r="M256">
        <f>SUMIFS($AP$15:$AP$206,$B$15:$B$206,$B$245,$D$15:$D$206,$D256,$O$15:$O$206,M$213)+SUMIFS($AQ$15:$AQ$206,$B$15:$B$206,$B$245,$D$15:$D$206,$D256,$W$15:$W$206,M$213)</f>
        <v>0</v>
      </c>
      <c r="N256">
        <f>SUMIFS($AP$15:$AP$206,$B$15:$B$206,$B$245,$D$15:$D$206,$D256,$O$15:$O$206,N$213)+SUMIFS($AQ$15:$AQ$206,$B$15:$B$206,$B$245,$D$15:$D$206,$D256,$W$15:$W$206,N$213)</f>
        <v>0</v>
      </c>
      <c r="O256">
        <f>SUMIFS($AP$15:$AP$206,$B$15:$B$206,$B$245,$D$15:$D$206,$D256,$O$15:$O$206,O$213)+SUMIFS($AQ$15:$AQ$206,$B$15:$B$206,$B$245,$D$15:$D$206,$D256,$W$15:$W$206,O$213)</f>
        <v>0</v>
      </c>
      <c r="P256">
        <f>SUMIFS($AP$15:$AP$206,$B$15:$B$206,$B$245,$D$15:$D$206,$D256,$O$15:$O$206,P$213)+SUMIFS($AQ$15:$AQ$206,$B$15:$B$206,$B$245,$D$15:$D$206,$D256,$W$15:$W$206,P$213)</f>
        <v>126.63464850000001</v>
      </c>
      <c r="Q256">
        <f>SUMIFS($AP$15:$AP$206,$B$15:$B$206,$B$245,$D$15:$D$206,$D256,$O$15:$O$206,Q$213)+SUMIFS($AQ$15:$AQ$206,$B$15:$B$206,$B$245,$D$15:$D$206,$D256,$W$15:$W$206,Q$213)</f>
        <v>0</v>
      </c>
      <c r="R256">
        <f>SUMIFS($AP$15:$AP$206,$B$15:$B$206,$B$245,$D$15:$D$206,$D256,$O$15:$O$206,R$213)+SUMIFS($AQ$15:$AQ$206,$B$15:$B$206,$B$245,$D$15:$D$206,$D256,$W$15:$W$206,R$213)</f>
        <v>0</v>
      </c>
      <c r="S256">
        <f>SUMIFS($AP$15:$AP$206,$B$15:$B$206,$B$245,$D$15:$D$206,$D256,$O$15:$O$206,S$213)+SUMIFS($AQ$15:$AQ$206,$B$15:$B$206,$B$245,$D$15:$D$206,$D256,$W$15:$W$206,S$213)</f>
        <v>0</v>
      </c>
      <c r="T256">
        <f>SUM(H256:R256)</f>
        <v>161.31252690000002</v>
      </c>
      <c r="V256">
        <f>IF(F256&gt;0,G256/F256,0)</f>
        <v>14.6218487394958</v>
      </c>
      <c r="W256">
        <f>IF(F256&gt;0,T256/F256,0)</f>
        <v>301.23721176470593</v>
      </c>
    </row>
    <row r="257">
      <c r="D257" t="str">
        <v>K177-2</v>
      </c>
      <c r="F257">
        <f>SUMIFS($AO$15:$AO$206,$B$15:$B$206,$B$245,$D$15:$D$206,$D257)</f>
        <v>0</v>
      </c>
      <c r="G257">
        <f>SUMIFS($AT$15:$AT$206,$B$15:$B$206,$B$245,$D$15:$D$206,$D257)</f>
        <v>0</v>
      </c>
      <c r="H257">
        <f>SUMIFS($AR$15:$AR$206,$B$15:$B$206,$B$245,$D$15:$D$206,$D257,$AD$15:$AD$206,H$213)+SUMIFS($AS$15:$AS$206,$B$15:$B$206,$B$245,$D$15:$D$206,$D257,$AI$15:$AI$206,H$213)</f>
        <v>0</v>
      </c>
      <c r="I257">
        <f>SUMIFS($AR$15:$AR$206,$B$15:$B$206,$B$245,$D$15:$D$206,$D257,$AD$15:$AD$206,I$213)+SUMIFS($AS$15:$AS$206,$B$15:$B$206,$B$245,$D$15:$D$206,$D257,$AI$15:$AI$206,I$213)</f>
        <v>0</v>
      </c>
      <c r="J257">
        <f>SUMIFS($AR$15:$AR$206,$B$15:$B$206,$B$245,$D$15:$D$206,$D257,$AD$15:$AD$206,J$213)+SUMIFS($AS$15:$AS$206,$B$15:$B$206,$B$245,$D$15:$D$206,$D257,$AI$15:$AI$206,J$213)</f>
        <v>0</v>
      </c>
      <c r="K257">
        <f>SUMIFS($AR$15:$AR$206,$B$15:$B$206,$B$245,$D$15:$D$206,$D257,$AD$15:$AD$206,K$213)+SUMIFS($AS$15:$AS$206,$B$15:$B$206,$B$245,$D$15:$D$206,$D257,$AI$15:$AI$206,K$213)</f>
        <v>0</v>
      </c>
      <c r="L257">
        <f>SUMIFS($AP$15:$AP$206,$B$15:$B$206,$B$245,$D$15:$D$206,$D257,$O$15:$O$206,L$213)+SUMIFS($AQ$15:$AQ$206,$B$15:$B$206,$B$245,$D$15:$D$206,$D257,$W$15:$W$206,L$213)</f>
        <v>0</v>
      </c>
      <c r="M257">
        <f>SUMIFS($AP$15:$AP$206,$B$15:$B$206,$B$245,$D$15:$D$206,$D257,$O$15:$O$206,M$213)+SUMIFS($AQ$15:$AQ$206,$B$15:$B$206,$B$245,$D$15:$D$206,$D257,$W$15:$W$206,M$213)</f>
        <v>0</v>
      </c>
      <c r="N257">
        <f>SUMIFS($AP$15:$AP$206,$B$15:$B$206,$B$245,$D$15:$D$206,$D257,$O$15:$O$206,N$213)+SUMIFS($AQ$15:$AQ$206,$B$15:$B$206,$B$245,$D$15:$D$206,$D257,$W$15:$W$206,N$213)</f>
        <v>0</v>
      </c>
      <c r="O257">
        <f>SUMIFS($AP$15:$AP$206,$B$15:$B$206,$B$245,$D$15:$D$206,$D257,$O$15:$O$206,O$213)+SUMIFS($AQ$15:$AQ$206,$B$15:$B$206,$B$245,$D$15:$D$206,$D257,$W$15:$W$206,O$213)</f>
        <v>0</v>
      </c>
      <c r="P257">
        <f>SUMIFS($AP$15:$AP$206,$B$15:$B$206,$B$245,$D$15:$D$206,$D257,$O$15:$O$206,P$213)+SUMIFS($AQ$15:$AQ$206,$B$15:$B$206,$B$245,$D$15:$D$206,$D257,$W$15:$W$206,P$213)</f>
        <v>0</v>
      </c>
      <c r="Q257">
        <f>SUMIFS($AP$15:$AP$206,$B$15:$B$206,$B$245,$D$15:$D$206,$D257,$O$15:$O$206,Q$213)+SUMIFS($AQ$15:$AQ$206,$B$15:$B$206,$B$245,$D$15:$D$206,$D257,$W$15:$W$206,Q$213)</f>
        <v>0</v>
      </c>
      <c r="R257">
        <f>SUMIFS($AP$15:$AP$206,$B$15:$B$206,$B$245,$D$15:$D$206,$D257,$O$15:$O$206,R$213)+SUMIFS($AQ$15:$AQ$206,$B$15:$B$206,$B$245,$D$15:$D$206,$D257,$W$15:$W$206,R$213)</f>
        <v>0</v>
      </c>
      <c r="S257">
        <f>SUMIFS($AP$15:$AP$206,$B$15:$B$206,$B$245,$D$15:$D$206,$D257,$O$15:$O$206,S$213)+SUMIFS($AQ$15:$AQ$206,$B$15:$B$206,$B$245,$D$15:$D$206,$D257,$W$15:$W$206,S$213)</f>
        <v>0</v>
      </c>
      <c r="T257">
        <f>SUM(H257:R257)</f>
        <v>0</v>
      </c>
      <c r="V257">
        <f>IF(F257&gt;0,G257/F257,0)</f>
        <v>0</v>
      </c>
      <c r="W257">
        <f>IF(F257&gt;0,T257/F257,0)</f>
        <v>0</v>
      </c>
    </row>
    <row r="258">
      <c r="D258" t="str">
        <v>K178-1</v>
      </c>
      <c r="F258">
        <f>SUMIFS($AO$15:$AO$206,$B$15:$B$206,$B$245,$D$15:$D$206,$D258)</f>
        <v>2.448</v>
      </c>
      <c r="G258">
        <f>SUMIFS($AT$15:$AT$206,$B$15:$B$206,$B$245,$D$15:$D$206,$D258)</f>
        <v>34.92</v>
      </c>
      <c r="H258">
        <f>SUMIFS($AR$15:$AR$206,$B$15:$B$206,$B$245,$D$15:$D$206,$D258,$AD$15:$AD$206,H$213)+SUMIFS($AS$15:$AS$206,$B$15:$B$206,$B$245,$D$15:$D$206,$D258,$AI$15:$AI$206,H$213)</f>
        <v>163.9317888</v>
      </c>
      <c r="I258">
        <f>SUMIFS($AR$15:$AR$206,$B$15:$B$206,$B$245,$D$15:$D$206,$D258,$AD$15:$AD$206,I$213)+SUMIFS($AS$15:$AS$206,$B$15:$B$206,$B$245,$D$15:$D$206,$D258,$AI$15:$AI$206,I$213)</f>
        <v>0</v>
      </c>
      <c r="J258">
        <f>SUMIFS($AR$15:$AR$206,$B$15:$B$206,$B$245,$D$15:$D$206,$D258,$AD$15:$AD$206,J$213)+SUMIFS($AS$15:$AS$206,$B$15:$B$206,$B$245,$D$15:$D$206,$D258,$AI$15:$AI$206,J$213)</f>
        <v>0</v>
      </c>
      <c r="K258">
        <f>SUMIFS($AR$15:$AR$206,$B$15:$B$206,$B$245,$D$15:$D$206,$D258,$AD$15:$AD$206,K$213)+SUMIFS($AS$15:$AS$206,$B$15:$B$206,$B$245,$D$15:$D$206,$D258,$AI$15:$AI$206,K$213)</f>
        <v>0</v>
      </c>
      <c r="L258">
        <f>SUMIFS($AP$15:$AP$206,$B$15:$B$206,$B$245,$D$15:$D$206,$D258,$O$15:$O$206,L$213)+SUMIFS($AQ$15:$AQ$206,$B$15:$B$206,$B$245,$D$15:$D$206,$D258,$W$15:$W$206,L$213)</f>
        <v>0</v>
      </c>
      <c r="M258">
        <f>SUMIFS($AP$15:$AP$206,$B$15:$B$206,$B$245,$D$15:$D$206,$D258,$O$15:$O$206,M$213)+SUMIFS($AQ$15:$AQ$206,$B$15:$B$206,$B$245,$D$15:$D$206,$D258,$W$15:$W$206,M$213)</f>
        <v>0</v>
      </c>
      <c r="N258">
        <f>SUMIFS($AP$15:$AP$206,$B$15:$B$206,$B$245,$D$15:$D$206,$D258,$O$15:$O$206,N$213)+SUMIFS($AQ$15:$AQ$206,$B$15:$B$206,$B$245,$D$15:$D$206,$D258,$W$15:$W$206,N$213)</f>
        <v>0</v>
      </c>
      <c r="O258">
        <f>SUMIFS($AP$15:$AP$206,$B$15:$B$206,$B$245,$D$15:$D$206,$D258,$O$15:$O$206,O$213)+SUMIFS($AQ$15:$AQ$206,$B$15:$B$206,$B$245,$D$15:$D$206,$D258,$W$15:$W$206,O$213)</f>
        <v>287.9972352</v>
      </c>
      <c r="P258">
        <f>SUMIFS($AP$15:$AP$206,$B$15:$B$206,$B$245,$D$15:$D$206,$D258,$O$15:$O$206,P$213)+SUMIFS($AQ$15:$AQ$206,$B$15:$B$206,$B$245,$D$15:$D$206,$D258,$W$15:$W$206,P$213)</f>
        <v>0</v>
      </c>
      <c r="Q258">
        <f>SUMIFS($AP$15:$AP$206,$B$15:$B$206,$B$245,$D$15:$D$206,$D258,$O$15:$O$206,Q$213)+SUMIFS($AQ$15:$AQ$206,$B$15:$B$206,$B$245,$D$15:$D$206,$D258,$W$15:$W$206,Q$213)</f>
        <v>0</v>
      </c>
      <c r="R258">
        <f>SUMIFS($AP$15:$AP$206,$B$15:$B$206,$B$245,$D$15:$D$206,$D258,$O$15:$O$206,R$213)+SUMIFS($AQ$15:$AQ$206,$B$15:$B$206,$B$245,$D$15:$D$206,$D258,$W$15:$W$206,R$213)</f>
        <v>0</v>
      </c>
      <c r="S258">
        <f>SUMIFS($AP$15:$AP$206,$B$15:$B$206,$B$245,$D$15:$D$206,$D258,$O$15:$O$206,S$213)+SUMIFS($AQ$15:$AQ$206,$B$15:$B$206,$B$245,$D$15:$D$206,$D258,$W$15:$W$206,S$213)</f>
        <v>0</v>
      </c>
      <c r="T258">
        <f>SUM(H258:R258)</f>
        <v>451.92902399999997</v>
      </c>
      <c r="V258">
        <f>IF(F258&gt;0,G258/F258,0)</f>
        <v>14.264705882352942</v>
      </c>
      <c r="W258">
        <f>IF(F258&gt;0,T258/F258,0)</f>
        <v>184.6115294117647</v>
      </c>
    </row>
    <row r="259">
      <c r="D259" t="str">
        <v>K178-2</v>
      </c>
      <c r="F259">
        <f>SUMIFS($AO$15:$AO$206,$B$15:$B$206,$B$245,$D$15:$D$206,$D259)</f>
        <v>1.224</v>
      </c>
      <c r="G259">
        <f>SUMIFS($AT$15:$AT$206,$B$15:$B$206,$B$245,$D$15:$D$206,$D259)</f>
        <v>17.46</v>
      </c>
      <c r="H259">
        <f>SUMIFS($AR$15:$AR$206,$B$15:$B$206,$B$245,$D$15:$D$206,$D259,$AD$15:$AD$206,H$213)+SUMIFS($AS$15:$AS$206,$B$15:$B$206,$B$245,$D$15:$D$206,$D259,$AI$15:$AI$206,H$213)</f>
        <v>81.9658944</v>
      </c>
      <c r="I259">
        <f>SUMIFS($AR$15:$AR$206,$B$15:$B$206,$B$245,$D$15:$D$206,$D259,$AD$15:$AD$206,I$213)+SUMIFS($AS$15:$AS$206,$B$15:$B$206,$B$245,$D$15:$D$206,$D259,$AI$15:$AI$206,I$213)</f>
        <v>0</v>
      </c>
      <c r="J259">
        <f>SUMIFS($AR$15:$AR$206,$B$15:$B$206,$B$245,$D$15:$D$206,$D259,$AD$15:$AD$206,J$213)+SUMIFS($AS$15:$AS$206,$B$15:$B$206,$B$245,$D$15:$D$206,$D259,$AI$15:$AI$206,J$213)</f>
        <v>0</v>
      </c>
      <c r="K259">
        <f>SUMIFS($AR$15:$AR$206,$B$15:$B$206,$B$245,$D$15:$D$206,$D259,$AD$15:$AD$206,K$213)+SUMIFS($AS$15:$AS$206,$B$15:$B$206,$B$245,$D$15:$D$206,$D259,$AI$15:$AI$206,K$213)</f>
        <v>0</v>
      </c>
      <c r="L259">
        <f>SUMIFS($AP$15:$AP$206,$B$15:$B$206,$B$245,$D$15:$D$206,$D259,$O$15:$O$206,L$213)+SUMIFS($AQ$15:$AQ$206,$B$15:$B$206,$B$245,$D$15:$D$206,$D259,$W$15:$W$206,L$213)</f>
        <v>0</v>
      </c>
      <c r="M259">
        <f>SUMIFS($AP$15:$AP$206,$B$15:$B$206,$B$245,$D$15:$D$206,$D259,$O$15:$O$206,M$213)+SUMIFS($AQ$15:$AQ$206,$B$15:$B$206,$B$245,$D$15:$D$206,$D259,$W$15:$W$206,M$213)</f>
        <v>0</v>
      </c>
      <c r="N259">
        <f>SUMIFS($AP$15:$AP$206,$B$15:$B$206,$B$245,$D$15:$D$206,$D259,$O$15:$O$206,N$213)+SUMIFS($AQ$15:$AQ$206,$B$15:$B$206,$B$245,$D$15:$D$206,$D259,$W$15:$W$206,N$213)</f>
        <v>0</v>
      </c>
      <c r="O259">
        <f>SUMIFS($AP$15:$AP$206,$B$15:$B$206,$B$245,$D$15:$D$206,$D259,$O$15:$O$206,O$213)+SUMIFS($AQ$15:$AQ$206,$B$15:$B$206,$B$245,$D$15:$D$206,$D259,$W$15:$W$206,O$213)</f>
        <v>0</v>
      </c>
      <c r="P259">
        <f>SUMIFS($AP$15:$AP$206,$B$15:$B$206,$B$245,$D$15:$D$206,$D259,$O$15:$O$206,P$213)+SUMIFS($AQ$15:$AQ$206,$B$15:$B$206,$B$245,$D$15:$D$206,$D259,$W$15:$W$206,P$213)</f>
        <v>352.33364628</v>
      </c>
      <c r="Q259">
        <f>SUMIFS($AP$15:$AP$206,$B$15:$B$206,$B$245,$D$15:$D$206,$D259,$O$15:$O$206,Q$213)+SUMIFS($AQ$15:$AQ$206,$B$15:$B$206,$B$245,$D$15:$D$206,$D259,$W$15:$W$206,Q$213)</f>
        <v>0</v>
      </c>
      <c r="R259">
        <f>SUMIFS($AP$15:$AP$206,$B$15:$B$206,$B$245,$D$15:$D$206,$D259,$O$15:$O$206,R$213)+SUMIFS($AQ$15:$AQ$206,$B$15:$B$206,$B$245,$D$15:$D$206,$D259,$W$15:$W$206,R$213)</f>
        <v>0</v>
      </c>
      <c r="S259">
        <f>SUMIFS($AP$15:$AP$206,$B$15:$B$206,$B$245,$D$15:$D$206,$D259,$O$15:$O$206,S$213)+SUMIFS($AQ$15:$AQ$206,$B$15:$B$206,$B$245,$D$15:$D$206,$D259,$W$15:$W$206,S$213)</f>
        <v>0</v>
      </c>
      <c r="T259">
        <f>SUM(H259:R259)</f>
        <v>434.29954067999995</v>
      </c>
      <c r="V259">
        <f>IF(F259&gt;0,G259/F259,0)</f>
        <v>14.264705882352942</v>
      </c>
      <c r="W259">
        <f>IF(F259&gt;0,T259/F259,0)</f>
        <v>354.81988617647056</v>
      </c>
    </row>
    <row r="260">
      <c r="D260" t="str">
        <v>K179-1</v>
      </c>
      <c r="F260">
        <f>SUMIFS($AO$15:$AO$206,$B$15:$B$206,$B$245,$D$15:$D$206,$D260)</f>
        <v>0.6885</v>
      </c>
      <c r="G260">
        <f>SUMIFS($AT$15:$AT$206,$B$15:$B$206,$B$245,$D$15:$D$206,$D260)</f>
        <v>9.63</v>
      </c>
      <c r="H260">
        <f>SUMIFS($AR$15:$AR$206,$B$15:$B$206,$B$245,$D$15:$D$206,$D260,$AD$15:$AD$206,H$213)+SUMIFS($AS$15:$AS$206,$B$15:$B$206,$B$245,$D$15:$D$206,$D260,$AI$15:$AI$206,H$213)</f>
        <v>44.691811200000004</v>
      </c>
      <c r="I260">
        <f>SUMIFS($AR$15:$AR$206,$B$15:$B$206,$B$245,$D$15:$D$206,$D260,$AD$15:$AD$206,I$213)+SUMIFS($AS$15:$AS$206,$B$15:$B$206,$B$245,$D$15:$D$206,$D260,$AI$15:$AI$206,I$213)</f>
        <v>0</v>
      </c>
      <c r="J260">
        <f>SUMIFS($AR$15:$AR$206,$B$15:$B$206,$B$245,$D$15:$D$206,$D260,$AD$15:$AD$206,J$213)+SUMIFS($AS$15:$AS$206,$B$15:$B$206,$B$245,$D$15:$D$206,$D260,$AI$15:$AI$206,J$213)</f>
        <v>0</v>
      </c>
      <c r="K260">
        <f>SUMIFS($AR$15:$AR$206,$B$15:$B$206,$B$245,$D$15:$D$206,$D260,$AD$15:$AD$206,K$213)+SUMIFS($AS$15:$AS$206,$B$15:$B$206,$B$245,$D$15:$D$206,$D260,$AI$15:$AI$206,K$213)</f>
        <v>0</v>
      </c>
      <c r="L260">
        <f>SUMIFS($AP$15:$AP$206,$B$15:$B$206,$B$245,$D$15:$D$206,$D260,$O$15:$O$206,L$213)+SUMIFS($AQ$15:$AQ$206,$B$15:$B$206,$B$245,$D$15:$D$206,$D260,$W$15:$W$206,L$213)</f>
        <v>0</v>
      </c>
      <c r="M260">
        <f>SUMIFS($AP$15:$AP$206,$B$15:$B$206,$B$245,$D$15:$D$206,$D260,$O$15:$O$206,M$213)+SUMIFS($AQ$15:$AQ$206,$B$15:$B$206,$B$245,$D$15:$D$206,$D260,$W$15:$W$206,M$213)</f>
        <v>0</v>
      </c>
      <c r="N260">
        <f>SUMIFS($AP$15:$AP$206,$B$15:$B$206,$B$245,$D$15:$D$206,$D260,$O$15:$O$206,N$213)+SUMIFS($AQ$15:$AQ$206,$B$15:$B$206,$B$245,$D$15:$D$206,$D260,$W$15:$W$206,N$213)</f>
        <v>0</v>
      </c>
      <c r="O260">
        <f>SUMIFS($AP$15:$AP$206,$B$15:$B$206,$B$245,$D$15:$D$206,$D260,$O$15:$O$206,O$213)+SUMIFS($AQ$15:$AQ$206,$B$15:$B$206,$B$245,$D$15:$D$206,$D260,$W$15:$W$206,O$213)</f>
        <v>0</v>
      </c>
      <c r="P260">
        <f>SUMIFS($AP$15:$AP$206,$B$15:$B$206,$B$245,$D$15:$D$206,$D260,$O$15:$O$206,P$213)+SUMIFS($AQ$15:$AQ$206,$B$15:$B$206,$B$245,$D$15:$D$206,$D260,$W$15:$W$206,P$213)</f>
        <v>177.28850789999998</v>
      </c>
      <c r="Q260">
        <f>SUMIFS($AP$15:$AP$206,$B$15:$B$206,$B$245,$D$15:$D$206,$D260,$O$15:$O$206,Q$213)+SUMIFS($AQ$15:$AQ$206,$B$15:$B$206,$B$245,$D$15:$D$206,$D260,$W$15:$W$206,Q$213)</f>
        <v>0</v>
      </c>
      <c r="R260">
        <f>SUMIFS($AP$15:$AP$206,$B$15:$B$206,$B$245,$D$15:$D$206,$D260,$O$15:$O$206,R$213)+SUMIFS($AQ$15:$AQ$206,$B$15:$B$206,$B$245,$D$15:$D$206,$D260,$W$15:$W$206,R$213)</f>
        <v>0</v>
      </c>
      <c r="S260">
        <f>SUMIFS($AP$15:$AP$206,$B$15:$B$206,$B$245,$D$15:$D$206,$D260,$O$15:$O$206,S$213)+SUMIFS($AQ$15:$AQ$206,$B$15:$B$206,$B$245,$D$15:$D$206,$D260,$W$15:$W$206,S$213)</f>
        <v>0</v>
      </c>
      <c r="T260">
        <f>SUM(H260:R260)</f>
        <v>221.98031909999997</v>
      </c>
      <c r="V260">
        <f>IF(F260&gt;0,G260/F260,0)</f>
        <v>13.986928104575165</v>
      </c>
      <c r="W260">
        <f>IF(F260&gt;0,T260/F260,0)</f>
        <v>322.4115019607843</v>
      </c>
    </row>
    <row r="261">
      <c r="D261" t="str">
        <v>K275-1</v>
      </c>
      <c r="F261">
        <f>SUMIFS($AO$15:$AO$206,$B$15:$B$206,$B$245,$D$15:$D$206,$D261)</f>
        <v>1.8225000000000002</v>
      </c>
      <c r="G261">
        <f>SUMIFS($AT$15:$AT$206,$B$15:$B$206,$B$245,$D$15:$D$206,$D261)</f>
        <v>20.79</v>
      </c>
      <c r="H261">
        <f>SUMIFS($AR$15:$AR$206,$B$15:$B$206,$B$245,$D$15:$D$206,$D261,$AD$15:$AD$206,H$213)+SUMIFS($AS$15:$AS$206,$B$15:$B$206,$B$245,$D$15:$D$206,$D261,$AI$15:$AI$206,H$213)</f>
        <v>0</v>
      </c>
      <c r="I261">
        <f>SUMIFS($AR$15:$AR$206,$B$15:$B$206,$B$245,$D$15:$D$206,$D261,$AD$15:$AD$206,I$213)+SUMIFS($AS$15:$AS$206,$B$15:$B$206,$B$245,$D$15:$D$206,$D261,$AI$15:$AI$206,I$213)</f>
        <v>149.51358000000005</v>
      </c>
      <c r="J261">
        <f>SUMIFS($AR$15:$AR$206,$B$15:$B$206,$B$245,$D$15:$D$206,$D261,$AD$15:$AD$206,J$213)+SUMIFS($AS$15:$AS$206,$B$15:$B$206,$B$245,$D$15:$D$206,$D261,$AI$15:$AI$206,J$213)</f>
        <v>0</v>
      </c>
      <c r="K261">
        <f>SUMIFS($AR$15:$AR$206,$B$15:$B$206,$B$245,$D$15:$D$206,$D261,$AD$15:$AD$206,K$213)+SUMIFS($AS$15:$AS$206,$B$15:$B$206,$B$245,$D$15:$D$206,$D261,$AI$15:$AI$206,K$213)</f>
        <v>0</v>
      </c>
      <c r="L261">
        <f>SUMIFS($AP$15:$AP$206,$B$15:$B$206,$B$245,$D$15:$D$206,$D261,$O$15:$O$206,L$213)+SUMIFS($AQ$15:$AQ$206,$B$15:$B$206,$B$245,$D$15:$D$206,$D261,$W$15:$W$206,L$213)</f>
        <v>0</v>
      </c>
      <c r="M261">
        <f>SUMIFS($AP$15:$AP$206,$B$15:$B$206,$B$245,$D$15:$D$206,$D261,$O$15:$O$206,M$213)+SUMIFS($AQ$15:$AQ$206,$B$15:$B$206,$B$245,$D$15:$D$206,$D261,$W$15:$W$206,M$213)</f>
        <v>0</v>
      </c>
      <c r="N261">
        <f>SUMIFS($AP$15:$AP$206,$B$15:$B$206,$B$245,$D$15:$D$206,$D261,$O$15:$O$206,N$213)+SUMIFS($AQ$15:$AQ$206,$B$15:$B$206,$B$245,$D$15:$D$206,$D261,$W$15:$W$206,N$213)</f>
        <v>0</v>
      </c>
      <c r="O261">
        <f>SUMIFS($AP$15:$AP$206,$B$15:$B$206,$B$245,$D$15:$D$206,$D261,$O$15:$O$206,O$213)+SUMIFS($AQ$15:$AQ$206,$B$15:$B$206,$B$245,$D$15:$D$206,$D261,$W$15:$W$206,O$213)</f>
        <v>0</v>
      </c>
      <c r="P261">
        <f>SUMIFS($AP$15:$AP$206,$B$15:$B$206,$B$245,$D$15:$D$206,$D261,$O$15:$O$206,P$213)+SUMIFS($AQ$15:$AQ$206,$B$15:$B$206,$B$245,$D$15:$D$206,$D261,$W$15:$W$206,P$213)</f>
        <v>300.07738008</v>
      </c>
      <c r="Q261">
        <f>SUMIFS($AP$15:$AP$206,$B$15:$B$206,$B$245,$D$15:$D$206,$D261,$O$15:$O$206,Q$213)+SUMIFS($AQ$15:$AQ$206,$B$15:$B$206,$B$245,$D$15:$D$206,$D261,$W$15:$W$206,Q$213)</f>
        <v>0</v>
      </c>
      <c r="R261">
        <f>SUMIFS($AP$15:$AP$206,$B$15:$B$206,$B$245,$D$15:$D$206,$D261,$O$15:$O$206,R$213)+SUMIFS($AQ$15:$AQ$206,$B$15:$B$206,$B$245,$D$15:$D$206,$D261,$W$15:$W$206,R$213)</f>
        <v>0</v>
      </c>
      <c r="S261">
        <f>SUMIFS($AP$15:$AP$206,$B$15:$B$206,$B$245,$D$15:$D$206,$D261,$O$15:$O$206,S$213)+SUMIFS($AQ$15:$AQ$206,$B$15:$B$206,$B$245,$D$15:$D$206,$D261,$W$15:$W$206,S$213)</f>
        <v>0</v>
      </c>
      <c r="T261">
        <f>SUM(H261:R261)</f>
        <v>449.59096008000006</v>
      </c>
      <c r="V261">
        <f>IF(F261&gt;0,G261/F261,0)</f>
        <v>11.407407407407405</v>
      </c>
      <c r="W261">
        <f>IF(F261&gt;0,T261/F261,0)</f>
        <v>246.68914133333334</v>
      </c>
    </row>
    <row r="262">
      <c r="D262" t="str">
        <v>K278-1</v>
      </c>
      <c r="F262">
        <f>SUMIFS($AO$15:$AO$206,$B$15:$B$206,$B$245,$D$15:$D$206,$D262)</f>
        <v>2.916</v>
      </c>
      <c r="G262">
        <f>SUMIFS($AT$15:$AT$206,$B$15:$B$206,$B$245,$D$15:$D$206,$D262)</f>
        <v>28.89</v>
      </c>
      <c r="H262">
        <f>SUMIFS($AR$15:$AR$206,$B$15:$B$206,$B$245,$D$15:$D$206,$D262,$AD$15:$AD$206,H$213)+SUMIFS($AS$15:$AS$206,$B$15:$B$206,$B$245,$D$15:$D$206,$D262,$AI$15:$AI$206,H$213)</f>
        <v>0</v>
      </c>
      <c r="I262">
        <f>SUMIFS($AR$15:$AR$206,$B$15:$B$206,$B$245,$D$15:$D$206,$D262,$AD$15:$AD$206,I$213)+SUMIFS($AS$15:$AS$206,$B$15:$B$206,$B$245,$D$15:$D$206,$D262,$AI$15:$AI$206,I$213)</f>
        <v>218.18551500000004</v>
      </c>
      <c r="J262">
        <f>SUMIFS($AR$15:$AR$206,$B$15:$B$206,$B$245,$D$15:$D$206,$D262,$AD$15:$AD$206,J$213)+SUMIFS($AS$15:$AS$206,$B$15:$B$206,$B$245,$D$15:$D$206,$D262,$AI$15:$AI$206,J$213)</f>
        <v>0</v>
      </c>
      <c r="K262">
        <f>SUMIFS($AR$15:$AR$206,$B$15:$B$206,$B$245,$D$15:$D$206,$D262,$AD$15:$AD$206,K$213)+SUMIFS($AS$15:$AS$206,$B$15:$B$206,$B$245,$D$15:$D$206,$D262,$AI$15:$AI$206,K$213)</f>
        <v>0</v>
      </c>
      <c r="L262">
        <f>SUMIFS($AP$15:$AP$206,$B$15:$B$206,$B$245,$D$15:$D$206,$D262,$O$15:$O$206,L$213)+SUMIFS($AQ$15:$AQ$206,$B$15:$B$206,$B$245,$D$15:$D$206,$D262,$W$15:$W$206,L$213)</f>
        <v>0</v>
      </c>
      <c r="M262">
        <f>SUMIFS($AP$15:$AP$206,$B$15:$B$206,$B$245,$D$15:$D$206,$D262,$O$15:$O$206,M$213)+SUMIFS($AQ$15:$AQ$206,$B$15:$B$206,$B$245,$D$15:$D$206,$D262,$W$15:$W$206,M$213)</f>
        <v>0</v>
      </c>
      <c r="N262">
        <f>SUMIFS($AP$15:$AP$206,$B$15:$B$206,$B$245,$D$15:$D$206,$D262,$O$15:$O$206,N$213)+SUMIFS($AQ$15:$AQ$206,$B$15:$B$206,$B$245,$D$15:$D$206,$D262,$W$15:$W$206,N$213)</f>
        <v>0</v>
      </c>
      <c r="O262">
        <f>SUMIFS($AP$15:$AP$206,$B$15:$B$206,$B$245,$D$15:$D$206,$D262,$O$15:$O$206,O$213)+SUMIFS($AQ$15:$AQ$206,$B$15:$B$206,$B$245,$D$15:$D$206,$D262,$W$15:$W$206,O$213)</f>
        <v>0</v>
      </c>
      <c r="P262">
        <f>SUMIFS($AP$15:$AP$206,$B$15:$B$206,$B$245,$D$15:$D$206,$D262,$O$15:$O$206,P$213)+SUMIFS($AQ$15:$AQ$206,$B$15:$B$206,$B$245,$D$15:$D$206,$D262,$W$15:$W$206,P$213)</f>
        <v>302.64123096000003</v>
      </c>
      <c r="Q262">
        <f>SUMIFS($AP$15:$AP$206,$B$15:$B$206,$B$245,$D$15:$D$206,$D262,$O$15:$O$206,Q$213)+SUMIFS($AQ$15:$AQ$206,$B$15:$B$206,$B$245,$D$15:$D$206,$D262,$W$15:$W$206,Q$213)</f>
        <v>220.13725536</v>
      </c>
      <c r="R262">
        <f>SUMIFS($AP$15:$AP$206,$B$15:$B$206,$B$245,$D$15:$D$206,$D262,$O$15:$O$206,R$213)+SUMIFS($AQ$15:$AQ$206,$B$15:$B$206,$B$245,$D$15:$D$206,$D262,$W$15:$W$206,R$213)</f>
        <v>0</v>
      </c>
      <c r="S262">
        <f>SUMIFS($AP$15:$AP$206,$B$15:$B$206,$B$245,$D$15:$D$206,$D262,$O$15:$O$206,S$213)+SUMIFS($AQ$15:$AQ$206,$B$15:$B$206,$B$245,$D$15:$D$206,$D262,$W$15:$W$206,S$213)</f>
        <v>0</v>
      </c>
      <c r="T262">
        <f>SUM(H262:R262)</f>
        <v>740.9640013200001</v>
      </c>
      <c r="V262">
        <f>IF(F262&gt;0,G262/F262,0)</f>
        <v>9.907407407407408</v>
      </c>
      <c r="W262">
        <f>IF(F262&gt;0,T262/F262,0)</f>
        <v>254.10288111111115</v>
      </c>
    </row>
    <row r="263">
      <c r="D263" t="str">
        <v>K36-1</v>
      </c>
      <c r="F263">
        <f>SUMIFS($AO$15:$AO$206,$B$15:$B$206,$B$245,$D$15:$D$206,$D263)</f>
        <v>1.62</v>
      </c>
      <c r="G263">
        <f>SUMIFS($AT$15:$AT$206,$B$15:$B$206,$B$245,$D$15:$D$206,$D263)</f>
        <v>16.2</v>
      </c>
      <c r="H263">
        <f>SUMIFS($AR$15:$AR$206,$B$15:$B$206,$B$245,$D$15:$D$206,$D263,$AD$15:$AD$206,H$213)+SUMIFS($AS$15:$AS$206,$B$15:$B$206,$B$245,$D$15:$D$206,$D263,$AI$15:$AI$206,H$213)</f>
        <v>0</v>
      </c>
      <c r="I263">
        <f>SUMIFS($AR$15:$AR$206,$B$15:$B$206,$B$245,$D$15:$D$206,$D263,$AD$15:$AD$206,I$213)+SUMIFS($AS$15:$AS$206,$B$15:$B$206,$B$245,$D$15:$D$206,$D263,$AI$15:$AI$206,I$213)</f>
        <v>127.49220000000001</v>
      </c>
      <c r="J263">
        <f>SUMIFS($AR$15:$AR$206,$B$15:$B$206,$B$245,$D$15:$D$206,$D263,$AD$15:$AD$206,J$213)+SUMIFS($AS$15:$AS$206,$B$15:$B$206,$B$245,$D$15:$D$206,$D263,$AI$15:$AI$206,J$213)</f>
        <v>0</v>
      </c>
      <c r="K263">
        <f>SUMIFS($AR$15:$AR$206,$B$15:$B$206,$B$245,$D$15:$D$206,$D263,$AD$15:$AD$206,K$213)+SUMIFS($AS$15:$AS$206,$B$15:$B$206,$B$245,$D$15:$D$206,$D263,$AI$15:$AI$206,K$213)</f>
        <v>0</v>
      </c>
      <c r="L263">
        <f>SUMIFS($AP$15:$AP$206,$B$15:$B$206,$B$245,$D$15:$D$206,$D263,$O$15:$O$206,L$213)+SUMIFS($AQ$15:$AQ$206,$B$15:$B$206,$B$245,$D$15:$D$206,$D263,$W$15:$W$206,L$213)</f>
        <v>0</v>
      </c>
      <c r="M263">
        <f>SUMIFS($AP$15:$AP$206,$B$15:$B$206,$B$245,$D$15:$D$206,$D263,$O$15:$O$206,M$213)+SUMIFS($AQ$15:$AQ$206,$B$15:$B$206,$B$245,$D$15:$D$206,$D263,$W$15:$W$206,M$213)</f>
        <v>0</v>
      </c>
      <c r="N263">
        <f>SUMIFS($AP$15:$AP$206,$B$15:$B$206,$B$245,$D$15:$D$206,$D263,$O$15:$O$206,N$213)+SUMIFS($AQ$15:$AQ$206,$B$15:$B$206,$B$245,$D$15:$D$206,$D263,$W$15:$W$206,N$213)</f>
        <v>0</v>
      </c>
      <c r="O263">
        <f>SUMIFS($AP$15:$AP$206,$B$15:$B$206,$B$245,$D$15:$D$206,$D263,$O$15:$O$206,O$213)+SUMIFS($AQ$15:$AQ$206,$B$15:$B$206,$B$245,$D$15:$D$206,$D263,$W$15:$W$206,O$213)</f>
        <v>0</v>
      </c>
      <c r="P263">
        <f>SUMIFS($AP$15:$AP$206,$B$15:$B$206,$B$245,$D$15:$D$206,$D263,$O$15:$O$206,P$213)+SUMIFS($AQ$15:$AQ$206,$B$15:$B$206,$B$245,$D$15:$D$206,$D263,$W$15:$W$206,P$213)</f>
        <v>0</v>
      </c>
      <c r="Q263">
        <f>SUMIFS($AP$15:$AP$206,$B$15:$B$206,$B$245,$D$15:$D$206,$D263,$O$15:$O$206,Q$213)+SUMIFS($AQ$15:$AQ$206,$B$15:$B$206,$B$245,$D$15:$D$206,$D263,$W$15:$W$206,Q$213)</f>
        <v>565.78759776</v>
      </c>
      <c r="R263">
        <f>SUMIFS($AP$15:$AP$206,$B$15:$B$206,$B$245,$D$15:$D$206,$D263,$O$15:$O$206,R$213)+SUMIFS($AQ$15:$AQ$206,$B$15:$B$206,$B$245,$D$15:$D$206,$D263,$W$15:$W$206,R$213)</f>
        <v>0</v>
      </c>
      <c r="S263">
        <f>SUMIFS($AP$15:$AP$206,$B$15:$B$206,$B$245,$D$15:$D$206,$D263,$O$15:$O$206,S$213)+SUMIFS($AQ$15:$AQ$206,$B$15:$B$206,$B$245,$D$15:$D$206,$D263,$W$15:$W$206,S$213)</f>
        <v>0</v>
      </c>
      <c r="T263">
        <f>SUM(H263:R263)</f>
        <v>693.2797977600001</v>
      </c>
      <c r="V263">
        <f>IF(F263&gt;0,G263/F263,0)</f>
        <v>9.999999999999998</v>
      </c>
      <c r="W263">
        <f>IF(F263&gt;0,T263/F263,0)</f>
        <v>427.9504924444445</v>
      </c>
    </row>
    <row r="264">
      <c r="D264" t="str">
        <v>K48-1</v>
      </c>
      <c r="F264">
        <f>SUMIFS($AO$15:$AO$206,$B$15:$B$206,$B$245,$D$15:$D$206,$D264)</f>
        <v>0</v>
      </c>
      <c r="G264">
        <f>SUMIFS($AT$15:$AT$206,$B$15:$B$206,$B$245,$D$15:$D$206,$D264)</f>
        <v>0</v>
      </c>
      <c r="H264">
        <f>SUMIFS($AR$15:$AR$206,$B$15:$B$206,$B$245,$D$15:$D$206,$D264,$AD$15:$AD$206,H$213)+SUMIFS($AS$15:$AS$206,$B$15:$B$206,$B$245,$D$15:$D$206,$D264,$AI$15:$AI$206,H$213)</f>
        <v>0</v>
      </c>
      <c r="I264">
        <f>SUMIFS($AR$15:$AR$206,$B$15:$B$206,$B$245,$D$15:$D$206,$D264,$AD$15:$AD$206,I$213)+SUMIFS($AS$15:$AS$206,$B$15:$B$206,$B$245,$D$15:$D$206,$D264,$AI$15:$AI$206,I$213)</f>
        <v>0</v>
      </c>
      <c r="J264">
        <f>SUMIFS($AR$15:$AR$206,$B$15:$B$206,$B$245,$D$15:$D$206,$D264,$AD$15:$AD$206,J$213)+SUMIFS($AS$15:$AS$206,$B$15:$B$206,$B$245,$D$15:$D$206,$D264,$AI$15:$AI$206,J$213)</f>
        <v>0</v>
      </c>
      <c r="K264">
        <f>SUMIFS($AR$15:$AR$206,$B$15:$B$206,$B$245,$D$15:$D$206,$D264,$AD$15:$AD$206,K$213)+SUMIFS($AS$15:$AS$206,$B$15:$B$206,$B$245,$D$15:$D$206,$D264,$AI$15:$AI$206,K$213)</f>
        <v>0</v>
      </c>
      <c r="L264">
        <f>SUMIFS($AP$15:$AP$206,$B$15:$B$206,$B$245,$D$15:$D$206,$D264,$O$15:$O$206,L$213)+SUMIFS($AQ$15:$AQ$206,$B$15:$B$206,$B$245,$D$15:$D$206,$D264,$W$15:$W$206,L$213)</f>
        <v>0</v>
      </c>
      <c r="M264">
        <f>SUMIFS($AP$15:$AP$206,$B$15:$B$206,$B$245,$D$15:$D$206,$D264,$O$15:$O$206,M$213)+SUMIFS($AQ$15:$AQ$206,$B$15:$B$206,$B$245,$D$15:$D$206,$D264,$W$15:$W$206,M$213)</f>
        <v>0</v>
      </c>
      <c r="N264">
        <f>SUMIFS($AP$15:$AP$206,$B$15:$B$206,$B$245,$D$15:$D$206,$D264,$O$15:$O$206,N$213)+SUMIFS($AQ$15:$AQ$206,$B$15:$B$206,$B$245,$D$15:$D$206,$D264,$W$15:$W$206,N$213)</f>
        <v>0</v>
      </c>
      <c r="O264">
        <f>SUMIFS($AP$15:$AP$206,$B$15:$B$206,$B$245,$D$15:$D$206,$D264,$O$15:$O$206,O$213)+SUMIFS($AQ$15:$AQ$206,$B$15:$B$206,$B$245,$D$15:$D$206,$D264,$W$15:$W$206,O$213)</f>
        <v>0</v>
      </c>
      <c r="P264">
        <f>SUMIFS($AP$15:$AP$206,$B$15:$B$206,$B$245,$D$15:$D$206,$D264,$O$15:$O$206,P$213)+SUMIFS($AQ$15:$AQ$206,$B$15:$B$206,$B$245,$D$15:$D$206,$D264,$W$15:$W$206,P$213)</f>
        <v>0</v>
      </c>
      <c r="Q264">
        <f>SUMIFS($AP$15:$AP$206,$B$15:$B$206,$B$245,$D$15:$D$206,$D264,$O$15:$O$206,Q$213)+SUMIFS($AQ$15:$AQ$206,$B$15:$B$206,$B$245,$D$15:$D$206,$D264,$W$15:$W$206,Q$213)</f>
        <v>0</v>
      </c>
      <c r="R264">
        <f>SUMIFS($AP$15:$AP$206,$B$15:$B$206,$B$245,$D$15:$D$206,$D264,$O$15:$O$206,R$213)+SUMIFS($AQ$15:$AQ$206,$B$15:$B$206,$B$245,$D$15:$D$206,$D264,$W$15:$W$206,R$213)</f>
        <v>0</v>
      </c>
      <c r="S264">
        <f>SUMIFS($AP$15:$AP$206,$B$15:$B$206,$B$245,$D$15:$D$206,$D264,$O$15:$O$206,S$213)+SUMIFS($AQ$15:$AQ$206,$B$15:$B$206,$B$245,$D$15:$D$206,$D264,$W$15:$W$206,S$213)</f>
        <v>0</v>
      </c>
      <c r="T264">
        <f>SUM(H264:R264)</f>
        <v>0</v>
      </c>
      <c r="V264">
        <f>IF(F264&gt;0,G264/F264,0)</f>
        <v>0</v>
      </c>
      <c r="W264">
        <f>IF(F264&gt;0,T264/F264,0)</f>
        <v>0</v>
      </c>
    </row>
    <row r="265">
      <c r="D265" t="str">
        <v>K55-1</v>
      </c>
      <c r="F265">
        <f>SUMIFS($AO$15:$AO$206,$B$15:$B$206,$B$245,$D$15:$D$206,$D265)</f>
        <v>0</v>
      </c>
      <c r="G265">
        <f>SUMIFS($AT$15:$AT$206,$B$15:$B$206,$B$245,$D$15:$D$206,$D265)</f>
        <v>0</v>
      </c>
      <c r="H265">
        <f>SUMIFS($AR$15:$AR$206,$B$15:$B$206,$B$245,$D$15:$D$206,$D265,$AD$15:$AD$206,H$213)+SUMIFS($AS$15:$AS$206,$B$15:$B$206,$B$245,$D$15:$D$206,$D265,$AI$15:$AI$206,H$213)</f>
        <v>0</v>
      </c>
      <c r="I265">
        <f>SUMIFS($AR$15:$AR$206,$B$15:$B$206,$B$245,$D$15:$D$206,$D265,$AD$15:$AD$206,I$213)+SUMIFS($AS$15:$AS$206,$B$15:$B$206,$B$245,$D$15:$D$206,$D265,$AI$15:$AI$206,I$213)</f>
        <v>0</v>
      </c>
      <c r="J265">
        <f>SUMIFS($AR$15:$AR$206,$B$15:$B$206,$B$245,$D$15:$D$206,$D265,$AD$15:$AD$206,J$213)+SUMIFS($AS$15:$AS$206,$B$15:$B$206,$B$245,$D$15:$D$206,$D265,$AI$15:$AI$206,J$213)</f>
        <v>0</v>
      </c>
      <c r="K265">
        <f>SUMIFS($AR$15:$AR$206,$B$15:$B$206,$B$245,$D$15:$D$206,$D265,$AD$15:$AD$206,K$213)+SUMIFS($AS$15:$AS$206,$B$15:$B$206,$B$245,$D$15:$D$206,$D265,$AI$15:$AI$206,K$213)</f>
        <v>0</v>
      </c>
      <c r="L265">
        <f>SUMIFS($AP$15:$AP$206,$B$15:$B$206,$B$245,$D$15:$D$206,$D265,$O$15:$O$206,L$213)+SUMIFS($AQ$15:$AQ$206,$B$15:$B$206,$B$245,$D$15:$D$206,$D265,$W$15:$W$206,L$213)</f>
        <v>0</v>
      </c>
      <c r="M265">
        <f>SUMIFS($AP$15:$AP$206,$B$15:$B$206,$B$245,$D$15:$D$206,$D265,$O$15:$O$206,M$213)+SUMIFS($AQ$15:$AQ$206,$B$15:$B$206,$B$245,$D$15:$D$206,$D265,$W$15:$W$206,M$213)</f>
        <v>0</v>
      </c>
      <c r="N265">
        <f>SUMIFS($AP$15:$AP$206,$B$15:$B$206,$B$245,$D$15:$D$206,$D265,$O$15:$O$206,N$213)+SUMIFS($AQ$15:$AQ$206,$B$15:$B$206,$B$245,$D$15:$D$206,$D265,$W$15:$W$206,N$213)</f>
        <v>0</v>
      </c>
      <c r="O265">
        <f>SUMIFS($AP$15:$AP$206,$B$15:$B$206,$B$245,$D$15:$D$206,$D265,$O$15:$O$206,O$213)+SUMIFS($AQ$15:$AQ$206,$B$15:$B$206,$B$245,$D$15:$D$206,$D265,$W$15:$W$206,O$213)</f>
        <v>0</v>
      </c>
      <c r="P265">
        <f>SUMIFS($AP$15:$AP$206,$B$15:$B$206,$B$245,$D$15:$D$206,$D265,$O$15:$O$206,P$213)+SUMIFS($AQ$15:$AQ$206,$B$15:$B$206,$B$245,$D$15:$D$206,$D265,$W$15:$W$206,P$213)</f>
        <v>0</v>
      </c>
      <c r="Q265">
        <f>SUMIFS($AP$15:$AP$206,$B$15:$B$206,$B$245,$D$15:$D$206,$D265,$O$15:$O$206,Q$213)+SUMIFS($AQ$15:$AQ$206,$B$15:$B$206,$B$245,$D$15:$D$206,$D265,$W$15:$W$206,Q$213)</f>
        <v>0</v>
      </c>
      <c r="R265">
        <f>SUMIFS($AP$15:$AP$206,$B$15:$B$206,$B$245,$D$15:$D$206,$D265,$O$15:$O$206,R$213)+SUMIFS($AQ$15:$AQ$206,$B$15:$B$206,$B$245,$D$15:$D$206,$D265,$W$15:$W$206,R$213)</f>
        <v>0</v>
      </c>
      <c r="S265">
        <f>SUMIFS($AP$15:$AP$206,$B$15:$B$206,$B$245,$D$15:$D$206,$D265,$O$15:$O$206,S$213)+SUMIFS($AQ$15:$AQ$206,$B$15:$B$206,$B$245,$D$15:$D$206,$D265,$W$15:$W$206,S$213)</f>
        <v>0</v>
      </c>
      <c r="T265">
        <f>SUM(H265:R265)</f>
        <v>0</v>
      </c>
      <c r="V265">
        <f>IF(F265&gt;0,G265/F265,0)</f>
        <v>0</v>
      </c>
      <c r="W265">
        <f>IF(F265&gt;0,T265/F265,0)</f>
        <v>0</v>
      </c>
    </row>
    <row r="266">
      <c r="D266" t="str">
        <v>K59-1</v>
      </c>
      <c r="F266">
        <f>SUMIFS($AO$15:$AO$206,$B$15:$B$206,$B$245,$D$15:$D$206,$D266)</f>
        <v>4.05</v>
      </c>
      <c r="G266">
        <f>SUMIFS($AT$15:$AT$206,$B$15:$B$206,$B$245,$D$15:$D$206,$D266)</f>
        <v>25.2</v>
      </c>
      <c r="H266">
        <f>SUMIFS($AR$15:$AR$206,$B$15:$B$206,$B$245,$D$15:$D$206,$D266,$AD$15:$AD$206,H$213)+SUMIFS($AS$15:$AS$206,$B$15:$B$206,$B$245,$D$15:$D$206,$D266,$AI$15:$AI$206,H$213)</f>
        <v>0</v>
      </c>
      <c r="I266">
        <f>SUMIFS($AR$15:$AR$206,$B$15:$B$206,$B$245,$D$15:$D$206,$D266,$AD$15:$AD$206,I$213)+SUMIFS($AS$15:$AS$206,$B$15:$B$206,$B$245,$D$15:$D$206,$D266,$AI$15:$AI$206,I$213)</f>
        <v>290.91402000000005</v>
      </c>
      <c r="J266">
        <f>SUMIFS($AR$15:$AR$206,$B$15:$B$206,$B$245,$D$15:$D$206,$D266,$AD$15:$AD$206,J$213)+SUMIFS($AS$15:$AS$206,$B$15:$B$206,$B$245,$D$15:$D$206,$D266,$AI$15:$AI$206,J$213)</f>
        <v>0</v>
      </c>
      <c r="K266">
        <f>SUMIFS($AR$15:$AR$206,$B$15:$B$206,$B$245,$D$15:$D$206,$D266,$AD$15:$AD$206,K$213)+SUMIFS($AS$15:$AS$206,$B$15:$B$206,$B$245,$D$15:$D$206,$D266,$AI$15:$AI$206,K$213)</f>
        <v>0</v>
      </c>
      <c r="L266">
        <f>SUMIFS($AP$15:$AP$206,$B$15:$B$206,$B$245,$D$15:$D$206,$D266,$O$15:$O$206,L$213)+SUMIFS($AQ$15:$AQ$206,$B$15:$B$206,$B$245,$D$15:$D$206,$D266,$W$15:$W$206,L$213)</f>
        <v>0</v>
      </c>
      <c r="M266">
        <f>SUMIFS($AP$15:$AP$206,$B$15:$B$206,$B$245,$D$15:$D$206,$D266,$O$15:$O$206,M$213)+SUMIFS($AQ$15:$AQ$206,$B$15:$B$206,$B$245,$D$15:$D$206,$D266,$W$15:$W$206,M$213)</f>
        <v>0</v>
      </c>
      <c r="N266">
        <f>SUMIFS($AP$15:$AP$206,$B$15:$B$206,$B$245,$D$15:$D$206,$D266,$O$15:$O$206,N$213)+SUMIFS($AQ$15:$AQ$206,$B$15:$B$206,$B$245,$D$15:$D$206,$D266,$W$15:$W$206,N$213)</f>
        <v>0</v>
      </c>
      <c r="O266">
        <f>SUMIFS($AP$15:$AP$206,$B$15:$B$206,$B$245,$D$15:$D$206,$D266,$O$15:$O$206,O$213)+SUMIFS($AQ$15:$AQ$206,$B$15:$B$206,$B$245,$D$15:$D$206,$D266,$W$15:$W$206,O$213)</f>
        <v>0</v>
      </c>
      <c r="P266">
        <f>SUMIFS($AP$15:$AP$206,$B$15:$B$206,$B$245,$D$15:$D$206,$D266,$O$15:$O$206,P$213)+SUMIFS($AQ$15:$AQ$206,$B$15:$B$206,$B$245,$D$15:$D$206,$D266,$W$15:$W$206,P$213)</f>
        <v>0</v>
      </c>
      <c r="Q266">
        <f>SUMIFS($AP$15:$AP$206,$B$15:$B$206,$B$245,$D$15:$D$206,$D266,$O$15:$O$206,Q$213)+SUMIFS($AQ$15:$AQ$206,$B$15:$B$206,$B$245,$D$15:$D$206,$D266,$W$15:$W$206,Q$213)</f>
        <v>587.79654912</v>
      </c>
      <c r="R266">
        <f>SUMIFS($AP$15:$AP$206,$B$15:$B$206,$B$245,$D$15:$D$206,$D266,$O$15:$O$206,R$213)+SUMIFS($AQ$15:$AQ$206,$B$15:$B$206,$B$245,$D$15:$D$206,$D266,$W$15:$W$206,R$213)</f>
        <v>0</v>
      </c>
      <c r="S266">
        <f>SUMIFS($AP$15:$AP$206,$B$15:$B$206,$B$245,$D$15:$D$206,$D266,$O$15:$O$206,S$213)+SUMIFS($AQ$15:$AQ$206,$B$15:$B$206,$B$245,$D$15:$D$206,$D266,$W$15:$W$206,S$213)</f>
        <v>0</v>
      </c>
      <c r="T266">
        <f>SUM(H266:R266)</f>
        <v>878.7105691200001</v>
      </c>
      <c r="V266">
        <f>IF(F266&gt;0,G266/F266,0)</f>
        <v>6.222222222222222</v>
      </c>
      <c r="W266">
        <f>IF(F266&gt;0,T266/F266,0)</f>
        <v>216.96557262222225</v>
      </c>
    </row>
    <row r="267">
      <c r="D267" t="str">
        <v>KL172258-1</v>
      </c>
      <c r="F267">
        <f>SUMIFS($AO$15:$AO$206,$B$15:$B$206,$B$245,$D$15:$D$206,$D267)</f>
        <v>0</v>
      </c>
      <c r="G267">
        <f>SUMIFS($AT$15:$AT$206,$B$15:$B$206,$B$245,$D$15:$D$206,$D267)</f>
        <v>0</v>
      </c>
      <c r="H267">
        <f>SUMIFS($AR$15:$AR$206,$B$15:$B$206,$B$245,$D$15:$D$206,$D267,$AD$15:$AD$206,H$213)+SUMIFS($AS$15:$AS$206,$B$15:$B$206,$B$245,$D$15:$D$206,$D267,$AI$15:$AI$206,H$213)</f>
        <v>0</v>
      </c>
      <c r="I267">
        <f>SUMIFS($AR$15:$AR$206,$B$15:$B$206,$B$245,$D$15:$D$206,$D267,$AD$15:$AD$206,I$213)+SUMIFS($AS$15:$AS$206,$B$15:$B$206,$B$245,$D$15:$D$206,$D267,$AI$15:$AI$206,I$213)</f>
        <v>0</v>
      </c>
      <c r="J267">
        <f>SUMIFS($AR$15:$AR$206,$B$15:$B$206,$B$245,$D$15:$D$206,$D267,$AD$15:$AD$206,J$213)+SUMIFS($AS$15:$AS$206,$B$15:$B$206,$B$245,$D$15:$D$206,$D267,$AI$15:$AI$206,J$213)</f>
        <v>0</v>
      </c>
      <c r="K267">
        <f>SUMIFS($AR$15:$AR$206,$B$15:$B$206,$B$245,$D$15:$D$206,$D267,$AD$15:$AD$206,K$213)+SUMIFS($AS$15:$AS$206,$B$15:$B$206,$B$245,$D$15:$D$206,$D267,$AI$15:$AI$206,K$213)</f>
        <v>0</v>
      </c>
      <c r="L267">
        <f>SUMIFS($AP$15:$AP$206,$B$15:$B$206,$B$245,$D$15:$D$206,$D267,$O$15:$O$206,L$213)+SUMIFS($AQ$15:$AQ$206,$B$15:$B$206,$B$245,$D$15:$D$206,$D267,$W$15:$W$206,L$213)</f>
        <v>0</v>
      </c>
      <c r="M267">
        <f>SUMIFS($AP$15:$AP$206,$B$15:$B$206,$B$245,$D$15:$D$206,$D267,$O$15:$O$206,M$213)+SUMIFS($AQ$15:$AQ$206,$B$15:$B$206,$B$245,$D$15:$D$206,$D267,$W$15:$W$206,M$213)</f>
        <v>0</v>
      </c>
      <c r="N267">
        <f>SUMIFS($AP$15:$AP$206,$B$15:$B$206,$B$245,$D$15:$D$206,$D267,$O$15:$O$206,N$213)+SUMIFS($AQ$15:$AQ$206,$B$15:$B$206,$B$245,$D$15:$D$206,$D267,$W$15:$W$206,N$213)</f>
        <v>0</v>
      </c>
      <c r="O267">
        <f>SUMIFS($AP$15:$AP$206,$B$15:$B$206,$B$245,$D$15:$D$206,$D267,$O$15:$O$206,O$213)+SUMIFS($AQ$15:$AQ$206,$B$15:$B$206,$B$245,$D$15:$D$206,$D267,$W$15:$W$206,O$213)</f>
        <v>0</v>
      </c>
      <c r="P267">
        <f>SUMIFS($AP$15:$AP$206,$B$15:$B$206,$B$245,$D$15:$D$206,$D267,$O$15:$O$206,P$213)+SUMIFS($AQ$15:$AQ$206,$B$15:$B$206,$B$245,$D$15:$D$206,$D267,$W$15:$W$206,P$213)</f>
        <v>0</v>
      </c>
      <c r="Q267">
        <f>SUMIFS($AP$15:$AP$206,$B$15:$B$206,$B$245,$D$15:$D$206,$D267,$O$15:$O$206,Q$213)+SUMIFS($AQ$15:$AQ$206,$B$15:$B$206,$B$245,$D$15:$D$206,$D267,$W$15:$W$206,Q$213)</f>
        <v>0</v>
      </c>
      <c r="R267">
        <f>SUMIFS($AP$15:$AP$206,$B$15:$B$206,$B$245,$D$15:$D$206,$D267,$O$15:$O$206,R$213)+SUMIFS($AQ$15:$AQ$206,$B$15:$B$206,$B$245,$D$15:$D$206,$D267,$W$15:$W$206,R$213)</f>
        <v>0</v>
      </c>
      <c r="S267">
        <f>SUMIFS($AP$15:$AP$206,$B$15:$B$206,$B$245,$D$15:$D$206,$D267,$O$15:$O$206,S$213)+SUMIFS($AQ$15:$AQ$206,$B$15:$B$206,$B$245,$D$15:$D$206,$D267,$W$15:$W$206,S$213)</f>
        <v>0</v>
      </c>
      <c r="T267">
        <f>SUM(H267:R267)</f>
        <v>0</v>
      </c>
      <c r="V267">
        <f>IF(F267&gt;0,G267/F267,0)</f>
        <v>0</v>
      </c>
      <c r="W267">
        <f>IF(F267&gt;0,T267/F267,0)</f>
        <v>0</v>
      </c>
    </row>
    <row r="268">
      <c r="D268" t="str">
        <v>KL174-1</v>
      </c>
      <c r="F268">
        <f>SUMIFS($AO$15:$AO$206,$B$15:$B$206,$B$245,$D$15:$D$206,$D268)</f>
        <v>0</v>
      </c>
      <c r="G268">
        <f>SUMIFS($AT$15:$AT$206,$B$15:$B$206,$B$245,$D$15:$D$206,$D268)</f>
        <v>0</v>
      </c>
      <c r="H268">
        <f>SUMIFS($AR$15:$AR$206,$B$15:$B$206,$B$245,$D$15:$D$206,$D268,$AD$15:$AD$206,H$213)+SUMIFS($AS$15:$AS$206,$B$15:$B$206,$B$245,$D$15:$D$206,$D268,$AI$15:$AI$206,H$213)</f>
        <v>0</v>
      </c>
      <c r="I268">
        <f>SUMIFS($AR$15:$AR$206,$B$15:$B$206,$B$245,$D$15:$D$206,$D268,$AD$15:$AD$206,I$213)+SUMIFS($AS$15:$AS$206,$B$15:$B$206,$B$245,$D$15:$D$206,$D268,$AI$15:$AI$206,I$213)</f>
        <v>0</v>
      </c>
      <c r="J268">
        <f>SUMIFS($AR$15:$AR$206,$B$15:$B$206,$B$245,$D$15:$D$206,$D268,$AD$15:$AD$206,J$213)+SUMIFS($AS$15:$AS$206,$B$15:$B$206,$B$245,$D$15:$D$206,$D268,$AI$15:$AI$206,J$213)</f>
        <v>0</v>
      </c>
      <c r="K268">
        <f>SUMIFS($AR$15:$AR$206,$B$15:$B$206,$B$245,$D$15:$D$206,$D268,$AD$15:$AD$206,K$213)+SUMIFS($AS$15:$AS$206,$B$15:$B$206,$B$245,$D$15:$D$206,$D268,$AI$15:$AI$206,K$213)</f>
        <v>0</v>
      </c>
      <c r="L268">
        <f>SUMIFS($AP$15:$AP$206,$B$15:$B$206,$B$245,$D$15:$D$206,$D268,$O$15:$O$206,L$213)+SUMIFS($AQ$15:$AQ$206,$B$15:$B$206,$B$245,$D$15:$D$206,$D268,$W$15:$W$206,L$213)</f>
        <v>0</v>
      </c>
      <c r="M268">
        <f>SUMIFS($AP$15:$AP$206,$B$15:$B$206,$B$245,$D$15:$D$206,$D268,$O$15:$O$206,M$213)+SUMIFS($AQ$15:$AQ$206,$B$15:$B$206,$B$245,$D$15:$D$206,$D268,$W$15:$W$206,M$213)</f>
        <v>0</v>
      </c>
      <c r="N268">
        <f>SUMIFS($AP$15:$AP$206,$B$15:$B$206,$B$245,$D$15:$D$206,$D268,$O$15:$O$206,N$213)+SUMIFS($AQ$15:$AQ$206,$B$15:$B$206,$B$245,$D$15:$D$206,$D268,$W$15:$W$206,N$213)</f>
        <v>0</v>
      </c>
      <c r="O268">
        <f>SUMIFS($AP$15:$AP$206,$B$15:$B$206,$B$245,$D$15:$D$206,$D268,$O$15:$O$206,O$213)+SUMIFS($AQ$15:$AQ$206,$B$15:$B$206,$B$245,$D$15:$D$206,$D268,$W$15:$W$206,O$213)</f>
        <v>0</v>
      </c>
      <c r="P268">
        <f>SUMIFS($AP$15:$AP$206,$B$15:$B$206,$B$245,$D$15:$D$206,$D268,$O$15:$O$206,P$213)+SUMIFS($AQ$15:$AQ$206,$B$15:$B$206,$B$245,$D$15:$D$206,$D268,$W$15:$W$206,P$213)</f>
        <v>0</v>
      </c>
      <c r="Q268">
        <f>SUMIFS($AP$15:$AP$206,$B$15:$B$206,$B$245,$D$15:$D$206,$D268,$O$15:$O$206,Q$213)+SUMIFS($AQ$15:$AQ$206,$B$15:$B$206,$B$245,$D$15:$D$206,$D268,$W$15:$W$206,Q$213)</f>
        <v>0</v>
      </c>
      <c r="R268">
        <f>SUMIFS($AP$15:$AP$206,$B$15:$B$206,$B$245,$D$15:$D$206,$D268,$O$15:$O$206,R$213)+SUMIFS($AQ$15:$AQ$206,$B$15:$B$206,$B$245,$D$15:$D$206,$D268,$W$15:$W$206,R$213)</f>
        <v>0</v>
      </c>
      <c r="S268">
        <f>SUMIFS($AP$15:$AP$206,$B$15:$B$206,$B$245,$D$15:$D$206,$D268,$O$15:$O$206,S$213)+SUMIFS($AQ$15:$AQ$206,$B$15:$B$206,$B$245,$D$15:$D$206,$D268,$W$15:$W$206,S$213)</f>
        <v>0</v>
      </c>
      <c r="T268">
        <f>SUM(H268:R268)</f>
        <v>0</v>
      </c>
      <c r="V268">
        <f>IF(F268&gt;0,G268/F268,0)</f>
        <v>0</v>
      </c>
      <c r="W268">
        <f>IF(F268&gt;0,T268/F268,0)</f>
        <v>0</v>
      </c>
    </row>
    <row r="269">
      <c r="D269" t="str">
        <v>KL175-1</v>
      </c>
      <c r="F269">
        <f>SUMIFS($AO$15:$AO$206,$B$15:$B$206,$B$245,$D$15:$D$206,$D269)</f>
        <v>0</v>
      </c>
      <c r="G269">
        <f>SUMIFS($AT$15:$AT$206,$B$15:$B$206,$B$245,$D$15:$D$206,$D269)</f>
        <v>0</v>
      </c>
      <c r="H269">
        <f>SUMIFS($AR$15:$AR$206,$B$15:$B$206,$B$245,$D$15:$D$206,$D269,$AD$15:$AD$206,H$213)+SUMIFS($AS$15:$AS$206,$B$15:$B$206,$B$245,$D$15:$D$206,$D269,$AI$15:$AI$206,H$213)</f>
        <v>0</v>
      </c>
      <c r="I269">
        <f>SUMIFS($AR$15:$AR$206,$B$15:$B$206,$B$245,$D$15:$D$206,$D269,$AD$15:$AD$206,I$213)+SUMIFS($AS$15:$AS$206,$B$15:$B$206,$B$245,$D$15:$D$206,$D269,$AI$15:$AI$206,I$213)</f>
        <v>0</v>
      </c>
      <c r="J269">
        <f>SUMIFS($AR$15:$AR$206,$B$15:$B$206,$B$245,$D$15:$D$206,$D269,$AD$15:$AD$206,J$213)+SUMIFS($AS$15:$AS$206,$B$15:$B$206,$B$245,$D$15:$D$206,$D269,$AI$15:$AI$206,J$213)</f>
        <v>0</v>
      </c>
      <c r="K269">
        <f>SUMIFS($AR$15:$AR$206,$B$15:$B$206,$B$245,$D$15:$D$206,$D269,$AD$15:$AD$206,K$213)+SUMIFS($AS$15:$AS$206,$B$15:$B$206,$B$245,$D$15:$D$206,$D269,$AI$15:$AI$206,K$213)</f>
        <v>0</v>
      </c>
      <c r="L269">
        <f>SUMIFS($AP$15:$AP$206,$B$15:$B$206,$B$245,$D$15:$D$206,$D269,$O$15:$O$206,L$213)+SUMIFS($AQ$15:$AQ$206,$B$15:$B$206,$B$245,$D$15:$D$206,$D269,$W$15:$W$206,L$213)</f>
        <v>0</v>
      </c>
      <c r="M269">
        <f>SUMIFS($AP$15:$AP$206,$B$15:$B$206,$B$245,$D$15:$D$206,$D269,$O$15:$O$206,M$213)+SUMIFS($AQ$15:$AQ$206,$B$15:$B$206,$B$245,$D$15:$D$206,$D269,$W$15:$W$206,M$213)</f>
        <v>0</v>
      </c>
      <c r="N269">
        <f>SUMIFS($AP$15:$AP$206,$B$15:$B$206,$B$245,$D$15:$D$206,$D269,$O$15:$O$206,N$213)+SUMIFS($AQ$15:$AQ$206,$B$15:$B$206,$B$245,$D$15:$D$206,$D269,$W$15:$W$206,N$213)</f>
        <v>0</v>
      </c>
      <c r="O269">
        <f>SUMIFS($AP$15:$AP$206,$B$15:$B$206,$B$245,$D$15:$D$206,$D269,$O$15:$O$206,O$213)+SUMIFS($AQ$15:$AQ$206,$B$15:$B$206,$B$245,$D$15:$D$206,$D269,$W$15:$W$206,O$213)</f>
        <v>0</v>
      </c>
      <c r="P269">
        <f>SUMIFS($AP$15:$AP$206,$B$15:$B$206,$B$245,$D$15:$D$206,$D269,$O$15:$O$206,P$213)+SUMIFS($AQ$15:$AQ$206,$B$15:$B$206,$B$245,$D$15:$D$206,$D269,$W$15:$W$206,P$213)</f>
        <v>0</v>
      </c>
      <c r="Q269">
        <f>SUMIFS($AP$15:$AP$206,$B$15:$B$206,$B$245,$D$15:$D$206,$D269,$O$15:$O$206,Q$213)+SUMIFS($AQ$15:$AQ$206,$B$15:$B$206,$B$245,$D$15:$D$206,$D269,$W$15:$W$206,Q$213)</f>
        <v>0</v>
      </c>
      <c r="R269">
        <f>SUMIFS($AP$15:$AP$206,$B$15:$B$206,$B$245,$D$15:$D$206,$D269,$O$15:$O$206,R$213)+SUMIFS($AQ$15:$AQ$206,$B$15:$B$206,$B$245,$D$15:$D$206,$D269,$W$15:$W$206,R$213)</f>
        <v>0</v>
      </c>
      <c r="S269">
        <f>SUMIFS($AP$15:$AP$206,$B$15:$B$206,$B$245,$D$15:$D$206,$D269,$O$15:$O$206,S$213)+SUMIFS($AQ$15:$AQ$206,$B$15:$B$206,$B$245,$D$15:$D$206,$D269,$W$15:$W$206,S$213)</f>
        <v>0</v>
      </c>
      <c r="T269">
        <f>SUM(H269:R269)</f>
        <v>0</v>
      </c>
      <c r="V269">
        <f>IF(F269&gt;0,G269/F269,0)</f>
        <v>0</v>
      </c>
      <c r="W269">
        <f>IF(F269&gt;0,T269/F269,0)</f>
        <v>0</v>
      </c>
    </row>
    <row r="270">
      <c r="D270" t="str">
        <v>KL175-2</v>
      </c>
      <c r="F270">
        <f>SUMIFS($AO$15:$AO$206,$B$15:$B$206,$B$245,$D$15:$D$206,$D270)</f>
        <v>0</v>
      </c>
      <c r="G270">
        <f>SUMIFS($AT$15:$AT$206,$B$15:$B$206,$B$245,$D$15:$D$206,$D270)</f>
        <v>0</v>
      </c>
      <c r="H270">
        <f>SUMIFS($AR$15:$AR$206,$B$15:$B$206,$B$245,$D$15:$D$206,$D270,$AD$15:$AD$206,H$213)+SUMIFS($AS$15:$AS$206,$B$15:$B$206,$B$245,$D$15:$D$206,$D270,$AI$15:$AI$206,H$213)</f>
        <v>0</v>
      </c>
      <c r="I270">
        <f>SUMIFS($AR$15:$AR$206,$B$15:$B$206,$B$245,$D$15:$D$206,$D270,$AD$15:$AD$206,I$213)+SUMIFS($AS$15:$AS$206,$B$15:$B$206,$B$245,$D$15:$D$206,$D270,$AI$15:$AI$206,I$213)</f>
        <v>0</v>
      </c>
      <c r="J270">
        <f>SUMIFS($AR$15:$AR$206,$B$15:$B$206,$B$245,$D$15:$D$206,$D270,$AD$15:$AD$206,J$213)+SUMIFS($AS$15:$AS$206,$B$15:$B$206,$B$245,$D$15:$D$206,$D270,$AI$15:$AI$206,J$213)</f>
        <v>0</v>
      </c>
      <c r="K270">
        <f>SUMIFS($AR$15:$AR$206,$B$15:$B$206,$B$245,$D$15:$D$206,$D270,$AD$15:$AD$206,K$213)+SUMIFS($AS$15:$AS$206,$B$15:$B$206,$B$245,$D$15:$D$206,$D270,$AI$15:$AI$206,K$213)</f>
        <v>0</v>
      </c>
      <c r="L270">
        <f>SUMIFS($AP$15:$AP$206,$B$15:$B$206,$B$245,$D$15:$D$206,$D270,$O$15:$O$206,L$213)+SUMIFS($AQ$15:$AQ$206,$B$15:$B$206,$B$245,$D$15:$D$206,$D270,$W$15:$W$206,L$213)</f>
        <v>0</v>
      </c>
      <c r="M270">
        <f>SUMIFS($AP$15:$AP$206,$B$15:$B$206,$B$245,$D$15:$D$206,$D270,$O$15:$O$206,M$213)+SUMIFS($AQ$15:$AQ$206,$B$15:$B$206,$B$245,$D$15:$D$206,$D270,$W$15:$W$206,M$213)</f>
        <v>0</v>
      </c>
      <c r="N270">
        <f>SUMIFS($AP$15:$AP$206,$B$15:$B$206,$B$245,$D$15:$D$206,$D270,$O$15:$O$206,N$213)+SUMIFS($AQ$15:$AQ$206,$B$15:$B$206,$B$245,$D$15:$D$206,$D270,$W$15:$W$206,N$213)</f>
        <v>0</v>
      </c>
      <c r="O270">
        <f>SUMIFS($AP$15:$AP$206,$B$15:$B$206,$B$245,$D$15:$D$206,$D270,$O$15:$O$206,O$213)+SUMIFS($AQ$15:$AQ$206,$B$15:$B$206,$B$245,$D$15:$D$206,$D270,$W$15:$W$206,O$213)</f>
        <v>0</v>
      </c>
      <c r="P270">
        <f>SUMIFS($AP$15:$AP$206,$B$15:$B$206,$B$245,$D$15:$D$206,$D270,$O$15:$O$206,P$213)+SUMIFS($AQ$15:$AQ$206,$B$15:$B$206,$B$245,$D$15:$D$206,$D270,$W$15:$W$206,P$213)</f>
        <v>0</v>
      </c>
      <c r="Q270">
        <f>SUMIFS($AP$15:$AP$206,$B$15:$B$206,$B$245,$D$15:$D$206,$D270,$O$15:$O$206,Q$213)+SUMIFS($AQ$15:$AQ$206,$B$15:$B$206,$B$245,$D$15:$D$206,$D270,$W$15:$W$206,Q$213)</f>
        <v>0</v>
      </c>
      <c r="R270">
        <f>SUMIFS($AP$15:$AP$206,$B$15:$B$206,$B$245,$D$15:$D$206,$D270,$O$15:$O$206,R$213)+SUMIFS($AQ$15:$AQ$206,$B$15:$B$206,$B$245,$D$15:$D$206,$D270,$W$15:$W$206,R$213)</f>
        <v>0</v>
      </c>
      <c r="S270">
        <f>SUMIFS($AP$15:$AP$206,$B$15:$B$206,$B$245,$D$15:$D$206,$D270,$O$15:$O$206,S$213)+SUMIFS($AQ$15:$AQ$206,$B$15:$B$206,$B$245,$D$15:$D$206,$D270,$W$15:$W$206,S$213)</f>
        <v>0</v>
      </c>
      <c r="T270">
        <f>SUM(H270:R270)</f>
        <v>0</v>
      </c>
      <c r="V270">
        <f>IF(F270&gt;0,G270/F270,0)</f>
        <v>0</v>
      </c>
      <c r="W270">
        <f>IF(F270&gt;0,T270/F270,0)</f>
        <v>0</v>
      </c>
    </row>
    <row r="271">
      <c r="D271" t="str">
        <v>KL175-3</v>
      </c>
      <c r="F271">
        <f>SUMIFS($AO$15:$AO$206,$B$15:$B$206,$B$245,$D$15:$D$206,$D271)</f>
        <v>0.63495</v>
      </c>
      <c r="G271">
        <f>SUMIFS($AT$15:$AT$206,$B$15:$B$206,$B$245,$D$15:$D$206,$D271)</f>
        <v>9</v>
      </c>
      <c r="H271">
        <f>SUMIFS($AR$15:$AR$206,$B$15:$B$206,$B$245,$D$15:$D$206,$D271,$AD$15:$AD$206,H$213)+SUMIFS($AS$15:$AS$206,$B$15:$B$206,$B$245,$D$15:$D$206,$D271,$AI$15:$AI$206,H$213)</f>
        <v>54.5203008</v>
      </c>
      <c r="I271">
        <f>SUMIFS($AR$15:$AR$206,$B$15:$B$206,$B$245,$D$15:$D$206,$D271,$AD$15:$AD$206,I$213)+SUMIFS($AS$15:$AS$206,$B$15:$B$206,$B$245,$D$15:$D$206,$D271,$AI$15:$AI$206,I$213)</f>
        <v>0</v>
      </c>
      <c r="J271">
        <f>SUMIFS($AR$15:$AR$206,$B$15:$B$206,$B$245,$D$15:$D$206,$D271,$AD$15:$AD$206,J$213)+SUMIFS($AS$15:$AS$206,$B$15:$B$206,$B$245,$D$15:$D$206,$D271,$AI$15:$AI$206,J$213)</f>
        <v>0</v>
      </c>
      <c r="K271">
        <f>SUMIFS($AR$15:$AR$206,$B$15:$B$206,$B$245,$D$15:$D$206,$D271,$AD$15:$AD$206,K$213)+SUMIFS($AS$15:$AS$206,$B$15:$B$206,$B$245,$D$15:$D$206,$D271,$AI$15:$AI$206,K$213)</f>
        <v>0</v>
      </c>
      <c r="L271">
        <f>SUMIFS($AP$15:$AP$206,$B$15:$B$206,$B$245,$D$15:$D$206,$D271,$O$15:$O$206,L$213)+SUMIFS($AQ$15:$AQ$206,$B$15:$B$206,$B$245,$D$15:$D$206,$D271,$W$15:$W$206,L$213)</f>
        <v>0</v>
      </c>
      <c r="M271">
        <f>SUMIFS($AP$15:$AP$206,$B$15:$B$206,$B$245,$D$15:$D$206,$D271,$O$15:$O$206,M$213)+SUMIFS($AQ$15:$AQ$206,$B$15:$B$206,$B$245,$D$15:$D$206,$D271,$W$15:$W$206,M$213)</f>
        <v>0</v>
      </c>
      <c r="N271">
        <f>SUMIFS($AP$15:$AP$206,$B$15:$B$206,$B$245,$D$15:$D$206,$D271,$O$15:$O$206,N$213)+SUMIFS($AQ$15:$AQ$206,$B$15:$B$206,$B$245,$D$15:$D$206,$D271,$W$15:$W$206,N$213)</f>
        <v>0</v>
      </c>
      <c r="O271">
        <f>SUMIFS($AP$15:$AP$206,$B$15:$B$206,$B$245,$D$15:$D$206,$D271,$O$15:$O$206,O$213)+SUMIFS($AQ$15:$AQ$206,$B$15:$B$206,$B$245,$D$15:$D$206,$D271,$W$15:$W$206,O$213)</f>
        <v>0</v>
      </c>
      <c r="P271">
        <f>SUMIFS($AP$15:$AP$206,$B$15:$B$206,$B$245,$D$15:$D$206,$D271,$O$15:$O$206,P$213)+SUMIFS($AQ$15:$AQ$206,$B$15:$B$206,$B$245,$D$15:$D$206,$D271,$W$15:$W$206,P$213)</f>
        <v>200.05158672</v>
      </c>
      <c r="Q271">
        <f>SUMIFS($AP$15:$AP$206,$B$15:$B$206,$B$245,$D$15:$D$206,$D271,$O$15:$O$206,Q$213)+SUMIFS($AQ$15:$AQ$206,$B$15:$B$206,$B$245,$D$15:$D$206,$D271,$W$15:$W$206,Q$213)</f>
        <v>0</v>
      </c>
      <c r="R271">
        <f>SUMIFS($AP$15:$AP$206,$B$15:$B$206,$B$245,$D$15:$D$206,$D271,$O$15:$O$206,R$213)+SUMIFS($AQ$15:$AQ$206,$B$15:$B$206,$B$245,$D$15:$D$206,$D271,$W$15:$W$206,R$213)</f>
        <v>0</v>
      </c>
      <c r="S271">
        <f>SUMIFS($AP$15:$AP$206,$B$15:$B$206,$B$245,$D$15:$D$206,$D271,$O$15:$O$206,S$213)+SUMIFS($AQ$15:$AQ$206,$B$15:$B$206,$B$245,$D$15:$D$206,$D271,$W$15:$W$206,S$213)</f>
        <v>0</v>
      </c>
      <c r="T271">
        <f>SUM(H271:R271)</f>
        <v>254.57188752</v>
      </c>
      <c r="V271">
        <f>IF(F271&gt;0,G271/F271,0)</f>
        <v>14.174344436569807</v>
      </c>
      <c r="W271">
        <f>IF(F271&gt;0,T271/F271,0)</f>
        <v>400.93217973068744</v>
      </c>
    </row>
    <row r="273">
      <c r="B273" t="str">
        <v>Subtotal Lantai 1</v>
      </c>
      <c r="F273">
        <f>SUM(F245:F272)</f>
        <v>23.68845</v>
      </c>
      <c r="G273">
        <f>SUM(G245:G272)</f>
        <v>303.03</v>
      </c>
      <c r="H273">
        <f>SUM(H245:H272)</f>
        <v>935.0046144</v>
      </c>
      <c r="I273">
        <f>SUM(I245:I272)</f>
        <v>824.6427300000001</v>
      </c>
      <c r="J273">
        <f>SUM(J245:J272)</f>
        <v>0</v>
      </c>
      <c r="K273">
        <f>SUM(K245:K272)</f>
        <v>0</v>
      </c>
      <c r="L273">
        <f>SUM(L245:L272)</f>
        <v>3.866688</v>
      </c>
      <c r="M273">
        <f>SUM(M245:M272)</f>
        <v>124.31106000000001</v>
      </c>
      <c r="N273">
        <f>SUM(N245:N272)</f>
        <v>138.27897719999999</v>
      </c>
      <c r="O273">
        <f>SUM(O245:O272)</f>
        <v>1161.46469376</v>
      </c>
      <c r="P273">
        <f>SUM(P245:P272)</f>
        <v>1677.84455124</v>
      </c>
      <c r="Q273">
        <f>SUM(Q245:Q272)</f>
        <v>1373.72140224</v>
      </c>
      <c r="R273">
        <f>SUM(R245:R272)</f>
        <v>0</v>
      </c>
      <c r="S273">
        <f>SUM(S245:S272)</f>
        <v>0</v>
      </c>
      <c r="T273">
        <f>SUM(T246:T272)</f>
        <v>6239.134716840002</v>
      </c>
    </row>
    <row r="275">
      <c r="B275" t="str">
        <v>Lantai 2</v>
      </c>
    </row>
    <row r="276">
      <c r="D276" t="str">
        <v>K12</v>
      </c>
      <c r="F276">
        <f>SUMIFS($AO$15:$AO$206,$B$15:$B$206,$B$275,$D$15:$D$206,$D276)</f>
        <v>0</v>
      </c>
      <c r="G276">
        <f>SUMIFS($AT$15:$AT$206,$B$15:$B$206,$B$275,$D$15:$D$206,$D276)</f>
        <v>0</v>
      </c>
      <c r="H276">
        <f>SUMIFS($AR$15:$AR$206,$B$15:$B$206,$B$275,$D$15:$D$206,$D276,$AD$15:$AD$206,H$213)+SUMIFS($AS$15:$AS$206,$B$15:$B$206,$B$275,$D$15:$D$206,$D276,$AI$15:$AI$206,H$213)</f>
        <v>0</v>
      </c>
      <c r="I276">
        <f>SUMIFS($AR$15:$AR$206,$B$15:$B$206,$B$275,$D$15:$D$206,$D276,$AD$15:$AD$206,I$213)+SUMIFS($AS$15:$AS$206,$B$15:$B$206,$B$275,$D$15:$D$206,$D276,$AI$15:$AI$206,I$213)</f>
        <v>0</v>
      </c>
      <c r="J276">
        <f>SUMIFS($AR$15:$AR$206,$B$15:$B$206,$B$275,$D$15:$D$206,$D276,$AD$15:$AD$206,J$213)+SUMIFS($AS$15:$AS$206,$B$15:$B$206,$B$275,$D$15:$D$206,$D276,$AI$15:$AI$206,J$213)</f>
        <v>0</v>
      </c>
      <c r="K276">
        <f>SUMIFS($AR$15:$AR$206,$B$15:$B$206,$B$275,$D$15:$D$206,$D276,$AD$15:$AD$206,K$213)+SUMIFS($AS$15:$AS$206,$B$15:$B$206,$B$275,$D$15:$D$206,$D276,$AI$15:$AI$206,K$213)</f>
        <v>0</v>
      </c>
      <c r="L276">
        <f>SUMIFS($AP$15:$AP$206,$B$15:$B$206,$B$275,$D$15:$D$206,$D276,$O$15:$O$206,L$213)+SUMIFS($AQ$15:$AQ$206,$B$15:$B$206,$B$275,$D$15:$D$206,$D276,$W$15:$W$206,L$213)</f>
        <v>0</v>
      </c>
      <c r="M276">
        <f>SUMIFS($AP$15:$AP$206,$B$15:$B$206,$B$275,$D$15:$D$206,$D276,$O$15:$O$206,M$213)+SUMIFS($AQ$15:$AQ$206,$B$15:$B$206,$B$275,$D$15:$D$206,$D276,$W$15:$W$206,M$213)</f>
        <v>0</v>
      </c>
      <c r="N276">
        <f>SUMIFS($AP$15:$AP$206,$B$15:$B$206,$B$275,$D$15:$D$206,$D276,$O$15:$O$206,N$213)+SUMIFS($AQ$15:$AQ$206,$B$15:$B$206,$B$275,$D$15:$D$206,$D276,$W$15:$W$206,N$213)</f>
        <v>0</v>
      </c>
      <c r="O276">
        <f>SUMIFS($AP$15:$AP$206,$B$15:$B$206,$B$275,$D$15:$D$206,$D276,$O$15:$O$206,O$213)+SUMIFS($AQ$15:$AQ$206,$B$15:$B$206,$B$275,$D$15:$D$206,$D276,$W$15:$W$206,O$213)</f>
        <v>0</v>
      </c>
      <c r="P276">
        <f>SUMIFS($AP$15:$AP$206,$B$15:$B$206,$B$275,$D$15:$D$206,$D276,$O$15:$O$206,P$213)+SUMIFS($AQ$15:$AQ$206,$B$15:$B$206,$B$275,$D$15:$D$206,$D276,$W$15:$W$206,P$213)</f>
        <v>0</v>
      </c>
      <c r="Q276">
        <f>SUMIFS($AP$15:$AP$206,$B$15:$B$206,$B$275,$D$15:$D$206,$D276,$O$15:$O$206,Q$213)+SUMIFS($AQ$15:$AQ$206,$B$15:$B$206,$B$275,$D$15:$D$206,$D276,$W$15:$W$206,Q$213)</f>
        <v>0</v>
      </c>
      <c r="R276">
        <f>SUMIFS($AP$15:$AP$206,$B$15:$B$206,$B$275,$D$15:$D$206,$D276,$O$15:$O$206,R$213)+SUMIFS($AQ$15:$AQ$206,$B$15:$B$206,$B$275,$D$15:$D$206,$D276,$W$15:$W$206,R$213)</f>
        <v>0</v>
      </c>
      <c r="S276">
        <f>SUMIFS($AP$15:$AP$206,$B$15:$B$206,$B$275,$D$15:$D$206,$D276,$O$15:$O$206,S$213)+SUMIFS($AQ$15:$AQ$206,$B$15:$B$206,$B$275,$D$15:$D$206,$D276,$W$15:$W$206,S$213)</f>
        <v>0</v>
      </c>
      <c r="T276">
        <f>SUM(H276:R276)</f>
        <v>0</v>
      </c>
      <c r="V276">
        <f>IF(F276&gt;0,G276/F276,0)</f>
        <v>0</v>
      </c>
      <c r="W276">
        <f>IF(F276&gt;0,T276/F276,0)</f>
        <v>0</v>
      </c>
    </row>
    <row r="277">
      <c r="D277" t="str">
        <v>K13-1</v>
      </c>
      <c r="F277">
        <f>SUMIFS($AO$15:$AO$206,$B$15:$B$206,$B$275,$D$15:$D$206,$D277)</f>
        <v>0</v>
      </c>
      <c r="G277">
        <f>SUMIFS($AT$15:$AT$206,$B$15:$B$206,$B$275,$D$15:$D$206,$D277)</f>
        <v>0</v>
      </c>
      <c r="H277">
        <f>SUMIFS($AR$15:$AR$206,$B$15:$B$206,$B$275,$D$15:$D$206,$D277,$AD$15:$AD$206,H$213)+SUMIFS($AS$15:$AS$206,$B$15:$B$206,$B$275,$D$15:$D$206,$D277,$AI$15:$AI$206,H$213)</f>
        <v>0</v>
      </c>
      <c r="I277">
        <f>SUMIFS($AR$15:$AR$206,$B$15:$B$206,$B$275,$D$15:$D$206,$D277,$AD$15:$AD$206,I$213)+SUMIFS($AS$15:$AS$206,$B$15:$B$206,$B$275,$D$15:$D$206,$D277,$AI$15:$AI$206,I$213)</f>
        <v>0</v>
      </c>
      <c r="J277">
        <f>SUMIFS($AR$15:$AR$206,$B$15:$B$206,$B$275,$D$15:$D$206,$D277,$AD$15:$AD$206,J$213)+SUMIFS($AS$15:$AS$206,$B$15:$B$206,$B$275,$D$15:$D$206,$D277,$AI$15:$AI$206,J$213)</f>
        <v>0</v>
      </c>
      <c r="K277">
        <f>SUMIFS($AR$15:$AR$206,$B$15:$B$206,$B$275,$D$15:$D$206,$D277,$AD$15:$AD$206,K$213)+SUMIFS($AS$15:$AS$206,$B$15:$B$206,$B$275,$D$15:$D$206,$D277,$AI$15:$AI$206,K$213)</f>
        <v>0</v>
      </c>
      <c r="L277">
        <f>SUMIFS($AP$15:$AP$206,$B$15:$B$206,$B$275,$D$15:$D$206,$D277,$O$15:$O$206,L$213)+SUMIFS($AQ$15:$AQ$206,$B$15:$B$206,$B$275,$D$15:$D$206,$D277,$W$15:$W$206,L$213)</f>
        <v>0</v>
      </c>
      <c r="M277">
        <f>SUMIFS($AP$15:$AP$206,$B$15:$B$206,$B$275,$D$15:$D$206,$D277,$O$15:$O$206,M$213)+SUMIFS($AQ$15:$AQ$206,$B$15:$B$206,$B$275,$D$15:$D$206,$D277,$W$15:$W$206,M$213)</f>
        <v>0</v>
      </c>
      <c r="N277">
        <f>SUMIFS($AP$15:$AP$206,$B$15:$B$206,$B$275,$D$15:$D$206,$D277,$O$15:$O$206,N$213)+SUMIFS($AQ$15:$AQ$206,$B$15:$B$206,$B$275,$D$15:$D$206,$D277,$W$15:$W$206,N$213)</f>
        <v>0</v>
      </c>
      <c r="O277">
        <f>SUMIFS($AP$15:$AP$206,$B$15:$B$206,$B$275,$D$15:$D$206,$D277,$O$15:$O$206,O$213)+SUMIFS($AQ$15:$AQ$206,$B$15:$B$206,$B$275,$D$15:$D$206,$D277,$W$15:$W$206,O$213)</f>
        <v>0</v>
      </c>
      <c r="P277">
        <f>SUMIFS($AP$15:$AP$206,$B$15:$B$206,$B$275,$D$15:$D$206,$D277,$O$15:$O$206,P$213)+SUMIFS($AQ$15:$AQ$206,$B$15:$B$206,$B$275,$D$15:$D$206,$D277,$W$15:$W$206,P$213)</f>
        <v>0</v>
      </c>
      <c r="Q277">
        <f>SUMIFS($AP$15:$AP$206,$B$15:$B$206,$B$275,$D$15:$D$206,$D277,$O$15:$O$206,Q$213)+SUMIFS($AQ$15:$AQ$206,$B$15:$B$206,$B$275,$D$15:$D$206,$D277,$W$15:$W$206,Q$213)</f>
        <v>0</v>
      </c>
      <c r="R277">
        <f>SUMIFS($AP$15:$AP$206,$B$15:$B$206,$B$275,$D$15:$D$206,$D277,$O$15:$O$206,R$213)+SUMIFS($AQ$15:$AQ$206,$B$15:$B$206,$B$275,$D$15:$D$206,$D277,$W$15:$W$206,R$213)</f>
        <v>0</v>
      </c>
      <c r="S277">
        <f>SUMIFS($AP$15:$AP$206,$B$15:$B$206,$B$275,$D$15:$D$206,$D277,$O$15:$O$206,S$213)+SUMIFS($AQ$15:$AQ$206,$B$15:$B$206,$B$275,$D$15:$D$206,$D277,$W$15:$W$206,S$213)</f>
        <v>0</v>
      </c>
      <c r="T277">
        <f>SUM(H277:R277)</f>
        <v>0</v>
      </c>
      <c r="V277">
        <f>IF(F277&gt;0,G277/F277,0)</f>
        <v>0</v>
      </c>
      <c r="W277">
        <f>IF(F277&gt;0,T277/F277,0)</f>
        <v>0</v>
      </c>
    </row>
    <row r="278">
      <c r="D278" t="str">
        <v>K174-1</v>
      </c>
      <c r="F278">
        <f>SUMIFS($AO$15:$AO$206,$B$15:$B$206,$B$275,$D$15:$D$206,$D278)</f>
        <v>0.9179999999999999</v>
      </c>
      <c r="G278">
        <f>SUMIFS($AT$15:$AT$206,$B$15:$B$206,$B$275,$D$15:$D$206,$D278)</f>
        <v>15.39</v>
      </c>
      <c r="H278">
        <f>SUMIFS($AR$15:$AR$206,$B$15:$B$206,$B$275,$D$15:$D$206,$D278,$AD$15:$AD$206,H$213)+SUMIFS($AS$15:$AS$206,$B$15:$B$206,$B$275,$D$15:$D$206,$D278,$AI$15:$AI$206,H$213)</f>
        <v>62.8652448</v>
      </c>
      <c r="I278">
        <f>SUMIFS($AR$15:$AR$206,$B$15:$B$206,$B$275,$D$15:$D$206,$D278,$AD$15:$AD$206,I$213)+SUMIFS($AS$15:$AS$206,$B$15:$B$206,$B$275,$D$15:$D$206,$D278,$AI$15:$AI$206,I$213)</f>
        <v>0</v>
      </c>
      <c r="J278">
        <f>SUMIFS($AR$15:$AR$206,$B$15:$B$206,$B$275,$D$15:$D$206,$D278,$AD$15:$AD$206,J$213)+SUMIFS($AS$15:$AS$206,$B$15:$B$206,$B$275,$D$15:$D$206,$D278,$AI$15:$AI$206,J$213)</f>
        <v>0</v>
      </c>
      <c r="K278">
        <f>SUMIFS($AR$15:$AR$206,$B$15:$B$206,$B$275,$D$15:$D$206,$D278,$AD$15:$AD$206,K$213)+SUMIFS($AS$15:$AS$206,$B$15:$B$206,$B$275,$D$15:$D$206,$D278,$AI$15:$AI$206,K$213)</f>
        <v>0</v>
      </c>
      <c r="L278">
        <f>SUMIFS($AP$15:$AP$206,$B$15:$B$206,$B$275,$D$15:$D$206,$D278,$O$15:$O$206,L$213)+SUMIFS($AQ$15:$AQ$206,$B$15:$B$206,$B$275,$D$15:$D$206,$D278,$W$15:$W$206,L$213)</f>
        <v>0</v>
      </c>
      <c r="M278">
        <f>SUMIFS($AP$15:$AP$206,$B$15:$B$206,$B$275,$D$15:$D$206,$D278,$O$15:$O$206,M$213)+SUMIFS($AQ$15:$AQ$206,$B$15:$B$206,$B$275,$D$15:$D$206,$D278,$W$15:$W$206,M$213)</f>
        <v>0</v>
      </c>
      <c r="N278">
        <f>SUMIFS($AP$15:$AP$206,$B$15:$B$206,$B$275,$D$15:$D$206,$D278,$O$15:$O$206,N$213)+SUMIFS($AQ$15:$AQ$206,$B$15:$B$206,$B$275,$D$15:$D$206,$D278,$W$15:$W$206,N$213)</f>
        <v>127.32668208</v>
      </c>
      <c r="O278">
        <f>SUMIFS($AP$15:$AP$206,$B$15:$B$206,$B$275,$D$15:$D$206,$D278,$O$15:$O$206,O$213)+SUMIFS($AQ$15:$AQ$206,$B$15:$B$206,$B$275,$D$15:$D$206,$D278,$W$15:$W$206,O$213)</f>
        <v>0</v>
      </c>
      <c r="P278">
        <f>SUMIFS($AP$15:$AP$206,$B$15:$B$206,$B$275,$D$15:$D$206,$D278,$O$15:$O$206,P$213)+SUMIFS($AQ$15:$AQ$206,$B$15:$B$206,$B$275,$D$15:$D$206,$D278,$W$15:$W$206,P$213)</f>
        <v>0</v>
      </c>
      <c r="Q278">
        <f>SUMIFS($AP$15:$AP$206,$B$15:$B$206,$B$275,$D$15:$D$206,$D278,$O$15:$O$206,Q$213)+SUMIFS($AQ$15:$AQ$206,$B$15:$B$206,$B$275,$D$15:$D$206,$D278,$W$15:$W$206,Q$213)</f>
        <v>0</v>
      </c>
      <c r="R278">
        <f>SUMIFS($AP$15:$AP$206,$B$15:$B$206,$B$275,$D$15:$D$206,$D278,$O$15:$O$206,R$213)+SUMIFS($AQ$15:$AQ$206,$B$15:$B$206,$B$275,$D$15:$D$206,$D278,$W$15:$W$206,R$213)</f>
        <v>0</v>
      </c>
      <c r="S278">
        <f>SUMIFS($AP$15:$AP$206,$B$15:$B$206,$B$275,$D$15:$D$206,$D278,$O$15:$O$206,S$213)+SUMIFS($AQ$15:$AQ$206,$B$15:$B$206,$B$275,$D$15:$D$206,$D278,$W$15:$W$206,S$213)</f>
        <v>0</v>
      </c>
      <c r="T278">
        <f>SUM(H278:R278)</f>
        <v>190.19192687999998</v>
      </c>
      <c r="V278">
        <f>IF(F278&gt;0,G278/F278,0)</f>
        <v>16.764705882352942</v>
      </c>
      <c r="W278">
        <f>IF(F278&gt;0,T278/F278,0)</f>
        <v>207.18074823529412</v>
      </c>
    </row>
    <row r="279">
      <c r="D279" t="str">
        <v>K174-2</v>
      </c>
      <c r="F279">
        <f>SUMIFS($AO$15:$AO$206,$B$15:$B$206,$B$275,$D$15:$D$206,$D279)</f>
        <v>0</v>
      </c>
      <c r="G279">
        <f>SUMIFS($AT$15:$AT$206,$B$15:$B$206,$B$275,$D$15:$D$206,$D279)</f>
        <v>0</v>
      </c>
      <c r="H279">
        <f>SUMIFS($AR$15:$AR$206,$B$15:$B$206,$B$275,$D$15:$D$206,$D279,$AD$15:$AD$206,H$213)+SUMIFS($AS$15:$AS$206,$B$15:$B$206,$B$275,$D$15:$D$206,$D279,$AI$15:$AI$206,H$213)</f>
        <v>0</v>
      </c>
      <c r="I279">
        <f>SUMIFS($AR$15:$AR$206,$B$15:$B$206,$B$275,$D$15:$D$206,$D279,$AD$15:$AD$206,I$213)+SUMIFS($AS$15:$AS$206,$B$15:$B$206,$B$275,$D$15:$D$206,$D279,$AI$15:$AI$206,I$213)</f>
        <v>0</v>
      </c>
      <c r="J279">
        <f>SUMIFS($AR$15:$AR$206,$B$15:$B$206,$B$275,$D$15:$D$206,$D279,$AD$15:$AD$206,J$213)+SUMIFS($AS$15:$AS$206,$B$15:$B$206,$B$275,$D$15:$D$206,$D279,$AI$15:$AI$206,J$213)</f>
        <v>0</v>
      </c>
      <c r="K279">
        <f>SUMIFS($AR$15:$AR$206,$B$15:$B$206,$B$275,$D$15:$D$206,$D279,$AD$15:$AD$206,K$213)+SUMIFS($AS$15:$AS$206,$B$15:$B$206,$B$275,$D$15:$D$206,$D279,$AI$15:$AI$206,K$213)</f>
        <v>0</v>
      </c>
      <c r="L279">
        <f>SUMIFS($AP$15:$AP$206,$B$15:$B$206,$B$275,$D$15:$D$206,$D279,$O$15:$O$206,L$213)+SUMIFS($AQ$15:$AQ$206,$B$15:$B$206,$B$275,$D$15:$D$206,$D279,$W$15:$W$206,L$213)</f>
        <v>0</v>
      </c>
      <c r="M279">
        <f>SUMIFS($AP$15:$AP$206,$B$15:$B$206,$B$275,$D$15:$D$206,$D279,$O$15:$O$206,M$213)+SUMIFS($AQ$15:$AQ$206,$B$15:$B$206,$B$275,$D$15:$D$206,$D279,$W$15:$W$206,M$213)</f>
        <v>0</v>
      </c>
      <c r="N279">
        <f>SUMIFS($AP$15:$AP$206,$B$15:$B$206,$B$275,$D$15:$D$206,$D279,$O$15:$O$206,N$213)+SUMIFS($AQ$15:$AQ$206,$B$15:$B$206,$B$275,$D$15:$D$206,$D279,$W$15:$W$206,N$213)</f>
        <v>0</v>
      </c>
      <c r="O279">
        <f>SUMIFS($AP$15:$AP$206,$B$15:$B$206,$B$275,$D$15:$D$206,$D279,$O$15:$O$206,O$213)+SUMIFS($AQ$15:$AQ$206,$B$15:$B$206,$B$275,$D$15:$D$206,$D279,$W$15:$W$206,O$213)</f>
        <v>0</v>
      </c>
      <c r="P279">
        <f>SUMIFS($AP$15:$AP$206,$B$15:$B$206,$B$275,$D$15:$D$206,$D279,$O$15:$O$206,P$213)+SUMIFS($AQ$15:$AQ$206,$B$15:$B$206,$B$275,$D$15:$D$206,$D279,$W$15:$W$206,P$213)</f>
        <v>0</v>
      </c>
      <c r="Q279">
        <f>SUMIFS($AP$15:$AP$206,$B$15:$B$206,$B$275,$D$15:$D$206,$D279,$O$15:$O$206,Q$213)+SUMIFS($AQ$15:$AQ$206,$B$15:$B$206,$B$275,$D$15:$D$206,$D279,$W$15:$W$206,Q$213)</f>
        <v>0</v>
      </c>
      <c r="R279">
        <f>SUMIFS($AP$15:$AP$206,$B$15:$B$206,$B$275,$D$15:$D$206,$D279,$O$15:$O$206,R$213)+SUMIFS($AQ$15:$AQ$206,$B$15:$B$206,$B$275,$D$15:$D$206,$D279,$W$15:$W$206,R$213)</f>
        <v>0</v>
      </c>
      <c r="S279">
        <f>SUMIFS($AP$15:$AP$206,$B$15:$B$206,$B$275,$D$15:$D$206,$D279,$O$15:$O$206,S$213)+SUMIFS($AQ$15:$AQ$206,$B$15:$B$206,$B$275,$D$15:$D$206,$D279,$W$15:$W$206,S$213)</f>
        <v>0</v>
      </c>
      <c r="T279">
        <f>SUM(H279:R279)</f>
        <v>0</v>
      </c>
      <c r="V279">
        <f>IF(F279&gt;0,G279/F279,0)</f>
        <v>0</v>
      </c>
      <c r="W279">
        <f>IF(F279&gt;0,T279/F279,0)</f>
        <v>0</v>
      </c>
    </row>
    <row r="280">
      <c r="D280" t="str">
        <v>K175-1</v>
      </c>
      <c r="F280">
        <f>SUMIFS($AO$15:$AO$206,$B$15:$B$206,$B$275,$D$15:$D$206,$D280)</f>
        <v>1.9125</v>
      </c>
      <c r="G280">
        <f>SUMIFS($AT$15:$AT$206,$B$15:$B$206,$B$275,$D$15:$D$206,$D280)</f>
        <v>30.150000000000002</v>
      </c>
      <c r="H280">
        <f>SUMIFS($AR$15:$AR$206,$B$15:$B$206,$B$275,$D$15:$D$206,$D280,$AD$15:$AD$206,H$213)+SUMIFS($AS$15:$AS$206,$B$15:$B$206,$B$275,$D$15:$D$206,$D280,$AI$15:$AI$206,H$213)</f>
        <v>136.30075200000002</v>
      </c>
      <c r="I280">
        <f>SUMIFS($AR$15:$AR$206,$B$15:$B$206,$B$275,$D$15:$D$206,$D280,$AD$15:$AD$206,I$213)+SUMIFS($AS$15:$AS$206,$B$15:$B$206,$B$275,$D$15:$D$206,$D280,$AI$15:$AI$206,I$213)</f>
        <v>0</v>
      </c>
      <c r="J280">
        <f>SUMIFS($AR$15:$AR$206,$B$15:$B$206,$B$275,$D$15:$D$206,$D280,$AD$15:$AD$206,J$213)+SUMIFS($AS$15:$AS$206,$B$15:$B$206,$B$275,$D$15:$D$206,$D280,$AI$15:$AI$206,J$213)</f>
        <v>0</v>
      </c>
      <c r="K280">
        <f>SUMIFS($AR$15:$AR$206,$B$15:$B$206,$B$275,$D$15:$D$206,$D280,$AD$15:$AD$206,K$213)+SUMIFS($AS$15:$AS$206,$B$15:$B$206,$B$275,$D$15:$D$206,$D280,$AI$15:$AI$206,K$213)</f>
        <v>0</v>
      </c>
      <c r="L280">
        <f>SUMIFS($AP$15:$AP$206,$B$15:$B$206,$B$275,$D$15:$D$206,$D280,$O$15:$O$206,L$213)+SUMIFS($AQ$15:$AQ$206,$B$15:$B$206,$B$275,$D$15:$D$206,$D280,$W$15:$W$206,L$213)</f>
        <v>0</v>
      </c>
      <c r="M280">
        <f>SUMIFS($AP$15:$AP$206,$B$15:$B$206,$B$275,$D$15:$D$206,$D280,$O$15:$O$206,M$213)+SUMIFS($AQ$15:$AQ$206,$B$15:$B$206,$B$275,$D$15:$D$206,$D280,$W$15:$W$206,M$213)</f>
        <v>0</v>
      </c>
      <c r="N280">
        <f>SUMIFS($AP$15:$AP$206,$B$15:$B$206,$B$275,$D$15:$D$206,$D280,$O$15:$O$206,N$213)+SUMIFS($AQ$15:$AQ$206,$B$15:$B$206,$B$275,$D$15:$D$206,$D280,$W$15:$W$206,N$213)</f>
        <v>0</v>
      </c>
      <c r="O280">
        <f>SUMIFS($AP$15:$AP$206,$B$15:$B$206,$B$275,$D$15:$D$206,$D280,$O$15:$O$206,O$213)+SUMIFS($AQ$15:$AQ$206,$B$15:$B$206,$B$275,$D$15:$D$206,$D280,$W$15:$W$206,O$213)</f>
        <v>244.36836864</v>
      </c>
      <c r="P280">
        <f>SUMIFS($AP$15:$AP$206,$B$15:$B$206,$B$275,$D$15:$D$206,$D280,$O$15:$O$206,P$213)+SUMIFS($AQ$15:$AQ$206,$B$15:$B$206,$B$275,$D$15:$D$206,$D280,$W$15:$W$206,P$213)</f>
        <v>0</v>
      </c>
      <c r="Q280">
        <f>SUMIFS($AP$15:$AP$206,$B$15:$B$206,$B$275,$D$15:$D$206,$D280,$O$15:$O$206,Q$213)+SUMIFS($AQ$15:$AQ$206,$B$15:$B$206,$B$275,$D$15:$D$206,$D280,$W$15:$W$206,Q$213)</f>
        <v>0</v>
      </c>
      <c r="R280">
        <f>SUMIFS($AP$15:$AP$206,$B$15:$B$206,$B$275,$D$15:$D$206,$D280,$O$15:$O$206,R$213)+SUMIFS($AQ$15:$AQ$206,$B$15:$B$206,$B$275,$D$15:$D$206,$D280,$W$15:$W$206,R$213)</f>
        <v>0</v>
      </c>
      <c r="S280">
        <f>SUMIFS($AP$15:$AP$206,$B$15:$B$206,$B$275,$D$15:$D$206,$D280,$O$15:$O$206,S$213)+SUMIFS($AQ$15:$AQ$206,$B$15:$B$206,$B$275,$D$15:$D$206,$D280,$W$15:$W$206,S$213)</f>
        <v>0</v>
      </c>
      <c r="T280">
        <f>SUM(H280:R280)</f>
        <v>380.66912064</v>
      </c>
      <c r="V280">
        <f>IF(F280&gt;0,G280/F280,0)</f>
        <v>15.764705882352942</v>
      </c>
      <c r="W280">
        <f>IF(F280&gt;0,T280/F280,0)</f>
        <v>199.04267745882353</v>
      </c>
    </row>
    <row r="281">
      <c r="D281" t="str">
        <v>K175-2</v>
      </c>
      <c r="F281">
        <f>SUMIFS($AO$15:$AO$206,$B$15:$B$206,$B$275,$D$15:$D$206,$D281)</f>
        <v>1.9125</v>
      </c>
      <c r="G281">
        <f>SUMIFS($AT$15:$AT$206,$B$15:$B$206,$B$275,$D$15:$D$206,$D281)</f>
        <v>30.150000000000002</v>
      </c>
      <c r="H281">
        <f>SUMIFS($AR$15:$AR$206,$B$15:$B$206,$B$275,$D$15:$D$206,$D281,$AD$15:$AD$206,H$213)+SUMIFS($AS$15:$AS$206,$B$15:$B$206,$B$275,$D$15:$D$206,$D281,$AI$15:$AI$206,H$213)</f>
        <v>136.30075200000002</v>
      </c>
      <c r="I281">
        <f>SUMIFS($AR$15:$AR$206,$B$15:$B$206,$B$275,$D$15:$D$206,$D281,$AD$15:$AD$206,I$213)+SUMIFS($AS$15:$AS$206,$B$15:$B$206,$B$275,$D$15:$D$206,$D281,$AI$15:$AI$206,I$213)</f>
        <v>0</v>
      </c>
      <c r="J281">
        <f>SUMIFS($AR$15:$AR$206,$B$15:$B$206,$B$275,$D$15:$D$206,$D281,$AD$15:$AD$206,J$213)+SUMIFS($AS$15:$AS$206,$B$15:$B$206,$B$275,$D$15:$D$206,$D281,$AI$15:$AI$206,J$213)</f>
        <v>0</v>
      </c>
      <c r="K281">
        <f>SUMIFS($AR$15:$AR$206,$B$15:$B$206,$B$275,$D$15:$D$206,$D281,$AD$15:$AD$206,K$213)+SUMIFS($AS$15:$AS$206,$B$15:$B$206,$B$275,$D$15:$D$206,$D281,$AI$15:$AI$206,K$213)</f>
        <v>0</v>
      </c>
      <c r="L281">
        <f>SUMIFS($AP$15:$AP$206,$B$15:$B$206,$B$275,$D$15:$D$206,$D281,$O$15:$O$206,L$213)+SUMIFS($AQ$15:$AQ$206,$B$15:$B$206,$B$275,$D$15:$D$206,$D281,$W$15:$W$206,L$213)</f>
        <v>0</v>
      </c>
      <c r="M281">
        <f>SUMIFS($AP$15:$AP$206,$B$15:$B$206,$B$275,$D$15:$D$206,$D281,$O$15:$O$206,M$213)+SUMIFS($AQ$15:$AQ$206,$B$15:$B$206,$B$275,$D$15:$D$206,$D281,$W$15:$W$206,M$213)</f>
        <v>0</v>
      </c>
      <c r="N281">
        <f>SUMIFS($AP$15:$AP$206,$B$15:$B$206,$B$275,$D$15:$D$206,$D281,$O$15:$O$206,N$213)+SUMIFS($AQ$15:$AQ$206,$B$15:$B$206,$B$275,$D$15:$D$206,$D281,$W$15:$W$206,N$213)</f>
        <v>0</v>
      </c>
      <c r="O281">
        <f>SUMIFS($AP$15:$AP$206,$B$15:$B$206,$B$275,$D$15:$D$206,$D281,$O$15:$O$206,O$213)+SUMIFS($AQ$15:$AQ$206,$B$15:$B$206,$B$275,$D$15:$D$206,$D281,$W$15:$W$206,O$213)</f>
        <v>345.26840832000005</v>
      </c>
      <c r="P281">
        <f>SUMIFS($AP$15:$AP$206,$B$15:$B$206,$B$275,$D$15:$D$206,$D281,$O$15:$O$206,P$213)+SUMIFS($AQ$15:$AQ$206,$B$15:$B$206,$B$275,$D$15:$D$206,$D281,$W$15:$W$206,P$213)</f>
        <v>0</v>
      </c>
      <c r="Q281">
        <f>SUMIFS($AP$15:$AP$206,$B$15:$B$206,$B$275,$D$15:$D$206,$D281,$O$15:$O$206,Q$213)+SUMIFS($AQ$15:$AQ$206,$B$15:$B$206,$B$275,$D$15:$D$206,$D281,$W$15:$W$206,Q$213)</f>
        <v>0</v>
      </c>
      <c r="R281">
        <f>SUMIFS($AP$15:$AP$206,$B$15:$B$206,$B$275,$D$15:$D$206,$D281,$O$15:$O$206,R$213)+SUMIFS($AQ$15:$AQ$206,$B$15:$B$206,$B$275,$D$15:$D$206,$D281,$W$15:$W$206,R$213)</f>
        <v>0</v>
      </c>
      <c r="S281">
        <f>SUMIFS($AP$15:$AP$206,$B$15:$B$206,$B$275,$D$15:$D$206,$D281,$O$15:$O$206,S$213)+SUMIFS($AQ$15:$AQ$206,$B$15:$B$206,$B$275,$D$15:$D$206,$D281,$W$15:$W$206,S$213)</f>
        <v>0</v>
      </c>
      <c r="T281">
        <f>SUM(H281:R281)</f>
        <v>481.56916032000004</v>
      </c>
      <c r="V281">
        <f>IF(F281&gt;0,G281/F281,0)</f>
        <v>15.764705882352942</v>
      </c>
      <c r="W281">
        <f>IF(F281&gt;0,T281/F281,0)</f>
        <v>251.80086814117647</v>
      </c>
    </row>
    <row r="282">
      <c r="D282" t="str">
        <v>K175-3</v>
      </c>
      <c r="F282">
        <f>SUMIFS($AO$15:$AO$206,$B$15:$B$206,$B$275,$D$15:$D$206,$D282)</f>
        <v>0.3825</v>
      </c>
      <c r="G282">
        <f>SUMIFS($AT$15:$AT$206,$B$15:$B$206,$B$275,$D$15:$D$206,$D282)</f>
        <v>6.03</v>
      </c>
      <c r="H282">
        <f>SUMIFS($AR$15:$AR$206,$B$15:$B$206,$B$275,$D$15:$D$206,$D282,$AD$15:$AD$206,H$213)+SUMIFS($AS$15:$AS$206,$B$15:$B$206,$B$275,$D$15:$D$206,$D282,$AI$15:$AI$206,H$213)</f>
        <v>27.2601504</v>
      </c>
      <c r="I282">
        <f>SUMIFS($AR$15:$AR$206,$B$15:$B$206,$B$275,$D$15:$D$206,$D282,$AD$15:$AD$206,I$213)+SUMIFS($AS$15:$AS$206,$B$15:$B$206,$B$275,$D$15:$D$206,$D282,$AI$15:$AI$206,I$213)</f>
        <v>0</v>
      </c>
      <c r="J282">
        <f>SUMIFS($AR$15:$AR$206,$B$15:$B$206,$B$275,$D$15:$D$206,$D282,$AD$15:$AD$206,J$213)+SUMIFS($AS$15:$AS$206,$B$15:$B$206,$B$275,$D$15:$D$206,$D282,$AI$15:$AI$206,J$213)</f>
        <v>0</v>
      </c>
      <c r="K282">
        <f>SUMIFS($AR$15:$AR$206,$B$15:$B$206,$B$275,$D$15:$D$206,$D282,$AD$15:$AD$206,K$213)+SUMIFS($AS$15:$AS$206,$B$15:$B$206,$B$275,$D$15:$D$206,$D282,$AI$15:$AI$206,K$213)</f>
        <v>0</v>
      </c>
      <c r="L282">
        <f>SUMIFS($AP$15:$AP$206,$B$15:$B$206,$B$275,$D$15:$D$206,$D282,$O$15:$O$206,L$213)+SUMIFS($AQ$15:$AQ$206,$B$15:$B$206,$B$275,$D$15:$D$206,$D282,$W$15:$W$206,L$213)</f>
        <v>0</v>
      </c>
      <c r="M282">
        <f>SUMIFS($AP$15:$AP$206,$B$15:$B$206,$B$275,$D$15:$D$206,$D282,$O$15:$O$206,M$213)+SUMIFS($AQ$15:$AQ$206,$B$15:$B$206,$B$275,$D$15:$D$206,$D282,$W$15:$W$206,M$213)</f>
        <v>0</v>
      </c>
      <c r="N282">
        <f>SUMIFS($AP$15:$AP$206,$B$15:$B$206,$B$275,$D$15:$D$206,$D282,$O$15:$O$206,N$213)+SUMIFS($AQ$15:$AQ$206,$B$15:$B$206,$B$275,$D$15:$D$206,$D282,$W$15:$W$206,N$213)</f>
        <v>0</v>
      </c>
      <c r="O282">
        <f>SUMIFS($AP$15:$AP$206,$B$15:$B$206,$B$275,$D$15:$D$206,$D282,$O$15:$O$206,O$213)+SUMIFS($AQ$15:$AQ$206,$B$15:$B$206,$B$275,$D$15:$D$206,$D282,$W$15:$W$206,O$213)</f>
        <v>39.6453888</v>
      </c>
      <c r="P282">
        <f>SUMIFS($AP$15:$AP$206,$B$15:$B$206,$B$275,$D$15:$D$206,$D282,$O$15:$O$206,P$213)+SUMIFS($AQ$15:$AQ$206,$B$15:$B$206,$B$275,$D$15:$D$206,$D282,$W$15:$W$206,P$213)</f>
        <v>58.754915999999994</v>
      </c>
      <c r="Q282">
        <f>SUMIFS($AP$15:$AP$206,$B$15:$B$206,$B$275,$D$15:$D$206,$D282,$O$15:$O$206,Q$213)+SUMIFS($AQ$15:$AQ$206,$B$15:$B$206,$B$275,$D$15:$D$206,$D282,$W$15:$W$206,Q$213)</f>
        <v>0</v>
      </c>
      <c r="R282">
        <f>SUMIFS($AP$15:$AP$206,$B$15:$B$206,$B$275,$D$15:$D$206,$D282,$O$15:$O$206,R$213)+SUMIFS($AQ$15:$AQ$206,$B$15:$B$206,$B$275,$D$15:$D$206,$D282,$W$15:$W$206,R$213)</f>
        <v>0</v>
      </c>
      <c r="S282">
        <f>SUMIFS($AP$15:$AP$206,$B$15:$B$206,$B$275,$D$15:$D$206,$D282,$O$15:$O$206,S$213)+SUMIFS($AQ$15:$AQ$206,$B$15:$B$206,$B$275,$D$15:$D$206,$D282,$W$15:$W$206,S$213)</f>
        <v>0</v>
      </c>
      <c r="T282">
        <f>SUM(H282:R282)</f>
        <v>125.66045519999999</v>
      </c>
      <c r="V282">
        <f>IF(F282&gt;0,G282/F282,0)</f>
        <v>15.764705882352942</v>
      </c>
      <c r="W282">
        <f>IF(F282&gt;0,T282/F282,0)</f>
        <v>328.5240658823529</v>
      </c>
    </row>
    <row r="283">
      <c r="D283" t="str">
        <v>K175-4</v>
      </c>
      <c r="F283">
        <f>SUMIFS($AO$15:$AO$206,$B$15:$B$206,$B$275,$D$15:$D$206,$D283)</f>
        <v>0.765</v>
      </c>
      <c r="G283">
        <f>SUMIFS($AT$15:$AT$206,$B$15:$B$206,$B$275,$D$15:$D$206,$D283)</f>
        <v>12.06</v>
      </c>
      <c r="H283">
        <f>SUMIFS($AR$15:$AR$206,$B$15:$B$206,$B$275,$D$15:$D$206,$D283,$AD$15:$AD$206,H$213)+SUMIFS($AS$15:$AS$206,$B$15:$B$206,$B$275,$D$15:$D$206,$D283,$AI$15:$AI$206,H$213)</f>
        <v>5.192409600000001</v>
      </c>
      <c r="I283">
        <f>SUMIFS($AR$15:$AR$206,$B$15:$B$206,$B$275,$D$15:$D$206,$D283,$AD$15:$AD$206,I$213)+SUMIFS($AS$15:$AS$206,$B$15:$B$206,$B$275,$D$15:$D$206,$D283,$AI$15:$AI$206,I$213)</f>
        <v>77.07483000000002</v>
      </c>
      <c r="J283">
        <f>SUMIFS($AR$15:$AR$206,$B$15:$B$206,$B$275,$D$15:$D$206,$D283,$AD$15:$AD$206,J$213)+SUMIFS($AS$15:$AS$206,$B$15:$B$206,$B$275,$D$15:$D$206,$D283,$AI$15:$AI$206,J$213)</f>
        <v>0</v>
      </c>
      <c r="K283">
        <f>SUMIFS($AR$15:$AR$206,$B$15:$B$206,$B$275,$D$15:$D$206,$D283,$AD$15:$AD$206,K$213)+SUMIFS($AS$15:$AS$206,$B$15:$B$206,$B$275,$D$15:$D$206,$D283,$AI$15:$AI$206,K$213)</f>
        <v>0</v>
      </c>
      <c r="L283">
        <f>SUMIFS($AP$15:$AP$206,$B$15:$B$206,$B$275,$D$15:$D$206,$D283,$O$15:$O$206,L$213)+SUMIFS($AQ$15:$AQ$206,$B$15:$B$206,$B$275,$D$15:$D$206,$D283,$W$15:$W$206,L$213)</f>
        <v>7.722328320000001</v>
      </c>
      <c r="M283">
        <f>SUMIFS($AP$15:$AP$206,$B$15:$B$206,$B$275,$D$15:$D$206,$D283,$O$15:$O$206,M$213)+SUMIFS($AQ$15:$AQ$206,$B$15:$B$206,$B$275,$D$15:$D$206,$D283,$W$15:$W$206,M$213)</f>
        <v>0</v>
      </c>
      <c r="N283">
        <f>SUMIFS($AP$15:$AP$206,$B$15:$B$206,$B$275,$D$15:$D$206,$D283,$O$15:$O$206,N$213)+SUMIFS($AQ$15:$AQ$206,$B$15:$B$206,$B$275,$D$15:$D$206,$D283,$W$15:$W$206,N$213)</f>
        <v>0</v>
      </c>
      <c r="O283">
        <f>SUMIFS($AP$15:$AP$206,$B$15:$B$206,$B$275,$D$15:$D$206,$D283,$O$15:$O$206,O$213)+SUMIFS($AQ$15:$AQ$206,$B$15:$B$206,$B$275,$D$15:$D$206,$D283,$W$15:$W$206,O$213)</f>
        <v>0</v>
      </c>
      <c r="P283">
        <f>SUMIFS($AP$15:$AP$206,$B$15:$B$206,$B$275,$D$15:$D$206,$D283,$O$15:$O$206,P$213)+SUMIFS($AQ$15:$AQ$206,$B$15:$B$206,$B$275,$D$15:$D$206,$D283,$W$15:$W$206,P$213)</f>
        <v>201.33351216</v>
      </c>
      <c r="Q283">
        <f>SUMIFS($AP$15:$AP$206,$B$15:$B$206,$B$275,$D$15:$D$206,$D283,$O$15:$O$206,Q$213)+SUMIFS($AQ$15:$AQ$206,$B$15:$B$206,$B$275,$D$15:$D$206,$D283,$W$15:$W$206,Q$213)</f>
        <v>0</v>
      </c>
      <c r="R283">
        <f>SUMIFS($AP$15:$AP$206,$B$15:$B$206,$B$275,$D$15:$D$206,$D283,$O$15:$O$206,R$213)+SUMIFS($AQ$15:$AQ$206,$B$15:$B$206,$B$275,$D$15:$D$206,$D283,$W$15:$W$206,R$213)</f>
        <v>0</v>
      </c>
      <c r="S283">
        <f>SUMIFS($AP$15:$AP$206,$B$15:$B$206,$B$275,$D$15:$D$206,$D283,$O$15:$O$206,S$213)+SUMIFS($AQ$15:$AQ$206,$B$15:$B$206,$B$275,$D$15:$D$206,$D283,$W$15:$W$206,S$213)</f>
        <v>0</v>
      </c>
      <c r="T283">
        <f>SUM(H283:R283)</f>
        <v>291.32308008</v>
      </c>
      <c r="V283">
        <f>IF(F283&gt;0,G283/F283,0)</f>
        <v>15.764705882352942</v>
      </c>
      <c r="W283">
        <f>IF(F283&gt;0,T283/F283,0)</f>
        <v>380.81448376470587</v>
      </c>
    </row>
    <row r="284">
      <c r="D284" t="str">
        <v>K176-1</v>
      </c>
      <c r="F284">
        <f>SUMIFS($AO$15:$AO$206,$B$15:$B$206,$B$275,$D$15:$D$206,$D284)</f>
        <v>1.836</v>
      </c>
      <c r="G284">
        <f>SUMIFS($AT$15:$AT$206,$B$15:$B$206,$B$275,$D$15:$D$206,$D284)</f>
        <v>27.72</v>
      </c>
      <c r="H284">
        <f>SUMIFS($AR$15:$AR$206,$B$15:$B$206,$B$275,$D$15:$D$206,$D284,$AD$15:$AD$206,H$213)+SUMIFS($AS$15:$AS$206,$B$15:$B$206,$B$275,$D$15:$D$206,$D284,$AI$15:$AI$206,H$213)</f>
        <v>123.87605760000002</v>
      </c>
      <c r="I284">
        <f>SUMIFS($AR$15:$AR$206,$B$15:$B$206,$B$275,$D$15:$D$206,$D284,$AD$15:$AD$206,I$213)+SUMIFS($AS$15:$AS$206,$B$15:$B$206,$B$275,$D$15:$D$206,$D284,$AI$15:$AI$206,I$213)</f>
        <v>0</v>
      </c>
      <c r="J284">
        <f>SUMIFS($AR$15:$AR$206,$B$15:$B$206,$B$275,$D$15:$D$206,$D284,$AD$15:$AD$206,J$213)+SUMIFS($AS$15:$AS$206,$B$15:$B$206,$B$275,$D$15:$D$206,$D284,$AI$15:$AI$206,J$213)</f>
        <v>0</v>
      </c>
      <c r="K284">
        <f>SUMIFS($AR$15:$AR$206,$B$15:$B$206,$B$275,$D$15:$D$206,$D284,$AD$15:$AD$206,K$213)+SUMIFS($AS$15:$AS$206,$B$15:$B$206,$B$275,$D$15:$D$206,$D284,$AI$15:$AI$206,K$213)</f>
        <v>0</v>
      </c>
      <c r="L284">
        <f>SUMIFS($AP$15:$AP$206,$B$15:$B$206,$B$275,$D$15:$D$206,$D284,$O$15:$O$206,L$213)+SUMIFS($AQ$15:$AQ$206,$B$15:$B$206,$B$275,$D$15:$D$206,$D284,$W$15:$W$206,L$213)</f>
        <v>0</v>
      </c>
      <c r="M284">
        <f>SUMIFS($AP$15:$AP$206,$B$15:$B$206,$B$275,$D$15:$D$206,$D284,$O$15:$O$206,M$213)+SUMIFS($AQ$15:$AQ$206,$B$15:$B$206,$B$275,$D$15:$D$206,$D284,$W$15:$W$206,M$213)</f>
        <v>0</v>
      </c>
      <c r="N284">
        <f>SUMIFS($AP$15:$AP$206,$B$15:$B$206,$B$275,$D$15:$D$206,$D284,$O$15:$O$206,N$213)+SUMIFS($AQ$15:$AQ$206,$B$15:$B$206,$B$275,$D$15:$D$206,$D284,$W$15:$W$206,N$213)</f>
        <v>0</v>
      </c>
      <c r="O284">
        <f>SUMIFS($AP$15:$AP$206,$B$15:$B$206,$B$275,$D$15:$D$206,$D284,$O$15:$O$206,O$213)+SUMIFS($AQ$15:$AQ$206,$B$15:$B$206,$B$275,$D$15:$D$206,$D284,$W$15:$W$206,O$213)</f>
        <v>321.3927936</v>
      </c>
      <c r="P284">
        <f>SUMIFS($AP$15:$AP$206,$B$15:$B$206,$B$275,$D$15:$D$206,$D284,$O$15:$O$206,P$213)+SUMIFS($AQ$15:$AQ$206,$B$15:$B$206,$B$275,$D$15:$D$206,$D284,$W$15:$W$206,P$213)</f>
        <v>0</v>
      </c>
      <c r="Q284">
        <f>SUMIFS($AP$15:$AP$206,$B$15:$B$206,$B$275,$D$15:$D$206,$D284,$O$15:$O$206,Q$213)+SUMIFS($AQ$15:$AQ$206,$B$15:$B$206,$B$275,$D$15:$D$206,$D284,$W$15:$W$206,Q$213)</f>
        <v>0</v>
      </c>
      <c r="R284">
        <f>SUMIFS($AP$15:$AP$206,$B$15:$B$206,$B$275,$D$15:$D$206,$D284,$O$15:$O$206,R$213)+SUMIFS($AQ$15:$AQ$206,$B$15:$B$206,$B$275,$D$15:$D$206,$D284,$W$15:$W$206,R$213)</f>
        <v>0</v>
      </c>
      <c r="S284">
        <f>SUMIFS($AP$15:$AP$206,$B$15:$B$206,$B$275,$D$15:$D$206,$D284,$O$15:$O$206,S$213)+SUMIFS($AQ$15:$AQ$206,$B$15:$B$206,$B$275,$D$15:$D$206,$D284,$W$15:$W$206,S$213)</f>
        <v>0</v>
      </c>
      <c r="T284">
        <f>SUM(H284:R284)</f>
        <v>445.26885120000003</v>
      </c>
      <c r="V284">
        <f>IF(F284&gt;0,G284/F284,0)</f>
        <v>15.098039215686272</v>
      </c>
      <c r="W284">
        <f>IF(F284&gt;0,T284/F284,0)</f>
        <v>242.52116078431374</v>
      </c>
    </row>
    <row r="285">
      <c r="D285" t="str">
        <v>K176-4</v>
      </c>
      <c r="F285">
        <f>SUMIFS($AO$15:$AO$206,$B$15:$B$206,$B$275,$D$15:$D$206,$D285)</f>
        <v>0.459</v>
      </c>
      <c r="G285">
        <f>SUMIFS($AT$15:$AT$206,$B$15:$B$206,$B$275,$D$15:$D$206,$D285)</f>
        <v>6.93</v>
      </c>
      <c r="H285">
        <f>SUMIFS($AR$15:$AR$206,$B$15:$B$206,$B$275,$D$15:$D$206,$D285,$AD$15:$AD$206,H$213)+SUMIFS($AS$15:$AS$206,$B$15:$B$206,$B$275,$D$15:$D$206,$D285,$AI$15:$AI$206,H$213)</f>
        <v>30.969014400000006</v>
      </c>
      <c r="I285">
        <f>SUMIFS($AR$15:$AR$206,$B$15:$B$206,$B$275,$D$15:$D$206,$D285,$AD$15:$AD$206,I$213)+SUMIFS($AS$15:$AS$206,$B$15:$B$206,$B$275,$D$15:$D$206,$D285,$AI$15:$AI$206,I$213)</f>
        <v>0</v>
      </c>
      <c r="J285">
        <f>SUMIFS($AR$15:$AR$206,$B$15:$B$206,$B$275,$D$15:$D$206,$D285,$AD$15:$AD$206,J$213)+SUMIFS($AS$15:$AS$206,$B$15:$B$206,$B$275,$D$15:$D$206,$D285,$AI$15:$AI$206,J$213)</f>
        <v>0</v>
      </c>
      <c r="K285">
        <f>SUMIFS($AR$15:$AR$206,$B$15:$B$206,$B$275,$D$15:$D$206,$D285,$AD$15:$AD$206,K$213)+SUMIFS($AS$15:$AS$206,$B$15:$B$206,$B$275,$D$15:$D$206,$D285,$AI$15:$AI$206,K$213)</f>
        <v>0</v>
      </c>
      <c r="L285">
        <f>SUMIFS($AP$15:$AP$206,$B$15:$B$206,$B$275,$D$15:$D$206,$D285,$O$15:$O$206,L$213)+SUMIFS($AQ$15:$AQ$206,$B$15:$B$206,$B$275,$D$15:$D$206,$D285,$W$15:$W$206,L$213)</f>
        <v>0</v>
      </c>
      <c r="M285">
        <f>SUMIFS($AP$15:$AP$206,$B$15:$B$206,$B$275,$D$15:$D$206,$D285,$O$15:$O$206,M$213)+SUMIFS($AQ$15:$AQ$206,$B$15:$B$206,$B$275,$D$15:$D$206,$D285,$W$15:$W$206,M$213)</f>
        <v>0</v>
      </c>
      <c r="N285">
        <f>SUMIFS($AP$15:$AP$206,$B$15:$B$206,$B$275,$D$15:$D$206,$D285,$O$15:$O$206,N$213)+SUMIFS($AQ$15:$AQ$206,$B$15:$B$206,$B$275,$D$15:$D$206,$D285,$W$15:$W$206,N$213)</f>
        <v>0</v>
      </c>
      <c r="O285">
        <f>SUMIFS($AP$15:$AP$206,$B$15:$B$206,$B$275,$D$15:$D$206,$D285,$O$15:$O$206,O$213)+SUMIFS($AQ$15:$AQ$206,$B$15:$B$206,$B$275,$D$15:$D$206,$D285,$W$15:$W$206,O$213)</f>
        <v>29.494149120000003</v>
      </c>
      <c r="P285">
        <f>SUMIFS($AP$15:$AP$206,$B$15:$B$206,$B$275,$D$15:$D$206,$D285,$O$15:$O$206,P$213)+SUMIFS($AQ$15:$AQ$206,$B$15:$B$206,$B$275,$D$15:$D$206,$D285,$W$15:$W$206,P$213)</f>
        <v>83.82368016000001</v>
      </c>
      <c r="Q285">
        <f>SUMIFS($AP$15:$AP$206,$B$15:$B$206,$B$275,$D$15:$D$206,$D285,$O$15:$O$206,Q$213)+SUMIFS($AQ$15:$AQ$206,$B$15:$B$206,$B$275,$D$15:$D$206,$D285,$W$15:$W$206,Q$213)</f>
        <v>0</v>
      </c>
      <c r="R285">
        <f>SUMIFS($AP$15:$AP$206,$B$15:$B$206,$B$275,$D$15:$D$206,$D285,$O$15:$O$206,R$213)+SUMIFS($AQ$15:$AQ$206,$B$15:$B$206,$B$275,$D$15:$D$206,$D285,$W$15:$W$206,R$213)</f>
        <v>0</v>
      </c>
      <c r="S285">
        <f>SUMIFS($AP$15:$AP$206,$B$15:$B$206,$B$275,$D$15:$D$206,$D285,$O$15:$O$206,S$213)+SUMIFS($AQ$15:$AQ$206,$B$15:$B$206,$B$275,$D$15:$D$206,$D285,$W$15:$W$206,S$213)</f>
        <v>0</v>
      </c>
      <c r="T285">
        <f>SUM(H285:R285)</f>
        <v>144.28684368</v>
      </c>
      <c r="V285">
        <f>IF(F285&gt;0,G285/F285,0)</f>
        <v>15.098039215686272</v>
      </c>
      <c r="W285">
        <f>IF(F285&gt;0,T285/F285,0)</f>
        <v>314.35042196078433</v>
      </c>
    </row>
    <row r="286">
      <c r="D286" t="str">
        <v>K177-1</v>
      </c>
      <c r="F286">
        <f>SUMIFS($AO$15:$AO$206,$B$15:$B$206,$B$275,$D$15:$D$206,$D286)</f>
        <v>1.071</v>
      </c>
      <c r="G286">
        <f>SUMIFS($AT$15:$AT$206,$B$15:$B$206,$B$275,$D$15:$D$206,$D286)</f>
        <v>15.66</v>
      </c>
      <c r="H286">
        <f>SUMIFS($AR$15:$AR$206,$B$15:$B$206,$B$275,$D$15:$D$206,$D286,$AD$15:$AD$206,H$213)+SUMIFS($AS$15:$AS$206,$B$15:$B$206,$B$275,$D$15:$D$206,$D286,$AI$15:$AI$206,H$213)</f>
        <v>69.35575680000001</v>
      </c>
      <c r="I286">
        <f>SUMIFS($AR$15:$AR$206,$B$15:$B$206,$B$275,$D$15:$D$206,$D286,$AD$15:$AD$206,I$213)+SUMIFS($AS$15:$AS$206,$B$15:$B$206,$B$275,$D$15:$D$206,$D286,$AI$15:$AI$206,I$213)</f>
        <v>0</v>
      </c>
      <c r="J286">
        <f>SUMIFS($AR$15:$AR$206,$B$15:$B$206,$B$275,$D$15:$D$206,$D286,$AD$15:$AD$206,J$213)+SUMIFS($AS$15:$AS$206,$B$15:$B$206,$B$275,$D$15:$D$206,$D286,$AI$15:$AI$206,J$213)</f>
        <v>0</v>
      </c>
      <c r="K286">
        <f>SUMIFS($AR$15:$AR$206,$B$15:$B$206,$B$275,$D$15:$D$206,$D286,$AD$15:$AD$206,K$213)+SUMIFS($AS$15:$AS$206,$B$15:$B$206,$B$275,$D$15:$D$206,$D286,$AI$15:$AI$206,K$213)</f>
        <v>0</v>
      </c>
      <c r="L286">
        <f>SUMIFS($AP$15:$AP$206,$B$15:$B$206,$B$275,$D$15:$D$206,$D286,$O$15:$O$206,L$213)+SUMIFS($AQ$15:$AQ$206,$B$15:$B$206,$B$275,$D$15:$D$206,$D286,$W$15:$W$206,L$213)</f>
        <v>0</v>
      </c>
      <c r="M286">
        <f>SUMIFS($AP$15:$AP$206,$B$15:$B$206,$B$275,$D$15:$D$206,$D286,$O$15:$O$206,M$213)+SUMIFS($AQ$15:$AQ$206,$B$15:$B$206,$B$275,$D$15:$D$206,$D286,$W$15:$W$206,M$213)</f>
        <v>0</v>
      </c>
      <c r="N286">
        <f>SUMIFS($AP$15:$AP$206,$B$15:$B$206,$B$275,$D$15:$D$206,$D286,$O$15:$O$206,N$213)+SUMIFS($AQ$15:$AQ$206,$B$15:$B$206,$B$275,$D$15:$D$206,$D286,$W$15:$W$206,N$213)</f>
        <v>0</v>
      </c>
      <c r="O286">
        <f>SUMIFS($AP$15:$AP$206,$B$15:$B$206,$B$275,$D$15:$D$206,$D286,$O$15:$O$206,O$213)+SUMIFS($AQ$15:$AQ$206,$B$15:$B$206,$B$275,$D$15:$D$206,$D286,$W$15:$W$206,O$213)</f>
        <v>0</v>
      </c>
      <c r="P286">
        <f>SUMIFS($AP$15:$AP$206,$B$15:$B$206,$B$275,$D$15:$D$206,$D286,$O$15:$O$206,P$213)+SUMIFS($AQ$15:$AQ$206,$B$15:$B$206,$B$275,$D$15:$D$206,$D286,$W$15:$W$206,P$213)</f>
        <v>251.6668902</v>
      </c>
      <c r="Q286">
        <f>SUMIFS($AP$15:$AP$206,$B$15:$B$206,$B$275,$D$15:$D$206,$D286,$O$15:$O$206,Q$213)+SUMIFS($AQ$15:$AQ$206,$B$15:$B$206,$B$275,$D$15:$D$206,$D286,$W$15:$W$206,Q$213)</f>
        <v>0</v>
      </c>
      <c r="R286">
        <f>SUMIFS($AP$15:$AP$206,$B$15:$B$206,$B$275,$D$15:$D$206,$D286,$O$15:$O$206,R$213)+SUMIFS($AQ$15:$AQ$206,$B$15:$B$206,$B$275,$D$15:$D$206,$D286,$W$15:$W$206,R$213)</f>
        <v>0</v>
      </c>
      <c r="S286">
        <f>SUMIFS($AP$15:$AP$206,$B$15:$B$206,$B$275,$D$15:$D$206,$D286,$O$15:$O$206,S$213)+SUMIFS($AQ$15:$AQ$206,$B$15:$B$206,$B$275,$D$15:$D$206,$D286,$W$15:$W$206,S$213)</f>
        <v>0</v>
      </c>
      <c r="T286">
        <f>SUM(H286:R286)</f>
        <v>321.022647</v>
      </c>
      <c r="V286">
        <f>IF(F286&gt;0,G286/F286,0)</f>
        <v>14.6218487394958</v>
      </c>
      <c r="W286">
        <f>IF(F286&gt;0,T286/F286,0)</f>
        <v>299.7410336134454</v>
      </c>
    </row>
    <row r="287">
      <c r="D287" t="str">
        <v>K177-2</v>
      </c>
      <c r="F287">
        <f>SUMIFS($AO$15:$AO$206,$B$15:$B$206,$B$275,$D$15:$D$206,$D287)</f>
        <v>0.5355</v>
      </c>
      <c r="G287">
        <f>SUMIFS($AT$15:$AT$206,$B$15:$B$206,$B$275,$D$15:$D$206,$D287)</f>
        <v>7.83</v>
      </c>
      <c r="H287">
        <f>SUMIFS($AR$15:$AR$206,$B$15:$B$206,$B$275,$D$15:$D$206,$D287,$AD$15:$AD$206,H$213)+SUMIFS($AS$15:$AS$206,$B$15:$B$206,$B$275,$D$15:$D$206,$D287,$AI$15:$AI$206,H$213)</f>
        <v>37.27408320000001</v>
      </c>
      <c r="I287">
        <f>SUMIFS($AR$15:$AR$206,$B$15:$B$206,$B$275,$D$15:$D$206,$D287,$AD$15:$AD$206,I$213)+SUMIFS($AS$15:$AS$206,$B$15:$B$206,$B$275,$D$15:$D$206,$D287,$AI$15:$AI$206,I$213)</f>
        <v>0</v>
      </c>
      <c r="J287">
        <f>SUMIFS($AR$15:$AR$206,$B$15:$B$206,$B$275,$D$15:$D$206,$D287,$AD$15:$AD$206,J$213)+SUMIFS($AS$15:$AS$206,$B$15:$B$206,$B$275,$D$15:$D$206,$D287,$AI$15:$AI$206,J$213)</f>
        <v>0</v>
      </c>
      <c r="K287">
        <f>SUMIFS($AR$15:$AR$206,$B$15:$B$206,$B$275,$D$15:$D$206,$D287,$AD$15:$AD$206,K$213)+SUMIFS($AS$15:$AS$206,$B$15:$B$206,$B$275,$D$15:$D$206,$D287,$AI$15:$AI$206,K$213)</f>
        <v>0</v>
      </c>
      <c r="L287">
        <f>SUMIFS($AP$15:$AP$206,$B$15:$B$206,$B$275,$D$15:$D$206,$D287,$O$15:$O$206,L$213)+SUMIFS($AQ$15:$AQ$206,$B$15:$B$206,$B$275,$D$15:$D$206,$D287,$W$15:$W$206,L$213)</f>
        <v>0</v>
      </c>
      <c r="M287">
        <f>SUMIFS($AP$15:$AP$206,$B$15:$B$206,$B$275,$D$15:$D$206,$D287,$O$15:$O$206,M$213)+SUMIFS($AQ$15:$AQ$206,$B$15:$B$206,$B$275,$D$15:$D$206,$D287,$W$15:$W$206,M$213)</f>
        <v>0</v>
      </c>
      <c r="N287">
        <f>SUMIFS($AP$15:$AP$206,$B$15:$B$206,$B$275,$D$15:$D$206,$D287,$O$15:$O$206,N$213)+SUMIFS($AQ$15:$AQ$206,$B$15:$B$206,$B$275,$D$15:$D$206,$D287,$W$15:$W$206,N$213)</f>
        <v>0</v>
      </c>
      <c r="O287">
        <f>SUMIFS($AP$15:$AP$206,$B$15:$B$206,$B$275,$D$15:$D$206,$D287,$O$15:$O$206,O$213)+SUMIFS($AQ$15:$AQ$206,$B$15:$B$206,$B$275,$D$15:$D$206,$D287,$W$15:$W$206,O$213)</f>
        <v>0</v>
      </c>
      <c r="P287">
        <f>SUMIFS($AP$15:$AP$206,$B$15:$B$206,$B$275,$D$15:$D$206,$D287,$O$15:$O$206,P$213)+SUMIFS($AQ$15:$AQ$206,$B$15:$B$206,$B$275,$D$15:$D$206,$D287,$W$15:$W$206,P$213)</f>
        <v>150.03869003999998</v>
      </c>
      <c r="Q287">
        <f>SUMIFS($AP$15:$AP$206,$B$15:$B$206,$B$275,$D$15:$D$206,$D287,$O$15:$O$206,Q$213)+SUMIFS($AQ$15:$AQ$206,$B$15:$B$206,$B$275,$D$15:$D$206,$D287,$W$15:$W$206,Q$213)</f>
        <v>0</v>
      </c>
      <c r="R287">
        <f>SUMIFS($AP$15:$AP$206,$B$15:$B$206,$B$275,$D$15:$D$206,$D287,$O$15:$O$206,R$213)+SUMIFS($AQ$15:$AQ$206,$B$15:$B$206,$B$275,$D$15:$D$206,$D287,$W$15:$W$206,R$213)</f>
        <v>0</v>
      </c>
      <c r="S287">
        <f>SUMIFS($AP$15:$AP$206,$B$15:$B$206,$B$275,$D$15:$D$206,$D287,$O$15:$O$206,S$213)+SUMIFS($AQ$15:$AQ$206,$B$15:$B$206,$B$275,$D$15:$D$206,$D287,$W$15:$W$206,S$213)</f>
        <v>0</v>
      </c>
      <c r="T287">
        <f>SUM(H287:R287)</f>
        <v>187.31277323999998</v>
      </c>
      <c r="V287">
        <f>IF(F287&gt;0,G287/F287,0)</f>
        <v>14.6218487394958</v>
      </c>
      <c r="W287">
        <f>IF(F287&gt;0,T287/F287,0)</f>
        <v>349.79042621848737</v>
      </c>
    </row>
    <row r="288">
      <c r="D288" t="str">
        <v>K178-1</v>
      </c>
      <c r="F288">
        <f>SUMIFS($AO$15:$AO$206,$B$15:$B$206,$B$275,$D$15:$D$206,$D288)</f>
        <v>2.448</v>
      </c>
      <c r="G288">
        <f>SUMIFS($AT$15:$AT$206,$B$15:$B$206,$B$275,$D$15:$D$206,$D288)</f>
        <v>34.92</v>
      </c>
      <c r="H288">
        <f>SUMIFS($AR$15:$AR$206,$B$15:$B$206,$B$275,$D$15:$D$206,$D288,$AD$15:$AD$206,H$213)+SUMIFS($AS$15:$AS$206,$B$15:$B$206,$B$275,$D$15:$D$206,$D288,$AI$15:$AI$206,H$213)</f>
        <v>163.9317888</v>
      </c>
      <c r="I288">
        <f>SUMIFS($AR$15:$AR$206,$B$15:$B$206,$B$275,$D$15:$D$206,$D288,$AD$15:$AD$206,I$213)+SUMIFS($AS$15:$AS$206,$B$15:$B$206,$B$275,$D$15:$D$206,$D288,$AI$15:$AI$206,I$213)</f>
        <v>0</v>
      </c>
      <c r="J288">
        <f>SUMIFS($AR$15:$AR$206,$B$15:$B$206,$B$275,$D$15:$D$206,$D288,$AD$15:$AD$206,J$213)+SUMIFS($AS$15:$AS$206,$B$15:$B$206,$B$275,$D$15:$D$206,$D288,$AI$15:$AI$206,J$213)</f>
        <v>0</v>
      </c>
      <c r="K288">
        <f>SUMIFS($AR$15:$AR$206,$B$15:$B$206,$B$275,$D$15:$D$206,$D288,$AD$15:$AD$206,K$213)+SUMIFS($AS$15:$AS$206,$B$15:$B$206,$B$275,$D$15:$D$206,$D288,$AI$15:$AI$206,K$213)</f>
        <v>0</v>
      </c>
      <c r="L288">
        <f>SUMIFS($AP$15:$AP$206,$B$15:$B$206,$B$275,$D$15:$D$206,$D288,$O$15:$O$206,L$213)+SUMIFS($AQ$15:$AQ$206,$B$15:$B$206,$B$275,$D$15:$D$206,$D288,$W$15:$W$206,L$213)</f>
        <v>0</v>
      </c>
      <c r="M288">
        <f>SUMIFS($AP$15:$AP$206,$B$15:$B$206,$B$275,$D$15:$D$206,$D288,$O$15:$O$206,M$213)+SUMIFS($AQ$15:$AQ$206,$B$15:$B$206,$B$275,$D$15:$D$206,$D288,$W$15:$W$206,M$213)</f>
        <v>0</v>
      </c>
      <c r="N288">
        <f>SUMIFS($AP$15:$AP$206,$B$15:$B$206,$B$275,$D$15:$D$206,$D288,$O$15:$O$206,N$213)+SUMIFS($AQ$15:$AQ$206,$B$15:$B$206,$B$275,$D$15:$D$206,$D288,$W$15:$W$206,N$213)</f>
        <v>0</v>
      </c>
      <c r="O288">
        <f>SUMIFS($AP$15:$AP$206,$B$15:$B$206,$B$275,$D$15:$D$206,$D288,$O$15:$O$206,O$213)+SUMIFS($AQ$15:$AQ$206,$B$15:$B$206,$B$275,$D$15:$D$206,$D288,$W$15:$W$206,O$213)</f>
        <v>278.2752768</v>
      </c>
      <c r="P288">
        <f>SUMIFS($AP$15:$AP$206,$B$15:$B$206,$B$275,$D$15:$D$206,$D288,$O$15:$O$206,P$213)+SUMIFS($AQ$15:$AQ$206,$B$15:$B$206,$B$275,$D$15:$D$206,$D288,$W$15:$W$206,P$213)</f>
        <v>0</v>
      </c>
      <c r="Q288">
        <f>SUMIFS($AP$15:$AP$206,$B$15:$B$206,$B$275,$D$15:$D$206,$D288,$O$15:$O$206,Q$213)+SUMIFS($AQ$15:$AQ$206,$B$15:$B$206,$B$275,$D$15:$D$206,$D288,$W$15:$W$206,Q$213)</f>
        <v>0</v>
      </c>
      <c r="R288">
        <f>SUMIFS($AP$15:$AP$206,$B$15:$B$206,$B$275,$D$15:$D$206,$D288,$O$15:$O$206,R$213)+SUMIFS($AQ$15:$AQ$206,$B$15:$B$206,$B$275,$D$15:$D$206,$D288,$W$15:$W$206,R$213)</f>
        <v>0</v>
      </c>
      <c r="S288">
        <f>SUMIFS($AP$15:$AP$206,$B$15:$B$206,$B$275,$D$15:$D$206,$D288,$O$15:$O$206,S$213)+SUMIFS($AQ$15:$AQ$206,$B$15:$B$206,$B$275,$D$15:$D$206,$D288,$W$15:$W$206,S$213)</f>
        <v>0</v>
      </c>
      <c r="T288">
        <f>SUM(H288:R288)</f>
        <v>442.20706559999996</v>
      </c>
      <c r="V288">
        <f>IF(F288&gt;0,G288/F288,0)</f>
        <v>14.264705882352942</v>
      </c>
      <c r="W288">
        <f>IF(F288&gt;0,T288/F288,0)</f>
        <v>180.64014117647056</v>
      </c>
    </row>
    <row r="289">
      <c r="D289" t="str">
        <v>K178-2</v>
      </c>
      <c r="F289">
        <f>SUMIFS($AO$15:$AO$206,$B$15:$B$206,$B$275,$D$15:$D$206,$D289)</f>
        <v>0.612</v>
      </c>
      <c r="G289">
        <f>SUMIFS($AT$15:$AT$206,$B$15:$B$206,$B$275,$D$15:$D$206,$D289)</f>
        <v>8.73</v>
      </c>
      <c r="H289">
        <f>SUMIFS($AR$15:$AR$206,$B$15:$B$206,$B$275,$D$15:$D$206,$D289,$AD$15:$AD$206,H$213)+SUMIFS($AS$15:$AS$206,$B$15:$B$206,$B$275,$D$15:$D$206,$D289,$AI$15:$AI$206,H$213)</f>
        <v>40.9829472</v>
      </c>
      <c r="I289">
        <f>SUMIFS($AR$15:$AR$206,$B$15:$B$206,$B$275,$D$15:$D$206,$D289,$AD$15:$AD$206,I$213)+SUMIFS($AS$15:$AS$206,$B$15:$B$206,$B$275,$D$15:$D$206,$D289,$AI$15:$AI$206,I$213)</f>
        <v>0</v>
      </c>
      <c r="J289">
        <f>SUMIFS($AR$15:$AR$206,$B$15:$B$206,$B$275,$D$15:$D$206,$D289,$AD$15:$AD$206,J$213)+SUMIFS($AS$15:$AS$206,$B$15:$B$206,$B$275,$D$15:$D$206,$D289,$AI$15:$AI$206,J$213)</f>
        <v>0</v>
      </c>
      <c r="K289">
        <f>SUMIFS($AR$15:$AR$206,$B$15:$B$206,$B$275,$D$15:$D$206,$D289,$AD$15:$AD$206,K$213)+SUMIFS($AS$15:$AS$206,$B$15:$B$206,$B$275,$D$15:$D$206,$D289,$AI$15:$AI$206,K$213)</f>
        <v>0</v>
      </c>
      <c r="L289">
        <f>SUMIFS($AP$15:$AP$206,$B$15:$B$206,$B$275,$D$15:$D$206,$D289,$O$15:$O$206,L$213)+SUMIFS($AQ$15:$AQ$206,$B$15:$B$206,$B$275,$D$15:$D$206,$D289,$W$15:$W$206,L$213)</f>
        <v>0</v>
      </c>
      <c r="M289">
        <f>SUMIFS($AP$15:$AP$206,$B$15:$B$206,$B$275,$D$15:$D$206,$D289,$O$15:$O$206,M$213)+SUMIFS($AQ$15:$AQ$206,$B$15:$B$206,$B$275,$D$15:$D$206,$D289,$W$15:$W$206,M$213)</f>
        <v>0</v>
      </c>
      <c r="N289">
        <f>SUMIFS($AP$15:$AP$206,$B$15:$B$206,$B$275,$D$15:$D$206,$D289,$O$15:$O$206,N$213)+SUMIFS($AQ$15:$AQ$206,$B$15:$B$206,$B$275,$D$15:$D$206,$D289,$W$15:$W$206,N$213)</f>
        <v>0</v>
      </c>
      <c r="O289">
        <f>SUMIFS($AP$15:$AP$206,$B$15:$B$206,$B$275,$D$15:$D$206,$D289,$O$15:$O$206,O$213)+SUMIFS($AQ$15:$AQ$206,$B$15:$B$206,$B$275,$D$15:$D$206,$D289,$W$15:$W$206,O$213)</f>
        <v>0</v>
      </c>
      <c r="P289">
        <f>SUMIFS($AP$15:$AP$206,$B$15:$B$206,$B$275,$D$15:$D$206,$D289,$O$15:$O$206,P$213)+SUMIFS($AQ$15:$AQ$206,$B$15:$B$206,$B$275,$D$15:$D$206,$D289,$W$15:$W$206,P$213)</f>
        <v>177.28850789999998</v>
      </c>
      <c r="Q289">
        <f>SUMIFS($AP$15:$AP$206,$B$15:$B$206,$B$275,$D$15:$D$206,$D289,$O$15:$O$206,Q$213)+SUMIFS($AQ$15:$AQ$206,$B$15:$B$206,$B$275,$D$15:$D$206,$D289,$W$15:$W$206,Q$213)</f>
        <v>0</v>
      </c>
      <c r="R289">
        <f>SUMIFS($AP$15:$AP$206,$B$15:$B$206,$B$275,$D$15:$D$206,$D289,$O$15:$O$206,R$213)+SUMIFS($AQ$15:$AQ$206,$B$15:$B$206,$B$275,$D$15:$D$206,$D289,$W$15:$W$206,R$213)</f>
        <v>0</v>
      </c>
      <c r="S289">
        <f>SUMIFS($AP$15:$AP$206,$B$15:$B$206,$B$275,$D$15:$D$206,$D289,$O$15:$O$206,S$213)+SUMIFS($AQ$15:$AQ$206,$B$15:$B$206,$B$275,$D$15:$D$206,$D289,$W$15:$W$206,S$213)</f>
        <v>0</v>
      </c>
      <c r="T289">
        <f>SUM(H289:R289)</f>
        <v>218.27145509999997</v>
      </c>
      <c r="V289">
        <f>IF(F289&gt;0,G289/F289,0)</f>
        <v>14.264705882352942</v>
      </c>
      <c r="W289">
        <f>IF(F289&gt;0,T289/F289,0)</f>
        <v>356.65270441176466</v>
      </c>
    </row>
    <row r="290">
      <c r="D290" t="str">
        <v>K179-1</v>
      </c>
      <c r="F290">
        <f>SUMIFS($AO$15:$AO$206,$B$15:$B$206,$B$275,$D$15:$D$206,$D290)</f>
        <v>0</v>
      </c>
      <c r="G290">
        <f>SUMIFS($AT$15:$AT$206,$B$15:$B$206,$B$275,$D$15:$D$206,$D290)</f>
        <v>0</v>
      </c>
      <c r="H290">
        <f>SUMIFS($AR$15:$AR$206,$B$15:$B$206,$B$275,$D$15:$D$206,$D290,$AD$15:$AD$206,H$213)+SUMIFS($AS$15:$AS$206,$B$15:$B$206,$B$275,$D$15:$D$206,$D290,$AI$15:$AI$206,H$213)</f>
        <v>0</v>
      </c>
      <c r="I290">
        <f>SUMIFS($AR$15:$AR$206,$B$15:$B$206,$B$275,$D$15:$D$206,$D290,$AD$15:$AD$206,I$213)+SUMIFS($AS$15:$AS$206,$B$15:$B$206,$B$275,$D$15:$D$206,$D290,$AI$15:$AI$206,I$213)</f>
        <v>0</v>
      </c>
      <c r="J290">
        <f>SUMIFS($AR$15:$AR$206,$B$15:$B$206,$B$275,$D$15:$D$206,$D290,$AD$15:$AD$206,J$213)+SUMIFS($AS$15:$AS$206,$B$15:$B$206,$B$275,$D$15:$D$206,$D290,$AI$15:$AI$206,J$213)</f>
        <v>0</v>
      </c>
      <c r="K290">
        <f>SUMIFS($AR$15:$AR$206,$B$15:$B$206,$B$275,$D$15:$D$206,$D290,$AD$15:$AD$206,K$213)+SUMIFS($AS$15:$AS$206,$B$15:$B$206,$B$275,$D$15:$D$206,$D290,$AI$15:$AI$206,K$213)</f>
        <v>0</v>
      </c>
      <c r="L290">
        <f>SUMIFS($AP$15:$AP$206,$B$15:$B$206,$B$275,$D$15:$D$206,$D290,$O$15:$O$206,L$213)+SUMIFS($AQ$15:$AQ$206,$B$15:$B$206,$B$275,$D$15:$D$206,$D290,$W$15:$W$206,L$213)</f>
        <v>0</v>
      </c>
      <c r="M290">
        <f>SUMIFS($AP$15:$AP$206,$B$15:$B$206,$B$275,$D$15:$D$206,$D290,$O$15:$O$206,M$213)+SUMIFS($AQ$15:$AQ$206,$B$15:$B$206,$B$275,$D$15:$D$206,$D290,$W$15:$W$206,M$213)</f>
        <v>0</v>
      </c>
      <c r="N290">
        <f>SUMIFS($AP$15:$AP$206,$B$15:$B$206,$B$275,$D$15:$D$206,$D290,$O$15:$O$206,N$213)+SUMIFS($AQ$15:$AQ$206,$B$15:$B$206,$B$275,$D$15:$D$206,$D290,$W$15:$W$206,N$213)</f>
        <v>0</v>
      </c>
      <c r="O290">
        <f>SUMIFS($AP$15:$AP$206,$B$15:$B$206,$B$275,$D$15:$D$206,$D290,$O$15:$O$206,O$213)+SUMIFS($AQ$15:$AQ$206,$B$15:$B$206,$B$275,$D$15:$D$206,$D290,$W$15:$W$206,O$213)</f>
        <v>0</v>
      </c>
      <c r="P290">
        <f>SUMIFS($AP$15:$AP$206,$B$15:$B$206,$B$275,$D$15:$D$206,$D290,$O$15:$O$206,P$213)+SUMIFS($AQ$15:$AQ$206,$B$15:$B$206,$B$275,$D$15:$D$206,$D290,$W$15:$W$206,P$213)</f>
        <v>0</v>
      </c>
      <c r="Q290">
        <f>SUMIFS($AP$15:$AP$206,$B$15:$B$206,$B$275,$D$15:$D$206,$D290,$O$15:$O$206,Q$213)+SUMIFS($AQ$15:$AQ$206,$B$15:$B$206,$B$275,$D$15:$D$206,$D290,$W$15:$W$206,Q$213)</f>
        <v>0</v>
      </c>
      <c r="R290">
        <f>SUMIFS($AP$15:$AP$206,$B$15:$B$206,$B$275,$D$15:$D$206,$D290,$O$15:$O$206,R$213)+SUMIFS($AQ$15:$AQ$206,$B$15:$B$206,$B$275,$D$15:$D$206,$D290,$W$15:$W$206,R$213)</f>
        <v>0</v>
      </c>
      <c r="S290">
        <f>SUMIFS($AP$15:$AP$206,$B$15:$B$206,$B$275,$D$15:$D$206,$D290,$O$15:$O$206,S$213)+SUMIFS($AQ$15:$AQ$206,$B$15:$B$206,$B$275,$D$15:$D$206,$D290,$W$15:$W$206,S$213)</f>
        <v>0</v>
      </c>
      <c r="T290">
        <f>SUM(H290:R290)</f>
        <v>0</v>
      </c>
      <c r="V290">
        <f>IF(F290&gt;0,G290/F290,0)</f>
        <v>0</v>
      </c>
      <c r="W290">
        <f>IF(F290&gt;0,T290/F290,0)</f>
        <v>0</v>
      </c>
    </row>
    <row r="291">
      <c r="D291" t="str">
        <v>K275-1</v>
      </c>
      <c r="F291">
        <f>SUMIFS($AO$15:$AO$206,$B$15:$B$206,$B$275,$D$15:$D$206,$D291)</f>
        <v>0</v>
      </c>
      <c r="G291">
        <f>SUMIFS($AT$15:$AT$206,$B$15:$B$206,$B$275,$D$15:$D$206,$D291)</f>
        <v>0</v>
      </c>
      <c r="H291">
        <f>SUMIFS($AR$15:$AR$206,$B$15:$B$206,$B$275,$D$15:$D$206,$D291,$AD$15:$AD$206,H$213)+SUMIFS($AS$15:$AS$206,$B$15:$B$206,$B$275,$D$15:$D$206,$D291,$AI$15:$AI$206,H$213)</f>
        <v>0</v>
      </c>
      <c r="I291">
        <f>SUMIFS($AR$15:$AR$206,$B$15:$B$206,$B$275,$D$15:$D$206,$D291,$AD$15:$AD$206,I$213)+SUMIFS($AS$15:$AS$206,$B$15:$B$206,$B$275,$D$15:$D$206,$D291,$AI$15:$AI$206,I$213)</f>
        <v>0</v>
      </c>
      <c r="J291">
        <f>SUMIFS($AR$15:$AR$206,$B$15:$B$206,$B$275,$D$15:$D$206,$D291,$AD$15:$AD$206,J$213)+SUMIFS($AS$15:$AS$206,$B$15:$B$206,$B$275,$D$15:$D$206,$D291,$AI$15:$AI$206,J$213)</f>
        <v>0</v>
      </c>
      <c r="K291">
        <f>SUMIFS($AR$15:$AR$206,$B$15:$B$206,$B$275,$D$15:$D$206,$D291,$AD$15:$AD$206,K$213)+SUMIFS($AS$15:$AS$206,$B$15:$B$206,$B$275,$D$15:$D$206,$D291,$AI$15:$AI$206,K$213)</f>
        <v>0</v>
      </c>
      <c r="L291">
        <f>SUMIFS($AP$15:$AP$206,$B$15:$B$206,$B$275,$D$15:$D$206,$D291,$O$15:$O$206,L$213)+SUMIFS($AQ$15:$AQ$206,$B$15:$B$206,$B$275,$D$15:$D$206,$D291,$W$15:$W$206,L$213)</f>
        <v>0</v>
      </c>
      <c r="M291">
        <f>SUMIFS($AP$15:$AP$206,$B$15:$B$206,$B$275,$D$15:$D$206,$D291,$O$15:$O$206,M$213)+SUMIFS($AQ$15:$AQ$206,$B$15:$B$206,$B$275,$D$15:$D$206,$D291,$W$15:$W$206,M$213)</f>
        <v>0</v>
      </c>
      <c r="N291">
        <f>SUMIFS($AP$15:$AP$206,$B$15:$B$206,$B$275,$D$15:$D$206,$D291,$O$15:$O$206,N$213)+SUMIFS($AQ$15:$AQ$206,$B$15:$B$206,$B$275,$D$15:$D$206,$D291,$W$15:$W$206,N$213)</f>
        <v>0</v>
      </c>
      <c r="O291">
        <f>SUMIFS($AP$15:$AP$206,$B$15:$B$206,$B$275,$D$15:$D$206,$D291,$O$15:$O$206,O$213)+SUMIFS($AQ$15:$AQ$206,$B$15:$B$206,$B$275,$D$15:$D$206,$D291,$W$15:$W$206,O$213)</f>
        <v>0</v>
      </c>
      <c r="P291">
        <f>SUMIFS($AP$15:$AP$206,$B$15:$B$206,$B$275,$D$15:$D$206,$D291,$O$15:$O$206,P$213)+SUMIFS($AQ$15:$AQ$206,$B$15:$B$206,$B$275,$D$15:$D$206,$D291,$W$15:$W$206,P$213)</f>
        <v>0</v>
      </c>
      <c r="Q291">
        <f>SUMIFS($AP$15:$AP$206,$B$15:$B$206,$B$275,$D$15:$D$206,$D291,$O$15:$O$206,Q$213)+SUMIFS($AQ$15:$AQ$206,$B$15:$B$206,$B$275,$D$15:$D$206,$D291,$W$15:$W$206,Q$213)</f>
        <v>0</v>
      </c>
      <c r="R291">
        <f>SUMIFS($AP$15:$AP$206,$B$15:$B$206,$B$275,$D$15:$D$206,$D291,$O$15:$O$206,R$213)+SUMIFS($AQ$15:$AQ$206,$B$15:$B$206,$B$275,$D$15:$D$206,$D291,$W$15:$W$206,R$213)</f>
        <v>0</v>
      </c>
      <c r="S291">
        <f>SUMIFS($AP$15:$AP$206,$B$15:$B$206,$B$275,$D$15:$D$206,$D291,$O$15:$O$206,S$213)+SUMIFS($AQ$15:$AQ$206,$B$15:$B$206,$B$275,$D$15:$D$206,$D291,$W$15:$W$206,S$213)</f>
        <v>0</v>
      </c>
      <c r="T291">
        <f>SUM(H291:R291)</f>
        <v>0</v>
      </c>
      <c r="V291">
        <f>IF(F291&gt;0,G291/F291,0)</f>
        <v>0</v>
      </c>
      <c r="W291">
        <f>IF(F291&gt;0,T291/F291,0)</f>
        <v>0</v>
      </c>
    </row>
    <row r="292">
      <c r="D292" t="str">
        <v>K278-1</v>
      </c>
      <c r="F292">
        <f>SUMIFS($AO$15:$AO$206,$B$15:$B$206,$B$275,$D$15:$D$206,$D292)</f>
        <v>0.972</v>
      </c>
      <c r="G292">
        <f>SUMIFS($AT$15:$AT$206,$B$15:$B$206,$B$275,$D$15:$D$206,$D292)</f>
        <v>9.63</v>
      </c>
      <c r="H292">
        <f>SUMIFS($AR$15:$AR$206,$B$15:$B$206,$B$275,$D$15:$D$206,$D292,$AD$15:$AD$206,H$213)+SUMIFS($AS$15:$AS$206,$B$15:$B$206,$B$275,$D$15:$D$206,$D292,$AI$15:$AI$206,H$213)</f>
        <v>0</v>
      </c>
      <c r="I292">
        <f>SUMIFS($AR$15:$AR$206,$B$15:$B$206,$B$275,$D$15:$D$206,$D292,$AD$15:$AD$206,I$213)+SUMIFS($AS$15:$AS$206,$B$15:$B$206,$B$275,$D$15:$D$206,$D292,$AI$15:$AI$206,I$213)</f>
        <v>72.72850500000001</v>
      </c>
      <c r="J292">
        <f>SUMIFS($AR$15:$AR$206,$B$15:$B$206,$B$275,$D$15:$D$206,$D292,$AD$15:$AD$206,J$213)+SUMIFS($AS$15:$AS$206,$B$15:$B$206,$B$275,$D$15:$D$206,$D292,$AI$15:$AI$206,J$213)</f>
        <v>0</v>
      </c>
      <c r="K292">
        <f>SUMIFS($AR$15:$AR$206,$B$15:$B$206,$B$275,$D$15:$D$206,$D292,$AD$15:$AD$206,K$213)+SUMIFS($AS$15:$AS$206,$B$15:$B$206,$B$275,$D$15:$D$206,$D292,$AI$15:$AI$206,K$213)</f>
        <v>0</v>
      </c>
      <c r="L292">
        <f>SUMIFS($AP$15:$AP$206,$B$15:$B$206,$B$275,$D$15:$D$206,$D292,$O$15:$O$206,L$213)+SUMIFS($AQ$15:$AQ$206,$B$15:$B$206,$B$275,$D$15:$D$206,$D292,$W$15:$W$206,L$213)</f>
        <v>0</v>
      </c>
      <c r="M292">
        <f>SUMIFS($AP$15:$AP$206,$B$15:$B$206,$B$275,$D$15:$D$206,$D292,$O$15:$O$206,M$213)+SUMIFS($AQ$15:$AQ$206,$B$15:$B$206,$B$275,$D$15:$D$206,$D292,$W$15:$W$206,M$213)</f>
        <v>0</v>
      </c>
      <c r="N292">
        <f>SUMIFS($AP$15:$AP$206,$B$15:$B$206,$B$275,$D$15:$D$206,$D292,$O$15:$O$206,N$213)+SUMIFS($AQ$15:$AQ$206,$B$15:$B$206,$B$275,$D$15:$D$206,$D292,$W$15:$W$206,N$213)</f>
        <v>0</v>
      </c>
      <c r="O292">
        <f>SUMIFS($AP$15:$AP$206,$B$15:$B$206,$B$275,$D$15:$D$206,$D292,$O$15:$O$206,O$213)+SUMIFS($AQ$15:$AQ$206,$B$15:$B$206,$B$275,$D$15:$D$206,$D292,$W$15:$W$206,O$213)</f>
        <v>0</v>
      </c>
      <c r="P292">
        <f>SUMIFS($AP$15:$AP$206,$B$15:$B$206,$B$275,$D$15:$D$206,$D292,$O$15:$O$206,P$213)+SUMIFS($AQ$15:$AQ$206,$B$15:$B$206,$B$275,$D$15:$D$206,$D292,$W$15:$W$206,P$213)</f>
        <v>83.82368016000001</v>
      </c>
      <c r="Q292">
        <f>SUMIFS($AP$15:$AP$206,$B$15:$B$206,$B$275,$D$15:$D$206,$D292,$O$15:$O$206,Q$213)+SUMIFS($AQ$15:$AQ$206,$B$15:$B$206,$B$275,$D$15:$D$206,$D292,$W$15:$W$206,Q$213)</f>
        <v>56.621727359999994</v>
      </c>
      <c r="R292">
        <f>SUMIFS($AP$15:$AP$206,$B$15:$B$206,$B$275,$D$15:$D$206,$D292,$O$15:$O$206,R$213)+SUMIFS($AQ$15:$AQ$206,$B$15:$B$206,$B$275,$D$15:$D$206,$D292,$W$15:$W$206,R$213)</f>
        <v>0</v>
      </c>
      <c r="S292">
        <f>SUMIFS($AP$15:$AP$206,$B$15:$B$206,$B$275,$D$15:$D$206,$D292,$O$15:$O$206,S$213)+SUMIFS($AQ$15:$AQ$206,$B$15:$B$206,$B$275,$D$15:$D$206,$D292,$W$15:$W$206,S$213)</f>
        <v>0</v>
      </c>
      <c r="T292">
        <f>SUM(H292:R292)</f>
        <v>213.17391252000002</v>
      </c>
      <c r="V292">
        <f>IF(F292&gt;0,G292/F292,0)</f>
        <v>9.907407407407408</v>
      </c>
      <c r="W292">
        <f>IF(F292&gt;0,T292/F292,0)</f>
        <v>219.31472481481484</v>
      </c>
    </row>
    <row r="293">
      <c r="D293" t="str">
        <v>K36-1</v>
      </c>
      <c r="F293">
        <f>SUMIFS($AO$15:$AO$206,$B$15:$B$206,$B$275,$D$15:$D$206,$D293)</f>
        <v>0.81</v>
      </c>
      <c r="G293">
        <f>SUMIFS($AT$15:$AT$206,$B$15:$B$206,$B$275,$D$15:$D$206,$D293)</f>
        <v>8.1</v>
      </c>
      <c r="H293">
        <f>SUMIFS($AR$15:$AR$206,$B$15:$B$206,$B$275,$D$15:$D$206,$D293,$AD$15:$AD$206,H$213)+SUMIFS($AS$15:$AS$206,$B$15:$B$206,$B$275,$D$15:$D$206,$D293,$AI$15:$AI$206,H$213)</f>
        <v>0</v>
      </c>
      <c r="I293">
        <f>SUMIFS($AR$15:$AR$206,$B$15:$B$206,$B$275,$D$15:$D$206,$D293,$AD$15:$AD$206,I$213)+SUMIFS($AS$15:$AS$206,$B$15:$B$206,$B$275,$D$15:$D$206,$D293,$AI$15:$AI$206,I$213)</f>
        <v>63.746100000000006</v>
      </c>
      <c r="J293">
        <f>SUMIFS($AR$15:$AR$206,$B$15:$B$206,$B$275,$D$15:$D$206,$D293,$AD$15:$AD$206,J$213)+SUMIFS($AS$15:$AS$206,$B$15:$B$206,$B$275,$D$15:$D$206,$D293,$AI$15:$AI$206,J$213)</f>
        <v>0</v>
      </c>
      <c r="K293">
        <f>SUMIFS($AR$15:$AR$206,$B$15:$B$206,$B$275,$D$15:$D$206,$D293,$AD$15:$AD$206,K$213)+SUMIFS($AS$15:$AS$206,$B$15:$B$206,$B$275,$D$15:$D$206,$D293,$AI$15:$AI$206,K$213)</f>
        <v>0</v>
      </c>
      <c r="L293">
        <f>SUMIFS($AP$15:$AP$206,$B$15:$B$206,$B$275,$D$15:$D$206,$D293,$O$15:$O$206,L$213)+SUMIFS($AQ$15:$AQ$206,$B$15:$B$206,$B$275,$D$15:$D$206,$D293,$W$15:$W$206,L$213)</f>
        <v>0</v>
      </c>
      <c r="M293">
        <f>SUMIFS($AP$15:$AP$206,$B$15:$B$206,$B$275,$D$15:$D$206,$D293,$O$15:$O$206,M$213)+SUMIFS($AQ$15:$AQ$206,$B$15:$B$206,$B$275,$D$15:$D$206,$D293,$W$15:$W$206,M$213)</f>
        <v>0</v>
      </c>
      <c r="N293">
        <f>SUMIFS($AP$15:$AP$206,$B$15:$B$206,$B$275,$D$15:$D$206,$D293,$O$15:$O$206,N$213)+SUMIFS($AQ$15:$AQ$206,$B$15:$B$206,$B$275,$D$15:$D$206,$D293,$W$15:$W$206,N$213)</f>
        <v>0</v>
      </c>
      <c r="O293">
        <f>SUMIFS($AP$15:$AP$206,$B$15:$B$206,$B$275,$D$15:$D$206,$D293,$O$15:$O$206,O$213)+SUMIFS($AQ$15:$AQ$206,$B$15:$B$206,$B$275,$D$15:$D$206,$D293,$W$15:$W$206,O$213)</f>
        <v>0</v>
      </c>
      <c r="P293">
        <f>SUMIFS($AP$15:$AP$206,$B$15:$B$206,$B$275,$D$15:$D$206,$D293,$O$15:$O$206,P$213)+SUMIFS($AQ$15:$AQ$206,$B$15:$B$206,$B$275,$D$15:$D$206,$D293,$W$15:$W$206,P$213)</f>
        <v>0</v>
      </c>
      <c r="Q293">
        <f>SUMIFS($AP$15:$AP$206,$B$15:$B$206,$B$275,$D$15:$D$206,$D293,$O$15:$O$206,Q$213)+SUMIFS($AQ$15:$AQ$206,$B$15:$B$206,$B$275,$D$15:$D$206,$D293,$W$15:$W$206,Q$213)</f>
        <v>258.999048</v>
      </c>
      <c r="R293">
        <f>SUMIFS($AP$15:$AP$206,$B$15:$B$206,$B$275,$D$15:$D$206,$D293,$O$15:$O$206,R$213)+SUMIFS($AQ$15:$AQ$206,$B$15:$B$206,$B$275,$D$15:$D$206,$D293,$W$15:$W$206,R$213)</f>
        <v>0</v>
      </c>
      <c r="S293">
        <f>SUMIFS($AP$15:$AP$206,$B$15:$B$206,$B$275,$D$15:$D$206,$D293,$O$15:$O$206,S$213)+SUMIFS($AQ$15:$AQ$206,$B$15:$B$206,$B$275,$D$15:$D$206,$D293,$W$15:$W$206,S$213)</f>
        <v>0</v>
      </c>
      <c r="T293">
        <f>SUM(H293:R293)</f>
        <v>322.74514800000003</v>
      </c>
      <c r="V293">
        <f>IF(F293&gt;0,G293/F293,0)</f>
        <v>9.999999999999998</v>
      </c>
      <c r="W293">
        <f>IF(F293&gt;0,T293/F293,0)</f>
        <v>398.4508</v>
      </c>
    </row>
    <row r="294">
      <c r="D294" t="str">
        <v>K48-1</v>
      </c>
      <c r="F294">
        <f>SUMIFS($AO$15:$AO$206,$B$15:$B$206,$B$275,$D$15:$D$206,$D294)</f>
        <v>0</v>
      </c>
      <c r="G294">
        <f>SUMIFS($AT$15:$AT$206,$B$15:$B$206,$B$275,$D$15:$D$206,$D294)</f>
        <v>0</v>
      </c>
      <c r="H294">
        <f>SUMIFS($AR$15:$AR$206,$B$15:$B$206,$B$275,$D$15:$D$206,$D294,$AD$15:$AD$206,H$213)+SUMIFS($AS$15:$AS$206,$B$15:$B$206,$B$275,$D$15:$D$206,$D294,$AI$15:$AI$206,H$213)</f>
        <v>0</v>
      </c>
      <c r="I294">
        <f>SUMIFS($AR$15:$AR$206,$B$15:$B$206,$B$275,$D$15:$D$206,$D294,$AD$15:$AD$206,I$213)+SUMIFS($AS$15:$AS$206,$B$15:$B$206,$B$275,$D$15:$D$206,$D294,$AI$15:$AI$206,I$213)</f>
        <v>0</v>
      </c>
      <c r="J294">
        <f>SUMIFS($AR$15:$AR$206,$B$15:$B$206,$B$275,$D$15:$D$206,$D294,$AD$15:$AD$206,J$213)+SUMIFS($AS$15:$AS$206,$B$15:$B$206,$B$275,$D$15:$D$206,$D294,$AI$15:$AI$206,J$213)</f>
        <v>0</v>
      </c>
      <c r="K294">
        <f>SUMIFS($AR$15:$AR$206,$B$15:$B$206,$B$275,$D$15:$D$206,$D294,$AD$15:$AD$206,K$213)+SUMIFS($AS$15:$AS$206,$B$15:$B$206,$B$275,$D$15:$D$206,$D294,$AI$15:$AI$206,K$213)</f>
        <v>0</v>
      </c>
      <c r="L294">
        <f>SUMIFS($AP$15:$AP$206,$B$15:$B$206,$B$275,$D$15:$D$206,$D294,$O$15:$O$206,L$213)+SUMIFS($AQ$15:$AQ$206,$B$15:$B$206,$B$275,$D$15:$D$206,$D294,$W$15:$W$206,L$213)</f>
        <v>0</v>
      </c>
      <c r="M294">
        <f>SUMIFS($AP$15:$AP$206,$B$15:$B$206,$B$275,$D$15:$D$206,$D294,$O$15:$O$206,M$213)+SUMIFS($AQ$15:$AQ$206,$B$15:$B$206,$B$275,$D$15:$D$206,$D294,$W$15:$W$206,M$213)</f>
        <v>0</v>
      </c>
      <c r="N294">
        <f>SUMIFS($AP$15:$AP$206,$B$15:$B$206,$B$275,$D$15:$D$206,$D294,$O$15:$O$206,N$213)+SUMIFS($AQ$15:$AQ$206,$B$15:$B$206,$B$275,$D$15:$D$206,$D294,$W$15:$W$206,N$213)</f>
        <v>0</v>
      </c>
      <c r="O294">
        <f>SUMIFS($AP$15:$AP$206,$B$15:$B$206,$B$275,$D$15:$D$206,$D294,$O$15:$O$206,O$213)+SUMIFS($AQ$15:$AQ$206,$B$15:$B$206,$B$275,$D$15:$D$206,$D294,$W$15:$W$206,O$213)</f>
        <v>0</v>
      </c>
      <c r="P294">
        <f>SUMIFS($AP$15:$AP$206,$B$15:$B$206,$B$275,$D$15:$D$206,$D294,$O$15:$O$206,P$213)+SUMIFS($AQ$15:$AQ$206,$B$15:$B$206,$B$275,$D$15:$D$206,$D294,$W$15:$W$206,P$213)</f>
        <v>0</v>
      </c>
      <c r="Q294">
        <f>SUMIFS($AP$15:$AP$206,$B$15:$B$206,$B$275,$D$15:$D$206,$D294,$O$15:$O$206,Q$213)+SUMIFS($AQ$15:$AQ$206,$B$15:$B$206,$B$275,$D$15:$D$206,$D294,$W$15:$W$206,Q$213)</f>
        <v>0</v>
      </c>
      <c r="R294">
        <f>SUMIFS($AP$15:$AP$206,$B$15:$B$206,$B$275,$D$15:$D$206,$D294,$O$15:$O$206,R$213)+SUMIFS($AQ$15:$AQ$206,$B$15:$B$206,$B$275,$D$15:$D$206,$D294,$W$15:$W$206,R$213)</f>
        <v>0</v>
      </c>
      <c r="S294">
        <f>SUMIFS($AP$15:$AP$206,$B$15:$B$206,$B$275,$D$15:$D$206,$D294,$O$15:$O$206,S$213)+SUMIFS($AQ$15:$AQ$206,$B$15:$B$206,$B$275,$D$15:$D$206,$D294,$W$15:$W$206,S$213)</f>
        <v>0</v>
      </c>
      <c r="T294">
        <f>SUM(H294:R294)</f>
        <v>0</v>
      </c>
      <c r="V294">
        <f>IF(F294&gt;0,G294/F294,0)</f>
        <v>0</v>
      </c>
      <c r="W294">
        <f>IF(F294&gt;0,T294/F294,0)</f>
        <v>0</v>
      </c>
    </row>
    <row r="295">
      <c r="D295" t="str">
        <v>K55-1</v>
      </c>
      <c r="F295">
        <f>SUMIFS($AO$15:$AO$206,$B$15:$B$206,$B$275,$D$15:$D$206,$D295)</f>
        <v>0</v>
      </c>
      <c r="G295">
        <f>SUMIFS($AT$15:$AT$206,$B$15:$B$206,$B$275,$D$15:$D$206,$D295)</f>
        <v>0</v>
      </c>
      <c r="H295">
        <f>SUMIFS($AR$15:$AR$206,$B$15:$B$206,$B$275,$D$15:$D$206,$D295,$AD$15:$AD$206,H$213)+SUMIFS($AS$15:$AS$206,$B$15:$B$206,$B$275,$D$15:$D$206,$D295,$AI$15:$AI$206,H$213)</f>
        <v>0</v>
      </c>
      <c r="I295">
        <f>SUMIFS($AR$15:$AR$206,$B$15:$B$206,$B$275,$D$15:$D$206,$D295,$AD$15:$AD$206,I$213)+SUMIFS($AS$15:$AS$206,$B$15:$B$206,$B$275,$D$15:$D$206,$D295,$AI$15:$AI$206,I$213)</f>
        <v>0</v>
      </c>
      <c r="J295">
        <f>SUMIFS($AR$15:$AR$206,$B$15:$B$206,$B$275,$D$15:$D$206,$D295,$AD$15:$AD$206,J$213)+SUMIFS($AS$15:$AS$206,$B$15:$B$206,$B$275,$D$15:$D$206,$D295,$AI$15:$AI$206,J$213)</f>
        <v>0</v>
      </c>
      <c r="K295">
        <f>SUMIFS($AR$15:$AR$206,$B$15:$B$206,$B$275,$D$15:$D$206,$D295,$AD$15:$AD$206,K$213)+SUMIFS($AS$15:$AS$206,$B$15:$B$206,$B$275,$D$15:$D$206,$D295,$AI$15:$AI$206,K$213)</f>
        <v>0</v>
      </c>
      <c r="L295">
        <f>SUMIFS($AP$15:$AP$206,$B$15:$B$206,$B$275,$D$15:$D$206,$D295,$O$15:$O$206,L$213)+SUMIFS($AQ$15:$AQ$206,$B$15:$B$206,$B$275,$D$15:$D$206,$D295,$W$15:$W$206,L$213)</f>
        <v>0</v>
      </c>
      <c r="M295">
        <f>SUMIFS($AP$15:$AP$206,$B$15:$B$206,$B$275,$D$15:$D$206,$D295,$O$15:$O$206,M$213)+SUMIFS($AQ$15:$AQ$206,$B$15:$B$206,$B$275,$D$15:$D$206,$D295,$W$15:$W$206,M$213)</f>
        <v>0</v>
      </c>
      <c r="N295">
        <f>SUMIFS($AP$15:$AP$206,$B$15:$B$206,$B$275,$D$15:$D$206,$D295,$O$15:$O$206,N$213)+SUMIFS($AQ$15:$AQ$206,$B$15:$B$206,$B$275,$D$15:$D$206,$D295,$W$15:$W$206,N$213)</f>
        <v>0</v>
      </c>
      <c r="O295">
        <f>SUMIFS($AP$15:$AP$206,$B$15:$B$206,$B$275,$D$15:$D$206,$D295,$O$15:$O$206,O$213)+SUMIFS($AQ$15:$AQ$206,$B$15:$B$206,$B$275,$D$15:$D$206,$D295,$W$15:$W$206,O$213)</f>
        <v>0</v>
      </c>
      <c r="P295">
        <f>SUMIFS($AP$15:$AP$206,$B$15:$B$206,$B$275,$D$15:$D$206,$D295,$O$15:$O$206,P$213)+SUMIFS($AQ$15:$AQ$206,$B$15:$B$206,$B$275,$D$15:$D$206,$D295,$W$15:$W$206,P$213)</f>
        <v>0</v>
      </c>
      <c r="Q295">
        <f>SUMIFS($AP$15:$AP$206,$B$15:$B$206,$B$275,$D$15:$D$206,$D295,$O$15:$O$206,Q$213)+SUMIFS($AQ$15:$AQ$206,$B$15:$B$206,$B$275,$D$15:$D$206,$D295,$W$15:$W$206,Q$213)</f>
        <v>0</v>
      </c>
      <c r="R295">
        <f>SUMIFS($AP$15:$AP$206,$B$15:$B$206,$B$275,$D$15:$D$206,$D295,$O$15:$O$206,R$213)+SUMIFS($AQ$15:$AQ$206,$B$15:$B$206,$B$275,$D$15:$D$206,$D295,$W$15:$W$206,R$213)</f>
        <v>0</v>
      </c>
      <c r="S295">
        <f>SUMIFS($AP$15:$AP$206,$B$15:$B$206,$B$275,$D$15:$D$206,$D295,$O$15:$O$206,S$213)+SUMIFS($AQ$15:$AQ$206,$B$15:$B$206,$B$275,$D$15:$D$206,$D295,$W$15:$W$206,S$213)</f>
        <v>0</v>
      </c>
      <c r="T295">
        <f>SUM(H295:R295)</f>
        <v>0</v>
      </c>
      <c r="V295">
        <f>IF(F295&gt;0,G295/F295,0)</f>
        <v>0</v>
      </c>
      <c r="W295">
        <f>IF(F295&gt;0,T295/F295,0)</f>
        <v>0</v>
      </c>
    </row>
    <row r="296">
      <c r="D296" t="str">
        <v>K59-1</v>
      </c>
      <c r="F296">
        <f>SUMIFS($AO$15:$AO$206,$B$15:$B$206,$B$275,$D$15:$D$206,$D296)</f>
        <v>0</v>
      </c>
      <c r="G296">
        <f>SUMIFS($AT$15:$AT$206,$B$15:$B$206,$B$275,$D$15:$D$206,$D296)</f>
        <v>0</v>
      </c>
      <c r="H296">
        <f>SUMIFS($AR$15:$AR$206,$B$15:$B$206,$B$275,$D$15:$D$206,$D296,$AD$15:$AD$206,H$213)+SUMIFS($AS$15:$AS$206,$B$15:$B$206,$B$275,$D$15:$D$206,$D296,$AI$15:$AI$206,H$213)</f>
        <v>0</v>
      </c>
      <c r="I296">
        <f>SUMIFS($AR$15:$AR$206,$B$15:$B$206,$B$275,$D$15:$D$206,$D296,$AD$15:$AD$206,I$213)+SUMIFS($AS$15:$AS$206,$B$15:$B$206,$B$275,$D$15:$D$206,$D296,$AI$15:$AI$206,I$213)</f>
        <v>0</v>
      </c>
      <c r="J296">
        <f>SUMIFS($AR$15:$AR$206,$B$15:$B$206,$B$275,$D$15:$D$206,$D296,$AD$15:$AD$206,J$213)+SUMIFS($AS$15:$AS$206,$B$15:$B$206,$B$275,$D$15:$D$206,$D296,$AI$15:$AI$206,J$213)</f>
        <v>0</v>
      </c>
      <c r="K296">
        <f>SUMIFS($AR$15:$AR$206,$B$15:$B$206,$B$275,$D$15:$D$206,$D296,$AD$15:$AD$206,K$213)+SUMIFS($AS$15:$AS$206,$B$15:$B$206,$B$275,$D$15:$D$206,$D296,$AI$15:$AI$206,K$213)</f>
        <v>0</v>
      </c>
      <c r="L296">
        <f>SUMIFS($AP$15:$AP$206,$B$15:$B$206,$B$275,$D$15:$D$206,$D296,$O$15:$O$206,L$213)+SUMIFS($AQ$15:$AQ$206,$B$15:$B$206,$B$275,$D$15:$D$206,$D296,$W$15:$W$206,L$213)</f>
        <v>0</v>
      </c>
      <c r="M296">
        <f>SUMIFS($AP$15:$AP$206,$B$15:$B$206,$B$275,$D$15:$D$206,$D296,$O$15:$O$206,M$213)+SUMIFS($AQ$15:$AQ$206,$B$15:$B$206,$B$275,$D$15:$D$206,$D296,$W$15:$W$206,M$213)</f>
        <v>0</v>
      </c>
      <c r="N296">
        <f>SUMIFS($AP$15:$AP$206,$B$15:$B$206,$B$275,$D$15:$D$206,$D296,$O$15:$O$206,N$213)+SUMIFS($AQ$15:$AQ$206,$B$15:$B$206,$B$275,$D$15:$D$206,$D296,$W$15:$W$206,N$213)</f>
        <v>0</v>
      </c>
      <c r="O296">
        <f>SUMIFS($AP$15:$AP$206,$B$15:$B$206,$B$275,$D$15:$D$206,$D296,$O$15:$O$206,O$213)+SUMIFS($AQ$15:$AQ$206,$B$15:$B$206,$B$275,$D$15:$D$206,$D296,$W$15:$W$206,O$213)</f>
        <v>0</v>
      </c>
      <c r="P296">
        <f>SUMIFS($AP$15:$AP$206,$B$15:$B$206,$B$275,$D$15:$D$206,$D296,$O$15:$O$206,P$213)+SUMIFS($AQ$15:$AQ$206,$B$15:$B$206,$B$275,$D$15:$D$206,$D296,$W$15:$W$206,P$213)</f>
        <v>0</v>
      </c>
      <c r="Q296">
        <f>SUMIFS($AP$15:$AP$206,$B$15:$B$206,$B$275,$D$15:$D$206,$D296,$O$15:$O$206,Q$213)+SUMIFS($AQ$15:$AQ$206,$B$15:$B$206,$B$275,$D$15:$D$206,$D296,$W$15:$W$206,Q$213)</f>
        <v>0</v>
      </c>
      <c r="R296">
        <f>SUMIFS($AP$15:$AP$206,$B$15:$B$206,$B$275,$D$15:$D$206,$D296,$O$15:$O$206,R$213)+SUMIFS($AQ$15:$AQ$206,$B$15:$B$206,$B$275,$D$15:$D$206,$D296,$W$15:$W$206,R$213)</f>
        <v>0</v>
      </c>
      <c r="S296">
        <f>SUMIFS($AP$15:$AP$206,$B$15:$B$206,$B$275,$D$15:$D$206,$D296,$O$15:$O$206,S$213)+SUMIFS($AQ$15:$AQ$206,$B$15:$B$206,$B$275,$D$15:$D$206,$D296,$W$15:$W$206,S$213)</f>
        <v>0</v>
      </c>
      <c r="T296">
        <f>SUM(H296:R296)</f>
        <v>0</v>
      </c>
      <c r="V296">
        <f>IF(F296&gt;0,G296/F296,0)</f>
        <v>0</v>
      </c>
      <c r="W296">
        <f>IF(F296&gt;0,T296/F296,0)</f>
        <v>0</v>
      </c>
    </row>
    <row r="297">
      <c r="D297" t="str">
        <v>KL172258-1</v>
      </c>
      <c r="F297">
        <f>SUMIFS($AO$15:$AO$206,$B$15:$B$206,$B$275,$D$15:$D$206,$D297)</f>
        <v>0</v>
      </c>
      <c r="G297">
        <f>SUMIFS($AT$15:$AT$206,$B$15:$B$206,$B$275,$D$15:$D$206,$D297)</f>
        <v>0</v>
      </c>
      <c r="H297">
        <f>SUMIFS($AR$15:$AR$206,$B$15:$B$206,$B$275,$D$15:$D$206,$D297,$AD$15:$AD$206,H$213)+SUMIFS($AS$15:$AS$206,$B$15:$B$206,$B$275,$D$15:$D$206,$D297,$AI$15:$AI$206,H$213)</f>
        <v>0</v>
      </c>
      <c r="I297">
        <f>SUMIFS($AR$15:$AR$206,$B$15:$B$206,$B$275,$D$15:$D$206,$D297,$AD$15:$AD$206,I$213)+SUMIFS($AS$15:$AS$206,$B$15:$B$206,$B$275,$D$15:$D$206,$D297,$AI$15:$AI$206,I$213)</f>
        <v>0</v>
      </c>
      <c r="J297">
        <f>SUMIFS($AR$15:$AR$206,$B$15:$B$206,$B$275,$D$15:$D$206,$D297,$AD$15:$AD$206,J$213)+SUMIFS($AS$15:$AS$206,$B$15:$B$206,$B$275,$D$15:$D$206,$D297,$AI$15:$AI$206,J$213)</f>
        <v>0</v>
      </c>
      <c r="K297">
        <f>SUMIFS($AR$15:$AR$206,$B$15:$B$206,$B$275,$D$15:$D$206,$D297,$AD$15:$AD$206,K$213)+SUMIFS($AS$15:$AS$206,$B$15:$B$206,$B$275,$D$15:$D$206,$D297,$AI$15:$AI$206,K$213)</f>
        <v>0</v>
      </c>
      <c r="L297">
        <f>SUMIFS($AP$15:$AP$206,$B$15:$B$206,$B$275,$D$15:$D$206,$D297,$O$15:$O$206,L$213)+SUMIFS($AQ$15:$AQ$206,$B$15:$B$206,$B$275,$D$15:$D$206,$D297,$W$15:$W$206,L$213)</f>
        <v>0</v>
      </c>
      <c r="M297">
        <f>SUMIFS($AP$15:$AP$206,$B$15:$B$206,$B$275,$D$15:$D$206,$D297,$O$15:$O$206,M$213)+SUMIFS($AQ$15:$AQ$206,$B$15:$B$206,$B$275,$D$15:$D$206,$D297,$W$15:$W$206,M$213)</f>
        <v>0</v>
      </c>
      <c r="N297">
        <f>SUMIFS($AP$15:$AP$206,$B$15:$B$206,$B$275,$D$15:$D$206,$D297,$O$15:$O$206,N$213)+SUMIFS($AQ$15:$AQ$206,$B$15:$B$206,$B$275,$D$15:$D$206,$D297,$W$15:$W$206,N$213)</f>
        <v>0</v>
      </c>
      <c r="O297">
        <f>SUMIFS($AP$15:$AP$206,$B$15:$B$206,$B$275,$D$15:$D$206,$D297,$O$15:$O$206,O$213)+SUMIFS($AQ$15:$AQ$206,$B$15:$B$206,$B$275,$D$15:$D$206,$D297,$W$15:$W$206,O$213)</f>
        <v>0</v>
      </c>
      <c r="P297">
        <f>SUMIFS($AP$15:$AP$206,$B$15:$B$206,$B$275,$D$15:$D$206,$D297,$O$15:$O$206,P$213)+SUMIFS($AQ$15:$AQ$206,$B$15:$B$206,$B$275,$D$15:$D$206,$D297,$W$15:$W$206,P$213)</f>
        <v>0</v>
      </c>
      <c r="Q297">
        <f>SUMIFS($AP$15:$AP$206,$B$15:$B$206,$B$275,$D$15:$D$206,$D297,$O$15:$O$206,Q$213)+SUMIFS($AQ$15:$AQ$206,$B$15:$B$206,$B$275,$D$15:$D$206,$D297,$W$15:$W$206,Q$213)</f>
        <v>0</v>
      </c>
      <c r="R297">
        <f>SUMIFS($AP$15:$AP$206,$B$15:$B$206,$B$275,$D$15:$D$206,$D297,$O$15:$O$206,R$213)+SUMIFS($AQ$15:$AQ$206,$B$15:$B$206,$B$275,$D$15:$D$206,$D297,$W$15:$W$206,R$213)</f>
        <v>0</v>
      </c>
      <c r="S297">
        <f>SUMIFS($AP$15:$AP$206,$B$15:$B$206,$B$275,$D$15:$D$206,$D297,$O$15:$O$206,S$213)+SUMIFS($AQ$15:$AQ$206,$B$15:$B$206,$B$275,$D$15:$D$206,$D297,$W$15:$W$206,S$213)</f>
        <v>0</v>
      </c>
      <c r="T297">
        <f>SUM(H297:R297)</f>
        <v>0</v>
      </c>
      <c r="V297">
        <f>IF(F297&gt;0,G297/F297,0)</f>
        <v>0</v>
      </c>
      <c r="W297">
        <f>IF(F297&gt;0,T297/F297,0)</f>
        <v>0</v>
      </c>
    </row>
    <row r="298">
      <c r="D298" t="str">
        <v>KL174-1</v>
      </c>
      <c r="F298">
        <f>SUMIFS($AO$15:$AO$206,$B$15:$B$206,$B$275,$D$15:$D$206,$D298)</f>
        <v>0</v>
      </c>
      <c r="G298">
        <f>SUMIFS($AT$15:$AT$206,$B$15:$B$206,$B$275,$D$15:$D$206,$D298)</f>
        <v>0</v>
      </c>
      <c r="H298">
        <f>SUMIFS($AR$15:$AR$206,$B$15:$B$206,$B$275,$D$15:$D$206,$D298,$AD$15:$AD$206,H$213)+SUMIFS($AS$15:$AS$206,$B$15:$B$206,$B$275,$D$15:$D$206,$D298,$AI$15:$AI$206,H$213)</f>
        <v>0</v>
      </c>
      <c r="I298">
        <f>SUMIFS($AR$15:$AR$206,$B$15:$B$206,$B$275,$D$15:$D$206,$D298,$AD$15:$AD$206,I$213)+SUMIFS($AS$15:$AS$206,$B$15:$B$206,$B$275,$D$15:$D$206,$D298,$AI$15:$AI$206,I$213)</f>
        <v>0</v>
      </c>
      <c r="J298">
        <f>SUMIFS($AR$15:$AR$206,$B$15:$B$206,$B$275,$D$15:$D$206,$D298,$AD$15:$AD$206,J$213)+SUMIFS($AS$15:$AS$206,$B$15:$B$206,$B$275,$D$15:$D$206,$D298,$AI$15:$AI$206,J$213)</f>
        <v>0</v>
      </c>
      <c r="K298">
        <f>SUMIFS($AR$15:$AR$206,$B$15:$B$206,$B$275,$D$15:$D$206,$D298,$AD$15:$AD$206,K$213)+SUMIFS($AS$15:$AS$206,$B$15:$B$206,$B$275,$D$15:$D$206,$D298,$AI$15:$AI$206,K$213)</f>
        <v>0</v>
      </c>
      <c r="L298">
        <f>SUMIFS($AP$15:$AP$206,$B$15:$B$206,$B$275,$D$15:$D$206,$D298,$O$15:$O$206,L$213)+SUMIFS($AQ$15:$AQ$206,$B$15:$B$206,$B$275,$D$15:$D$206,$D298,$W$15:$W$206,L$213)</f>
        <v>0</v>
      </c>
      <c r="M298">
        <f>SUMIFS($AP$15:$AP$206,$B$15:$B$206,$B$275,$D$15:$D$206,$D298,$O$15:$O$206,M$213)+SUMIFS($AQ$15:$AQ$206,$B$15:$B$206,$B$275,$D$15:$D$206,$D298,$W$15:$W$206,M$213)</f>
        <v>0</v>
      </c>
      <c r="N298">
        <f>SUMIFS($AP$15:$AP$206,$B$15:$B$206,$B$275,$D$15:$D$206,$D298,$O$15:$O$206,N$213)+SUMIFS($AQ$15:$AQ$206,$B$15:$B$206,$B$275,$D$15:$D$206,$D298,$W$15:$W$206,N$213)</f>
        <v>0</v>
      </c>
      <c r="O298">
        <f>SUMIFS($AP$15:$AP$206,$B$15:$B$206,$B$275,$D$15:$D$206,$D298,$O$15:$O$206,O$213)+SUMIFS($AQ$15:$AQ$206,$B$15:$B$206,$B$275,$D$15:$D$206,$D298,$W$15:$W$206,O$213)</f>
        <v>0</v>
      </c>
      <c r="P298">
        <f>SUMIFS($AP$15:$AP$206,$B$15:$B$206,$B$275,$D$15:$D$206,$D298,$O$15:$O$206,P$213)+SUMIFS($AQ$15:$AQ$206,$B$15:$B$206,$B$275,$D$15:$D$206,$D298,$W$15:$W$206,P$213)</f>
        <v>0</v>
      </c>
      <c r="Q298">
        <f>SUMIFS($AP$15:$AP$206,$B$15:$B$206,$B$275,$D$15:$D$206,$D298,$O$15:$O$206,Q$213)+SUMIFS($AQ$15:$AQ$206,$B$15:$B$206,$B$275,$D$15:$D$206,$D298,$W$15:$W$206,Q$213)</f>
        <v>0</v>
      </c>
      <c r="R298">
        <f>SUMIFS($AP$15:$AP$206,$B$15:$B$206,$B$275,$D$15:$D$206,$D298,$O$15:$O$206,R$213)+SUMIFS($AQ$15:$AQ$206,$B$15:$B$206,$B$275,$D$15:$D$206,$D298,$W$15:$W$206,R$213)</f>
        <v>0</v>
      </c>
      <c r="S298">
        <f>SUMIFS($AP$15:$AP$206,$B$15:$B$206,$B$275,$D$15:$D$206,$D298,$O$15:$O$206,S$213)+SUMIFS($AQ$15:$AQ$206,$B$15:$B$206,$B$275,$D$15:$D$206,$D298,$W$15:$W$206,S$213)</f>
        <v>0</v>
      </c>
      <c r="T298">
        <f>SUM(H298:R298)</f>
        <v>0</v>
      </c>
      <c r="V298">
        <f>IF(F298&gt;0,G298/F298,0)</f>
        <v>0</v>
      </c>
      <c r="W298">
        <f>IF(F298&gt;0,T298/F298,0)</f>
        <v>0</v>
      </c>
    </row>
    <row r="299">
      <c r="D299" t="str">
        <v>KL175-1</v>
      </c>
      <c r="F299">
        <f>SUMIFS($AO$15:$AO$206,$B$15:$B$206,$B$275,$D$15:$D$206,$D299)</f>
        <v>0.63495</v>
      </c>
      <c r="G299">
        <f>SUMIFS($AT$15:$AT$206,$B$15:$B$206,$B$275,$D$15:$D$206,$D299)</f>
        <v>9</v>
      </c>
      <c r="H299">
        <f>SUMIFS($AR$15:$AR$206,$B$15:$B$206,$B$275,$D$15:$D$206,$D299,$AD$15:$AD$206,H$213)+SUMIFS($AS$15:$AS$206,$B$15:$B$206,$B$275,$D$15:$D$206,$D299,$AI$15:$AI$206,H$213)</f>
        <v>49.3278912</v>
      </c>
      <c r="I299">
        <f>SUMIFS($AR$15:$AR$206,$B$15:$B$206,$B$275,$D$15:$D$206,$D299,$AD$15:$AD$206,I$213)+SUMIFS($AS$15:$AS$206,$B$15:$B$206,$B$275,$D$15:$D$206,$D299,$AI$15:$AI$206,I$213)</f>
        <v>0</v>
      </c>
      <c r="J299">
        <f>SUMIFS($AR$15:$AR$206,$B$15:$B$206,$B$275,$D$15:$D$206,$D299,$AD$15:$AD$206,J$213)+SUMIFS($AS$15:$AS$206,$B$15:$B$206,$B$275,$D$15:$D$206,$D299,$AI$15:$AI$206,J$213)</f>
        <v>0</v>
      </c>
      <c r="K299">
        <f>SUMIFS($AR$15:$AR$206,$B$15:$B$206,$B$275,$D$15:$D$206,$D299,$AD$15:$AD$206,K$213)+SUMIFS($AS$15:$AS$206,$B$15:$B$206,$B$275,$D$15:$D$206,$D299,$AI$15:$AI$206,K$213)</f>
        <v>0</v>
      </c>
      <c r="L299">
        <f>SUMIFS($AP$15:$AP$206,$B$15:$B$206,$B$275,$D$15:$D$206,$D299,$O$15:$O$206,L$213)+SUMIFS($AQ$15:$AQ$206,$B$15:$B$206,$B$275,$D$15:$D$206,$D299,$W$15:$W$206,L$213)</f>
        <v>0</v>
      </c>
      <c r="M299">
        <f>SUMIFS($AP$15:$AP$206,$B$15:$B$206,$B$275,$D$15:$D$206,$D299,$O$15:$O$206,M$213)+SUMIFS($AQ$15:$AQ$206,$B$15:$B$206,$B$275,$D$15:$D$206,$D299,$W$15:$W$206,M$213)</f>
        <v>0</v>
      </c>
      <c r="N299">
        <f>SUMIFS($AP$15:$AP$206,$B$15:$B$206,$B$275,$D$15:$D$206,$D299,$O$15:$O$206,N$213)+SUMIFS($AQ$15:$AQ$206,$B$15:$B$206,$B$275,$D$15:$D$206,$D299,$W$15:$W$206,N$213)</f>
        <v>0</v>
      </c>
      <c r="O299">
        <f>SUMIFS($AP$15:$AP$206,$B$15:$B$206,$B$275,$D$15:$D$206,$D299,$O$15:$O$206,O$213)+SUMIFS($AQ$15:$AQ$206,$B$15:$B$206,$B$275,$D$15:$D$206,$D299,$W$15:$W$206,O$213)</f>
        <v>103.06538496000002</v>
      </c>
      <c r="P299">
        <f>SUMIFS($AP$15:$AP$206,$B$15:$B$206,$B$275,$D$15:$D$206,$D299,$O$15:$O$206,P$213)+SUMIFS($AQ$15:$AQ$206,$B$15:$B$206,$B$275,$D$15:$D$206,$D299,$W$15:$W$206,P$213)</f>
        <v>0</v>
      </c>
      <c r="Q299">
        <f>SUMIFS($AP$15:$AP$206,$B$15:$B$206,$B$275,$D$15:$D$206,$D299,$O$15:$O$206,Q$213)+SUMIFS($AQ$15:$AQ$206,$B$15:$B$206,$B$275,$D$15:$D$206,$D299,$W$15:$W$206,Q$213)</f>
        <v>0</v>
      </c>
      <c r="R299">
        <f>SUMIFS($AP$15:$AP$206,$B$15:$B$206,$B$275,$D$15:$D$206,$D299,$O$15:$O$206,R$213)+SUMIFS($AQ$15:$AQ$206,$B$15:$B$206,$B$275,$D$15:$D$206,$D299,$W$15:$W$206,R$213)</f>
        <v>0</v>
      </c>
      <c r="S299">
        <f>SUMIFS($AP$15:$AP$206,$B$15:$B$206,$B$275,$D$15:$D$206,$D299,$O$15:$O$206,S$213)+SUMIFS($AQ$15:$AQ$206,$B$15:$B$206,$B$275,$D$15:$D$206,$D299,$W$15:$W$206,S$213)</f>
        <v>0</v>
      </c>
      <c r="T299">
        <f>SUM(H299:R299)</f>
        <v>152.39327616000003</v>
      </c>
      <c r="V299">
        <f>IF(F299&gt;0,G299/F299,0)</f>
        <v>14.174344436569807</v>
      </c>
      <c r="W299">
        <f>IF(F299&gt;0,T299/F299,0)</f>
        <v>240.00830956768255</v>
      </c>
    </row>
    <row r="300">
      <c r="D300" t="str">
        <v>KL175-2</v>
      </c>
      <c r="F300">
        <f>SUMIFS($AO$15:$AO$206,$B$15:$B$206,$B$275,$D$15:$D$206,$D300)</f>
        <v>0.63495</v>
      </c>
      <c r="G300">
        <f>SUMIFS($AT$15:$AT$206,$B$15:$B$206,$B$275,$D$15:$D$206,$D300)</f>
        <v>9</v>
      </c>
      <c r="H300">
        <f>SUMIFS($AR$15:$AR$206,$B$15:$B$206,$B$275,$D$15:$D$206,$D300,$AD$15:$AD$206,H$213)+SUMIFS($AS$15:$AS$206,$B$15:$B$206,$B$275,$D$15:$D$206,$D300,$AI$15:$AI$206,H$213)</f>
        <v>49.3278912</v>
      </c>
      <c r="I300">
        <f>SUMIFS($AR$15:$AR$206,$B$15:$B$206,$B$275,$D$15:$D$206,$D300,$AD$15:$AD$206,I$213)+SUMIFS($AS$15:$AS$206,$B$15:$B$206,$B$275,$D$15:$D$206,$D300,$AI$15:$AI$206,I$213)</f>
        <v>0</v>
      </c>
      <c r="J300">
        <f>SUMIFS($AR$15:$AR$206,$B$15:$B$206,$B$275,$D$15:$D$206,$D300,$AD$15:$AD$206,J$213)+SUMIFS($AS$15:$AS$206,$B$15:$B$206,$B$275,$D$15:$D$206,$D300,$AI$15:$AI$206,J$213)</f>
        <v>0</v>
      </c>
      <c r="K300">
        <f>SUMIFS($AR$15:$AR$206,$B$15:$B$206,$B$275,$D$15:$D$206,$D300,$AD$15:$AD$206,K$213)+SUMIFS($AS$15:$AS$206,$B$15:$B$206,$B$275,$D$15:$D$206,$D300,$AI$15:$AI$206,K$213)</f>
        <v>0</v>
      </c>
      <c r="L300">
        <f>SUMIFS($AP$15:$AP$206,$B$15:$B$206,$B$275,$D$15:$D$206,$D300,$O$15:$O$206,L$213)+SUMIFS($AQ$15:$AQ$206,$B$15:$B$206,$B$275,$D$15:$D$206,$D300,$W$15:$W$206,L$213)</f>
        <v>0</v>
      </c>
      <c r="M300">
        <f>SUMIFS($AP$15:$AP$206,$B$15:$B$206,$B$275,$D$15:$D$206,$D300,$O$15:$O$206,M$213)+SUMIFS($AQ$15:$AQ$206,$B$15:$B$206,$B$275,$D$15:$D$206,$D300,$W$15:$W$206,M$213)</f>
        <v>0</v>
      </c>
      <c r="N300">
        <f>SUMIFS($AP$15:$AP$206,$B$15:$B$206,$B$275,$D$15:$D$206,$D300,$O$15:$O$206,N$213)+SUMIFS($AQ$15:$AQ$206,$B$15:$B$206,$B$275,$D$15:$D$206,$D300,$W$15:$W$206,N$213)</f>
        <v>21.946265639999996</v>
      </c>
      <c r="O300">
        <f>SUMIFS($AP$15:$AP$206,$B$15:$B$206,$B$275,$D$15:$D$206,$D300,$O$15:$O$206,O$213)+SUMIFS($AQ$15:$AQ$206,$B$15:$B$206,$B$275,$D$15:$D$206,$D300,$W$15:$W$206,O$213)</f>
        <v>0</v>
      </c>
      <c r="P300">
        <f>SUMIFS($AP$15:$AP$206,$B$15:$B$206,$B$275,$D$15:$D$206,$D300,$O$15:$O$206,P$213)+SUMIFS($AQ$15:$AQ$206,$B$15:$B$206,$B$275,$D$15:$D$206,$D300,$W$15:$W$206,P$213)</f>
        <v>100.02579336</v>
      </c>
      <c r="Q300">
        <f>SUMIFS($AP$15:$AP$206,$B$15:$B$206,$B$275,$D$15:$D$206,$D300,$O$15:$O$206,Q$213)+SUMIFS($AQ$15:$AQ$206,$B$15:$B$206,$B$275,$D$15:$D$206,$D300,$W$15:$W$206,Q$213)</f>
        <v>0</v>
      </c>
      <c r="R300">
        <f>SUMIFS($AP$15:$AP$206,$B$15:$B$206,$B$275,$D$15:$D$206,$D300,$O$15:$O$206,R$213)+SUMIFS($AQ$15:$AQ$206,$B$15:$B$206,$B$275,$D$15:$D$206,$D300,$W$15:$W$206,R$213)</f>
        <v>0</v>
      </c>
      <c r="S300">
        <f>SUMIFS($AP$15:$AP$206,$B$15:$B$206,$B$275,$D$15:$D$206,$D300,$O$15:$O$206,S$213)+SUMIFS($AQ$15:$AQ$206,$B$15:$B$206,$B$275,$D$15:$D$206,$D300,$W$15:$W$206,S$213)</f>
        <v>0</v>
      </c>
      <c r="T300">
        <f>SUM(H300:R300)</f>
        <v>171.2999502</v>
      </c>
      <c r="V300">
        <f>IF(F300&gt;0,G300/F300,0)</f>
        <v>14.174344436569807</v>
      </c>
      <c r="W300">
        <f>IF(F300&gt;0,T300/F300,0)</f>
        <v>269.78494401133946</v>
      </c>
    </row>
    <row r="301">
      <c r="D301" t="str">
        <v>KL175-3</v>
      </c>
      <c r="F301">
        <f>SUMIFS($AO$15:$AO$206,$B$15:$B$206,$B$275,$D$15:$D$206,$D301)</f>
        <v>0.63495</v>
      </c>
      <c r="G301">
        <f>SUMIFS($AT$15:$AT$206,$B$15:$B$206,$B$275,$D$15:$D$206,$D301)</f>
        <v>9</v>
      </c>
      <c r="H301">
        <f>SUMIFS($AR$15:$AR$206,$B$15:$B$206,$B$275,$D$15:$D$206,$D301,$AD$15:$AD$206,H$213)+SUMIFS($AS$15:$AS$206,$B$15:$B$206,$B$275,$D$15:$D$206,$D301,$AI$15:$AI$206,H$213)</f>
        <v>54.5203008</v>
      </c>
      <c r="I301">
        <f>SUMIFS($AR$15:$AR$206,$B$15:$B$206,$B$275,$D$15:$D$206,$D301,$AD$15:$AD$206,I$213)+SUMIFS($AS$15:$AS$206,$B$15:$B$206,$B$275,$D$15:$D$206,$D301,$AI$15:$AI$206,I$213)</f>
        <v>0</v>
      </c>
      <c r="J301">
        <f>SUMIFS($AR$15:$AR$206,$B$15:$B$206,$B$275,$D$15:$D$206,$D301,$AD$15:$AD$206,J$213)+SUMIFS($AS$15:$AS$206,$B$15:$B$206,$B$275,$D$15:$D$206,$D301,$AI$15:$AI$206,J$213)</f>
        <v>0</v>
      </c>
      <c r="K301">
        <f>SUMIFS($AR$15:$AR$206,$B$15:$B$206,$B$275,$D$15:$D$206,$D301,$AD$15:$AD$206,K$213)+SUMIFS($AS$15:$AS$206,$B$15:$B$206,$B$275,$D$15:$D$206,$D301,$AI$15:$AI$206,K$213)</f>
        <v>0</v>
      </c>
      <c r="L301">
        <f>SUMIFS($AP$15:$AP$206,$B$15:$B$206,$B$275,$D$15:$D$206,$D301,$O$15:$O$206,L$213)+SUMIFS($AQ$15:$AQ$206,$B$15:$B$206,$B$275,$D$15:$D$206,$D301,$W$15:$W$206,L$213)</f>
        <v>0</v>
      </c>
      <c r="M301">
        <f>SUMIFS($AP$15:$AP$206,$B$15:$B$206,$B$275,$D$15:$D$206,$D301,$O$15:$O$206,M$213)+SUMIFS($AQ$15:$AQ$206,$B$15:$B$206,$B$275,$D$15:$D$206,$D301,$W$15:$W$206,M$213)</f>
        <v>0</v>
      </c>
      <c r="N301">
        <f>SUMIFS($AP$15:$AP$206,$B$15:$B$206,$B$275,$D$15:$D$206,$D301,$O$15:$O$206,N$213)+SUMIFS($AQ$15:$AQ$206,$B$15:$B$206,$B$275,$D$15:$D$206,$D301,$W$15:$W$206,N$213)</f>
        <v>0</v>
      </c>
      <c r="O301">
        <f>SUMIFS($AP$15:$AP$206,$B$15:$B$206,$B$275,$D$15:$D$206,$D301,$O$15:$O$206,O$213)+SUMIFS($AQ$15:$AQ$206,$B$15:$B$206,$B$275,$D$15:$D$206,$D301,$W$15:$W$206,O$213)</f>
        <v>0</v>
      </c>
      <c r="P301">
        <f>SUMIFS($AP$15:$AP$206,$B$15:$B$206,$B$275,$D$15:$D$206,$D301,$O$15:$O$206,P$213)+SUMIFS($AQ$15:$AQ$206,$B$15:$B$206,$B$275,$D$15:$D$206,$D301,$W$15:$W$206,P$213)</f>
        <v>200.05158672</v>
      </c>
      <c r="Q301">
        <f>SUMIFS($AP$15:$AP$206,$B$15:$B$206,$B$275,$D$15:$D$206,$D301,$O$15:$O$206,Q$213)+SUMIFS($AQ$15:$AQ$206,$B$15:$B$206,$B$275,$D$15:$D$206,$D301,$W$15:$W$206,Q$213)</f>
        <v>0</v>
      </c>
      <c r="R301">
        <f>SUMIFS($AP$15:$AP$206,$B$15:$B$206,$B$275,$D$15:$D$206,$D301,$O$15:$O$206,R$213)+SUMIFS($AQ$15:$AQ$206,$B$15:$B$206,$B$275,$D$15:$D$206,$D301,$W$15:$W$206,R$213)</f>
        <v>0</v>
      </c>
      <c r="S301">
        <f>SUMIFS($AP$15:$AP$206,$B$15:$B$206,$B$275,$D$15:$D$206,$D301,$O$15:$O$206,S$213)+SUMIFS($AQ$15:$AQ$206,$B$15:$B$206,$B$275,$D$15:$D$206,$D301,$W$15:$W$206,S$213)</f>
        <v>0</v>
      </c>
      <c r="T301">
        <f>SUM(H301:R301)</f>
        <v>254.57188752</v>
      </c>
      <c r="V301">
        <f>IF(F301&gt;0,G301/F301,0)</f>
        <v>14.174344436569807</v>
      </c>
      <c r="W301">
        <f>IF(F301&gt;0,T301/F301,0)</f>
        <v>400.93217973068744</v>
      </c>
    </row>
    <row r="303">
      <c r="B303" t="str">
        <v>Subtotal Lantai 2</v>
      </c>
      <c r="F303">
        <f>SUM(F275:F302)</f>
        <v>16.538850000000004</v>
      </c>
      <c r="G303">
        <f>SUM(G275:G302)</f>
        <v>240.3</v>
      </c>
      <c r="H303">
        <f>SUM(H275:H302)</f>
        <v>987.48504</v>
      </c>
      <c r="I303">
        <f>SUM(I275:I302)</f>
        <v>213.54943500000005</v>
      </c>
      <c r="J303">
        <f>SUM(J275:J302)</f>
        <v>0</v>
      </c>
      <c r="K303">
        <f>SUM(K275:K302)</f>
        <v>0</v>
      </c>
      <c r="L303">
        <f>SUM(L275:L302)</f>
        <v>7.722328320000001</v>
      </c>
      <c r="M303">
        <f>SUM(M275:M302)</f>
        <v>0</v>
      </c>
      <c r="N303">
        <f>SUM(N275:N302)</f>
        <v>149.27294772</v>
      </c>
      <c r="O303">
        <f>SUM(O275:O302)</f>
        <v>1361.50977024</v>
      </c>
      <c r="P303">
        <f>SUM(P275:P302)</f>
        <v>1306.8072567</v>
      </c>
      <c r="Q303">
        <f>SUM(Q275:Q302)</f>
        <v>315.62077536000004</v>
      </c>
      <c r="R303">
        <f>SUM(R275:R302)</f>
        <v>0</v>
      </c>
      <c r="S303">
        <f>SUM(S275:S302)</f>
        <v>0</v>
      </c>
      <c r="T303">
        <f>SUM(T276:T302)</f>
        <v>4341.9675533399995</v>
      </c>
    </row>
    <row r="305">
      <c r="B305" t="str">
        <v>Lantai Attic</v>
      </c>
    </row>
    <row r="306">
      <c r="D306" t="str">
        <v>K12</v>
      </c>
      <c r="F306">
        <f>SUMIFS($AO$15:$AO$206,$B$15:$B$206,$B$305,$D$15:$D$206,$D306)</f>
        <v>0</v>
      </c>
      <c r="G306">
        <f>SUMIFS($AT$15:$AT$206,$B$15:$B$206,$B$305,$D$15:$D$206,$D306)</f>
        <v>0</v>
      </c>
      <c r="H306">
        <f>SUMIFS($AR$15:$AR$206,$B$15:$B$206,$B$305,$D$15:$D$206,$D306,$AD$15:$AD$206,H$213)+SUMIFS($AS$15:$AS$206,$B$15:$B$206,$B$305,$D$15:$D$206,$D306,$AI$15:$AI$206,H$213)</f>
        <v>0</v>
      </c>
      <c r="I306">
        <f>SUMIFS($AR$15:$AR$206,$B$15:$B$206,$B$305,$D$15:$D$206,$D306,$AD$15:$AD$206,I$213)+SUMIFS($AS$15:$AS$206,$B$15:$B$206,$B$305,$D$15:$D$206,$D306,$AI$15:$AI$206,I$213)</f>
        <v>0</v>
      </c>
      <c r="J306">
        <f>SUMIFS($AR$15:$AR$206,$B$15:$B$206,$B$305,$D$15:$D$206,$D306,$AD$15:$AD$206,J$213)+SUMIFS($AS$15:$AS$206,$B$15:$B$206,$B$305,$D$15:$D$206,$D306,$AI$15:$AI$206,J$213)</f>
        <v>0</v>
      </c>
      <c r="K306">
        <f>SUMIFS($AR$15:$AR$206,$B$15:$B$206,$B$305,$D$15:$D$206,$D306,$AD$15:$AD$206,K$213)+SUMIFS($AS$15:$AS$206,$B$15:$B$206,$B$305,$D$15:$D$206,$D306,$AI$15:$AI$206,K$213)</f>
        <v>0</v>
      </c>
      <c r="L306">
        <f>SUMIFS($AP$15:$AP$206,$B$15:$B$206,$B$305,$D$15:$D$206,$D306,$O$15:$O$206,L$213)+SUMIFS($AQ$15:$AQ$206,$B$15:$B$206,$B$305,$D$15:$D$206,$D306,$W$15:$W$206,L$213)</f>
        <v>0</v>
      </c>
      <c r="M306">
        <f>SUMIFS($AP$15:$AP$206,$B$15:$B$206,$B$305,$D$15:$D$206,$D306,$O$15:$O$206,M$213)+SUMIFS($AQ$15:$AQ$206,$B$15:$B$206,$B$305,$D$15:$D$206,$D306,$W$15:$W$206,M$213)</f>
        <v>0</v>
      </c>
      <c r="N306">
        <f>SUMIFS($AP$15:$AP$206,$B$15:$B$206,$B$305,$D$15:$D$206,$D306,$O$15:$O$206,N$213)+SUMIFS($AQ$15:$AQ$206,$B$15:$B$206,$B$305,$D$15:$D$206,$D306,$W$15:$W$206,N$213)</f>
        <v>0</v>
      </c>
      <c r="O306">
        <f>SUMIFS($AP$15:$AP$206,$B$15:$B$206,$B$305,$D$15:$D$206,$D306,$O$15:$O$206,O$213)+SUMIFS($AQ$15:$AQ$206,$B$15:$B$206,$B$305,$D$15:$D$206,$D306,$W$15:$W$206,O$213)</f>
        <v>0</v>
      </c>
      <c r="P306">
        <f>SUMIFS($AP$15:$AP$206,$B$15:$B$206,$B$305,$D$15:$D$206,$D306,$O$15:$O$206,P$213)+SUMIFS($AQ$15:$AQ$206,$B$15:$B$206,$B$305,$D$15:$D$206,$D306,$W$15:$W$206,P$213)</f>
        <v>0</v>
      </c>
      <c r="Q306">
        <f>SUMIFS($AP$15:$AP$206,$B$15:$B$206,$B$305,$D$15:$D$206,$D306,$O$15:$O$206,Q$213)+SUMIFS($AQ$15:$AQ$206,$B$15:$B$206,$B$305,$D$15:$D$206,$D306,$W$15:$W$206,Q$213)</f>
        <v>0</v>
      </c>
      <c r="R306">
        <f>SUMIFS($AP$15:$AP$206,$B$15:$B$206,$B$305,$D$15:$D$206,$D306,$O$15:$O$206,R$213)+SUMIFS($AQ$15:$AQ$206,$B$15:$B$206,$B$305,$D$15:$D$206,$D306,$W$15:$W$206,R$213)</f>
        <v>0</v>
      </c>
      <c r="S306">
        <f>SUMIFS($AP$15:$AP$206,$B$15:$B$206,$B$305,$D$15:$D$206,$D306,$O$15:$O$206,S$213)+SUMIFS($AQ$15:$AQ$206,$B$15:$B$206,$B$305,$D$15:$D$206,$D306,$W$15:$W$206,S$213)</f>
        <v>0</v>
      </c>
      <c r="T306">
        <f>SUM(H306:R306)</f>
        <v>0</v>
      </c>
      <c r="V306">
        <f>IF(F306&gt;0,G306/F306,0)</f>
        <v>0</v>
      </c>
      <c r="W306">
        <f>IF(F306&gt;0,T306/F306,0)</f>
        <v>0</v>
      </c>
    </row>
    <row r="307">
      <c r="D307" t="str">
        <v>K13-1</v>
      </c>
      <c r="F307">
        <f>SUMIFS($AO$15:$AO$206,$B$15:$B$206,$B$305,$D$15:$D$206,$D307)</f>
        <v>0.546</v>
      </c>
      <c r="G307">
        <f>SUMIFS($AT$15:$AT$206,$B$15:$B$206,$B$305,$D$15:$D$206,$D307)</f>
        <v>12.04</v>
      </c>
      <c r="H307">
        <f>SUMIFS($AR$15:$AR$206,$B$15:$B$206,$B$305,$D$15:$D$206,$D307,$AD$15:$AD$206,H$213)+SUMIFS($AS$15:$AS$206,$B$15:$B$206,$B$305,$D$15:$D$206,$D307,$AI$15:$AI$206,H$213)</f>
        <v>49.635648</v>
      </c>
      <c r="I307">
        <f>SUMIFS($AR$15:$AR$206,$B$15:$B$206,$B$305,$D$15:$D$206,$D307,$AD$15:$AD$206,I$213)+SUMIFS($AS$15:$AS$206,$B$15:$B$206,$B$305,$D$15:$D$206,$D307,$AI$15:$AI$206,I$213)</f>
        <v>0</v>
      </c>
      <c r="J307">
        <f>SUMIFS($AR$15:$AR$206,$B$15:$B$206,$B$305,$D$15:$D$206,$D307,$AD$15:$AD$206,J$213)+SUMIFS($AS$15:$AS$206,$B$15:$B$206,$B$305,$D$15:$D$206,$D307,$AI$15:$AI$206,J$213)</f>
        <v>0</v>
      </c>
      <c r="K307">
        <f>SUMIFS($AR$15:$AR$206,$B$15:$B$206,$B$305,$D$15:$D$206,$D307,$AD$15:$AD$206,K$213)+SUMIFS($AS$15:$AS$206,$B$15:$B$206,$B$305,$D$15:$D$206,$D307,$AI$15:$AI$206,K$213)</f>
        <v>0</v>
      </c>
      <c r="L307">
        <f>SUMIFS($AP$15:$AP$206,$B$15:$B$206,$B$305,$D$15:$D$206,$D307,$O$15:$O$206,L$213)+SUMIFS($AQ$15:$AQ$206,$B$15:$B$206,$B$305,$D$15:$D$206,$D307,$W$15:$W$206,L$213)</f>
        <v>0</v>
      </c>
      <c r="M307">
        <f>SUMIFS($AP$15:$AP$206,$B$15:$B$206,$B$305,$D$15:$D$206,$D307,$O$15:$O$206,M$213)+SUMIFS($AQ$15:$AQ$206,$B$15:$B$206,$B$305,$D$15:$D$206,$D307,$W$15:$W$206,M$213)</f>
        <v>60.51564</v>
      </c>
      <c r="N307">
        <f>SUMIFS($AP$15:$AP$206,$B$15:$B$206,$B$305,$D$15:$D$206,$D307,$O$15:$O$206,N$213)+SUMIFS($AQ$15:$AQ$206,$B$15:$B$206,$B$305,$D$15:$D$206,$D307,$W$15:$W$206,N$213)</f>
        <v>0</v>
      </c>
      <c r="O307">
        <f>SUMIFS($AP$15:$AP$206,$B$15:$B$206,$B$305,$D$15:$D$206,$D307,$O$15:$O$206,O$213)+SUMIFS($AQ$15:$AQ$206,$B$15:$B$206,$B$305,$D$15:$D$206,$D307,$W$15:$W$206,O$213)</f>
        <v>0</v>
      </c>
      <c r="P307">
        <f>SUMIFS($AP$15:$AP$206,$B$15:$B$206,$B$305,$D$15:$D$206,$D307,$O$15:$O$206,P$213)+SUMIFS($AQ$15:$AQ$206,$B$15:$B$206,$B$305,$D$15:$D$206,$D307,$W$15:$W$206,P$213)</f>
        <v>0</v>
      </c>
      <c r="Q307">
        <f>SUMIFS($AP$15:$AP$206,$B$15:$B$206,$B$305,$D$15:$D$206,$D307,$O$15:$O$206,Q$213)+SUMIFS($AQ$15:$AQ$206,$B$15:$B$206,$B$305,$D$15:$D$206,$D307,$W$15:$W$206,Q$213)</f>
        <v>0</v>
      </c>
      <c r="R307">
        <f>SUMIFS($AP$15:$AP$206,$B$15:$B$206,$B$305,$D$15:$D$206,$D307,$O$15:$O$206,R$213)+SUMIFS($AQ$15:$AQ$206,$B$15:$B$206,$B$305,$D$15:$D$206,$D307,$W$15:$W$206,R$213)</f>
        <v>0</v>
      </c>
      <c r="S307">
        <f>SUMIFS($AP$15:$AP$206,$B$15:$B$206,$B$305,$D$15:$D$206,$D307,$O$15:$O$206,S$213)+SUMIFS($AQ$15:$AQ$206,$B$15:$B$206,$B$305,$D$15:$D$206,$D307,$W$15:$W$206,S$213)</f>
        <v>0</v>
      </c>
      <c r="T307">
        <f>SUM(H307:R307)</f>
        <v>110.151288</v>
      </c>
      <c r="V307">
        <f>IF(F307&gt;0,G307/F307,0)</f>
        <v>22.051282051282048</v>
      </c>
      <c r="W307">
        <f>IF(F307&gt;0,T307/F307,0)</f>
        <v>201.74228571428569</v>
      </c>
    </row>
    <row r="308">
      <c r="D308" t="str">
        <v>K174-1</v>
      </c>
      <c r="F308">
        <f>SUMIFS($AO$15:$AO$206,$B$15:$B$206,$B$305,$D$15:$D$206,$D308)</f>
        <v>0.714</v>
      </c>
      <c r="G308">
        <f>SUMIFS($AT$15:$AT$206,$B$15:$B$206,$B$305,$D$15:$D$206,$D308)</f>
        <v>11.97</v>
      </c>
      <c r="H308">
        <f>SUMIFS($AR$15:$AR$206,$B$15:$B$206,$B$305,$D$15:$D$206,$D308,$AD$15:$AD$206,H$213)+SUMIFS($AS$15:$AS$206,$B$15:$B$206,$B$305,$D$15:$D$206,$D308,$AI$15:$AI$206,H$213)</f>
        <v>49.489660799999996</v>
      </c>
      <c r="I308">
        <f>SUMIFS($AR$15:$AR$206,$B$15:$B$206,$B$305,$D$15:$D$206,$D308,$AD$15:$AD$206,I$213)+SUMIFS($AS$15:$AS$206,$B$15:$B$206,$B$305,$D$15:$D$206,$D308,$AI$15:$AI$206,I$213)</f>
        <v>0</v>
      </c>
      <c r="J308">
        <f>SUMIFS($AR$15:$AR$206,$B$15:$B$206,$B$305,$D$15:$D$206,$D308,$AD$15:$AD$206,J$213)+SUMIFS($AS$15:$AS$206,$B$15:$B$206,$B$305,$D$15:$D$206,$D308,$AI$15:$AI$206,J$213)</f>
        <v>0</v>
      </c>
      <c r="K308">
        <f>SUMIFS($AR$15:$AR$206,$B$15:$B$206,$B$305,$D$15:$D$206,$D308,$AD$15:$AD$206,K$213)+SUMIFS($AS$15:$AS$206,$B$15:$B$206,$B$305,$D$15:$D$206,$D308,$AI$15:$AI$206,K$213)</f>
        <v>0</v>
      </c>
      <c r="L308">
        <f>SUMIFS($AP$15:$AP$206,$B$15:$B$206,$B$305,$D$15:$D$206,$D308,$O$15:$O$206,L$213)+SUMIFS($AQ$15:$AQ$206,$B$15:$B$206,$B$305,$D$15:$D$206,$D308,$W$15:$W$206,L$213)</f>
        <v>0</v>
      </c>
      <c r="M308">
        <f>SUMIFS($AP$15:$AP$206,$B$15:$B$206,$B$305,$D$15:$D$206,$D308,$O$15:$O$206,M$213)+SUMIFS($AQ$15:$AQ$206,$B$15:$B$206,$B$305,$D$15:$D$206,$D308,$W$15:$W$206,M$213)</f>
        <v>0</v>
      </c>
      <c r="N308">
        <f>SUMIFS($AP$15:$AP$206,$B$15:$B$206,$B$305,$D$15:$D$206,$D308,$O$15:$O$206,N$213)+SUMIFS($AQ$15:$AQ$206,$B$15:$B$206,$B$305,$D$15:$D$206,$D308,$W$15:$W$206,N$213)</f>
        <v>96.17015304</v>
      </c>
      <c r="O308">
        <f>SUMIFS($AP$15:$AP$206,$B$15:$B$206,$B$305,$D$15:$D$206,$D308,$O$15:$O$206,O$213)+SUMIFS($AQ$15:$AQ$206,$B$15:$B$206,$B$305,$D$15:$D$206,$D308,$W$15:$W$206,O$213)</f>
        <v>0</v>
      </c>
      <c r="P308">
        <f>SUMIFS($AP$15:$AP$206,$B$15:$B$206,$B$305,$D$15:$D$206,$D308,$O$15:$O$206,P$213)+SUMIFS($AQ$15:$AQ$206,$B$15:$B$206,$B$305,$D$15:$D$206,$D308,$W$15:$W$206,P$213)</f>
        <v>0</v>
      </c>
      <c r="Q308">
        <f>SUMIFS($AP$15:$AP$206,$B$15:$B$206,$B$305,$D$15:$D$206,$D308,$O$15:$O$206,Q$213)+SUMIFS($AQ$15:$AQ$206,$B$15:$B$206,$B$305,$D$15:$D$206,$D308,$W$15:$W$206,Q$213)</f>
        <v>0</v>
      </c>
      <c r="R308">
        <f>SUMIFS($AP$15:$AP$206,$B$15:$B$206,$B$305,$D$15:$D$206,$D308,$O$15:$O$206,R$213)+SUMIFS($AQ$15:$AQ$206,$B$15:$B$206,$B$305,$D$15:$D$206,$D308,$W$15:$W$206,R$213)</f>
        <v>0</v>
      </c>
      <c r="S308">
        <f>SUMIFS($AP$15:$AP$206,$B$15:$B$206,$B$305,$D$15:$D$206,$D308,$O$15:$O$206,S$213)+SUMIFS($AQ$15:$AQ$206,$B$15:$B$206,$B$305,$D$15:$D$206,$D308,$W$15:$W$206,S$213)</f>
        <v>0</v>
      </c>
      <c r="T308">
        <f>SUM(H308:R308)</f>
        <v>145.65981384</v>
      </c>
      <c r="V308">
        <f>IF(F308&gt;0,G308/F308,0)</f>
        <v>16.764705882352942</v>
      </c>
      <c r="W308">
        <f>IF(F308&gt;0,T308/F308,0)</f>
        <v>204.00534151260504</v>
      </c>
    </row>
    <row r="309">
      <c r="D309" t="str">
        <v>K174-2</v>
      </c>
      <c r="F309">
        <f>SUMIFS($AO$15:$AO$206,$B$15:$B$206,$B$305,$D$15:$D$206,$D309)</f>
        <v>0.476</v>
      </c>
      <c r="G309">
        <f>SUMIFS($AT$15:$AT$206,$B$15:$B$206,$B$305,$D$15:$D$206,$D309)</f>
        <v>7.98</v>
      </c>
      <c r="H309">
        <f>SUMIFS($AR$15:$AR$206,$B$15:$B$206,$B$305,$D$15:$D$206,$D309,$AD$15:$AD$206,H$213)+SUMIFS($AS$15:$AS$206,$B$15:$B$206,$B$305,$D$15:$D$206,$D309,$AI$15:$AI$206,H$213)</f>
        <v>32.9931072</v>
      </c>
      <c r="I309">
        <f>SUMIFS($AR$15:$AR$206,$B$15:$B$206,$B$305,$D$15:$D$206,$D309,$AD$15:$AD$206,I$213)+SUMIFS($AS$15:$AS$206,$B$15:$B$206,$B$305,$D$15:$D$206,$D309,$AI$15:$AI$206,I$213)</f>
        <v>0</v>
      </c>
      <c r="J309">
        <f>SUMIFS($AR$15:$AR$206,$B$15:$B$206,$B$305,$D$15:$D$206,$D309,$AD$15:$AD$206,J$213)+SUMIFS($AS$15:$AS$206,$B$15:$B$206,$B$305,$D$15:$D$206,$D309,$AI$15:$AI$206,J$213)</f>
        <v>0</v>
      </c>
      <c r="K309">
        <f>SUMIFS($AR$15:$AR$206,$B$15:$B$206,$B$305,$D$15:$D$206,$D309,$AD$15:$AD$206,K$213)+SUMIFS($AS$15:$AS$206,$B$15:$B$206,$B$305,$D$15:$D$206,$D309,$AI$15:$AI$206,K$213)</f>
        <v>0</v>
      </c>
      <c r="L309">
        <f>SUMIFS($AP$15:$AP$206,$B$15:$B$206,$B$305,$D$15:$D$206,$D309,$O$15:$O$206,L$213)+SUMIFS($AQ$15:$AQ$206,$B$15:$B$206,$B$305,$D$15:$D$206,$D309,$W$15:$W$206,L$213)</f>
        <v>0</v>
      </c>
      <c r="M309">
        <f>SUMIFS($AP$15:$AP$206,$B$15:$B$206,$B$305,$D$15:$D$206,$D309,$O$15:$O$206,M$213)+SUMIFS($AQ$15:$AQ$206,$B$15:$B$206,$B$305,$D$15:$D$206,$D309,$W$15:$W$206,M$213)</f>
        <v>0</v>
      </c>
      <c r="N309">
        <f>SUMIFS($AP$15:$AP$206,$B$15:$B$206,$B$305,$D$15:$D$206,$D309,$O$15:$O$206,N$213)+SUMIFS($AQ$15:$AQ$206,$B$15:$B$206,$B$305,$D$15:$D$206,$D309,$W$15:$W$206,N$213)</f>
        <v>0</v>
      </c>
      <c r="O309">
        <f>SUMIFS($AP$15:$AP$206,$B$15:$B$206,$B$305,$D$15:$D$206,$D309,$O$15:$O$206,O$213)+SUMIFS($AQ$15:$AQ$206,$B$15:$B$206,$B$305,$D$15:$D$206,$D309,$W$15:$W$206,O$213)</f>
        <v>112.16867328000001</v>
      </c>
      <c r="P309">
        <f>SUMIFS($AP$15:$AP$206,$B$15:$B$206,$B$305,$D$15:$D$206,$D309,$O$15:$O$206,P$213)+SUMIFS($AQ$15:$AQ$206,$B$15:$B$206,$B$305,$D$15:$D$206,$D309,$W$15:$W$206,P$213)</f>
        <v>0</v>
      </c>
      <c r="Q309">
        <f>SUMIFS($AP$15:$AP$206,$B$15:$B$206,$B$305,$D$15:$D$206,$D309,$O$15:$O$206,Q$213)+SUMIFS($AQ$15:$AQ$206,$B$15:$B$206,$B$305,$D$15:$D$206,$D309,$W$15:$W$206,Q$213)</f>
        <v>0</v>
      </c>
      <c r="R309">
        <f>SUMIFS($AP$15:$AP$206,$B$15:$B$206,$B$305,$D$15:$D$206,$D309,$O$15:$O$206,R$213)+SUMIFS($AQ$15:$AQ$206,$B$15:$B$206,$B$305,$D$15:$D$206,$D309,$W$15:$W$206,R$213)</f>
        <v>0</v>
      </c>
      <c r="S309">
        <f>SUMIFS($AP$15:$AP$206,$B$15:$B$206,$B$305,$D$15:$D$206,$D309,$O$15:$O$206,S$213)+SUMIFS($AQ$15:$AQ$206,$B$15:$B$206,$B$305,$D$15:$D$206,$D309,$W$15:$W$206,S$213)</f>
        <v>0</v>
      </c>
      <c r="T309">
        <f>SUM(H309:R309)</f>
        <v>145.16178048</v>
      </c>
      <c r="V309">
        <f>IF(F309&gt;0,G309/F309,0)</f>
        <v>16.764705882352942</v>
      </c>
      <c r="W309">
        <f>IF(F309&gt;0,T309/F309,0)</f>
        <v>304.961723697479</v>
      </c>
    </row>
    <row r="310">
      <c r="D310" t="str">
        <v>K175-1</v>
      </c>
      <c r="F310">
        <f>SUMIFS($AO$15:$AO$206,$B$15:$B$206,$B$305,$D$15:$D$206,$D310)</f>
        <v>0.595</v>
      </c>
      <c r="G310">
        <f>SUMIFS($AT$15:$AT$206,$B$15:$B$206,$B$305,$D$15:$D$206,$D310)</f>
        <v>9.38</v>
      </c>
      <c r="H310">
        <f>SUMIFS($AR$15:$AR$206,$B$15:$B$206,$B$305,$D$15:$D$206,$D310,$AD$15:$AD$206,H$213)+SUMIFS($AS$15:$AS$206,$B$15:$B$206,$B$305,$D$15:$D$206,$D310,$AI$15:$AI$206,H$213)</f>
        <v>42.9202368</v>
      </c>
      <c r="I310">
        <f>SUMIFS($AR$15:$AR$206,$B$15:$B$206,$B$305,$D$15:$D$206,$D310,$AD$15:$AD$206,I$213)+SUMIFS($AS$15:$AS$206,$B$15:$B$206,$B$305,$D$15:$D$206,$D310,$AI$15:$AI$206,I$213)</f>
        <v>0</v>
      </c>
      <c r="J310">
        <f>SUMIFS($AR$15:$AR$206,$B$15:$B$206,$B$305,$D$15:$D$206,$D310,$AD$15:$AD$206,J$213)+SUMIFS($AS$15:$AS$206,$B$15:$B$206,$B$305,$D$15:$D$206,$D310,$AI$15:$AI$206,J$213)</f>
        <v>0</v>
      </c>
      <c r="K310">
        <f>SUMIFS($AR$15:$AR$206,$B$15:$B$206,$B$305,$D$15:$D$206,$D310,$AD$15:$AD$206,K$213)+SUMIFS($AS$15:$AS$206,$B$15:$B$206,$B$305,$D$15:$D$206,$D310,$AI$15:$AI$206,K$213)</f>
        <v>0</v>
      </c>
      <c r="L310">
        <f>SUMIFS($AP$15:$AP$206,$B$15:$B$206,$B$305,$D$15:$D$206,$D310,$O$15:$O$206,L$213)+SUMIFS($AQ$15:$AQ$206,$B$15:$B$206,$B$305,$D$15:$D$206,$D310,$W$15:$W$206,L$213)</f>
        <v>0</v>
      </c>
      <c r="M310">
        <f>SUMIFS($AP$15:$AP$206,$B$15:$B$206,$B$305,$D$15:$D$206,$D310,$O$15:$O$206,M$213)+SUMIFS($AQ$15:$AQ$206,$B$15:$B$206,$B$305,$D$15:$D$206,$D310,$W$15:$W$206,M$213)</f>
        <v>0</v>
      </c>
      <c r="N310">
        <f>SUMIFS($AP$15:$AP$206,$B$15:$B$206,$B$305,$D$15:$D$206,$D310,$O$15:$O$206,N$213)+SUMIFS($AQ$15:$AQ$206,$B$15:$B$206,$B$305,$D$15:$D$206,$D310,$W$15:$W$206,N$213)</f>
        <v>0</v>
      </c>
      <c r="O310">
        <f>SUMIFS($AP$15:$AP$206,$B$15:$B$206,$B$305,$D$15:$D$206,$D310,$O$15:$O$206,O$213)+SUMIFS($AQ$15:$AQ$206,$B$15:$B$206,$B$305,$D$15:$D$206,$D310,$W$15:$W$206,O$213)</f>
        <v>69.54356736000001</v>
      </c>
      <c r="P310">
        <f>SUMIFS($AP$15:$AP$206,$B$15:$B$206,$B$305,$D$15:$D$206,$D310,$O$15:$O$206,P$213)+SUMIFS($AQ$15:$AQ$206,$B$15:$B$206,$B$305,$D$15:$D$206,$D310,$W$15:$W$206,P$213)</f>
        <v>0</v>
      </c>
      <c r="Q310">
        <f>SUMIFS($AP$15:$AP$206,$B$15:$B$206,$B$305,$D$15:$D$206,$D310,$O$15:$O$206,Q$213)+SUMIFS($AQ$15:$AQ$206,$B$15:$B$206,$B$305,$D$15:$D$206,$D310,$W$15:$W$206,Q$213)</f>
        <v>0</v>
      </c>
      <c r="R310">
        <f>SUMIFS($AP$15:$AP$206,$B$15:$B$206,$B$305,$D$15:$D$206,$D310,$O$15:$O$206,R$213)+SUMIFS($AQ$15:$AQ$206,$B$15:$B$206,$B$305,$D$15:$D$206,$D310,$W$15:$W$206,R$213)</f>
        <v>0</v>
      </c>
      <c r="S310">
        <f>SUMIFS($AP$15:$AP$206,$B$15:$B$206,$B$305,$D$15:$D$206,$D310,$O$15:$O$206,S$213)+SUMIFS($AQ$15:$AQ$206,$B$15:$B$206,$B$305,$D$15:$D$206,$D310,$W$15:$W$206,S$213)</f>
        <v>0</v>
      </c>
      <c r="T310">
        <f>SUM(H310:R310)</f>
        <v>112.46380416000001</v>
      </c>
      <c r="V310">
        <f>IF(F310&gt;0,G310/F310,0)</f>
        <v>15.764705882352944</v>
      </c>
      <c r="W310">
        <f>IF(F310&gt;0,T310/F310,0)</f>
        <v>189.01479690756304</v>
      </c>
    </row>
    <row r="311">
      <c r="D311" t="str">
        <v>K175-2</v>
      </c>
      <c r="F311">
        <f>SUMIFS($AO$15:$AO$206,$B$15:$B$206,$B$305,$D$15:$D$206,$D311)</f>
        <v>1.4874999999999998</v>
      </c>
      <c r="G311">
        <f>SUMIFS($AT$15:$AT$206,$B$15:$B$206,$B$305,$D$15:$D$206,$D311)</f>
        <v>23.450000000000003</v>
      </c>
      <c r="H311">
        <f>SUMIFS($AR$15:$AR$206,$B$15:$B$206,$B$305,$D$15:$D$206,$D311,$AD$15:$AD$206,H$213)+SUMIFS($AS$15:$AS$206,$B$15:$B$206,$B$305,$D$15:$D$206,$D311,$AI$15:$AI$206,H$213)</f>
        <v>107.30059200000001</v>
      </c>
      <c r="I311">
        <f>SUMIFS($AR$15:$AR$206,$B$15:$B$206,$B$305,$D$15:$D$206,$D311,$AD$15:$AD$206,I$213)+SUMIFS($AS$15:$AS$206,$B$15:$B$206,$B$305,$D$15:$D$206,$D311,$AI$15:$AI$206,I$213)</f>
        <v>0</v>
      </c>
      <c r="J311">
        <f>SUMIFS($AR$15:$AR$206,$B$15:$B$206,$B$305,$D$15:$D$206,$D311,$AD$15:$AD$206,J$213)+SUMIFS($AS$15:$AS$206,$B$15:$B$206,$B$305,$D$15:$D$206,$D311,$AI$15:$AI$206,J$213)</f>
        <v>0</v>
      </c>
      <c r="K311">
        <f>SUMIFS($AR$15:$AR$206,$B$15:$B$206,$B$305,$D$15:$D$206,$D311,$AD$15:$AD$206,K$213)+SUMIFS($AS$15:$AS$206,$B$15:$B$206,$B$305,$D$15:$D$206,$D311,$AI$15:$AI$206,K$213)</f>
        <v>0</v>
      </c>
      <c r="L311">
        <f>SUMIFS($AP$15:$AP$206,$B$15:$B$206,$B$305,$D$15:$D$206,$D311,$O$15:$O$206,L$213)+SUMIFS($AQ$15:$AQ$206,$B$15:$B$206,$B$305,$D$15:$D$206,$D311,$W$15:$W$206,L$213)</f>
        <v>0</v>
      </c>
      <c r="M311">
        <f>SUMIFS($AP$15:$AP$206,$B$15:$B$206,$B$305,$D$15:$D$206,$D311,$O$15:$O$206,M$213)+SUMIFS($AQ$15:$AQ$206,$B$15:$B$206,$B$305,$D$15:$D$206,$D311,$W$15:$W$206,M$213)</f>
        <v>0</v>
      </c>
      <c r="N311">
        <f>SUMIFS($AP$15:$AP$206,$B$15:$B$206,$B$305,$D$15:$D$206,$D311,$O$15:$O$206,N$213)+SUMIFS($AQ$15:$AQ$206,$B$15:$B$206,$B$305,$D$15:$D$206,$D311,$W$15:$W$206,N$213)</f>
        <v>0</v>
      </c>
      <c r="O311">
        <f>SUMIFS($AP$15:$AP$206,$B$15:$B$206,$B$305,$D$15:$D$206,$D311,$O$15:$O$206,O$213)+SUMIFS($AQ$15:$AQ$206,$B$15:$B$206,$B$305,$D$15:$D$206,$D311,$W$15:$W$206,O$213)</f>
        <v>260.9777664</v>
      </c>
      <c r="P311">
        <f>SUMIFS($AP$15:$AP$206,$B$15:$B$206,$B$305,$D$15:$D$206,$D311,$O$15:$O$206,P$213)+SUMIFS($AQ$15:$AQ$206,$B$15:$B$206,$B$305,$D$15:$D$206,$D311,$W$15:$W$206,P$213)</f>
        <v>0</v>
      </c>
      <c r="Q311">
        <f>SUMIFS($AP$15:$AP$206,$B$15:$B$206,$B$305,$D$15:$D$206,$D311,$O$15:$O$206,Q$213)+SUMIFS($AQ$15:$AQ$206,$B$15:$B$206,$B$305,$D$15:$D$206,$D311,$W$15:$W$206,Q$213)</f>
        <v>0</v>
      </c>
      <c r="R311">
        <f>SUMIFS($AP$15:$AP$206,$B$15:$B$206,$B$305,$D$15:$D$206,$D311,$O$15:$O$206,R$213)+SUMIFS($AQ$15:$AQ$206,$B$15:$B$206,$B$305,$D$15:$D$206,$D311,$W$15:$W$206,R$213)</f>
        <v>0</v>
      </c>
      <c r="S311">
        <f>SUMIFS($AP$15:$AP$206,$B$15:$B$206,$B$305,$D$15:$D$206,$D311,$O$15:$O$206,S$213)+SUMIFS($AQ$15:$AQ$206,$B$15:$B$206,$B$305,$D$15:$D$206,$D311,$W$15:$W$206,S$213)</f>
        <v>0</v>
      </c>
      <c r="T311">
        <f>SUM(H311:R311)</f>
        <v>368.2783584</v>
      </c>
      <c r="V311">
        <f>IF(F311&gt;0,G311/F311,0)</f>
        <v>15.764705882352946</v>
      </c>
      <c r="W311">
        <f>IF(F311&gt;0,T311/F311,0)</f>
        <v>247.5820896806723</v>
      </c>
    </row>
    <row r="312">
      <c r="D312" t="str">
        <v>K175-3</v>
      </c>
      <c r="F312">
        <f>SUMIFS($AO$15:$AO$206,$B$15:$B$206,$B$305,$D$15:$D$206,$D312)</f>
        <v>2.0824999999999996</v>
      </c>
      <c r="G312">
        <f>SUMIFS($AT$15:$AT$206,$B$15:$B$206,$B$305,$D$15:$D$206,$D312)</f>
        <v>32.830000000000005</v>
      </c>
      <c r="H312">
        <f>SUMIFS($AR$15:$AR$206,$B$15:$B$206,$B$305,$D$15:$D$206,$D312,$AD$15:$AD$206,H$213)+SUMIFS($AS$15:$AS$206,$B$15:$B$206,$B$305,$D$15:$D$206,$D312,$AI$15:$AI$206,H$213)</f>
        <v>150.22082880000002</v>
      </c>
      <c r="I312">
        <f>SUMIFS($AR$15:$AR$206,$B$15:$B$206,$B$305,$D$15:$D$206,$D312,$AD$15:$AD$206,I$213)+SUMIFS($AS$15:$AS$206,$B$15:$B$206,$B$305,$D$15:$D$206,$D312,$AI$15:$AI$206,I$213)</f>
        <v>0</v>
      </c>
      <c r="J312">
        <f>SUMIFS($AR$15:$AR$206,$B$15:$B$206,$B$305,$D$15:$D$206,$D312,$AD$15:$AD$206,J$213)+SUMIFS($AS$15:$AS$206,$B$15:$B$206,$B$305,$D$15:$D$206,$D312,$AI$15:$AI$206,J$213)</f>
        <v>0</v>
      </c>
      <c r="K312">
        <f>SUMIFS($AR$15:$AR$206,$B$15:$B$206,$B$305,$D$15:$D$206,$D312,$AD$15:$AD$206,K$213)+SUMIFS($AS$15:$AS$206,$B$15:$B$206,$B$305,$D$15:$D$206,$D312,$AI$15:$AI$206,K$213)</f>
        <v>0</v>
      </c>
      <c r="L312">
        <f>SUMIFS($AP$15:$AP$206,$B$15:$B$206,$B$305,$D$15:$D$206,$D312,$O$15:$O$206,L$213)+SUMIFS($AQ$15:$AQ$206,$B$15:$B$206,$B$305,$D$15:$D$206,$D312,$W$15:$W$206,L$213)</f>
        <v>0</v>
      </c>
      <c r="M312">
        <f>SUMIFS($AP$15:$AP$206,$B$15:$B$206,$B$305,$D$15:$D$206,$D312,$O$15:$O$206,M$213)+SUMIFS($AQ$15:$AQ$206,$B$15:$B$206,$B$305,$D$15:$D$206,$D312,$W$15:$W$206,M$213)</f>
        <v>0</v>
      </c>
      <c r="N312">
        <f>SUMIFS($AP$15:$AP$206,$B$15:$B$206,$B$305,$D$15:$D$206,$D312,$O$15:$O$206,N$213)+SUMIFS($AQ$15:$AQ$206,$B$15:$B$206,$B$305,$D$15:$D$206,$D312,$W$15:$W$206,N$213)</f>
        <v>0</v>
      </c>
      <c r="O312">
        <f>SUMIFS($AP$15:$AP$206,$B$15:$B$206,$B$305,$D$15:$D$206,$D312,$O$15:$O$206,O$213)+SUMIFS($AQ$15:$AQ$206,$B$15:$B$206,$B$305,$D$15:$D$206,$D312,$W$15:$W$206,O$213)</f>
        <v>196.29517824</v>
      </c>
      <c r="P312">
        <f>SUMIFS($AP$15:$AP$206,$B$15:$B$206,$B$305,$D$15:$D$206,$D312,$O$15:$O$206,P$213)+SUMIFS($AQ$15:$AQ$206,$B$15:$B$206,$B$305,$D$15:$D$206,$D312,$W$15:$W$206,P$213)</f>
        <v>287.77445676</v>
      </c>
      <c r="Q312">
        <f>SUMIFS($AP$15:$AP$206,$B$15:$B$206,$B$305,$D$15:$D$206,$D312,$O$15:$O$206,Q$213)+SUMIFS($AQ$15:$AQ$206,$B$15:$B$206,$B$305,$D$15:$D$206,$D312,$W$15:$W$206,Q$213)</f>
        <v>0</v>
      </c>
      <c r="R312">
        <f>SUMIFS($AP$15:$AP$206,$B$15:$B$206,$B$305,$D$15:$D$206,$D312,$O$15:$O$206,R$213)+SUMIFS($AQ$15:$AQ$206,$B$15:$B$206,$B$305,$D$15:$D$206,$D312,$W$15:$W$206,R$213)</f>
        <v>0</v>
      </c>
      <c r="S312">
        <f>SUMIFS($AP$15:$AP$206,$B$15:$B$206,$B$305,$D$15:$D$206,$D312,$O$15:$O$206,S$213)+SUMIFS($AQ$15:$AQ$206,$B$15:$B$206,$B$305,$D$15:$D$206,$D312,$W$15:$W$206,S$213)</f>
        <v>0</v>
      </c>
      <c r="T312">
        <f>SUM(H312:R312)</f>
        <v>634.2904638</v>
      </c>
      <c r="V312">
        <f>IF(F312&gt;0,G312/F312,0)</f>
        <v>15.764705882352947</v>
      </c>
      <c r="W312">
        <f>IF(F312&gt;0,T312/F312,0)</f>
        <v>304.5812551260505</v>
      </c>
    </row>
    <row r="313">
      <c r="D313" t="str">
        <v>K175-4</v>
      </c>
      <c r="F313">
        <f>SUMIFS($AO$15:$AO$206,$B$15:$B$206,$B$305,$D$15:$D$206,$D313)</f>
        <v>0.8925</v>
      </c>
      <c r="G313">
        <f>SUMIFS($AT$15:$AT$206,$B$15:$B$206,$B$305,$D$15:$D$206,$D313)</f>
        <v>14.07</v>
      </c>
      <c r="H313">
        <f>SUMIFS($AR$15:$AR$206,$B$15:$B$206,$B$305,$D$15:$D$206,$D313,$AD$15:$AD$206,H$213)+SUMIFS($AS$15:$AS$206,$B$15:$B$206,$B$305,$D$15:$D$206,$D313,$AI$15:$AI$206,H$213)</f>
        <v>6.131462399999999</v>
      </c>
      <c r="I313">
        <f>SUMIFS($AR$15:$AR$206,$B$15:$B$206,$B$305,$D$15:$D$206,$D313,$AD$15:$AD$206,I$213)+SUMIFS($AS$15:$AS$206,$B$15:$B$206,$B$305,$D$15:$D$206,$D313,$AI$15:$AI$206,I$213)</f>
        <v>91.013895</v>
      </c>
      <c r="J313">
        <f>SUMIFS($AR$15:$AR$206,$B$15:$B$206,$B$305,$D$15:$D$206,$D313,$AD$15:$AD$206,J$213)+SUMIFS($AS$15:$AS$206,$B$15:$B$206,$B$305,$D$15:$D$206,$D313,$AI$15:$AI$206,J$213)</f>
        <v>0</v>
      </c>
      <c r="K313">
        <f>SUMIFS($AR$15:$AR$206,$B$15:$B$206,$B$305,$D$15:$D$206,$D313,$AD$15:$AD$206,K$213)+SUMIFS($AS$15:$AS$206,$B$15:$B$206,$B$305,$D$15:$D$206,$D313,$AI$15:$AI$206,K$213)</f>
        <v>0</v>
      </c>
      <c r="L313">
        <f>SUMIFS($AP$15:$AP$206,$B$15:$B$206,$B$305,$D$15:$D$206,$D313,$O$15:$O$206,L$213)+SUMIFS($AQ$15:$AQ$206,$B$15:$B$206,$B$305,$D$15:$D$206,$D313,$W$15:$W$206,L$213)</f>
        <v>8.954933760000001</v>
      </c>
      <c r="M313">
        <f>SUMIFS($AP$15:$AP$206,$B$15:$B$206,$B$305,$D$15:$D$206,$D313,$O$15:$O$206,M$213)+SUMIFS($AQ$15:$AQ$206,$B$15:$B$206,$B$305,$D$15:$D$206,$D313,$W$15:$W$206,M$213)</f>
        <v>0</v>
      </c>
      <c r="N313">
        <f>SUMIFS($AP$15:$AP$206,$B$15:$B$206,$B$305,$D$15:$D$206,$D313,$O$15:$O$206,N$213)+SUMIFS($AQ$15:$AQ$206,$B$15:$B$206,$B$305,$D$15:$D$206,$D313,$W$15:$W$206,N$213)</f>
        <v>0</v>
      </c>
      <c r="O313">
        <f>SUMIFS($AP$15:$AP$206,$B$15:$B$206,$B$305,$D$15:$D$206,$D313,$O$15:$O$206,O$213)+SUMIFS($AQ$15:$AQ$206,$B$15:$B$206,$B$305,$D$15:$D$206,$D313,$W$15:$W$206,O$213)</f>
        <v>0</v>
      </c>
      <c r="P313">
        <f>SUMIFS($AP$15:$AP$206,$B$15:$B$206,$B$305,$D$15:$D$206,$D313,$O$15:$O$206,P$213)+SUMIFS($AQ$15:$AQ$206,$B$15:$B$206,$B$305,$D$15:$D$206,$D313,$W$15:$W$206,P$213)</f>
        <v>230.46170688</v>
      </c>
      <c r="Q313">
        <f>SUMIFS($AP$15:$AP$206,$B$15:$B$206,$B$305,$D$15:$D$206,$D313,$O$15:$O$206,Q$213)+SUMIFS($AQ$15:$AQ$206,$B$15:$B$206,$B$305,$D$15:$D$206,$D313,$W$15:$W$206,Q$213)</f>
        <v>0</v>
      </c>
      <c r="R313">
        <f>SUMIFS($AP$15:$AP$206,$B$15:$B$206,$B$305,$D$15:$D$206,$D313,$O$15:$O$206,R$213)+SUMIFS($AQ$15:$AQ$206,$B$15:$B$206,$B$305,$D$15:$D$206,$D313,$W$15:$W$206,R$213)</f>
        <v>0</v>
      </c>
      <c r="S313">
        <f>SUMIFS($AP$15:$AP$206,$B$15:$B$206,$B$305,$D$15:$D$206,$D313,$O$15:$O$206,S$213)+SUMIFS($AQ$15:$AQ$206,$B$15:$B$206,$B$305,$D$15:$D$206,$D313,$W$15:$W$206,S$213)</f>
        <v>0</v>
      </c>
      <c r="T313">
        <f>SUM(H313:R313)</f>
        <v>336.56199804000005</v>
      </c>
      <c r="V313">
        <f>IF(F313&gt;0,G313/F313,0)</f>
        <v>15.764705882352942</v>
      </c>
      <c r="W313">
        <f>IF(F313&gt;0,T313/F313,0)</f>
        <v>377.10027791596644</v>
      </c>
    </row>
    <row r="314">
      <c r="D314" t="str">
        <v>K176-1</v>
      </c>
      <c r="F314">
        <f>SUMIFS($AO$15:$AO$206,$B$15:$B$206,$B$305,$D$15:$D$206,$D314)</f>
        <v>0.714</v>
      </c>
      <c r="G314">
        <f>SUMIFS($AT$15:$AT$206,$B$15:$B$206,$B$305,$D$15:$D$206,$D314)</f>
        <v>10.78</v>
      </c>
      <c r="H314">
        <f>SUMIFS($AR$15:$AR$206,$B$15:$B$206,$B$305,$D$15:$D$206,$D314,$AD$15:$AD$206,H$213)+SUMIFS($AS$15:$AS$206,$B$15:$B$206,$B$305,$D$15:$D$206,$D314,$AI$15:$AI$206,H$213)</f>
        <v>48.7597248</v>
      </c>
      <c r="I314">
        <f>SUMIFS($AR$15:$AR$206,$B$15:$B$206,$B$305,$D$15:$D$206,$D314,$AD$15:$AD$206,I$213)+SUMIFS($AS$15:$AS$206,$B$15:$B$206,$B$305,$D$15:$D$206,$D314,$AI$15:$AI$206,I$213)</f>
        <v>0</v>
      </c>
      <c r="J314">
        <f>SUMIFS($AR$15:$AR$206,$B$15:$B$206,$B$305,$D$15:$D$206,$D314,$AD$15:$AD$206,J$213)+SUMIFS($AS$15:$AS$206,$B$15:$B$206,$B$305,$D$15:$D$206,$D314,$AI$15:$AI$206,J$213)</f>
        <v>0</v>
      </c>
      <c r="K314">
        <f>SUMIFS($AR$15:$AR$206,$B$15:$B$206,$B$305,$D$15:$D$206,$D314,$AD$15:$AD$206,K$213)+SUMIFS($AS$15:$AS$206,$B$15:$B$206,$B$305,$D$15:$D$206,$D314,$AI$15:$AI$206,K$213)</f>
        <v>0</v>
      </c>
      <c r="L314">
        <f>SUMIFS($AP$15:$AP$206,$B$15:$B$206,$B$305,$D$15:$D$206,$D314,$O$15:$O$206,L$213)+SUMIFS($AQ$15:$AQ$206,$B$15:$B$206,$B$305,$D$15:$D$206,$D314,$W$15:$W$206,L$213)</f>
        <v>0</v>
      </c>
      <c r="M314">
        <f>SUMIFS($AP$15:$AP$206,$B$15:$B$206,$B$305,$D$15:$D$206,$D314,$O$15:$O$206,M$213)+SUMIFS($AQ$15:$AQ$206,$B$15:$B$206,$B$305,$D$15:$D$206,$D314,$W$15:$W$206,M$213)</f>
        <v>0</v>
      </c>
      <c r="N314">
        <f>SUMIFS($AP$15:$AP$206,$B$15:$B$206,$B$305,$D$15:$D$206,$D314,$O$15:$O$206,N$213)+SUMIFS($AQ$15:$AQ$206,$B$15:$B$206,$B$305,$D$15:$D$206,$D314,$W$15:$W$206,N$213)</f>
        <v>0</v>
      </c>
      <c r="O314">
        <f>SUMIFS($AP$15:$AP$206,$B$15:$B$206,$B$305,$D$15:$D$206,$D314,$O$15:$O$206,O$213)+SUMIFS($AQ$15:$AQ$206,$B$15:$B$206,$B$305,$D$15:$D$206,$D314,$W$15:$W$206,O$213)</f>
        <v>115.90594560000001</v>
      </c>
      <c r="P314">
        <f>SUMIFS($AP$15:$AP$206,$B$15:$B$206,$B$305,$D$15:$D$206,$D314,$O$15:$O$206,P$213)+SUMIFS($AQ$15:$AQ$206,$B$15:$B$206,$B$305,$D$15:$D$206,$D314,$W$15:$W$206,P$213)</f>
        <v>0</v>
      </c>
      <c r="Q314">
        <f>SUMIFS($AP$15:$AP$206,$B$15:$B$206,$B$305,$D$15:$D$206,$D314,$O$15:$O$206,Q$213)+SUMIFS($AQ$15:$AQ$206,$B$15:$B$206,$B$305,$D$15:$D$206,$D314,$W$15:$W$206,Q$213)</f>
        <v>0</v>
      </c>
      <c r="R314">
        <f>SUMIFS($AP$15:$AP$206,$B$15:$B$206,$B$305,$D$15:$D$206,$D314,$O$15:$O$206,R$213)+SUMIFS($AQ$15:$AQ$206,$B$15:$B$206,$B$305,$D$15:$D$206,$D314,$W$15:$W$206,R$213)</f>
        <v>0</v>
      </c>
      <c r="S314">
        <f>SUMIFS($AP$15:$AP$206,$B$15:$B$206,$B$305,$D$15:$D$206,$D314,$O$15:$O$206,S$213)+SUMIFS($AQ$15:$AQ$206,$B$15:$B$206,$B$305,$D$15:$D$206,$D314,$W$15:$W$206,S$213)</f>
        <v>0</v>
      </c>
      <c r="T314">
        <f>SUM(H314:R314)</f>
        <v>164.6656704</v>
      </c>
      <c r="V314">
        <f>IF(F314&gt;0,G314/F314,0)</f>
        <v>15.098039215686274</v>
      </c>
      <c r="W314">
        <f>IF(F314&gt;0,T314/F314,0)</f>
        <v>230.62418823529416</v>
      </c>
    </row>
    <row r="315">
      <c r="D315" t="str">
        <v>K176-4</v>
      </c>
      <c r="F315">
        <f>SUMIFS($AO$15:$AO$206,$B$15:$B$206,$B$305,$D$15:$D$206,$D315)</f>
        <v>0.357</v>
      </c>
      <c r="G315">
        <f>SUMIFS($AT$15:$AT$206,$B$15:$B$206,$B$305,$D$15:$D$206,$D315)</f>
        <v>5.39</v>
      </c>
      <c r="H315">
        <f>SUMIFS($AR$15:$AR$206,$B$15:$B$206,$B$305,$D$15:$D$206,$D315,$AD$15:$AD$206,H$213)+SUMIFS($AS$15:$AS$206,$B$15:$B$206,$B$305,$D$15:$D$206,$D315,$AI$15:$AI$206,H$213)</f>
        <v>24.3798624</v>
      </c>
      <c r="I315">
        <f>SUMIFS($AR$15:$AR$206,$B$15:$B$206,$B$305,$D$15:$D$206,$D315,$AD$15:$AD$206,I$213)+SUMIFS($AS$15:$AS$206,$B$15:$B$206,$B$305,$D$15:$D$206,$D315,$AI$15:$AI$206,I$213)</f>
        <v>0</v>
      </c>
      <c r="J315">
        <f>SUMIFS($AR$15:$AR$206,$B$15:$B$206,$B$305,$D$15:$D$206,$D315,$AD$15:$AD$206,J$213)+SUMIFS($AS$15:$AS$206,$B$15:$B$206,$B$305,$D$15:$D$206,$D315,$AI$15:$AI$206,J$213)</f>
        <v>0</v>
      </c>
      <c r="K315">
        <f>SUMIFS($AR$15:$AR$206,$B$15:$B$206,$B$305,$D$15:$D$206,$D315,$AD$15:$AD$206,K$213)+SUMIFS($AS$15:$AS$206,$B$15:$B$206,$B$305,$D$15:$D$206,$D315,$AI$15:$AI$206,K$213)</f>
        <v>0</v>
      </c>
      <c r="L315">
        <f>SUMIFS($AP$15:$AP$206,$B$15:$B$206,$B$305,$D$15:$D$206,$D315,$O$15:$O$206,L$213)+SUMIFS($AQ$15:$AQ$206,$B$15:$B$206,$B$305,$D$15:$D$206,$D315,$W$15:$W$206,L$213)</f>
        <v>0</v>
      </c>
      <c r="M315">
        <f>SUMIFS($AP$15:$AP$206,$B$15:$B$206,$B$305,$D$15:$D$206,$D315,$O$15:$O$206,M$213)+SUMIFS($AQ$15:$AQ$206,$B$15:$B$206,$B$305,$D$15:$D$206,$D315,$W$15:$W$206,M$213)</f>
        <v>0</v>
      </c>
      <c r="N315">
        <f>SUMIFS($AP$15:$AP$206,$B$15:$B$206,$B$305,$D$15:$D$206,$D315,$O$15:$O$206,N$213)+SUMIFS($AQ$15:$AQ$206,$B$15:$B$206,$B$305,$D$15:$D$206,$D315,$W$15:$W$206,N$213)</f>
        <v>0</v>
      </c>
      <c r="O315">
        <f>SUMIFS($AP$15:$AP$206,$B$15:$B$206,$B$305,$D$15:$D$206,$D315,$O$15:$O$206,O$213)+SUMIFS($AQ$15:$AQ$206,$B$15:$B$206,$B$305,$D$15:$D$206,$D315,$W$15:$W$206,O$213)</f>
        <v>28.042168320000002</v>
      </c>
      <c r="P315">
        <f>SUMIFS($AP$15:$AP$206,$B$15:$B$206,$B$305,$D$15:$D$206,$D315,$O$15:$O$206,P$213)+SUMIFS($AQ$15:$AQ$206,$B$15:$B$206,$B$305,$D$15:$D$206,$D315,$W$15:$W$206,P$213)</f>
        <v>82.22127336000001</v>
      </c>
      <c r="Q315">
        <f>SUMIFS($AP$15:$AP$206,$B$15:$B$206,$B$305,$D$15:$D$206,$D315,$O$15:$O$206,Q$213)+SUMIFS($AQ$15:$AQ$206,$B$15:$B$206,$B$305,$D$15:$D$206,$D315,$W$15:$W$206,Q$213)</f>
        <v>0</v>
      </c>
      <c r="R315">
        <f>SUMIFS($AP$15:$AP$206,$B$15:$B$206,$B$305,$D$15:$D$206,$D315,$O$15:$O$206,R$213)+SUMIFS($AQ$15:$AQ$206,$B$15:$B$206,$B$305,$D$15:$D$206,$D315,$W$15:$W$206,R$213)</f>
        <v>0</v>
      </c>
      <c r="S315">
        <f>SUMIFS($AP$15:$AP$206,$B$15:$B$206,$B$305,$D$15:$D$206,$D315,$O$15:$O$206,S$213)+SUMIFS($AQ$15:$AQ$206,$B$15:$B$206,$B$305,$D$15:$D$206,$D315,$W$15:$W$206,S$213)</f>
        <v>0</v>
      </c>
      <c r="T315">
        <f>SUM(H315:R315)</f>
        <v>134.64330408</v>
      </c>
      <c r="V315">
        <f>IF(F315&gt;0,G315/F315,0)</f>
        <v>15.098039215686274</v>
      </c>
      <c r="W315">
        <f>IF(F315&gt;0,T315/F315,0)</f>
        <v>377.1521122689076</v>
      </c>
    </row>
    <row r="316">
      <c r="D316" t="str">
        <v>K177-1</v>
      </c>
      <c r="F316">
        <f>SUMIFS($AO$15:$AO$206,$B$15:$B$206,$B$305,$D$15:$D$206,$D316)</f>
        <v>0.833</v>
      </c>
      <c r="G316">
        <f>SUMIFS($AT$15:$AT$206,$B$15:$B$206,$B$305,$D$15:$D$206,$D316)</f>
        <v>12.18</v>
      </c>
      <c r="H316">
        <f>SUMIFS($AR$15:$AR$206,$B$15:$B$206,$B$305,$D$15:$D$206,$D316,$AD$15:$AD$206,H$213)+SUMIFS($AS$15:$AS$206,$B$15:$B$206,$B$305,$D$15:$D$206,$D316,$AI$15:$AI$206,H$213)</f>
        <v>54.5992128</v>
      </c>
      <c r="I316">
        <f>SUMIFS($AR$15:$AR$206,$B$15:$B$206,$B$305,$D$15:$D$206,$D316,$AD$15:$AD$206,I$213)+SUMIFS($AS$15:$AS$206,$B$15:$B$206,$B$305,$D$15:$D$206,$D316,$AI$15:$AI$206,I$213)</f>
        <v>0</v>
      </c>
      <c r="J316">
        <f>SUMIFS($AR$15:$AR$206,$B$15:$B$206,$B$305,$D$15:$D$206,$D316,$AD$15:$AD$206,J$213)+SUMIFS($AS$15:$AS$206,$B$15:$B$206,$B$305,$D$15:$D$206,$D316,$AI$15:$AI$206,J$213)</f>
        <v>0</v>
      </c>
      <c r="K316">
        <f>SUMIFS($AR$15:$AR$206,$B$15:$B$206,$B$305,$D$15:$D$206,$D316,$AD$15:$AD$206,K$213)+SUMIFS($AS$15:$AS$206,$B$15:$B$206,$B$305,$D$15:$D$206,$D316,$AI$15:$AI$206,K$213)</f>
        <v>0</v>
      </c>
      <c r="L316">
        <f>SUMIFS($AP$15:$AP$206,$B$15:$B$206,$B$305,$D$15:$D$206,$D316,$O$15:$O$206,L$213)+SUMIFS($AQ$15:$AQ$206,$B$15:$B$206,$B$305,$D$15:$D$206,$D316,$W$15:$W$206,L$213)</f>
        <v>0</v>
      </c>
      <c r="M316">
        <f>SUMIFS($AP$15:$AP$206,$B$15:$B$206,$B$305,$D$15:$D$206,$D316,$O$15:$O$206,M$213)+SUMIFS($AQ$15:$AQ$206,$B$15:$B$206,$B$305,$D$15:$D$206,$D316,$W$15:$W$206,M$213)</f>
        <v>0</v>
      </c>
      <c r="N316">
        <f>SUMIFS($AP$15:$AP$206,$B$15:$B$206,$B$305,$D$15:$D$206,$D316,$O$15:$O$206,N$213)+SUMIFS($AQ$15:$AQ$206,$B$15:$B$206,$B$305,$D$15:$D$206,$D316,$W$15:$W$206,N$213)</f>
        <v>0</v>
      </c>
      <c r="O316">
        <f>SUMIFS($AP$15:$AP$206,$B$15:$B$206,$B$305,$D$15:$D$206,$D316,$O$15:$O$206,O$213)+SUMIFS($AQ$15:$AQ$206,$B$15:$B$206,$B$305,$D$15:$D$206,$D316,$W$15:$W$206,O$213)</f>
        <v>0</v>
      </c>
      <c r="P316">
        <f>SUMIFS($AP$15:$AP$206,$B$15:$B$206,$B$305,$D$15:$D$206,$D316,$O$15:$O$206,P$213)+SUMIFS($AQ$15:$AQ$206,$B$15:$B$206,$B$305,$D$15:$D$206,$D316,$W$15:$W$206,P$213)</f>
        <v>185.30054189999998</v>
      </c>
      <c r="Q316">
        <f>SUMIFS($AP$15:$AP$206,$B$15:$B$206,$B$305,$D$15:$D$206,$D316,$O$15:$O$206,Q$213)+SUMIFS($AQ$15:$AQ$206,$B$15:$B$206,$B$305,$D$15:$D$206,$D316,$W$15:$W$206,Q$213)</f>
        <v>0</v>
      </c>
      <c r="R316">
        <f>SUMIFS($AP$15:$AP$206,$B$15:$B$206,$B$305,$D$15:$D$206,$D316,$O$15:$O$206,R$213)+SUMIFS($AQ$15:$AQ$206,$B$15:$B$206,$B$305,$D$15:$D$206,$D316,$W$15:$W$206,R$213)</f>
        <v>0</v>
      </c>
      <c r="S316">
        <f>SUMIFS($AP$15:$AP$206,$B$15:$B$206,$B$305,$D$15:$D$206,$D316,$O$15:$O$206,S$213)+SUMIFS($AQ$15:$AQ$206,$B$15:$B$206,$B$305,$D$15:$D$206,$D316,$W$15:$W$206,S$213)</f>
        <v>0</v>
      </c>
      <c r="T316">
        <f>SUM(H316:R316)</f>
        <v>239.8997547</v>
      </c>
      <c r="V316">
        <f>IF(F316&gt;0,G316/F316,0)</f>
        <v>14.621848739495798</v>
      </c>
      <c r="W316">
        <f>IF(F316&gt;0,T316/F316,0)</f>
        <v>287.99490360144057</v>
      </c>
    </row>
    <row r="317">
      <c r="D317" t="str">
        <v>K177-2</v>
      </c>
      <c r="F317">
        <f>SUMIFS($AO$15:$AO$206,$B$15:$B$206,$B$305,$D$15:$D$206,$D317)</f>
        <v>0</v>
      </c>
      <c r="G317">
        <f>SUMIFS($AT$15:$AT$206,$B$15:$B$206,$B$305,$D$15:$D$206,$D317)</f>
        <v>0</v>
      </c>
      <c r="H317">
        <f>SUMIFS($AR$15:$AR$206,$B$15:$B$206,$B$305,$D$15:$D$206,$D317,$AD$15:$AD$206,H$213)+SUMIFS($AS$15:$AS$206,$B$15:$B$206,$B$305,$D$15:$D$206,$D317,$AI$15:$AI$206,H$213)</f>
        <v>0</v>
      </c>
      <c r="I317">
        <f>SUMIFS($AR$15:$AR$206,$B$15:$B$206,$B$305,$D$15:$D$206,$D317,$AD$15:$AD$206,I$213)+SUMIFS($AS$15:$AS$206,$B$15:$B$206,$B$305,$D$15:$D$206,$D317,$AI$15:$AI$206,I$213)</f>
        <v>0</v>
      </c>
      <c r="J317">
        <f>SUMIFS($AR$15:$AR$206,$B$15:$B$206,$B$305,$D$15:$D$206,$D317,$AD$15:$AD$206,J$213)+SUMIFS($AS$15:$AS$206,$B$15:$B$206,$B$305,$D$15:$D$206,$D317,$AI$15:$AI$206,J$213)</f>
        <v>0</v>
      </c>
      <c r="K317">
        <f>SUMIFS($AR$15:$AR$206,$B$15:$B$206,$B$305,$D$15:$D$206,$D317,$AD$15:$AD$206,K$213)+SUMIFS($AS$15:$AS$206,$B$15:$B$206,$B$305,$D$15:$D$206,$D317,$AI$15:$AI$206,K$213)</f>
        <v>0</v>
      </c>
      <c r="L317">
        <f>SUMIFS($AP$15:$AP$206,$B$15:$B$206,$B$305,$D$15:$D$206,$D317,$O$15:$O$206,L$213)+SUMIFS($AQ$15:$AQ$206,$B$15:$B$206,$B$305,$D$15:$D$206,$D317,$W$15:$W$206,L$213)</f>
        <v>0</v>
      </c>
      <c r="M317">
        <f>SUMIFS($AP$15:$AP$206,$B$15:$B$206,$B$305,$D$15:$D$206,$D317,$O$15:$O$206,M$213)+SUMIFS($AQ$15:$AQ$206,$B$15:$B$206,$B$305,$D$15:$D$206,$D317,$W$15:$W$206,M$213)</f>
        <v>0</v>
      </c>
      <c r="N317">
        <f>SUMIFS($AP$15:$AP$206,$B$15:$B$206,$B$305,$D$15:$D$206,$D317,$O$15:$O$206,N$213)+SUMIFS($AQ$15:$AQ$206,$B$15:$B$206,$B$305,$D$15:$D$206,$D317,$W$15:$W$206,N$213)</f>
        <v>0</v>
      </c>
      <c r="O317">
        <f>SUMIFS($AP$15:$AP$206,$B$15:$B$206,$B$305,$D$15:$D$206,$D317,$O$15:$O$206,O$213)+SUMIFS($AQ$15:$AQ$206,$B$15:$B$206,$B$305,$D$15:$D$206,$D317,$W$15:$W$206,O$213)</f>
        <v>0</v>
      </c>
      <c r="P317">
        <f>SUMIFS($AP$15:$AP$206,$B$15:$B$206,$B$305,$D$15:$D$206,$D317,$O$15:$O$206,P$213)+SUMIFS($AQ$15:$AQ$206,$B$15:$B$206,$B$305,$D$15:$D$206,$D317,$W$15:$W$206,P$213)</f>
        <v>0</v>
      </c>
      <c r="Q317">
        <f>SUMIFS($AP$15:$AP$206,$B$15:$B$206,$B$305,$D$15:$D$206,$D317,$O$15:$O$206,Q$213)+SUMIFS($AQ$15:$AQ$206,$B$15:$B$206,$B$305,$D$15:$D$206,$D317,$W$15:$W$206,Q$213)</f>
        <v>0</v>
      </c>
      <c r="R317">
        <f>SUMIFS($AP$15:$AP$206,$B$15:$B$206,$B$305,$D$15:$D$206,$D317,$O$15:$O$206,R$213)+SUMIFS($AQ$15:$AQ$206,$B$15:$B$206,$B$305,$D$15:$D$206,$D317,$W$15:$W$206,R$213)</f>
        <v>0</v>
      </c>
      <c r="S317">
        <f>SUMIFS($AP$15:$AP$206,$B$15:$B$206,$B$305,$D$15:$D$206,$D317,$O$15:$O$206,S$213)+SUMIFS($AQ$15:$AQ$206,$B$15:$B$206,$B$305,$D$15:$D$206,$D317,$W$15:$W$206,S$213)</f>
        <v>0</v>
      </c>
      <c r="T317">
        <f>SUM(H317:R317)</f>
        <v>0</v>
      </c>
      <c r="V317">
        <f>IF(F317&gt;0,G317/F317,0)</f>
        <v>0</v>
      </c>
      <c r="W317">
        <f>IF(F317&gt;0,T317/F317,0)</f>
        <v>0</v>
      </c>
    </row>
    <row r="318">
      <c r="D318" t="str">
        <v>K178-1</v>
      </c>
      <c r="F318">
        <f>SUMIFS($AO$15:$AO$206,$B$15:$B$206,$B$305,$D$15:$D$206,$D318)</f>
        <v>1.904</v>
      </c>
      <c r="G318">
        <f>SUMIFS($AT$15:$AT$206,$B$15:$B$206,$B$305,$D$15:$D$206,$D318)</f>
        <v>27.16</v>
      </c>
      <c r="H318">
        <f>SUMIFS($AR$15:$AR$206,$B$15:$B$206,$B$305,$D$15:$D$206,$D318,$AD$15:$AD$206,H$213)+SUMIFS($AS$15:$AS$206,$B$15:$B$206,$B$305,$D$15:$D$206,$D318,$AI$15:$AI$206,H$213)</f>
        <v>129.0526848</v>
      </c>
      <c r="I318">
        <f>SUMIFS($AR$15:$AR$206,$B$15:$B$206,$B$305,$D$15:$D$206,$D318,$AD$15:$AD$206,I$213)+SUMIFS($AS$15:$AS$206,$B$15:$B$206,$B$305,$D$15:$D$206,$D318,$AI$15:$AI$206,I$213)</f>
        <v>0</v>
      </c>
      <c r="J318">
        <f>SUMIFS($AR$15:$AR$206,$B$15:$B$206,$B$305,$D$15:$D$206,$D318,$AD$15:$AD$206,J$213)+SUMIFS($AS$15:$AS$206,$B$15:$B$206,$B$305,$D$15:$D$206,$D318,$AI$15:$AI$206,J$213)</f>
        <v>0</v>
      </c>
      <c r="K318">
        <f>SUMIFS($AR$15:$AR$206,$B$15:$B$206,$B$305,$D$15:$D$206,$D318,$AD$15:$AD$206,K$213)+SUMIFS($AS$15:$AS$206,$B$15:$B$206,$B$305,$D$15:$D$206,$D318,$AI$15:$AI$206,K$213)</f>
        <v>0</v>
      </c>
      <c r="L318">
        <f>SUMIFS($AP$15:$AP$206,$B$15:$B$206,$B$305,$D$15:$D$206,$D318,$O$15:$O$206,L$213)+SUMIFS($AQ$15:$AQ$206,$B$15:$B$206,$B$305,$D$15:$D$206,$D318,$W$15:$W$206,L$213)</f>
        <v>0</v>
      </c>
      <c r="M318">
        <f>SUMIFS($AP$15:$AP$206,$B$15:$B$206,$B$305,$D$15:$D$206,$D318,$O$15:$O$206,M$213)+SUMIFS($AQ$15:$AQ$206,$B$15:$B$206,$B$305,$D$15:$D$206,$D318,$W$15:$W$206,M$213)</f>
        <v>0</v>
      </c>
      <c r="N318">
        <f>SUMIFS($AP$15:$AP$206,$B$15:$B$206,$B$305,$D$15:$D$206,$D318,$O$15:$O$206,N$213)+SUMIFS($AQ$15:$AQ$206,$B$15:$B$206,$B$305,$D$15:$D$206,$D318,$W$15:$W$206,N$213)</f>
        <v>0</v>
      </c>
      <c r="O318">
        <f>SUMIFS($AP$15:$AP$206,$B$15:$B$206,$B$305,$D$15:$D$206,$D318,$O$15:$O$206,O$213)+SUMIFS($AQ$15:$AQ$206,$B$15:$B$206,$B$305,$D$15:$D$206,$D318,$W$15:$W$206,O$213)</f>
        <v>185.44951296000002</v>
      </c>
      <c r="P318">
        <f>SUMIFS($AP$15:$AP$206,$B$15:$B$206,$B$305,$D$15:$D$206,$D318,$O$15:$O$206,P$213)+SUMIFS($AQ$15:$AQ$206,$B$15:$B$206,$B$305,$D$15:$D$206,$D318,$W$15:$W$206,P$213)</f>
        <v>0</v>
      </c>
      <c r="Q318">
        <f>SUMIFS($AP$15:$AP$206,$B$15:$B$206,$B$305,$D$15:$D$206,$D318,$O$15:$O$206,Q$213)+SUMIFS($AQ$15:$AQ$206,$B$15:$B$206,$B$305,$D$15:$D$206,$D318,$W$15:$W$206,Q$213)</f>
        <v>0</v>
      </c>
      <c r="R318">
        <f>SUMIFS($AP$15:$AP$206,$B$15:$B$206,$B$305,$D$15:$D$206,$D318,$O$15:$O$206,R$213)+SUMIFS($AQ$15:$AQ$206,$B$15:$B$206,$B$305,$D$15:$D$206,$D318,$W$15:$W$206,R$213)</f>
        <v>0</v>
      </c>
      <c r="S318">
        <f>SUMIFS($AP$15:$AP$206,$B$15:$B$206,$B$305,$D$15:$D$206,$D318,$O$15:$O$206,S$213)+SUMIFS($AQ$15:$AQ$206,$B$15:$B$206,$B$305,$D$15:$D$206,$D318,$W$15:$W$206,S$213)</f>
        <v>0</v>
      </c>
      <c r="T318">
        <f>SUM(H318:R318)</f>
        <v>314.50219776000006</v>
      </c>
      <c r="V318">
        <f>IF(F318&gt;0,G318/F318,0)</f>
        <v>14.264705882352942</v>
      </c>
      <c r="W318">
        <f>IF(F318&gt;0,T318/F318,0)</f>
        <v>165.17972571428575</v>
      </c>
    </row>
    <row r="319">
      <c r="D319" t="str">
        <v>K178-2</v>
      </c>
      <c r="F319">
        <f>SUMIFS($AO$15:$AO$206,$B$15:$B$206,$B$305,$D$15:$D$206,$D319)</f>
        <v>0.476</v>
      </c>
      <c r="G319">
        <f>SUMIFS($AT$15:$AT$206,$B$15:$B$206,$B$305,$D$15:$D$206,$D319)</f>
        <v>6.79</v>
      </c>
      <c r="H319">
        <f>SUMIFS($AR$15:$AR$206,$B$15:$B$206,$B$305,$D$15:$D$206,$D319,$AD$15:$AD$206,H$213)+SUMIFS($AS$15:$AS$206,$B$15:$B$206,$B$305,$D$15:$D$206,$D319,$AI$15:$AI$206,H$213)</f>
        <v>32.2631712</v>
      </c>
      <c r="I319">
        <f>SUMIFS($AR$15:$AR$206,$B$15:$B$206,$B$305,$D$15:$D$206,$D319,$AD$15:$AD$206,I$213)+SUMIFS($AS$15:$AS$206,$B$15:$B$206,$B$305,$D$15:$D$206,$D319,$AI$15:$AI$206,I$213)</f>
        <v>0</v>
      </c>
      <c r="J319">
        <f>SUMIFS($AR$15:$AR$206,$B$15:$B$206,$B$305,$D$15:$D$206,$D319,$AD$15:$AD$206,J$213)+SUMIFS($AS$15:$AS$206,$B$15:$B$206,$B$305,$D$15:$D$206,$D319,$AI$15:$AI$206,J$213)</f>
        <v>0</v>
      </c>
      <c r="K319">
        <f>SUMIFS($AR$15:$AR$206,$B$15:$B$206,$B$305,$D$15:$D$206,$D319,$AD$15:$AD$206,K$213)+SUMIFS($AS$15:$AS$206,$B$15:$B$206,$B$305,$D$15:$D$206,$D319,$AI$15:$AI$206,K$213)</f>
        <v>0</v>
      </c>
      <c r="L319">
        <f>SUMIFS($AP$15:$AP$206,$B$15:$B$206,$B$305,$D$15:$D$206,$D319,$O$15:$O$206,L$213)+SUMIFS($AQ$15:$AQ$206,$B$15:$B$206,$B$305,$D$15:$D$206,$D319,$W$15:$W$206,L$213)</f>
        <v>0</v>
      </c>
      <c r="M319">
        <f>SUMIFS($AP$15:$AP$206,$B$15:$B$206,$B$305,$D$15:$D$206,$D319,$O$15:$O$206,M$213)+SUMIFS($AQ$15:$AQ$206,$B$15:$B$206,$B$305,$D$15:$D$206,$D319,$W$15:$W$206,M$213)</f>
        <v>0</v>
      </c>
      <c r="N319">
        <f>SUMIFS($AP$15:$AP$206,$B$15:$B$206,$B$305,$D$15:$D$206,$D319,$O$15:$O$206,N$213)+SUMIFS($AQ$15:$AQ$206,$B$15:$B$206,$B$305,$D$15:$D$206,$D319,$W$15:$W$206,N$213)</f>
        <v>0</v>
      </c>
      <c r="O319">
        <f>SUMIFS($AP$15:$AP$206,$B$15:$B$206,$B$305,$D$15:$D$206,$D319,$O$15:$O$206,O$213)+SUMIFS($AQ$15:$AQ$206,$B$15:$B$206,$B$305,$D$15:$D$206,$D319,$W$15:$W$206,O$213)</f>
        <v>0</v>
      </c>
      <c r="P319">
        <f>SUMIFS($AP$15:$AP$206,$B$15:$B$206,$B$305,$D$15:$D$206,$D319,$O$15:$O$206,P$213)+SUMIFS($AQ$15:$AQ$206,$B$15:$B$206,$B$305,$D$15:$D$206,$D319,$W$15:$W$206,P$213)</f>
        <v>115.53353028000001</v>
      </c>
      <c r="Q319">
        <f>SUMIFS($AP$15:$AP$206,$B$15:$B$206,$B$305,$D$15:$D$206,$D319,$O$15:$O$206,Q$213)+SUMIFS($AQ$15:$AQ$206,$B$15:$B$206,$B$305,$D$15:$D$206,$D319,$W$15:$W$206,Q$213)</f>
        <v>0</v>
      </c>
      <c r="R319">
        <f>SUMIFS($AP$15:$AP$206,$B$15:$B$206,$B$305,$D$15:$D$206,$D319,$O$15:$O$206,R$213)+SUMIFS($AQ$15:$AQ$206,$B$15:$B$206,$B$305,$D$15:$D$206,$D319,$W$15:$W$206,R$213)</f>
        <v>0</v>
      </c>
      <c r="S319">
        <f>SUMIFS($AP$15:$AP$206,$B$15:$B$206,$B$305,$D$15:$D$206,$D319,$O$15:$O$206,S$213)+SUMIFS($AQ$15:$AQ$206,$B$15:$B$206,$B$305,$D$15:$D$206,$D319,$W$15:$W$206,S$213)</f>
        <v>0</v>
      </c>
      <c r="T319">
        <f>SUM(H319:R319)</f>
        <v>147.79670148000002</v>
      </c>
      <c r="V319">
        <f>IF(F319&gt;0,G319/F319,0)</f>
        <v>14.264705882352942</v>
      </c>
      <c r="W319">
        <f>IF(F319&gt;0,T319/F319,0)</f>
        <v>310.4972720168068</v>
      </c>
    </row>
    <row r="320">
      <c r="D320" t="str">
        <v>K179-1</v>
      </c>
      <c r="F320">
        <f>SUMIFS($AO$15:$AO$206,$B$15:$B$206,$B$305,$D$15:$D$206,$D320)</f>
        <v>0</v>
      </c>
      <c r="G320">
        <f>SUMIFS($AT$15:$AT$206,$B$15:$B$206,$B$305,$D$15:$D$206,$D320)</f>
        <v>0</v>
      </c>
      <c r="H320">
        <f>SUMIFS($AR$15:$AR$206,$B$15:$B$206,$B$305,$D$15:$D$206,$D320,$AD$15:$AD$206,H$213)+SUMIFS($AS$15:$AS$206,$B$15:$B$206,$B$305,$D$15:$D$206,$D320,$AI$15:$AI$206,H$213)</f>
        <v>0</v>
      </c>
      <c r="I320">
        <f>SUMIFS($AR$15:$AR$206,$B$15:$B$206,$B$305,$D$15:$D$206,$D320,$AD$15:$AD$206,I$213)+SUMIFS($AS$15:$AS$206,$B$15:$B$206,$B$305,$D$15:$D$206,$D320,$AI$15:$AI$206,I$213)</f>
        <v>0</v>
      </c>
      <c r="J320">
        <f>SUMIFS($AR$15:$AR$206,$B$15:$B$206,$B$305,$D$15:$D$206,$D320,$AD$15:$AD$206,J$213)+SUMIFS($AS$15:$AS$206,$B$15:$B$206,$B$305,$D$15:$D$206,$D320,$AI$15:$AI$206,J$213)</f>
        <v>0</v>
      </c>
      <c r="K320">
        <f>SUMIFS($AR$15:$AR$206,$B$15:$B$206,$B$305,$D$15:$D$206,$D320,$AD$15:$AD$206,K$213)+SUMIFS($AS$15:$AS$206,$B$15:$B$206,$B$305,$D$15:$D$206,$D320,$AI$15:$AI$206,K$213)</f>
        <v>0</v>
      </c>
      <c r="L320">
        <f>SUMIFS($AP$15:$AP$206,$B$15:$B$206,$B$305,$D$15:$D$206,$D320,$O$15:$O$206,L$213)+SUMIFS($AQ$15:$AQ$206,$B$15:$B$206,$B$305,$D$15:$D$206,$D320,$W$15:$W$206,L$213)</f>
        <v>0</v>
      </c>
      <c r="M320">
        <f>SUMIFS($AP$15:$AP$206,$B$15:$B$206,$B$305,$D$15:$D$206,$D320,$O$15:$O$206,M$213)+SUMIFS($AQ$15:$AQ$206,$B$15:$B$206,$B$305,$D$15:$D$206,$D320,$W$15:$W$206,M$213)</f>
        <v>0</v>
      </c>
      <c r="N320">
        <f>SUMIFS($AP$15:$AP$206,$B$15:$B$206,$B$305,$D$15:$D$206,$D320,$O$15:$O$206,N$213)+SUMIFS($AQ$15:$AQ$206,$B$15:$B$206,$B$305,$D$15:$D$206,$D320,$W$15:$W$206,N$213)</f>
        <v>0</v>
      </c>
      <c r="O320">
        <f>SUMIFS($AP$15:$AP$206,$B$15:$B$206,$B$305,$D$15:$D$206,$D320,$O$15:$O$206,O$213)+SUMIFS($AQ$15:$AQ$206,$B$15:$B$206,$B$305,$D$15:$D$206,$D320,$W$15:$W$206,O$213)</f>
        <v>0</v>
      </c>
      <c r="P320">
        <f>SUMIFS($AP$15:$AP$206,$B$15:$B$206,$B$305,$D$15:$D$206,$D320,$O$15:$O$206,P$213)+SUMIFS($AQ$15:$AQ$206,$B$15:$B$206,$B$305,$D$15:$D$206,$D320,$W$15:$W$206,P$213)</f>
        <v>0</v>
      </c>
      <c r="Q320">
        <f>SUMIFS($AP$15:$AP$206,$B$15:$B$206,$B$305,$D$15:$D$206,$D320,$O$15:$O$206,Q$213)+SUMIFS($AQ$15:$AQ$206,$B$15:$B$206,$B$305,$D$15:$D$206,$D320,$W$15:$W$206,Q$213)</f>
        <v>0</v>
      </c>
      <c r="R320">
        <f>SUMIFS($AP$15:$AP$206,$B$15:$B$206,$B$305,$D$15:$D$206,$D320,$O$15:$O$206,R$213)+SUMIFS($AQ$15:$AQ$206,$B$15:$B$206,$B$305,$D$15:$D$206,$D320,$W$15:$W$206,R$213)</f>
        <v>0</v>
      </c>
      <c r="S320">
        <f>SUMIFS($AP$15:$AP$206,$B$15:$B$206,$B$305,$D$15:$D$206,$D320,$O$15:$O$206,S$213)+SUMIFS($AQ$15:$AQ$206,$B$15:$B$206,$B$305,$D$15:$D$206,$D320,$W$15:$W$206,S$213)</f>
        <v>0</v>
      </c>
      <c r="T320">
        <f>SUM(H320:R320)</f>
        <v>0</v>
      </c>
      <c r="V320">
        <f>IF(F320&gt;0,G320/F320,0)</f>
        <v>0</v>
      </c>
      <c r="W320">
        <f>IF(F320&gt;0,T320/F320,0)</f>
        <v>0</v>
      </c>
    </row>
    <row r="321">
      <c r="D321" t="str">
        <v>K275-1</v>
      </c>
      <c r="F321">
        <f>SUMIFS($AO$15:$AO$206,$B$15:$B$206,$B$305,$D$15:$D$206,$D321)</f>
        <v>0</v>
      </c>
      <c r="G321">
        <f>SUMIFS($AT$15:$AT$206,$B$15:$B$206,$B$305,$D$15:$D$206,$D321)</f>
        <v>0</v>
      </c>
      <c r="H321">
        <f>SUMIFS($AR$15:$AR$206,$B$15:$B$206,$B$305,$D$15:$D$206,$D321,$AD$15:$AD$206,H$213)+SUMIFS($AS$15:$AS$206,$B$15:$B$206,$B$305,$D$15:$D$206,$D321,$AI$15:$AI$206,H$213)</f>
        <v>0</v>
      </c>
      <c r="I321">
        <f>SUMIFS($AR$15:$AR$206,$B$15:$B$206,$B$305,$D$15:$D$206,$D321,$AD$15:$AD$206,I$213)+SUMIFS($AS$15:$AS$206,$B$15:$B$206,$B$305,$D$15:$D$206,$D321,$AI$15:$AI$206,I$213)</f>
        <v>0</v>
      </c>
      <c r="J321">
        <f>SUMIFS($AR$15:$AR$206,$B$15:$B$206,$B$305,$D$15:$D$206,$D321,$AD$15:$AD$206,J$213)+SUMIFS($AS$15:$AS$206,$B$15:$B$206,$B$305,$D$15:$D$206,$D321,$AI$15:$AI$206,J$213)</f>
        <v>0</v>
      </c>
      <c r="K321">
        <f>SUMIFS($AR$15:$AR$206,$B$15:$B$206,$B$305,$D$15:$D$206,$D321,$AD$15:$AD$206,K$213)+SUMIFS($AS$15:$AS$206,$B$15:$B$206,$B$305,$D$15:$D$206,$D321,$AI$15:$AI$206,K$213)</f>
        <v>0</v>
      </c>
      <c r="L321">
        <f>SUMIFS($AP$15:$AP$206,$B$15:$B$206,$B$305,$D$15:$D$206,$D321,$O$15:$O$206,L$213)+SUMIFS($AQ$15:$AQ$206,$B$15:$B$206,$B$305,$D$15:$D$206,$D321,$W$15:$W$206,L$213)</f>
        <v>0</v>
      </c>
      <c r="M321">
        <f>SUMIFS($AP$15:$AP$206,$B$15:$B$206,$B$305,$D$15:$D$206,$D321,$O$15:$O$206,M$213)+SUMIFS($AQ$15:$AQ$206,$B$15:$B$206,$B$305,$D$15:$D$206,$D321,$W$15:$W$206,M$213)</f>
        <v>0</v>
      </c>
      <c r="N321">
        <f>SUMIFS($AP$15:$AP$206,$B$15:$B$206,$B$305,$D$15:$D$206,$D321,$O$15:$O$206,N$213)+SUMIFS($AQ$15:$AQ$206,$B$15:$B$206,$B$305,$D$15:$D$206,$D321,$W$15:$W$206,N$213)</f>
        <v>0</v>
      </c>
      <c r="O321">
        <f>SUMIFS($AP$15:$AP$206,$B$15:$B$206,$B$305,$D$15:$D$206,$D321,$O$15:$O$206,O$213)+SUMIFS($AQ$15:$AQ$206,$B$15:$B$206,$B$305,$D$15:$D$206,$D321,$W$15:$W$206,O$213)</f>
        <v>0</v>
      </c>
      <c r="P321">
        <f>SUMIFS($AP$15:$AP$206,$B$15:$B$206,$B$305,$D$15:$D$206,$D321,$O$15:$O$206,P$213)+SUMIFS($AQ$15:$AQ$206,$B$15:$B$206,$B$305,$D$15:$D$206,$D321,$W$15:$W$206,P$213)</f>
        <v>0</v>
      </c>
      <c r="Q321">
        <f>SUMIFS($AP$15:$AP$206,$B$15:$B$206,$B$305,$D$15:$D$206,$D321,$O$15:$O$206,Q$213)+SUMIFS($AQ$15:$AQ$206,$B$15:$B$206,$B$305,$D$15:$D$206,$D321,$W$15:$W$206,Q$213)</f>
        <v>0</v>
      </c>
      <c r="R321">
        <f>SUMIFS($AP$15:$AP$206,$B$15:$B$206,$B$305,$D$15:$D$206,$D321,$O$15:$O$206,R$213)+SUMIFS($AQ$15:$AQ$206,$B$15:$B$206,$B$305,$D$15:$D$206,$D321,$W$15:$W$206,R$213)</f>
        <v>0</v>
      </c>
      <c r="S321">
        <f>SUMIFS($AP$15:$AP$206,$B$15:$B$206,$B$305,$D$15:$D$206,$D321,$O$15:$O$206,S$213)+SUMIFS($AQ$15:$AQ$206,$B$15:$B$206,$B$305,$D$15:$D$206,$D321,$W$15:$W$206,S$213)</f>
        <v>0</v>
      </c>
      <c r="T321">
        <f>SUM(H321:R321)</f>
        <v>0</v>
      </c>
      <c r="V321">
        <f>IF(F321&gt;0,G321/F321,0)</f>
        <v>0</v>
      </c>
      <c r="W321">
        <f>IF(F321&gt;0,T321/F321,0)</f>
        <v>0</v>
      </c>
    </row>
    <row r="322">
      <c r="D322" t="str">
        <v>K278-1</v>
      </c>
      <c r="F322">
        <f>SUMIFS($AO$15:$AO$206,$B$15:$B$206,$B$305,$D$15:$D$206,$D322)</f>
        <v>0</v>
      </c>
      <c r="G322">
        <f>SUMIFS($AT$15:$AT$206,$B$15:$B$206,$B$305,$D$15:$D$206,$D322)</f>
        <v>0</v>
      </c>
      <c r="H322">
        <f>SUMIFS($AR$15:$AR$206,$B$15:$B$206,$B$305,$D$15:$D$206,$D322,$AD$15:$AD$206,H$213)+SUMIFS($AS$15:$AS$206,$B$15:$B$206,$B$305,$D$15:$D$206,$D322,$AI$15:$AI$206,H$213)</f>
        <v>0</v>
      </c>
      <c r="I322">
        <f>SUMIFS($AR$15:$AR$206,$B$15:$B$206,$B$305,$D$15:$D$206,$D322,$AD$15:$AD$206,I$213)+SUMIFS($AS$15:$AS$206,$B$15:$B$206,$B$305,$D$15:$D$206,$D322,$AI$15:$AI$206,I$213)</f>
        <v>0</v>
      </c>
      <c r="J322">
        <f>SUMIFS($AR$15:$AR$206,$B$15:$B$206,$B$305,$D$15:$D$206,$D322,$AD$15:$AD$206,J$213)+SUMIFS($AS$15:$AS$206,$B$15:$B$206,$B$305,$D$15:$D$206,$D322,$AI$15:$AI$206,J$213)</f>
        <v>0</v>
      </c>
      <c r="K322">
        <f>SUMIFS($AR$15:$AR$206,$B$15:$B$206,$B$305,$D$15:$D$206,$D322,$AD$15:$AD$206,K$213)+SUMIFS($AS$15:$AS$206,$B$15:$B$206,$B$305,$D$15:$D$206,$D322,$AI$15:$AI$206,K$213)</f>
        <v>0</v>
      </c>
      <c r="L322">
        <f>SUMIFS($AP$15:$AP$206,$B$15:$B$206,$B$305,$D$15:$D$206,$D322,$O$15:$O$206,L$213)+SUMIFS($AQ$15:$AQ$206,$B$15:$B$206,$B$305,$D$15:$D$206,$D322,$W$15:$W$206,L$213)</f>
        <v>0</v>
      </c>
      <c r="M322">
        <f>SUMIFS($AP$15:$AP$206,$B$15:$B$206,$B$305,$D$15:$D$206,$D322,$O$15:$O$206,M$213)+SUMIFS($AQ$15:$AQ$206,$B$15:$B$206,$B$305,$D$15:$D$206,$D322,$W$15:$W$206,M$213)</f>
        <v>0</v>
      </c>
      <c r="N322">
        <f>SUMIFS($AP$15:$AP$206,$B$15:$B$206,$B$305,$D$15:$D$206,$D322,$O$15:$O$206,N$213)+SUMIFS($AQ$15:$AQ$206,$B$15:$B$206,$B$305,$D$15:$D$206,$D322,$W$15:$W$206,N$213)</f>
        <v>0</v>
      </c>
      <c r="O322">
        <f>SUMIFS($AP$15:$AP$206,$B$15:$B$206,$B$305,$D$15:$D$206,$D322,$O$15:$O$206,O$213)+SUMIFS($AQ$15:$AQ$206,$B$15:$B$206,$B$305,$D$15:$D$206,$D322,$W$15:$W$206,O$213)</f>
        <v>0</v>
      </c>
      <c r="P322">
        <f>SUMIFS($AP$15:$AP$206,$B$15:$B$206,$B$305,$D$15:$D$206,$D322,$O$15:$O$206,P$213)+SUMIFS($AQ$15:$AQ$206,$B$15:$B$206,$B$305,$D$15:$D$206,$D322,$W$15:$W$206,P$213)</f>
        <v>0</v>
      </c>
      <c r="Q322">
        <f>SUMIFS($AP$15:$AP$206,$B$15:$B$206,$B$305,$D$15:$D$206,$D322,$O$15:$O$206,Q$213)+SUMIFS($AQ$15:$AQ$206,$B$15:$B$206,$B$305,$D$15:$D$206,$D322,$W$15:$W$206,Q$213)</f>
        <v>0</v>
      </c>
      <c r="R322">
        <f>SUMIFS($AP$15:$AP$206,$B$15:$B$206,$B$305,$D$15:$D$206,$D322,$O$15:$O$206,R$213)+SUMIFS($AQ$15:$AQ$206,$B$15:$B$206,$B$305,$D$15:$D$206,$D322,$W$15:$W$206,R$213)</f>
        <v>0</v>
      </c>
      <c r="S322">
        <f>SUMIFS($AP$15:$AP$206,$B$15:$B$206,$B$305,$D$15:$D$206,$D322,$O$15:$O$206,S$213)+SUMIFS($AQ$15:$AQ$206,$B$15:$B$206,$B$305,$D$15:$D$206,$D322,$W$15:$W$206,S$213)</f>
        <v>0</v>
      </c>
      <c r="T322">
        <f>SUM(H322:R322)</f>
        <v>0</v>
      </c>
      <c r="V322">
        <f>IF(F322&gt;0,G322/F322,0)</f>
        <v>0</v>
      </c>
      <c r="W322">
        <f>IF(F322&gt;0,T322/F322,0)</f>
        <v>0</v>
      </c>
    </row>
    <row r="323">
      <c r="D323" t="str">
        <v>K36-1</v>
      </c>
      <c r="F323">
        <f>SUMIFS($AO$15:$AO$206,$B$15:$B$206,$B$305,$D$15:$D$206,$D323)</f>
        <v>0</v>
      </c>
      <c r="G323">
        <f>SUMIFS($AT$15:$AT$206,$B$15:$B$206,$B$305,$D$15:$D$206,$D323)</f>
        <v>0</v>
      </c>
      <c r="H323">
        <f>SUMIFS($AR$15:$AR$206,$B$15:$B$206,$B$305,$D$15:$D$206,$D323,$AD$15:$AD$206,H$213)+SUMIFS($AS$15:$AS$206,$B$15:$B$206,$B$305,$D$15:$D$206,$D323,$AI$15:$AI$206,H$213)</f>
        <v>0</v>
      </c>
      <c r="I323">
        <f>SUMIFS($AR$15:$AR$206,$B$15:$B$206,$B$305,$D$15:$D$206,$D323,$AD$15:$AD$206,I$213)+SUMIFS($AS$15:$AS$206,$B$15:$B$206,$B$305,$D$15:$D$206,$D323,$AI$15:$AI$206,I$213)</f>
        <v>0</v>
      </c>
      <c r="J323">
        <f>SUMIFS($AR$15:$AR$206,$B$15:$B$206,$B$305,$D$15:$D$206,$D323,$AD$15:$AD$206,J$213)+SUMIFS($AS$15:$AS$206,$B$15:$B$206,$B$305,$D$15:$D$206,$D323,$AI$15:$AI$206,J$213)</f>
        <v>0</v>
      </c>
      <c r="K323">
        <f>SUMIFS($AR$15:$AR$206,$B$15:$B$206,$B$305,$D$15:$D$206,$D323,$AD$15:$AD$206,K$213)+SUMIFS($AS$15:$AS$206,$B$15:$B$206,$B$305,$D$15:$D$206,$D323,$AI$15:$AI$206,K$213)</f>
        <v>0</v>
      </c>
      <c r="L323">
        <f>SUMIFS($AP$15:$AP$206,$B$15:$B$206,$B$305,$D$15:$D$206,$D323,$O$15:$O$206,L$213)+SUMIFS($AQ$15:$AQ$206,$B$15:$B$206,$B$305,$D$15:$D$206,$D323,$W$15:$W$206,L$213)</f>
        <v>0</v>
      </c>
      <c r="M323">
        <f>SUMIFS($AP$15:$AP$206,$B$15:$B$206,$B$305,$D$15:$D$206,$D323,$O$15:$O$206,M$213)+SUMIFS($AQ$15:$AQ$206,$B$15:$B$206,$B$305,$D$15:$D$206,$D323,$W$15:$W$206,M$213)</f>
        <v>0</v>
      </c>
      <c r="N323">
        <f>SUMIFS($AP$15:$AP$206,$B$15:$B$206,$B$305,$D$15:$D$206,$D323,$O$15:$O$206,N$213)+SUMIFS($AQ$15:$AQ$206,$B$15:$B$206,$B$305,$D$15:$D$206,$D323,$W$15:$W$206,N$213)</f>
        <v>0</v>
      </c>
      <c r="O323">
        <f>SUMIFS($AP$15:$AP$206,$B$15:$B$206,$B$305,$D$15:$D$206,$D323,$O$15:$O$206,O$213)+SUMIFS($AQ$15:$AQ$206,$B$15:$B$206,$B$305,$D$15:$D$206,$D323,$W$15:$W$206,O$213)</f>
        <v>0</v>
      </c>
      <c r="P323">
        <f>SUMIFS($AP$15:$AP$206,$B$15:$B$206,$B$305,$D$15:$D$206,$D323,$O$15:$O$206,P$213)+SUMIFS($AQ$15:$AQ$206,$B$15:$B$206,$B$305,$D$15:$D$206,$D323,$W$15:$W$206,P$213)</f>
        <v>0</v>
      </c>
      <c r="Q323">
        <f>SUMIFS($AP$15:$AP$206,$B$15:$B$206,$B$305,$D$15:$D$206,$D323,$O$15:$O$206,Q$213)+SUMIFS($AQ$15:$AQ$206,$B$15:$B$206,$B$305,$D$15:$D$206,$D323,$W$15:$W$206,Q$213)</f>
        <v>0</v>
      </c>
      <c r="R323">
        <f>SUMIFS($AP$15:$AP$206,$B$15:$B$206,$B$305,$D$15:$D$206,$D323,$O$15:$O$206,R$213)+SUMIFS($AQ$15:$AQ$206,$B$15:$B$206,$B$305,$D$15:$D$206,$D323,$W$15:$W$206,R$213)</f>
        <v>0</v>
      </c>
      <c r="S323">
        <f>SUMIFS($AP$15:$AP$206,$B$15:$B$206,$B$305,$D$15:$D$206,$D323,$O$15:$O$206,S$213)+SUMIFS($AQ$15:$AQ$206,$B$15:$B$206,$B$305,$D$15:$D$206,$D323,$W$15:$W$206,S$213)</f>
        <v>0</v>
      </c>
      <c r="T323">
        <f>SUM(H323:R323)</f>
        <v>0</v>
      </c>
      <c r="V323">
        <f>IF(F323&gt;0,G323/F323,0)</f>
        <v>0</v>
      </c>
      <c r="W323">
        <f>IF(F323&gt;0,T323/F323,0)</f>
        <v>0</v>
      </c>
    </row>
    <row r="324">
      <c r="D324" t="str">
        <v>K48-1</v>
      </c>
      <c r="F324">
        <f>SUMIFS($AO$15:$AO$206,$B$15:$B$206,$B$305,$D$15:$D$206,$D324)</f>
        <v>0</v>
      </c>
      <c r="G324">
        <f>SUMIFS($AT$15:$AT$206,$B$15:$B$206,$B$305,$D$15:$D$206,$D324)</f>
        <v>0</v>
      </c>
      <c r="H324">
        <f>SUMIFS($AR$15:$AR$206,$B$15:$B$206,$B$305,$D$15:$D$206,$D324,$AD$15:$AD$206,H$213)+SUMIFS($AS$15:$AS$206,$B$15:$B$206,$B$305,$D$15:$D$206,$D324,$AI$15:$AI$206,H$213)</f>
        <v>0</v>
      </c>
      <c r="I324">
        <f>SUMIFS($AR$15:$AR$206,$B$15:$B$206,$B$305,$D$15:$D$206,$D324,$AD$15:$AD$206,I$213)+SUMIFS($AS$15:$AS$206,$B$15:$B$206,$B$305,$D$15:$D$206,$D324,$AI$15:$AI$206,I$213)</f>
        <v>0</v>
      </c>
      <c r="J324">
        <f>SUMIFS($AR$15:$AR$206,$B$15:$B$206,$B$305,$D$15:$D$206,$D324,$AD$15:$AD$206,J$213)+SUMIFS($AS$15:$AS$206,$B$15:$B$206,$B$305,$D$15:$D$206,$D324,$AI$15:$AI$206,J$213)</f>
        <v>0</v>
      </c>
      <c r="K324">
        <f>SUMIFS($AR$15:$AR$206,$B$15:$B$206,$B$305,$D$15:$D$206,$D324,$AD$15:$AD$206,K$213)+SUMIFS($AS$15:$AS$206,$B$15:$B$206,$B$305,$D$15:$D$206,$D324,$AI$15:$AI$206,K$213)</f>
        <v>0</v>
      </c>
      <c r="L324">
        <f>SUMIFS($AP$15:$AP$206,$B$15:$B$206,$B$305,$D$15:$D$206,$D324,$O$15:$O$206,L$213)+SUMIFS($AQ$15:$AQ$206,$B$15:$B$206,$B$305,$D$15:$D$206,$D324,$W$15:$W$206,L$213)</f>
        <v>0</v>
      </c>
      <c r="M324">
        <f>SUMIFS($AP$15:$AP$206,$B$15:$B$206,$B$305,$D$15:$D$206,$D324,$O$15:$O$206,M$213)+SUMIFS($AQ$15:$AQ$206,$B$15:$B$206,$B$305,$D$15:$D$206,$D324,$W$15:$W$206,M$213)</f>
        <v>0</v>
      </c>
      <c r="N324">
        <f>SUMIFS($AP$15:$AP$206,$B$15:$B$206,$B$305,$D$15:$D$206,$D324,$O$15:$O$206,N$213)+SUMIFS($AQ$15:$AQ$206,$B$15:$B$206,$B$305,$D$15:$D$206,$D324,$W$15:$W$206,N$213)</f>
        <v>0</v>
      </c>
      <c r="O324">
        <f>SUMIFS($AP$15:$AP$206,$B$15:$B$206,$B$305,$D$15:$D$206,$D324,$O$15:$O$206,O$213)+SUMIFS($AQ$15:$AQ$206,$B$15:$B$206,$B$305,$D$15:$D$206,$D324,$W$15:$W$206,O$213)</f>
        <v>0</v>
      </c>
      <c r="P324">
        <f>SUMIFS($AP$15:$AP$206,$B$15:$B$206,$B$305,$D$15:$D$206,$D324,$O$15:$O$206,P$213)+SUMIFS($AQ$15:$AQ$206,$B$15:$B$206,$B$305,$D$15:$D$206,$D324,$W$15:$W$206,P$213)</f>
        <v>0</v>
      </c>
      <c r="Q324">
        <f>SUMIFS($AP$15:$AP$206,$B$15:$B$206,$B$305,$D$15:$D$206,$D324,$O$15:$O$206,Q$213)+SUMIFS($AQ$15:$AQ$206,$B$15:$B$206,$B$305,$D$15:$D$206,$D324,$W$15:$W$206,Q$213)</f>
        <v>0</v>
      </c>
      <c r="R324">
        <f>SUMIFS($AP$15:$AP$206,$B$15:$B$206,$B$305,$D$15:$D$206,$D324,$O$15:$O$206,R$213)+SUMIFS($AQ$15:$AQ$206,$B$15:$B$206,$B$305,$D$15:$D$206,$D324,$W$15:$W$206,R$213)</f>
        <v>0</v>
      </c>
      <c r="S324">
        <f>SUMIFS($AP$15:$AP$206,$B$15:$B$206,$B$305,$D$15:$D$206,$D324,$O$15:$O$206,S$213)+SUMIFS($AQ$15:$AQ$206,$B$15:$B$206,$B$305,$D$15:$D$206,$D324,$W$15:$W$206,S$213)</f>
        <v>0</v>
      </c>
      <c r="T324">
        <f>SUM(H324:R324)</f>
        <v>0</v>
      </c>
      <c r="V324">
        <f>IF(F324&gt;0,G324/F324,0)</f>
        <v>0</v>
      </c>
      <c r="W324">
        <f>IF(F324&gt;0,T324/F324,0)</f>
        <v>0</v>
      </c>
    </row>
    <row r="325">
      <c r="D325" t="str">
        <v>K55-1</v>
      </c>
      <c r="F325">
        <f>SUMIFS($AO$15:$AO$206,$B$15:$B$206,$B$305,$D$15:$D$206,$D325)</f>
        <v>0</v>
      </c>
      <c r="G325">
        <f>SUMIFS($AT$15:$AT$206,$B$15:$B$206,$B$305,$D$15:$D$206,$D325)</f>
        <v>0</v>
      </c>
      <c r="H325">
        <f>SUMIFS($AR$15:$AR$206,$B$15:$B$206,$B$305,$D$15:$D$206,$D325,$AD$15:$AD$206,H$213)+SUMIFS($AS$15:$AS$206,$B$15:$B$206,$B$305,$D$15:$D$206,$D325,$AI$15:$AI$206,H$213)</f>
        <v>0</v>
      </c>
      <c r="I325">
        <f>SUMIFS($AR$15:$AR$206,$B$15:$B$206,$B$305,$D$15:$D$206,$D325,$AD$15:$AD$206,I$213)+SUMIFS($AS$15:$AS$206,$B$15:$B$206,$B$305,$D$15:$D$206,$D325,$AI$15:$AI$206,I$213)</f>
        <v>0</v>
      </c>
      <c r="J325">
        <f>SUMIFS($AR$15:$AR$206,$B$15:$B$206,$B$305,$D$15:$D$206,$D325,$AD$15:$AD$206,J$213)+SUMIFS($AS$15:$AS$206,$B$15:$B$206,$B$305,$D$15:$D$206,$D325,$AI$15:$AI$206,J$213)</f>
        <v>0</v>
      </c>
      <c r="K325">
        <f>SUMIFS($AR$15:$AR$206,$B$15:$B$206,$B$305,$D$15:$D$206,$D325,$AD$15:$AD$206,K$213)+SUMIFS($AS$15:$AS$206,$B$15:$B$206,$B$305,$D$15:$D$206,$D325,$AI$15:$AI$206,K$213)</f>
        <v>0</v>
      </c>
      <c r="L325">
        <f>SUMIFS($AP$15:$AP$206,$B$15:$B$206,$B$305,$D$15:$D$206,$D325,$O$15:$O$206,L$213)+SUMIFS($AQ$15:$AQ$206,$B$15:$B$206,$B$305,$D$15:$D$206,$D325,$W$15:$W$206,L$213)</f>
        <v>0</v>
      </c>
      <c r="M325">
        <f>SUMIFS($AP$15:$AP$206,$B$15:$B$206,$B$305,$D$15:$D$206,$D325,$O$15:$O$206,M$213)+SUMIFS($AQ$15:$AQ$206,$B$15:$B$206,$B$305,$D$15:$D$206,$D325,$W$15:$W$206,M$213)</f>
        <v>0</v>
      </c>
      <c r="N325">
        <f>SUMIFS($AP$15:$AP$206,$B$15:$B$206,$B$305,$D$15:$D$206,$D325,$O$15:$O$206,N$213)+SUMIFS($AQ$15:$AQ$206,$B$15:$B$206,$B$305,$D$15:$D$206,$D325,$W$15:$W$206,N$213)</f>
        <v>0</v>
      </c>
      <c r="O325">
        <f>SUMIFS($AP$15:$AP$206,$B$15:$B$206,$B$305,$D$15:$D$206,$D325,$O$15:$O$206,O$213)+SUMIFS($AQ$15:$AQ$206,$B$15:$B$206,$B$305,$D$15:$D$206,$D325,$W$15:$W$206,O$213)</f>
        <v>0</v>
      </c>
      <c r="P325">
        <f>SUMIFS($AP$15:$AP$206,$B$15:$B$206,$B$305,$D$15:$D$206,$D325,$O$15:$O$206,P$213)+SUMIFS($AQ$15:$AQ$206,$B$15:$B$206,$B$305,$D$15:$D$206,$D325,$W$15:$W$206,P$213)</f>
        <v>0</v>
      </c>
      <c r="Q325">
        <f>SUMIFS($AP$15:$AP$206,$B$15:$B$206,$B$305,$D$15:$D$206,$D325,$O$15:$O$206,Q$213)+SUMIFS($AQ$15:$AQ$206,$B$15:$B$206,$B$305,$D$15:$D$206,$D325,$W$15:$W$206,Q$213)</f>
        <v>0</v>
      </c>
      <c r="R325">
        <f>SUMIFS($AP$15:$AP$206,$B$15:$B$206,$B$305,$D$15:$D$206,$D325,$O$15:$O$206,R$213)+SUMIFS($AQ$15:$AQ$206,$B$15:$B$206,$B$305,$D$15:$D$206,$D325,$W$15:$W$206,R$213)</f>
        <v>0</v>
      </c>
      <c r="S325">
        <f>SUMIFS($AP$15:$AP$206,$B$15:$B$206,$B$305,$D$15:$D$206,$D325,$O$15:$O$206,S$213)+SUMIFS($AQ$15:$AQ$206,$B$15:$B$206,$B$305,$D$15:$D$206,$D325,$W$15:$W$206,S$213)</f>
        <v>0</v>
      </c>
      <c r="T325">
        <f>SUM(H325:R325)</f>
        <v>0</v>
      </c>
      <c r="V325">
        <f>IF(F325&gt;0,G325/F325,0)</f>
        <v>0</v>
      </c>
      <c r="W325">
        <f>IF(F325&gt;0,T325/F325,0)</f>
        <v>0</v>
      </c>
    </row>
    <row r="326">
      <c r="D326" t="str">
        <v>K59-1</v>
      </c>
      <c r="F326">
        <f>SUMIFS($AO$15:$AO$206,$B$15:$B$206,$B$305,$D$15:$D$206,$D326)</f>
        <v>0</v>
      </c>
      <c r="G326">
        <f>SUMIFS($AT$15:$AT$206,$B$15:$B$206,$B$305,$D$15:$D$206,$D326)</f>
        <v>0</v>
      </c>
      <c r="H326">
        <f>SUMIFS($AR$15:$AR$206,$B$15:$B$206,$B$305,$D$15:$D$206,$D326,$AD$15:$AD$206,H$213)+SUMIFS($AS$15:$AS$206,$B$15:$B$206,$B$305,$D$15:$D$206,$D326,$AI$15:$AI$206,H$213)</f>
        <v>0</v>
      </c>
      <c r="I326">
        <f>SUMIFS($AR$15:$AR$206,$B$15:$B$206,$B$305,$D$15:$D$206,$D326,$AD$15:$AD$206,I$213)+SUMIFS($AS$15:$AS$206,$B$15:$B$206,$B$305,$D$15:$D$206,$D326,$AI$15:$AI$206,I$213)</f>
        <v>0</v>
      </c>
      <c r="J326">
        <f>SUMIFS($AR$15:$AR$206,$B$15:$B$206,$B$305,$D$15:$D$206,$D326,$AD$15:$AD$206,J$213)+SUMIFS($AS$15:$AS$206,$B$15:$B$206,$B$305,$D$15:$D$206,$D326,$AI$15:$AI$206,J$213)</f>
        <v>0</v>
      </c>
      <c r="K326">
        <f>SUMIFS($AR$15:$AR$206,$B$15:$B$206,$B$305,$D$15:$D$206,$D326,$AD$15:$AD$206,K$213)+SUMIFS($AS$15:$AS$206,$B$15:$B$206,$B$305,$D$15:$D$206,$D326,$AI$15:$AI$206,K$213)</f>
        <v>0</v>
      </c>
      <c r="L326">
        <f>SUMIFS($AP$15:$AP$206,$B$15:$B$206,$B$305,$D$15:$D$206,$D326,$O$15:$O$206,L$213)+SUMIFS($AQ$15:$AQ$206,$B$15:$B$206,$B$305,$D$15:$D$206,$D326,$W$15:$W$206,L$213)</f>
        <v>0</v>
      </c>
      <c r="M326">
        <f>SUMIFS($AP$15:$AP$206,$B$15:$B$206,$B$305,$D$15:$D$206,$D326,$O$15:$O$206,M$213)+SUMIFS($AQ$15:$AQ$206,$B$15:$B$206,$B$305,$D$15:$D$206,$D326,$W$15:$W$206,M$213)</f>
        <v>0</v>
      </c>
      <c r="N326">
        <f>SUMIFS($AP$15:$AP$206,$B$15:$B$206,$B$305,$D$15:$D$206,$D326,$O$15:$O$206,N$213)+SUMIFS($AQ$15:$AQ$206,$B$15:$B$206,$B$305,$D$15:$D$206,$D326,$W$15:$W$206,N$213)</f>
        <v>0</v>
      </c>
      <c r="O326">
        <f>SUMIFS($AP$15:$AP$206,$B$15:$B$206,$B$305,$D$15:$D$206,$D326,$O$15:$O$206,O$213)+SUMIFS($AQ$15:$AQ$206,$B$15:$B$206,$B$305,$D$15:$D$206,$D326,$W$15:$W$206,O$213)</f>
        <v>0</v>
      </c>
      <c r="P326">
        <f>SUMIFS($AP$15:$AP$206,$B$15:$B$206,$B$305,$D$15:$D$206,$D326,$O$15:$O$206,P$213)+SUMIFS($AQ$15:$AQ$206,$B$15:$B$206,$B$305,$D$15:$D$206,$D326,$W$15:$W$206,P$213)</f>
        <v>0</v>
      </c>
      <c r="Q326">
        <f>SUMIFS($AP$15:$AP$206,$B$15:$B$206,$B$305,$D$15:$D$206,$D326,$O$15:$O$206,Q$213)+SUMIFS($AQ$15:$AQ$206,$B$15:$B$206,$B$305,$D$15:$D$206,$D326,$W$15:$W$206,Q$213)</f>
        <v>0</v>
      </c>
      <c r="R326">
        <f>SUMIFS($AP$15:$AP$206,$B$15:$B$206,$B$305,$D$15:$D$206,$D326,$O$15:$O$206,R$213)+SUMIFS($AQ$15:$AQ$206,$B$15:$B$206,$B$305,$D$15:$D$206,$D326,$W$15:$W$206,R$213)</f>
        <v>0</v>
      </c>
      <c r="S326">
        <f>SUMIFS($AP$15:$AP$206,$B$15:$B$206,$B$305,$D$15:$D$206,$D326,$O$15:$O$206,S$213)+SUMIFS($AQ$15:$AQ$206,$B$15:$B$206,$B$305,$D$15:$D$206,$D326,$W$15:$W$206,S$213)</f>
        <v>0</v>
      </c>
      <c r="T326">
        <f>SUM(H326:R326)</f>
        <v>0</v>
      </c>
      <c r="V326">
        <f>IF(F326&gt;0,G326/F326,0)</f>
        <v>0</v>
      </c>
      <c r="W326">
        <f>IF(F326&gt;0,T326/F326,0)</f>
        <v>0</v>
      </c>
    </row>
    <row r="327">
      <c r="D327" t="str">
        <v>KL172258-1</v>
      </c>
      <c r="F327">
        <f>SUMIFS($AO$15:$AO$206,$B$15:$B$206,$B$305,$D$15:$D$206,$D327)</f>
        <v>0</v>
      </c>
      <c r="G327">
        <f>SUMIFS($AT$15:$AT$206,$B$15:$B$206,$B$305,$D$15:$D$206,$D327)</f>
        <v>0</v>
      </c>
      <c r="H327">
        <f>SUMIFS($AR$15:$AR$206,$B$15:$B$206,$B$305,$D$15:$D$206,$D327,$AD$15:$AD$206,H$213)+SUMIFS($AS$15:$AS$206,$B$15:$B$206,$B$305,$D$15:$D$206,$D327,$AI$15:$AI$206,H$213)</f>
        <v>0</v>
      </c>
      <c r="I327">
        <f>SUMIFS($AR$15:$AR$206,$B$15:$B$206,$B$305,$D$15:$D$206,$D327,$AD$15:$AD$206,I$213)+SUMIFS($AS$15:$AS$206,$B$15:$B$206,$B$305,$D$15:$D$206,$D327,$AI$15:$AI$206,I$213)</f>
        <v>0</v>
      </c>
      <c r="J327">
        <f>SUMIFS($AR$15:$AR$206,$B$15:$B$206,$B$305,$D$15:$D$206,$D327,$AD$15:$AD$206,J$213)+SUMIFS($AS$15:$AS$206,$B$15:$B$206,$B$305,$D$15:$D$206,$D327,$AI$15:$AI$206,J$213)</f>
        <v>0</v>
      </c>
      <c r="K327">
        <f>SUMIFS($AR$15:$AR$206,$B$15:$B$206,$B$305,$D$15:$D$206,$D327,$AD$15:$AD$206,K$213)+SUMIFS($AS$15:$AS$206,$B$15:$B$206,$B$305,$D$15:$D$206,$D327,$AI$15:$AI$206,K$213)</f>
        <v>0</v>
      </c>
      <c r="L327">
        <f>SUMIFS($AP$15:$AP$206,$B$15:$B$206,$B$305,$D$15:$D$206,$D327,$O$15:$O$206,L$213)+SUMIFS($AQ$15:$AQ$206,$B$15:$B$206,$B$305,$D$15:$D$206,$D327,$W$15:$W$206,L$213)</f>
        <v>0</v>
      </c>
      <c r="M327">
        <f>SUMIFS($AP$15:$AP$206,$B$15:$B$206,$B$305,$D$15:$D$206,$D327,$O$15:$O$206,M$213)+SUMIFS($AQ$15:$AQ$206,$B$15:$B$206,$B$305,$D$15:$D$206,$D327,$W$15:$W$206,M$213)</f>
        <v>0</v>
      </c>
      <c r="N327">
        <f>SUMIFS($AP$15:$AP$206,$B$15:$B$206,$B$305,$D$15:$D$206,$D327,$O$15:$O$206,N$213)+SUMIFS($AQ$15:$AQ$206,$B$15:$B$206,$B$305,$D$15:$D$206,$D327,$W$15:$W$206,N$213)</f>
        <v>0</v>
      </c>
      <c r="O327">
        <f>SUMIFS($AP$15:$AP$206,$B$15:$B$206,$B$305,$D$15:$D$206,$D327,$O$15:$O$206,O$213)+SUMIFS($AQ$15:$AQ$206,$B$15:$B$206,$B$305,$D$15:$D$206,$D327,$W$15:$W$206,O$213)</f>
        <v>0</v>
      </c>
      <c r="P327">
        <f>SUMIFS($AP$15:$AP$206,$B$15:$B$206,$B$305,$D$15:$D$206,$D327,$O$15:$O$206,P$213)+SUMIFS($AQ$15:$AQ$206,$B$15:$B$206,$B$305,$D$15:$D$206,$D327,$W$15:$W$206,P$213)</f>
        <v>0</v>
      </c>
      <c r="Q327">
        <f>SUMIFS($AP$15:$AP$206,$B$15:$B$206,$B$305,$D$15:$D$206,$D327,$O$15:$O$206,Q$213)+SUMIFS($AQ$15:$AQ$206,$B$15:$B$206,$B$305,$D$15:$D$206,$D327,$W$15:$W$206,Q$213)</f>
        <v>0</v>
      </c>
      <c r="R327">
        <f>SUMIFS($AP$15:$AP$206,$B$15:$B$206,$B$305,$D$15:$D$206,$D327,$O$15:$O$206,R$213)+SUMIFS($AQ$15:$AQ$206,$B$15:$B$206,$B$305,$D$15:$D$206,$D327,$W$15:$W$206,R$213)</f>
        <v>0</v>
      </c>
      <c r="S327">
        <f>SUMIFS($AP$15:$AP$206,$B$15:$B$206,$B$305,$D$15:$D$206,$D327,$O$15:$O$206,S$213)+SUMIFS($AQ$15:$AQ$206,$B$15:$B$206,$B$305,$D$15:$D$206,$D327,$W$15:$W$206,S$213)</f>
        <v>0</v>
      </c>
      <c r="T327">
        <f>SUM(H327:R327)</f>
        <v>0</v>
      </c>
      <c r="V327">
        <f>IF(F327&gt;0,G327/F327,0)</f>
        <v>0</v>
      </c>
      <c r="W327">
        <f>IF(F327&gt;0,T327/F327,0)</f>
        <v>0</v>
      </c>
    </row>
    <row r="328">
      <c r="D328" t="str">
        <v>KL174-1</v>
      </c>
      <c r="F328">
        <f>SUMIFS($AO$15:$AO$206,$B$15:$B$206,$B$305,$D$15:$D$206,$D328)</f>
        <v>0</v>
      </c>
      <c r="G328">
        <f>SUMIFS($AT$15:$AT$206,$B$15:$B$206,$B$305,$D$15:$D$206,$D328)</f>
        <v>0</v>
      </c>
      <c r="H328">
        <f>SUMIFS($AR$15:$AR$206,$B$15:$B$206,$B$305,$D$15:$D$206,$D328,$AD$15:$AD$206,H$213)+SUMIFS($AS$15:$AS$206,$B$15:$B$206,$B$305,$D$15:$D$206,$D328,$AI$15:$AI$206,H$213)</f>
        <v>0</v>
      </c>
      <c r="I328">
        <f>SUMIFS($AR$15:$AR$206,$B$15:$B$206,$B$305,$D$15:$D$206,$D328,$AD$15:$AD$206,I$213)+SUMIFS($AS$15:$AS$206,$B$15:$B$206,$B$305,$D$15:$D$206,$D328,$AI$15:$AI$206,I$213)</f>
        <v>0</v>
      </c>
      <c r="J328">
        <f>SUMIFS($AR$15:$AR$206,$B$15:$B$206,$B$305,$D$15:$D$206,$D328,$AD$15:$AD$206,J$213)+SUMIFS($AS$15:$AS$206,$B$15:$B$206,$B$305,$D$15:$D$206,$D328,$AI$15:$AI$206,J$213)</f>
        <v>0</v>
      </c>
      <c r="K328">
        <f>SUMIFS($AR$15:$AR$206,$B$15:$B$206,$B$305,$D$15:$D$206,$D328,$AD$15:$AD$206,K$213)+SUMIFS($AS$15:$AS$206,$B$15:$B$206,$B$305,$D$15:$D$206,$D328,$AI$15:$AI$206,K$213)</f>
        <v>0</v>
      </c>
      <c r="L328">
        <f>SUMIFS($AP$15:$AP$206,$B$15:$B$206,$B$305,$D$15:$D$206,$D328,$O$15:$O$206,L$213)+SUMIFS($AQ$15:$AQ$206,$B$15:$B$206,$B$305,$D$15:$D$206,$D328,$W$15:$W$206,L$213)</f>
        <v>0</v>
      </c>
      <c r="M328">
        <f>SUMIFS($AP$15:$AP$206,$B$15:$B$206,$B$305,$D$15:$D$206,$D328,$O$15:$O$206,M$213)+SUMIFS($AQ$15:$AQ$206,$B$15:$B$206,$B$305,$D$15:$D$206,$D328,$W$15:$W$206,M$213)</f>
        <v>0</v>
      </c>
      <c r="N328">
        <f>SUMIFS($AP$15:$AP$206,$B$15:$B$206,$B$305,$D$15:$D$206,$D328,$O$15:$O$206,N$213)+SUMIFS($AQ$15:$AQ$206,$B$15:$B$206,$B$305,$D$15:$D$206,$D328,$W$15:$W$206,N$213)</f>
        <v>0</v>
      </c>
      <c r="O328">
        <f>SUMIFS($AP$15:$AP$206,$B$15:$B$206,$B$305,$D$15:$D$206,$D328,$O$15:$O$206,O$213)+SUMIFS($AQ$15:$AQ$206,$B$15:$B$206,$B$305,$D$15:$D$206,$D328,$W$15:$W$206,O$213)</f>
        <v>0</v>
      </c>
      <c r="P328">
        <f>SUMIFS($AP$15:$AP$206,$B$15:$B$206,$B$305,$D$15:$D$206,$D328,$O$15:$O$206,P$213)+SUMIFS($AQ$15:$AQ$206,$B$15:$B$206,$B$305,$D$15:$D$206,$D328,$W$15:$W$206,P$213)</f>
        <v>0</v>
      </c>
      <c r="Q328">
        <f>SUMIFS($AP$15:$AP$206,$B$15:$B$206,$B$305,$D$15:$D$206,$D328,$O$15:$O$206,Q$213)+SUMIFS($AQ$15:$AQ$206,$B$15:$B$206,$B$305,$D$15:$D$206,$D328,$W$15:$W$206,Q$213)</f>
        <v>0</v>
      </c>
      <c r="R328">
        <f>SUMIFS($AP$15:$AP$206,$B$15:$B$206,$B$305,$D$15:$D$206,$D328,$O$15:$O$206,R$213)+SUMIFS($AQ$15:$AQ$206,$B$15:$B$206,$B$305,$D$15:$D$206,$D328,$W$15:$W$206,R$213)</f>
        <v>0</v>
      </c>
      <c r="S328">
        <f>SUMIFS($AP$15:$AP$206,$B$15:$B$206,$B$305,$D$15:$D$206,$D328,$O$15:$O$206,S$213)+SUMIFS($AQ$15:$AQ$206,$B$15:$B$206,$B$305,$D$15:$D$206,$D328,$W$15:$W$206,S$213)</f>
        <v>0</v>
      </c>
      <c r="T328">
        <f>SUM(H328:R328)</f>
        <v>0</v>
      </c>
      <c r="V328">
        <f>IF(F328&gt;0,G328/F328,0)</f>
        <v>0</v>
      </c>
      <c r="W328">
        <f>IF(F328&gt;0,T328/F328,0)</f>
        <v>0</v>
      </c>
    </row>
    <row r="329">
      <c r="D329" t="str">
        <v>KL175-1</v>
      </c>
      <c r="F329">
        <f>SUMIFS($AO$15:$AO$206,$B$15:$B$206,$B$305,$D$15:$D$206,$D329)</f>
        <v>0</v>
      </c>
      <c r="G329">
        <f>SUMIFS($AT$15:$AT$206,$B$15:$B$206,$B$305,$D$15:$D$206,$D329)</f>
        <v>0</v>
      </c>
      <c r="H329">
        <f>SUMIFS($AR$15:$AR$206,$B$15:$B$206,$B$305,$D$15:$D$206,$D329,$AD$15:$AD$206,H$213)+SUMIFS($AS$15:$AS$206,$B$15:$B$206,$B$305,$D$15:$D$206,$D329,$AI$15:$AI$206,H$213)</f>
        <v>0</v>
      </c>
      <c r="I329">
        <f>SUMIFS($AR$15:$AR$206,$B$15:$B$206,$B$305,$D$15:$D$206,$D329,$AD$15:$AD$206,I$213)+SUMIFS($AS$15:$AS$206,$B$15:$B$206,$B$305,$D$15:$D$206,$D329,$AI$15:$AI$206,I$213)</f>
        <v>0</v>
      </c>
      <c r="J329">
        <f>SUMIFS($AR$15:$AR$206,$B$15:$B$206,$B$305,$D$15:$D$206,$D329,$AD$15:$AD$206,J$213)+SUMIFS($AS$15:$AS$206,$B$15:$B$206,$B$305,$D$15:$D$206,$D329,$AI$15:$AI$206,J$213)</f>
        <v>0</v>
      </c>
      <c r="K329">
        <f>SUMIFS($AR$15:$AR$206,$B$15:$B$206,$B$305,$D$15:$D$206,$D329,$AD$15:$AD$206,K$213)+SUMIFS($AS$15:$AS$206,$B$15:$B$206,$B$305,$D$15:$D$206,$D329,$AI$15:$AI$206,K$213)</f>
        <v>0</v>
      </c>
      <c r="L329">
        <f>SUMIFS($AP$15:$AP$206,$B$15:$B$206,$B$305,$D$15:$D$206,$D329,$O$15:$O$206,L$213)+SUMIFS($AQ$15:$AQ$206,$B$15:$B$206,$B$305,$D$15:$D$206,$D329,$W$15:$W$206,L$213)</f>
        <v>0</v>
      </c>
      <c r="M329">
        <f>SUMIFS($AP$15:$AP$206,$B$15:$B$206,$B$305,$D$15:$D$206,$D329,$O$15:$O$206,M$213)+SUMIFS($AQ$15:$AQ$206,$B$15:$B$206,$B$305,$D$15:$D$206,$D329,$W$15:$W$206,M$213)</f>
        <v>0</v>
      </c>
      <c r="N329">
        <f>SUMIFS($AP$15:$AP$206,$B$15:$B$206,$B$305,$D$15:$D$206,$D329,$O$15:$O$206,N$213)+SUMIFS($AQ$15:$AQ$206,$B$15:$B$206,$B$305,$D$15:$D$206,$D329,$W$15:$W$206,N$213)</f>
        <v>0</v>
      </c>
      <c r="O329">
        <f>SUMIFS($AP$15:$AP$206,$B$15:$B$206,$B$305,$D$15:$D$206,$D329,$O$15:$O$206,O$213)+SUMIFS($AQ$15:$AQ$206,$B$15:$B$206,$B$305,$D$15:$D$206,$D329,$W$15:$W$206,O$213)</f>
        <v>0</v>
      </c>
      <c r="P329">
        <f>SUMIFS($AP$15:$AP$206,$B$15:$B$206,$B$305,$D$15:$D$206,$D329,$O$15:$O$206,P$213)+SUMIFS($AQ$15:$AQ$206,$B$15:$B$206,$B$305,$D$15:$D$206,$D329,$W$15:$W$206,P$213)</f>
        <v>0</v>
      </c>
      <c r="Q329">
        <f>SUMIFS($AP$15:$AP$206,$B$15:$B$206,$B$305,$D$15:$D$206,$D329,$O$15:$O$206,Q$213)+SUMIFS($AQ$15:$AQ$206,$B$15:$B$206,$B$305,$D$15:$D$206,$D329,$W$15:$W$206,Q$213)</f>
        <v>0</v>
      </c>
      <c r="R329">
        <f>SUMIFS($AP$15:$AP$206,$B$15:$B$206,$B$305,$D$15:$D$206,$D329,$O$15:$O$206,R$213)+SUMIFS($AQ$15:$AQ$206,$B$15:$B$206,$B$305,$D$15:$D$206,$D329,$W$15:$W$206,R$213)</f>
        <v>0</v>
      </c>
      <c r="S329">
        <f>SUMIFS($AP$15:$AP$206,$B$15:$B$206,$B$305,$D$15:$D$206,$D329,$O$15:$O$206,S$213)+SUMIFS($AQ$15:$AQ$206,$B$15:$B$206,$B$305,$D$15:$D$206,$D329,$W$15:$W$206,S$213)</f>
        <v>0</v>
      </c>
      <c r="T329">
        <f>SUM(H329:R329)</f>
        <v>0</v>
      </c>
      <c r="V329">
        <f>IF(F329&gt;0,G329/F329,0)</f>
        <v>0</v>
      </c>
      <c r="W329">
        <f>IF(F329&gt;0,T329/F329,0)</f>
        <v>0</v>
      </c>
    </row>
    <row r="330">
      <c r="D330" t="str">
        <v>KL175-2</v>
      </c>
      <c r="F330">
        <f>SUMIFS($AO$15:$AO$206,$B$15:$B$206,$B$305,$D$15:$D$206,$D330)</f>
        <v>0.49384999999999996</v>
      </c>
      <c r="G330">
        <f>SUMIFS($AT$15:$AT$206,$B$15:$B$206,$B$305,$D$15:$D$206,$D330)</f>
        <v>7.000000000000001</v>
      </c>
      <c r="H330">
        <f>SUMIFS($AR$15:$AR$206,$B$15:$B$206,$B$305,$D$15:$D$206,$D330,$AD$15:$AD$206,H$213)+SUMIFS($AS$15:$AS$206,$B$15:$B$206,$B$305,$D$15:$D$206,$D330,$AI$15:$AI$206,H$213)</f>
        <v>42.9202368</v>
      </c>
      <c r="I330">
        <f>SUMIFS($AR$15:$AR$206,$B$15:$B$206,$B$305,$D$15:$D$206,$D330,$AD$15:$AD$206,I$213)+SUMIFS($AS$15:$AS$206,$B$15:$B$206,$B$305,$D$15:$D$206,$D330,$AI$15:$AI$206,I$213)</f>
        <v>0</v>
      </c>
      <c r="J330">
        <f>SUMIFS($AR$15:$AR$206,$B$15:$B$206,$B$305,$D$15:$D$206,$D330,$AD$15:$AD$206,J$213)+SUMIFS($AS$15:$AS$206,$B$15:$B$206,$B$305,$D$15:$D$206,$D330,$AI$15:$AI$206,J$213)</f>
        <v>0</v>
      </c>
      <c r="K330">
        <f>SUMIFS($AR$15:$AR$206,$B$15:$B$206,$B$305,$D$15:$D$206,$D330,$AD$15:$AD$206,K$213)+SUMIFS($AS$15:$AS$206,$B$15:$B$206,$B$305,$D$15:$D$206,$D330,$AI$15:$AI$206,K$213)</f>
        <v>0</v>
      </c>
      <c r="L330">
        <f>SUMIFS($AP$15:$AP$206,$B$15:$B$206,$B$305,$D$15:$D$206,$D330,$O$15:$O$206,L$213)+SUMIFS($AQ$15:$AQ$206,$B$15:$B$206,$B$305,$D$15:$D$206,$D330,$W$15:$W$206,L$213)</f>
        <v>0</v>
      </c>
      <c r="M330">
        <f>SUMIFS($AP$15:$AP$206,$B$15:$B$206,$B$305,$D$15:$D$206,$D330,$O$15:$O$206,M$213)+SUMIFS($AQ$15:$AQ$206,$B$15:$B$206,$B$305,$D$15:$D$206,$D330,$W$15:$W$206,M$213)</f>
        <v>0</v>
      </c>
      <c r="N330">
        <f>SUMIFS($AP$15:$AP$206,$B$15:$B$206,$B$305,$D$15:$D$206,$D330,$O$15:$O$206,N$213)+SUMIFS($AQ$15:$AQ$206,$B$15:$B$206,$B$305,$D$15:$D$206,$D330,$W$15:$W$206,N$213)</f>
        <v>17.77872564</v>
      </c>
      <c r="O330">
        <f>SUMIFS($AP$15:$AP$206,$B$15:$B$206,$B$305,$D$15:$D$206,$D330,$O$15:$O$206,O$213)+SUMIFS($AQ$15:$AQ$206,$B$15:$B$206,$B$305,$D$15:$D$206,$D330,$W$15:$W$206,O$213)</f>
        <v>0</v>
      </c>
      <c r="P330">
        <f>SUMIFS($AP$15:$AP$206,$B$15:$B$206,$B$305,$D$15:$D$206,$D330,$O$15:$O$206,P$213)+SUMIFS($AQ$15:$AQ$206,$B$15:$B$206,$B$305,$D$15:$D$206,$D330,$W$15:$W$206,P$213)</f>
        <v>82.22127336000001</v>
      </c>
      <c r="Q330">
        <f>SUMIFS($AP$15:$AP$206,$B$15:$B$206,$B$305,$D$15:$D$206,$D330,$O$15:$O$206,Q$213)+SUMIFS($AQ$15:$AQ$206,$B$15:$B$206,$B$305,$D$15:$D$206,$D330,$W$15:$W$206,Q$213)</f>
        <v>0</v>
      </c>
      <c r="R330">
        <f>SUMIFS($AP$15:$AP$206,$B$15:$B$206,$B$305,$D$15:$D$206,$D330,$O$15:$O$206,R$213)+SUMIFS($AQ$15:$AQ$206,$B$15:$B$206,$B$305,$D$15:$D$206,$D330,$W$15:$W$206,R$213)</f>
        <v>0</v>
      </c>
      <c r="S330">
        <f>SUMIFS($AP$15:$AP$206,$B$15:$B$206,$B$305,$D$15:$D$206,$D330,$O$15:$O$206,S$213)+SUMIFS($AQ$15:$AQ$206,$B$15:$B$206,$B$305,$D$15:$D$206,$D330,$W$15:$W$206,S$213)</f>
        <v>0</v>
      </c>
      <c r="T330">
        <f>SUM(H330:R330)</f>
        <v>142.9202358</v>
      </c>
      <c r="V330">
        <f>IF(F330&gt;0,G330/F330,0)</f>
        <v>14.174344436569811</v>
      </c>
      <c r="W330">
        <f>IF(F330&gt;0,T330/F330,0)</f>
        <v>289.40009274071076</v>
      </c>
    </row>
    <row r="331">
      <c r="D331" t="str">
        <v>KL175-3</v>
      </c>
      <c r="F331">
        <f>SUMIFS($AO$15:$AO$206,$B$15:$B$206,$B$305,$D$15:$D$206,$D331)</f>
        <v>0</v>
      </c>
      <c r="G331">
        <f>SUMIFS($AT$15:$AT$206,$B$15:$B$206,$B$305,$D$15:$D$206,$D331)</f>
        <v>0</v>
      </c>
      <c r="H331">
        <f>SUMIFS($AR$15:$AR$206,$B$15:$B$206,$B$305,$D$15:$D$206,$D331,$AD$15:$AD$206,H$213)+SUMIFS($AS$15:$AS$206,$B$15:$B$206,$B$305,$D$15:$D$206,$D331,$AI$15:$AI$206,H$213)</f>
        <v>0</v>
      </c>
      <c r="I331">
        <f>SUMIFS($AR$15:$AR$206,$B$15:$B$206,$B$305,$D$15:$D$206,$D331,$AD$15:$AD$206,I$213)+SUMIFS($AS$15:$AS$206,$B$15:$B$206,$B$305,$D$15:$D$206,$D331,$AI$15:$AI$206,I$213)</f>
        <v>0</v>
      </c>
      <c r="J331">
        <f>SUMIFS($AR$15:$AR$206,$B$15:$B$206,$B$305,$D$15:$D$206,$D331,$AD$15:$AD$206,J$213)+SUMIFS($AS$15:$AS$206,$B$15:$B$206,$B$305,$D$15:$D$206,$D331,$AI$15:$AI$206,J$213)</f>
        <v>0</v>
      </c>
      <c r="K331">
        <f>SUMIFS($AR$15:$AR$206,$B$15:$B$206,$B$305,$D$15:$D$206,$D331,$AD$15:$AD$206,K$213)+SUMIFS($AS$15:$AS$206,$B$15:$B$206,$B$305,$D$15:$D$206,$D331,$AI$15:$AI$206,K$213)</f>
        <v>0</v>
      </c>
      <c r="L331">
        <f>SUMIFS($AP$15:$AP$206,$B$15:$B$206,$B$305,$D$15:$D$206,$D331,$O$15:$O$206,L$213)+SUMIFS($AQ$15:$AQ$206,$B$15:$B$206,$B$305,$D$15:$D$206,$D331,$W$15:$W$206,L$213)</f>
        <v>0</v>
      </c>
      <c r="M331">
        <f>SUMIFS($AP$15:$AP$206,$B$15:$B$206,$B$305,$D$15:$D$206,$D331,$O$15:$O$206,M$213)+SUMIFS($AQ$15:$AQ$206,$B$15:$B$206,$B$305,$D$15:$D$206,$D331,$W$15:$W$206,M$213)</f>
        <v>0</v>
      </c>
      <c r="N331">
        <f>SUMIFS($AP$15:$AP$206,$B$15:$B$206,$B$305,$D$15:$D$206,$D331,$O$15:$O$206,N$213)+SUMIFS($AQ$15:$AQ$206,$B$15:$B$206,$B$305,$D$15:$D$206,$D331,$W$15:$W$206,N$213)</f>
        <v>0</v>
      </c>
      <c r="O331">
        <f>SUMIFS($AP$15:$AP$206,$B$15:$B$206,$B$305,$D$15:$D$206,$D331,$O$15:$O$206,O$213)+SUMIFS($AQ$15:$AQ$206,$B$15:$B$206,$B$305,$D$15:$D$206,$D331,$W$15:$W$206,O$213)</f>
        <v>0</v>
      </c>
      <c r="P331">
        <f>SUMIFS($AP$15:$AP$206,$B$15:$B$206,$B$305,$D$15:$D$206,$D331,$O$15:$O$206,P$213)+SUMIFS($AQ$15:$AQ$206,$B$15:$B$206,$B$305,$D$15:$D$206,$D331,$W$15:$W$206,P$213)</f>
        <v>0</v>
      </c>
      <c r="Q331">
        <f>SUMIFS($AP$15:$AP$206,$B$15:$B$206,$B$305,$D$15:$D$206,$D331,$O$15:$O$206,Q$213)+SUMIFS($AQ$15:$AQ$206,$B$15:$B$206,$B$305,$D$15:$D$206,$D331,$W$15:$W$206,Q$213)</f>
        <v>0</v>
      </c>
      <c r="R331">
        <f>SUMIFS($AP$15:$AP$206,$B$15:$B$206,$B$305,$D$15:$D$206,$D331,$O$15:$O$206,R$213)+SUMIFS($AQ$15:$AQ$206,$B$15:$B$206,$B$305,$D$15:$D$206,$D331,$W$15:$W$206,R$213)</f>
        <v>0</v>
      </c>
      <c r="S331">
        <f>SUMIFS($AP$15:$AP$206,$B$15:$B$206,$B$305,$D$15:$D$206,$D331,$O$15:$O$206,S$213)+SUMIFS($AQ$15:$AQ$206,$B$15:$B$206,$B$305,$D$15:$D$206,$D331,$W$15:$W$206,S$213)</f>
        <v>0</v>
      </c>
      <c r="T331">
        <f>SUM(H331:R331)</f>
        <v>0</v>
      </c>
      <c r="V331">
        <f>IF(F331&gt;0,G331/F331,0)</f>
        <v>0</v>
      </c>
      <c r="W331">
        <f>IF(F331&gt;0,T331/F331,0)</f>
        <v>0</v>
      </c>
    </row>
    <row r="333">
      <c r="B333" t="str">
        <v>Subtotal Lantai Attic</v>
      </c>
      <c r="F333">
        <f>SUM(F305:F332)</f>
        <v>11.57135</v>
      </c>
      <c r="G333">
        <f>SUM(G305:G332)</f>
        <v>181.01999999999998</v>
      </c>
      <c r="H333">
        <f>SUM(H305:H332)</f>
        <v>770.6664288000001</v>
      </c>
      <c r="I333">
        <f>SUM(I305:I332)</f>
        <v>91.013895</v>
      </c>
      <c r="J333">
        <f>SUM(J305:J332)</f>
        <v>0</v>
      </c>
      <c r="K333">
        <f>SUM(K305:K332)</f>
        <v>0</v>
      </c>
      <c r="L333">
        <f>SUM(L305:L332)</f>
        <v>8.954933760000001</v>
      </c>
      <c r="M333">
        <f>SUM(M305:M332)</f>
        <v>60.51564</v>
      </c>
      <c r="N333">
        <f>SUM(N305:N332)</f>
        <v>113.94887868</v>
      </c>
      <c r="O333">
        <f>SUM(O305:O332)</f>
        <v>968.38281216</v>
      </c>
      <c r="P333">
        <f>SUM(P305:P332)</f>
        <v>983.5127825400002</v>
      </c>
      <c r="Q333">
        <f>SUM(Q305:Q332)</f>
        <v>0</v>
      </c>
      <c r="R333">
        <f>SUM(R305:R332)</f>
        <v>0</v>
      </c>
      <c r="S333">
        <f>SUM(S305:S332)</f>
        <v>0</v>
      </c>
      <c r="T333">
        <f>SUM(T306:T332)</f>
        <v>2996.9953709399997</v>
      </c>
    </row>
    <row r="335">
      <c r="B335" t="str">
        <v>Basement</v>
      </c>
      <c r="D335" t="str">
        <v>Pit Lift</v>
      </c>
      <c r="F335">
        <f>SUMIFS($AO$15:$AO$206,$B$15:$B$206,$B335,$D$15:$D$206,$D335)</f>
        <v>2.2134</v>
      </c>
      <c r="G335">
        <f>SUMIFS($AT$15:$AT$206,$B$15:$B$206,$B335,$D$15:$D$206,$D335)</f>
        <v>28.08</v>
      </c>
      <c r="H335">
        <f>SUMIFS($AR$15:$AR$206,$B$15:$B$206,$B335,$D$15:$D$206,$D335,$AD$15:$AD$206,H$213)+SUMIFS($AS$15:$AS$206,$B$15:$B$206,$B335,$D$15:$D$206,$D335,$AI$15:$AI$206,H$213)</f>
        <v>0</v>
      </c>
      <c r="I335">
        <f>SUMIFS($AR$15:$AR$206,$B$15:$B$206,$B335,$D$15:$D$206,$D335,$AD$15:$AD$206,I$213)+SUMIFS($AS$15:$AS$206,$B$15:$B$206,$B335,$D$15:$D$206,$D335,$AI$15:$AI$206,I$213)</f>
        <v>214.1721</v>
      </c>
      <c r="J335">
        <f>SUMIFS($AR$15:$AR$206,$B$15:$B$206,$B335,$D$15:$D$206,$D335,$AD$15:$AD$206,J$213)+SUMIFS($AS$15:$AS$206,$B$15:$B$206,$B335,$D$15:$D$206,$D335,$AI$15:$AI$206,J$213)</f>
        <v>0</v>
      </c>
      <c r="K335">
        <f>SUMIFS($AR$15:$AR$206,$B$15:$B$206,$B335,$D$15:$D$206,$D335,$AD$15:$AD$206,K$213)+SUMIFS($AS$15:$AS$206,$B$15:$B$206,$B335,$D$15:$D$206,$D335,$AI$15:$AI$206,K$213)</f>
        <v>0</v>
      </c>
      <c r="L335">
        <f>SUMIFS($AP$15:$AP$206,$B$15:$B$206,$B335,$D$15:$D$206,$D335,$O$15:$O$206,L$213)+SUMIFS($AQ$15:$AQ$206,$B$15:$B$206,$B335,$D$15:$D$206,$D335,$W$15:$W$206,L$213)</f>
        <v>0</v>
      </c>
      <c r="M335">
        <f>SUMIFS($AP$15:$AP$206,$B$15:$B$206,$B335,$D$15:$D$206,$D335,$O$15:$O$206,M$213)+SUMIFS($AQ$15:$AQ$206,$B$15:$B$206,$B335,$D$15:$D$206,$D335,$W$15:$W$206,M$213)</f>
        <v>0</v>
      </c>
      <c r="N335">
        <f>SUMIFS($AP$15:$AP$206,$B$15:$B$206,$B335,$D$15:$D$206,$D335,$O$15:$O$206,N$213)+SUMIFS($AQ$15:$AQ$206,$B$15:$B$206,$B335,$D$15:$D$206,$D335,$W$15:$W$206,N$213)</f>
        <v>258.91259003999994</v>
      </c>
      <c r="O335">
        <f>SUMIFS($AP$15:$AP$206,$B$15:$B$206,$B335,$D$15:$D$206,$D335,$O$15:$O$206,O$213)+SUMIFS($AQ$15:$AQ$206,$B$15:$B$206,$B335,$D$15:$D$206,$D335,$W$15:$W$206,O$213)</f>
        <v>0</v>
      </c>
      <c r="P335">
        <f>SUMIFS($AP$15:$AP$206,$B$15:$B$206,$B335,$D$15:$D$206,$D335,$O$15:$O$206,P$213)+SUMIFS($AQ$15:$AQ$206,$B$15:$B$206,$B335,$D$15:$D$206,$D335,$W$15:$W$206,P$213)</f>
        <v>0</v>
      </c>
      <c r="Q335">
        <f>SUMIFS($AP$15:$AP$206,$B$15:$B$206,$B335,$D$15:$D$206,$D335,$O$15:$O$206,Q$213)+SUMIFS($AQ$15:$AQ$206,$B$15:$B$206,$B335,$D$15:$D$206,$D335,$W$15:$W$206,Q$213)</f>
        <v>0</v>
      </c>
      <c r="R335">
        <f>SUMIFS($AP$15:$AP$206,$B$15:$B$206,$B335,$D$15:$D$206,$D335,$O$15:$O$206,R$213)+SUMIFS($AQ$15:$AQ$206,$B$15:$B$206,$B335,$D$15:$D$206,$D335,$W$15:$W$206,R$213)</f>
        <v>0</v>
      </c>
      <c r="S335">
        <f>SUMIFS($AP$15:$AP$206,$B$15:$B$206,$B335,$D$15:$D$206,$D335,$O$15:$O$206,S$213)+SUMIFS($AQ$15:$AQ$206,$B$15:$B$206,$B335,$D$15:$D$206,$D335,$W$15:$W$206,S$213)</f>
        <v>0</v>
      </c>
      <c r="T335">
        <f>SUM(H335:R335)</f>
        <v>473.08469003999994</v>
      </c>
      <c r="V335">
        <f>IF(F335&gt;0,G335/F335,0)</f>
        <v>12.686364868528056</v>
      </c>
      <c r="W335">
        <f>IF(F335&gt;0,T335/F335,0)</f>
        <v>213.73664499864458</v>
      </c>
    </row>
    <row r="336">
      <c r="B336" t="str">
        <v>Basement</v>
      </c>
      <c r="D336" t="str">
        <v>SW.1</v>
      </c>
      <c r="F336">
        <f>SUMIFS($AO$15:$AO$206,$B$15:$B$206,$B336,$D$15:$D$206,$D336)</f>
        <v>3.65211</v>
      </c>
      <c r="G336">
        <f>SUMIFS($AT$15:$AT$206,$B$15:$B$206,$B336,$D$15:$D$206,$D336)</f>
        <v>48.576</v>
      </c>
      <c r="H336">
        <f>SUMIFS($AR$15:$AR$206,$B$15:$B$206,$B336,$D$15:$D$206,$D336,$AD$15:$AD$206,H$213)+SUMIFS($AS$15:$AS$206,$B$15:$B$206,$B336,$D$15:$D$206,$D336,$AI$15:$AI$206,H$213)</f>
        <v>0</v>
      </c>
      <c r="I336">
        <f>SUMIFS($AR$15:$AR$206,$B$15:$B$206,$B336,$D$15:$D$206,$D336,$AD$15:$AD$206,I$213)+SUMIFS($AS$15:$AS$206,$B$15:$B$206,$B336,$D$15:$D$206,$D336,$AI$15:$AI$206,I$213)</f>
        <v>287.418465</v>
      </c>
      <c r="J336">
        <f>SUMIFS($AR$15:$AR$206,$B$15:$B$206,$B336,$D$15:$D$206,$D336,$AD$15:$AD$206,J$213)+SUMIFS($AS$15:$AS$206,$B$15:$B$206,$B336,$D$15:$D$206,$D336,$AI$15:$AI$206,J$213)</f>
        <v>0</v>
      </c>
      <c r="K336">
        <f>SUMIFS($AR$15:$AR$206,$B$15:$B$206,$B336,$D$15:$D$206,$D336,$AD$15:$AD$206,K$213)+SUMIFS($AS$15:$AS$206,$B$15:$B$206,$B336,$D$15:$D$206,$D336,$AI$15:$AI$206,K$213)</f>
        <v>0</v>
      </c>
      <c r="L336">
        <f>SUMIFS($AP$15:$AP$206,$B$15:$B$206,$B336,$D$15:$D$206,$D336,$O$15:$O$206,L$213)+SUMIFS($AQ$15:$AQ$206,$B$15:$B$206,$B336,$D$15:$D$206,$D336,$W$15:$W$206,L$213)</f>
        <v>0</v>
      </c>
      <c r="M336">
        <f>SUMIFS($AP$15:$AP$206,$B$15:$B$206,$B336,$D$15:$D$206,$D336,$O$15:$O$206,M$213)+SUMIFS($AQ$15:$AQ$206,$B$15:$B$206,$B336,$D$15:$D$206,$D336,$W$15:$W$206,M$213)</f>
        <v>0</v>
      </c>
      <c r="N336">
        <f>SUMIFS($AP$15:$AP$206,$B$15:$B$206,$B336,$D$15:$D$206,$D336,$O$15:$O$206,N$213)+SUMIFS($AQ$15:$AQ$206,$B$15:$B$206,$B336,$D$15:$D$206,$D336,$W$15:$W$206,N$213)</f>
        <v>316.86223373999997</v>
      </c>
      <c r="O336">
        <f>SUMIFS($AP$15:$AP$206,$B$15:$B$206,$B336,$D$15:$D$206,$D336,$O$15:$O$206,O$213)+SUMIFS($AQ$15:$AQ$206,$B$15:$B$206,$B336,$D$15:$D$206,$D336,$W$15:$W$206,O$213)</f>
        <v>0</v>
      </c>
      <c r="P336">
        <f>SUMIFS($AP$15:$AP$206,$B$15:$B$206,$B336,$D$15:$D$206,$D336,$O$15:$O$206,P$213)+SUMIFS($AQ$15:$AQ$206,$B$15:$B$206,$B336,$D$15:$D$206,$D336,$W$15:$W$206,P$213)</f>
        <v>0</v>
      </c>
      <c r="Q336">
        <f>SUMIFS($AP$15:$AP$206,$B$15:$B$206,$B336,$D$15:$D$206,$D336,$O$15:$O$206,Q$213)+SUMIFS($AQ$15:$AQ$206,$B$15:$B$206,$B336,$D$15:$D$206,$D336,$W$15:$W$206,Q$213)</f>
        <v>0</v>
      </c>
      <c r="R336">
        <f>SUMIFS($AP$15:$AP$206,$B$15:$B$206,$B336,$D$15:$D$206,$D336,$O$15:$O$206,R$213)+SUMIFS($AQ$15:$AQ$206,$B$15:$B$206,$B336,$D$15:$D$206,$D336,$W$15:$W$206,R$213)</f>
        <v>0</v>
      </c>
      <c r="S336">
        <f>SUMIFS($AP$15:$AP$206,$B$15:$B$206,$B336,$D$15:$D$206,$D336,$O$15:$O$206,S$213)+SUMIFS($AQ$15:$AQ$206,$B$15:$B$206,$B336,$D$15:$D$206,$D336,$W$15:$W$206,S$213)</f>
        <v>0</v>
      </c>
      <c r="T336">
        <f>SUM(H336:R336)</f>
        <v>604.2806987399999</v>
      </c>
      <c r="V336">
        <f>IF(F336&gt;0,G336/F336,0)</f>
        <v>13.3008041926448</v>
      </c>
      <c r="W336">
        <f>IF(F336&gt;0,T336/F336,0)</f>
        <v>165.4607059316395</v>
      </c>
    </row>
    <row r="337">
      <c r="B337" t="str">
        <v>Lantai 1</v>
      </c>
      <c r="D337" t="str">
        <v>SW.1</v>
      </c>
      <c r="F337">
        <f>SUMIFS($AO$15:$AO$206,$B$15:$B$206,$B337,$D$15:$D$206,$D337)</f>
        <v>4.98015</v>
      </c>
      <c r="G337">
        <f>SUMIFS($AT$15:$AT$206,$B$15:$B$206,$B337,$D$15:$D$206,$D337)</f>
        <v>66.24</v>
      </c>
      <c r="H337">
        <f>SUMIFS($AR$15:$AR$206,$B$15:$B$206,$B337,$D$15:$D$206,$D337,$AD$15:$AD$206,H$213)+SUMIFS($AS$15:$AS$206,$B$15:$B$206,$B337,$D$15:$D$206,$D337,$AI$15:$AI$206,H$213)</f>
        <v>0</v>
      </c>
      <c r="I337">
        <f>SUMIFS($AR$15:$AR$206,$B$15:$B$206,$B337,$D$15:$D$206,$D337,$AD$15:$AD$206,I$213)+SUMIFS($AS$15:$AS$206,$B$15:$B$206,$B337,$D$15:$D$206,$D337,$AI$15:$AI$206,I$213)</f>
        <v>387.390105</v>
      </c>
      <c r="J337">
        <f>SUMIFS($AR$15:$AR$206,$B$15:$B$206,$B337,$D$15:$D$206,$D337,$AD$15:$AD$206,J$213)+SUMIFS($AS$15:$AS$206,$B$15:$B$206,$B337,$D$15:$D$206,$D337,$AI$15:$AI$206,J$213)</f>
        <v>0</v>
      </c>
      <c r="K337">
        <f>SUMIFS($AR$15:$AR$206,$B$15:$B$206,$B337,$D$15:$D$206,$D337,$AD$15:$AD$206,K$213)+SUMIFS($AS$15:$AS$206,$B$15:$B$206,$B337,$D$15:$D$206,$D337,$AI$15:$AI$206,K$213)</f>
        <v>0</v>
      </c>
      <c r="L337">
        <f>SUMIFS($AP$15:$AP$206,$B$15:$B$206,$B337,$D$15:$D$206,$D337,$O$15:$O$206,L$213)+SUMIFS($AQ$15:$AQ$206,$B$15:$B$206,$B337,$D$15:$D$206,$D337,$W$15:$W$206,L$213)</f>
        <v>0</v>
      </c>
      <c r="M337">
        <f>SUMIFS($AP$15:$AP$206,$B$15:$B$206,$B337,$D$15:$D$206,$D337,$O$15:$O$206,M$213)+SUMIFS($AQ$15:$AQ$206,$B$15:$B$206,$B337,$D$15:$D$206,$D337,$W$15:$W$206,M$213)</f>
        <v>0</v>
      </c>
      <c r="N337">
        <f>SUMIFS($AP$15:$AP$206,$B$15:$B$206,$B337,$D$15:$D$206,$D337,$O$15:$O$206,N$213)+SUMIFS($AQ$15:$AQ$206,$B$15:$B$206,$B337,$D$15:$D$206,$D337,$W$15:$W$206,N$213)</f>
        <v>409.38162173999996</v>
      </c>
      <c r="O337">
        <f>SUMIFS($AP$15:$AP$206,$B$15:$B$206,$B337,$D$15:$D$206,$D337,$O$15:$O$206,O$213)+SUMIFS($AQ$15:$AQ$206,$B$15:$B$206,$B337,$D$15:$D$206,$D337,$W$15:$W$206,O$213)</f>
        <v>0</v>
      </c>
      <c r="P337">
        <f>SUMIFS($AP$15:$AP$206,$B$15:$B$206,$B337,$D$15:$D$206,$D337,$O$15:$O$206,P$213)+SUMIFS($AQ$15:$AQ$206,$B$15:$B$206,$B337,$D$15:$D$206,$D337,$W$15:$W$206,P$213)</f>
        <v>0</v>
      </c>
      <c r="Q337">
        <f>SUMIFS($AP$15:$AP$206,$B$15:$B$206,$B337,$D$15:$D$206,$D337,$O$15:$O$206,Q$213)+SUMIFS($AQ$15:$AQ$206,$B$15:$B$206,$B337,$D$15:$D$206,$D337,$W$15:$W$206,Q$213)</f>
        <v>0</v>
      </c>
      <c r="R337">
        <f>SUMIFS($AP$15:$AP$206,$B$15:$B$206,$B337,$D$15:$D$206,$D337,$O$15:$O$206,R$213)+SUMIFS($AQ$15:$AQ$206,$B$15:$B$206,$B337,$D$15:$D$206,$D337,$W$15:$W$206,R$213)</f>
        <v>0</v>
      </c>
      <c r="S337">
        <f>SUMIFS($AP$15:$AP$206,$B$15:$B$206,$B337,$D$15:$D$206,$D337,$O$15:$O$206,S$213)+SUMIFS($AQ$15:$AQ$206,$B$15:$B$206,$B337,$D$15:$D$206,$D337,$W$15:$W$206,S$213)</f>
        <v>0</v>
      </c>
      <c r="T337">
        <f>SUM(H337:R337)</f>
        <v>796.77172674</v>
      </c>
      <c r="V337">
        <f>IF(F337&gt;0,G337/F337,0)</f>
        <v>13.300804192644799</v>
      </c>
      <c r="W337">
        <f>IF(F337&gt;0,T337/F337,0)</f>
        <v>159.98950367760006</v>
      </c>
    </row>
    <row r="338">
      <c r="B338" t="str">
        <v>Lantai 2</v>
      </c>
      <c r="D338" t="str">
        <v>SW.1</v>
      </c>
      <c r="F338">
        <f>SUMIFS($AO$15:$AO$206,$B$15:$B$206,$B338,$D$15:$D$206,$D338)</f>
        <v>4.98015</v>
      </c>
      <c r="G338">
        <f>SUMIFS($AT$15:$AT$206,$B$15:$B$206,$B338,$D$15:$D$206,$D338)</f>
        <v>66.24</v>
      </c>
      <c r="H338">
        <f>SUMIFS($AR$15:$AR$206,$B$15:$B$206,$B338,$D$15:$D$206,$D338,$AD$15:$AD$206,H$213)+SUMIFS($AS$15:$AS$206,$B$15:$B$206,$B338,$D$15:$D$206,$D338,$AI$15:$AI$206,H$213)</f>
        <v>0</v>
      </c>
      <c r="I338">
        <f>SUMIFS($AR$15:$AR$206,$B$15:$B$206,$B338,$D$15:$D$206,$D338,$AD$15:$AD$206,I$213)+SUMIFS($AS$15:$AS$206,$B$15:$B$206,$B338,$D$15:$D$206,$D338,$AI$15:$AI$206,I$213)</f>
        <v>387.390105</v>
      </c>
      <c r="J338">
        <f>SUMIFS($AR$15:$AR$206,$B$15:$B$206,$B338,$D$15:$D$206,$D338,$AD$15:$AD$206,J$213)+SUMIFS($AS$15:$AS$206,$B$15:$B$206,$B338,$D$15:$D$206,$D338,$AI$15:$AI$206,J$213)</f>
        <v>0</v>
      </c>
      <c r="K338">
        <f>SUMIFS($AR$15:$AR$206,$B$15:$B$206,$B338,$D$15:$D$206,$D338,$AD$15:$AD$206,K$213)+SUMIFS($AS$15:$AS$206,$B$15:$B$206,$B338,$D$15:$D$206,$D338,$AI$15:$AI$206,K$213)</f>
        <v>0</v>
      </c>
      <c r="L338">
        <f>SUMIFS($AP$15:$AP$206,$B$15:$B$206,$B338,$D$15:$D$206,$D338,$O$15:$O$206,L$213)+SUMIFS($AQ$15:$AQ$206,$B$15:$B$206,$B338,$D$15:$D$206,$D338,$W$15:$W$206,L$213)</f>
        <v>0</v>
      </c>
      <c r="M338">
        <f>SUMIFS($AP$15:$AP$206,$B$15:$B$206,$B338,$D$15:$D$206,$D338,$O$15:$O$206,M$213)+SUMIFS($AQ$15:$AQ$206,$B$15:$B$206,$B338,$D$15:$D$206,$D338,$W$15:$W$206,M$213)</f>
        <v>0</v>
      </c>
      <c r="N338">
        <f>SUMIFS($AP$15:$AP$206,$B$15:$B$206,$B338,$D$15:$D$206,$D338,$O$15:$O$206,N$213)+SUMIFS($AQ$15:$AQ$206,$B$15:$B$206,$B338,$D$15:$D$206,$D338,$W$15:$W$206,N$213)</f>
        <v>409.38162173999996</v>
      </c>
      <c r="O338">
        <f>SUMIFS($AP$15:$AP$206,$B$15:$B$206,$B338,$D$15:$D$206,$D338,$O$15:$O$206,O$213)+SUMIFS($AQ$15:$AQ$206,$B$15:$B$206,$B338,$D$15:$D$206,$D338,$W$15:$W$206,O$213)</f>
        <v>0</v>
      </c>
      <c r="P338">
        <f>SUMIFS($AP$15:$AP$206,$B$15:$B$206,$B338,$D$15:$D$206,$D338,$O$15:$O$206,P$213)+SUMIFS($AQ$15:$AQ$206,$B$15:$B$206,$B338,$D$15:$D$206,$D338,$W$15:$W$206,P$213)</f>
        <v>0</v>
      </c>
      <c r="Q338">
        <f>SUMIFS($AP$15:$AP$206,$B$15:$B$206,$B338,$D$15:$D$206,$D338,$O$15:$O$206,Q$213)+SUMIFS($AQ$15:$AQ$206,$B$15:$B$206,$B338,$D$15:$D$206,$D338,$W$15:$W$206,Q$213)</f>
        <v>0</v>
      </c>
      <c r="R338">
        <f>SUMIFS($AP$15:$AP$206,$B$15:$B$206,$B338,$D$15:$D$206,$D338,$O$15:$O$206,R$213)+SUMIFS($AQ$15:$AQ$206,$B$15:$B$206,$B338,$D$15:$D$206,$D338,$W$15:$W$206,R$213)</f>
        <v>0</v>
      </c>
      <c r="S338">
        <f>SUMIFS($AP$15:$AP$206,$B$15:$B$206,$B338,$D$15:$D$206,$D338,$O$15:$O$206,S$213)+SUMIFS($AQ$15:$AQ$206,$B$15:$B$206,$B338,$D$15:$D$206,$D338,$W$15:$W$206,S$213)</f>
        <v>0</v>
      </c>
      <c r="T338">
        <f>SUM(H338:R338)</f>
        <v>796.77172674</v>
      </c>
      <c r="V338">
        <f>IF(F338&gt;0,G338/F338,0)</f>
        <v>13.300804192644799</v>
      </c>
      <c r="W338">
        <f>IF(F338&gt;0,T338/F338,0)</f>
        <v>159.98950367760006</v>
      </c>
    </row>
    <row r="339">
      <c r="B339" t="str">
        <v>Lantai Attic</v>
      </c>
      <c r="D339" t="str">
        <v>SW.1</v>
      </c>
      <c r="F339">
        <f>SUMIFS($AO$15:$AO$206,$B$15:$B$206,$B339,$D$15:$D$206,$D339)</f>
        <v>4.98015</v>
      </c>
      <c r="G339">
        <f>SUMIFS($AT$15:$AT$206,$B$15:$B$206,$B339,$D$15:$D$206,$D339)</f>
        <v>66.24</v>
      </c>
      <c r="H339">
        <f>SUMIFS($AR$15:$AR$206,$B$15:$B$206,$B339,$D$15:$D$206,$D339,$AD$15:$AD$206,H$213)+SUMIFS($AS$15:$AS$206,$B$15:$B$206,$B339,$D$15:$D$206,$D339,$AI$15:$AI$206,H$213)</f>
        <v>0</v>
      </c>
      <c r="I339">
        <f>SUMIFS($AR$15:$AR$206,$B$15:$B$206,$B339,$D$15:$D$206,$D339,$AD$15:$AD$206,I$213)+SUMIFS($AS$15:$AS$206,$B$15:$B$206,$B339,$D$15:$D$206,$D339,$AI$15:$AI$206,I$213)</f>
        <v>387.390105</v>
      </c>
      <c r="J339">
        <f>SUMIFS($AR$15:$AR$206,$B$15:$B$206,$B339,$D$15:$D$206,$D339,$AD$15:$AD$206,J$213)+SUMIFS($AS$15:$AS$206,$B$15:$B$206,$B339,$D$15:$D$206,$D339,$AI$15:$AI$206,J$213)</f>
        <v>0</v>
      </c>
      <c r="K339">
        <f>SUMIFS($AR$15:$AR$206,$B$15:$B$206,$B339,$D$15:$D$206,$D339,$AD$15:$AD$206,K$213)+SUMIFS($AS$15:$AS$206,$B$15:$B$206,$B339,$D$15:$D$206,$D339,$AI$15:$AI$206,K$213)</f>
        <v>0</v>
      </c>
      <c r="L339">
        <f>SUMIFS($AP$15:$AP$206,$B$15:$B$206,$B339,$D$15:$D$206,$D339,$O$15:$O$206,L$213)+SUMIFS($AQ$15:$AQ$206,$B$15:$B$206,$B339,$D$15:$D$206,$D339,$W$15:$W$206,L$213)</f>
        <v>0</v>
      </c>
      <c r="M339">
        <f>SUMIFS($AP$15:$AP$206,$B$15:$B$206,$B339,$D$15:$D$206,$D339,$O$15:$O$206,M$213)+SUMIFS($AQ$15:$AQ$206,$B$15:$B$206,$B339,$D$15:$D$206,$D339,$W$15:$W$206,M$213)</f>
        <v>0</v>
      </c>
      <c r="N339">
        <f>SUMIFS($AP$15:$AP$206,$B$15:$B$206,$B339,$D$15:$D$206,$D339,$O$15:$O$206,N$213)+SUMIFS($AQ$15:$AQ$206,$B$15:$B$206,$B339,$D$15:$D$206,$D339,$W$15:$W$206,N$213)</f>
        <v>406.00591433999995</v>
      </c>
      <c r="O339">
        <f>SUMIFS($AP$15:$AP$206,$B$15:$B$206,$B339,$D$15:$D$206,$D339,$O$15:$O$206,O$213)+SUMIFS($AQ$15:$AQ$206,$B$15:$B$206,$B339,$D$15:$D$206,$D339,$W$15:$W$206,O$213)</f>
        <v>0</v>
      </c>
      <c r="P339">
        <f>SUMIFS($AP$15:$AP$206,$B$15:$B$206,$B339,$D$15:$D$206,$D339,$O$15:$O$206,P$213)+SUMIFS($AQ$15:$AQ$206,$B$15:$B$206,$B339,$D$15:$D$206,$D339,$W$15:$W$206,P$213)</f>
        <v>0</v>
      </c>
      <c r="Q339">
        <f>SUMIFS($AP$15:$AP$206,$B$15:$B$206,$B339,$D$15:$D$206,$D339,$O$15:$O$206,Q$213)+SUMIFS($AQ$15:$AQ$206,$B$15:$B$206,$B339,$D$15:$D$206,$D339,$W$15:$W$206,Q$213)</f>
        <v>0</v>
      </c>
      <c r="R339">
        <f>SUMIFS($AP$15:$AP$206,$B$15:$B$206,$B339,$D$15:$D$206,$D339,$O$15:$O$206,R$213)+SUMIFS($AQ$15:$AQ$206,$B$15:$B$206,$B339,$D$15:$D$206,$D339,$W$15:$W$206,R$213)</f>
        <v>0</v>
      </c>
      <c r="S339">
        <f>SUMIFS($AP$15:$AP$206,$B$15:$B$206,$B339,$D$15:$D$206,$D339,$O$15:$O$206,S$213)+SUMIFS($AQ$15:$AQ$206,$B$15:$B$206,$B339,$D$15:$D$206,$D339,$W$15:$W$206,S$213)</f>
        <v>0</v>
      </c>
      <c r="T339">
        <f>SUM(H339:R339)</f>
        <v>793.39601934</v>
      </c>
      <c r="V339">
        <f>IF(F339&gt;0,G339/F339,0)</f>
        <v>13.300804192644799</v>
      </c>
      <c r="W339">
        <f>IF(F339&gt;0,T339/F339,0)</f>
        <v>159.3116712026746</v>
      </c>
    </row>
    <row r="341">
      <c r="B341" t="str">
        <v>Subtotal Rumah Lift</v>
      </c>
      <c r="F341">
        <f>SUM(F334:F340)</f>
        <v>20.80596</v>
      </c>
      <c r="G341">
        <f>SUM(G334:G340)</f>
        <v>275.37600000000003</v>
      </c>
      <c r="H341">
        <f>SUM(H334:H340)</f>
        <v>0</v>
      </c>
      <c r="I341">
        <f>SUM(I334:I340)</f>
        <v>1663.76088</v>
      </c>
      <c r="J341">
        <f>SUM(J334:J340)</f>
        <v>0</v>
      </c>
      <c r="K341">
        <f>SUM(K334:K340)</f>
        <v>0</v>
      </c>
      <c r="L341">
        <f>SUM(L334:L340)</f>
        <v>0</v>
      </c>
      <c r="M341">
        <f>SUM(M334:M340)</f>
        <v>0</v>
      </c>
      <c r="N341">
        <f>SUM(N334:N340)</f>
        <v>1800.5439815999996</v>
      </c>
      <c r="O341">
        <f>SUM(O334:O340)</f>
        <v>0</v>
      </c>
      <c r="P341">
        <f>SUM(P334:P340)</f>
        <v>0</v>
      </c>
      <c r="Q341">
        <f>SUM(Q334:Q340)</f>
        <v>0</v>
      </c>
      <c r="R341">
        <f>SUM(R334:R340)</f>
        <v>0</v>
      </c>
      <c r="S341">
        <f>SUM(S334:S340)</f>
        <v>0</v>
      </c>
      <c r="T341">
        <f>SUM(T334:T340)</f>
        <v>3464.3048615999996</v>
      </c>
    </row>
    <row r="344">
      <c r="B344" t="str">
        <v>TOTAL</v>
      </c>
      <c r="F344">
        <f>SUM(F214:F343)/2</f>
        <v>98.69705000000002</v>
      </c>
      <c r="G344">
        <f>SUM(G214:G343)/2</f>
        <v>1287.684</v>
      </c>
      <c r="H344">
        <f>SUM(H214:H343)/2</f>
        <v>3611.107814399998</v>
      </c>
      <c r="I344">
        <f>SUM(I214:I343)/2</f>
        <v>4245.927975000001</v>
      </c>
      <c r="J344">
        <f>SUM(J214:J343)/2</f>
        <v>0</v>
      </c>
      <c r="K344">
        <f>SUM(K214:K343)/2</f>
        <v>0</v>
      </c>
      <c r="L344">
        <f>SUM(L214:L343)/2</f>
        <v>30.084410880000004</v>
      </c>
      <c r="M344">
        <f>SUM(M214:M343)/2</f>
        <v>184.82670000000002</v>
      </c>
      <c r="N344">
        <f>SUM(N214:N343)/2</f>
        <v>2381.8991414399998</v>
      </c>
      <c r="O344">
        <f>SUM(O214:O343)/2</f>
        <v>4976.8093900799995</v>
      </c>
      <c r="P344">
        <f>SUM(P214:P343)/2</f>
        <v>5531.810950440001</v>
      </c>
      <c r="Q344">
        <f>SUM(Q214:Q343)/2</f>
        <v>3769.9877556</v>
      </c>
      <c r="R344">
        <f>SUM(R214:R343)/2</f>
        <v>0</v>
      </c>
      <c r="S344">
        <f>SUM(S214:S343)/2</f>
        <v>0</v>
      </c>
      <c r="T344">
        <f>SUM(T214:T343)/2</f>
        <v>24732.454137839995</v>
      </c>
    </row>
    <row r="345">
      <c r="D345" t="str">
        <v>Cek</v>
      </c>
      <c r="F345">
        <f>F344-AO207</f>
        <v>1.2789769243681803e-13</v>
      </c>
      <c r="G345">
        <f>G344-AT207</f>
        <v>0</v>
      </c>
      <c r="H345">
        <f>SUM(H344:S344)-SUM(AP207:AS207)</f>
        <v>0</v>
      </c>
    </row>
    <row r="346">
      <c r="G346" t="str">
        <v>rasio</v>
      </c>
      <c r="H346">
        <f>SUM(H344:R344)/F344</f>
        <v>250.5895985527429</v>
      </c>
    </row>
  </sheetData>
  <autoFilter ref="A14:BA206"/>
  <mergeCells count="37">
    <mergeCell ref="AL208:AO208"/>
    <mergeCell ref="AP208:AS208"/>
    <mergeCell ref="B212:C213"/>
    <mergeCell ref="F212:F213"/>
    <mergeCell ref="G212:G213"/>
    <mergeCell ref="H212:K212"/>
    <mergeCell ref="V212:W212"/>
    <mergeCell ref="L212:S212"/>
    <mergeCell ref="N11:U11"/>
    <mergeCell ref="V11:AC11"/>
    <mergeCell ref="AT11:AT12"/>
    <mergeCell ref="AU11:AV11"/>
    <mergeCell ref="N12:N13"/>
    <mergeCell ref="O12:O13"/>
    <mergeCell ref="V12:V13"/>
    <mergeCell ref="W12:W13"/>
    <mergeCell ref="AH11:AI12"/>
    <mergeCell ref="AJ11:AK12"/>
    <mergeCell ref="AL11:AL12"/>
    <mergeCell ref="AM11:AM12"/>
    <mergeCell ref="AP11:AS12"/>
    <mergeCell ref="AN11:AN12"/>
    <mergeCell ref="AO11:AO12"/>
    <mergeCell ref="AD11:AG12"/>
    <mergeCell ref="F3:M3"/>
    <mergeCell ref="F4:M4"/>
    <mergeCell ref="A11:A13"/>
    <mergeCell ref="B11:B13"/>
    <mergeCell ref="C11:C13"/>
    <mergeCell ref="D11:E13"/>
    <mergeCell ref="F11:F13"/>
    <mergeCell ref="G11:G13"/>
    <mergeCell ref="H11:H12"/>
    <mergeCell ref="I11:I12"/>
    <mergeCell ref="J11:J12"/>
    <mergeCell ref="K11:K12"/>
    <mergeCell ref="L11:M12"/>
  </mergeCells>
  <pageMargins left="0" right="0" top="0.590551181102362" bottom="0.511811023622047" header="0.236220472440945" footer="0.236220472440945"/>
  <ignoredErrors>
    <ignoredError numberStoredAsText="1" sqref="A1:BD34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E372"/>
  <sheetViews>
    <sheetView workbookViewId="0" rightToLeft="0"/>
  </sheetViews>
  <sheetData>
    <row r="1">
      <c r="A1" t="str">
        <v>D A T A    T Y P E    K O L O M</v>
      </c>
    </row>
    <row r="3">
      <c r="A3" t="str">
        <v>Project</v>
      </c>
      <c r="E3" t="str">
        <v>:</v>
      </c>
      <c r="F3" t="str">
        <v>PAKUWON INDAH PD3 no. 23</v>
      </c>
    </row>
    <row r="4">
      <c r="A4" t="str">
        <v>Tower</v>
      </c>
      <c r="E4" t="str">
        <v>:</v>
      </c>
    </row>
    <row r="5">
      <c r="A5" t="str">
        <v xml:space="preserve">Panjang kait sengkang                         </v>
      </c>
      <c r="E5" t="str">
        <v>:</v>
      </c>
      <c r="F5">
        <v>6</v>
      </c>
      <c r="G5" t="str">
        <v>Ø</v>
      </c>
      <c r="K5" t="str">
        <v>Tebal selimut beton</v>
      </c>
      <c r="M5" t="str">
        <v>:</v>
      </c>
      <c r="N5">
        <v>20</v>
      </c>
      <c r="O5" t="str">
        <v>mm</v>
      </c>
      <c r="P5" t="str">
        <v>Waste</v>
      </c>
      <c r="Q5" t="str">
        <v xml:space="preserve">Beton </v>
      </c>
      <c r="R5" t="str">
        <v>:</v>
      </c>
      <c r="S5">
        <v>0</v>
      </c>
    </row>
    <row r="6">
      <c r="A6" t="str">
        <v>Panjang sambungan lewatan</v>
      </c>
      <c r="E6" t="str">
        <v>:</v>
      </c>
      <c r="F6" t="str">
        <v>IKUTI STANDAR DETAIL</v>
      </c>
      <c r="K6" t="str">
        <v>Last Update</v>
      </c>
      <c r="M6" t="str">
        <v>:</v>
      </c>
      <c r="N6">
        <v>43331</v>
      </c>
      <c r="Q6" t="str">
        <v>Besi</v>
      </c>
      <c r="R6" t="str">
        <v>:</v>
      </c>
      <c r="S6">
        <v>0</v>
      </c>
    </row>
    <row r="7">
      <c r="A7" t="str">
        <v>Panjang penjangkaran</v>
      </c>
      <c r="E7" t="str">
        <v>:</v>
      </c>
      <c r="F7" t="str">
        <v>IKUTI STANDAR DETAIL</v>
      </c>
      <c r="Q7" t="str">
        <v>Bekisting</v>
      </c>
      <c r="R7" t="str">
        <v>:</v>
      </c>
      <c r="S7">
        <v>0</v>
      </c>
    </row>
    <row r="8">
      <c r="A8" t="str">
        <v>Mutu Beton</v>
      </c>
      <c r="E8" t="str">
        <v>:</v>
      </c>
      <c r="F8" t="str">
        <v>VARIABLE</v>
      </c>
    </row>
    <row r="11">
      <c r="A11" t="str">
        <v>No.</v>
      </c>
      <c r="B11" t="str">
        <v>Lt.</v>
      </c>
      <c r="C11" t="str">
        <v>Pile Cap</v>
      </c>
      <c r="D11" t="str">
        <v>TYPE</v>
      </c>
      <c r="E11" t="str">
        <v>DIMENSI (mm)</v>
      </c>
      <c r="H11" t="str">
        <v>Tulangan Utama</v>
      </c>
      <c r="J11" t="str">
        <v>Tul. Extra</v>
      </c>
      <c r="L11" t="str">
        <v>Sengkang</v>
      </c>
      <c r="M11" t="str">
        <v>Jarak Sengkang (mm)</v>
      </c>
      <c r="P11" t="str">
        <v>Skg Ext // b</v>
      </c>
      <c r="R11" t="str">
        <v>Skg Ext // h</v>
      </c>
      <c r="T11" t="str">
        <v>Mutu Beton K</v>
      </c>
      <c r="U11" t="str">
        <v>Mutu Beton fc'</v>
      </c>
    </row>
    <row r="13">
      <c r="E13" t="str">
        <v>b (lebar)</v>
      </c>
      <c r="F13" t="str">
        <v>h (tinggi)</v>
      </c>
      <c r="G13" t="str">
        <v>H (panjang)</v>
      </c>
      <c r="H13" t="str">
        <v>Σ Tul.</v>
      </c>
      <c r="I13" t="str">
        <v>D (mm)</v>
      </c>
      <c r="J13" t="str">
        <v>Σ Tul.</v>
      </c>
      <c r="K13" t="str">
        <v>Ø (mm)</v>
      </c>
      <c r="L13" t="str">
        <v>D (mm)</v>
      </c>
      <c r="M13" t="str">
        <v>Bawah</v>
      </c>
      <c r="N13" t="str">
        <v>Tengah</v>
      </c>
      <c r="O13" t="str">
        <v>Atas</v>
      </c>
      <c r="P13" t="str">
        <v>Σ</v>
      </c>
      <c r="Q13" t="str">
        <v>D (mm)</v>
      </c>
      <c r="R13" t="str">
        <v>Σ</v>
      </c>
      <c r="S13" t="str">
        <v>D (mm)</v>
      </c>
    </row>
    <row r="15">
      <c r="A15">
        <v>1</v>
      </c>
      <c r="B15" t="str">
        <v>Basement</v>
      </c>
      <c r="C15" t="str">
        <v>PC.1</v>
      </c>
      <c r="D15" t="str">
        <v>K175-1</v>
      </c>
      <c r="E15">
        <v>170</v>
      </c>
      <c r="F15">
        <v>500</v>
      </c>
      <c r="G15">
        <f>0-(-3300)</f>
        <v>3300</v>
      </c>
      <c r="H15">
        <v>6</v>
      </c>
      <c r="I15">
        <v>16</v>
      </c>
      <c r="L15">
        <v>8</v>
      </c>
      <c r="M15">
        <v>100</v>
      </c>
      <c r="N15">
        <v>100</v>
      </c>
      <c r="O15">
        <v>100</v>
      </c>
      <c r="P15">
        <v>0.5</v>
      </c>
      <c r="Q15">
        <v>8</v>
      </c>
    </row>
    <row r="16">
      <c r="A16">
        <v>2</v>
      </c>
      <c r="B16" t="str">
        <v>Basement</v>
      </c>
      <c r="C16" t="str">
        <v>PC.1</v>
      </c>
      <c r="D16" t="str">
        <v>K175-2</v>
      </c>
      <c r="E16">
        <v>170</v>
      </c>
      <c r="F16">
        <v>500</v>
      </c>
      <c r="G16">
        <f>0-(-3300)</f>
        <v>3300</v>
      </c>
      <c r="H16">
        <v>8</v>
      </c>
      <c r="I16">
        <v>16</v>
      </c>
      <c r="L16">
        <v>8</v>
      </c>
      <c r="M16">
        <v>100</v>
      </c>
      <c r="N16">
        <v>100</v>
      </c>
      <c r="O16">
        <v>100</v>
      </c>
      <c r="P16">
        <v>0.5</v>
      </c>
      <c r="Q16">
        <v>8</v>
      </c>
    </row>
    <row r="17">
      <c r="A17">
        <v>3</v>
      </c>
      <c r="B17" t="str">
        <v>Basement</v>
      </c>
      <c r="C17" t="str">
        <v>PC.1</v>
      </c>
      <c r="D17" t="str">
        <v>K174-1</v>
      </c>
      <c r="E17">
        <v>170</v>
      </c>
      <c r="F17">
        <v>400</v>
      </c>
      <c r="G17">
        <f>0-(-3300)</f>
        <v>3300</v>
      </c>
      <c r="H17">
        <v>8</v>
      </c>
      <c r="I17">
        <v>13</v>
      </c>
      <c r="L17">
        <v>8</v>
      </c>
      <c r="M17">
        <v>100</v>
      </c>
      <c r="N17">
        <v>100</v>
      </c>
      <c r="O17">
        <v>100</v>
      </c>
    </row>
    <row r="18">
      <c r="A18">
        <v>4</v>
      </c>
      <c r="B18" t="str">
        <v>Basement</v>
      </c>
      <c r="C18" t="str">
        <v>PC.2</v>
      </c>
      <c r="D18" t="str">
        <v>K175-2</v>
      </c>
      <c r="E18">
        <v>170</v>
      </c>
      <c r="F18">
        <v>500</v>
      </c>
      <c r="G18">
        <f>0-(-3300)</f>
        <v>3300</v>
      </c>
      <c r="H18">
        <v>8</v>
      </c>
      <c r="I18">
        <v>16</v>
      </c>
      <c r="L18">
        <v>8</v>
      </c>
      <c r="M18">
        <v>100</v>
      </c>
      <c r="N18">
        <v>100</v>
      </c>
      <c r="O18">
        <v>100</v>
      </c>
      <c r="P18">
        <v>0.5</v>
      </c>
      <c r="Q18">
        <v>8</v>
      </c>
    </row>
    <row r="19">
      <c r="A19">
        <v>5</v>
      </c>
      <c r="B19" t="str">
        <v>Basement</v>
      </c>
      <c r="C19" t="str">
        <v>PC.2</v>
      </c>
      <c r="D19" t="str">
        <v>K175-2</v>
      </c>
      <c r="E19">
        <v>170</v>
      </c>
      <c r="F19">
        <v>500</v>
      </c>
      <c r="G19">
        <f>0-(-3300)</f>
        <v>3300</v>
      </c>
      <c r="H19">
        <v>8</v>
      </c>
      <c r="I19">
        <v>16</v>
      </c>
      <c r="L19">
        <v>8</v>
      </c>
      <c r="M19">
        <v>100</v>
      </c>
      <c r="N19">
        <v>100</v>
      </c>
      <c r="O19">
        <v>100</v>
      </c>
      <c r="P19">
        <v>0.5</v>
      </c>
      <c r="Q19">
        <v>8</v>
      </c>
    </row>
    <row r="20">
      <c r="A20">
        <v>6</v>
      </c>
      <c r="B20" t="str">
        <v>Basement</v>
      </c>
      <c r="C20" t="str">
        <v>PC.2</v>
      </c>
      <c r="D20" t="str">
        <v>K175-2</v>
      </c>
      <c r="E20">
        <v>170</v>
      </c>
      <c r="F20">
        <v>500</v>
      </c>
      <c r="G20">
        <f>0-(-3300)</f>
        <v>3300</v>
      </c>
      <c r="H20">
        <v>8</v>
      </c>
      <c r="I20">
        <v>16</v>
      </c>
      <c r="L20">
        <v>8</v>
      </c>
      <c r="M20">
        <v>100</v>
      </c>
      <c r="N20">
        <v>100</v>
      </c>
      <c r="O20">
        <v>100</v>
      </c>
      <c r="P20">
        <v>0.5</v>
      </c>
      <c r="Q20">
        <v>8</v>
      </c>
    </row>
    <row r="21">
      <c r="A21">
        <v>7</v>
      </c>
      <c r="B21" t="str">
        <v>Basement</v>
      </c>
      <c r="C21" t="str">
        <v>PC.2</v>
      </c>
      <c r="D21" t="str">
        <v>K175-2</v>
      </c>
      <c r="E21">
        <v>170</v>
      </c>
      <c r="F21">
        <v>500</v>
      </c>
      <c r="G21">
        <f>0-(-3300)</f>
        <v>3300</v>
      </c>
      <c r="H21">
        <v>8</v>
      </c>
      <c r="I21">
        <v>16</v>
      </c>
      <c r="L21">
        <v>8</v>
      </c>
      <c r="M21">
        <v>100</v>
      </c>
      <c r="N21">
        <v>100</v>
      </c>
      <c r="O21">
        <v>100</v>
      </c>
      <c r="P21">
        <v>0.5</v>
      </c>
      <c r="Q21">
        <v>8</v>
      </c>
    </row>
    <row r="22">
      <c r="A22">
        <v>8</v>
      </c>
      <c r="B22" t="str">
        <v>Basement</v>
      </c>
      <c r="C22" t="str">
        <v>PC.2</v>
      </c>
      <c r="D22" t="str">
        <v>K175-1</v>
      </c>
      <c r="E22">
        <v>170</v>
      </c>
      <c r="F22">
        <v>500</v>
      </c>
      <c r="G22">
        <f>0-(-3300)</f>
        <v>3300</v>
      </c>
      <c r="H22">
        <v>6</v>
      </c>
      <c r="I22">
        <v>16</v>
      </c>
      <c r="L22">
        <v>8</v>
      </c>
      <c r="M22">
        <v>100</v>
      </c>
      <c r="N22">
        <v>100</v>
      </c>
      <c r="O22">
        <v>100</v>
      </c>
      <c r="P22">
        <v>0.5</v>
      </c>
      <c r="Q22">
        <v>8</v>
      </c>
    </row>
    <row r="23">
      <c r="A23">
        <v>9</v>
      </c>
      <c r="B23" t="str">
        <v>Basement</v>
      </c>
      <c r="C23" t="str">
        <v>PC.2</v>
      </c>
      <c r="D23" t="str">
        <v>K175-2</v>
      </c>
      <c r="E23">
        <v>170</v>
      </c>
      <c r="F23">
        <v>500</v>
      </c>
      <c r="G23">
        <f>0-(-3300)</f>
        <v>3300</v>
      </c>
      <c r="H23">
        <v>8</v>
      </c>
      <c r="I23">
        <v>16</v>
      </c>
      <c r="L23">
        <v>8</v>
      </c>
      <c r="M23">
        <v>100</v>
      </c>
      <c r="N23">
        <v>100</v>
      </c>
      <c r="O23">
        <v>100</v>
      </c>
      <c r="P23">
        <v>0.5</v>
      </c>
      <c r="Q23">
        <v>8</v>
      </c>
    </row>
    <row r="24">
      <c r="A24">
        <v>10</v>
      </c>
      <c r="B24" t="str">
        <v>Basement</v>
      </c>
      <c r="C24" t="str">
        <v>PC.2</v>
      </c>
      <c r="D24" t="str">
        <v>K175-2</v>
      </c>
      <c r="E24">
        <v>170</v>
      </c>
      <c r="F24">
        <v>500</v>
      </c>
      <c r="G24">
        <f>0-(-3300)</f>
        <v>3300</v>
      </c>
      <c r="H24">
        <v>8</v>
      </c>
      <c r="I24">
        <v>16</v>
      </c>
      <c r="L24">
        <v>8</v>
      </c>
      <c r="M24">
        <v>100</v>
      </c>
      <c r="N24">
        <v>100</v>
      </c>
      <c r="O24">
        <v>100</v>
      </c>
      <c r="P24">
        <v>0.5</v>
      </c>
      <c r="Q24">
        <v>8</v>
      </c>
    </row>
    <row r="25">
      <c r="A25">
        <v>11</v>
      </c>
      <c r="B25" t="str">
        <v>Basement</v>
      </c>
      <c r="C25" t="str">
        <v>PC.2A</v>
      </c>
      <c r="D25" t="str">
        <v>K175-1</v>
      </c>
      <c r="E25">
        <v>170</v>
      </c>
      <c r="F25">
        <v>500</v>
      </c>
      <c r="G25">
        <f>0-(-3300)</f>
        <v>3300</v>
      </c>
      <c r="H25">
        <v>6</v>
      </c>
      <c r="I25">
        <v>16</v>
      </c>
      <c r="L25">
        <v>8</v>
      </c>
      <c r="M25">
        <v>100</v>
      </c>
      <c r="N25">
        <v>100</v>
      </c>
      <c r="O25">
        <v>100</v>
      </c>
      <c r="P25">
        <v>0.5</v>
      </c>
      <c r="Q25">
        <v>8</v>
      </c>
    </row>
    <row r="26">
      <c r="A26">
        <v>12</v>
      </c>
      <c r="B26" t="str">
        <v>Basement</v>
      </c>
      <c r="C26" t="str">
        <v>PC.3A</v>
      </c>
      <c r="D26" t="str">
        <v>K178-2</v>
      </c>
      <c r="E26">
        <v>170</v>
      </c>
      <c r="F26">
        <v>800</v>
      </c>
      <c r="G26">
        <f>0-(-3300)</f>
        <v>3300</v>
      </c>
      <c r="H26">
        <v>14</v>
      </c>
      <c r="I26">
        <v>19</v>
      </c>
      <c r="L26">
        <v>8</v>
      </c>
      <c r="M26">
        <v>100</v>
      </c>
      <c r="N26">
        <v>100</v>
      </c>
      <c r="O26">
        <v>100</v>
      </c>
      <c r="P26">
        <f>2/2</f>
        <v>1</v>
      </c>
      <c r="Q26">
        <v>8</v>
      </c>
    </row>
    <row r="27">
      <c r="A27">
        <v>13</v>
      </c>
      <c r="B27" t="str">
        <v>Basement</v>
      </c>
      <c r="C27" t="str">
        <v>PC.2</v>
      </c>
      <c r="D27" t="str">
        <v>K175-2</v>
      </c>
      <c r="E27">
        <v>170</v>
      </c>
      <c r="F27">
        <v>500</v>
      </c>
      <c r="G27">
        <f>0-(-3300)</f>
        <v>3300</v>
      </c>
      <c r="H27">
        <v>8</v>
      </c>
      <c r="I27">
        <v>16</v>
      </c>
      <c r="L27">
        <v>8</v>
      </c>
      <c r="M27">
        <v>100</v>
      </c>
      <c r="N27">
        <v>100</v>
      </c>
      <c r="O27">
        <v>100</v>
      </c>
      <c r="P27">
        <v>0.5</v>
      </c>
      <c r="Q27">
        <v>8</v>
      </c>
    </row>
    <row r="28">
      <c r="A28">
        <v>14</v>
      </c>
      <c r="B28" t="str">
        <v>Basement</v>
      </c>
      <c r="C28" t="str">
        <v>PC.3A</v>
      </c>
      <c r="D28" t="str">
        <v>K177-1</v>
      </c>
      <c r="E28">
        <v>170</v>
      </c>
      <c r="F28">
        <v>700</v>
      </c>
      <c r="G28">
        <f>0-(-3300)</f>
        <v>3300</v>
      </c>
      <c r="H28">
        <v>10</v>
      </c>
      <c r="I28">
        <v>19</v>
      </c>
      <c r="L28">
        <v>8</v>
      </c>
      <c r="M28">
        <v>100</v>
      </c>
      <c r="N28">
        <v>100</v>
      </c>
      <c r="O28">
        <v>100</v>
      </c>
      <c r="P28">
        <v>0.5</v>
      </c>
      <c r="Q28">
        <v>8</v>
      </c>
    </row>
    <row r="29">
      <c r="A29" t="str">
        <v>14A</v>
      </c>
      <c r="B29" t="str">
        <v>Basement</v>
      </c>
      <c r="C29" t="str">
        <v>PC.2</v>
      </c>
      <c r="D29" t="str">
        <v>K174-1</v>
      </c>
      <c r="E29">
        <v>170</v>
      </c>
      <c r="F29">
        <v>400</v>
      </c>
      <c r="G29">
        <f>0-(-3300)</f>
        <v>3300</v>
      </c>
      <c r="H29">
        <v>8</v>
      </c>
      <c r="I29">
        <v>13</v>
      </c>
      <c r="L29">
        <v>8</v>
      </c>
      <c r="M29">
        <v>100</v>
      </c>
      <c r="N29">
        <v>100</v>
      </c>
      <c r="O29">
        <v>100</v>
      </c>
    </row>
    <row r="30">
      <c r="A30">
        <v>15</v>
      </c>
      <c r="B30" t="str">
        <v>Basement</v>
      </c>
      <c r="C30" t="str">
        <v>PC.2A</v>
      </c>
      <c r="D30" t="str">
        <v>K178-1</v>
      </c>
      <c r="E30">
        <v>170</v>
      </c>
      <c r="F30">
        <v>800</v>
      </c>
      <c r="G30">
        <f>0-(-3300)</f>
        <v>3300</v>
      </c>
      <c r="H30">
        <v>8</v>
      </c>
      <c r="I30">
        <v>16</v>
      </c>
      <c r="L30">
        <v>8</v>
      </c>
      <c r="M30">
        <v>100</v>
      </c>
      <c r="N30">
        <v>100</v>
      </c>
      <c r="O30">
        <v>100</v>
      </c>
      <c r="P30">
        <f>2/2</f>
        <v>1</v>
      </c>
      <c r="Q30">
        <v>8</v>
      </c>
    </row>
    <row r="31">
      <c r="A31">
        <v>16</v>
      </c>
      <c r="B31" t="str">
        <v>Basement</v>
      </c>
      <c r="C31" t="str">
        <v>PC.2</v>
      </c>
      <c r="D31" t="str">
        <v>K175-2</v>
      </c>
      <c r="E31">
        <v>170</v>
      </c>
      <c r="F31">
        <v>500</v>
      </c>
      <c r="G31">
        <f>0-(-3300)</f>
        <v>3300</v>
      </c>
      <c r="H31">
        <v>8</v>
      </c>
      <c r="I31">
        <v>16</v>
      </c>
      <c r="L31">
        <v>8</v>
      </c>
      <c r="M31">
        <v>100</v>
      </c>
      <c r="N31">
        <v>100</v>
      </c>
      <c r="O31">
        <v>100</v>
      </c>
      <c r="P31">
        <v>0.5</v>
      </c>
      <c r="Q31">
        <v>8</v>
      </c>
    </row>
    <row r="32">
      <c r="A32">
        <v>17</v>
      </c>
      <c r="B32" t="str">
        <v>Basement</v>
      </c>
      <c r="C32" t="str">
        <v>PC.1</v>
      </c>
      <c r="D32" t="str">
        <v>K174-1</v>
      </c>
      <c r="E32">
        <v>170</v>
      </c>
      <c r="F32">
        <v>400</v>
      </c>
      <c r="G32">
        <f>0-(-3300)</f>
        <v>3300</v>
      </c>
      <c r="H32">
        <v>8</v>
      </c>
      <c r="I32">
        <v>13</v>
      </c>
      <c r="L32">
        <v>8</v>
      </c>
      <c r="M32">
        <v>100</v>
      </c>
      <c r="N32">
        <v>100</v>
      </c>
      <c r="O32">
        <v>100</v>
      </c>
    </row>
    <row r="33">
      <c r="A33">
        <v>18</v>
      </c>
      <c r="B33" t="str">
        <v>Basement</v>
      </c>
      <c r="C33" t="str">
        <v>PC.2</v>
      </c>
      <c r="D33" t="str">
        <v>K175-4</v>
      </c>
      <c r="E33">
        <v>170</v>
      </c>
      <c r="F33">
        <v>500</v>
      </c>
      <c r="G33">
        <f>0-(-3300)</f>
        <v>3300</v>
      </c>
      <c r="H33">
        <v>8</v>
      </c>
      <c r="I33">
        <v>19</v>
      </c>
      <c r="J33">
        <v>2</v>
      </c>
      <c r="K33">
        <v>8</v>
      </c>
      <c r="L33">
        <v>10</v>
      </c>
      <c r="M33">
        <v>100</v>
      </c>
      <c r="N33">
        <v>100</v>
      </c>
      <c r="O33">
        <v>100</v>
      </c>
      <c r="P33">
        <v>0.5</v>
      </c>
      <c r="Q33">
        <v>8</v>
      </c>
    </row>
    <row r="34">
      <c r="A34">
        <v>19</v>
      </c>
      <c r="B34" t="str">
        <v>Basement</v>
      </c>
      <c r="C34" t="str">
        <v>PC.2</v>
      </c>
      <c r="D34" t="str">
        <v>K178-1</v>
      </c>
      <c r="E34">
        <v>170</v>
      </c>
      <c r="F34">
        <v>800</v>
      </c>
      <c r="G34">
        <f>0-(-3300)</f>
        <v>3300</v>
      </c>
      <c r="H34">
        <v>8</v>
      </c>
      <c r="I34">
        <v>16</v>
      </c>
      <c r="L34">
        <v>8</v>
      </c>
      <c r="M34">
        <v>100</v>
      </c>
      <c r="N34">
        <v>100</v>
      </c>
      <c r="O34">
        <v>100</v>
      </c>
      <c r="P34">
        <f>2/2</f>
        <v>1</v>
      </c>
      <c r="Q34">
        <v>8</v>
      </c>
    </row>
    <row r="35">
      <c r="A35">
        <v>20</v>
      </c>
      <c r="B35" t="str">
        <v>Basement</v>
      </c>
      <c r="C35" t="str">
        <v>PC.1</v>
      </c>
      <c r="D35" t="str">
        <v>K174-1</v>
      </c>
      <c r="E35">
        <v>170</v>
      </c>
      <c r="F35">
        <v>400</v>
      </c>
      <c r="G35">
        <f>0-(-3300)</f>
        <v>3300</v>
      </c>
      <c r="H35">
        <v>8</v>
      </c>
      <c r="I35">
        <v>13</v>
      </c>
      <c r="L35">
        <v>8</v>
      </c>
      <c r="M35">
        <v>100</v>
      </c>
      <c r="N35">
        <v>100</v>
      </c>
      <c r="O35">
        <v>100</v>
      </c>
    </row>
    <row r="36">
      <c r="A36">
        <v>21</v>
      </c>
      <c r="B36" t="str">
        <v>Basement</v>
      </c>
      <c r="C36" t="str">
        <v>PC.2</v>
      </c>
      <c r="D36" t="str">
        <v>K178-1</v>
      </c>
      <c r="E36">
        <v>170</v>
      </c>
      <c r="F36">
        <v>800</v>
      </c>
      <c r="G36">
        <f>0-(-3300)</f>
        <v>3300</v>
      </c>
      <c r="H36">
        <v>8</v>
      </c>
      <c r="I36">
        <v>16</v>
      </c>
      <c r="L36">
        <v>8</v>
      </c>
      <c r="M36">
        <v>100</v>
      </c>
      <c r="N36">
        <v>100</v>
      </c>
      <c r="O36">
        <v>100</v>
      </c>
      <c r="P36">
        <f>2/2</f>
        <v>1</v>
      </c>
      <c r="Q36">
        <v>8</v>
      </c>
    </row>
    <row r="37">
      <c r="A37">
        <v>22</v>
      </c>
      <c r="B37" t="str">
        <v>Basement</v>
      </c>
      <c r="C37" t="str">
        <v>PC.2</v>
      </c>
      <c r="D37" t="str">
        <v>K175-1</v>
      </c>
      <c r="E37">
        <v>170</v>
      </c>
      <c r="F37">
        <v>500</v>
      </c>
      <c r="G37">
        <f>0-(-3300)</f>
        <v>3300</v>
      </c>
      <c r="H37">
        <v>6</v>
      </c>
      <c r="I37">
        <v>16</v>
      </c>
      <c r="L37">
        <v>8</v>
      </c>
      <c r="M37">
        <v>100</v>
      </c>
      <c r="N37">
        <v>100</v>
      </c>
      <c r="O37">
        <v>100</v>
      </c>
      <c r="P37">
        <v>0.5</v>
      </c>
      <c r="Q37">
        <v>8</v>
      </c>
    </row>
    <row r="38">
      <c r="A38">
        <v>23</v>
      </c>
      <c r="B38" t="str">
        <v>Basement</v>
      </c>
      <c r="C38" t="str">
        <v>PC.5B</v>
      </c>
      <c r="D38" t="str">
        <v>KL172258-1</v>
      </c>
      <c r="E38">
        <v>220</v>
      </c>
      <c r="F38">
        <v>650</v>
      </c>
      <c r="G38">
        <f>0-(-3300)</f>
        <v>3300</v>
      </c>
      <c r="H38">
        <v>8</v>
      </c>
      <c r="I38">
        <v>19</v>
      </c>
      <c r="L38">
        <v>10</v>
      </c>
      <c r="M38">
        <v>100</v>
      </c>
      <c r="N38">
        <v>100</v>
      </c>
      <c r="O38">
        <v>100</v>
      </c>
      <c r="P38">
        <f>2/2</f>
        <v>1</v>
      </c>
      <c r="Q38">
        <v>10</v>
      </c>
    </row>
    <row r="39">
      <c r="A39">
        <v>24</v>
      </c>
      <c r="B39" t="str">
        <v>Basement</v>
      </c>
      <c r="C39" t="str">
        <v>PC.6A</v>
      </c>
      <c r="D39" t="str">
        <v>K59-1</v>
      </c>
      <c r="E39">
        <v>500</v>
      </c>
      <c r="F39">
        <v>900</v>
      </c>
      <c r="G39">
        <f>0-(-3300)</f>
        <v>3300</v>
      </c>
      <c r="H39">
        <v>18</v>
      </c>
      <c r="I39">
        <v>22</v>
      </c>
      <c r="L39">
        <v>10</v>
      </c>
      <c r="M39">
        <v>100</v>
      </c>
      <c r="N39">
        <v>100</v>
      </c>
      <c r="O39">
        <v>100</v>
      </c>
      <c r="P39">
        <v>2</v>
      </c>
      <c r="Q39">
        <v>10</v>
      </c>
      <c r="R39">
        <v>1</v>
      </c>
      <c r="S39">
        <v>10</v>
      </c>
    </row>
    <row r="40">
      <c r="A40">
        <v>25</v>
      </c>
      <c r="B40" t="str">
        <v>Basement</v>
      </c>
      <c r="C40" t="str">
        <v>PC.6A</v>
      </c>
      <c r="D40" t="str">
        <v>K59-1</v>
      </c>
      <c r="E40">
        <v>500</v>
      </c>
      <c r="F40">
        <v>900</v>
      </c>
      <c r="G40">
        <f>0-(-3300)</f>
        <v>3300</v>
      </c>
      <c r="H40">
        <v>18</v>
      </c>
      <c r="I40">
        <v>22</v>
      </c>
      <c r="L40">
        <v>10</v>
      </c>
      <c r="M40">
        <v>100</v>
      </c>
      <c r="N40">
        <v>100</v>
      </c>
      <c r="O40">
        <v>100</v>
      </c>
      <c r="P40">
        <v>2</v>
      </c>
      <c r="Q40">
        <v>10</v>
      </c>
      <c r="R40">
        <v>1</v>
      </c>
      <c r="S40">
        <v>10</v>
      </c>
    </row>
    <row r="41">
      <c r="A41">
        <v>26</v>
      </c>
      <c r="B41" t="str">
        <v>Basement</v>
      </c>
      <c r="C41" t="str">
        <v>PC.6A</v>
      </c>
      <c r="D41" t="str">
        <v>K59-1</v>
      </c>
      <c r="E41">
        <v>500</v>
      </c>
      <c r="F41">
        <v>900</v>
      </c>
      <c r="G41">
        <f>0-(-3300)</f>
        <v>3300</v>
      </c>
      <c r="H41">
        <v>18</v>
      </c>
      <c r="I41">
        <v>22</v>
      </c>
      <c r="L41">
        <v>10</v>
      </c>
      <c r="M41">
        <v>100</v>
      </c>
      <c r="N41">
        <v>100</v>
      </c>
      <c r="O41">
        <v>100</v>
      </c>
      <c r="P41">
        <v>2</v>
      </c>
      <c r="Q41">
        <v>10</v>
      </c>
      <c r="R41">
        <v>1</v>
      </c>
      <c r="S41">
        <v>10</v>
      </c>
    </row>
    <row r="42">
      <c r="A42">
        <v>27</v>
      </c>
      <c r="B42" t="str">
        <v>Basement</v>
      </c>
      <c r="C42" t="str">
        <v>PC.3</v>
      </c>
      <c r="D42" t="str">
        <v>K55-1</v>
      </c>
      <c r="E42">
        <v>500</v>
      </c>
      <c r="F42">
        <v>500</v>
      </c>
      <c r="G42">
        <f>0-(-3300)</f>
        <v>3300</v>
      </c>
      <c r="H42">
        <v>16</v>
      </c>
      <c r="I42">
        <v>19</v>
      </c>
      <c r="L42">
        <v>10</v>
      </c>
      <c r="M42">
        <v>100</v>
      </c>
      <c r="N42">
        <v>100</v>
      </c>
      <c r="O42">
        <v>100</v>
      </c>
      <c r="P42">
        <v>1</v>
      </c>
      <c r="Q42">
        <v>10</v>
      </c>
      <c r="R42">
        <v>1</v>
      </c>
      <c r="S42">
        <v>10</v>
      </c>
    </row>
    <row r="43">
      <c r="A43">
        <v>28</v>
      </c>
      <c r="B43" t="str">
        <v>Basement</v>
      </c>
      <c r="C43" t="str">
        <v>PC.1</v>
      </c>
      <c r="D43" t="str">
        <v>K175-2</v>
      </c>
      <c r="E43">
        <v>170</v>
      </c>
      <c r="F43">
        <v>500</v>
      </c>
      <c r="G43">
        <f>0-(-3300)</f>
        <v>3300</v>
      </c>
      <c r="H43">
        <v>8</v>
      </c>
      <c r="I43">
        <v>16</v>
      </c>
      <c r="L43">
        <v>8</v>
      </c>
      <c r="M43">
        <v>100</v>
      </c>
      <c r="N43">
        <v>100</v>
      </c>
      <c r="O43">
        <v>100</v>
      </c>
      <c r="P43">
        <v>0.5</v>
      </c>
      <c r="Q43">
        <v>8</v>
      </c>
    </row>
    <row r="44">
      <c r="A44">
        <v>29</v>
      </c>
      <c r="B44" t="str">
        <v>Basement</v>
      </c>
      <c r="C44" t="str">
        <v>PC.1</v>
      </c>
      <c r="D44" t="str">
        <v>KL174-1</v>
      </c>
      <c r="E44">
        <v>170</v>
      </c>
      <c r="F44">
        <v>400</v>
      </c>
      <c r="G44">
        <f>0-(-3300)</f>
        <v>3300</v>
      </c>
      <c r="H44">
        <v>4</v>
      </c>
      <c r="I44">
        <v>16</v>
      </c>
      <c r="L44">
        <v>8</v>
      </c>
      <c r="M44">
        <v>100</v>
      </c>
      <c r="N44">
        <v>100</v>
      </c>
      <c r="O44">
        <v>100</v>
      </c>
    </row>
    <row r="45">
      <c r="A45">
        <v>30</v>
      </c>
      <c r="B45" t="str">
        <v>Basement</v>
      </c>
      <c r="C45" t="str">
        <v>PC.1</v>
      </c>
      <c r="D45" t="str">
        <v>KL174-1</v>
      </c>
      <c r="E45">
        <v>170</v>
      </c>
      <c r="F45">
        <v>400</v>
      </c>
      <c r="G45">
        <f>0-(-3300)</f>
        <v>3300</v>
      </c>
      <c r="H45">
        <v>4</v>
      </c>
      <c r="I45">
        <v>16</v>
      </c>
      <c r="L45">
        <v>8</v>
      </c>
      <c r="M45">
        <v>100</v>
      </c>
      <c r="N45">
        <v>100</v>
      </c>
      <c r="O45">
        <v>100</v>
      </c>
    </row>
    <row r="46">
      <c r="A46">
        <v>31</v>
      </c>
      <c r="B46" t="str">
        <v>Basement</v>
      </c>
      <c r="C46" t="str">
        <v>PC.1</v>
      </c>
      <c r="D46" t="str">
        <v>K174-1</v>
      </c>
      <c r="E46">
        <v>170</v>
      </c>
      <c r="F46">
        <v>400</v>
      </c>
      <c r="G46">
        <f>0-(-3300)</f>
        <v>3300</v>
      </c>
      <c r="H46">
        <v>8</v>
      </c>
      <c r="I46">
        <v>13</v>
      </c>
      <c r="L46">
        <v>8</v>
      </c>
      <c r="M46">
        <v>100</v>
      </c>
      <c r="N46">
        <v>100</v>
      </c>
      <c r="O46">
        <v>100</v>
      </c>
    </row>
    <row r="47">
      <c r="A47">
        <v>32</v>
      </c>
      <c r="B47" t="str">
        <v>Basement</v>
      </c>
      <c r="C47" t="str">
        <v>PC.8</v>
      </c>
      <c r="D47" t="str">
        <v>K278-1</v>
      </c>
      <c r="E47">
        <v>270</v>
      </c>
      <c r="F47">
        <v>800</v>
      </c>
      <c r="G47">
        <f>0-(-3300)</f>
        <v>3300</v>
      </c>
      <c r="H47">
        <v>4</v>
      </c>
      <c r="I47">
        <v>22</v>
      </c>
      <c r="J47">
        <v>8</v>
      </c>
      <c r="K47">
        <v>19</v>
      </c>
      <c r="L47">
        <v>10</v>
      </c>
      <c r="M47">
        <v>100</v>
      </c>
      <c r="N47">
        <v>100</v>
      </c>
      <c r="O47">
        <v>100</v>
      </c>
      <c r="P47">
        <f>2/2</f>
        <v>1</v>
      </c>
      <c r="Q47">
        <v>10</v>
      </c>
    </row>
    <row r="48">
      <c r="A48">
        <v>33</v>
      </c>
      <c r="B48" t="str">
        <v>Basement</v>
      </c>
      <c r="C48" t="str">
        <v>PC.4</v>
      </c>
      <c r="D48" t="str">
        <v>K278-1</v>
      </c>
      <c r="E48">
        <v>270</v>
      </c>
      <c r="F48">
        <v>800</v>
      </c>
      <c r="G48">
        <f>0-(-3300)</f>
        <v>3300</v>
      </c>
      <c r="H48">
        <v>4</v>
      </c>
      <c r="I48">
        <v>22</v>
      </c>
      <c r="J48">
        <v>8</v>
      </c>
      <c r="K48">
        <v>19</v>
      </c>
      <c r="L48">
        <v>10</v>
      </c>
      <c r="M48">
        <v>100</v>
      </c>
      <c r="N48">
        <v>100</v>
      </c>
      <c r="O48">
        <v>100</v>
      </c>
      <c r="P48">
        <f>2/2</f>
        <v>1</v>
      </c>
      <c r="Q48">
        <v>10</v>
      </c>
    </row>
    <row r="49">
      <c r="A49">
        <v>34</v>
      </c>
      <c r="B49" t="str">
        <v>Basement</v>
      </c>
      <c r="C49" t="str">
        <v>PC.3</v>
      </c>
      <c r="D49" t="str">
        <v>K176-1</v>
      </c>
      <c r="E49">
        <v>170</v>
      </c>
      <c r="F49">
        <v>600</v>
      </c>
      <c r="G49">
        <f>0-(-3300)</f>
        <v>3300</v>
      </c>
      <c r="H49">
        <v>10</v>
      </c>
      <c r="I49">
        <v>16</v>
      </c>
      <c r="L49">
        <v>8</v>
      </c>
      <c r="M49">
        <v>100</v>
      </c>
      <c r="N49">
        <v>100</v>
      </c>
      <c r="O49">
        <v>100</v>
      </c>
      <c r="P49">
        <v>0.5</v>
      </c>
      <c r="Q49">
        <v>8</v>
      </c>
    </row>
    <row r="50">
      <c r="A50">
        <v>35</v>
      </c>
      <c r="B50" t="str">
        <v>Basement</v>
      </c>
      <c r="C50" t="str">
        <v>PC.2A</v>
      </c>
      <c r="D50" t="str">
        <v>K175-2</v>
      </c>
      <c r="E50">
        <v>170</v>
      </c>
      <c r="F50">
        <v>500</v>
      </c>
      <c r="G50">
        <f>0-(-3300)</f>
        <v>3300</v>
      </c>
      <c r="H50">
        <v>8</v>
      </c>
      <c r="I50">
        <v>16</v>
      </c>
      <c r="L50">
        <v>8</v>
      </c>
      <c r="M50">
        <v>100</v>
      </c>
      <c r="N50">
        <v>100</v>
      </c>
      <c r="O50">
        <v>100</v>
      </c>
      <c r="P50">
        <v>0.5</v>
      </c>
      <c r="Q50">
        <v>8</v>
      </c>
    </row>
    <row r="51">
      <c r="A51">
        <v>36</v>
      </c>
      <c r="B51" t="str">
        <v>Basement</v>
      </c>
      <c r="C51" t="str">
        <v>PC.1</v>
      </c>
      <c r="D51" t="str">
        <v>K175-2</v>
      </c>
      <c r="E51">
        <v>170</v>
      </c>
      <c r="F51">
        <v>500</v>
      </c>
      <c r="G51">
        <f>0-(-3300)</f>
        <v>3300</v>
      </c>
      <c r="H51">
        <v>8</v>
      </c>
      <c r="I51">
        <v>16</v>
      </c>
      <c r="L51">
        <v>8</v>
      </c>
      <c r="M51">
        <v>100</v>
      </c>
      <c r="N51">
        <v>100</v>
      </c>
      <c r="O51">
        <v>100</v>
      </c>
      <c r="P51">
        <v>0.5</v>
      </c>
      <c r="Q51">
        <v>8</v>
      </c>
    </row>
    <row r="52">
      <c r="A52">
        <v>37</v>
      </c>
      <c r="B52" t="str">
        <v>Basement</v>
      </c>
      <c r="C52" t="str">
        <v>PC.1</v>
      </c>
      <c r="D52" t="str">
        <v>K175-4</v>
      </c>
      <c r="E52">
        <v>170</v>
      </c>
      <c r="F52">
        <v>500</v>
      </c>
      <c r="G52">
        <f>0-(-3300)</f>
        <v>3300</v>
      </c>
      <c r="H52">
        <v>8</v>
      </c>
      <c r="I52">
        <v>19</v>
      </c>
      <c r="J52">
        <v>2</v>
      </c>
      <c r="K52">
        <v>8</v>
      </c>
      <c r="L52">
        <v>10</v>
      </c>
      <c r="M52">
        <v>100</v>
      </c>
      <c r="N52">
        <v>100</v>
      </c>
      <c r="O52">
        <v>100</v>
      </c>
      <c r="P52">
        <v>0.5</v>
      </c>
      <c r="Q52">
        <v>8</v>
      </c>
    </row>
    <row r="53">
      <c r="A53">
        <v>38</v>
      </c>
      <c r="B53" t="str">
        <v>Basement</v>
      </c>
      <c r="C53" t="str">
        <v>PC.5</v>
      </c>
      <c r="D53" t="str">
        <v>K179-1</v>
      </c>
      <c r="E53">
        <v>170</v>
      </c>
      <c r="F53">
        <v>900</v>
      </c>
      <c r="G53">
        <f>0-(-3300)</f>
        <v>3300</v>
      </c>
      <c r="H53">
        <v>14</v>
      </c>
      <c r="I53">
        <v>19</v>
      </c>
      <c r="L53">
        <v>8</v>
      </c>
      <c r="M53">
        <v>100</v>
      </c>
      <c r="N53">
        <v>100</v>
      </c>
      <c r="O53">
        <v>100</v>
      </c>
      <c r="P53">
        <f>2/2</f>
        <v>1</v>
      </c>
      <c r="Q53">
        <v>8</v>
      </c>
    </row>
    <row r="54">
      <c r="A54">
        <v>39</v>
      </c>
      <c r="B54" t="str">
        <v>Basement</v>
      </c>
      <c r="C54" t="str">
        <v>PC.2A</v>
      </c>
      <c r="D54" t="str">
        <v>K175-3</v>
      </c>
      <c r="E54">
        <v>170</v>
      </c>
      <c r="F54">
        <v>500</v>
      </c>
      <c r="G54">
        <f>0-(-3300)</f>
        <v>3300</v>
      </c>
      <c r="H54">
        <v>4</v>
      </c>
      <c r="I54">
        <v>19</v>
      </c>
      <c r="J54">
        <v>4</v>
      </c>
      <c r="K54">
        <v>16</v>
      </c>
      <c r="L54">
        <v>8</v>
      </c>
      <c r="M54">
        <v>100</v>
      </c>
      <c r="N54">
        <v>100</v>
      </c>
      <c r="O54">
        <v>100</v>
      </c>
      <c r="P54">
        <v>0.5</v>
      </c>
      <c r="Q54">
        <v>8</v>
      </c>
    </row>
    <row r="55">
      <c r="A55">
        <v>40</v>
      </c>
      <c r="B55" t="str">
        <v>Basement</v>
      </c>
      <c r="C55" t="str">
        <v>PC.2</v>
      </c>
      <c r="D55" t="str">
        <v>K175-2</v>
      </c>
      <c r="E55">
        <v>170</v>
      </c>
      <c r="F55">
        <v>500</v>
      </c>
      <c r="G55">
        <f>0-(-3300)</f>
        <v>3300</v>
      </c>
      <c r="H55">
        <v>8</v>
      </c>
      <c r="I55">
        <v>16</v>
      </c>
      <c r="L55">
        <v>8</v>
      </c>
      <c r="M55">
        <v>100</v>
      </c>
      <c r="N55">
        <v>100</v>
      </c>
      <c r="O55">
        <v>100</v>
      </c>
      <c r="P55">
        <v>0.5</v>
      </c>
      <c r="Q55">
        <v>8</v>
      </c>
    </row>
    <row r="56">
      <c r="A56">
        <v>41</v>
      </c>
      <c r="B56" t="str">
        <v>Basement</v>
      </c>
      <c r="C56" t="str">
        <v>PC.5A</v>
      </c>
      <c r="D56" t="str">
        <v>K48-1</v>
      </c>
      <c r="E56">
        <v>400</v>
      </c>
      <c r="F56">
        <v>800</v>
      </c>
      <c r="G56">
        <f>0-(-3300)</f>
        <v>3300</v>
      </c>
      <c r="H56">
        <v>22</v>
      </c>
      <c r="I56">
        <v>22</v>
      </c>
      <c r="L56">
        <v>10</v>
      </c>
      <c r="M56">
        <v>100</v>
      </c>
      <c r="N56">
        <v>100</v>
      </c>
      <c r="O56">
        <v>100</v>
      </c>
      <c r="P56">
        <v>2</v>
      </c>
      <c r="Q56">
        <v>10</v>
      </c>
      <c r="R56">
        <v>1</v>
      </c>
      <c r="S56">
        <v>10</v>
      </c>
    </row>
    <row r="57">
      <c r="A57">
        <v>42</v>
      </c>
      <c r="B57" t="str">
        <v>Basement</v>
      </c>
      <c r="C57" t="str">
        <v>PC.1A</v>
      </c>
      <c r="D57" t="str">
        <v>K175-2</v>
      </c>
      <c r="E57">
        <v>170</v>
      </c>
      <c r="F57">
        <v>500</v>
      </c>
      <c r="G57">
        <f>0-(-3300)</f>
        <v>3300</v>
      </c>
      <c r="H57">
        <v>8</v>
      </c>
      <c r="I57">
        <v>16</v>
      </c>
      <c r="L57">
        <v>8</v>
      </c>
      <c r="M57">
        <v>100</v>
      </c>
      <c r="N57">
        <v>100</v>
      </c>
      <c r="O57">
        <v>100</v>
      </c>
      <c r="P57">
        <v>0.5</v>
      </c>
      <c r="Q57">
        <v>8</v>
      </c>
    </row>
    <row r="58">
      <c r="A58">
        <v>43</v>
      </c>
      <c r="B58" t="str">
        <v>Basement</v>
      </c>
      <c r="C58" t="str">
        <v>PC.11</v>
      </c>
      <c r="D58" t="str">
        <v>K59-1</v>
      </c>
      <c r="E58">
        <v>500</v>
      </c>
      <c r="F58">
        <v>900</v>
      </c>
      <c r="G58">
        <f>0-(-3300)</f>
        <v>3300</v>
      </c>
      <c r="H58">
        <v>18</v>
      </c>
      <c r="I58">
        <v>22</v>
      </c>
      <c r="L58">
        <v>10</v>
      </c>
      <c r="M58">
        <v>100</v>
      </c>
      <c r="N58">
        <v>100</v>
      </c>
      <c r="O58">
        <v>100</v>
      </c>
      <c r="P58">
        <v>2</v>
      </c>
      <c r="Q58">
        <v>10</v>
      </c>
      <c r="R58">
        <v>1</v>
      </c>
      <c r="S58">
        <v>10</v>
      </c>
    </row>
    <row r="59">
      <c r="A59">
        <v>44</v>
      </c>
      <c r="B59" t="str">
        <v>Basement</v>
      </c>
      <c r="C59" t="str">
        <v>PC.1</v>
      </c>
      <c r="D59" t="str">
        <v>K175-4</v>
      </c>
      <c r="E59">
        <v>170</v>
      </c>
      <c r="F59">
        <v>500</v>
      </c>
      <c r="G59">
        <f>0-(-3300)</f>
        <v>3300</v>
      </c>
      <c r="H59">
        <v>8</v>
      </c>
      <c r="I59">
        <v>19</v>
      </c>
      <c r="J59">
        <v>2</v>
      </c>
      <c r="K59">
        <v>8</v>
      </c>
      <c r="L59">
        <v>10</v>
      </c>
      <c r="M59">
        <v>100</v>
      </c>
      <c r="N59">
        <v>100</v>
      </c>
      <c r="O59">
        <v>100</v>
      </c>
      <c r="P59">
        <v>0.5</v>
      </c>
      <c r="Q59">
        <v>8</v>
      </c>
    </row>
    <row r="60">
      <c r="A60">
        <v>45</v>
      </c>
      <c r="B60" t="str">
        <v>Basement</v>
      </c>
      <c r="C60" t="str">
        <v>PC.2</v>
      </c>
      <c r="D60" t="str">
        <v>K175-3</v>
      </c>
      <c r="E60">
        <v>170</v>
      </c>
      <c r="F60">
        <v>500</v>
      </c>
      <c r="G60">
        <f>0-(-3300)</f>
        <v>3300</v>
      </c>
      <c r="H60">
        <v>4</v>
      </c>
      <c r="I60">
        <v>19</v>
      </c>
      <c r="J60">
        <v>4</v>
      </c>
      <c r="K60">
        <v>16</v>
      </c>
      <c r="L60">
        <v>8</v>
      </c>
      <c r="M60">
        <v>100</v>
      </c>
      <c r="N60">
        <v>100</v>
      </c>
      <c r="O60">
        <v>100</v>
      </c>
      <c r="P60">
        <v>0.5</v>
      </c>
      <c r="Q60">
        <v>8</v>
      </c>
    </row>
    <row r="61">
      <c r="A61">
        <v>46</v>
      </c>
      <c r="B61" t="str">
        <v>Basement</v>
      </c>
      <c r="C61" t="str">
        <v>PC.6</v>
      </c>
      <c r="D61" t="str">
        <v>K59-1</v>
      </c>
      <c r="E61">
        <v>500</v>
      </c>
      <c r="F61">
        <v>900</v>
      </c>
      <c r="G61">
        <f>0-(-3300)</f>
        <v>3300</v>
      </c>
      <c r="H61">
        <v>18</v>
      </c>
      <c r="I61">
        <v>22</v>
      </c>
      <c r="L61">
        <v>10</v>
      </c>
      <c r="M61">
        <v>100</v>
      </c>
      <c r="N61">
        <v>100</v>
      </c>
      <c r="O61">
        <v>100</v>
      </c>
      <c r="P61">
        <v>2</v>
      </c>
      <c r="Q61">
        <v>10</v>
      </c>
      <c r="R61">
        <v>1</v>
      </c>
      <c r="S61">
        <v>10</v>
      </c>
    </row>
    <row r="62">
      <c r="A62">
        <v>48</v>
      </c>
      <c r="B62" t="str">
        <v>Basement</v>
      </c>
      <c r="C62" t="str">
        <v>PC.4</v>
      </c>
      <c r="D62" t="str">
        <v>K48-1</v>
      </c>
      <c r="E62">
        <v>400</v>
      </c>
      <c r="F62">
        <v>800</v>
      </c>
      <c r="G62">
        <f>0-(-3300)</f>
        <v>3300</v>
      </c>
      <c r="H62">
        <v>22</v>
      </c>
      <c r="I62">
        <v>22</v>
      </c>
      <c r="L62">
        <v>10</v>
      </c>
      <c r="M62">
        <v>100</v>
      </c>
      <c r="N62">
        <v>100</v>
      </c>
      <c r="O62">
        <v>100</v>
      </c>
      <c r="P62">
        <v>2</v>
      </c>
      <c r="Q62">
        <v>10</v>
      </c>
      <c r="R62">
        <v>1</v>
      </c>
      <c r="S62">
        <v>10</v>
      </c>
    </row>
    <row r="63">
      <c r="A63" t="str">
        <v>48A</v>
      </c>
      <c r="B63" t="str">
        <v>Basement</v>
      </c>
      <c r="C63" t="str">
        <v>PC.1</v>
      </c>
      <c r="D63" t="str">
        <v>K175-2</v>
      </c>
      <c r="E63">
        <v>170</v>
      </c>
      <c r="F63">
        <v>500</v>
      </c>
      <c r="G63">
        <f>0-(-3300)</f>
        <v>3300</v>
      </c>
      <c r="H63">
        <v>8</v>
      </c>
      <c r="I63">
        <v>16</v>
      </c>
      <c r="L63">
        <v>8</v>
      </c>
      <c r="M63">
        <v>100</v>
      </c>
      <c r="N63">
        <v>100</v>
      </c>
      <c r="O63">
        <v>100</v>
      </c>
      <c r="P63">
        <v>0.5</v>
      </c>
      <c r="Q63">
        <v>8</v>
      </c>
    </row>
    <row r="64">
      <c r="A64">
        <v>49</v>
      </c>
      <c r="B64" t="str">
        <v>Basement</v>
      </c>
      <c r="C64" t="str">
        <v>PC.1</v>
      </c>
      <c r="D64" t="str">
        <v>K175-2</v>
      </c>
      <c r="E64">
        <v>170</v>
      </c>
      <c r="F64">
        <v>500</v>
      </c>
      <c r="G64">
        <f>0-(-3300)</f>
        <v>3300</v>
      </c>
      <c r="H64">
        <v>8</v>
      </c>
      <c r="I64">
        <v>16</v>
      </c>
      <c r="L64">
        <v>8</v>
      </c>
      <c r="M64">
        <v>100</v>
      </c>
      <c r="N64">
        <v>100</v>
      </c>
      <c r="O64">
        <v>100</v>
      </c>
      <c r="P64">
        <v>0.5</v>
      </c>
      <c r="Q64">
        <v>8</v>
      </c>
    </row>
    <row r="65">
      <c r="A65">
        <v>50</v>
      </c>
      <c r="B65" t="str">
        <v>Basement</v>
      </c>
      <c r="C65" t="str">
        <v>PC.3</v>
      </c>
      <c r="D65" t="str">
        <v>K55-1</v>
      </c>
      <c r="E65">
        <v>500</v>
      </c>
      <c r="F65">
        <v>500</v>
      </c>
      <c r="G65">
        <f>0-(-3300)</f>
        <v>3300</v>
      </c>
      <c r="H65">
        <v>16</v>
      </c>
      <c r="I65">
        <v>19</v>
      </c>
      <c r="L65">
        <v>10</v>
      </c>
      <c r="M65">
        <v>100</v>
      </c>
      <c r="N65">
        <v>100</v>
      </c>
      <c r="O65">
        <v>100</v>
      </c>
      <c r="P65">
        <v>1</v>
      </c>
      <c r="Q65">
        <v>10</v>
      </c>
      <c r="R65">
        <v>1</v>
      </c>
      <c r="S65">
        <v>10</v>
      </c>
    </row>
    <row r="66">
      <c r="A66">
        <v>51</v>
      </c>
      <c r="B66" t="str">
        <v>Basement</v>
      </c>
      <c r="C66" t="str">
        <v>PC.5</v>
      </c>
      <c r="D66" t="str">
        <v>K55-1</v>
      </c>
      <c r="E66">
        <v>500</v>
      </c>
      <c r="F66">
        <v>500</v>
      </c>
      <c r="G66">
        <f>0-(-3300)</f>
        <v>3300</v>
      </c>
      <c r="H66">
        <v>16</v>
      </c>
      <c r="I66">
        <v>19</v>
      </c>
      <c r="L66">
        <v>10</v>
      </c>
      <c r="M66">
        <v>100</v>
      </c>
      <c r="N66">
        <v>100</v>
      </c>
      <c r="O66">
        <v>100</v>
      </c>
      <c r="P66">
        <v>1</v>
      </c>
      <c r="Q66">
        <v>10</v>
      </c>
      <c r="R66">
        <v>1</v>
      </c>
      <c r="S66">
        <v>10</v>
      </c>
    </row>
    <row r="67">
      <c r="A67">
        <v>48</v>
      </c>
      <c r="B67" t="str">
        <v>Basement</v>
      </c>
      <c r="C67" t="str">
        <v>PC.12</v>
      </c>
      <c r="D67" t="str">
        <v>Pit Lift</v>
      </c>
      <c r="E67">
        <v>170</v>
      </c>
      <c r="F67">
        <v>2170</v>
      </c>
      <c r="G67">
        <v>1500</v>
      </c>
      <c r="H67">
        <v>26</v>
      </c>
      <c r="I67">
        <v>13</v>
      </c>
      <c r="L67">
        <v>10</v>
      </c>
      <c r="M67">
        <v>150</v>
      </c>
      <c r="N67">
        <v>150</v>
      </c>
      <c r="O67">
        <v>150</v>
      </c>
      <c r="P67">
        <v>4</v>
      </c>
      <c r="Q67">
        <v>10</v>
      </c>
      <c r="V67" t="str">
        <v>belakang</v>
      </c>
    </row>
    <row r="68">
      <c r="A68">
        <v>48</v>
      </c>
      <c r="B68" t="str">
        <v>Basement</v>
      </c>
      <c r="C68" t="str">
        <v>PC.12</v>
      </c>
      <c r="D68" t="str">
        <v>Pit Lift</v>
      </c>
      <c r="E68">
        <v>170</v>
      </c>
      <c r="F68">
        <v>2170</v>
      </c>
      <c r="G68">
        <v>1500</v>
      </c>
      <c r="H68">
        <v>18</v>
      </c>
      <c r="I68">
        <v>13</v>
      </c>
      <c r="L68">
        <v>10</v>
      </c>
      <c r="M68">
        <v>150</v>
      </c>
      <c r="N68">
        <v>150</v>
      </c>
      <c r="O68">
        <v>150</v>
      </c>
      <c r="P68">
        <v>4</v>
      </c>
      <c r="Q68">
        <v>10</v>
      </c>
      <c r="V68" t="str">
        <v>samping kiri - kanan</v>
      </c>
    </row>
    <row r="69">
      <c r="A69">
        <v>48</v>
      </c>
      <c r="B69" t="str">
        <v>Basement</v>
      </c>
      <c r="C69" t="str">
        <v>PC.12</v>
      </c>
      <c r="D69" t="str">
        <v>Pit Lift</v>
      </c>
      <c r="E69">
        <v>170</v>
      </c>
      <c r="F69">
        <v>2170</v>
      </c>
      <c r="G69">
        <v>1500</v>
      </c>
      <c r="H69">
        <v>26</v>
      </c>
      <c r="I69">
        <v>13</v>
      </c>
      <c r="L69">
        <v>10</v>
      </c>
      <c r="M69">
        <v>150</v>
      </c>
      <c r="N69">
        <v>150</v>
      </c>
      <c r="O69">
        <v>150</v>
      </c>
      <c r="P69">
        <v>4</v>
      </c>
      <c r="Q69">
        <v>10</v>
      </c>
      <c r="V69" t="str">
        <v>depan</v>
      </c>
    </row>
    <row r="70">
      <c r="A70">
        <v>47</v>
      </c>
      <c r="B70" t="str">
        <v>Basement</v>
      </c>
      <c r="D70" t="str">
        <v>SW.1</v>
      </c>
      <c r="E70">
        <v>170</v>
      </c>
      <c r="F70">
        <v>2170</v>
      </c>
      <c r="G70">
        <f>0-(-3300)</f>
        <v>3300</v>
      </c>
      <c r="H70">
        <v>26</v>
      </c>
      <c r="I70">
        <v>13</v>
      </c>
      <c r="L70">
        <v>10</v>
      </c>
      <c r="M70">
        <v>150</v>
      </c>
      <c r="N70">
        <v>150</v>
      </c>
      <c r="O70">
        <v>150</v>
      </c>
      <c r="P70">
        <v>4</v>
      </c>
      <c r="Q70">
        <v>10</v>
      </c>
      <c r="V70" t="str">
        <v>belakang</v>
      </c>
    </row>
    <row r="71">
      <c r="A71">
        <v>47</v>
      </c>
      <c r="B71" t="str">
        <v>Basement</v>
      </c>
      <c r="D71" t="str">
        <v>SW.1</v>
      </c>
      <c r="E71">
        <v>170</v>
      </c>
      <c r="F71">
        <v>2170</v>
      </c>
      <c r="G71">
        <f>0-(-3300)</f>
        <v>3300</v>
      </c>
      <c r="H71">
        <v>18</v>
      </c>
      <c r="I71">
        <v>13</v>
      </c>
      <c r="L71">
        <v>10</v>
      </c>
      <c r="M71">
        <v>150</v>
      </c>
      <c r="N71">
        <v>150</v>
      </c>
      <c r="O71">
        <v>150</v>
      </c>
      <c r="P71">
        <v>4</v>
      </c>
      <c r="Q71">
        <v>10</v>
      </c>
      <c r="V71" t="str">
        <v>samping kiri - kanan</v>
      </c>
    </row>
    <row r="72">
      <c r="A72">
        <v>47</v>
      </c>
      <c r="B72" t="str">
        <v>Basement</v>
      </c>
      <c r="D72" t="str">
        <v>SW.1</v>
      </c>
      <c r="E72">
        <v>170</v>
      </c>
      <c r="F72">
        <v>400</v>
      </c>
      <c r="G72">
        <f>0-(-3300)</f>
        <v>3300</v>
      </c>
      <c r="H72">
        <v>8</v>
      </c>
      <c r="I72">
        <v>13</v>
      </c>
      <c r="L72">
        <v>10</v>
      </c>
      <c r="M72">
        <v>150</v>
      </c>
      <c r="N72">
        <v>150</v>
      </c>
      <c r="O72">
        <v>150</v>
      </c>
      <c r="P72">
        <v>4</v>
      </c>
      <c r="Q72">
        <v>10</v>
      </c>
      <c r="V72" t="str">
        <v>kolom depan kiri - kanan</v>
      </c>
    </row>
    <row r="73">
      <c r="A73">
        <v>47</v>
      </c>
      <c r="B73" t="str">
        <v>Basement</v>
      </c>
      <c r="D73" t="str">
        <v>SW.1</v>
      </c>
      <c r="E73">
        <v>170</v>
      </c>
      <c r="F73">
        <v>1370</v>
      </c>
      <c r="G73">
        <f>0-(-3300)</f>
        <v>3300</v>
      </c>
      <c r="H73">
        <v>14</v>
      </c>
      <c r="I73">
        <v>13</v>
      </c>
      <c r="L73">
        <v>10</v>
      </c>
      <c r="M73">
        <v>150</v>
      </c>
      <c r="N73">
        <v>150</v>
      </c>
      <c r="O73">
        <v>150</v>
      </c>
      <c r="P73">
        <v>4</v>
      </c>
      <c r="Q73">
        <v>10</v>
      </c>
      <c r="V73" t="str">
        <v>atas opening pintu</v>
      </c>
    </row>
    <row r="75">
      <c r="A75">
        <v>4</v>
      </c>
      <c r="B75" t="str">
        <v>Lantai 1</v>
      </c>
      <c r="D75" t="str">
        <v>K175-2</v>
      </c>
      <c r="E75">
        <v>170</v>
      </c>
      <c r="F75">
        <v>500</v>
      </c>
      <c r="G75">
        <f>4500-0</f>
        <v>4500</v>
      </c>
      <c r="H75">
        <v>8</v>
      </c>
      <c r="I75">
        <v>16</v>
      </c>
      <c r="L75">
        <v>8</v>
      </c>
      <c r="M75">
        <v>100</v>
      </c>
      <c r="N75">
        <v>100</v>
      </c>
      <c r="O75">
        <v>100</v>
      </c>
      <c r="P75">
        <v>0.5</v>
      </c>
      <c r="Q75">
        <v>8</v>
      </c>
    </row>
    <row r="76">
      <c r="A76">
        <v>5</v>
      </c>
      <c r="B76" t="str">
        <v>Lantai 1</v>
      </c>
      <c r="D76" t="str">
        <v>K175-2</v>
      </c>
      <c r="E76">
        <v>170</v>
      </c>
      <c r="F76">
        <v>500</v>
      </c>
      <c r="G76">
        <f>4500-0</f>
        <v>4500</v>
      </c>
      <c r="H76">
        <v>8</v>
      </c>
      <c r="I76">
        <v>16</v>
      </c>
      <c r="L76">
        <v>8</v>
      </c>
      <c r="M76">
        <v>100</v>
      </c>
      <c r="N76">
        <v>100</v>
      </c>
      <c r="O76">
        <v>100</v>
      </c>
      <c r="P76">
        <v>0.5</v>
      </c>
      <c r="Q76">
        <v>8</v>
      </c>
    </row>
    <row r="77">
      <c r="A77">
        <v>7</v>
      </c>
      <c r="B77" t="str">
        <v>Lantai 1</v>
      </c>
      <c r="D77" t="str">
        <v>K175-2</v>
      </c>
      <c r="E77">
        <v>170</v>
      </c>
      <c r="F77">
        <v>500</v>
      </c>
      <c r="G77">
        <f>4500-0</f>
        <v>4500</v>
      </c>
      <c r="H77">
        <v>8</v>
      </c>
      <c r="I77">
        <v>16</v>
      </c>
      <c r="L77">
        <v>8</v>
      </c>
      <c r="M77">
        <v>100</v>
      </c>
      <c r="N77">
        <v>100</v>
      </c>
      <c r="O77">
        <v>100</v>
      </c>
      <c r="P77">
        <v>0.5</v>
      </c>
      <c r="Q77">
        <v>8</v>
      </c>
    </row>
    <row r="78">
      <c r="A78">
        <v>9</v>
      </c>
      <c r="B78" t="str">
        <v>Lantai 1</v>
      </c>
      <c r="D78" t="str">
        <v>K175-2</v>
      </c>
      <c r="E78">
        <v>170</v>
      </c>
      <c r="F78">
        <v>500</v>
      </c>
      <c r="G78">
        <f>4500-0</f>
        <v>4500</v>
      </c>
      <c r="H78">
        <v>8</v>
      </c>
      <c r="I78">
        <v>16</v>
      </c>
      <c r="L78">
        <v>8</v>
      </c>
      <c r="M78">
        <v>100</v>
      </c>
      <c r="N78">
        <v>100</v>
      </c>
      <c r="O78">
        <v>100</v>
      </c>
      <c r="P78">
        <v>0.5</v>
      </c>
      <c r="Q78">
        <v>8</v>
      </c>
    </row>
    <row r="79">
      <c r="A79">
        <v>11</v>
      </c>
      <c r="B79" t="str">
        <v>Lantai 1</v>
      </c>
      <c r="D79" t="str">
        <v>K175-1</v>
      </c>
      <c r="E79">
        <v>170</v>
      </c>
      <c r="F79">
        <v>500</v>
      </c>
      <c r="G79">
        <f>4500-0</f>
        <v>4500</v>
      </c>
      <c r="H79">
        <v>6</v>
      </c>
      <c r="I79">
        <v>16</v>
      </c>
      <c r="L79">
        <v>8</v>
      </c>
      <c r="M79">
        <v>100</v>
      </c>
      <c r="N79">
        <v>100</v>
      </c>
      <c r="O79">
        <v>100</v>
      </c>
      <c r="P79">
        <v>0.5</v>
      </c>
      <c r="Q79">
        <v>8</v>
      </c>
    </row>
    <row r="80">
      <c r="A80">
        <v>12</v>
      </c>
      <c r="B80" t="str">
        <v>Lantai 1</v>
      </c>
      <c r="D80" t="str">
        <v>K178-2</v>
      </c>
      <c r="E80">
        <v>170</v>
      </c>
      <c r="F80">
        <v>800</v>
      </c>
      <c r="G80">
        <f>4500-0</f>
        <v>4500</v>
      </c>
      <c r="H80">
        <v>14</v>
      </c>
      <c r="I80">
        <v>19</v>
      </c>
      <c r="L80">
        <v>8</v>
      </c>
      <c r="M80">
        <v>100</v>
      </c>
      <c r="N80">
        <v>100</v>
      </c>
      <c r="O80">
        <v>100</v>
      </c>
      <c r="P80">
        <f>2/2</f>
        <v>1</v>
      </c>
      <c r="Q80">
        <v>8</v>
      </c>
    </row>
    <row r="81">
      <c r="A81">
        <v>13</v>
      </c>
      <c r="B81" t="str">
        <v>Lantai 1</v>
      </c>
      <c r="D81" t="str">
        <v>K175-2</v>
      </c>
      <c r="E81">
        <v>170</v>
      </c>
      <c r="F81">
        <v>500</v>
      </c>
      <c r="G81">
        <f>4500-0</f>
        <v>4500</v>
      </c>
      <c r="H81">
        <v>8</v>
      </c>
      <c r="I81">
        <v>16</v>
      </c>
      <c r="L81">
        <v>8</v>
      </c>
      <c r="M81">
        <v>100</v>
      </c>
      <c r="N81">
        <v>100</v>
      </c>
      <c r="O81">
        <v>100</v>
      </c>
      <c r="P81">
        <v>0.5</v>
      </c>
      <c r="Q81">
        <v>8</v>
      </c>
    </row>
    <row r="82">
      <c r="A82">
        <v>14</v>
      </c>
      <c r="B82" t="str">
        <v>Lantai 1</v>
      </c>
      <c r="D82" t="str">
        <v>K177-1</v>
      </c>
      <c r="E82">
        <v>170</v>
      </c>
      <c r="F82">
        <v>700</v>
      </c>
      <c r="G82">
        <f>4500-0</f>
        <v>4500</v>
      </c>
      <c r="H82">
        <v>10</v>
      </c>
      <c r="I82">
        <v>19</v>
      </c>
      <c r="L82">
        <v>8</v>
      </c>
      <c r="M82">
        <v>100</v>
      </c>
      <c r="N82">
        <v>100</v>
      </c>
      <c r="O82">
        <v>100</v>
      </c>
      <c r="P82">
        <v>0.5</v>
      </c>
      <c r="Q82">
        <v>8</v>
      </c>
    </row>
    <row r="83">
      <c r="A83" t="str">
        <v>14A</v>
      </c>
      <c r="B83" t="str">
        <v>Lantai 1</v>
      </c>
      <c r="D83" t="str">
        <v>K174-1</v>
      </c>
      <c r="E83">
        <v>170</v>
      </c>
      <c r="F83">
        <v>400</v>
      </c>
      <c r="G83">
        <v>4500</v>
      </c>
      <c r="H83">
        <v>8</v>
      </c>
      <c r="I83">
        <v>13</v>
      </c>
      <c r="L83">
        <v>8</v>
      </c>
      <c r="M83">
        <v>100</v>
      </c>
      <c r="N83">
        <v>100</v>
      </c>
      <c r="O83">
        <v>100</v>
      </c>
    </row>
    <row r="84">
      <c r="A84">
        <v>15</v>
      </c>
      <c r="B84" t="str">
        <v>Lantai 1</v>
      </c>
      <c r="D84" t="str">
        <v>K178-1</v>
      </c>
      <c r="E84">
        <v>170</v>
      </c>
      <c r="F84">
        <v>800</v>
      </c>
      <c r="G84">
        <f>4500-0</f>
        <v>4500</v>
      </c>
      <c r="H84">
        <v>8</v>
      </c>
      <c r="I84">
        <v>16</v>
      </c>
      <c r="L84">
        <v>8</v>
      </c>
      <c r="M84">
        <v>100</v>
      </c>
      <c r="N84">
        <v>100</v>
      </c>
      <c r="O84">
        <v>100</v>
      </c>
      <c r="P84">
        <f>2/2</f>
        <v>1</v>
      </c>
      <c r="Q84">
        <v>8</v>
      </c>
    </row>
    <row r="85">
      <c r="A85">
        <v>16</v>
      </c>
      <c r="B85" t="str">
        <v>Lantai 1</v>
      </c>
      <c r="D85" t="str">
        <v>K175-2</v>
      </c>
      <c r="E85">
        <v>170</v>
      </c>
      <c r="F85">
        <v>500</v>
      </c>
      <c r="G85">
        <f>4500-0</f>
        <v>4500</v>
      </c>
      <c r="H85">
        <v>8</v>
      </c>
      <c r="I85">
        <v>16</v>
      </c>
      <c r="L85">
        <v>8</v>
      </c>
      <c r="M85">
        <v>100</v>
      </c>
      <c r="N85">
        <v>100</v>
      </c>
      <c r="O85">
        <v>100</v>
      </c>
      <c r="P85">
        <v>0.5</v>
      </c>
      <c r="Q85">
        <v>8</v>
      </c>
    </row>
    <row r="86">
      <c r="A86">
        <v>18</v>
      </c>
      <c r="B86" t="str">
        <v>Lantai 1</v>
      </c>
      <c r="D86" t="str">
        <v>K175-4</v>
      </c>
      <c r="E86">
        <v>170</v>
      </c>
      <c r="F86">
        <v>500</v>
      </c>
      <c r="G86">
        <f>4500-0</f>
        <v>4500</v>
      </c>
      <c r="H86">
        <v>8</v>
      </c>
      <c r="I86">
        <v>19</v>
      </c>
      <c r="J86">
        <v>2</v>
      </c>
      <c r="K86">
        <v>8</v>
      </c>
      <c r="L86">
        <v>10</v>
      </c>
      <c r="M86">
        <v>100</v>
      </c>
      <c r="N86">
        <v>100</v>
      </c>
      <c r="O86">
        <v>100</v>
      </c>
      <c r="P86">
        <v>0.5</v>
      </c>
      <c r="Q86">
        <v>8</v>
      </c>
    </row>
    <row r="87">
      <c r="A87">
        <v>19</v>
      </c>
      <c r="B87" t="str">
        <v>Lantai 1</v>
      </c>
      <c r="D87" t="str">
        <v>K178-1</v>
      </c>
      <c r="E87">
        <v>170</v>
      </c>
      <c r="F87">
        <v>800</v>
      </c>
      <c r="G87">
        <f>4500-0</f>
        <v>4500</v>
      </c>
      <c r="H87">
        <v>8</v>
      </c>
      <c r="I87">
        <v>16</v>
      </c>
      <c r="L87">
        <v>8</v>
      </c>
      <c r="M87">
        <v>100</v>
      </c>
      <c r="N87">
        <v>100</v>
      </c>
      <c r="O87">
        <v>100</v>
      </c>
      <c r="P87">
        <f>2/2</f>
        <v>1</v>
      </c>
      <c r="Q87">
        <v>8</v>
      </c>
    </row>
    <row r="88">
      <c r="A88">
        <v>20</v>
      </c>
      <c r="B88" t="str">
        <v>Lantai 1</v>
      </c>
      <c r="D88" t="str">
        <v>K174-1</v>
      </c>
      <c r="E88">
        <v>170</v>
      </c>
      <c r="F88">
        <v>400</v>
      </c>
      <c r="G88">
        <f>4500-0</f>
        <v>4500</v>
      </c>
      <c r="H88">
        <v>8</v>
      </c>
      <c r="I88">
        <v>13</v>
      </c>
      <c r="L88">
        <v>8</v>
      </c>
      <c r="M88">
        <v>100</v>
      </c>
      <c r="N88">
        <v>100</v>
      </c>
      <c r="O88">
        <v>100</v>
      </c>
    </row>
    <row r="89">
      <c r="A89">
        <v>21</v>
      </c>
      <c r="B89" t="str">
        <v>Lantai 1</v>
      </c>
      <c r="D89" t="str">
        <v>K178-1</v>
      </c>
      <c r="E89">
        <v>170</v>
      </c>
      <c r="F89">
        <v>800</v>
      </c>
      <c r="G89">
        <f>4500-0</f>
        <v>4500</v>
      </c>
      <c r="H89">
        <v>8</v>
      </c>
      <c r="I89">
        <v>16</v>
      </c>
      <c r="L89">
        <v>8</v>
      </c>
      <c r="M89">
        <v>100</v>
      </c>
      <c r="N89">
        <v>100</v>
      </c>
      <c r="O89">
        <v>100</v>
      </c>
      <c r="P89">
        <f>2/2</f>
        <v>1</v>
      </c>
      <c r="Q89">
        <v>8</v>
      </c>
    </row>
    <row r="90">
      <c r="A90">
        <v>22</v>
      </c>
      <c r="B90" t="str">
        <v>Lantai 1</v>
      </c>
      <c r="D90" t="str">
        <v>K175-1</v>
      </c>
      <c r="E90">
        <v>170</v>
      </c>
      <c r="F90">
        <v>500</v>
      </c>
      <c r="G90">
        <f>4500-0</f>
        <v>4500</v>
      </c>
      <c r="H90">
        <v>6</v>
      </c>
      <c r="I90">
        <v>16</v>
      </c>
      <c r="L90">
        <v>8</v>
      </c>
      <c r="M90">
        <v>100</v>
      </c>
      <c r="N90">
        <v>100</v>
      </c>
      <c r="O90">
        <v>100</v>
      </c>
      <c r="P90">
        <v>0.5</v>
      </c>
      <c r="Q90">
        <v>8</v>
      </c>
    </row>
    <row r="91">
      <c r="A91">
        <v>101</v>
      </c>
      <c r="B91" t="str">
        <v>Lantai 1</v>
      </c>
      <c r="D91" t="str">
        <v>K176-1</v>
      </c>
      <c r="E91">
        <v>170</v>
      </c>
      <c r="F91">
        <v>600</v>
      </c>
      <c r="G91">
        <f>4500-0</f>
        <v>4500</v>
      </c>
      <c r="H91">
        <v>10</v>
      </c>
      <c r="I91">
        <v>16</v>
      </c>
      <c r="L91">
        <v>8</v>
      </c>
      <c r="M91">
        <v>100</v>
      </c>
      <c r="N91">
        <v>100</v>
      </c>
      <c r="O91">
        <v>100</v>
      </c>
      <c r="P91">
        <v>0.5</v>
      </c>
      <c r="Q91">
        <v>8</v>
      </c>
    </row>
    <row r="92">
      <c r="A92">
        <v>102</v>
      </c>
      <c r="B92" t="str">
        <v>Lantai 1</v>
      </c>
      <c r="D92" t="str">
        <v>K278-1</v>
      </c>
      <c r="E92">
        <v>270</v>
      </c>
      <c r="F92">
        <v>800</v>
      </c>
      <c r="G92">
        <f>4500-0</f>
        <v>4500</v>
      </c>
      <c r="H92">
        <v>4</v>
      </c>
      <c r="I92">
        <v>22</v>
      </c>
      <c r="J92">
        <v>8</v>
      </c>
      <c r="K92">
        <v>19</v>
      </c>
      <c r="L92">
        <v>10</v>
      </c>
      <c r="M92">
        <v>100</v>
      </c>
      <c r="N92">
        <v>100</v>
      </c>
      <c r="O92">
        <v>100</v>
      </c>
      <c r="P92">
        <f>2/2</f>
        <v>1</v>
      </c>
      <c r="Q92">
        <v>10</v>
      </c>
    </row>
    <row r="93">
      <c r="A93">
        <v>103</v>
      </c>
      <c r="B93" t="str">
        <v>Lantai 1</v>
      </c>
      <c r="D93" t="str">
        <v>K174-1</v>
      </c>
      <c r="E93">
        <v>170</v>
      </c>
      <c r="F93">
        <v>400</v>
      </c>
      <c r="G93">
        <f>4500-0</f>
        <v>4500</v>
      </c>
      <c r="H93">
        <v>8</v>
      </c>
      <c r="I93">
        <v>13</v>
      </c>
      <c r="L93">
        <v>8</v>
      </c>
      <c r="M93">
        <v>100</v>
      </c>
      <c r="N93">
        <v>100</v>
      </c>
      <c r="O93">
        <v>100</v>
      </c>
    </row>
    <row r="94">
      <c r="A94">
        <v>104</v>
      </c>
      <c r="B94" t="str">
        <v>Lantai 1</v>
      </c>
      <c r="D94" t="str">
        <v>K178-1</v>
      </c>
      <c r="E94">
        <v>170</v>
      </c>
      <c r="F94">
        <v>800</v>
      </c>
      <c r="G94">
        <f>4500-0</f>
        <v>4500</v>
      </c>
      <c r="H94">
        <v>8</v>
      </c>
      <c r="I94">
        <v>16</v>
      </c>
      <c r="L94">
        <v>8</v>
      </c>
      <c r="M94">
        <v>100</v>
      </c>
      <c r="N94">
        <v>100</v>
      </c>
      <c r="O94">
        <v>100</v>
      </c>
      <c r="P94">
        <f>2/2</f>
        <v>1</v>
      </c>
      <c r="Q94">
        <v>8</v>
      </c>
    </row>
    <row r="95">
      <c r="A95">
        <v>105</v>
      </c>
      <c r="B95" t="str">
        <v>Lantai 1</v>
      </c>
      <c r="D95" t="str">
        <v>K176-4</v>
      </c>
      <c r="E95">
        <v>170</v>
      </c>
      <c r="F95">
        <v>600</v>
      </c>
      <c r="G95">
        <f>4500-0</f>
        <v>4500</v>
      </c>
      <c r="H95">
        <v>8</v>
      </c>
      <c r="I95">
        <v>19</v>
      </c>
      <c r="J95">
        <v>4</v>
      </c>
      <c r="K95">
        <v>16</v>
      </c>
      <c r="L95">
        <v>8</v>
      </c>
      <c r="M95">
        <v>100</v>
      </c>
      <c r="N95">
        <v>100</v>
      </c>
      <c r="O95">
        <v>100</v>
      </c>
      <c r="P95">
        <v>0.5</v>
      </c>
      <c r="Q95">
        <v>8</v>
      </c>
    </row>
    <row r="96">
      <c r="A96">
        <v>106</v>
      </c>
      <c r="B96" t="str">
        <v>Lantai 1</v>
      </c>
      <c r="D96" t="str">
        <v>K176-1</v>
      </c>
      <c r="E96">
        <v>170</v>
      </c>
      <c r="F96">
        <v>600</v>
      </c>
      <c r="G96">
        <f>4500-0</f>
        <v>4500</v>
      </c>
      <c r="H96">
        <v>10</v>
      </c>
      <c r="I96">
        <v>16</v>
      </c>
      <c r="L96">
        <v>8</v>
      </c>
      <c r="M96">
        <v>100</v>
      </c>
      <c r="N96">
        <v>100</v>
      </c>
      <c r="O96">
        <v>100</v>
      </c>
      <c r="P96">
        <v>0.5</v>
      </c>
      <c r="Q96">
        <v>8</v>
      </c>
    </row>
    <row r="97">
      <c r="A97">
        <v>107</v>
      </c>
      <c r="B97" t="str">
        <v>Lantai 1</v>
      </c>
      <c r="D97" t="str">
        <v>K175-1</v>
      </c>
      <c r="E97">
        <v>170</v>
      </c>
      <c r="F97">
        <v>500</v>
      </c>
      <c r="G97">
        <f>4500-0</f>
        <v>4500</v>
      </c>
      <c r="H97">
        <v>6</v>
      </c>
      <c r="I97">
        <v>16</v>
      </c>
      <c r="L97">
        <v>8</v>
      </c>
      <c r="M97">
        <v>100</v>
      </c>
      <c r="N97">
        <v>100</v>
      </c>
      <c r="O97">
        <v>100</v>
      </c>
      <c r="P97">
        <v>0.5</v>
      </c>
      <c r="Q97">
        <v>8</v>
      </c>
    </row>
    <row r="98">
      <c r="A98">
        <v>32</v>
      </c>
      <c r="B98" t="str">
        <v>Lantai 1</v>
      </c>
      <c r="D98" t="str">
        <v>K278-1</v>
      </c>
      <c r="E98">
        <v>270</v>
      </c>
      <c r="F98">
        <v>800</v>
      </c>
      <c r="G98">
        <f>4500-0</f>
        <v>4500</v>
      </c>
      <c r="H98">
        <v>4</v>
      </c>
      <c r="I98">
        <v>22</v>
      </c>
      <c r="J98">
        <v>8</v>
      </c>
      <c r="K98">
        <v>19</v>
      </c>
      <c r="L98">
        <v>10</v>
      </c>
      <c r="M98">
        <v>100</v>
      </c>
      <c r="N98">
        <v>100</v>
      </c>
      <c r="O98">
        <v>100</v>
      </c>
      <c r="P98">
        <f>2/2</f>
        <v>1</v>
      </c>
      <c r="Q98">
        <v>10</v>
      </c>
    </row>
    <row r="99">
      <c r="A99">
        <v>33</v>
      </c>
      <c r="B99" t="str">
        <v>Lantai 1</v>
      </c>
      <c r="D99" t="str">
        <v>K278-1</v>
      </c>
      <c r="E99">
        <v>270</v>
      </c>
      <c r="F99">
        <v>800</v>
      </c>
      <c r="G99">
        <f>4500-0</f>
        <v>4500</v>
      </c>
      <c r="H99">
        <v>4</v>
      </c>
      <c r="I99">
        <v>22</v>
      </c>
      <c r="J99">
        <v>8</v>
      </c>
      <c r="K99">
        <v>19</v>
      </c>
      <c r="L99">
        <v>10</v>
      </c>
      <c r="M99">
        <v>100</v>
      </c>
      <c r="N99">
        <v>100</v>
      </c>
      <c r="O99">
        <v>100</v>
      </c>
      <c r="P99">
        <f>2/2</f>
        <v>1</v>
      </c>
      <c r="Q99">
        <v>10</v>
      </c>
    </row>
    <row r="100">
      <c r="A100">
        <v>34</v>
      </c>
      <c r="B100" t="str">
        <v>Lantai 1</v>
      </c>
      <c r="D100" t="str">
        <v>K176-1</v>
      </c>
      <c r="E100">
        <v>170</v>
      </c>
      <c r="F100">
        <v>600</v>
      </c>
      <c r="G100">
        <f>4500-0</f>
        <v>4500</v>
      </c>
      <c r="H100">
        <v>10</v>
      </c>
      <c r="I100">
        <v>16</v>
      </c>
      <c r="L100">
        <v>8</v>
      </c>
      <c r="M100">
        <v>100</v>
      </c>
      <c r="N100">
        <v>100</v>
      </c>
      <c r="O100">
        <v>100</v>
      </c>
      <c r="P100">
        <v>0.5</v>
      </c>
      <c r="Q100">
        <v>8</v>
      </c>
    </row>
    <row r="101">
      <c r="A101">
        <v>38</v>
      </c>
      <c r="B101" t="str">
        <v>Lantai 1</v>
      </c>
      <c r="D101" t="str">
        <v>K179-1</v>
      </c>
      <c r="E101">
        <v>170</v>
      </c>
      <c r="F101">
        <v>900</v>
      </c>
      <c r="G101">
        <f>4500-0</f>
        <v>4500</v>
      </c>
      <c r="H101">
        <v>14</v>
      </c>
      <c r="I101">
        <v>19</v>
      </c>
      <c r="L101">
        <v>8</v>
      </c>
      <c r="M101">
        <v>100</v>
      </c>
      <c r="N101">
        <v>100</v>
      </c>
      <c r="O101">
        <v>100</v>
      </c>
      <c r="P101">
        <v>1</v>
      </c>
      <c r="Q101">
        <v>8</v>
      </c>
    </row>
    <row r="102">
      <c r="A102">
        <v>108</v>
      </c>
      <c r="B102" t="str">
        <v>Lantai 1</v>
      </c>
      <c r="D102" t="str">
        <v>KL175-3</v>
      </c>
      <c r="E102">
        <v>170</v>
      </c>
      <c r="F102">
        <v>500</v>
      </c>
      <c r="G102">
        <f>4500-0</f>
        <v>4500</v>
      </c>
      <c r="H102">
        <v>8</v>
      </c>
      <c r="I102">
        <v>19</v>
      </c>
      <c r="L102">
        <v>8</v>
      </c>
      <c r="M102">
        <v>100</v>
      </c>
      <c r="N102">
        <v>100</v>
      </c>
      <c r="O102">
        <v>100</v>
      </c>
      <c r="P102">
        <v>0.5</v>
      </c>
      <c r="Q102">
        <v>8</v>
      </c>
    </row>
    <row r="103">
      <c r="A103">
        <v>43</v>
      </c>
      <c r="B103" t="str">
        <v>Lantai 1</v>
      </c>
      <c r="D103" t="str">
        <v>K59-1</v>
      </c>
      <c r="E103">
        <v>500</v>
      </c>
      <c r="F103">
        <v>900</v>
      </c>
      <c r="G103">
        <f>4500-0</f>
        <v>4500</v>
      </c>
      <c r="H103">
        <v>18</v>
      </c>
      <c r="I103">
        <v>22</v>
      </c>
      <c r="L103">
        <v>10</v>
      </c>
      <c r="M103">
        <v>100</v>
      </c>
      <c r="N103">
        <v>100</v>
      </c>
      <c r="O103">
        <v>100</v>
      </c>
      <c r="P103">
        <v>2</v>
      </c>
      <c r="Q103">
        <v>10</v>
      </c>
      <c r="R103">
        <v>1</v>
      </c>
      <c r="S103">
        <v>10</v>
      </c>
    </row>
    <row r="104">
      <c r="A104">
        <v>109</v>
      </c>
      <c r="B104" t="str">
        <v>Lantai 1</v>
      </c>
      <c r="D104" t="str">
        <v>K36-1</v>
      </c>
      <c r="E104">
        <v>300</v>
      </c>
      <c r="F104">
        <v>600</v>
      </c>
      <c r="G104">
        <f>4500-0</f>
        <v>4500</v>
      </c>
      <c r="H104">
        <v>14</v>
      </c>
      <c r="I104">
        <v>22</v>
      </c>
      <c r="L104">
        <v>10</v>
      </c>
      <c r="M104">
        <v>100</v>
      </c>
      <c r="N104">
        <v>100</v>
      </c>
      <c r="O104">
        <v>100</v>
      </c>
      <c r="P104">
        <v>1</v>
      </c>
      <c r="Q104">
        <v>10</v>
      </c>
    </row>
    <row r="105">
      <c r="A105">
        <v>46</v>
      </c>
      <c r="B105" t="str">
        <v>Lantai 1</v>
      </c>
      <c r="D105" t="str">
        <v>K59-1</v>
      </c>
      <c r="E105">
        <v>500</v>
      </c>
      <c r="F105">
        <v>900</v>
      </c>
      <c r="G105">
        <f>4500-0</f>
        <v>4500</v>
      </c>
      <c r="H105">
        <v>18</v>
      </c>
      <c r="I105">
        <v>22</v>
      </c>
      <c r="L105">
        <v>10</v>
      </c>
      <c r="M105">
        <v>100</v>
      </c>
      <c r="N105">
        <v>100</v>
      </c>
      <c r="O105">
        <v>100</v>
      </c>
      <c r="P105">
        <v>2</v>
      </c>
      <c r="Q105">
        <v>10</v>
      </c>
      <c r="R105">
        <v>1</v>
      </c>
      <c r="S105">
        <v>10</v>
      </c>
    </row>
    <row r="106">
      <c r="A106">
        <v>110</v>
      </c>
      <c r="B106" t="str">
        <v>Lantai 1</v>
      </c>
      <c r="D106" t="str">
        <v>K178-2</v>
      </c>
      <c r="E106">
        <v>170</v>
      </c>
      <c r="F106">
        <v>800</v>
      </c>
      <c r="G106">
        <f>4500-0</f>
        <v>4500</v>
      </c>
      <c r="H106">
        <v>14</v>
      </c>
      <c r="I106">
        <v>19</v>
      </c>
      <c r="L106">
        <v>8</v>
      </c>
      <c r="M106">
        <v>100</v>
      </c>
      <c r="N106">
        <v>100</v>
      </c>
      <c r="O106">
        <v>100</v>
      </c>
      <c r="P106">
        <v>1</v>
      </c>
      <c r="Q106">
        <v>8</v>
      </c>
    </row>
    <row r="107">
      <c r="A107">
        <v>111</v>
      </c>
      <c r="B107" t="str">
        <v>Lantai 1</v>
      </c>
      <c r="D107" t="str">
        <v>K36-1</v>
      </c>
      <c r="E107">
        <v>300</v>
      </c>
      <c r="F107">
        <v>600</v>
      </c>
      <c r="G107">
        <f>4500-0</f>
        <v>4500</v>
      </c>
      <c r="H107">
        <v>14</v>
      </c>
      <c r="I107">
        <v>22</v>
      </c>
      <c r="L107">
        <v>10</v>
      </c>
      <c r="M107">
        <v>100</v>
      </c>
      <c r="N107">
        <v>100</v>
      </c>
      <c r="O107">
        <v>100</v>
      </c>
      <c r="P107">
        <v>1</v>
      </c>
      <c r="Q107">
        <v>10</v>
      </c>
    </row>
    <row r="108">
      <c r="A108">
        <v>112</v>
      </c>
      <c r="B108" t="str">
        <v>Lantai 1</v>
      </c>
      <c r="D108" t="str">
        <v>K275-1</v>
      </c>
      <c r="E108">
        <v>270</v>
      </c>
      <c r="F108">
        <v>500</v>
      </c>
      <c r="G108">
        <f>4500-0</f>
        <v>4500</v>
      </c>
      <c r="H108">
        <v>8</v>
      </c>
      <c r="I108">
        <v>19</v>
      </c>
      <c r="L108">
        <v>10</v>
      </c>
      <c r="M108">
        <v>100</v>
      </c>
      <c r="N108">
        <v>100</v>
      </c>
      <c r="O108">
        <v>100</v>
      </c>
      <c r="P108">
        <v>0.5</v>
      </c>
      <c r="Q108">
        <v>10</v>
      </c>
    </row>
    <row r="109">
      <c r="A109">
        <v>113</v>
      </c>
      <c r="B109" t="str">
        <v>Lantai 1</v>
      </c>
      <c r="D109" t="str">
        <v>K275-1</v>
      </c>
      <c r="E109">
        <v>270</v>
      </c>
      <c r="F109">
        <v>500</v>
      </c>
      <c r="G109">
        <f>4500-0</f>
        <v>4500</v>
      </c>
      <c r="H109">
        <v>8</v>
      </c>
      <c r="I109">
        <v>19</v>
      </c>
      <c r="L109">
        <v>10</v>
      </c>
      <c r="M109">
        <v>100</v>
      </c>
      <c r="N109">
        <v>100</v>
      </c>
      <c r="O109">
        <v>100</v>
      </c>
      <c r="P109">
        <v>0.5</v>
      </c>
      <c r="Q109">
        <v>10</v>
      </c>
    </row>
    <row r="110">
      <c r="A110">
        <v>114</v>
      </c>
      <c r="B110" t="str">
        <v>Lantai 1</v>
      </c>
      <c r="D110" t="str">
        <v>K275-1</v>
      </c>
      <c r="E110">
        <v>270</v>
      </c>
      <c r="F110">
        <v>500</v>
      </c>
      <c r="G110">
        <f>4500-0</f>
        <v>4500</v>
      </c>
      <c r="H110">
        <v>8</v>
      </c>
      <c r="I110">
        <v>19</v>
      </c>
      <c r="L110">
        <v>10</v>
      </c>
      <c r="M110">
        <v>100</v>
      </c>
      <c r="N110">
        <v>100</v>
      </c>
      <c r="O110">
        <v>100</v>
      </c>
      <c r="P110">
        <v>0.5</v>
      </c>
      <c r="Q110">
        <v>10</v>
      </c>
    </row>
    <row r="111">
      <c r="A111">
        <v>8</v>
      </c>
      <c r="B111" t="str">
        <v>Lantai 1</v>
      </c>
      <c r="D111" t="str">
        <v>K12</v>
      </c>
      <c r="E111">
        <v>130</v>
      </c>
      <c r="F111">
        <v>200</v>
      </c>
      <c r="G111">
        <f>4500-0</f>
        <v>4500</v>
      </c>
      <c r="H111">
        <v>4</v>
      </c>
      <c r="I111">
        <v>10</v>
      </c>
      <c r="L111">
        <v>8</v>
      </c>
      <c r="M111">
        <v>100</v>
      </c>
      <c r="N111">
        <v>100</v>
      </c>
      <c r="O111">
        <v>100</v>
      </c>
    </row>
    <row r="112">
      <c r="A112">
        <v>115</v>
      </c>
      <c r="B112" t="str">
        <v>Lantai 1</v>
      </c>
      <c r="D112" t="str">
        <v>K12</v>
      </c>
      <c r="E112">
        <v>130</v>
      </c>
      <c r="F112">
        <v>200</v>
      </c>
      <c r="G112">
        <f>4500-0</f>
        <v>4500</v>
      </c>
      <c r="H112">
        <v>4</v>
      </c>
      <c r="I112">
        <v>10</v>
      </c>
      <c r="L112">
        <v>8</v>
      </c>
      <c r="M112">
        <v>100</v>
      </c>
      <c r="N112">
        <v>100</v>
      </c>
      <c r="O112">
        <v>100</v>
      </c>
    </row>
    <row r="113">
      <c r="A113">
        <v>116</v>
      </c>
      <c r="B113" t="str">
        <v>Lantai 1</v>
      </c>
      <c r="D113" t="str">
        <v>K12</v>
      </c>
      <c r="E113">
        <v>130</v>
      </c>
      <c r="F113">
        <v>200</v>
      </c>
      <c r="G113">
        <f>4500-0</f>
        <v>4500</v>
      </c>
      <c r="H113">
        <v>4</v>
      </c>
      <c r="I113">
        <v>10</v>
      </c>
      <c r="L113">
        <v>8</v>
      </c>
      <c r="M113">
        <v>100</v>
      </c>
      <c r="N113">
        <v>100</v>
      </c>
      <c r="O113">
        <v>100</v>
      </c>
    </row>
    <row r="114">
      <c r="A114">
        <v>117</v>
      </c>
      <c r="B114" t="str">
        <v>Lantai 1</v>
      </c>
      <c r="D114" t="str">
        <v>K12</v>
      </c>
      <c r="E114">
        <v>130</v>
      </c>
      <c r="F114">
        <v>200</v>
      </c>
      <c r="G114">
        <f>4500-0</f>
        <v>4500</v>
      </c>
      <c r="H114">
        <v>4</v>
      </c>
      <c r="I114">
        <v>10</v>
      </c>
      <c r="L114">
        <v>8</v>
      </c>
      <c r="M114">
        <v>100</v>
      </c>
      <c r="N114">
        <v>100</v>
      </c>
      <c r="O114">
        <v>100</v>
      </c>
    </row>
    <row r="115">
      <c r="A115">
        <v>118</v>
      </c>
      <c r="B115" t="str">
        <v>Lantai 1</v>
      </c>
      <c r="D115" t="str">
        <v>K12</v>
      </c>
      <c r="E115">
        <v>130</v>
      </c>
      <c r="F115">
        <v>200</v>
      </c>
      <c r="G115">
        <f>4500-0</f>
        <v>4500</v>
      </c>
      <c r="H115">
        <v>4</v>
      </c>
      <c r="I115">
        <v>10</v>
      </c>
      <c r="L115">
        <v>8</v>
      </c>
      <c r="M115">
        <v>100</v>
      </c>
      <c r="N115">
        <v>100</v>
      </c>
      <c r="O115">
        <v>100</v>
      </c>
    </row>
    <row r="116">
      <c r="A116">
        <v>119</v>
      </c>
      <c r="B116" t="str">
        <v>Lantai 1</v>
      </c>
      <c r="D116" t="str">
        <v>K12</v>
      </c>
      <c r="E116">
        <v>130</v>
      </c>
      <c r="F116">
        <v>200</v>
      </c>
      <c r="G116">
        <f>4500-0</f>
        <v>4500</v>
      </c>
      <c r="H116">
        <v>4</v>
      </c>
      <c r="I116">
        <v>10</v>
      </c>
      <c r="L116">
        <v>8</v>
      </c>
      <c r="M116">
        <v>100</v>
      </c>
      <c r="N116">
        <v>100</v>
      </c>
      <c r="O116">
        <v>100</v>
      </c>
    </row>
    <row r="117">
      <c r="A117">
        <v>120</v>
      </c>
      <c r="B117" t="str">
        <v>Lantai 1</v>
      </c>
      <c r="D117" t="str">
        <v>K12</v>
      </c>
      <c r="E117">
        <v>130</v>
      </c>
      <c r="F117">
        <v>200</v>
      </c>
      <c r="G117">
        <f>4500-0</f>
        <v>4500</v>
      </c>
      <c r="H117">
        <v>4</v>
      </c>
      <c r="I117">
        <v>10</v>
      </c>
      <c r="L117">
        <v>8</v>
      </c>
      <c r="M117">
        <v>100</v>
      </c>
      <c r="N117">
        <v>100</v>
      </c>
      <c r="O117">
        <v>100</v>
      </c>
    </row>
    <row r="118">
      <c r="A118">
        <v>121</v>
      </c>
      <c r="B118" t="str">
        <v>Lantai 1</v>
      </c>
      <c r="D118" t="str">
        <v>K12</v>
      </c>
      <c r="E118">
        <v>130</v>
      </c>
      <c r="F118">
        <v>200</v>
      </c>
      <c r="G118">
        <f>4500-0</f>
        <v>4500</v>
      </c>
      <c r="H118">
        <v>4</v>
      </c>
      <c r="I118">
        <v>10</v>
      </c>
      <c r="L118">
        <v>8</v>
      </c>
      <c r="M118">
        <v>100</v>
      </c>
      <c r="N118">
        <v>100</v>
      </c>
      <c r="O118">
        <v>100</v>
      </c>
    </row>
    <row r="119">
      <c r="A119">
        <v>122</v>
      </c>
      <c r="B119" t="str">
        <v>Lantai 1</v>
      </c>
      <c r="D119" t="str">
        <v>K12</v>
      </c>
      <c r="E119">
        <v>130</v>
      </c>
      <c r="F119">
        <v>200</v>
      </c>
      <c r="G119">
        <f>4500-0</f>
        <v>4500</v>
      </c>
      <c r="H119">
        <v>4</v>
      </c>
      <c r="I119">
        <v>10</v>
      </c>
      <c r="L119">
        <v>8</v>
      </c>
      <c r="M119">
        <v>100</v>
      </c>
      <c r="N119">
        <v>100</v>
      </c>
      <c r="O119">
        <v>100</v>
      </c>
    </row>
    <row r="120">
      <c r="A120">
        <v>123</v>
      </c>
      <c r="B120" t="str">
        <v>Lantai 1</v>
      </c>
      <c r="D120" t="str">
        <v>K12</v>
      </c>
      <c r="E120">
        <v>130</v>
      </c>
      <c r="F120">
        <v>200</v>
      </c>
      <c r="G120">
        <f>4500-0</f>
        <v>4500</v>
      </c>
      <c r="H120">
        <v>4</v>
      </c>
      <c r="I120">
        <v>10</v>
      </c>
      <c r="L120">
        <v>8</v>
      </c>
      <c r="M120">
        <v>100</v>
      </c>
      <c r="N120">
        <v>100</v>
      </c>
      <c r="O120">
        <v>100</v>
      </c>
    </row>
    <row r="121">
      <c r="A121">
        <v>47</v>
      </c>
      <c r="B121" t="str">
        <v>Lantai 1</v>
      </c>
      <c r="D121" t="str">
        <v>SW.1</v>
      </c>
      <c r="E121">
        <v>170</v>
      </c>
      <c r="F121">
        <v>2170</v>
      </c>
      <c r="G121">
        <f>4500-0</f>
        <v>4500</v>
      </c>
      <c r="H121">
        <v>26</v>
      </c>
      <c r="I121">
        <v>13</v>
      </c>
      <c r="L121">
        <v>10</v>
      </c>
      <c r="M121">
        <v>150</v>
      </c>
      <c r="N121">
        <v>150</v>
      </c>
      <c r="O121">
        <v>150</v>
      </c>
      <c r="P121">
        <v>4</v>
      </c>
      <c r="Q121">
        <v>10</v>
      </c>
      <c r="V121" t="str">
        <v>belakang</v>
      </c>
    </row>
    <row r="122">
      <c r="A122">
        <v>47</v>
      </c>
      <c r="B122" t="str">
        <v>Lantai 1</v>
      </c>
      <c r="D122" t="str">
        <v>SW.1</v>
      </c>
      <c r="E122">
        <v>170</v>
      </c>
      <c r="F122">
        <v>2170</v>
      </c>
      <c r="G122">
        <f>4500-0</f>
        <v>4500</v>
      </c>
      <c r="H122">
        <v>18</v>
      </c>
      <c r="I122">
        <v>13</v>
      </c>
      <c r="L122">
        <v>10</v>
      </c>
      <c r="M122">
        <v>150</v>
      </c>
      <c r="N122">
        <v>150</v>
      </c>
      <c r="O122">
        <v>150</v>
      </c>
      <c r="P122">
        <v>4</v>
      </c>
      <c r="Q122">
        <v>10</v>
      </c>
      <c r="V122" t="str">
        <v>samping kiri - kanan</v>
      </c>
    </row>
    <row r="123">
      <c r="A123">
        <v>47</v>
      </c>
      <c r="B123" t="str">
        <v>Lantai 1</v>
      </c>
      <c r="D123" t="str">
        <v>SW.1</v>
      </c>
      <c r="E123">
        <v>170</v>
      </c>
      <c r="F123">
        <v>400</v>
      </c>
      <c r="G123">
        <f>4500-0</f>
        <v>4500</v>
      </c>
      <c r="H123">
        <v>8</v>
      </c>
      <c r="I123">
        <v>13</v>
      </c>
      <c r="L123">
        <v>10</v>
      </c>
      <c r="M123">
        <v>150</v>
      </c>
      <c r="N123">
        <v>150</v>
      </c>
      <c r="O123">
        <v>150</v>
      </c>
      <c r="P123">
        <v>4</v>
      </c>
      <c r="Q123">
        <v>10</v>
      </c>
      <c r="V123" t="str">
        <v>kolom depan kiri - kanan</v>
      </c>
    </row>
    <row r="124">
      <c r="A124">
        <v>47</v>
      </c>
      <c r="B124" t="str">
        <v>Lantai 1</v>
      </c>
      <c r="D124" t="str">
        <v>SW.1</v>
      </c>
      <c r="E124">
        <v>170</v>
      </c>
      <c r="F124">
        <v>1370</v>
      </c>
      <c r="G124">
        <f>4500-0</f>
        <v>4500</v>
      </c>
      <c r="H124">
        <v>14</v>
      </c>
      <c r="I124">
        <v>13</v>
      </c>
      <c r="L124">
        <v>10</v>
      </c>
      <c r="M124">
        <v>150</v>
      </c>
      <c r="N124">
        <v>150</v>
      </c>
      <c r="O124">
        <v>150</v>
      </c>
      <c r="P124">
        <v>4</v>
      </c>
      <c r="Q124">
        <v>10</v>
      </c>
      <c r="V124" t="str">
        <v>atas opening pintu</v>
      </c>
    </row>
    <row r="126">
      <c r="A126">
        <v>11</v>
      </c>
      <c r="B126" t="str">
        <v>Lantai 2</v>
      </c>
      <c r="D126" t="str">
        <v>K175-1</v>
      </c>
      <c r="E126">
        <v>170</v>
      </c>
      <c r="F126">
        <v>500</v>
      </c>
      <c r="G126">
        <f>9000-4500</f>
        <v>4500</v>
      </c>
      <c r="H126">
        <v>6</v>
      </c>
      <c r="I126">
        <v>16</v>
      </c>
      <c r="L126">
        <v>8</v>
      </c>
      <c r="M126">
        <v>100</v>
      </c>
      <c r="N126">
        <v>100</v>
      </c>
      <c r="O126">
        <v>100</v>
      </c>
      <c r="P126">
        <v>0.5</v>
      </c>
      <c r="Q126">
        <v>8</v>
      </c>
    </row>
    <row r="127">
      <c r="A127">
        <v>12</v>
      </c>
      <c r="B127" t="str">
        <v>Lantai 2</v>
      </c>
      <c r="D127" t="str">
        <v>K178-2</v>
      </c>
      <c r="E127">
        <v>170</v>
      </c>
      <c r="F127">
        <v>800</v>
      </c>
      <c r="G127">
        <f>9000-4500</f>
        <v>4500</v>
      </c>
      <c r="H127">
        <v>14</v>
      </c>
      <c r="I127">
        <v>19</v>
      </c>
      <c r="L127">
        <v>8</v>
      </c>
      <c r="M127">
        <v>100</v>
      </c>
      <c r="N127">
        <v>100</v>
      </c>
      <c r="O127">
        <v>100</v>
      </c>
      <c r="P127">
        <f>2/2</f>
        <v>1</v>
      </c>
      <c r="Q127">
        <v>8</v>
      </c>
    </row>
    <row r="128">
      <c r="A128">
        <v>13</v>
      </c>
      <c r="B128" t="str">
        <v>Lantai 2</v>
      </c>
      <c r="D128" t="str">
        <v>K175-2</v>
      </c>
      <c r="E128">
        <v>170</v>
      </c>
      <c r="F128">
        <v>500</v>
      </c>
      <c r="G128">
        <f>9000-4500</f>
        <v>4500</v>
      </c>
      <c r="H128">
        <v>8</v>
      </c>
      <c r="I128">
        <v>16</v>
      </c>
      <c r="L128">
        <v>8</v>
      </c>
      <c r="M128">
        <v>100</v>
      </c>
      <c r="N128">
        <v>100</v>
      </c>
      <c r="O128">
        <v>100</v>
      </c>
      <c r="P128">
        <v>0.5</v>
      </c>
      <c r="Q128">
        <v>8</v>
      </c>
    </row>
    <row r="129">
      <c r="A129">
        <v>14</v>
      </c>
      <c r="B129" t="str">
        <v>Lantai 2</v>
      </c>
      <c r="D129" t="str">
        <v>K177-1</v>
      </c>
      <c r="E129">
        <v>170</v>
      </c>
      <c r="F129">
        <v>700</v>
      </c>
      <c r="G129">
        <f>9000-4500</f>
        <v>4500</v>
      </c>
      <c r="H129">
        <v>10</v>
      </c>
      <c r="I129">
        <v>19</v>
      </c>
      <c r="L129">
        <v>8</v>
      </c>
      <c r="M129">
        <v>100</v>
      </c>
      <c r="N129">
        <v>100</v>
      </c>
      <c r="O129">
        <v>100</v>
      </c>
      <c r="P129">
        <v>0.5</v>
      </c>
      <c r="Q129">
        <v>8</v>
      </c>
    </row>
    <row r="130">
      <c r="A130" t="str">
        <v>14A</v>
      </c>
      <c r="B130" t="str">
        <v>Lantai 2</v>
      </c>
      <c r="D130" t="str">
        <v>K174-1</v>
      </c>
      <c r="E130">
        <v>170</v>
      </c>
      <c r="F130">
        <v>400</v>
      </c>
      <c r="G130">
        <f>9000-4500</f>
        <v>4500</v>
      </c>
      <c r="H130">
        <v>8</v>
      </c>
      <c r="I130">
        <v>13</v>
      </c>
      <c r="L130">
        <v>8</v>
      </c>
      <c r="M130">
        <v>100</v>
      </c>
      <c r="N130">
        <v>100</v>
      </c>
      <c r="O130">
        <v>100</v>
      </c>
    </row>
    <row r="131">
      <c r="A131">
        <v>15</v>
      </c>
      <c r="B131" t="str">
        <v>Lantai 2</v>
      </c>
      <c r="D131" t="str">
        <v>K178-1</v>
      </c>
      <c r="E131">
        <v>170</v>
      </c>
      <c r="F131">
        <v>800</v>
      </c>
      <c r="G131">
        <f>9000-4500</f>
        <v>4500</v>
      </c>
      <c r="H131">
        <v>8</v>
      </c>
      <c r="I131">
        <v>16</v>
      </c>
      <c r="L131">
        <v>8</v>
      </c>
      <c r="M131">
        <v>100</v>
      </c>
      <c r="N131">
        <v>100</v>
      </c>
      <c r="O131">
        <v>100</v>
      </c>
      <c r="P131">
        <f>2/2</f>
        <v>1</v>
      </c>
      <c r="Q131">
        <v>8</v>
      </c>
    </row>
    <row r="132">
      <c r="A132">
        <v>16</v>
      </c>
      <c r="B132" t="str">
        <v>Lantai 2</v>
      </c>
      <c r="D132" t="str">
        <v>K175-2</v>
      </c>
      <c r="E132">
        <v>170</v>
      </c>
      <c r="F132">
        <v>500</v>
      </c>
      <c r="G132">
        <f>9000-4500</f>
        <v>4500</v>
      </c>
      <c r="H132">
        <v>8</v>
      </c>
      <c r="I132">
        <v>16</v>
      </c>
      <c r="L132">
        <v>8</v>
      </c>
      <c r="M132">
        <v>100</v>
      </c>
      <c r="N132">
        <v>100</v>
      </c>
      <c r="O132">
        <v>100</v>
      </c>
      <c r="P132">
        <v>0.5</v>
      </c>
      <c r="Q132">
        <v>8</v>
      </c>
    </row>
    <row r="133">
      <c r="A133">
        <v>18</v>
      </c>
      <c r="B133" t="str">
        <v>Lantai 2</v>
      </c>
      <c r="D133" t="str">
        <v>K175-4</v>
      </c>
      <c r="E133">
        <v>170</v>
      </c>
      <c r="F133">
        <v>500</v>
      </c>
      <c r="G133">
        <f>9000-4500</f>
        <v>4500</v>
      </c>
      <c r="H133">
        <v>8</v>
      </c>
      <c r="I133">
        <v>19</v>
      </c>
      <c r="J133">
        <v>2</v>
      </c>
      <c r="K133">
        <v>8</v>
      </c>
      <c r="L133">
        <v>10</v>
      </c>
      <c r="M133">
        <v>100</v>
      </c>
      <c r="N133">
        <v>100</v>
      </c>
      <c r="O133">
        <v>100</v>
      </c>
      <c r="P133">
        <v>0.5</v>
      </c>
      <c r="Q133">
        <v>8</v>
      </c>
    </row>
    <row r="134">
      <c r="A134">
        <v>19</v>
      </c>
      <c r="B134" t="str">
        <v>Lantai 2</v>
      </c>
      <c r="D134" t="str">
        <v>K178-1</v>
      </c>
      <c r="E134">
        <v>170</v>
      </c>
      <c r="F134">
        <v>800</v>
      </c>
      <c r="G134">
        <f>9000-4500</f>
        <v>4500</v>
      </c>
      <c r="H134">
        <v>8</v>
      </c>
      <c r="I134">
        <v>16</v>
      </c>
      <c r="L134">
        <v>8</v>
      </c>
      <c r="M134">
        <v>100</v>
      </c>
      <c r="N134">
        <v>100</v>
      </c>
      <c r="O134">
        <v>100</v>
      </c>
      <c r="P134">
        <f>2/2</f>
        <v>1</v>
      </c>
      <c r="Q134">
        <v>8</v>
      </c>
    </row>
    <row r="135">
      <c r="A135">
        <v>20</v>
      </c>
      <c r="B135" t="str">
        <v>Lantai 2</v>
      </c>
      <c r="D135" t="str">
        <v>K174-1</v>
      </c>
      <c r="E135">
        <v>170</v>
      </c>
      <c r="F135">
        <v>400</v>
      </c>
      <c r="G135">
        <f>9000-4500</f>
        <v>4500</v>
      </c>
      <c r="H135">
        <v>8</v>
      </c>
      <c r="I135">
        <v>13</v>
      </c>
      <c r="L135">
        <v>8</v>
      </c>
      <c r="M135">
        <v>100</v>
      </c>
      <c r="N135">
        <v>100</v>
      </c>
      <c r="O135">
        <v>100</v>
      </c>
    </row>
    <row r="136">
      <c r="A136">
        <v>21</v>
      </c>
      <c r="B136" t="str">
        <v>Lantai 2</v>
      </c>
      <c r="D136" t="str">
        <v>K178-1</v>
      </c>
      <c r="E136">
        <v>170</v>
      </c>
      <c r="F136">
        <v>800</v>
      </c>
      <c r="G136">
        <f>9000-4500</f>
        <v>4500</v>
      </c>
      <c r="H136">
        <v>8</v>
      </c>
      <c r="I136">
        <v>16</v>
      </c>
      <c r="L136">
        <v>8</v>
      </c>
      <c r="M136">
        <v>100</v>
      </c>
      <c r="N136">
        <v>100</v>
      </c>
      <c r="O136">
        <v>100</v>
      </c>
      <c r="P136">
        <f>2/2</f>
        <v>1</v>
      </c>
      <c r="Q136">
        <v>8</v>
      </c>
    </row>
    <row r="137">
      <c r="A137">
        <v>22</v>
      </c>
      <c r="B137" t="str">
        <v>Lantai 2</v>
      </c>
      <c r="D137" t="str">
        <v>K175-1</v>
      </c>
      <c r="E137">
        <v>170</v>
      </c>
      <c r="F137">
        <v>500</v>
      </c>
      <c r="G137">
        <f>9000-4500</f>
        <v>4500</v>
      </c>
      <c r="H137">
        <v>6</v>
      </c>
      <c r="I137">
        <v>16</v>
      </c>
      <c r="L137">
        <v>8</v>
      </c>
      <c r="M137">
        <v>100</v>
      </c>
      <c r="N137">
        <v>100</v>
      </c>
      <c r="O137">
        <v>100</v>
      </c>
      <c r="P137">
        <v>0.5</v>
      </c>
      <c r="Q137">
        <v>8</v>
      </c>
    </row>
    <row r="138">
      <c r="A138">
        <v>101</v>
      </c>
      <c r="B138" t="str">
        <v>Lantai 2</v>
      </c>
      <c r="D138" t="str">
        <v>K176-1</v>
      </c>
      <c r="E138">
        <v>170</v>
      </c>
      <c r="F138">
        <v>600</v>
      </c>
      <c r="G138">
        <f>9000-4500</f>
        <v>4500</v>
      </c>
      <c r="H138">
        <v>10</v>
      </c>
      <c r="I138">
        <v>16</v>
      </c>
      <c r="L138">
        <v>8</v>
      </c>
      <c r="M138">
        <v>100</v>
      </c>
      <c r="N138">
        <v>100</v>
      </c>
      <c r="O138">
        <v>100</v>
      </c>
      <c r="P138">
        <v>0.5</v>
      </c>
      <c r="Q138">
        <v>8</v>
      </c>
    </row>
    <row r="139">
      <c r="A139">
        <v>102</v>
      </c>
      <c r="B139" t="str">
        <v>Lantai 2</v>
      </c>
      <c r="D139" t="str">
        <v>K175-1</v>
      </c>
      <c r="E139">
        <v>170</v>
      </c>
      <c r="F139">
        <v>500</v>
      </c>
      <c r="G139">
        <f>9000-4500</f>
        <v>4500</v>
      </c>
      <c r="H139">
        <v>6</v>
      </c>
      <c r="I139">
        <v>16</v>
      </c>
      <c r="L139">
        <v>8</v>
      </c>
      <c r="M139">
        <v>100</v>
      </c>
      <c r="N139">
        <v>100</v>
      </c>
      <c r="O139">
        <v>100</v>
      </c>
      <c r="P139">
        <v>0.5</v>
      </c>
      <c r="Q139">
        <v>8</v>
      </c>
    </row>
    <row r="140">
      <c r="A140">
        <v>103</v>
      </c>
      <c r="B140" t="str">
        <v>Lantai 2</v>
      </c>
      <c r="D140" t="str">
        <v>K174-1</v>
      </c>
      <c r="E140">
        <v>170</v>
      </c>
      <c r="F140">
        <v>400</v>
      </c>
      <c r="G140">
        <f>9000-4500</f>
        <v>4500</v>
      </c>
      <c r="H140">
        <v>8</v>
      </c>
      <c r="I140">
        <v>13</v>
      </c>
      <c r="L140">
        <v>8</v>
      </c>
      <c r="M140">
        <v>100</v>
      </c>
      <c r="N140">
        <v>100</v>
      </c>
      <c r="O140">
        <v>100</v>
      </c>
    </row>
    <row r="141">
      <c r="A141">
        <v>104</v>
      </c>
      <c r="B141" t="str">
        <v>Lantai 2</v>
      </c>
      <c r="D141" t="str">
        <v>K178-1</v>
      </c>
      <c r="E141">
        <v>170</v>
      </c>
      <c r="F141">
        <v>800</v>
      </c>
      <c r="G141">
        <f>9000-4500</f>
        <v>4500</v>
      </c>
      <c r="H141">
        <v>8</v>
      </c>
      <c r="I141">
        <v>16</v>
      </c>
      <c r="L141">
        <v>8</v>
      </c>
      <c r="M141">
        <v>100</v>
      </c>
      <c r="N141">
        <v>100</v>
      </c>
      <c r="O141">
        <v>100</v>
      </c>
      <c r="P141">
        <f>2/2</f>
        <v>1</v>
      </c>
      <c r="Q141">
        <v>8</v>
      </c>
    </row>
    <row r="142">
      <c r="A142">
        <v>105</v>
      </c>
      <c r="B142" t="str">
        <v>Lantai 2</v>
      </c>
      <c r="D142" t="str">
        <v>K176-4</v>
      </c>
      <c r="E142">
        <v>170</v>
      </c>
      <c r="F142">
        <v>600</v>
      </c>
      <c r="G142">
        <f>9000-4500</f>
        <v>4500</v>
      </c>
      <c r="H142">
        <v>8</v>
      </c>
      <c r="I142">
        <v>19</v>
      </c>
      <c r="J142">
        <v>4</v>
      </c>
      <c r="K142">
        <v>16</v>
      </c>
      <c r="L142">
        <v>8</v>
      </c>
      <c r="M142">
        <v>100</v>
      </c>
      <c r="N142">
        <v>100</v>
      </c>
      <c r="O142">
        <v>100</v>
      </c>
      <c r="P142">
        <v>0.5</v>
      </c>
      <c r="Q142">
        <v>8</v>
      </c>
    </row>
    <row r="143">
      <c r="A143">
        <v>106</v>
      </c>
      <c r="B143" t="str">
        <v>Lantai 2</v>
      </c>
      <c r="D143" t="str">
        <v>K176-1</v>
      </c>
      <c r="E143">
        <v>170</v>
      </c>
      <c r="F143">
        <v>600</v>
      </c>
      <c r="G143">
        <f>9000-4500</f>
        <v>4500</v>
      </c>
      <c r="H143">
        <v>10</v>
      </c>
      <c r="I143">
        <v>16</v>
      </c>
      <c r="L143">
        <v>8</v>
      </c>
      <c r="M143">
        <v>100</v>
      </c>
      <c r="N143">
        <v>100</v>
      </c>
      <c r="O143">
        <v>100</v>
      </c>
      <c r="P143">
        <v>0.5</v>
      </c>
      <c r="Q143">
        <v>8</v>
      </c>
    </row>
    <row r="144">
      <c r="A144">
        <v>107</v>
      </c>
      <c r="B144" t="str">
        <v>Lantai 2</v>
      </c>
      <c r="D144" t="str">
        <v>K175-1</v>
      </c>
      <c r="E144">
        <v>170</v>
      </c>
      <c r="F144">
        <v>500</v>
      </c>
      <c r="G144">
        <f>9000-4500</f>
        <v>4500</v>
      </c>
      <c r="H144">
        <v>6</v>
      </c>
      <c r="I144">
        <v>16</v>
      </c>
      <c r="L144">
        <v>8</v>
      </c>
      <c r="M144">
        <v>100</v>
      </c>
      <c r="N144">
        <v>100</v>
      </c>
      <c r="O144">
        <v>100</v>
      </c>
      <c r="P144">
        <v>0.5</v>
      </c>
      <c r="Q144">
        <v>8</v>
      </c>
    </row>
    <row r="145">
      <c r="A145">
        <v>201</v>
      </c>
      <c r="B145" t="str">
        <v>Lantai 2</v>
      </c>
      <c r="D145" t="str">
        <v>KL175-3</v>
      </c>
      <c r="E145">
        <v>170</v>
      </c>
      <c r="F145">
        <v>500</v>
      </c>
      <c r="G145">
        <f>9000-4500</f>
        <v>4500</v>
      </c>
      <c r="H145">
        <v>8</v>
      </c>
      <c r="I145">
        <v>19</v>
      </c>
      <c r="L145">
        <v>8</v>
      </c>
      <c r="M145">
        <v>100</v>
      </c>
      <c r="N145">
        <v>100</v>
      </c>
      <c r="O145">
        <v>100</v>
      </c>
      <c r="P145">
        <v>0.5</v>
      </c>
      <c r="Q145">
        <v>8</v>
      </c>
    </row>
    <row r="146">
      <c r="A146">
        <v>32</v>
      </c>
      <c r="B146" t="str">
        <v>Lantai 2</v>
      </c>
      <c r="D146" t="str">
        <v>K278-1</v>
      </c>
      <c r="E146">
        <v>270</v>
      </c>
      <c r="F146">
        <v>800</v>
      </c>
      <c r="G146">
        <f>9000-4500</f>
        <v>4500</v>
      </c>
      <c r="H146">
        <v>4</v>
      </c>
      <c r="I146">
        <v>22</v>
      </c>
      <c r="J146">
        <v>8</v>
      </c>
      <c r="K146">
        <v>19</v>
      </c>
      <c r="L146">
        <v>10</v>
      </c>
      <c r="M146">
        <v>100</v>
      </c>
      <c r="N146">
        <v>100</v>
      </c>
      <c r="O146">
        <v>100</v>
      </c>
      <c r="P146">
        <f>2/2</f>
        <v>1</v>
      </c>
      <c r="Q146">
        <v>10</v>
      </c>
    </row>
    <row r="147">
      <c r="A147">
        <v>34</v>
      </c>
      <c r="B147" t="str">
        <v>Lantai 2</v>
      </c>
      <c r="D147" t="str">
        <v>K176-1</v>
      </c>
      <c r="E147">
        <v>170</v>
      </c>
      <c r="F147">
        <v>600</v>
      </c>
      <c r="G147">
        <f>9000-4500</f>
        <v>4500</v>
      </c>
      <c r="H147">
        <v>10</v>
      </c>
      <c r="I147">
        <v>16</v>
      </c>
      <c r="L147">
        <v>8</v>
      </c>
      <c r="M147">
        <v>100</v>
      </c>
      <c r="N147">
        <v>100</v>
      </c>
      <c r="O147">
        <v>100</v>
      </c>
      <c r="P147">
        <v>0.5</v>
      </c>
      <c r="Q147">
        <v>8</v>
      </c>
    </row>
    <row r="148">
      <c r="A148">
        <v>38</v>
      </c>
      <c r="B148" t="str">
        <v>Lantai 2</v>
      </c>
      <c r="D148" t="str">
        <v>K176-1</v>
      </c>
      <c r="E148">
        <v>170</v>
      </c>
      <c r="F148">
        <v>600</v>
      </c>
      <c r="G148">
        <f>9000-4500</f>
        <v>4500</v>
      </c>
      <c r="H148">
        <v>10</v>
      </c>
      <c r="I148">
        <v>16</v>
      </c>
      <c r="L148">
        <v>8</v>
      </c>
      <c r="M148">
        <v>100</v>
      </c>
      <c r="N148">
        <v>100</v>
      </c>
      <c r="O148">
        <v>100</v>
      </c>
      <c r="P148">
        <v>0.5</v>
      </c>
      <c r="Q148">
        <v>8</v>
      </c>
    </row>
    <row r="149">
      <c r="A149">
        <v>111</v>
      </c>
      <c r="B149" t="str">
        <v>Lantai 2</v>
      </c>
      <c r="D149" t="str">
        <v>K36-1</v>
      </c>
      <c r="E149">
        <v>300</v>
      </c>
      <c r="F149">
        <v>600</v>
      </c>
      <c r="G149">
        <f>9000-4500</f>
        <v>4500</v>
      </c>
      <c r="H149">
        <v>14</v>
      </c>
      <c r="I149">
        <v>22</v>
      </c>
      <c r="L149">
        <v>10</v>
      </c>
      <c r="M149">
        <v>100</v>
      </c>
      <c r="N149">
        <v>100</v>
      </c>
      <c r="O149">
        <v>100</v>
      </c>
      <c r="P149">
        <v>1</v>
      </c>
      <c r="Q149">
        <v>10</v>
      </c>
    </row>
    <row r="150">
      <c r="A150">
        <v>202</v>
      </c>
      <c r="B150" t="str">
        <v>Lantai 2</v>
      </c>
      <c r="D150" t="str">
        <v>K175-2</v>
      </c>
      <c r="E150">
        <v>170</v>
      </c>
      <c r="F150">
        <v>500</v>
      </c>
      <c r="G150">
        <f>9000-4500</f>
        <v>4500</v>
      </c>
      <c r="H150">
        <v>8</v>
      </c>
      <c r="I150">
        <v>16</v>
      </c>
      <c r="L150">
        <v>8</v>
      </c>
      <c r="M150">
        <v>100</v>
      </c>
      <c r="N150">
        <v>100</v>
      </c>
      <c r="O150">
        <v>100</v>
      </c>
      <c r="P150">
        <v>0.5</v>
      </c>
      <c r="Q150">
        <v>8</v>
      </c>
    </row>
    <row r="151">
      <c r="A151">
        <v>203</v>
      </c>
      <c r="B151" t="str">
        <v>Lantai 2</v>
      </c>
      <c r="D151" t="str">
        <v>K175-3</v>
      </c>
      <c r="E151">
        <v>170</v>
      </c>
      <c r="F151">
        <v>500</v>
      </c>
      <c r="G151">
        <f>9000-4500</f>
        <v>4500</v>
      </c>
      <c r="H151">
        <v>4</v>
      </c>
      <c r="I151">
        <v>19</v>
      </c>
      <c r="J151">
        <v>4</v>
      </c>
      <c r="K151">
        <v>16</v>
      </c>
      <c r="L151">
        <v>8</v>
      </c>
      <c r="M151">
        <v>100</v>
      </c>
      <c r="N151">
        <v>100</v>
      </c>
      <c r="O151">
        <v>100</v>
      </c>
      <c r="P151">
        <v>0.5</v>
      </c>
      <c r="Q151">
        <v>8</v>
      </c>
    </row>
    <row r="152">
      <c r="A152">
        <v>204</v>
      </c>
      <c r="B152" t="str">
        <v>Lantai 2</v>
      </c>
      <c r="D152" t="str">
        <v>K177-1</v>
      </c>
      <c r="E152">
        <v>170</v>
      </c>
      <c r="F152">
        <v>700</v>
      </c>
      <c r="G152">
        <f>9000-4500</f>
        <v>4500</v>
      </c>
      <c r="H152">
        <v>10</v>
      </c>
      <c r="I152">
        <v>19</v>
      </c>
      <c r="L152">
        <v>8</v>
      </c>
      <c r="M152">
        <v>100</v>
      </c>
      <c r="N152">
        <v>100</v>
      </c>
      <c r="O152">
        <v>100</v>
      </c>
      <c r="P152">
        <v>0.5</v>
      </c>
      <c r="Q152">
        <v>8</v>
      </c>
    </row>
    <row r="153">
      <c r="A153">
        <v>205</v>
      </c>
      <c r="B153" t="str">
        <v>Lantai 2</v>
      </c>
      <c r="D153" t="str">
        <v>K177-2</v>
      </c>
      <c r="E153">
        <v>170</v>
      </c>
      <c r="F153">
        <v>700</v>
      </c>
      <c r="G153">
        <f>9000-4500</f>
        <v>4500</v>
      </c>
      <c r="H153">
        <v>12</v>
      </c>
      <c r="I153">
        <v>19</v>
      </c>
      <c r="L153">
        <v>8</v>
      </c>
      <c r="M153">
        <v>100</v>
      </c>
      <c r="N153">
        <v>100</v>
      </c>
      <c r="O153">
        <v>100</v>
      </c>
      <c r="P153">
        <f>2/2</f>
        <v>1</v>
      </c>
      <c r="Q153">
        <v>8</v>
      </c>
    </row>
    <row r="154">
      <c r="A154">
        <v>206</v>
      </c>
      <c r="B154" t="str">
        <v>Lantai 2</v>
      </c>
      <c r="D154" t="str">
        <v>KL175-2</v>
      </c>
      <c r="E154">
        <v>170</v>
      </c>
      <c r="F154">
        <v>500</v>
      </c>
      <c r="G154">
        <f>9000-4500</f>
        <v>4500</v>
      </c>
      <c r="H154">
        <v>4</v>
      </c>
      <c r="I154">
        <v>19</v>
      </c>
      <c r="J154">
        <v>2</v>
      </c>
      <c r="K154">
        <v>13</v>
      </c>
      <c r="L154">
        <v>8</v>
      </c>
      <c r="M154">
        <v>100</v>
      </c>
      <c r="N154">
        <v>100</v>
      </c>
      <c r="O154">
        <v>100</v>
      </c>
    </row>
    <row r="155">
      <c r="A155">
        <v>207</v>
      </c>
      <c r="B155" t="str">
        <v>Lantai 2</v>
      </c>
      <c r="D155" t="str">
        <v>KL175-1</v>
      </c>
      <c r="E155">
        <v>170</v>
      </c>
      <c r="F155">
        <v>500</v>
      </c>
      <c r="G155">
        <f>9000-4500</f>
        <v>4500</v>
      </c>
      <c r="H155">
        <v>6</v>
      </c>
      <c r="I155">
        <v>16</v>
      </c>
      <c r="L155">
        <v>8</v>
      </c>
      <c r="M155">
        <v>100</v>
      </c>
      <c r="N155">
        <v>100</v>
      </c>
      <c r="O155">
        <v>100</v>
      </c>
    </row>
    <row r="156">
      <c r="A156">
        <v>208</v>
      </c>
      <c r="B156" t="str">
        <v>Lantai 2</v>
      </c>
      <c r="D156" t="str">
        <v>K175-1</v>
      </c>
      <c r="E156">
        <v>170</v>
      </c>
      <c r="F156">
        <v>500</v>
      </c>
      <c r="G156">
        <f>9000-4500</f>
        <v>4500</v>
      </c>
      <c r="H156">
        <v>6</v>
      </c>
      <c r="I156">
        <v>16</v>
      </c>
      <c r="L156">
        <v>8</v>
      </c>
      <c r="M156">
        <v>100</v>
      </c>
      <c r="N156">
        <v>100</v>
      </c>
      <c r="O156">
        <v>100</v>
      </c>
      <c r="P156">
        <v>0.5</v>
      </c>
      <c r="Q156">
        <v>8</v>
      </c>
    </row>
    <row r="157">
      <c r="A157">
        <v>209</v>
      </c>
      <c r="B157" t="str">
        <v>Lantai 2</v>
      </c>
      <c r="D157" t="str">
        <v>K175-2</v>
      </c>
      <c r="E157">
        <v>170</v>
      </c>
      <c r="F157">
        <v>500</v>
      </c>
      <c r="G157">
        <f>9000-4500</f>
        <v>4500</v>
      </c>
      <c r="H157">
        <v>8</v>
      </c>
      <c r="I157">
        <v>16</v>
      </c>
      <c r="L157">
        <v>8</v>
      </c>
      <c r="M157">
        <v>100</v>
      </c>
      <c r="N157">
        <v>100</v>
      </c>
      <c r="O157">
        <v>100</v>
      </c>
      <c r="P157">
        <v>0.5</v>
      </c>
      <c r="Q157">
        <v>8</v>
      </c>
    </row>
    <row r="158">
      <c r="A158">
        <v>210</v>
      </c>
      <c r="B158" t="str">
        <v>Lantai 2</v>
      </c>
      <c r="D158" t="str">
        <v>K175-4</v>
      </c>
      <c r="E158">
        <v>170</v>
      </c>
      <c r="F158">
        <v>500</v>
      </c>
      <c r="G158">
        <f>9000-4500</f>
        <v>4500</v>
      </c>
      <c r="H158">
        <v>8</v>
      </c>
      <c r="I158">
        <v>19</v>
      </c>
      <c r="J158">
        <v>2</v>
      </c>
      <c r="K158">
        <v>8</v>
      </c>
      <c r="L158">
        <v>10</v>
      </c>
      <c r="M158">
        <v>100</v>
      </c>
      <c r="N158">
        <v>100</v>
      </c>
      <c r="O158">
        <v>100</v>
      </c>
      <c r="P158">
        <v>0.5</v>
      </c>
      <c r="Q158">
        <v>8</v>
      </c>
    </row>
    <row r="159">
      <c r="A159">
        <v>211</v>
      </c>
      <c r="B159" t="str">
        <v>Lantai 2</v>
      </c>
      <c r="D159" t="str">
        <v>K175-2</v>
      </c>
      <c r="E159">
        <v>170</v>
      </c>
      <c r="F159">
        <v>500</v>
      </c>
      <c r="G159">
        <f>9000-4500</f>
        <v>4500</v>
      </c>
      <c r="H159">
        <v>8</v>
      </c>
      <c r="I159">
        <v>16</v>
      </c>
      <c r="L159">
        <v>8</v>
      </c>
      <c r="M159">
        <v>100</v>
      </c>
      <c r="N159">
        <v>100</v>
      </c>
      <c r="O159">
        <v>100</v>
      </c>
      <c r="P159">
        <v>0.5</v>
      </c>
      <c r="Q159">
        <v>8</v>
      </c>
    </row>
    <row r="160">
      <c r="A160">
        <v>47</v>
      </c>
      <c r="B160" t="str">
        <v>Lantai 2</v>
      </c>
      <c r="D160" t="str">
        <v>SW.1</v>
      </c>
      <c r="E160">
        <v>170</v>
      </c>
      <c r="F160">
        <v>2170</v>
      </c>
      <c r="G160">
        <f>9000-4500</f>
        <v>4500</v>
      </c>
      <c r="H160">
        <v>26</v>
      </c>
      <c r="I160">
        <v>13</v>
      </c>
      <c r="L160">
        <v>10</v>
      </c>
      <c r="M160">
        <v>150</v>
      </c>
      <c r="N160">
        <v>150</v>
      </c>
      <c r="O160">
        <v>150</v>
      </c>
      <c r="P160">
        <v>4</v>
      </c>
      <c r="Q160">
        <v>10</v>
      </c>
      <c r="V160" t="str">
        <v>belakang</v>
      </c>
    </row>
    <row r="161">
      <c r="A161">
        <v>47</v>
      </c>
      <c r="B161" t="str">
        <v>Lantai 2</v>
      </c>
      <c r="D161" t="str">
        <v>SW.1</v>
      </c>
      <c r="E161">
        <v>170</v>
      </c>
      <c r="F161">
        <v>2170</v>
      </c>
      <c r="G161">
        <f>9000-4500</f>
        <v>4500</v>
      </c>
      <c r="H161">
        <v>18</v>
      </c>
      <c r="I161">
        <v>13</v>
      </c>
      <c r="L161">
        <v>10</v>
      </c>
      <c r="M161">
        <v>150</v>
      </c>
      <c r="N161">
        <v>150</v>
      </c>
      <c r="O161">
        <v>150</v>
      </c>
      <c r="P161">
        <v>4</v>
      </c>
      <c r="Q161">
        <v>10</v>
      </c>
      <c r="V161" t="str">
        <v>samping kiri - kanan</v>
      </c>
    </row>
    <row r="162">
      <c r="A162">
        <v>47</v>
      </c>
      <c r="B162" t="str">
        <v>Lantai 2</v>
      </c>
      <c r="D162" t="str">
        <v>SW.1</v>
      </c>
      <c r="E162">
        <v>170</v>
      </c>
      <c r="F162">
        <v>400</v>
      </c>
      <c r="G162">
        <f>9000-4500</f>
        <v>4500</v>
      </c>
      <c r="H162">
        <v>8</v>
      </c>
      <c r="I162">
        <v>13</v>
      </c>
      <c r="L162">
        <v>10</v>
      </c>
      <c r="M162">
        <v>150</v>
      </c>
      <c r="N162">
        <v>150</v>
      </c>
      <c r="O162">
        <v>150</v>
      </c>
      <c r="P162">
        <v>4</v>
      </c>
      <c r="Q162">
        <v>10</v>
      </c>
      <c r="V162" t="str">
        <v>kolom depan kiri - kanan</v>
      </c>
    </row>
    <row r="163">
      <c r="A163">
        <v>47</v>
      </c>
      <c r="B163" t="str">
        <v>Lantai 2</v>
      </c>
      <c r="D163" t="str">
        <v>SW.1</v>
      </c>
      <c r="E163">
        <v>170</v>
      </c>
      <c r="F163">
        <v>1370</v>
      </c>
      <c r="G163">
        <f>9000-4500</f>
        <v>4500</v>
      </c>
      <c r="H163">
        <v>14</v>
      </c>
      <c r="I163">
        <v>13</v>
      </c>
      <c r="L163">
        <v>10</v>
      </c>
      <c r="M163">
        <v>150</v>
      </c>
      <c r="N163">
        <v>150</v>
      </c>
      <c r="O163">
        <v>150</v>
      </c>
      <c r="P163">
        <v>4</v>
      </c>
      <c r="Q163">
        <v>10</v>
      </c>
      <c r="V163" t="str">
        <v>atas opening pintu</v>
      </c>
    </row>
    <row r="165">
      <c r="A165">
        <v>11</v>
      </c>
      <c r="B165" t="str">
        <v>Lantai Attic</v>
      </c>
      <c r="D165" t="str">
        <v>K175-1</v>
      </c>
      <c r="E165">
        <v>170</v>
      </c>
      <c r="F165">
        <v>500</v>
      </c>
      <c r="G165">
        <f>12500-9000</f>
        <v>3500</v>
      </c>
      <c r="H165">
        <v>6</v>
      </c>
      <c r="I165">
        <v>16</v>
      </c>
      <c r="L165">
        <v>8</v>
      </c>
      <c r="M165">
        <v>100</v>
      </c>
      <c r="N165">
        <v>100</v>
      </c>
      <c r="O165">
        <v>100</v>
      </c>
      <c r="P165">
        <v>0.5</v>
      </c>
      <c r="Q165">
        <v>8</v>
      </c>
    </row>
    <row r="166">
      <c r="A166">
        <v>12</v>
      </c>
      <c r="B166" t="str">
        <v>Lantai Attic</v>
      </c>
      <c r="D166" t="str">
        <v>K178-2</v>
      </c>
      <c r="E166">
        <v>170</v>
      </c>
      <c r="F166">
        <v>800</v>
      </c>
      <c r="G166">
        <f>12500-9000</f>
        <v>3500</v>
      </c>
      <c r="H166">
        <v>14</v>
      </c>
      <c r="I166">
        <v>19</v>
      </c>
      <c r="L166">
        <v>8</v>
      </c>
      <c r="M166">
        <v>100</v>
      </c>
      <c r="N166">
        <v>100</v>
      </c>
      <c r="O166">
        <v>100</v>
      </c>
      <c r="P166">
        <f>2/2</f>
        <v>1</v>
      </c>
      <c r="Q166">
        <v>8</v>
      </c>
    </row>
    <row r="167">
      <c r="A167">
        <v>13</v>
      </c>
      <c r="B167" t="str">
        <v>Lantai Attic</v>
      </c>
      <c r="D167" t="str">
        <v>K175-2</v>
      </c>
      <c r="E167">
        <v>170</v>
      </c>
      <c r="F167">
        <v>500</v>
      </c>
      <c r="G167">
        <f>12500-9000</f>
        <v>3500</v>
      </c>
      <c r="H167">
        <v>8</v>
      </c>
      <c r="I167">
        <v>16</v>
      </c>
      <c r="L167">
        <v>8</v>
      </c>
      <c r="M167">
        <v>100</v>
      </c>
      <c r="N167">
        <v>100</v>
      </c>
      <c r="O167">
        <v>100</v>
      </c>
      <c r="P167">
        <v>0.5</v>
      </c>
      <c r="Q167">
        <v>8</v>
      </c>
    </row>
    <row r="168">
      <c r="A168">
        <v>14</v>
      </c>
      <c r="B168" t="str">
        <v>Lantai Attic</v>
      </c>
      <c r="D168" t="str">
        <v>K177-1</v>
      </c>
      <c r="E168">
        <v>170</v>
      </c>
      <c r="F168">
        <v>700</v>
      </c>
      <c r="G168">
        <f>12500-9000</f>
        <v>3500</v>
      </c>
      <c r="H168">
        <v>10</v>
      </c>
      <c r="I168">
        <v>19</v>
      </c>
      <c r="L168">
        <v>8</v>
      </c>
      <c r="M168">
        <v>100</v>
      </c>
      <c r="N168">
        <v>100</v>
      </c>
      <c r="O168">
        <v>100</v>
      </c>
      <c r="P168">
        <v>0.5</v>
      </c>
      <c r="Q168">
        <v>8</v>
      </c>
    </row>
    <row r="169">
      <c r="A169" t="str">
        <v>14A</v>
      </c>
      <c r="B169" t="str">
        <v>Lantai Attic</v>
      </c>
      <c r="D169" t="str">
        <v>K174-1</v>
      </c>
      <c r="E169">
        <v>170</v>
      </c>
      <c r="F169">
        <v>400</v>
      </c>
      <c r="G169">
        <f>12500-9000</f>
        <v>3500</v>
      </c>
      <c r="H169">
        <v>8</v>
      </c>
      <c r="I169">
        <v>13</v>
      </c>
      <c r="L169">
        <v>8</v>
      </c>
      <c r="M169">
        <v>100</v>
      </c>
      <c r="N169">
        <v>100</v>
      </c>
      <c r="O169">
        <v>100</v>
      </c>
    </row>
    <row r="170">
      <c r="A170">
        <v>15</v>
      </c>
      <c r="B170" t="str">
        <v>Lantai Attic</v>
      </c>
      <c r="D170" t="str">
        <v>K178-1</v>
      </c>
      <c r="E170">
        <v>170</v>
      </c>
      <c r="F170">
        <v>800</v>
      </c>
      <c r="G170">
        <f>12500-9000</f>
        <v>3500</v>
      </c>
      <c r="H170">
        <v>8</v>
      </c>
      <c r="I170">
        <v>16</v>
      </c>
      <c r="L170">
        <v>8</v>
      </c>
      <c r="M170">
        <v>100</v>
      </c>
      <c r="N170">
        <v>100</v>
      </c>
      <c r="O170">
        <v>100</v>
      </c>
      <c r="P170">
        <f>2/2</f>
        <v>1</v>
      </c>
      <c r="Q170">
        <v>8</v>
      </c>
    </row>
    <row r="171">
      <c r="A171">
        <v>16</v>
      </c>
      <c r="B171" t="str">
        <v>Lantai Attic</v>
      </c>
      <c r="D171" t="str">
        <v>K175-2</v>
      </c>
      <c r="E171">
        <v>170</v>
      </c>
      <c r="F171">
        <v>500</v>
      </c>
      <c r="G171">
        <f>12500-9000</f>
        <v>3500</v>
      </c>
      <c r="H171">
        <v>8</v>
      </c>
      <c r="I171">
        <v>16</v>
      </c>
      <c r="L171">
        <v>8</v>
      </c>
      <c r="M171">
        <v>100</v>
      </c>
      <c r="N171">
        <v>100</v>
      </c>
      <c r="O171">
        <v>100</v>
      </c>
      <c r="P171">
        <v>0.5</v>
      </c>
      <c r="Q171">
        <v>8</v>
      </c>
    </row>
    <row r="172">
      <c r="A172">
        <v>18</v>
      </c>
      <c r="B172" t="str">
        <v>Lantai Attic</v>
      </c>
      <c r="D172" t="str">
        <v>K175-4</v>
      </c>
      <c r="E172">
        <v>170</v>
      </c>
      <c r="F172">
        <v>500</v>
      </c>
      <c r="G172">
        <f>12500-9000</f>
        <v>3500</v>
      </c>
      <c r="H172">
        <v>8</v>
      </c>
      <c r="I172">
        <v>19</v>
      </c>
      <c r="J172">
        <v>2</v>
      </c>
      <c r="K172">
        <v>8</v>
      </c>
      <c r="L172">
        <v>10</v>
      </c>
      <c r="M172">
        <v>100</v>
      </c>
      <c r="N172">
        <v>100</v>
      </c>
      <c r="O172">
        <v>100</v>
      </c>
      <c r="P172">
        <v>0.5</v>
      </c>
      <c r="Q172">
        <v>8</v>
      </c>
    </row>
    <row r="173">
      <c r="A173">
        <v>19</v>
      </c>
      <c r="B173" t="str">
        <v>Lantai Attic</v>
      </c>
      <c r="D173" t="str">
        <v>K178-1</v>
      </c>
      <c r="E173">
        <v>170</v>
      </c>
      <c r="F173">
        <v>800</v>
      </c>
      <c r="G173">
        <f>12500-9000</f>
        <v>3500</v>
      </c>
      <c r="H173">
        <v>8</v>
      </c>
      <c r="I173">
        <v>16</v>
      </c>
      <c r="L173">
        <v>8</v>
      </c>
      <c r="M173">
        <v>100</v>
      </c>
      <c r="N173">
        <v>100</v>
      </c>
      <c r="O173">
        <v>100</v>
      </c>
      <c r="P173">
        <f>2/2</f>
        <v>1</v>
      </c>
      <c r="Q173">
        <v>8</v>
      </c>
    </row>
    <row r="174">
      <c r="A174">
        <v>20</v>
      </c>
      <c r="B174" t="str">
        <v>Lantai Attic</v>
      </c>
      <c r="D174" t="str">
        <v>K174-1</v>
      </c>
      <c r="E174">
        <v>170</v>
      </c>
      <c r="F174">
        <v>400</v>
      </c>
      <c r="G174">
        <f>12500-9000</f>
        <v>3500</v>
      </c>
      <c r="H174">
        <v>8</v>
      </c>
      <c r="I174">
        <v>13</v>
      </c>
      <c r="L174">
        <v>8</v>
      </c>
      <c r="M174">
        <v>100</v>
      </c>
      <c r="N174">
        <v>100</v>
      </c>
      <c r="O174">
        <v>100</v>
      </c>
    </row>
    <row r="175">
      <c r="A175">
        <v>21</v>
      </c>
      <c r="B175" t="str">
        <v>Lantai Attic</v>
      </c>
      <c r="D175" t="str">
        <v>K178-1</v>
      </c>
      <c r="E175">
        <v>170</v>
      </c>
      <c r="F175">
        <v>800</v>
      </c>
      <c r="G175">
        <f>12500-9000</f>
        <v>3500</v>
      </c>
      <c r="H175">
        <v>8</v>
      </c>
      <c r="I175">
        <v>16</v>
      </c>
      <c r="L175">
        <v>8</v>
      </c>
      <c r="M175">
        <v>100</v>
      </c>
      <c r="N175">
        <v>100</v>
      </c>
      <c r="O175">
        <v>100</v>
      </c>
      <c r="P175">
        <f>2/2</f>
        <v>1</v>
      </c>
      <c r="Q175">
        <v>8</v>
      </c>
    </row>
    <row r="176">
      <c r="A176">
        <v>22</v>
      </c>
      <c r="B176" t="str">
        <v>Lantai Attic</v>
      </c>
      <c r="D176" t="str">
        <v>K175-1</v>
      </c>
      <c r="E176">
        <v>170</v>
      </c>
      <c r="F176">
        <v>500</v>
      </c>
      <c r="G176">
        <f>12500-9000</f>
        <v>3500</v>
      </c>
      <c r="H176">
        <v>6</v>
      </c>
      <c r="I176">
        <v>16</v>
      </c>
      <c r="L176">
        <v>8</v>
      </c>
      <c r="M176">
        <v>100</v>
      </c>
      <c r="N176">
        <v>100</v>
      </c>
      <c r="O176">
        <v>100</v>
      </c>
      <c r="P176">
        <v>0.5</v>
      </c>
      <c r="Q176">
        <v>8</v>
      </c>
    </row>
    <row r="177">
      <c r="A177">
        <v>101</v>
      </c>
      <c r="B177" t="str">
        <v>Lantai Attic</v>
      </c>
      <c r="D177" t="str">
        <v>K176-1</v>
      </c>
      <c r="E177">
        <v>170</v>
      </c>
      <c r="F177">
        <v>600</v>
      </c>
      <c r="G177">
        <f>12500-9000</f>
        <v>3500</v>
      </c>
      <c r="H177">
        <v>10</v>
      </c>
      <c r="I177">
        <v>16</v>
      </c>
      <c r="L177">
        <v>8</v>
      </c>
      <c r="M177">
        <v>100</v>
      </c>
      <c r="N177">
        <v>100</v>
      </c>
      <c r="O177">
        <v>100</v>
      </c>
      <c r="P177">
        <v>0.5</v>
      </c>
      <c r="Q177">
        <v>8</v>
      </c>
    </row>
    <row r="178">
      <c r="A178">
        <v>301</v>
      </c>
      <c r="B178" t="str">
        <v>Lantai Attic</v>
      </c>
      <c r="D178" t="str">
        <v>K175-3</v>
      </c>
      <c r="E178">
        <v>170</v>
      </c>
      <c r="F178">
        <v>500</v>
      </c>
      <c r="G178">
        <f>12500-9000</f>
        <v>3500</v>
      </c>
      <c r="H178">
        <v>4</v>
      </c>
      <c r="I178">
        <v>19</v>
      </c>
      <c r="J178">
        <v>4</v>
      </c>
      <c r="K178">
        <v>16</v>
      </c>
      <c r="L178">
        <v>8</v>
      </c>
      <c r="M178">
        <v>100</v>
      </c>
      <c r="N178">
        <v>100</v>
      </c>
      <c r="O178">
        <v>100</v>
      </c>
      <c r="P178">
        <v>0.5</v>
      </c>
      <c r="Q178">
        <v>8</v>
      </c>
    </row>
    <row r="179">
      <c r="A179">
        <v>104</v>
      </c>
      <c r="B179" t="str">
        <v>Lantai Attic</v>
      </c>
      <c r="D179" t="str">
        <v>K178-1</v>
      </c>
      <c r="E179">
        <v>170</v>
      </c>
      <c r="F179">
        <v>800</v>
      </c>
      <c r="G179">
        <f>12500-9000</f>
        <v>3500</v>
      </c>
      <c r="H179">
        <v>8</v>
      </c>
      <c r="I179">
        <v>16</v>
      </c>
      <c r="L179">
        <v>8</v>
      </c>
      <c r="M179">
        <v>100</v>
      </c>
      <c r="N179">
        <v>100</v>
      </c>
      <c r="O179">
        <v>100</v>
      </c>
      <c r="P179">
        <f>2/2</f>
        <v>1</v>
      </c>
      <c r="Q179">
        <v>8</v>
      </c>
    </row>
    <row r="180">
      <c r="A180">
        <v>302</v>
      </c>
      <c r="B180" t="str">
        <v>Lantai Attic</v>
      </c>
      <c r="D180" t="str">
        <v>K175-4</v>
      </c>
      <c r="E180">
        <v>170</v>
      </c>
      <c r="F180">
        <v>500</v>
      </c>
      <c r="G180">
        <f>12500-9000</f>
        <v>3500</v>
      </c>
      <c r="H180">
        <v>8</v>
      </c>
      <c r="I180">
        <v>19</v>
      </c>
      <c r="J180">
        <v>2</v>
      </c>
      <c r="K180">
        <v>8</v>
      </c>
      <c r="L180">
        <v>10</v>
      </c>
      <c r="M180">
        <v>100</v>
      </c>
      <c r="N180">
        <v>100</v>
      </c>
      <c r="O180">
        <v>100</v>
      </c>
      <c r="P180">
        <v>0.5</v>
      </c>
      <c r="Q180">
        <v>8</v>
      </c>
    </row>
    <row r="181">
      <c r="A181">
        <v>303</v>
      </c>
      <c r="B181" t="str">
        <v>Lantai Attic</v>
      </c>
      <c r="D181" t="str">
        <v>K175-3</v>
      </c>
      <c r="E181">
        <v>170</v>
      </c>
      <c r="F181">
        <v>500</v>
      </c>
      <c r="G181">
        <f>12500-9000</f>
        <v>3500</v>
      </c>
      <c r="H181">
        <v>4</v>
      </c>
      <c r="I181">
        <v>19</v>
      </c>
      <c r="J181">
        <v>4</v>
      </c>
      <c r="K181">
        <v>16</v>
      </c>
      <c r="L181">
        <v>8</v>
      </c>
      <c r="M181">
        <v>100</v>
      </c>
      <c r="N181">
        <v>100</v>
      </c>
      <c r="O181">
        <v>100</v>
      </c>
      <c r="P181">
        <v>0.5</v>
      </c>
      <c r="Q181">
        <v>8</v>
      </c>
    </row>
    <row r="182">
      <c r="A182">
        <v>304</v>
      </c>
      <c r="B182" t="str">
        <v>Lantai Attic</v>
      </c>
      <c r="D182" t="str">
        <v>K175-2</v>
      </c>
      <c r="E182">
        <v>170</v>
      </c>
      <c r="F182">
        <v>500</v>
      </c>
      <c r="G182">
        <f>12500-9000</f>
        <v>3500</v>
      </c>
      <c r="H182">
        <v>8</v>
      </c>
      <c r="I182">
        <v>16</v>
      </c>
      <c r="L182">
        <v>8</v>
      </c>
      <c r="M182">
        <v>100</v>
      </c>
      <c r="N182">
        <v>100</v>
      </c>
      <c r="O182">
        <v>100</v>
      </c>
      <c r="P182">
        <v>0.5</v>
      </c>
      <c r="Q182">
        <v>8</v>
      </c>
    </row>
    <row r="183">
      <c r="A183">
        <v>34</v>
      </c>
      <c r="B183" t="str">
        <v>Lantai Attic</v>
      </c>
      <c r="D183" t="str">
        <v>K176-1</v>
      </c>
      <c r="E183">
        <v>170</v>
      </c>
      <c r="F183">
        <v>600</v>
      </c>
      <c r="G183">
        <f>12500-9000</f>
        <v>3500</v>
      </c>
      <c r="H183">
        <v>10</v>
      </c>
      <c r="I183">
        <v>16</v>
      </c>
      <c r="L183">
        <v>8</v>
      </c>
      <c r="M183">
        <v>100</v>
      </c>
      <c r="N183">
        <v>100</v>
      </c>
      <c r="O183">
        <v>100</v>
      </c>
      <c r="P183">
        <v>0.5</v>
      </c>
      <c r="Q183">
        <v>8</v>
      </c>
    </row>
    <row r="184">
      <c r="A184">
        <v>305</v>
      </c>
      <c r="B184" t="str">
        <v>Lantai Attic</v>
      </c>
      <c r="D184" t="str">
        <v>K175-2</v>
      </c>
      <c r="E184">
        <v>170</v>
      </c>
      <c r="F184">
        <v>500</v>
      </c>
      <c r="G184">
        <f>12500-9000</f>
        <v>3500</v>
      </c>
      <c r="H184">
        <v>8</v>
      </c>
      <c r="I184">
        <v>16</v>
      </c>
      <c r="L184">
        <v>8</v>
      </c>
      <c r="M184">
        <v>100</v>
      </c>
      <c r="N184">
        <v>100</v>
      </c>
      <c r="O184">
        <v>100</v>
      </c>
      <c r="P184">
        <v>0.5</v>
      </c>
      <c r="Q184">
        <v>8</v>
      </c>
    </row>
    <row r="185">
      <c r="A185">
        <v>306</v>
      </c>
      <c r="B185" t="str">
        <v>Lantai Attic</v>
      </c>
      <c r="D185" t="str">
        <v>K175-3</v>
      </c>
      <c r="E185">
        <v>170</v>
      </c>
      <c r="F185">
        <v>500</v>
      </c>
      <c r="G185">
        <f>12500-9000</f>
        <v>3500</v>
      </c>
      <c r="H185">
        <v>4</v>
      </c>
      <c r="I185">
        <v>19</v>
      </c>
      <c r="J185">
        <v>4</v>
      </c>
      <c r="K185">
        <v>16</v>
      </c>
      <c r="L185">
        <v>8</v>
      </c>
      <c r="M185">
        <v>100</v>
      </c>
      <c r="N185">
        <v>100</v>
      </c>
      <c r="O185">
        <v>100</v>
      </c>
      <c r="P185">
        <v>0.5</v>
      </c>
      <c r="Q185">
        <v>8</v>
      </c>
    </row>
    <row r="186">
      <c r="A186">
        <v>307</v>
      </c>
      <c r="B186" t="str">
        <v>Lantai Attic</v>
      </c>
      <c r="D186" t="str">
        <v>K175-3</v>
      </c>
      <c r="E186">
        <v>170</v>
      </c>
      <c r="F186">
        <v>500</v>
      </c>
      <c r="G186">
        <f>12500-9000</f>
        <v>3500</v>
      </c>
      <c r="H186">
        <v>4</v>
      </c>
      <c r="I186">
        <v>19</v>
      </c>
      <c r="J186">
        <v>4</v>
      </c>
      <c r="K186">
        <v>16</v>
      </c>
      <c r="L186">
        <v>8</v>
      </c>
      <c r="M186">
        <v>100</v>
      </c>
      <c r="N186">
        <v>100</v>
      </c>
      <c r="O186">
        <v>100</v>
      </c>
      <c r="P186">
        <v>0.5</v>
      </c>
      <c r="Q186">
        <v>8</v>
      </c>
    </row>
    <row r="187">
      <c r="A187">
        <v>203</v>
      </c>
      <c r="B187" t="str">
        <v>Lantai Attic</v>
      </c>
      <c r="D187" t="str">
        <v>K175-3</v>
      </c>
      <c r="E187">
        <v>170</v>
      </c>
      <c r="F187">
        <v>500</v>
      </c>
      <c r="G187">
        <f>12500-9000</f>
        <v>3500</v>
      </c>
      <c r="H187">
        <v>4</v>
      </c>
      <c r="I187">
        <v>19</v>
      </c>
      <c r="J187">
        <v>4</v>
      </c>
      <c r="K187">
        <v>16</v>
      </c>
      <c r="L187">
        <v>8</v>
      </c>
      <c r="M187">
        <v>100</v>
      </c>
      <c r="N187">
        <v>100</v>
      </c>
      <c r="O187">
        <v>100</v>
      </c>
      <c r="P187">
        <v>0.5</v>
      </c>
      <c r="Q187">
        <v>8</v>
      </c>
    </row>
    <row r="188">
      <c r="A188">
        <v>308</v>
      </c>
      <c r="B188" t="str">
        <v>Lantai Attic</v>
      </c>
      <c r="D188" t="str">
        <v>K177-1</v>
      </c>
      <c r="E188">
        <v>170</v>
      </c>
      <c r="F188">
        <v>700</v>
      </c>
      <c r="G188">
        <f>12500-9000</f>
        <v>3500</v>
      </c>
      <c r="H188">
        <v>10</v>
      </c>
      <c r="I188">
        <v>19</v>
      </c>
      <c r="L188">
        <v>8</v>
      </c>
      <c r="M188">
        <v>100</v>
      </c>
      <c r="N188">
        <v>100</v>
      </c>
      <c r="O188">
        <v>100</v>
      </c>
      <c r="P188">
        <v>0.5</v>
      </c>
      <c r="Q188">
        <v>8</v>
      </c>
    </row>
    <row r="189">
      <c r="A189">
        <v>309</v>
      </c>
      <c r="B189" t="str">
        <v>Lantai Attic</v>
      </c>
      <c r="D189" t="str">
        <v>K175-3</v>
      </c>
      <c r="E189">
        <v>170</v>
      </c>
      <c r="F189">
        <v>500</v>
      </c>
      <c r="G189">
        <f>12500-9000</f>
        <v>3500</v>
      </c>
      <c r="H189">
        <v>4</v>
      </c>
      <c r="I189">
        <v>19</v>
      </c>
      <c r="J189">
        <v>4</v>
      </c>
      <c r="K189">
        <v>16</v>
      </c>
      <c r="L189">
        <v>8</v>
      </c>
      <c r="M189">
        <v>100</v>
      </c>
      <c r="N189">
        <v>100</v>
      </c>
      <c r="O189">
        <v>100</v>
      </c>
      <c r="P189">
        <v>0.5</v>
      </c>
      <c r="Q189">
        <v>8</v>
      </c>
    </row>
    <row r="190">
      <c r="A190">
        <v>310</v>
      </c>
      <c r="B190" t="str">
        <v>Lantai Attic</v>
      </c>
      <c r="D190" t="str">
        <v>K175-2</v>
      </c>
      <c r="E190">
        <v>170</v>
      </c>
      <c r="F190">
        <v>500</v>
      </c>
      <c r="G190">
        <f>12500-9000</f>
        <v>3500</v>
      </c>
      <c r="H190">
        <v>8</v>
      </c>
      <c r="I190">
        <v>16</v>
      </c>
      <c r="L190">
        <v>8</v>
      </c>
      <c r="M190">
        <v>100</v>
      </c>
      <c r="N190">
        <v>100</v>
      </c>
      <c r="O190">
        <v>100</v>
      </c>
      <c r="P190">
        <v>0.5</v>
      </c>
      <c r="Q190">
        <v>8</v>
      </c>
    </row>
    <row r="191">
      <c r="A191">
        <v>311</v>
      </c>
      <c r="B191" t="str">
        <v>Lantai Attic</v>
      </c>
      <c r="D191" t="str">
        <v>KL175-2</v>
      </c>
      <c r="E191">
        <v>170</v>
      </c>
      <c r="F191">
        <v>500</v>
      </c>
      <c r="G191">
        <f>12500-9000</f>
        <v>3500</v>
      </c>
      <c r="H191">
        <v>4</v>
      </c>
      <c r="I191">
        <v>19</v>
      </c>
      <c r="J191">
        <v>2</v>
      </c>
      <c r="K191">
        <v>13</v>
      </c>
      <c r="L191">
        <v>8</v>
      </c>
      <c r="M191">
        <v>100</v>
      </c>
      <c r="N191">
        <v>100</v>
      </c>
      <c r="O191">
        <v>100</v>
      </c>
      <c r="P191">
        <v>0.5</v>
      </c>
      <c r="Q191">
        <v>8</v>
      </c>
    </row>
    <row r="192">
      <c r="A192">
        <v>312</v>
      </c>
      <c r="B192" t="str">
        <v>Lantai Attic</v>
      </c>
      <c r="D192" t="str">
        <v>K174-2</v>
      </c>
      <c r="E192">
        <v>170</v>
      </c>
      <c r="F192">
        <v>400</v>
      </c>
      <c r="G192">
        <f>12500-9000</f>
        <v>3500</v>
      </c>
      <c r="H192">
        <v>8</v>
      </c>
      <c r="I192">
        <v>16</v>
      </c>
      <c r="L192">
        <v>8</v>
      </c>
      <c r="M192">
        <v>100</v>
      </c>
      <c r="N192">
        <v>100</v>
      </c>
      <c r="O192">
        <v>100</v>
      </c>
    </row>
    <row r="193">
      <c r="A193">
        <v>313</v>
      </c>
      <c r="B193" t="str">
        <v>Lantai Attic</v>
      </c>
      <c r="D193" t="str">
        <v>K174-1</v>
      </c>
      <c r="E193">
        <v>170</v>
      </c>
      <c r="F193">
        <v>400</v>
      </c>
      <c r="G193">
        <f>12500-9000</f>
        <v>3500</v>
      </c>
      <c r="H193">
        <v>8</v>
      </c>
      <c r="I193">
        <v>13</v>
      </c>
      <c r="L193">
        <v>8</v>
      </c>
      <c r="M193">
        <v>100</v>
      </c>
      <c r="N193">
        <v>100</v>
      </c>
      <c r="O193">
        <v>100</v>
      </c>
    </row>
    <row r="194">
      <c r="A194">
        <v>314</v>
      </c>
      <c r="B194" t="str">
        <v>Lantai Attic</v>
      </c>
      <c r="D194" t="str">
        <v>K176-4</v>
      </c>
      <c r="E194">
        <v>170</v>
      </c>
      <c r="F194">
        <v>600</v>
      </c>
      <c r="G194">
        <f>12500-9000</f>
        <v>3500</v>
      </c>
      <c r="H194">
        <v>8</v>
      </c>
      <c r="I194">
        <v>19</v>
      </c>
      <c r="J194">
        <v>4</v>
      </c>
      <c r="K194">
        <v>16</v>
      </c>
      <c r="L194">
        <v>8</v>
      </c>
      <c r="M194">
        <v>100</v>
      </c>
      <c r="N194">
        <v>100</v>
      </c>
      <c r="O194">
        <v>100</v>
      </c>
      <c r="P194">
        <v>0.5</v>
      </c>
      <c r="Q194">
        <v>8</v>
      </c>
    </row>
    <row r="195">
      <c r="A195">
        <v>315</v>
      </c>
      <c r="B195" t="str">
        <v>Lantai Attic</v>
      </c>
      <c r="D195" t="str">
        <v>K175-4</v>
      </c>
      <c r="E195">
        <v>170</v>
      </c>
      <c r="F195">
        <v>500</v>
      </c>
      <c r="G195">
        <f>12500-9000</f>
        <v>3500</v>
      </c>
      <c r="H195">
        <v>8</v>
      </c>
      <c r="I195">
        <v>19</v>
      </c>
      <c r="J195">
        <v>2</v>
      </c>
      <c r="K195">
        <v>8</v>
      </c>
      <c r="L195">
        <v>10</v>
      </c>
      <c r="M195">
        <v>100</v>
      </c>
      <c r="N195">
        <v>100</v>
      </c>
      <c r="O195">
        <v>100</v>
      </c>
      <c r="P195">
        <v>0.5</v>
      </c>
      <c r="Q195">
        <v>8</v>
      </c>
    </row>
    <row r="196">
      <c r="A196">
        <v>316</v>
      </c>
      <c r="B196" t="str">
        <v>Lantai Attic</v>
      </c>
      <c r="D196" t="str">
        <v>K175-3</v>
      </c>
      <c r="E196">
        <v>170</v>
      </c>
      <c r="F196">
        <v>500</v>
      </c>
      <c r="G196">
        <f>12500-9000</f>
        <v>3500</v>
      </c>
      <c r="H196">
        <v>4</v>
      </c>
      <c r="I196">
        <v>19</v>
      </c>
      <c r="J196">
        <v>4</v>
      </c>
      <c r="K196">
        <v>16</v>
      </c>
      <c r="L196">
        <v>8</v>
      </c>
      <c r="M196">
        <v>100</v>
      </c>
      <c r="N196">
        <v>100</v>
      </c>
      <c r="O196">
        <v>100</v>
      </c>
      <c r="P196">
        <v>0.5</v>
      </c>
      <c r="Q196">
        <v>8</v>
      </c>
    </row>
    <row r="197">
      <c r="A197">
        <v>317</v>
      </c>
      <c r="B197" t="str">
        <v>Lantai Attic</v>
      </c>
      <c r="D197" t="str">
        <v>K174-2</v>
      </c>
      <c r="E197">
        <v>170</v>
      </c>
      <c r="F197">
        <v>400</v>
      </c>
      <c r="G197">
        <f>12500-9000</f>
        <v>3500</v>
      </c>
      <c r="H197">
        <v>8</v>
      </c>
      <c r="I197">
        <v>16</v>
      </c>
      <c r="L197">
        <v>8</v>
      </c>
      <c r="M197">
        <v>100</v>
      </c>
      <c r="N197">
        <v>100</v>
      </c>
      <c r="O197">
        <v>100</v>
      </c>
    </row>
    <row r="198">
      <c r="A198">
        <v>318</v>
      </c>
      <c r="B198" t="str">
        <v>Lantai Attic</v>
      </c>
      <c r="D198" t="str">
        <v>K13-1</v>
      </c>
      <c r="E198">
        <v>130</v>
      </c>
      <c r="F198">
        <v>300</v>
      </c>
      <c r="G198">
        <f>12500-9000</f>
        <v>3500</v>
      </c>
      <c r="H198">
        <v>6</v>
      </c>
      <c r="I198">
        <v>10</v>
      </c>
      <c r="L198">
        <v>8</v>
      </c>
      <c r="M198">
        <v>100</v>
      </c>
      <c r="N198">
        <v>100</v>
      </c>
      <c r="O198">
        <v>100</v>
      </c>
    </row>
    <row r="199">
      <c r="A199">
        <v>319</v>
      </c>
      <c r="B199" t="str">
        <v>Lantai Attic</v>
      </c>
      <c r="D199" t="str">
        <v>K13-1</v>
      </c>
      <c r="E199">
        <v>130</v>
      </c>
      <c r="F199">
        <v>300</v>
      </c>
      <c r="G199">
        <f>12500-9000</f>
        <v>3500</v>
      </c>
      <c r="H199">
        <v>6</v>
      </c>
      <c r="I199">
        <v>10</v>
      </c>
      <c r="L199">
        <v>8</v>
      </c>
      <c r="M199">
        <v>100</v>
      </c>
      <c r="N199">
        <v>100</v>
      </c>
      <c r="O199">
        <v>100</v>
      </c>
    </row>
    <row r="200">
      <c r="A200">
        <v>320</v>
      </c>
      <c r="B200" t="str">
        <v>Lantai Attic</v>
      </c>
      <c r="D200" t="str">
        <v>K13-1</v>
      </c>
      <c r="E200">
        <v>130</v>
      </c>
      <c r="F200">
        <v>300</v>
      </c>
      <c r="G200">
        <f>12500-9000</f>
        <v>3500</v>
      </c>
      <c r="H200">
        <v>6</v>
      </c>
      <c r="I200">
        <v>10</v>
      </c>
      <c r="L200">
        <v>8</v>
      </c>
      <c r="M200">
        <v>100</v>
      </c>
      <c r="N200">
        <v>100</v>
      </c>
      <c r="O200">
        <v>100</v>
      </c>
    </row>
    <row r="201">
      <c r="A201">
        <v>321</v>
      </c>
      <c r="B201" t="str">
        <v>Lantai Attic</v>
      </c>
      <c r="D201" t="str">
        <v>K13-1</v>
      </c>
      <c r="E201">
        <v>130</v>
      </c>
      <c r="F201">
        <v>300</v>
      </c>
      <c r="G201">
        <f>12500-9000</f>
        <v>3500</v>
      </c>
      <c r="H201">
        <v>6</v>
      </c>
      <c r="I201">
        <v>10</v>
      </c>
      <c r="L201">
        <v>8</v>
      </c>
      <c r="M201">
        <v>100</v>
      </c>
      <c r="N201">
        <v>100</v>
      </c>
      <c r="O201">
        <v>100</v>
      </c>
    </row>
    <row r="202">
      <c r="A202">
        <v>47</v>
      </c>
      <c r="B202" t="str">
        <v>Lantai Attic</v>
      </c>
      <c r="D202" t="str">
        <v>SW.1</v>
      </c>
      <c r="E202">
        <v>170</v>
      </c>
      <c r="F202">
        <v>2170</v>
      </c>
      <c r="G202">
        <f>13500-9000</f>
        <v>4500</v>
      </c>
      <c r="H202">
        <v>26</v>
      </c>
      <c r="I202">
        <v>13</v>
      </c>
      <c r="L202">
        <v>10</v>
      </c>
      <c r="M202">
        <v>150</v>
      </c>
      <c r="N202">
        <v>150</v>
      </c>
      <c r="O202">
        <v>150</v>
      </c>
      <c r="P202">
        <v>4</v>
      </c>
      <c r="Q202">
        <v>10</v>
      </c>
      <c r="V202" t="str">
        <v>belakang</v>
      </c>
    </row>
    <row r="203">
      <c r="A203">
        <v>47</v>
      </c>
      <c r="B203" t="str">
        <v>Lantai Attic</v>
      </c>
      <c r="D203" t="str">
        <v>SW.1</v>
      </c>
      <c r="E203">
        <v>170</v>
      </c>
      <c r="F203">
        <v>2170</v>
      </c>
      <c r="G203">
        <f>13500-9000</f>
        <v>4500</v>
      </c>
      <c r="H203">
        <v>18</v>
      </c>
      <c r="I203">
        <v>13</v>
      </c>
      <c r="L203">
        <v>10</v>
      </c>
      <c r="M203">
        <v>150</v>
      </c>
      <c r="N203">
        <v>150</v>
      </c>
      <c r="O203">
        <v>150</v>
      </c>
      <c r="P203">
        <v>4</v>
      </c>
      <c r="Q203">
        <v>10</v>
      </c>
      <c r="V203" t="str">
        <v>samping kiri - kanan</v>
      </c>
    </row>
    <row r="204">
      <c r="A204">
        <v>47</v>
      </c>
      <c r="B204" t="str">
        <v>Lantai Attic</v>
      </c>
      <c r="D204" t="str">
        <v>SW.1</v>
      </c>
      <c r="E204">
        <v>170</v>
      </c>
      <c r="F204">
        <v>400</v>
      </c>
      <c r="G204">
        <f>13500-9000</f>
        <v>4500</v>
      </c>
      <c r="H204">
        <v>8</v>
      </c>
      <c r="I204">
        <v>13</v>
      </c>
      <c r="L204">
        <v>10</v>
      </c>
      <c r="M204">
        <v>150</v>
      </c>
      <c r="N204">
        <v>150</v>
      </c>
      <c r="O204">
        <v>150</v>
      </c>
      <c r="P204">
        <v>4</v>
      </c>
      <c r="Q204">
        <v>10</v>
      </c>
      <c r="V204" t="str">
        <v>kolom depan kiri - kanan</v>
      </c>
    </row>
    <row r="205">
      <c r="A205">
        <v>47</v>
      </c>
      <c r="B205" t="str">
        <v>Lantai Attic</v>
      </c>
      <c r="D205" t="str">
        <v>SW.1</v>
      </c>
      <c r="E205">
        <v>170</v>
      </c>
      <c r="F205">
        <v>1370</v>
      </c>
      <c r="G205">
        <f>13500-9000</f>
        <v>4500</v>
      </c>
      <c r="H205">
        <v>14</v>
      </c>
      <c r="I205">
        <v>13</v>
      </c>
      <c r="L205">
        <v>10</v>
      </c>
      <c r="M205">
        <v>150</v>
      </c>
      <c r="N205">
        <v>150</v>
      </c>
      <c r="O205">
        <v>150</v>
      </c>
      <c r="P205">
        <v>4</v>
      </c>
      <c r="Q205">
        <v>10</v>
      </c>
      <c r="V205" t="str">
        <v>atas opening pintu</v>
      </c>
    </row>
    <row r="232"/>
  </sheetData>
  <autoFilter ref="A14:U272"/>
  <mergeCells count="17">
    <mergeCell ref="U11:U13"/>
    <mergeCell ref="J11:K12"/>
    <mergeCell ref="L11:L12"/>
    <mergeCell ref="M11:O12"/>
    <mergeCell ref="P11:Q12"/>
    <mergeCell ref="R11:S12"/>
    <mergeCell ref="T11:T13"/>
    <mergeCell ref="A1:Q1"/>
    <mergeCell ref="F3:L3"/>
    <mergeCell ref="A4:C4"/>
    <mergeCell ref="F4:L4"/>
    <mergeCell ref="A11:A13"/>
    <mergeCell ref="B11:B13"/>
    <mergeCell ref="C11:C13"/>
    <mergeCell ref="D11:D13"/>
    <mergeCell ref="E11:G12"/>
    <mergeCell ref="H11:I12"/>
  </mergeCells>
  <pageMargins left="0.25" right="0.25" top="1.5" bottom="0.75" header="0.25" footer="0.25"/>
  <ignoredErrors>
    <ignoredError numberStoredAsText="1" sqref="A1:AE372"/>
  </ignoredErrors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8"/>
  <sheetViews>
    <sheetView workbookViewId="0" rightToLeft="0"/>
  </sheetViews>
  <sheetData>
    <row r="1">
      <c r="A1" t="str">
        <v>K12</v>
      </c>
    </row>
    <row r="2">
      <c r="A2" t="str">
        <v>K13-1</v>
      </c>
    </row>
    <row r="3">
      <c r="A3" t="str">
        <v>K174-1</v>
      </c>
    </row>
    <row r="4">
      <c r="A4" t="str">
        <v>K174-2</v>
      </c>
    </row>
    <row r="5">
      <c r="A5" t="str">
        <v>K175-1</v>
      </c>
    </row>
    <row r="6">
      <c r="A6" t="str">
        <v>K175-2</v>
      </c>
    </row>
    <row r="7">
      <c r="A7" t="str">
        <v>K175-3</v>
      </c>
    </row>
    <row r="8">
      <c r="A8" t="str">
        <v>K175-4</v>
      </c>
    </row>
    <row r="9">
      <c r="A9" t="str">
        <v>K176-1</v>
      </c>
    </row>
    <row r="10">
      <c r="A10" t="str">
        <v>K176-4</v>
      </c>
    </row>
    <row r="11">
      <c r="A11" t="str">
        <v>K177-1</v>
      </c>
    </row>
    <row r="12">
      <c r="A12" t="str">
        <v>K177-2</v>
      </c>
    </row>
    <row r="13">
      <c r="A13" t="str">
        <v>K178-1</v>
      </c>
    </row>
    <row r="14">
      <c r="A14" t="str">
        <v>K178-2</v>
      </c>
    </row>
    <row r="15">
      <c r="A15" t="str">
        <v>K179-1</v>
      </c>
    </row>
    <row r="16">
      <c r="A16" t="str">
        <v>K275-1</v>
      </c>
    </row>
    <row r="17">
      <c r="A17" t="str">
        <v>K278-1</v>
      </c>
    </row>
    <row r="18">
      <c r="A18" t="str">
        <v>K36-1</v>
      </c>
    </row>
    <row r="19">
      <c r="A19" t="str">
        <v>K48-1</v>
      </c>
    </row>
    <row r="20">
      <c r="A20" t="str">
        <v>K55-1</v>
      </c>
    </row>
    <row r="21">
      <c r="A21" t="str">
        <v>K59-1</v>
      </c>
    </row>
    <row r="22">
      <c r="A22" t="str">
        <v>KL172258-1</v>
      </c>
    </row>
    <row r="23">
      <c r="A23" t="str">
        <v>KL174-1</v>
      </c>
    </row>
    <row r="24">
      <c r="A24" t="str">
        <v>KL175-1</v>
      </c>
    </row>
    <row r="25">
      <c r="A25" t="str">
        <v>KL175-2</v>
      </c>
    </row>
    <row r="26">
      <c r="A26" t="str">
        <v>KL175-3</v>
      </c>
    </row>
    <row r="27">
      <c r="A27" t="str">
        <v>Pit Lift</v>
      </c>
    </row>
    <row r="28">
      <c r="A28" t="str">
        <v>SW.1</v>
      </c>
    </row>
  </sheetData>
  <pageMargins left="0.7" right="0.7" top="0.75" bottom="0.75" header="0.3" footer="0.3"/>
  <ignoredErrors>
    <ignoredError numberStoredAsText="1" sqref="A1:A2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3:AC43"/>
  <sheetViews>
    <sheetView workbookViewId="0" rightToLeft="0"/>
  </sheetViews>
  <sheetData>
    <row r="3">
      <c r="A3" t="str">
        <v>No.</v>
      </c>
      <c r="B3" t="str">
        <v>Tipe RW</v>
      </c>
      <c r="C3" t="str">
        <v>Panjang</v>
      </c>
      <c r="D3" t="str">
        <v>Tinggi</v>
      </c>
      <c r="E3" t="str">
        <v>Tebal</v>
      </c>
      <c r="F3" t="str">
        <v>Tul. Vertikal (2 sisi)</v>
      </c>
      <c r="I3" t="str">
        <v>Extra Tul. Vertikal (1,5 m) (1 sisi)</v>
      </c>
      <c r="L3" t="str">
        <v>Tul. Kait</v>
      </c>
      <c r="P3" t="str">
        <v>Tul. Horizontal (2 sisi)</v>
      </c>
      <c r="S3" t="str">
        <v>Vol. Beton</v>
      </c>
      <c r="T3" t="str">
        <v>Vol. Bekisting</v>
      </c>
      <c r="U3" t="str">
        <v>Vol. Tul. Vertikal</v>
      </c>
      <c r="V3" t="str">
        <v>Vol. Tul. Kait</v>
      </c>
      <c r="W3" t="str">
        <v>Vol. Tul. Horizontal</v>
      </c>
      <c r="Y3" t="str">
        <v>rasio bekisting</v>
      </c>
      <c r="Z3" t="str">
        <v>rasio besi</v>
      </c>
      <c r="AB3" t="str">
        <v>Plesteran</v>
      </c>
    </row>
    <row r="4">
      <c r="F4" t="str">
        <v>D</v>
      </c>
      <c r="G4" t="str">
        <v>Jarak</v>
      </c>
      <c r="H4" t="str">
        <v>Panjang Tul.</v>
      </c>
      <c r="I4" t="str">
        <v>D</v>
      </c>
      <c r="J4" t="str">
        <v>Jarak</v>
      </c>
      <c r="K4" t="str">
        <v>Panjang Tul.</v>
      </c>
      <c r="L4" t="str">
        <v>Jumlah</v>
      </c>
      <c r="M4" t="str">
        <v>D</v>
      </c>
      <c r="N4" t="str">
        <v>Jarak</v>
      </c>
      <c r="O4" t="str">
        <v>Panjang Tul.</v>
      </c>
      <c r="P4" t="str">
        <v>D</v>
      </c>
      <c r="Q4" t="str">
        <v>Jarak</v>
      </c>
      <c r="R4" t="str">
        <v>Panjang Tul.</v>
      </c>
    </row>
    <row r="5">
      <c r="C5" t="str">
        <v>mm</v>
      </c>
      <c r="D5" t="str">
        <v>mm</v>
      </c>
      <c r="E5" t="str">
        <v>mm</v>
      </c>
      <c r="F5" t="str">
        <v>mm</v>
      </c>
      <c r="G5" t="str">
        <v>mm</v>
      </c>
      <c r="H5" t="str">
        <v>mm</v>
      </c>
      <c r="I5" t="str">
        <v>mm</v>
      </c>
      <c r="J5" t="str">
        <v>mm</v>
      </c>
      <c r="K5" t="str">
        <v>mm</v>
      </c>
      <c r="M5" t="str">
        <v>mm</v>
      </c>
      <c r="N5" t="str">
        <v>mm</v>
      </c>
      <c r="O5" t="str">
        <v>mm</v>
      </c>
      <c r="P5" t="str">
        <v>mm</v>
      </c>
      <c r="Q5" t="str">
        <v>mm</v>
      </c>
      <c r="R5" t="str">
        <v>mm</v>
      </c>
      <c r="S5" t="str">
        <v>m3</v>
      </c>
      <c r="T5" t="str">
        <v>m2</v>
      </c>
      <c r="U5" t="str">
        <v>kg</v>
      </c>
      <c r="V5" t="str">
        <v>kg</v>
      </c>
      <c r="W5" t="str">
        <v>kg</v>
      </c>
    </row>
    <row r="7">
      <c r="A7">
        <v>1</v>
      </c>
      <c r="B7" t="str">
        <v>Pagar Alas</v>
      </c>
      <c r="C7">
        <v>30000</v>
      </c>
      <c r="D7">
        <f>0-(-3650)</f>
        <v>3650</v>
      </c>
      <c r="E7">
        <v>170</v>
      </c>
      <c r="F7">
        <v>10</v>
      </c>
      <c r="G7">
        <v>200</v>
      </c>
      <c r="H7">
        <f>(D7+(1*40+1*12)*F7)*2</f>
        <v>8340</v>
      </c>
      <c r="J7">
        <v>100</v>
      </c>
      <c r="N7">
        <v>100</v>
      </c>
      <c r="P7">
        <v>10</v>
      </c>
      <c r="Q7">
        <v>200</v>
      </c>
      <c r="R7">
        <f>(C7+(1*40+2*50)*P7)*2</f>
        <v>62800</v>
      </c>
      <c r="S7">
        <f>C7*D7*E7/1000000000</f>
        <v>18.615</v>
      </c>
      <c r="T7">
        <f>C7*D7/1000000</f>
        <v>109.5</v>
      </c>
      <c r="U7">
        <f>0.006165*(F7^2*H7*(ROUND(C7/G7,0)+1)+I7^2*K7*(ROUND(C7/J7,0)+1))/1000</f>
        <v>776.38311</v>
      </c>
      <c r="V7">
        <f>0.006165*M7^2*O7*(ROUND(C7/N7,0)+1)/1000*L7</f>
        <v>0</v>
      </c>
      <c r="W7">
        <f>0.006165*P7^2*R7*(ROUND(D7/Q7,0)+1)/1000</f>
        <v>735.6078</v>
      </c>
      <c r="X7" t="str">
        <v>kiri</v>
      </c>
      <c r="Y7">
        <f>T7/S7</f>
        <v>5.882352941176471</v>
      </c>
      <c r="Z7">
        <f>SUM(U7:W7)/S7</f>
        <v>81.22433037872683</v>
      </c>
      <c r="AB7">
        <f>T7</f>
        <v>109.5</v>
      </c>
    </row>
    <row r="8">
      <c r="A8">
        <v>2</v>
      </c>
      <c r="B8" t="str">
        <v>Pagar Alas</v>
      </c>
      <c r="C8">
        <v>18000</v>
      </c>
      <c r="D8">
        <f>0-(-3650)</f>
        <v>3650</v>
      </c>
      <c r="E8">
        <v>170</v>
      </c>
      <c r="F8">
        <v>10</v>
      </c>
      <c r="G8">
        <v>200</v>
      </c>
      <c r="H8">
        <f>(D8+(1*40+1*12)*F8)*2</f>
        <v>8340</v>
      </c>
      <c r="J8">
        <v>100</v>
      </c>
      <c r="N8">
        <v>100</v>
      </c>
      <c r="P8">
        <v>10</v>
      </c>
      <c r="Q8">
        <v>200</v>
      </c>
      <c r="R8">
        <f>(C8+(2*40+1*50)*P8)*2</f>
        <v>38600</v>
      </c>
      <c r="S8">
        <f>C8*D8*E8/1000000000</f>
        <v>11.169</v>
      </c>
      <c r="T8">
        <f>C8*D8/1000000</f>
        <v>65.7</v>
      </c>
      <c r="U8">
        <f>0.006165*(F8^2*H8*(ROUND(C8/G8,0)+1)+I8^2*K8*(ROUND(C8/J8,0)+1))/1000</f>
        <v>467.88651</v>
      </c>
      <c r="V8">
        <f>0.006165*M8^2*O8*(ROUND(C8/N8,0)+1)/1000*L8</f>
        <v>0</v>
      </c>
      <c r="W8">
        <f>0.006165*P8^2*R8*(ROUND(D8/Q8,0)+1)/1000</f>
        <v>452.14110000000005</v>
      </c>
      <c r="X8" t="str">
        <v>belakang</v>
      </c>
      <c r="Y8">
        <f>T8/S8</f>
        <v>5.882352941176471</v>
      </c>
      <c r="Z8">
        <f>SUM(U8:W8)/S8</f>
        <v>82.3733199033038</v>
      </c>
      <c r="AB8">
        <f>T8</f>
        <v>65.7</v>
      </c>
    </row>
    <row r="9">
      <c r="A9">
        <v>3</v>
      </c>
      <c r="B9" t="str">
        <v>Pagar Alas</v>
      </c>
      <c r="C9">
        <v>30000</v>
      </c>
      <c r="D9">
        <f>0-(-3650)</f>
        <v>3650</v>
      </c>
      <c r="E9">
        <v>170</v>
      </c>
      <c r="F9">
        <v>10</v>
      </c>
      <c r="G9">
        <v>200</v>
      </c>
      <c r="H9">
        <f>(D9+(1*40+1*12)*F9)*2</f>
        <v>8340</v>
      </c>
      <c r="J9">
        <v>100</v>
      </c>
      <c r="N9">
        <v>100</v>
      </c>
      <c r="P9">
        <v>10</v>
      </c>
      <c r="Q9">
        <v>200</v>
      </c>
      <c r="R9">
        <f>(C9+(1*40+2*50)*P9)*2</f>
        <v>62800</v>
      </c>
      <c r="S9">
        <f>C9*D9*E9/1000000000</f>
        <v>18.615</v>
      </c>
      <c r="T9">
        <f>C9*D9/1000000</f>
        <v>109.5</v>
      </c>
      <c r="U9">
        <f>0.006165*(F9^2*H9*(ROUND(C9/G9,0)+1)+I9^2*K9*(ROUND(C9/J9,0)+1))/1000</f>
        <v>776.38311</v>
      </c>
      <c r="V9">
        <f>0.006165*M9^2*O9*(ROUND(C9/N9,0)+1)/1000*L9</f>
        <v>0</v>
      </c>
      <c r="W9">
        <f>0.006165*P9^2*R9*(ROUND(D9/Q9,0)+1)/1000</f>
        <v>735.6078</v>
      </c>
      <c r="X9" t="str">
        <v>kanan</v>
      </c>
      <c r="Y9">
        <f>T9/S9</f>
        <v>5.882352941176471</v>
      </c>
      <c r="Z9">
        <f>SUM(U9:W9)/S9</f>
        <v>81.22433037872683</v>
      </c>
      <c r="AB9">
        <f>T9</f>
        <v>109.5</v>
      </c>
    </row>
    <row r="11">
      <c r="B11" t="str">
        <v>Dinding Tambahan Lift</v>
      </c>
      <c r="C11">
        <v>2500</v>
      </c>
      <c r="D11">
        <v>1000</v>
      </c>
      <c r="E11">
        <v>150</v>
      </c>
      <c r="F11">
        <v>10</v>
      </c>
      <c r="G11">
        <v>200</v>
      </c>
      <c r="H11">
        <f>(D11+(2*40)*F11)*2</f>
        <v>3600</v>
      </c>
      <c r="J11">
        <v>100</v>
      </c>
      <c r="N11">
        <v>100</v>
      </c>
      <c r="P11">
        <v>10</v>
      </c>
      <c r="Q11">
        <v>200</v>
      </c>
      <c r="R11">
        <f>(C11+(2*40+0*50)*P11)*2</f>
        <v>6600</v>
      </c>
      <c r="S11">
        <f>C11*D11*E11/1000000000</f>
        <v>0.375</v>
      </c>
      <c r="T11">
        <f>2*C11*D11/1000000</f>
        <v>5</v>
      </c>
      <c r="U11">
        <f>0.006165*(F11^2*H11*(ROUND(C11/G11,0)+1)+I11^2*K11*(ROUND(C11/J11,0)+1))/1000</f>
        <v>31.071600000000004</v>
      </c>
      <c r="V11">
        <f>0.006165*M11^2*O11*(ROUND(C11/N11,0)+1)/1000*L11</f>
        <v>0</v>
      </c>
      <c r="W11">
        <f>0.006165*P11^2*R11*(ROUND(D11/Q11,0)+1)/1000</f>
        <v>24.413400000000003</v>
      </c>
      <c r="Y11">
        <f>T11/S11</f>
        <v>13.333333333333334</v>
      </c>
      <c r="Z11">
        <f>SUM(U11:W11)/S11</f>
        <v>147.96</v>
      </c>
      <c r="AB11">
        <f>T11</f>
        <v>5</v>
      </c>
    </row>
    <row r="12">
      <c r="B12" t="str">
        <v>Dinding Tambahan Lift</v>
      </c>
      <c r="C12">
        <v>2200</v>
      </c>
      <c r="D12">
        <v>1000</v>
      </c>
      <c r="E12">
        <v>150</v>
      </c>
      <c r="F12">
        <v>10</v>
      </c>
      <c r="G12">
        <v>200</v>
      </c>
      <c r="H12">
        <f>(D12+(2*40)*F12)*2</f>
        <v>3600</v>
      </c>
      <c r="J12">
        <v>100</v>
      </c>
      <c r="N12">
        <v>100</v>
      </c>
      <c r="P12">
        <v>10</v>
      </c>
      <c r="Q12">
        <v>200</v>
      </c>
      <c r="R12">
        <f>(C12+(2*40+0*50)*P12)*2</f>
        <v>6000</v>
      </c>
      <c r="S12">
        <f>C12*D12*E12/1000000000</f>
        <v>0.33</v>
      </c>
      <c r="T12">
        <f>2*C12*D12/1000000</f>
        <v>4.4</v>
      </c>
      <c r="U12">
        <f>0.006165*(F12^2*H12*(ROUND(C12/G12,0)+1)+I12^2*K12*(ROUND(C12/J12,0)+1))/1000</f>
        <v>26.632800000000003</v>
      </c>
      <c r="V12">
        <f>0.006165*M12^2*O12*(ROUND(C12/N12,0)+1)/1000*L12</f>
        <v>0</v>
      </c>
      <c r="W12">
        <f>0.006165*P12^2*R12*(ROUND(D12/Q12,0)+1)/1000</f>
        <v>22.194000000000003</v>
      </c>
      <c r="Y12">
        <f>T12/S12</f>
        <v>13.333333333333334</v>
      </c>
      <c r="Z12">
        <f>SUM(U12:W12)/S12</f>
        <v>147.96</v>
      </c>
      <c r="AB12">
        <f>T12</f>
        <v>4.4</v>
      </c>
    </row>
    <row r="13">
      <c r="B13" t="str">
        <v>Dinding Tambahan Lift</v>
      </c>
      <c r="C13">
        <v>2500</v>
      </c>
      <c r="D13">
        <v>1000</v>
      </c>
      <c r="E13">
        <v>150</v>
      </c>
      <c r="F13">
        <v>10</v>
      </c>
      <c r="G13">
        <v>200</v>
      </c>
      <c r="H13">
        <f>(D13+(2*40)*F13)*2</f>
        <v>3600</v>
      </c>
      <c r="J13">
        <v>100</v>
      </c>
      <c r="N13">
        <v>100</v>
      </c>
      <c r="P13">
        <v>10</v>
      </c>
      <c r="Q13">
        <v>200</v>
      </c>
      <c r="R13">
        <f>(C13+(2*40+0*50)*P13)*2</f>
        <v>6600</v>
      </c>
      <c r="S13">
        <f>C13*D13*E13/1000000000</f>
        <v>0.375</v>
      </c>
      <c r="T13">
        <f>2*C13*D13/1000000</f>
        <v>5</v>
      </c>
      <c r="U13">
        <f>0.006165*(F13^2*H13*(ROUND(C13/G13,0)+1)+I13^2*K13*(ROUND(C13/J13,0)+1))/1000</f>
        <v>31.071600000000004</v>
      </c>
      <c r="V13">
        <f>0.006165*M13^2*O13*(ROUND(C13/N13,0)+1)/1000*L13</f>
        <v>0</v>
      </c>
      <c r="W13">
        <f>0.006165*P13^2*R13*(ROUND(D13/Q13,0)+1)/1000</f>
        <v>24.413400000000003</v>
      </c>
      <c r="Y13">
        <f>T13/S13</f>
        <v>13.333333333333334</v>
      </c>
      <c r="Z13">
        <f>SUM(U13:W13)/S13</f>
        <v>147.96</v>
      </c>
      <c r="AB13">
        <f>T13</f>
        <v>5</v>
      </c>
    </row>
    <row r="15">
      <c r="B15" t="str">
        <v>Genset, Panel, Pump</v>
      </c>
      <c r="C15">
        <v>3835</v>
      </c>
      <c r="D15">
        <f>0-(-3650)</f>
        <v>3650</v>
      </c>
      <c r="E15">
        <v>170</v>
      </c>
      <c r="F15">
        <v>10</v>
      </c>
      <c r="G15">
        <v>200</v>
      </c>
      <c r="H15">
        <f>(D15+(2*40)*F15)*2</f>
        <v>8900</v>
      </c>
      <c r="J15">
        <v>100</v>
      </c>
      <c r="N15">
        <v>100</v>
      </c>
      <c r="P15">
        <v>10</v>
      </c>
      <c r="Q15">
        <v>200</v>
      </c>
      <c r="R15">
        <f>(C15+(2*40+0*50)*P15)*2</f>
        <v>9270</v>
      </c>
      <c r="S15">
        <f>C15*D15*E15/1000000000</f>
        <v>2.3796175</v>
      </c>
      <c r="T15">
        <f>2*C15*D15/1000000</f>
        <v>27.9955</v>
      </c>
      <c r="U15">
        <f>0.006165*(F15^2*H15*(ROUND(C15/G15,0)+1)+I15^2*K15*(ROUND(C15/J15,0)+1))/1000</f>
        <v>109.737</v>
      </c>
      <c r="V15">
        <f>0.006165*M15^2*O15*(ROUND(C15/N15,0)+1)/1000*L15</f>
        <v>0</v>
      </c>
      <c r="W15">
        <f>0.006165*P15^2*R15*(ROUND(D15/Q15,0)+1)/1000</f>
        <v>108.58414500000002</v>
      </c>
      <c r="Y15">
        <f>T15/S15</f>
        <v>11.76470588235294</v>
      </c>
      <c r="Z15">
        <f>SUM(U15:W15)/S15</f>
        <v>91.74631847345213</v>
      </c>
      <c r="AB15">
        <f>T15</f>
        <v>27.9955</v>
      </c>
    </row>
    <row r="16">
      <c r="B16" t="str">
        <v>Entrance</v>
      </c>
      <c r="C16">
        <v>6400</v>
      </c>
      <c r="D16">
        <f>0-(-3650)</f>
        <v>3650</v>
      </c>
      <c r="E16">
        <v>170</v>
      </c>
      <c r="F16">
        <v>10</v>
      </c>
      <c r="G16">
        <v>200</v>
      </c>
      <c r="H16">
        <f>(D16+(2*40)*F16)*2</f>
        <v>8900</v>
      </c>
      <c r="J16">
        <v>100</v>
      </c>
      <c r="N16">
        <v>100</v>
      </c>
      <c r="P16">
        <v>10</v>
      </c>
      <c r="Q16">
        <v>200</v>
      </c>
      <c r="R16">
        <f>(C16+(2*40+0*50)*P16)*2</f>
        <v>14400</v>
      </c>
      <c r="S16">
        <f>C16*D16*E16/1000000000</f>
        <v>3.9712</v>
      </c>
      <c r="T16">
        <f>2*C16*D16/1000000</f>
        <v>46.72</v>
      </c>
      <c r="U16">
        <f>0.006165*(F16^2*H16*(ROUND(C16/G16,0)+1)+I16^2*K16*(ROUND(C16/J16,0)+1))/1000</f>
        <v>181.06605000000002</v>
      </c>
      <c r="V16">
        <f>0.006165*M16^2*O16*(ROUND(C16/N16,0)+1)/1000*L16</f>
        <v>0</v>
      </c>
      <c r="W16">
        <f>0.006165*P16^2*R16*(ROUND(D16/Q16,0)+1)/1000</f>
        <v>168.6744</v>
      </c>
      <c r="Y16">
        <f>T16/S16</f>
        <v>11.76470588235294</v>
      </c>
      <c r="Z16">
        <f>SUM(U16:W16)/S16</f>
        <v>88.0692108178888</v>
      </c>
      <c r="AB16">
        <f>T16</f>
        <v>46.72</v>
      </c>
    </row>
    <row r="18">
      <c r="B18" t="str">
        <v>Planter Box Baru</v>
      </c>
      <c r="C18">
        <v>2370</v>
      </c>
      <c r="D18">
        <v>1100</v>
      </c>
      <c r="E18">
        <v>150</v>
      </c>
      <c r="F18">
        <v>10</v>
      </c>
      <c r="G18">
        <v>200</v>
      </c>
      <c r="H18">
        <f>(D18+(2*40)*F18)*2</f>
        <v>3800</v>
      </c>
      <c r="J18">
        <v>100</v>
      </c>
      <c r="N18">
        <v>100</v>
      </c>
      <c r="P18">
        <v>10</v>
      </c>
      <c r="Q18">
        <v>200</v>
      </c>
      <c r="R18">
        <f>(C18+(2*40+0*50)*P18)*2</f>
        <v>6340</v>
      </c>
      <c r="S18">
        <f>C18*D18*E18/1000000000</f>
        <v>0.39105</v>
      </c>
      <c r="T18">
        <f>2*C18*D18/1000000</f>
        <v>5.214</v>
      </c>
      <c r="U18">
        <f>0.006165*(F18^2*H18*(ROUND(C18/G18,0)+1)+I18^2*K18*(ROUND(C18/J18,0)+1))/1000</f>
        <v>30.4551</v>
      </c>
      <c r="V18">
        <f>0.006165*M18^2*O18*(ROUND(C18/N18,0)+1)/1000*L18</f>
        <v>0</v>
      </c>
      <c r="W18">
        <f>0.006165*P18^2*R18*(ROUND(D18/Q18,0)+1)/1000</f>
        <v>27.36027</v>
      </c>
      <c r="Y18">
        <f>T18/S18</f>
        <v>13.333333333333334</v>
      </c>
      <c r="Z18">
        <f>SUM(U18:W18)/S18</f>
        <v>147.84649021864212</v>
      </c>
    </row>
    <row r="19">
      <c r="B19" t="str">
        <v>Planter Box Baru</v>
      </c>
      <c r="C19">
        <v>1900</v>
      </c>
      <c r="D19">
        <v>1100</v>
      </c>
      <c r="E19">
        <v>150</v>
      </c>
      <c r="F19">
        <v>10</v>
      </c>
      <c r="G19">
        <v>200</v>
      </c>
      <c r="H19">
        <f>(D19+(2*40)*F19)*2</f>
        <v>3800</v>
      </c>
      <c r="J19">
        <v>100</v>
      </c>
      <c r="N19">
        <v>100</v>
      </c>
      <c r="P19">
        <v>10</v>
      </c>
      <c r="Q19">
        <v>200</v>
      </c>
      <c r="R19">
        <f>(C19+(2*40+0*50)*P19)*2</f>
        <v>5400</v>
      </c>
      <c r="S19">
        <f>C19*D19*E19/1000000000</f>
        <v>0.3135</v>
      </c>
      <c r="T19">
        <f>2*C19*D19/1000000</f>
        <v>4.18</v>
      </c>
      <c r="U19">
        <f>0.006165*(F19^2*H19*(ROUND(C19/G19,0)+1)+I19^2*K19*(ROUND(C19/J19,0)+1))/1000</f>
        <v>25.7697</v>
      </c>
      <c r="V19">
        <f>0.006165*M19^2*O19*(ROUND(C19/N19,0)+1)/1000*L19</f>
        <v>0</v>
      </c>
      <c r="W19">
        <f>0.006165*P19^2*R19*(ROUND(D19/Q19,0)+1)/1000</f>
        <v>23.303700000000003</v>
      </c>
      <c r="Y19">
        <f>T19/S19</f>
        <v>13.333333333333332</v>
      </c>
      <c r="Z19">
        <f>SUM(U19:W19)/S19</f>
        <v>156.53397129186604</v>
      </c>
    </row>
    <row r="20">
      <c r="B20" t="str">
        <v>Planter Box Baru</v>
      </c>
      <c r="C20">
        <v>4000</v>
      </c>
      <c r="D20">
        <v>1100</v>
      </c>
      <c r="E20">
        <v>150</v>
      </c>
      <c r="F20">
        <v>10</v>
      </c>
      <c r="G20">
        <v>200</v>
      </c>
      <c r="H20">
        <f>(D20+(2*40)*F20)*2</f>
        <v>3800</v>
      </c>
      <c r="J20">
        <v>100</v>
      </c>
      <c r="N20">
        <v>100</v>
      </c>
      <c r="P20">
        <v>10</v>
      </c>
      <c r="Q20">
        <v>200</v>
      </c>
      <c r="R20">
        <f>(C20+(2*40+0*50)*P20)*2</f>
        <v>9600</v>
      </c>
      <c r="S20">
        <f>C20*D20*E20/1000000000</f>
        <v>0.66</v>
      </c>
      <c r="T20">
        <f>2*C20*D20/1000000</f>
        <v>8.8</v>
      </c>
      <c r="U20">
        <f>0.006165*(F20^2*H20*(ROUND(C20/G20,0)+1)+I20^2*K20*(ROUND(C20/J20,0)+1))/1000</f>
        <v>49.19670000000001</v>
      </c>
      <c r="V20">
        <f>0.006165*M20^2*O20*(ROUND(C20/N20,0)+1)/1000*L20</f>
        <v>0</v>
      </c>
      <c r="W20">
        <f>0.006165*P20^2*R20*(ROUND(D20/Q20,0)+1)/1000</f>
        <v>41.4288</v>
      </c>
      <c r="Y20">
        <f>T20/S20</f>
        <v>13.333333333333334</v>
      </c>
      <c r="Z20">
        <f>SUM(U20:W20)/S20</f>
        <v>137.31136363636367</v>
      </c>
    </row>
    <row r="21">
      <c r="B21" t="str">
        <v>Planter Box Baru</v>
      </c>
      <c r="C21">
        <v>3800</v>
      </c>
      <c r="D21">
        <v>1100</v>
      </c>
      <c r="E21">
        <v>150</v>
      </c>
      <c r="F21">
        <v>10</v>
      </c>
      <c r="G21">
        <v>200</v>
      </c>
      <c r="H21">
        <f>(D21+(2*40)*F21)*2</f>
        <v>3800</v>
      </c>
      <c r="J21">
        <v>100</v>
      </c>
      <c r="N21">
        <v>100</v>
      </c>
      <c r="P21">
        <v>10</v>
      </c>
      <c r="Q21">
        <v>200</v>
      </c>
      <c r="R21">
        <f>(C21+(2*40+0*50)*P21)*2</f>
        <v>9200</v>
      </c>
      <c r="S21">
        <f>C21*D21*E21/1000000000</f>
        <v>0.627</v>
      </c>
      <c r="T21">
        <f>2*C21*D21/1000000</f>
        <v>8.36</v>
      </c>
      <c r="U21">
        <f>0.006165*(F21^2*H21*(ROUND(C21/G21,0)+1)+I21^2*K21*(ROUND(C21/J21,0)+1))/1000</f>
        <v>46.854</v>
      </c>
      <c r="V21">
        <f>0.006165*M21^2*O21*(ROUND(C21/N21,0)+1)/1000*L21</f>
        <v>0</v>
      </c>
      <c r="W21">
        <f>0.006165*P21^2*R21*(ROUND(D21/Q21,0)+1)/1000</f>
        <v>39.7026</v>
      </c>
      <c r="Y21">
        <f>T21/S21</f>
        <v>13.333333333333332</v>
      </c>
      <c r="Z21">
        <f>SUM(U21:W21)/S21</f>
        <v>138.04880382775121</v>
      </c>
    </row>
    <row r="22">
      <c r="B22" t="str">
        <v>Planter Box Baru</v>
      </c>
      <c r="C22">
        <v>4000</v>
      </c>
      <c r="D22">
        <v>1100</v>
      </c>
      <c r="E22">
        <v>150</v>
      </c>
      <c r="F22">
        <v>10</v>
      </c>
      <c r="G22">
        <v>200</v>
      </c>
      <c r="H22">
        <f>(D22+(2*40)*F22)*2</f>
        <v>3800</v>
      </c>
      <c r="J22">
        <v>100</v>
      </c>
      <c r="N22">
        <v>100</v>
      </c>
      <c r="P22">
        <v>10</v>
      </c>
      <c r="Q22">
        <v>200</v>
      </c>
      <c r="R22">
        <f>(C22+(2*40+0*50)*P22)*2</f>
        <v>9600</v>
      </c>
      <c r="S22">
        <f>C22*D22*E22/1000000000</f>
        <v>0.66</v>
      </c>
      <c r="T22">
        <f>2*C22*D22/1000000</f>
        <v>8.8</v>
      </c>
      <c r="U22">
        <f>0.006165*(F22^2*H22*(ROUND(C22/G22,0)+1)+I22^2*K22*(ROUND(C22/J22,0)+1))/1000</f>
        <v>49.19670000000001</v>
      </c>
      <c r="V22">
        <f>0.006165*M22^2*O22*(ROUND(C22/N22,0)+1)/1000*L22</f>
        <v>0</v>
      </c>
      <c r="W22">
        <f>0.006165*P22^2*R22*(ROUND(D22/Q22,0)+1)/1000</f>
        <v>41.4288</v>
      </c>
      <c r="Y22">
        <f>T22/S22</f>
        <v>13.333333333333334</v>
      </c>
      <c r="Z22">
        <f>SUM(U22:W22)/S22</f>
        <v>137.31136363636367</v>
      </c>
    </row>
    <row r="23">
      <c r="B23" t="str">
        <v>Planter Box Baru</v>
      </c>
      <c r="C23">
        <v>5700</v>
      </c>
      <c r="D23">
        <v>1100</v>
      </c>
      <c r="E23">
        <v>150</v>
      </c>
      <c r="F23">
        <v>10</v>
      </c>
      <c r="G23">
        <v>200</v>
      </c>
      <c r="H23">
        <f>(D23+(2*40)*F23)*2</f>
        <v>3800</v>
      </c>
      <c r="J23">
        <v>100</v>
      </c>
      <c r="N23">
        <v>100</v>
      </c>
      <c r="P23">
        <v>10</v>
      </c>
      <c r="Q23">
        <v>200</v>
      </c>
      <c r="R23">
        <f>(C23+(2*40+0*50)*P23)*2</f>
        <v>13000</v>
      </c>
      <c r="S23">
        <f>C23*D23*E23/1000000000</f>
        <v>0.9405</v>
      </c>
      <c r="T23">
        <f>2*C23*D23/1000000</f>
        <v>12.54</v>
      </c>
      <c r="U23">
        <f>0.006165*(F23^2*H23*(ROUND(C23/G23,0)+1)+I23^2*K23*(ROUND(C23/J23,0)+1))/1000</f>
        <v>70.281</v>
      </c>
      <c r="V23">
        <f>0.006165*M23^2*O23*(ROUND(C23/N23,0)+1)/1000*L23</f>
        <v>0</v>
      </c>
      <c r="W23">
        <f>0.006165*P23^2*R23*(ROUND(D23/Q23,0)+1)/1000</f>
        <v>56.10150000000001</v>
      </c>
      <c r="Y23">
        <f>T23/S23</f>
        <v>13.333333333333332</v>
      </c>
      <c r="Z23">
        <f>SUM(U23:W23)/S23</f>
        <v>134.37799043062202</v>
      </c>
    </row>
    <row r="25">
      <c r="B25" t="str">
        <v>Planter Box Baru</v>
      </c>
      <c r="C25">
        <v>1970</v>
      </c>
      <c r="D25">
        <v>500</v>
      </c>
      <c r="E25">
        <v>150</v>
      </c>
      <c r="F25">
        <v>10</v>
      </c>
      <c r="G25">
        <v>200</v>
      </c>
      <c r="H25">
        <f>(D25+(2*40)*F25)*2</f>
        <v>2600</v>
      </c>
      <c r="J25">
        <v>100</v>
      </c>
      <c r="N25">
        <v>100</v>
      </c>
      <c r="P25">
        <v>10</v>
      </c>
      <c r="Q25">
        <v>200</v>
      </c>
      <c r="R25">
        <f>(C25+(2*40+0*50)*P25)*2</f>
        <v>5540</v>
      </c>
      <c r="S25">
        <f>C25*D25*E25/1000000000</f>
        <v>0.14775</v>
      </c>
      <c r="T25">
        <f>2*C25*D25/1000000</f>
        <v>1.97</v>
      </c>
      <c r="U25">
        <f>0.006165*(F25^2*H25*(ROUND(C25/G25,0)+1)+I25^2*K25*(ROUND(C25/J25,0)+1))/1000</f>
        <v>17.6319</v>
      </c>
      <c r="V25">
        <f>0.006165*M25^2*O25*(ROUND(C25/N25,0)+1)/1000*L25</f>
        <v>0</v>
      </c>
      <c r="W25">
        <f>0.006165*P25^2*R25*(ROUND(D25/Q25,0)+1)/1000</f>
        <v>13.661640000000002</v>
      </c>
      <c r="Y25">
        <f>T25/S25</f>
        <v>13.333333333333334</v>
      </c>
      <c r="Z25">
        <f>SUM(U25:W25)/S25</f>
        <v>211.8006091370559</v>
      </c>
    </row>
    <row r="26">
      <c r="B26" t="str">
        <v>Planter Box Baru</v>
      </c>
      <c r="C26">
        <v>725</v>
      </c>
      <c r="D26">
        <v>500</v>
      </c>
      <c r="E26">
        <v>150</v>
      </c>
      <c r="F26">
        <v>10</v>
      </c>
      <c r="G26">
        <v>200</v>
      </c>
      <c r="H26">
        <f>(D26+(2*40)*F26)*2</f>
        <v>2600</v>
      </c>
      <c r="J26">
        <v>100</v>
      </c>
      <c r="N26">
        <v>100</v>
      </c>
      <c r="P26">
        <v>10</v>
      </c>
      <c r="Q26">
        <v>200</v>
      </c>
      <c r="R26">
        <f>(C26+(2*40+0*50)*P26)*2</f>
        <v>3050</v>
      </c>
      <c r="S26">
        <f>C26*D26*E26/1000000000</f>
        <v>0.054375</v>
      </c>
      <c r="T26">
        <f>2*C26*D26/1000000</f>
        <v>0.725</v>
      </c>
      <c r="U26">
        <f>0.006165*(F26^2*H26*(ROUND(C26/G26,0)+1)+I26^2*K26*(ROUND(C26/J26,0)+1))/1000</f>
        <v>8.0145</v>
      </c>
      <c r="V26">
        <f>0.006165*M26^2*O26*(ROUND(C26/N26,0)+1)/1000*L26</f>
        <v>0</v>
      </c>
      <c r="W26">
        <f>0.006165*P26^2*R26*(ROUND(D26/Q26,0)+1)/1000</f>
        <v>7.5213</v>
      </c>
      <c r="Y26">
        <f>T26/S26</f>
        <v>13.333333333333332</v>
      </c>
      <c r="Z26">
        <f>SUM(U26:W26)/S26</f>
        <v>285.7158620689655</v>
      </c>
    </row>
    <row r="27">
      <c r="B27" t="str">
        <v>Planter Box Baru</v>
      </c>
      <c r="C27">
        <v>1970</v>
      </c>
      <c r="D27">
        <v>500</v>
      </c>
      <c r="E27">
        <v>150</v>
      </c>
      <c r="F27">
        <v>10</v>
      </c>
      <c r="G27">
        <v>200</v>
      </c>
      <c r="H27">
        <f>(D27+(2*40)*F27)*2</f>
        <v>2600</v>
      </c>
      <c r="J27">
        <v>100</v>
      </c>
      <c r="N27">
        <v>100</v>
      </c>
      <c r="P27">
        <v>10</v>
      </c>
      <c r="Q27">
        <v>200</v>
      </c>
      <c r="R27">
        <f>(C27+(2*40+0*50)*P27)*2</f>
        <v>5540</v>
      </c>
      <c r="S27">
        <f>C27*D27*E27/1000000000</f>
        <v>0.14775</v>
      </c>
      <c r="T27">
        <f>2*C27*D27/1000000</f>
        <v>1.97</v>
      </c>
      <c r="U27">
        <f>0.006165*(F27^2*H27*(ROUND(C27/G27,0)+1)+I27^2*K27*(ROUND(C27/J27,0)+1))/1000</f>
        <v>17.6319</v>
      </c>
      <c r="V27">
        <f>0.006165*M27^2*O27*(ROUND(C27/N27,0)+1)/1000*L27</f>
        <v>0</v>
      </c>
      <c r="W27">
        <f>0.006165*P27^2*R27*(ROUND(D27/Q27,0)+1)/1000</f>
        <v>13.661640000000002</v>
      </c>
      <c r="Y27">
        <f>T27/S27</f>
        <v>13.333333333333334</v>
      </c>
      <c r="Z27">
        <f>SUM(U27:W27)/S27</f>
        <v>211.8006091370559</v>
      </c>
    </row>
    <row r="29">
      <c r="A29" t="str">
        <v>TOTAL</v>
      </c>
      <c r="S29">
        <f>SUM(S6:S28)</f>
        <v>59.7717425</v>
      </c>
      <c r="T29">
        <f>SUM(T6:T28)</f>
        <v>426.37450000000007</v>
      </c>
      <c r="U29">
        <f>SUM(U6:U28)</f>
        <v>2715.2632799999997</v>
      </c>
      <c r="V29">
        <f>SUM(V6:V28)</f>
        <v>0</v>
      </c>
      <c r="W29">
        <f>SUM(W6:W28)</f>
        <v>2535.806295</v>
      </c>
    </row>
    <row r="32">
      <c r="B32" t="str">
        <v>REKAP VOLUME</v>
      </c>
    </row>
    <row r="33">
      <c r="C33" t="str">
        <v>Beton</v>
      </c>
      <c r="D33" t="str">
        <v>Bekisting</v>
      </c>
      <c r="E33" t="str">
        <v>Besi</v>
      </c>
      <c r="J33" t="str">
        <v>Total Besi</v>
      </c>
      <c r="L33" t="str">
        <v>Rasio</v>
      </c>
      <c r="O33" t="str">
        <v>Plesteran</v>
      </c>
    </row>
    <row r="34">
      <c r="E34">
        <v>8</v>
      </c>
      <c r="F34">
        <v>10</v>
      </c>
      <c r="G34">
        <v>13</v>
      </c>
      <c r="H34">
        <v>16</v>
      </c>
      <c r="L34" t="str">
        <v>Bekisting</v>
      </c>
      <c r="M34" t="str">
        <v>Besi</v>
      </c>
    </row>
    <row r="35">
      <c r="B35" t="str">
        <v>Pagar Alas</v>
      </c>
      <c r="C35">
        <f>SUMIF($B$6:$B$28,B35,$S$6:$S$28)</f>
        <v>48.399</v>
      </c>
      <c r="D35">
        <f>SUMIF($B$6:$B$28,B35,$T$6:$T$28)</f>
        <v>284.7</v>
      </c>
      <c r="E35">
        <f>SUMIFS($U$6:$U$28,$B$6:$B$28,B35,$F$6:$F$28,$E$34)+SUMIFS($V$6:$V$28,$B$6:$B$28,B35,$M$6:$M$28,$E$34)+SUMIFS($W$6:$W$28,$B$6:$B$28,B35,$P$6:$P$28,$E$34)</f>
        <v>0</v>
      </c>
      <c r="F35">
        <f>SUMIFS($U$6:$U$28,$B$6:$B$28,B35,$F$6:$F$28,$F$34)+SUMIFS($V$6:$V$28,$B$6:$B$28,B35,$M$6:$M$28,$F$34)+SUMIFS($W$6:$W$28,$B$6:$B$28,B35,$P$6:$P$28,$F$34)</f>
        <v>3944.00943</v>
      </c>
      <c r="G35">
        <f>SUMIFS($U$6:$U$28,$B$6:$B$28,B35,$F$6:$F$28,$G$34)+SUMIFS($V$6:$V$28,$B$6:$B$28,B35,$M$6:$M$28,$G$34)+SUMIFS($W$6:$W$28,$B$6:$B$28,B35,$P$6:$P$28,$G$34)</f>
        <v>0</v>
      </c>
      <c r="H35">
        <f>SUMIFS($U$6:$U$28,$B$6:$B$28,B35,$F$6:$F$28,$H$34)+SUMIFS($V$6:$V$28,$B$6:$B$28,B35,$M$6:$M$28,$H$34)+SUMIFS($W$6:$W$28,$B$6:$B$28,B35,$P$6:$P$28,$H$34)</f>
        <v>0</v>
      </c>
      <c r="J35">
        <f>SUM(E35:H35)</f>
        <v>3944.00943</v>
      </c>
      <c r="L35">
        <f>D35/C35</f>
        <v>5.88235294117647</v>
      </c>
      <c r="M35">
        <f>J35/C35</f>
        <v>81.48948180747536</v>
      </c>
      <c r="O35">
        <f>SUMIF($B$6:$B$28,B35,$AB$6:$AB$28)</f>
        <v>284.7</v>
      </c>
    </row>
    <row r="36">
      <c r="B36" t="str">
        <v>Dinding Tambahan Lift</v>
      </c>
      <c r="C36">
        <f>SUMIF($B$6:$B$28,B36,$S$6:$S$28)</f>
        <v>1.08</v>
      </c>
      <c r="D36">
        <f>SUMIF($B$6:$B$28,B36,$T$6:$T$28)</f>
        <v>14.4</v>
      </c>
      <c r="E36">
        <f>SUMIFS($U$6:$U$28,$B$6:$B$28,B36,$F$6:$F$28,$E$34)+SUMIFS($V$6:$V$28,$B$6:$B$28,B36,$M$6:$M$28,$E$34)+SUMIFS($W$6:$W$28,$B$6:$B$28,B36,$P$6:$P$28,$E$34)</f>
        <v>0</v>
      </c>
      <c r="F36">
        <f>SUMIFS($U$6:$U$28,$B$6:$B$28,B36,$F$6:$F$28,$F$34)+SUMIFS($V$6:$V$28,$B$6:$B$28,B36,$M$6:$M$28,$F$34)+SUMIFS($W$6:$W$28,$B$6:$B$28,B36,$P$6:$P$28,$F$34)</f>
        <v>159.79680000000002</v>
      </c>
      <c r="G36">
        <f>SUMIFS($U$6:$U$28,$B$6:$B$28,B36,$F$6:$F$28,$G$34)+SUMIFS($V$6:$V$28,$B$6:$B$28,B36,$M$6:$M$28,$G$34)+SUMIFS($W$6:$W$28,$B$6:$B$28,B36,$P$6:$P$28,$G$34)</f>
        <v>0</v>
      </c>
      <c r="H36">
        <f>SUMIFS($U$6:$U$28,$B$6:$B$28,B36,$F$6:$F$28,$H$34)+SUMIFS($V$6:$V$28,$B$6:$B$28,B36,$M$6:$M$28,$H$34)+SUMIFS($W$6:$W$28,$B$6:$B$28,B36,$P$6:$P$28,$H$34)</f>
        <v>0</v>
      </c>
      <c r="J36">
        <f>SUM(E36:H36)</f>
        <v>159.79680000000002</v>
      </c>
      <c r="L36">
        <f>D36/C36</f>
        <v>13.333333333333332</v>
      </c>
      <c r="M36">
        <f>J36/C36</f>
        <v>147.96</v>
      </c>
      <c r="O36">
        <f>SUMIF($B$6:$B$28,B36,$AB$6:$AB$28)</f>
        <v>14.4</v>
      </c>
    </row>
    <row r="37">
      <c r="B37" t="str">
        <v>Genset, Panel, Pump</v>
      </c>
      <c r="C37">
        <f>SUMIF($B$6:$B$28,B37,$S$6:$S$28)</f>
        <v>2.3796175</v>
      </c>
      <c r="D37">
        <f>SUMIF($B$6:$B$28,B37,$T$6:$T$28)</f>
        <v>27.9955</v>
      </c>
      <c r="E37">
        <f>SUMIFS($U$6:$U$28,$B$6:$B$28,B37,$F$6:$F$28,$E$34)+SUMIFS($V$6:$V$28,$B$6:$B$28,B37,$M$6:$M$28,$E$34)+SUMIFS($W$6:$W$28,$B$6:$B$28,B37,$P$6:$P$28,$E$34)</f>
        <v>0</v>
      </c>
      <c r="F37">
        <f>SUMIFS($U$6:$U$28,$B$6:$B$28,B37,$F$6:$F$28,$F$34)+SUMIFS($V$6:$V$28,$B$6:$B$28,B37,$M$6:$M$28,$F$34)+SUMIFS($W$6:$W$28,$B$6:$B$28,B37,$P$6:$P$28,$F$34)</f>
        <v>218.321145</v>
      </c>
      <c r="G37">
        <f>SUMIFS($U$6:$U$28,$B$6:$B$28,B37,$F$6:$F$28,$G$34)+SUMIFS($V$6:$V$28,$B$6:$B$28,B37,$M$6:$M$28,$G$34)+SUMIFS($W$6:$W$28,$B$6:$B$28,B37,$P$6:$P$28,$G$34)</f>
        <v>0</v>
      </c>
      <c r="H37">
        <f>SUMIFS($U$6:$U$28,$B$6:$B$28,B37,$F$6:$F$28,$H$34)+SUMIFS($V$6:$V$28,$B$6:$B$28,B37,$M$6:$M$28,$H$34)+SUMIFS($W$6:$W$28,$B$6:$B$28,B37,$P$6:$P$28,$H$34)</f>
        <v>0</v>
      </c>
      <c r="J37">
        <f>SUM(E37:H37)</f>
        <v>218.321145</v>
      </c>
      <c r="L37">
        <f>D37/C37</f>
        <v>11.76470588235294</v>
      </c>
      <c r="M37">
        <f>J37/C37</f>
        <v>91.74631847345213</v>
      </c>
      <c r="O37">
        <f>SUMIF($B$6:$B$28,B37,$AB$6:$AB$28)</f>
        <v>27.9955</v>
      </c>
    </row>
    <row r="38">
      <c r="B38" t="str">
        <v>Planter Box Baru</v>
      </c>
      <c r="C38">
        <f>SUMIF($B$6:$B$28,B38,$S$6:$S$28)</f>
        <v>3.9419249999999995</v>
      </c>
      <c r="D38">
        <f>SUMIF($B$6:$B$28,B38,$T$6:$T$28)</f>
        <v>52.559</v>
      </c>
      <c r="E38">
        <f>SUMIFS($U$6:$U$28,$B$6:$B$28,B38,$F$6:$F$28,$E$34)+SUMIFS($V$6:$V$28,$B$6:$B$28,B38,$M$6:$M$28,$E$34)+SUMIFS($W$6:$W$28,$B$6:$B$28,B38,$P$6:$P$28,$E$34)</f>
        <v>0</v>
      </c>
      <c r="F38">
        <f>SUMIFS($U$6:$U$28,$B$6:$B$28,B38,$F$6:$F$28,$F$34)+SUMIFS($V$6:$V$28,$B$6:$B$28,B38,$M$6:$M$28,$F$34)+SUMIFS($W$6:$W$28,$B$6:$B$28,B38,$P$6:$P$28,$F$34)</f>
        <v>579.2017500000001</v>
      </c>
      <c r="G38">
        <f>SUMIFS($U$6:$U$28,$B$6:$B$28,B38,$F$6:$F$28,$G$34)+SUMIFS($V$6:$V$28,$B$6:$B$28,B38,$M$6:$M$28,$G$34)+SUMIFS($W$6:$W$28,$B$6:$B$28,B38,$P$6:$P$28,$G$34)</f>
        <v>0</v>
      </c>
      <c r="H38">
        <f>SUMIFS($U$6:$U$28,$B$6:$B$28,B38,$F$6:$F$28,$H$34)+SUMIFS($V$6:$V$28,$B$6:$B$28,B38,$M$6:$M$28,$H$34)+SUMIFS($W$6:$W$28,$B$6:$B$28,B38,$P$6:$P$28,$H$34)</f>
        <v>0</v>
      </c>
      <c r="J38">
        <f>SUM(E38:H38)</f>
        <v>579.2017500000001</v>
      </c>
      <c r="L38">
        <f>D38/C38</f>
        <v>13.333333333333334</v>
      </c>
      <c r="M38">
        <f>J38/C38</f>
        <v>146.93373161589835</v>
      </c>
    </row>
    <row r="40">
      <c r="B40" t="str">
        <v>TOTAL</v>
      </c>
      <c r="C40">
        <f>SUM(C35:C39)</f>
        <v>55.8005425</v>
      </c>
      <c r="D40">
        <f>SUM(D35:D39)</f>
        <v>379.6545</v>
      </c>
      <c r="E40">
        <f>SUM(E35:E39)</f>
        <v>0</v>
      </c>
      <c r="F40">
        <f>SUM(F35:F39)</f>
        <v>4901.329125</v>
      </c>
      <c r="G40">
        <f>SUM(G35:G39)</f>
        <v>0</v>
      </c>
      <c r="H40">
        <f>SUM(H35:H39)</f>
        <v>0</v>
      </c>
      <c r="J40">
        <f>SUM(J35:J39)</f>
        <v>4901.329125</v>
      </c>
    </row>
    <row r="41">
      <c r="B41" t="str">
        <v>Cek</v>
      </c>
      <c r="C41">
        <f>C40-SUM(S6:S28)</f>
        <v>-3.971200000000003</v>
      </c>
      <c r="D41">
        <f>D40-SUM(T6:T28)</f>
        <v>-46.720000000000084</v>
      </c>
      <c r="E41">
        <f>SUM(E40:H40)-SUM(U6:W28)</f>
        <v>-349.74045000000206</v>
      </c>
    </row>
  </sheetData>
  <autoFilter ref="A6:W29"/>
  <mergeCells count="23">
    <mergeCell ref="D3:D4"/>
    <mergeCell ref="E3:E4"/>
    <mergeCell ref="F3:H3"/>
    <mergeCell ref="B33:B34"/>
    <mergeCell ref="C33:C34"/>
    <mergeCell ref="D33:D34"/>
    <mergeCell ref="E33:H33"/>
    <mergeCell ref="L33:M33"/>
    <mergeCell ref="V3:V4"/>
    <mergeCell ref="W3:W4"/>
    <mergeCell ref="Y3:Y4"/>
    <mergeCell ref="Z3:Z4"/>
    <mergeCell ref="A29:R29"/>
    <mergeCell ref="I3:K3"/>
    <mergeCell ref="L3:O3"/>
    <mergeCell ref="P3:R3"/>
    <mergeCell ref="S3:S4"/>
    <mergeCell ref="T3:T4"/>
    <mergeCell ref="U3:U4"/>
    <mergeCell ref="A3:A5"/>
    <mergeCell ref="B3:B5"/>
    <mergeCell ref="C3:C4"/>
    <mergeCell ref="J33:J34"/>
  </mergeCells>
  <pageMargins left="0.7" right="0.7" top="0.75" bottom="0.75" header="0.3" footer="0.3"/>
  <ignoredErrors>
    <ignoredError numberStoredAsText="1" sqref="A3:AC4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I70"/>
  <sheetViews>
    <sheetView workbookViewId="0" rightToLeft="0"/>
  </sheetViews>
  <sheetData>
    <row r="1">
      <c r="A1" t="str">
        <v>Estimasi Biaya Pembangunan Fisik Rumah Tinggal</v>
      </c>
    </row>
    <row r="2">
      <c r="A2" t="str">
        <v>Lokasi</v>
      </c>
      <c r="B2" t="str">
        <f>'REKAP RAB'!B2</f>
        <v>: Pakuwon Indah PD3 no. 23</v>
      </c>
    </row>
    <row r="3">
      <c r="A3" t="str">
        <v>Pemilik</v>
      </c>
      <c r="B3" t="str">
        <f>'REKAP RAB'!B3</f>
        <v>: Mrs. Melly</v>
      </c>
    </row>
    <row r="4">
      <c r="A4" t="str">
        <v>Tanggal</v>
      </c>
      <c r="B4" t="str">
        <f>'REKAP RAB'!B4</f>
        <v>: Agustus 2025</v>
      </c>
    </row>
    <row r="7">
      <c r="B7" t="str">
        <v>REKAPITULASI TOTAL:</v>
      </c>
    </row>
    <row r="8">
      <c r="E8" t="str">
        <v>PENAWARAN</v>
      </c>
      <c r="H8" t="str">
        <v>NETTO</v>
      </c>
    </row>
    <row r="9">
      <c r="A9" t="str">
        <v>I</v>
      </c>
      <c r="B9" t="str">
        <v>Pekerjaan Persiapan</v>
      </c>
      <c r="E9" t="e">
        <f>'REKAP RAB'!#REF!</f>
        <v>#REF!</v>
      </c>
      <c r="H9" t="e">
        <f>'REKAP RAB'!O41</f>
        <v>#REF!</v>
      </c>
    </row>
    <row r="10">
      <c r="A10" t="str">
        <v>II</v>
      </c>
      <c r="B10" t="str">
        <v>Pekerjaan Tanah dan Pondasi</v>
      </c>
      <c r="E10" t="e">
        <f>'REKAP RAB'!#REF!</f>
        <v>#REF!</v>
      </c>
      <c r="H10" t="e">
        <f>'REKAP RAB'!O42</f>
        <v>#REF!</v>
      </c>
    </row>
    <row r="11">
      <c r="A11" t="str">
        <v>III</v>
      </c>
      <c r="B11" t="str">
        <v>Pekerjaan Fisik Lantai Basement</v>
      </c>
      <c r="E11" t="e">
        <f>'REKAP RAB'!#REF!</f>
        <v>#REF!</v>
      </c>
      <c r="H11" t="e">
        <f>'REKAP RAB'!O43</f>
        <v>#REF!</v>
      </c>
    </row>
    <row r="12">
      <c r="A12" t="str">
        <v>IV</v>
      </c>
      <c r="B12" t="str">
        <v>Pekerjaan Fisik Lantai 1</v>
      </c>
      <c r="E12" t="e">
        <f>'REKAP RAB'!#REF!</f>
        <v>#REF!</v>
      </c>
      <c r="H12" t="e">
        <f>'REKAP RAB'!O44</f>
        <v>#REF!</v>
      </c>
    </row>
    <row r="13">
      <c r="A13" t="str">
        <v>V</v>
      </c>
      <c r="B13" t="str">
        <v>Pekerjaan Fisik Lantai 2</v>
      </c>
      <c r="E13" t="e">
        <f>'REKAP RAB'!#REF!</f>
        <v>#REF!</v>
      </c>
      <c r="H13" t="e">
        <f>'REKAP RAB'!O45</f>
        <v>#REF!</v>
      </c>
    </row>
    <row r="14">
      <c r="A14" t="str">
        <v>VI</v>
      </c>
      <c r="B14" t="str">
        <v>Pekerjaan Fisik Lantai Attic</v>
      </c>
      <c r="E14" t="e">
        <f>'REKAP RAB'!#REF!</f>
        <v>#REF!</v>
      </c>
      <c r="H14" t="e">
        <f>'REKAP RAB'!O46</f>
        <v>#REF!</v>
      </c>
    </row>
    <row r="15">
      <c r="A15" t="str">
        <v>VII</v>
      </c>
      <c r="B15" t="str">
        <v>Pekerjaan Fisik Atap</v>
      </c>
      <c r="E15" t="e">
        <f>'REKAP RAB'!#REF!</f>
        <v>#REF!</v>
      </c>
      <c r="H15" t="e">
        <f>'REKAP RAB'!O47</f>
        <v>#REF!</v>
      </c>
    </row>
    <row r="16">
      <c r="A16" t="str">
        <v>VIII</v>
      </c>
      <c r="B16" t="str">
        <v>Pekerjaan Baja dan Penutup Atap</v>
      </c>
      <c r="E16" t="e">
        <f>'REKAP RAB'!#REF!</f>
        <v>#REF!</v>
      </c>
      <c r="H16" t="e">
        <f>'REKAP RAB'!O48</f>
        <v>#REF!</v>
      </c>
    </row>
    <row r="17">
      <c r="A17" t="str">
        <v>IX</v>
      </c>
      <c r="B17" t="str">
        <v>Pekerjaan Pasangan Dinding Bata Merah</v>
      </c>
      <c r="E17" t="e">
        <f>'REKAP RAB'!#REF!</f>
        <v>#REF!</v>
      </c>
      <c r="H17" t="e">
        <f>'REKAP RAB'!O49</f>
        <v>#REF!</v>
      </c>
    </row>
    <row r="18">
      <c r="A18" t="str">
        <v>X</v>
      </c>
      <c r="B18" t="str">
        <v>Pekerjaan Instalasi Air Kotor &amp; Air Hujan</v>
      </c>
      <c r="E18" t="e">
        <f>'REKAP RAB'!#REF!</f>
        <v>#REF!</v>
      </c>
      <c r="F18" t="str">
        <v>+</v>
      </c>
      <c r="H18" t="e">
        <f>'REKAP RAB'!O50</f>
        <v>#REF!</v>
      </c>
      <c r="I18" t="str">
        <v>+</v>
      </c>
    </row>
    <row r="20">
      <c r="D20" t="str">
        <v>Total Pekerjaan Fisik</v>
      </c>
      <c r="E20" t="e">
        <f>SUM(E9:E18)</f>
        <v>#REF!</v>
      </c>
      <c r="H20" t="e">
        <f>SUM(H9:H18)</f>
        <v>#REF!</v>
      </c>
    </row>
    <row r="22">
      <c r="A22" t="str">
        <v>I</v>
      </c>
      <c r="B22" t="str">
        <v>Pekerjaan Persiapan</v>
      </c>
      <c r="E22" t="e">
        <f>'RAB (B)'!#REF!</f>
        <v>#REF!</v>
      </c>
      <c r="H22" t="e">
        <f>'RAB (B)'!#REF!</f>
        <v>#REF!</v>
      </c>
    </row>
    <row r="23">
      <c r="A23" t="str">
        <v>II</v>
      </c>
      <c r="B23" t="str">
        <v>Pekerjaan Benangan</v>
      </c>
      <c r="E23">
        <f>'RAB (B)'!F34</f>
        <v>656004928</v>
      </c>
      <c r="F23" t="str">
        <v>+</v>
      </c>
      <c r="H23">
        <f>'RAB (B)'!O34</f>
        <v>519722600</v>
      </c>
      <c r="I23" t="str">
        <v>+</v>
      </c>
    </row>
    <row r="25">
      <c r="D25" t="str">
        <v>Total Pekerjaan Benangan</v>
      </c>
      <c r="E25" t="e">
        <f>SUM(E22:E23)</f>
        <v>#REF!</v>
      </c>
      <c r="H25" t="e">
        <f>SUM(H22:H23)</f>
        <v>#REF!</v>
      </c>
    </row>
    <row r="27">
      <c r="D27" t="str">
        <v>TOTAL</v>
      </c>
      <c r="E27" t="e">
        <f>SUM(E20,E25)</f>
        <v>#REF!</v>
      </c>
      <c r="H27" t="e">
        <f>SUM(H20,H25)</f>
        <v>#REF!</v>
      </c>
    </row>
    <row r="28">
      <c r="D28" t="str">
        <v>Diskon Fee Design</v>
      </c>
      <c r="E28">
        <v>207000000</v>
      </c>
      <c r="F28" t="str">
        <v>-</v>
      </c>
    </row>
    <row r="30">
      <c r="D30" t="str">
        <v>TOTAL</v>
      </c>
      <c r="E30" t="e">
        <f>E27-E28</f>
        <v>#REF!</v>
      </c>
    </row>
    <row r="32">
      <c r="A32" t="str">
        <v>Luas :</v>
      </c>
      <c r="B32" t="str">
        <f>'REKAP RAB'!J11</f>
        <v xml:space="preserve">           - Lantai Basement</v>
      </c>
      <c r="E32">
        <f>'REKAP RAB'!K11</f>
        <v>452.37499999999994</v>
      </c>
    </row>
    <row r="33">
      <c r="B33" t="str">
        <f>'REKAP RAB'!J12</f>
        <v xml:space="preserve">           - Lantai 1</v>
      </c>
      <c r="E33">
        <f>'REKAP RAB'!K12</f>
        <v>343.985</v>
      </c>
    </row>
    <row r="34">
      <c r="B34" t="str">
        <f>'REKAP RAB'!J13</f>
        <v xml:space="preserve">           - Lantai 2</v>
      </c>
      <c r="E34">
        <f>'REKAP RAB'!K13</f>
        <v>286.71</v>
      </c>
    </row>
    <row r="35">
      <c r="B35" t="str">
        <f>'REKAP RAB'!J14</f>
        <v xml:space="preserve">           - Lantai Attic</v>
      </c>
      <c r="E35">
        <f>'REKAP RAB'!K14</f>
        <v>245.07999999999998</v>
      </c>
    </row>
    <row r="36">
      <c r="B36" t="str">
        <f>'REKAP RAB'!J15</f>
        <v xml:space="preserve">           - Atap</v>
      </c>
      <c r="E36">
        <f>'REKAP RAB'!K15</f>
        <v>68.19500000000001</v>
      </c>
    </row>
    <row r="37">
      <c r="F37" t="str">
        <v>+</v>
      </c>
    </row>
    <row r="39">
      <c r="B39" t="str">
        <v>Total Luas Bangunan</v>
      </c>
      <c r="E39">
        <f>SUM(E32:E38)</f>
        <v>1396.3449999999998</v>
      </c>
      <c r="F39" t="str">
        <v>m2</v>
      </c>
    </row>
    <row r="41">
      <c r="B41" t="str">
        <v>Harga Bangunan Fisik (SETELAH DISKON FEE DESIGN)</v>
      </c>
      <c r="E41" t="e">
        <f>SUM(E30)/E39</f>
        <v>#REF!</v>
      </c>
      <c r="F41" t="str">
        <v>/m2</v>
      </c>
    </row>
    <row r="42">
      <c r="B42" t="str">
        <v>Harga Bangunan Fisik NETTO</v>
      </c>
      <c r="E42" t="e">
        <f>SUM(H9:H18)/E39</f>
        <v>#REF!</v>
      </c>
      <c r="F42" t="str">
        <v>/m2</v>
      </c>
    </row>
    <row r="44">
      <c r="B44" t="str">
        <v>SIMPANAN PROFIT</v>
      </c>
      <c r="E44" t="e">
        <f>E41/E42-1</f>
        <v>#REF!</v>
      </c>
    </row>
    <row r="48">
      <c r="B48" t="str">
        <v>Komposisi RAB (netto):</v>
      </c>
    </row>
    <row r="50">
      <c r="B50" t="str">
        <v>Material</v>
      </c>
    </row>
    <row r="51">
      <c r="B51" t="str">
        <v>Upah</v>
      </c>
      <c r="E51" t="str">
        <v>(borongan mandor)</v>
      </c>
    </row>
    <row r="52">
      <c r="B52" t="str">
        <v>Peralatan</v>
      </c>
      <c r="E52" t="str">
        <v>(scaffolding, concrete pump, dsb)</v>
      </c>
    </row>
    <row r="53">
      <c r="B53" t="str">
        <v>Subkon</v>
      </c>
      <c r="E53" t="str">
        <v>(cut &amp; fill, pancang, baja, septic tank)</v>
      </c>
    </row>
    <row r="54">
      <c r="B54" t="str">
        <v>Preliminary</v>
      </c>
    </row>
    <row r="56">
      <c r="B56" t="str">
        <v>TOTAL NETTO</v>
      </c>
    </row>
  </sheetData>
  <mergeCells count="4">
    <mergeCell ref="B39:D39"/>
    <mergeCell ref="B41:D41"/>
    <mergeCell ref="B42:D42"/>
    <mergeCell ref="B44:D44"/>
  </mergeCells>
  <pageMargins left="0.2362204724409449" right="0.2362204724409449" top="0.7480314960629921" bottom="0.7480314960629921" header="0.31496062992125984" footer="0.31496062992125984"/>
  <ignoredErrors>
    <ignoredError numberStoredAsText="1" sqref="A1:I7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S41"/>
  <sheetViews>
    <sheetView workbookViewId="0" rightToLeft="0"/>
  </sheetViews>
  <sheetData>
    <row r="1">
      <c r="A1" t="str">
        <v>Estimasi Biaya Pekerjaan Benangan Profil dan Benangan Opening</v>
      </c>
    </row>
    <row r="2">
      <c r="A2" t="str">
        <v>Lokasi</v>
      </c>
      <c r="B2" t="str">
        <v>: Pakuwon Indah PD3 no. 23</v>
      </c>
      <c r="N2" t="str">
        <v>Pek. Tanah</v>
      </c>
      <c r="O2">
        <v>1.22</v>
      </c>
      <c r="Q2" t="str">
        <v>Pek. Waterproofing</v>
      </c>
      <c r="R2">
        <v>1.12</v>
      </c>
    </row>
    <row r="3">
      <c r="A3" t="str">
        <v>Pemilik</v>
      </c>
      <c r="B3" t="str">
        <v>: Mrs. Melly</v>
      </c>
      <c r="J3" t="str">
        <v>FAKTOR KALI VOLUME (BETON, TANAH, DAN DINDING)</v>
      </c>
      <c r="K3">
        <v>1</v>
      </c>
      <c r="N3" t="str">
        <v>Pek. Tiang Pancang</v>
      </c>
      <c r="O3">
        <v>1.1</v>
      </c>
      <c r="Q3" t="str">
        <v>Benangan</v>
      </c>
      <c r="R3">
        <v>1.28</v>
      </c>
    </row>
    <row r="4">
      <c r="A4" t="str">
        <v>Tanggal</v>
      </c>
      <c r="B4" t="str">
        <v>: November 2024</v>
      </c>
      <c r="J4" t="str">
        <v>(spare untuk nego. Yang dikalikan faktor ini: balok, kolom, pas. Dinding, gali, urug)</v>
      </c>
      <c r="N4" t="str">
        <v>Pek. Beton Borongan</v>
      </c>
      <c r="O4">
        <v>1.14</v>
      </c>
    </row>
    <row r="5">
      <c r="N5" t="str">
        <v>Pek. Baja &amp; Atap</v>
      </c>
      <c r="O5">
        <v>1.24</v>
      </c>
    </row>
    <row r="6">
      <c r="N6" t="str">
        <v>Pek. Pasangan Dinding</v>
      </c>
      <c r="O6">
        <v>1.16</v>
      </c>
    </row>
    <row r="7">
      <c r="B7" t="str">
        <v>REKAPITULASI TOTAL:</v>
      </c>
      <c r="N7" t="str">
        <v>Pek. Saluran</v>
      </c>
      <c r="O7">
        <v>1.32</v>
      </c>
    </row>
    <row r="8">
      <c r="J8" t="str">
        <v>Catatan :</v>
      </c>
    </row>
    <row r="9">
      <c r="A9" t="str">
        <v>A</v>
      </c>
      <c r="B9" t="str">
        <v>Pekerjaan Persiapan</v>
      </c>
      <c r="F9" t="e">
        <f>'RAB (B)'!#REF!</f>
        <v>#REF!</v>
      </c>
    </row>
    <row r="10">
      <c r="A10" t="str">
        <v>B</v>
      </c>
      <c r="B10" t="str">
        <v>Pekerjaan Benangan</v>
      </c>
      <c r="F10">
        <f>'RAB (B)'!F34</f>
        <v>656004928</v>
      </c>
      <c r="G10" t="str">
        <v>+</v>
      </c>
      <c r="J10" t="str">
        <v xml:space="preserve">Luas : </v>
      </c>
    </row>
    <row r="11">
      <c r="J11" t="str">
        <v xml:space="preserve">           - Lantai Basement</v>
      </c>
      <c r="K11">
        <f>'REKAP Plat'!F13</f>
        <v>452.37499999999994</v>
      </c>
    </row>
    <row r="12">
      <c r="E12" t="str">
        <v>TOTAL</v>
      </c>
      <c r="F12" t="e">
        <f>SUM(F9:F10)</f>
        <v>#REF!</v>
      </c>
      <c r="J12" t="str">
        <v xml:space="preserve">           - Lantai 1</v>
      </c>
      <c r="K12">
        <f>'REKAP Plat'!F24</f>
        <v>343.985</v>
      </c>
    </row>
    <row r="13">
      <c r="J13" t="str">
        <v xml:space="preserve">           - Lantai 2</v>
      </c>
      <c r="K13">
        <f>'REKAP Plat'!F35</f>
        <v>286.71</v>
      </c>
    </row>
    <row r="14">
      <c r="J14" t="str">
        <v xml:space="preserve">           - Lantai Attic</v>
      </c>
      <c r="K14">
        <f>'REKAP Plat'!F48</f>
        <v>245.07999999999998</v>
      </c>
    </row>
    <row r="15">
      <c r="J15" t="str">
        <v xml:space="preserve">           - Atap</v>
      </c>
      <c r="K15">
        <f>'REKAP Plat'!F59</f>
        <v>68.19500000000001</v>
      </c>
      <c r="L15" t="str">
        <v>m2</v>
      </c>
    </row>
    <row r="17">
      <c r="K17">
        <f>SUM(K11:K16)</f>
        <v>1396.3449999999998</v>
      </c>
      <c r="L17" t="str">
        <v>m2</v>
      </c>
    </row>
    <row r="19">
      <c r="J19" t="str">
        <v>Harga Bangunan Fisik</v>
      </c>
      <c r="K19" t="e">
        <f>F9/K17</f>
        <v>#REF!</v>
      </c>
      <c r="L19" t="str">
        <v>/m2</v>
      </c>
    </row>
    <row r="20">
      <c r="J20" t="str">
        <v>Harga Bangunan Fisik Total (incl. diskon fee design)</v>
      </c>
      <c r="K20">
        <f>F15/K17</f>
        <v>0</v>
      </c>
      <c r="L20" t="str">
        <v>/m2</v>
      </c>
    </row>
    <row r="34">
      <c r="B34" t="str">
        <v xml:space="preserve"> </v>
      </c>
    </row>
  </sheetData>
  <pageMargins left="0.7480314960629921" right="0.3937007874015748" top="0.7874015748031497" bottom="0.7874015748031497" header="0" footer="0"/>
  <ignoredErrors>
    <ignoredError numberStoredAsText="1" sqref="A1:S4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S125"/>
  <sheetViews>
    <sheetView workbookViewId="0" rightToLeft="0"/>
  </sheetViews>
  <sheetData>
    <row r="1">
      <c r="A1" t="str">
        <v>Pekerjaan Tambah - Kurang Akibat Perubahan Pondasi</v>
      </c>
    </row>
    <row r="2">
      <c r="A2" t="str">
        <v>Lokasi</v>
      </c>
      <c r="B2" t="str">
        <v>: Pakuwon Indah PD3 no. 23</v>
      </c>
      <c r="N2" t="str">
        <v>Pek. Tanah</v>
      </c>
      <c r="O2">
        <v>1.22</v>
      </c>
      <c r="Q2" t="str">
        <v>Pek. Waterproofing</v>
      </c>
      <c r="R2">
        <v>1.12</v>
      </c>
    </row>
    <row r="3">
      <c r="A3" t="str">
        <v>Pemilik</v>
      </c>
      <c r="B3" t="str">
        <v>: Mrs. Melly</v>
      </c>
      <c r="J3" t="str">
        <v>FAKTOR KALI VOLUME (BETON, TANAH, DAN DINDING)</v>
      </c>
      <c r="K3">
        <v>1</v>
      </c>
      <c r="N3" t="str">
        <v>Pek. Tiang Pancang</v>
      </c>
      <c r="O3">
        <v>1.1</v>
      </c>
      <c r="Q3" t="str">
        <v>Benangan</v>
      </c>
      <c r="R3">
        <v>1.28</v>
      </c>
    </row>
    <row r="4">
      <c r="A4" t="str">
        <v>Tanggal</v>
      </c>
      <c r="B4" t="str">
        <v>: Agustus 2025</v>
      </c>
      <c r="J4" t="str">
        <v>(spare untuk nego. Yang dikalikan faktor ini: balok, kolom, pas. Dinding, gali, urug)</v>
      </c>
      <c r="N4" t="str">
        <v>Pek. Beton Borongan</v>
      </c>
      <c r="O4">
        <v>1.14</v>
      </c>
    </row>
    <row r="5">
      <c r="N5" t="str">
        <v>Pek. Baja &amp; Atap</v>
      </c>
      <c r="O5">
        <v>1.24</v>
      </c>
    </row>
    <row r="6">
      <c r="N6" t="str">
        <v>Pek. Pasangan Dinding</v>
      </c>
      <c r="O6">
        <v>1.16</v>
      </c>
    </row>
    <row r="7">
      <c r="B7" t="str">
        <v>REKAPITULASI TOTAL:</v>
      </c>
      <c r="N7" t="str">
        <v>Pek. Saluran</v>
      </c>
      <c r="O7">
        <v>1.32</v>
      </c>
    </row>
    <row r="8">
      <c r="J8" t="str">
        <v>Catatan :</v>
      </c>
    </row>
    <row r="9">
      <c r="A9" t="str">
        <v>A</v>
      </c>
      <c r="B9" t="str">
        <v>Pekerjaan Fisik Bangunan Utama</v>
      </c>
      <c r="F9">
        <f>F49</f>
        <v>8370516706.800411</v>
      </c>
    </row>
    <row r="10">
      <c r="E10" t="str">
        <v>Diskon Fee Design</v>
      </c>
      <c r="F10">
        <v>207000000</v>
      </c>
      <c r="G10" t="str">
        <v>-</v>
      </c>
      <c r="J10" t="str">
        <v xml:space="preserve">Luas : </v>
      </c>
    </row>
    <row r="11">
      <c r="J11" t="str">
        <v xml:space="preserve">           - Lantai Basement</v>
      </c>
      <c r="K11">
        <f>'REKAP Plat'!F13</f>
        <v>452.37499999999994</v>
      </c>
    </row>
    <row r="12">
      <c r="D12" t="str">
        <v>GRAND TOTAL :</v>
      </c>
      <c r="F12">
        <f>F9-F10</f>
        <v>8163516706.800411</v>
      </c>
      <c r="J12" t="str">
        <v xml:space="preserve">           - Lantai 1</v>
      </c>
      <c r="K12">
        <f>'REKAP Plat'!F24</f>
        <v>343.985</v>
      </c>
    </row>
    <row r="13">
      <c r="J13" t="str">
        <v xml:space="preserve">           - Lantai 2</v>
      </c>
      <c r="K13">
        <f>'REKAP Plat'!F35</f>
        <v>286.71</v>
      </c>
    </row>
    <row r="14">
      <c r="B14" t="str">
        <v>KETERANGAN :</v>
      </c>
      <c r="J14" t="str">
        <v xml:space="preserve">           - Lantai Attic</v>
      </c>
      <c r="K14">
        <f>'REKAP Plat'!F48</f>
        <v>245.07999999999998</v>
      </c>
    </row>
    <row r="15">
      <c r="A15">
        <v>1</v>
      </c>
      <c r="B15" t="str">
        <v>Pekerjaan di atas hanya pekerjaan fisik bangunan saja sesuai dengan perincian yang tertulis.</v>
      </c>
      <c r="J15" t="str">
        <v xml:space="preserve">           - Atap</v>
      </c>
      <c r="K15">
        <f>'REKAP Plat'!F59</f>
        <v>68.19500000000001</v>
      </c>
      <c r="L15" t="str">
        <v>m2</v>
      </c>
    </row>
    <row r="16">
      <c r="A16">
        <v>2</v>
      </c>
      <c r="B16" t="str">
        <v>Pondasi diganti strauss semua, berdasarkan gambar struktur 24 Feb 2025</v>
      </c>
    </row>
    <row r="17">
      <c r="A17">
        <v>3</v>
      </c>
      <c r="B17" t="str">
        <v>Belum termasuk pekerjaan:</v>
      </c>
      <c r="K17">
        <f>SUM(K11:K16)</f>
        <v>1396.3449999999998</v>
      </c>
      <c r="L17" t="str">
        <v>m2</v>
      </c>
    </row>
    <row r="18">
      <c r="B18" t="str">
        <v xml:space="preserve"> - Screed lantai</v>
      </c>
    </row>
    <row r="19">
      <c r="B19" t="str">
        <v xml:space="preserve"> - Penebalan dinding untuk keperluan finishing</v>
      </c>
      <c r="J19" t="str">
        <v>Harga Bangunan Fisik</v>
      </c>
      <c r="K19">
        <f>F9/K17</f>
        <v>5994590.668352314</v>
      </c>
      <c r="L19" t="str">
        <v>/m2</v>
      </c>
    </row>
    <row r="20">
      <c r="B20" t="str">
        <v xml:space="preserve"> - Kanopi kaca dan aksesorisnya, termasuk rangka tambahan yang tidak tergambar pada gambar struktur</v>
      </c>
      <c r="J20" t="str">
        <v>Harga Bangunan Fisik Total (incl. diskon fee design)</v>
      </c>
      <c r="K20">
        <f>F12/K17</f>
        <v>5846346.502333172</v>
      </c>
      <c r="L20" t="str">
        <v>/m2</v>
      </c>
    </row>
    <row r="21">
      <c r="A21">
        <v>4</v>
      </c>
      <c r="B21" t="str">
        <v>Perincian pekerjaan di atas belum termasuk biaya :</v>
      </c>
    </row>
    <row r="22">
      <c r="A22" t="str">
        <v xml:space="preserve"> </v>
      </c>
      <c r="B22" t="str">
        <v xml:space="preserve"> - Perizinan seperti IMB, penyambungan PLN, PDAM</v>
      </c>
    </row>
    <row r="23">
      <c r="A23" t="str">
        <v xml:space="preserve"> </v>
      </c>
      <c r="B23" t="str">
        <v xml:space="preserve"> - PPN &amp; pajak-pajak</v>
      </c>
      <c r="K23" t="str">
        <v>Nilai Kontrak</v>
      </c>
      <c r="L23" t="str">
        <v>Perubahan (+ / -)</v>
      </c>
    </row>
    <row r="24">
      <c r="A24" t="str">
        <v xml:space="preserve"> </v>
      </c>
      <c r="B24" t="str">
        <v xml:space="preserve"> - Pekerjaan instalasi air bersih.</v>
      </c>
    </row>
    <row r="25">
      <c r="A25">
        <v>5</v>
      </c>
      <c r="B25" t="str">
        <v>Belum termasuk pekerjaan Pekerjaan Finishing, Mekanikal, Elektrikal, dan Elektronik, antara lain :</v>
      </c>
    </row>
    <row r="26">
      <c r="B26" t="str">
        <v xml:space="preserve"> - Instalasi kabel telepon, TV &amp; CCTV serta penangkal petir</v>
      </c>
      <c r="J26" t="str">
        <v>pekerjaan fisik sebelum dipotong diskon fee design</v>
      </c>
      <c r="K26">
        <v>8104410128.523274</v>
      </c>
    </row>
    <row r="27">
      <c r="B27" t="str">
        <v xml:space="preserve"> - Pekerjaan instalasi pemipaan air bersih</v>
      </c>
      <c r="J27" t="str">
        <v>perubahan pondasi (s/d revisi poer dan kolom)</v>
      </c>
      <c r="L27">
        <v>341154046.8049171</v>
      </c>
    </row>
    <row r="28">
      <c r="B28" t="str">
        <v xml:space="preserve"> - Pekerjaan pemasangan marmer &amp; keramik</v>
      </c>
      <c r="J28" t="str">
        <v>perubahan sloof dan balok</v>
      </c>
      <c r="L28">
        <v>243346592.3943076</v>
      </c>
    </row>
    <row r="29">
      <c r="B29" t="str">
        <v xml:space="preserve"> - Pekerjaan waterproofing dan pengecatan</v>
      </c>
      <c r="L29">
        <f>K29-K28</f>
        <v>0</v>
      </c>
    </row>
    <row r="30">
      <c r="B30" t="str">
        <v xml:space="preserve"> - Pekerjaan plafond dan kelengkapannya (rangka dan lis / shadow line, drop ceiling, dan cove lampu)</v>
      </c>
      <c r="L30">
        <f>K30-K29</f>
        <v>0</v>
      </c>
    </row>
    <row r="31">
      <c r="B31" t="str">
        <v xml:space="preserve"> - Pekerjaan taman (tanah subur dan pohon + rumputnya)</v>
      </c>
    </row>
    <row r="32">
      <c r="B32" t="str">
        <v xml:space="preserve"> - Tandon atas</v>
      </c>
    </row>
    <row r="35">
      <c r="B35" t="str">
        <v>REKAPITULASI (A):</v>
      </c>
    </row>
    <row r="36">
      <c r="B36" t="str">
        <v>Pekerjaan Fisik Bangunan Utama</v>
      </c>
    </row>
    <row r="38">
      <c r="A38" t="str">
        <v>I</v>
      </c>
      <c r="B38" t="str">
        <v>Pekerjaan Persiapan</v>
      </c>
      <c r="F38">
        <f>'RAB (A)'!F22</f>
        <v>235530000</v>
      </c>
    </row>
    <row r="39">
      <c r="A39" t="str">
        <v>II</v>
      </c>
      <c r="B39" t="str">
        <v>Pekerjaan Tanah dan Pondasi</v>
      </c>
      <c r="F39">
        <f>'RAB (A)'!F45</f>
        <v>1037921616.4118215</v>
      </c>
    </row>
    <row r="40">
      <c r="A40" t="str">
        <v>III</v>
      </c>
      <c r="B40" t="str">
        <v>Pekerjaan Fisik Lantai Basement</v>
      </c>
      <c r="F40">
        <f>'RAB (A)'!F125</f>
        <v>1533956111.8853629</v>
      </c>
    </row>
    <row r="41">
      <c r="A41" t="str">
        <v>IV</v>
      </c>
      <c r="B41" t="str">
        <v>Pekerjaan Fisik Lantai 1</v>
      </c>
      <c r="F41">
        <f>'RAB (A)'!F187</f>
        <v>1093233070.9226682</v>
      </c>
      <c r="O41" t="e">
        <f>'RAB (A)'!#REF!</f>
        <v>#REF!</v>
      </c>
    </row>
    <row r="42">
      <c r="A42" t="str">
        <v>V</v>
      </c>
      <c r="B42" t="str">
        <v>Pekerjaan Fisik Lantai 2</v>
      </c>
      <c r="F42">
        <f>'RAB (A)'!F253</f>
        <v>755497553.6264251</v>
      </c>
      <c r="O42" t="e">
        <f>'RAB (A)'!#REF!</f>
        <v>#REF!</v>
      </c>
    </row>
    <row r="43">
      <c r="A43" t="str">
        <v>VI</v>
      </c>
      <c r="B43" t="str">
        <v>Pekerjaan Fisik Lantai Attic</v>
      </c>
      <c r="F43">
        <f>'RAB (A)'!F319</f>
        <v>660949526.4309149</v>
      </c>
      <c r="O43" t="e">
        <f>'RAB (A)'!#REF!</f>
        <v>#REF!</v>
      </c>
    </row>
    <row r="44">
      <c r="A44" t="str">
        <v>VII</v>
      </c>
      <c r="B44" t="str">
        <v>Pekerjaan Fisik Atap</v>
      </c>
      <c r="F44">
        <f>'RAB (A)'!F353</f>
        <v>288512477.34910935</v>
      </c>
      <c r="O44" t="e">
        <f>'RAB (A)'!#REF!</f>
        <v>#REF!</v>
      </c>
    </row>
    <row r="45">
      <c r="A45" t="str">
        <v>VIII</v>
      </c>
      <c r="B45" t="str">
        <v>Pekerjaan Baja dan Penutup Atap</v>
      </c>
      <c r="F45">
        <f>'RAB (A)'!F382</f>
        <v>586377616.225</v>
      </c>
      <c r="O45" t="e">
        <f>'RAB (A)'!#REF!</f>
        <v>#REF!</v>
      </c>
    </row>
    <row r="46">
      <c r="A46" t="str">
        <v>IX</v>
      </c>
      <c r="B46" t="str">
        <v>Pekerjaan Pasangan Dinding Bata Merah</v>
      </c>
      <c r="F46">
        <f>'RAB (A)'!F415</f>
        <v>1782538733.9491086</v>
      </c>
      <c r="O46" t="e">
        <f>'RAB (A)'!#REF!</f>
        <v>#REF!</v>
      </c>
    </row>
    <row r="47">
      <c r="A47" t="str">
        <v>X</v>
      </c>
      <c r="B47" t="str">
        <v>Pekerjaan Instalasi Air Kotor &amp; Air Hujan</v>
      </c>
      <c r="F47">
        <f>'RAB (A)'!F424</f>
        <v>396000000</v>
      </c>
      <c r="G47" t="str">
        <v>+</v>
      </c>
      <c r="O47" t="e">
        <f>'RAB (A)'!#REF!</f>
        <v>#REF!</v>
      </c>
    </row>
    <row r="48">
      <c r="O48" t="e">
        <f>'RAB (A)'!#REF!</f>
        <v>#REF!</v>
      </c>
    </row>
    <row r="49">
      <c r="E49" t="str">
        <v>TOTAL (A)</v>
      </c>
      <c r="F49">
        <f>SUM(F38:F47)</f>
        <v>8370516706.800411</v>
      </c>
      <c r="O49" t="e">
        <f>'RAB (A)'!#REF!</f>
        <v>#REF!</v>
      </c>
    </row>
    <row r="50">
      <c r="O50" t="e">
        <f>'RAB (A)'!#REF!</f>
        <v>#REF!</v>
      </c>
      <c r="P50" t="str">
        <v>+</v>
      </c>
    </row>
    <row r="52">
      <c r="O52" t="e">
        <f>SUM(O41:O50)</f>
        <v>#REF!</v>
      </c>
    </row>
    <row r="56">
      <c r="L56">
        <f>K56-K30</f>
        <v>0</v>
      </c>
    </row>
    <row r="57">
      <c r="L57">
        <f>K57-K56</f>
        <v>0</v>
      </c>
    </row>
    <row r="58">
      <c r="L58">
        <f>K58-K57</f>
        <v>0</v>
      </c>
    </row>
    <row r="60">
      <c r="O60" t="e">
        <f>'RAB (B)'!#REF!</f>
        <v>#REF!</v>
      </c>
    </row>
    <row r="61">
      <c r="O61">
        <f>'RAB (B)'!O34</f>
        <v>519722600</v>
      </c>
      <c r="P61" t="str">
        <v>+</v>
      </c>
    </row>
    <row r="63">
      <c r="O63" t="e">
        <f>SUM(O60:O61)</f>
        <v>#REF!</v>
      </c>
    </row>
    <row r="76">
      <c r="B76" t="str">
        <v xml:space="preserve"> </v>
      </c>
    </row>
  </sheetData>
  <mergeCells count="1">
    <mergeCell ref="D12:E12"/>
  </mergeCells>
  <pageMargins left="0.7480314960629921" right="0.3937007874015748" top="0.7874015748031497" bottom="0.7874015748031497" header="0" footer="0"/>
  <ignoredErrors>
    <ignoredError numberStoredAsText="1" sqref="A1:S12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AO429"/>
  <sheetViews>
    <sheetView workbookViewId="0" rightToLeft="0"/>
  </sheetViews>
  <sheetData>
    <row r="1">
      <c r="A1" t="str">
        <f>'REKAP RAB'!A1</f>
        <v>Pekerjaan Tambah - Kurang Akibat Perubahan Pondasi</v>
      </c>
    </row>
    <row r="2">
      <c r="A2" t="str">
        <v>Pekerjaan</v>
      </c>
      <c r="B2" t="str">
        <v>: Pekerjaan Perubahan Pondasi</v>
      </c>
    </row>
    <row r="3">
      <c r="A3" t="str">
        <v>Lokasi</v>
      </c>
      <c r="B3" t="str">
        <f>'REKAP RAB'!B2</f>
        <v>: Pakuwon Indah PD3 no. 23</v>
      </c>
    </row>
    <row r="4">
      <c r="A4" t="str">
        <v>Pemilik</v>
      </c>
      <c r="B4" t="str">
        <f>'REKAP RAB'!B3</f>
        <v>: Mrs. Melly</v>
      </c>
    </row>
    <row r="5">
      <c r="A5" t="str">
        <v xml:space="preserve">Tanggal </v>
      </c>
      <c r="B5" t="str">
        <f>'REKAP RAB'!B4</f>
        <v>: Agustus 2025</v>
      </c>
    </row>
    <row r="6">
      <c r="R6" t="str">
        <v>Beton</v>
      </c>
      <c r="V6" t="str">
        <v>Bekisting</v>
      </c>
      <c r="Z6" t="str">
        <v>Besi</v>
      </c>
      <c r="AC6" t="str">
        <v>Wire Mesh</v>
      </c>
    </row>
    <row r="7">
      <c r="A7" t="str">
        <v>NO</v>
      </c>
      <c r="B7" t="str">
        <v>URAIAN PEKERJAAN</v>
      </c>
      <c r="C7" t="str">
        <v>SAT</v>
      </c>
      <c r="D7" t="str">
        <v>VOLUME</v>
      </c>
      <c r="E7" t="str">
        <v>HARGA SATUAN</v>
      </c>
      <c r="F7" t="str">
        <v>TOTAL HARGA</v>
      </c>
      <c r="H7" t="str">
        <v>VOLUME</v>
      </c>
      <c r="I7" t="str">
        <v>Material</v>
      </c>
      <c r="J7" t="str">
        <v>Upah</v>
      </c>
      <c r="K7" t="str">
        <v>Peralatan</v>
      </c>
      <c r="L7" t="str">
        <v>Subkon</v>
      </c>
      <c r="M7" t="str">
        <v>Prelim</v>
      </c>
      <c r="N7" t="str">
        <v>TOTAL HARGA SATUAN</v>
      </c>
      <c r="O7" t="str">
        <v>TOTAL HARGA</v>
      </c>
      <c r="R7" t="str">
        <v>Material</v>
      </c>
      <c r="S7" t="str">
        <v>Upah</v>
      </c>
      <c r="T7" t="str">
        <v>Peralatan</v>
      </c>
      <c r="V7" t="str">
        <v>Rasio</v>
      </c>
      <c r="W7" t="str">
        <v>Material</v>
      </c>
      <c r="X7" t="str">
        <v>Peralatan</v>
      </c>
      <c r="Z7" t="str">
        <v>Rasio</v>
      </c>
      <c r="AA7" t="str">
        <v>Material</v>
      </c>
      <c r="AC7" t="str">
        <v>Rasio</v>
      </c>
      <c r="AD7" t="str">
        <v>Material</v>
      </c>
      <c r="AF7" t="str">
        <v>Harga Jadi MATERIAL / m3</v>
      </c>
      <c r="AG7" t="str">
        <v>Harga Jadi UPAH / m3</v>
      </c>
      <c r="AH7" t="str">
        <v>Harga Jadi PERALATAN / m3</v>
      </c>
      <c r="AJ7" t="str">
        <v>Total Bekisting</v>
      </c>
      <c r="AL7" t="str">
        <v>Total Besi</v>
      </c>
    </row>
    <row r="9">
      <c r="A9" t="str">
        <v>I</v>
      </c>
      <c r="B9" t="str">
        <v>PEKERJAAN PERSIAPAN</v>
      </c>
    </row>
    <row r="11">
      <c r="A11">
        <v>1</v>
      </c>
      <c r="B11" t="str">
        <v>Pagar pengaman</v>
      </c>
      <c r="C11" t="str">
        <v>m1</v>
      </c>
      <c r="D11">
        <f>H11</f>
        <v>26</v>
      </c>
      <c r="E11">
        <f>N11</f>
        <v>200000</v>
      </c>
      <c r="F11">
        <f>D11*E11</f>
        <v>5200000</v>
      </c>
      <c r="H11">
        <v>26</v>
      </c>
      <c r="J11">
        <v>50000</v>
      </c>
      <c r="M11">
        <v>150000</v>
      </c>
      <c r="N11">
        <f>SUM(I11:M11)</f>
        <v>200000</v>
      </c>
      <c r="O11">
        <f>H11*N11</f>
        <v>5200000</v>
      </c>
      <c r="AF11">
        <f>R11+V11*W11+Z11*AA11</f>
        <v>0</v>
      </c>
      <c r="AG11">
        <f>S11</f>
        <v>0</v>
      </c>
      <c r="AH11">
        <f>T11+V11*X11</f>
        <v>0</v>
      </c>
    </row>
    <row r="12">
      <c r="A12">
        <v>2</v>
      </c>
      <c r="B12" t="str">
        <v>Uitzet/Pasang bowplank</v>
      </c>
      <c r="C12" t="str">
        <v>ls</v>
      </c>
      <c r="D12">
        <f>H12</f>
        <v>1</v>
      </c>
      <c r="E12">
        <f>N12</f>
        <v>7680000</v>
      </c>
      <c r="F12">
        <f>D12*E12</f>
        <v>7680000</v>
      </c>
      <c r="H12">
        <v>1</v>
      </c>
      <c r="I12">
        <f>2*(18+30)*50000</f>
        <v>4800000</v>
      </c>
      <c r="J12">
        <f>2*(18+30)*30000</f>
        <v>2880000</v>
      </c>
      <c r="N12">
        <f>SUM(I12:M12)</f>
        <v>7680000</v>
      </c>
      <c r="O12">
        <f>H12*N12</f>
        <v>7680000</v>
      </c>
      <c r="AF12">
        <f>R12+V12*W12+Z12*AA12</f>
        <v>0</v>
      </c>
      <c r="AG12">
        <f>S12</f>
        <v>0</v>
      </c>
      <c r="AH12">
        <f>T12+V12*X12</f>
        <v>0</v>
      </c>
    </row>
    <row r="13">
      <c r="A13">
        <v>3</v>
      </c>
      <c r="B13" t="str">
        <v>Pengukuran dan penandaan titik tiang pancang dan bored pile</v>
      </c>
      <c r="C13" t="str">
        <v>titik</v>
      </c>
      <c r="D13">
        <f>H13</f>
        <v>155</v>
      </c>
      <c r="E13">
        <f>N13</f>
        <v>30000</v>
      </c>
      <c r="F13">
        <f>D13*E13</f>
        <v>4650000</v>
      </c>
      <c r="H13">
        <f>SUM('REKAP-PC'!E24:F24)</f>
        <v>155</v>
      </c>
      <c r="J13">
        <v>30000</v>
      </c>
      <c r="N13">
        <f>SUM(I13:M13)</f>
        <v>30000</v>
      </c>
      <c r="O13">
        <f>H13*N13</f>
        <v>4650000</v>
      </c>
    </row>
    <row r="14">
      <c r="A14">
        <v>4</v>
      </c>
      <c r="B14" t="str">
        <v>Air kerja proyek</v>
      </c>
      <c r="C14" t="str">
        <v>bln</v>
      </c>
      <c r="D14">
        <f>H14</f>
        <v>12</v>
      </c>
      <c r="E14">
        <f>N14</f>
        <v>1500000</v>
      </c>
      <c r="F14">
        <f>D14*E14</f>
        <v>18000000</v>
      </c>
      <c r="H14">
        <v>12</v>
      </c>
      <c r="M14">
        <v>1500000</v>
      </c>
      <c r="N14">
        <f>SUM(I14:M14)</f>
        <v>1500000</v>
      </c>
      <c r="O14">
        <f>H14*N14</f>
        <v>18000000</v>
      </c>
      <c r="AF14">
        <f>R14+V14*W14+Z14*AA14</f>
        <v>0</v>
      </c>
      <c r="AG14">
        <f>S14</f>
        <v>0</v>
      </c>
      <c r="AH14">
        <f>T14+V14*X14</f>
        <v>0</v>
      </c>
    </row>
    <row r="15">
      <c r="A15">
        <v>5</v>
      </c>
      <c r="B15" t="str">
        <v>Listrik kerja dan penerangan</v>
      </c>
      <c r="C15" t="str">
        <v>bln</v>
      </c>
      <c r="D15">
        <f>H15</f>
        <v>12</v>
      </c>
      <c r="E15">
        <f>N15</f>
        <v>1000000</v>
      </c>
      <c r="F15">
        <f>D15*E15</f>
        <v>12000000</v>
      </c>
      <c r="H15">
        <f>H14</f>
        <v>12</v>
      </c>
      <c r="M15">
        <v>1000000</v>
      </c>
      <c r="N15">
        <f>SUM(I15:M15)</f>
        <v>1000000</v>
      </c>
      <c r="O15">
        <f>H15*N15</f>
        <v>12000000</v>
      </c>
      <c r="AF15">
        <f>R15+V15*W15+Z15*AA15</f>
        <v>0</v>
      </c>
      <c r="AG15">
        <f>S15</f>
        <v>0</v>
      </c>
      <c r="AH15">
        <f>T15+V15*X15</f>
        <v>0</v>
      </c>
    </row>
    <row r="16">
      <c r="A16">
        <v>6</v>
      </c>
      <c r="B16" t="str">
        <v>Direksi keet, gudang material, dan area kerja</v>
      </c>
      <c r="C16" t="str">
        <v>ls</v>
      </c>
      <c r="D16">
        <f>H16</f>
        <v>1</v>
      </c>
      <c r="E16">
        <f>N16</f>
        <v>30000000</v>
      </c>
      <c r="F16">
        <f>D16*E16</f>
        <v>30000000</v>
      </c>
      <c r="H16">
        <v>1</v>
      </c>
      <c r="I16">
        <v>20000000</v>
      </c>
      <c r="J16">
        <v>10000000</v>
      </c>
      <c r="N16">
        <f>SUM(I16:M16)</f>
        <v>30000000</v>
      </c>
      <c r="O16">
        <f>H16*N16</f>
        <v>30000000</v>
      </c>
      <c r="AF16">
        <f>R16+V16*W16+Z16*AA16</f>
        <v>0</v>
      </c>
      <c r="AG16">
        <f>S16</f>
        <v>0</v>
      </c>
      <c r="AH16">
        <f>T16+V16*X16</f>
        <v>0</v>
      </c>
    </row>
    <row r="17">
      <c r="A17">
        <v>7</v>
      </c>
      <c r="B17" t="str">
        <v>Jaga / keamanan / logistik proyek fisik</v>
      </c>
      <c r="C17" t="str">
        <v>bln</v>
      </c>
      <c r="D17">
        <f>H17</f>
        <v>12</v>
      </c>
      <c r="E17">
        <f>N17</f>
        <v>2000000</v>
      </c>
      <c r="F17">
        <f>D17*E17</f>
        <v>24000000</v>
      </c>
      <c r="H17">
        <f>H14</f>
        <v>12</v>
      </c>
      <c r="M17">
        <v>2000000</v>
      </c>
      <c r="N17">
        <f>SUM(I17:M17)</f>
        <v>2000000</v>
      </c>
      <c r="O17">
        <f>H17*N17</f>
        <v>24000000</v>
      </c>
      <c r="AF17">
        <f>R17+V17*W17+Z17*AA17</f>
        <v>0</v>
      </c>
      <c r="AG17">
        <f>S17</f>
        <v>0</v>
      </c>
      <c r="AH17">
        <f>T17+V17*X17</f>
        <v>0</v>
      </c>
    </row>
    <row r="18">
      <c r="A18">
        <v>8</v>
      </c>
      <c r="B18" t="str">
        <v>Angkut tanah &amp; bongkaran keluar lokasi</v>
      </c>
      <c r="C18" t="str">
        <v>bln</v>
      </c>
      <c r="D18">
        <f>H18</f>
        <v>12</v>
      </c>
      <c r="E18">
        <f>N18</f>
        <v>1500000</v>
      </c>
      <c r="F18">
        <f>D18*E18</f>
        <v>18000000</v>
      </c>
      <c r="H18">
        <f>H14</f>
        <v>12</v>
      </c>
      <c r="M18">
        <v>1500000</v>
      </c>
      <c r="N18">
        <f>SUM(I18:M18)</f>
        <v>1500000</v>
      </c>
      <c r="O18">
        <f>H18*N18</f>
        <v>18000000</v>
      </c>
      <c r="AF18">
        <f>R18+V18*W18+Z18*AA18</f>
        <v>0</v>
      </c>
      <c r="AG18">
        <f>S18</f>
        <v>0</v>
      </c>
      <c r="AH18">
        <f>T18+V18*X18</f>
        <v>0</v>
      </c>
    </row>
    <row r="19">
      <c r="A19">
        <v>9</v>
      </c>
      <c r="B19" t="str">
        <v>Pembersihan lokasi selama proyek fisik berjalan</v>
      </c>
      <c r="C19" t="str">
        <v>bln</v>
      </c>
      <c r="D19">
        <f>H19</f>
        <v>12</v>
      </c>
      <c r="E19">
        <f>N19</f>
        <v>3000000</v>
      </c>
      <c r="F19">
        <f>D19*E19</f>
        <v>36000000</v>
      </c>
      <c r="H19">
        <f>H14</f>
        <v>12</v>
      </c>
      <c r="J19">
        <v>3000000</v>
      </c>
      <c r="N19">
        <f>SUM(I19:M19)</f>
        <v>3000000</v>
      </c>
      <c r="O19">
        <f>H19*N19</f>
        <v>36000000</v>
      </c>
      <c r="AF19">
        <f>R19+V19*W19+Z19*AA19</f>
        <v>0</v>
      </c>
      <c r="AG19">
        <f>S19</f>
        <v>0</v>
      </c>
      <c r="AH19">
        <f>T19+V19*X19</f>
        <v>0</v>
      </c>
    </row>
    <row r="20">
      <c r="A20">
        <v>10</v>
      </c>
      <c r="B20" t="str">
        <v>Peralatan kerja</v>
      </c>
      <c r="C20" t="str">
        <v>ls</v>
      </c>
      <c r="D20">
        <f>H20</f>
        <v>1</v>
      </c>
      <c r="E20">
        <f>N20</f>
        <v>80000000</v>
      </c>
      <c r="F20">
        <f>D20*E20</f>
        <v>80000000</v>
      </c>
      <c r="H20">
        <v>1</v>
      </c>
      <c r="K20">
        <v>80000000</v>
      </c>
      <c r="N20">
        <f>SUM(I20:M20)</f>
        <v>80000000</v>
      </c>
      <c r="O20">
        <f>H20*N20</f>
        <v>80000000</v>
      </c>
    </row>
    <row r="22">
      <c r="A22" t="str">
        <v>Subtotal Pekerjaan Persiapan</v>
      </c>
      <c r="F22">
        <f>SUM(F9:F21)</f>
        <v>235530000</v>
      </c>
      <c r="O22">
        <f>SUM(O9:O21)</f>
        <v>235530000</v>
      </c>
    </row>
    <row r="24">
      <c r="A24" t="str">
        <v>II</v>
      </c>
      <c r="B24" t="str">
        <v>PEKERJAAN TANAH DAN PONDASI</v>
      </c>
    </row>
    <row r="26">
      <c r="A26" t="str">
        <v>A</v>
      </c>
      <c r="B26" t="str">
        <v>Pekerjaan Tanah</v>
      </c>
    </row>
    <row r="27">
      <c r="A27">
        <v>1</v>
      </c>
      <c r="B27" t="str">
        <v>Cut and fill, buangan sampah, tanaman, dan tanah asli untuk pembentukan lahan</v>
      </c>
      <c r="C27" t="str">
        <v>ls</v>
      </c>
      <c r="D27">
        <f>H27</f>
        <v>1</v>
      </c>
      <c r="E27">
        <f>N27*'REKAP RAB'!$O$2</f>
        <v>83623680</v>
      </c>
      <c r="F27">
        <f>D27*E27</f>
        <v>83623680</v>
      </c>
      <c r="H27">
        <v>1</v>
      </c>
      <c r="L27">
        <f>18*32*1.7*70000</f>
        <v>68544000</v>
      </c>
      <c r="N27">
        <f>SUM(I27:M27)</f>
        <v>68544000</v>
      </c>
      <c r="O27">
        <f>H27*N27</f>
        <v>68544000</v>
      </c>
    </row>
    <row r="28">
      <c r="A28">
        <v>2</v>
      </c>
      <c r="B28" t="str">
        <v>Urugan sirtu untuk pekerjaan pondasi</v>
      </c>
      <c r="C28" t="str">
        <v>ls</v>
      </c>
      <c r="D28">
        <f>H28</f>
        <v>1</v>
      </c>
      <c r="E28">
        <f>N28*'REKAP RAB'!$O$2</f>
        <v>86083200</v>
      </c>
      <c r="F28">
        <f>D28*E28</f>
        <v>86083200</v>
      </c>
      <c r="H28">
        <v>1</v>
      </c>
      <c r="L28">
        <f>18*32*0.7*175000</f>
        <v>70560000</v>
      </c>
      <c r="N28">
        <f>SUM(I28:M28)</f>
        <v>70560000</v>
      </c>
      <c r="O28">
        <f>H28*N28</f>
        <v>70560000</v>
      </c>
    </row>
    <row r="29">
      <c r="A29">
        <v>3</v>
      </c>
      <c r="B29" t="str">
        <v>Mobdemob alat berat untuk pekerjaan tanah</v>
      </c>
      <c r="C29" t="str">
        <v>ls</v>
      </c>
      <c r="D29">
        <f>H29</f>
        <v>1</v>
      </c>
      <c r="E29">
        <f>N29</f>
        <v>8000000</v>
      </c>
      <c r="F29">
        <f>D29*E29</f>
        <v>8000000</v>
      </c>
      <c r="H29">
        <v>1</v>
      </c>
      <c r="L29">
        <v>8000000</v>
      </c>
      <c r="N29">
        <f>SUM(I29:M29)</f>
        <v>8000000</v>
      </c>
      <c r="O29">
        <f>H29*N29</f>
        <v>8000000</v>
      </c>
    </row>
    <row r="31">
      <c r="A31">
        <v>4</v>
      </c>
      <c r="B31" t="str">
        <v>Gali tanah poer, sloof, dan pit lift</v>
      </c>
      <c r="C31" t="str">
        <v>m3</v>
      </c>
      <c r="D31">
        <f>H31</f>
        <v>476.23018750000006</v>
      </c>
      <c r="E31">
        <f>N31*'REKAP RAB'!$O$2</f>
        <v>152500</v>
      </c>
      <c r="F31">
        <f>D31*E31</f>
        <v>72625103.59375001</v>
      </c>
      <c r="H31">
        <f>SUM('REKAP-PC'!G24,'REKAP Balok'!K771)+5.5*5.9*3</f>
        <v>476.23018750000006</v>
      </c>
      <c r="J31">
        <v>125000</v>
      </c>
      <c r="N31">
        <f>SUM(I31:M31)</f>
        <v>125000</v>
      </c>
      <c r="O31">
        <f>H31*N31</f>
        <v>59528773.43750001</v>
      </c>
      <c r="AF31">
        <f>R31+V31*W31+Z31*AA31</f>
        <v>0</v>
      </c>
      <c r="AG31">
        <f>S31</f>
        <v>0</v>
      </c>
      <c r="AH31">
        <f>T31+V31*X31</f>
        <v>0</v>
      </c>
    </row>
    <row r="32">
      <c r="A32">
        <v>5</v>
      </c>
      <c r="B32" t="str">
        <v>Pemadatan tanah urug</v>
      </c>
      <c r="C32" t="str">
        <v>m2</v>
      </c>
      <c r="D32">
        <f>H32</f>
        <v>540</v>
      </c>
      <c r="E32">
        <f>N32*'REKAP RAB'!$O$2</f>
        <v>30500</v>
      </c>
      <c r="F32">
        <f>D32*E32</f>
        <v>16470000</v>
      </c>
      <c r="H32">
        <f>18*30</f>
        <v>540</v>
      </c>
      <c r="J32">
        <v>25000</v>
      </c>
      <c r="N32">
        <f>SUM(I32:M32)</f>
        <v>25000</v>
      </c>
      <c r="O32">
        <f>H32*N32</f>
        <v>13500000</v>
      </c>
    </row>
    <row r="33">
      <c r="A33">
        <v>6</v>
      </c>
      <c r="B33" t="str">
        <v>Lantai kerja Poer, Sloof &amp; Plat</v>
      </c>
      <c r="C33" t="str">
        <v>m3</v>
      </c>
      <c r="D33">
        <f>H33</f>
        <v>45.56185</v>
      </c>
      <c r="E33">
        <f>N33*'REKAP RAB'!$O$4</f>
        <v>1351150.7999999998</v>
      </c>
      <c r="F33">
        <f>D33*E33</f>
        <v>61560930.076979995</v>
      </c>
      <c r="H33">
        <f>SUM('REKAP-PC'!I24,'REKAP Balok'!J771,'REKAP Plat'!H63)</f>
        <v>45.56185</v>
      </c>
      <c r="I33">
        <f>[39]Analisa!$F$275</f>
        <v>785220</v>
      </c>
      <c r="J33">
        <f>[39]Analisa!$G$275</f>
        <v>400000</v>
      </c>
      <c r="N33">
        <f>SUM(I33:M33)</f>
        <v>1185220</v>
      </c>
      <c r="O33">
        <f>H33*N33</f>
        <v>54000815.857</v>
      </c>
      <c r="AF33">
        <f>R33+V33*W33+Z33*AA33</f>
        <v>0</v>
      </c>
      <c r="AG33">
        <f>S33</f>
        <v>0</v>
      </c>
      <c r="AH33">
        <f>T33+V33*X33</f>
        <v>0</v>
      </c>
    </row>
    <row r="35">
      <c r="A35">
        <v>7</v>
      </c>
      <c r="B35" t="str">
        <v>Anti rayap sistem injeksi tanah</v>
      </c>
      <c r="C35" t="str">
        <v>m2</v>
      </c>
      <c r="D35">
        <f>H35</f>
        <v>540</v>
      </c>
      <c r="E35">
        <f>N35*'REKAP RAB'!$O$2</f>
        <v>30500</v>
      </c>
      <c r="F35">
        <f>D35*E35</f>
        <v>16470000</v>
      </c>
      <c r="H35">
        <f>18*30</f>
        <v>540</v>
      </c>
      <c r="L35">
        <v>25000</v>
      </c>
      <c r="N35">
        <f>SUM(I35:M35)</f>
        <v>25000</v>
      </c>
      <c r="O35">
        <f>H35*N35</f>
        <v>13500000</v>
      </c>
    </row>
    <row r="36">
      <c r="A36">
        <v>8</v>
      </c>
      <c r="B36" t="str">
        <v>Sistem pipa</v>
      </c>
      <c r="C36" t="str">
        <v>m'</v>
      </c>
      <c r="D36">
        <f>H36</f>
        <v>324</v>
      </c>
      <c r="E36">
        <f>N36*'REKAP RAB'!$O$2</f>
        <v>30500</v>
      </c>
      <c r="F36">
        <f>D36*E36</f>
        <v>9882000</v>
      </c>
      <c r="H36">
        <f>0.6*H35</f>
        <v>324</v>
      </c>
      <c r="L36">
        <v>25000</v>
      </c>
      <c r="N36">
        <f>SUM(I36:M36)</f>
        <v>25000</v>
      </c>
      <c r="O36">
        <f>H36*N36</f>
        <v>8100000</v>
      </c>
    </row>
    <row r="38">
      <c r="A38" t="str">
        <v>B</v>
      </c>
      <c r="B38" t="str">
        <v>Pekerjaan Pondasi Strauss</v>
      </c>
    </row>
    <row r="39">
      <c r="A39">
        <v>1</v>
      </c>
      <c r="B39" t="str">
        <v>Pasangan batako untuk proteksi pondasi bangunan tetangga</v>
      </c>
      <c r="C39" t="str">
        <v>m2</v>
      </c>
      <c r="D39">
        <f>H39</f>
        <v>46.8</v>
      </c>
      <c r="E39">
        <f>N39*'REKAP RAB'!$O$2</f>
        <v>203380.91496</v>
      </c>
      <c r="F39">
        <f>D39*E39</f>
        <v>9518226.820128</v>
      </c>
      <c r="H39">
        <f>(2*30+18)*0.6</f>
        <v>46.8</v>
      </c>
      <c r="I39">
        <f>Analisa!F$123</f>
        <v>166705.668</v>
      </c>
      <c r="J39">
        <f>Analisa!G$123</f>
        <v>0</v>
      </c>
      <c r="K39">
        <f>Analisa!H$123</f>
        <v>0</v>
      </c>
      <c r="N39">
        <f>SUM(I39:M39)</f>
        <v>166705.668</v>
      </c>
      <c r="O39">
        <f>H39*N39</f>
        <v>7801825.262399999</v>
      </c>
    </row>
    <row r="40">
      <c r="A40">
        <v>2</v>
      </c>
      <c r="B40" t="str">
        <v>Mobilisasi / demobilisasi alat+izin masuk</v>
      </c>
      <c r="C40" t="str">
        <v>ls</v>
      </c>
      <c r="D40">
        <f>H40</f>
        <v>1</v>
      </c>
      <c r="E40">
        <f>N40</f>
        <v>10000000</v>
      </c>
      <c r="F40">
        <f>D40*E40</f>
        <v>10000000</v>
      </c>
      <c r="H40">
        <v>1</v>
      </c>
      <c r="L40">
        <v>10000000</v>
      </c>
      <c r="N40">
        <f>SUM(I40:M40)</f>
        <v>10000000</v>
      </c>
      <c r="O40">
        <f>H40*N40</f>
        <v>10000000</v>
      </c>
    </row>
    <row r="41">
      <c r="A41">
        <v>3</v>
      </c>
      <c r="B41" t="str">
        <v>Strauss pile dia. 30 cm, panjang tiang 12 meter</v>
      </c>
      <c r="C41" t="str">
        <v>titik</v>
      </c>
      <c r="D41">
        <f>H41</f>
        <v>155</v>
      </c>
      <c r="E41">
        <f>N41*1.15</f>
        <v>4027903.182256533</v>
      </c>
      <c r="F41">
        <f>D41*E41</f>
        <v>624324993.2497625</v>
      </c>
      <c r="H41">
        <f>'REKAP-PC'!E24</f>
        <v>155</v>
      </c>
      <c r="I41">
        <f>Analisa!F$282</f>
        <v>1866439.2217743709</v>
      </c>
      <c r="J41">
        <f>Analisa!G$282</f>
        <v>1636085.2845356583</v>
      </c>
      <c r="K41">
        <f>Analisa!H$282</f>
        <v>0</v>
      </c>
      <c r="N41">
        <f>SUM(I41:M41)</f>
        <v>3502524.506310029</v>
      </c>
      <c r="O41">
        <f>H41*N41</f>
        <v>542891298.4780545</v>
      </c>
    </row>
    <row r="42">
      <c r="A42">
        <v>4</v>
      </c>
      <c r="B42" t="str">
        <v>Buang tanah hasil pengeboran strauss</v>
      </c>
      <c r="C42" t="str">
        <v>m3</v>
      </c>
      <c r="D42">
        <f>H42</f>
        <v>131.47565255273284</v>
      </c>
      <c r="E42">
        <f>N42*'REKAP RAB'!$O$3</f>
        <v>165000</v>
      </c>
      <c r="F42">
        <f>D42*E42</f>
        <v>21693482.67120092</v>
      </c>
      <c r="H42">
        <f>H41*1/4*PI()*0.3^2*12</f>
        <v>131.47565255273284</v>
      </c>
      <c r="L42">
        <v>150000</v>
      </c>
      <c r="N42">
        <f>SUM(I42:M42)</f>
        <v>150000</v>
      </c>
      <c r="O42">
        <f>H42*N42</f>
        <v>19721347.882909928</v>
      </c>
    </row>
    <row r="43">
      <c r="A43">
        <v>5</v>
      </c>
      <c r="B43" t="str">
        <v>Bobok kepala strauss dan buang puing - puing bekas bobokan</v>
      </c>
      <c r="C43" t="str">
        <v>titik</v>
      </c>
      <c r="D43">
        <f>H43</f>
        <v>155</v>
      </c>
      <c r="E43">
        <f>N43*'REKAP RAB'!$O$4</f>
        <v>113999.99999999999</v>
      </c>
      <c r="F43">
        <f>D43*E43</f>
        <v>17669999.999999996</v>
      </c>
      <c r="H43">
        <f>H41</f>
        <v>155</v>
      </c>
      <c r="J43">
        <v>100000</v>
      </c>
      <c r="N43">
        <f>SUM(I43:M43)</f>
        <v>100000</v>
      </c>
      <c r="O43">
        <f>H43*N43</f>
        <v>15500000</v>
      </c>
    </row>
    <row r="45">
      <c r="A45" t="str">
        <v>Subtotal Pekerjaan Tanah dan Pondasi</v>
      </c>
      <c r="F45">
        <f>SUM(F23:F44)</f>
        <v>1037921616.4118215</v>
      </c>
      <c r="O45">
        <f>SUM(O23:O44)</f>
        <v>891648060.9178644</v>
      </c>
    </row>
    <row r="47">
      <c r="A47" t="str">
        <v>III</v>
      </c>
      <c r="B47" t="str">
        <v>PEKERJAAN FISIK LANTAI BASEMENT</v>
      </c>
    </row>
    <row r="49">
      <c r="A49" t="str">
        <v>B</v>
      </c>
      <c r="B49" t="str">
        <v>Pekerjaan Beton</v>
      </c>
    </row>
    <row r="50">
      <c r="A50">
        <v>1</v>
      </c>
      <c r="B50" t="str">
        <v>Poer (Readymix K-350) :</v>
      </c>
      <c r="AJ50">
        <f>SUMPRODUCT(H51:H65,V51:V65)</f>
        <v>154.80350010745607</v>
      </c>
      <c r="AL50">
        <f>SUMPRODUCT(H51:H65,Z51:Z65)</f>
        <v>6008.210475307538</v>
      </c>
      <c r="AM50" t="str">
        <v>v</v>
      </c>
    </row>
    <row r="51">
      <c r="B51" t="str">
        <v xml:space="preserve"> - Poer PC.1</v>
      </c>
      <c r="C51" t="str">
        <v>m3</v>
      </c>
      <c r="D51">
        <f>H51</f>
        <v>3.420000000000001</v>
      </c>
      <c r="E51">
        <f>N51*'REKAP RAB'!$O$4</f>
        <v>4937550.346387499</v>
      </c>
      <c r="F51">
        <f>D51*E51</f>
        <v>16886422.18464525</v>
      </c>
      <c r="G51" t="str">
        <v>PC.1</v>
      </c>
      <c r="H51">
        <f>'REKAP-PC'!B8</f>
        <v>3.420000000000001</v>
      </c>
      <c r="I51">
        <f>AF51</f>
        <v>3456184.514375</v>
      </c>
      <c r="J51">
        <f>AG51</f>
        <v>800000</v>
      </c>
      <c r="K51">
        <f>AH51</f>
        <v>75000</v>
      </c>
      <c r="N51">
        <f>SUM(I51:M51)</f>
        <v>4331184.514374999</v>
      </c>
      <c r="O51">
        <f>H51*N51</f>
        <v>14812651.039162502</v>
      </c>
      <c r="R51">
        <f>Analisa!$F$176</f>
        <v>1218780</v>
      </c>
      <c r="S51">
        <f>Analisa!$G$176</f>
        <v>800000</v>
      </c>
      <c r="T51">
        <f>Analisa!$H$176</f>
        <v>75000</v>
      </c>
      <c r="V51">
        <f>'REKAP-PC'!T8</f>
        <v>6.666666666666663</v>
      </c>
      <c r="W51">
        <f>Analisa!F$115</f>
        <v>87119.679</v>
      </c>
      <c r="X51">
        <f>Analisa!$H$115</f>
        <v>0</v>
      </c>
      <c r="Z51">
        <f>'REKAP-PC'!U8</f>
        <v>146.82975</v>
      </c>
      <c r="AA51">
        <f>Analisa!$F$233</f>
        <v>11282.5</v>
      </c>
      <c r="AF51">
        <f>R51+V51*W51+Z51*AA51</f>
        <v>3456184.514375</v>
      </c>
      <c r="AG51">
        <f>S51</f>
        <v>800000</v>
      </c>
      <c r="AH51">
        <f>T51+V51*X51</f>
        <v>75000</v>
      </c>
    </row>
    <row r="52">
      <c r="B52" t="str">
        <v xml:space="preserve"> - Poer PC.1A</v>
      </c>
      <c r="C52" t="str">
        <v>m3</v>
      </c>
      <c r="D52">
        <f>H52</f>
        <v>1.008</v>
      </c>
      <c r="E52">
        <f>N52*'REKAP RAB'!$O$4</f>
        <v>5691428.507602393</v>
      </c>
      <c r="F52">
        <f>D52*E52</f>
        <v>5736959.935663212</v>
      </c>
      <c r="G52" t="str">
        <v>PC.1A</v>
      </c>
      <c r="H52">
        <f>'REKAP-PC'!B9</f>
        <v>1.008</v>
      </c>
      <c r="I52">
        <f>AF52</f>
        <v>4117481.1470196433</v>
      </c>
      <c r="J52">
        <f>AG52</f>
        <v>800000</v>
      </c>
      <c r="K52">
        <f>AH52</f>
        <v>75000</v>
      </c>
      <c r="N52">
        <f>SUM(I52:M52)</f>
        <v>4992481.147019643</v>
      </c>
      <c r="O52">
        <f>H52*N52</f>
        <v>5032420.996195801</v>
      </c>
      <c r="R52">
        <f>Analisa!$F$176</f>
        <v>1218780</v>
      </c>
      <c r="S52">
        <f>Analisa!$G$176</f>
        <v>800000</v>
      </c>
      <c r="T52">
        <f>Analisa!$H$176</f>
        <v>75000</v>
      </c>
      <c r="V52">
        <f>'REKAP-PC'!T9</f>
        <v>6.666666666666666</v>
      </c>
      <c r="W52">
        <f>Analisa!$F$123</f>
        <v>166705.668</v>
      </c>
      <c r="X52">
        <f>Analisa!$H$123</f>
        <v>0</v>
      </c>
      <c r="Z52">
        <f>'REKAP-PC'!U9</f>
        <v>158.4161335714286</v>
      </c>
      <c r="AA52">
        <f>Analisa!$F$233</f>
        <v>11282.5</v>
      </c>
      <c r="AF52">
        <f>R52+V52*W52+Z52*AA52</f>
        <v>4117481.1470196433</v>
      </c>
      <c r="AG52">
        <f>S52</f>
        <v>800000</v>
      </c>
      <c r="AH52">
        <f>T52+V52*X52</f>
        <v>75000</v>
      </c>
    </row>
    <row r="53">
      <c r="B53" t="str">
        <v xml:space="preserve"> - Poer PC.2</v>
      </c>
      <c r="C53" t="str">
        <v>m3</v>
      </c>
      <c r="D53">
        <f>H53</f>
        <v>5.850000000000001</v>
      </c>
      <c r="E53">
        <f>N53*'REKAP RAB'!$O$4</f>
        <v>4751646.894807899</v>
      </c>
      <c r="F53">
        <f>D53*E53</f>
        <v>27797134.334626216</v>
      </c>
      <c r="G53" t="str">
        <v>PC.2</v>
      </c>
      <c r="H53">
        <f>'REKAP-PC'!B10</f>
        <v>5.850000000000001</v>
      </c>
      <c r="I53">
        <f>AF53</f>
        <v>3293111.3112349994</v>
      </c>
      <c r="J53">
        <f>AG53</f>
        <v>800000</v>
      </c>
      <c r="K53">
        <f>AH53</f>
        <v>75000</v>
      </c>
      <c r="N53">
        <f>SUM(I53:M53)</f>
        <v>4168111.3112349994</v>
      </c>
      <c r="O53">
        <f>H53*N53</f>
        <v>24383451.170724753</v>
      </c>
      <c r="R53">
        <f>Analisa!$F$176</f>
        <v>1218780</v>
      </c>
      <c r="S53">
        <f>Analisa!$G$176</f>
        <v>800000</v>
      </c>
      <c r="T53">
        <f>Analisa!$H$176</f>
        <v>75000</v>
      </c>
      <c r="V53">
        <f>'REKAP-PC'!T10</f>
        <v>4.666666666666667</v>
      </c>
      <c r="W53">
        <f>Analisa!F$115</f>
        <v>87119.679</v>
      </c>
      <c r="X53">
        <f>Analisa!$H$115</f>
        <v>0</v>
      </c>
      <c r="Z53">
        <f>'REKAP-PC'!U10</f>
        <v>147.81943799999996</v>
      </c>
      <c r="AA53">
        <f>Analisa!$F$233</f>
        <v>11282.5</v>
      </c>
      <c r="AF53">
        <f>R53+V53*W53+Z53*AA53</f>
        <v>3293111.3112349994</v>
      </c>
      <c r="AG53">
        <f>S53</f>
        <v>800000</v>
      </c>
      <c r="AH53">
        <f>T53+V53*X53</f>
        <v>75000</v>
      </c>
    </row>
    <row r="54">
      <c r="B54" t="str">
        <v xml:space="preserve"> - Poer PC.2A</v>
      </c>
      <c r="C54" t="str">
        <v>m3</v>
      </c>
      <c r="D54">
        <f>H54</f>
        <v>2.16</v>
      </c>
      <c r="E54">
        <f>N54*'REKAP RAB'!$O$4</f>
        <v>4493618.943140699</v>
      </c>
      <c r="F54">
        <f>D54*E54</f>
        <v>9706216.91718391</v>
      </c>
      <c r="G54" t="str">
        <v>PC.2A</v>
      </c>
      <c r="H54">
        <f>'REKAP-PC'!B11</f>
        <v>2.16</v>
      </c>
      <c r="I54">
        <f>AF54</f>
        <v>3066771.0027549993</v>
      </c>
      <c r="J54">
        <f>AG54</f>
        <v>800000</v>
      </c>
      <c r="K54">
        <f>AH54</f>
        <v>75000</v>
      </c>
      <c r="N54">
        <f>SUM(I54:M54)</f>
        <v>3941771.0027549993</v>
      </c>
      <c r="O54">
        <f>H54*N54</f>
        <v>8514225.365950799</v>
      </c>
      <c r="R54">
        <f>Analisa!$F$176</f>
        <v>1218780</v>
      </c>
      <c r="S54">
        <f>Analisa!$G$176</f>
        <v>800000</v>
      </c>
      <c r="T54">
        <f>Analisa!$H$176</f>
        <v>75000</v>
      </c>
      <c r="V54">
        <f>'REKAP-PC'!T11</f>
        <v>4.666666666666666</v>
      </c>
      <c r="W54">
        <f>Analisa!F$115</f>
        <v>87119.679</v>
      </c>
      <c r="X54">
        <f>Analisa!$H$115</f>
        <v>0</v>
      </c>
      <c r="Z54">
        <f>'REKAP-PC'!U11</f>
        <v>127.75825399999997</v>
      </c>
      <c r="AA54">
        <f>Analisa!$F$233</f>
        <v>11282.5</v>
      </c>
      <c r="AF54">
        <f>R54+V54*W54+Z54*AA54</f>
        <v>3066771.0027549993</v>
      </c>
      <c r="AG54">
        <f>S54</f>
        <v>800000</v>
      </c>
      <c r="AH54">
        <f>T54+V54*X54</f>
        <v>75000</v>
      </c>
    </row>
    <row r="55">
      <c r="B55" t="str">
        <v xml:space="preserve"> - Poer PC.3</v>
      </c>
      <c r="C55" t="str">
        <v>m3</v>
      </c>
      <c r="D55">
        <f>H55</f>
        <v>2.6910000000000003</v>
      </c>
      <c r="E55">
        <f>N55*'REKAP RAB'!$O$4</f>
        <v>4152882.8560190625</v>
      </c>
      <c r="F55">
        <f>D55*E55</f>
        <v>11175407.765547298</v>
      </c>
      <c r="G55" t="str">
        <v>PC.3</v>
      </c>
      <c r="H55">
        <f>'REKAP-PC'!B12</f>
        <v>2.6910000000000003</v>
      </c>
      <c r="I55">
        <f>AF55</f>
        <v>2767879.6982623357</v>
      </c>
      <c r="J55">
        <f>AG55</f>
        <v>800000</v>
      </c>
      <c r="K55">
        <f>AH55</f>
        <v>75000</v>
      </c>
      <c r="N55">
        <f>SUM(I55:M55)</f>
        <v>3642879.6982623357</v>
      </c>
      <c r="O55">
        <f>H55*N55</f>
        <v>9802989.268023947</v>
      </c>
      <c r="R55">
        <f>Analisa!$F$176</f>
        <v>1218780</v>
      </c>
      <c r="S55">
        <f>Analisa!$G$176</f>
        <v>800000</v>
      </c>
      <c r="T55">
        <f>Analisa!$H$176</f>
        <v>75000</v>
      </c>
      <c r="V55">
        <f>'REKAP-PC'!T12</f>
        <v>3.2889995980012476</v>
      </c>
      <c r="W55">
        <f>Analisa!F$115</f>
        <v>87119.679</v>
      </c>
      <c r="X55">
        <f>Analisa!$H$115</f>
        <v>0</v>
      </c>
      <c r="Z55">
        <f>'REKAP-PC'!U12</f>
        <v>111.90455209867832</v>
      </c>
      <c r="AA55">
        <f>Analisa!$F$233</f>
        <v>11282.5</v>
      </c>
      <c r="AF55">
        <f>R55+V55*W55+Z55*AA55</f>
        <v>2767879.6982623357</v>
      </c>
      <c r="AG55">
        <f>S55</f>
        <v>800000</v>
      </c>
      <c r="AH55">
        <f>T55+V55*X55</f>
        <v>75000</v>
      </c>
    </row>
    <row r="56">
      <c r="B56" t="str">
        <v xml:space="preserve"> - Poer PC.3A</v>
      </c>
      <c r="C56" t="str">
        <v>m3</v>
      </c>
      <c r="D56">
        <f>H56</f>
        <v>1.728</v>
      </c>
      <c r="E56">
        <f>N56*'REKAP RAB'!$O$4</f>
        <v>4738859.096225906</v>
      </c>
      <c r="F56">
        <f>D56*E56</f>
        <v>8188748.518278366</v>
      </c>
      <c r="G56" t="str">
        <v>PC.3A</v>
      </c>
      <c r="H56">
        <f>'REKAP-PC'!B13</f>
        <v>1.728</v>
      </c>
      <c r="I56">
        <f>AF56</f>
        <v>3281893.944057813</v>
      </c>
      <c r="J56">
        <f>AG56</f>
        <v>800000</v>
      </c>
      <c r="K56">
        <f>AH56</f>
        <v>75000</v>
      </c>
      <c r="N56">
        <f>SUM(I56:M56)</f>
        <v>4156893.944057813</v>
      </c>
      <c r="O56">
        <f>H56*N56</f>
        <v>7183112.7353319</v>
      </c>
      <c r="R56">
        <f>Analisa!$F$176</f>
        <v>1218780</v>
      </c>
      <c r="S56">
        <f>Analisa!$G$176</f>
        <v>800000</v>
      </c>
      <c r="T56">
        <f>Analisa!$H$176</f>
        <v>75000</v>
      </c>
      <c r="V56">
        <f>'REKAP-PC'!T13</f>
        <v>4.166666666666667</v>
      </c>
      <c r="W56">
        <f>Analisa!F$115</f>
        <v>87119.679</v>
      </c>
      <c r="X56">
        <f>Analisa!$H$115</f>
        <v>0</v>
      </c>
      <c r="Z56">
        <f>'REKAP-PC'!U13</f>
        <v>150.686043125</v>
      </c>
      <c r="AA56">
        <f>Analisa!$F$233</f>
        <v>11282.5</v>
      </c>
      <c r="AF56">
        <f>R56+V56*W56+Z56*AA56</f>
        <v>3281893.944057813</v>
      </c>
      <c r="AG56">
        <f>S56</f>
        <v>800000</v>
      </c>
      <c r="AH56">
        <f>T56+V56*X56</f>
        <v>75000</v>
      </c>
    </row>
    <row r="57">
      <c r="B57" t="str">
        <v xml:space="preserve"> - Poer PC.4</v>
      </c>
      <c r="C57" t="str">
        <v>m3</v>
      </c>
      <c r="D57">
        <f>H57</f>
        <v>2.25</v>
      </c>
      <c r="E57">
        <f>N57*'REKAP RAB'!$O$4</f>
        <v>3994177.8389171995</v>
      </c>
      <c r="F57">
        <f>D57*E57</f>
        <v>8986900.137563698</v>
      </c>
      <c r="G57" t="str">
        <v>PC.4</v>
      </c>
      <c r="H57">
        <f>'REKAP-PC'!B14</f>
        <v>2.25</v>
      </c>
      <c r="I57">
        <f>AF57</f>
        <v>2628664.77098</v>
      </c>
      <c r="J57">
        <f>AG57</f>
        <v>800000</v>
      </c>
      <c r="K57">
        <f>AH57</f>
        <v>75000</v>
      </c>
      <c r="N57">
        <f>SUM(I57:M57)</f>
        <v>3503664.77098</v>
      </c>
      <c r="O57">
        <f>H57*N57</f>
        <v>7883245.734705</v>
      </c>
      <c r="R57">
        <f>Analisa!$F$176</f>
        <v>1218780</v>
      </c>
      <c r="S57">
        <f>Analisa!$G$176</f>
        <v>800000</v>
      </c>
      <c r="T57">
        <f>Analisa!$H$176</f>
        <v>75000</v>
      </c>
      <c r="V57">
        <f>'REKAP-PC'!T14</f>
        <v>2.6666666666666665</v>
      </c>
      <c r="W57">
        <f>Analisa!F$115</f>
        <v>87119.679</v>
      </c>
      <c r="X57">
        <f>Analisa!$H$115</f>
        <v>0</v>
      </c>
      <c r="Z57">
        <f>'REKAP-PC'!U14</f>
        <v>104.37098399999999</v>
      </c>
      <c r="AA57">
        <f>Analisa!$F$233</f>
        <v>11282.5</v>
      </c>
      <c r="AF57">
        <f>R57+V57*W57+Z57*AA57</f>
        <v>2628664.77098</v>
      </c>
      <c r="AG57">
        <f>S57</f>
        <v>800000</v>
      </c>
      <c r="AH57">
        <f>T57+V57*X57</f>
        <v>75000</v>
      </c>
    </row>
    <row r="58">
      <c r="B58" t="str">
        <v xml:space="preserve"> - Poer PC.5</v>
      </c>
      <c r="C58" t="str">
        <v>m3</v>
      </c>
      <c r="D58">
        <f>H58</f>
        <v>4.21875</v>
      </c>
      <c r="E58">
        <f>N58*'REKAP RAB'!$O$4</f>
        <v>3587960.350168723</v>
      </c>
      <c r="F58">
        <f>D58*E58</f>
        <v>15136707.7272743</v>
      </c>
      <c r="G58" t="str">
        <v>PC.5</v>
      </c>
      <c r="H58">
        <f>'REKAP-PC'!B15</f>
        <v>4.21875</v>
      </c>
      <c r="I58">
        <f>AF58</f>
        <v>2272333.6404988803</v>
      </c>
      <c r="J58">
        <f>AG58</f>
        <v>800000</v>
      </c>
      <c r="K58">
        <f>AH58</f>
        <v>75000</v>
      </c>
      <c r="N58">
        <f>SUM(I58:M58)</f>
        <v>3147333.6404988803</v>
      </c>
      <c r="O58">
        <f>H58*N58</f>
        <v>13277813.79585465</v>
      </c>
      <c r="R58">
        <f>Analisa!$F$176</f>
        <v>1218780</v>
      </c>
      <c r="S58">
        <f>Analisa!$G$176</f>
        <v>800000</v>
      </c>
      <c r="T58">
        <f>Analisa!$H$176</f>
        <v>75000</v>
      </c>
      <c r="V58">
        <f>'REKAP-PC'!T15</f>
        <v>2.1333333333333333</v>
      </c>
      <c r="W58">
        <f>Analisa!F$115</f>
        <v>87119.679</v>
      </c>
      <c r="X58">
        <f>Analisa!$H$115</f>
        <v>0</v>
      </c>
      <c r="Z58">
        <f>'REKAP-PC'!U15</f>
        <v>76.906565504</v>
      </c>
      <c r="AA58">
        <f>Analisa!$F$233</f>
        <v>11282.5</v>
      </c>
      <c r="AF58">
        <f>R58+V58*W58+Z58*AA58</f>
        <v>2272333.6404988803</v>
      </c>
      <c r="AG58">
        <f>S58</f>
        <v>800000</v>
      </c>
      <c r="AH58">
        <f>T58+V58*X58</f>
        <v>75000</v>
      </c>
    </row>
    <row r="59">
      <c r="B59" t="str">
        <v xml:space="preserve"> - Poer PC.5A</v>
      </c>
      <c r="C59" t="str">
        <v>m3</v>
      </c>
      <c r="D59">
        <f>H59</f>
        <v>2.4609375</v>
      </c>
      <c r="E59">
        <f>N59*'REKAP RAB'!$O$4</f>
        <v>3650515.405607495</v>
      </c>
      <c r="F59">
        <f>D59*E59</f>
        <v>8983690.255987195</v>
      </c>
      <c r="G59" t="str">
        <v>PC.5A</v>
      </c>
      <c r="H59">
        <f>'REKAP-PC'!B16</f>
        <v>2.4609375</v>
      </c>
      <c r="I59">
        <f>AF59</f>
        <v>2327206.4961469257</v>
      </c>
      <c r="J59">
        <f>AG59</f>
        <v>800000</v>
      </c>
      <c r="K59">
        <f>AH59</f>
        <v>75000</v>
      </c>
      <c r="N59">
        <f>SUM(I59:M59)</f>
        <v>3202206.4961469257</v>
      </c>
      <c r="O59">
        <f>H59*N59</f>
        <v>7880430.049111575</v>
      </c>
      <c r="R59">
        <f>Analisa!$F$176</f>
        <v>1218780</v>
      </c>
      <c r="S59">
        <f>Analisa!$G$176</f>
        <v>800000</v>
      </c>
      <c r="T59">
        <f>Analisa!$H$176</f>
        <v>75000</v>
      </c>
      <c r="V59">
        <f>'REKAP-PC'!T16</f>
        <v>2.1333333333333333</v>
      </c>
      <c r="W59">
        <f>Analisa!F$115</f>
        <v>87119.679</v>
      </c>
      <c r="X59">
        <f>Analisa!$H$115</f>
        <v>0</v>
      </c>
      <c r="Z59">
        <f>'REKAP-PC'!U16</f>
        <v>81.77010245485714</v>
      </c>
      <c r="AA59">
        <f>Analisa!$F$233</f>
        <v>11282.5</v>
      </c>
      <c r="AF59">
        <f>R59+V59*W59+Z59*AA59</f>
        <v>2327206.4961469257</v>
      </c>
      <c r="AG59">
        <f>S59</f>
        <v>800000</v>
      </c>
      <c r="AH59">
        <f>T59+V59*X59</f>
        <v>75000</v>
      </c>
    </row>
    <row r="60">
      <c r="B60" t="str">
        <v xml:space="preserve"> - Poer PC.5B</v>
      </c>
      <c r="C60" t="str">
        <v>m3</v>
      </c>
      <c r="D60">
        <f>H60</f>
        <v>1.9194</v>
      </c>
      <c r="E60">
        <f>N60*'REKAP RAB'!$O$4</f>
        <v>4310834.474313808</v>
      </c>
      <c r="F60">
        <f>D60*E60</f>
        <v>8274215.689997923</v>
      </c>
      <c r="G60" t="str">
        <v>PC.5B</v>
      </c>
      <c r="H60">
        <f>'REKAP-PC'!B17</f>
        <v>1.9194</v>
      </c>
      <c r="I60">
        <f>AF60</f>
        <v>2906433.749398077</v>
      </c>
      <c r="J60">
        <f>AG60</f>
        <v>800000</v>
      </c>
      <c r="K60">
        <f>AH60</f>
        <v>75000</v>
      </c>
      <c r="N60">
        <f>SUM(I60:M60)</f>
        <v>3781433.749398077</v>
      </c>
      <c r="O60">
        <f>H60*N60</f>
        <v>7258083.938594669</v>
      </c>
      <c r="R60">
        <f>Analisa!$F$176</f>
        <v>1218780</v>
      </c>
      <c r="S60">
        <f>Analisa!$G$176</f>
        <v>800000</v>
      </c>
      <c r="T60">
        <f>Analisa!$H$176</f>
        <v>75000</v>
      </c>
      <c r="V60">
        <f>'REKAP-PC'!T17</f>
        <v>2.451526626752922</v>
      </c>
      <c r="W60">
        <f>Analisa!$F$123</f>
        <v>166705.668</v>
      </c>
      <c r="X60">
        <f>Analisa!$H$123</f>
        <v>0</v>
      </c>
      <c r="Z60">
        <f>'REKAP-PC'!U17</f>
        <v>113.35877380593345</v>
      </c>
      <c r="AA60">
        <f>Analisa!$F$233</f>
        <v>11282.5</v>
      </c>
      <c r="AF60">
        <f>R60+V60*W60+Z60*AA60</f>
        <v>2906433.749398077</v>
      </c>
      <c r="AG60">
        <f>S60</f>
        <v>800000</v>
      </c>
      <c r="AH60">
        <f>T60+V60*X60</f>
        <v>75000</v>
      </c>
    </row>
    <row r="61">
      <c r="B61" t="str">
        <v xml:space="preserve"> - Poer PC.6</v>
      </c>
      <c r="C61" t="str">
        <v>m3</v>
      </c>
      <c r="D61">
        <f>H61</f>
        <v>2.16</v>
      </c>
      <c r="E61">
        <f>N61*'REKAP RAB'!$O$4</f>
        <v>4050194.1965926127</v>
      </c>
      <c r="F61">
        <f>D61*E61</f>
        <v>8748419.464640044</v>
      </c>
      <c r="G61" t="str">
        <v>PC.6</v>
      </c>
      <c r="H61">
        <f>'REKAP-PC'!B18</f>
        <v>2.16</v>
      </c>
      <c r="I61">
        <f>AF61</f>
        <v>2677801.9268356254</v>
      </c>
      <c r="J61">
        <f>AG61</f>
        <v>800000</v>
      </c>
      <c r="K61">
        <f>AH61</f>
        <v>75000</v>
      </c>
      <c r="N61">
        <f>SUM(I61:M61)</f>
        <v>3552801.9268356254</v>
      </c>
      <c r="O61">
        <f>H61*N61</f>
        <v>7674052.161964951</v>
      </c>
      <c r="R61">
        <f>Analisa!$F$176</f>
        <v>1218780</v>
      </c>
      <c r="S61">
        <f>Analisa!$G$176</f>
        <v>800000</v>
      </c>
      <c r="T61">
        <f>Analisa!$H$176</f>
        <v>75000</v>
      </c>
      <c r="V61">
        <f>'REKAP-PC'!T18</f>
        <v>2.1666666666666665</v>
      </c>
      <c r="W61">
        <f>Analisa!$F$123</f>
        <v>166705.668</v>
      </c>
      <c r="X61">
        <f>Analisa!$H$123</f>
        <v>0</v>
      </c>
      <c r="Z61">
        <f>'REKAP-PC'!U18</f>
        <v>97.30346225000001</v>
      </c>
      <c r="AA61">
        <f>Analisa!$F$233</f>
        <v>11282.5</v>
      </c>
      <c r="AF61">
        <f>R61+V61*W61+Z61*AA61</f>
        <v>2677801.9268356254</v>
      </c>
      <c r="AG61">
        <f>S61</f>
        <v>800000</v>
      </c>
      <c r="AH61">
        <f>T61+V61*X61</f>
        <v>75000</v>
      </c>
    </row>
    <row r="62">
      <c r="B62" t="str">
        <v xml:space="preserve"> - Poer PC.6A</v>
      </c>
      <c r="C62" t="str">
        <v>m3</v>
      </c>
      <c r="D62">
        <f>H62</f>
        <v>9.1065</v>
      </c>
      <c r="E62">
        <f>N62*'REKAP RAB'!$O$4</f>
        <v>4052043.809305559</v>
      </c>
      <c r="F62">
        <f>D62*E62</f>
        <v>36899936.949441075</v>
      </c>
      <c r="G62" t="str">
        <v>PC.6A</v>
      </c>
      <c r="H62">
        <f>'REKAP-PC'!B19</f>
        <v>9.1065</v>
      </c>
      <c r="I62">
        <f>AF62</f>
        <v>2679424.3941276837</v>
      </c>
      <c r="J62">
        <f>AG62</f>
        <v>800000</v>
      </c>
      <c r="K62">
        <f>AH62</f>
        <v>75000</v>
      </c>
      <c r="N62">
        <f>SUM(I62:M62)</f>
        <v>3554424.3941276837</v>
      </c>
      <c r="O62">
        <f>H62*N62</f>
        <v>32368365.745123755</v>
      </c>
      <c r="R62">
        <f>Analisa!$F$176</f>
        <v>1218780</v>
      </c>
      <c r="S62">
        <f>Analisa!$G$176</f>
        <v>800000</v>
      </c>
      <c r="T62">
        <f>Analisa!$H$176</f>
        <v>75000</v>
      </c>
      <c r="V62">
        <f>'REKAP-PC'!T19</f>
        <v>2.1981378116559784</v>
      </c>
      <c r="W62">
        <f>Analisa!F$115</f>
        <v>87119.679</v>
      </c>
      <c r="X62">
        <f>Analisa!$H$115</f>
        <v>0</v>
      </c>
      <c r="Z62">
        <f>'REKAP-PC'!U19</f>
        <v>112.48777607608706</v>
      </c>
      <c r="AA62">
        <f>Analisa!$F$233</f>
        <v>11282.5</v>
      </c>
      <c r="AF62">
        <f>R62+V62*W62+Z62*AA62</f>
        <v>2679424.3941276837</v>
      </c>
      <c r="AG62">
        <f>S62</f>
        <v>800000</v>
      </c>
      <c r="AH62">
        <f>T62+V62*X62</f>
        <v>75000</v>
      </c>
    </row>
    <row r="63">
      <c r="B63" t="str">
        <v xml:space="preserve"> - Poer PC.8</v>
      </c>
      <c r="C63" t="str">
        <v>m3</v>
      </c>
      <c r="D63">
        <f>H63</f>
        <v>3.6288</v>
      </c>
      <c r="E63">
        <f>N63*'REKAP RAB'!$O$4</f>
        <v>3696566.314354233</v>
      </c>
      <c r="F63">
        <f>D63*E63</f>
        <v>13414099.841528641</v>
      </c>
      <c r="G63" t="str">
        <v>PC.8</v>
      </c>
      <c r="H63">
        <f>'REKAP-PC'!B20</f>
        <v>3.6288</v>
      </c>
      <c r="I63">
        <f>AF63</f>
        <v>2367602.0301352926</v>
      </c>
      <c r="J63">
        <f>AG63</f>
        <v>800000</v>
      </c>
      <c r="K63">
        <f>AH63</f>
        <v>75000</v>
      </c>
      <c r="N63">
        <f>SUM(I63:M63)</f>
        <v>3242602.0301352926</v>
      </c>
      <c r="O63">
        <f>H63*N63</f>
        <v>11766754.24695495</v>
      </c>
      <c r="R63">
        <f>Analisa!$F$176</f>
        <v>1218780</v>
      </c>
      <c r="S63">
        <f>Analisa!$G$176</f>
        <v>800000</v>
      </c>
      <c r="T63">
        <f>Analisa!$H$176</f>
        <v>75000</v>
      </c>
      <c r="V63">
        <f>'REKAP-PC'!T20</f>
        <v>1.759259259259259</v>
      </c>
      <c r="W63">
        <f>Analisa!F$115</f>
        <v>87119.679</v>
      </c>
      <c r="X63">
        <f>Analisa!$H$115</f>
        <v>0</v>
      </c>
      <c r="Z63">
        <f>'REKAP-PC'!U20</f>
        <v>88.23894776785716</v>
      </c>
      <c r="AA63">
        <f>Analisa!$F$233</f>
        <v>11282.5</v>
      </c>
      <c r="AF63">
        <f>R63+V63*W63+Z63*AA63</f>
        <v>2367602.0301352926</v>
      </c>
      <c r="AG63">
        <f>S63</f>
        <v>800000</v>
      </c>
      <c r="AH63">
        <f>T63+V63*X63</f>
        <v>75000</v>
      </c>
    </row>
    <row r="64">
      <c r="B64" t="str">
        <v xml:space="preserve"> - Poer PC.11</v>
      </c>
      <c r="C64" t="str">
        <v>m3</v>
      </c>
      <c r="D64">
        <f>H64</f>
        <v>5.7024</v>
      </c>
      <c r="E64">
        <f>N64*'REKAP RAB'!$O$4</f>
        <v>3749773.1011908995</v>
      </c>
      <c r="F64">
        <f>D64*E64</f>
        <v>21382706.132230986</v>
      </c>
      <c r="G64" t="str">
        <v>PC.11</v>
      </c>
      <c r="H64">
        <f>'REKAP-PC'!B21</f>
        <v>5.7024</v>
      </c>
      <c r="I64">
        <f>AF64</f>
        <v>2414274.650167456</v>
      </c>
      <c r="J64">
        <f>AG64</f>
        <v>800000</v>
      </c>
      <c r="K64">
        <f>AH64</f>
        <v>75000</v>
      </c>
      <c r="N64">
        <f>SUM(I64:M64)</f>
        <v>3289274.650167456</v>
      </c>
      <c r="O64">
        <f>H64*N64</f>
        <v>18756759.7651149</v>
      </c>
      <c r="R64">
        <f>Analisa!$F$176</f>
        <v>1218780</v>
      </c>
      <c r="S64">
        <f>Analisa!$G$176</f>
        <v>800000</v>
      </c>
      <c r="T64">
        <f>Analisa!$H$176</f>
        <v>75000</v>
      </c>
      <c r="V64">
        <f>'REKAP-PC'!T21</f>
        <v>1.5319865319865322</v>
      </c>
      <c r="W64">
        <f>Analisa!F$115</f>
        <v>87119.679</v>
      </c>
      <c r="X64">
        <f>Analisa!$H$115</f>
        <v>0</v>
      </c>
      <c r="Z64">
        <f>'REKAP-PC'!U21</f>
        <v>94.13059829545456</v>
      </c>
      <c r="AA64">
        <f>Analisa!$F$233</f>
        <v>11282.5</v>
      </c>
      <c r="AF64">
        <f>R64+V64*W64+Z64*AA64</f>
        <v>2414274.650167456</v>
      </c>
      <c r="AG64">
        <f>S64</f>
        <v>800000</v>
      </c>
      <c r="AH64">
        <f>T64+V64*X64</f>
        <v>75000</v>
      </c>
    </row>
    <row r="65">
      <c r="B65" t="str">
        <v xml:space="preserve"> - Poer PC.12</v>
      </c>
      <c r="C65" t="str">
        <v>m3</v>
      </c>
      <c r="D65">
        <f>H65</f>
        <v>5.148</v>
      </c>
      <c r="E65">
        <f>N65*'REKAP RAB'!$O$4</f>
        <v>3958945.080836743</v>
      </c>
      <c r="F65">
        <f>D65*E65</f>
        <v>20380649.27614755</v>
      </c>
      <c r="G65" t="str">
        <v>PC.12</v>
      </c>
      <c r="H65">
        <f>'REKAP-PC'!B22</f>
        <v>5.148</v>
      </c>
      <c r="I65">
        <f>AF65</f>
        <v>2597758.8428392485</v>
      </c>
      <c r="J65">
        <f>AG65</f>
        <v>800000</v>
      </c>
      <c r="K65">
        <f>AH65</f>
        <v>75000</v>
      </c>
      <c r="N65">
        <f>SUM(I65:M65)</f>
        <v>3472758.8428392485</v>
      </c>
      <c r="O65">
        <f>H65*N65</f>
        <v>17877762.52293645</v>
      </c>
      <c r="R65">
        <f>Analisa!$F$176</f>
        <v>1218780</v>
      </c>
      <c r="S65">
        <f>Analisa!$G$176</f>
        <v>800000</v>
      </c>
      <c r="T65">
        <f>Analisa!$H$176</f>
        <v>75000</v>
      </c>
      <c r="V65">
        <f>'REKAP-PC'!T22</f>
        <v>1.3752913752913754</v>
      </c>
      <c r="W65">
        <f>Analisa!F$115</f>
        <v>87119.679</v>
      </c>
      <c r="X65">
        <f>Analisa!$H$115</f>
        <v>0</v>
      </c>
      <c r="Z65">
        <f>'REKAP-PC'!U22</f>
        <v>111.60327052447552</v>
      </c>
      <c r="AA65">
        <f>Analisa!$F$233</f>
        <v>11282.5</v>
      </c>
      <c r="AF65">
        <f>R65+V65*W65+Z65*AA65</f>
        <v>2597758.8428392485</v>
      </c>
      <c r="AG65">
        <f>S65</f>
        <v>800000</v>
      </c>
      <c r="AH65">
        <f>T65+V65*X65</f>
        <v>75000</v>
      </c>
    </row>
    <row r="67">
      <c r="A67">
        <v>2</v>
      </c>
      <c r="B67" t="str">
        <v>Sloof (Readymix K-350) :</v>
      </c>
      <c r="AJ67">
        <f>SUMPRODUCT(H68:H85,V68:V85)</f>
        <v>333.155</v>
      </c>
      <c r="AL67">
        <f>SUMPRODUCT(H68:H85,Z68:Z85)</f>
        <v>7011.999539635499</v>
      </c>
      <c r="AM67" t="str">
        <v>v</v>
      </c>
    </row>
    <row r="68">
      <c r="B68" t="str">
        <f>CONCATENATE(" - Sloof ",G68)</f>
        <v xml:space="preserve"> - Sloof TB23-1</v>
      </c>
      <c r="C68" t="str">
        <v>m3</v>
      </c>
      <c r="D68">
        <f>H68</f>
        <v>0.7185000000000001</v>
      </c>
      <c r="E68">
        <f>N68*'REKAP RAB'!$O$4</f>
        <v>6005534.235854955</v>
      </c>
      <c r="F68">
        <f>D68*E68</f>
        <v>4314976.348461786</v>
      </c>
      <c r="G68" t="str">
        <v>TB23-1</v>
      </c>
      <c r="H68">
        <f>'REKAP Balok'!G435</f>
        <v>0.7185000000000001</v>
      </c>
      <c r="I68">
        <f>AF68</f>
        <v>3708012.4875920666</v>
      </c>
      <c r="J68">
        <f>AG68</f>
        <v>1500000</v>
      </c>
      <c r="K68">
        <f>AH68</f>
        <v>60000</v>
      </c>
      <c r="N68">
        <f>SUM(I68:M68)</f>
        <v>5268012.487592067</v>
      </c>
      <c r="O68">
        <f>H68*N68</f>
        <v>3785066.9723349004</v>
      </c>
      <c r="R68">
        <f>Analisa!$F$183</f>
        <v>1218780</v>
      </c>
      <c r="S68">
        <f>Analisa!$G$183</f>
        <v>1500000</v>
      </c>
      <c r="T68">
        <f>Analisa!$H$183</f>
        <v>60000</v>
      </c>
      <c r="V68">
        <f>'REKAP Balok'!W435</f>
        <v>9.999999999999998</v>
      </c>
      <c r="W68">
        <f>Analisa!$F$115</f>
        <v>87119.679</v>
      </c>
      <c r="X68">
        <f>Analisa!$H$115</f>
        <v>0</v>
      </c>
      <c r="Z68">
        <f>'REKAP Balok'!X435</f>
        <v>143.41109661795403</v>
      </c>
      <c r="AA68">
        <f>Analisa!$F$233</f>
        <v>11282.5</v>
      </c>
      <c r="AF68">
        <f>R68+V68*W68+Z68*AA68</f>
        <v>3708012.4875920666</v>
      </c>
      <c r="AG68">
        <f>S68</f>
        <v>1500000</v>
      </c>
      <c r="AH68">
        <f>T68+V68*X68</f>
        <v>60000</v>
      </c>
    </row>
    <row r="69">
      <c r="B69" t="str">
        <f>CONCATENATE(" - Sloof ",G69)</f>
        <v xml:space="preserve"> - Sloof TB24-1</v>
      </c>
      <c r="C69" t="str">
        <v>m3</v>
      </c>
      <c r="D69">
        <f>H69</f>
        <v>1.13005</v>
      </c>
      <c r="E69">
        <f>N69*'REKAP RAB'!$O$4</f>
        <v>5391125.451259435</v>
      </c>
      <c r="F69">
        <f>D69*E69</f>
        <v>6092241.3161957245</v>
      </c>
      <c r="G69" t="str">
        <v>TB24-1</v>
      </c>
      <c r="H69">
        <f>'REKAP Balok'!G436</f>
        <v>1.13005</v>
      </c>
      <c r="I69">
        <f>AF69</f>
        <v>3169057.4133854695</v>
      </c>
      <c r="J69">
        <f>AG69</f>
        <v>1500000</v>
      </c>
      <c r="K69">
        <f>AH69</f>
        <v>60000</v>
      </c>
      <c r="N69">
        <f>SUM(I69:M69)</f>
        <v>4729057.4133854695</v>
      </c>
      <c r="O69">
        <f>H69*N69</f>
        <v>5344071.32999625</v>
      </c>
      <c r="R69">
        <f>Analisa!$F$183</f>
        <v>1218780</v>
      </c>
      <c r="S69">
        <f>Analisa!$G$183</f>
        <v>1500000</v>
      </c>
      <c r="T69">
        <f>Analisa!$H$183</f>
        <v>60000</v>
      </c>
      <c r="V69">
        <f>'REKAP Balok'!W436</f>
        <v>10</v>
      </c>
      <c r="W69">
        <f>Analisa!$F$115</f>
        <v>87119.679</v>
      </c>
      <c r="X69">
        <f>Analisa!$H$115</f>
        <v>0</v>
      </c>
      <c r="Z69">
        <f>'REKAP Balok'!X436</f>
        <v>95.64197858501836</v>
      </c>
      <c r="AA69">
        <f>Analisa!$F$233</f>
        <v>11282.5</v>
      </c>
      <c r="AF69">
        <f>R69+V69*W69+Z69*AA69</f>
        <v>3169057.4133854695</v>
      </c>
      <c r="AG69">
        <f>S69</f>
        <v>1500000</v>
      </c>
      <c r="AH69">
        <f>T69+V69*X69</f>
        <v>60000</v>
      </c>
    </row>
    <row r="70">
      <c r="B70" t="str">
        <f>CONCATENATE(" - Sloof ",G70)</f>
        <v xml:space="preserve"> - Sloof TB24-2</v>
      </c>
      <c r="C70" t="str">
        <v>m3</v>
      </c>
      <c r="D70">
        <f>H70</f>
        <v>1.3669499999999999</v>
      </c>
      <c r="E70">
        <f>N70*'REKAP RAB'!$O$4</f>
        <v>6087422.151124437</v>
      </c>
      <c r="F70">
        <f>D70*E70</f>
        <v>8321201.709479549</v>
      </c>
      <c r="G70" t="str">
        <v>TB24-2</v>
      </c>
      <c r="H70">
        <f>'REKAP Balok'!G437</f>
        <v>1.3669499999999999</v>
      </c>
      <c r="I70">
        <f>AF70</f>
        <v>3779843.992214419</v>
      </c>
      <c r="J70">
        <f>AG70</f>
        <v>1500000</v>
      </c>
      <c r="K70">
        <f>AH70</f>
        <v>60000</v>
      </c>
      <c r="N70">
        <f>SUM(I70:M70)</f>
        <v>5339843.992214419</v>
      </c>
      <c r="O70">
        <f>H70*N70</f>
        <v>7299299.7451575</v>
      </c>
      <c r="R70">
        <f>Analisa!$F$183</f>
        <v>1218780</v>
      </c>
      <c r="S70">
        <f>Analisa!$G$183</f>
        <v>1500000</v>
      </c>
      <c r="T70">
        <f>Analisa!$H$183</f>
        <v>60000</v>
      </c>
      <c r="V70">
        <f>'REKAP Balok'!W437</f>
        <v>10</v>
      </c>
      <c r="W70">
        <f>Analisa!$F$115</f>
        <v>87119.679</v>
      </c>
      <c r="X70">
        <f>Analisa!$H$115</f>
        <v>0</v>
      </c>
      <c r="Z70">
        <f>'REKAP Balok'!X437</f>
        <v>149.77772676396359</v>
      </c>
      <c r="AA70">
        <f>Analisa!$F$233</f>
        <v>11282.5</v>
      </c>
      <c r="AF70">
        <f>R70+V70*W70+Z70*AA70</f>
        <v>3779843.992214419</v>
      </c>
      <c r="AG70">
        <f>S70</f>
        <v>1500000</v>
      </c>
      <c r="AH70">
        <f>T70+V70*X70</f>
        <v>60000</v>
      </c>
    </row>
    <row r="71">
      <c r="B71" t="str">
        <f>CONCATENATE(" - Sloof ",G71)</f>
        <v xml:space="preserve"> - Sloof TB245-1</v>
      </c>
      <c r="C71" t="str">
        <v>m3</v>
      </c>
      <c r="D71">
        <f>H71</f>
        <v>7.9925999999999995</v>
      </c>
      <c r="E71">
        <f>N71*'REKAP RAB'!$O$4</f>
        <v>5908586.412226652</v>
      </c>
      <c r="F71">
        <f>D71*E71</f>
        <v>47224967.75836273</v>
      </c>
      <c r="G71" t="str">
        <v>TB245-1</v>
      </c>
      <c r="H71">
        <f>'REKAP Balok'!G438</f>
        <v>7.9925999999999995</v>
      </c>
      <c r="I71">
        <f>AF71</f>
        <v>3622970.5370409223</v>
      </c>
      <c r="J71">
        <f>AG71</f>
        <v>1500000</v>
      </c>
      <c r="K71">
        <f>AH71</f>
        <v>60000</v>
      </c>
      <c r="N71">
        <f>SUM(I71:M71)</f>
        <v>5182970.537040923</v>
      </c>
      <c r="O71">
        <f>H71*N71</f>
        <v>41425410.31435328</v>
      </c>
      <c r="R71">
        <f>Analisa!$F$183</f>
        <v>1218780</v>
      </c>
      <c r="S71">
        <f>Analisa!$G$183</f>
        <v>1500000</v>
      </c>
      <c r="T71">
        <f>Analisa!$H$183</f>
        <v>60000</v>
      </c>
      <c r="V71">
        <f>'REKAP Balok'!W438</f>
        <v>10.000000000000002</v>
      </c>
      <c r="W71">
        <f>Analisa!$F$115</f>
        <v>87119.679</v>
      </c>
      <c r="X71">
        <f>Analisa!$H$115</f>
        <v>0</v>
      </c>
      <c r="Z71">
        <f>'REKAP Balok'!X438</f>
        <v>135.87358715186548</v>
      </c>
      <c r="AA71">
        <f>Analisa!$F$233</f>
        <v>11282.5</v>
      </c>
      <c r="AF71">
        <f>R71+V71*W71+Z71*AA71</f>
        <v>3622970.5370409223</v>
      </c>
      <c r="AG71">
        <f>S71</f>
        <v>1500000</v>
      </c>
      <c r="AH71">
        <f>T71+V71*X71</f>
        <v>60000</v>
      </c>
    </row>
    <row r="72">
      <c r="B72" t="str">
        <f>CONCATENATE(" - Sloof ",G72)</f>
        <v xml:space="preserve"> - Sloof TB245-2</v>
      </c>
      <c r="C72" t="str">
        <v>m3</v>
      </c>
      <c r="D72">
        <f>H72</f>
        <v>6.395099999999999</v>
      </c>
      <c r="E72">
        <f>N72*'REKAP RAB'!$O$4</f>
        <v>6321524.800128351</v>
      </c>
      <c r="F72">
        <f>D72*E72</f>
        <v>40426783.249300815</v>
      </c>
      <c r="G72" t="str">
        <v>TB245-2</v>
      </c>
      <c r="H72">
        <f>'REKAP Balok'!G439</f>
        <v>6.395099999999999</v>
      </c>
      <c r="I72">
        <f>AF72</f>
        <v>3985197.193095045</v>
      </c>
      <c r="J72">
        <f>AG72</f>
        <v>1500000</v>
      </c>
      <c r="K72">
        <f>AH72</f>
        <v>60000</v>
      </c>
      <c r="N72">
        <f>SUM(I72:M72)</f>
        <v>5545197.193095045</v>
      </c>
      <c r="O72">
        <f>H72*N72</f>
        <v>35462090.56956212</v>
      </c>
      <c r="R72">
        <f>Analisa!$F$183</f>
        <v>1218780</v>
      </c>
      <c r="S72">
        <f>Analisa!$G$183</f>
        <v>1500000</v>
      </c>
      <c r="T72">
        <f>Analisa!$H$183</f>
        <v>60000</v>
      </c>
      <c r="V72">
        <f>'REKAP Balok'!W439</f>
        <v>10.000000000000002</v>
      </c>
      <c r="W72">
        <f>Analisa!$F$115</f>
        <v>87119.679</v>
      </c>
      <c r="X72">
        <f>Analisa!$H$115</f>
        <v>0</v>
      </c>
      <c r="Z72">
        <f>'REKAP Balok'!X439</f>
        <v>167.97876384622603</v>
      </c>
      <c r="AA72">
        <f>Analisa!$F$233</f>
        <v>11282.5</v>
      </c>
      <c r="AF72">
        <f>R72+V72*W72+Z72*AA72</f>
        <v>3985197.193095045</v>
      </c>
      <c r="AG72">
        <f>S72</f>
        <v>1500000</v>
      </c>
      <c r="AH72">
        <f>T72+V72*X72</f>
        <v>60000</v>
      </c>
    </row>
    <row r="73">
      <c r="B73" t="str">
        <f>CONCATENATE(" - Sloof ",G73)</f>
        <v xml:space="preserve"> - Sloof TB25-1</v>
      </c>
      <c r="C73" t="str">
        <v>m3</v>
      </c>
      <c r="D73">
        <f>H73</f>
        <v>4.9119</v>
      </c>
      <c r="E73">
        <f>N73*'REKAP RAB'!$O$4</f>
        <v>6631488.567731015</v>
      </c>
      <c r="F73">
        <f>D73*E73</f>
        <v>32573208.695837975</v>
      </c>
      <c r="G73" t="str">
        <v>TB25-1</v>
      </c>
      <c r="H73">
        <f>'REKAP Balok'!G440</f>
        <v>4.9119</v>
      </c>
      <c r="I73">
        <f>AF73</f>
        <v>4257095.234851768</v>
      </c>
      <c r="J73">
        <f>AG73</f>
        <v>1500000</v>
      </c>
      <c r="K73">
        <f>AH73</f>
        <v>60000</v>
      </c>
      <c r="N73">
        <f>SUM(I73:M73)</f>
        <v>5817095.234851768</v>
      </c>
      <c r="O73">
        <f>H73*N73</f>
        <v>28572990.084068403</v>
      </c>
      <c r="R73">
        <f>Analisa!$F$183</f>
        <v>1218780</v>
      </c>
      <c r="S73">
        <f>Analisa!$G$183</f>
        <v>1500000</v>
      </c>
      <c r="T73">
        <f>Analisa!$H$183</f>
        <v>60000</v>
      </c>
      <c r="V73">
        <f>'REKAP Balok'!W440</f>
        <v>10</v>
      </c>
      <c r="W73">
        <f>Analisa!$F$115</f>
        <v>87119.679</v>
      </c>
      <c r="X73">
        <f>Analisa!$H$115</f>
        <v>0</v>
      </c>
      <c r="Z73">
        <f>'REKAP Balok'!X440</f>
        <v>192.07785906064865</v>
      </c>
      <c r="AA73">
        <f>Analisa!$F$233</f>
        <v>11282.5</v>
      </c>
      <c r="AF73">
        <f>R73+V73*W73+Z73*AA73</f>
        <v>4257095.234851768</v>
      </c>
      <c r="AG73">
        <f>S73</f>
        <v>1500000</v>
      </c>
      <c r="AH73">
        <f>T73+V73*X73</f>
        <v>60000</v>
      </c>
    </row>
    <row r="74">
      <c r="B74" t="str">
        <f>CONCATENATE(" - Sloof ",G74)</f>
        <v xml:space="preserve"> - Sloof TB25-2</v>
      </c>
      <c r="C74" t="str">
        <v>m3</v>
      </c>
      <c r="D74">
        <f>H74</f>
        <v>2.2841</v>
      </c>
      <c r="E74">
        <f>N74*'REKAP RAB'!$O$4</f>
        <v>7214336.431515103</v>
      </c>
      <c r="F74">
        <f>D74*E74</f>
        <v>16478265.843223648</v>
      </c>
      <c r="G74" t="str">
        <v>TB25-2</v>
      </c>
      <c r="H74">
        <f>'REKAP Balok'!G441</f>
        <v>2.2841</v>
      </c>
      <c r="I74">
        <f>AF74</f>
        <v>4768365.290802723</v>
      </c>
      <c r="J74">
        <f>AG74</f>
        <v>1500000</v>
      </c>
      <c r="K74">
        <f>AH74</f>
        <v>60000</v>
      </c>
      <c r="N74">
        <f>SUM(I74:M74)</f>
        <v>6328365.290802723</v>
      </c>
      <c r="O74">
        <f>H74*N74</f>
        <v>14454619.1607225</v>
      </c>
      <c r="R74">
        <f>Analisa!$F$183</f>
        <v>1218780</v>
      </c>
      <c r="S74">
        <f>Analisa!$G$183</f>
        <v>1500000</v>
      </c>
      <c r="T74">
        <f>Analisa!$H$183</f>
        <v>60000</v>
      </c>
      <c r="V74">
        <f>'REKAP Balok'!W441</f>
        <v>10</v>
      </c>
      <c r="W74">
        <f>Analisa!$F$115</f>
        <v>87119.679</v>
      </c>
      <c r="X74">
        <f>Analisa!$H$115</f>
        <v>0</v>
      </c>
      <c r="Z74">
        <f>'REKAP Balok'!X441</f>
        <v>237.39317534258572</v>
      </c>
      <c r="AA74">
        <f>Analisa!$F$233</f>
        <v>11282.5</v>
      </c>
      <c r="AF74">
        <f>R74+V74*W74+Z74*AA74</f>
        <v>4768365.290802723</v>
      </c>
      <c r="AG74">
        <f>S74</f>
        <v>1500000</v>
      </c>
      <c r="AH74">
        <f>T74+V74*X74</f>
        <v>60000</v>
      </c>
    </row>
    <row r="75">
      <c r="B75" t="str">
        <f>CONCATENATE(" - Sloof ",G75)</f>
        <v xml:space="preserve"> - Sloof TB25-3</v>
      </c>
      <c r="C75" t="str">
        <v>m3</v>
      </c>
      <c r="D75">
        <f>H75</f>
        <v>0.9086000000000001</v>
      </c>
      <c r="E75">
        <f>N75*'REKAP RAB'!$O$4</f>
        <v>7665321.565379161</v>
      </c>
      <c r="F75">
        <f>D75*E75</f>
        <v>6964711.1743035065</v>
      </c>
      <c r="G75" t="str">
        <v>TB25-3</v>
      </c>
      <c r="H75">
        <f>'REKAP Balok'!G442</f>
        <v>0.9086000000000001</v>
      </c>
      <c r="I75">
        <f>AF75</f>
        <v>5163966.285420317</v>
      </c>
      <c r="J75">
        <f>AG75</f>
        <v>1500000</v>
      </c>
      <c r="K75">
        <f>AH75</f>
        <v>60000</v>
      </c>
      <c r="N75">
        <f>SUM(I75:M75)</f>
        <v>6723966.285420317</v>
      </c>
      <c r="O75">
        <f>H75*N75</f>
        <v>6109395.766932901</v>
      </c>
      <c r="R75">
        <f>Analisa!$F$183</f>
        <v>1218780</v>
      </c>
      <c r="S75">
        <f>Analisa!$G$183</f>
        <v>1500000</v>
      </c>
      <c r="T75">
        <f>Analisa!$H$183</f>
        <v>60000</v>
      </c>
      <c r="V75">
        <f>'REKAP Balok'!W442</f>
        <v>9.999999999999998</v>
      </c>
      <c r="W75">
        <f>Analisa!$F$115</f>
        <v>87119.679</v>
      </c>
      <c r="X75">
        <f>Analisa!$H$115</f>
        <v>0</v>
      </c>
      <c r="Z75">
        <f>'REKAP Balok'!X442</f>
        <v>272.4564143957737</v>
      </c>
      <c r="AA75">
        <f>Analisa!$F$233</f>
        <v>11282.5</v>
      </c>
      <c r="AF75">
        <f>R75+V75*W75+Z75*AA75</f>
        <v>5163966.285420317</v>
      </c>
      <c r="AG75">
        <f>S75</f>
        <v>1500000</v>
      </c>
      <c r="AH75">
        <f>T75+V75*X75</f>
        <v>60000</v>
      </c>
    </row>
    <row r="76">
      <c r="B76" t="str">
        <f>CONCATENATE(" - Sloof ",G76)</f>
        <v xml:space="preserve"> - Sloof TB35-1</v>
      </c>
      <c r="C76" t="str">
        <v>m3</v>
      </c>
      <c r="D76">
        <f>H76</f>
        <v>2.606175</v>
      </c>
      <c r="E76">
        <f>N76*'REKAP RAB'!$O$4</f>
        <v>6155201.585515172</v>
      </c>
      <c r="F76">
        <f>D76*E76</f>
        <v>16041532.492130004</v>
      </c>
      <c r="G76" t="str">
        <v>TB35-1</v>
      </c>
      <c r="H76">
        <f>'REKAP Balok'!G443</f>
        <v>2.606175</v>
      </c>
      <c r="I76">
        <f>AF76</f>
        <v>3839299.636416818</v>
      </c>
      <c r="J76">
        <f>AG76</f>
        <v>1500000</v>
      </c>
      <c r="K76">
        <f>AH76</f>
        <v>60000</v>
      </c>
      <c r="N76">
        <f>SUM(I76:M76)</f>
        <v>5399299.636416818</v>
      </c>
      <c r="O76">
        <f>H76*N76</f>
        <v>14071519.7299386</v>
      </c>
      <c r="R76">
        <f>Analisa!$F$183</f>
        <v>1218780</v>
      </c>
      <c r="S76">
        <f>Analisa!$G$183</f>
        <v>1500000</v>
      </c>
      <c r="T76">
        <f>Analisa!$H$183</f>
        <v>60000</v>
      </c>
      <c r="V76">
        <f>'REKAP Balok'!W443</f>
        <v>6.666666666666667</v>
      </c>
      <c r="W76">
        <f>Analisa!$F$115</f>
        <v>87119.679</v>
      </c>
      <c r="X76">
        <f>Analisa!$H$115</f>
        <v>0</v>
      </c>
      <c r="Z76">
        <f>'REKAP Balok'!X443</f>
        <v>180.78633072606405</v>
      </c>
      <c r="AA76">
        <f>Analisa!$F$233</f>
        <v>11282.5</v>
      </c>
      <c r="AF76">
        <f>R76+V76*W76+Z76*AA76</f>
        <v>3839299.636416818</v>
      </c>
      <c r="AG76">
        <f>S76</f>
        <v>1500000</v>
      </c>
      <c r="AH76">
        <f>T76+V76*X76</f>
        <v>60000</v>
      </c>
    </row>
    <row r="77">
      <c r="B77" t="str">
        <f>CONCATENATE(" - Sloof ",G77)</f>
        <v xml:space="preserve"> - Sloof TB35-2</v>
      </c>
      <c r="C77" t="str">
        <v>m3</v>
      </c>
      <c r="D77">
        <f>H77</f>
        <v>0.609</v>
      </c>
      <c r="E77">
        <f>N77*'REKAP RAB'!$O$4</f>
        <v>7181989.769072246</v>
      </c>
      <c r="F77">
        <f>D77*E77</f>
        <v>4373831.769364998</v>
      </c>
      <c r="G77" t="str">
        <v>TB35-2</v>
      </c>
      <c r="H77">
        <f>'REKAP Balok'!G444</f>
        <v>0.609</v>
      </c>
      <c r="I77">
        <f>AF77</f>
        <v>4739991.02550197</v>
      </c>
      <c r="J77">
        <f>AG77</f>
        <v>1500000</v>
      </c>
      <c r="K77">
        <f>AH77</f>
        <v>60000</v>
      </c>
      <c r="N77">
        <f>SUM(I77:M77)</f>
        <v>6299991.02550197</v>
      </c>
      <c r="O77">
        <f>H77*N77</f>
        <v>3836694.5345306997</v>
      </c>
      <c r="R77">
        <f>Analisa!$F$183</f>
        <v>1218780</v>
      </c>
      <c r="S77">
        <f>Analisa!$G$183</f>
        <v>1500000</v>
      </c>
      <c r="T77">
        <f>Analisa!$H$183</f>
        <v>60000</v>
      </c>
      <c r="V77">
        <f>'REKAP Balok'!W444</f>
        <v>6.666666666666666</v>
      </c>
      <c r="W77">
        <f>Analisa!$F$115</f>
        <v>87119.679</v>
      </c>
      <c r="X77">
        <f>Analisa!$H$115</f>
        <v>0</v>
      </c>
      <c r="Z77">
        <f>'REKAP Balok'!X444</f>
        <v>260.61716512315274</v>
      </c>
      <c r="AA77">
        <f>Analisa!$F$233</f>
        <v>11282.5</v>
      </c>
      <c r="AF77">
        <f>R77+V77*W77+Z77*AA77</f>
        <v>4739991.02550197</v>
      </c>
      <c r="AG77">
        <f>S77</f>
        <v>1500000</v>
      </c>
      <c r="AH77">
        <f>T77+V77*X77</f>
        <v>60000</v>
      </c>
    </row>
    <row r="78">
      <c r="B78" t="str">
        <f>CONCATENATE(" - Sloof ",G78)</f>
        <v xml:space="preserve"> - Sloof TB36-1</v>
      </c>
      <c r="C78" t="str">
        <v>m3</v>
      </c>
      <c r="D78">
        <f>H78</f>
        <v>1.53225</v>
      </c>
      <c r="E78">
        <f>N78*'REKAP RAB'!$O$4</f>
        <v>6541371.574240015</v>
      </c>
      <c r="F78">
        <f>D78*E78</f>
        <v>10023016.594629262</v>
      </c>
      <c r="G78" t="str">
        <v>TB36-1</v>
      </c>
      <c r="H78">
        <f>'REKAP Balok'!G445</f>
        <v>1.53225</v>
      </c>
      <c r="I78">
        <f>AF78</f>
        <v>4178045.2405614173</v>
      </c>
      <c r="J78">
        <f>AG78</f>
        <v>1500000</v>
      </c>
      <c r="K78">
        <f>AH78</f>
        <v>60000</v>
      </c>
      <c r="N78">
        <f>SUM(I78:M78)</f>
        <v>5738045.240561417</v>
      </c>
      <c r="O78">
        <f>H78*N78</f>
        <v>8792119.81985023</v>
      </c>
      <c r="R78">
        <f>Analisa!$F$183</f>
        <v>1218780</v>
      </c>
      <c r="S78">
        <f>Analisa!$G$183</f>
        <v>1500000</v>
      </c>
      <c r="T78">
        <f>Analisa!$H$183</f>
        <v>60000</v>
      </c>
      <c r="V78">
        <f>'REKAP Balok'!W445</f>
        <v>6.666666666666667</v>
      </c>
      <c r="W78">
        <f>Analisa!$F$115</f>
        <v>87119.679</v>
      </c>
      <c r="X78">
        <f>Analisa!$H$115</f>
        <v>0</v>
      </c>
      <c r="Z78">
        <f>'REKAP Balok'!X445</f>
        <v>210.81031513950074</v>
      </c>
      <c r="AA78">
        <f>Analisa!$F$233</f>
        <v>11282.5</v>
      </c>
      <c r="AF78">
        <f>R78+V78*W78+Z78*AA78</f>
        <v>4178045.2405614173</v>
      </c>
      <c r="AG78">
        <f>S78</f>
        <v>1500000</v>
      </c>
      <c r="AH78">
        <f>T78+V78*X78</f>
        <v>60000</v>
      </c>
    </row>
    <row r="79">
      <c r="B79" t="str">
        <f>CONCATENATE(" - Sloof ",G79)</f>
        <v xml:space="preserve"> - Sloof TB46-1</v>
      </c>
      <c r="C79" t="str">
        <v>m3</v>
      </c>
      <c r="D79">
        <f>H79</f>
        <v>1.2483</v>
      </c>
      <c r="E79">
        <f>N79*'REKAP RAB'!$O$4</f>
        <v>6731154.357564864</v>
      </c>
      <c r="F79">
        <f>D79*E79</f>
        <v>8402499.984548219</v>
      </c>
      <c r="G79" t="str">
        <v>TB46-1</v>
      </c>
      <c r="H79">
        <f>'REKAP Balok'!G446</f>
        <v>1.2483</v>
      </c>
      <c r="I79">
        <f>AF79</f>
        <v>4344521.366284968</v>
      </c>
      <c r="J79">
        <f>AG79</f>
        <v>1500000</v>
      </c>
      <c r="K79">
        <f>AH79</f>
        <v>60000</v>
      </c>
      <c r="N79">
        <f>SUM(I79:M79)</f>
        <v>5904521.366284968</v>
      </c>
      <c r="O79">
        <f>H79*N79</f>
        <v>7370614.021533526</v>
      </c>
      <c r="R79">
        <f>Analisa!$F$183</f>
        <v>1218780</v>
      </c>
      <c r="S79">
        <f>Analisa!$G$183</f>
        <v>1500000</v>
      </c>
      <c r="T79">
        <f>Analisa!$H$183</f>
        <v>60000</v>
      </c>
      <c r="V79">
        <f>'REKAP Balok'!W446</f>
        <v>5</v>
      </c>
      <c r="W79">
        <f>Analisa!$F$115</f>
        <v>87119.679</v>
      </c>
      <c r="X79">
        <f>Analisa!$H$115</f>
        <v>0</v>
      </c>
      <c r="Z79">
        <f>'REKAP Balok'!X446</f>
        <v>238.43500742609953</v>
      </c>
      <c r="AA79">
        <f>Analisa!$F$233</f>
        <v>11282.5</v>
      </c>
      <c r="AF79">
        <f>R79+V79*W79+Z79*AA79</f>
        <v>4344521.366284968</v>
      </c>
      <c r="AG79">
        <f>S79</f>
        <v>1500000</v>
      </c>
      <c r="AH79">
        <f>T79+V79*X79</f>
        <v>60000</v>
      </c>
    </row>
    <row r="80">
      <c r="B80" t="str">
        <f>CONCATENATE(" - Sloof ",G80)</f>
        <v xml:space="preserve"> - Sloof TB47-1</v>
      </c>
      <c r="C80" t="str">
        <v>m3</v>
      </c>
      <c r="D80">
        <f>H80</f>
        <v>2.4739</v>
      </c>
      <c r="E80">
        <f>N80*'REKAP RAB'!$O$4</f>
        <v>6930801.455396659</v>
      </c>
      <c r="F80">
        <f>D80*E80</f>
        <v>17146109.720505793</v>
      </c>
      <c r="G80" t="str">
        <v>TB47-1</v>
      </c>
      <c r="H80">
        <f>'REKAP Balok'!G447</f>
        <v>2.4739</v>
      </c>
      <c r="I80">
        <f>AF80</f>
        <v>4519650.399470754</v>
      </c>
      <c r="J80">
        <f>AG80</f>
        <v>1500000</v>
      </c>
      <c r="K80">
        <f>AH80</f>
        <v>60000</v>
      </c>
      <c r="N80">
        <f>SUM(I80:M80)</f>
        <v>6079650.399470754</v>
      </c>
      <c r="O80">
        <f>H80*N80</f>
        <v>15040447.123250699</v>
      </c>
      <c r="R80">
        <f>Analisa!$F$183</f>
        <v>1218780</v>
      </c>
      <c r="S80">
        <f>Analisa!$G$183</f>
        <v>1500000</v>
      </c>
      <c r="T80">
        <f>Analisa!$H$183</f>
        <v>60000</v>
      </c>
      <c r="V80">
        <f>'REKAP Balok'!W447</f>
        <v>5</v>
      </c>
      <c r="W80">
        <f>Analisa!$F$115</f>
        <v>87119.679</v>
      </c>
      <c r="X80">
        <f>Analisa!$H$115</f>
        <v>0</v>
      </c>
      <c r="Z80">
        <f>'REKAP Balok'!X447</f>
        <v>253.95719073527627</v>
      </c>
      <c r="AA80">
        <f>Analisa!$F$233</f>
        <v>11282.5</v>
      </c>
      <c r="AF80">
        <f>R80+V80*W80+Z80*AA80</f>
        <v>4519650.399470754</v>
      </c>
      <c r="AG80">
        <f>S80</f>
        <v>1500000</v>
      </c>
      <c r="AH80">
        <f>T80+V80*X80</f>
        <v>60000</v>
      </c>
    </row>
    <row r="81">
      <c r="B81" t="str">
        <f>CONCATENATE(" - Sloof ",G81)</f>
        <v xml:space="preserve"> - Sloof TB47-2</v>
      </c>
      <c r="C81" t="str">
        <v>m3</v>
      </c>
      <c r="D81">
        <f>H81</f>
        <v>1.617</v>
      </c>
      <c r="E81">
        <f>N81*'REKAP RAB'!$O$4</f>
        <v>5973059.256195364</v>
      </c>
      <c r="F81">
        <f>D81*E81</f>
        <v>9658436.817267902</v>
      </c>
      <c r="G81" t="str">
        <v>TB47-2</v>
      </c>
      <c r="H81">
        <f>'REKAP Balok'!G448</f>
        <v>1.617</v>
      </c>
      <c r="I81">
        <f>AF81</f>
        <v>3679525.663329267</v>
      </c>
      <c r="J81">
        <f>AG81</f>
        <v>1500000</v>
      </c>
      <c r="K81">
        <f>AH81</f>
        <v>60000</v>
      </c>
      <c r="N81">
        <f>SUM(I81:M81)</f>
        <v>5239525.663329267</v>
      </c>
      <c r="O81">
        <f>H81*N81</f>
        <v>8472312.997603424</v>
      </c>
      <c r="R81">
        <f>Analisa!$F$183</f>
        <v>1218780</v>
      </c>
      <c r="S81">
        <f>Analisa!$G$183</f>
        <v>1500000</v>
      </c>
      <c r="T81">
        <f>Analisa!$H$183</f>
        <v>60000</v>
      </c>
      <c r="V81">
        <f>'REKAP Balok'!W448</f>
        <v>5.000000000000001</v>
      </c>
      <c r="W81">
        <f>Analisa!$F$115</f>
        <v>87119.679</v>
      </c>
      <c r="X81">
        <f>Analisa!$H$115</f>
        <v>0</v>
      </c>
      <c r="Z81">
        <f>'REKAP Balok'!X448</f>
        <v>179.49455070500926</v>
      </c>
      <c r="AA81">
        <f>Analisa!$F$233</f>
        <v>11282.5</v>
      </c>
      <c r="AF81">
        <f>R81+V81*W81+Z81*AA81</f>
        <v>3679525.663329267</v>
      </c>
      <c r="AG81">
        <f>S81</f>
        <v>1500000</v>
      </c>
      <c r="AH81">
        <f>T81+V81*X81</f>
        <v>60000</v>
      </c>
    </row>
    <row r="82">
      <c r="B82" t="str">
        <f>CONCATENATE(" - Sloof ",G82)</f>
        <v xml:space="preserve"> - Sloof TBK25-1</v>
      </c>
      <c r="C82" t="str">
        <v>m3</v>
      </c>
      <c r="D82">
        <f>H82</f>
        <v>0.29</v>
      </c>
      <c r="E82">
        <f>N82*'REKAP RAB'!$O$4</f>
        <v>6681699.881703435</v>
      </c>
      <c r="F82">
        <f>D82*E82</f>
        <v>1937692.965693996</v>
      </c>
      <c r="G82" t="str">
        <v>TBK25-1</v>
      </c>
      <c r="H82">
        <f>'REKAP Balok'!G450</f>
        <v>0.29</v>
      </c>
      <c r="I82">
        <f>AF82</f>
        <v>4301140.247108277</v>
      </c>
      <c r="J82">
        <f>AG82</f>
        <v>1500000</v>
      </c>
      <c r="K82">
        <f>AH82</f>
        <v>60000</v>
      </c>
      <c r="N82">
        <f>SUM(I82:M82)</f>
        <v>5861140.247108277</v>
      </c>
      <c r="O82">
        <f>H82*N82</f>
        <v>1699730.6716614002</v>
      </c>
      <c r="R82">
        <f>Analisa!$F$183</f>
        <v>1218780</v>
      </c>
      <c r="S82">
        <f>Analisa!$G$183</f>
        <v>1500000</v>
      </c>
      <c r="T82">
        <f>Analisa!$H$183</f>
        <v>60000</v>
      </c>
      <c r="V82">
        <f>'REKAP Balok'!W450</f>
        <v>10</v>
      </c>
      <c r="W82">
        <f>Analisa!$F$115</f>
        <v>87119.679</v>
      </c>
      <c r="X82">
        <f>Analisa!$H$115</f>
        <v>0</v>
      </c>
      <c r="Z82">
        <f>'REKAP Balok'!X450</f>
        <v>195.9816935172414</v>
      </c>
      <c r="AA82">
        <f>Analisa!$F$233</f>
        <v>11282.5</v>
      </c>
      <c r="AF82">
        <f>R82+V82*W82+Z82*AA82</f>
        <v>4301140.247108277</v>
      </c>
      <c r="AG82">
        <f>S82</f>
        <v>1500000</v>
      </c>
      <c r="AH82">
        <f>T82+V82*X82</f>
        <v>60000</v>
      </c>
    </row>
    <row r="83">
      <c r="B83" t="str">
        <f>CONCATENATE(" - Sloof ",G83)</f>
        <v xml:space="preserve"> - Sloof Potongan S1</v>
      </c>
      <c r="C83" t="str">
        <v>m3</v>
      </c>
      <c r="D83">
        <f>H83</f>
        <v>0.22575</v>
      </c>
      <c r="E83">
        <f>N83*'REKAP RAB'!$O$4</f>
        <v>6273006.841963534</v>
      </c>
      <c r="F83">
        <f>D83*E83</f>
        <v>1416131.294573268</v>
      </c>
      <c r="G83" t="str">
        <v>Potongan S1</v>
      </c>
      <c r="H83">
        <f>'REKAP Balok'!G451</f>
        <v>0.22575</v>
      </c>
      <c r="I83">
        <f>AF83</f>
        <v>3942637.580669767</v>
      </c>
      <c r="J83">
        <f>AG83</f>
        <v>1500000</v>
      </c>
      <c r="K83">
        <f>AH83</f>
        <v>60000</v>
      </c>
      <c r="N83">
        <f>SUM(I83:M83)</f>
        <v>5502637.580669767</v>
      </c>
      <c r="O83">
        <f>H83*N83</f>
        <v>1242220.4338362</v>
      </c>
      <c r="R83">
        <f>Analisa!$F$183</f>
        <v>1218780</v>
      </c>
      <c r="S83">
        <f>Analisa!$G$183</f>
        <v>1500000</v>
      </c>
      <c r="T83">
        <f>Analisa!$H$183</f>
        <v>60000</v>
      </c>
      <c r="V83">
        <f>'REKAP Balok'!W451</f>
        <v>6.666666666666666</v>
      </c>
      <c r="W83">
        <f>Analisa!$F$115</f>
        <v>87119.679</v>
      </c>
      <c r="X83">
        <f>Analisa!$H$115</f>
        <v>0</v>
      </c>
      <c r="Z83">
        <f>'REKAP Balok'!X451</f>
        <v>189.94546604651163</v>
      </c>
      <c r="AA83">
        <f>Analisa!$F$233</f>
        <v>11282.5</v>
      </c>
      <c r="AF83">
        <f>R83+V83*W83+Z83*AA83</f>
        <v>3942637.580669767</v>
      </c>
      <c r="AG83">
        <f>S83</f>
        <v>1500000</v>
      </c>
      <c r="AH83">
        <f>T83+V83*X83</f>
        <v>60000</v>
      </c>
    </row>
    <row r="84">
      <c r="B84" t="str">
        <f>CONCATENATE(" - Sloof ",G84)</f>
        <v xml:space="preserve"> - Sloof Potongan S2</v>
      </c>
      <c r="C84" t="str">
        <v>m3</v>
      </c>
      <c r="D84">
        <f>H84</f>
        <v>0.54</v>
      </c>
      <c r="E84">
        <f>N84*'REKAP RAB'!$O$4</f>
        <v>7079346.6769883</v>
      </c>
      <c r="F84">
        <f>D84*E84</f>
        <v>3822847.205573682</v>
      </c>
      <c r="G84" t="str">
        <v>Potongan S2</v>
      </c>
      <c r="H84">
        <f>'REKAP Balok'!G452</f>
        <v>0.54</v>
      </c>
      <c r="I84">
        <f>AF84</f>
        <v>4649953.2254283335</v>
      </c>
      <c r="J84">
        <f>AG84</f>
        <v>1500000</v>
      </c>
      <c r="K84">
        <f>AH84</f>
        <v>60000</v>
      </c>
      <c r="N84">
        <f>SUM(I84:M84)</f>
        <v>6209953.2254283335</v>
      </c>
      <c r="O84">
        <f>H84*N84</f>
        <v>3353374.7417313005</v>
      </c>
      <c r="R84">
        <f>Analisa!$F$183</f>
        <v>1218780</v>
      </c>
      <c r="S84">
        <f>Analisa!$G$183</f>
        <v>1500000</v>
      </c>
      <c r="T84">
        <f>Analisa!$H$183</f>
        <v>60000</v>
      </c>
      <c r="V84">
        <f>'REKAP Balok'!W452</f>
        <v>6.666666666666666</v>
      </c>
      <c r="W84">
        <f>Analisa!$F$115</f>
        <v>87119.679</v>
      </c>
      <c r="X84">
        <f>Analisa!$H$115</f>
        <v>0</v>
      </c>
      <c r="Z84">
        <f>'REKAP Balok'!X452</f>
        <v>252.63685933333332</v>
      </c>
      <c r="AA84">
        <f>Analisa!$F$233</f>
        <v>11282.5</v>
      </c>
      <c r="AF84">
        <f>R84+V84*W84+Z84*AA84</f>
        <v>4649953.2254283335</v>
      </c>
      <c r="AG84">
        <f>S84</f>
        <v>1500000</v>
      </c>
      <c r="AH84">
        <f>T84+V84*X84</f>
        <v>60000</v>
      </c>
    </row>
    <row r="85">
      <c r="B85" t="str">
        <f>CONCATENATE(" - Sloof ",G85)</f>
        <v xml:space="preserve"> - Sloof Potongan S4</v>
      </c>
      <c r="C85" t="str">
        <v>m3</v>
      </c>
      <c r="D85">
        <f>H85</f>
        <v>1.458975</v>
      </c>
      <c r="E85">
        <f>N85*'REKAP RAB'!$O$4</f>
        <v>6452528.7566649215</v>
      </c>
      <c r="F85">
        <f>D85*E85</f>
        <v>9414078.142755203</v>
      </c>
      <c r="G85" t="str">
        <v>Potongan S4</v>
      </c>
      <c r="H85">
        <f>'REKAP Balok'!G454</f>
        <v>1.458975</v>
      </c>
      <c r="I85">
        <f>AF85</f>
        <v>4100112.944442914</v>
      </c>
      <c r="J85">
        <f>AG85</f>
        <v>1500000</v>
      </c>
      <c r="K85">
        <f>AH85</f>
        <v>60000</v>
      </c>
      <c r="N85">
        <f>SUM(I85:M85)</f>
        <v>5660112.944442914</v>
      </c>
      <c r="O85">
        <f>H85*N85</f>
        <v>8257963.2831186</v>
      </c>
      <c r="R85">
        <f>Analisa!$F$183</f>
        <v>1218780</v>
      </c>
      <c r="S85">
        <f>Analisa!$G$183</f>
        <v>1500000</v>
      </c>
      <c r="T85">
        <f>Analisa!$H$183</f>
        <v>60000</v>
      </c>
      <c r="V85">
        <f>'REKAP Balok'!W454</f>
        <v>6.666666666666667</v>
      </c>
      <c r="W85">
        <f>Analisa!$F$115</f>
        <v>87119.679</v>
      </c>
      <c r="X85">
        <f>Analisa!$H$115</f>
        <v>0</v>
      </c>
      <c r="Z85">
        <f>'REKAP Balok'!X454</f>
        <v>203.90295452629414</v>
      </c>
      <c r="AA85">
        <f>Analisa!$F$233</f>
        <v>11282.5</v>
      </c>
      <c r="AF85">
        <f>R85+V85*W85+Z85*AA85</f>
        <v>4100112.944442914</v>
      </c>
      <c r="AG85">
        <f>S85</f>
        <v>1500000</v>
      </c>
      <c r="AH85">
        <f>T85+V85*X85</f>
        <v>60000</v>
      </c>
    </row>
    <row r="87">
      <c r="B87" t="str">
        <v xml:space="preserve"> - Strongband BB</v>
      </c>
      <c r="C87" t="str">
        <v>kg</v>
      </c>
      <c r="D87">
        <f>H87</f>
        <v>24.7073472</v>
      </c>
      <c r="E87">
        <f>N87*'REKAP RAB'!$O$4</f>
        <v>12862.05</v>
      </c>
      <c r="F87">
        <f>D87*E87</f>
        <v>317787.13505376</v>
      </c>
      <c r="G87" t="str">
        <v>BB</v>
      </c>
      <c r="H87">
        <f>'REKAP Balok'!U455</f>
        <v>24.7073472</v>
      </c>
      <c r="I87">
        <f>Analisa!$F$233</f>
        <v>11282.5</v>
      </c>
      <c r="N87">
        <f>SUM(I87:M87)</f>
        <v>11282.5</v>
      </c>
      <c r="O87">
        <f>H87*N87</f>
        <v>278760.644784</v>
      </c>
    </row>
    <row r="89">
      <c r="A89">
        <v>3</v>
      </c>
      <c r="B89" t="str">
        <v>Plat Lantai (Readymix K-350) :</v>
      </c>
      <c r="AJ89">
        <f>SUMPRODUCT(H90:H90,V90:V90)</f>
        <v>37.242</v>
      </c>
      <c r="AL89">
        <f>SUMPRODUCT(H90:H90,Z90:Z90)</f>
        <v>8119.1835632</v>
      </c>
    </row>
    <row r="90">
      <c r="B90" t="str">
        <v xml:space="preserve"> - Plat lantai - tebal 15 cm, besi D10-200 (2 lapis)</v>
      </c>
      <c r="C90" t="str">
        <v>m3</v>
      </c>
      <c r="D90">
        <f>H90</f>
        <v>73.98150000000001</v>
      </c>
      <c r="E90">
        <f>N90*'REKAP RAB'!$O$4</f>
        <v>3900598.1794858384</v>
      </c>
      <c r="F90">
        <f>D90*E90</f>
        <v>288572104.2156316</v>
      </c>
      <c r="H90">
        <f>SUM('[39]REKAP Plat'!G6:G11)</f>
        <v>73.98150000000001</v>
      </c>
      <c r="I90">
        <f>AF90</f>
        <v>2361577.3504261742</v>
      </c>
      <c r="J90">
        <f>AG90</f>
        <v>1000000</v>
      </c>
      <c r="K90">
        <f>AH90</f>
        <v>60000</v>
      </c>
      <c r="N90">
        <f>SUM(I90:M90)</f>
        <v>3421577.3504261742</v>
      </c>
      <c r="O90">
        <f>H90*N90</f>
        <v>253133424.75055405</v>
      </c>
      <c r="R90">
        <f>Analisa!F$211</f>
        <v>1066432.5000000002</v>
      </c>
      <c r="S90">
        <f>Analisa!G$211</f>
        <v>1000000</v>
      </c>
      <c r="T90">
        <f>Analisa!H$211</f>
        <v>60000</v>
      </c>
      <c r="V90">
        <f>'REKAP Plat'!R6</f>
        <v>0.5033961193000952</v>
      </c>
      <c r="W90">
        <f>Analisa!$F$107</f>
        <v>113100</v>
      </c>
      <c r="Z90">
        <f>'REKAP Plat'!S6</f>
        <v>109.74613333333332</v>
      </c>
      <c r="AA90">
        <f>Analisa!$F$233</f>
        <v>11282.5</v>
      </c>
      <c r="AF90">
        <f>R90+V90*W90+Z90*AA90</f>
        <v>2361577.3504261742</v>
      </c>
      <c r="AG90">
        <f>S90</f>
        <v>1000000</v>
      </c>
      <c r="AH90">
        <f>T90+V90*X90</f>
        <v>60000</v>
      </c>
    </row>
    <row r="92">
      <c r="A92">
        <v>4</v>
      </c>
      <c r="B92" t="str">
        <v>Kolom (Readymix K-350) :</v>
      </c>
      <c r="AJ92">
        <f>SUMPRODUCT(H93:H108,V93:V108)</f>
        <v>287.9579999999999</v>
      </c>
      <c r="AL92">
        <f>SUMPRODUCT(H93:H108,Z93:Z108)</f>
        <v>7690.051635120001</v>
      </c>
      <c r="AM92" t="str">
        <v>v</v>
      </c>
    </row>
    <row r="93">
      <c r="B93" t="str">
        <v xml:space="preserve"> - Kolom K174-1</v>
      </c>
      <c r="C93" t="str">
        <v>m3</v>
      </c>
      <c r="D93">
        <f>H93</f>
        <v>1.1219999999999999</v>
      </c>
      <c r="E93">
        <f>N93*'REKAP RAB'!$O$4</f>
        <v>11591928.837811667</v>
      </c>
      <c r="F93">
        <f>D93*E93</f>
        <v>13006144.156024689</v>
      </c>
      <c r="G93" t="str">
        <v>K174-1</v>
      </c>
      <c r="H93">
        <f>'Hasil-Kolom'!F218</f>
        <v>1.1219999999999999</v>
      </c>
      <c r="I93">
        <f>AF93</f>
        <v>7668358.629659358</v>
      </c>
      <c r="J93">
        <f>AG93</f>
        <v>2250000</v>
      </c>
      <c r="K93">
        <f>AH93</f>
        <v>250000</v>
      </c>
      <c r="N93">
        <f>SUM(I93:M93)</f>
        <v>10168358.629659358</v>
      </c>
      <c r="O93">
        <f>H93*N93</f>
        <v>11408898.3824778</v>
      </c>
      <c r="R93">
        <f>Analisa!$F$190</f>
        <v>1066432.5000000002</v>
      </c>
      <c r="S93">
        <f>Analisa!$G$190</f>
        <v>2250000</v>
      </c>
      <c r="T93">
        <f>Analisa!$H$190</f>
        <v>250000</v>
      </c>
      <c r="V93">
        <f>'Hasil-Kolom'!V218</f>
        <v>16.764705882352942</v>
      </c>
      <c r="W93">
        <f>Analisa!$F$132</f>
        <v>232434.21052631576</v>
      </c>
      <c r="Z93">
        <f>'Hasil-Kolom'!W218</f>
        <v>239.77265262032086</v>
      </c>
      <c r="AA93">
        <f>Analisa!$F$233</f>
        <v>11282.5</v>
      </c>
      <c r="AF93">
        <f>R93+V93*W93+Z93*AA93</f>
        <v>7668358.629659358</v>
      </c>
      <c r="AG93">
        <f>S93</f>
        <v>2250000</v>
      </c>
      <c r="AH93">
        <f>T93+V93*X93</f>
        <v>250000</v>
      </c>
    </row>
    <row r="94">
      <c r="B94" t="str">
        <v xml:space="preserve"> - Kolom K175-1</v>
      </c>
      <c r="C94" t="str">
        <v>m3</v>
      </c>
      <c r="D94">
        <f>H94</f>
        <v>1.122</v>
      </c>
      <c r="E94">
        <f>N94*'REKAP RAB'!$O$4</f>
        <v>11292591.175096812</v>
      </c>
      <c r="F94">
        <f>D94*E94</f>
        <v>12670287.298458625</v>
      </c>
      <c r="G94" t="str">
        <v>K175-1</v>
      </c>
      <c r="H94">
        <f>'Hasil-Kolom'!F220</f>
        <v>1.122</v>
      </c>
      <c r="I94">
        <f>AF94</f>
        <v>7405781.732541064</v>
      </c>
      <c r="J94">
        <f>AG94</f>
        <v>2250000</v>
      </c>
      <c r="K94">
        <f>AH94</f>
        <v>250000</v>
      </c>
      <c r="N94">
        <f>SUM(I94:M94)</f>
        <v>9905781.732541064</v>
      </c>
      <c r="O94">
        <f>H94*N94</f>
        <v>11114287.103911074</v>
      </c>
      <c r="R94">
        <f>Analisa!$F$190</f>
        <v>1066432.5000000002</v>
      </c>
      <c r="S94">
        <f>Analisa!$G$190</f>
        <v>2250000</v>
      </c>
      <c r="T94">
        <f>Analisa!$H$190</f>
        <v>250000</v>
      </c>
      <c r="V94">
        <f>'Hasil-Kolom'!V220</f>
        <v>15.764705882352938</v>
      </c>
      <c r="W94">
        <f>Analisa!$F$132</f>
        <v>232434.21052631576</v>
      </c>
      <c r="Z94">
        <f>'Hasil-Kolom'!W220</f>
        <v>237.10102074866316</v>
      </c>
      <c r="AA94">
        <f>Analisa!$F$233</f>
        <v>11282.5</v>
      </c>
      <c r="AF94">
        <f>R94+V94*W94+Z94*AA94</f>
        <v>7405781.732541064</v>
      </c>
      <c r="AG94">
        <f>S94</f>
        <v>2250000</v>
      </c>
      <c r="AH94">
        <f>T94+V94*X94</f>
        <v>250000</v>
      </c>
    </row>
    <row r="95">
      <c r="B95" t="str">
        <v xml:space="preserve"> - Kolom K175-2</v>
      </c>
      <c r="C95" t="str">
        <v>m3</v>
      </c>
      <c r="D95">
        <f>H95</f>
        <v>4.488</v>
      </c>
      <c r="E95">
        <f>N95*'REKAP RAB'!$O$4</f>
        <v>11856055.619691527</v>
      </c>
      <c r="F95">
        <f>D95*E95</f>
        <v>53209977.62117558</v>
      </c>
      <c r="G95" t="str">
        <v>K175-2</v>
      </c>
      <c r="H95">
        <f>'Hasil-Kolom'!F221</f>
        <v>4.488</v>
      </c>
      <c r="I95">
        <f>AF95</f>
        <v>7900048.789203094</v>
      </c>
      <c r="J95">
        <f>AG95</f>
        <v>2250000</v>
      </c>
      <c r="K95">
        <f>AH95</f>
        <v>250000</v>
      </c>
      <c r="N95">
        <f>SUM(I95:M95)</f>
        <v>10400048.789203094</v>
      </c>
      <c r="O95">
        <f>H95*N95</f>
        <v>46675418.96594349</v>
      </c>
      <c r="R95">
        <f>Analisa!$F$190</f>
        <v>1066432.5000000002</v>
      </c>
      <c r="S95">
        <f>Analisa!$G$190</f>
        <v>2250000</v>
      </c>
      <c r="T95">
        <f>Analisa!$H$190</f>
        <v>250000</v>
      </c>
      <c r="V95">
        <f>'Hasil-Kolom'!V221</f>
        <v>15.764705882352935</v>
      </c>
      <c r="W95">
        <f>Analisa!$F$132</f>
        <v>232434.21052631576</v>
      </c>
      <c r="Z95">
        <f>'Hasil-Kolom'!W221</f>
        <v>280.90931294117644</v>
      </c>
      <c r="AA95">
        <f>Analisa!$F$233</f>
        <v>11282.5</v>
      </c>
      <c r="AF95">
        <f>R95+V95*W95+Z95*AA95</f>
        <v>7900048.789203094</v>
      </c>
      <c r="AG95">
        <f>S95</f>
        <v>2250000</v>
      </c>
      <c r="AH95">
        <f>T95+V95*X95</f>
        <v>250000</v>
      </c>
    </row>
    <row r="96">
      <c r="B96" t="str">
        <v xml:space="preserve"> - Kolom K175-3</v>
      </c>
      <c r="C96" t="str">
        <v>m3</v>
      </c>
      <c r="D96">
        <f>H96</f>
        <v>0.561</v>
      </c>
      <c r="E96">
        <f>N96*'REKAP RAB'!$O$4</f>
        <v>12254628.132082779</v>
      </c>
      <c r="F96">
        <f>D96*E96</f>
        <v>6874846.38209844</v>
      </c>
      <c r="G96" t="str">
        <v>K175-3</v>
      </c>
      <c r="H96">
        <f>'Hasil-Kolom'!F222</f>
        <v>0.561</v>
      </c>
      <c r="I96">
        <f>AF96</f>
        <v>8249673.800072614</v>
      </c>
      <c r="J96">
        <f>AG96</f>
        <v>2250000</v>
      </c>
      <c r="K96">
        <f>AH96</f>
        <v>250000</v>
      </c>
      <c r="N96">
        <f>SUM(I96:M96)</f>
        <v>10749673.800072614</v>
      </c>
      <c r="O96">
        <f>H96*N96</f>
        <v>6030567.001840737</v>
      </c>
      <c r="R96">
        <f>Analisa!$F$190</f>
        <v>1066432.5000000002</v>
      </c>
      <c r="S96">
        <f>Analisa!$G$190</f>
        <v>2250000</v>
      </c>
      <c r="T96">
        <f>Analisa!$H$190</f>
        <v>250000</v>
      </c>
      <c r="V96">
        <f>'Hasil-Kolom'!V222</f>
        <v>15.764705882352938</v>
      </c>
      <c r="W96">
        <f>Analisa!$F$132</f>
        <v>232434.21052631576</v>
      </c>
      <c r="Z96">
        <f>'Hasil-Kolom'!W222</f>
        <v>311.89757005347593</v>
      </c>
      <c r="AA96">
        <f>Analisa!$F$233</f>
        <v>11282.5</v>
      </c>
      <c r="AF96">
        <f>R96+V96*W96+Z96*AA96</f>
        <v>8249673.800072614</v>
      </c>
      <c r="AG96">
        <f>S96</f>
        <v>2250000</v>
      </c>
      <c r="AH96">
        <f>T96+V96*X96</f>
        <v>250000</v>
      </c>
    </row>
    <row r="97">
      <c r="B97" t="str">
        <v xml:space="preserve"> - Kolom K175-4</v>
      </c>
      <c r="C97" t="str">
        <v>m3</v>
      </c>
      <c r="D97">
        <f>H97</f>
        <v>0.8415000000000001</v>
      </c>
      <c r="E97">
        <f>N97*'REKAP RAB'!$O$4</f>
        <v>13678759.92365262</v>
      </c>
      <c r="F97">
        <f>D97*E97</f>
        <v>11510676.475753682</v>
      </c>
      <c r="G97" t="str">
        <v>K175-4</v>
      </c>
      <c r="H97">
        <f>'Hasil-Kolom'!F223</f>
        <v>0.8415000000000001</v>
      </c>
      <c r="I97">
        <f>AF97</f>
        <v>9498912.213730369</v>
      </c>
      <c r="J97">
        <f>AG97</f>
        <v>2250000</v>
      </c>
      <c r="K97">
        <f>AH97</f>
        <v>250000</v>
      </c>
      <c r="N97">
        <f>SUM(I97:M97)</f>
        <v>11998912.213730369</v>
      </c>
      <c r="O97">
        <f>H97*N97</f>
        <v>10097084.627854107</v>
      </c>
      <c r="R97">
        <f>Analisa!$F$190</f>
        <v>1066432.5000000002</v>
      </c>
      <c r="S97">
        <f>Analisa!$G$190</f>
        <v>2250000</v>
      </c>
      <c r="T97">
        <f>Analisa!$H$190</f>
        <v>250000</v>
      </c>
      <c r="V97">
        <f>'Hasil-Kolom'!V223</f>
        <v>15.764705882352937</v>
      </c>
      <c r="W97">
        <f>Analisa!$F$132</f>
        <v>232434.21052631576</v>
      </c>
      <c r="Z97">
        <f>'Hasil-Kolom'!W223</f>
        <v>422.6211165775401</v>
      </c>
      <c r="AA97">
        <f>Analisa!$F$233</f>
        <v>11282.5</v>
      </c>
      <c r="AF97">
        <f>R97+V97*W97+Z97*AA97</f>
        <v>9498912.213730369</v>
      </c>
      <c r="AG97">
        <f>S97</f>
        <v>2250000</v>
      </c>
      <c r="AH97">
        <f>T97+V97*X97</f>
        <v>250000</v>
      </c>
    </row>
    <row r="98">
      <c r="B98" t="str">
        <v xml:space="preserve"> - Kolom K176-1</v>
      </c>
      <c r="C98" t="str">
        <v>m3</v>
      </c>
      <c r="D98">
        <f>H98</f>
        <v>0.3366</v>
      </c>
      <c r="E98">
        <f>N98*'REKAP RAB'!$O$4</f>
        <v>12145363.883946523</v>
      </c>
      <c r="F98">
        <f>D98*E98</f>
        <v>4088129.4833364</v>
      </c>
      <c r="G98" t="str">
        <v>K176-1</v>
      </c>
      <c r="H98">
        <f>'Hasil-Kolom'!F224</f>
        <v>0.3366</v>
      </c>
      <c r="I98">
        <f>AF98</f>
        <v>8153827.968374144</v>
      </c>
      <c r="J98">
        <f>AG98</f>
        <v>2250000</v>
      </c>
      <c r="K98">
        <f>AH98</f>
        <v>250000</v>
      </c>
      <c r="N98">
        <f>SUM(I98:M98)</f>
        <v>10653827.968374144</v>
      </c>
      <c r="O98">
        <f>H98*N98</f>
        <v>3586078.494154737</v>
      </c>
      <c r="R98">
        <f>Analisa!$F$190</f>
        <v>1066432.5000000002</v>
      </c>
      <c r="S98">
        <f>Analisa!$G$190</f>
        <v>2250000</v>
      </c>
      <c r="T98">
        <f>Analisa!$H$190</f>
        <v>250000</v>
      </c>
      <c r="V98">
        <f>'Hasil-Kolom'!V224</f>
        <v>15.098039215686274</v>
      </c>
      <c r="W98">
        <f>Analisa!$F$132</f>
        <v>232434.21052631576</v>
      </c>
      <c r="Z98">
        <f>'Hasil-Kolom'!W224</f>
        <v>317.1366844919786</v>
      </c>
      <c r="AA98">
        <f>Analisa!$F$233</f>
        <v>11282.5</v>
      </c>
      <c r="AF98">
        <f>R98+V98*W98+Z98*AA98</f>
        <v>8153827.968374144</v>
      </c>
      <c r="AG98">
        <f>S98</f>
        <v>2250000</v>
      </c>
      <c r="AH98">
        <f>T98+V98*X98</f>
        <v>250000</v>
      </c>
    </row>
    <row r="99">
      <c r="B99" t="str">
        <v xml:space="preserve"> - Kolom K177-1</v>
      </c>
      <c r="C99" t="str">
        <v>m3</v>
      </c>
      <c r="D99">
        <f>H99</f>
        <v>0.3927</v>
      </c>
      <c r="E99">
        <f>N99*'REKAP RAB'!$O$4</f>
        <v>12770997.957376547</v>
      </c>
      <c r="F99">
        <f>D99*E99</f>
        <v>5015170.89786177</v>
      </c>
      <c r="G99" t="str">
        <v>K177-1</v>
      </c>
      <c r="H99">
        <f>'Hasil-Kolom'!F226</f>
        <v>0.3927</v>
      </c>
      <c r="I99">
        <f>AF99</f>
        <v>8702629.78717241</v>
      </c>
      <c r="J99">
        <f>AG99</f>
        <v>2250000</v>
      </c>
      <c r="K99">
        <f>AH99</f>
        <v>250000</v>
      </c>
      <c r="N99">
        <f>SUM(I99:M99)</f>
        <v>11202629.78717241</v>
      </c>
      <c r="O99">
        <f>H99*N99</f>
        <v>4399272.7174226055</v>
      </c>
      <c r="R99">
        <f>Analisa!$F$190</f>
        <v>1066432.5000000002</v>
      </c>
      <c r="S99">
        <f>Analisa!$G$190</f>
        <v>2250000</v>
      </c>
      <c r="T99">
        <f>Analisa!$H$190</f>
        <v>250000</v>
      </c>
      <c r="V99">
        <f>'Hasil-Kolom'!V226</f>
        <v>14.621848739495798</v>
      </c>
      <c r="W99">
        <f>Analisa!$F$132</f>
        <v>232434.21052631576</v>
      </c>
      <c r="Z99">
        <f>'Hasil-Kolom'!W226</f>
        <v>375.5886921313981</v>
      </c>
      <c r="AA99">
        <f>Analisa!$F$233</f>
        <v>11282.5</v>
      </c>
      <c r="AF99">
        <f>R99+V99*W99+Z99*AA99</f>
        <v>8702629.78717241</v>
      </c>
      <c r="AG99">
        <f>S99</f>
        <v>2250000</v>
      </c>
      <c r="AH99">
        <f>T99+V99*X99</f>
        <v>250000</v>
      </c>
    </row>
    <row r="100">
      <c r="B100" t="str">
        <v xml:space="preserve"> - Kolom K178-1</v>
      </c>
      <c r="C100" t="str">
        <v>m3</v>
      </c>
      <c r="D100">
        <f>H100</f>
        <v>1.3464</v>
      </c>
      <c r="E100">
        <f>N100*'REKAP RAB'!$O$4</f>
        <v>10657353.990217539</v>
      </c>
      <c r="F100">
        <f>D100*E100</f>
        <v>14349061.412428895</v>
      </c>
      <c r="G100" t="str">
        <v>K178-1</v>
      </c>
      <c r="H100">
        <f>'Hasil-Kolom'!F228</f>
        <v>1.3464</v>
      </c>
      <c r="I100">
        <f>AF100</f>
        <v>6848556.131769771</v>
      </c>
      <c r="J100">
        <f>AG100</f>
        <v>2250000</v>
      </c>
      <c r="K100">
        <f>AH100</f>
        <v>250000</v>
      </c>
      <c r="N100">
        <f>SUM(I100:M100)</f>
        <v>9348556.13176977</v>
      </c>
      <c r="O100">
        <f>H100*N100</f>
        <v>12586895.97581482</v>
      </c>
      <c r="R100">
        <f>Analisa!$F$190</f>
        <v>1066432.5000000002</v>
      </c>
      <c r="S100">
        <f>Analisa!$G$190</f>
        <v>2250000</v>
      </c>
      <c r="T100">
        <f>Analisa!$H$190</f>
        <v>250000</v>
      </c>
      <c r="V100">
        <f>'Hasil-Kolom'!V228</f>
        <v>14.26470588235294</v>
      </c>
      <c r="W100">
        <f>Analisa!$F$132</f>
        <v>232434.21052631576</v>
      </c>
      <c r="Z100">
        <f>'Hasil-Kolom'!W228</f>
        <v>218.61448983957217</v>
      </c>
      <c r="AA100">
        <f>Analisa!$F$233</f>
        <v>11282.5</v>
      </c>
      <c r="AF100">
        <f>R100+V100*W100+Z100*AA100</f>
        <v>6848556.131769771</v>
      </c>
      <c r="AG100">
        <f>S100</f>
        <v>2250000</v>
      </c>
      <c r="AH100">
        <f>T100+V100*X100</f>
        <v>250000</v>
      </c>
    </row>
    <row r="101">
      <c r="B101" t="str">
        <v xml:space="preserve"> - Kolom K178-2</v>
      </c>
      <c r="C101" t="str">
        <v>m3</v>
      </c>
      <c r="D101">
        <f>H101</f>
        <v>0.4488</v>
      </c>
      <c r="E101">
        <f>N101*'REKAP RAB'!$O$4</f>
        <v>13574149.633073382</v>
      </c>
      <c r="F101">
        <f>D101*E101</f>
        <v>6092078.355323333</v>
      </c>
      <c r="G101" t="str">
        <v>K178-2</v>
      </c>
      <c r="H101">
        <f>'Hasil-Kolom'!F229</f>
        <v>0.4488</v>
      </c>
      <c r="I101">
        <f>AF101</f>
        <v>9407148.800941564</v>
      </c>
      <c r="J101">
        <f>AG101</f>
        <v>2250000</v>
      </c>
      <c r="K101">
        <f>AH101</f>
        <v>250000</v>
      </c>
      <c r="N101">
        <f>SUM(I101:M101)</f>
        <v>11907148.800941564</v>
      </c>
      <c r="O101">
        <f>H101*N101</f>
        <v>5343928.381862573</v>
      </c>
      <c r="R101">
        <f>Analisa!$F$190</f>
        <v>1066432.5000000002</v>
      </c>
      <c r="S101">
        <f>Analisa!$G$190</f>
        <v>2250000</v>
      </c>
      <c r="T101">
        <f>Analisa!$H$190</f>
        <v>250000</v>
      </c>
      <c r="V101">
        <f>'Hasil-Kolom'!V229</f>
        <v>14.264705882352942</v>
      </c>
      <c r="W101">
        <f>Analisa!$F$132</f>
        <v>232434.21052631576</v>
      </c>
      <c r="Z101">
        <f>'Hasil-Kolom'!W229</f>
        <v>445.38982058823535</v>
      </c>
      <c r="AA101">
        <f>Analisa!$F$233</f>
        <v>11282.5</v>
      </c>
      <c r="AF101">
        <f>R101+V101*W101+Z101*AA101</f>
        <v>9407148.800941564</v>
      </c>
      <c r="AG101">
        <f>S101</f>
        <v>2250000</v>
      </c>
      <c r="AH101">
        <f>T101+V101*X101</f>
        <v>250000</v>
      </c>
    </row>
    <row r="102">
      <c r="B102" t="str">
        <v xml:space="preserve"> - Kolom K179-1</v>
      </c>
      <c r="C102" t="str">
        <v>m3</v>
      </c>
      <c r="D102">
        <f>H102</f>
        <v>0.5049</v>
      </c>
      <c r="E102">
        <f>N102*'REKAP RAB'!$O$4</f>
        <v>12946451.283624347</v>
      </c>
      <c r="F102">
        <f>D102*E102</f>
        <v>6536663.253101933</v>
      </c>
      <c r="G102" t="str">
        <v>K179-1</v>
      </c>
      <c r="H102">
        <f>'Hasil-Kolom'!F230</f>
        <v>0.5049</v>
      </c>
      <c r="I102">
        <f>AF102</f>
        <v>8856536.21370557</v>
      </c>
      <c r="J102">
        <f>AG102</f>
        <v>2250000</v>
      </c>
      <c r="K102">
        <f>AH102</f>
        <v>250000</v>
      </c>
      <c r="N102">
        <f>SUM(I102:M102)</f>
        <v>11356536.21370557</v>
      </c>
      <c r="O102">
        <f>H102*N102</f>
        <v>5733915.134299942</v>
      </c>
      <c r="R102">
        <f>Analisa!$F$190</f>
        <v>1066432.5000000002</v>
      </c>
      <c r="S102">
        <f>Analisa!$G$190</f>
        <v>2250000</v>
      </c>
      <c r="T102">
        <f>Analisa!$H$190</f>
        <v>250000</v>
      </c>
      <c r="V102">
        <f>'Hasil-Kolom'!V230</f>
        <v>13.986928104575163</v>
      </c>
      <c r="W102">
        <f>Analisa!$F$132</f>
        <v>232434.21052631576</v>
      </c>
      <c r="Z102">
        <f>'Hasil-Kolom'!W230</f>
        <v>402.31004848484855</v>
      </c>
      <c r="AA102">
        <f>Analisa!$F$233</f>
        <v>11282.5</v>
      </c>
      <c r="AF102">
        <f>R102+V102*W102+Z102*AA102</f>
        <v>8856536.21370557</v>
      </c>
      <c r="AG102">
        <f>S102</f>
        <v>2250000</v>
      </c>
      <c r="AH102">
        <f>T102+V102*X102</f>
        <v>250000</v>
      </c>
    </row>
    <row r="103">
      <c r="B103" t="str">
        <v xml:space="preserve"> - Kolom K278-1</v>
      </c>
      <c r="C103" t="str">
        <v>m3</v>
      </c>
      <c r="D103">
        <f>H103</f>
        <v>1.4256</v>
      </c>
      <c r="E103">
        <f>N103*'REKAP RAB'!$O$4</f>
        <v>10780367.014113307</v>
      </c>
      <c r="F103">
        <f>D103*E103</f>
        <v>15368491.21531993</v>
      </c>
      <c r="G103" t="str">
        <v>K278-1</v>
      </c>
      <c r="H103">
        <f>'Hasil-Kolom'!F232</f>
        <v>1.4256</v>
      </c>
      <c r="I103">
        <f>AF103</f>
        <v>6956462.29308185</v>
      </c>
      <c r="J103">
        <f>AG103</f>
        <v>2250000</v>
      </c>
      <c r="K103">
        <f>AH103</f>
        <v>250000</v>
      </c>
      <c r="N103">
        <f>SUM(I103:M103)</f>
        <v>9456462.29308185</v>
      </c>
      <c r="O103">
        <f>H103*N103</f>
        <v>13481132.645017484</v>
      </c>
      <c r="R103">
        <f>Analisa!$F$190</f>
        <v>1066432.5000000002</v>
      </c>
      <c r="S103">
        <f>Analisa!$G$190</f>
        <v>2250000</v>
      </c>
      <c r="T103">
        <f>Analisa!$H$190</f>
        <v>250000</v>
      </c>
      <c r="V103">
        <f>'Hasil-Kolom'!V232</f>
        <v>9.907407407407408</v>
      </c>
      <c r="W103">
        <f>Analisa!$F$132</f>
        <v>232434.21052631576</v>
      </c>
      <c r="Z103">
        <f>'Hasil-Kolom'!W232</f>
        <v>317.94454898989903</v>
      </c>
      <c r="AA103">
        <f>Analisa!$F$233</f>
        <v>11282.5</v>
      </c>
      <c r="AF103">
        <f>R103+V103*W103+Z103*AA103</f>
        <v>6956462.29308185</v>
      </c>
      <c r="AG103">
        <f>S103</f>
        <v>2250000</v>
      </c>
      <c r="AH103">
        <f>T103+V103*X103</f>
        <v>250000</v>
      </c>
    </row>
    <row r="104">
      <c r="B104" t="str">
        <v xml:space="preserve"> - Kolom K48-1</v>
      </c>
      <c r="C104" t="str">
        <v>m3</v>
      </c>
      <c r="D104">
        <f>H104</f>
        <v>2.112</v>
      </c>
      <c r="E104">
        <f>N104*'REKAP RAB'!$O$4</f>
        <v>10867484.324360214</v>
      </c>
      <c r="F104">
        <f>D104*E104</f>
        <v>22952126.893048774</v>
      </c>
      <c r="G104" t="str">
        <v>K48-1</v>
      </c>
      <c r="H104">
        <f>'Hasil-Kolom'!F234</f>
        <v>2.112</v>
      </c>
      <c r="I104">
        <f>AF104</f>
        <v>7032880.98628089</v>
      </c>
      <c r="J104">
        <f>AG104</f>
        <v>2250000</v>
      </c>
      <c r="K104">
        <f>AH104</f>
        <v>250000</v>
      </c>
      <c r="N104">
        <f>SUM(I104:M104)</f>
        <v>9532880.98628089</v>
      </c>
      <c r="O104">
        <f>H104*N104</f>
        <v>20133444.64302524</v>
      </c>
      <c r="R104">
        <f>Analisa!$F$190</f>
        <v>1066432.5000000002</v>
      </c>
      <c r="S104">
        <f>Analisa!$G$190</f>
        <v>2250000</v>
      </c>
      <c r="T104">
        <f>Analisa!$H$190</f>
        <v>250000</v>
      </c>
      <c r="V104">
        <f>'Hasil-Kolom'!V234</f>
        <v>7.5</v>
      </c>
      <c r="W104">
        <f>Analisa!$F$132</f>
        <v>232434.21052631576</v>
      </c>
      <c r="Z104">
        <f>'Hasil-Kolom'!W234</f>
        <v>374.3134861363636</v>
      </c>
      <c r="AA104">
        <f>Analisa!$F$233</f>
        <v>11282.5</v>
      </c>
      <c r="AF104">
        <f>R104+V104*W104+Z104*AA104</f>
        <v>7032880.98628089</v>
      </c>
      <c r="AG104">
        <f>S104</f>
        <v>2250000</v>
      </c>
      <c r="AH104">
        <f>T104+V104*X104</f>
        <v>250000</v>
      </c>
    </row>
    <row r="105">
      <c r="B105" t="str">
        <v xml:space="preserve"> - Kolom K55-1</v>
      </c>
      <c r="C105" t="str">
        <v>m3</v>
      </c>
      <c r="D105">
        <f>H105</f>
        <v>2.4749999999999996</v>
      </c>
      <c r="E105">
        <f>N105*'REKAP RAB'!$O$4</f>
        <v>9829903.876636125</v>
      </c>
      <c r="F105">
        <f>D105*E105</f>
        <v>24329012.094674405</v>
      </c>
      <c r="G105" t="str">
        <v>K55-1</v>
      </c>
      <c r="H105">
        <f>'Hasil-Kolom'!F235</f>
        <v>2.4749999999999996</v>
      </c>
      <c r="I105">
        <f>AF105</f>
        <v>6122722.698803618</v>
      </c>
      <c r="J105">
        <f>AG105</f>
        <v>2250000</v>
      </c>
      <c r="K105">
        <f>AH105</f>
        <v>250000</v>
      </c>
      <c r="N105">
        <f>SUM(I105:M105)</f>
        <v>8622722.698803619</v>
      </c>
      <c r="O105">
        <f>H105*N105</f>
        <v>21341238.679538954</v>
      </c>
      <c r="R105">
        <f>Analisa!$F$190</f>
        <v>1066432.5000000002</v>
      </c>
      <c r="S105">
        <f>Analisa!$G$190</f>
        <v>2250000</v>
      </c>
      <c r="T105">
        <f>Analisa!$H$190</f>
        <v>250000</v>
      </c>
      <c r="V105">
        <f>'Hasil-Kolom'!V235</f>
        <v>8</v>
      </c>
      <c r="W105">
        <f>Analisa!$F$132</f>
        <v>232434.21052631576</v>
      </c>
      <c r="Z105">
        <f>'Hasil-Kolom'!W235</f>
        <v>283.3429217454546</v>
      </c>
      <c r="AA105">
        <f>Analisa!$F$233</f>
        <v>11282.5</v>
      </c>
      <c r="AF105">
        <f>R105+V105*W105+Z105*AA105</f>
        <v>6122722.698803618</v>
      </c>
      <c r="AG105">
        <f>S105</f>
        <v>2250000</v>
      </c>
      <c r="AH105">
        <f>T105+V105*X105</f>
        <v>250000</v>
      </c>
    </row>
    <row r="106">
      <c r="B106" t="str">
        <v xml:space="preserve"> - Kolom K59-1</v>
      </c>
      <c r="C106" t="str">
        <v>m3</v>
      </c>
      <c r="D106">
        <f>H106</f>
        <v>7.425000000000001</v>
      </c>
      <c r="E106">
        <f>N106*'REKAP RAB'!$O$4</f>
        <v>9229050.472817639</v>
      </c>
      <c r="F106">
        <f>D106*E106</f>
        <v>68525699.76067097</v>
      </c>
      <c r="G106" t="str">
        <v>K59-1</v>
      </c>
      <c r="H106">
        <f>'Hasil-Kolom'!F236</f>
        <v>7.425000000000001</v>
      </c>
      <c r="I106">
        <f>AF106</f>
        <v>5595658.309489157</v>
      </c>
      <c r="J106">
        <f>AG106</f>
        <v>2250000</v>
      </c>
      <c r="K106">
        <f>AH106</f>
        <v>250000</v>
      </c>
      <c r="N106">
        <f>SUM(I106:M106)</f>
        <v>8095658.309489157</v>
      </c>
      <c r="O106">
        <f>H106*N106</f>
        <v>60110262.947956994</v>
      </c>
      <c r="R106">
        <f>Analisa!$F$190</f>
        <v>1066432.5000000002</v>
      </c>
      <c r="S106">
        <f>Analisa!$G$190</f>
        <v>2250000</v>
      </c>
      <c r="T106">
        <f>Analisa!$H$190</f>
        <v>250000</v>
      </c>
      <c r="V106">
        <f>'Hasil-Kolom'!V236</f>
        <v>6.222222222222222</v>
      </c>
      <c r="W106">
        <f>Analisa!$F$132</f>
        <v>232434.21052631576</v>
      </c>
      <c r="Z106">
        <f>'Hasil-Kolom'!W236</f>
        <v>273.25224901818183</v>
      </c>
      <c r="AA106">
        <f>Analisa!$F$233</f>
        <v>11282.5</v>
      </c>
      <c r="AF106">
        <f>R106+V106*W106+Z106*AA106</f>
        <v>5595658.309489157</v>
      </c>
      <c r="AG106">
        <f>S106</f>
        <v>2250000</v>
      </c>
      <c r="AH106">
        <f>T106+V106*X106</f>
        <v>250000</v>
      </c>
    </row>
    <row r="107">
      <c r="B107" t="str">
        <v xml:space="preserve"> - Kolom KL172258-1</v>
      </c>
      <c r="C107" t="str">
        <v>m3</v>
      </c>
      <c r="D107">
        <f>H107</f>
        <v>0.78408</v>
      </c>
      <c r="E107">
        <f>N107*'REKAP RAB'!$O$4</f>
        <v>11277253.850476675</v>
      </c>
      <c r="F107">
        <f>D107*E107</f>
        <v>8842269.19908175</v>
      </c>
      <c r="G107" t="str">
        <v>KL172258-1</v>
      </c>
      <c r="H107">
        <f>'Hasil-Kolom'!F237</f>
        <v>0.78408</v>
      </c>
      <c r="I107">
        <f>AF107</f>
        <v>7392327.939014628</v>
      </c>
      <c r="J107">
        <f>AG107</f>
        <v>2250000</v>
      </c>
      <c r="K107">
        <f>AH107</f>
        <v>250000</v>
      </c>
      <c r="N107">
        <f>SUM(I107:M107)</f>
        <v>9892327.939014629</v>
      </c>
      <c r="O107">
        <f>H107*N107</f>
        <v>7756376.49042259</v>
      </c>
      <c r="R107">
        <f>Analisa!$F$190</f>
        <v>1066432.5000000002</v>
      </c>
      <c r="S107">
        <f>Analisa!$G$190</f>
        <v>2250000</v>
      </c>
      <c r="T107">
        <f>Analisa!$H$190</f>
        <v>250000</v>
      </c>
      <c r="V107">
        <f>'Hasil-Kolom'!V237</f>
        <v>10.942760942760943</v>
      </c>
      <c r="W107">
        <f>Analisa!$F$132</f>
        <v>232434.21052631576</v>
      </c>
      <c r="Z107">
        <f>'Hasil-Kolom'!W237</f>
        <v>335.2469256198347</v>
      </c>
      <c r="AA107">
        <f>Analisa!$F$233</f>
        <v>11282.5</v>
      </c>
      <c r="AF107">
        <f>R107+V107*W107+Z107*AA107</f>
        <v>7392327.939014628</v>
      </c>
      <c r="AG107">
        <f>S107</f>
        <v>2250000</v>
      </c>
      <c r="AH107">
        <f>T107+V107*X107</f>
        <v>250000</v>
      </c>
    </row>
    <row r="108">
      <c r="B108" t="str">
        <v xml:space="preserve"> - Kolom KL174-1</v>
      </c>
      <c r="C108" t="str">
        <v>m3</v>
      </c>
      <c r="D108">
        <f>H108</f>
        <v>0.7068599999999999</v>
      </c>
      <c r="E108">
        <f>N108*'REKAP RAB'!$O$4</f>
        <v>11212631.706813242</v>
      </c>
      <c r="F108">
        <f>D108*E108</f>
        <v>7925760.8482780075</v>
      </c>
      <c r="G108" t="str">
        <v>KL174-1</v>
      </c>
      <c r="H108">
        <f>'Hasil-Kolom'!F238</f>
        <v>0.7068599999999999</v>
      </c>
      <c r="I108">
        <f>AF108</f>
        <v>7335641.848081792</v>
      </c>
      <c r="J108">
        <f>AG108</f>
        <v>2250000</v>
      </c>
      <c r="K108">
        <f>AH108</f>
        <v>250000</v>
      </c>
      <c r="N108">
        <f>SUM(I108:M108)</f>
        <v>9835641.848081792</v>
      </c>
      <c r="O108">
        <f>H108*N108</f>
        <v>6952421.796735095</v>
      </c>
      <c r="R108">
        <f>Analisa!$F$190</f>
        <v>1066432.5000000002</v>
      </c>
      <c r="S108">
        <f>Analisa!$G$190</f>
        <v>2250000</v>
      </c>
      <c r="T108">
        <f>Analisa!$H$190</f>
        <v>250000</v>
      </c>
      <c r="V108">
        <f>'Hasil-Kolom'!V238</f>
        <v>14.939309056956116</v>
      </c>
      <c r="W108">
        <f>Analisa!$F$132</f>
        <v>232434.21052631576</v>
      </c>
      <c r="Z108">
        <f>'Hasil-Kolom'!W238</f>
        <v>247.88857448433924</v>
      </c>
      <c r="AA108">
        <f>Analisa!$F$233</f>
        <v>11282.5</v>
      </c>
      <c r="AF108">
        <f>R108+V108*W108+Z108*AA108</f>
        <v>7335641.848081792</v>
      </c>
      <c r="AG108">
        <f>S108</f>
        <v>2250000</v>
      </c>
      <c r="AH108">
        <f>T108+V108*X108</f>
        <v>250000</v>
      </c>
    </row>
    <row r="110">
      <c r="A110">
        <v>5</v>
      </c>
      <c r="B110" t="str">
        <v>Dinding Beton (Readymix K-350) :</v>
      </c>
      <c r="AJ110">
        <f>SUMPRODUCT(H111:H112,V111:V112)</f>
        <v>76.656</v>
      </c>
      <c r="AL110">
        <f>SUMPRODUCT(H111:H112,Z111:Z112)</f>
        <v>1077.3653887799999</v>
      </c>
      <c r="AM110" t="str">
        <v>v</v>
      </c>
    </row>
    <row r="111">
      <c r="B111" t="str">
        <v xml:space="preserve"> - Pit lift</v>
      </c>
      <c r="C111" t="str">
        <v>m3</v>
      </c>
      <c r="D111">
        <f>H111*'[39]REKAP RAB'!$K$3</f>
        <v>2.2134</v>
      </c>
      <c r="E111">
        <f>N111*'REKAP RAB'!$O$4</f>
        <v>8313797.844890475</v>
      </c>
      <c r="F111">
        <f>D111*E111</f>
        <v>18401760.149880577</v>
      </c>
      <c r="H111">
        <f>'Hasil-Kolom'!F335</f>
        <v>2.2134</v>
      </c>
      <c r="I111">
        <f>AF111</f>
        <v>5592805.127096909</v>
      </c>
      <c r="J111">
        <f>AG111</f>
        <v>1500000</v>
      </c>
      <c r="K111">
        <f>AH111</f>
        <v>200000</v>
      </c>
      <c r="N111">
        <f>SUM(I111:M111)</f>
        <v>7292805.127096909</v>
      </c>
      <c r="O111">
        <f>H111*N111</f>
        <v>16141894.868316298</v>
      </c>
      <c r="R111">
        <f>Analisa!F$225</f>
        <v>1066432.5000000002</v>
      </c>
      <c r="S111">
        <f>Analisa!G$225</f>
        <v>1500000</v>
      </c>
      <c r="T111">
        <f>Analisa!H$225</f>
        <v>200000</v>
      </c>
      <c r="V111">
        <f>'Hasil-Kolom'!V335</f>
        <v>12.686364868528056</v>
      </c>
      <c r="W111">
        <f>Analisa!F$123</f>
        <v>166705.668</v>
      </c>
      <c r="Z111">
        <f>'Hasil-Kolom'!W335</f>
        <v>213.73664499864458</v>
      </c>
      <c r="AA111">
        <f>Analisa!$F$233</f>
        <v>11282.5</v>
      </c>
      <c r="AF111">
        <f>R111+V111*W111+Z111*AA111</f>
        <v>5592805.127096909</v>
      </c>
      <c r="AG111">
        <f>S111</f>
        <v>1500000</v>
      </c>
      <c r="AH111">
        <f>T111+V111*X111</f>
        <v>200000</v>
      </c>
    </row>
    <row r="112">
      <c r="B112" t="str">
        <v xml:space="preserve"> - Dinding lift Basement</v>
      </c>
      <c r="C112" t="str">
        <v>m3</v>
      </c>
      <c r="D112">
        <f>H112*'[39]REKAP RAB'!$K$3</f>
        <v>3.65211</v>
      </c>
      <c r="E112">
        <f>N112*'REKAP RAB'!$O$4</f>
        <v>6715792.889716989</v>
      </c>
      <c r="F112">
        <f>D112*E112</f>
        <v>24526814.370464314</v>
      </c>
      <c r="H112">
        <f>'Hasil-Kolom'!F336</f>
        <v>3.65211</v>
      </c>
      <c r="I112">
        <f>AF112</f>
        <v>4191046.394488588</v>
      </c>
      <c r="J112">
        <f>AG112</f>
        <v>1500000</v>
      </c>
      <c r="K112">
        <f>AH112</f>
        <v>200000</v>
      </c>
      <c r="N112">
        <f>SUM(I112:M112)</f>
        <v>5891046.394488588</v>
      </c>
      <c r="O112">
        <f>H112*N112</f>
        <v>21514749.447775718</v>
      </c>
      <c r="R112">
        <f>Analisa!F$225</f>
        <v>1066432.5000000002</v>
      </c>
      <c r="S112">
        <f>Analisa!G$225</f>
        <v>1500000</v>
      </c>
      <c r="T112">
        <f>Analisa!H$225</f>
        <v>200000</v>
      </c>
      <c r="V112">
        <f>'Hasil-Kolom'!V336</f>
        <v>13.3008041926448</v>
      </c>
      <c r="W112">
        <f>Analisa!$F$162</f>
        <v>94565.97222222222</v>
      </c>
      <c r="Z112">
        <f>'Hasil-Kolom'!W336</f>
        <v>165.4607059316395</v>
      </c>
      <c r="AA112">
        <f>Analisa!$F$233</f>
        <v>11282.5</v>
      </c>
      <c r="AF112">
        <f>R112+V112*W112+Z112*AA112</f>
        <v>4191046.394488588</v>
      </c>
      <c r="AG112">
        <f>S112</f>
        <v>1500000</v>
      </c>
      <c r="AH112">
        <f>T112+V112*X112</f>
        <v>200000</v>
      </c>
    </row>
    <row r="113">
      <c r="B113" t="str">
        <v xml:space="preserve"> - Dinding beton pagar alas</v>
      </c>
      <c r="C113" t="str">
        <v>m3</v>
      </c>
      <c r="D113">
        <f>H113*'[39]REKAP RAB'!$K$3</f>
        <v>48.399</v>
      </c>
      <c r="E113">
        <f>N113*'REKAP RAB'!$O$4</f>
        <v>4836003.123795564</v>
      </c>
      <c r="F113">
        <f>D113*E113</f>
        <v>234057715.18858153</v>
      </c>
      <c r="G113" t="str">
        <v>Pagar Alas</v>
      </c>
      <c r="H113">
        <f>'Retaining Wall'!C35</f>
        <v>48.399</v>
      </c>
      <c r="I113">
        <f>AF113</f>
        <v>2542108.0033294423</v>
      </c>
      <c r="J113">
        <f>AG113</f>
        <v>1500000</v>
      </c>
      <c r="K113">
        <f>AH113</f>
        <v>200000</v>
      </c>
      <c r="N113">
        <f>SUM(I113:M113)</f>
        <v>4242108.003329443</v>
      </c>
      <c r="O113">
        <f>H113*N113</f>
        <v>205313785.2531417</v>
      </c>
      <c r="R113">
        <f>Analisa!F$225</f>
        <v>1066432.5000000002</v>
      </c>
      <c r="S113">
        <f>Analisa!G$225</f>
        <v>1500000</v>
      </c>
      <c r="T113">
        <f>Analisa!H$225</f>
        <v>200000</v>
      </c>
      <c r="V113">
        <f>'Retaining Wall'!L35</f>
        <v>5.88235294117647</v>
      </c>
      <c r="W113">
        <f>Analisa!$F$162</f>
        <v>94565.97222222222</v>
      </c>
      <c r="Z113">
        <f>'Retaining Wall'!M35</f>
        <v>81.48948180747536</v>
      </c>
      <c r="AA113">
        <f>Analisa!$F$233</f>
        <v>11282.5</v>
      </c>
      <c r="AF113">
        <f>R113+V113*W113+Z113*AA113</f>
        <v>2542108.0033294423</v>
      </c>
      <c r="AG113">
        <f>S113</f>
        <v>1500000</v>
      </c>
      <c r="AH113">
        <f>T113+V113*X113</f>
        <v>200000</v>
      </c>
      <c r="AJ113">
        <f>SUMPRODUCT(H113:H114,V113:V114)</f>
        <v>312.6955</v>
      </c>
      <c r="AL113">
        <f>SUMPRODUCT(H113:H114,Z113:Z114)</f>
        <v>4162.330575</v>
      </c>
      <c r="AM113" t="str">
        <v>v</v>
      </c>
    </row>
    <row r="114">
      <c r="B114" t="str">
        <v xml:space="preserve"> - Dinding beton ruang genset, ruang panel, dan ruang pompa</v>
      </c>
      <c r="C114" t="str">
        <v>m3</v>
      </c>
      <c r="D114">
        <f>H114*'[39]REKAP RAB'!$K$3</f>
        <v>2.3796175</v>
      </c>
      <c r="E114">
        <f>N114*'REKAP RAB'!$O$4</f>
        <v>5602075.354148915</v>
      </c>
      <c r="F114">
        <f>D114*E114</f>
        <v>13330796.549051456</v>
      </c>
      <c r="G114" t="str">
        <v>Penahan Tanah</v>
      </c>
      <c r="H114">
        <f>'Retaining Wall'!C37</f>
        <v>2.3796175</v>
      </c>
      <c r="I114">
        <f>AF114</f>
        <v>3214101.1878499263</v>
      </c>
      <c r="J114">
        <f>AG114</f>
        <v>1500000</v>
      </c>
      <c r="K114">
        <f>AH114</f>
        <v>200000</v>
      </c>
      <c r="N114">
        <f>SUM(I114:M114)</f>
        <v>4914101.187849926</v>
      </c>
      <c r="O114">
        <f>H114*N114</f>
        <v>11693681.183378471</v>
      </c>
      <c r="R114">
        <f>Analisa!F$225</f>
        <v>1066432.5000000002</v>
      </c>
      <c r="S114">
        <f>Analisa!G$225</f>
        <v>1500000</v>
      </c>
      <c r="T114">
        <f>Analisa!H$225</f>
        <v>200000</v>
      </c>
      <c r="V114">
        <f>'Retaining Wall'!L37</f>
        <v>11.76470588235294</v>
      </c>
      <c r="W114">
        <f>Analisa!$F$162</f>
        <v>94565.97222222222</v>
      </c>
      <c r="Z114">
        <f>'Retaining Wall'!M37</f>
        <v>91.74631847345213</v>
      </c>
      <c r="AA114">
        <f>Analisa!$F$233</f>
        <v>11282.5</v>
      </c>
      <c r="AF114">
        <f>R114+V114*W114+Z114*AA114</f>
        <v>3214101.1878499263</v>
      </c>
      <c r="AG114">
        <f>S114</f>
        <v>1500000</v>
      </c>
      <c r="AH114">
        <f>T114+V114*X114</f>
        <v>200000</v>
      </c>
    </row>
    <row r="116">
      <c r="A116" t="str">
        <v>B</v>
      </c>
      <c r="B116" t="str">
        <v>Pekerjaan Beton Lain - Lain</v>
      </c>
    </row>
    <row r="117">
      <c r="A117">
        <v>1</v>
      </c>
      <c r="B117" t="str">
        <v>Tangga utama</v>
      </c>
      <c r="C117" t="str">
        <v>m3</v>
      </c>
      <c r="D117">
        <f>H117*'[39]REKAP RAB'!$K$3</f>
        <v>4.504252039526187</v>
      </c>
      <c r="E117">
        <f>N117*'REKAP RAB'!$O$4</f>
        <v>11399999.999999998</v>
      </c>
      <c r="F117">
        <f>D117*E117</f>
        <v>51348473.25059852</v>
      </c>
      <c r="H117">
        <f>(10*1/2*0.35*0.16+(3.7)*0.2)*1.55+1.7*0.9*0.15+1/2*1/4*PI()*3.6^2*0.4+6.58/4*0.4</f>
        <v>4.504252039526187</v>
      </c>
      <c r="I117">
        <v>7000000</v>
      </c>
      <c r="J117">
        <v>3000000</v>
      </c>
      <c r="N117">
        <f>SUM(I117:M117)</f>
        <v>10000000</v>
      </c>
      <c r="O117">
        <f>H117*N117</f>
        <v>45042520.39526187</v>
      </c>
      <c r="R117">
        <f>0.7*7500000</f>
        <v>5250000</v>
      </c>
      <c r="S117">
        <f>0.3*7500000</f>
        <v>2250000</v>
      </c>
      <c r="AF117">
        <f>R117+V117*W117+Z117*AA117</f>
        <v>5250000</v>
      </c>
      <c r="AG117">
        <f>S117</f>
        <v>2250000</v>
      </c>
      <c r="AH117">
        <f>T117+V117*X117</f>
        <v>0</v>
      </c>
    </row>
    <row r="118">
      <c r="A118">
        <v>2</v>
      </c>
      <c r="B118" t="str">
        <v>Tangga service</v>
      </c>
      <c r="C118" t="str">
        <v>m3</v>
      </c>
      <c r="D118">
        <f>H118*'[39]REKAP RAB'!$K$3</f>
        <v>1.3489499999999999</v>
      </c>
      <c r="E118">
        <f>N118*'REKAP RAB'!$O$4</f>
        <v>8550000</v>
      </c>
      <c r="F118">
        <f>D118*E118</f>
        <v>11533522.499999998</v>
      </c>
      <c r="H118">
        <f>(16*1/2*0.3*0.15+(2+4.38)*0.15)*0.85+1.7*0.9*0.15</f>
        <v>1.3489499999999999</v>
      </c>
      <c r="I118">
        <f>R118</f>
        <v>5250000</v>
      </c>
      <c r="J118">
        <f>S118</f>
        <v>2250000</v>
      </c>
      <c r="N118">
        <f>SUM(I118:M118)</f>
        <v>7500000</v>
      </c>
      <c r="O118">
        <f>H118*N118</f>
        <v>10117124.999999998</v>
      </c>
      <c r="R118">
        <f>0.7*7500000</f>
        <v>5250000</v>
      </c>
      <c r="S118">
        <f>0.3*7500000</f>
        <v>2250000</v>
      </c>
      <c r="AF118">
        <f>R118+V118*W118+Z118*AA118</f>
        <v>5250000</v>
      </c>
      <c r="AG118">
        <f>S118</f>
        <v>2250000</v>
      </c>
      <c r="AH118">
        <f>T118+V118*X118</f>
        <v>0</v>
      </c>
    </row>
    <row r="119">
      <c r="A119">
        <v>3</v>
      </c>
      <c r="B119" t="str">
        <v>Water feature di entrance</v>
      </c>
      <c r="C119" t="str">
        <v>m3</v>
      </c>
      <c r="D119">
        <f>H119*'[39]REKAP RAB'!$K$3</f>
        <v>10.064999999999998</v>
      </c>
      <c r="E119">
        <f>N119*'REKAP RAB'!$O$4</f>
        <v>11399999.999999998</v>
      </c>
      <c r="F119">
        <f>D119*E119</f>
        <v>114740999.99999996</v>
      </c>
      <c r="H119">
        <f>(18*1/2*0.25*0.15+0.5*0.1+6.7*0.15+19*0.1*0.15)*(5+1)</f>
        <v>10.064999999999998</v>
      </c>
      <c r="I119">
        <v>7500000</v>
      </c>
      <c r="J119">
        <v>2500000</v>
      </c>
      <c r="N119">
        <f>SUM(I119:M119)</f>
        <v>10000000</v>
      </c>
      <c r="O119">
        <f>H119*N119</f>
        <v>100649999.99999997</v>
      </c>
      <c r="R119">
        <f>0.7*7500000</f>
        <v>5250000</v>
      </c>
      <c r="S119">
        <f>0.3*7500000</f>
        <v>2250000</v>
      </c>
      <c r="AF119">
        <f>R119+V119*W119+Z119*AA119</f>
        <v>5250000</v>
      </c>
      <c r="AG119">
        <f>S119</f>
        <v>2250000</v>
      </c>
      <c r="AH119">
        <f>T119+V119*X119</f>
        <v>0</v>
      </c>
    </row>
    <row r="120">
      <c r="A120">
        <v>4</v>
      </c>
      <c r="B120" t="str">
        <v>Planter box (potongan 1A dan 1B)</v>
      </c>
      <c r="C120" t="str">
        <v>m3</v>
      </c>
      <c r="D120">
        <f>H120*'[39]REKAP RAB'!$K$3</f>
        <v>3.9419249999999995</v>
      </c>
      <c r="E120">
        <f>N120*'REKAP RAB'!$O$4</f>
        <v>6481004.830508043</v>
      </c>
      <c r="F120">
        <f>D120*E120</f>
        <v>25547634.966500413</v>
      </c>
      <c r="H120">
        <f>'Retaining Wall'!C38</f>
        <v>3.9419249999999995</v>
      </c>
      <c r="I120">
        <f>AF120</f>
        <v>3985091.956586003</v>
      </c>
      <c r="J120">
        <f>AG120</f>
        <v>1500000</v>
      </c>
      <c r="K120">
        <f>AH120</f>
        <v>200000</v>
      </c>
      <c r="N120">
        <f>SUM(I120:M120)</f>
        <v>5685091.956586003</v>
      </c>
      <c r="O120">
        <f>H120*N120</f>
        <v>22410206.110965278</v>
      </c>
      <c r="R120">
        <f>Analisa!F$225</f>
        <v>1066432.5000000002</v>
      </c>
      <c r="S120">
        <f>Analisa!G$225</f>
        <v>1500000</v>
      </c>
      <c r="T120">
        <f>Analisa!H$225</f>
        <v>200000</v>
      </c>
      <c r="V120">
        <f>'Retaining Wall'!L38</f>
        <v>13.333333333333334</v>
      </c>
      <c r="W120">
        <f>Analisa!$F$162</f>
        <v>94565.97222222222</v>
      </c>
      <c r="Z120">
        <f>'Retaining Wall'!M38</f>
        <v>146.93373161589835</v>
      </c>
      <c r="AA120">
        <f>Analisa!$F$233</f>
        <v>11282.5</v>
      </c>
      <c r="AF120">
        <f>R120+V120*W120+Z120*AA120</f>
        <v>3985091.956586003</v>
      </c>
      <c r="AG120">
        <f>S120</f>
        <v>1500000</v>
      </c>
      <c r="AH120">
        <f>T120+V120*X120</f>
        <v>200000</v>
      </c>
    </row>
    <row r="121">
      <c r="K121" t="str">
        <v xml:space="preserve"> </v>
      </c>
    </row>
    <row r="122">
      <c r="A122" t="str">
        <v>C</v>
      </c>
      <c r="B122" t="str">
        <v>Pekerjaan Waterproofing</v>
      </c>
    </row>
    <row r="123">
      <c r="A123">
        <v>1</v>
      </c>
      <c r="B123" t="str">
        <v>Waterproofing coating (cement-based) 4 lapis untuk dinding beton pit lift dan entrance yang berhubungan dengan water feature</v>
      </c>
      <c r="C123" t="str">
        <v>m2</v>
      </c>
      <c r="D123">
        <f>H123*'[39]REKAP RAB'!$K$3</f>
        <v>35.28</v>
      </c>
      <c r="E123">
        <f>N123*'REKAP RAB'!$R$2</f>
        <v>112000.00000000001</v>
      </c>
      <c r="F123">
        <f>D123*E123</f>
        <v>3951360.0000000005</v>
      </c>
      <c r="H123">
        <f>'Hasil-Kolom'!G335+'Retaining Wall'!D36/2</f>
        <v>35.28</v>
      </c>
      <c r="L123">
        <v>100000</v>
      </c>
      <c r="N123">
        <f>SUM(I123:M123)</f>
        <v>100000</v>
      </c>
      <c r="O123">
        <f>H123*N123</f>
        <v>3528000</v>
      </c>
      <c r="AF123">
        <f>R123+V123*W123+Z123*AA123</f>
        <v>0</v>
      </c>
      <c r="AG123">
        <f>S123</f>
        <v>0</v>
      </c>
      <c r="AH123">
        <f>T123+V123*X123</f>
        <v>0</v>
      </c>
    </row>
    <row r="125">
      <c r="A125" t="str">
        <v>Subtotal Pekerjaan Fisik Lantai Basement</v>
      </c>
      <c r="F125">
        <f>SUM(F46:F124)</f>
        <v>1533956111.8853629</v>
      </c>
      <c r="O125">
        <f>SUM(O46:O124)</f>
        <v>1345637431.4783885</v>
      </c>
    </row>
    <row r="127">
      <c r="A127" t="str">
        <v>IV</v>
      </c>
      <c r="B127" t="str">
        <v>PEKERJAAN FISIK LANTAI 1</v>
      </c>
    </row>
    <row r="129">
      <c r="A129" t="str">
        <v>A</v>
      </c>
      <c r="B129" t="str">
        <v>Pekerjaan Beton</v>
      </c>
    </row>
    <row r="130">
      <c r="A130">
        <v>1</v>
      </c>
      <c r="B130" t="str">
        <v>Plat Lantai (Readymix K-350) :</v>
      </c>
      <c r="AJ130">
        <f>SUMPRODUCT(H131:H132,V131:V132)</f>
        <v>418.28549999999996</v>
      </c>
      <c r="AL130">
        <f>SUMPRODUCT(H131:H132,Z131:Z132)</f>
        <v>6340.909753600001</v>
      </c>
      <c r="AM130" t="str">
        <v>v</v>
      </c>
    </row>
    <row r="131">
      <c r="A131" t="str">
        <v xml:space="preserve"> </v>
      </c>
      <c r="B131" t="str">
        <v xml:space="preserve"> - Plat lantai - tebal 13 cm, besi D10-200 (2 lapis)</v>
      </c>
      <c r="C131" t="str">
        <v>m3</v>
      </c>
      <c r="D131">
        <f>H131</f>
        <v>39.1274</v>
      </c>
      <c r="E131">
        <f>N131*'REKAP RAB'!$O$4</f>
        <v>5513920.883633791</v>
      </c>
      <c r="F131">
        <f>D131*E131</f>
        <v>215745387.98229277</v>
      </c>
      <c r="H131">
        <f>'REKAP Plat'!G16</f>
        <v>39.1274</v>
      </c>
      <c r="I131">
        <f>AF131</f>
        <v>3178596.1436350998</v>
      </c>
      <c r="J131">
        <f>AG131</f>
        <v>1300000</v>
      </c>
      <c r="K131">
        <f>AH131</f>
        <v>358176.5613068219</v>
      </c>
      <c r="N131">
        <f>SUM(I131:M131)</f>
        <v>4836772.704941922</v>
      </c>
      <c r="O131">
        <f>H131*N131</f>
        <v>189250340.33534455</v>
      </c>
      <c r="R131">
        <f>Analisa!F$218</f>
        <v>1066432.5000000002</v>
      </c>
      <c r="S131">
        <f>Analisa!G$218</f>
        <v>1300000</v>
      </c>
      <c r="T131">
        <f>Analisa!H$218</f>
        <v>75000</v>
      </c>
      <c r="V131">
        <f>'REKAP Plat'!R16</f>
        <v>8.01857521838916</v>
      </c>
      <c r="W131">
        <f>Analisa!F$153</f>
        <v>86302.08333333334</v>
      </c>
      <c r="X131">
        <f>Analisa!H$153</f>
        <v>35315.0720164609</v>
      </c>
      <c r="Z131">
        <f>'REKAP Plat'!S16</f>
        <v>125.87138461538463</v>
      </c>
      <c r="AA131">
        <f>Analisa!$F$233</f>
        <v>11282.5</v>
      </c>
      <c r="AF131">
        <f>R131+V131*W131+Z131*AA131</f>
        <v>3178596.1436350998</v>
      </c>
      <c r="AG131">
        <f>S131</f>
        <v>1300000</v>
      </c>
      <c r="AH131">
        <f>T131+V131*X131</f>
        <v>358176.5613068219</v>
      </c>
    </row>
    <row r="132">
      <c r="B132" t="str">
        <v xml:space="preserve"> - Plat lantai - tebal 15 cm, besi D10-200 (2 lapis)</v>
      </c>
      <c r="C132" t="str">
        <v>m3</v>
      </c>
      <c r="D132">
        <f>H132</f>
        <v>12.9015</v>
      </c>
      <c r="E132">
        <f>N132*'REKAP RAB'!$O$4</f>
        <v>5318207.491530346</v>
      </c>
      <c r="F132">
        <f>D132*E132</f>
        <v>68612853.95197876</v>
      </c>
      <c r="H132">
        <f>SUM('REKAP Plat'!G18:G22)</f>
        <v>12.9015</v>
      </c>
      <c r="I132">
        <f>AF132</f>
        <v>3003939.9699181495</v>
      </c>
      <c r="J132">
        <f>AG132</f>
        <v>1300000</v>
      </c>
      <c r="K132">
        <f>AH132</f>
        <v>361154.3208979432</v>
      </c>
      <c r="N132">
        <f>SUM(I132:M132)</f>
        <v>4665094.290816093</v>
      </c>
      <c r="O132">
        <f>H132*N132</f>
        <v>60186713.99296382</v>
      </c>
      <c r="R132">
        <f>Analisa!F$218</f>
        <v>1066432.5000000002</v>
      </c>
      <c r="S132">
        <f>Analisa!G$218</f>
        <v>1300000</v>
      </c>
      <c r="T132">
        <f>Analisa!H$218</f>
        <v>75000</v>
      </c>
      <c r="V132">
        <f>'REKAP Plat'!R18</f>
        <v>8.102895012207883</v>
      </c>
      <c r="W132">
        <f>Analisa!F$153</f>
        <v>86302.08333333334</v>
      </c>
      <c r="X132">
        <f>Analisa!H$153</f>
        <v>35315.0720164609</v>
      </c>
      <c r="Z132">
        <f>'REKAP Plat'!S18</f>
        <v>109.74613333333332</v>
      </c>
      <c r="AA132">
        <f>Analisa!$F$233</f>
        <v>11282.5</v>
      </c>
      <c r="AF132">
        <f>R132+V132*W132+Z132*AA132</f>
        <v>3003939.9699181495</v>
      </c>
      <c r="AG132">
        <f>S132</f>
        <v>1300000</v>
      </c>
      <c r="AH132">
        <f>T132+V132*X132</f>
        <v>361154.3208979432</v>
      </c>
    </row>
    <row r="134">
      <c r="A134">
        <v>2</v>
      </c>
      <c r="B134" t="str">
        <v>Balok (Readymix K-350) :</v>
      </c>
      <c r="AJ134">
        <f>SUMPRODUCT(H135:H161,V135:V161)</f>
        <v>469.6812</v>
      </c>
      <c r="AL134">
        <f>SUMPRODUCT(H135:H161,Z135:Z161)</f>
        <v>12502.101184425</v>
      </c>
      <c r="AM134" t="str">
        <v>v</v>
      </c>
    </row>
    <row r="135">
      <c r="B135" t="str">
        <v xml:space="preserve"> - Balok B174-1</v>
      </c>
      <c r="C135" t="str">
        <v>m3</v>
      </c>
      <c r="D135">
        <f>H135</f>
        <v>1.2888975</v>
      </c>
      <c r="E135">
        <f>N135*'REKAP RAB'!$O$4</f>
        <v>10300944.24119655</v>
      </c>
      <c r="F135">
        <f>D135*E135</f>
        <v>13276861.280117631</v>
      </c>
      <c r="G135" t="str">
        <v>B174-1</v>
      </c>
      <c r="H135">
        <f>'REKAP Balok'!G460</f>
        <v>1.2888975</v>
      </c>
      <c r="I135">
        <f>AF135</f>
        <v>6467799.279765847</v>
      </c>
      <c r="J135">
        <f>AG135</f>
        <v>1750000</v>
      </c>
      <c r="K135">
        <f>AH135</f>
        <v>818116.7212837586</v>
      </c>
      <c r="N135">
        <f>SUM(I135:M135)</f>
        <v>9035916.001049606</v>
      </c>
      <c r="O135">
        <f>H135*N135</f>
        <v>11646369.543962834</v>
      </c>
      <c r="R135">
        <f>Analisa!$F$197</f>
        <v>1066432.5000000002</v>
      </c>
      <c r="S135">
        <f>Analisa!$G$197</f>
        <v>1750000</v>
      </c>
      <c r="T135">
        <f>Analisa!$H$197</f>
        <v>75000</v>
      </c>
      <c r="V135">
        <f>'REKAP Balok'!W460</f>
        <v>14.587932709932327</v>
      </c>
      <c r="W135">
        <f>Analisa!$F$143</f>
        <v>251112.5</v>
      </c>
      <c r="X135">
        <f>Analisa!$H$143</f>
        <v>50940.509259259255</v>
      </c>
      <c r="Z135">
        <f>'REKAP Balok'!X460</f>
        <v>154.05756943434216</v>
      </c>
      <c r="AA135">
        <f>Analisa!$F$233</f>
        <v>11282.5</v>
      </c>
      <c r="AF135">
        <f>R135+V135*W135+Z135*AA135</f>
        <v>6467799.279765847</v>
      </c>
      <c r="AG135">
        <f>S135</f>
        <v>1750000</v>
      </c>
      <c r="AH135">
        <f>T135+V135*X135</f>
        <v>818116.7212837586</v>
      </c>
    </row>
    <row r="136">
      <c r="B136" t="str">
        <v xml:space="preserve"> - Balok B174-2</v>
      </c>
      <c r="C136" t="str">
        <v>m3</v>
      </c>
      <c r="D136">
        <f>H136</f>
        <v>0.3385125</v>
      </c>
      <c r="E136">
        <f>N136*'REKAP RAB'!$O$4</f>
        <v>11744666.436733205</v>
      </c>
      <c r="F136">
        <f>D136*E136</f>
        <v>3975716.397164649</v>
      </c>
      <c r="G136" t="str">
        <v>B174-2</v>
      </c>
      <c r="H136">
        <f>'REKAP Balok'!G461</f>
        <v>0.3385125</v>
      </c>
      <c r="I136">
        <f>AF136</f>
        <v>7712650.098599757</v>
      </c>
      <c r="J136">
        <f>AG136</f>
        <v>1750000</v>
      </c>
      <c r="K136">
        <f>AH136</f>
        <v>839688.8809907725</v>
      </c>
      <c r="N136">
        <f>SUM(I136:M136)</f>
        <v>10302338.979590531</v>
      </c>
      <c r="O136">
        <f>H136*N136</f>
        <v>3487470.5238286396</v>
      </c>
      <c r="R136">
        <f>Analisa!$F$197</f>
        <v>1066432.5000000002</v>
      </c>
      <c r="S136">
        <f>Analisa!$G$197</f>
        <v>1750000</v>
      </c>
      <c r="T136">
        <f>Analisa!$H$197</f>
        <v>75000</v>
      </c>
      <c r="V136">
        <f>'REKAP Balok'!W461</f>
        <v>15.011410213803035</v>
      </c>
      <c r="W136">
        <f>Analisa!$F$143</f>
        <v>251112.5</v>
      </c>
      <c r="X136">
        <f>Analisa!$H$143</f>
        <v>50940.509259259255</v>
      </c>
      <c r="Z136">
        <f>'REKAP Balok'!X461</f>
        <v>254.96697108673982</v>
      </c>
      <c r="AA136">
        <f>Analisa!$F$233</f>
        <v>11282.5</v>
      </c>
      <c r="AF136">
        <f>R136+V136*W136+Z136*AA136</f>
        <v>7712650.098599757</v>
      </c>
      <c r="AG136">
        <f>S136</f>
        <v>1750000</v>
      </c>
      <c r="AH136">
        <f>T136+V136*X136</f>
        <v>839688.8809907725</v>
      </c>
    </row>
    <row r="137">
      <c r="B137" t="str">
        <v xml:space="preserve"> - Balok B176-1</v>
      </c>
      <c r="C137" t="str">
        <v>m3</v>
      </c>
      <c r="D137">
        <f>H137</f>
        <v>0.39151</v>
      </c>
      <c r="E137">
        <f>N137*'REKAP RAB'!$O$4</f>
        <v>10412932.113799626</v>
      </c>
      <c r="F137">
        <f>D137*E137</f>
        <v>4076767.051873692</v>
      </c>
      <c r="G137" t="str">
        <v>B176-1</v>
      </c>
      <c r="H137">
        <f>'REKAP Balok'!G464</f>
        <v>0.39151</v>
      </c>
      <c r="I137">
        <f>AF137</f>
        <v>6601466.805831012</v>
      </c>
      <c r="J137">
        <f>AG137</f>
        <v>1750000</v>
      </c>
      <c r="K137">
        <f>AH137</f>
        <v>782684.1711862049</v>
      </c>
      <c r="N137">
        <f>SUM(I137:M137)</f>
        <v>9134150.977017216</v>
      </c>
      <c r="O137">
        <f>H137*N137</f>
        <v>3576111.449012011</v>
      </c>
      <c r="R137">
        <f>Analisa!$F$197</f>
        <v>1066432.5000000002</v>
      </c>
      <c r="S137">
        <f>Analisa!$G$197</f>
        <v>1750000</v>
      </c>
      <c r="T137">
        <f>Analisa!$H$197</f>
        <v>75000</v>
      </c>
      <c r="V137">
        <f>'REKAP Balok'!W464</f>
        <v>13.892365456821025</v>
      </c>
      <c r="W137">
        <f>Analisa!$F$143</f>
        <v>251112.5</v>
      </c>
      <c r="X137">
        <f>Analisa!$H$143</f>
        <v>50940.509259259255</v>
      </c>
      <c r="Z137">
        <f>'REKAP Balok'!X464</f>
        <v>181.38601241347598</v>
      </c>
      <c r="AA137">
        <f>Analisa!$F$233</f>
        <v>11282.5</v>
      </c>
      <c r="AF137">
        <f>R137+V137*W137+Z137*AA137</f>
        <v>6601466.805831012</v>
      </c>
      <c r="AG137">
        <f>S137</f>
        <v>1750000</v>
      </c>
      <c r="AH137">
        <f>T137+V137*X137</f>
        <v>782684.1711862049</v>
      </c>
    </row>
    <row r="138">
      <c r="B138" t="str">
        <v xml:space="preserve"> - Balok B23-1</v>
      </c>
      <c r="C138" t="str">
        <v>m3</v>
      </c>
      <c r="D138">
        <f>H138</f>
        <v>0.23910000000000003</v>
      </c>
      <c r="E138">
        <f>N138*'REKAP RAB'!$O$4</f>
        <v>12261866.278395487</v>
      </c>
      <c r="F138">
        <f>D138*E138</f>
        <v>2931812.227164361</v>
      </c>
      <c r="G138" t="str">
        <v>B23-1</v>
      </c>
      <c r="H138">
        <f>'REKAP Balok'!G466</f>
        <v>0.23910000000000003</v>
      </c>
      <c r="I138">
        <f>AF138</f>
        <v>8104171.87416353</v>
      </c>
      <c r="J138">
        <f>AG138</f>
        <v>1750000</v>
      </c>
      <c r="K138">
        <f>AH138</f>
        <v>901851.177060582</v>
      </c>
      <c r="N138">
        <f>SUM(I138:M138)</f>
        <v>10756023.051224113</v>
      </c>
      <c r="O138">
        <f>H138*N138</f>
        <v>2571765.1115476857</v>
      </c>
      <c r="R138">
        <f>Analisa!$F$197</f>
        <v>1066432.5000000002</v>
      </c>
      <c r="S138">
        <f>Analisa!$G$197</f>
        <v>1750000</v>
      </c>
      <c r="T138">
        <f>Analisa!$H$197</f>
        <v>75000</v>
      </c>
      <c r="V138">
        <f>'REKAP Balok'!W466</f>
        <v>16.231702216645754</v>
      </c>
      <c r="W138">
        <f>Analisa!$F$143</f>
        <v>251112.5</v>
      </c>
      <c r="X138">
        <f>Analisa!$H$143</f>
        <v>50940.509259259255</v>
      </c>
      <c r="Z138">
        <f>'REKAP Balok'!X466</f>
        <v>262.50884567126724</v>
      </c>
      <c r="AA138">
        <f>Analisa!$F$233</f>
        <v>11282.5</v>
      </c>
      <c r="AF138">
        <f>R138+V138*W138+Z138*AA138</f>
        <v>8104171.87416353</v>
      </c>
      <c r="AG138">
        <f>S138</f>
        <v>1750000</v>
      </c>
      <c r="AH138">
        <f>T138+V138*X138</f>
        <v>901851.177060582</v>
      </c>
    </row>
    <row r="139">
      <c r="B139" t="str">
        <v xml:space="preserve"> - Balok B23-2</v>
      </c>
      <c r="C139" t="str">
        <v>m3</v>
      </c>
      <c r="D139">
        <f>H139</f>
        <v>0.11339</v>
      </c>
      <c r="E139">
        <f>N139*'REKAP RAB'!$O$4</f>
        <v>12126563.30891983</v>
      </c>
      <c r="F139">
        <f>D139*E139</f>
        <v>1375031.0135984195</v>
      </c>
      <c r="G139" t="str">
        <v>B23-2</v>
      </c>
      <c r="H139">
        <f>'REKAP Balok'!G467</f>
        <v>0.11339</v>
      </c>
      <c r="I139">
        <f>AF139</f>
        <v>8003281.088835766</v>
      </c>
      <c r="J139">
        <f>AG139</f>
        <v>1750000</v>
      </c>
      <c r="K139">
        <f>AH139</f>
        <v>884055.1470588234</v>
      </c>
      <c r="N139">
        <f>SUM(I139:M139)</f>
        <v>10637336.235894589</v>
      </c>
      <c r="O139">
        <f>H139*N139</f>
        <v>1206167.5557880874</v>
      </c>
      <c r="R139">
        <f>Analisa!$F$197</f>
        <v>1066432.5000000002</v>
      </c>
      <c r="S139">
        <f>Analisa!$G$197</f>
        <v>1750000</v>
      </c>
      <c r="T139">
        <f>Analisa!$H$197</f>
        <v>75000</v>
      </c>
      <c r="V139">
        <f>'REKAP Balok'!W467</f>
        <v>15.88235294117647</v>
      </c>
      <c r="W139">
        <f>Analisa!$F$143</f>
        <v>251112.5</v>
      </c>
      <c r="X139">
        <f>Analisa!$H$143</f>
        <v>50940.509259259255</v>
      </c>
      <c r="Z139">
        <f>'REKAP Balok'!X467</f>
        <v>261.34201071523063</v>
      </c>
      <c r="AA139">
        <f>Analisa!$F$233</f>
        <v>11282.5</v>
      </c>
      <c r="AF139">
        <f>R139+V139*W139+Z139*AA139</f>
        <v>8003281.088835766</v>
      </c>
      <c r="AG139">
        <f>S139</f>
        <v>1750000</v>
      </c>
      <c r="AH139">
        <f>T139+V139*X139</f>
        <v>884055.1470588234</v>
      </c>
    </row>
    <row r="140">
      <c r="B140" t="str">
        <v xml:space="preserve"> - Balok B24-1</v>
      </c>
      <c r="C140" t="str">
        <v>m3</v>
      </c>
      <c r="D140">
        <f>H140</f>
        <v>1.73119</v>
      </c>
      <c r="E140">
        <f>N140*'REKAP RAB'!$O$4</f>
        <v>9489973.347078525</v>
      </c>
      <c r="F140">
        <f>D140*E140</f>
        <v>16428946.95872887</v>
      </c>
      <c r="G140" t="str">
        <v>B24-1</v>
      </c>
      <c r="H140">
        <f>'REKAP Balok'!G468</f>
        <v>1.73119</v>
      </c>
      <c r="I140">
        <f>AF140</f>
        <v>5824734.2155104</v>
      </c>
      <c r="J140">
        <f>AG140</f>
        <v>1750000</v>
      </c>
      <c r="K140">
        <f>AH140</f>
        <v>749803.8082426923</v>
      </c>
      <c r="N140">
        <f>SUM(I140:M140)</f>
        <v>8324538.023753093</v>
      </c>
      <c r="O140">
        <f>H140*N140</f>
        <v>14411356.981341116</v>
      </c>
      <c r="R140">
        <f>Analisa!$F$197</f>
        <v>1066432.5000000002</v>
      </c>
      <c r="S140">
        <f>Analisa!$G$197</f>
        <v>1750000</v>
      </c>
      <c r="T140">
        <f>Analisa!$H$197</f>
        <v>75000</v>
      </c>
      <c r="V140">
        <f>'REKAP Balok'!W468</f>
        <v>13.246899531536108</v>
      </c>
      <c r="W140">
        <f>Analisa!$F$143</f>
        <v>251112.5</v>
      </c>
      <c r="X140">
        <f>Analisa!$H$143</f>
        <v>50940.509259259255</v>
      </c>
      <c r="Z140">
        <f>'REKAP Balok'!X468</f>
        <v>126.90801301994581</v>
      </c>
      <c r="AA140">
        <f>Analisa!$F$233</f>
        <v>11282.5</v>
      </c>
      <c r="AF140">
        <f>R140+V140*W140+Z140*AA140</f>
        <v>5824734.2155104</v>
      </c>
      <c r="AG140">
        <f>S140</f>
        <v>1750000</v>
      </c>
      <c r="AH140">
        <f>T140+V140*X140</f>
        <v>749803.8082426923</v>
      </c>
    </row>
    <row r="141">
      <c r="B141" t="str">
        <v xml:space="preserve"> - Balok B24-2</v>
      </c>
      <c r="C141" t="str">
        <v>m3</v>
      </c>
      <c r="D141">
        <f>H141</f>
        <v>1.4598900000000001</v>
      </c>
      <c r="E141">
        <f>N141*'REKAP RAB'!$O$4</f>
        <v>9675600.338083195</v>
      </c>
      <c r="F141">
        <f>D141*E141</f>
        <v>14125312.177564276</v>
      </c>
      <c r="G141" t="str">
        <v>B24-2</v>
      </c>
      <c r="H141">
        <f>'REKAP Balok'!G469</f>
        <v>1.4598900000000001</v>
      </c>
      <c r="I141">
        <f>AF141</f>
        <v>6001491.424588291</v>
      </c>
      <c r="J141">
        <f>AG141</f>
        <v>1750000</v>
      </c>
      <c r="K141">
        <f>AH141</f>
        <v>735877.2930285461</v>
      </c>
      <c r="N141">
        <f>SUM(I141:M141)</f>
        <v>8487368.717616837</v>
      </c>
      <c r="O141">
        <f>H141*N141</f>
        <v>12390624.717161646</v>
      </c>
      <c r="R141">
        <f>Analisa!$F$197</f>
        <v>1066432.5000000002</v>
      </c>
      <c r="S141">
        <f>Analisa!$G$197</f>
        <v>1750000</v>
      </c>
      <c r="T141">
        <f>Analisa!$H$197</f>
        <v>75000</v>
      </c>
      <c r="V141">
        <f>'REKAP Balok'!W469</f>
        <v>12.973511702936522</v>
      </c>
      <c r="W141">
        <f>Analisa!$F$143</f>
        <v>251112.5</v>
      </c>
      <c r="X141">
        <f>Analisa!$H$143</f>
        <v>50940.509259259255</v>
      </c>
      <c r="Z141">
        <f>'REKAP Balok'!X469</f>
        <v>148.65924813513345</v>
      </c>
      <c r="AA141">
        <f>Analisa!$F$233</f>
        <v>11282.5</v>
      </c>
      <c r="AF141">
        <f>R141+V141*W141+Z141*AA141</f>
        <v>6001491.424588291</v>
      </c>
      <c r="AG141">
        <f>S141</f>
        <v>1750000</v>
      </c>
      <c r="AH141">
        <f>T141+V141*X141</f>
        <v>735877.2930285461</v>
      </c>
    </row>
    <row r="142">
      <c r="B142" t="str">
        <v xml:space="preserve"> - Balok B24-3</v>
      </c>
      <c r="C142" t="str">
        <v>m3</v>
      </c>
      <c r="D142">
        <f>H142</f>
        <v>0.23031</v>
      </c>
      <c r="E142">
        <f>N142*'REKAP RAB'!$O$4</f>
        <v>11714717.513782235</v>
      </c>
      <c r="F142">
        <f>D142*E142</f>
        <v>2698016.5905991863</v>
      </c>
      <c r="G142" t="str">
        <v>B24-3</v>
      </c>
      <c r="H142">
        <f>'REKAP Balok'!G470</f>
        <v>0.23031</v>
      </c>
      <c r="I142">
        <f>AF142</f>
        <v>7752994.349141158</v>
      </c>
      <c r="J142">
        <f>AG142</f>
        <v>1750000</v>
      </c>
      <c r="K142">
        <f>AH142</f>
        <v>773073.6454046639</v>
      </c>
      <c r="N142">
        <f>SUM(I142:M142)</f>
        <v>10276067.994545821</v>
      </c>
      <c r="O142">
        <f>H142*N142</f>
        <v>2366681.219823848</v>
      </c>
      <c r="R142">
        <f>Analisa!$F$197</f>
        <v>1066432.5000000002</v>
      </c>
      <c r="S142">
        <f>Analisa!$G$197</f>
        <v>1750000</v>
      </c>
      <c r="T142">
        <f>Analisa!$H$197</f>
        <v>75000</v>
      </c>
      <c r="V142">
        <f>'REKAP Balok'!W470</f>
        <v>13.703703703703704</v>
      </c>
      <c r="W142">
        <f>Analisa!$F$143</f>
        <v>251112.5</v>
      </c>
      <c r="X142">
        <f>Analisa!$H$143</f>
        <v>50940.509259259255</v>
      </c>
      <c r="Z142">
        <f>'REKAP Balok'!X470</f>
        <v>287.6481766314967</v>
      </c>
      <c r="AA142">
        <f>Analisa!$F$233</f>
        <v>11282.5</v>
      </c>
      <c r="AF142">
        <f>R142+V142*W142+Z142*AA142</f>
        <v>7752994.349141158</v>
      </c>
      <c r="AG142">
        <f>S142</f>
        <v>1750000</v>
      </c>
      <c r="AH142">
        <f>T142+V142*X142</f>
        <v>773073.6454046639</v>
      </c>
    </row>
    <row r="143">
      <c r="B143" t="str">
        <v xml:space="preserve"> - Balok B245-1</v>
      </c>
      <c r="C143" t="str">
        <v>m3</v>
      </c>
      <c r="D143">
        <f>H143</f>
        <v>3.1130600000000004</v>
      </c>
      <c r="E143">
        <f>N143*'REKAP RAB'!$O$4</f>
        <v>9427328.569932604</v>
      </c>
      <c r="F143">
        <f>D143*E143</f>
        <v>29347839.477914397</v>
      </c>
      <c r="G143" t="str">
        <v>B245-1</v>
      </c>
      <c r="H143">
        <f>'REKAP Balok'!G476</f>
        <v>3.1130600000000004</v>
      </c>
      <c r="I143">
        <f>AF143</f>
        <v>5788155.463445948</v>
      </c>
      <c r="J143">
        <f>AG143</f>
        <v>1750000</v>
      </c>
      <c r="K143">
        <f>AH143</f>
        <v>731431.0014072134</v>
      </c>
      <c r="N143">
        <f>SUM(I143:M143)</f>
        <v>8269586.464853162</v>
      </c>
      <c r="O143">
        <f>H143*N143</f>
        <v>25743718.840275787</v>
      </c>
      <c r="R143">
        <f>Analisa!$F$197</f>
        <v>1066432.5000000002</v>
      </c>
      <c r="S143">
        <f>Analisa!$G$197</f>
        <v>1750000</v>
      </c>
      <c r="T143">
        <f>Analisa!$H$197</f>
        <v>75000</v>
      </c>
      <c r="V143">
        <f>'REKAP Balok'!W476</f>
        <v>12.886227698791538</v>
      </c>
      <c r="W143">
        <f>Analisa!$F$143</f>
        <v>251112.5</v>
      </c>
      <c r="X143">
        <f>Analisa!$H$143</f>
        <v>50940.509259259255</v>
      </c>
      <c r="Z143">
        <f>'REKAP Balok'!X476</f>
        <v>131.6933401669097</v>
      </c>
      <c r="AA143">
        <f>Analisa!$F$233</f>
        <v>11282.5</v>
      </c>
      <c r="AF143">
        <f>R143+V143*W143+Z143*AA143</f>
        <v>5788155.463445948</v>
      </c>
      <c r="AG143">
        <f>S143</f>
        <v>1750000</v>
      </c>
      <c r="AH143">
        <f>T143+V143*X143</f>
        <v>731431.0014072134</v>
      </c>
    </row>
    <row r="144">
      <c r="B144" t="str">
        <v xml:space="preserve"> - Balok B245-2</v>
      </c>
      <c r="C144" t="str">
        <v>m3</v>
      </c>
      <c r="D144">
        <f>H144</f>
        <v>1.85892</v>
      </c>
      <c r="E144">
        <f>N144*'REKAP RAB'!$O$4</f>
        <v>10092298.576905742</v>
      </c>
      <c r="F144">
        <f>D144*E144</f>
        <v>18760775.67058162</v>
      </c>
      <c r="G144" t="str">
        <v>B245-2</v>
      </c>
      <c r="H144">
        <f>'REKAP Balok'!G479</f>
        <v>1.85892</v>
      </c>
      <c r="I144">
        <f>AF144</f>
        <v>6354616.768648194</v>
      </c>
      <c r="J144">
        <f>AG144</f>
        <v>1750000</v>
      </c>
      <c r="K144">
        <f>AH144</f>
        <v>748276.7198656169</v>
      </c>
      <c r="N144">
        <f>SUM(I144:M144)</f>
        <v>8852893.48851381</v>
      </c>
      <c r="O144">
        <f>H144*N144</f>
        <v>16456820.763668092</v>
      </c>
      <c r="R144">
        <f>Analisa!$F$197</f>
        <v>1066432.5000000002</v>
      </c>
      <c r="S144">
        <f>Analisa!$G$197</f>
        <v>1750000</v>
      </c>
      <c r="T144">
        <f>Analisa!$H$197</f>
        <v>75000</v>
      </c>
      <c r="V144">
        <f>'REKAP Balok'!W479</f>
        <v>13.216921653433177</v>
      </c>
      <c r="W144">
        <f>Analisa!$F$143</f>
        <v>251112.5</v>
      </c>
      <c r="X144">
        <f>Analisa!$H$143</f>
        <v>50940.509259259255</v>
      </c>
      <c r="Z144">
        <f>'REKAP Balok'!X479</f>
        <v>174.5402198050481</v>
      </c>
      <c r="AA144">
        <f>Analisa!$F$233</f>
        <v>11282.5</v>
      </c>
      <c r="AF144">
        <f>R144+V144*W144+Z144*AA144</f>
        <v>6354616.768648194</v>
      </c>
      <c r="AG144">
        <f>S144</f>
        <v>1750000</v>
      </c>
      <c r="AH144">
        <f>T144+V144*X144</f>
        <v>748276.7198656169</v>
      </c>
    </row>
    <row r="145">
      <c r="B145" t="str">
        <v xml:space="preserve"> - Balok B245-3</v>
      </c>
      <c r="C145" t="str">
        <v>m3</v>
      </c>
      <c r="D145">
        <f>H145</f>
        <v>1.0048</v>
      </c>
      <c r="E145">
        <f>N145*'REKAP RAB'!$O$4</f>
        <v>10694030.43824846</v>
      </c>
      <c r="F145">
        <f>D145*E145</f>
        <v>10745361.784352051</v>
      </c>
      <c r="G145" t="str">
        <v>B245-3</v>
      </c>
      <c r="H145">
        <f>'REKAP Balok'!G480</f>
        <v>1.0048</v>
      </c>
      <c r="I145">
        <f>AF145</f>
        <v>6887134.270576134</v>
      </c>
      <c r="J145">
        <f>AG145</f>
        <v>1750000</v>
      </c>
      <c r="K145">
        <f>AH145</f>
        <v>743594.1840277778</v>
      </c>
      <c r="N145">
        <f>SUM(I145:M145)</f>
        <v>9380728.454603912</v>
      </c>
      <c r="O145">
        <f>H145*N145</f>
        <v>9425755.95118601</v>
      </c>
      <c r="R145">
        <f>Analisa!$F$197</f>
        <v>1066432.5000000002</v>
      </c>
      <c r="S145">
        <f>Analisa!$G$197</f>
        <v>1750000</v>
      </c>
      <c r="T145">
        <f>Analisa!$H$197</f>
        <v>75000</v>
      </c>
      <c r="V145">
        <f>'REKAP Balok'!W480</f>
        <v>13.125</v>
      </c>
      <c r="W145">
        <f>Analisa!$F$143</f>
        <v>251112.5</v>
      </c>
      <c r="X145">
        <f>Analisa!$H$143</f>
        <v>50940.509259259255</v>
      </c>
      <c r="Z145">
        <f>'REKAP Balok'!X480</f>
        <v>223.78464064490447</v>
      </c>
      <c r="AA145">
        <f>Analisa!$F$233</f>
        <v>11282.5</v>
      </c>
      <c r="AF145">
        <f>R145+V145*W145+Z145*AA145</f>
        <v>6887134.270576134</v>
      </c>
      <c r="AG145">
        <f>S145</f>
        <v>1750000</v>
      </c>
      <c r="AH145">
        <f>T145+V145*X145</f>
        <v>743594.1840277778</v>
      </c>
    </row>
    <row r="146">
      <c r="B146" t="str">
        <v xml:space="preserve"> - Balok B245-4</v>
      </c>
      <c r="C146" t="str">
        <v>m3</v>
      </c>
      <c r="D146">
        <f>H146</f>
        <v>3.38676</v>
      </c>
      <c r="E146">
        <f>N146*'REKAP RAB'!$O$4</f>
        <v>10723967.156690685</v>
      </c>
      <c r="F146">
        <f>D146*E146</f>
        <v>36319503.00759374</v>
      </c>
      <c r="G146" t="str">
        <v>B245-4</v>
      </c>
      <c r="H146">
        <f>'REKAP Balok'!G481</f>
        <v>3.38676</v>
      </c>
      <c r="I146">
        <f>AF146</f>
        <v>6913734.854220552</v>
      </c>
      <c r="J146">
        <f>AG146</f>
        <v>1750000</v>
      </c>
      <c r="K146">
        <f>AH146</f>
        <v>743253.8797186472</v>
      </c>
      <c r="N146">
        <f>SUM(I146:M146)</f>
        <v>9406988.733939199</v>
      </c>
      <c r="O146">
        <f>H146*N146</f>
        <v>31859213.164555922</v>
      </c>
      <c r="R146">
        <f>Analisa!$F$197</f>
        <v>1066432.5000000002</v>
      </c>
      <c r="S146">
        <f>Analisa!$G$197</f>
        <v>1750000</v>
      </c>
      <c r="T146">
        <f>Analisa!$H$197</f>
        <v>75000</v>
      </c>
      <c r="V146">
        <f>'REKAP Balok'!W481</f>
        <v>13.11831957387001</v>
      </c>
      <c r="W146">
        <f>Analisa!$F$143</f>
        <v>251112.5</v>
      </c>
      <c r="X146">
        <f>Analisa!$H$143</f>
        <v>50940.509259259255</v>
      </c>
      <c r="Z146">
        <f>'REKAP Balok'!X481</f>
        <v>226.29101087765295</v>
      </c>
      <c r="AA146">
        <f>Analisa!$F$233</f>
        <v>11282.5</v>
      </c>
      <c r="AF146">
        <f>R146+V146*W146+Z146*AA146</f>
        <v>6913734.854220552</v>
      </c>
      <c r="AG146">
        <f>S146</f>
        <v>1750000</v>
      </c>
      <c r="AH146">
        <f>T146+V146*X146</f>
        <v>743253.8797186472</v>
      </c>
    </row>
    <row r="147">
      <c r="B147" t="str">
        <v xml:space="preserve"> - Balok B245-5</v>
      </c>
      <c r="C147" t="str">
        <v>m3</v>
      </c>
      <c r="D147">
        <f>H147</f>
        <v>0.52316</v>
      </c>
      <c r="E147">
        <f>N147*'REKAP RAB'!$O$4</f>
        <v>11181887.837316966</v>
      </c>
      <c r="F147">
        <f>D147*E147</f>
        <v>5849916.440970743</v>
      </c>
      <c r="G147" t="str">
        <v>B245-5</v>
      </c>
      <c r="H147">
        <f>'REKAP Balok'!G482</f>
        <v>0.52316</v>
      </c>
      <c r="I147">
        <f>AF147</f>
        <v>7337072.987589456</v>
      </c>
      <c r="J147">
        <f>AG147</f>
        <v>1750000</v>
      </c>
      <c r="K147">
        <f>AH147</f>
        <v>721600.5539166545</v>
      </c>
      <c r="N147">
        <f>SUM(I147:M147)</f>
        <v>9808673.541506112</v>
      </c>
      <c r="O147">
        <f>H147*N147</f>
        <v>5131505.649974337</v>
      </c>
      <c r="R147">
        <f>Analisa!$F$197</f>
        <v>1066432.5000000002</v>
      </c>
      <c r="S147">
        <f>Analisa!$G$197</f>
        <v>1750000</v>
      </c>
      <c r="T147">
        <f>Analisa!$H$197</f>
        <v>75000</v>
      </c>
      <c r="V147">
        <f>'REKAP Balok'!W482</f>
        <v>12.693248719321048</v>
      </c>
      <c r="W147">
        <f>Analisa!$F$143</f>
        <v>251112.5</v>
      </c>
      <c r="X147">
        <f>Analisa!$H$143</f>
        <v>50940.509259259255</v>
      </c>
      <c r="Z147">
        <f>'REKAP Balok'!X482</f>
        <v>273.27339406682466</v>
      </c>
      <c r="AA147">
        <f>Analisa!$F$233</f>
        <v>11282.5</v>
      </c>
      <c r="AF147">
        <f>R147+V147*W147+Z147*AA147</f>
        <v>7337072.987589456</v>
      </c>
      <c r="AG147">
        <f>S147</f>
        <v>1750000</v>
      </c>
      <c r="AH147">
        <f>T147+V147*X147</f>
        <v>721600.5539166545</v>
      </c>
    </row>
    <row r="148">
      <c r="B148" t="str">
        <v xml:space="preserve"> - Balok B245-6</v>
      </c>
      <c r="C148" t="str">
        <v>m3</v>
      </c>
      <c r="D148">
        <f>H148</f>
        <v>0.47831</v>
      </c>
      <c r="E148">
        <f>N148*'REKAP RAB'!$O$4</f>
        <v>10439743.379118904</v>
      </c>
      <c r="F148">
        <f>D148*E148</f>
        <v>4993433.655666363</v>
      </c>
      <c r="G148" t="str">
        <v>B245-6</v>
      </c>
      <c r="H148">
        <f>'REKAP Balok'!G483</f>
        <v>0.47831</v>
      </c>
      <c r="I148">
        <f>AF148</f>
        <v>6691203.256865632</v>
      </c>
      <c r="J148">
        <f>AG148</f>
        <v>1750000</v>
      </c>
      <c r="K148">
        <f>AH148</f>
        <v>716466.3739404245</v>
      </c>
      <c r="N148">
        <f>SUM(I148:M148)</f>
        <v>9157669.630806057</v>
      </c>
      <c r="O148">
        <f>H148*N148</f>
        <v>4380204.961110845</v>
      </c>
      <c r="R148">
        <f>Analisa!$F$197</f>
        <v>1066432.5000000002</v>
      </c>
      <c r="S148">
        <f>Analisa!$G$197</f>
        <v>1750000</v>
      </c>
      <c r="T148">
        <f>Analisa!$H$197</f>
        <v>75000</v>
      </c>
      <c r="V148">
        <f>'REKAP Balok'!W483</f>
        <v>12.592460956283583</v>
      </c>
      <c r="W148">
        <f>Analisa!$F$143</f>
        <v>251112.5</v>
      </c>
      <c r="X148">
        <f>Analisa!$H$143</f>
        <v>50940.509259259255</v>
      </c>
      <c r="Z148">
        <f>'REKAP Balok'!X483</f>
        <v>218.27134101315048</v>
      </c>
      <c r="AA148">
        <f>Analisa!$F$233</f>
        <v>11282.5</v>
      </c>
      <c r="AF148">
        <f>R148+V148*W148+Z148*AA148</f>
        <v>6691203.256865632</v>
      </c>
      <c r="AG148">
        <f>S148</f>
        <v>1750000</v>
      </c>
      <c r="AH148">
        <f>T148+V148*X148</f>
        <v>716466.3739404245</v>
      </c>
    </row>
    <row r="149">
      <c r="B149" t="str">
        <v xml:space="preserve"> - Balok B25-1</v>
      </c>
      <c r="C149" t="str">
        <v>m3</v>
      </c>
      <c r="D149">
        <f>H149</f>
        <v>0.9990000000000001</v>
      </c>
      <c r="E149">
        <f>N149*'REKAP RAB'!$O$4</f>
        <v>10190142.817662949</v>
      </c>
      <c r="F149">
        <f>D149*E149</f>
        <v>10179952.674845288</v>
      </c>
      <c r="G149" t="str">
        <v>B25-1</v>
      </c>
      <c r="H149">
        <f>'REKAP Balok'!G485</f>
        <v>0.9990000000000001</v>
      </c>
      <c r="I149">
        <f>AF149</f>
        <v>6466639.625235136</v>
      </c>
      <c r="J149">
        <f>AG149</f>
        <v>1750000</v>
      </c>
      <c r="K149">
        <f>AH149</f>
        <v>722082.1446446446</v>
      </c>
      <c r="N149">
        <f>SUM(I149:M149)</f>
        <v>8938721.76987978</v>
      </c>
      <c r="O149">
        <f>H149*N149</f>
        <v>8929783.048109902</v>
      </c>
      <c r="R149">
        <f>Analisa!$F$197</f>
        <v>1066432.5000000002</v>
      </c>
      <c r="S149">
        <f>Analisa!$G$197</f>
        <v>1750000</v>
      </c>
      <c r="T149">
        <f>Analisa!$H$197</f>
        <v>75000</v>
      </c>
      <c r="V149">
        <f>'REKAP Balok'!W485</f>
        <v>12.702702702702702</v>
      </c>
      <c r="W149">
        <f>Analisa!$F$143</f>
        <v>251112.5</v>
      </c>
      <c r="X149">
        <f>Analisa!$H$143</f>
        <v>50940.509259259255</v>
      </c>
      <c r="Z149">
        <f>'REKAP Balok'!X485</f>
        <v>195.91399891891894</v>
      </c>
      <c r="AA149">
        <f>Analisa!$F$233</f>
        <v>11282.5</v>
      </c>
      <c r="AF149">
        <f>R149+V149*W149+Z149*AA149</f>
        <v>6466639.625235136</v>
      </c>
      <c r="AG149">
        <f>S149</f>
        <v>1750000</v>
      </c>
      <c r="AH149">
        <f>T149+V149*X149</f>
        <v>722082.1446446446</v>
      </c>
    </row>
    <row r="150">
      <c r="B150" t="str">
        <v xml:space="preserve"> - Balok B25-6</v>
      </c>
      <c r="C150" t="str">
        <v>m3</v>
      </c>
      <c r="D150">
        <f>H150</f>
        <v>0.9239999999999999</v>
      </c>
      <c r="E150">
        <f>N150*'REKAP RAB'!$O$4</f>
        <v>11206699.09700329</v>
      </c>
      <c r="F150">
        <f>D150*E150</f>
        <v>10354989.96563104</v>
      </c>
      <c r="G150" t="str">
        <v>B25-6</v>
      </c>
      <c r="H150">
        <f>'REKAP Balok'!G490</f>
        <v>0.9239999999999999</v>
      </c>
      <c r="I150">
        <f>AF150</f>
        <v>7350488.399626948</v>
      </c>
      <c r="J150">
        <f>AG150</f>
        <v>1750000</v>
      </c>
      <c r="K150">
        <f>AH150</f>
        <v>729949.4047619047</v>
      </c>
      <c r="N150">
        <f>SUM(I150:M150)</f>
        <v>9830437.804388853</v>
      </c>
      <c r="O150">
        <f>H150*N150</f>
        <v>9083324.5312553</v>
      </c>
      <c r="R150">
        <f>Analisa!$F$197</f>
        <v>1066432.5000000002</v>
      </c>
      <c r="S150">
        <f>Analisa!$G$197</f>
        <v>1750000</v>
      </c>
      <c r="T150">
        <f>Analisa!$H$197</f>
        <v>75000</v>
      </c>
      <c r="V150">
        <f>'REKAP Balok'!W490</f>
        <v>12.857142857142858</v>
      </c>
      <c r="W150">
        <f>Analisa!$F$143</f>
        <v>251112.5</v>
      </c>
      <c r="X150">
        <f>Analisa!$H$143</f>
        <v>50940.509259259255</v>
      </c>
      <c r="Z150">
        <f>'REKAP Balok'!X490</f>
        <v>270.8146788311688</v>
      </c>
      <c r="AA150">
        <f>Analisa!$F$233</f>
        <v>11282.5</v>
      </c>
      <c r="AF150">
        <f>R150+V150*W150+Z150*AA150</f>
        <v>7350488.399626948</v>
      </c>
      <c r="AG150">
        <f>S150</f>
        <v>1750000</v>
      </c>
      <c r="AH150">
        <f>T150+V150*X150</f>
        <v>729949.4047619047</v>
      </c>
    </row>
    <row r="151">
      <c r="B151" t="str">
        <v xml:space="preserve"> - Balok CL25-1</v>
      </c>
      <c r="C151" t="str">
        <v>m3</v>
      </c>
      <c r="D151">
        <f>H151</f>
        <v>0.55759</v>
      </c>
      <c r="E151">
        <f>N151*'REKAP RAB'!$O$4</f>
        <v>10829199.316183345</v>
      </c>
      <c r="F151">
        <f>D151*E151</f>
        <v>6038253.246710672</v>
      </c>
      <c r="G151" t="str">
        <v>CL25-1</v>
      </c>
      <c r="H151">
        <f>'REKAP Balok'!G491</f>
        <v>0.55759</v>
      </c>
      <c r="I151">
        <f>AF151</f>
        <v>7027215.501130221</v>
      </c>
      <c r="J151">
        <f>AG151</f>
        <v>1750000</v>
      </c>
      <c r="K151">
        <f>AH151</f>
        <v>722082.1446446447</v>
      </c>
      <c r="N151">
        <f>SUM(I151:M151)</f>
        <v>9499297.645774866</v>
      </c>
      <c r="O151">
        <f>H151*N151</f>
        <v>5296713.374307607</v>
      </c>
      <c r="R151">
        <f>Analisa!$F$197</f>
        <v>1066432.5000000002</v>
      </c>
      <c r="S151">
        <f>Analisa!$G$197</f>
        <v>1750000</v>
      </c>
      <c r="T151">
        <f>Analisa!$H$197</f>
        <v>75000</v>
      </c>
      <c r="V151">
        <f>'REKAP Balok'!W491</f>
        <v>12.702702702702704</v>
      </c>
      <c r="W151">
        <f>Analisa!$F$143</f>
        <v>251112.5</v>
      </c>
      <c r="X151">
        <f>Analisa!$H$143</f>
        <v>50940.509259259255</v>
      </c>
      <c r="Z151">
        <f>'REKAP Balok'!X491</f>
        <v>245.59942997542996</v>
      </c>
      <c r="AA151">
        <f>Analisa!$F$233</f>
        <v>11282.5</v>
      </c>
      <c r="AF151">
        <f>R151+V151*W151+Z151*AA151</f>
        <v>7027215.501130221</v>
      </c>
      <c r="AG151">
        <f>S151</f>
        <v>1750000</v>
      </c>
      <c r="AH151">
        <f>T151+V151*X151</f>
        <v>722082.1446446447</v>
      </c>
    </row>
    <row r="152">
      <c r="B152" t="str">
        <v xml:space="preserve"> - Balok B345-1</v>
      </c>
      <c r="C152" t="str">
        <v>m3</v>
      </c>
      <c r="D152">
        <f>H152</f>
        <v>0.3552</v>
      </c>
      <c r="E152">
        <f>N152*'REKAP RAB'!$O$4</f>
        <v>8807366.418970805</v>
      </c>
      <c r="F152">
        <f>D152*E152</f>
        <v>3128376.55201843</v>
      </c>
      <c r="G152" t="str">
        <v>B345-1</v>
      </c>
      <c r="H152">
        <f>'REKAP Balok'!G501</f>
        <v>0.3552</v>
      </c>
      <c r="I152">
        <f>AF152</f>
        <v>5401967.530144144</v>
      </c>
      <c r="J152">
        <f>AG152</f>
        <v>1750000</v>
      </c>
      <c r="K152">
        <f>AH152</f>
        <v>573792.4864969135</v>
      </c>
      <c r="N152">
        <f>SUM(I152:M152)</f>
        <v>7725760.016641057</v>
      </c>
      <c r="O152">
        <f>H152*N152</f>
        <v>2744189.9579109037</v>
      </c>
      <c r="R152">
        <f>Analisa!$F$197</f>
        <v>1066432.5000000002</v>
      </c>
      <c r="S152">
        <f>Analisa!$G$197</f>
        <v>1750000</v>
      </c>
      <c r="T152">
        <f>Analisa!$H$197</f>
        <v>75000</v>
      </c>
      <c r="V152">
        <f>'REKAP Balok'!W501</f>
        <v>9.791666666666666</v>
      </c>
      <c r="W152">
        <f>Analisa!$F$143</f>
        <v>251112.5</v>
      </c>
      <c r="X152">
        <f>Analisa!$H$143</f>
        <v>50940.509259259255</v>
      </c>
      <c r="Z152">
        <f>'REKAP Balok'!X501</f>
        <v>166.33947567567566</v>
      </c>
      <c r="AA152">
        <f>Analisa!$F$233</f>
        <v>11282.5</v>
      </c>
      <c r="AF152">
        <f>R152+V152*W152+Z152*AA152</f>
        <v>5401967.530144144</v>
      </c>
      <c r="AG152">
        <f>S152</f>
        <v>1750000</v>
      </c>
      <c r="AH152">
        <f>T152+V152*X152</f>
        <v>573792.4864969135</v>
      </c>
    </row>
    <row r="153">
      <c r="B153" t="str">
        <v xml:space="preserve"> - Balok B35-1</v>
      </c>
      <c r="C153" t="str">
        <v>m3</v>
      </c>
      <c r="D153">
        <f>H153</f>
        <v>0.742035</v>
      </c>
      <c r="E153">
        <f>N153*'REKAP RAB'!$O$4</f>
        <v>8559003.414855404</v>
      </c>
      <c r="F153">
        <f>D153*E153</f>
        <v>6351080.0989422295</v>
      </c>
      <c r="G153" t="str">
        <v>B35-1</v>
      </c>
      <c r="H153">
        <f>'REKAP Balok'!G502</f>
        <v>0.742035</v>
      </c>
      <c r="I153">
        <f>AF153</f>
        <v>5205617.285215522</v>
      </c>
      <c r="J153">
        <f>AG153</f>
        <v>1750000</v>
      </c>
      <c r="K153">
        <f>AH153</f>
        <v>552280.4471137804</v>
      </c>
      <c r="N153">
        <f>SUM(I153:M153)</f>
        <v>7507897.7323293025</v>
      </c>
      <c r="O153">
        <f>H153*N153</f>
        <v>5571122.893808974</v>
      </c>
      <c r="R153">
        <f>Analisa!$F$197</f>
        <v>1066432.5000000002</v>
      </c>
      <c r="S153">
        <f>Analisa!$G$197</f>
        <v>1750000</v>
      </c>
      <c r="T153">
        <f>Analisa!$H$197</f>
        <v>75000</v>
      </c>
      <c r="V153">
        <f>'REKAP Balok'!W502</f>
        <v>9.36936936936937</v>
      </c>
      <c r="W153">
        <f>Analisa!$F$143</f>
        <v>251112.5</v>
      </c>
      <c r="X153">
        <f>Analisa!$H$143</f>
        <v>50940.509259259255</v>
      </c>
      <c r="Z153">
        <f>'REKAP Balok'!X502</f>
        <v>158.33538838464494</v>
      </c>
      <c r="AA153">
        <f>Analisa!$F$233</f>
        <v>11282.5</v>
      </c>
      <c r="AF153">
        <f>R153+V153*W153+Z153*AA153</f>
        <v>5205617.285215522</v>
      </c>
      <c r="AG153">
        <f>S153</f>
        <v>1750000</v>
      </c>
      <c r="AH153">
        <f>T153+V153*X153</f>
        <v>552280.4471137804</v>
      </c>
    </row>
    <row r="154">
      <c r="B154" t="str">
        <v xml:space="preserve"> - Balok B37-1</v>
      </c>
      <c r="C154" t="str">
        <v>m3</v>
      </c>
      <c r="D154">
        <f>H154</f>
        <v>5.081265</v>
      </c>
      <c r="E154">
        <f>N154*'REKAP RAB'!$O$4</f>
        <v>9953068.380971322</v>
      </c>
      <c r="F154">
        <f>D154*E154</f>
        <v>50574178.00683624</v>
      </c>
      <c r="G154" t="str">
        <v>B37-1</v>
      </c>
      <c r="H154">
        <f>'REKAP Balok'!G507</f>
        <v>5.081265</v>
      </c>
      <c r="I154">
        <f>AF154</f>
        <v>6476789.028142486</v>
      </c>
      <c r="J154">
        <f>AG154</f>
        <v>1750000</v>
      </c>
      <c r="K154">
        <f>AH154</f>
        <v>503972.70955165685</v>
      </c>
      <c r="N154">
        <f>SUM(I154:M154)</f>
        <v>8730761.737694142</v>
      </c>
      <c r="O154">
        <f>H154*N154</f>
        <v>44363314.04108443</v>
      </c>
      <c r="R154">
        <f>Analisa!$F$197</f>
        <v>1066432.5000000002</v>
      </c>
      <c r="S154">
        <f>Analisa!$G$197</f>
        <v>1750000</v>
      </c>
      <c r="T154">
        <f>Analisa!$H$197</f>
        <v>75000</v>
      </c>
      <c r="V154">
        <f>'REKAP Balok'!W507</f>
        <v>8.421052631578947</v>
      </c>
      <c r="W154">
        <f>Analisa!$F$143</f>
        <v>251112.5</v>
      </c>
      <c r="X154">
        <f>Analisa!$H$143</f>
        <v>50940.509259259255</v>
      </c>
      <c r="Z154">
        <f>'REKAP Balok'!X507</f>
        <v>292.10945705252533</v>
      </c>
      <c r="AA154">
        <f>Analisa!$F$233</f>
        <v>11282.5</v>
      </c>
      <c r="AF154">
        <f>R154+V154*W154+Z154*AA154</f>
        <v>6476789.028142486</v>
      </c>
      <c r="AG154">
        <f>S154</f>
        <v>1750000</v>
      </c>
      <c r="AH154">
        <f>T154+V154*X154</f>
        <v>503972.70955165685</v>
      </c>
    </row>
    <row r="155">
      <c r="B155" t="str">
        <v xml:space="preserve"> - Balok B47-1</v>
      </c>
      <c r="C155" t="str">
        <v>m3</v>
      </c>
      <c r="D155">
        <f>H155</f>
        <v>2.52738</v>
      </c>
      <c r="E155">
        <f>N155*'REKAP RAB'!$O$4</f>
        <v>8247790.730740883</v>
      </c>
      <c r="F155">
        <f>D155*E155</f>
        <v>20845301.337059893</v>
      </c>
      <c r="G155" t="str">
        <v>B47-1</v>
      </c>
      <c r="H155">
        <f>'REKAP Balok'!G508</f>
        <v>2.52738</v>
      </c>
      <c r="I155">
        <f>AF155</f>
        <v>5065832.288986481</v>
      </c>
      <c r="J155">
        <f>AG155</f>
        <v>1750000</v>
      </c>
      <c r="K155">
        <f>AH155</f>
        <v>419071.86078622483</v>
      </c>
      <c r="N155">
        <f>SUM(I155:M155)</f>
        <v>7234904.1497727055</v>
      </c>
      <c r="O155">
        <f>H155*N155</f>
        <v>18285352.05005254</v>
      </c>
      <c r="R155">
        <f>Analisa!$F$197</f>
        <v>1066432.5000000002</v>
      </c>
      <c r="S155">
        <f>Analisa!$G$197</f>
        <v>1750000</v>
      </c>
      <c r="T155">
        <f>Analisa!$H$197</f>
        <v>75000</v>
      </c>
      <c r="V155">
        <f>'REKAP Balok'!W508</f>
        <v>6.754385964912282</v>
      </c>
      <c r="W155">
        <f>Analisa!$F$143</f>
        <v>251112.5</v>
      </c>
      <c r="X155">
        <f>Analisa!$H$143</f>
        <v>50940.509259259255</v>
      </c>
      <c r="Z155">
        <f>'REKAP Balok'!X508</f>
        <v>204.1470457232391</v>
      </c>
      <c r="AA155">
        <f>Analisa!$F$233</f>
        <v>11282.5</v>
      </c>
      <c r="AF155">
        <f>R155+V155*W155+Z155*AA155</f>
        <v>5065832.288986481</v>
      </c>
      <c r="AG155">
        <f>S155</f>
        <v>1750000</v>
      </c>
      <c r="AH155">
        <f>T155+V155*X155</f>
        <v>419071.86078622483</v>
      </c>
    </row>
    <row r="156">
      <c r="B156" t="str">
        <v xml:space="preserve"> - Balok B57-1</v>
      </c>
      <c r="C156" t="str">
        <v>m3</v>
      </c>
      <c r="D156">
        <f>H156</f>
        <v>14.197274999999998</v>
      </c>
      <c r="E156">
        <f>N156*'REKAP RAB'!$O$4</f>
        <v>8705500.519354723</v>
      </c>
      <c r="F156">
        <f>D156*E156</f>
        <v>123594384.8859218</v>
      </c>
      <c r="G156" t="str">
        <v>B57-1</v>
      </c>
      <c r="H156">
        <f>'REKAP Balok'!G510</f>
        <v>14.197274999999998</v>
      </c>
      <c r="I156">
        <f>AF156</f>
        <v>5518272.612819284</v>
      </c>
      <c r="J156">
        <f>AG156</f>
        <v>1750000</v>
      </c>
      <c r="K156">
        <f>AH156</f>
        <v>368131.3515269656</v>
      </c>
      <c r="N156">
        <f>SUM(I156:M156)</f>
        <v>7636403.96434625</v>
      </c>
      <c r="O156">
        <f>H156*N156</f>
        <v>108416127.09291388</v>
      </c>
      <c r="R156">
        <f>Analisa!$F$197</f>
        <v>1066432.5000000002</v>
      </c>
      <c r="S156">
        <f>Analisa!$G$197</f>
        <v>1750000</v>
      </c>
      <c r="T156">
        <f>Analisa!$H$197</f>
        <v>75000</v>
      </c>
      <c r="V156">
        <f>'REKAP Balok'!W510</f>
        <v>5.754385964912282</v>
      </c>
      <c r="W156">
        <f>Analisa!$F$143</f>
        <v>251112.5</v>
      </c>
      <c r="X156">
        <f>Analisa!$H$143</f>
        <v>50940.509259259255</v>
      </c>
      <c r="Z156">
        <f>'REKAP Balok'!X510</f>
        <v>266.5049295107688</v>
      </c>
      <c r="AA156">
        <f>Analisa!$F$233</f>
        <v>11282.5</v>
      </c>
      <c r="AF156">
        <f>R156+V156*W156+Z156*AA156</f>
        <v>5518272.612819284</v>
      </c>
      <c r="AG156">
        <f>S156</f>
        <v>1750000</v>
      </c>
      <c r="AH156">
        <f>T156+V156*X156</f>
        <v>368131.3515269656</v>
      </c>
    </row>
    <row r="157">
      <c r="B157" t="str">
        <v xml:space="preserve"> - Balok B57-4</v>
      </c>
      <c r="C157" t="str">
        <v>m3</v>
      </c>
      <c r="D157">
        <f>H157</f>
        <v>6.327</v>
      </c>
      <c r="E157">
        <f>N157*'REKAP RAB'!$O$4</f>
        <v>8150670.522341388</v>
      </c>
      <c r="F157">
        <f>D157*E157</f>
        <v>51569292.394853964</v>
      </c>
      <c r="G157" t="str">
        <v>B57-4</v>
      </c>
      <c r="H157">
        <f>'REKAP Balok'!G511</f>
        <v>6.327</v>
      </c>
      <c r="I157">
        <f>AF157</f>
        <v>5031579.632983025</v>
      </c>
      <c r="J157">
        <f>AG157</f>
        <v>1750000</v>
      </c>
      <c r="K157">
        <f>AH157</f>
        <v>368131.35152696556</v>
      </c>
      <c r="N157">
        <f>SUM(I157:M157)</f>
        <v>7149710.984509991</v>
      </c>
      <c r="O157">
        <f>H157*N157</f>
        <v>45236221.39899471</v>
      </c>
      <c r="R157">
        <f>Analisa!$F$197</f>
        <v>1066432.5000000002</v>
      </c>
      <c r="S157">
        <f>Analisa!$G$197</f>
        <v>1750000</v>
      </c>
      <c r="T157">
        <f>Analisa!$H$197</f>
        <v>75000</v>
      </c>
      <c r="V157">
        <f>'REKAP Balok'!W511</f>
        <v>5.754385964912281</v>
      </c>
      <c r="W157">
        <f>Analisa!$F$143</f>
        <v>251112.5</v>
      </c>
      <c r="X157">
        <f>Analisa!$H$143</f>
        <v>50940.509259259255</v>
      </c>
      <c r="Z157">
        <f>'REKAP Balok'!X511</f>
        <v>223.36794924608824</v>
      </c>
      <c r="AA157">
        <f>Analisa!$F$233</f>
        <v>11282.5</v>
      </c>
      <c r="AF157">
        <f>R157+V157*W157+Z157*AA157</f>
        <v>5031579.632983025</v>
      </c>
      <c r="AG157">
        <f>S157</f>
        <v>1750000</v>
      </c>
      <c r="AH157">
        <f>T157+V157*X157</f>
        <v>368131.35152696556</v>
      </c>
    </row>
    <row r="158">
      <c r="B158" t="str">
        <v xml:space="preserve"> - Balok B67-1</v>
      </c>
      <c r="C158" t="str">
        <v>m3</v>
      </c>
      <c r="D158">
        <f>H158</f>
        <v>2.394</v>
      </c>
      <c r="E158">
        <f>N158*'REKAP RAB'!$O$4</f>
        <v>7712297.213234774</v>
      </c>
      <c r="F158">
        <f>D158*E158</f>
        <v>18463239.52848405</v>
      </c>
      <c r="G158" t="str">
        <v>B67-1</v>
      </c>
      <c r="H158">
        <f>'REKAP Balok'!G512</f>
        <v>2.394</v>
      </c>
      <c r="I158">
        <f>AF158</f>
        <v>4681001.982044799</v>
      </c>
      <c r="J158">
        <f>AG158</f>
        <v>1750000</v>
      </c>
      <c r="K158">
        <f>AH158</f>
        <v>334171.0120207927</v>
      </c>
      <c r="N158">
        <f>SUM(I158:M158)</f>
        <v>6765172.994065592</v>
      </c>
      <c r="O158">
        <f>H158*N158</f>
        <v>16195824.147793029</v>
      </c>
      <c r="R158">
        <f>Analisa!$F$197</f>
        <v>1066432.5000000002</v>
      </c>
      <c r="S158">
        <f>Analisa!$G$197</f>
        <v>1750000</v>
      </c>
      <c r="T158">
        <f>Analisa!$H$197</f>
        <v>75000</v>
      </c>
      <c r="V158">
        <f>'REKAP Balok'!W512</f>
        <v>5.087719298245614</v>
      </c>
      <c r="W158">
        <f>Analisa!$F$143</f>
        <v>251112.5</v>
      </c>
      <c r="X158">
        <f>Analisa!$H$143</f>
        <v>50940.509259259255</v>
      </c>
      <c r="Z158">
        <f>'REKAP Balok'!X512</f>
        <v>207.13313270676693</v>
      </c>
      <c r="AA158">
        <f>Analisa!$F$233</f>
        <v>11282.5</v>
      </c>
      <c r="AF158">
        <f>R158+V158*W158+Z158*AA158</f>
        <v>4681001.982044799</v>
      </c>
      <c r="AG158">
        <f>S158</f>
        <v>1750000</v>
      </c>
      <c r="AH158">
        <f>T158+V158*X158</f>
        <v>334171.0120207927</v>
      </c>
    </row>
    <row r="159">
      <c r="B159" t="str">
        <v xml:space="preserve"> - Balok B77-1</v>
      </c>
      <c r="C159" t="str">
        <v>m3</v>
      </c>
      <c r="D159">
        <f>H159</f>
        <v>3.09225</v>
      </c>
      <c r="E159">
        <f>N159*'REKAP RAB'!$O$4</f>
        <v>8317525.317610704</v>
      </c>
      <c r="F159">
        <f>D159*E159</f>
        <v>25719867.6633817</v>
      </c>
      <c r="G159" t="str">
        <v>B77-1</v>
      </c>
      <c r="H159">
        <f>'REKAP Balok'!G514</f>
        <v>3.09225</v>
      </c>
      <c r="I159">
        <f>AF159</f>
        <v>5236161.21335015</v>
      </c>
      <c r="J159">
        <f>AG159</f>
        <v>1750000</v>
      </c>
      <c r="K159">
        <f>AH159</f>
        <v>309913.6266592407</v>
      </c>
      <c r="N159">
        <f>SUM(I159:M159)</f>
        <v>7296074.84000939</v>
      </c>
      <c r="O159">
        <f>H159*N159</f>
        <v>22561287.42401904</v>
      </c>
      <c r="R159">
        <f>Analisa!$F$197</f>
        <v>1066432.5000000002</v>
      </c>
      <c r="S159">
        <f>Analisa!$G$197</f>
        <v>1750000</v>
      </c>
      <c r="T159">
        <f>Analisa!$H$197</f>
        <v>75000</v>
      </c>
      <c r="V159">
        <f>'REKAP Balok'!W514</f>
        <v>4.611528822055138</v>
      </c>
      <c r="W159">
        <f>Analisa!$F$143</f>
        <v>251112.5</v>
      </c>
      <c r="X159">
        <f>Analisa!$H$143</f>
        <v>50940.509259259255</v>
      </c>
      <c r="Z159">
        <f>'REKAP Balok'!X514</f>
        <v>266.93695386854233</v>
      </c>
      <c r="AA159">
        <f>Analisa!$F$233</f>
        <v>11282.5</v>
      </c>
      <c r="AF159">
        <f>R159+V159*W159+Z159*AA159</f>
        <v>5236161.21335015</v>
      </c>
      <c r="AG159">
        <f>S159</f>
        <v>1750000</v>
      </c>
      <c r="AH159">
        <f>T159+V159*X159</f>
        <v>309913.6266592407</v>
      </c>
    </row>
    <row r="160">
      <c r="B160" t="str">
        <v xml:space="preserve"> - Balok Potongan I</v>
      </c>
      <c r="C160" t="str">
        <v>m3</v>
      </c>
      <c r="D160">
        <f>H160</f>
        <v>0.112</v>
      </c>
      <c r="E160">
        <f>N160*'REKAP RAB'!$O$4</f>
        <v>12724973.325384486</v>
      </c>
      <c r="F160">
        <f>D160*E160</f>
        <v>1425197.0124430626</v>
      </c>
      <c r="G160" t="str">
        <v>Potongan I</v>
      </c>
      <c r="H160">
        <f>'REKAP Balok'!G526</f>
        <v>0.112</v>
      </c>
      <c r="I160">
        <f>AF160</f>
        <v>8668663.11894107</v>
      </c>
      <c r="J160">
        <f>AG160</f>
        <v>1750000</v>
      </c>
      <c r="K160">
        <f>AH160</f>
        <v>743594.1840277778</v>
      </c>
      <c r="N160">
        <f>SUM(I160:M160)</f>
        <v>11162257.302968848</v>
      </c>
      <c r="O160">
        <f>H160*N160</f>
        <v>1250172.817932511</v>
      </c>
      <c r="R160">
        <f>Analisa!$F$197</f>
        <v>1066432.5000000002</v>
      </c>
      <c r="S160">
        <f>Analisa!$G$197</f>
        <v>1750000</v>
      </c>
      <c r="T160">
        <f>Analisa!$H$197</f>
        <v>75000</v>
      </c>
      <c r="V160">
        <f>'REKAP Balok'!W526</f>
        <v>13.125</v>
      </c>
      <c r="W160">
        <f>Analisa!$F$143</f>
        <v>251112.5</v>
      </c>
      <c r="X160">
        <f>Analisa!$H$143</f>
        <v>50940.509259259255</v>
      </c>
      <c r="Z160">
        <f>'REKAP Balok'!X526</f>
        <v>381.68659928571424</v>
      </c>
      <c r="AA160">
        <f>Analisa!$F$233</f>
        <v>11282.5</v>
      </c>
      <c r="AF160">
        <f>R160+V160*W160+Z160*AA160</f>
        <v>8668663.11894107</v>
      </c>
      <c r="AG160">
        <f>S160</f>
        <v>1750000</v>
      </c>
      <c r="AH160">
        <f>T160+V160*X160</f>
        <v>743594.1840277778</v>
      </c>
    </row>
    <row r="161">
      <c r="B161" t="str">
        <v xml:space="preserve"> - Balok Potongan M</v>
      </c>
      <c r="C161" t="str">
        <v>m3</v>
      </c>
      <c r="D161">
        <f>H161</f>
        <v>1.1685</v>
      </c>
      <c r="E161">
        <f>N161*'REKAP RAB'!$O$4</f>
        <v>8107974.418310106</v>
      </c>
      <c r="F161">
        <f>D161*E161</f>
        <v>9474168.10779536</v>
      </c>
      <c r="G161" t="str">
        <v>Potongan M</v>
      </c>
      <c r="H161">
        <f>'REKAP Balok'!G530</f>
        <v>1.1685</v>
      </c>
      <c r="I161">
        <f>AF161</f>
        <v>4994126.910148567</v>
      </c>
      <c r="J161">
        <f>AG161</f>
        <v>1750000</v>
      </c>
      <c r="K161">
        <f>AH161</f>
        <v>368131.35152696556</v>
      </c>
      <c r="N161">
        <f>SUM(I161:M161)</f>
        <v>7112258.261675532</v>
      </c>
      <c r="O161">
        <f>H161*N161</f>
        <v>8310673.77876786</v>
      </c>
      <c r="R161">
        <f>Analisa!$F$197</f>
        <v>1066432.5000000002</v>
      </c>
      <c r="S161">
        <f>Analisa!$G$197</f>
        <v>1750000</v>
      </c>
      <c r="T161">
        <f>Analisa!$H$197</f>
        <v>75000</v>
      </c>
      <c r="V161">
        <f>'REKAP Balok'!W530</f>
        <v>5.754385964912281</v>
      </c>
      <c r="W161">
        <f>Analisa!$F$143</f>
        <v>251112.5</v>
      </c>
      <c r="X161">
        <f>Analisa!$H$143</f>
        <v>50940.509259259255</v>
      </c>
      <c r="Z161">
        <f>'REKAP Balok'!X530</f>
        <v>220.04840811296532</v>
      </c>
      <c r="AA161">
        <f>Analisa!$F$233</f>
        <v>11282.5</v>
      </c>
      <c r="AF161">
        <f>R161+V161*W161+Z161*AA161</f>
        <v>4994126.910148567</v>
      </c>
      <c r="AG161">
        <f>S161</f>
        <v>1750000</v>
      </c>
      <c r="AH161">
        <f>T161+V161*X161</f>
        <v>368131.35152696556</v>
      </c>
    </row>
    <row r="163">
      <c r="B163" t="str">
        <v xml:space="preserve"> - Strongband BB</v>
      </c>
      <c r="C163" t="str">
        <v>kg</v>
      </c>
      <c r="D163">
        <f>H163</f>
        <v>15.593011200000003</v>
      </c>
      <c r="E163">
        <f>N163*'REKAP RAB'!$O$4</f>
        <v>12862.05</v>
      </c>
      <c r="F163">
        <f>D163*E163</f>
        <v>200558.08970496003</v>
      </c>
      <c r="G163" t="str">
        <v>BB</v>
      </c>
      <c r="H163">
        <f>'REKAP Balok'!U533</f>
        <v>15.593011200000003</v>
      </c>
      <c r="I163">
        <v>11282.5</v>
      </c>
      <c r="N163">
        <f>SUM(I163:M163)</f>
        <v>11282.5</v>
      </c>
      <c r="O163">
        <f>H163*N163</f>
        <v>175928.14886400005</v>
      </c>
    </row>
    <row r="165">
      <c r="A165">
        <v>4</v>
      </c>
      <c r="B165" t="str">
        <v>Kolom (Readymix K-350) :</v>
      </c>
      <c r="AJ165">
        <f>SUMPRODUCT(H166:H181,V166:V181)</f>
        <v>303.03</v>
      </c>
      <c r="AL165">
        <f>SUMPRODUCT(H166:H181,Z166:Z181)</f>
        <v>6239.134716840002</v>
      </c>
      <c r="AM165" t="str">
        <v>v</v>
      </c>
    </row>
    <row r="166">
      <c r="B166" t="str">
        <v xml:space="preserve"> - Kolom K12</v>
      </c>
      <c r="C166" t="str">
        <v>m3</v>
      </c>
      <c r="D166">
        <f>H166</f>
        <v>1.1700000000000002</v>
      </c>
      <c r="E166">
        <f>N166*'REKAP RAB'!$O$4</f>
        <v>13483698.333023071</v>
      </c>
      <c r="F166">
        <f>D166*E166</f>
        <v>15775927.049636995</v>
      </c>
      <c r="G166" t="str">
        <v>K12</v>
      </c>
      <c r="H166">
        <f>'Hasil-Kolom'!F246</f>
        <v>1.1700000000000002</v>
      </c>
      <c r="I166">
        <f>AF166</f>
        <v>9327805.555283397</v>
      </c>
      <c r="J166">
        <f>AG166</f>
        <v>2250000</v>
      </c>
      <c r="K166">
        <f>AH166</f>
        <v>250000</v>
      </c>
      <c r="N166">
        <f>SUM(I166:M166)</f>
        <v>11827805.555283397</v>
      </c>
      <c r="O166">
        <f>H166*N166</f>
        <v>13838532.499681577</v>
      </c>
      <c r="R166">
        <f>Analisa!$F$190</f>
        <v>1066432.5000000002</v>
      </c>
      <c r="S166">
        <f>Analisa!$G$190</f>
        <v>2250000</v>
      </c>
      <c r="T166">
        <f>Analisa!$H$190</f>
        <v>250000</v>
      </c>
      <c r="V166">
        <f>'Hasil-Kolom'!V246</f>
        <v>25.384615384615376</v>
      </c>
      <c r="W166">
        <f>Analisa!$F$132</f>
        <v>232434.21052631576</v>
      </c>
      <c r="Z166">
        <f>'Hasil-Kolom'!W246</f>
        <v>209.27276923076923</v>
      </c>
      <c r="AA166">
        <f>Analisa!$F$233</f>
        <v>11282.5</v>
      </c>
      <c r="AF166">
        <f>R166+V166*W166+Z166*AA166</f>
        <v>9327805.555283397</v>
      </c>
      <c r="AG166">
        <f>S166</f>
        <v>2250000</v>
      </c>
      <c r="AH166">
        <f>T166+V166*X166</f>
        <v>250000</v>
      </c>
    </row>
    <row r="167">
      <c r="B167" t="str">
        <v xml:space="preserve"> - Kolom K174-1</v>
      </c>
      <c r="C167" t="str">
        <v>m3</v>
      </c>
      <c r="D167">
        <f>H167</f>
        <v>0.9179999999999999</v>
      </c>
      <c r="E167">
        <f>N167*'REKAP RAB'!$O$4</f>
        <v>11326182.168273529</v>
      </c>
      <c r="F167">
        <f>D167*E167</f>
        <v>10397435.2304751</v>
      </c>
      <c r="G167" t="str">
        <v>K174-1</v>
      </c>
      <c r="H167">
        <f>'Hasil-Kolom'!F248</f>
        <v>0.9179999999999999</v>
      </c>
      <c r="I167">
        <f>AF167</f>
        <v>7435247.516029412</v>
      </c>
      <c r="J167">
        <f>AG167</f>
        <v>2250000</v>
      </c>
      <c r="K167">
        <f>AH167</f>
        <v>250000</v>
      </c>
      <c r="N167">
        <f>SUM(I167:M167)</f>
        <v>9935247.516029412</v>
      </c>
      <c r="O167">
        <f>H167*N167</f>
        <v>9120557.219715</v>
      </c>
      <c r="R167">
        <f>Analisa!$F$190</f>
        <v>1066432.5000000002</v>
      </c>
      <c r="S167">
        <f>Analisa!$G$190</f>
        <v>2250000</v>
      </c>
      <c r="T167">
        <f>Analisa!$H$190</f>
        <v>250000</v>
      </c>
      <c r="V167">
        <f>'Hasil-Kolom'!V248</f>
        <v>16.764705882352942</v>
      </c>
      <c r="W167">
        <f>Analisa!$F$132</f>
        <v>232434.21052631576</v>
      </c>
      <c r="Z167">
        <f>'Hasil-Kolom'!W248</f>
        <v>219.11135294117648</v>
      </c>
      <c r="AA167">
        <f>Analisa!$F$233</f>
        <v>11282.5</v>
      </c>
      <c r="AF167">
        <f>R167+V167*W167+Z167*AA167</f>
        <v>7435247.516029412</v>
      </c>
      <c r="AG167">
        <f>S167</f>
        <v>2250000</v>
      </c>
      <c r="AH167">
        <f>T167+V167*X167</f>
        <v>250000</v>
      </c>
    </row>
    <row r="168">
      <c r="B168" t="str">
        <v xml:space="preserve"> - Kolom K175-1</v>
      </c>
      <c r="C168" t="str">
        <v>m3</v>
      </c>
      <c r="D168">
        <f>H168</f>
        <v>1.1475</v>
      </c>
      <c r="E168">
        <f>N168*'REKAP RAB'!$O$4</f>
        <v>10995876.760994824</v>
      </c>
      <c r="F168">
        <f>D168*E168</f>
        <v>12617768.58324156</v>
      </c>
      <c r="G168" t="str">
        <v>K175-1</v>
      </c>
      <c r="H168">
        <f>'Hasil-Kolom'!F250</f>
        <v>1.1475</v>
      </c>
      <c r="I168">
        <f>AF168</f>
        <v>7145505.930697214</v>
      </c>
      <c r="J168">
        <f>AG168</f>
        <v>2250000</v>
      </c>
      <c r="K168">
        <f>AH168</f>
        <v>250000</v>
      </c>
      <c r="N168">
        <f>SUM(I168:M168)</f>
        <v>9645505.930697214</v>
      </c>
      <c r="O168">
        <f>H168*N168</f>
        <v>11068218.055475052</v>
      </c>
      <c r="R168">
        <f>Analisa!$F$190</f>
        <v>1066432.5000000002</v>
      </c>
      <c r="S168">
        <f>Analisa!$G$190</f>
        <v>2250000</v>
      </c>
      <c r="T168">
        <f>Analisa!$H$190</f>
        <v>250000</v>
      </c>
      <c r="V168">
        <f>'Hasil-Kolom'!V250</f>
        <v>15.764705882352942</v>
      </c>
      <c r="W168">
        <f>Analisa!$F$132</f>
        <v>232434.21052631576</v>
      </c>
      <c r="Z168">
        <f>'Hasil-Kolom'!W250</f>
        <v>214.03203764705881</v>
      </c>
      <c r="AA168">
        <f>Analisa!$F$233</f>
        <v>11282.5</v>
      </c>
      <c r="AF168">
        <f>R168+V168*W168+Z168*AA168</f>
        <v>7145505.930697214</v>
      </c>
      <c r="AG168">
        <f>S168</f>
        <v>2250000</v>
      </c>
      <c r="AH168">
        <f>T168+V168*X168</f>
        <v>250000</v>
      </c>
    </row>
    <row r="169">
      <c r="B169" t="str">
        <v xml:space="preserve"> - Kolom K175-2</v>
      </c>
      <c r="C169" t="str">
        <v>m3</v>
      </c>
      <c r="D169">
        <f>H169</f>
        <v>2.295</v>
      </c>
      <c r="E169">
        <f>N169*'REKAP RAB'!$O$4</f>
        <v>11316280.04226428</v>
      </c>
      <c r="F169">
        <f>D169*E169</f>
        <v>25970862.696996525</v>
      </c>
      <c r="G169" t="str">
        <v>K175-2</v>
      </c>
      <c r="H169">
        <f>'Hasil-Kolom'!F251</f>
        <v>2.295</v>
      </c>
      <c r="I169">
        <f>AF169</f>
        <v>7426561.440582704</v>
      </c>
      <c r="J169">
        <f>AG169</f>
        <v>2250000</v>
      </c>
      <c r="K169">
        <f>AH169</f>
        <v>250000</v>
      </c>
      <c r="N169">
        <f>SUM(I169:M169)</f>
        <v>9926561.440582704</v>
      </c>
      <c r="O169">
        <f>H169*N169</f>
        <v>22781458.506137304</v>
      </c>
      <c r="R169">
        <f>Analisa!$F$190</f>
        <v>1066432.5000000002</v>
      </c>
      <c r="S169">
        <f>Analisa!$G$190</f>
        <v>2250000</v>
      </c>
      <c r="T169">
        <f>Analisa!$H$190</f>
        <v>250000</v>
      </c>
      <c r="V169">
        <f>'Hasil-Kolom'!V251</f>
        <v>15.764705882352942</v>
      </c>
      <c r="W169">
        <f>Analisa!$F$132</f>
        <v>232434.21052631576</v>
      </c>
      <c r="Z169">
        <f>'Hasil-Kolom'!W251</f>
        <v>238.94278525490196</v>
      </c>
      <c r="AA169">
        <f>Analisa!$F$233</f>
        <v>11282.5</v>
      </c>
      <c r="AF169">
        <f>R169+V169*W169+Z169*AA169</f>
        <v>7426561.440582704</v>
      </c>
      <c r="AG169">
        <f>S169</f>
        <v>2250000</v>
      </c>
      <c r="AH169">
        <f>T169+V169*X169</f>
        <v>250000</v>
      </c>
    </row>
    <row r="170">
      <c r="B170" t="str">
        <v xml:space="preserve"> - Kolom K175-4</v>
      </c>
      <c r="C170" t="str">
        <v>m3</v>
      </c>
      <c r="D170">
        <f>H170</f>
        <v>0.3825</v>
      </c>
      <c r="E170">
        <f>N170*'REKAP RAB'!$O$4</f>
        <v>13162779.856615763</v>
      </c>
      <c r="F170">
        <f>D170*E170</f>
        <v>5034763.29515553</v>
      </c>
      <c r="G170" t="str">
        <v>K175-4</v>
      </c>
      <c r="H170">
        <f>'Hasil-Kolom'!F253</f>
        <v>0.3825</v>
      </c>
      <c r="I170">
        <f>AF170</f>
        <v>9046298.11983839</v>
      </c>
      <c r="J170">
        <f>AG170</f>
        <v>2250000</v>
      </c>
      <c r="K170">
        <f>AH170</f>
        <v>250000</v>
      </c>
      <c r="N170">
        <f>SUM(I170:M170)</f>
        <v>11546298.11983839</v>
      </c>
      <c r="O170">
        <f>H170*N170</f>
        <v>4416459.030838184</v>
      </c>
      <c r="R170">
        <f>Analisa!$F$190</f>
        <v>1066432.5000000002</v>
      </c>
      <c r="S170">
        <f>Analisa!$G$190</f>
        <v>2250000</v>
      </c>
      <c r="T170">
        <f>Analisa!$H$190</f>
        <v>250000</v>
      </c>
      <c r="V170">
        <f>'Hasil-Kolom'!V253</f>
        <v>15.764705882352942</v>
      </c>
      <c r="W170">
        <f>Analisa!$F$132</f>
        <v>232434.21052631576</v>
      </c>
      <c r="Z170">
        <f>'Hasil-Kolom'!W253</f>
        <v>382.50464470588236</v>
      </c>
      <c r="AA170">
        <f>Analisa!$F$233</f>
        <v>11282.5</v>
      </c>
      <c r="AF170">
        <f>R170+V170*W170+Z170*AA170</f>
        <v>9046298.11983839</v>
      </c>
      <c r="AG170">
        <f>S170</f>
        <v>2250000</v>
      </c>
      <c r="AH170">
        <f>T170+V170*X170</f>
        <v>250000</v>
      </c>
    </row>
    <row r="171">
      <c r="B171" t="str">
        <v xml:space="preserve"> - Kolom K176-1</v>
      </c>
      <c r="C171" t="str">
        <v>m3</v>
      </c>
      <c r="D171">
        <f>H171</f>
        <v>1.377</v>
      </c>
      <c r="E171">
        <f>N171*'REKAP RAB'!$O$4</f>
        <v>11597982.279342744</v>
      </c>
      <c r="F171">
        <f>D171*E171</f>
        <v>15970421.59865496</v>
      </c>
      <c r="G171" t="str">
        <v>K176-1</v>
      </c>
      <c r="H171">
        <f>'Hasil-Kolom'!F254</f>
        <v>1.377</v>
      </c>
      <c r="I171">
        <f>AF171</f>
        <v>7673668.666090127</v>
      </c>
      <c r="J171">
        <f>AG171</f>
        <v>2250000</v>
      </c>
      <c r="K171">
        <f>AH171</f>
        <v>250000</v>
      </c>
      <c r="N171">
        <f>SUM(I171:M171)</f>
        <v>10173668.666090127</v>
      </c>
      <c r="O171">
        <f>H171*N171</f>
        <v>14009141.753206106</v>
      </c>
      <c r="R171">
        <f>Analisa!$F$190</f>
        <v>1066432.5000000002</v>
      </c>
      <c r="S171">
        <f>Analisa!$G$190</f>
        <v>2250000</v>
      </c>
      <c r="T171">
        <f>Analisa!$H$190</f>
        <v>250000</v>
      </c>
      <c r="V171">
        <f>'Hasil-Kolom'!V254</f>
        <v>15.098039215686274</v>
      </c>
      <c r="W171">
        <f>Analisa!$F$132</f>
        <v>232434.21052631576</v>
      </c>
      <c r="Z171">
        <f>'Hasil-Kolom'!W254</f>
        <v>274.57880261437913</v>
      </c>
      <c r="AA171">
        <f>Analisa!$F$233</f>
        <v>11282.5</v>
      </c>
      <c r="AF171">
        <f>R171+V171*W171+Z171*AA171</f>
        <v>7673668.666090127</v>
      </c>
      <c r="AG171">
        <f>S171</f>
        <v>2250000</v>
      </c>
      <c r="AH171">
        <f>T171+V171*X171</f>
        <v>250000</v>
      </c>
    </row>
    <row r="172">
      <c r="B172" t="str">
        <v xml:space="preserve"> - Kolom K176-4</v>
      </c>
      <c r="C172" t="str">
        <v>m3</v>
      </c>
      <c r="D172">
        <f>H172</f>
        <v>0.459</v>
      </c>
      <c r="E172">
        <f>N172*'REKAP RAB'!$O$4</f>
        <v>13337933.636828233</v>
      </c>
      <c r="F172">
        <f>D172*E172</f>
        <v>6122111.539304159</v>
      </c>
      <c r="G172" t="str">
        <v>K176-4</v>
      </c>
      <c r="H172">
        <f>'Hasil-Kolom'!F255</f>
        <v>0.459</v>
      </c>
      <c r="I172">
        <f>AF172</f>
        <v>9199941.786691433</v>
      </c>
      <c r="J172">
        <f>AG172</f>
        <v>2250000</v>
      </c>
      <c r="K172">
        <f>AH172</f>
        <v>250000</v>
      </c>
      <c r="N172">
        <f>SUM(I172:M172)</f>
        <v>11699941.786691433</v>
      </c>
      <c r="O172">
        <f>H172*N172</f>
        <v>5370273.280091368</v>
      </c>
      <c r="R172">
        <f>Analisa!$F$190</f>
        <v>1066432.5000000002</v>
      </c>
      <c r="S172">
        <f>Analisa!$G$190</f>
        <v>2250000</v>
      </c>
      <c r="T172">
        <f>Analisa!$H$190</f>
        <v>250000</v>
      </c>
      <c r="V172">
        <f>'Hasil-Kolom'!V255</f>
        <v>15.098039215686272</v>
      </c>
      <c r="W172">
        <f>Analisa!$F$132</f>
        <v>232434.21052631576</v>
      </c>
      <c r="Z172">
        <f>'Hasil-Kolom'!W255</f>
        <v>409.8567215686274</v>
      </c>
      <c r="AA172">
        <f>Analisa!$F$233</f>
        <v>11282.5</v>
      </c>
      <c r="AF172">
        <f>R172+V172*W172+Z172*AA172</f>
        <v>9199941.786691433</v>
      </c>
      <c r="AG172">
        <f>S172</f>
        <v>2250000</v>
      </c>
      <c r="AH172">
        <f>T172+V172*X172</f>
        <v>250000</v>
      </c>
    </row>
    <row r="173">
      <c r="B173" t="str">
        <v xml:space="preserve"> - Kolom K177-1</v>
      </c>
      <c r="C173" t="str">
        <v>m3</v>
      </c>
      <c r="D173">
        <f>H173</f>
        <v>0.5355</v>
      </c>
      <c r="E173">
        <f>N173*'REKAP RAB'!$O$4</f>
        <v>11814685.499326134</v>
      </c>
      <c r="F173">
        <f>D173*E173</f>
        <v>6326764.084889145</v>
      </c>
      <c r="G173" t="str">
        <v>K177-1</v>
      </c>
      <c r="H173">
        <f>'Hasil-Kolom'!F256</f>
        <v>0.5355</v>
      </c>
      <c r="I173">
        <f>AF173</f>
        <v>7863759.209935207</v>
      </c>
      <c r="J173">
        <f>AG173</f>
        <v>2250000</v>
      </c>
      <c r="K173">
        <f>AH173</f>
        <v>250000</v>
      </c>
      <c r="N173">
        <f>SUM(I173:M173)</f>
        <v>10363759.209935207</v>
      </c>
      <c r="O173">
        <f>H173*N173</f>
        <v>5549793.056920303</v>
      </c>
      <c r="R173">
        <f>Analisa!$F$190</f>
        <v>1066432.5000000002</v>
      </c>
      <c r="S173">
        <f>Analisa!$G$190</f>
        <v>2250000</v>
      </c>
      <c r="T173">
        <f>Analisa!$H$190</f>
        <v>250000</v>
      </c>
      <c r="V173">
        <f>'Hasil-Kolom'!V256</f>
        <v>14.6218487394958</v>
      </c>
      <c r="W173">
        <f>Analisa!$F$132</f>
        <v>232434.21052631576</v>
      </c>
      <c r="Z173">
        <f>'Hasil-Kolom'!W256</f>
        <v>301.23721176470593</v>
      </c>
      <c r="AA173">
        <f>Analisa!$F$233</f>
        <v>11282.5</v>
      </c>
      <c r="AF173">
        <f>R173+V173*W173+Z173*AA173</f>
        <v>7863759.209935207</v>
      </c>
      <c r="AG173">
        <f>S173</f>
        <v>2250000</v>
      </c>
      <c r="AH173">
        <f>T173+V173*X173</f>
        <v>250000</v>
      </c>
    </row>
    <row r="174">
      <c r="B174" t="str">
        <v xml:space="preserve"> - Kolom K178-1</v>
      </c>
      <c r="C174" t="str">
        <v>m3</v>
      </c>
      <c r="D174">
        <f>H174</f>
        <v>2.448</v>
      </c>
      <c r="E174">
        <f>N174*'REKAP RAB'!$O$4</f>
        <v>10220006.213047057</v>
      </c>
      <c r="F174">
        <f>D174*E174</f>
        <v>25018575.209539197</v>
      </c>
      <c r="G174" t="str">
        <v>K178-1</v>
      </c>
      <c r="H174">
        <f>'Hasil-Kolom'!F258</f>
        <v>2.448</v>
      </c>
      <c r="I174">
        <f>AF174</f>
        <v>6464917.730743034</v>
      </c>
      <c r="J174">
        <f>AG174</f>
        <v>2250000</v>
      </c>
      <c r="K174">
        <f>AH174</f>
        <v>250000</v>
      </c>
      <c r="N174">
        <f>SUM(I174:M174)</f>
        <v>8964917.730743034</v>
      </c>
      <c r="O174">
        <f>H174*N174</f>
        <v>21946118.604858946</v>
      </c>
      <c r="R174">
        <f>Analisa!$F$190</f>
        <v>1066432.5000000002</v>
      </c>
      <c r="S174">
        <f>Analisa!$G$190</f>
        <v>2250000</v>
      </c>
      <c r="T174">
        <f>Analisa!$H$190</f>
        <v>250000</v>
      </c>
      <c r="V174">
        <f>'Hasil-Kolom'!V258</f>
        <v>14.264705882352942</v>
      </c>
      <c r="W174">
        <f>Analisa!$F$132</f>
        <v>232434.21052631576</v>
      </c>
      <c r="Z174">
        <f>'Hasil-Kolom'!W258</f>
        <v>184.6115294117647</v>
      </c>
      <c r="AA174">
        <f>Analisa!$F$233</f>
        <v>11282.5</v>
      </c>
      <c r="AF174">
        <f>R174+V174*W174+Z174*AA174</f>
        <v>6464917.730743034</v>
      </c>
      <c r="AG174">
        <f>S174</f>
        <v>2250000</v>
      </c>
      <c r="AH174">
        <f>T174+V174*X174</f>
        <v>250000</v>
      </c>
    </row>
    <row r="175">
      <c r="B175" t="str">
        <v xml:space="preserve"> - Kolom K178-2</v>
      </c>
      <c r="C175" t="str">
        <v>m3</v>
      </c>
      <c r="D175">
        <f>H175</f>
        <v>1.224</v>
      </c>
      <c r="E175">
        <f>N175*'REKAP RAB'!$O$4</f>
        <v>12409234.608172541</v>
      </c>
      <c r="F175">
        <f>D175*E175</f>
        <v>15188903.16040319</v>
      </c>
      <c r="G175" t="str">
        <v>K178-2</v>
      </c>
      <c r="H175">
        <f>'Hasil-Kolom'!F259</f>
        <v>1.224</v>
      </c>
      <c r="I175">
        <f>AF175</f>
        <v>8385293.515940827</v>
      </c>
      <c r="J175">
        <f>AG175</f>
        <v>2250000</v>
      </c>
      <c r="K175">
        <f>AH175</f>
        <v>250000</v>
      </c>
      <c r="N175">
        <f>SUM(I175:M175)</f>
        <v>10885293.515940826</v>
      </c>
      <c r="O175">
        <f>H175*N175</f>
        <v>13323599.263511572</v>
      </c>
      <c r="R175">
        <f>Analisa!$F$190</f>
        <v>1066432.5000000002</v>
      </c>
      <c r="S175">
        <f>Analisa!$G$190</f>
        <v>2250000</v>
      </c>
      <c r="T175">
        <f>Analisa!$H$190</f>
        <v>250000</v>
      </c>
      <c r="V175">
        <f>'Hasil-Kolom'!V259</f>
        <v>14.264705882352942</v>
      </c>
      <c r="W175">
        <f>Analisa!$F$132</f>
        <v>232434.21052631576</v>
      </c>
      <c r="Z175">
        <f>'Hasil-Kolom'!W259</f>
        <v>354.81988617647056</v>
      </c>
      <c r="AA175">
        <f>Analisa!$F$233</f>
        <v>11282.5</v>
      </c>
      <c r="AF175">
        <f>R175+V175*W175+Z175*AA175</f>
        <v>8385293.515940827</v>
      </c>
      <c r="AG175">
        <f>S175</f>
        <v>2250000</v>
      </c>
      <c r="AH175">
        <f>T175+V175*X175</f>
        <v>250000</v>
      </c>
    </row>
    <row r="176">
      <c r="B176" t="str">
        <v xml:space="preserve"> - Kolom K179-1</v>
      </c>
      <c r="C176" t="str">
        <v>m3</v>
      </c>
      <c r="D176">
        <f>H176</f>
        <v>0.6885</v>
      </c>
      <c r="E176">
        <f>N176*'REKAP RAB'!$O$4</f>
        <v>11918792.183304507</v>
      </c>
      <c r="F176">
        <f>D176*E176</f>
        <v>8206088.418205153</v>
      </c>
      <c r="G176" t="str">
        <v>K179-1</v>
      </c>
      <c r="H176">
        <f>'Hasil-Kolom'!F260</f>
        <v>0.6885</v>
      </c>
      <c r="I176">
        <f>AF176</f>
        <v>7955080.862547815</v>
      </c>
      <c r="J176">
        <f>AG176</f>
        <v>2250000</v>
      </c>
      <c r="K176">
        <f>AH176</f>
        <v>250000</v>
      </c>
      <c r="N176">
        <f>SUM(I176:M176)</f>
        <v>10455080.862547815</v>
      </c>
      <c r="O176">
        <f>H176*N176</f>
        <v>7198323.173864171</v>
      </c>
      <c r="R176">
        <f>Analisa!$F$190</f>
        <v>1066432.5000000002</v>
      </c>
      <c r="S176">
        <f>Analisa!$G$190</f>
        <v>2250000</v>
      </c>
      <c r="T176">
        <f>Analisa!$H$190</f>
        <v>250000</v>
      </c>
      <c r="V176">
        <f>'Hasil-Kolom'!V260</f>
        <v>13.986928104575165</v>
      </c>
      <c r="W176">
        <f>Analisa!$F$132</f>
        <v>232434.21052631576</v>
      </c>
      <c r="Z176">
        <f>'Hasil-Kolom'!W260</f>
        <v>322.4115019607843</v>
      </c>
      <c r="AA176">
        <f>Analisa!$F$233</f>
        <v>11282.5</v>
      </c>
      <c r="AF176">
        <f>R176+V176*W176+Z176*AA176</f>
        <v>7955080.862547815</v>
      </c>
      <c r="AG176">
        <f>S176</f>
        <v>2250000</v>
      </c>
      <c r="AH176">
        <f>T176+V176*X176</f>
        <v>250000</v>
      </c>
    </row>
    <row r="177">
      <c r="B177" t="str">
        <v xml:space="preserve"> - Kolom K275-1</v>
      </c>
      <c r="C177" t="str">
        <v>m3</v>
      </c>
      <c r="D177">
        <f>H177</f>
        <v>1.8225000000000002</v>
      </c>
      <c r="E177">
        <f>N177*'REKAP RAB'!$O$4</f>
        <v>10261338.898064177</v>
      </c>
      <c r="F177">
        <f>D177*E177</f>
        <v>18701290.141721968</v>
      </c>
      <c r="G177" t="str">
        <v>K275-1</v>
      </c>
      <c r="H177">
        <f>'Hasil-Kolom'!F261</f>
        <v>1.8225000000000002</v>
      </c>
      <c r="I177">
        <f>AF177</f>
        <v>6501174.471986121</v>
      </c>
      <c r="J177">
        <f>AG177</f>
        <v>2250000</v>
      </c>
      <c r="K177">
        <f>AH177</f>
        <v>250000</v>
      </c>
      <c r="N177">
        <f>SUM(I177:M177)</f>
        <v>9001174.47198612</v>
      </c>
      <c r="O177">
        <f>H177*N177</f>
        <v>16404640.475194708</v>
      </c>
      <c r="R177">
        <f>Analisa!$F$190</f>
        <v>1066432.5000000002</v>
      </c>
      <c r="S177">
        <f>Analisa!$G$190</f>
        <v>2250000</v>
      </c>
      <c r="T177">
        <f>Analisa!$H$190</f>
        <v>250000</v>
      </c>
      <c r="V177">
        <f>'Hasil-Kolom'!V261</f>
        <v>11.407407407407405</v>
      </c>
      <c r="W177">
        <f>Analisa!$F$132</f>
        <v>232434.21052631576</v>
      </c>
      <c r="Z177">
        <f>'Hasil-Kolom'!W261</f>
        <v>246.68914133333334</v>
      </c>
      <c r="AA177">
        <f>Analisa!$F$233</f>
        <v>11282.5</v>
      </c>
      <c r="AF177">
        <f>R177+V177*W177+Z177*AA177</f>
        <v>6501174.471986121</v>
      </c>
      <c r="AG177">
        <f>S177</f>
        <v>2250000</v>
      </c>
      <c r="AH177">
        <f>T177+V177*X177</f>
        <v>250000</v>
      </c>
    </row>
    <row r="178">
      <c r="B178" t="str">
        <v xml:space="preserve"> - Kolom K278-1</v>
      </c>
      <c r="C178" t="str">
        <v>m3</v>
      </c>
      <c r="D178">
        <f>H178</f>
        <v>2.916</v>
      </c>
      <c r="E178">
        <f>N178*'REKAP RAB'!$O$4</f>
        <v>9959232.289772945</v>
      </c>
      <c r="F178">
        <f>D178*E178</f>
        <v>29041121.356977906</v>
      </c>
      <c r="G178" t="str">
        <v>K278-1</v>
      </c>
      <c r="H178">
        <f>'Hasil-Kolom'!F262</f>
        <v>2.916</v>
      </c>
      <c r="I178">
        <f>AF178</f>
        <v>6236168.675239425</v>
      </c>
      <c r="J178">
        <f>AG178</f>
        <v>2250000</v>
      </c>
      <c r="K178">
        <f>AH178</f>
        <v>250000</v>
      </c>
      <c r="N178">
        <f>SUM(I178:M178)</f>
        <v>8736168.675239425</v>
      </c>
      <c r="O178">
        <f>H178*N178</f>
        <v>25474667.856998164</v>
      </c>
      <c r="R178">
        <f>Analisa!$F$190</f>
        <v>1066432.5000000002</v>
      </c>
      <c r="S178">
        <f>Analisa!$G$190</f>
        <v>2250000</v>
      </c>
      <c r="T178">
        <f>Analisa!$H$190</f>
        <v>250000</v>
      </c>
      <c r="V178">
        <f>'Hasil-Kolom'!V262</f>
        <v>9.907407407407408</v>
      </c>
      <c r="W178">
        <f>Analisa!$F$132</f>
        <v>232434.21052631576</v>
      </c>
      <c r="Z178">
        <f>'Hasil-Kolom'!W262</f>
        <v>254.10288111111115</v>
      </c>
      <c r="AA178">
        <f>Analisa!$F$233</f>
        <v>11282.5</v>
      </c>
      <c r="AF178">
        <f>R178+V178*W178+Z178*AA178</f>
        <v>6236168.675239425</v>
      </c>
      <c r="AG178">
        <f>S178</f>
        <v>2250000</v>
      </c>
      <c r="AH178">
        <f>T178+V178*X178</f>
        <v>250000</v>
      </c>
    </row>
    <row r="179">
      <c r="B179" t="str">
        <v xml:space="preserve"> - Kolom K36-1</v>
      </c>
      <c r="C179" t="str">
        <v>m3</v>
      </c>
      <c r="D179">
        <f>H179</f>
        <v>1.62</v>
      </c>
      <c r="E179">
        <f>N179*'REKAP RAB'!$O$4</f>
        <v>12219803.681345066</v>
      </c>
      <c r="F179">
        <f>D179*E179</f>
        <v>19796081.96377901</v>
      </c>
      <c r="G179" t="str">
        <v>K36-1</v>
      </c>
      <c r="H179">
        <f>'Hasil-Kolom'!F263</f>
        <v>1.62</v>
      </c>
      <c r="I179">
        <f>AF179</f>
        <v>8219126.036267603</v>
      </c>
      <c r="J179">
        <f>AG179</f>
        <v>2250000</v>
      </c>
      <c r="K179">
        <f>AH179</f>
        <v>250000</v>
      </c>
      <c r="N179">
        <f>SUM(I179:M179)</f>
        <v>10719126.036267603</v>
      </c>
      <c r="O179">
        <f>H179*N179</f>
        <v>17364984.178753518</v>
      </c>
      <c r="R179">
        <f>Analisa!$F$190</f>
        <v>1066432.5000000002</v>
      </c>
      <c r="S179">
        <f>Analisa!$G$190</f>
        <v>2250000</v>
      </c>
      <c r="T179">
        <f>Analisa!$H$190</f>
        <v>250000</v>
      </c>
      <c r="V179">
        <f>'Hasil-Kolom'!V263</f>
        <v>9.999999999999998</v>
      </c>
      <c r="W179">
        <f>Analisa!$F$132</f>
        <v>232434.21052631576</v>
      </c>
      <c r="Z179">
        <f>'Hasil-Kolom'!W263</f>
        <v>427.9504924444445</v>
      </c>
      <c r="AA179">
        <f>Analisa!$F$233</f>
        <v>11282.5</v>
      </c>
      <c r="AF179">
        <f>R179+V179*W179+Z179*AA179</f>
        <v>8219126.036267603</v>
      </c>
      <c r="AG179">
        <f>S179</f>
        <v>2250000</v>
      </c>
      <c r="AH179">
        <f>T179+V179*X179</f>
        <v>250000</v>
      </c>
    </row>
    <row r="180">
      <c r="B180" t="str">
        <v xml:space="preserve"> - Kolom K59-1</v>
      </c>
      <c r="C180" t="str">
        <v>m3</v>
      </c>
      <c r="D180">
        <f>H180</f>
        <v>4.05</v>
      </c>
      <c r="E180">
        <f>N180*'REKAP RAB'!$O$4</f>
        <v>8505088.426678985</v>
      </c>
      <c r="F180">
        <f>D180*E180</f>
        <v>34445608.12804989</v>
      </c>
      <c r="G180" t="str">
        <v>K59-1</v>
      </c>
      <c r="H180">
        <f>'Hasil-Kolom'!F266</f>
        <v>4.05</v>
      </c>
      <c r="I180">
        <f>AF180</f>
        <v>4960603.883051743</v>
      </c>
      <c r="J180">
        <f>AG180</f>
        <v>2250000</v>
      </c>
      <c r="K180">
        <f>AH180</f>
        <v>250000</v>
      </c>
      <c r="N180">
        <f>SUM(I180:M180)</f>
        <v>7460603.883051743</v>
      </c>
      <c r="O180">
        <f>H180*N180</f>
        <v>30215445.726359557</v>
      </c>
      <c r="R180">
        <f>Analisa!$F$190</f>
        <v>1066432.5000000002</v>
      </c>
      <c r="S180">
        <f>Analisa!$G$190</f>
        <v>2250000</v>
      </c>
      <c r="T180">
        <f>Analisa!$H$190</f>
        <v>250000</v>
      </c>
      <c r="V180">
        <f>'Hasil-Kolom'!V266</f>
        <v>6.222222222222222</v>
      </c>
      <c r="W180">
        <f>Analisa!$F$132</f>
        <v>232434.21052631576</v>
      </c>
      <c r="Z180">
        <f>'Hasil-Kolom'!W266</f>
        <v>216.96557262222225</v>
      </c>
      <c r="AA180">
        <f>Analisa!$F$233</f>
        <v>11282.5</v>
      </c>
      <c r="AF180">
        <f>R180+V180*W180+Z180*AA180</f>
        <v>4960603.883051743</v>
      </c>
      <c r="AG180">
        <f>S180</f>
        <v>2250000</v>
      </c>
      <c r="AH180">
        <f>T180+V180*X180</f>
        <v>250000</v>
      </c>
    </row>
    <row r="181">
      <c r="B181" t="str">
        <v xml:space="preserve"> - Kolom KL175-3</v>
      </c>
      <c r="C181" t="str">
        <v>m3</v>
      </c>
      <c r="D181">
        <f>H181</f>
        <v>0.63495</v>
      </c>
      <c r="E181">
        <f>N181*'REKAP RAB'!$O$4</f>
        <v>12978389.709385172</v>
      </c>
      <c r="F181">
        <f>D181*E181</f>
        <v>8240628.545974115</v>
      </c>
      <c r="G181" t="str">
        <v>KL175-3</v>
      </c>
      <c r="H181">
        <f>'Hasil-Kolom'!F271</f>
        <v>0.63495</v>
      </c>
      <c r="I181">
        <f>AF181</f>
        <v>8884552.37665366</v>
      </c>
      <c r="J181">
        <f>AG181</f>
        <v>2250000</v>
      </c>
      <c r="K181">
        <f>AH181</f>
        <v>250000</v>
      </c>
      <c r="N181">
        <f>SUM(I181:M181)</f>
        <v>11384552.37665366</v>
      </c>
      <c r="O181">
        <f>H181*N181</f>
        <v>7228621.531556241</v>
      </c>
      <c r="R181">
        <f>Analisa!$F$190</f>
        <v>1066432.5000000002</v>
      </c>
      <c r="S181">
        <f>Analisa!$G$190</f>
        <v>2250000</v>
      </c>
      <c r="T181">
        <f>Analisa!$H$190</f>
        <v>250000</v>
      </c>
      <c r="V181">
        <f>'Hasil-Kolom'!V271</f>
        <v>14.174344436569807</v>
      </c>
      <c r="W181">
        <f>Analisa!$F$132</f>
        <v>232434.21052631576</v>
      </c>
      <c r="Z181">
        <f>'Hasil-Kolom'!W271</f>
        <v>400.93217973068744</v>
      </c>
      <c r="AA181">
        <f>Analisa!$F$233</f>
        <v>11282.5</v>
      </c>
      <c r="AF181">
        <f>R181+V181*W181+Z181*AA181</f>
        <v>8884552.37665366</v>
      </c>
      <c r="AG181">
        <f>S181</f>
        <v>2250000</v>
      </c>
      <c r="AH181">
        <f>T181+V181*X181</f>
        <v>250000</v>
      </c>
    </row>
    <row r="183">
      <c r="A183" t="str">
        <v>B</v>
      </c>
      <c r="B183" t="str">
        <v>Pekerjaan Beton Lain - Lain</v>
      </c>
    </row>
    <row r="184">
      <c r="A184">
        <v>1</v>
      </c>
      <c r="B184" t="str">
        <v>Tangga service</v>
      </c>
      <c r="C184" t="str">
        <v>m3</v>
      </c>
      <c r="D184">
        <f>H184*'[39]REKAP RAB'!$K$3</f>
        <v>1.8831749999999996</v>
      </c>
      <c r="E184">
        <f>N184*'REKAP RAB'!$O$4</f>
        <v>8550000</v>
      </c>
      <c r="F184">
        <f>D184*E184</f>
        <v>16101146.249999996</v>
      </c>
      <c r="H184">
        <f>(25*1/2*0.3*0.18+(5.35+3.12)*0.15)*0.85+1.7*0.9*0.15</f>
        <v>1.8831749999999996</v>
      </c>
      <c r="I184">
        <v>5250000</v>
      </c>
      <c r="J184">
        <v>2250000</v>
      </c>
      <c r="N184">
        <f>SUM(I184:M184)</f>
        <v>7500000</v>
      </c>
      <c r="O184">
        <f>H184*N184</f>
        <v>14123812.499999996</v>
      </c>
      <c r="R184">
        <f>0.7*7500000</f>
        <v>5250000</v>
      </c>
      <c r="S184">
        <f>0.3*7500000</f>
        <v>2250000</v>
      </c>
      <c r="AF184">
        <f>R184+V184*W184+Z184*AA184</f>
        <v>5250000</v>
      </c>
      <c r="AG184">
        <f>S184</f>
        <v>2250000</v>
      </c>
      <c r="AH184">
        <f>T184+V184*X184</f>
        <v>0</v>
      </c>
    </row>
    <row r="185">
      <c r="A185">
        <v>2</v>
      </c>
      <c r="B185" t="str">
        <v>Dinding lift Lantai 1</v>
      </c>
      <c r="C185" t="str">
        <v>m3</v>
      </c>
      <c r="D185">
        <f>H185</f>
        <v>4.98015</v>
      </c>
      <c r="E185">
        <f>N185*'REKAP RAB'!$O$4</f>
        <v>6645422.0127654215</v>
      </c>
      <c r="F185">
        <f>D185*E185</f>
        <v>33095198.436873715</v>
      </c>
      <c r="H185">
        <f>'Hasil-Kolom'!F337</f>
        <v>4.98015</v>
      </c>
      <c r="I185">
        <f>AF185</f>
        <v>4129317.555057388</v>
      </c>
      <c r="J185">
        <f>AG185</f>
        <v>1500000</v>
      </c>
      <c r="K185">
        <f>AH185</f>
        <v>200000</v>
      </c>
      <c r="N185">
        <f>SUM(I185:M185)</f>
        <v>5829317.555057388</v>
      </c>
      <c r="O185">
        <f>H185*N185</f>
        <v>29030875.821819052</v>
      </c>
      <c r="R185">
        <f>Analisa!F$225</f>
        <v>1066432.5000000002</v>
      </c>
      <c r="S185">
        <f>Analisa!G$225</f>
        <v>1500000</v>
      </c>
      <c r="T185">
        <f>Analisa!H$225</f>
        <v>200000</v>
      </c>
      <c r="V185">
        <f>'Hasil-Kolom'!V337</f>
        <v>13.300804192644799</v>
      </c>
      <c r="W185">
        <f>Analisa!$F$162</f>
        <v>94565.97222222222</v>
      </c>
      <c r="Z185">
        <f>'Hasil-Kolom'!W337</f>
        <v>159.98950367760006</v>
      </c>
      <c r="AA185">
        <f>Analisa!$F$233</f>
        <v>11282.5</v>
      </c>
      <c r="AF185">
        <f>R185+V185*W185+Z185*AA185</f>
        <v>4129317.555057388</v>
      </c>
      <c r="AG185">
        <f>S185</f>
        <v>1500000</v>
      </c>
      <c r="AH185">
        <f>T185+V185*X185</f>
        <v>200000</v>
      </c>
      <c r="AJ185">
        <f>SUMPRODUCT(H185,V185)</f>
        <v>66.24</v>
      </c>
      <c r="AL185">
        <f>SUMPRODUCT(H185,Z185)</f>
        <v>796.77172674</v>
      </c>
      <c r="AM185" t="str">
        <v>v</v>
      </c>
    </row>
    <row r="187">
      <c r="A187" t="str">
        <v>Subtotal Pekerjaan Fisik Lantai 1</v>
      </c>
      <c r="F187">
        <f>SUM(F126:F186)</f>
        <v>1093233070.9226682</v>
      </c>
      <c r="O187">
        <f>SUM(O126:O186)</f>
        <v>958976378.0023407</v>
      </c>
    </row>
    <row r="189">
      <c r="A189" t="str">
        <v>V</v>
      </c>
      <c r="B189" t="str">
        <v>PEKERJAAN FISIK LANTAI 2</v>
      </c>
    </row>
    <row r="191">
      <c r="A191" t="str">
        <v>A</v>
      </c>
      <c r="B191" t="str">
        <v>Pekerjaan Beton</v>
      </c>
    </row>
    <row r="192">
      <c r="A192">
        <v>1</v>
      </c>
      <c r="B192" t="str">
        <v>Plat lantai (Readymix K-350) :</v>
      </c>
      <c r="AJ192">
        <f>SUMPRODUCT(H193:H194,V193:V194)</f>
        <v>315.42369999999994</v>
      </c>
      <c r="AL192">
        <f>SUMPRODUCT(H193:H194,Z193:Z194)</f>
        <v>4843.5419496</v>
      </c>
      <c r="AM192" t="str">
        <v>v</v>
      </c>
    </row>
    <row r="193">
      <c r="A193" t="str">
        <v xml:space="preserve"> </v>
      </c>
      <c r="B193" t="str">
        <v xml:space="preserve"> - Plat lantai - tebal 13 cm, besi D10-200 (2 lapis)</v>
      </c>
      <c r="C193" t="str">
        <v>m3</v>
      </c>
      <c r="D193">
        <f>H193</f>
        <v>36.0789</v>
      </c>
      <c r="E193">
        <f>N193*'REKAP RAB'!$O$4</f>
        <v>5519811.2108266745</v>
      </c>
      <c r="F193">
        <f>D193*E193</f>
        <v>199148716.69429448</v>
      </c>
      <c r="H193">
        <f>'REKAP Plat'!G27</f>
        <v>36.0789</v>
      </c>
      <c r="I193">
        <f>AF193</f>
        <v>3182262.7222983893</v>
      </c>
      <c r="J193">
        <f>AG193</f>
        <v>1300000</v>
      </c>
      <c r="K193">
        <f>AH193</f>
        <v>359676.93632150075</v>
      </c>
      <c r="N193">
        <f>SUM(I193:M193)</f>
        <v>4841939.65861989</v>
      </c>
      <c r="O193">
        <f>H193*N193</f>
        <v>174691856.74938112</v>
      </c>
      <c r="R193">
        <f>Analisa!F$218</f>
        <v>1066432.5000000002</v>
      </c>
      <c r="S193">
        <f>Analisa!G$218</f>
        <v>1300000</v>
      </c>
      <c r="T193">
        <f>Analisa!H$218</f>
        <v>75000</v>
      </c>
      <c r="V193">
        <f>'REKAP Plat'!R27</f>
        <v>8.061060619919122</v>
      </c>
      <c r="W193">
        <f>Analisa!F$153</f>
        <v>86302.08333333334</v>
      </c>
      <c r="X193">
        <f>Analisa!H$153</f>
        <v>35315.0720164609</v>
      </c>
      <c r="Z193">
        <f>'REKAP Plat'!S27</f>
        <v>125.87138461538463</v>
      </c>
      <c r="AA193">
        <f>Analisa!$F$233</f>
        <v>11282.5</v>
      </c>
      <c r="AF193">
        <f>R193+V193*W193+Z193*AA193</f>
        <v>3182262.7222983893</v>
      </c>
      <c r="AG193">
        <f>S193</f>
        <v>1300000</v>
      </c>
      <c r="AH193">
        <f>T193+V193*X193</f>
        <v>359676.93632150075</v>
      </c>
    </row>
    <row r="194">
      <c r="B194" t="str">
        <v xml:space="preserve"> - Plat lantai balkon dan dry garden - tebal 15 cm, besi D10-200 (2 lapis)</v>
      </c>
      <c r="C194" t="str">
        <v>m3</v>
      </c>
      <c r="D194">
        <f>H194</f>
        <v>2.7540000000000004</v>
      </c>
      <c r="E194">
        <f>N194*'REKAP RAB'!$O$4</f>
        <v>5432692.994610403</v>
      </c>
      <c r="F194">
        <f>D194*E194</f>
        <v>14961636.507157052</v>
      </c>
      <c r="H194">
        <f>SUM('REKAP Plat'!G29:G33)</f>
        <v>2.7540000000000004</v>
      </c>
      <c r="I194">
        <f>AF194</f>
        <v>3075204.279879811</v>
      </c>
      <c r="J194">
        <f>AG194</f>
        <v>1300000</v>
      </c>
      <c r="K194">
        <f>AH194</f>
        <v>390315.8908310694</v>
      </c>
      <c r="N194">
        <f>SUM(I194:M194)</f>
        <v>4765520.17071088</v>
      </c>
      <c r="O194">
        <f>H194*N194</f>
        <v>13124242.550137766</v>
      </c>
      <c r="R194">
        <f>Analisa!F$218</f>
        <v>1066432.5000000002</v>
      </c>
      <c r="S194">
        <f>Analisa!G$218</f>
        <v>1300000</v>
      </c>
      <c r="T194">
        <f>Analisa!H$218</f>
        <v>75000</v>
      </c>
      <c r="V194">
        <f>'REKAP Plat'!R29</f>
        <v>8.928649237472765</v>
      </c>
      <c r="W194">
        <f>Analisa!F$153</f>
        <v>86302.08333333334</v>
      </c>
      <c r="X194">
        <f>Analisa!H$153</f>
        <v>35315.0720164609</v>
      </c>
      <c r="Z194">
        <f>'REKAP Plat'!S29</f>
        <v>109.74613333333332</v>
      </c>
      <c r="AA194">
        <f>Analisa!$F$233</f>
        <v>11282.5</v>
      </c>
      <c r="AF194">
        <f>R194+V194*W194+Z194*AA194</f>
        <v>3075204.279879811</v>
      </c>
      <c r="AG194">
        <f>S194</f>
        <v>1300000</v>
      </c>
      <c r="AH194">
        <f>T194+V194*X194</f>
        <v>390315.8908310694</v>
      </c>
    </row>
    <row r="196">
      <c r="A196">
        <v>2</v>
      </c>
      <c r="B196" t="str">
        <v>Balok (Readymix K-350) :</v>
      </c>
      <c r="AJ196">
        <f>SUMPRODUCT(H197:H229,V197:V229)</f>
        <v>330.23295</v>
      </c>
      <c r="AL196">
        <f>SUMPRODUCT(H197:H229,Z197:Z229)</f>
        <v>6664.063112280001</v>
      </c>
      <c r="AM196" t="str">
        <v>v</v>
      </c>
    </row>
    <row r="197">
      <c r="B197" t="str">
        <v xml:space="preserve"> - Balok B173-1</v>
      </c>
      <c r="C197" t="str">
        <v>m3</v>
      </c>
      <c r="D197">
        <f>H197</f>
        <v>0.14968499999999998</v>
      </c>
      <c r="E197">
        <f>N197*'REKAP RAB'!$O$4</f>
        <v>10500558.082942316</v>
      </c>
      <c r="F197">
        <f>D197*E197</f>
        <v>1571776.0366452204</v>
      </c>
      <c r="G197" t="str">
        <v>B173-1</v>
      </c>
      <c r="H197">
        <f>'REKAP Balok'!G537</f>
        <v>0.14968499999999998</v>
      </c>
      <c r="I197">
        <f>AF197</f>
        <v>6616914.055766777</v>
      </c>
      <c r="J197">
        <f>AG197</f>
        <v>1750000</v>
      </c>
      <c r="K197">
        <f>AH197</f>
        <v>844101.8064633261</v>
      </c>
      <c r="N197">
        <f>SUM(I197:M197)</f>
        <v>9211015.862230103</v>
      </c>
      <c r="O197">
        <f>H197*N197</f>
        <v>1378750.909337913</v>
      </c>
      <c r="R197">
        <f>Analisa!$F$197</f>
        <v>1066432.5000000002</v>
      </c>
      <c r="S197">
        <f>Analisa!$G$197</f>
        <v>1750000</v>
      </c>
      <c r="T197">
        <f>Analisa!$H$197</f>
        <v>75000</v>
      </c>
      <c r="V197">
        <f>'REKAP Balok'!W537</f>
        <v>15.098039215686276</v>
      </c>
      <c r="W197">
        <f>Analisa!$F$143</f>
        <v>251112.5</v>
      </c>
      <c r="X197">
        <f>Analisa!$H$143</f>
        <v>50940.509259259255</v>
      </c>
      <c r="Z197">
        <f>'REKAP Balok'!X537</f>
        <v>155.92068984868226</v>
      </c>
      <c r="AA197">
        <f>Analisa!$F$233</f>
        <v>11282.5</v>
      </c>
      <c r="AF197">
        <f>R197+V197*W197+Z197*AA197</f>
        <v>6616914.055766777</v>
      </c>
      <c r="AG197">
        <f>S197</f>
        <v>1750000</v>
      </c>
      <c r="AH197">
        <f>T197+V197*X197</f>
        <v>844101.8064633261</v>
      </c>
    </row>
    <row r="198">
      <c r="B198" t="str">
        <v xml:space="preserve"> - Balok B175-1</v>
      </c>
      <c r="C198" t="str">
        <v>m3</v>
      </c>
      <c r="D198">
        <f>H198</f>
        <v>0.4505</v>
      </c>
      <c r="E198">
        <f>N198*'REKAP RAB'!$O$4</f>
        <v>9907841.456962783</v>
      </c>
      <c r="F198">
        <f>D198*E198</f>
        <v>4463482.5763617335</v>
      </c>
      <c r="G198" t="str">
        <v>B175-1</v>
      </c>
      <c r="H198">
        <f>'REKAP Balok'!G540</f>
        <v>0.4505</v>
      </c>
      <c r="I198">
        <f>AF198</f>
        <v>6164907.869884795</v>
      </c>
      <c r="J198">
        <f>AG198</f>
        <v>1750000</v>
      </c>
      <c r="K198">
        <f>AH198</f>
        <v>776181.1274509802</v>
      </c>
      <c r="N198">
        <f>SUM(I198:M198)</f>
        <v>8691088.997335775</v>
      </c>
      <c r="O198">
        <f>H198*N198</f>
        <v>3915335.5932997665</v>
      </c>
      <c r="R198">
        <f>Analisa!$F$197</f>
        <v>1066432.5000000002</v>
      </c>
      <c r="S198">
        <f>Analisa!$G$197</f>
        <v>1750000</v>
      </c>
      <c r="T198">
        <f>Analisa!$H$197</f>
        <v>75000</v>
      </c>
      <c r="V198">
        <f>'REKAP Balok'!W540</f>
        <v>13.76470588235294</v>
      </c>
      <c r="W198">
        <f>Analisa!$F$143</f>
        <v>251112.5</v>
      </c>
      <c r="X198">
        <f>Analisa!$H$143</f>
        <v>50940.509259259255</v>
      </c>
      <c r="Z198">
        <f>'REKAP Balok'!X540</f>
        <v>145.53385012208653</v>
      </c>
      <c r="AA198">
        <f>Analisa!$F$233</f>
        <v>11282.5</v>
      </c>
      <c r="AF198">
        <f>R198+V198*W198+Z198*AA198</f>
        <v>6164907.869884795</v>
      </c>
      <c r="AG198">
        <f>S198</f>
        <v>1750000</v>
      </c>
      <c r="AH198">
        <f>T198+V198*X198</f>
        <v>776181.1274509802</v>
      </c>
    </row>
    <row r="199">
      <c r="B199" t="str">
        <v xml:space="preserve"> - Balok B175-2</v>
      </c>
      <c r="C199" t="str">
        <v>m3</v>
      </c>
      <c r="D199">
        <f>H199</f>
        <v>0.85</v>
      </c>
      <c r="E199">
        <f>N199*'REKAP RAB'!$O$4</f>
        <v>10449552.045118095</v>
      </c>
      <c r="F199">
        <f>D199*E199</f>
        <v>8882119.23835038</v>
      </c>
      <c r="G199" t="str">
        <v>B175-2</v>
      </c>
      <c r="H199">
        <f>'REKAP Balok'!G541</f>
        <v>0.85</v>
      </c>
      <c r="I199">
        <f>AF199</f>
        <v>6640092.596336823</v>
      </c>
      <c r="J199">
        <f>AG199</f>
        <v>1750000</v>
      </c>
      <c r="K199">
        <f>AH199</f>
        <v>776181.1274509802</v>
      </c>
      <c r="N199">
        <f>SUM(I199:M199)</f>
        <v>9166273.723787803</v>
      </c>
      <c r="O199">
        <f>H199*N199</f>
        <v>7791332.665219633</v>
      </c>
      <c r="R199">
        <f>Analisa!$F$197</f>
        <v>1066432.5000000002</v>
      </c>
      <c r="S199">
        <f>Analisa!$G$197</f>
        <v>1750000</v>
      </c>
      <c r="T199">
        <f>Analisa!$H$197</f>
        <v>75000</v>
      </c>
      <c r="V199">
        <f>'REKAP Balok'!W541</f>
        <v>13.76470588235294</v>
      </c>
      <c r="W199">
        <f>Analisa!$F$143</f>
        <v>251112.5</v>
      </c>
      <c r="X199">
        <f>Analisa!$H$143</f>
        <v>50940.509259259255</v>
      </c>
      <c r="Z199">
        <f>'REKAP Balok'!X541</f>
        <v>187.65082122352942</v>
      </c>
      <c r="AA199">
        <f>Analisa!$F$233</f>
        <v>11282.5</v>
      </c>
      <c r="AF199">
        <f>R199+V199*W199+Z199*AA199</f>
        <v>6640092.596336823</v>
      </c>
      <c r="AG199">
        <f>S199</f>
        <v>1750000</v>
      </c>
      <c r="AH199">
        <f>T199+V199*X199</f>
        <v>776181.1274509802</v>
      </c>
    </row>
    <row r="200">
      <c r="B200" t="str">
        <v xml:space="preserve"> - Balok B23-1</v>
      </c>
      <c r="C200" t="str">
        <v>m3</v>
      </c>
      <c r="D200">
        <f>H200</f>
        <v>0.2938</v>
      </c>
      <c r="E200">
        <f>N200*'REKAP RAB'!$O$4</f>
        <v>11781667.072673937</v>
      </c>
      <c r="F200">
        <f>D200*E200</f>
        <v>3461453.7859516027</v>
      </c>
      <c r="G200" t="str">
        <v>B23-1</v>
      </c>
      <c r="H200">
        <f>'REKAP Balok'!G544</f>
        <v>0.2938</v>
      </c>
      <c r="I200">
        <f>AF200</f>
        <v>7691765.307855003</v>
      </c>
      <c r="J200">
        <f>AG200</f>
        <v>1750000</v>
      </c>
      <c r="K200">
        <f>AH200</f>
        <v>893030.369929153</v>
      </c>
      <c r="N200">
        <f>SUM(I200:M200)</f>
        <v>10334795.677784156</v>
      </c>
      <c r="O200">
        <f>H200*N200</f>
        <v>3036362.970132985</v>
      </c>
      <c r="R200">
        <f>Analisa!$F$197</f>
        <v>1066432.5000000002</v>
      </c>
      <c r="S200">
        <f>Analisa!$G$197</f>
        <v>1750000</v>
      </c>
      <c r="T200">
        <f>Analisa!$H$197</f>
        <v>75000</v>
      </c>
      <c r="V200">
        <f>'REKAP Balok'!W544</f>
        <v>16.05854322668482</v>
      </c>
      <c r="W200">
        <f>Analisa!$F$143</f>
        <v>251112.5</v>
      </c>
      <c r="X200">
        <f>Analisa!$H$143</f>
        <v>50940.509259259255</v>
      </c>
      <c r="Z200">
        <f>'REKAP Balok'!X544</f>
        <v>229.81004846834577</v>
      </c>
      <c r="AA200">
        <f>Analisa!$F$233</f>
        <v>11282.5</v>
      </c>
      <c r="AF200">
        <f>R200+V200*W200+Z200*AA200</f>
        <v>7691765.307855003</v>
      </c>
      <c r="AG200">
        <f>S200</f>
        <v>1750000</v>
      </c>
      <c r="AH200">
        <f>T200+V200*X200</f>
        <v>893030.369929153</v>
      </c>
    </row>
    <row r="201">
      <c r="B201" t="str">
        <v xml:space="preserve"> - Balok B24-1</v>
      </c>
      <c r="C201" t="str">
        <v>m3</v>
      </c>
      <c r="D201">
        <f>H201</f>
        <v>0.7371</v>
      </c>
      <c r="E201">
        <f>N201*'REKAP RAB'!$O$4</f>
        <v>9979131.667393673</v>
      </c>
      <c r="F201">
        <f>D201*E201</f>
        <v>7355617.952035876</v>
      </c>
      <c r="G201" t="str">
        <v>B24-1</v>
      </c>
      <c r="H201">
        <f>'REKAP Balok'!G546</f>
        <v>0.7371</v>
      </c>
      <c r="I201">
        <f>AF201</f>
        <v>6230550.624238909</v>
      </c>
      <c r="J201">
        <f>AG201</f>
        <v>1750000</v>
      </c>
      <c r="K201">
        <f>AH201</f>
        <v>773073.6454046638</v>
      </c>
      <c r="N201">
        <f>SUM(I201:M201)</f>
        <v>8753624.269643573</v>
      </c>
      <c r="O201">
        <f>H201*N201</f>
        <v>6452296.449154277</v>
      </c>
      <c r="R201">
        <f>Analisa!$F$197</f>
        <v>1066432.5000000002</v>
      </c>
      <c r="S201">
        <f>Analisa!$G$197</f>
        <v>1750000</v>
      </c>
      <c r="T201">
        <f>Analisa!$H$197</f>
        <v>75000</v>
      </c>
      <c r="V201">
        <f>'REKAP Balok'!W546</f>
        <v>13.703703703703702</v>
      </c>
      <c r="W201">
        <f>Analisa!$F$143</f>
        <v>251112.5</v>
      </c>
      <c r="X201">
        <f>Analisa!$H$143</f>
        <v>50940.509259259255</v>
      </c>
      <c r="Z201">
        <f>'REKAP Balok'!X546</f>
        <v>152.70966788766788</v>
      </c>
      <c r="AA201">
        <f>Analisa!$F$233</f>
        <v>11282.5</v>
      </c>
      <c r="AF201">
        <f>R201+V201*W201+Z201*AA201</f>
        <v>6230550.624238909</v>
      </c>
      <c r="AG201">
        <f>S201</f>
        <v>1750000</v>
      </c>
      <c r="AH201">
        <f>T201+V201*X201</f>
        <v>773073.6454046638</v>
      </c>
    </row>
    <row r="202">
      <c r="B202" t="str">
        <v xml:space="preserve"> - Balok CL24-1</v>
      </c>
      <c r="C202" t="str">
        <v>m3</v>
      </c>
      <c r="D202">
        <f>H202</f>
        <v>0.1458</v>
      </c>
      <c r="E202">
        <f>N202*'REKAP RAB'!$O$4</f>
        <v>10735481.961287241</v>
      </c>
      <c r="F202">
        <f>D202*E202</f>
        <v>1565233.26995568</v>
      </c>
      <c r="G202" t="str">
        <v>CL24-1</v>
      </c>
      <c r="H202">
        <f>'REKAP Balok'!G553</f>
        <v>0.1458</v>
      </c>
      <c r="I202">
        <f>AF202</f>
        <v>6894015.794320988</v>
      </c>
      <c r="J202">
        <f>AG202</f>
        <v>1750000</v>
      </c>
      <c r="K202">
        <f>AH202</f>
        <v>773073.6454046638</v>
      </c>
      <c r="N202">
        <f>SUM(I202:M202)</f>
        <v>9417089.43972565</v>
      </c>
      <c r="O202">
        <f>H202*N202</f>
        <v>1373011.640312</v>
      </c>
      <c r="R202">
        <f>Analisa!$F$197</f>
        <v>1066432.5000000002</v>
      </c>
      <c r="S202">
        <f>Analisa!$G$197</f>
        <v>1750000</v>
      </c>
      <c r="T202">
        <f>Analisa!$H$197</f>
        <v>75000</v>
      </c>
      <c r="V202">
        <f>'REKAP Balok'!W553</f>
        <v>13.703703703703702</v>
      </c>
      <c r="W202">
        <f>Analisa!$F$143</f>
        <v>251112.5</v>
      </c>
      <c r="X202">
        <f>Analisa!$H$143</f>
        <v>50940.509259259255</v>
      </c>
      <c r="Z202">
        <f>'REKAP Balok'!X553</f>
        <v>211.51446913580247</v>
      </c>
      <c r="AA202">
        <f>Analisa!$F$233</f>
        <v>11282.5</v>
      </c>
      <c r="AF202">
        <f>R202+V202*W202+Z202*AA202</f>
        <v>6894015.794320988</v>
      </c>
      <c r="AG202">
        <f>S202</f>
        <v>1750000</v>
      </c>
      <c r="AH202">
        <f>T202+V202*X202</f>
        <v>773073.6454046638</v>
      </c>
    </row>
    <row r="203">
      <c r="B203" t="str">
        <v xml:space="preserve"> - Balok B245-1</v>
      </c>
      <c r="C203" t="str">
        <v>m3</v>
      </c>
      <c r="D203">
        <f>H203</f>
        <v>3.09731</v>
      </c>
      <c r="E203">
        <f>N203*'REKAP RAB'!$O$4</f>
        <v>9049087.555094833</v>
      </c>
      <c r="F203">
        <f>D203*E203</f>
        <v>28027829.375270773</v>
      </c>
      <c r="G203" t="str">
        <v>B245-1</v>
      </c>
      <c r="H203">
        <f>'REKAP Balok'!G554</f>
        <v>3.09731</v>
      </c>
      <c r="I203">
        <f>AF203</f>
        <v>5474021.314719643</v>
      </c>
      <c r="J203">
        <f>AG203</f>
        <v>1750000</v>
      </c>
      <c r="K203">
        <f>AH203</f>
        <v>713774.7862407366</v>
      </c>
      <c r="N203">
        <f>SUM(I203:M203)</f>
        <v>7937796.10096038</v>
      </c>
      <c r="O203">
        <f>H203*N203</f>
        <v>24585815.241465595</v>
      </c>
      <c r="R203">
        <f>Analisa!$F$197</f>
        <v>1066432.5000000002</v>
      </c>
      <c r="S203">
        <f>Analisa!$G$197</f>
        <v>1750000</v>
      </c>
      <c r="T203">
        <f>Analisa!$H$197</f>
        <v>75000</v>
      </c>
      <c r="V203">
        <f>'REKAP Balok'!W554</f>
        <v>12.539623092296218</v>
      </c>
      <c r="W203">
        <f>Analisa!$F$143</f>
        <v>251112.5</v>
      </c>
      <c r="X203">
        <f>Analisa!$H$143</f>
        <v>50940.509259259255</v>
      </c>
      <c r="Z203">
        <f>'REKAP Balok'!X554</f>
        <v>111.56505304280167</v>
      </c>
      <c r="AA203">
        <f>Analisa!$F$233</f>
        <v>11282.5</v>
      </c>
      <c r="AF203">
        <f>R203+V203*W203+Z203*AA203</f>
        <v>5474021.314719643</v>
      </c>
      <c r="AG203">
        <f>S203</f>
        <v>1750000</v>
      </c>
      <c r="AH203">
        <f>T203+V203*X203</f>
        <v>713774.7862407366</v>
      </c>
    </row>
    <row r="204">
      <c r="B204" t="str">
        <v xml:space="preserve"> - Balok B245-3</v>
      </c>
      <c r="C204" t="str">
        <v>m3</v>
      </c>
      <c r="D204">
        <f>H204</f>
        <v>0.6488</v>
      </c>
      <c r="E204">
        <f>N204*'REKAP RAB'!$O$4</f>
        <v>10541381.78648234</v>
      </c>
      <c r="F204">
        <f>D204*E204</f>
        <v>6839248.503069743</v>
      </c>
      <c r="G204" t="str">
        <v>B245-3</v>
      </c>
      <c r="H204">
        <f>'REKAP Balok'!G558</f>
        <v>0.6488</v>
      </c>
      <c r="I204">
        <f>AF204</f>
        <v>6771094.098991523</v>
      </c>
      <c r="J204">
        <f>AG204</f>
        <v>1750000</v>
      </c>
      <c r="K204">
        <f>AH204</f>
        <v>725732.0295017582</v>
      </c>
      <c r="N204">
        <f>SUM(I204:M204)</f>
        <v>9246826.128493281</v>
      </c>
      <c r="O204">
        <f>H204*N204</f>
        <v>5999340.792166441</v>
      </c>
      <c r="R204">
        <f>Analisa!$F$197</f>
        <v>1066432.5000000002</v>
      </c>
      <c r="S204">
        <f>Analisa!$G$197</f>
        <v>1750000</v>
      </c>
      <c r="T204">
        <f>Analisa!$H$197</f>
        <v>75000</v>
      </c>
      <c r="V204">
        <f>'REKAP Balok'!W558</f>
        <v>12.774352651048089</v>
      </c>
      <c r="W204">
        <f>Analisa!$F$143</f>
        <v>251112.5</v>
      </c>
      <c r="X204">
        <f>Analisa!$H$143</f>
        <v>50940.509259259255</v>
      </c>
      <c r="Z204">
        <f>'REKAP Balok'!X558</f>
        <v>221.30396356350187</v>
      </c>
      <c r="AA204">
        <f>Analisa!$F$233</f>
        <v>11282.5</v>
      </c>
      <c r="AF204">
        <f>R204+V204*W204+Z204*AA204</f>
        <v>6771094.098991523</v>
      </c>
      <c r="AG204">
        <f>S204</f>
        <v>1750000</v>
      </c>
      <c r="AH204">
        <f>T204+V204*X204</f>
        <v>725732.0295017582</v>
      </c>
    </row>
    <row r="205">
      <c r="B205" t="str">
        <v xml:space="preserve"> - Balok B245-4</v>
      </c>
      <c r="C205" t="str">
        <v>m3</v>
      </c>
      <c r="D205">
        <f>H205</f>
        <v>1.03574</v>
      </c>
      <c r="E205">
        <f>N205*'REKAP RAB'!$O$4</f>
        <v>10597794.472057581</v>
      </c>
      <c r="F205">
        <f>D205*E205</f>
        <v>10976559.64648892</v>
      </c>
      <c r="G205" t="str">
        <v>B245-4</v>
      </c>
      <c r="H205">
        <f>'REKAP Balok'!G559</f>
        <v>1.03574</v>
      </c>
      <c r="I205">
        <f>AF205</f>
        <v>6811947.737924576</v>
      </c>
      <c r="J205">
        <f>AG205</f>
        <v>1750000</v>
      </c>
      <c r="K205">
        <f>AH205</f>
        <v>734363.202476812</v>
      </c>
      <c r="N205">
        <f>SUM(I205:M205)</f>
        <v>9296310.940401388</v>
      </c>
      <c r="O205">
        <f>H205*N205</f>
        <v>9628561.093411336</v>
      </c>
      <c r="R205">
        <f>Analisa!$F$197</f>
        <v>1066432.5000000002</v>
      </c>
      <c r="S205">
        <f>Analisa!$G$197</f>
        <v>1750000</v>
      </c>
      <c r="T205">
        <f>Analisa!$H$197</f>
        <v>75000</v>
      </c>
      <c r="V205">
        <f>'REKAP Balok'!W559</f>
        <v>12.943788981790796</v>
      </c>
      <c r="W205">
        <f>Analisa!$F$143</f>
        <v>251112.5</v>
      </c>
      <c r="X205">
        <f>Analisa!$H$143</f>
        <v>50940.509259259255</v>
      </c>
      <c r="Z205">
        <f>'REKAP Balok'!X559</f>
        <v>221.1538247050418</v>
      </c>
      <c r="AA205">
        <f>Analisa!$F$233</f>
        <v>11282.5</v>
      </c>
      <c r="AF205">
        <f>R205+V205*W205+Z205*AA205</f>
        <v>6811947.737924576</v>
      </c>
      <c r="AG205">
        <f>S205</f>
        <v>1750000</v>
      </c>
      <c r="AH205">
        <f>T205+V205*X205</f>
        <v>734363.202476812</v>
      </c>
    </row>
    <row r="206">
      <c r="B206" t="str">
        <v xml:space="preserve"> - Balok B245-6</v>
      </c>
      <c r="C206" t="str">
        <v>m3</v>
      </c>
      <c r="D206">
        <f>H206</f>
        <v>0.6592</v>
      </c>
      <c r="E206">
        <f>N206*'REKAP RAB'!$O$4</f>
        <v>10960476.397043513</v>
      </c>
      <c r="F206">
        <f>D206*E206</f>
        <v>7225146.040931084</v>
      </c>
      <c r="G206" t="str">
        <v>B245-6</v>
      </c>
      <c r="H206">
        <f>'REKAP Balok'!G561</f>
        <v>0.6592</v>
      </c>
      <c r="I206">
        <f>AF206</f>
        <v>7120858.795834953</v>
      </c>
      <c r="J206">
        <f>AG206</f>
        <v>1750000</v>
      </c>
      <c r="K206">
        <f>AH206</f>
        <v>743594.1840277779</v>
      </c>
      <c r="N206">
        <f>SUM(I206:M206)</f>
        <v>9614452.979862731</v>
      </c>
      <c r="O206">
        <f>H206*N206</f>
        <v>6337847.404325512</v>
      </c>
      <c r="R206">
        <f>Analisa!$F$197</f>
        <v>1066432.5000000002</v>
      </c>
      <c r="S206">
        <f>Analisa!$G$197</f>
        <v>1750000</v>
      </c>
      <c r="T206">
        <f>Analisa!$H$197</f>
        <v>75000</v>
      </c>
      <c r="V206">
        <f>'REKAP Balok'!W561</f>
        <v>13.125000000000002</v>
      </c>
      <c r="W206">
        <f>Analisa!$F$143</f>
        <v>251112.5</v>
      </c>
      <c r="X206">
        <f>Analisa!$H$143</f>
        <v>50940.509259259255</v>
      </c>
      <c r="Z206">
        <f>'REKAP Balok'!X561</f>
        <v>244.5003087378641</v>
      </c>
      <c r="AA206">
        <f>Analisa!$F$233</f>
        <v>11282.5</v>
      </c>
      <c r="AF206">
        <f>R206+V206*W206+Z206*AA206</f>
        <v>7120858.795834953</v>
      </c>
      <c r="AG206">
        <f>S206</f>
        <v>1750000</v>
      </c>
      <c r="AH206">
        <f>T206+V206*X206</f>
        <v>743594.1840277779</v>
      </c>
    </row>
    <row r="207">
      <c r="B207" t="str">
        <v xml:space="preserve"> - Balok B245-7</v>
      </c>
      <c r="C207" t="str">
        <v>m3</v>
      </c>
      <c r="D207">
        <f>H207</f>
        <v>0.6528</v>
      </c>
      <c r="E207">
        <f>N207*'REKAP RAB'!$O$4</f>
        <v>11597231.493020775</v>
      </c>
      <c r="F207">
        <f>D207*E207</f>
        <v>7570672.718643962</v>
      </c>
      <c r="G207" t="str">
        <v>B245-7</v>
      </c>
      <c r="H207">
        <f>'REKAP Balok'!G562</f>
        <v>0.6528</v>
      </c>
      <c r="I207">
        <f>AF207</f>
        <v>7679415.897569394</v>
      </c>
      <c r="J207">
        <f>AG207</f>
        <v>1750000</v>
      </c>
      <c r="K207">
        <f>AH207</f>
        <v>743594.1840277776</v>
      </c>
      <c r="N207">
        <f>SUM(I207:M207)</f>
        <v>10173010.081597172</v>
      </c>
      <c r="O207">
        <f>H207*N207</f>
        <v>6640940.981266635</v>
      </c>
      <c r="R207">
        <f>Analisa!$F$197</f>
        <v>1066432.5000000002</v>
      </c>
      <c r="S207">
        <f>Analisa!$G$197</f>
        <v>1750000</v>
      </c>
      <c r="T207">
        <f>Analisa!$H$197</f>
        <v>75000</v>
      </c>
      <c r="V207">
        <f>'REKAP Balok'!W562</f>
        <v>13.124999999999998</v>
      </c>
      <c r="W207">
        <f>Analisa!$F$143</f>
        <v>251112.5</v>
      </c>
      <c r="X207">
        <f>Analisa!$H$143</f>
        <v>50940.509259259255</v>
      </c>
      <c r="Z207">
        <f>'REKAP Balok'!X562</f>
        <v>294.0068101102941</v>
      </c>
      <c r="AA207">
        <f>Analisa!$F$233</f>
        <v>11282.5</v>
      </c>
      <c r="AF207">
        <f>R207+V207*W207+Z207*AA207</f>
        <v>7679415.897569394</v>
      </c>
      <c r="AG207">
        <f>S207</f>
        <v>1750000</v>
      </c>
      <c r="AH207">
        <f>T207+V207*X207</f>
        <v>743594.1840277776</v>
      </c>
    </row>
    <row r="208">
      <c r="B208" t="str">
        <v xml:space="preserve"> - Balok B25-1</v>
      </c>
      <c r="C208" t="str">
        <v>m3</v>
      </c>
      <c r="D208">
        <f>H208</f>
        <v>0.7992</v>
      </c>
      <c r="E208">
        <f>N208*'REKAP RAB'!$O$4</f>
        <v>10260342.05806611</v>
      </c>
      <c r="F208">
        <f>D208*E208</f>
        <v>8200065.3728064345</v>
      </c>
      <c r="G208" t="str">
        <v>B25-1</v>
      </c>
      <c r="H208">
        <f>'REKAP Balok'!G563</f>
        <v>0.7992</v>
      </c>
      <c r="I208">
        <f>AF208</f>
        <v>6528217.9062905405</v>
      </c>
      <c r="J208">
        <f>AG208</f>
        <v>1750000</v>
      </c>
      <c r="K208">
        <f>AH208</f>
        <v>722082.1446446446</v>
      </c>
      <c r="N208">
        <f>SUM(I208:M208)</f>
        <v>9000300.050935185</v>
      </c>
      <c r="O208">
        <f>H208*N208</f>
        <v>7193039.8007074</v>
      </c>
      <c r="R208">
        <f>Analisa!$F$197</f>
        <v>1066432.5000000002</v>
      </c>
      <c r="S208">
        <f>Analisa!$G$197</f>
        <v>1750000</v>
      </c>
      <c r="T208">
        <f>Analisa!$H$197</f>
        <v>75000</v>
      </c>
      <c r="V208">
        <f>'REKAP Balok'!W563</f>
        <v>12.702702702702702</v>
      </c>
      <c r="W208">
        <f>Analisa!$F$143</f>
        <v>251112.5</v>
      </c>
      <c r="X208">
        <f>Analisa!$H$143</f>
        <v>50940.509259259255</v>
      </c>
      <c r="Z208">
        <f>'REKAP Balok'!X563</f>
        <v>201.37185675675678</v>
      </c>
      <c r="AA208">
        <f>Analisa!$F$233</f>
        <v>11282.5</v>
      </c>
      <c r="AF208">
        <f>R208+V208*W208+Z208*AA208</f>
        <v>6528217.9062905405</v>
      </c>
      <c r="AG208">
        <f>S208</f>
        <v>1750000</v>
      </c>
      <c r="AH208">
        <f>T208+V208*X208</f>
        <v>722082.1446446446</v>
      </c>
    </row>
    <row r="209">
      <c r="B209" t="str">
        <v xml:space="preserve"> - Balok B25-2</v>
      </c>
      <c r="C209" t="str">
        <v>m3</v>
      </c>
      <c r="D209">
        <f>H209</f>
        <v>0.962</v>
      </c>
      <c r="E209">
        <f>N209*'REKAP RAB'!$O$4</f>
        <v>11075307.400123622</v>
      </c>
      <c r="F209">
        <f>D209*E209</f>
        <v>10654445.718918925</v>
      </c>
      <c r="G209" t="str">
        <v>B25-2</v>
      </c>
      <c r="H209">
        <f>'REKAP Balok'!G564</f>
        <v>0.962</v>
      </c>
      <c r="I209">
        <f>AF209</f>
        <v>7243099.785288358</v>
      </c>
      <c r="J209">
        <f>AG209</f>
        <v>1750000</v>
      </c>
      <c r="K209">
        <f>AH209</f>
        <v>722082.1446446446</v>
      </c>
      <c r="N209">
        <f>SUM(I209:M209)</f>
        <v>9715181.929933002</v>
      </c>
      <c r="O209">
        <f>H209*N209</f>
        <v>9346005.016595548</v>
      </c>
      <c r="R209">
        <f>Analisa!$F$197</f>
        <v>1066432.5000000002</v>
      </c>
      <c r="S209">
        <f>Analisa!$G$197</f>
        <v>1750000</v>
      </c>
      <c r="T209">
        <f>Analisa!$H$197</f>
        <v>75000</v>
      </c>
      <c r="V209">
        <f>'REKAP Balok'!W564</f>
        <v>12.702702702702702</v>
      </c>
      <c r="W209">
        <f>Analisa!$F$143</f>
        <v>251112.5</v>
      </c>
      <c r="X209">
        <f>Analisa!$H$143</f>
        <v>50940.509259259255</v>
      </c>
      <c r="Z209">
        <f>'REKAP Balok'!X564</f>
        <v>264.7338668607069</v>
      </c>
      <c r="AA209">
        <f>Analisa!$F$233</f>
        <v>11282.5</v>
      </c>
      <c r="AF209">
        <f>R209+V209*W209+Z209*AA209</f>
        <v>7243099.785288358</v>
      </c>
      <c r="AG209">
        <f>S209</f>
        <v>1750000</v>
      </c>
      <c r="AH209">
        <f>T209+V209*X209</f>
        <v>722082.1446446446</v>
      </c>
    </row>
    <row r="210">
      <c r="B210" t="str">
        <v xml:space="preserve"> - Balok B26-1</v>
      </c>
      <c r="C210" t="str">
        <v>m3</v>
      </c>
      <c r="D210">
        <f>H210</f>
        <v>2.8388</v>
      </c>
      <c r="E210">
        <f>N210*'REKAP RAB'!$O$4</f>
        <v>10213068.318103164</v>
      </c>
      <c r="F210">
        <f>D210*E210</f>
        <v>28992858.341431264</v>
      </c>
      <c r="G210" t="str">
        <v>B26-1</v>
      </c>
      <c r="H210">
        <f>'REKAP Balok'!G570</f>
        <v>2.8388</v>
      </c>
      <c r="I210">
        <f>AF210</f>
        <v>6516042.703138897</v>
      </c>
      <c r="J210">
        <f>AG210</f>
        <v>1750000</v>
      </c>
      <c r="K210">
        <f>AH210</f>
        <v>692789.1548463356</v>
      </c>
      <c r="N210">
        <f>SUM(I210:M210)</f>
        <v>8958831.857985232</v>
      </c>
      <c r="O210">
        <f>H210*N210</f>
        <v>25432331.878448475</v>
      </c>
      <c r="R210">
        <f>Analisa!$F$197</f>
        <v>1066432.5000000002</v>
      </c>
      <c r="S210">
        <f>Analisa!$G$197</f>
        <v>1750000</v>
      </c>
      <c r="T210">
        <f>Analisa!$H$197</f>
        <v>75000</v>
      </c>
      <c r="V210">
        <f>'REKAP Balok'!W570</f>
        <v>12.127659574468085</v>
      </c>
      <c r="W210">
        <f>Analisa!$F$143</f>
        <v>251112.5</v>
      </c>
      <c r="X210">
        <f>Analisa!$H$143</f>
        <v>50940.509259259255</v>
      </c>
      <c r="Z210">
        <f>'REKAP Balok'!X570</f>
        <v>213.0913616880372</v>
      </c>
      <c r="AA210">
        <f>Analisa!$F$233</f>
        <v>11282.5</v>
      </c>
      <c r="AF210">
        <f>R210+V210*W210+Z210*AA210</f>
        <v>6516042.703138897</v>
      </c>
      <c r="AG210">
        <f>S210</f>
        <v>1750000</v>
      </c>
      <c r="AH210">
        <f>T210+V210*X210</f>
        <v>692789.1548463356</v>
      </c>
    </row>
    <row r="211">
      <c r="B211" t="str">
        <v xml:space="preserve"> - Balok B26-2</v>
      </c>
      <c r="C211" t="str">
        <v>m3</v>
      </c>
      <c r="D211">
        <f>H211</f>
        <v>0.7661</v>
      </c>
      <c r="E211">
        <f>N211*'REKAP RAB'!$O$4</f>
        <v>10520061.769897895</v>
      </c>
      <c r="F211">
        <f>D211*E211</f>
        <v>8059419.321918777</v>
      </c>
      <c r="G211" t="str">
        <v>B26-2</v>
      </c>
      <c r="H211">
        <f>'REKAP Balok'!G571</f>
        <v>0.7661</v>
      </c>
      <c r="I211">
        <f>AF211</f>
        <v>6785335.2047132235</v>
      </c>
      <c r="J211">
        <f>AG211</f>
        <v>1750000</v>
      </c>
      <c r="K211">
        <f>AH211</f>
        <v>692789.1548463356</v>
      </c>
      <c r="N211">
        <f>SUM(I211:M211)</f>
        <v>9228124.359559558</v>
      </c>
      <c r="O211">
        <f>H211*N211</f>
        <v>7069666.071858577</v>
      </c>
      <c r="R211">
        <f>Analisa!$F$197</f>
        <v>1066432.5000000002</v>
      </c>
      <c r="S211">
        <f>Analisa!$G$197</f>
        <v>1750000</v>
      </c>
      <c r="T211">
        <f>Analisa!$H$197</f>
        <v>75000</v>
      </c>
      <c r="V211">
        <f>'REKAP Balok'!W571</f>
        <v>12.127659574468085</v>
      </c>
      <c r="W211">
        <f>Analisa!$F$143</f>
        <v>251112.5</v>
      </c>
      <c r="X211">
        <f>Analisa!$H$143</f>
        <v>50940.509259259255</v>
      </c>
      <c r="Z211">
        <f>'REKAP Balok'!X571</f>
        <v>236.95952048035505</v>
      </c>
      <c r="AA211">
        <f>Analisa!$F$233</f>
        <v>11282.5</v>
      </c>
      <c r="AF211">
        <f>R211+V211*W211+Z211*AA211</f>
        <v>6785335.2047132235</v>
      </c>
      <c r="AG211">
        <f>S211</f>
        <v>1750000</v>
      </c>
      <c r="AH211">
        <f>T211+V211*X211</f>
        <v>692789.1548463356</v>
      </c>
    </row>
    <row r="212">
      <c r="B212" t="str">
        <v xml:space="preserve"> - Balok B26-3</v>
      </c>
      <c r="C212" t="str">
        <v>m3</v>
      </c>
      <c r="D212">
        <f>H212</f>
        <v>0.40185</v>
      </c>
      <c r="E212">
        <f>N212*'REKAP RAB'!$O$4</f>
        <v>10660109.595107587</v>
      </c>
      <c r="F212">
        <f>D212*E212</f>
        <v>4283765.040793983</v>
      </c>
      <c r="G212" t="str">
        <v>B26-3</v>
      </c>
      <c r="H212">
        <f>'REKAP Balok'!G572</f>
        <v>0.40185</v>
      </c>
      <c r="I212">
        <f>AF212</f>
        <v>6908184.174195409</v>
      </c>
      <c r="J212">
        <f>AG212</f>
        <v>1750000</v>
      </c>
      <c r="K212">
        <f>AH212</f>
        <v>692789.1548463356</v>
      </c>
      <c r="N212">
        <f>SUM(I212:M212)</f>
        <v>9350973.329041744</v>
      </c>
      <c r="O212">
        <f>H212*N212</f>
        <v>3757688.6322754244</v>
      </c>
      <c r="R212">
        <f>Analisa!$F$197</f>
        <v>1066432.5000000002</v>
      </c>
      <c r="S212">
        <f>Analisa!$G$197</f>
        <v>1750000</v>
      </c>
      <c r="T212">
        <f>Analisa!$H$197</f>
        <v>75000</v>
      </c>
      <c r="V212">
        <f>'REKAP Balok'!W572</f>
        <v>12.127659574468085</v>
      </c>
      <c r="W212">
        <f>Analisa!$F$143</f>
        <v>251112.5</v>
      </c>
      <c r="X212">
        <f>Analisa!$H$143</f>
        <v>50940.509259259255</v>
      </c>
      <c r="Z212">
        <f>'REKAP Balok'!X572</f>
        <v>247.8479733482643</v>
      </c>
      <c r="AA212">
        <f>Analisa!$F$233</f>
        <v>11282.5</v>
      </c>
      <c r="AF212">
        <f>R212+V212*W212+Z212*AA212</f>
        <v>6908184.174195409</v>
      </c>
      <c r="AG212">
        <f>S212</f>
        <v>1750000</v>
      </c>
      <c r="AH212">
        <f>T212+V212*X212</f>
        <v>692789.1548463356</v>
      </c>
    </row>
    <row r="213">
      <c r="B213" t="str">
        <v xml:space="preserve"> - Balok B26-4</v>
      </c>
      <c r="C213" t="str">
        <v>m3</v>
      </c>
      <c r="D213">
        <f>H213</f>
        <v>0.25615</v>
      </c>
      <c r="E213">
        <f>N213*'REKAP RAB'!$O$4</f>
        <v>13023999.077013358</v>
      </c>
      <c r="F213">
        <f>D213*E213</f>
        <v>3336097.3635769715</v>
      </c>
      <c r="G213" t="str">
        <v>B26-4</v>
      </c>
      <c r="H213">
        <f>'REKAP Balok'!G573</f>
        <v>0.25615</v>
      </c>
      <c r="I213">
        <f>AF213</f>
        <v>8981771.439025033</v>
      </c>
      <c r="J213">
        <f>AG213</f>
        <v>1750000</v>
      </c>
      <c r="K213">
        <f>AH213</f>
        <v>692789.1548463356</v>
      </c>
      <c r="N213">
        <f>SUM(I213:M213)</f>
        <v>11424560.593871368</v>
      </c>
      <c r="O213">
        <f>H213*N213</f>
        <v>2926401.196120151</v>
      </c>
      <c r="R213">
        <f>Analisa!$F$197</f>
        <v>1066432.5000000002</v>
      </c>
      <c r="S213">
        <f>Analisa!$G$197</f>
        <v>1750000</v>
      </c>
      <c r="T213">
        <f>Analisa!$H$197</f>
        <v>75000</v>
      </c>
      <c r="V213">
        <f>'REKAP Balok'!W573</f>
        <v>12.127659574468085</v>
      </c>
      <c r="W213">
        <f>Analisa!$F$143</f>
        <v>251112.5</v>
      </c>
      <c r="X213">
        <f>Analisa!$H$143</f>
        <v>50940.509259259255</v>
      </c>
      <c r="Z213">
        <f>'REKAP Balok'!X573</f>
        <v>431.63589843841504</v>
      </c>
      <c r="AA213">
        <f>Analisa!$F$233</f>
        <v>11282.5</v>
      </c>
      <c r="AF213">
        <f>R213+V213*W213+Z213*AA213</f>
        <v>8981771.439025033</v>
      </c>
      <c r="AG213">
        <f>S213</f>
        <v>1750000</v>
      </c>
      <c r="AH213">
        <f>T213+V213*X213</f>
        <v>692789.1548463356</v>
      </c>
    </row>
    <row r="214">
      <c r="B214" t="str">
        <v xml:space="preserve"> - Balok B26-5</v>
      </c>
      <c r="C214" t="str">
        <v>m3</v>
      </c>
      <c r="D214">
        <f>H214</f>
        <v>0.9494</v>
      </c>
      <c r="E214">
        <f>N214*'REKAP RAB'!$O$4</f>
        <v>12175558.357037522</v>
      </c>
      <c r="F214">
        <f>D214*E214</f>
        <v>11559475.104171423</v>
      </c>
      <c r="G214" t="str">
        <v>B26-5</v>
      </c>
      <c r="H214">
        <f>'REKAP Balok'!G574</f>
        <v>0.9494</v>
      </c>
      <c r="I214">
        <f>AF214</f>
        <v>8237525.193432194</v>
      </c>
      <c r="J214">
        <f>AG214</f>
        <v>1750000</v>
      </c>
      <c r="K214">
        <f>AH214</f>
        <v>692789.1548463355</v>
      </c>
      <c r="N214">
        <f>SUM(I214:M214)</f>
        <v>10680314.348278528</v>
      </c>
      <c r="O214">
        <f>H214*N214</f>
        <v>10139890.442255635</v>
      </c>
      <c r="R214">
        <f>Analisa!$F$197</f>
        <v>1066432.5000000002</v>
      </c>
      <c r="S214">
        <f>Analisa!$G$197</f>
        <v>1750000</v>
      </c>
      <c r="T214">
        <f>Analisa!$H$197</f>
        <v>75000</v>
      </c>
      <c r="V214">
        <f>'REKAP Balok'!W574</f>
        <v>12.127659574468083</v>
      </c>
      <c r="W214">
        <f>Analisa!$F$143</f>
        <v>251112.5</v>
      </c>
      <c r="X214">
        <f>Analisa!$H$143</f>
        <v>50940.509259259255</v>
      </c>
      <c r="Z214">
        <f>'REKAP Balok'!X574</f>
        <v>365.67124117337266</v>
      </c>
      <c r="AA214">
        <f>Analisa!$F$233</f>
        <v>11282.5</v>
      </c>
      <c r="AF214">
        <f>R214+V214*W214+Z214*AA214</f>
        <v>8237525.193432194</v>
      </c>
      <c r="AG214">
        <f>S214</f>
        <v>1750000</v>
      </c>
      <c r="AH214">
        <f>T214+V214*X214</f>
        <v>692789.1548463355</v>
      </c>
    </row>
    <row r="215">
      <c r="B215" t="str">
        <v xml:space="preserve"> - Balok CL26-1</v>
      </c>
      <c r="C215" t="str">
        <v>m3</v>
      </c>
      <c r="D215">
        <f>H215</f>
        <v>0.4982</v>
      </c>
      <c r="E215">
        <f>N215*'REKAP RAB'!$O$4</f>
        <v>10361383.73450031</v>
      </c>
      <c r="F215">
        <f>D215*E215</f>
        <v>5162041.376528054</v>
      </c>
      <c r="G215" t="str">
        <v>CL26-1</v>
      </c>
      <c r="H215">
        <f>'REKAP Balok'!G575</f>
        <v>0.4982</v>
      </c>
      <c r="I215">
        <f>AF215</f>
        <v>6646143.945592534</v>
      </c>
      <c r="J215">
        <f>AG215</f>
        <v>1750000</v>
      </c>
      <c r="K215">
        <f>AH215</f>
        <v>692789.1548463356</v>
      </c>
      <c r="N215">
        <f>SUM(I215:M215)</f>
        <v>9088933.100438869</v>
      </c>
      <c r="O215">
        <f>H215*N215</f>
        <v>4528106.470638644</v>
      </c>
      <c r="R215">
        <f>Analisa!$F$197</f>
        <v>1066432.5000000002</v>
      </c>
      <c r="S215">
        <f>Analisa!$G$197</f>
        <v>1750000</v>
      </c>
      <c r="T215">
        <f>Analisa!$H$197</f>
        <v>75000</v>
      </c>
      <c r="V215">
        <f>'REKAP Balok'!W575</f>
        <v>12.127659574468085</v>
      </c>
      <c r="W215">
        <f>Analisa!$F$143</f>
        <v>251112.5</v>
      </c>
      <c r="X215">
        <f>Analisa!$H$143</f>
        <v>50940.509259259255</v>
      </c>
      <c r="Z215">
        <f>'REKAP Balok'!X575</f>
        <v>224.6226040947411</v>
      </c>
      <c r="AA215">
        <f>Analisa!$F$233</f>
        <v>11282.5</v>
      </c>
      <c r="AF215">
        <f>R215+V215*W215+Z215*AA215</f>
        <v>6646143.945592534</v>
      </c>
      <c r="AG215">
        <f>S215</f>
        <v>1750000</v>
      </c>
      <c r="AH215">
        <f>T215+V215*X215</f>
        <v>692789.1548463356</v>
      </c>
    </row>
    <row r="216">
      <c r="B216" t="str">
        <v xml:space="preserve"> - Balok B257-1</v>
      </c>
      <c r="C216" t="str">
        <v>m3</v>
      </c>
      <c r="D216">
        <f>H216</f>
        <v>0.7125</v>
      </c>
      <c r="E216">
        <f>N216*'REKAP RAB'!$O$4</f>
        <v>8481432.634200882</v>
      </c>
      <c r="F216">
        <f>D216*E216</f>
        <v>6043020.751868129</v>
      </c>
      <c r="G216" t="str">
        <v>B257-1</v>
      </c>
      <c r="H216">
        <f>'REKAP Balok'!G577</f>
        <v>0.7125</v>
      </c>
      <c r="I216">
        <f>AF216</f>
        <v>5117959.799331509</v>
      </c>
      <c r="J216">
        <f>AG216</f>
        <v>1750000</v>
      </c>
      <c r="K216">
        <f>AH216</f>
        <v>571893.3885640026</v>
      </c>
      <c r="N216">
        <f>SUM(I216:M216)</f>
        <v>7439853.187895511</v>
      </c>
      <c r="O216">
        <f>H216*N216</f>
        <v>5300895.396375552</v>
      </c>
      <c r="R216">
        <f>Analisa!$F$197</f>
        <v>1066432.5000000002</v>
      </c>
      <c r="S216">
        <f>Analisa!$G$197</f>
        <v>1750000</v>
      </c>
      <c r="T216">
        <f>Analisa!$H$197</f>
        <v>75000</v>
      </c>
      <c r="V216">
        <f>'REKAP Balok'!W577</f>
        <v>9.75438596491228</v>
      </c>
      <c r="W216">
        <f>Analisa!$F$143</f>
        <v>251112.5</v>
      </c>
      <c r="X216">
        <f>Analisa!$H$143</f>
        <v>50940.509259259255</v>
      </c>
      <c r="Z216">
        <f>'REKAP Balok'!X577</f>
        <v>141.9968139789474</v>
      </c>
      <c r="AA216">
        <f>Analisa!$F$233</f>
        <v>11282.5</v>
      </c>
      <c r="AF216">
        <f>R216+V216*W216+Z216*AA216</f>
        <v>5117959.799331509</v>
      </c>
      <c r="AG216">
        <f>S216</f>
        <v>1750000</v>
      </c>
      <c r="AH216">
        <f>T216+V216*X216</f>
        <v>571893.3885640026</v>
      </c>
    </row>
    <row r="217">
      <c r="B217" t="str">
        <v xml:space="preserve"> - Balok B257-2</v>
      </c>
      <c r="C217" t="str">
        <v>m3</v>
      </c>
      <c r="D217">
        <f>H217</f>
        <v>1.5675</v>
      </c>
      <c r="E217">
        <f>N217*'REKAP RAB'!$O$4</f>
        <v>9811176.75745707</v>
      </c>
      <c r="F217">
        <f>D217*E217</f>
        <v>15379019.567313956</v>
      </c>
      <c r="G217" t="str">
        <v>B257-2</v>
      </c>
      <c r="H217">
        <f>'REKAP Balok'!G578</f>
        <v>1.5675</v>
      </c>
      <c r="I217">
        <f>AF217</f>
        <v>6284402.012714131</v>
      </c>
      <c r="J217">
        <f>AG217</f>
        <v>1750000</v>
      </c>
      <c r="K217">
        <f>AH217</f>
        <v>571893.3885640026</v>
      </c>
      <c r="N217">
        <f>SUM(I217:M217)</f>
        <v>8606295.401278133</v>
      </c>
      <c r="O217">
        <f>H217*N217</f>
        <v>13490368.041503472</v>
      </c>
      <c r="R217">
        <f>Analisa!$F$197</f>
        <v>1066432.5000000002</v>
      </c>
      <c r="S217">
        <f>Analisa!$G$197</f>
        <v>1750000</v>
      </c>
      <c r="T217">
        <f>Analisa!$H$197</f>
        <v>75000</v>
      </c>
      <c r="V217">
        <f>'REKAP Balok'!W578</f>
        <v>9.75438596491228</v>
      </c>
      <c r="W217">
        <f>Analisa!$F$143</f>
        <v>251112.5</v>
      </c>
      <c r="X217">
        <f>Analisa!$H$143</f>
        <v>50940.509259259255</v>
      </c>
      <c r="Z217">
        <f>'REKAP Balok'!X578</f>
        <v>245.38189825837324</v>
      </c>
      <c r="AA217">
        <f>Analisa!$F$233</f>
        <v>11282.5</v>
      </c>
      <c r="AF217">
        <f>R217+V217*W217+Z217*AA217</f>
        <v>6284402.012714131</v>
      </c>
      <c r="AG217">
        <f>S217</f>
        <v>1750000</v>
      </c>
      <c r="AH217">
        <f>T217+V217*X217</f>
        <v>571893.3885640026</v>
      </c>
    </row>
    <row r="218">
      <c r="B218" t="str">
        <v xml:space="preserve"> - Balok B36-1</v>
      </c>
      <c r="C218" t="str">
        <v>m3</v>
      </c>
      <c r="D218">
        <f>H218</f>
        <v>1.3888500000000001</v>
      </c>
      <c r="E218">
        <f>N218*'REKAP RAB'!$O$4</f>
        <v>9056175.488291329</v>
      </c>
      <c r="F218">
        <f>D218*E218</f>
        <v>12577669.326913413</v>
      </c>
      <c r="G218" t="str">
        <v>B36-1</v>
      </c>
      <c r="H218">
        <f>'REKAP Balok'!G582</f>
        <v>1.3888500000000001</v>
      </c>
      <c r="I218">
        <f>AF218</f>
        <v>5671026.128904993</v>
      </c>
      <c r="J218">
        <f>AG218</f>
        <v>1750000</v>
      </c>
      <c r="K218">
        <f>AH218</f>
        <v>522987.4573154714</v>
      </c>
      <c r="N218">
        <f>SUM(I218:M218)</f>
        <v>7944013.586220464</v>
      </c>
      <c r="O218">
        <f>H218*N218</f>
        <v>11033043.269222293</v>
      </c>
      <c r="R218">
        <f>Analisa!$F$197</f>
        <v>1066432.5000000002</v>
      </c>
      <c r="S218">
        <f>Analisa!$G$197</f>
        <v>1750000</v>
      </c>
      <c r="T218">
        <f>Analisa!$H$197</f>
        <v>75000</v>
      </c>
      <c r="V218">
        <f>'REKAP Balok'!W582</f>
        <v>8.79432624113475</v>
      </c>
      <c r="W218">
        <f>Analisa!$F$143</f>
        <v>251112.5</v>
      </c>
      <c r="X218">
        <f>Analisa!$H$143</f>
        <v>50940.509259259255</v>
      </c>
      <c r="Z218">
        <f>'REKAP Balok'!X582</f>
        <v>212.3845229938438</v>
      </c>
      <c r="AA218">
        <f>Analisa!$F$233</f>
        <v>11282.5</v>
      </c>
      <c r="AF218">
        <f>R218+V218*W218+Z218*AA218</f>
        <v>5671026.128904993</v>
      </c>
      <c r="AG218">
        <f>S218</f>
        <v>1750000</v>
      </c>
      <c r="AH218">
        <f>T218+V218*X218</f>
        <v>522987.4573154714</v>
      </c>
    </row>
    <row r="219">
      <c r="B219" t="str">
        <v xml:space="preserve"> - Balok B36-2</v>
      </c>
      <c r="C219" t="str">
        <v>m3</v>
      </c>
      <c r="D219">
        <f>H219</f>
        <v>0.540735</v>
      </c>
      <c r="E219">
        <f>N219*'REKAP RAB'!$O$4</f>
        <v>9590376.283122532</v>
      </c>
      <c r="F219">
        <f>D219*E219</f>
        <v>5185852.119454262</v>
      </c>
      <c r="G219" t="str">
        <v>B36-2</v>
      </c>
      <c r="H219">
        <f>'REKAP Balok'!G583</f>
        <v>0.540735</v>
      </c>
      <c r="I219">
        <f>AF219</f>
        <v>6139623.317353418</v>
      </c>
      <c r="J219">
        <f>AG219</f>
        <v>1750000</v>
      </c>
      <c r="K219">
        <f>AH219</f>
        <v>522987.45731547155</v>
      </c>
      <c r="N219">
        <f>SUM(I219:M219)</f>
        <v>8412610.77466889</v>
      </c>
      <c r="O219">
        <f>H219*N219</f>
        <v>4548993.087240581</v>
      </c>
      <c r="R219">
        <f>Analisa!$F$197</f>
        <v>1066432.5000000002</v>
      </c>
      <c r="S219">
        <f>Analisa!$G$197</f>
        <v>1750000</v>
      </c>
      <c r="T219">
        <f>Analisa!$H$197</f>
        <v>75000</v>
      </c>
      <c r="V219">
        <f>'REKAP Balok'!W583</f>
        <v>8.794326241134753</v>
      </c>
      <c r="W219">
        <f>Analisa!$F$143</f>
        <v>251112.5</v>
      </c>
      <c r="X219">
        <f>Analisa!$H$143</f>
        <v>50940.509259259255</v>
      </c>
      <c r="Z219">
        <f>'REKAP Balok'!X583</f>
        <v>253.9176219035202</v>
      </c>
      <c r="AA219">
        <f>Analisa!$F$233</f>
        <v>11282.5</v>
      </c>
      <c r="AF219">
        <f>R219+V219*W219+Z219*AA219</f>
        <v>6139623.317353418</v>
      </c>
      <c r="AG219">
        <f>S219</f>
        <v>1750000</v>
      </c>
      <c r="AH219">
        <f>T219+V219*X219</f>
        <v>522987.45731547155</v>
      </c>
    </row>
    <row r="220">
      <c r="B220" t="str">
        <v xml:space="preserve"> - Balok B36-3</v>
      </c>
      <c r="C220" t="str">
        <v>m3</v>
      </c>
      <c r="D220">
        <f>H220</f>
        <v>1.9880999999999998</v>
      </c>
      <c r="E220">
        <f>N220*'REKAP RAB'!$O$4</f>
        <v>10063563.916207556</v>
      </c>
      <c r="F220">
        <f>D220*E220</f>
        <v>20007371.42181224</v>
      </c>
      <c r="G220" t="str">
        <v>B36-3</v>
      </c>
      <c r="H220">
        <f>'REKAP Balok'!G584</f>
        <v>1.9880999999999998</v>
      </c>
      <c r="I220">
        <f>AF220</f>
        <v>6554700.1884806305</v>
      </c>
      <c r="J220">
        <f>AG220</f>
        <v>1750000</v>
      </c>
      <c r="K220">
        <f>AH220</f>
        <v>522987.45731547155</v>
      </c>
      <c r="N220">
        <f>SUM(I220:M220)</f>
        <v>8827687.645796102</v>
      </c>
      <c r="O220">
        <f>H220*N220</f>
        <v>17550325.808607228</v>
      </c>
      <c r="R220">
        <f>Analisa!$F$197</f>
        <v>1066432.5000000002</v>
      </c>
      <c r="S220">
        <f>Analisa!$G$197</f>
        <v>1750000</v>
      </c>
      <c r="T220">
        <f>Analisa!$H$197</f>
        <v>75000</v>
      </c>
      <c r="V220">
        <f>'REKAP Balok'!W584</f>
        <v>8.794326241134753</v>
      </c>
      <c r="W220">
        <f>Analisa!$F$143</f>
        <v>251112.5</v>
      </c>
      <c r="X220">
        <f>Analisa!$H$143</f>
        <v>50940.509259259255</v>
      </c>
      <c r="Z220">
        <f>'REKAP Balok'!X584</f>
        <v>290.7070631733817</v>
      </c>
      <c r="AA220">
        <f>Analisa!$F$233</f>
        <v>11282.5</v>
      </c>
      <c r="AF220">
        <f>R220+V220*W220+Z220*AA220</f>
        <v>6554700.1884806305</v>
      </c>
      <c r="AG220">
        <f>S220</f>
        <v>1750000</v>
      </c>
      <c r="AH220">
        <f>T220+V220*X220</f>
        <v>522987.45731547155</v>
      </c>
    </row>
    <row r="221">
      <c r="B221" t="str">
        <v xml:space="preserve"> - Balok B47-1</v>
      </c>
      <c r="C221" t="str">
        <v>m3</v>
      </c>
      <c r="D221">
        <f>H221</f>
        <v>1.368</v>
      </c>
      <c r="E221">
        <f>N221*'REKAP RAB'!$O$4</f>
        <v>8179876.442102171</v>
      </c>
      <c r="F221">
        <f>D221*E221</f>
        <v>11190070.97279577</v>
      </c>
      <c r="G221" t="str">
        <v>B47-1</v>
      </c>
      <c r="H221">
        <f>'REKAP Balok'!G586</f>
        <v>1.368</v>
      </c>
      <c r="I221">
        <f>AF221</f>
        <v>5006258.351584101</v>
      </c>
      <c r="J221">
        <f>AG221</f>
        <v>1750000</v>
      </c>
      <c r="K221">
        <f>AH221</f>
        <v>419071.8607862248</v>
      </c>
      <c r="N221">
        <f>SUM(I221:M221)</f>
        <v>7175330.212370326</v>
      </c>
      <c r="O221">
        <f>H221*N221</f>
        <v>9815851.730522607</v>
      </c>
      <c r="R221">
        <f>Analisa!$F$197</f>
        <v>1066432.5000000002</v>
      </c>
      <c r="S221">
        <f>Analisa!$G$197</f>
        <v>1750000</v>
      </c>
      <c r="T221">
        <f>Analisa!$H$197</f>
        <v>75000</v>
      </c>
      <c r="V221">
        <f>'REKAP Balok'!W586</f>
        <v>6.75438596491228</v>
      </c>
      <c r="W221">
        <f>Analisa!$F$143</f>
        <v>251112.5</v>
      </c>
      <c r="X221">
        <f>Analisa!$H$143</f>
        <v>50940.509259259255</v>
      </c>
      <c r="Z221">
        <f>'REKAP Balok'!X586</f>
        <v>198.86683855263155</v>
      </c>
      <c r="AA221">
        <f>Analisa!$F$233</f>
        <v>11282.5</v>
      </c>
      <c r="AF221">
        <f>R221+V221*W221+Z221*AA221</f>
        <v>5006258.351584101</v>
      </c>
      <c r="AG221">
        <f>S221</f>
        <v>1750000</v>
      </c>
      <c r="AH221">
        <f>T221+V221*X221</f>
        <v>419071.8607862248</v>
      </c>
    </row>
    <row r="222">
      <c r="B222" t="str">
        <v xml:space="preserve"> - Balok B475-1</v>
      </c>
      <c r="C222" t="str">
        <v>m3</v>
      </c>
      <c r="D222">
        <f>H222</f>
        <v>1.736</v>
      </c>
      <c r="E222">
        <f>N222*'REKAP RAB'!$O$4</f>
        <v>7743613.044248441</v>
      </c>
      <c r="F222">
        <f>D222*E222</f>
        <v>13442912.244815294</v>
      </c>
      <c r="G222" t="str">
        <v>B475-1</v>
      </c>
      <c r="H222">
        <f>'REKAP Balok'!G587</f>
        <v>1.736</v>
      </c>
      <c r="I222">
        <f>AF222</f>
        <v>4630778.3632657835</v>
      </c>
      <c r="J222">
        <f>AG222</f>
        <v>1750000</v>
      </c>
      <c r="K222">
        <f>AH222</f>
        <v>411864.65800477896</v>
      </c>
      <c r="N222">
        <f>SUM(I222:M222)</f>
        <v>6792643.021270563</v>
      </c>
      <c r="O222">
        <f>H222*N222</f>
        <v>11792028.284925697</v>
      </c>
      <c r="R222">
        <f>Analisa!$F$197</f>
        <v>1066432.5000000002</v>
      </c>
      <c r="S222">
        <f>Analisa!$G$197</f>
        <v>1750000</v>
      </c>
      <c r="T222">
        <f>Analisa!$H$197</f>
        <v>75000</v>
      </c>
      <c r="V222">
        <f>'REKAP Balok'!W587</f>
        <v>6.612903225806452</v>
      </c>
      <c r="W222">
        <f>Analisa!$F$143</f>
        <v>251112.5</v>
      </c>
      <c r="X222">
        <f>Analisa!$H$143</f>
        <v>50940.509259259255</v>
      </c>
      <c r="Z222">
        <f>'REKAP Balok'!X587</f>
        <v>168.735936359447</v>
      </c>
      <c r="AA222">
        <f>Analisa!$F$233</f>
        <v>11282.5</v>
      </c>
      <c r="AF222">
        <f>R222+V222*W222+Z222*AA222</f>
        <v>4630778.3632657835</v>
      </c>
      <c r="AG222">
        <f>S222</f>
        <v>1750000</v>
      </c>
      <c r="AH222">
        <f>T222+V222*X222</f>
        <v>411864.65800477896</v>
      </c>
    </row>
    <row r="223">
      <c r="B223" t="str">
        <v xml:space="preserve"> - Balok B78-1</v>
      </c>
      <c r="C223" t="str">
        <v>m3</v>
      </c>
      <c r="D223">
        <f>H223</f>
        <v>4.1272</v>
      </c>
      <c r="E223">
        <f>N223*'REKAP RAB'!$O$4</f>
        <v>6812181.052149905</v>
      </c>
      <c r="F223">
        <f>D223*E223</f>
        <v>28115233.638433088</v>
      </c>
      <c r="G223" t="str">
        <v>B78-1</v>
      </c>
      <c r="H223">
        <f>'REKAP Balok'!G593</f>
        <v>4.1272</v>
      </c>
      <c r="I223">
        <f>AF223</f>
        <v>3929022.491162556</v>
      </c>
      <c r="J223">
        <f>AG223</f>
        <v>1750000</v>
      </c>
      <c r="K223">
        <f>AH223</f>
        <v>296574.92300402746</v>
      </c>
      <c r="N223">
        <f>SUM(I223:M223)</f>
        <v>5975597.414166584</v>
      </c>
      <c r="O223">
        <f>H223*N223</f>
        <v>24662485.647748325</v>
      </c>
      <c r="R223">
        <f>Analisa!$F$197</f>
        <v>1066432.5000000002</v>
      </c>
      <c r="S223">
        <f>Analisa!$G$197</f>
        <v>1750000</v>
      </c>
      <c r="T223">
        <f>Analisa!$H$197</f>
        <v>75000</v>
      </c>
      <c r="V223">
        <f>'REKAP Balok'!W593</f>
        <v>4.349680170575693</v>
      </c>
      <c r="W223">
        <f>Analisa!$F$143</f>
        <v>251112.5</v>
      </c>
      <c r="X223">
        <f>Analisa!$H$143</f>
        <v>50940.509259259255</v>
      </c>
      <c r="Z223">
        <f>'REKAP Balok'!X593</f>
        <v>156.90945529172325</v>
      </c>
      <c r="AA223">
        <f>Analisa!$F$233</f>
        <v>11282.5</v>
      </c>
      <c r="AF223">
        <f>R223+V223*W223+Z223*AA223</f>
        <v>3929022.491162556</v>
      </c>
      <c r="AG223">
        <f>S223</f>
        <v>1750000</v>
      </c>
      <c r="AH223">
        <f>T223+V223*X223</f>
        <v>296574.92300402746</v>
      </c>
    </row>
    <row r="224">
      <c r="B224" t="str">
        <v xml:space="preserve"> - Balok B1745-1</v>
      </c>
      <c r="C224" t="str">
        <v>m3</v>
      </c>
      <c r="D224">
        <f>H224</f>
        <v>0.60163</v>
      </c>
      <c r="E224">
        <f>N224*'REKAP RAB'!$O$4</f>
        <v>10242216.14299667</v>
      </c>
      <c r="F224">
        <f>D224*E224</f>
        <v>6162024.498111087</v>
      </c>
      <c r="G224" t="str">
        <v>B1745-1</v>
      </c>
      <c r="H224">
        <f>'REKAP Balok'!G594</f>
        <v>0.60163</v>
      </c>
      <c r="I224">
        <f>AF224</f>
        <v>6437750.67242192</v>
      </c>
      <c r="J224">
        <f>AG224</f>
        <v>1750000</v>
      </c>
      <c r="K224">
        <f>AH224</f>
        <v>796649.453013757</v>
      </c>
      <c r="N224">
        <f>SUM(I224:M224)</f>
        <v>8984400.125435676</v>
      </c>
      <c r="O224">
        <f>H224*N224</f>
        <v>5405284.647465866</v>
      </c>
      <c r="R224">
        <f>Analisa!$F$197</f>
        <v>1066432.5000000002</v>
      </c>
      <c r="S224">
        <f>Analisa!$G$197</f>
        <v>1750000</v>
      </c>
      <c r="T224">
        <f>Analisa!$H$197</f>
        <v>75000</v>
      </c>
      <c r="V224">
        <f>'REKAP Balok'!W594</f>
        <v>14.166514302810697</v>
      </c>
      <c r="W224">
        <f>Analisa!$F$143</f>
        <v>251112.5</v>
      </c>
      <c r="X224">
        <f>Analisa!$H$143</f>
        <v>50940.509259259255</v>
      </c>
      <c r="Z224">
        <f>'REKAP Balok'!X594</f>
        <v>160.77370702923722</v>
      </c>
      <c r="AA224">
        <f>Analisa!$F$233</f>
        <v>11282.5</v>
      </c>
      <c r="AF224">
        <f>R224+V224*W224+Z224*AA224</f>
        <v>6437750.67242192</v>
      </c>
      <c r="AG224">
        <f>S224</f>
        <v>1750000</v>
      </c>
      <c r="AH224">
        <f>T224+V224*X224</f>
        <v>796649.453013757</v>
      </c>
    </row>
    <row r="225">
      <c r="B225" t="str">
        <v xml:space="preserve"> - Balok B26-6</v>
      </c>
      <c r="C225" t="str">
        <v>m3</v>
      </c>
      <c r="D225">
        <f>H225</f>
        <v>0.5760000000000001</v>
      </c>
      <c r="E225">
        <f>N225*'REKAP RAB'!$O$4</f>
        <v>9905567.461593896</v>
      </c>
      <c r="F225">
        <f>D225*E225</f>
        <v>5705606.857878085</v>
      </c>
      <c r="G225" t="str">
        <v>B26-6</v>
      </c>
      <c r="H225">
        <f>'REKAP Balok'!G595</f>
        <v>0.5760000000000001</v>
      </c>
      <c r="I225">
        <f>AF225</f>
        <v>6241488.040276215</v>
      </c>
      <c r="J225">
        <f>AG225</f>
        <v>1750000</v>
      </c>
      <c r="K225">
        <f>AH225</f>
        <v>697606.2242798354</v>
      </c>
      <c r="N225">
        <f>SUM(I225:M225)</f>
        <v>8689094.26455605</v>
      </c>
      <c r="O225">
        <f>H225*N225</f>
        <v>5004918.296384285</v>
      </c>
      <c r="R225">
        <f>Analisa!$F$197</f>
        <v>1066432.5000000002</v>
      </c>
      <c r="S225">
        <f>Analisa!$G$197</f>
        <v>1750000</v>
      </c>
      <c r="T225">
        <f>Analisa!$H$197</f>
        <v>75000</v>
      </c>
      <c r="V225">
        <f>'REKAP Balok'!W595</f>
        <v>12.222222222222221</v>
      </c>
      <c r="W225">
        <f>Analisa!$F$143</f>
        <v>251112.5</v>
      </c>
      <c r="X225">
        <f>Analisa!$H$143</f>
        <v>50940.509259259255</v>
      </c>
      <c r="Z225">
        <f>'REKAP Balok'!X595</f>
        <v>186.652139375</v>
      </c>
      <c r="AA225">
        <f>Analisa!$F$233</f>
        <v>11282.5</v>
      </c>
      <c r="AF225">
        <f>R225+V225*W225+Z225*AA225</f>
        <v>6241488.040276215</v>
      </c>
      <c r="AG225">
        <f>S225</f>
        <v>1750000</v>
      </c>
      <c r="AH225">
        <f>T225+V225*X225</f>
        <v>697606.2242798354</v>
      </c>
    </row>
    <row r="226">
      <c r="B226" t="str">
        <v xml:space="preserve"> - Balok Potongan F</v>
      </c>
      <c r="C226" t="str">
        <v>m3</v>
      </c>
      <c r="D226">
        <f>H226</f>
        <v>0.0704</v>
      </c>
      <c r="E226">
        <f>N226*'REKAP RAB'!$O$4</f>
        <v>13068099.328777801</v>
      </c>
      <c r="F226">
        <f>D226*E226</f>
        <v>919994.1927459573</v>
      </c>
      <c r="G226" t="str">
        <v>Potongan F</v>
      </c>
      <c r="H226">
        <f>'REKAP Balok'!G601</f>
        <v>0.0704</v>
      </c>
      <c r="I226">
        <f>AF226</f>
        <v>8969650.841215909</v>
      </c>
      <c r="J226">
        <f>AG226</f>
        <v>1750000</v>
      </c>
      <c r="K226">
        <f>AH226</f>
        <v>743594.1840277778</v>
      </c>
      <c r="N226">
        <f>SUM(I226:M226)</f>
        <v>11463245.025243687</v>
      </c>
      <c r="O226">
        <f>H226*N226</f>
        <v>807012.4497771555</v>
      </c>
      <c r="R226">
        <f>Analisa!$F$197</f>
        <v>1066432.5000000002</v>
      </c>
      <c r="S226">
        <f>Analisa!$G$197</f>
        <v>1750000</v>
      </c>
      <c r="T226">
        <f>Analisa!$H$197</f>
        <v>75000</v>
      </c>
      <c r="V226">
        <f>'REKAP Balok'!W601</f>
        <v>13.125</v>
      </c>
      <c r="W226">
        <f>Analisa!$F$143</f>
        <v>251112.5</v>
      </c>
      <c r="X226">
        <f>Analisa!$H$143</f>
        <v>50940.509259259255</v>
      </c>
      <c r="Z226">
        <f>'REKAP Balok'!X601</f>
        <v>408.36399545454543</v>
      </c>
      <c r="AA226">
        <f>Analisa!$F$233</f>
        <v>11282.5</v>
      </c>
      <c r="AF226">
        <f>R226+V226*W226+Z226*AA226</f>
        <v>8969650.841215909</v>
      </c>
      <c r="AG226">
        <f>S226</f>
        <v>1750000</v>
      </c>
      <c r="AH226">
        <f>T226+V226*X226</f>
        <v>743594.1840277778</v>
      </c>
    </row>
    <row r="227">
      <c r="B227" t="str">
        <v xml:space="preserve"> - Balok Potongan G</v>
      </c>
      <c r="C227" t="str">
        <v>m3</v>
      </c>
      <c r="D227">
        <f>H227</f>
        <v>0.282</v>
      </c>
      <c r="E227">
        <f>N227*'REKAP RAB'!$O$4</f>
        <v>11455206.358699124</v>
      </c>
      <c r="F227">
        <f>D227*E227</f>
        <v>3230368.1931531527</v>
      </c>
      <c r="G227" t="str">
        <v>Potongan G</v>
      </c>
      <c r="H227">
        <f>'REKAP Balok'!G602</f>
        <v>0.282</v>
      </c>
      <c r="I227">
        <f>AF227</f>
        <v>7605637.475591491</v>
      </c>
      <c r="J227">
        <f>AG227</f>
        <v>1750000</v>
      </c>
      <c r="K227">
        <f>AH227</f>
        <v>692789.1548463358</v>
      </c>
      <c r="N227">
        <f>SUM(I227:M227)</f>
        <v>10048426.630437829</v>
      </c>
      <c r="O227">
        <f>H227*N227</f>
        <v>2833656.3097834676</v>
      </c>
      <c r="R227">
        <f>Analisa!$F$197</f>
        <v>1066432.5000000002</v>
      </c>
      <c r="S227">
        <f>Analisa!$G$197</f>
        <v>1750000</v>
      </c>
      <c r="T227">
        <f>Analisa!$H$197</f>
        <v>75000</v>
      </c>
      <c r="V227">
        <f>'REKAP Balok'!W602</f>
        <v>12.127659574468087</v>
      </c>
      <c r="W227">
        <f>Analisa!$F$143</f>
        <v>251112.5</v>
      </c>
      <c r="X227">
        <f>Analisa!$H$143</f>
        <v>50940.509259259255</v>
      </c>
      <c r="Z227">
        <f>'REKAP Balok'!X602</f>
        <v>309.6652391489362</v>
      </c>
      <c r="AA227">
        <f>Analisa!$F$233</f>
        <v>11282.5</v>
      </c>
      <c r="AF227">
        <f>R227+V227*W227+Z227*AA227</f>
        <v>7605637.475591491</v>
      </c>
      <c r="AG227">
        <f>S227</f>
        <v>1750000</v>
      </c>
      <c r="AH227">
        <f>T227+V227*X227</f>
        <v>692789.1548463358</v>
      </c>
    </row>
    <row r="228">
      <c r="B228" t="str">
        <v xml:space="preserve"> - Balok Potongan H</v>
      </c>
      <c r="C228" t="str">
        <v>m3</v>
      </c>
      <c r="D228">
        <f>H228</f>
        <v>0.64722</v>
      </c>
      <c r="E228">
        <f>N228*'REKAP RAB'!$O$4</f>
        <v>8150638.486022756</v>
      </c>
      <c r="F228">
        <f>D228*E228</f>
        <v>5275256.240923649</v>
      </c>
      <c r="G228" t="str">
        <v>Potongan H</v>
      </c>
      <c r="H228">
        <f>'REKAP Balok'!G603</f>
        <v>0.64722</v>
      </c>
      <c r="I228">
        <f>AF228</f>
        <v>4993949.725345091</v>
      </c>
      <c r="J228">
        <f>AG228</f>
        <v>1750000</v>
      </c>
      <c r="K228">
        <f>AH228</f>
        <v>405733.15713101154</v>
      </c>
      <c r="N228">
        <f>SUM(I228:M228)</f>
        <v>7149682.882476103</v>
      </c>
      <c r="O228">
        <f>H228*N228</f>
        <v>4627417.755196183</v>
      </c>
      <c r="R228">
        <f>Analisa!$F$197</f>
        <v>1066432.5000000002</v>
      </c>
      <c r="S228">
        <f>Analisa!$G$197</f>
        <v>1750000</v>
      </c>
      <c r="T228">
        <f>Analisa!$H$197</f>
        <v>75000</v>
      </c>
      <c r="V228">
        <f>'REKAP Balok'!W603</f>
        <v>6.492537313432835</v>
      </c>
      <c r="W228">
        <f>Analisa!$F$143</f>
        <v>251112.5</v>
      </c>
      <c r="X228">
        <f>Analisa!$H$143</f>
        <v>50940.509259259255</v>
      </c>
      <c r="Z228">
        <f>'REKAP Balok'!X603</f>
        <v>203.60380671178268</v>
      </c>
      <c r="AA228">
        <f>Analisa!$F$233</f>
        <v>11282.5</v>
      </c>
      <c r="AF228">
        <f>R228+V228*W228+Z228*AA228</f>
        <v>4993949.725345091</v>
      </c>
      <c r="AG228">
        <f>S228</f>
        <v>1750000</v>
      </c>
      <c r="AH228">
        <f>T228+V228*X228</f>
        <v>405733.15713101154</v>
      </c>
    </row>
    <row r="229">
      <c r="B229" t="str">
        <v xml:space="preserve"> - Balok Potongan N</v>
      </c>
      <c r="C229" t="str">
        <v>m3</v>
      </c>
      <c r="D229">
        <f>H229</f>
        <v>0.36</v>
      </c>
      <c r="E229">
        <f>N229*'REKAP RAB'!$O$4</f>
        <v>11129176.67944948</v>
      </c>
      <c r="F229">
        <f>D229*E229</f>
        <v>4006503.6046018125</v>
      </c>
      <c r="G229" t="str">
        <v>Potongan N</v>
      </c>
      <c r="H229">
        <f>'REKAP Balok'!G609</f>
        <v>0.36</v>
      </c>
      <c r="I229">
        <f>AF229</f>
        <v>7314829.459447779</v>
      </c>
      <c r="J229">
        <f>AG229</f>
        <v>1750000</v>
      </c>
      <c r="K229">
        <f>AH229</f>
        <v>697606.2242798354</v>
      </c>
      <c r="N229">
        <f>SUM(I229:M229)</f>
        <v>9762435.683727615</v>
      </c>
      <c r="O229">
        <f>H229*N229</f>
        <v>3514476.846141941</v>
      </c>
      <c r="R229">
        <f>Analisa!$F$197</f>
        <v>1066432.5000000002</v>
      </c>
      <c r="S229">
        <f>Analisa!$G$197</f>
        <v>1750000</v>
      </c>
      <c r="T229">
        <f>Analisa!$H$197</f>
        <v>75000</v>
      </c>
      <c r="V229">
        <f>'REKAP Balok'!W609</f>
        <v>12.222222222222223</v>
      </c>
      <c r="W229">
        <f>Analisa!$F$143</f>
        <v>251112.5</v>
      </c>
      <c r="X229">
        <f>Analisa!$H$143</f>
        <v>50940.509259259255</v>
      </c>
      <c r="Z229">
        <f>'REKAP Balok'!X609</f>
        <v>281.78543600000006</v>
      </c>
      <c r="AA229">
        <f>Analisa!$F$233</f>
        <v>11282.5</v>
      </c>
      <c r="AF229">
        <f>R229+V229*W229+Z229*AA229</f>
        <v>7314829.459447779</v>
      </c>
      <c r="AG229">
        <f>S229</f>
        <v>1750000</v>
      </c>
      <c r="AH229">
        <f>T229+V229*X229</f>
        <v>697606.2242798354</v>
      </c>
    </row>
    <row r="231">
      <c r="A231">
        <v>4</v>
      </c>
      <c r="B231" t="str">
        <v>Kolom (Readymix K-350) Lantai 2 :</v>
      </c>
      <c r="AJ231">
        <f>SUMPRODUCT(H232:H247,V232:V247)</f>
        <v>240.3</v>
      </c>
      <c r="AL231">
        <f>SUMPRODUCT(H232:H247,Z232:Z247)</f>
        <v>4341.9675533399995</v>
      </c>
      <c r="AM231" t="str">
        <v>v</v>
      </c>
    </row>
    <row r="232">
      <c r="B232" t="str">
        <v xml:space="preserve"> - Kolom K174-1</v>
      </c>
      <c r="C232" t="str">
        <v>m3</v>
      </c>
      <c r="D232">
        <f>H232</f>
        <v>0.9179999999999999</v>
      </c>
      <c r="E232">
        <f>N232*'REKAP RAB'!$O$4</f>
        <v>11172730.134016234</v>
      </c>
      <c r="F232">
        <f>D232*E232</f>
        <v>10256566.263026902</v>
      </c>
      <c r="G232" t="str">
        <v>K174-1</v>
      </c>
      <c r="H232">
        <f>'Hasil-Kolom'!F278</f>
        <v>0.9179999999999999</v>
      </c>
      <c r="I232">
        <f>AF232</f>
        <v>7300640.468435294</v>
      </c>
      <c r="J232">
        <f>AG232</f>
        <v>2250000</v>
      </c>
      <c r="K232">
        <f>AH232</f>
        <v>250000</v>
      </c>
      <c r="N232">
        <f>SUM(I232:M232)</f>
        <v>9800640.468435295</v>
      </c>
      <c r="O232">
        <f>H232*N232</f>
        <v>8996987.9500236</v>
      </c>
      <c r="R232">
        <f>Analisa!$F$190</f>
        <v>1066432.5000000002</v>
      </c>
      <c r="S232">
        <f>Analisa!$G$190</f>
        <v>2250000</v>
      </c>
      <c r="T232">
        <f>Analisa!$H$190</f>
        <v>250000</v>
      </c>
      <c r="V232">
        <f>'Hasil-Kolom'!V278</f>
        <v>16.764705882352942</v>
      </c>
      <c r="W232">
        <f>Analisa!$F$132</f>
        <v>232434.21052631576</v>
      </c>
      <c r="Z232">
        <f>'Hasil-Kolom'!W278</f>
        <v>207.18074823529412</v>
      </c>
      <c r="AA232">
        <f>Analisa!$F$233</f>
        <v>11282.5</v>
      </c>
      <c r="AF232">
        <f>R232+V232*W232+Z232*AA232</f>
        <v>7300640.468435294</v>
      </c>
      <c r="AG232">
        <f>S232</f>
        <v>2250000</v>
      </c>
      <c r="AH232">
        <f>T232+V232*X232</f>
        <v>250000</v>
      </c>
    </row>
    <row r="233">
      <c r="B233" t="str">
        <v xml:space="preserve"> - Kolom K175-1</v>
      </c>
      <c r="C233" t="str">
        <v>m3</v>
      </c>
      <c r="D233">
        <f>H233</f>
        <v>1.9125</v>
      </c>
      <c r="E233">
        <f>N233*'REKAP RAB'!$O$4</f>
        <v>10803082.86078573</v>
      </c>
      <c r="F233">
        <f>D233*E233</f>
        <v>20660895.97125271</v>
      </c>
      <c r="G233" t="str">
        <v>K175-1</v>
      </c>
      <c r="H233">
        <f>'Hasil-Kolom'!F280</f>
        <v>1.9125</v>
      </c>
      <c r="I233">
        <f>AF233</f>
        <v>6976388.474373449</v>
      </c>
      <c r="J233">
        <f>AG233</f>
        <v>2250000</v>
      </c>
      <c r="K233">
        <f>AH233</f>
        <v>250000</v>
      </c>
      <c r="N233">
        <f>SUM(I233:M233)</f>
        <v>9476388.474373449</v>
      </c>
      <c r="O233">
        <f>H233*N233</f>
        <v>18123592.95723922</v>
      </c>
      <c r="R233">
        <f>Analisa!$F$190</f>
        <v>1066432.5000000002</v>
      </c>
      <c r="S233">
        <f>Analisa!$G$190</f>
        <v>2250000</v>
      </c>
      <c r="T233">
        <f>Analisa!$H$190</f>
        <v>250000</v>
      </c>
      <c r="V233">
        <f>'Hasil-Kolom'!V280</f>
        <v>15.764705882352942</v>
      </c>
      <c r="W233">
        <f>Analisa!$F$132</f>
        <v>232434.21052631576</v>
      </c>
      <c r="Z233">
        <f>'Hasil-Kolom'!W280</f>
        <v>199.04267745882353</v>
      </c>
      <c r="AA233">
        <f>Analisa!$F$233</f>
        <v>11282.5</v>
      </c>
      <c r="AF233">
        <f>R233+V233*W233+Z233*AA233</f>
        <v>6976388.474373449</v>
      </c>
      <c r="AG233">
        <f>S233</f>
        <v>2250000</v>
      </c>
      <c r="AH233">
        <f>T233+V233*X233</f>
        <v>250000</v>
      </c>
    </row>
    <row r="234">
      <c r="B234" t="str">
        <v xml:space="preserve"> - Kolom K175-2</v>
      </c>
      <c r="C234" t="str">
        <v>m3</v>
      </c>
      <c r="D234">
        <f>H234</f>
        <v>1.9125</v>
      </c>
      <c r="E234">
        <f>N234*'REKAP RAB'!$O$4</f>
        <v>11481661.347251687</v>
      </c>
      <c r="F234">
        <f>D234*E234</f>
        <v>21958677.326618854</v>
      </c>
      <c r="G234" t="str">
        <v>K175-2</v>
      </c>
      <c r="H234">
        <f>'Hasil-Kolom'!F281</f>
        <v>1.9125</v>
      </c>
      <c r="I234">
        <f>AF234</f>
        <v>7571632.760747096</v>
      </c>
      <c r="J234">
        <f>AG234</f>
        <v>2250000</v>
      </c>
      <c r="K234">
        <f>AH234</f>
        <v>250000</v>
      </c>
      <c r="N234">
        <f>SUM(I234:M234)</f>
        <v>10071632.760747096</v>
      </c>
      <c r="O234">
        <f>H234*N234</f>
        <v>19261997.654928822</v>
      </c>
      <c r="R234">
        <f>Analisa!$F$190</f>
        <v>1066432.5000000002</v>
      </c>
      <c r="S234">
        <f>Analisa!$G$190</f>
        <v>2250000</v>
      </c>
      <c r="T234">
        <f>Analisa!$H$190</f>
        <v>250000</v>
      </c>
      <c r="V234">
        <f>'Hasil-Kolom'!V281</f>
        <v>15.764705882352942</v>
      </c>
      <c r="W234">
        <f>Analisa!$F$132</f>
        <v>232434.21052631576</v>
      </c>
      <c r="Z234">
        <f>'Hasil-Kolom'!W281</f>
        <v>251.80086814117647</v>
      </c>
      <c r="AA234">
        <f>Analisa!$F$233</f>
        <v>11282.5</v>
      </c>
      <c r="AF234">
        <f>R234+V234*W234+Z234*AA234</f>
        <v>7571632.760747096</v>
      </c>
      <c r="AG234">
        <f>S234</f>
        <v>2250000</v>
      </c>
      <c r="AH234">
        <f>T234+V234*X234</f>
        <v>250000</v>
      </c>
    </row>
    <row r="235">
      <c r="B235" t="str">
        <v xml:space="preserve"> - Kolom K175-3</v>
      </c>
      <c r="C235" t="str">
        <v>m3</v>
      </c>
      <c r="D235">
        <f>H235</f>
        <v>0.3825</v>
      </c>
      <c r="E235">
        <f>N235*'REKAP RAB'!$O$4</f>
        <v>12468478.952758586</v>
      </c>
      <c r="F235">
        <f>D235*E235</f>
        <v>4769193.199430159</v>
      </c>
      <c r="G235" t="str">
        <v>K175-3</v>
      </c>
      <c r="H235">
        <f>'Hasil-Kolom'!F282</f>
        <v>0.3825</v>
      </c>
      <c r="I235">
        <f>AF235</f>
        <v>8437262.239261918</v>
      </c>
      <c r="J235">
        <f>AG235</f>
        <v>2250000</v>
      </c>
      <c r="K235">
        <f>AH235</f>
        <v>250000</v>
      </c>
      <c r="N235">
        <f>SUM(I235:M235)</f>
        <v>10937262.239261918</v>
      </c>
      <c r="O235">
        <f>H235*N235</f>
        <v>4183502.8065176834</v>
      </c>
      <c r="R235">
        <f>Analisa!$F$190</f>
        <v>1066432.5000000002</v>
      </c>
      <c r="S235">
        <f>Analisa!$G$190</f>
        <v>2250000</v>
      </c>
      <c r="T235">
        <f>Analisa!$H$190</f>
        <v>250000</v>
      </c>
      <c r="V235">
        <f>'Hasil-Kolom'!V282</f>
        <v>15.764705882352942</v>
      </c>
      <c r="W235">
        <f>Analisa!$F$132</f>
        <v>232434.21052631576</v>
      </c>
      <c r="Z235">
        <f>'Hasil-Kolom'!W282</f>
        <v>328.5240658823529</v>
      </c>
      <c r="AA235">
        <f>Analisa!$F$233</f>
        <v>11282.5</v>
      </c>
      <c r="AF235">
        <f>R235+V235*W235+Z235*AA235</f>
        <v>8437262.239261918</v>
      </c>
      <c r="AG235">
        <f>S235</f>
        <v>2250000</v>
      </c>
      <c r="AH235">
        <f>T235+V235*X235</f>
        <v>250000</v>
      </c>
    </row>
    <row r="236">
      <c r="B236" t="str">
        <v xml:space="preserve"> - Kolom K175-4</v>
      </c>
      <c r="C236" t="str">
        <v>m3</v>
      </c>
      <c r="D236">
        <f>H236</f>
        <v>0.765</v>
      </c>
      <c r="E236">
        <f>N236*'REKAP RAB'!$O$4</f>
        <v>13141040.922082303</v>
      </c>
      <c r="F236">
        <f>D236*E236</f>
        <v>10052896.305392962</v>
      </c>
      <c r="G236" t="str">
        <v>K175-4</v>
      </c>
      <c r="H236">
        <f>'Hasil-Kolom'!F283</f>
        <v>0.765</v>
      </c>
      <c r="I236">
        <f>AF236</f>
        <v>9027228.879019566</v>
      </c>
      <c r="J236">
        <f>AG236</f>
        <v>2250000</v>
      </c>
      <c r="K236">
        <f>AH236</f>
        <v>250000</v>
      </c>
      <c r="N236">
        <f>SUM(I236:M236)</f>
        <v>11527228.879019566</v>
      </c>
      <c r="O236">
        <f>H236*N236</f>
        <v>8818330.092449969</v>
      </c>
      <c r="R236">
        <f>Analisa!$F$190</f>
        <v>1066432.5000000002</v>
      </c>
      <c r="S236">
        <f>Analisa!$G$190</f>
        <v>2250000</v>
      </c>
      <c r="T236">
        <f>Analisa!$H$190</f>
        <v>250000</v>
      </c>
      <c r="V236">
        <f>'Hasil-Kolom'!V283</f>
        <v>15.764705882352942</v>
      </c>
      <c r="W236">
        <f>Analisa!$F$132</f>
        <v>232434.21052631576</v>
      </c>
      <c r="Z236">
        <f>'Hasil-Kolom'!W283</f>
        <v>380.81448376470587</v>
      </c>
      <c r="AA236">
        <f>Analisa!$F$233</f>
        <v>11282.5</v>
      </c>
      <c r="AF236">
        <f>R236+V236*W236+Z236*AA236</f>
        <v>9027228.879019566</v>
      </c>
      <c r="AG236">
        <f>S236</f>
        <v>2250000</v>
      </c>
      <c r="AH236">
        <f>T236+V236*X236</f>
        <v>250000</v>
      </c>
    </row>
    <row r="237">
      <c r="B237" t="str">
        <v xml:space="preserve"> - Kolom K176-1</v>
      </c>
      <c r="C237" t="str">
        <v>m3</v>
      </c>
      <c r="D237">
        <f>H237</f>
        <v>1.836</v>
      </c>
      <c r="E237">
        <f>N237*'REKAP RAB'!$O$4</f>
        <v>11185655.287242351</v>
      </c>
      <c r="F237">
        <f>D237*E237</f>
        <v>20536863.10737696</v>
      </c>
      <c r="G237" t="str">
        <v>K176-1</v>
      </c>
      <c r="H237">
        <f>'Hasil-Kolom'!F284</f>
        <v>1.836</v>
      </c>
      <c r="I237">
        <f>AF237</f>
        <v>7311978.322142414</v>
      </c>
      <c r="J237">
        <f>AG237</f>
        <v>2250000</v>
      </c>
      <c r="K237">
        <f>AH237</f>
        <v>250000</v>
      </c>
      <c r="N237">
        <f>SUM(I237:M237)</f>
        <v>9811978.322142415</v>
      </c>
      <c r="O237">
        <f>H237*N237</f>
        <v>18014792.199453473</v>
      </c>
      <c r="R237">
        <f>Analisa!$F$190</f>
        <v>1066432.5000000002</v>
      </c>
      <c r="S237">
        <f>Analisa!$G$190</f>
        <v>2250000</v>
      </c>
      <c r="T237">
        <f>Analisa!$H$190</f>
        <v>250000</v>
      </c>
      <c r="V237">
        <f>'Hasil-Kolom'!V284</f>
        <v>15.098039215686272</v>
      </c>
      <c r="W237">
        <f>Analisa!$F$132</f>
        <v>232434.21052631576</v>
      </c>
      <c r="Z237">
        <f>'Hasil-Kolom'!W284</f>
        <v>242.52116078431374</v>
      </c>
      <c r="AA237">
        <f>Analisa!$F$233</f>
        <v>11282.5</v>
      </c>
      <c r="AF237">
        <f>R237+V237*W237+Z237*AA237</f>
        <v>7311978.322142414</v>
      </c>
      <c r="AG237">
        <f>S237</f>
        <v>2250000</v>
      </c>
      <c r="AH237">
        <f>T237+V237*X237</f>
        <v>250000</v>
      </c>
    </row>
    <row r="238">
      <c r="B238" t="str">
        <v xml:space="preserve"> - Kolom K176-4</v>
      </c>
      <c r="C238" t="str">
        <v>m3</v>
      </c>
      <c r="D238">
        <f>H238</f>
        <v>0.459</v>
      </c>
      <c r="E238">
        <f>N238*'REKAP RAB'!$O$4</f>
        <v>12109526.835957175</v>
      </c>
      <c r="F238">
        <f>D238*E238</f>
        <v>5558272.817704343</v>
      </c>
      <c r="G238" t="str">
        <v>K176-4</v>
      </c>
      <c r="H238">
        <f>'Hasil-Kolom'!F285</f>
        <v>0.459</v>
      </c>
      <c r="I238">
        <f>AF238</f>
        <v>8122391.961365944</v>
      </c>
      <c r="J238">
        <f>AG238</f>
        <v>2250000</v>
      </c>
      <c r="K238">
        <f>AH238</f>
        <v>250000</v>
      </c>
      <c r="N238">
        <f>SUM(I238:M238)</f>
        <v>10622391.961365944</v>
      </c>
      <c r="O238">
        <f>H238*N238</f>
        <v>4875677.910266968</v>
      </c>
      <c r="R238">
        <f>Analisa!$F$190</f>
        <v>1066432.5000000002</v>
      </c>
      <c r="S238">
        <f>Analisa!$G$190</f>
        <v>2250000</v>
      </c>
      <c r="T238">
        <f>Analisa!$H$190</f>
        <v>250000</v>
      </c>
      <c r="V238">
        <f>'Hasil-Kolom'!V285</f>
        <v>15.098039215686272</v>
      </c>
      <c r="W238">
        <f>Analisa!$F$132</f>
        <v>232434.21052631576</v>
      </c>
      <c r="Z238">
        <f>'Hasil-Kolom'!W285</f>
        <v>314.35042196078433</v>
      </c>
      <c r="AA238">
        <f>Analisa!$F$233</f>
        <v>11282.5</v>
      </c>
      <c r="AF238">
        <f>R238+V238*W238+Z238*AA238</f>
        <v>8122391.961365944</v>
      </c>
      <c r="AG238">
        <f>S238</f>
        <v>2250000</v>
      </c>
      <c r="AH238">
        <f>T238+V238*X238</f>
        <v>250000</v>
      </c>
    </row>
    <row r="239">
      <c r="B239" t="str">
        <v xml:space="preserve"> - Kolom K177-1</v>
      </c>
      <c r="C239" t="str">
        <v>m3</v>
      </c>
      <c r="D239">
        <f>H239</f>
        <v>1.071</v>
      </c>
      <c r="E239">
        <f>N239*'REKAP RAB'!$O$4</f>
        <v>11795441.581135713</v>
      </c>
      <c r="F239">
        <f>D239*E239</f>
        <v>12632917.933396347</v>
      </c>
      <c r="G239" t="str">
        <v>K177-1</v>
      </c>
      <c r="H239">
        <f>'Hasil-Kolom'!F286</f>
        <v>1.071</v>
      </c>
      <c r="I239">
        <f>AF239</f>
        <v>7846878.579943609</v>
      </c>
      <c r="J239">
        <f>AG239</f>
        <v>2250000</v>
      </c>
      <c r="K239">
        <f>AH239</f>
        <v>250000</v>
      </c>
      <c r="N239">
        <f>SUM(I239:M239)</f>
        <v>10346878.579943608</v>
      </c>
      <c r="O239">
        <f>H239*N239</f>
        <v>11081506.959119605</v>
      </c>
      <c r="R239">
        <f>Analisa!$F$190</f>
        <v>1066432.5000000002</v>
      </c>
      <c r="S239">
        <f>Analisa!$G$190</f>
        <v>2250000</v>
      </c>
      <c r="T239">
        <f>Analisa!$H$190</f>
        <v>250000</v>
      </c>
      <c r="V239">
        <f>'Hasil-Kolom'!V286</f>
        <v>14.6218487394958</v>
      </c>
      <c r="W239">
        <f>Analisa!$F$132</f>
        <v>232434.21052631576</v>
      </c>
      <c r="Z239">
        <f>'Hasil-Kolom'!W286</f>
        <v>299.7410336134454</v>
      </c>
      <c r="AA239">
        <f>Analisa!$F$233</f>
        <v>11282.5</v>
      </c>
      <c r="AF239">
        <f>R239+V239*W239+Z239*AA239</f>
        <v>7846878.579943609</v>
      </c>
      <c r="AG239">
        <f>S239</f>
        <v>2250000</v>
      </c>
      <c r="AH239">
        <f>T239+V239*X239</f>
        <v>250000</v>
      </c>
    </row>
    <row r="240">
      <c r="B240" t="str">
        <v xml:space="preserve"> - Kolom K177-2</v>
      </c>
      <c r="C240" t="str">
        <v>m3</v>
      </c>
      <c r="D240">
        <f>H240</f>
        <v>0.5355</v>
      </c>
      <c r="E240">
        <f>N240*'REKAP RAB'!$O$4</f>
        <v>12439179.371291395</v>
      </c>
      <c r="F240">
        <f>D240*E240</f>
        <v>6661180.553326542</v>
      </c>
      <c r="G240" t="str">
        <v>K177-2</v>
      </c>
      <c r="H240">
        <f>'Hasil-Kolom'!F287</f>
        <v>0.5355</v>
      </c>
      <c r="I240">
        <f>AF240</f>
        <v>8411560.852009997</v>
      </c>
      <c r="J240">
        <f>AG240</f>
        <v>2250000</v>
      </c>
      <c r="K240">
        <f>AH240</f>
        <v>250000</v>
      </c>
      <c r="N240">
        <f>SUM(I240:M240)</f>
        <v>10911560.852009997</v>
      </c>
      <c r="O240">
        <f>H240*N240</f>
        <v>5843140.836251353</v>
      </c>
      <c r="R240">
        <f>Analisa!$F$190</f>
        <v>1066432.5000000002</v>
      </c>
      <c r="S240">
        <f>Analisa!$G$190</f>
        <v>2250000</v>
      </c>
      <c r="T240">
        <f>Analisa!$H$190</f>
        <v>250000</v>
      </c>
      <c r="V240">
        <f>'Hasil-Kolom'!V287</f>
        <v>14.6218487394958</v>
      </c>
      <c r="W240">
        <f>Analisa!$F$132</f>
        <v>232434.21052631576</v>
      </c>
      <c r="Z240">
        <f>'Hasil-Kolom'!W287</f>
        <v>349.79042621848737</v>
      </c>
      <c r="AA240">
        <f>Analisa!$F$233</f>
        <v>11282.5</v>
      </c>
      <c r="AF240">
        <f>R240+V240*W240+Z240*AA240</f>
        <v>8411560.852009997</v>
      </c>
      <c r="AG240">
        <f>S240</f>
        <v>2250000</v>
      </c>
      <c r="AH240">
        <f>T240+V240*X240</f>
        <v>250000</v>
      </c>
    </row>
    <row r="241">
      <c r="B241" t="str">
        <v xml:space="preserve"> - Kolom K178-1</v>
      </c>
      <c r="C241" t="str">
        <v>m3</v>
      </c>
      <c r="D241">
        <f>H241</f>
        <v>2.448</v>
      </c>
      <c r="E241">
        <f>N241*'REKAP RAB'!$O$4</f>
        <v>10168926.018995292</v>
      </c>
      <c r="F241">
        <f>D241*E241</f>
        <v>24893530.894500475</v>
      </c>
      <c r="G241" t="str">
        <v>K178-1</v>
      </c>
      <c r="H241">
        <f>'Hasil-Kolom'!F288</f>
        <v>2.448</v>
      </c>
      <c r="I241">
        <f>AF241</f>
        <v>6420110.542978328</v>
      </c>
      <c r="J241">
        <f>AG241</f>
        <v>2250000</v>
      </c>
      <c r="K241">
        <f>AH241</f>
        <v>250000</v>
      </c>
      <c r="N241">
        <f>SUM(I241:M241)</f>
        <v>8920110.542978328</v>
      </c>
      <c r="O241">
        <f>H241*N241</f>
        <v>21836430.609210946</v>
      </c>
      <c r="R241">
        <f>Analisa!$F$190</f>
        <v>1066432.5000000002</v>
      </c>
      <c r="S241">
        <f>Analisa!$G$190</f>
        <v>2250000</v>
      </c>
      <c r="T241">
        <f>Analisa!$H$190</f>
        <v>250000</v>
      </c>
      <c r="V241">
        <f>'Hasil-Kolom'!V288</f>
        <v>14.264705882352942</v>
      </c>
      <c r="W241">
        <f>Analisa!$F$132</f>
        <v>232434.21052631576</v>
      </c>
      <c r="Z241">
        <f>'Hasil-Kolom'!W288</f>
        <v>180.64014117647056</v>
      </c>
      <c r="AA241">
        <f>Analisa!$F$233</f>
        <v>11282.5</v>
      </c>
      <c r="AF241">
        <f>R241+V241*W241+Z241*AA241</f>
        <v>6420110.542978328</v>
      </c>
      <c r="AG241">
        <f>S241</f>
        <v>2250000</v>
      </c>
      <c r="AH241">
        <f>T241+V241*X241</f>
        <v>250000</v>
      </c>
    </row>
    <row r="242">
      <c r="B242" t="str">
        <v xml:space="preserve"> - Kolom K178-2</v>
      </c>
      <c r="C242" t="str">
        <v>m3</v>
      </c>
      <c r="D242">
        <f>H242</f>
        <v>0.612</v>
      </c>
      <c r="E242">
        <f>N242*'REKAP RAB'!$O$4</f>
        <v>12432808.407955807</v>
      </c>
      <c r="F242">
        <f>D242*E242</f>
        <v>7608878.745668953</v>
      </c>
      <c r="G242" t="str">
        <v>K178-2</v>
      </c>
      <c r="H242">
        <f>'Hasil-Kolom'!F289</f>
        <v>0.612</v>
      </c>
      <c r="I242">
        <f>AF242</f>
        <v>8405972.287680533</v>
      </c>
      <c r="J242">
        <f>AG242</f>
        <v>2250000</v>
      </c>
      <c r="K242">
        <f>AH242</f>
        <v>250000</v>
      </c>
      <c r="N242">
        <f>SUM(I242:M242)</f>
        <v>10905972.287680533</v>
      </c>
      <c r="O242">
        <f>H242*N242</f>
        <v>6674455.040060486</v>
      </c>
      <c r="R242">
        <f>Analisa!$F$190</f>
        <v>1066432.5000000002</v>
      </c>
      <c r="S242">
        <f>Analisa!$G$190</f>
        <v>2250000</v>
      </c>
      <c r="T242">
        <f>Analisa!$H$190</f>
        <v>250000</v>
      </c>
      <c r="V242">
        <f>'Hasil-Kolom'!V289</f>
        <v>14.264705882352942</v>
      </c>
      <c r="W242">
        <f>Analisa!$F$132</f>
        <v>232434.21052631576</v>
      </c>
      <c r="Z242">
        <f>'Hasil-Kolom'!W289</f>
        <v>356.65270441176466</v>
      </c>
      <c r="AA242">
        <f>Analisa!$F$233</f>
        <v>11282.5</v>
      </c>
      <c r="AF242">
        <f>R242+V242*W242+Z242*AA242</f>
        <v>8405972.287680533</v>
      </c>
      <c r="AG242">
        <f>S242</f>
        <v>2250000</v>
      </c>
      <c r="AH242">
        <f>T242+V242*X242</f>
        <v>250000</v>
      </c>
    </row>
    <row r="243">
      <c r="B243" t="str">
        <v xml:space="preserve"> - Kolom K278-1</v>
      </c>
      <c r="C243" t="str">
        <v>m3</v>
      </c>
      <c r="D243">
        <f>H243</f>
        <v>0.972</v>
      </c>
      <c r="E243">
        <f>N243*'REKAP RAB'!$O$4</f>
        <v>9511785.284082167</v>
      </c>
      <c r="F243">
        <f>D243*E243</f>
        <v>9245455.296127865</v>
      </c>
      <c r="G243" t="str">
        <v>K278-1</v>
      </c>
      <c r="H243">
        <f>'Hasil-Kolom'!F292</f>
        <v>0.972</v>
      </c>
      <c r="I243">
        <f>AF243</f>
        <v>5843671.301826462</v>
      </c>
      <c r="J243">
        <f>AG243</f>
        <v>2250000</v>
      </c>
      <c r="K243">
        <f>AH243</f>
        <v>250000</v>
      </c>
      <c r="N243">
        <f>SUM(I243:M243)</f>
        <v>8343671.301826462</v>
      </c>
      <c r="O243">
        <f>H243*N243</f>
        <v>8110048.505375321</v>
      </c>
      <c r="R243">
        <f>Analisa!$F$190</f>
        <v>1066432.5000000002</v>
      </c>
      <c r="S243">
        <f>Analisa!$G$190</f>
        <v>2250000</v>
      </c>
      <c r="T243">
        <f>Analisa!$H$190</f>
        <v>250000</v>
      </c>
      <c r="V243">
        <f>'Hasil-Kolom'!V292</f>
        <v>9.907407407407408</v>
      </c>
      <c r="W243">
        <f>Analisa!$F$132</f>
        <v>232434.21052631576</v>
      </c>
      <c r="Z243">
        <f>'Hasil-Kolom'!W292</f>
        <v>219.31472481481484</v>
      </c>
      <c r="AA243">
        <f>Analisa!$F$233</f>
        <v>11282.5</v>
      </c>
      <c r="AF243">
        <f>R243+V243*W243+Z243*AA243</f>
        <v>5843671.301826462</v>
      </c>
      <c r="AG243">
        <f>S243</f>
        <v>2250000</v>
      </c>
      <c r="AH243">
        <f>T243+V243*X243</f>
        <v>250000</v>
      </c>
    </row>
    <row r="244">
      <c r="B244" t="str">
        <v xml:space="preserve"> - Kolom K36-1</v>
      </c>
      <c r="C244" t="str">
        <v>m3</v>
      </c>
      <c r="D244">
        <f>H244</f>
        <v>0.81</v>
      </c>
      <c r="E244">
        <f>N244*'REKAP RAB'!$O$4</f>
        <v>11840377.16214</v>
      </c>
      <c r="F244">
        <f>D244*E244</f>
        <v>9590705.5013334</v>
      </c>
      <c r="G244" t="str">
        <v>K36-1</v>
      </c>
      <c r="H244">
        <f>'Hasil-Kolom'!F293</f>
        <v>0.81</v>
      </c>
      <c r="I244">
        <f>AF244</f>
        <v>7886295.756263158</v>
      </c>
      <c r="J244">
        <f>AG244</f>
        <v>2250000</v>
      </c>
      <c r="K244">
        <f>AH244</f>
        <v>250000</v>
      </c>
      <c r="N244">
        <f>SUM(I244:M244)</f>
        <v>10386295.75626316</v>
      </c>
      <c r="O244">
        <f>H244*N244</f>
        <v>8412899.56257316</v>
      </c>
      <c r="R244">
        <f>Analisa!$F$190</f>
        <v>1066432.5000000002</v>
      </c>
      <c r="S244">
        <f>Analisa!$G$190</f>
        <v>2250000</v>
      </c>
      <c r="T244">
        <f>Analisa!$H$190</f>
        <v>250000</v>
      </c>
      <c r="V244">
        <f>'Hasil-Kolom'!V293</f>
        <v>9.999999999999998</v>
      </c>
      <c r="W244">
        <f>Analisa!$F$132</f>
        <v>232434.21052631576</v>
      </c>
      <c r="Z244">
        <f>'Hasil-Kolom'!W293</f>
        <v>398.4508</v>
      </c>
      <c r="AA244">
        <f>Analisa!$F$233</f>
        <v>11282.5</v>
      </c>
      <c r="AF244">
        <f>R244+V244*W244+Z244*AA244</f>
        <v>7886295.756263158</v>
      </c>
      <c r="AG244">
        <f>S244</f>
        <v>2250000</v>
      </c>
      <c r="AH244">
        <f>T244+V244*X244</f>
        <v>250000</v>
      </c>
    </row>
    <row r="245">
      <c r="B245" t="str">
        <v xml:space="preserve"> - Kolom KL175-1</v>
      </c>
      <c r="C245" t="str">
        <v>m3</v>
      </c>
      <c r="D245">
        <f>H245</f>
        <v>0.63495</v>
      </c>
      <c r="E245">
        <f>N245*'REKAP RAB'!$O$4</f>
        <v>10908578.845155094</v>
      </c>
      <c r="F245">
        <f>D245*E245</f>
        <v>6926402.137731227</v>
      </c>
      <c r="G245" t="str">
        <v>KL175-1</v>
      </c>
      <c r="H245">
        <f>'Hasil-Kolom'!F299</f>
        <v>0.63495</v>
      </c>
      <c r="I245">
        <f>AF245</f>
        <v>7068928.811539558</v>
      </c>
      <c r="J245">
        <f>AG245</f>
        <v>2250000</v>
      </c>
      <c r="K245">
        <f>AH245</f>
        <v>250000</v>
      </c>
      <c r="N245">
        <f>SUM(I245:M245)</f>
        <v>9568928.811539557</v>
      </c>
      <c r="O245">
        <f>H245*N245</f>
        <v>6075791.348887042</v>
      </c>
      <c r="R245">
        <f>Analisa!$F$190</f>
        <v>1066432.5000000002</v>
      </c>
      <c r="S245">
        <f>Analisa!$G$190</f>
        <v>2250000</v>
      </c>
      <c r="T245">
        <f>Analisa!$H$190</f>
        <v>250000</v>
      </c>
      <c r="V245">
        <f>'Hasil-Kolom'!V299</f>
        <v>14.174344436569807</v>
      </c>
      <c r="W245">
        <f>Analisa!$F$132</f>
        <v>232434.21052631576</v>
      </c>
      <c r="Z245">
        <f>'Hasil-Kolom'!W299</f>
        <v>240.00830956768255</v>
      </c>
      <c r="AA245">
        <f>Analisa!$F$233</f>
        <v>11282.5</v>
      </c>
      <c r="AF245">
        <f>R245+V245*W245+Z245*AA245</f>
        <v>7068928.811539558</v>
      </c>
      <c r="AG245">
        <f>S245</f>
        <v>2250000</v>
      </c>
      <c r="AH245">
        <f>T245+V245*X245</f>
        <v>250000</v>
      </c>
    </row>
    <row r="246">
      <c r="B246" t="str">
        <v xml:space="preserve"> - Kolom KL175-2</v>
      </c>
      <c r="C246" t="str">
        <v>m3</v>
      </c>
      <c r="D246">
        <f>H246</f>
        <v>0.63495</v>
      </c>
      <c r="E246">
        <f>N246*'REKAP RAB'!$O$4</f>
        <v>11291567.406201132</v>
      </c>
      <c r="F246">
        <f>D246*E246</f>
        <v>7169580.724567409</v>
      </c>
      <c r="G246" t="str">
        <v>KL175-2</v>
      </c>
      <c r="H246">
        <f>'Hasil-Kolom'!F300</f>
        <v>0.63495</v>
      </c>
      <c r="I246">
        <f>AF246</f>
        <v>7404883.6896501165</v>
      </c>
      <c r="J246">
        <f>AG246</f>
        <v>2250000</v>
      </c>
      <c r="K246">
        <f>AH246</f>
        <v>250000</v>
      </c>
      <c r="N246">
        <f>SUM(I246:M246)</f>
        <v>9904883.689650116</v>
      </c>
      <c r="O246">
        <f>H246*N246</f>
        <v>6289105.898743342</v>
      </c>
      <c r="R246">
        <f>Analisa!$F$190</f>
        <v>1066432.5000000002</v>
      </c>
      <c r="S246">
        <f>Analisa!$G$190</f>
        <v>2250000</v>
      </c>
      <c r="T246">
        <f>Analisa!$H$190</f>
        <v>250000</v>
      </c>
      <c r="V246">
        <f>'Hasil-Kolom'!V300</f>
        <v>14.174344436569807</v>
      </c>
      <c r="W246">
        <f>Analisa!$F$132</f>
        <v>232434.21052631576</v>
      </c>
      <c r="Z246">
        <f>'Hasil-Kolom'!W300</f>
        <v>269.78494401133946</v>
      </c>
      <c r="AA246">
        <f>Analisa!$F$233</f>
        <v>11282.5</v>
      </c>
      <c r="AF246">
        <f>R246+V246*W246+Z246*AA246</f>
        <v>7404883.6896501165</v>
      </c>
      <c r="AG246">
        <f>S246</f>
        <v>2250000</v>
      </c>
      <c r="AH246">
        <f>T246+V246*X246</f>
        <v>250000</v>
      </c>
    </row>
    <row r="247">
      <c r="B247" t="str">
        <v xml:space="preserve"> - Kolom KL175-3</v>
      </c>
      <c r="C247" t="str">
        <v>m3</v>
      </c>
      <c r="D247">
        <f>H247</f>
        <v>0.63495</v>
      </c>
      <c r="E247">
        <f>N247*'REKAP RAB'!$O$4</f>
        <v>12978389.709385172</v>
      </c>
      <c r="F247">
        <f>D247*E247</f>
        <v>8240628.545974115</v>
      </c>
      <c r="G247" t="str">
        <v>KL175-3</v>
      </c>
      <c r="H247">
        <f>'Hasil-Kolom'!F301</f>
        <v>0.63495</v>
      </c>
      <c r="I247">
        <f>AF247</f>
        <v>8884552.37665366</v>
      </c>
      <c r="J247">
        <f>AG247</f>
        <v>2250000</v>
      </c>
      <c r="K247">
        <f>AH247</f>
        <v>250000</v>
      </c>
      <c r="N247">
        <f>SUM(I247:M247)</f>
        <v>11384552.37665366</v>
      </c>
      <c r="O247">
        <f>H247*N247</f>
        <v>7228621.531556241</v>
      </c>
      <c r="R247">
        <f>Analisa!$F$190</f>
        <v>1066432.5000000002</v>
      </c>
      <c r="S247">
        <f>Analisa!$G$190</f>
        <v>2250000</v>
      </c>
      <c r="T247">
        <f>Analisa!$H$190</f>
        <v>250000</v>
      </c>
      <c r="V247">
        <f>'Hasil-Kolom'!V301</f>
        <v>14.174344436569807</v>
      </c>
      <c r="W247">
        <f>Analisa!$F$132</f>
        <v>232434.21052631576</v>
      </c>
      <c r="Z247">
        <f>'Hasil-Kolom'!W301</f>
        <v>400.93217973068744</v>
      </c>
      <c r="AA247">
        <f>Analisa!$F$233</f>
        <v>11282.5</v>
      </c>
      <c r="AF247">
        <f>R247+V247*W247+Z247*AA247</f>
        <v>8884552.37665366</v>
      </c>
      <c r="AG247">
        <f>S247</f>
        <v>2250000</v>
      </c>
      <c r="AH247">
        <f>T247+V247*X247</f>
        <v>250000</v>
      </c>
    </row>
    <row r="249">
      <c r="A249" t="str">
        <v>B</v>
      </c>
      <c r="B249" t="str">
        <v>Pekerjaan Beton Lain - Lain</v>
      </c>
    </row>
    <row r="250">
      <c r="A250">
        <v>1</v>
      </c>
      <c r="B250" t="str">
        <v>Tangga service</v>
      </c>
      <c r="C250" t="str">
        <v>m3</v>
      </c>
      <c r="D250">
        <f>H250*'[39]REKAP RAB'!$K$3</f>
        <v>1.8831749999999996</v>
      </c>
      <c r="E250">
        <f>N250*'REKAP RAB'!$O$4</f>
        <v>8550000</v>
      </c>
      <c r="F250">
        <f>D250*E250</f>
        <v>16101146.249999996</v>
      </c>
      <c r="H250">
        <f>(25*1/2*0.3*0.18+(5.35+3.12)*0.15)*0.85+1.7*0.9*0.15</f>
        <v>1.8831749999999996</v>
      </c>
      <c r="I250">
        <v>5250000</v>
      </c>
      <c r="J250">
        <v>2250000</v>
      </c>
      <c r="N250">
        <f>SUM(I250:M250)</f>
        <v>7500000</v>
      </c>
      <c r="O250">
        <f>H250*N250</f>
        <v>14123812.499999996</v>
      </c>
      <c r="R250">
        <f>0.7*7500000</f>
        <v>5250000</v>
      </c>
      <c r="S250">
        <f>0.3*7500000</f>
        <v>2250000</v>
      </c>
      <c r="AF250">
        <f>R250+V250*W250+Z250*AA250</f>
        <v>5250000</v>
      </c>
      <c r="AG250">
        <f>S250</f>
        <v>2250000</v>
      </c>
      <c r="AH250">
        <f>T250+V250*X250</f>
        <v>0</v>
      </c>
    </row>
    <row r="251">
      <c r="A251">
        <v>2</v>
      </c>
      <c r="B251" t="str">
        <v>Dinding lift Lantai 2</v>
      </c>
      <c r="C251" t="str">
        <v>m3</v>
      </c>
      <c r="D251">
        <f>H251</f>
        <v>4.98015</v>
      </c>
      <c r="E251">
        <f>N251*'REKAP RAB'!$O$4</f>
        <v>6645422.0127654215</v>
      </c>
      <c r="F251">
        <f>D251*E251</f>
        <v>33095198.436873715</v>
      </c>
      <c r="H251">
        <f>'Hasil-Kolom'!F338</f>
        <v>4.98015</v>
      </c>
      <c r="I251">
        <f>AF251</f>
        <v>4129317.555057388</v>
      </c>
      <c r="J251">
        <f>AG251</f>
        <v>1500000</v>
      </c>
      <c r="K251">
        <f>AH251</f>
        <v>200000</v>
      </c>
      <c r="N251">
        <f>SUM(I251:M251)</f>
        <v>5829317.555057388</v>
      </c>
      <c r="O251">
        <f>H251*N251</f>
        <v>29030875.821819052</v>
      </c>
      <c r="R251">
        <f>Analisa!F$225</f>
        <v>1066432.5000000002</v>
      </c>
      <c r="S251">
        <f>Analisa!G$225</f>
        <v>1500000</v>
      </c>
      <c r="T251">
        <f>Analisa!H$225</f>
        <v>200000</v>
      </c>
      <c r="V251">
        <f>'Hasil-Kolom'!V338</f>
        <v>13.300804192644799</v>
      </c>
      <c r="W251">
        <f>Analisa!$F$162</f>
        <v>94565.97222222222</v>
      </c>
      <c r="Z251">
        <f>'Hasil-Kolom'!W338</f>
        <v>159.98950367760006</v>
      </c>
      <c r="AA251">
        <f>Analisa!$F$233</f>
        <v>11282.5</v>
      </c>
      <c r="AF251">
        <f>R251+V251*W251+Z251*AA251</f>
        <v>4129317.555057388</v>
      </c>
      <c r="AG251">
        <f>S251</f>
        <v>1500000</v>
      </c>
      <c r="AH251">
        <f>T251+V251*X251</f>
        <v>200000</v>
      </c>
      <c r="AJ251">
        <f>SUMPRODUCT(H251,V251)</f>
        <v>66.24</v>
      </c>
      <c r="AL251">
        <f>SUMPRODUCT(H251,Z251)</f>
        <v>796.77172674</v>
      </c>
      <c r="AM251" t="str">
        <v>v</v>
      </c>
    </row>
    <row r="253">
      <c r="A253" t="str">
        <v>Subtotal Pekerjaan Fisik Lantai 2</v>
      </c>
      <c r="F253">
        <f>SUM(F188:F252)</f>
        <v>755497553.6264251</v>
      </c>
      <c r="O253">
        <f>SUM(O188:O252)</f>
        <v>662717152.3038818</v>
      </c>
    </row>
    <row r="255">
      <c r="A255" t="str">
        <v>VI</v>
      </c>
      <c r="B255" t="str">
        <v>PEKERJAAN FISIK LANTAI ATTIC</v>
      </c>
    </row>
    <row r="257">
      <c r="A257" t="str">
        <v>A</v>
      </c>
      <c r="B257" t="str">
        <v>Pekerjaan Beton</v>
      </c>
    </row>
    <row r="258">
      <c r="A258">
        <v>1</v>
      </c>
      <c r="B258" t="str">
        <v>Plat lantai (Readymix K-350) :</v>
      </c>
      <c r="AJ258">
        <f>SUMPRODUCT(H259:H260,V259:V260)</f>
        <v>332.70849999999996</v>
      </c>
      <c r="AL258">
        <f>SUMPRODUCT(H259:H260,Z259:Z260)</f>
        <v>4892.328088</v>
      </c>
      <c r="AM258" t="str">
        <v>v</v>
      </c>
    </row>
    <row r="259">
      <c r="A259" t="str">
        <v xml:space="preserve"> </v>
      </c>
      <c r="B259" t="str">
        <v xml:space="preserve"> - Plat lantai - tebal 13 cm, besi D10-200 (2 lapis)</v>
      </c>
      <c r="C259" t="str">
        <v>m3</v>
      </c>
      <c r="D259">
        <f>H259</f>
        <v>24.9366</v>
      </c>
      <c r="E259">
        <f>N259*'REKAP RAB'!$O$4</f>
        <v>5541144.634682296</v>
      </c>
      <c r="F259">
        <f>D259*E259</f>
        <v>138177307.29721853</v>
      </c>
      <c r="H259">
        <f>SUM('REKAP Plat'!G38:G39)</f>
        <v>24.9366</v>
      </c>
      <c r="I259">
        <f>AF259</f>
        <v>3195542.2353309467</v>
      </c>
      <c r="J259">
        <f>AG259</f>
        <v>1300000</v>
      </c>
      <c r="K259">
        <f>AH259</f>
        <v>365110.9529868569</v>
      </c>
      <c r="N259">
        <f>SUM(I259:M259)</f>
        <v>4860653.188317804</v>
      </c>
      <c r="O259">
        <f>H259*N259</f>
        <v>121208164.29580574</v>
      </c>
      <c r="R259">
        <f>Analisa!F$218</f>
        <v>1066432.5000000002</v>
      </c>
      <c r="S259">
        <f>Analisa!G$218</f>
        <v>1300000</v>
      </c>
      <c r="T259">
        <f>Analisa!H$218</f>
        <v>75000</v>
      </c>
      <c r="V259">
        <f>'REKAP Plat'!R38</f>
        <v>8.214933070266195</v>
      </c>
      <c r="W259">
        <f>Analisa!F$153</f>
        <v>86302.08333333334</v>
      </c>
      <c r="X259">
        <f>Analisa!H$153</f>
        <v>35315.0720164609</v>
      </c>
      <c r="Z259">
        <f>'REKAP Plat'!S38</f>
        <v>125.87138461538463</v>
      </c>
      <c r="AA259">
        <f>Analisa!$F$233</f>
        <v>11282.5</v>
      </c>
      <c r="AF259">
        <f>R259+V259*W259+Z259*AA259</f>
        <v>3195542.2353309467</v>
      </c>
      <c r="AG259">
        <f>S259</f>
        <v>1300000</v>
      </c>
      <c r="AH259">
        <f>T259+V259*X259</f>
        <v>365110.9529868569</v>
      </c>
    </row>
    <row r="260">
      <c r="B260" t="str">
        <v xml:space="preserve"> - Dak atap dan talang beton - tebal 15 cm, besi D10-200 (2 lapis)</v>
      </c>
      <c r="C260" t="str">
        <v>m3</v>
      </c>
      <c r="D260">
        <f>H260</f>
        <v>15.978</v>
      </c>
      <c r="E260">
        <f>N260*'REKAP RAB'!$O$4</f>
        <v>5304219.429939071</v>
      </c>
      <c r="F260">
        <f>D260*E260</f>
        <v>84750818.05156647</v>
      </c>
      <c r="H260">
        <f>SUM('REKAP Plat'!G41:G46)</f>
        <v>15.978</v>
      </c>
      <c r="I260">
        <f>AF260</f>
        <v>2995232.757824175</v>
      </c>
      <c r="J260">
        <f>AG260</f>
        <v>1300000</v>
      </c>
      <c r="K260">
        <f>AH260</f>
        <v>357591.30352588714</v>
      </c>
      <c r="N260">
        <f>SUM(I260:M260)</f>
        <v>4652824.0613500625</v>
      </c>
      <c r="O260">
        <f>H260*N260</f>
        <v>74342822.85225129</v>
      </c>
      <c r="R260">
        <f>Analisa!F$218</f>
        <v>1066432.5000000002</v>
      </c>
      <c r="S260">
        <f>Analisa!G$218</f>
        <v>1300000</v>
      </c>
      <c r="T260">
        <f>Analisa!H$218</f>
        <v>75000</v>
      </c>
      <c r="V260">
        <f>'REKAP Plat'!R41</f>
        <v>8.002002753786456</v>
      </c>
      <c r="W260">
        <f>Analisa!F$153</f>
        <v>86302.08333333334</v>
      </c>
      <c r="X260">
        <f>Analisa!H$153</f>
        <v>35315.0720164609</v>
      </c>
      <c r="Z260">
        <f>'REKAP Plat'!S41</f>
        <v>109.74613333333332</v>
      </c>
      <c r="AA260">
        <f>Analisa!$F$233</f>
        <v>11282.5</v>
      </c>
      <c r="AF260">
        <f>R260+V260*W260+Z260*AA260</f>
        <v>2995232.757824175</v>
      </c>
      <c r="AG260">
        <f>S260</f>
        <v>1300000</v>
      </c>
      <c r="AH260">
        <f>T260+V260*X260</f>
        <v>357591.30352588714</v>
      </c>
    </row>
    <row r="262">
      <c r="A262">
        <v>2</v>
      </c>
      <c r="B262" t="str">
        <v>Balok (Readymix K-350) :</v>
      </c>
      <c r="AJ262">
        <f>SUMPRODUCT(H263:H296,V263:V296)</f>
        <v>293.8803499999999</v>
      </c>
      <c r="AL262">
        <f>SUMPRODUCT(H263:H296,Z263:Z296)</f>
        <v>6484.65684057</v>
      </c>
      <c r="AM262" t="str">
        <v>v</v>
      </c>
    </row>
    <row r="263">
      <c r="B263" t="str">
        <v xml:space="preserve"> - Balok B173-1</v>
      </c>
      <c r="C263" t="str">
        <v>m3</v>
      </c>
      <c r="D263">
        <f>H263</f>
        <v>0.21947</v>
      </c>
      <c r="E263">
        <f>N263*'REKAP RAB'!$O$4</f>
        <v>11080242.882655524</v>
      </c>
      <c r="F263">
        <f>D263*E263</f>
        <v>2431780.905456408</v>
      </c>
      <c r="G263" t="str">
        <v>B173-1</v>
      </c>
      <c r="H263">
        <f>'REKAP Balok'!G615</f>
        <v>0.21947</v>
      </c>
      <c r="I263">
        <f>AF263</f>
        <v>7086082.842243588</v>
      </c>
      <c r="J263">
        <f>AG263</f>
        <v>1750000</v>
      </c>
      <c r="K263">
        <f>AH263</f>
        <v>883428.4583314348</v>
      </c>
      <c r="N263">
        <f>SUM(I263:M263)</f>
        <v>9719511.300575022</v>
      </c>
      <c r="O263">
        <f>H263*N263</f>
        <v>2133141.1451372</v>
      </c>
      <c r="R263">
        <f>Analisa!$F$197</f>
        <v>1066432.5000000002</v>
      </c>
      <c r="S263">
        <f>Analisa!$G$197</f>
        <v>1750000</v>
      </c>
      <c r="T263">
        <f>Analisa!$H$197</f>
        <v>75000</v>
      </c>
      <c r="V263">
        <f>'REKAP Balok'!W615</f>
        <v>15.870050576388573</v>
      </c>
      <c r="W263">
        <f>Analisa!$F$143</f>
        <v>251112.5</v>
      </c>
      <c r="X263">
        <f>Analisa!$H$143</f>
        <v>50940.509259259255</v>
      </c>
      <c r="Z263">
        <f>'REKAP Balok'!X615</f>
        <v>180.32193812366154</v>
      </c>
      <c r="AA263">
        <f>Analisa!$F$233</f>
        <v>11282.5</v>
      </c>
      <c r="AF263">
        <f>R263+V263*W263+Z263*AA263</f>
        <v>7086082.842243588</v>
      </c>
      <c r="AG263">
        <f>S263</f>
        <v>1750000</v>
      </c>
      <c r="AH263">
        <f>T263+V263*X263</f>
        <v>883428.4583314348</v>
      </c>
    </row>
    <row r="264">
      <c r="B264" t="str">
        <v xml:space="preserve"> - Balok B174-1</v>
      </c>
      <c r="C264" t="str">
        <v>m3</v>
      </c>
      <c r="D264">
        <f>H264</f>
        <v>0.4897615</v>
      </c>
      <c r="E264">
        <f>N264*'REKAP RAB'!$O$4</f>
        <v>10619337.880037274</v>
      </c>
      <c r="F264">
        <f>D264*E264</f>
        <v>5200942.849133875</v>
      </c>
      <c r="G264" t="str">
        <v>B174-1</v>
      </c>
      <c r="H264">
        <f>'REKAP Balok'!G616</f>
        <v>0.4897615</v>
      </c>
      <c r="I264">
        <f>AF264</f>
        <v>6732037.186971005</v>
      </c>
      <c r="J264">
        <f>AG264</f>
        <v>1750000</v>
      </c>
      <c r="K264">
        <f>AH264</f>
        <v>833171.4797283605</v>
      </c>
      <c r="N264">
        <f>SUM(I264:M264)</f>
        <v>9315208.666699365</v>
      </c>
      <c r="O264">
        <f>H264*N264</f>
        <v>4562230.569415681</v>
      </c>
      <c r="R264">
        <f>Analisa!$F$197</f>
        <v>1066432.5000000002</v>
      </c>
      <c r="S264">
        <f>Analisa!$G$197</f>
        <v>1750000</v>
      </c>
      <c r="T264">
        <f>Analisa!$H$197</f>
        <v>75000</v>
      </c>
      <c r="V264">
        <f>'REKAP Balok'!W616</f>
        <v>14.88346879042146</v>
      </c>
      <c r="W264">
        <f>Analisa!$F$143</f>
        <v>251112.5</v>
      </c>
      <c r="X264">
        <f>Analisa!$H$143</f>
        <v>50940.509259259255</v>
      </c>
      <c r="Z264">
        <f>'REKAP Balok'!X616</f>
        <v>170.9000337102855</v>
      </c>
      <c r="AA264">
        <f>Analisa!$F$233</f>
        <v>11282.5</v>
      </c>
      <c r="AF264">
        <f>R264+V264*W264+Z264*AA264</f>
        <v>6732037.186971005</v>
      </c>
      <c r="AG264">
        <f>S264</f>
        <v>1750000</v>
      </c>
      <c r="AH264">
        <f>T264+V264*X264</f>
        <v>833171.4797283605</v>
      </c>
    </row>
    <row r="265">
      <c r="B265" t="str">
        <v xml:space="preserve"> - Balok B175-1</v>
      </c>
      <c r="C265" t="str">
        <v>m3</v>
      </c>
      <c r="D265">
        <f>H265</f>
        <v>1.5477649999999998</v>
      </c>
      <c r="E265">
        <f>N265*'REKAP RAB'!$O$4</f>
        <v>10254031.180334192</v>
      </c>
      <c r="F265">
        <f>D265*E265</f>
        <v>15870830.569829948</v>
      </c>
      <c r="G265" t="str">
        <v>B175-1</v>
      </c>
      <c r="H265">
        <f>'REKAP Balok'!G618</f>
        <v>1.5477649999999998</v>
      </c>
      <c r="I265">
        <f>AF265</f>
        <v>6459401.52090789</v>
      </c>
      <c r="J265">
        <f>AG265</f>
        <v>1750000</v>
      </c>
      <c r="K265">
        <f>AH265</f>
        <v>785362.6723677188</v>
      </c>
      <c r="N265">
        <f>SUM(I265:M265)</f>
        <v>8994764.193275608</v>
      </c>
      <c r="O265">
        <f>H265*N265</f>
        <v>13921781.20160522</v>
      </c>
      <c r="R265">
        <f>Analisa!$F$197</f>
        <v>1066432.5000000002</v>
      </c>
      <c r="S265">
        <f>Analisa!$G$197</f>
        <v>1750000</v>
      </c>
      <c r="T265">
        <f>Analisa!$H$197</f>
        <v>75000</v>
      </c>
      <c r="V265">
        <f>'REKAP Balok'!W618</f>
        <v>13.944946422745057</v>
      </c>
      <c r="W265">
        <f>Analisa!$F$143</f>
        <v>251112.5</v>
      </c>
      <c r="X265">
        <f>Analisa!$H$143</f>
        <v>50940.509259259255</v>
      </c>
      <c r="Z265">
        <f>'REKAP Balok'!X618</f>
        <v>167.62407820308638</v>
      </c>
      <c r="AA265">
        <f>Analisa!$F$233</f>
        <v>11282.5</v>
      </c>
      <c r="AF265">
        <f>R265+V265*W265+Z265*AA265</f>
        <v>6459401.52090789</v>
      </c>
      <c r="AG265">
        <f>S265</f>
        <v>1750000</v>
      </c>
      <c r="AH265">
        <f>T265+V265*X265</f>
        <v>785362.6723677188</v>
      </c>
    </row>
    <row r="266">
      <c r="B266" t="str">
        <v xml:space="preserve"> - Balok B175-2</v>
      </c>
      <c r="C266" t="str">
        <v>m3</v>
      </c>
      <c r="D266">
        <f>H266</f>
        <v>0.3655</v>
      </c>
      <c r="E266">
        <f>N266*'REKAP RAB'!$O$4</f>
        <v>10439493.531856341</v>
      </c>
      <c r="F266">
        <f>D266*E266</f>
        <v>3815634.8858934925</v>
      </c>
      <c r="G266" t="str">
        <v>B175-2</v>
      </c>
      <c r="H266">
        <f>'REKAP Balok'!G619</f>
        <v>0.3655</v>
      </c>
      <c r="I266">
        <f>AF266</f>
        <v>6631269.339089671</v>
      </c>
      <c r="J266">
        <f>AG266</f>
        <v>1750000</v>
      </c>
      <c r="K266">
        <f>AH266</f>
        <v>776181.1274509802</v>
      </c>
      <c r="N266">
        <f>SUM(I266:M266)</f>
        <v>9157450.466540651</v>
      </c>
      <c r="O266">
        <f>H266*N266</f>
        <v>3347048.145520608</v>
      </c>
      <c r="R266">
        <f>Analisa!$F$197</f>
        <v>1066432.5000000002</v>
      </c>
      <c r="S266">
        <f>Analisa!$G$197</f>
        <v>1750000</v>
      </c>
      <c r="T266">
        <f>Analisa!$H$197</f>
        <v>75000</v>
      </c>
      <c r="V266">
        <f>'REKAP Balok'!W619</f>
        <v>13.76470588235294</v>
      </c>
      <c r="W266">
        <f>Analisa!$F$143</f>
        <v>251112.5</v>
      </c>
      <c r="X266">
        <f>Analisa!$H$143</f>
        <v>50940.509259259255</v>
      </c>
      <c r="Z266">
        <f>'REKAP Balok'!X619</f>
        <v>186.8687908891929</v>
      </c>
      <c r="AA266">
        <f>Analisa!$F$233</f>
        <v>11282.5</v>
      </c>
      <c r="AF266">
        <f>R266+V266*W266+Z266*AA266</f>
        <v>6631269.339089671</v>
      </c>
      <c r="AG266">
        <f>S266</f>
        <v>1750000</v>
      </c>
      <c r="AH266">
        <f>T266+V266*X266</f>
        <v>776181.1274509802</v>
      </c>
    </row>
    <row r="267">
      <c r="B267" t="str">
        <v xml:space="preserve"> - Balok B23-1</v>
      </c>
      <c r="C267" t="str">
        <v>m3</v>
      </c>
      <c r="D267">
        <f>H267</f>
        <v>0.06</v>
      </c>
      <c r="E267">
        <f>N267*'REKAP RAB'!$O$4</f>
        <v>12434586.508098325</v>
      </c>
      <c r="F267">
        <f>D267*E267</f>
        <v>746075.1904858995</v>
      </c>
      <c r="G267" t="str">
        <v>B23-1</v>
      </c>
      <c r="H267">
        <f>'REKAP Balok'!G622</f>
        <v>0.06</v>
      </c>
      <c r="I267">
        <f>AF267</f>
        <v>8233523.536993334</v>
      </c>
      <c r="J267">
        <f>AG267</f>
        <v>1750000</v>
      </c>
      <c r="K267">
        <f>AH267</f>
        <v>924008.487654321</v>
      </c>
      <c r="N267">
        <f>SUM(I267:M267)</f>
        <v>10907532.024647655</v>
      </c>
      <c r="O267">
        <f>H267*N267</f>
        <v>654451.9214788593</v>
      </c>
      <c r="R267">
        <f>Analisa!$F$197</f>
        <v>1066432.5000000002</v>
      </c>
      <c r="S267">
        <f>Analisa!$G$197</f>
        <v>1750000</v>
      </c>
      <c r="T267">
        <f>Analisa!$H$197</f>
        <v>75000</v>
      </c>
      <c r="V267">
        <f>'REKAP Balok'!W622</f>
        <v>16.666666666666668</v>
      </c>
      <c r="W267">
        <f>Analisa!$F$143</f>
        <v>251112.5</v>
      </c>
      <c r="X267">
        <f>Analisa!$H$143</f>
        <v>50940.509259259255</v>
      </c>
      <c r="Z267">
        <f>'REKAP Balok'!X622</f>
        <v>264.292728</v>
      </c>
      <c r="AA267">
        <f>Analisa!$F$233</f>
        <v>11282.5</v>
      </c>
      <c r="AF267">
        <f>R267+V267*W267+Z267*AA267</f>
        <v>8233523.536993334</v>
      </c>
      <c r="AG267">
        <f>S267</f>
        <v>1750000</v>
      </c>
      <c r="AH267">
        <f>T267+V267*X267</f>
        <v>924008.487654321</v>
      </c>
    </row>
    <row r="268">
      <c r="B268" t="str">
        <v xml:space="preserve"> - Balok B23-2</v>
      </c>
      <c r="C268" t="str">
        <v>m3</v>
      </c>
      <c r="D268">
        <f>H268</f>
        <v>0.1122</v>
      </c>
      <c r="E268">
        <f>N268*'REKAP RAB'!$O$4</f>
        <v>12141313.06740353</v>
      </c>
      <c r="F268">
        <f>D268*E268</f>
        <v>1362255.326162676</v>
      </c>
      <c r="G268" t="str">
        <v>B23-2</v>
      </c>
      <c r="H268">
        <f>'REKAP Balok'!G623</f>
        <v>0.1122</v>
      </c>
      <c r="I268">
        <f>AF268</f>
        <v>8016219.473470589</v>
      </c>
      <c r="J268">
        <f>AG268</f>
        <v>1750000</v>
      </c>
      <c r="K268">
        <f>AH268</f>
        <v>884055.1470588235</v>
      </c>
      <c r="N268">
        <f>SUM(I268:M268)</f>
        <v>10650274.620529413</v>
      </c>
      <c r="O268">
        <f>H268*N268</f>
        <v>1194960.8124234</v>
      </c>
      <c r="R268">
        <f>Analisa!$F$197</f>
        <v>1066432.5000000002</v>
      </c>
      <c r="S268">
        <f>Analisa!$G$197</f>
        <v>1750000</v>
      </c>
      <c r="T268">
        <f>Analisa!$H$197</f>
        <v>75000</v>
      </c>
      <c r="V268">
        <f>'REKAP Balok'!W623</f>
        <v>15.882352941176471</v>
      </c>
      <c r="W268">
        <f>Analisa!$F$143</f>
        <v>251112.5</v>
      </c>
      <c r="X268">
        <f>Analisa!$H$143</f>
        <v>50940.509259259255</v>
      </c>
      <c r="Z268">
        <f>'REKAP Balok'!X623</f>
        <v>262.4887764705882</v>
      </c>
      <c r="AA268">
        <f>Analisa!$F$233</f>
        <v>11282.5</v>
      </c>
      <c r="AF268">
        <f>R268+V268*W268+Z268*AA268</f>
        <v>8016219.473470589</v>
      </c>
      <c r="AG268">
        <f>S268</f>
        <v>1750000</v>
      </c>
      <c r="AH268">
        <f>T268+V268*X268</f>
        <v>884055.1470588235</v>
      </c>
    </row>
    <row r="269">
      <c r="B269" t="str">
        <v xml:space="preserve"> - Balok B24-1</v>
      </c>
      <c r="C269" t="str">
        <v>m3</v>
      </c>
      <c r="D269">
        <f>H269</f>
        <v>0.59519</v>
      </c>
      <c r="E269">
        <f>N269*'REKAP RAB'!$O$4</f>
        <v>9585363.080048962</v>
      </c>
      <c r="F269">
        <f>D269*E269</f>
        <v>5705112.2516143415</v>
      </c>
      <c r="G269" t="str">
        <v>B24-1</v>
      </c>
      <c r="H269">
        <f>'REKAP Balok'!G624</f>
        <v>0.59519</v>
      </c>
      <c r="I269">
        <f>AF269</f>
        <v>5911449.6515661385</v>
      </c>
      <c r="J269">
        <f>AG269</f>
        <v>1750000</v>
      </c>
      <c r="K269">
        <f>AH269</f>
        <v>746763.576546985</v>
      </c>
      <c r="N269">
        <f>SUM(I269:M269)</f>
        <v>8408213.228113124</v>
      </c>
      <c r="O269">
        <f>H269*N269</f>
        <v>5004484.43124065</v>
      </c>
      <c r="R269">
        <f>Analisa!$F$197</f>
        <v>1066432.5000000002</v>
      </c>
      <c r="S269">
        <f>Analisa!$G$197</f>
        <v>1750000</v>
      </c>
      <c r="T269">
        <f>Analisa!$H$197</f>
        <v>75000</v>
      </c>
      <c r="V269">
        <f>'REKAP Balok'!W624</f>
        <v>13.187217527176196</v>
      </c>
      <c r="W269">
        <f>Analisa!$F$143</f>
        <v>251112.5</v>
      </c>
      <c r="X269">
        <f>Analisa!$H$143</f>
        <v>50940.509259259255</v>
      </c>
      <c r="Z269">
        <f>'REKAP Balok'!X624</f>
        <v>135.92217950570407</v>
      </c>
      <c r="AA269">
        <f>Analisa!$F$233</f>
        <v>11282.5</v>
      </c>
      <c r="AF269">
        <f>R269+V269*W269+Z269*AA269</f>
        <v>5911449.6515661385</v>
      </c>
      <c r="AG269">
        <f>S269</f>
        <v>1750000</v>
      </c>
      <c r="AH269">
        <f>T269+V269*X269</f>
        <v>746763.576546985</v>
      </c>
    </row>
    <row r="270">
      <c r="B270" t="str">
        <v xml:space="preserve"> - Balok B24-3</v>
      </c>
      <c r="C270" t="str">
        <v>m3</v>
      </c>
      <c r="D270">
        <f>H270</f>
        <v>0.32</v>
      </c>
      <c r="E270">
        <f>N270*'REKAP RAB'!$O$4</f>
        <v>11975229.460681116</v>
      </c>
      <c r="F270">
        <f>D270*E270</f>
        <v>3832073.427417957</v>
      </c>
      <c r="G270" t="str">
        <v>B24-3</v>
      </c>
      <c r="H270">
        <f>'REKAP Balok'!G626</f>
        <v>0.32</v>
      </c>
      <c r="I270">
        <f>AF270</f>
        <v>7966420.116581876</v>
      </c>
      <c r="J270">
        <f>AG270</f>
        <v>1750000</v>
      </c>
      <c r="K270">
        <f>AH270</f>
        <v>788167.1296296297</v>
      </c>
      <c r="N270">
        <f>SUM(I270:M270)</f>
        <v>10504587.246211506</v>
      </c>
      <c r="O270">
        <f>H270*N270</f>
        <v>3361467.918787682</v>
      </c>
      <c r="R270">
        <f>Analisa!$F$197</f>
        <v>1066432.5000000002</v>
      </c>
      <c r="S270">
        <f>Analisa!$G$197</f>
        <v>1750000</v>
      </c>
      <c r="T270">
        <f>Analisa!$H$197</f>
        <v>75000</v>
      </c>
      <c r="V270">
        <f>'REKAP Balok'!W626</f>
        <v>14.000000000000002</v>
      </c>
      <c r="W270">
        <f>Analisa!$F$143</f>
        <v>251112.5</v>
      </c>
      <c r="X270">
        <f>Analisa!$H$143</f>
        <v>50940.509259259255</v>
      </c>
      <c r="Z270">
        <f>'REKAP Balok'!X626</f>
        <v>299.97009675000004</v>
      </c>
      <c r="AA270">
        <f>Analisa!$F$233</f>
        <v>11282.5</v>
      </c>
      <c r="AF270">
        <f>R270+V270*W270+Z270*AA270</f>
        <v>7966420.116581876</v>
      </c>
      <c r="AG270">
        <f>S270</f>
        <v>1750000</v>
      </c>
      <c r="AH270">
        <f>T270+V270*X270</f>
        <v>788167.1296296297</v>
      </c>
    </row>
    <row r="271">
      <c r="B271" t="str">
        <v xml:space="preserve"> - Balok B24-4</v>
      </c>
      <c r="C271" t="str">
        <v>m3</v>
      </c>
      <c r="D271">
        <f>H271</f>
        <v>0.43500000000000005</v>
      </c>
      <c r="E271">
        <f>N271*'REKAP RAB'!$O$4</f>
        <v>12005291.15942103</v>
      </c>
      <c r="F271">
        <f>D271*E271</f>
        <v>5222301.654348149</v>
      </c>
      <c r="G271" t="str">
        <v>B24-4</v>
      </c>
      <c r="H271">
        <f>'REKAP Balok'!G627</f>
        <v>0.43500000000000005</v>
      </c>
      <c r="I271">
        <f>AF271</f>
        <v>7992790.02775724</v>
      </c>
      <c r="J271">
        <f>AG271</f>
        <v>1750000</v>
      </c>
      <c r="K271">
        <f>AH271</f>
        <v>788167.1296296294</v>
      </c>
      <c r="N271">
        <f>SUM(I271:M271)</f>
        <v>10530957.15738687</v>
      </c>
      <c r="O271">
        <f>H271*N271</f>
        <v>4580966.363463289</v>
      </c>
      <c r="R271">
        <f>Analisa!$F$197</f>
        <v>1066432.5000000002</v>
      </c>
      <c r="S271">
        <f>Analisa!$G$197</f>
        <v>1750000</v>
      </c>
      <c r="T271">
        <f>Analisa!$H$197</f>
        <v>75000</v>
      </c>
      <c r="V271">
        <f>'REKAP Balok'!W627</f>
        <v>13.999999999999998</v>
      </c>
      <c r="W271">
        <f>Analisa!$F$143</f>
        <v>251112.5</v>
      </c>
      <c r="X271">
        <f>Analisa!$H$143</f>
        <v>50940.509259259255</v>
      </c>
      <c r="Z271">
        <f>'REKAP Balok'!X627</f>
        <v>302.30733682758614</v>
      </c>
      <c r="AA271">
        <f>Analisa!$F$233</f>
        <v>11282.5</v>
      </c>
      <c r="AF271">
        <f>R271+V271*W271+Z271*AA271</f>
        <v>7992790.02775724</v>
      </c>
      <c r="AG271">
        <f>S271</f>
        <v>1750000</v>
      </c>
      <c r="AH271">
        <f>T271+V271*X271</f>
        <v>788167.1296296294</v>
      </c>
    </row>
    <row r="272">
      <c r="B272" t="str">
        <v xml:space="preserve"> - Balok B24-6</v>
      </c>
      <c r="C272" t="str">
        <v>m3</v>
      </c>
      <c r="D272">
        <f>H272</f>
        <v>0.1</v>
      </c>
      <c r="E272">
        <f>N272*'REKAP RAB'!$O$4</f>
        <v>13265656.881980877</v>
      </c>
      <c r="F272">
        <f>D272*E272</f>
        <v>1326565.6881980877</v>
      </c>
      <c r="G272" t="str">
        <v>B24-6</v>
      </c>
      <c r="H272">
        <f>'REKAP Balok'!G629</f>
        <v>0.1</v>
      </c>
      <c r="I272">
        <f>AF272</f>
        <v>9098373.994915001</v>
      </c>
      <c r="J272">
        <f>AG272</f>
        <v>1750000</v>
      </c>
      <c r="K272">
        <f>AH272</f>
        <v>788167.1296296294</v>
      </c>
      <c r="N272">
        <f>SUM(I272:M272)</f>
        <v>11636541.12454463</v>
      </c>
      <c r="O272">
        <f>H272*N272</f>
        <v>1163654.112454463</v>
      </c>
      <c r="R272">
        <f>Analisa!$F$197</f>
        <v>1066432.5000000002</v>
      </c>
      <c r="S272">
        <f>Analisa!$G$197</f>
        <v>1750000</v>
      </c>
      <c r="T272">
        <f>Analisa!$H$197</f>
        <v>75000</v>
      </c>
      <c r="V272">
        <f>'REKAP Balok'!W629</f>
        <v>13.999999999999998</v>
      </c>
      <c r="W272">
        <f>Analisa!$F$143</f>
        <v>251112.5</v>
      </c>
      <c r="X272">
        <f>Analisa!$H$143</f>
        <v>50940.509259259255</v>
      </c>
      <c r="Z272">
        <f>'REKAP Balok'!X629</f>
        <v>400.298382</v>
      </c>
      <c r="AA272">
        <f>Analisa!$F$233</f>
        <v>11282.5</v>
      </c>
      <c r="AF272">
        <f>R272+V272*W272+Z272*AA272</f>
        <v>9098373.994915001</v>
      </c>
      <c r="AG272">
        <f>S272</f>
        <v>1750000</v>
      </c>
      <c r="AH272">
        <f>T272+V272*X272</f>
        <v>788167.1296296294</v>
      </c>
    </row>
    <row r="273">
      <c r="B273" t="str">
        <v xml:space="preserve"> - Balok B245-1</v>
      </c>
      <c r="C273" t="str">
        <v>m3</v>
      </c>
      <c r="D273">
        <f>H273</f>
        <v>0.9189</v>
      </c>
      <c r="E273">
        <f>N273*'REKAP RAB'!$O$4</f>
        <v>9759832.656744922</v>
      </c>
      <c r="F273">
        <f>D273*E273</f>
        <v>8968310.22828291</v>
      </c>
      <c r="G273" t="str">
        <v>B245-1</v>
      </c>
      <c r="H273">
        <f>'REKAP Balok'!G632</f>
        <v>0.9189</v>
      </c>
      <c r="I273">
        <f>AF273</f>
        <v>6057049.9263194585</v>
      </c>
      <c r="J273">
        <f>AG273</f>
        <v>1750000</v>
      </c>
      <c r="K273">
        <f>AH273</f>
        <v>754206.7901234567</v>
      </c>
      <c r="N273">
        <f>SUM(I273:M273)</f>
        <v>8561256.716442915</v>
      </c>
      <c r="O273">
        <f>H273*N273</f>
        <v>7866938.796739395</v>
      </c>
      <c r="R273">
        <f>Analisa!$F$197</f>
        <v>1066432.5000000002</v>
      </c>
      <c r="S273">
        <f>Analisa!$G$197</f>
        <v>1750000</v>
      </c>
      <c r="T273">
        <f>Analisa!$H$197</f>
        <v>75000</v>
      </c>
      <c r="V273">
        <f>'REKAP Balok'!W632</f>
        <v>13.333333333333334</v>
      </c>
      <c r="W273">
        <f>Analisa!$F$143</f>
        <v>251112.5</v>
      </c>
      <c r="X273">
        <f>Analisa!$H$143</f>
        <v>50940.509259259255</v>
      </c>
      <c r="Z273">
        <f>'REKAP Balok'!X632</f>
        <v>145.57507286973555</v>
      </c>
      <c r="AA273">
        <f>Analisa!$F$233</f>
        <v>11282.5</v>
      </c>
      <c r="AF273">
        <f>R273+V273*W273+Z273*AA273</f>
        <v>6057049.9263194585</v>
      </c>
      <c r="AG273">
        <f>S273</f>
        <v>1750000</v>
      </c>
      <c r="AH273">
        <f>T273+V273*X273</f>
        <v>754206.7901234567</v>
      </c>
    </row>
    <row r="274">
      <c r="B274" t="str">
        <v xml:space="preserve"> - Balok B245-2</v>
      </c>
      <c r="C274" t="str">
        <v>m3</v>
      </c>
      <c r="D274">
        <f>H274</f>
        <v>0.372</v>
      </c>
      <c r="E274">
        <f>N274*'REKAP RAB'!$O$4</f>
        <v>10240129.90898377</v>
      </c>
      <c r="F274">
        <f>D274*E274</f>
        <v>3809328.326141963</v>
      </c>
      <c r="G274" t="str">
        <v>B245-2</v>
      </c>
      <c r="H274">
        <f>'REKAP Balok'!G635</f>
        <v>0.372</v>
      </c>
      <c r="I274">
        <f>AF274</f>
        <v>6478363.305476344</v>
      </c>
      <c r="J274">
        <f>AG274</f>
        <v>1750000</v>
      </c>
      <c r="K274">
        <f>AH274</f>
        <v>754206.7901234567</v>
      </c>
      <c r="N274">
        <f>SUM(I274:M274)</f>
        <v>8982570.0955998</v>
      </c>
      <c r="O274">
        <f>H274*N274</f>
        <v>3341516.075563126</v>
      </c>
      <c r="R274">
        <f>Analisa!$F$197</f>
        <v>1066432.5000000002</v>
      </c>
      <c r="S274">
        <f>Analisa!$G$197</f>
        <v>1750000</v>
      </c>
      <c r="T274">
        <f>Analisa!$H$197</f>
        <v>75000</v>
      </c>
      <c r="V274">
        <f>'REKAP Balok'!W635</f>
        <v>13.333333333333334</v>
      </c>
      <c r="W274">
        <f>Analisa!$F$143</f>
        <v>251112.5</v>
      </c>
      <c r="X274">
        <f>Analisa!$H$143</f>
        <v>50940.509259259255</v>
      </c>
      <c r="Z274">
        <f>'REKAP Balok'!X635</f>
        <v>182.91727354838707</v>
      </c>
      <c r="AA274">
        <f>Analisa!$F$233</f>
        <v>11282.5</v>
      </c>
      <c r="AF274">
        <f>R274+V274*W274+Z274*AA274</f>
        <v>6478363.305476344</v>
      </c>
      <c r="AG274">
        <f>S274</f>
        <v>1750000</v>
      </c>
      <c r="AH274">
        <f>T274+V274*X274</f>
        <v>754206.7901234567</v>
      </c>
    </row>
    <row r="275">
      <c r="B275" t="str">
        <v xml:space="preserve"> - Balok B245-3</v>
      </c>
      <c r="C275" t="str">
        <v>m3</v>
      </c>
      <c r="D275">
        <f>H275</f>
        <v>0.368</v>
      </c>
      <c r="E275">
        <f>N275*'REKAP RAB'!$O$4</f>
        <v>11410194.90249972</v>
      </c>
      <c r="F275">
        <f>D275*E275</f>
        <v>4198951.724119897</v>
      </c>
      <c r="G275" t="str">
        <v>B245-3</v>
      </c>
      <c r="H275">
        <f>'REKAP Balok'!G636</f>
        <v>0.368</v>
      </c>
      <c r="I275">
        <f>AF275</f>
        <v>7508427.448056795</v>
      </c>
      <c r="J275">
        <f>AG275</f>
        <v>1750000</v>
      </c>
      <c r="K275">
        <f>AH275</f>
        <v>750515.4488727858</v>
      </c>
      <c r="N275">
        <f>SUM(I275:M275)</f>
        <v>10008942.89692958</v>
      </c>
      <c r="O275">
        <f>H275*N275</f>
        <v>3683290.986070086</v>
      </c>
      <c r="R275">
        <f>Analisa!$F$197</f>
        <v>1066432.5000000002</v>
      </c>
      <c r="S275">
        <f>Analisa!$G$197</f>
        <v>1750000</v>
      </c>
      <c r="T275">
        <f>Analisa!$H$197</f>
        <v>75000</v>
      </c>
      <c r="V275">
        <f>'REKAP Balok'!W636</f>
        <v>13.26086956521739</v>
      </c>
      <c r="W275">
        <f>Analisa!$F$143</f>
        <v>251112.5</v>
      </c>
      <c r="X275">
        <f>Analisa!$H$143</f>
        <v>50940.509259259255</v>
      </c>
      <c r="Z275">
        <f>'REKAP Balok'!X636</f>
        <v>275.8275948913044</v>
      </c>
      <c r="AA275">
        <f>Analisa!$F$233</f>
        <v>11282.5</v>
      </c>
      <c r="AF275">
        <f>R275+V275*W275+Z275*AA275</f>
        <v>7508427.448056795</v>
      </c>
      <c r="AG275">
        <f>S275</f>
        <v>1750000</v>
      </c>
      <c r="AH275">
        <f>T275+V275*X275</f>
        <v>750515.4488727858</v>
      </c>
    </row>
    <row r="276">
      <c r="B276" t="str">
        <v xml:space="preserve"> - Balok B245-4</v>
      </c>
      <c r="C276" t="str">
        <v>m3</v>
      </c>
      <c r="D276">
        <f>H276</f>
        <v>1.8518000000000001</v>
      </c>
      <c r="E276">
        <f>N276*'REKAP RAB'!$O$4</f>
        <v>10776260.543425681</v>
      </c>
      <c r="F276">
        <f>D276*E276</f>
        <v>19955479.274315678</v>
      </c>
      <c r="G276" t="str">
        <v>B245-4</v>
      </c>
      <c r="H276">
        <f>'REKAP Balok'!G637</f>
        <v>1.8518000000000001</v>
      </c>
      <c r="I276">
        <f>AF276</f>
        <v>6958904.890815423</v>
      </c>
      <c r="J276">
        <f>AG276</f>
        <v>1750000</v>
      </c>
      <c r="K276">
        <f>AH276</f>
        <v>743955.2349965799</v>
      </c>
      <c r="N276">
        <f>SUM(I276:M276)</f>
        <v>9452860.125812002</v>
      </c>
      <c r="O276">
        <f>H276*N276</f>
        <v>17504806.380978666</v>
      </c>
      <c r="R276">
        <f>Analisa!$F$197</f>
        <v>1066432.5000000002</v>
      </c>
      <c r="S276">
        <f>Analisa!$G$197</f>
        <v>1750000</v>
      </c>
      <c r="T276">
        <f>Analisa!$H$197</f>
        <v>75000</v>
      </c>
      <c r="V276">
        <f>'REKAP Balok'!W637</f>
        <v>13.132087698455559</v>
      </c>
      <c r="W276">
        <f>Analisa!$F$143</f>
        <v>251112.5</v>
      </c>
      <c r="X276">
        <f>Analisa!$H$143</f>
        <v>50940.509259259255</v>
      </c>
      <c r="Z276">
        <f>'REKAP Balok'!X637</f>
        <v>229.98812485149583</v>
      </c>
      <c r="AA276">
        <f>Analisa!$F$233</f>
        <v>11282.5</v>
      </c>
      <c r="AF276">
        <f>R276+V276*W276+Z276*AA276</f>
        <v>6958904.890815423</v>
      </c>
      <c r="AG276">
        <f>S276</f>
        <v>1750000</v>
      </c>
      <c r="AH276">
        <f>T276+V276*X276</f>
        <v>743955.2349965799</v>
      </c>
    </row>
    <row r="277">
      <c r="B277" t="str">
        <v xml:space="preserve"> - Balok B245-5</v>
      </c>
      <c r="C277" t="str">
        <v>m3</v>
      </c>
      <c r="D277">
        <f>H277</f>
        <v>0.318</v>
      </c>
      <c r="E277">
        <f>N277*'REKAP RAB'!$O$4</f>
        <v>12084246.354172645</v>
      </c>
      <c r="F277">
        <f>D277*E277</f>
        <v>3842790.340626901</v>
      </c>
      <c r="G277" t="str">
        <v>B245-5</v>
      </c>
      <c r="H277">
        <f>'REKAP Balok'!G638</f>
        <v>0.318</v>
      </c>
      <c r="I277">
        <f>AF277</f>
        <v>8096009.310027987</v>
      </c>
      <c r="J277">
        <f>AG277</f>
        <v>1750000</v>
      </c>
      <c r="K277">
        <f>AH277</f>
        <v>754206.7901234567</v>
      </c>
      <c r="N277">
        <f>SUM(I277:M277)</f>
        <v>10600216.100151444</v>
      </c>
      <c r="O277">
        <f>H277*N277</f>
        <v>3370868.7198481592</v>
      </c>
      <c r="R277">
        <f>Analisa!$F$197</f>
        <v>1066432.5000000002</v>
      </c>
      <c r="S277">
        <f>Analisa!$G$197</f>
        <v>1750000</v>
      </c>
      <c r="T277">
        <f>Analisa!$H$197</f>
        <v>75000</v>
      </c>
      <c r="V277">
        <f>'REKAP Balok'!W638</f>
        <v>13.333333333333334</v>
      </c>
      <c r="W277">
        <f>Analisa!$F$143</f>
        <v>251112.5</v>
      </c>
      <c r="X277">
        <f>Analisa!$H$143</f>
        <v>50940.509259259255</v>
      </c>
      <c r="Z277">
        <f>'REKAP Balok'!X638</f>
        <v>326.2938305660377</v>
      </c>
      <c r="AA277">
        <f>Analisa!$F$233</f>
        <v>11282.5</v>
      </c>
      <c r="AF277">
        <f>R277+V277*W277+Z277*AA277</f>
        <v>8096009.310027987</v>
      </c>
      <c r="AG277">
        <f>S277</f>
        <v>1750000</v>
      </c>
      <c r="AH277">
        <f>T277+V277*X277</f>
        <v>754206.7901234567</v>
      </c>
    </row>
    <row r="278">
      <c r="B278" t="str">
        <v xml:space="preserve"> - Balok B25-1</v>
      </c>
      <c r="C278" t="str">
        <v>m3</v>
      </c>
      <c r="D278">
        <f>H278</f>
        <v>0.4144</v>
      </c>
      <c r="E278">
        <f>N278*'REKAP RAB'!$O$4</f>
        <v>10398109.599840777</v>
      </c>
      <c r="F278">
        <f>D278*E278</f>
        <v>4308976.618174018</v>
      </c>
      <c r="G278" t="str">
        <v>B25-1</v>
      </c>
      <c r="H278">
        <f>'REKAP Balok'!G641</f>
        <v>0.4144</v>
      </c>
      <c r="I278">
        <f>AF278</f>
        <v>6649066.627145512</v>
      </c>
      <c r="J278">
        <f>AG278</f>
        <v>1750000</v>
      </c>
      <c r="K278">
        <f>AH278</f>
        <v>722082.1446446447</v>
      </c>
      <c r="N278">
        <f>SUM(I278:M278)</f>
        <v>9121148.771790156</v>
      </c>
      <c r="O278">
        <f>H278*N278</f>
        <v>3779804.0510298405</v>
      </c>
      <c r="R278">
        <f>Analisa!$F$197</f>
        <v>1066432.5000000002</v>
      </c>
      <c r="S278">
        <f>Analisa!$G$197</f>
        <v>1750000</v>
      </c>
      <c r="T278">
        <f>Analisa!$H$197</f>
        <v>75000</v>
      </c>
      <c r="V278">
        <f>'REKAP Balok'!W641</f>
        <v>12.702702702702704</v>
      </c>
      <c r="W278">
        <f>Analisa!$F$143</f>
        <v>251112.5</v>
      </c>
      <c r="X278">
        <f>Analisa!$H$143</f>
        <v>50940.509259259255</v>
      </c>
      <c r="Z278">
        <f>'REKAP Balok'!X641</f>
        <v>212.08302191119697</v>
      </c>
      <c r="AA278">
        <f>Analisa!$F$233</f>
        <v>11282.5</v>
      </c>
      <c r="AF278">
        <f>R278+V278*W278+Z278*AA278</f>
        <v>6649066.627145512</v>
      </c>
      <c r="AG278">
        <f>S278</f>
        <v>1750000</v>
      </c>
      <c r="AH278">
        <f>T278+V278*X278</f>
        <v>722082.1446446447</v>
      </c>
    </row>
    <row r="279">
      <c r="B279" t="str">
        <v xml:space="preserve"> - Balok B25-2</v>
      </c>
      <c r="C279" t="str">
        <v>m3</v>
      </c>
      <c r="D279">
        <f>H279</f>
        <v>2.7731000000000003</v>
      </c>
      <c r="E279">
        <f>N279*'REKAP RAB'!$O$4</f>
        <v>11120043.393105516</v>
      </c>
      <c r="F279">
        <f>D279*E279</f>
        <v>30836992.33342091</v>
      </c>
      <c r="G279" t="str">
        <v>B25-2</v>
      </c>
      <c r="H279">
        <f>'REKAP Balok'!G642</f>
        <v>2.7731000000000003</v>
      </c>
      <c r="I279">
        <f>AF279</f>
        <v>7281329.078559985</v>
      </c>
      <c r="J279">
        <f>AG279</f>
        <v>1750000</v>
      </c>
      <c r="K279">
        <f>AH279</f>
        <v>723094.9504799414</v>
      </c>
      <c r="N279">
        <f>SUM(I279:M279)</f>
        <v>9754424.029039927</v>
      </c>
      <c r="O279">
        <f>H279*N279</f>
        <v>27049993.274930626</v>
      </c>
      <c r="R279">
        <f>Analisa!$F$197</f>
        <v>1066432.5000000002</v>
      </c>
      <c r="S279">
        <f>Analisa!$G$197</f>
        <v>1750000</v>
      </c>
      <c r="T279">
        <f>Analisa!$H$197</f>
        <v>75000</v>
      </c>
      <c r="V279">
        <f>'REKAP Balok'!W642</f>
        <v>12.722584832858532</v>
      </c>
      <c r="W279">
        <f>Analisa!$F$143</f>
        <v>251112.5</v>
      </c>
      <c r="X279">
        <f>Analisa!$H$143</f>
        <v>50940.509259259255</v>
      </c>
      <c r="Z279">
        <f>'REKAP Balok'!X642</f>
        <v>267.67972477011284</v>
      </c>
      <c r="AA279">
        <f>Analisa!$F$233</f>
        <v>11282.5</v>
      </c>
      <c r="AF279">
        <f>R279+V279*W279+Z279*AA279</f>
        <v>7281329.078559985</v>
      </c>
      <c r="AG279">
        <f>S279</f>
        <v>1750000</v>
      </c>
      <c r="AH279">
        <f>T279+V279*X279</f>
        <v>723094.9504799414</v>
      </c>
    </row>
    <row r="280">
      <c r="B280" t="str">
        <v xml:space="preserve"> - Balok B25-3</v>
      </c>
      <c r="C280" t="str">
        <v>m3</v>
      </c>
      <c r="D280">
        <f>H280</f>
        <v>2.85418</v>
      </c>
      <c r="E280">
        <f>N280*'REKAP RAB'!$O$4</f>
        <v>11362818.154407276</v>
      </c>
      <c r="F280">
        <f>D280*E280</f>
        <v>32431528.31994616</v>
      </c>
      <c r="G280" t="str">
        <v>B25-3</v>
      </c>
      <c r="H280">
        <f>'REKAP Balok'!G643</f>
        <v>2.85418</v>
      </c>
      <c r="I280">
        <f>AF280</f>
        <v>7495302.2013266515</v>
      </c>
      <c r="J280">
        <f>AG280</f>
        <v>1750000</v>
      </c>
      <c r="K280">
        <f>AH280</f>
        <v>722082.1446446447</v>
      </c>
      <c r="N280">
        <f>SUM(I280:M280)</f>
        <v>9967384.345971296</v>
      </c>
      <c r="O280">
        <f>H280*N280</f>
        <v>28448709.05258435</v>
      </c>
      <c r="R280">
        <f>Analisa!$F$197</f>
        <v>1066432.5000000002</v>
      </c>
      <c r="S280">
        <f>Analisa!$G$197</f>
        <v>1750000</v>
      </c>
      <c r="T280">
        <f>Analisa!$H$197</f>
        <v>75000</v>
      </c>
      <c r="V280">
        <f>'REKAP Balok'!W643</f>
        <v>12.702702702702704</v>
      </c>
      <c r="W280">
        <f>Analisa!$F$143</f>
        <v>251112.5</v>
      </c>
      <c r="X280">
        <f>Analisa!$H$143</f>
        <v>50940.509259259255</v>
      </c>
      <c r="Z280">
        <f>'REKAP Balok'!X643</f>
        <v>287.08728286232827</v>
      </c>
      <c r="AA280">
        <f>Analisa!$F$233</f>
        <v>11282.5</v>
      </c>
      <c r="AF280">
        <f>R280+V280*W280+Z280*AA280</f>
        <v>7495302.2013266515</v>
      </c>
      <c r="AG280">
        <f>S280</f>
        <v>1750000</v>
      </c>
      <c r="AH280">
        <f>T280+V280*X280</f>
        <v>722082.1446446447</v>
      </c>
    </row>
    <row r="281">
      <c r="B281" t="str">
        <v xml:space="preserve"> - Balok B25-4</v>
      </c>
      <c r="C281" t="str">
        <v>m3</v>
      </c>
      <c r="D281">
        <f>H281</f>
        <v>0.6031</v>
      </c>
      <c r="E281">
        <f>N281*'REKAP RAB'!$O$4</f>
        <v>11742000.569614744</v>
      </c>
      <c r="F281">
        <f>D281*E281</f>
        <v>7081600.543534651</v>
      </c>
      <c r="G281" t="str">
        <v>B25-4</v>
      </c>
      <c r="H281">
        <f>'REKAP Balok'!G644</f>
        <v>0.6031</v>
      </c>
      <c r="I281">
        <f>AF281</f>
        <v>7827918.3550174115</v>
      </c>
      <c r="J281">
        <f>AG281</f>
        <v>1750000</v>
      </c>
      <c r="K281">
        <f>AH281</f>
        <v>722082.1446446447</v>
      </c>
      <c r="N281">
        <f>SUM(I281:M281)</f>
        <v>10300000.499662057</v>
      </c>
      <c r="O281">
        <f>H281*N281</f>
        <v>6211930.301346186</v>
      </c>
      <c r="R281">
        <f>Analisa!$F$197</f>
        <v>1066432.5000000002</v>
      </c>
      <c r="S281">
        <f>Analisa!$G$197</f>
        <v>1750000</v>
      </c>
      <c r="T281">
        <f>Analisa!$H$197</f>
        <v>75000</v>
      </c>
      <c r="V281">
        <f>'REKAP Balok'!W644</f>
        <v>12.702702702702704</v>
      </c>
      <c r="W281">
        <f>Analisa!$F$143</f>
        <v>251112.5</v>
      </c>
      <c r="X281">
        <f>Analisa!$H$143</f>
        <v>50940.509259259255</v>
      </c>
      <c r="Z281">
        <f>'REKAP Balok'!X644</f>
        <v>316.56799668380046</v>
      </c>
      <c r="AA281">
        <f>Analisa!$F$233</f>
        <v>11282.5</v>
      </c>
      <c r="AF281">
        <f>R281+V281*W281+Z281*AA281</f>
        <v>7827918.3550174115</v>
      </c>
      <c r="AG281">
        <f>S281</f>
        <v>1750000</v>
      </c>
      <c r="AH281">
        <f>T281+V281*X281</f>
        <v>722082.1446446447</v>
      </c>
    </row>
    <row r="282">
      <c r="B282" t="str">
        <v xml:space="preserve"> - Balok B25-5</v>
      </c>
      <c r="C282" t="str">
        <v>m3</v>
      </c>
      <c r="D282">
        <f>H282</f>
        <v>1.3374000000000001</v>
      </c>
      <c r="E282">
        <f>N282*'REKAP RAB'!$O$4</f>
        <v>12333661.226101859</v>
      </c>
      <c r="F282">
        <f>D282*E282</f>
        <v>16495038.523788627</v>
      </c>
      <c r="G282" t="str">
        <v>B25-5</v>
      </c>
      <c r="H282">
        <f>'REKAP Balok'!G645</f>
        <v>1.3374000000000001</v>
      </c>
      <c r="I282">
        <f>AF282</f>
        <v>8342904.12227703</v>
      </c>
      <c r="J282">
        <f>AG282</f>
        <v>1750000</v>
      </c>
      <c r="K282">
        <f>AH282</f>
        <v>726096.953250918</v>
      </c>
      <c r="N282">
        <f>SUM(I282:M282)</f>
        <v>10819001.075527947</v>
      </c>
      <c r="O282">
        <f>H282*N282</f>
        <v>14469332.038411079</v>
      </c>
      <c r="R282">
        <f>Analisa!$F$197</f>
        <v>1066432.5000000002</v>
      </c>
      <c r="S282">
        <f>Analisa!$G$197</f>
        <v>1750000</v>
      </c>
      <c r="T282">
        <f>Analisa!$H$197</f>
        <v>75000</v>
      </c>
      <c r="V282">
        <f>'REKAP Balok'!W645</f>
        <v>12.781516375056079</v>
      </c>
      <c r="W282">
        <f>Analisa!$F$143</f>
        <v>251112.5</v>
      </c>
      <c r="X282">
        <f>Analisa!$H$143</f>
        <v>50940.509259259255</v>
      </c>
      <c r="Z282">
        <f>'REKAP Balok'!X645</f>
        <v>360.45850578734854</v>
      </c>
      <c r="AA282">
        <f>Analisa!$F$233</f>
        <v>11282.5</v>
      </c>
      <c r="AF282">
        <f>R282+V282*W282+Z282*AA282</f>
        <v>8342904.12227703</v>
      </c>
      <c r="AG282">
        <f>S282</f>
        <v>1750000</v>
      </c>
      <c r="AH282">
        <f>T282+V282*X282</f>
        <v>726096.953250918</v>
      </c>
    </row>
    <row r="283">
      <c r="B283" t="str">
        <v xml:space="preserve"> - Balok B26-4</v>
      </c>
      <c r="C283" t="str">
        <v>m3</v>
      </c>
      <c r="D283">
        <f>H283</f>
        <v>0.2726</v>
      </c>
      <c r="E283">
        <f>N283*'REKAP RAB'!$O$4</f>
        <v>12906146.856343722</v>
      </c>
      <c r="F283">
        <f>D283*E283</f>
        <v>3518215.633039299</v>
      </c>
      <c r="G283" t="str">
        <v>B26-4</v>
      </c>
      <c r="H283">
        <f>'REKAP Balok'!G651</f>
        <v>0.2726</v>
      </c>
      <c r="I283">
        <f>AF283</f>
        <v>8878392.298086755</v>
      </c>
      <c r="J283">
        <f>AG283</f>
        <v>1750000</v>
      </c>
      <c r="K283">
        <f>AH283</f>
        <v>692789.1548463356</v>
      </c>
      <c r="N283">
        <f>SUM(I283:M283)</f>
        <v>11321181.45293309</v>
      </c>
      <c r="O283">
        <f>H283*N283</f>
        <v>3086154.0640695603</v>
      </c>
      <c r="R283">
        <f>Analisa!$F$197</f>
        <v>1066432.5000000002</v>
      </c>
      <c r="S283">
        <f>Analisa!$G$197</f>
        <v>1750000</v>
      </c>
      <c r="T283">
        <f>Analisa!$H$197</f>
        <v>75000</v>
      </c>
      <c r="V283">
        <f>'REKAP Balok'!W651</f>
        <v>12.127659574468085</v>
      </c>
      <c r="W283">
        <f>Analisa!$F$143</f>
        <v>251112.5</v>
      </c>
      <c r="X283">
        <f>Analisa!$H$143</f>
        <v>50940.509259259255</v>
      </c>
      <c r="Z283">
        <f>'REKAP Balok'!X651</f>
        <v>422.4731117388114</v>
      </c>
      <c r="AA283">
        <f>Analisa!$F$233</f>
        <v>11282.5</v>
      </c>
      <c r="AF283">
        <f>R283+V283*W283+Z283*AA283</f>
        <v>8878392.298086755</v>
      </c>
      <c r="AG283">
        <f>S283</f>
        <v>1750000</v>
      </c>
      <c r="AH283">
        <f>T283+V283*X283</f>
        <v>692789.1548463356</v>
      </c>
    </row>
    <row r="284">
      <c r="B284" t="str">
        <v xml:space="preserve"> - Balok CL26-1</v>
      </c>
      <c r="C284" t="str">
        <v>m3</v>
      </c>
      <c r="D284">
        <f>H284</f>
        <v>0.09729</v>
      </c>
      <c r="E284">
        <f>N284*'REKAP RAB'!$O$4</f>
        <v>10965435.301337587</v>
      </c>
      <c r="F284">
        <f>D284*E284</f>
        <v>1066827.200467134</v>
      </c>
      <c r="G284" t="str">
        <v>CL26-1</v>
      </c>
      <c r="H284">
        <f>'REKAP Balok'!G653</f>
        <v>0.09729</v>
      </c>
      <c r="I284">
        <f>AF284</f>
        <v>7176013.7410638295</v>
      </c>
      <c r="J284">
        <f>AG284</f>
        <v>1750000</v>
      </c>
      <c r="K284">
        <f>AH284</f>
        <v>692789.1548463356</v>
      </c>
      <c r="N284">
        <f>SUM(I284:M284)</f>
        <v>9618802.895910164</v>
      </c>
      <c r="O284">
        <f>H284*N284</f>
        <v>935813.3337430999</v>
      </c>
      <c r="R284">
        <f>Analisa!$F$197</f>
        <v>1066432.5000000002</v>
      </c>
      <c r="S284">
        <f>Analisa!$G$197</f>
        <v>1750000</v>
      </c>
      <c r="T284">
        <f>Analisa!$H$197</f>
        <v>75000</v>
      </c>
      <c r="V284">
        <f>'REKAP Balok'!W653</f>
        <v>12.127659574468085</v>
      </c>
      <c r="W284">
        <f>Analisa!$F$143</f>
        <v>251112.5</v>
      </c>
      <c r="X284">
        <f>Analisa!$H$143</f>
        <v>50940.509259259255</v>
      </c>
      <c r="Z284">
        <f>'REKAP Balok'!X653</f>
        <v>271.5864680851064</v>
      </c>
      <c r="AA284">
        <f>Analisa!$F$233</f>
        <v>11282.5</v>
      </c>
      <c r="AF284">
        <f>R284+V284*W284+Z284*AA284</f>
        <v>7176013.7410638295</v>
      </c>
      <c r="AG284">
        <f>S284</f>
        <v>1750000</v>
      </c>
      <c r="AH284">
        <f>T284+V284*X284</f>
        <v>692789.1548463356</v>
      </c>
    </row>
    <row r="285">
      <c r="B285" t="str">
        <v xml:space="preserve"> - Balok B2550-1</v>
      </c>
      <c r="C285" t="str">
        <v>m3</v>
      </c>
      <c r="D285">
        <f>H285</f>
        <v>1.776</v>
      </c>
      <c r="E285">
        <f>N285*'REKAP RAB'!$O$4</f>
        <v>11066924.540548222</v>
      </c>
      <c r="F285">
        <f>D285*E285</f>
        <v>19654857.984013643</v>
      </c>
      <c r="G285" t="str">
        <v>B2550-1</v>
      </c>
      <c r="H285">
        <f>'REKAP Balok'!G654</f>
        <v>1.776</v>
      </c>
      <c r="I285">
        <f>AF285</f>
        <v>7337627.418214422</v>
      </c>
      <c r="J285">
        <f>AG285</f>
        <v>1750000</v>
      </c>
      <c r="K285">
        <f>AH285</f>
        <v>620201.1261261262</v>
      </c>
      <c r="N285">
        <f>SUM(I285:M285)</f>
        <v>9707828.544340547</v>
      </c>
      <c r="O285">
        <f>H285*N285</f>
        <v>17241103.494748812</v>
      </c>
      <c r="R285">
        <f>Analisa!$F$197</f>
        <v>1066432.5000000002</v>
      </c>
      <c r="S285">
        <f>Analisa!$G$197</f>
        <v>1750000</v>
      </c>
      <c r="T285">
        <f>Analisa!$H$197</f>
        <v>75000</v>
      </c>
      <c r="V285">
        <f>'REKAP Balok'!W654</f>
        <v>10.702702702702704</v>
      </c>
      <c r="W285">
        <f>Analisa!$F$143</f>
        <v>251112.5</v>
      </c>
      <c r="X285">
        <f>Analisa!$H$143</f>
        <v>50940.509259259255</v>
      </c>
      <c r="Z285">
        <f>'REKAP Balok'!X654</f>
        <v>317.6257465793919</v>
      </c>
      <c r="AA285">
        <f>Analisa!$F$233</f>
        <v>11282.5</v>
      </c>
      <c r="AF285">
        <f>R285+V285*W285+Z285*AA285</f>
        <v>7337627.418214422</v>
      </c>
      <c r="AG285">
        <f>S285</f>
        <v>1750000</v>
      </c>
      <c r="AH285">
        <f>T285+V285*X285</f>
        <v>620201.1261261262</v>
      </c>
    </row>
    <row r="286">
      <c r="B286" t="str">
        <v xml:space="preserve"> - Balok B35-2</v>
      </c>
      <c r="C286" t="str">
        <v>m3</v>
      </c>
      <c r="D286">
        <f>H286</f>
        <v>1.5651000000000002</v>
      </c>
      <c r="E286">
        <f>N286*'REKAP RAB'!$O$4</f>
        <v>10105742.231301723</v>
      </c>
      <c r="F286">
        <f>D286*E286</f>
        <v>15816497.16621033</v>
      </c>
      <c r="G286" t="str">
        <v>B35-2</v>
      </c>
      <c r="H286">
        <f>'REKAP Balok'!G659</f>
        <v>1.5651000000000002</v>
      </c>
      <c r="I286">
        <f>AF286</f>
        <v>6562405.720694748</v>
      </c>
      <c r="J286">
        <f>AG286</f>
        <v>1750000</v>
      </c>
      <c r="K286">
        <f>AH286</f>
        <v>552280.4471137804</v>
      </c>
      <c r="N286">
        <f>SUM(I286:M286)</f>
        <v>8864686.167808529</v>
      </c>
      <c r="O286">
        <f>H286*N286</f>
        <v>13874120.32123713</v>
      </c>
      <c r="R286">
        <f>Analisa!$F$197</f>
        <v>1066432.5000000002</v>
      </c>
      <c r="S286">
        <f>Analisa!$G$197</f>
        <v>1750000</v>
      </c>
      <c r="T286">
        <f>Analisa!$H$197</f>
        <v>75000</v>
      </c>
      <c r="V286">
        <f>'REKAP Balok'!W659</f>
        <v>9.36936936936937</v>
      </c>
      <c r="W286">
        <f>Analisa!$F$143</f>
        <v>251112.5</v>
      </c>
      <c r="X286">
        <f>Analisa!$H$143</f>
        <v>50940.509259259255</v>
      </c>
      <c r="Z286">
        <f>'REKAP Balok'!X659</f>
        <v>278.5913986198965</v>
      </c>
      <c r="AA286">
        <f>Analisa!$F$233</f>
        <v>11282.5</v>
      </c>
      <c r="AF286">
        <f>R286+V286*W286+Z286*AA286</f>
        <v>6562405.720694748</v>
      </c>
      <c r="AG286">
        <f>S286</f>
        <v>1750000</v>
      </c>
      <c r="AH286">
        <f>T286+V286*X286</f>
        <v>552280.4471137804</v>
      </c>
    </row>
    <row r="287">
      <c r="B287" t="str">
        <v xml:space="preserve"> - Balok B36-1</v>
      </c>
      <c r="C287" t="str">
        <v>m3</v>
      </c>
      <c r="D287">
        <f>H287</f>
        <v>0.763515</v>
      </c>
      <c r="E287">
        <f>N287*'REKAP RAB'!$O$4</f>
        <v>9003921.096455427</v>
      </c>
      <c r="F287">
        <f>D287*E287</f>
        <v>6874628.815960166</v>
      </c>
      <c r="G287" t="str">
        <v>B36-1</v>
      </c>
      <c r="H287">
        <f>'REKAP Balok'!G660</f>
        <v>0.763515</v>
      </c>
      <c r="I287">
        <f>AF287</f>
        <v>5625188.943084027</v>
      </c>
      <c r="J287">
        <f>AG287</f>
        <v>1750000</v>
      </c>
      <c r="K287">
        <f>AH287</f>
        <v>522987.45731547143</v>
      </c>
      <c r="N287">
        <f>SUM(I287:M287)</f>
        <v>7898176.400399498</v>
      </c>
      <c r="O287">
        <f>H287*N287</f>
        <v>6030376.154351023</v>
      </c>
      <c r="R287">
        <f>Analisa!$F$197</f>
        <v>1066432.5000000002</v>
      </c>
      <c r="S287">
        <f>Analisa!$G$197</f>
        <v>1750000</v>
      </c>
      <c r="T287">
        <f>Analisa!$H$197</f>
        <v>75000</v>
      </c>
      <c r="V287">
        <f>'REKAP Balok'!W660</f>
        <v>8.794326241134751</v>
      </c>
      <c r="W287">
        <f>Analisa!$F$143</f>
        <v>251112.5</v>
      </c>
      <c r="X287">
        <f>Analisa!$H$143</f>
        <v>50940.509259259255</v>
      </c>
      <c r="Z287">
        <f>'REKAP Balok'!X660</f>
        <v>208.32184310720814</v>
      </c>
      <c r="AA287">
        <f>Analisa!$F$233</f>
        <v>11282.5</v>
      </c>
      <c r="AF287">
        <f>R287+V287*W287+Z287*AA287</f>
        <v>5625188.943084027</v>
      </c>
      <c r="AG287">
        <f>S287</f>
        <v>1750000</v>
      </c>
      <c r="AH287">
        <f>T287+V287*X287</f>
        <v>522987.45731547143</v>
      </c>
    </row>
    <row r="288">
      <c r="B288" t="str">
        <v xml:space="preserve"> - Balok B37-1</v>
      </c>
      <c r="C288" t="str">
        <v>m3</v>
      </c>
      <c r="D288">
        <f>H288</f>
        <v>1.438965</v>
      </c>
      <c r="E288">
        <f>N288*'REKAP RAB'!$O$4</f>
        <v>9724253.719696907</v>
      </c>
      <c r="F288">
        <f>D288*E288</f>
        <v>13992860.75376366</v>
      </c>
      <c r="G288" t="str">
        <v>B37-1</v>
      </c>
      <c r="H288">
        <f>'REKAP Balok'!G663</f>
        <v>1.438965</v>
      </c>
      <c r="I288">
        <f>AF288</f>
        <v>6276074.412989492</v>
      </c>
      <c r="J288">
        <f>AG288</f>
        <v>1750000</v>
      </c>
      <c r="K288">
        <f>AH288</f>
        <v>503972.70955165685</v>
      </c>
      <c r="N288">
        <f>SUM(I288:M288)</f>
        <v>8530047.122541148</v>
      </c>
      <c r="O288">
        <f>H288*N288</f>
        <v>12274439.257687423</v>
      </c>
      <c r="R288">
        <f>Analisa!$F$197</f>
        <v>1066432.5000000002</v>
      </c>
      <c r="S288">
        <f>Analisa!$G$197</f>
        <v>1750000</v>
      </c>
      <c r="T288">
        <f>Analisa!$H$197</f>
        <v>75000</v>
      </c>
      <c r="V288">
        <f>'REKAP Balok'!W663</f>
        <v>8.421052631578947</v>
      </c>
      <c r="W288">
        <f>Analisa!$F$143</f>
        <v>251112.5</v>
      </c>
      <c r="X288">
        <f>Analisa!$H$143</f>
        <v>50940.509259259255</v>
      </c>
      <c r="Z288">
        <f>'REKAP Balok'!X663</f>
        <v>274.31955098977386</v>
      </c>
      <c r="AA288">
        <f>Analisa!$F$233</f>
        <v>11282.5</v>
      </c>
      <c r="AF288">
        <f>R288+V288*W288+Z288*AA288</f>
        <v>6276074.412989492</v>
      </c>
      <c r="AG288">
        <f>S288</f>
        <v>1750000</v>
      </c>
      <c r="AH288">
        <f>T288+V288*X288</f>
        <v>503972.70955165685</v>
      </c>
    </row>
    <row r="289">
      <c r="B289" t="str">
        <v xml:space="preserve"> - Balok B1745-1</v>
      </c>
      <c r="C289" t="str">
        <v>m3</v>
      </c>
      <c r="D289">
        <f>H289</f>
        <v>0.2142</v>
      </c>
      <c r="E289">
        <f>N289*'REKAP RAB'!$O$4</f>
        <v>10021714.916812792</v>
      </c>
      <c r="F289">
        <f>D289*E289</f>
        <v>2146651.3351813</v>
      </c>
      <c r="G289" t="str">
        <v>B1745-1</v>
      </c>
      <c r="H289">
        <f>'REKAP Balok'!G672</f>
        <v>0.2142</v>
      </c>
      <c r="I289">
        <f>AF289</f>
        <v>6253476.756584501</v>
      </c>
      <c r="J289">
        <f>AG289</f>
        <v>1750000</v>
      </c>
      <c r="K289">
        <f>AH289</f>
        <v>787501.2406197046</v>
      </c>
      <c r="N289">
        <f>SUM(I289:M289)</f>
        <v>8790977.997204205</v>
      </c>
      <c r="O289">
        <f>H289*N289</f>
        <v>1883027.4870011408</v>
      </c>
      <c r="R289">
        <f>Analisa!$F$197</f>
        <v>1066432.5000000002</v>
      </c>
      <c r="S289">
        <f>Analisa!$G$197</f>
        <v>1750000</v>
      </c>
      <c r="T289">
        <f>Analisa!$H$197</f>
        <v>75000</v>
      </c>
      <c r="V289">
        <f>'REKAP Balok'!W672</f>
        <v>13.986928104575163</v>
      </c>
      <c r="W289">
        <f>Analisa!$F$143</f>
        <v>251112.5</v>
      </c>
      <c r="X289">
        <f>Analisa!$H$143</f>
        <v>50940.509259259255</v>
      </c>
      <c r="Z289">
        <f>'REKAP Balok'!X672</f>
        <v>148.43800336134456</v>
      </c>
      <c r="AA289">
        <f>Analisa!$F$233</f>
        <v>11282.5</v>
      </c>
      <c r="AF289">
        <f>R289+V289*W289+Z289*AA289</f>
        <v>6253476.756584501</v>
      </c>
      <c r="AG289">
        <f>S289</f>
        <v>1750000</v>
      </c>
      <c r="AH289">
        <f>T289+V289*X289</f>
        <v>787501.2406197046</v>
      </c>
    </row>
    <row r="290">
      <c r="B290" t="str">
        <v xml:space="preserve"> - Balok Potongan B</v>
      </c>
      <c r="C290" t="str">
        <v>m3</v>
      </c>
      <c r="D290">
        <f>H290</f>
        <v>0.148</v>
      </c>
      <c r="E290">
        <f>N290*'REKAP RAB'!$O$4</f>
        <v>13360600.390808083</v>
      </c>
      <c r="F290">
        <f>D290*E290</f>
        <v>1977368.8578395962</v>
      </c>
      <c r="G290" t="str">
        <v>Potongan B</v>
      </c>
      <c r="H290">
        <f>'REKAP Balok'!G675</f>
        <v>0.148</v>
      </c>
      <c r="I290">
        <f>AF290</f>
        <v>9247742.759572973</v>
      </c>
      <c r="J290">
        <f>AG290</f>
        <v>1750000</v>
      </c>
      <c r="K290">
        <f>AH290</f>
        <v>722082.1446446446</v>
      </c>
      <c r="N290">
        <f>SUM(I290:M290)</f>
        <v>11719824.904217618</v>
      </c>
      <c r="O290">
        <f>H290*N290</f>
        <v>1734534.0858242074</v>
      </c>
      <c r="R290">
        <f>Analisa!$F$197</f>
        <v>1066432.5000000002</v>
      </c>
      <c r="S290">
        <f>Analisa!$G$197</f>
        <v>1750000</v>
      </c>
      <c r="T290">
        <f>Analisa!$H$197</f>
        <v>75000</v>
      </c>
      <c r="V290">
        <f>'REKAP Balok'!W675</f>
        <v>12.702702702702702</v>
      </c>
      <c r="W290">
        <f>Analisa!$F$143</f>
        <v>251112.5</v>
      </c>
      <c r="X290">
        <f>Analisa!$H$143</f>
        <v>50940.509259259255</v>
      </c>
      <c r="Z290">
        <f>'REKAP Balok'!X675</f>
        <v>442.4110637837838</v>
      </c>
      <c r="AA290">
        <f>Analisa!$F$233</f>
        <v>11282.5</v>
      </c>
      <c r="AF290">
        <f>R290+V290*W290+Z290*AA290</f>
        <v>9247742.759572973</v>
      </c>
      <c r="AG290">
        <f>S290</f>
        <v>1750000</v>
      </c>
      <c r="AH290">
        <f>T290+V290*X290</f>
        <v>722082.1446446446</v>
      </c>
    </row>
    <row r="291">
      <c r="B291" t="str">
        <v xml:space="preserve"> - Balok Potongan C</v>
      </c>
      <c r="C291" t="str">
        <v>m3</v>
      </c>
      <c r="D291">
        <f>H291</f>
        <v>0.4514</v>
      </c>
      <c r="E291">
        <f>N291*'REKAP RAB'!$O$4</f>
        <v>13718381.98491049</v>
      </c>
      <c r="F291">
        <f>D291*E291</f>
        <v>6192477.6279885955</v>
      </c>
      <c r="G291" t="str">
        <v>Potongan C</v>
      </c>
      <c r="H291">
        <f>'REKAP Balok'!G676</f>
        <v>0.4514</v>
      </c>
      <c r="I291">
        <f>AF291</f>
        <v>9561586.263171576</v>
      </c>
      <c r="J291">
        <f>AG291</f>
        <v>1750000</v>
      </c>
      <c r="K291">
        <f>AH291</f>
        <v>722082.1446446446</v>
      </c>
      <c r="N291">
        <f>SUM(I291:M291)</f>
        <v>12033668.40781622</v>
      </c>
      <c r="O291">
        <f>H291*N291</f>
        <v>5431997.919288242</v>
      </c>
      <c r="R291">
        <f>Analisa!$F$197</f>
        <v>1066432.5000000002</v>
      </c>
      <c r="S291">
        <f>Analisa!$G$197</f>
        <v>1750000</v>
      </c>
      <c r="T291">
        <f>Analisa!$H$197</f>
        <v>75000</v>
      </c>
      <c r="V291">
        <f>'REKAP Balok'!W676</f>
        <v>12.702702702702702</v>
      </c>
      <c r="W291">
        <f>Analisa!$F$143</f>
        <v>251112.5</v>
      </c>
      <c r="X291">
        <f>Analisa!$H$143</f>
        <v>50940.509259259255</v>
      </c>
      <c r="Z291">
        <f>'REKAP Balok'!X676</f>
        <v>470.2279043420469</v>
      </c>
      <c r="AA291">
        <f>Analisa!$F$233</f>
        <v>11282.5</v>
      </c>
      <c r="AF291">
        <f>R291+V291*W291+Z291*AA291</f>
        <v>9561586.263171576</v>
      </c>
      <c r="AG291">
        <f>S291</f>
        <v>1750000</v>
      </c>
      <c r="AH291">
        <f>T291+V291*X291</f>
        <v>722082.1446446446</v>
      </c>
    </row>
    <row r="292">
      <c r="B292" t="str">
        <v xml:space="preserve"> - Balok Potongan D</v>
      </c>
      <c r="C292" t="str">
        <v>m3</v>
      </c>
      <c r="D292">
        <f>H292</f>
        <v>0.18225</v>
      </c>
      <c r="E292">
        <f>N292*'REKAP RAB'!$O$4</f>
        <v>11500453.497297088</v>
      </c>
      <c r="F292">
        <f>D292*E292</f>
        <v>2095957.6498823941</v>
      </c>
      <c r="G292" t="str">
        <v>Potongan D</v>
      </c>
      <c r="H292">
        <f>'REKAP Balok'!G677</f>
        <v>0.18225</v>
      </c>
      <c r="I292">
        <f>AF292</f>
        <v>7810312.576143211</v>
      </c>
      <c r="J292">
        <f>AG292</f>
        <v>1750000</v>
      </c>
      <c r="K292">
        <f>AH292</f>
        <v>527804.5267489712</v>
      </c>
      <c r="N292">
        <f>SUM(I292:M292)</f>
        <v>10088117.102892183</v>
      </c>
      <c r="O292">
        <f>H292*N292</f>
        <v>1838559.3420021003</v>
      </c>
      <c r="R292">
        <f>Analisa!$F$197</f>
        <v>1066432.5000000002</v>
      </c>
      <c r="S292">
        <f>Analisa!$G$197</f>
        <v>1750000</v>
      </c>
      <c r="T292">
        <f>Analisa!$H$197</f>
        <v>75000</v>
      </c>
      <c r="V292">
        <f>'REKAP Balok'!W677</f>
        <v>8.88888888888889</v>
      </c>
      <c r="W292">
        <f>Analisa!$F$143</f>
        <v>251112.5</v>
      </c>
      <c r="X292">
        <f>Analisa!$H$143</f>
        <v>50940.509259259255</v>
      </c>
      <c r="Z292">
        <f>'REKAP Balok'!X677</f>
        <v>399.89088987654327</v>
      </c>
      <c r="AA292">
        <f>Analisa!$F$233</f>
        <v>11282.5</v>
      </c>
      <c r="AF292">
        <f>R292+V292*W292+Z292*AA292</f>
        <v>7810312.576143211</v>
      </c>
      <c r="AG292">
        <f>S292</f>
        <v>1750000</v>
      </c>
      <c r="AH292">
        <f>T292+V292*X292</f>
        <v>527804.5267489712</v>
      </c>
    </row>
    <row r="293">
      <c r="B293" t="str">
        <v xml:space="preserve"> - Balok Potongan E</v>
      </c>
      <c r="C293" t="str">
        <v>m3</v>
      </c>
      <c r="D293">
        <f>H293</f>
        <v>0.33182</v>
      </c>
      <c r="E293">
        <f>N293*'REKAP RAB'!$O$4</f>
        <v>9702716.290462589</v>
      </c>
      <c r="F293">
        <f>D293*E293</f>
        <v>3219555.319501296</v>
      </c>
      <c r="G293" t="str">
        <v>Potongan E</v>
      </c>
      <c r="H293">
        <f>'REKAP Balok'!G678</f>
        <v>0.33182</v>
      </c>
      <c r="I293">
        <f>AF293</f>
        <v>6323068.032206617</v>
      </c>
      <c r="J293">
        <f>AG293</f>
        <v>1750000</v>
      </c>
      <c r="K293">
        <f>AH293</f>
        <v>438086.60855003935</v>
      </c>
      <c r="N293">
        <f>SUM(I293:M293)</f>
        <v>8511154.640756657</v>
      </c>
      <c r="O293">
        <f>H293*N293</f>
        <v>2824171.332895874</v>
      </c>
      <c r="R293">
        <f>Analisa!$F$197</f>
        <v>1066432.5000000002</v>
      </c>
      <c r="S293">
        <f>Analisa!$G$197</f>
        <v>1750000</v>
      </c>
      <c r="T293">
        <f>Analisa!$H$197</f>
        <v>75000</v>
      </c>
      <c r="V293">
        <f>'REKAP Balok'!W678</f>
        <v>7.127659574468085</v>
      </c>
      <c r="W293">
        <f>Analisa!$F$143</f>
        <v>251112.5</v>
      </c>
      <c r="X293">
        <f>Analisa!$H$143</f>
        <v>50940.509259259255</v>
      </c>
      <c r="Z293">
        <f>'REKAP Balok'!X678</f>
        <v>307.2715370984268</v>
      </c>
      <c r="AA293">
        <f>Analisa!$F$233</f>
        <v>11282.5</v>
      </c>
      <c r="AF293">
        <f>R293+V293*W293+Z293*AA293</f>
        <v>6323068.032206617</v>
      </c>
      <c r="AG293">
        <f>S293</f>
        <v>1750000</v>
      </c>
      <c r="AH293">
        <f>T293+V293*X293</f>
        <v>438086.60855003935</v>
      </c>
    </row>
    <row r="294">
      <c r="B294" t="str">
        <v xml:space="preserve"> - Balok Potongan F</v>
      </c>
      <c r="C294" t="str">
        <v>m3</v>
      </c>
      <c r="D294">
        <f>H294</f>
        <v>0.30720000000000003</v>
      </c>
      <c r="E294">
        <f>N294*'REKAP RAB'!$O$4</f>
        <v>12548403.97634065</v>
      </c>
      <c r="F294">
        <f>D294*E294</f>
        <v>3854869.701531848</v>
      </c>
      <c r="G294" t="str">
        <v>Potongan F</v>
      </c>
      <c r="H294">
        <f>'REKAP Balok'!G679</f>
        <v>0.30720000000000003</v>
      </c>
      <c r="I294">
        <f>AF294</f>
        <v>8513777.725042969</v>
      </c>
      <c r="J294">
        <f>AG294</f>
        <v>1750000</v>
      </c>
      <c r="K294">
        <f>AH294</f>
        <v>743594.1840277776</v>
      </c>
      <c r="N294">
        <f>SUM(I294:M294)</f>
        <v>11007371.909070747</v>
      </c>
      <c r="O294">
        <f>H294*N294</f>
        <v>3381464.650466534</v>
      </c>
      <c r="R294">
        <f>Analisa!$F$197</f>
        <v>1066432.5000000002</v>
      </c>
      <c r="S294">
        <f>Analisa!$G$197</f>
        <v>1750000</v>
      </c>
      <c r="T294">
        <f>Analisa!$H$197</f>
        <v>75000</v>
      </c>
      <c r="V294">
        <f>'REKAP Balok'!W679</f>
        <v>13.124999999999998</v>
      </c>
      <c r="W294">
        <f>Analisa!$F$143</f>
        <v>251112.5</v>
      </c>
      <c r="X294">
        <f>Analisa!$H$143</f>
        <v>50940.509259259255</v>
      </c>
      <c r="Z294">
        <f>'REKAP Balok'!X679</f>
        <v>367.9586671875</v>
      </c>
      <c r="AA294">
        <f>Analisa!$F$233</f>
        <v>11282.5</v>
      </c>
      <c r="AF294">
        <f>R294+V294*W294+Z294*AA294</f>
        <v>8513777.725042969</v>
      </c>
      <c r="AG294">
        <f>S294</f>
        <v>1750000</v>
      </c>
      <c r="AH294">
        <f>T294+V294*X294</f>
        <v>743594.1840277776</v>
      </c>
    </row>
    <row r="295">
      <c r="B295" t="str">
        <v xml:space="preserve"> - Balok Potongan J</v>
      </c>
      <c r="C295" t="str">
        <v>m3</v>
      </c>
      <c r="D295">
        <f>H295</f>
        <v>0.345</v>
      </c>
      <c r="E295">
        <f>N295*'REKAP RAB'!$O$4</f>
        <v>12214599.35826483</v>
      </c>
      <c r="F295">
        <f>D295*E295</f>
        <v>4214036.778601366</v>
      </c>
      <c r="G295" t="str">
        <v>Potongan J</v>
      </c>
      <c r="H295">
        <f>'REKAP Balok'!G683</f>
        <v>0.345</v>
      </c>
      <c r="I295">
        <f>AF295</f>
        <v>8241361.316965363</v>
      </c>
      <c r="J295">
        <f>AG295</f>
        <v>1750000</v>
      </c>
      <c r="K295">
        <f>AH295</f>
        <v>723199.5236178207</v>
      </c>
      <c r="N295">
        <f>SUM(I295:M295)</f>
        <v>10714560.840583185</v>
      </c>
      <c r="O295">
        <f>H295*N295</f>
        <v>3696523.4900011984</v>
      </c>
      <c r="R295">
        <f>Analisa!$F$197</f>
        <v>1066432.5000000002</v>
      </c>
      <c r="S295">
        <f>Analisa!$G$197</f>
        <v>1750000</v>
      </c>
      <c r="T295">
        <f>Analisa!$H$197</f>
        <v>75000</v>
      </c>
      <c r="V295">
        <f>'REKAP Balok'!W683</f>
        <v>12.72463768115942</v>
      </c>
      <c r="W295">
        <f>Analisa!$F$143</f>
        <v>251112.5</v>
      </c>
      <c r="X295">
        <f>Analisa!$H$143</f>
        <v>50940.509259259255</v>
      </c>
      <c r="Z295">
        <f>'REKAP Balok'!X683</f>
        <v>352.7244172173913</v>
      </c>
      <c r="AA295">
        <f>Analisa!$F$233</f>
        <v>11282.5</v>
      </c>
      <c r="AF295">
        <f>R295+V295*W295+Z295*AA295</f>
        <v>8241361.316965363</v>
      </c>
      <c r="AG295">
        <f>S295</f>
        <v>1750000</v>
      </c>
      <c r="AH295">
        <f>T295+V295*X295</f>
        <v>723199.5236178207</v>
      </c>
    </row>
    <row r="296">
      <c r="B296" t="str">
        <v xml:space="preserve"> - Balok Potongan O</v>
      </c>
      <c r="C296" t="str">
        <v>m3</v>
      </c>
      <c r="D296">
        <f>H296</f>
        <v>0.179265</v>
      </c>
      <c r="E296">
        <f>N296*'REKAP RAB'!$O$4</f>
        <v>11526112.421139676</v>
      </c>
      <c r="F296">
        <f>D296*E296</f>
        <v>2066228.5431756042</v>
      </c>
      <c r="G296" t="str">
        <v>Potongan O</v>
      </c>
      <c r="H296">
        <f>'REKAP Balok'!G688</f>
        <v>0.179265</v>
      </c>
      <c r="I296">
        <f>AF296</f>
        <v>7808344.483710499</v>
      </c>
      <c r="J296">
        <f>AG296</f>
        <v>1750000</v>
      </c>
      <c r="K296">
        <f>AH296</f>
        <v>552280.4471137804</v>
      </c>
      <c r="N296">
        <f>SUM(I296:M296)</f>
        <v>10110624.930824278</v>
      </c>
      <c r="O296">
        <f>H296*N296</f>
        <v>1812481.1782242144</v>
      </c>
      <c r="R296">
        <f>Analisa!$F$197</f>
        <v>1066432.5000000002</v>
      </c>
      <c r="S296">
        <f>Analisa!$G$197</f>
        <v>1750000</v>
      </c>
      <c r="T296">
        <f>Analisa!$H$197</f>
        <v>75000</v>
      </c>
      <c r="V296">
        <f>'REKAP Balok'!W688</f>
        <v>9.36936936936937</v>
      </c>
      <c r="W296">
        <f>Analisa!$F$143</f>
        <v>251112.5</v>
      </c>
      <c r="X296">
        <f>Analisa!$H$143</f>
        <v>50940.509259259255</v>
      </c>
      <c r="Z296">
        <f>'REKAP Balok'!X688</f>
        <v>389.0224877416116</v>
      </c>
      <c r="AA296">
        <f>Analisa!$F$233</f>
        <v>11282.5</v>
      </c>
      <c r="AF296">
        <f>R296+V296*W296+Z296*AA296</f>
        <v>7808344.483710499</v>
      </c>
      <c r="AG296">
        <f>S296</f>
        <v>1750000</v>
      </c>
      <c r="AH296">
        <f>T296+V296*X296</f>
        <v>552280.4471137804</v>
      </c>
    </row>
    <row r="298">
      <c r="B298" t="str">
        <v xml:space="preserve"> - Strongband BB</v>
      </c>
      <c r="C298" t="str">
        <v>kg</v>
      </c>
      <c r="D298">
        <f>H298</f>
        <v>20.4460992</v>
      </c>
      <c r="E298">
        <f>N298*'REKAP RAB'!$O$4</f>
        <v>12862.05</v>
      </c>
      <c r="F298">
        <f>D298*E298</f>
        <v>262978.75021535996</v>
      </c>
      <c r="G298" t="str">
        <v>BB</v>
      </c>
      <c r="H298">
        <f>'REKAP Balok'!U689</f>
        <v>20.4460992</v>
      </c>
      <c r="I298">
        <v>11282.5</v>
      </c>
      <c r="N298">
        <f>SUM(I298:M298)</f>
        <v>11282.5</v>
      </c>
      <c r="O298">
        <f>H298*N298</f>
        <v>230683.114224</v>
      </c>
    </row>
    <row r="300">
      <c r="A300">
        <v>4</v>
      </c>
      <c r="B300" t="str">
        <v>Kolom (Readymix K-350) :</v>
      </c>
      <c r="AJ300">
        <f>SUMPRODUCT(H301:H313,V301:V313)</f>
        <v>181.01999999999998</v>
      </c>
      <c r="AL300">
        <f>SUMPRODUCT(H301:H313,Z301:Z313)</f>
        <v>2996.9953709399997</v>
      </c>
      <c r="AM300" t="str">
        <v>v</v>
      </c>
    </row>
    <row r="301">
      <c r="B301" t="str">
        <v xml:space="preserve"> - Kolom K13-1</v>
      </c>
      <c r="C301" t="str">
        <v>m3</v>
      </c>
      <c r="D301">
        <f>H301</f>
        <v>0.546</v>
      </c>
      <c r="E301">
        <f>N301*'REKAP RAB'!$O$4</f>
        <v>12503590.877509888</v>
      </c>
      <c r="F301">
        <f>D301*E301</f>
        <v>6826960.6191203995</v>
      </c>
      <c r="G301" t="str">
        <v>K13-1</v>
      </c>
      <c r="H301">
        <f>'Hasil-Kolom'!F307</f>
        <v>0.546</v>
      </c>
      <c r="I301">
        <f>AF301</f>
        <v>8468062.173254289</v>
      </c>
      <c r="J301">
        <f>AG301</f>
        <v>2250000</v>
      </c>
      <c r="K301">
        <f>AH301</f>
        <v>250000</v>
      </c>
      <c r="N301">
        <f>SUM(I301:M301)</f>
        <v>10968062.173254289</v>
      </c>
      <c r="O301">
        <f>H301*N301</f>
        <v>5988561.946596842</v>
      </c>
      <c r="R301">
        <f>Analisa!$F$190</f>
        <v>1066432.5000000002</v>
      </c>
      <c r="S301">
        <f>Analisa!$G$190</f>
        <v>2250000</v>
      </c>
      <c r="T301">
        <f>Analisa!$H$190</f>
        <v>250000</v>
      </c>
      <c r="V301">
        <f>'Hasil-Kolom'!V307</f>
        <v>22.051282051282048</v>
      </c>
      <c r="W301">
        <f>Analisa!$F$132</f>
        <v>232434.21052631576</v>
      </c>
      <c r="Z301">
        <f>'Hasil-Kolom'!W307</f>
        <v>201.74228571428569</v>
      </c>
      <c r="AA301">
        <f>Analisa!$F$233</f>
        <v>11282.5</v>
      </c>
      <c r="AF301">
        <f>R301+V301*W301+Z301*AA301</f>
        <v>8468062.173254289</v>
      </c>
      <c r="AG301">
        <f>S301</f>
        <v>2250000</v>
      </c>
      <c r="AH301">
        <f>T301+V301*X301</f>
        <v>250000</v>
      </c>
    </row>
    <row r="302">
      <c r="B302" t="str">
        <v xml:space="preserve"> - Kolom K174-1</v>
      </c>
      <c r="C302" t="str">
        <v>m3</v>
      </c>
      <c r="D302">
        <f>H302</f>
        <v>0.714</v>
      </c>
      <c r="E302">
        <f>N302*'REKAP RAB'!$O$4</f>
        <v>11131887.893978672</v>
      </c>
      <c r="F302">
        <f>D302*E302</f>
        <v>7948167.956300772</v>
      </c>
      <c r="G302" t="str">
        <v>K174-1</v>
      </c>
      <c r="H302">
        <f>'Hasil-Kolom'!F308</f>
        <v>0.714</v>
      </c>
      <c r="I302">
        <f>AF302</f>
        <v>7264813.942086554</v>
      </c>
      <c r="J302">
        <f>AG302</f>
        <v>2250000</v>
      </c>
      <c r="K302">
        <f>AH302</f>
        <v>250000</v>
      </c>
      <c r="N302">
        <f>SUM(I302:M302)</f>
        <v>9764813.942086555</v>
      </c>
      <c r="O302">
        <f>H302*N302</f>
        <v>6972077.1546498</v>
      </c>
      <c r="R302">
        <f>Analisa!$F$190</f>
        <v>1066432.5000000002</v>
      </c>
      <c r="S302">
        <f>Analisa!$G$190</f>
        <v>2250000</v>
      </c>
      <c r="T302">
        <f>Analisa!$H$190</f>
        <v>250000</v>
      </c>
      <c r="V302">
        <f>'Hasil-Kolom'!V308</f>
        <v>16.764705882352942</v>
      </c>
      <c r="W302">
        <f>Analisa!$F$132</f>
        <v>232434.21052631576</v>
      </c>
      <c r="Z302">
        <f>'Hasil-Kolom'!W308</f>
        <v>204.00534151260504</v>
      </c>
      <c r="AA302">
        <f>Analisa!$F$233</f>
        <v>11282.5</v>
      </c>
      <c r="AF302">
        <f>R302+V302*W302+Z302*AA302</f>
        <v>7264813.942086554</v>
      </c>
      <c r="AG302">
        <f>S302</f>
        <v>2250000</v>
      </c>
      <c r="AH302">
        <f>T302+V302*X302</f>
        <v>250000</v>
      </c>
    </row>
    <row r="303">
      <c r="B303" t="str">
        <v xml:space="preserve"> - Kolom K174-2</v>
      </c>
      <c r="C303" t="str">
        <v>m3</v>
      </c>
      <c r="D303">
        <f>H303</f>
        <v>0.476</v>
      </c>
      <c r="E303">
        <f>N303*'REKAP RAB'!$O$4</f>
        <v>12430393.929459628</v>
      </c>
      <c r="F303">
        <f>D303*E303</f>
        <v>5916867.510422783</v>
      </c>
      <c r="G303" t="str">
        <v>K174-2</v>
      </c>
      <c r="H303">
        <f>'Hasil-Kolom'!F309</f>
        <v>0.476</v>
      </c>
      <c r="I303">
        <f>AF303</f>
        <v>8403854.324087394</v>
      </c>
      <c r="J303">
        <f>AG303</f>
        <v>2250000</v>
      </c>
      <c r="K303">
        <f>AH303</f>
        <v>250000</v>
      </c>
      <c r="N303">
        <f>SUM(I303:M303)</f>
        <v>10903854.324087394</v>
      </c>
      <c r="O303">
        <f>H303*N303</f>
        <v>5190234.658265599</v>
      </c>
      <c r="R303">
        <f>Analisa!$F$190</f>
        <v>1066432.5000000002</v>
      </c>
      <c r="S303">
        <f>Analisa!$G$190</f>
        <v>2250000</v>
      </c>
      <c r="T303">
        <f>Analisa!$H$190</f>
        <v>250000</v>
      </c>
      <c r="V303">
        <f>'Hasil-Kolom'!V309</f>
        <v>16.764705882352942</v>
      </c>
      <c r="W303">
        <f>Analisa!$F$132</f>
        <v>232434.21052631576</v>
      </c>
      <c r="Z303">
        <f>'Hasil-Kolom'!W309</f>
        <v>304.961723697479</v>
      </c>
      <c r="AA303">
        <f>Analisa!$F$233</f>
        <v>11282.5</v>
      </c>
      <c r="AF303">
        <f>R303+V303*W303+Z303*AA303</f>
        <v>8403854.324087394</v>
      </c>
      <c r="AG303">
        <f>S303</f>
        <v>2250000</v>
      </c>
      <c r="AH303">
        <f>T303+V303*X303</f>
        <v>250000</v>
      </c>
    </row>
    <row r="304">
      <c r="B304" t="str">
        <v xml:space="preserve"> - Kolom K175-1</v>
      </c>
      <c r="C304" t="str">
        <v>m3</v>
      </c>
      <c r="D304">
        <f>H304</f>
        <v>0.595</v>
      </c>
      <c r="E304">
        <f>N304*'REKAP RAB'!$O$4</f>
        <v>10674103.759741392</v>
      </c>
      <c r="F304">
        <f>D304*E304</f>
        <v>6351091.737046128</v>
      </c>
      <c r="G304" t="str">
        <v>K175-1</v>
      </c>
      <c r="H304">
        <f>'Hasil-Kolom'!F310</f>
        <v>0.595</v>
      </c>
      <c r="I304">
        <f>AF304</f>
        <v>6863248.912053852</v>
      </c>
      <c r="J304">
        <f>AG304</f>
        <v>2250000</v>
      </c>
      <c r="K304">
        <f>AH304</f>
        <v>250000</v>
      </c>
      <c r="N304">
        <f>SUM(I304:M304)</f>
        <v>9363248.912053853</v>
      </c>
      <c r="O304">
        <f>H304*N304</f>
        <v>5571133.102672042</v>
      </c>
      <c r="R304">
        <f>Analisa!$F$190</f>
        <v>1066432.5000000002</v>
      </c>
      <c r="S304">
        <f>Analisa!$G$190</f>
        <v>2250000</v>
      </c>
      <c r="T304">
        <f>Analisa!$H$190</f>
        <v>250000</v>
      </c>
      <c r="V304">
        <f>'Hasil-Kolom'!V310</f>
        <v>15.764705882352944</v>
      </c>
      <c r="W304">
        <f>Analisa!$F$132</f>
        <v>232434.21052631576</v>
      </c>
      <c r="Z304">
        <f>'Hasil-Kolom'!W310</f>
        <v>189.01479690756304</v>
      </c>
      <c r="AA304">
        <f>Analisa!$F$233</f>
        <v>11282.5</v>
      </c>
      <c r="AF304">
        <f>R304+V304*W304+Z304*AA304</f>
        <v>6863248.912053852</v>
      </c>
      <c r="AG304">
        <f>S304</f>
        <v>2250000</v>
      </c>
      <c r="AH304">
        <f>T304+V304*X304</f>
        <v>250000</v>
      </c>
    </row>
    <row r="305">
      <c r="B305" t="str">
        <v xml:space="preserve"> - Kolom K175-2</v>
      </c>
      <c r="C305" t="str">
        <v>m3</v>
      </c>
      <c r="D305">
        <f>H305</f>
        <v>1.4874999999999998</v>
      </c>
      <c r="E305">
        <f>N305*'REKAP RAB'!$O$4</f>
        <v>11427399.207753763</v>
      </c>
      <c r="F305">
        <f>D305*E305</f>
        <v>16998256.32153372</v>
      </c>
      <c r="G305" t="str">
        <v>K175-2</v>
      </c>
      <c r="H305">
        <f>'Hasil-Kolom'!F311</f>
        <v>1.4874999999999998</v>
      </c>
      <c r="I305">
        <f>AF305</f>
        <v>7524034.392766459</v>
      </c>
      <c r="J305">
        <f>AG305</f>
        <v>2250000</v>
      </c>
      <c r="K305">
        <f>AH305</f>
        <v>250000</v>
      </c>
      <c r="N305">
        <f>SUM(I305:M305)</f>
        <v>10024034.392766459</v>
      </c>
      <c r="O305">
        <f>H305*N305</f>
        <v>14910751.159240106</v>
      </c>
      <c r="R305">
        <f>Analisa!$F$190</f>
        <v>1066432.5000000002</v>
      </c>
      <c r="S305">
        <f>Analisa!$G$190</f>
        <v>2250000</v>
      </c>
      <c r="T305">
        <f>Analisa!$H$190</f>
        <v>250000</v>
      </c>
      <c r="V305">
        <f>'Hasil-Kolom'!V311</f>
        <v>15.764705882352946</v>
      </c>
      <c r="W305">
        <f>Analisa!$F$132</f>
        <v>232434.21052631576</v>
      </c>
      <c r="Z305">
        <f>'Hasil-Kolom'!W311</f>
        <v>247.5820896806723</v>
      </c>
      <c r="AA305">
        <f>Analisa!$F$233</f>
        <v>11282.5</v>
      </c>
      <c r="AF305">
        <f>R305+V305*W305+Z305*AA305</f>
        <v>7524034.392766459</v>
      </c>
      <c r="AG305">
        <f>S305</f>
        <v>2250000</v>
      </c>
      <c r="AH305">
        <f>T305+V305*X305</f>
        <v>250000</v>
      </c>
    </row>
    <row r="306">
      <c r="B306" t="str">
        <v xml:space="preserve"> - Kolom K175-3</v>
      </c>
      <c r="C306" t="str">
        <v>m3</v>
      </c>
      <c r="D306">
        <f>H306</f>
        <v>2.0824999999999996</v>
      </c>
      <c r="E306">
        <f>N306*'REKAP RAB'!$O$4</f>
        <v>12160525.323670488</v>
      </c>
      <c r="F306">
        <f>D306*E306</f>
        <v>25324293.986543786</v>
      </c>
      <c r="G306" t="str">
        <v>K175-3</v>
      </c>
      <c r="H306">
        <f>'Hasil-Kolom'!F312</f>
        <v>2.0824999999999996</v>
      </c>
      <c r="I306">
        <f>AF306</f>
        <v>8167127.476903938</v>
      </c>
      <c r="J306">
        <f>AG306</f>
        <v>2250000</v>
      </c>
      <c r="K306">
        <f>AH306</f>
        <v>250000</v>
      </c>
      <c r="N306">
        <f>SUM(I306:M306)</f>
        <v>10667127.476903938</v>
      </c>
      <c r="O306">
        <f>H306*N306</f>
        <v>22214292.970652446</v>
      </c>
      <c r="R306">
        <f>Analisa!$F$190</f>
        <v>1066432.5000000002</v>
      </c>
      <c r="S306">
        <f>Analisa!$G$190</f>
        <v>2250000</v>
      </c>
      <c r="T306">
        <f>Analisa!$H$190</f>
        <v>250000</v>
      </c>
      <c r="V306">
        <f>'Hasil-Kolom'!V312</f>
        <v>15.764705882352947</v>
      </c>
      <c r="W306">
        <f>Analisa!$F$132</f>
        <v>232434.21052631576</v>
      </c>
      <c r="Z306">
        <f>'Hasil-Kolom'!W312</f>
        <v>304.5812551260505</v>
      </c>
      <c r="AA306">
        <f>Analisa!$F$233</f>
        <v>11282.5</v>
      </c>
      <c r="AF306">
        <f>R306+V306*W306+Z306*AA306</f>
        <v>8167127.476903938</v>
      </c>
      <c r="AG306">
        <f>S306</f>
        <v>2250000</v>
      </c>
      <c r="AH306">
        <f>T306+V306*X306</f>
        <v>250000</v>
      </c>
    </row>
    <row r="307">
      <c r="B307" t="str">
        <v xml:space="preserve"> - Kolom K175-4</v>
      </c>
      <c r="C307" t="str">
        <v>m3</v>
      </c>
      <c r="D307">
        <f>H307</f>
        <v>0.8925</v>
      </c>
      <c r="E307">
        <f>N307*'REKAP RAB'!$O$4</f>
        <v>13093268.620745525</v>
      </c>
      <c r="F307">
        <f>D307*E307</f>
        <v>11685742.24401538</v>
      </c>
      <c r="G307" t="str">
        <v>K175-4</v>
      </c>
      <c r="H307">
        <f>'Hasil-Kolom'!F313</f>
        <v>0.8925</v>
      </c>
      <c r="I307">
        <f>AF307</f>
        <v>8985323.351531163</v>
      </c>
      <c r="J307">
        <f>AG307</f>
        <v>2250000</v>
      </c>
      <c r="K307">
        <f>AH307</f>
        <v>250000</v>
      </c>
      <c r="N307">
        <f>SUM(I307:M307)</f>
        <v>11485323.351531163</v>
      </c>
      <c r="O307">
        <f>H307*N307</f>
        <v>10250651.091241563</v>
      </c>
      <c r="R307">
        <f>Analisa!$F$190</f>
        <v>1066432.5000000002</v>
      </c>
      <c r="S307">
        <f>Analisa!$G$190</f>
        <v>2250000</v>
      </c>
      <c r="T307">
        <f>Analisa!$H$190</f>
        <v>250000</v>
      </c>
      <c r="V307">
        <f>'Hasil-Kolom'!V313</f>
        <v>15.764705882352942</v>
      </c>
      <c r="W307">
        <f>Analisa!$F$132</f>
        <v>232434.21052631576</v>
      </c>
      <c r="Z307">
        <f>'Hasil-Kolom'!W313</f>
        <v>377.10027791596644</v>
      </c>
      <c r="AA307">
        <f>Analisa!$F$233</f>
        <v>11282.5</v>
      </c>
      <c r="AF307">
        <f>R307+V307*W307+Z307*AA307</f>
        <v>8985323.351531163</v>
      </c>
      <c r="AG307">
        <f>S307</f>
        <v>2250000</v>
      </c>
      <c r="AH307">
        <f>T307+V307*X307</f>
        <v>250000</v>
      </c>
    </row>
    <row r="308">
      <c r="B308" t="str">
        <v xml:space="preserve"> - Kolom K176-1</v>
      </c>
      <c r="C308" t="str">
        <v>m3</v>
      </c>
      <c r="D308">
        <f>H308</f>
        <v>0.714</v>
      </c>
      <c r="E308">
        <f>N308*'REKAP RAB'!$O$4</f>
        <v>11032635.831468234</v>
      </c>
      <c r="F308">
        <f>D308*E308</f>
        <v>7877301.983668319</v>
      </c>
      <c r="G308" t="str">
        <v>K176-1</v>
      </c>
      <c r="H308">
        <f>'Hasil-Kolom'!F314</f>
        <v>0.714</v>
      </c>
      <c r="I308">
        <f>AF308</f>
        <v>7177750.729358101</v>
      </c>
      <c r="J308">
        <f>AG308</f>
        <v>2250000</v>
      </c>
      <c r="K308">
        <f>AH308</f>
        <v>250000</v>
      </c>
      <c r="N308">
        <f>SUM(I308:M308)</f>
        <v>9677750.729358101</v>
      </c>
      <c r="O308">
        <f>H308*N308</f>
        <v>6909914.020761684</v>
      </c>
      <c r="R308">
        <f>Analisa!$F$190</f>
        <v>1066432.5000000002</v>
      </c>
      <c r="S308">
        <f>Analisa!$G$190</f>
        <v>2250000</v>
      </c>
      <c r="T308">
        <f>Analisa!$H$190</f>
        <v>250000</v>
      </c>
      <c r="V308">
        <f>'Hasil-Kolom'!V314</f>
        <v>15.098039215686274</v>
      </c>
      <c r="W308">
        <f>Analisa!$F$132</f>
        <v>232434.21052631576</v>
      </c>
      <c r="Z308">
        <f>'Hasil-Kolom'!W314</f>
        <v>230.62418823529416</v>
      </c>
      <c r="AA308">
        <f>Analisa!$F$233</f>
        <v>11282.5</v>
      </c>
      <c r="AF308">
        <f>R308+V308*W308+Z308*AA308</f>
        <v>7177750.729358101</v>
      </c>
      <c r="AG308">
        <f>S308</f>
        <v>2250000</v>
      </c>
      <c r="AH308">
        <f>T308+V308*X308</f>
        <v>250000</v>
      </c>
    </row>
    <row r="309">
      <c r="B309" t="str">
        <v xml:space="preserve"> - Kolom K176-4</v>
      </c>
      <c r="C309" t="str">
        <v>m3</v>
      </c>
      <c r="D309">
        <f>H309</f>
        <v>0.357</v>
      </c>
      <c r="E309">
        <f>N309*'REKAP RAB'!$O$4</f>
        <v>12917285.316784773</v>
      </c>
      <c r="F309">
        <f>D309*E309</f>
        <v>4611470.858092164</v>
      </c>
      <c r="G309" t="str">
        <v>K176-4</v>
      </c>
      <c r="H309">
        <f>'Hasil-Kolom'!F315</f>
        <v>0.357</v>
      </c>
      <c r="I309">
        <f>AF309</f>
        <v>8830952.032267345</v>
      </c>
      <c r="J309">
        <f>AG309</f>
        <v>2250000</v>
      </c>
      <c r="K309">
        <f>AH309</f>
        <v>250000</v>
      </c>
      <c r="N309">
        <f>SUM(I309:M309)</f>
        <v>11330952.032267345</v>
      </c>
      <c r="O309">
        <f>H309*N309</f>
        <v>4045149.875519442</v>
      </c>
      <c r="R309">
        <f>Analisa!$F$190</f>
        <v>1066432.5000000002</v>
      </c>
      <c r="S309">
        <f>Analisa!$G$190</f>
        <v>2250000</v>
      </c>
      <c r="T309">
        <f>Analisa!$H$190</f>
        <v>250000</v>
      </c>
      <c r="V309">
        <f>'Hasil-Kolom'!V315</f>
        <v>15.098039215686274</v>
      </c>
      <c r="W309">
        <f>Analisa!$F$132</f>
        <v>232434.21052631576</v>
      </c>
      <c r="Z309">
        <f>'Hasil-Kolom'!W315</f>
        <v>377.1521122689076</v>
      </c>
      <c r="AA309">
        <f>Analisa!$F$233</f>
        <v>11282.5</v>
      </c>
      <c r="AF309">
        <f>R309+V309*W309+Z309*AA309</f>
        <v>8830952.032267345</v>
      </c>
      <c r="AG309">
        <f>S309</f>
        <v>2250000</v>
      </c>
      <c r="AH309">
        <f>T309+V309*X309</f>
        <v>250000</v>
      </c>
    </row>
    <row r="310">
      <c r="B310" t="str">
        <v xml:space="preserve"> - Kolom K177-1</v>
      </c>
      <c r="C310" t="str">
        <v>m3</v>
      </c>
      <c r="D310">
        <f>H310</f>
        <v>0.833</v>
      </c>
      <c r="E310">
        <f>N310*'REKAP RAB'!$O$4</f>
        <v>11644362.269614806</v>
      </c>
      <c r="F310">
        <f>D310*E310</f>
        <v>9699753.770589134</v>
      </c>
      <c r="G310" t="str">
        <v>K177-1</v>
      </c>
      <c r="H310">
        <f>'Hasil-Kolom'!F316</f>
        <v>0.833</v>
      </c>
      <c r="I310">
        <f>AF310</f>
        <v>7714352.868083164</v>
      </c>
      <c r="J310">
        <f>AG310</f>
        <v>2250000</v>
      </c>
      <c r="K310">
        <f>AH310</f>
        <v>250000</v>
      </c>
      <c r="N310">
        <f>SUM(I310:M310)</f>
        <v>10214352.868083164</v>
      </c>
      <c r="O310">
        <f>H310*N310</f>
        <v>8508555.939113276</v>
      </c>
      <c r="R310">
        <f>Analisa!$F$190</f>
        <v>1066432.5000000002</v>
      </c>
      <c r="S310">
        <f>Analisa!$G$190</f>
        <v>2250000</v>
      </c>
      <c r="T310">
        <f>Analisa!$H$190</f>
        <v>250000</v>
      </c>
      <c r="V310">
        <f>'Hasil-Kolom'!V316</f>
        <v>14.621848739495798</v>
      </c>
      <c r="W310">
        <f>Analisa!$F$132</f>
        <v>232434.21052631576</v>
      </c>
      <c r="Z310">
        <f>'Hasil-Kolom'!W316</f>
        <v>287.99490360144057</v>
      </c>
      <c r="AA310">
        <f>Analisa!$F$233</f>
        <v>11282.5</v>
      </c>
      <c r="AF310">
        <f>R310+V310*W310+Z310*AA310</f>
        <v>7714352.868083164</v>
      </c>
      <c r="AG310">
        <f>S310</f>
        <v>2250000</v>
      </c>
      <c r="AH310">
        <f>T310+V310*X310</f>
        <v>250000</v>
      </c>
    </row>
    <row r="311">
      <c r="B311" t="str">
        <v xml:space="preserve"> - Kolom K178-1</v>
      </c>
      <c r="C311" t="str">
        <v>m3</v>
      </c>
      <c r="D311">
        <f>H311</f>
        <v>1.904</v>
      </c>
      <c r="E311">
        <f>N311*'REKAP RAB'!$O$4</f>
        <v>9970073.3822999</v>
      </c>
      <c r="F311">
        <f>D311*E311</f>
        <v>18983019.71989901</v>
      </c>
      <c r="G311" t="str">
        <v>K178-1</v>
      </c>
      <c r="H311">
        <f>'Hasil-Kolom'!F318</f>
        <v>1.904</v>
      </c>
      <c r="I311">
        <f>AF311</f>
        <v>6245678.405526227</v>
      </c>
      <c r="J311">
        <f>AG311</f>
        <v>2250000</v>
      </c>
      <c r="K311">
        <f>AH311</f>
        <v>250000</v>
      </c>
      <c r="N311">
        <f>SUM(I311:M311)</f>
        <v>8745678.405526228</v>
      </c>
      <c r="O311">
        <f>H311*N311</f>
        <v>16651771.684121938</v>
      </c>
      <c r="R311">
        <f>Analisa!$F$190</f>
        <v>1066432.5000000002</v>
      </c>
      <c r="S311">
        <f>Analisa!$G$190</f>
        <v>2250000</v>
      </c>
      <c r="T311">
        <f>Analisa!$H$190</f>
        <v>250000</v>
      </c>
      <c r="V311">
        <f>'Hasil-Kolom'!V318</f>
        <v>14.264705882352942</v>
      </c>
      <c r="W311">
        <f>Analisa!$F$132</f>
        <v>232434.21052631576</v>
      </c>
      <c r="Z311">
        <f>'Hasil-Kolom'!W318</f>
        <v>165.17972571428575</v>
      </c>
      <c r="AA311">
        <f>Analisa!$F$233</f>
        <v>11282.5</v>
      </c>
      <c r="AF311">
        <f>R311+V311*W311+Z311*AA311</f>
        <v>6245678.405526227</v>
      </c>
      <c r="AG311">
        <f>S311</f>
        <v>2250000</v>
      </c>
      <c r="AH311">
        <f>T311+V311*X311</f>
        <v>250000</v>
      </c>
    </row>
    <row r="312">
      <c r="B312" t="str">
        <v xml:space="preserve"> - Kolom K178-2</v>
      </c>
      <c r="C312" t="str">
        <v>m3</v>
      </c>
      <c r="D312">
        <f>H312</f>
        <v>0.476</v>
      </c>
      <c r="E312">
        <f>N312*'REKAP RAB'!$O$4</f>
        <v>11839154.92872024</v>
      </c>
      <c r="F312">
        <f>D312*E312</f>
        <v>5635437.746070834</v>
      </c>
      <c r="G312" t="str">
        <v>K178-2</v>
      </c>
      <c r="H312">
        <f>'Hasil-Kolom'!F319</f>
        <v>0.476</v>
      </c>
      <c r="I312">
        <f>AF312</f>
        <v>7885223.621684421</v>
      </c>
      <c r="J312">
        <f>AG312</f>
        <v>2250000</v>
      </c>
      <c r="K312">
        <f>AH312</f>
        <v>250000</v>
      </c>
      <c r="N312">
        <f>SUM(I312:M312)</f>
        <v>10385223.62168442</v>
      </c>
      <c r="O312">
        <f>H312*N312</f>
        <v>4943366.443921784</v>
      </c>
      <c r="R312">
        <f>Analisa!$F$190</f>
        <v>1066432.5000000002</v>
      </c>
      <c r="S312">
        <f>Analisa!$G$190</f>
        <v>2250000</v>
      </c>
      <c r="T312">
        <f>Analisa!$H$190</f>
        <v>250000</v>
      </c>
      <c r="V312">
        <f>'Hasil-Kolom'!V319</f>
        <v>14.264705882352942</v>
      </c>
      <c r="W312">
        <f>Analisa!$F$132</f>
        <v>232434.21052631576</v>
      </c>
      <c r="Z312">
        <f>'Hasil-Kolom'!W319</f>
        <v>310.4972720168068</v>
      </c>
      <c r="AA312">
        <f>Analisa!$F$233</f>
        <v>11282.5</v>
      </c>
      <c r="AF312">
        <f>R312+V312*W312+Z312*AA312</f>
        <v>7885223.621684421</v>
      </c>
      <c r="AG312">
        <f>S312</f>
        <v>2250000</v>
      </c>
      <c r="AH312">
        <f>T312+V312*X312</f>
        <v>250000</v>
      </c>
    </row>
    <row r="313">
      <c r="B313" t="str">
        <v xml:space="preserve"> - Kolom KL175-2</v>
      </c>
      <c r="C313" t="str">
        <v>m3</v>
      </c>
      <c r="D313">
        <f>H313</f>
        <v>0.49384999999999996</v>
      </c>
      <c r="E313">
        <f>N313*'REKAP RAB'!$O$4</f>
        <v>11543858.429915743</v>
      </c>
      <c r="F313">
        <f>D313*E313</f>
        <v>5700934.485613889</v>
      </c>
      <c r="G313" t="str">
        <v>KL175-2</v>
      </c>
      <c r="H313">
        <f>'Hasil-Kolom'!F330</f>
        <v>0.49384999999999996</v>
      </c>
      <c r="I313">
        <f>AF313</f>
        <v>7626191.605189249</v>
      </c>
      <c r="J313">
        <f>AG313</f>
        <v>2250000</v>
      </c>
      <c r="K313">
        <f>AH313</f>
        <v>250000</v>
      </c>
      <c r="N313">
        <f>SUM(I313:M313)</f>
        <v>10126191.605189249</v>
      </c>
      <c r="O313">
        <f>H313*N313</f>
        <v>5000819.72422271</v>
      </c>
      <c r="R313">
        <f>Analisa!$F$190</f>
        <v>1066432.5000000002</v>
      </c>
      <c r="S313">
        <f>Analisa!$G$190</f>
        <v>2250000</v>
      </c>
      <c r="T313">
        <f>Analisa!$H$190</f>
        <v>250000</v>
      </c>
      <c r="V313">
        <f>'Hasil-Kolom'!V330</f>
        <v>14.174344436569811</v>
      </c>
      <c r="W313">
        <f>Analisa!$F$132</f>
        <v>232434.21052631576</v>
      </c>
      <c r="Z313">
        <f>'Hasil-Kolom'!W330</f>
        <v>289.40009274071076</v>
      </c>
      <c r="AA313">
        <f>Analisa!$F$233</f>
        <v>11282.5</v>
      </c>
      <c r="AF313">
        <f>R313+V313*W313+Z313*AA313</f>
        <v>7626191.605189249</v>
      </c>
      <c r="AG313">
        <f>S313</f>
        <v>2250000</v>
      </c>
      <c r="AH313">
        <f>T313+V313*X313</f>
        <v>250000</v>
      </c>
    </row>
    <row r="315">
      <c r="A315" t="str">
        <v>B</v>
      </c>
      <c r="B315" t="str">
        <v>Pekerjaan Beton Lain - Lain</v>
      </c>
    </row>
    <row r="316">
      <c r="A316">
        <v>1</v>
      </c>
      <c r="B316" t="str">
        <v>Dinding lift Lantai Attic</v>
      </c>
      <c r="C316" t="str">
        <v>m3</v>
      </c>
      <c r="D316">
        <f>H316</f>
        <v>4.98015</v>
      </c>
      <c r="E316">
        <f>N316*'REKAP RAB'!$O$4</f>
        <v>6636703.697581306</v>
      </c>
      <c r="F316">
        <f>D316*E316</f>
        <v>33051779.91950954</v>
      </c>
      <c r="H316">
        <f>'Hasil-Kolom'!F339</f>
        <v>4.98015</v>
      </c>
      <c r="I316">
        <f>AF316</f>
        <v>4121669.910159041</v>
      </c>
      <c r="J316">
        <f>AG316</f>
        <v>1500000</v>
      </c>
      <c r="K316">
        <f>AH316</f>
        <v>200000</v>
      </c>
      <c r="N316">
        <f>SUM(I316:M316)</f>
        <v>5821669.910159041</v>
      </c>
      <c r="O316">
        <f>H316*N316</f>
        <v>28992789.40307855</v>
      </c>
      <c r="R316">
        <f>Analisa!F$225</f>
        <v>1066432.5000000002</v>
      </c>
      <c r="S316">
        <f>Analisa!G$225</f>
        <v>1500000</v>
      </c>
      <c r="T316">
        <f>Analisa!H$225</f>
        <v>200000</v>
      </c>
      <c r="V316">
        <f>'Hasil-Kolom'!V339</f>
        <v>13.300804192644799</v>
      </c>
      <c r="W316">
        <f>Analisa!$F$162</f>
        <v>94565.97222222222</v>
      </c>
      <c r="Z316">
        <f>'Hasil-Kolom'!W339</f>
        <v>159.3116712026746</v>
      </c>
      <c r="AA316">
        <f>Analisa!$F$233</f>
        <v>11282.5</v>
      </c>
      <c r="AF316">
        <f>R316+V316*W316+Z316*AA316</f>
        <v>4121669.910159041</v>
      </c>
      <c r="AG316">
        <f>S316</f>
        <v>1500000</v>
      </c>
      <c r="AH316">
        <f>T316+V316*X316</f>
        <v>200000</v>
      </c>
      <c r="AJ316">
        <f>SUMPRODUCT(H316,V316)</f>
        <v>66.24</v>
      </c>
      <c r="AL316">
        <f>SUMPRODUCT(H316,Z316)</f>
        <v>793.39601934</v>
      </c>
      <c r="AM316" t="str">
        <v>v</v>
      </c>
    </row>
    <row r="317">
      <c r="A317">
        <v>2</v>
      </c>
      <c r="B317" t="str">
        <v>Dinding beton rumah lift</v>
      </c>
      <c r="C317" t="str">
        <v>m3</v>
      </c>
      <c r="D317">
        <f>H317*'[39]REKAP RAB'!$K$3</f>
        <v>1.08</v>
      </c>
      <c r="E317">
        <f>N317*'REKAP RAB'!$O$4</f>
        <v>6494204.745777777</v>
      </c>
      <c r="F317">
        <f>D317*E317</f>
        <v>7013741.12544</v>
      </c>
      <c r="H317">
        <f>'Retaining Wall'!C36</f>
        <v>1.08</v>
      </c>
      <c r="I317">
        <f>AF317</f>
        <v>3996670.82962963</v>
      </c>
      <c r="J317">
        <f>AG317</f>
        <v>1500000</v>
      </c>
      <c r="K317">
        <f>AH317</f>
        <v>200000</v>
      </c>
      <c r="N317">
        <f>SUM(I317:M317)</f>
        <v>5696670.82962963</v>
      </c>
      <c r="O317">
        <f>H317*N317</f>
        <v>6152404.496</v>
      </c>
      <c r="R317">
        <f>Analisa!F$225</f>
        <v>1066432.5000000002</v>
      </c>
      <c r="S317">
        <f>Analisa!G$225</f>
        <v>1500000</v>
      </c>
      <c r="T317">
        <f>Analisa!H$225</f>
        <v>200000</v>
      </c>
      <c r="V317">
        <f>'Retaining Wall'!L36</f>
        <v>13.333333333333332</v>
      </c>
      <c r="W317">
        <f>Analisa!$F$162</f>
        <v>94565.97222222222</v>
      </c>
      <c r="Z317">
        <f>'Retaining Wall'!M36</f>
        <v>147.96</v>
      </c>
      <c r="AA317">
        <f>Analisa!$F$233</f>
        <v>11282.5</v>
      </c>
      <c r="AF317">
        <f>R317+V317*W317+Z317*AA317</f>
        <v>3996670.82962963</v>
      </c>
      <c r="AG317">
        <f>S317</f>
        <v>1500000</v>
      </c>
      <c r="AH317">
        <f>T317+V317*X317</f>
        <v>200000</v>
      </c>
      <c r="AJ317">
        <f>SUMPRODUCT(H317:H317,V317:V317)</f>
        <v>14.4</v>
      </c>
      <c r="AL317">
        <f>SUMPRODUCT(H317:H317,Z317:Z317)</f>
        <v>159.79680000000002</v>
      </c>
      <c r="AM317" t="str">
        <v>v</v>
      </c>
    </row>
    <row r="319">
      <c r="A319" t="str">
        <v>Subtotal Pekerjaan Fisik Lantai Attic</v>
      </c>
      <c r="F319">
        <f>SUM(F255:F318)</f>
        <v>660949526.4309149</v>
      </c>
      <c r="O319">
        <f>SUM(O255:O318)</f>
        <v>579780286.3429081</v>
      </c>
    </row>
    <row r="321">
      <c r="A321" t="str">
        <v>VII</v>
      </c>
      <c r="B321" t="str">
        <v>PEKERJAAN FISIK ATAP</v>
      </c>
    </row>
    <row r="323">
      <c r="A323" t="str">
        <v>A</v>
      </c>
      <c r="B323" t="str">
        <v>Pekerjaan Beton</v>
      </c>
    </row>
    <row r="324">
      <c r="A324">
        <v>1</v>
      </c>
      <c r="B324" t="str">
        <v>Plat lantai (Readymix K-350) :</v>
      </c>
      <c r="AJ324">
        <f>SUMPRODUCT(H325:H325,V325:V325)</f>
        <v>167.37999999999994</v>
      </c>
      <c r="AL324">
        <f>SUMPRODUCT(H325:H325,Z325:Z325)</f>
        <v>2268.606172571429</v>
      </c>
      <c r="AM324" t="str">
        <v>v</v>
      </c>
    </row>
    <row r="325">
      <c r="B325" t="str">
        <v xml:space="preserve"> - Dak atap dan dan kanopi beton - tebal 15 cm, besi D10-200 (2 lapis)</v>
      </c>
      <c r="C325" t="str">
        <v>m3</v>
      </c>
      <c r="D325">
        <f>H325</f>
        <v>20.4585</v>
      </c>
      <c r="E325">
        <f>N325*'REKAP RAB'!$O$4</f>
        <v>5343786.590538832</v>
      </c>
      <c r="F325">
        <f>D325*E325</f>
        <v>109325857.9625387</v>
      </c>
      <c r="H325">
        <f>'REKAP Plat'!G59</f>
        <v>20.4585</v>
      </c>
      <c r="I325">
        <f>AF325</f>
        <v>3023603.937318009</v>
      </c>
      <c r="J325">
        <f>AG325</f>
        <v>1300000</v>
      </c>
      <c r="K325">
        <f>AH325</f>
        <v>363928.1596458794</v>
      </c>
      <c r="N325">
        <f>SUM(I325:M325)</f>
        <v>4687532.096963888</v>
      </c>
      <c r="O325">
        <f>H325*N325</f>
        <v>95899875.4057357</v>
      </c>
      <c r="R325">
        <f>Analisa!F$218</f>
        <v>1066432.5000000002</v>
      </c>
      <c r="S325">
        <f>Analisa!G$218</f>
        <v>1300000</v>
      </c>
      <c r="T325">
        <f>Analisa!H$218</f>
        <v>75000</v>
      </c>
      <c r="V325">
        <f>'REKAP Plat'!R51</f>
        <v>8.18144047706332</v>
      </c>
      <c r="W325">
        <f>Analisa!F$153</f>
        <v>86302.08333333334</v>
      </c>
      <c r="X325">
        <f>Analisa!H$153</f>
        <v>35315.0720164609</v>
      </c>
      <c r="Z325">
        <f>'REKAP Plat'!S51</f>
        <v>110.88819671879311</v>
      </c>
      <c r="AA325">
        <f>Analisa!$F$233</f>
        <v>11282.5</v>
      </c>
      <c r="AF325">
        <f>R325+V325*W325+Z325*AA325</f>
        <v>3023603.937318009</v>
      </c>
      <c r="AG325">
        <f>S325</f>
        <v>1300000</v>
      </c>
      <c r="AH325">
        <f>T325+V325*X325</f>
        <v>363928.1596458794</v>
      </c>
    </row>
    <row r="327">
      <c r="A327">
        <v>2</v>
      </c>
      <c r="B327" t="str">
        <v>Balok (Readymix K-350) :</v>
      </c>
      <c r="AJ327">
        <f>SUMPRODUCT(H328:H351,V328:V351)</f>
        <v>228.08319999999998</v>
      </c>
      <c r="AL327">
        <f>SUMPRODUCT(H328:H351,Z328:Z351)</f>
        <v>3413.852936775</v>
      </c>
      <c r="AM327" t="str">
        <v>v</v>
      </c>
    </row>
    <row r="328">
      <c r="B328" t="str">
        <v xml:space="preserve"> - Balok B173-1</v>
      </c>
      <c r="C328" t="str">
        <v>m3</v>
      </c>
      <c r="D328">
        <f>H328</f>
        <v>0.397035</v>
      </c>
      <c r="E328">
        <f>N328*'REKAP RAB'!$O$4</f>
        <v>10371292.60786469</v>
      </c>
      <c r="F328">
        <f>D328*E328</f>
        <v>4117766.160563557</v>
      </c>
      <c r="G328" t="str">
        <v>B173-1</v>
      </c>
      <c r="H328">
        <f>'REKAP Balok'!G693</f>
        <v>0.397035</v>
      </c>
      <c r="I328">
        <f>AF328</f>
        <v>6503523.288154823</v>
      </c>
      <c r="J328">
        <f>AG328</f>
        <v>1750000</v>
      </c>
      <c r="K328">
        <f>AH328</f>
        <v>844101.806463326</v>
      </c>
      <c r="N328">
        <f>SUM(I328:M328)</f>
        <v>9097625.09461815</v>
      </c>
      <c r="O328">
        <f>H328*N328</f>
        <v>3612075.579441717</v>
      </c>
      <c r="R328">
        <f>Analisa!$F$197</f>
        <v>1066432.5000000002</v>
      </c>
      <c r="S328">
        <f>Analisa!$G$197</f>
        <v>1750000</v>
      </c>
      <c r="T328">
        <f>Analisa!$H$197</f>
        <v>75000</v>
      </c>
      <c r="V328">
        <f>'REKAP Balok'!W693</f>
        <v>15.098039215686274</v>
      </c>
      <c r="W328">
        <f>Analisa!$F$143</f>
        <v>251112.5</v>
      </c>
      <c r="X328">
        <f>Analisa!$H$143</f>
        <v>50940.509259259255</v>
      </c>
      <c r="Z328">
        <f>'REKAP Balok'!X693</f>
        <v>145.87054425932223</v>
      </c>
      <c r="AA328">
        <f>Analisa!$F$233</f>
        <v>11282.5</v>
      </c>
      <c r="AF328">
        <f>R328+V328*W328+Z328*AA328</f>
        <v>6503523.288154823</v>
      </c>
      <c r="AG328">
        <f>S328</f>
        <v>1750000</v>
      </c>
      <c r="AH328">
        <f>T328+V328*X328</f>
        <v>844101.806463326</v>
      </c>
    </row>
    <row r="329">
      <c r="B329" t="str">
        <v xml:space="preserve"> - Balok B174-1</v>
      </c>
      <c r="C329" t="str">
        <v>m3</v>
      </c>
      <c r="D329">
        <f>H329</f>
        <v>0.612</v>
      </c>
      <c r="E329">
        <f>N329*'REKAP RAB'!$O$4</f>
        <v>10354000.228659943</v>
      </c>
      <c r="F329">
        <f>D329*E329</f>
        <v>6336648.139939885</v>
      </c>
      <c r="G329" t="str">
        <v>B174-1</v>
      </c>
      <c r="H329">
        <f>'REKAP Balok'!G694</f>
        <v>0.612</v>
      </c>
      <c r="I329">
        <f>AF329</f>
        <v>6513824.789096078</v>
      </c>
      <c r="J329">
        <f>AG329</f>
        <v>1750000</v>
      </c>
      <c r="K329">
        <f>AH329</f>
        <v>818631.5518336964</v>
      </c>
      <c r="N329">
        <f>SUM(I329:M329)</f>
        <v>9082456.340929775</v>
      </c>
      <c r="O329">
        <f>H329*N329</f>
        <v>5558463.280649022</v>
      </c>
      <c r="R329">
        <f>Analisa!$F$197</f>
        <v>1066432.5000000002</v>
      </c>
      <c r="S329">
        <f>Analisa!$G$197</f>
        <v>1750000</v>
      </c>
      <c r="T329">
        <f>Analisa!$H$197</f>
        <v>75000</v>
      </c>
      <c r="V329">
        <f>'REKAP Balok'!W694</f>
        <v>14.598039215686276</v>
      </c>
      <c r="W329">
        <f>Analisa!$F$143</f>
        <v>251112.5</v>
      </c>
      <c r="X329">
        <f>Analisa!$H$143</f>
        <v>50940.509259259255</v>
      </c>
      <c r="Z329">
        <f>'REKAP Balok'!X694</f>
        <v>157.91200235294116</v>
      </c>
      <c r="AA329">
        <f>Analisa!$F$233</f>
        <v>11282.5</v>
      </c>
      <c r="AF329">
        <f>R329+V329*W329+Z329*AA329</f>
        <v>6513824.789096078</v>
      </c>
      <c r="AG329">
        <f>S329</f>
        <v>1750000</v>
      </c>
      <c r="AH329">
        <f>T329+V329*X329</f>
        <v>818631.5518336964</v>
      </c>
    </row>
    <row r="330">
      <c r="B330" t="str">
        <v xml:space="preserve"> - Balok B175-1</v>
      </c>
      <c r="C330" t="str">
        <v>m3</v>
      </c>
      <c r="D330">
        <f>H330</f>
        <v>0.68</v>
      </c>
      <c r="E330">
        <f>N330*'REKAP RAB'!$O$4</f>
        <v>9865689.008472621</v>
      </c>
      <c r="F330">
        <f>D330*E330</f>
        <v>6708668.525761383</v>
      </c>
      <c r="G330" t="str">
        <v>B175-1</v>
      </c>
      <c r="H330">
        <f>'REKAP Balok'!G696</f>
        <v>0.68</v>
      </c>
      <c r="I330">
        <f>AF330</f>
        <v>6127932.037875881</v>
      </c>
      <c r="J330">
        <f>AG330</f>
        <v>1750000</v>
      </c>
      <c r="K330">
        <f>AH330</f>
        <v>776181.1274509802</v>
      </c>
      <c r="N330">
        <f>SUM(I330:M330)</f>
        <v>8654113.165326862</v>
      </c>
      <c r="O330">
        <f>H330*N330</f>
        <v>5884796.952422266</v>
      </c>
      <c r="R330">
        <f>Analisa!$F$197</f>
        <v>1066432.5000000002</v>
      </c>
      <c r="S330">
        <f>Analisa!$G$197</f>
        <v>1750000</v>
      </c>
      <c r="T330">
        <f>Analisa!$H$197</f>
        <v>75000</v>
      </c>
      <c r="V330">
        <f>'REKAP Balok'!W696</f>
        <v>13.76470588235294</v>
      </c>
      <c r="W330">
        <f>Analisa!$F$143</f>
        <v>251112.5</v>
      </c>
      <c r="X330">
        <f>Analisa!$H$143</f>
        <v>50940.509259259255</v>
      </c>
      <c r="Z330">
        <f>'REKAP Balok'!X696</f>
        <v>142.25657717647056</v>
      </c>
      <c r="AA330">
        <f>Analisa!$F$233</f>
        <v>11282.5</v>
      </c>
      <c r="AF330">
        <f>R330+V330*W330+Z330*AA330</f>
        <v>6127932.037875881</v>
      </c>
      <c r="AG330">
        <f>S330</f>
        <v>1750000</v>
      </c>
      <c r="AH330">
        <f>T330+V330*X330</f>
        <v>776181.1274509802</v>
      </c>
    </row>
    <row r="331">
      <c r="B331" t="str">
        <v xml:space="preserve"> - Balok B23-1</v>
      </c>
      <c r="C331" t="str">
        <v>m3</v>
      </c>
      <c r="D331">
        <f>H331</f>
        <v>0.144</v>
      </c>
      <c r="E331">
        <f>N331*'REKAP RAB'!$O$4</f>
        <v>12166687.267469427</v>
      </c>
      <c r="F331">
        <f>D331*E331</f>
        <v>1752002.9665155972</v>
      </c>
      <c r="G331" t="str">
        <v>B23-1</v>
      </c>
      <c r="H331">
        <f>'REKAP Balok'!G700</f>
        <v>0.144</v>
      </c>
      <c r="I331">
        <f>AF331</f>
        <v>7998524.203108335</v>
      </c>
      <c r="J331">
        <f>AG331</f>
        <v>1750000</v>
      </c>
      <c r="K331">
        <f>AH331</f>
        <v>924008.487654321</v>
      </c>
      <c r="N331">
        <f>SUM(I331:M331)</f>
        <v>10672532.690762656</v>
      </c>
      <c r="O331">
        <f>H331*N331</f>
        <v>1536844.7074698224</v>
      </c>
      <c r="R331">
        <f>Analisa!$F$197</f>
        <v>1066432.5000000002</v>
      </c>
      <c r="S331">
        <f>Analisa!$G$197</f>
        <v>1750000</v>
      </c>
      <c r="T331">
        <f>Analisa!$H$197</f>
        <v>75000</v>
      </c>
      <c r="V331">
        <f>'REKAP Balok'!W700</f>
        <v>16.666666666666668</v>
      </c>
      <c r="W331">
        <f>Analisa!$F$143</f>
        <v>251112.5</v>
      </c>
      <c r="X331">
        <f>Analisa!$H$143</f>
        <v>50940.509259259255</v>
      </c>
      <c r="Z331">
        <f>'REKAP Balok'!X700</f>
        <v>243.46407000000005</v>
      </c>
      <c r="AA331">
        <f>Analisa!$F$233</f>
        <v>11282.5</v>
      </c>
      <c r="AF331">
        <f>R331+V331*W331+Z331*AA331</f>
        <v>7998524.203108335</v>
      </c>
      <c r="AG331">
        <f>S331</f>
        <v>1750000</v>
      </c>
      <c r="AH331">
        <f>T331+V331*X331</f>
        <v>924008.487654321</v>
      </c>
    </row>
    <row r="332">
      <c r="B332" t="str">
        <v xml:space="preserve"> - Balok B24-1</v>
      </c>
      <c r="C332" t="str">
        <v>m3</v>
      </c>
      <c r="D332">
        <f>H332</f>
        <v>1.3765</v>
      </c>
      <c r="E332">
        <f>N332*'REKAP RAB'!$O$4</f>
        <v>9937744.18223804</v>
      </c>
      <c r="F332">
        <f>D332*E332</f>
        <v>13679304.866850663</v>
      </c>
      <c r="G332" t="str">
        <v>B24-1</v>
      </c>
      <c r="H332">
        <f>'REKAP Balok'!G702</f>
        <v>1.3765</v>
      </c>
      <c r="I332">
        <f>AF332</f>
        <v>6197359.906066037</v>
      </c>
      <c r="J332">
        <f>AG332</f>
        <v>1750000</v>
      </c>
      <c r="K332">
        <f>AH332</f>
        <v>769959.5520375078</v>
      </c>
      <c r="N332">
        <f>SUM(I332:M332)</f>
        <v>8717319.458103545</v>
      </c>
      <c r="O332">
        <f>H332*N332</f>
        <v>11999390.23407953</v>
      </c>
      <c r="R332">
        <f>Analisa!$F$197</f>
        <v>1066432.5000000002</v>
      </c>
      <c r="S332">
        <f>Analisa!$G$197</f>
        <v>1750000</v>
      </c>
      <c r="T332">
        <f>Analisa!$H$197</f>
        <v>75000</v>
      </c>
      <c r="V332">
        <f>'REKAP Balok'!W702</f>
        <v>13.642571739920086</v>
      </c>
      <c r="W332">
        <f>Analisa!$F$143</f>
        <v>251112.5</v>
      </c>
      <c r="X332">
        <f>Analisa!$H$143</f>
        <v>50940.509259259255</v>
      </c>
      <c r="Z332">
        <f>'REKAP Balok'!X702</f>
        <v>151.12848305121685</v>
      </c>
      <c r="AA332">
        <f>Analisa!$F$233</f>
        <v>11282.5</v>
      </c>
      <c r="AF332">
        <f>R332+V332*W332+Z332*AA332</f>
        <v>6197359.906066037</v>
      </c>
      <c r="AG332">
        <f>S332</f>
        <v>1750000</v>
      </c>
      <c r="AH332">
        <f>T332+V332*X332</f>
        <v>769959.5520375078</v>
      </c>
    </row>
    <row r="333">
      <c r="B333" t="str">
        <v xml:space="preserve"> - Balok B24-2</v>
      </c>
      <c r="C333" t="str">
        <v>m3</v>
      </c>
      <c r="D333">
        <f>H333</f>
        <v>0.725</v>
      </c>
      <c r="E333">
        <f>N333*'REKAP RAB'!$O$4</f>
        <v>10727936.135439703</v>
      </c>
      <c r="F333">
        <f>D333*E333</f>
        <v>7777753.698193785</v>
      </c>
      <c r="G333" t="str">
        <v>B24-2</v>
      </c>
      <c r="H333">
        <f>'REKAP Balok'!G703</f>
        <v>0.725</v>
      </c>
      <c r="I333">
        <f>AF333</f>
        <v>6872303.164615725</v>
      </c>
      <c r="J333">
        <f>AG333</f>
        <v>1750000</v>
      </c>
      <c r="K333">
        <f>AH333</f>
        <v>788167.1296296297</v>
      </c>
      <c r="N333">
        <f>SUM(I333:M333)</f>
        <v>9410470.294245355</v>
      </c>
      <c r="O333">
        <f>H333*N333</f>
        <v>6822590.963327882</v>
      </c>
      <c r="R333">
        <f>Analisa!$F$197</f>
        <v>1066432.5000000002</v>
      </c>
      <c r="S333">
        <f>Analisa!$G$197</f>
        <v>1750000</v>
      </c>
      <c r="T333">
        <f>Analisa!$H$197</f>
        <v>75000</v>
      </c>
      <c r="V333">
        <f>'REKAP Balok'!W703</f>
        <v>14.000000000000002</v>
      </c>
      <c r="W333">
        <f>Analisa!$F$143</f>
        <v>251112.5</v>
      </c>
      <c r="X333">
        <f>Analisa!$H$143</f>
        <v>50940.509259259255</v>
      </c>
      <c r="Z333">
        <f>'REKAP Balok'!X703</f>
        <v>202.99540568275862</v>
      </c>
      <c r="AA333">
        <f>Analisa!$F$233</f>
        <v>11282.5</v>
      </c>
      <c r="AF333">
        <f>R333+V333*W333+Z333*AA333</f>
        <v>6872303.164615725</v>
      </c>
      <c r="AG333">
        <f>S333</f>
        <v>1750000</v>
      </c>
      <c r="AH333">
        <f>T333+V333*X333</f>
        <v>788167.1296296297</v>
      </c>
    </row>
    <row r="334">
      <c r="B334" t="str">
        <v xml:space="preserve"> - Balok B24-3</v>
      </c>
      <c r="C334" t="str">
        <v>m3</v>
      </c>
      <c r="D334">
        <f>H334</f>
        <v>1.0350000000000001</v>
      </c>
      <c r="E334">
        <f>N334*'REKAP RAB'!$O$4</f>
        <v>12136145.79357221</v>
      </c>
      <c r="F334">
        <f>D334*E334</f>
        <v>12560910.89634724</v>
      </c>
      <c r="G334" t="str">
        <v>B24-3</v>
      </c>
      <c r="H334">
        <f>'REKAP Balok'!G704</f>
        <v>1.0350000000000001</v>
      </c>
      <c r="I334">
        <f>AF334</f>
        <v>8107574.794556521</v>
      </c>
      <c r="J334">
        <f>AG334</f>
        <v>1750000</v>
      </c>
      <c r="K334">
        <f>AH334</f>
        <v>788167.1296296294</v>
      </c>
      <c r="N334">
        <f>SUM(I334:M334)</f>
        <v>10645741.92418615</v>
      </c>
      <c r="O334">
        <f>H334*N334</f>
        <v>11018342.891532667</v>
      </c>
      <c r="R334">
        <f>Analisa!$F$197</f>
        <v>1066432.5000000002</v>
      </c>
      <c r="S334">
        <f>Analisa!$G$197</f>
        <v>1750000</v>
      </c>
      <c r="T334">
        <f>Analisa!$H$197</f>
        <v>75000</v>
      </c>
      <c r="V334">
        <f>'REKAP Balok'!W704</f>
        <v>13.999999999999998</v>
      </c>
      <c r="W334">
        <f>Analisa!$F$143</f>
        <v>251112.5</v>
      </c>
      <c r="X334">
        <f>Analisa!$H$143</f>
        <v>50940.509259259255</v>
      </c>
      <c r="Z334">
        <f>'REKAP Balok'!X704</f>
        <v>312.4810365217391</v>
      </c>
      <c r="AA334">
        <f>Analisa!$F$233</f>
        <v>11282.5</v>
      </c>
      <c r="AF334">
        <f>R334+V334*W334+Z334*AA334</f>
        <v>8107574.794556521</v>
      </c>
      <c r="AG334">
        <f>S334</f>
        <v>1750000</v>
      </c>
      <c r="AH334">
        <f>T334+V334*X334</f>
        <v>788167.1296296294</v>
      </c>
    </row>
    <row r="335">
      <c r="B335" t="str">
        <v xml:space="preserve"> - Balok B24-4</v>
      </c>
      <c r="C335" t="str">
        <v>m3</v>
      </c>
      <c r="D335">
        <f>H335</f>
        <v>0.7050000000000001</v>
      </c>
      <c r="E335">
        <f>N335*'REKAP RAB'!$O$4</f>
        <v>11844905.034814848</v>
      </c>
      <c r="F335">
        <f>D335*E335</f>
        <v>8350658.0495444685</v>
      </c>
      <c r="G335" t="str">
        <v>B24-4</v>
      </c>
      <c r="H335">
        <f>'REKAP Balok'!G705</f>
        <v>0.7050000000000001</v>
      </c>
      <c r="I335">
        <f>AF335</f>
        <v>7852100.444769362</v>
      </c>
      <c r="J335">
        <f>AG335</f>
        <v>1750000</v>
      </c>
      <c r="K335">
        <f>AH335</f>
        <v>788167.1296296295</v>
      </c>
      <c r="N335">
        <f>SUM(I335:M335)</f>
        <v>10390267.57439899</v>
      </c>
      <c r="O335">
        <f>H335*N335</f>
        <v>7325138.63995129</v>
      </c>
      <c r="R335">
        <f>Analisa!$F$197</f>
        <v>1066432.5000000002</v>
      </c>
      <c r="S335">
        <f>Analisa!$G$197</f>
        <v>1750000</v>
      </c>
      <c r="T335">
        <f>Analisa!$H$197</f>
        <v>75000</v>
      </c>
      <c r="V335">
        <f>'REKAP Balok'!W705</f>
        <v>14</v>
      </c>
      <c r="W335">
        <f>Analisa!$F$143</f>
        <v>251112.5</v>
      </c>
      <c r="X335">
        <f>Analisa!$H$143</f>
        <v>50940.509259259255</v>
      </c>
      <c r="Z335">
        <f>'REKAP Balok'!X705</f>
        <v>289.83761974468086</v>
      </c>
      <c r="AA335">
        <f>Analisa!$F$233</f>
        <v>11282.5</v>
      </c>
      <c r="AF335">
        <f>R335+V335*W335+Z335*AA335</f>
        <v>7852100.444769362</v>
      </c>
      <c r="AG335">
        <f>S335</f>
        <v>1750000</v>
      </c>
      <c r="AH335">
        <f>T335+V335*X335</f>
        <v>788167.1296296295</v>
      </c>
    </row>
    <row r="336">
      <c r="B336" t="str">
        <v xml:space="preserve"> - Balok B24-5</v>
      </c>
      <c r="C336" t="str">
        <v>m3</v>
      </c>
      <c r="D336">
        <f>H336</f>
        <v>0.13625</v>
      </c>
      <c r="E336">
        <f>N336*'REKAP RAB'!$O$4</f>
        <v>13569772.241892505</v>
      </c>
      <c r="F336">
        <f>D336*E336</f>
        <v>1848881.467957854</v>
      </c>
      <c r="G336" t="str">
        <v>B24-5</v>
      </c>
      <c r="H336">
        <f>'REKAP Balok'!G706</f>
        <v>0.13625</v>
      </c>
      <c r="I336">
        <f>AF336</f>
        <v>9365141.854486605</v>
      </c>
      <c r="J336">
        <f>AG336</f>
        <v>1750000</v>
      </c>
      <c r="K336">
        <f>AH336</f>
        <v>788167.1296296294</v>
      </c>
      <c r="N336">
        <f>SUM(I336:M336)</f>
        <v>11903308.984116234</v>
      </c>
      <c r="O336">
        <f>H336*N336</f>
        <v>1621825.849085837</v>
      </c>
      <c r="R336">
        <f>Analisa!$F$197</f>
        <v>1066432.5000000002</v>
      </c>
      <c r="S336">
        <f>Analisa!$G$197</f>
        <v>1750000</v>
      </c>
      <c r="T336">
        <f>Analisa!$H$197</f>
        <v>75000</v>
      </c>
      <c r="V336">
        <f>'REKAP Balok'!W706</f>
        <v>13.999999999999998</v>
      </c>
      <c r="W336">
        <f>Analisa!$F$143</f>
        <v>251112.5</v>
      </c>
      <c r="X336">
        <f>Analisa!$H$143</f>
        <v>50940.509259259255</v>
      </c>
      <c r="Z336">
        <f>'REKAP Balok'!X706</f>
        <v>423.94277460550455</v>
      </c>
      <c r="AA336">
        <f>Analisa!$F$233</f>
        <v>11282.5</v>
      </c>
      <c r="AF336">
        <f>R336+V336*W336+Z336*AA336</f>
        <v>9365141.854486605</v>
      </c>
      <c r="AG336">
        <f>S336</f>
        <v>1750000</v>
      </c>
      <c r="AH336">
        <f>T336+V336*X336</f>
        <v>788167.1296296294</v>
      </c>
    </row>
    <row r="337">
      <c r="B337" t="str">
        <v xml:space="preserve"> - Balok B24-7</v>
      </c>
      <c r="C337" t="str">
        <v>m3</v>
      </c>
      <c r="D337">
        <f>H337</f>
        <v>0.16175</v>
      </c>
      <c r="E337">
        <f>N337*'REKAP RAB'!$O$4</f>
        <v>10555797.58352228</v>
      </c>
      <c r="F337">
        <f>D337*E337</f>
        <v>1707400.259134729</v>
      </c>
      <c r="G337" t="str">
        <v>B24-7</v>
      </c>
      <c r="H337">
        <f>'REKAP Balok'!G708</f>
        <v>0.16175</v>
      </c>
      <c r="I337">
        <f>AF337</f>
        <v>6721304.434863601</v>
      </c>
      <c r="J337">
        <f>AG337</f>
        <v>1750000</v>
      </c>
      <c r="K337">
        <f>AH337</f>
        <v>788167.1296296295</v>
      </c>
      <c r="N337">
        <f>SUM(I337:M337)</f>
        <v>9259471.56449323</v>
      </c>
      <c r="O337">
        <f>H337*N337</f>
        <v>1497719.52555678</v>
      </c>
      <c r="R337">
        <f>Analisa!$F$197</f>
        <v>1066432.5000000002</v>
      </c>
      <c r="S337">
        <f>Analisa!$G$197</f>
        <v>1750000</v>
      </c>
      <c r="T337">
        <f>Analisa!$H$197</f>
        <v>75000</v>
      </c>
      <c r="V337">
        <f>'REKAP Balok'!W708</f>
        <v>14</v>
      </c>
      <c r="W337">
        <f>Analisa!$F$143</f>
        <v>251112.5</v>
      </c>
      <c r="X337">
        <f>Analisa!$H$143</f>
        <v>50940.509259259255</v>
      </c>
      <c r="Z337">
        <f>'REKAP Balok'!X708</f>
        <v>189.61195965996907</v>
      </c>
      <c r="AA337">
        <f>Analisa!$F$233</f>
        <v>11282.5</v>
      </c>
      <c r="AF337">
        <f>R337+V337*W337+Z337*AA337</f>
        <v>6721304.434863601</v>
      </c>
      <c r="AG337">
        <f>S337</f>
        <v>1750000</v>
      </c>
      <c r="AH337">
        <f>T337+V337*X337</f>
        <v>788167.1296296295</v>
      </c>
    </row>
    <row r="338">
      <c r="B338" t="str">
        <v xml:space="preserve"> - Balok CL24-1</v>
      </c>
      <c r="C338" t="str">
        <v>m3</v>
      </c>
      <c r="D338">
        <f>H338</f>
        <v>0.29000000000000004</v>
      </c>
      <c r="E338">
        <f>N338*'REKAP RAB'!$O$4</f>
        <v>11199008.253301086</v>
      </c>
      <c r="F338">
        <f>D338*E338</f>
        <v>3247712.3934573154</v>
      </c>
      <c r="G338" t="str">
        <v>CL24-1</v>
      </c>
      <c r="H338">
        <f>'REKAP Balok'!G709</f>
        <v>0.29000000000000004</v>
      </c>
      <c r="I338">
        <f>AF338</f>
        <v>7285524.320634482</v>
      </c>
      <c r="J338">
        <f>AG338</f>
        <v>1750000</v>
      </c>
      <c r="K338">
        <f>AH338</f>
        <v>788167.1296296295</v>
      </c>
      <c r="N338">
        <f>SUM(I338:M338)</f>
        <v>9823691.450264111</v>
      </c>
      <c r="O338">
        <f>H338*N338</f>
        <v>2848870.5205765925</v>
      </c>
      <c r="R338">
        <f>Analisa!$F$197</f>
        <v>1066432.5000000002</v>
      </c>
      <c r="S338">
        <f>Analisa!$G$197</f>
        <v>1750000</v>
      </c>
      <c r="T338">
        <f>Analisa!$H$197</f>
        <v>75000</v>
      </c>
      <c r="V338">
        <f>'REKAP Balok'!W709</f>
        <v>14</v>
      </c>
      <c r="W338">
        <f>Analisa!$F$143</f>
        <v>251112.5</v>
      </c>
      <c r="X338">
        <f>Analisa!$H$143</f>
        <v>50940.509259259255</v>
      </c>
      <c r="Z338">
        <f>'REKAP Balok'!X709</f>
        <v>239.62036965517234</v>
      </c>
      <c r="AA338">
        <f>Analisa!$F$233</f>
        <v>11282.5</v>
      </c>
      <c r="AF338">
        <f>R338+V338*W338+Z338*AA338</f>
        <v>7285524.320634482</v>
      </c>
      <c r="AG338">
        <f>S338</f>
        <v>1750000</v>
      </c>
      <c r="AH338">
        <f>T338+V338*X338</f>
        <v>788167.1296296295</v>
      </c>
    </row>
    <row r="339">
      <c r="B339" t="str">
        <v xml:space="preserve"> - Balok B245-1</v>
      </c>
      <c r="C339" t="str">
        <v>m3</v>
      </c>
      <c r="D339">
        <f>H339</f>
        <v>3.3141</v>
      </c>
      <c r="E339">
        <f>N339*'REKAP RAB'!$O$4</f>
        <v>9067082.73932257</v>
      </c>
      <c r="F339">
        <f>D339*E339</f>
        <v>30049218.906388924</v>
      </c>
      <c r="G339" t="str">
        <v>B245-1</v>
      </c>
      <c r="H339">
        <f>'REKAP Balok'!G710</f>
        <v>3.3141</v>
      </c>
      <c r="I339">
        <f>AF339</f>
        <v>5491798.085567771</v>
      </c>
      <c r="J339">
        <f>AG339</f>
        <v>1750000</v>
      </c>
      <c r="K339">
        <f>AH339</f>
        <v>711783.2647151845</v>
      </c>
      <c r="N339">
        <f>SUM(I339:M339)</f>
        <v>7953581.350282956</v>
      </c>
      <c r="O339">
        <f>H339*N339</f>
        <v>26358963.952972744</v>
      </c>
      <c r="R339">
        <f>Analisa!$F$197</f>
        <v>1066432.5000000002</v>
      </c>
      <c r="S339">
        <f>Analisa!$G$197</f>
        <v>1750000</v>
      </c>
      <c r="T339">
        <f>Analisa!$H$197</f>
        <v>75000</v>
      </c>
      <c r="V339">
        <f>'REKAP Balok'!W710</f>
        <v>12.500528046830212</v>
      </c>
      <c r="W339">
        <f>Analisa!$F$143</f>
        <v>251112.5</v>
      </c>
      <c r="X339">
        <f>Analisa!$H$143</f>
        <v>50940.509259259255</v>
      </c>
      <c r="Z339">
        <f>'REKAP Balok'!X710</f>
        <v>114.01078984339642</v>
      </c>
      <c r="AA339">
        <f>Analisa!$F$233</f>
        <v>11282.5</v>
      </c>
      <c r="AF339">
        <f>R339+V339*W339+Z339*AA339</f>
        <v>5491798.085567771</v>
      </c>
      <c r="AG339">
        <f>S339</f>
        <v>1750000</v>
      </c>
      <c r="AH339">
        <f>T339+V339*X339</f>
        <v>711783.2647151845</v>
      </c>
    </row>
    <row r="340">
      <c r="B340" t="str">
        <v xml:space="preserve"> - Balok B245-2</v>
      </c>
      <c r="C340" t="str">
        <v>m3</v>
      </c>
      <c r="D340">
        <f>H340</f>
        <v>1.4700000000000002</v>
      </c>
      <c r="E340">
        <f>N340*'REKAP RAB'!$O$4</f>
        <v>10261046.892902514</v>
      </c>
      <c r="F340">
        <f>D340*E340</f>
        <v>15083738.932566697</v>
      </c>
      <c r="G340" t="str">
        <v>B245-2</v>
      </c>
      <c r="H340">
        <f>'REKAP Balok'!G713</f>
        <v>1.4700000000000002</v>
      </c>
      <c r="I340">
        <f>AF340</f>
        <v>6496711.536984012</v>
      </c>
      <c r="J340">
        <f>AG340</f>
        <v>1750000</v>
      </c>
      <c r="K340">
        <f>AH340</f>
        <v>754206.7901234566</v>
      </c>
      <c r="N340">
        <f>SUM(I340:M340)</f>
        <v>9000918.327107469</v>
      </c>
      <c r="O340">
        <f>H340*N340</f>
        <v>13231349.94084798</v>
      </c>
      <c r="R340">
        <f>Analisa!$F$197</f>
        <v>1066432.5000000002</v>
      </c>
      <c r="S340">
        <f>Analisa!$G$197</f>
        <v>1750000</v>
      </c>
      <c r="T340">
        <f>Analisa!$H$197</f>
        <v>75000</v>
      </c>
      <c r="V340">
        <f>'REKAP Balok'!W713</f>
        <v>13.33333333333333</v>
      </c>
      <c r="W340">
        <f>Analisa!$F$143</f>
        <v>251112.5</v>
      </c>
      <c r="X340">
        <f>Analisa!$H$143</f>
        <v>50940.509259259255</v>
      </c>
      <c r="Z340">
        <f>'REKAP Balok'!X713</f>
        <v>184.54352938775506</v>
      </c>
      <c r="AA340">
        <f>Analisa!$F$233</f>
        <v>11282.5</v>
      </c>
      <c r="AF340">
        <f>R340+V340*W340+Z340*AA340</f>
        <v>6496711.536984012</v>
      </c>
      <c r="AG340">
        <f>S340</f>
        <v>1750000</v>
      </c>
      <c r="AH340">
        <f>T340+V340*X340</f>
        <v>754206.7901234566</v>
      </c>
    </row>
    <row r="341">
      <c r="B341" t="str">
        <v xml:space="preserve"> - Balok B245-3</v>
      </c>
      <c r="C341" t="str">
        <v>m3</v>
      </c>
      <c r="D341">
        <f>H341</f>
        <v>2.2236</v>
      </c>
      <c r="E341">
        <f>N341*'REKAP RAB'!$O$4</f>
        <v>10231972.235834584</v>
      </c>
      <c r="F341">
        <f>D341*E341</f>
        <v>22751813.46360178</v>
      </c>
      <c r="G341" t="str">
        <v>B245-3</v>
      </c>
      <c r="H341">
        <f>'REKAP Balok'!G714</f>
        <v>2.2236</v>
      </c>
      <c r="I341">
        <f>AF341</f>
        <v>6500164.460158213</v>
      </c>
      <c r="J341">
        <f>AG341</f>
        <v>1750000</v>
      </c>
      <c r="K341">
        <f>AH341</f>
        <v>725249.7818019495</v>
      </c>
      <c r="N341">
        <f>SUM(I341:M341)</f>
        <v>8975414.241960162</v>
      </c>
      <c r="O341">
        <f>H341*N341</f>
        <v>19957731.108422615</v>
      </c>
      <c r="R341">
        <f>Analisa!$F$197</f>
        <v>1066432.5000000002</v>
      </c>
      <c r="S341">
        <f>Analisa!$G$197</f>
        <v>1750000</v>
      </c>
      <c r="T341">
        <f>Analisa!$H$197</f>
        <v>75000</v>
      </c>
      <c r="V341">
        <f>'REKAP Balok'!W714</f>
        <v>12.764885770822092</v>
      </c>
      <c r="W341">
        <f>Analisa!$F$143</f>
        <v>251112.5</v>
      </c>
      <c r="X341">
        <f>Analisa!$H$143</f>
        <v>50940.509259259255</v>
      </c>
      <c r="Z341">
        <f>'REKAP Balok'!X714</f>
        <v>197.50140323799246</v>
      </c>
      <c r="AA341">
        <f>Analisa!$F$233</f>
        <v>11282.5</v>
      </c>
      <c r="AF341">
        <f>R341+V341*W341+Z341*AA341</f>
        <v>6500164.460158213</v>
      </c>
      <c r="AG341">
        <f>S341</f>
        <v>1750000</v>
      </c>
      <c r="AH341">
        <f>T341+V341*X341</f>
        <v>725249.7818019495</v>
      </c>
    </row>
    <row r="342">
      <c r="B342" t="str">
        <v xml:space="preserve"> - Balok B245-4</v>
      </c>
      <c r="C342" t="str">
        <v>m3</v>
      </c>
      <c r="D342">
        <f>H342</f>
        <v>0.45</v>
      </c>
      <c r="E342">
        <f>N342*'REKAP RAB'!$O$4</f>
        <v>11131395.97155674</v>
      </c>
      <c r="F342">
        <f>D342*E342</f>
        <v>5009128.187200533</v>
      </c>
      <c r="G342" t="str">
        <v>B245-4</v>
      </c>
      <c r="H342">
        <f>'REKAP Balok'!G715</f>
        <v>0.45</v>
      </c>
      <c r="I342">
        <f>AF342</f>
        <v>7260175.641066667</v>
      </c>
      <c r="J342">
        <f>AG342</f>
        <v>1750000</v>
      </c>
      <c r="K342">
        <f>AH342</f>
        <v>754206.7901234566</v>
      </c>
      <c r="N342">
        <f>SUM(I342:M342)</f>
        <v>9764382.431190124</v>
      </c>
      <c r="O342">
        <f>H342*N342</f>
        <v>4393972.094035556</v>
      </c>
      <c r="R342">
        <f>Analisa!$F$197</f>
        <v>1066432.5000000002</v>
      </c>
      <c r="S342">
        <f>Analisa!$G$197</f>
        <v>1750000</v>
      </c>
      <c r="T342">
        <f>Analisa!$H$197</f>
        <v>75000</v>
      </c>
      <c r="V342">
        <f>'REKAP Balok'!W715</f>
        <v>13.333333333333332</v>
      </c>
      <c r="W342">
        <f>Analisa!$F$143</f>
        <v>251112.5</v>
      </c>
      <c r="X342">
        <f>Analisa!$H$143</f>
        <v>50940.509259259255</v>
      </c>
      <c r="Z342">
        <f>'REKAP Balok'!X715</f>
        <v>252.21152</v>
      </c>
      <c r="AA342">
        <f>Analisa!$F$233</f>
        <v>11282.5</v>
      </c>
      <c r="AF342">
        <f>R342+V342*W342+Z342*AA342</f>
        <v>7260175.641066667</v>
      </c>
      <c r="AG342">
        <f>S342</f>
        <v>1750000</v>
      </c>
      <c r="AH342">
        <f>T342+V342*X342</f>
        <v>754206.7901234566</v>
      </c>
    </row>
    <row r="343">
      <c r="B343" t="str">
        <v xml:space="preserve"> - Balok B245-5</v>
      </c>
      <c r="C343" t="str">
        <v>m3</v>
      </c>
      <c r="D343">
        <f>H343</f>
        <v>0.594</v>
      </c>
      <c r="E343">
        <f>N343*'REKAP RAB'!$O$4</f>
        <v>12089255.838638287</v>
      </c>
      <c r="F343">
        <f>D343*E343</f>
        <v>7181017.968151142</v>
      </c>
      <c r="G343" t="str">
        <v>B245-5</v>
      </c>
      <c r="H343">
        <f>'REKAP Balok'!G716</f>
        <v>0.594</v>
      </c>
      <c r="I343">
        <f>AF343</f>
        <v>8100403.594646971</v>
      </c>
      <c r="J343">
        <f>AG343</f>
        <v>1750000</v>
      </c>
      <c r="K343">
        <f>AH343</f>
        <v>754206.7901234567</v>
      </c>
      <c r="N343">
        <f>SUM(I343:M343)</f>
        <v>10604610.384770429</v>
      </c>
      <c r="O343">
        <f>H343*N343</f>
        <v>6299138.568553634</v>
      </c>
      <c r="R343">
        <f>Analisa!$F$197</f>
        <v>1066432.5000000002</v>
      </c>
      <c r="S343">
        <f>Analisa!$G$197</f>
        <v>1750000</v>
      </c>
      <c r="T343">
        <f>Analisa!$H$197</f>
        <v>75000</v>
      </c>
      <c r="V343">
        <f>'REKAP Balok'!W716</f>
        <v>13.333333333333334</v>
      </c>
      <c r="W343">
        <f>Analisa!$F$143</f>
        <v>251112.5</v>
      </c>
      <c r="X343">
        <f>Analisa!$H$143</f>
        <v>50940.509259259255</v>
      </c>
      <c r="Z343">
        <f>'REKAP Balok'!X716</f>
        <v>326.68330848484857</v>
      </c>
      <c r="AA343">
        <f>Analisa!$F$233</f>
        <v>11282.5</v>
      </c>
      <c r="AF343">
        <f>R343+V343*W343+Z343*AA343</f>
        <v>8100403.594646971</v>
      </c>
      <c r="AG343">
        <f>S343</f>
        <v>1750000</v>
      </c>
      <c r="AH343">
        <f>T343+V343*X343</f>
        <v>754206.7901234567</v>
      </c>
    </row>
    <row r="344">
      <c r="B344" t="str">
        <v xml:space="preserve"> - Balok B25-1</v>
      </c>
      <c r="C344" t="str">
        <v>m3</v>
      </c>
      <c r="D344">
        <f>H344</f>
        <v>0.43575</v>
      </c>
      <c r="E344">
        <f>N344*'REKAP RAB'!$O$4</f>
        <v>10501611.492152205</v>
      </c>
      <c r="F344">
        <f>D344*E344</f>
        <v>4576077.207705324</v>
      </c>
      <c r="G344" t="str">
        <v>B25-1</v>
      </c>
      <c r="H344">
        <f>'REKAP Balok'!G719</f>
        <v>0.43575</v>
      </c>
      <c r="I344">
        <f>AF344</f>
        <v>6731990.500634767</v>
      </c>
      <c r="J344">
        <f>AG344</f>
        <v>1750000</v>
      </c>
      <c r="K344">
        <f>AH344</f>
        <v>729949.4047619046</v>
      </c>
      <c r="N344">
        <f>SUM(I344:M344)</f>
        <v>9211939.905396672</v>
      </c>
      <c r="O344">
        <f>H344*N344</f>
        <v>4014102.8137766</v>
      </c>
      <c r="R344">
        <f>Analisa!$F$197</f>
        <v>1066432.5000000002</v>
      </c>
      <c r="S344">
        <f>Analisa!$G$197</f>
        <v>1750000</v>
      </c>
      <c r="T344">
        <f>Analisa!$H$197</f>
        <v>75000</v>
      </c>
      <c r="V344">
        <f>'REKAP Balok'!W719</f>
        <v>12.857142857142856</v>
      </c>
      <c r="W344">
        <f>Analisa!$F$143</f>
        <v>251112.5</v>
      </c>
      <c r="X344">
        <f>Analisa!$H$143</f>
        <v>50940.509259259255</v>
      </c>
      <c r="Z344">
        <f>'REKAP Balok'!X719</f>
        <v>215.9954544578313</v>
      </c>
      <c r="AA344">
        <f>Analisa!$F$233</f>
        <v>11282.5</v>
      </c>
      <c r="AF344">
        <f>R344+V344*W344+Z344*AA344</f>
        <v>6731990.500634767</v>
      </c>
      <c r="AG344">
        <f>S344</f>
        <v>1750000</v>
      </c>
      <c r="AH344">
        <f>T344+V344*X344</f>
        <v>729949.4047619046</v>
      </c>
    </row>
    <row r="345">
      <c r="B345" t="str">
        <v xml:space="preserve"> - Balok B25-4</v>
      </c>
      <c r="C345" t="str">
        <v>m3</v>
      </c>
      <c r="D345">
        <f>H345</f>
        <v>0.45955</v>
      </c>
      <c r="E345">
        <f>N345*'REKAP RAB'!$O$4</f>
        <v>12050113.978204222</v>
      </c>
      <c r="F345">
        <f>D345*E345</f>
        <v>5537629.8786837505</v>
      </c>
      <c r="G345" t="str">
        <v>B25-4</v>
      </c>
      <c r="H345">
        <f>'REKAP Balok'!G722</f>
        <v>0.45955</v>
      </c>
      <c r="I345">
        <f>AF345</f>
        <v>8090326.014715483</v>
      </c>
      <c r="J345">
        <f>AG345</f>
        <v>1750000</v>
      </c>
      <c r="K345">
        <f>AH345</f>
        <v>729949.4047619047</v>
      </c>
      <c r="N345">
        <f>SUM(I345:M345)</f>
        <v>10570275.419477388</v>
      </c>
      <c r="O345">
        <f>H345*N345</f>
        <v>4857570.069020834</v>
      </c>
      <c r="R345">
        <f>Analisa!$F$197</f>
        <v>1066432.5000000002</v>
      </c>
      <c r="S345">
        <f>Analisa!$G$197</f>
        <v>1750000</v>
      </c>
      <c r="T345">
        <f>Analisa!$H$197</f>
        <v>75000</v>
      </c>
      <c r="V345">
        <f>'REKAP Balok'!W722</f>
        <v>12.857142857142858</v>
      </c>
      <c r="W345">
        <f>Analisa!$F$143</f>
        <v>251112.5</v>
      </c>
      <c r="X345">
        <f>Analisa!$H$143</f>
        <v>50940.509259259255</v>
      </c>
      <c r="Z345">
        <f>'REKAP Balok'!X722</f>
        <v>336.3885866608639</v>
      </c>
      <c r="AA345">
        <f>Analisa!$F$233</f>
        <v>11282.5</v>
      </c>
      <c r="AF345">
        <f>R345+V345*W345+Z345*AA345</f>
        <v>8090326.014715483</v>
      </c>
      <c r="AG345">
        <f>S345</f>
        <v>1750000</v>
      </c>
      <c r="AH345">
        <f>T345+V345*X345</f>
        <v>729949.4047619047</v>
      </c>
    </row>
    <row r="346">
      <c r="B346" t="str">
        <v xml:space="preserve"> - Balok B25-6</v>
      </c>
      <c r="C346" t="str">
        <v>m3</v>
      </c>
      <c r="D346">
        <f>H346</f>
        <v>1.11</v>
      </c>
      <c r="E346">
        <f>N346*'REKAP RAB'!$O$4</f>
        <v>9813364.198059455</v>
      </c>
      <c r="F346">
        <f>D346*E346</f>
        <v>10892834.259845996</v>
      </c>
      <c r="G346" t="str">
        <v>B25-6</v>
      </c>
      <c r="H346">
        <f>'REKAP Balok'!G724</f>
        <v>1.11</v>
      </c>
      <c r="I346">
        <f>AF346</f>
        <v>6171928.097712973</v>
      </c>
      <c r="J346">
        <f>AG346</f>
        <v>1750000</v>
      </c>
      <c r="K346">
        <f>AH346</f>
        <v>686286.111111111</v>
      </c>
      <c r="N346">
        <f>SUM(I346:M346)</f>
        <v>8608214.208824083</v>
      </c>
      <c r="O346">
        <f>H346*N346</f>
        <v>9555117.771794733</v>
      </c>
      <c r="R346">
        <f>Analisa!$F$197</f>
        <v>1066432.5000000002</v>
      </c>
      <c r="S346">
        <f>Analisa!$G$197</f>
        <v>1750000</v>
      </c>
      <c r="T346">
        <f>Analisa!$H$197</f>
        <v>75000</v>
      </c>
      <c r="V346">
        <f>'REKAP Balok'!W724</f>
        <v>12</v>
      </c>
      <c r="W346">
        <f>Analisa!$F$143</f>
        <v>251112.5</v>
      </c>
      <c r="X346">
        <f>Analisa!$H$143</f>
        <v>50940.509259259255</v>
      </c>
      <c r="Z346">
        <f>'REKAP Balok'!X724</f>
        <v>185.4328028108108</v>
      </c>
      <c r="AA346">
        <f>Analisa!$F$233</f>
        <v>11282.5</v>
      </c>
      <c r="AF346">
        <f>R346+V346*W346+Z346*AA346</f>
        <v>6171928.097712973</v>
      </c>
      <c r="AG346">
        <f>S346</f>
        <v>1750000</v>
      </c>
      <c r="AH346">
        <f>T346+V346*X346</f>
        <v>686286.111111111</v>
      </c>
    </row>
    <row r="347">
      <c r="B347" t="str">
        <v xml:space="preserve"> - Balok B1745-1</v>
      </c>
      <c r="C347" t="str">
        <v>m3</v>
      </c>
      <c r="D347">
        <f>H347</f>
        <v>0.36465000000000003</v>
      </c>
      <c r="E347">
        <f>N347*'REKAP RAB'!$O$4</f>
        <v>10552589.438261066</v>
      </c>
      <c r="F347">
        <f>D347*E347</f>
        <v>3848001.738661898</v>
      </c>
      <c r="G347" t="str">
        <v>B1745-1</v>
      </c>
      <c r="H347">
        <f>'REKAP Balok'!G750</f>
        <v>0.36465000000000003</v>
      </c>
      <c r="I347">
        <f>AF347</f>
        <v>6696990.904809543</v>
      </c>
      <c r="J347">
        <f>AG347</f>
        <v>1750000</v>
      </c>
      <c r="K347">
        <f>AH347</f>
        <v>809666.4971738501</v>
      </c>
      <c r="N347">
        <f>SUM(I347:M347)</f>
        <v>9256657.401983391</v>
      </c>
      <c r="O347">
        <f>H347*N347</f>
        <v>3375440.121633244</v>
      </c>
      <c r="R347">
        <f>Analisa!$F$197</f>
        <v>1066432.5000000002</v>
      </c>
      <c r="S347">
        <f>Analisa!$G$197</f>
        <v>1750000</v>
      </c>
      <c r="T347">
        <f>Analisa!$H$197</f>
        <v>75000</v>
      </c>
      <c r="V347">
        <f>'REKAP Balok'!W750</f>
        <v>14.422048539695599</v>
      </c>
      <c r="W347">
        <f>Analisa!$F$143</f>
        <v>251112.5</v>
      </c>
      <c r="X347">
        <f>Analisa!$H$143</f>
        <v>50940.509259259255</v>
      </c>
      <c r="Z347">
        <f>'REKAP Balok'!X750</f>
        <v>178.0635267791032</v>
      </c>
      <c r="AA347">
        <f>Analisa!$F$233</f>
        <v>11282.5</v>
      </c>
      <c r="AF347">
        <f>R347+V347*W347+Z347*AA347</f>
        <v>6696990.904809543</v>
      </c>
      <c r="AG347">
        <f>S347</f>
        <v>1750000</v>
      </c>
      <c r="AH347">
        <f>T347+V347*X347</f>
        <v>809666.4971738501</v>
      </c>
    </row>
    <row r="348">
      <c r="B348" t="str">
        <v xml:space="preserve"> - Balok Potongan A</v>
      </c>
      <c r="C348" t="str">
        <v>m3</v>
      </c>
      <c r="D348">
        <f>H348</f>
        <v>0.1168125</v>
      </c>
      <c r="E348">
        <f>N348*'REKAP RAB'!$O$4</f>
        <v>12462594.764910774</v>
      </c>
      <c r="F348">
        <f>D348*E348</f>
        <v>1455786.8509761398</v>
      </c>
      <c r="G348" t="str">
        <v>Potongan A</v>
      </c>
      <c r="H348">
        <f>'REKAP Balok'!G752</f>
        <v>0.1168125</v>
      </c>
      <c r="I348">
        <f>AF348</f>
        <v>8554032.284730978</v>
      </c>
      <c r="J348">
        <f>AG348</f>
        <v>1750000</v>
      </c>
      <c r="K348">
        <f>AH348</f>
        <v>628068.3862433862</v>
      </c>
      <c r="N348">
        <f>SUM(I348:M348)</f>
        <v>10932100.670974365</v>
      </c>
      <c r="O348">
        <f>H348*N348</f>
        <v>1277006.009628193</v>
      </c>
      <c r="R348">
        <f>Analisa!$F$197</f>
        <v>1066432.5000000002</v>
      </c>
      <c r="S348">
        <f>Analisa!$G$197</f>
        <v>1750000</v>
      </c>
      <c r="T348">
        <f>Analisa!$H$197</f>
        <v>75000</v>
      </c>
      <c r="V348">
        <f>'REKAP Balok'!W752</f>
        <v>10.857142857142858</v>
      </c>
      <c r="W348">
        <f>Analisa!$F$143</f>
        <v>251112.5</v>
      </c>
      <c r="X348">
        <f>Analisa!$H$143</f>
        <v>50940.509259259255</v>
      </c>
      <c r="Z348">
        <f>'REKAP Balok'!X752</f>
        <v>422.0018168860353</v>
      </c>
      <c r="AA348">
        <f>Analisa!$F$233</f>
        <v>11282.5</v>
      </c>
      <c r="AF348">
        <f>R348+V348*W348+Z348*AA348</f>
        <v>8554032.284730978</v>
      </c>
      <c r="AG348">
        <f>S348</f>
        <v>1750000</v>
      </c>
      <c r="AH348">
        <f>T348+V348*X348</f>
        <v>628068.3862433862</v>
      </c>
    </row>
    <row r="349">
      <c r="B349" t="str">
        <v xml:space="preserve"> - Balok Potongan B</v>
      </c>
      <c r="C349" t="str">
        <v>m3</v>
      </c>
      <c r="D349">
        <f>H349</f>
        <v>0.09345</v>
      </c>
      <c r="E349">
        <f>N349*'REKAP RAB'!$O$4</f>
        <v>14100611.390452452</v>
      </c>
      <c r="F349">
        <f>D349*E349</f>
        <v>1317702.1344377818</v>
      </c>
      <c r="G349" t="str">
        <v>Potongan B</v>
      </c>
      <c r="H349">
        <f>'REKAP Balok'!G753</f>
        <v>0.09345</v>
      </c>
      <c r="I349">
        <f>AF349</f>
        <v>9889007.955284107</v>
      </c>
      <c r="J349">
        <f>AG349</f>
        <v>1750000</v>
      </c>
      <c r="K349">
        <f>AH349</f>
        <v>729949.4047619046</v>
      </c>
      <c r="N349">
        <f>SUM(I349:M349)</f>
        <v>12368957.360046012</v>
      </c>
      <c r="O349">
        <f>H349*N349</f>
        <v>1155879.0652963</v>
      </c>
      <c r="R349">
        <f>Analisa!$F$197</f>
        <v>1066432.5000000002</v>
      </c>
      <c r="S349">
        <f>Analisa!$G$197</f>
        <v>1750000</v>
      </c>
      <c r="T349">
        <f>Analisa!$H$197</f>
        <v>75000</v>
      </c>
      <c r="V349">
        <f>'REKAP Balok'!W753</f>
        <v>12.857142857142856</v>
      </c>
      <c r="W349">
        <f>Analisa!$F$143</f>
        <v>251112.5</v>
      </c>
      <c r="X349">
        <f>Analisa!$H$143</f>
        <v>50940.509259259255</v>
      </c>
      <c r="Z349">
        <f>'REKAP Balok'!X753</f>
        <v>495.81087255216687</v>
      </c>
      <c r="AA349">
        <f>Analisa!$F$233</f>
        <v>11282.5</v>
      </c>
      <c r="AF349">
        <f>R349+V349*W349+Z349*AA349</f>
        <v>9889007.955284107</v>
      </c>
      <c r="AG349">
        <f>S349</f>
        <v>1750000</v>
      </c>
      <c r="AH349">
        <f>T349+V349*X349</f>
        <v>729949.4047619046</v>
      </c>
    </row>
    <row r="350">
      <c r="B350" t="str">
        <v xml:space="preserve"> - Balok Potongan F</v>
      </c>
      <c r="C350" t="str">
        <v>m3</v>
      </c>
      <c r="D350">
        <f>H350</f>
        <v>0.243</v>
      </c>
      <c r="E350">
        <f>N350*'REKAP RAB'!$O$4</f>
        <v>10827061.486619234</v>
      </c>
      <c r="F350">
        <f>D350*E350</f>
        <v>2630975.9412484737</v>
      </c>
      <c r="G350" t="str">
        <v>Potongan F</v>
      </c>
      <c r="H350">
        <f>'REKAP Balok'!G757</f>
        <v>0.243</v>
      </c>
      <c r="I350">
        <f>AF350</f>
        <v>7049816.132403703</v>
      </c>
      <c r="J350">
        <f>AG350</f>
        <v>1750000</v>
      </c>
      <c r="K350">
        <f>AH350</f>
        <v>697606.2242798354</v>
      </c>
      <c r="N350">
        <f>SUM(I350:M350)</f>
        <v>9497422.35668354</v>
      </c>
      <c r="O350">
        <f>H350*N350</f>
        <v>2307873.6326741</v>
      </c>
      <c r="R350">
        <f>Analisa!$F$197</f>
        <v>1066432.5000000002</v>
      </c>
      <c r="S350">
        <f>Analisa!$G$197</f>
        <v>1750000</v>
      </c>
      <c r="T350">
        <f>Analisa!$H$197</f>
        <v>75000</v>
      </c>
      <c r="V350">
        <f>'REKAP Balok'!W757</f>
        <v>12.222222222222223</v>
      </c>
      <c r="W350">
        <f>Analisa!$F$143</f>
        <v>251112.5</v>
      </c>
      <c r="X350">
        <f>Analisa!$H$143</f>
        <v>50940.509259259255</v>
      </c>
      <c r="Z350">
        <f>'REKAP Balok'!X757</f>
        <v>258.2965525925926</v>
      </c>
      <c r="AA350">
        <f>Analisa!$F$233</f>
        <v>11282.5</v>
      </c>
      <c r="AF350">
        <f>R350+V350*W350+Z350*AA350</f>
        <v>7049816.132403703</v>
      </c>
      <c r="AG350">
        <f>S350</f>
        <v>1750000</v>
      </c>
      <c r="AH350">
        <f>T350+V350*X350</f>
        <v>697606.2242798354</v>
      </c>
    </row>
    <row r="351">
      <c r="B351" t="str">
        <v xml:space="preserve"> - Balok Potongan L</v>
      </c>
      <c r="C351" t="str">
        <v>m3</v>
      </c>
      <c r="D351">
        <f>H351</f>
        <v>0.0759</v>
      </c>
      <c r="E351">
        <f>N351*'REKAP RAB'!$O$4</f>
        <v>10078873.42339559</v>
      </c>
      <c r="F351">
        <f>D351*E351</f>
        <v>764986.4928357253</v>
      </c>
      <c r="G351" t="str">
        <v>Potongan L</v>
      </c>
      <c r="H351">
        <f>'REKAP Balok'!G763</f>
        <v>0.0759</v>
      </c>
      <c r="I351">
        <f>AF351</f>
        <v>6336910.247942853</v>
      </c>
      <c r="J351">
        <f>AG351</f>
        <v>1750000</v>
      </c>
      <c r="K351">
        <f>AH351</f>
        <v>754206.7901234567</v>
      </c>
      <c r="N351">
        <f>SUM(I351:M351)</f>
        <v>8841117.038066309</v>
      </c>
      <c r="O351">
        <f>H351*N351</f>
        <v>671040.7831892328</v>
      </c>
      <c r="R351">
        <f>Analisa!$F$197</f>
        <v>1066432.5000000002</v>
      </c>
      <c r="S351">
        <f>Analisa!$G$197</f>
        <v>1750000</v>
      </c>
      <c r="T351">
        <f>Analisa!$H$197</f>
        <v>75000</v>
      </c>
      <c r="V351">
        <f>'REKAP Balok'!W763</f>
        <v>13.333333333333334</v>
      </c>
      <c r="W351">
        <f>Analisa!$F$143</f>
        <v>251112.5</v>
      </c>
      <c r="X351">
        <f>Analisa!$H$143</f>
        <v>50940.509259259255</v>
      </c>
      <c r="Z351">
        <f>'REKAP Balok'!X763</f>
        <v>170.3798875494071</v>
      </c>
      <c r="AA351">
        <f>Analisa!$F$233</f>
        <v>11282.5</v>
      </c>
      <c r="AF351">
        <f>R351+V351*W351+Z351*AA351</f>
        <v>6336910.247942853</v>
      </c>
      <c r="AG351">
        <f>S351</f>
        <v>1750000</v>
      </c>
      <c r="AH351">
        <f>T351+V351*X351</f>
        <v>754206.7901234567</v>
      </c>
    </row>
    <row r="353">
      <c r="A353" t="str">
        <v>Subtotal Pekerjaan Fisik Atap</v>
      </c>
      <c r="F353">
        <f>SUM(F320:F352)</f>
        <v>288512477.34910935</v>
      </c>
      <c r="O353">
        <f>SUM(O320:O352)</f>
        <v>253081120.48167488</v>
      </c>
    </row>
    <row r="355">
      <c r="A355" t="str">
        <v>VIII</v>
      </c>
      <c r="B355" t="str">
        <v>PEKERJAAN BAJA DAN PENUTUP ATAP</v>
      </c>
    </row>
    <row r="357">
      <c r="A357" t="str">
        <v>A</v>
      </c>
      <c r="B357" t="str">
        <v>Pekerjaan Struktur Baja Kanopi dan Rangka Atap</v>
      </c>
    </row>
    <row r="358">
      <c r="A358">
        <v>1</v>
      </c>
      <c r="B358" t="str">
        <v>Kanopi Entrance</v>
      </c>
    </row>
    <row r="359">
      <c r="B359" t="str">
        <v xml:space="preserve"> - WF 150 x 75 x 5 x 7</v>
      </c>
      <c r="C359" t="str">
        <v>kg</v>
      </c>
      <c r="D359">
        <f>H359</f>
        <v>564.48</v>
      </c>
      <c r="E359">
        <f>N359*'REKAP RAB'!$O$5</f>
        <v>43400</v>
      </c>
      <c r="F359">
        <f>D359*E359</f>
        <v>24498432</v>
      </c>
      <c r="H359">
        <f>'PROSES BAJA'!F112</f>
        <v>564.48</v>
      </c>
      <c r="L359">
        <v>35000</v>
      </c>
      <c r="N359">
        <f>SUM(I359:M359)</f>
        <v>35000</v>
      </c>
      <c r="O359">
        <f>H359*N359</f>
        <v>19756800</v>
      </c>
    </row>
    <row r="361">
      <c r="A361">
        <v>2</v>
      </c>
      <c r="B361" t="str">
        <v>Rangka Atap Audio Room</v>
      </c>
    </row>
    <row r="362">
      <c r="B362" t="str">
        <v xml:space="preserve"> - WF 200x100x5,5x8</v>
      </c>
      <c r="C362" t="str">
        <v>kg</v>
      </c>
      <c r="D362">
        <f>H362</f>
        <v>27.3024</v>
      </c>
      <c r="E362">
        <f>N362*'REKAP RAB'!$O$5</f>
        <v>43400</v>
      </c>
      <c r="F362">
        <f>D362*E362</f>
        <v>1184924.16</v>
      </c>
      <c r="H362">
        <f>'PROSES BAJA'!F81</f>
        <v>27.3024</v>
      </c>
      <c r="L362">
        <v>35000</v>
      </c>
      <c r="N362">
        <f>SUM(I362:M362)</f>
        <v>35000</v>
      </c>
      <c r="O362">
        <f>H362*N362</f>
        <v>955584</v>
      </c>
    </row>
    <row r="363">
      <c r="B363" t="str">
        <v xml:space="preserve"> - WF 150x75x5x7</v>
      </c>
      <c r="C363" t="str">
        <v>kg</v>
      </c>
      <c r="D363">
        <f>H363</f>
        <v>399.28</v>
      </c>
      <c r="E363">
        <f>N363*'REKAP RAB'!$O$5</f>
        <v>43400</v>
      </c>
      <c r="F363">
        <f>D363*E363</f>
        <v>17328752</v>
      </c>
      <c r="H363">
        <f>'PROSES BAJA'!F82</f>
        <v>399.28</v>
      </c>
      <c r="L363">
        <v>35000</v>
      </c>
      <c r="N363">
        <f>SUM(I363:M363)</f>
        <v>35000</v>
      </c>
      <c r="O363">
        <f>H363*N363</f>
        <v>13974799.999999998</v>
      </c>
    </row>
    <row r="364">
      <c r="B364" t="str">
        <v xml:space="preserve"> - Gording CNP 150x50x20x2,3</v>
      </c>
      <c r="C364" t="str">
        <v>kg</v>
      </c>
      <c r="D364">
        <f>H364</f>
        <v>157.728</v>
      </c>
      <c r="E364">
        <f>N364*'REKAP RAB'!$O$5</f>
        <v>37200</v>
      </c>
      <c r="F364">
        <f>D364*E364</f>
        <v>5867481.600000001</v>
      </c>
      <c r="H364">
        <f>'PROSES BAJA'!F85</f>
        <v>157.728</v>
      </c>
      <c r="L364">
        <v>30000</v>
      </c>
      <c r="N364">
        <f>SUM(I364:M364)</f>
        <v>30000</v>
      </c>
      <c r="O364">
        <f>H364*N364</f>
        <v>4731840</v>
      </c>
    </row>
    <row r="366">
      <c r="A366">
        <v>3</v>
      </c>
      <c r="B366" t="str">
        <v>Rangka Atap Utama</v>
      </c>
    </row>
    <row r="367">
      <c r="B367" t="str">
        <v xml:space="preserve"> - WF 200x100x5,5x8</v>
      </c>
      <c r="C367" t="str">
        <v>kg</v>
      </c>
      <c r="D367">
        <f>H367</f>
        <v>1387.3032</v>
      </c>
      <c r="E367">
        <f>N367*'REKAP RAB'!$O$5</f>
        <v>43400</v>
      </c>
      <c r="F367">
        <f>D367*E367</f>
        <v>60208958.88</v>
      </c>
      <c r="H367">
        <f>'PROSES BAJA'!F91</f>
        <v>1387.3032</v>
      </c>
      <c r="L367">
        <v>35000</v>
      </c>
      <c r="N367">
        <f>SUM(I367:M367)</f>
        <v>35000</v>
      </c>
      <c r="O367">
        <f>H367*N367</f>
        <v>48555612</v>
      </c>
    </row>
    <row r="368">
      <c r="B368" t="str">
        <v xml:space="preserve"> - WF 150x75x5x7</v>
      </c>
      <c r="C368" t="str">
        <v>kg</v>
      </c>
      <c r="D368">
        <f>H368</f>
        <v>156.8</v>
      </c>
      <c r="E368">
        <f>N368*'REKAP RAB'!$O$5</f>
        <v>43400</v>
      </c>
      <c r="F368">
        <f>D368*E368</f>
        <v>6805120.000000001</v>
      </c>
      <c r="H368">
        <f>'PROSES BAJA'!F92</f>
        <v>156.8</v>
      </c>
      <c r="L368">
        <v>35000</v>
      </c>
      <c r="N368">
        <f>SUM(I368:M368)</f>
        <v>35000</v>
      </c>
      <c r="O368">
        <f>H368*N368</f>
        <v>5488000</v>
      </c>
    </row>
    <row r="369">
      <c r="B369" t="str">
        <v xml:space="preserve"> - Gording CNP 150x50x20x2,3</v>
      </c>
      <c r="C369" t="str">
        <v>kg</v>
      </c>
      <c r="D369">
        <f>H369</f>
        <v>519.064</v>
      </c>
      <c r="E369">
        <f>N369*'REKAP RAB'!$O$5</f>
        <v>37200</v>
      </c>
      <c r="F369">
        <f>D369*E369</f>
        <v>19309180.799999997</v>
      </c>
      <c r="H369">
        <f>'PROSES BAJA'!F95</f>
        <v>519.064</v>
      </c>
      <c r="L369">
        <v>30000</v>
      </c>
      <c r="N369">
        <f>SUM(I369:M369)</f>
        <v>30000</v>
      </c>
      <c r="O369">
        <f>H369*N369</f>
        <v>15571919.999999998</v>
      </c>
    </row>
    <row r="371">
      <c r="A371">
        <v>4</v>
      </c>
      <c r="B371" t="str">
        <v>Rangka Atap Palsuan</v>
      </c>
    </row>
    <row r="372">
      <c r="B372" t="str">
        <v xml:space="preserve"> - UNP 80x45x6</v>
      </c>
      <c r="C372" t="str">
        <v>kg</v>
      </c>
      <c r="D372">
        <f>H372</f>
        <v>705.5183333333333</v>
      </c>
      <c r="E372">
        <f>N372*'REKAP RAB'!$O$5</f>
        <v>37200</v>
      </c>
      <c r="F372">
        <f>D372*E372</f>
        <v>26245282</v>
      </c>
      <c r="H372">
        <f>'PROSES BAJA'!F103</f>
        <v>705.5183333333333</v>
      </c>
      <c r="L372">
        <v>30000</v>
      </c>
      <c r="N372">
        <f>SUM(I372:M372)</f>
        <v>30000</v>
      </c>
      <c r="O372">
        <f>H372*N372</f>
        <v>21165550</v>
      </c>
    </row>
    <row r="373">
      <c r="B373" t="str">
        <v xml:space="preserve"> - L 40x40x4</v>
      </c>
      <c r="C373" t="str">
        <v>kg</v>
      </c>
      <c r="D373">
        <f>H373</f>
        <v>44.14140000000001</v>
      </c>
      <c r="E373">
        <f>N373*'REKAP RAB'!$O$5</f>
        <v>37200</v>
      </c>
      <c r="F373">
        <f>D373*E373</f>
        <v>1642060.0800000005</v>
      </c>
      <c r="H373">
        <f>'PROSES BAJA'!F104</f>
        <v>44.14140000000001</v>
      </c>
      <c r="L373">
        <v>30000</v>
      </c>
      <c r="N373">
        <f>SUM(I373:M373)</f>
        <v>30000</v>
      </c>
      <c r="O373">
        <f>H373*N373</f>
        <v>1324242.0000000002</v>
      </c>
    </row>
    <row r="374">
      <c r="B374" t="str">
        <v xml:space="preserve"> - Gording hollow 100x50x3,2</v>
      </c>
      <c r="C374" t="str">
        <v>kg</v>
      </c>
      <c r="D374">
        <f>H374</f>
        <v>429.95835</v>
      </c>
      <c r="E374">
        <f>N374*'REKAP RAB'!$O$5</f>
        <v>37200</v>
      </c>
      <c r="F374">
        <f>D374*E374</f>
        <v>15994450.62</v>
      </c>
      <c r="H374">
        <f>'PROSES BAJA'!F106</f>
        <v>429.95835</v>
      </c>
      <c r="L374">
        <v>30000</v>
      </c>
      <c r="N374">
        <f>SUM(I374:M374)</f>
        <v>30000</v>
      </c>
      <c r="O374">
        <f>H374*N374</f>
        <v>12898750.5</v>
      </c>
    </row>
    <row r="376">
      <c r="A376">
        <v>5</v>
      </c>
      <c r="B376" t="str">
        <v>Sambungan profil baja, termasuk plat, baut, angkur, cat Zinchromate, dan lain - lain</v>
      </c>
      <c r="C376" t="str">
        <v>ls</v>
      </c>
      <c r="D376">
        <f>H376</f>
        <v>1</v>
      </c>
      <c r="E376">
        <f>N376*'REKAP RAB'!$O$5</f>
        <v>44771160.535</v>
      </c>
      <c r="F376">
        <f>D376*E376</f>
        <v>44771160.535</v>
      </c>
      <c r="H376">
        <v>1</v>
      </c>
      <c r="L376">
        <f>25%*SUM(O359:O374)</f>
        <v>36105774.625</v>
      </c>
      <c r="N376">
        <f>SUM(I376:M376)</f>
        <v>36105774.625</v>
      </c>
      <c r="O376">
        <f>H376*N376</f>
        <v>36105774.625</v>
      </c>
    </row>
    <row r="378">
      <c r="A378" t="str">
        <v>B</v>
      </c>
      <c r="B378" t="str">
        <v>Pekerjaan Penutup Atap</v>
      </c>
    </row>
    <row r="379">
      <c r="A379">
        <v>1</v>
      </c>
      <c r="B379" t="str">
        <v>Heat insulation ex. Zelltech atau setara</v>
      </c>
      <c r="C379" t="str">
        <v>m2</v>
      </c>
      <c r="D379">
        <f>H379</f>
        <v>271.95935000000003</v>
      </c>
      <c r="E379">
        <f>N379*'REKAP RAB'!$O$5</f>
        <v>155000</v>
      </c>
      <c r="F379">
        <f>D379*E379</f>
        <v>42153699.25000001</v>
      </c>
      <c r="H379">
        <f>SUM('PROSES BAJA'!I62:I66)/1000*6.83+32.94+(105.84-1.9*3.4)</f>
        <v>271.95935000000003</v>
      </c>
      <c r="L379">
        <v>125000</v>
      </c>
      <c r="N379">
        <f>SUM(I379:M379)</f>
        <v>125000</v>
      </c>
      <c r="O379">
        <f>H379*N379</f>
        <v>33994918.75</v>
      </c>
    </row>
    <row r="380">
      <c r="A380">
        <v>2</v>
      </c>
      <c r="B380" t="str">
        <v>Penutup atap aspal ex. GAF Timberline; termasuk nok, sekrup, dan aksesoris - aksesoris lainnya</v>
      </c>
      <c r="C380" t="str">
        <v>m2</v>
      </c>
      <c r="D380">
        <f>H380</f>
        <v>271.95935000000003</v>
      </c>
      <c r="E380">
        <f>N380*'REKAP RAB'!$O$5</f>
        <v>1178000</v>
      </c>
      <c r="F380">
        <f>D380*E380</f>
        <v>320368114.3</v>
      </c>
      <c r="H380">
        <f>H379</f>
        <v>271.95935000000003</v>
      </c>
      <c r="L380">
        <v>950000</v>
      </c>
      <c r="N380">
        <f>SUM(I380:M380)</f>
        <v>950000</v>
      </c>
      <c r="O380">
        <f>H380*N380</f>
        <v>258361382.50000003</v>
      </c>
    </row>
    <row r="382">
      <c r="A382" t="str">
        <v>Subtotal Pekerjaan Baja dan Penutup Atap</v>
      </c>
      <c r="F382">
        <f>SUM(F354:F381)</f>
        <v>586377616.225</v>
      </c>
      <c r="O382">
        <f>SUM(O354:O381)</f>
        <v>472885174.375</v>
      </c>
    </row>
    <row r="384">
      <c r="A384" t="str">
        <v>IX</v>
      </c>
      <c r="B384" t="str">
        <v>PEKERJAAN PASANGAN DINDING BATA MERAH</v>
      </c>
    </row>
    <row r="386">
      <c r="A386" t="str">
        <v>A</v>
      </c>
      <c r="B386" t="str">
        <v>Lantai Basement</v>
      </c>
    </row>
    <row r="387">
      <c r="A387">
        <v>1</v>
      </c>
      <c r="B387" t="str">
        <v>Pasangan dinding bata merah tebal 20 cm; termasuk kolom praktis, balok praktis, dan balok latei</v>
      </c>
      <c r="C387" t="str">
        <v>m2</v>
      </c>
      <c r="D387">
        <f>H387</f>
        <v>284.57599999999996</v>
      </c>
      <c r="E387">
        <f>N387*'REKAP RAB'!$O$6</f>
        <v>323981.2160648</v>
      </c>
      <c r="F387">
        <f>D387*E387</f>
        <v>92197278.54285651</v>
      </c>
      <c r="H387">
        <f>'Pas. Dinding'!C145</f>
        <v>284.57599999999996</v>
      </c>
      <c r="I387">
        <f>Analisa!$F$385</f>
        <v>167294.15178000001</v>
      </c>
      <c r="J387">
        <f>Analisa!G$385</f>
        <v>112000</v>
      </c>
      <c r="K387">
        <f>Analisa!H$385</f>
        <v>0</v>
      </c>
      <c r="N387">
        <f>SUM(I387:M387)</f>
        <v>279294.15178</v>
      </c>
      <c r="O387">
        <f>H387*N387</f>
        <v>79480412.53694527</v>
      </c>
      <c r="AF387">
        <f>R387+V387*W387+Z387*AA387</f>
        <v>0</v>
      </c>
      <c r="AG387">
        <f>S387</f>
        <v>0</v>
      </c>
      <c r="AH387">
        <f>T387+V387*X387</f>
        <v>0</v>
      </c>
    </row>
    <row r="388">
      <c r="A388">
        <v>2</v>
      </c>
      <c r="B388" t="str">
        <v>Plesteran dinding bata; termasuk benangan sudut</v>
      </c>
      <c r="C388" t="str">
        <v>m2</v>
      </c>
      <c r="D388">
        <f>H388</f>
        <v>569.1519999999999</v>
      </c>
      <c r="E388">
        <f>N388*'REKAP RAB'!$O$6</f>
        <v>126016.59999999999</v>
      </c>
      <c r="F388">
        <f>D388*E388</f>
        <v>71722599.92319998</v>
      </c>
      <c r="H388">
        <f>'Pas. Dinding'!I145</f>
        <v>569.1519999999999</v>
      </c>
      <c r="I388">
        <f>Analisa!$F$485</f>
        <v>24635</v>
      </c>
      <c r="J388">
        <f>Analisa!$G$485</f>
        <v>84000</v>
      </c>
      <c r="N388">
        <f>SUM(I388:M388)</f>
        <v>108635</v>
      </c>
      <c r="O388">
        <f>H388*N388</f>
        <v>61829827.519999996</v>
      </c>
      <c r="AF388">
        <f>R388+V388*W388+Z388*AA388</f>
        <v>0</v>
      </c>
      <c r="AG388">
        <f>S388</f>
        <v>0</v>
      </c>
      <c r="AH388">
        <f>T388+V388*X388</f>
        <v>0</v>
      </c>
    </row>
    <row r="389">
      <c r="A389">
        <v>3</v>
      </c>
      <c r="B389" t="str">
        <v>Plesteran kolom dan dinding beton</v>
      </c>
      <c r="C389" t="str">
        <v>m2</v>
      </c>
      <c r="D389">
        <f>H389</f>
        <v>547.7304999999999</v>
      </c>
      <c r="E389">
        <f>N389*'REKAP RAB'!$O$6</f>
        <v>126016.59999999999</v>
      </c>
      <c r="F389">
        <f>D389*E389</f>
        <v>69023135.32629998</v>
      </c>
      <c r="G389">
        <f>SUM('Retaining Wall'!D35:D37)+SUM('Hasil-Kolom'!G335:G336)</f>
        <v>403.75149999999996</v>
      </c>
      <c r="H389">
        <f>SUM('Retaining Wall'!D35:D37)+'Hasil-Kolom'!G243/2+SUM('Hasil-Kolom'!G335:G336)</f>
        <v>547.7304999999999</v>
      </c>
      <c r="I389">
        <f>Analisa!$F$485</f>
        <v>24635</v>
      </c>
      <c r="J389">
        <f>Analisa!$G$485</f>
        <v>84000</v>
      </c>
      <c r="N389">
        <f>SUM(I389:M389)</f>
        <v>108635</v>
      </c>
      <c r="O389">
        <f>H389*N389</f>
        <v>59502702.867499985</v>
      </c>
      <c r="AF389">
        <f>R389+V389*W389+Z389*AA389</f>
        <v>0</v>
      </c>
      <c r="AG389">
        <f>S389</f>
        <v>0</v>
      </c>
      <c r="AH389">
        <f>T389+V389*X389</f>
        <v>0</v>
      </c>
    </row>
    <row r="390">
      <c r="A390">
        <v>4</v>
      </c>
      <c r="B390" t="str">
        <v>Acian konvensional</v>
      </c>
      <c r="C390" t="str">
        <v>m2</v>
      </c>
      <c r="D390">
        <f>H390</f>
        <v>1116.8824999999997</v>
      </c>
      <c r="E390">
        <f>N390*'REKAP RAB'!$O$6</f>
        <v>53765.99999999999</v>
      </c>
      <c r="F390">
        <f>D390*E390</f>
        <v>60050304.494999975</v>
      </c>
      <c r="H390">
        <f>SUM(H388:H389)</f>
        <v>1116.8824999999997</v>
      </c>
      <c r="I390">
        <f>Analisa!$F$499</f>
        <v>16350</v>
      </c>
      <c r="J390">
        <f>Analisa!$G$499</f>
        <v>30000</v>
      </c>
      <c r="N390">
        <f>SUM(I390:M390)</f>
        <v>46350</v>
      </c>
      <c r="O390">
        <f>H390*N390</f>
        <v>51767503.874999985</v>
      </c>
      <c r="AF390">
        <f>R390+V390*W390+Z390*AA390</f>
        <v>0</v>
      </c>
      <c r="AG390">
        <f>S390</f>
        <v>0</v>
      </c>
      <c r="AH390">
        <f>T390+V390*X390</f>
        <v>0</v>
      </c>
    </row>
    <row r="392">
      <c r="A392" t="str">
        <v>B</v>
      </c>
      <c r="B392" t="str">
        <v>Lantai 1</v>
      </c>
    </row>
    <row r="393">
      <c r="A393">
        <v>1</v>
      </c>
      <c r="B393" t="str">
        <v>Pasangan dinding bata merah tebal 20 cm; termasuk kolom praktis, balok praktis, dan balok latei</v>
      </c>
      <c r="C393" t="str">
        <v>m2</v>
      </c>
      <c r="D393">
        <f>H393</f>
        <v>568.8895</v>
      </c>
      <c r="E393">
        <f>N393*'REKAP RAB'!$O$6</f>
        <v>323981.2160648</v>
      </c>
      <c r="F393">
        <f>D393*E393</f>
        <v>184309512.01649603</v>
      </c>
      <c r="H393">
        <f>'Pas. Dinding'!C146</f>
        <v>568.8895</v>
      </c>
      <c r="I393">
        <f>Analisa!$F$385</f>
        <v>167294.15178000001</v>
      </c>
      <c r="J393">
        <f>Analisa!G$385</f>
        <v>112000</v>
      </c>
      <c r="K393">
        <f>Analisa!H$385</f>
        <v>0</v>
      </c>
      <c r="N393">
        <f>SUM(I393:M393)</f>
        <v>279294.15178</v>
      </c>
      <c r="O393">
        <f>H393*N393</f>
        <v>158887510.3590483</v>
      </c>
      <c r="AF393">
        <f>R393+V393*W393+Z393*AA393</f>
        <v>0</v>
      </c>
      <c r="AG393">
        <f>S393</f>
        <v>0</v>
      </c>
      <c r="AH393">
        <f>T393+V393*X393</f>
        <v>0</v>
      </c>
    </row>
    <row r="394">
      <c r="A394">
        <v>2</v>
      </c>
      <c r="B394" t="str">
        <v>Pasangan dinding bata merah tebal 30 cm; termasuk kolom praktis, balok praktis, dan balok latei</v>
      </c>
      <c r="C394" t="str">
        <v>m2</v>
      </c>
      <c r="D394">
        <f>H394</f>
        <v>23.985</v>
      </c>
      <c r="E394">
        <f>N394*'REKAP RAB'!$O$6</f>
        <v>705607.3721259999</v>
      </c>
      <c r="F394">
        <f>D394*E394</f>
        <v>16923992.820442107</v>
      </c>
      <c r="H394">
        <f>'Pas. Dinding'!E146</f>
        <v>23.985</v>
      </c>
      <c r="I394">
        <f>Analisa!F$412</f>
        <v>393282.21734999993</v>
      </c>
      <c r="J394">
        <f>Analisa!G$412</f>
        <v>215000</v>
      </c>
      <c r="K394">
        <f>Analisa!H$412</f>
        <v>0</v>
      </c>
      <c r="N394">
        <f>SUM(I394:M394)</f>
        <v>608282.2173499999</v>
      </c>
      <c r="O394">
        <f>H394*N394</f>
        <v>14589648.983139748</v>
      </c>
    </row>
    <row r="395">
      <c r="A395">
        <v>3</v>
      </c>
      <c r="B395" t="str">
        <v>Pasangan dinding bata merah tebal 35 cm; termasuk kolom praktis, balok praktis, dan balok latei</v>
      </c>
      <c r="C395" t="str">
        <v>m2</v>
      </c>
      <c r="D395">
        <f>H395</f>
        <v>64.3575</v>
      </c>
      <c r="E395">
        <f>N395*'REKAP RAB'!$O$6</f>
        <v>785128.143772</v>
      </c>
      <c r="F395">
        <f>D395*E395</f>
        <v>50528884.51280649</v>
      </c>
      <c r="H395">
        <f>'Pas. Dinding'!F146</f>
        <v>64.3575</v>
      </c>
      <c r="I395">
        <f>Analisa!F$421</f>
        <v>461834.6067</v>
      </c>
      <c r="J395">
        <f>Analisa!G$421</f>
        <v>215000</v>
      </c>
      <c r="K395">
        <f>Analisa!H$421</f>
        <v>0</v>
      </c>
      <c r="N395">
        <f>SUM(I395:M395)</f>
        <v>676834.6067</v>
      </c>
      <c r="O395">
        <f>H395*N395</f>
        <v>43559383.200695254</v>
      </c>
    </row>
    <row r="396">
      <c r="A396">
        <v>4</v>
      </c>
      <c r="B396" t="str">
        <v>Pasangan dinding bata merah tebal 55 cm; termasuk kolom praktis, balok praktis, dan balok latei</v>
      </c>
      <c r="C396" t="str">
        <v>m2</v>
      </c>
      <c r="D396">
        <f>H396</f>
        <v>7.4925000000000015</v>
      </c>
      <c r="E396">
        <f>N396*'REKAP RAB'!$O$6</f>
        <v>691083.9693985998</v>
      </c>
      <c r="F396">
        <f>D396*E396</f>
        <v>5177946.6407190105</v>
      </c>
      <c r="H396">
        <f>'Pas. Dinding'!H146</f>
        <v>7.4925000000000015</v>
      </c>
      <c r="I396">
        <f>Analisa!F$439</f>
        <v>408762.04258499993</v>
      </c>
      <c r="J396">
        <f>Analisa!G$439</f>
        <v>187000</v>
      </c>
      <c r="K396">
        <f>Analisa!H$439</f>
        <v>0</v>
      </c>
      <c r="N396">
        <f>SUM(I396:M396)</f>
        <v>595762.0425849999</v>
      </c>
      <c r="O396">
        <f>H396*N396</f>
        <v>4463747.104068113</v>
      </c>
    </row>
    <row r="397">
      <c r="A397">
        <v>5</v>
      </c>
      <c r="B397" t="str">
        <v>Plesteran dinding bata; termasuk benangan sudut</v>
      </c>
      <c r="C397" t="str">
        <v>m2</v>
      </c>
      <c r="D397">
        <f>H397</f>
        <v>1329.449</v>
      </c>
      <c r="E397">
        <f>N397*'REKAP RAB'!$O$6</f>
        <v>126016.59999999999</v>
      </c>
      <c r="F397">
        <f>D397*E397</f>
        <v>167532642.8534</v>
      </c>
      <c r="H397">
        <f>'Pas. Dinding'!I146</f>
        <v>1329.449</v>
      </c>
      <c r="I397">
        <f>Analisa!$F$485</f>
        <v>24635</v>
      </c>
      <c r="J397">
        <f>Analisa!$G$485</f>
        <v>84000</v>
      </c>
      <c r="N397">
        <f>SUM(I397:M397)</f>
        <v>108635</v>
      </c>
      <c r="O397">
        <f>H397*N397</f>
        <v>144424692.115</v>
      </c>
      <c r="AF397">
        <f>R397+V397*W397+Z397*AA397</f>
        <v>0</v>
      </c>
      <c r="AG397">
        <f>S397</f>
        <v>0</v>
      </c>
      <c r="AH397">
        <f>T397+V397*X397</f>
        <v>0</v>
      </c>
    </row>
    <row r="398">
      <c r="A398">
        <v>6</v>
      </c>
      <c r="B398" t="str">
        <v>Plesteran kolom dan dinding beton</v>
      </c>
      <c r="C398" t="str">
        <v>m2</v>
      </c>
      <c r="D398">
        <f>H398</f>
        <v>217.755</v>
      </c>
      <c r="E398">
        <f>N398*'REKAP RAB'!$O$6</f>
        <v>126016.59999999999</v>
      </c>
      <c r="F398">
        <f>D398*E398</f>
        <v>27440744.733</v>
      </c>
      <c r="G398">
        <f>'Hasil-Kolom'!G337</f>
        <v>66.24</v>
      </c>
      <c r="H398">
        <f>'Hasil-Kolom'!G273/2+'Hasil-Kolom'!G337</f>
        <v>217.755</v>
      </c>
      <c r="I398">
        <f>Analisa!$F$485</f>
        <v>24635</v>
      </c>
      <c r="J398">
        <f>Analisa!$G$485</f>
        <v>84000</v>
      </c>
      <c r="N398">
        <f>SUM(I398:M398)</f>
        <v>108635</v>
      </c>
      <c r="O398">
        <f>H398*N398</f>
        <v>23655814.425</v>
      </c>
      <c r="AF398">
        <f>R398+V398*W398+Z398*AA398</f>
        <v>0</v>
      </c>
      <c r="AG398">
        <f>S398</f>
        <v>0</v>
      </c>
      <c r="AH398">
        <f>T398+V398*X398</f>
        <v>0</v>
      </c>
    </row>
    <row r="399">
      <c r="A399">
        <v>7</v>
      </c>
      <c r="B399" t="str">
        <v>Acian konvensional</v>
      </c>
      <c r="C399" t="str">
        <v>m2</v>
      </c>
      <c r="D399">
        <f>H399</f>
        <v>1547.2040000000002</v>
      </c>
      <c r="E399">
        <f>N399*'REKAP RAB'!$O$6</f>
        <v>53765.99999999999</v>
      </c>
      <c r="F399">
        <f>D399*E399</f>
        <v>83186970.264</v>
      </c>
      <c r="H399">
        <f>SUM(H397:H398)</f>
        <v>1547.2040000000002</v>
      </c>
      <c r="I399">
        <f>Analisa!$F$499</f>
        <v>16350</v>
      </c>
      <c r="J399">
        <f>Analisa!$G$499</f>
        <v>30000</v>
      </c>
      <c r="N399">
        <f>SUM(I399:M399)</f>
        <v>46350</v>
      </c>
      <c r="O399">
        <f>H399*N399</f>
        <v>71712905.4</v>
      </c>
      <c r="AF399">
        <f>R399+V399*W399+Z399*AA399</f>
        <v>0</v>
      </c>
      <c r="AG399">
        <f>S399</f>
        <v>0</v>
      </c>
      <c r="AH399">
        <f>T399+V399*X399</f>
        <v>0</v>
      </c>
    </row>
    <row r="401">
      <c r="A401" t="str">
        <v>C</v>
      </c>
      <c r="B401" t="str">
        <v>Lantai 2</v>
      </c>
    </row>
    <row r="402">
      <c r="A402">
        <v>1</v>
      </c>
      <c r="B402" t="str">
        <v>Pasangan dinding bata merah tebal 20 cm; termasuk kolom praktis, balok praktis, dan balok latei</v>
      </c>
      <c r="C402" t="str">
        <v>m2</v>
      </c>
      <c r="D402">
        <f>H402</f>
        <v>752.3783333333336</v>
      </c>
      <c r="E402">
        <f>N402*'REKAP RAB'!$O$6</f>
        <v>323981.2160648</v>
      </c>
      <c r="F402">
        <f>D402*E402</f>
        <v>243756447.37414083</v>
      </c>
      <c r="H402">
        <f>'Pas. Dinding'!C147</f>
        <v>752.3783333333336</v>
      </c>
      <c r="I402">
        <f>Analisa!$F$385</f>
        <v>167294.15178000001</v>
      </c>
      <c r="J402">
        <f>Analisa!G$385</f>
        <v>112000</v>
      </c>
      <c r="K402">
        <f>Analisa!H$385</f>
        <v>0</v>
      </c>
      <c r="N402">
        <f>SUM(I402:M402)</f>
        <v>279294.15178</v>
      </c>
      <c r="O402">
        <f>H402*N402</f>
        <v>210134868.42598352</v>
      </c>
      <c r="AF402">
        <f>R402+V402*W402+Z402*AA402</f>
        <v>0</v>
      </c>
      <c r="AG402">
        <f>S402</f>
        <v>0</v>
      </c>
      <c r="AH402">
        <f>T402+V402*X402</f>
        <v>0</v>
      </c>
    </row>
    <row r="403">
      <c r="A403">
        <v>2</v>
      </c>
      <c r="B403" t="str">
        <v>Pasangan dinding bata merah tebal 30 cm; termasuk kolom praktis, balok praktis, dan balok latei</v>
      </c>
      <c r="C403" t="str">
        <v>m2</v>
      </c>
      <c r="D403">
        <f>H403</f>
        <v>23.4235</v>
      </c>
      <c r="E403">
        <f>N403*'REKAP RAB'!$O$6</f>
        <v>705607.3721259999</v>
      </c>
      <c r="F403">
        <f>D403*E403</f>
        <v>16527794.28099336</v>
      </c>
      <c r="H403">
        <f>'Pas. Dinding'!E147</f>
        <v>23.4235</v>
      </c>
      <c r="I403">
        <f>Analisa!F$412</f>
        <v>393282.21734999993</v>
      </c>
      <c r="J403">
        <f>Analisa!G$412</f>
        <v>215000</v>
      </c>
      <c r="K403">
        <f>Analisa!H$412</f>
        <v>0</v>
      </c>
      <c r="N403">
        <f>SUM(I403:M403)</f>
        <v>608282.2173499999</v>
      </c>
      <c r="O403">
        <f>H403*N403</f>
        <v>14248098.518097725</v>
      </c>
    </row>
    <row r="404">
      <c r="A404">
        <v>3</v>
      </c>
      <c r="B404" t="str">
        <v>Pasangan dinding bata merah tebal 35 cm; termasuk kolom praktis, balok praktis, dan balok latei</v>
      </c>
      <c r="C404" t="str">
        <v>m2</v>
      </c>
      <c r="D404">
        <f>H404</f>
        <v>8.595</v>
      </c>
      <c r="E404">
        <f>N404*'REKAP RAB'!$O$6</f>
        <v>785128.143772</v>
      </c>
      <c r="F404">
        <f>D404*E404</f>
        <v>6748176.39572034</v>
      </c>
      <c r="H404">
        <f>'Pas. Dinding'!F147</f>
        <v>8.595</v>
      </c>
      <c r="I404">
        <f>Analisa!F$421</f>
        <v>461834.6067</v>
      </c>
      <c r="J404">
        <f>Analisa!G$421</f>
        <v>215000</v>
      </c>
      <c r="K404">
        <f>Analisa!H$421</f>
        <v>0</v>
      </c>
      <c r="N404">
        <f>SUM(I404:M404)</f>
        <v>676834.6067</v>
      </c>
      <c r="O404">
        <f>H404*N404</f>
        <v>5817393.4445865005</v>
      </c>
    </row>
    <row r="405">
      <c r="A405">
        <v>4</v>
      </c>
      <c r="B405" t="str">
        <v>Plesteran dinding bata; termasuk benangan sudut dan plesteran opening kusen</v>
      </c>
      <c r="C405" t="str">
        <v>m2</v>
      </c>
      <c r="D405">
        <f>H405</f>
        <v>1568.7936666666671</v>
      </c>
      <c r="E405">
        <f>N405*'REKAP RAB'!$O$6</f>
        <v>126016.59999999999</v>
      </c>
      <c r="F405">
        <f>D405*E405</f>
        <v>197694043.97486672</v>
      </c>
      <c r="H405">
        <f>'Pas. Dinding'!I147</f>
        <v>1568.7936666666671</v>
      </c>
      <c r="I405">
        <f>Analisa!$F$485</f>
        <v>24635</v>
      </c>
      <c r="J405">
        <f>Analisa!$G$485</f>
        <v>84000</v>
      </c>
      <c r="N405">
        <f>SUM(I405:M405)</f>
        <v>108635</v>
      </c>
      <c r="O405">
        <f>H405*N405</f>
        <v>170425899.97833338</v>
      </c>
      <c r="AF405">
        <f>R405+V405*W405+Z405*AA405</f>
        <v>0</v>
      </c>
      <c r="AG405">
        <f>S405</f>
        <v>0</v>
      </c>
      <c r="AH405">
        <f>T405+V405*X405</f>
        <v>0</v>
      </c>
    </row>
    <row r="406">
      <c r="A406">
        <v>5</v>
      </c>
      <c r="B406" t="str">
        <v>Plesteran kolom dan dinding beton</v>
      </c>
      <c r="C406" t="str">
        <v>m2</v>
      </c>
      <c r="D406">
        <f>H406</f>
        <v>186.39</v>
      </c>
      <c r="E406">
        <f>N406*'REKAP RAB'!$O$6</f>
        <v>126016.59999999999</v>
      </c>
      <c r="F406">
        <f>D406*E406</f>
        <v>23488234.073999997</v>
      </c>
      <c r="G406">
        <f>'Hasil-Kolom'!G338</f>
        <v>66.24</v>
      </c>
      <c r="H406">
        <f>'Hasil-Kolom'!G303/2+'Hasil-Kolom'!G338</f>
        <v>186.39</v>
      </c>
      <c r="I406">
        <f>Analisa!$F$485</f>
        <v>24635</v>
      </c>
      <c r="J406">
        <f>Analisa!$G$485</f>
        <v>84000</v>
      </c>
      <c r="N406">
        <f>SUM(I406:M406)</f>
        <v>108635</v>
      </c>
      <c r="O406">
        <f>H406*N406</f>
        <v>20248477.65</v>
      </c>
      <c r="AF406">
        <f>R406+V406*W406+Z406*AA406</f>
        <v>0</v>
      </c>
      <c r="AG406">
        <f>S406</f>
        <v>0</v>
      </c>
      <c r="AH406">
        <f>T406+V406*X406</f>
        <v>0</v>
      </c>
    </row>
    <row r="407">
      <c r="A407">
        <v>6</v>
      </c>
      <c r="B407" t="str">
        <v>Acian konvensional</v>
      </c>
      <c r="C407" t="str">
        <v>m2</v>
      </c>
      <c r="D407">
        <f>H407</f>
        <v>1755.1836666666672</v>
      </c>
      <c r="E407">
        <f>N407*'REKAP RAB'!$O$6</f>
        <v>53765.99999999999</v>
      </c>
      <c r="F407">
        <f>D407*E407</f>
        <v>94369205.02200001</v>
      </c>
      <c r="H407">
        <f>SUM(H405:H406)</f>
        <v>1755.1836666666672</v>
      </c>
      <c r="I407">
        <f>Analisa!$F$499</f>
        <v>16350</v>
      </c>
      <c r="J407">
        <f>Analisa!$G$499</f>
        <v>30000</v>
      </c>
      <c r="N407">
        <f>SUM(I407:M407)</f>
        <v>46350</v>
      </c>
      <c r="O407">
        <f>H407*N407</f>
        <v>81352762.95000003</v>
      </c>
      <c r="AF407">
        <f>R407+V407*W407+Z407*AA407</f>
        <v>0</v>
      </c>
      <c r="AG407">
        <f>S407</f>
        <v>0</v>
      </c>
      <c r="AH407">
        <f>T407+V407*X407</f>
        <v>0</v>
      </c>
    </row>
    <row r="409">
      <c r="A409" t="str">
        <v>D</v>
      </c>
      <c r="B409" t="str">
        <v>Lantai Attic</v>
      </c>
    </row>
    <row r="410">
      <c r="A410">
        <v>1</v>
      </c>
      <c r="B410" t="str">
        <v>Pasangan dinding bata merah tebal 20 cm; termasuk kolom praktis, balok praktis, dan balok latei</v>
      </c>
      <c r="C410" t="str">
        <v>m2</v>
      </c>
      <c r="D410">
        <f>H410</f>
        <v>499.0019999999999</v>
      </c>
      <c r="E410">
        <f>N410*'REKAP RAB'!$O$6</f>
        <v>323981.2160648</v>
      </c>
      <c r="F410">
        <f>D410*E410</f>
        <v>161667274.7787673</v>
      </c>
      <c r="H410">
        <f>'Pas. Dinding'!C148</f>
        <v>499.0019999999999</v>
      </c>
      <c r="I410">
        <f>Analisa!$F$385</f>
        <v>167294.15178000001</v>
      </c>
      <c r="J410">
        <f>Analisa!G$385</f>
        <v>112000</v>
      </c>
      <c r="K410">
        <f>Analisa!H$385</f>
        <v>0</v>
      </c>
      <c r="N410">
        <f>SUM(I410:M410)</f>
        <v>279294.15178</v>
      </c>
      <c r="O410">
        <f>H410*N410</f>
        <v>139368340.32652354</v>
      </c>
      <c r="AF410">
        <f>R410+V410*W410+Z410*AA410</f>
        <v>0</v>
      </c>
      <c r="AG410">
        <f>S410</f>
        <v>0</v>
      </c>
      <c r="AH410">
        <f>T410+V410*X410</f>
        <v>0</v>
      </c>
    </row>
    <row r="411">
      <c r="A411">
        <v>2</v>
      </c>
      <c r="B411" t="str">
        <v>Plesteran dinding bata; termasuk benangan sudut dan plesteran opening kusen</v>
      </c>
      <c r="C411" t="str">
        <v>m2</v>
      </c>
      <c r="D411">
        <f>H411</f>
        <v>998.0039999999998</v>
      </c>
      <c r="E411">
        <f>N411*'REKAP RAB'!$O$6</f>
        <v>126016.59999999999</v>
      </c>
      <c r="F411">
        <f>D411*E411</f>
        <v>125765070.86639996</v>
      </c>
      <c r="H411">
        <f>'Pas. Dinding'!I148</f>
        <v>998.0039999999998</v>
      </c>
      <c r="I411">
        <f>Analisa!$F$485</f>
        <v>24635</v>
      </c>
      <c r="J411">
        <f>Analisa!$G$485</f>
        <v>84000</v>
      </c>
      <c r="N411">
        <f>SUM(I411:M411)</f>
        <v>108635</v>
      </c>
      <c r="O411">
        <f>H411*N411</f>
        <v>108418164.53999998</v>
      </c>
      <c r="AF411">
        <f>R411+V411*W411+Z411*AA411</f>
        <v>0</v>
      </c>
      <c r="AG411">
        <f>S411</f>
        <v>0</v>
      </c>
      <c r="AH411">
        <f>T411+V411*X411</f>
        <v>0</v>
      </c>
    </row>
    <row r="412">
      <c r="A412">
        <v>3</v>
      </c>
      <c r="B412" t="str">
        <v>Plesteran kolom dan dinding beton</v>
      </c>
      <c r="C412" t="str">
        <v>m2</v>
      </c>
      <c r="D412">
        <f>H412</f>
        <v>171.15</v>
      </c>
      <c r="E412">
        <f>N412*'REKAP RAB'!$O$6</f>
        <v>126016.59999999999</v>
      </c>
      <c r="F412">
        <f>D412*E412</f>
        <v>21567741.09</v>
      </c>
      <c r="G412">
        <f>'Hasil-Kolom'!G339+'Retaining Wall'!D36</f>
        <v>80.64</v>
      </c>
      <c r="H412">
        <f>'Hasil-Kolom'!G333/2+'Hasil-Kolom'!G339+'Retaining Wall'!D36</f>
        <v>171.15</v>
      </c>
      <c r="I412">
        <f>Analisa!$F$485</f>
        <v>24635</v>
      </c>
      <c r="J412">
        <f>Analisa!$G$485</f>
        <v>84000</v>
      </c>
      <c r="N412">
        <f>SUM(I412:M412)</f>
        <v>108635</v>
      </c>
      <c r="O412">
        <f>H412*N412</f>
        <v>18592880.25</v>
      </c>
      <c r="AF412">
        <f>R412+V412*W412+Z412*AA412</f>
        <v>0</v>
      </c>
      <c r="AG412">
        <f>S412</f>
        <v>0</v>
      </c>
      <c r="AH412">
        <f>T412+V412*X412</f>
        <v>0</v>
      </c>
    </row>
    <row r="413">
      <c r="A413">
        <v>4</v>
      </c>
      <c r="B413" t="str">
        <v>Acian konvensional</v>
      </c>
      <c r="C413" t="str">
        <v>m2</v>
      </c>
      <c r="D413">
        <f>H413</f>
        <v>1169.1539999999998</v>
      </c>
      <c r="E413">
        <f>N413*'REKAP RAB'!$O$6</f>
        <v>53765.99999999999</v>
      </c>
      <c r="F413">
        <f>D413*E413</f>
        <v>62860733.96399998</v>
      </c>
      <c r="H413">
        <f>SUM(H411:H412)</f>
        <v>1169.1539999999998</v>
      </c>
      <c r="I413">
        <f>Analisa!$F$499</f>
        <v>16350</v>
      </c>
      <c r="J413">
        <f>Analisa!$G$499</f>
        <v>30000</v>
      </c>
      <c r="N413">
        <f>SUM(I413:M413)</f>
        <v>46350</v>
      </c>
      <c r="O413">
        <f>H413*N413</f>
        <v>54190287.89999999</v>
      </c>
      <c r="AF413">
        <f>R413+V413*W413+Z413*AA413</f>
        <v>0</v>
      </c>
      <c r="AG413">
        <f>S413</f>
        <v>0</v>
      </c>
      <c r="AH413">
        <f>T413+V413*X413</f>
        <v>0</v>
      </c>
    </row>
    <row r="415">
      <c r="A415" t="str">
        <v>Subtotal Pekerjaan Pasangan Dinding Bata Merah</v>
      </c>
      <c r="F415">
        <f>SUM(F383:F414)</f>
        <v>1782538733.9491086</v>
      </c>
      <c r="O415">
        <f>SUM(O383:O414)</f>
        <v>1536671322.3699214</v>
      </c>
    </row>
    <row r="417">
      <c r="A417" t="str">
        <v>X</v>
      </c>
      <c r="B417" t="str">
        <v>PEKERJAAN INSTALASI AIR KOTOR &amp; AIR HUJAN</v>
      </c>
    </row>
    <row r="419">
      <c r="A419">
        <v>1</v>
      </c>
      <c r="B419" t="str">
        <v>Instalasi pemipaan air hujan</v>
      </c>
      <c r="C419" t="str">
        <v>ls</v>
      </c>
      <c r="D419">
        <f>H419</f>
        <v>1</v>
      </c>
      <c r="E419">
        <f>N419*'REKAP RAB'!$O$7</f>
        <v>178200000</v>
      </c>
      <c r="F419">
        <f>D419*E419</f>
        <v>178200000</v>
      </c>
      <c r="H419">
        <v>1</v>
      </c>
      <c r="I419">
        <f>60%*70%*225000000</f>
        <v>94500000</v>
      </c>
      <c r="J419">
        <f>60%*30%*225000000</f>
        <v>40500000</v>
      </c>
      <c r="N419">
        <f>SUM(I419:M419)</f>
        <v>135000000</v>
      </c>
      <c r="O419">
        <f>H419*N419</f>
        <v>135000000</v>
      </c>
      <c r="AF419">
        <f>R419+V419*W419+Z419*AA419+AC419*AD419</f>
        <v>0</v>
      </c>
      <c r="AG419">
        <f>S419</f>
        <v>0</v>
      </c>
      <c r="AH419">
        <f>T419+V419*X419</f>
        <v>0</v>
      </c>
    </row>
    <row r="420">
      <c r="A420">
        <v>2</v>
      </c>
      <c r="B420" t="str">
        <v>Instalasi pemipaan air kotor</v>
      </c>
      <c r="C420" t="str">
        <v>ls</v>
      </c>
      <c r="D420">
        <f>H420</f>
        <v>1</v>
      </c>
      <c r="E420">
        <f>N420*'REKAP RAB'!$O$7</f>
        <v>74250000</v>
      </c>
      <c r="F420">
        <f>D420*E420</f>
        <v>74250000</v>
      </c>
      <c r="H420">
        <v>1</v>
      </c>
      <c r="I420">
        <f>25%*70%*225000000</f>
        <v>39375000</v>
      </c>
      <c r="J420">
        <f>25%*30%*225000000</f>
        <v>16875000</v>
      </c>
      <c r="N420">
        <f>SUM(I420:M420)</f>
        <v>56250000</v>
      </c>
      <c r="O420">
        <f>H420*N420</f>
        <v>56250000</v>
      </c>
      <c r="AF420">
        <f>R420+V420*W420+Z420*AA420+AC420*AD420</f>
        <v>0</v>
      </c>
      <c r="AG420">
        <f>S420</f>
        <v>0</v>
      </c>
      <c r="AH420">
        <f>T420+V420*X420</f>
        <v>0</v>
      </c>
    </row>
    <row r="421">
      <c r="A421">
        <v>3</v>
      </c>
      <c r="B421" t="str">
        <v>Instalasi pemipaan air WC dan pipa vent</v>
      </c>
      <c r="C421" t="str">
        <v>ls</v>
      </c>
      <c r="D421">
        <f>H421</f>
        <v>1</v>
      </c>
      <c r="E421">
        <f>N421*'REKAP RAB'!$O$7</f>
        <v>44550000</v>
      </c>
      <c r="F421">
        <f>D421*E421</f>
        <v>44550000</v>
      </c>
      <c r="H421">
        <v>1</v>
      </c>
      <c r="I421">
        <f>15%*70%*225000000</f>
        <v>23625000</v>
      </c>
      <c r="J421">
        <f>15%*30%*225000000</f>
        <v>10125000</v>
      </c>
      <c r="N421">
        <f>SUM(I421:M421)</f>
        <v>33750000</v>
      </c>
      <c r="O421">
        <f>H421*N421</f>
        <v>33750000</v>
      </c>
      <c r="AF421">
        <f>R421+V421*W421+Z421*AA421+AC421*AD421</f>
        <v>0</v>
      </c>
      <c r="AG421">
        <f>S421</f>
        <v>0</v>
      </c>
      <c r="AH421">
        <f>T421+V421*X421</f>
        <v>0</v>
      </c>
    </row>
    <row r="422">
      <c r="A422">
        <v>4</v>
      </c>
      <c r="B422" t="str">
        <v>Bantalan pipa, bak kontrol, bioseptictank, balancing tank, dan tandon air bawah</v>
      </c>
      <c r="C422" t="str">
        <v>ls</v>
      </c>
      <c r="D422">
        <f>H422</f>
        <v>1</v>
      </c>
      <c r="E422">
        <f>N422*'REKAP RAB'!$O$7</f>
        <v>99000000</v>
      </c>
      <c r="F422">
        <f>D422*E422</f>
        <v>99000000</v>
      </c>
      <c r="H422">
        <v>1</v>
      </c>
      <c r="I422">
        <v>50000000</v>
      </c>
      <c r="J422">
        <v>25000000</v>
      </c>
      <c r="N422">
        <f>SUM(I422:M422)</f>
        <v>75000000</v>
      </c>
      <c r="O422">
        <f>H422*N422</f>
        <v>75000000</v>
      </c>
    </row>
    <row r="424">
      <c r="A424" t="str">
        <v>Subtotal Pekerjaan Instalasi Air Kotor dan Air Hujan</v>
      </c>
      <c r="F424">
        <f>SUM(F416:F423)</f>
        <v>396000000</v>
      </c>
      <c r="O424">
        <f>SUM(O416:O423)</f>
        <v>300000000</v>
      </c>
    </row>
    <row r="425">
      <c r="R425">
        <f>SUMPRODUCT(H8:H36,T8:T36)</f>
        <v>0</v>
      </c>
      <c r="X425">
        <f>SUMPRODUCT(H8:H36,V8:V36,X8:X36)</f>
        <v>0</v>
      </c>
    </row>
    <row r="426">
      <c r="F426">
        <f>SUM(F8:F425)/2</f>
        <v>8370516706.80041</v>
      </c>
      <c r="H426" t="str">
        <v>TOTAL</v>
      </c>
      <c r="I426">
        <f>SUMPRODUCT($H8:$H425,I8:I425)</f>
        <v>3884234207.813425</v>
      </c>
      <c r="J426">
        <f>SUMPRODUCT($H8:$H425,J8:J425)</f>
        <v>2344477235.242439</v>
      </c>
      <c r="K426">
        <f>SUMPRODUCT($H8:$H425,K8:K425)</f>
        <v>257476960.95820212</v>
      </c>
      <c r="L426">
        <f>SUMPRODUCT($H8:$H425,L8:L425)</f>
        <v>674838522.2579099</v>
      </c>
      <c r="M426">
        <f>SUMPRODUCT($H8:$H425,M8:M425)</f>
        <v>75900000</v>
      </c>
      <c r="O426">
        <f>SUM(O8:O425)/2</f>
        <v>7236926926.27198</v>
      </c>
      <c r="P426">
        <f>SUM(I426:M426)-O426</f>
        <v>0</v>
      </c>
      <c r="R426" t="str">
        <v>jatah concrete pump</v>
      </c>
      <c r="X426" t="str">
        <v>jatah scaffolding</v>
      </c>
    </row>
    <row r="427">
      <c r="H427" t="str">
        <v>TOTAL / m2</v>
      </c>
      <c r="I427">
        <f>I426/'REKAP RAB'!$K$17</f>
        <v>2781715.2693735613</v>
      </c>
      <c r="J427">
        <f>J426/'REKAP RAB'!$K$17</f>
        <v>1679010.0120259959</v>
      </c>
      <c r="K427">
        <f>K426/'REKAP RAB'!$K$17</f>
        <v>184393.51375068637</v>
      </c>
      <c r="L427">
        <f>L426/'REKAP RAB'!$K$17</f>
        <v>483289.2460372687</v>
      </c>
      <c r="M427">
        <f>M426/'REKAP RAB'!$K$17</f>
        <v>54356.19420701905</v>
      </c>
      <c r="O427">
        <f>O426/'REKAP RAB'!$K$17</f>
        <v>5182764.235394535</v>
      </c>
    </row>
    <row r="428">
      <c r="B428" t="str">
        <v>security + powder room</v>
      </c>
      <c r="D428">
        <v>0.5</v>
      </c>
      <c r="E428" t="str">
        <v>m3</v>
      </c>
    </row>
    <row r="429">
      <c r="B429" t="str">
        <v>maid &amp; driver bathroom</v>
      </c>
      <c r="D429">
        <v>1</v>
      </c>
      <c r="E429" t="str">
        <v>m3</v>
      </c>
    </row>
  </sheetData>
  <autoFilter ref="A8:AL36"/>
  <mergeCells count="10">
    <mergeCell ref="A319:E319"/>
    <mergeCell ref="A353:E353"/>
    <mergeCell ref="A382:E382"/>
    <mergeCell ref="A415:E415"/>
    <mergeCell ref="A424:E424"/>
    <mergeCell ref="A22:E22"/>
    <mergeCell ref="A45:E45"/>
    <mergeCell ref="A125:E125"/>
    <mergeCell ref="A187:E187"/>
    <mergeCell ref="A253:E253"/>
  </mergeCells>
  <pageMargins left="0.7480314960629921" right="0.3937007874015748" top="0.7874015748031497" bottom="0.7874015748031497" header="0" footer="0"/>
  <ignoredErrors>
    <ignoredError numberStoredAsText="1" sqref="A1:AO429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AO39"/>
  <sheetViews>
    <sheetView workbookViewId="0" rightToLeft="0"/>
  </sheetViews>
  <sheetData>
    <row r="1">
      <c r="A1" t="str">
        <v>Estimasi Biaya Pembangunan Fisik Rumah Tinggal</v>
      </c>
    </row>
    <row r="2">
      <c r="A2" t="str">
        <v>Pekerjaan</v>
      </c>
      <c r="B2" t="str">
        <v>: Pekerjaan Benangan</v>
      </c>
    </row>
    <row r="3">
      <c r="A3" t="str">
        <v>Lokasi</v>
      </c>
      <c r="B3" t="str">
        <f>'REKAP RAB'!B2</f>
        <v>: Pakuwon Indah PD3 no. 23</v>
      </c>
    </row>
    <row r="4">
      <c r="A4" t="str">
        <v>Pemilik</v>
      </c>
      <c r="B4" t="str">
        <f>'REKAP RAB'!B3</f>
        <v>: Mrs. Melly</v>
      </c>
    </row>
    <row r="5">
      <c r="A5" t="str">
        <v xml:space="preserve">Tanggal </v>
      </c>
      <c r="B5" t="str">
        <f>'REKAP RAB'!B4</f>
        <v>: Agustus 2025</v>
      </c>
    </row>
    <row r="6">
      <c r="R6" t="str">
        <v>Beton</v>
      </c>
      <c r="V6" t="str">
        <v>Bekisting</v>
      </c>
      <c r="Z6" t="str">
        <v>Besi</v>
      </c>
      <c r="AC6" t="str">
        <v>Wire Mesh</v>
      </c>
    </row>
    <row r="7">
      <c r="A7" t="str">
        <v>NO</v>
      </c>
      <c r="B7" t="str">
        <v>URAIAN PEKERJAAN</v>
      </c>
      <c r="C7" t="str">
        <v>SAT</v>
      </c>
      <c r="D7" t="str">
        <v>VOLUME</v>
      </c>
      <c r="E7" t="str">
        <v>HARGA SATUAN</v>
      </c>
      <c r="F7" t="str">
        <v>TOTAL HARGA</v>
      </c>
      <c r="H7" t="str">
        <v>VOLUME</v>
      </c>
      <c r="I7" t="str">
        <v>Material</v>
      </c>
      <c r="J7" t="str">
        <v>Upah</v>
      </c>
      <c r="K7" t="str">
        <v>Peralatan</v>
      </c>
      <c r="L7" t="str">
        <v>Subkon</v>
      </c>
      <c r="M7" t="str">
        <v>Prelim</v>
      </c>
      <c r="N7" t="str">
        <v>TOTAL HARGA SATUAN</v>
      </c>
      <c r="O7" t="str">
        <v>TOTAL HARGA</v>
      </c>
      <c r="R7" t="str">
        <v>Material</v>
      </c>
      <c r="S7" t="str">
        <v>Upah</v>
      </c>
      <c r="T7" t="str">
        <v>Peralatan</v>
      </c>
      <c r="V7" t="str">
        <v>Rasio</v>
      </c>
      <c r="W7" t="str">
        <v>Material</v>
      </c>
      <c r="X7" t="str">
        <v>Peralatan</v>
      </c>
      <c r="Z7" t="str">
        <v>Rasio</v>
      </c>
      <c r="AA7" t="str">
        <v>Material</v>
      </c>
      <c r="AC7" t="str">
        <v>Rasio</v>
      </c>
      <c r="AD7" t="str">
        <v>Material</v>
      </c>
      <c r="AF7" t="str">
        <v>Harga Jadi MATERIAL / m3</v>
      </c>
      <c r="AG7" t="str">
        <v>Harga Jadi UPAH / m3</v>
      </c>
      <c r="AH7" t="str">
        <v>Harga Jadi PERALATAN / m3</v>
      </c>
      <c r="AJ7" t="str">
        <v>Total Bekisting</v>
      </c>
      <c r="AL7" t="str">
        <v>Total Besi</v>
      </c>
    </row>
    <row r="9">
      <c r="B9" t="str">
        <v>PEKERJAAN BENANGAN</v>
      </c>
    </row>
    <row r="11">
      <c r="A11" t="str">
        <v>A</v>
      </c>
      <c r="B11" t="str">
        <v>Benangan Profil</v>
      </c>
    </row>
    <row r="12">
      <c r="A12">
        <v>1</v>
      </c>
      <c r="B12" t="str">
        <v>Benangan profil architrave lengkung ukuran besar</v>
      </c>
      <c r="C12" t="str">
        <v>m'</v>
      </c>
      <c r="D12">
        <f>H12</f>
        <v>50.34</v>
      </c>
      <c r="E12">
        <f>N12*'REKAP RAB'!$R$3</f>
        <v>1536000</v>
      </c>
      <c r="F12">
        <f>D12*E12</f>
        <v>77322240</v>
      </c>
      <c r="H12">
        <f>'Ben. Profil'!C29</f>
        <v>50.34</v>
      </c>
      <c r="I12">
        <v>600000</v>
      </c>
      <c r="J12">
        <v>600000</v>
      </c>
      <c r="N12">
        <f>SUM(I12:M12)</f>
        <v>1200000</v>
      </c>
      <c r="O12">
        <f>H12*N12</f>
        <v>60408000.00000001</v>
      </c>
      <c r="AF12">
        <f>R12+V12*W12+Z12*AA12</f>
        <v>0</v>
      </c>
      <c r="AG12">
        <f>S12</f>
        <v>0</v>
      </c>
      <c r="AH12">
        <f>T12+V12*X12</f>
        <v>0</v>
      </c>
    </row>
    <row r="13">
      <c r="A13">
        <f>A12+1</f>
        <v>2</v>
      </c>
      <c r="B13" t="str">
        <v>Benangan profil architrave lengkung ukuran kecil</v>
      </c>
      <c r="C13" t="str">
        <v>m'</v>
      </c>
      <c r="D13">
        <f>H13</f>
        <v>15.31</v>
      </c>
      <c r="E13">
        <f>N13*'REKAP RAB'!$R$3</f>
        <v>1152000</v>
      </c>
      <c r="F13">
        <f>D13*E13</f>
        <v>17637120</v>
      </c>
      <c r="H13">
        <f>'Ben. Profil'!C30</f>
        <v>15.31</v>
      </c>
      <c r="I13">
        <v>400000</v>
      </c>
      <c r="J13">
        <v>500000</v>
      </c>
      <c r="N13">
        <f>SUM(I13:M13)</f>
        <v>900000</v>
      </c>
      <c r="O13">
        <f>H13*N13</f>
        <v>13779000</v>
      </c>
      <c r="AF13">
        <f>R13+V13*W13+Z13*AA13</f>
        <v>0</v>
      </c>
      <c r="AG13">
        <f>S13</f>
        <v>0</v>
      </c>
      <c r="AH13">
        <f>T13+V13*X13</f>
        <v>0</v>
      </c>
    </row>
    <row r="14">
      <c r="A14">
        <f>A13+1</f>
        <v>3</v>
      </c>
      <c r="B14" t="str">
        <v>Beton + benangan profil architrave lengkung jendela Attic</v>
      </c>
      <c r="C14" t="str">
        <v>m'</v>
      </c>
      <c r="D14">
        <f>H14</f>
        <v>19.17</v>
      </c>
      <c r="E14">
        <f>N14*'REKAP RAB'!$R$3</f>
        <v>3200000</v>
      </c>
      <c r="F14">
        <f>D14*E14</f>
        <v>61344000.00000001</v>
      </c>
      <c r="H14">
        <f>'Ben. Profil'!C31</f>
        <v>19.17</v>
      </c>
      <c r="I14">
        <v>1000000</v>
      </c>
      <c r="J14">
        <v>1500000</v>
      </c>
      <c r="N14">
        <f>SUM(I14:M14)</f>
        <v>2500000</v>
      </c>
      <c r="O14">
        <f>H14*N14</f>
        <v>47925000.00000001</v>
      </c>
      <c r="AF14">
        <f>R14+V14*W14+Z14*AA14</f>
        <v>0</v>
      </c>
      <c r="AG14">
        <f>S14</f>
        <v>0</v>
      </c>
      <c r="AH14">
        <f>T14+V14*X14</f>
        <v>0</v>
      </c>
    </row>
    <row r="15">
      <c r="A15">
        <f>A14+1</f>
        <v>4</v>
      </c>
      <c r="B15" t="str">
        <v>Benangan profil balkon</v>
      </c>
      <c r="C15" t="str">
        <v>m'</v>
      </c>
      <c r="D15">
        <f>H15</f>
        <v>18.96</v>
      </c>
      <c r="E15">
        <f>N15*'REKAP RAB'!$R$3</f>
        <v>1280000</v>
      </c>
      <c r="F15">
        <f>D15*E15</f>
        <v>24268800</v>
      </c>
      <c r="H15">
        <f>'Ben. Profil'!C32</f>
        <v>18.96</v>
      </c>
      <c r="I15">
        <v>500000</v>
      </c>
      <c r="J15">
        <v>500000</v>
      </c>
      <c r="N15">
        <f>SUM(I15:M15)</f>
        <v>1000000</v>
      </c>
      <c r="O15">
        <f>H15*N15</f>
        <v>18960000</v>
      </c>
    </row>
    <row r="16">
      <c r="A16">
        <f>A15+1</f>
        <v>5</v>
      </c>
      <c r="B16" t="str">
        <v>Korbel di bawah benangan profil balkon</v>
      </c>
      <c r="C16" t="str">
        <v>bh</v>
      </c>
      <c r="D16">
        <f>H16</f>
        <v>4</v>
      </c>
      <c r="E16">
        <f>N16*'REKAP RAB'!$R$3</f>
        <v>2880000</v>
      </c>
      <c r="F16">
        <f>D16*E16</f>
        <v>11520000</v>
      </c>
      <c r="H16">
        <f>'Ben. Profil'!C33</f>
        <v>4</v>
      </c>
      <c r="I16">
        <v>750000</v>
      </c>
      <c r="J16">
        <v>1500000</v>
      </c>
      <c r="N16">
        <f>SUM(I16:M16)</f>
        <v>2250000</v>
      </c>
      <c r="O16">
        <f>H16*N16</f>
        <v>9000000</v>
      </c>
      <c r="AF16">
        <f>R16+V16*W16+Z16*AA16</f>
        <v>0</v>
      </c>
      <c r="AG16">
        <f>S16</f>
        <v>0</v>
      </c>
      <c r="AH16">
        <f>T16+V16*X16</f>
        <v>0</v>
      </c>
    </row>
    <row r="17">
      <c r="A17">
        <f>A16+1</f>
        <v>6</v>
      </c>
      <c r="B17" t="str">
        <v>Benangan profil bentuk sabuk</v>
      </c>
      <c r="C17" t="str">
        <v>m'</v>
      </c>
      <c r="D17">
        <f>H17</f>
        <v>2.57</v>
      </c>
      <c r="E17">
        <f>N17*'REKAP RAB'!$R$3</f>
        <v>1024000</v>
      </c>
      <c r="F17">
        <f>D17*E17</f>
        <v>2631680</v>
      </c>
      <c r="H17">
        <f>'Ben. Profil'!C34</f>
        <v>2.57</v>
      </c>
      <c r="I17">
        <v>350000</v>
      </c>
      <c r="J17">
        <v>450000</v>
      </c>
      <c r="N17">
        <f>SUM(I17:M17)</f>
        <v>800000</v>
      </c>
      <c r="O17">
        <f>H17*N17</f>
        <v>2055999.9999999998</v>
      </c>
    </row>
    <row r="18">
      <c r="A18">
        <f>A17+1</f>
        <v>7</v>
      </c>
      <c r="B18" t="str">
        <v>Benangan profil bentuk sabuk (kecil)</v>
      </c>
      <c r="C18" t="str">
        <v>m'</v>
      </c>
      <c r="D18">
        <f>H18</f>
        <v>6.899999999999999</v>
      </c>
      <c r="E18">
        <f>N18*'REKAP RAB'!$R$3</f>
        <v>640000</v>
      </c>
      <c r="F18">
        <f>D18*E18</f>
        <v>4415999.999999999</v>
      </c>
      <c r="H18">
        <f>'Ben. Profil'!C35</f>
        <v>6.899999999999999</v>
      </c>
      <c r="I18">
        <v>200000</v>
      </c>
      <c r="J18">
        <v>300000</v>
      </c>
      <c r="N18">
        <f>SUM(I18:M18)</f>
        <v>500000</v>
      </c>
      <c r="O18">
        <f>H18*N18</f>
        <v>3449999.999999999</v>
      </c>
    </row>
    <row r="19">
      <c r="A19">
        <f>A18+1</f>
        <v>8</v>
      </c>
      <c r="B19" t="str">
        <v>Benangan profil talang</v>
      </c>
      <c r="C19" t="str">
        <v>m'</v>
      </c>
      <c r="D19">
        <f>H19</f>
        <v>29.13</v>
      </c>
      <c r="E19">
        <f>N19*'REKAP RAB'!$R$3</f>
        <v>2240000</v>
      </c>
      <c r="F19">
        <f>D19*E19</f>
        <v>65251200</v>
      </c>
      <c r="H19">
        <f>'Ben. Profil'!C36</f>
        <v>29.13</v>
      </c>
      <c r="I19">
        <v>750000</v>
      </c>
      <c r="J19">
        <v>1000000</v>
      </c>
      <c r="N19">
        <f>SUM(I19:M19)</f>
        <v>1750000</v>
      </c>
      <c r="O19">
        <f>H19*N19</f>
        <v>50977500</v>
      </c>
      <c r="AF19">
        <f>R19+V19*W19+Z19*AA19</f>
        <v>0</v>
      </c>
      <c r="AG19">
        <f>S19</f>
        <v>0</v>
      </c>
      <c r="AH19">
        <f>T19+V19*X19</f>
        <v>0</v>
      </c>
    </row>
    <row r="20">
      <c r="A20">
        <f>A19+1</f>
        <v>9</v>
      </c>
      <c r="B20" t="str">
        <v>Benangan profil topi atap</v>
      </c>
      <c r="C20" t="str">
        <v>m'</v>
      </c>
      <c r="D20">
        <f>H20</f>
        <v>25.729999999999997</v>
      </c>
      <c r="E20">
        <f>N20*'REKAP RAB'!$R$3</f>
        <v>896000</v>
      </c>
      <c r="F20">
        <f>D20*E20</f>
        <v>23054079.999999996</v>
      </c>
      <c r="H20">
        <f>'Ben. Profil'!C37</f>
        <v>25.729999999999997</v>
      </c>
      <c r="I20">
        <v>300000</v>
      </c>
      <c r="J20">
        <v>400000</v>
      </c>
      <c r="N20">
        <f>SUM(I20:M20)</f>
        <v>700000</v>
      </c>
      <c r="O20">
        <f>H20*N20</f>
        <v>18010999.999999996</v>
      </c>
      <c r="AF20">
        <f>R20+V20*W20+Z20*AA20</f>
        <v>0</v>
      </c>
      <c r="AG20">
        <f>S20</f>
        <v>0</v>
      </c>
      <c r="AH20">
        <f>T20+V20*X20</f>
        <v>0</v>
      </c>
    </row>
    <row r="21">
      <c r="A21">
        <f>A20+1</f>
        <v>10</v>
      </c>
      <c r="B21" t="str">
        <v>Benangan tali air fasad</v>
      </c>
      <c r="C21" t="str">
        <v>m'</v>
      </c>
      <c r="D21">
        <f>H21</f>
        <v>51.39999999999999</v>
      </c>
      <c r="E21">
        <f>N21*'REKAP RAB'!$R$3</f>
        <v>320000</v>
      </c>
      <c r="F21">
        <f>D21*E21</f>
        <v>16447999.999999998</v>
      </c>
      <c r="H21">
        <f>'Ben. Profil'!C38</f>
        <v>51.39999999999999</v>
      </c>
      <c r="I21">
        <v>75000</v>
      </c>
      <c r="J21">
        <v>175000</v>
      </c>
      <c r="N21">
        <f>SUM(I21:M21)</f>
        <v>250000</v>
      </c>
      <c r="O21">
        <f>H21*N21</f>
        <v>12849999.999999998</v>
      </c>
    </row>
    <row r="22">
      <c r="A22">
        <f>A21+1</f>
        <v>11</v>
      </c>
      <c r="B22" t="str">
        <v>Benangan profil ujung atas pagar alas</v>
      </c>
      <c r="C22" t="str">
        <v>m'</v>
      </c>
      <c r="D22">
        <f>H22</f>
        <v>99.25</v>
      </c>
      <c r="E22">
        <f>N22*'REKAP RAB'!$R$3</f>
        <v>768000</v>
      </c>
      <c r="F22">
        <f>D22*E22</f>
        <v>76224000</v>
      </c>
      <c r="H22">
        <f>3.25+5.1+4.5+13.9+4.5+11+18+19+4.5+5.9+4.5+5.1</f>
        <v>99.25</v>
      </c>
      <c r="I22">
        <v>200000</v>
      </c>
      <c r="J22">
        <v>400000</v>
      </c>
      <c r="N22">
        <f>SUM(I22:M22)</f>
        <v>600000</v>
      </c>
      <c r="O22">
        <f>H22*N22</f>
        <v>59550000</v>
      </c>
    </row>
    <row r="23">
      <c r="A23">
        <f>A22+1</f>
        <v>12</v>
      </c>
      <c r="B23" t="str">
        <v>Benangan panel area Lobby Lift</v>
      </c>
      <c r="C23" t="str">
        <v>ls</v>
      </c>
      <c r="D23">
        <f>H23</f>
        <v>1</v>
      </c>
      <c r="E23">
        <f>N23*'REKAP RAB'!$R$3</f>
        <v>25600000</v>
      </c>
      <c r="F23">
        <f>D23*E23</f>
        <v>25600000</v>
      </c>
      <c r="H23">
        <v>1</v>
      </c>
      <c r="I23">
        <v>7500000</v>
      </c>
      <c r="J23">
        <v>12500000</v>
      </c>
      <c r="N23">
        <f>SUM(I23:M23)</f>
        <v>20000000</v>
      </c>
      <c r="O23">
        <f>H23*N23</f>
        <v>20000000</v>
      </c>
    </row>
    <row r="24">
      <c r="A24">
        <f>A23+1</f>
        <v>13</v>
      </c>
      <c r="B24" t="str">
        <v>Benangan panel area Children Bathroom 2</v>
      </c>
      <c r="C24" t="str">
        <v>ls</v>
      </c>
      <c r="D24">
        <f>H24</f>
        <v>1</v>
      </c>
      <c r="E24">
        <f>N24*'REKAP RAB'!$R$3</f>
        <v>10240000</v>
      </c>
      <c r="F24">
        <f>D24*E24</f>
        <v>10240000</v>
      </c>
      <c r="H24">
        <v>1</v>
      </c>
      <c r="I24">
        <v>3000000</v>
      </c>
      <c r="J24">
        <v>5000000</v>
      </c>
      <c r="N24">
        <f>SUM(I24:M24)</f>
        <v>8000000</v>
      </c>
      <c r="O24">
        <f>H24*N24</f>
        <v>8000000</v>
      </c>
    </row>
    <row r="25">
      <c r="A25">
        <f>A24+1</f>
        <v>14</v>
      </c>
      <c r="B25" t="str">
        <v>Benangan panel area Family Room</v>
      </c>
      <c r="C25" t="str">
        <v>ls</v>
      </c>
      <c r="D25">
        <f>H25</f>
        <v>1</v>
      </c>
      <c r="E25">
        <f>N25*'REKAP RAB'!$R$3</f>
        <v>15360000</v>
      </c>
      <c r="F25">
        <f>D25*E25</f>
        <v>15360000</v>
      </c>
      <c r="H25">
        <v>1</v>
      </c>
      <c r="I25">
        <v>4000000</v>
      </c>
      <c r="J25">
        <v>8000000</v>
      </c>
      <c r="N25">
        <f>SUM(I25:M25)</f>
        <v>12000000</v>
      </c>
      <c r="O25">
        <f>H25*N25</f>
        <v>12000000</v>
      </c>
    </row>
    <row r="26">
      <c r="A26">
        <v>15</v>
      </c>
      <c r="B26" t="str">
        <v>Peralatan kerja (scaffolding, bekisting, dan lain-lain) dan kebersihan lahan</v>
      </c>
      <c r="C26" t="str">
        <v>ls</v>
      </c>
      <c r="D26">
        <f>H26</f>
        <v>1</v>
      </c>
      <c r="E26">
        <f>N26</f>
        <v>33000000</v>
      </c>
      <c r="F26">
        <f>D26*E26</f>
        <v>33000000</v>
      </c>
      <c r="H26">
        <v>1</v>
      </c>
      <c r="J26">
        <v>33000000</v>
      </c>
      <c r="N26">
        <f>SUM(I26:M26)</f>
        <v>33000000</v>
      </c>
      <c r="O26">
        <f>H26*N26</f>
        <v>33000000</v>
      </c>
    </row>
    <row r="28">
      <c r="A28" t="str">
        <v>B</v>
      </c>
      <c r="B28" t="str">
        <v>Kolom - Balok Praktis dan Benangan Opening Pintu - Jendela</v>
      </c>
    </row>
    <row r="29">
      <c r="A29">
        <v>1</v>
      </c>
      <c r="B29" t="str">
        <v>Lantai Basement</v>
      </c>
      <c r="C29" t="str">
        <v>m'</v>
      </c>
      <c r="D29">
        <f>H29</f>
        <v>96.64000000000001</v>
      </c>
      <c r="E29">
        <f>N29*'REKAP RAB'!$R$3</f>
        <v>416000</v>
      </c>
      <c r="F29">
        <f>D29*E29</f>
        <v>40202240.00000001</v>
      </c>
      <c r="H29">
        <f>'Pas. Dinding'!L145</f>
        <v>96.64000000000001</v>
      </c>
      <c r="I29">
        <v>150000</v>
      </c>
      <c r="J29">
        <v>175000</v>
      </c>
      <c r="N29">
        <f>SUM(I29:M29)</f>
        <v>325000</v>
      </c>
      <c r="O29">
        <f>H29*N29</f>
        <v>31408000.000000004</v>
      </c>
      <c r="AF29">
        <f>R29+V29*W29+Z29*AA29</f>
        <v>0</v>
      </c>
      <c r="AG29">
        <f>S29</f>
        <v>0</v>
      </c>
      <c r="AH29">
        <f>T29+V29*X29</f>
        <v>0</v>
      </c>
    </row>
    <row r="30">
      <c r="A30">
        <v>2</v>
      </c>
      <c r="B30" t="str">
        <v>Lantai 1</v>
      </c>
      <c r="C30" t="str">
        <v>m'</v>
      </c>
      <c r="D30">
        <f>H30</f>
        <v>115.148</v>
      </c>
      <c r="E30">
        <f>N30*'REKAP RAB'!$R$3</f>
        <v>416000</v>
      </c>
      <c r="F30">
        <f>D30*E30</f>
        <v>47901568</v>
      </c>
      <c r="H30">
        <f>'Pas. Dinding'!L146</f>
        <v>115.148</v>
      </c>
      <c r="I30">
        <v>150000</v>
      </c>
      <c r="J30">
        <v>175000</v>
      </c>
      <c r="N30">
        <f>SUM(I30:M30)</f>
        <v>325000</v>
      </c>
      <c r="O30">
        <f>H30*N30</f>
        <v>37423100</v>
      </c>
    </row>
    <row r="31">
      <c r="A31">
        <v>3</v>
      </c>
      <c r="B31" t="str">
        <v>Lantai 2</v>
      </c>
      <c r="C31" t="str">
        <v>m'</v>
      </c>
      <c r="D31">
        <f>H31</f>
        <v>162.74</v>
      </c>
      <c r="E31">
        <f>N31*'REKAP RAB'!$R$3</f>
        <v>416000</v>
      </c>
      <c r="F31">
        <f>D31*E31</f>
        <v>67699840</v>
      </c>
      <c r="H31">
        <f>'Pas. Dinding'!L147</f>
        <v>162.74</v>
      </c>
      <c r="I31">
        <v>150000</v>
      </c>
      <c r="J31">
        <v>175000</v>
      </c>
      <c r="N31">
        <f>SUM(I31:M31)</f>
        <v>325000</v>
      </c>
      <c r="O31">
        <f>H31*N31</f>
        <v>52890500</v>
      </c>
      <c r="AF31">
        <f>R31+V31*W31+Z31*AA31</f>
        <v>0</v>
      </c>
      <c r="AG31">
        <f>S31</f>
        <v>0</v>
      </c>
      <c r="AH31">
        <f>T31+V31*X31</f>
        <v>0</v>
      </c>
    </row>
    <row r="32">
      <c r="A32">
        <v>4</v>
      </c>
      <c r="B32" t="str">
        <v>Lantai 3</v>
      </c>
      <c r="C32" t="str">
        <v>m'</v>
      </c>
      <c r="D32">
        <f>H32</f>
        <v>86.26000000000002</v>
      </c>
      <c r="E32">
        <f>N32*'REKAP RAB'!$R$3</f>
        <v>416000</v>
      </c>
      <c r="F32">
        <f>D32*E32</f>
        <v>35884160.00000001</v>
      </c>
      <c r="H32">
        <f>'Pas. Dinding'!L148</f>
        <v>86.26000000000002</v>
      </c>
      <c r="I32">
        <v>150000</v>
      </c>
      <c r="J32">
        <v>175000</v>
      </c>
      <c r="N32">
        <f>SUM(I32:M32)</f>
        <v>325000</v>
      </c>
      <c r="O32">
        <f>H32*N32</f>
        <v>28034500.000000007</v>
      </c>
      <c r="AF32">
        <f>R32+V32*W32+Z32*AA32</f>
        <v>0</v>
      </c>
      <c r="AG32">
        <f>S32</f>
        <v>0</v>
      </c>
      <c r="AH32">
        <f>T32+V32*X32</f>
        <v>0</v>
      </c>
    </row>
    <row r="34">
      <c r="A34" t="str">
        <v>Total Pekerjaan Benangan</v>
      </c>
      <c r="F34">
        <f>SUM(F9:F33)</f>
        <v>656004928</v>
      </c>
      <c r="O34">
        <f>SUM(O9:O33)</f>
        <v>519722600</v>
      </c>
    </row>
    <row r="35">
      <c r="R35">
        <f>SUMPRODUCT(H8:H34,T8:T34)</f>
        <v>0</v>
      </c>
      <c r="X35">
        <f>SUMPRODUCT(H8:H34,V8:V34,X8:X34)</f>
        <v>0</v>
      </c>
    </row>
    <row r="36">
      <c r="F36">
        <f>SUM(F8:F35)/2</f>
        <v>656004928</v>
      </c>
      <c r="H36" t="str">
        <v>TOTAL</v>
      </c>
      <c r="I36">
        <f>SUMPRODUCT($H8:$H34,I8:I34)</f>
        <v>207147200</v>
      </c>
      <c r="J36">
        <f>SUMPRODUCT($H8:$H34,J8:J34)</f>
        <v>312575400</v>
      </c>
      <c r="K36">
        <f>SUMPRODUCT($H8:$H34,K8:K34)</f>
        <v>0</v>
      </c>
      <c r="L36">
        <f>SUMPRODUCT($H8:$H34,L8:L34)</f>
        <v>0</v>
      </c>
      <c r="M36">
        <f>SUMPRODUCT($H8:$H34,M8:M34)</f>
        <v>0</v>
      </c>
      <c r="O36">
        <f>SUM(O8:O35)/2</f>
        <v>519722600</v>
      </c>
      <c r="P36">
        <f>SUM(I36:M36)-O36</f>
        <v>0</v>
      </c>
      <c r="R36" t="str">
        <v>jatah concrete pump</v>
      </c>
      <c r="X36" t="str">
        <v>jatah scaffolding</v>
      </c>
    </row>
    <row r="37">
      <c r="H37" t="str">
        <v>TOTAL / m2</v>
      </c>
      <c r="I37">
        <f>I36/'[40]REKAP RAB'!$K$18</f>
        <v>120069.67207175875</v>
      </c>
      <c r="J37">
        <f>J36/'[40]REKAP RAB'!$K$18</f>
        <v>181179.49832630524</v>
      </c>
      <c r="K37">
        <f>K36/'[40]REKAP RAB'!$K$18</f>
        <v>0</v>
      </c>
      <c r="L37">
        <f>L36/'[40]REKAP RAB'!$K$18</f>
        <v>0</v>
      </c>
      <c r="M37">
        <f>M36/'[40]REKAP RAB'!$K$18</f>
        <v>0</v>
      </c>
      <c r="O37">
        <f>O36/'[40]REKAP RAB'!$K$18</f>
        <v>301249.170398064</v>
      </c>
    </row>
    <row r="38">
      <c r="B38" t="str">
        <v>security + powder room</v>
      </c>
      <c r="D38">
        <v>0.5</v>
      </c>
      <c r="E38" t="str">
        <v>m3</v>
      </c>
    </row>
    <row r="39">
      <c r="B39" t="str">
        <v>maid &amp; driver bathroom</v>
      </c>
      <c r="D39">
        <v>1</v>
      </c>
      <c r="E39" t="str">
        <v>m3</v>
      </c>
    </row>
  </sheetData>
  <autoFilter ref="A8:AL34"/>
  <mergeCells count="1">
    <mergeCell ref="A34:E34"/>
  </mergeCells>
  <pageMargins left="1.18110236220472" right="0.393700787401575" top="0.78740157480315" bottom="0.78740157480315" header="0" footer="0"/>
  <ignoredErrors>
    <ignoredError numberStoredAsText="1" sqref="A1:AO39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D38"/>
  <sheetViews>
    <sheetView workbookViewId="0" rightToLeft="0"/>
  </sheetViews>
  <sheetData>
    <row r="1">
      <c r="A1" t="str">
        <v>Tampak Depan</v>
      </c>
    </row>
    <row r="4">
      <c r="A4" t="str">
        <v>Jendela lengkung Tipe 1</v>
      </c>
      <c r="B4" t="str">
        <v>Tampak depan</v>
      </c>
      <c r="C4">
        <f>4*(2*2.43+3.53)</f>
        <v>33.56</v>
      </c>
    </row>
    <row r="5">
      <c r="A5" t="str">
        <v>Jendela lengkung Tipe 2</v>
      </c>
      <c r="B5" t="str">
        <v>Tampak depan</v>
      </c>
      <c r="C5">
        <f>2*7.655</f>
        <v>15.31</v>
      </c>
    </row>
    <row r="6">
      <c r="A6" t="str">
        <v>Balkon</v>
      </c>
      <c r="B6" t="str">
        <v>Lantai 2</v>
      </c>
      <c r="C6">
        <f>2*(2*0.95+2.8)</f>
        <v>9.399999999999999</v>
      </c>
    </row>
    <row r="7">
      <c r="A7" t="str">
        <v>Korbel balkon</v>
      </c>
      <c r="B7" t="str">
        <v>Lantai 2</v>
      </c>
      <c r="C7">
        <v>4</v>
      </c>
    </row>
    <row r="8">
      <c r="A8" t="str">
        <v>Sabuk</v>
      </c>
      <c r="B8" t="str">
        <v>Lantai 1 ke 2</v>
      </c>
      <c r="C8">
        <v>2.57</v>
      </c>
    </row>
    <row r="9">
      <c r="A9" t="str">
        <v>Talang</v>
      </c>
      <c r="B9" t="str">
        <v>Tampak depan</v>
      </c>
      <c r="C9">
        <f>3.815+9.8+1.6+1.9</f>
        <v>17.115</v>
      </c>
    </row>
    <row r="10">
      <c r="A10" t="str">
        <v>Sabuk kecil</v>
      </c>
      <c r="B10" t="str">
        <v>Tengah jendela lt. 2</v>
      </c>
      <c r="C10">
        <f>3+8.2+0.7-2*2.5</f>
        <v>6.899999999999999</v>
      </c>
    </row>
    <row r="11">
      <c r="A11" t="str">
        <v>Tali air</v>
      </c>
      <c r="B11" t="str">
        <v>Tampak depan</v>
      </c>
      <c r="C11">
        <f>(3+8.2+0.7)*6-(2*2.5)*4</f>
        <v>51.39999999999999</v>
      </c>
    </row>
    <row r="12">
      <c r="A12" t="str">
        <v>Jendela attic</v>
      </c>
      <c r="B12" t="str">
        <v>Tampak depan</v>
      </c>
      <c r="C12">
        <v>6.17</v>
      </c>
    </row>
    <row r="17">
      <c r="A17" t="str">
        <v>Jendela attic</v>
      </c>
      <c r="B17" t="str">
        <v>Tampak samping</v>
      </c>
      <c r="C17">
        <v>6.5</v>
      </c>
    </row>
    <row r="18">
      <c r="A18" t="str">
        <v>Jendela attic</v>
      </c>
      <c r="B18" t="str">
        <v>Tampak depan</v>
      </c>
      <c r="C18">
        <v>6.5</v>
      </c>
    </row>
    <row r="19">
      <c r="A19" t="str">
        <v>Jendela lengkung Tipe 1</v>
      </c>
      <c r="B19" t="str">
        <v>Tampak samping</v>
      </c>
      <c r="C19">
        <v>8.39</v>
      </c>
    </row>
    <row r="20">
      <c r="A20" t="str">
        <v>Jendela lengkung Tipe 1</v>
      </c>
      <c r="B20" t="str">
        <v>Tampak depan</v>
      </c>
      <c r="C20">
        <v>8.39</v>
      </c>
    </row>
    <row r="21">
      <c r="A21" t="str">
        <v>Balkon</v>
      </c>
      <c r="B21" t="str">
        <v>Tampak samping</v>
      </c>
      <c r="C21">
        <f>2*0.8+2.8</f>
        <v>4.4</v>
      </c>
    </row>
    <row r="22">
      <c r="A22" t="str">
        <v>Balkon</v>
      </c>
      <c r="B22" t="str">
        <v>Tampak depan</v>
      </c>
      <c r="C22">
        <f>2*1.1+2.96</f>
        <v>5.16</v>
      </c>
    </row>
    <row r="23">
      <c r="A23" t="str">
        <v>Talang</v>
      </c>
      <c r="B23" t="str">
        <v>Tampak samping dan depan</v>
      </c>
      <c r="C23">
        <f>5.215+6.8</f>
        <v>12.015</v>
      </c>
    </row>
    <row r="24">
      <c r="A24" t="str">
        <v>Topian atap</v>
      </c>
      <c r="B24" t="str">
        <v>Atap aspal palsuan</v>
      </c>
      <c r="C24">
        <f>2*2.27+6.04+8.25+6.9</f>
        <v>25.729999999999997</v>
      </c>
    </row>
    <row r="27">
      <c r="A27" t="str">
        <v>Total</v>
      </c>
    </row>
    <row r="29">
      <c r="A29" t="str">
        <v>Jendela lengkung Tipe 1</v>
      </c>
      <c r="C29">
        <f>SUMIF($A$4:$A$26,A29,$C$4:$C$26)</f>
        <v>50.34</v>
      </c>
      <c r="D29" t="str">
        <v>m'</v>
      </c>
    </row>
    <row r="30">
      <c r="A30" t="str">
        <v>Jendela lengkung Tipe 2</v>
      </c>
      <c r="C30">
        <f>SUMIF($A$4:$A$26,A30,$C$4:$C$26)</f>
        <v>15.31</v>
      </c>
      <c r="D30" t="str">
        <v>m'</v>
      </c>
    </row>
    <row r="31">
      <c r="A31" t="str">
        <v>Jendela attic</v>
      </c>
      <c r="C31">
        <f>SUMIF($A$4:$A$26,A31,$C$4:$C$26)</f>
        <v>19.17</v>
      </c>
      <c r="D31" t="str">
        <v>m'</v>
      </c>
    </row>
    <row r="32">
      <c r="A32" t="str">
        <v>Balkon</v>
      </c>
      <c r="C32">
        <f>SUMIF($A$4:$A$26,A32,$C$4:$C$26)</f>
        <v>18.96</v>
      </c>
      <c r="D32" t="str">
        <v>m'</v>
      </c>
    </row>
    <row r="33">
      <c r="A33" t="str">
        <v>Korbel balkon</v>
      </c>
      <c r="C33">
        <f>SUMIF($A$4:$A$26,A33,$C$4:$C$26)</f>
        <v>4</v>
      </c>
      <c r="D33" t="str">
        <v>bh</v>
      </c>
    </row>
    <row r="34">
      <c r="A34" t="str">
        <v>Sabuk</v>
      </c>
      <c r="C34">
        <f>SUMIF($A$4:$A$26,A34,$C$4:$C$26)</f>
        <v>2.57</v>
      </c>
      <c r="D34" t="str">
        <v>m'</v>
      </c>
    </row>
    <row r="35">
      <c r="A35" t="str">
        <v>Sabuk kecil</v>
      </c>
      <c r="C35">
        <f>SUMIF($A$4:$A$26,A35,$C$4:$C$26)</f>
        <v>6.899999999999999</v>
      </c>
      <c r="D35" t="str">
        <v>m'</v>
      </c>
    </row>
    <row r="36">
      <c r="A36" t="str">
        <v>Talang</v>
      </c>
      <c r="C36">
        <f>SUMIF($A$4:$A$26,A36,$C$4:$C$26)</f>
        <v>29.13</v>
      </c>
      <c r="D36" t="str">
        <v>m'</v>
      </c>
    </row>
    <row r="37">
      <c r="A37" t="str">
        <v>Topian atap</v>
      </c>
      <c r="C37">
        <f>SUMIF($A$4:$A$26,A37,$C$4:$C$26)</f>
        <v>25.729999999999997</v>
      </c>
      <c r="D37" t="str">
        <v>m'</v>
      </c>
    </row>
    <row r="38">
      <c r="A38" t="str">
        <v>Tali air</v>
      </c>
      <c r="C38">
        <f>SUMIF($A$4:$A$26,A38,$C$4:$C$26)</f>
        <v>51.39999999999999</v>
      </c>
      <c r="D38" t="str">
        <v>m'</v>
      </c>
    </row>
  </sheetData>
  <pageMargins left="0.7" right="0.7" top="0.75" bottom="0.75" header="0.3" footer="0.3"/>
  <ignoredErrors>
    <ignoredError numberStoredAsText="1" sqref="A1:D3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AF151"/>
  <sheetViews>
    <sheetView workbookViewId="0" rightToLeft="0"/>
  </sheetViews>
  <sheetData>
    <row r="1">
      <c r="A1" t="str">
        <v>Asumsi</v>
      </c>
      <c r="C1" t="str">
        <v>KP</v>
      </c>
      <c r="D1">
        <v>130</v>
      </c>
      <c r="E1" t="str">
        <v>x</v>
      </c>
      <c r="F1">
        <v>130</v>
      </c>
    </row>
    <row r="2">
      <c r="C2" t="str">
        <v>BP</v>
      </c>
      <c r="D2">
        <v>130</v>
      </c>
      <c r="E2" t="str">
        <v>x</v>
      </c>
      <c r="F2">
        <v>130</v>
      </c>
    </row>
    <row r="3">
      <c r="C3" t="str">
        <v>BL</v>
      </c>
      <c r="D3">
        <v>130</v>
      </c>
      <c r="E3" t="str">
        <v>x</v>
      </c>
      <c r="F3">
        <v>130</v>
      </c>
    </row>
    <row r="5">
      <c r="A5" t="str">
        <v>Lantai Basement</v>
      </c>
      <c r="C5" t="str">
        <v>Panjang</v>
      </c>
      <c r="D5" t="str">
        <v>Tinggi</v>
      </c>
      <c r="E5" t="str">
        <v>Luas Pengurang</v>
      </c>
      <c r="Q5" t="str">
        <v>Luas Bruto - Kusen</v>
      </c>
      <c r="R5" t="str">
        <v>Luas Bruto - Kusen dan Balok</v>
      </c>
      <c r="S5" t="str">
        <v>Luas Dinding 1/2 Bata</v>
      </c>
      <c r="T5" t="str">
        <v>Luas Dinding 3/4 Bata</v>
      </c>
      <c r="U5" t="str">
        <v>Luas Dinding 1 Bata</v>
      </c>
      <c r="V5" t="str">
        <v>Luas Dinding 1 1/4 Bata</v>
      </c>
      <c r="W5" t="str">
        <v>Luas Dinding 1 1/2 Bata</v>
      </c>
      <c r="X5" t="str">
        <v>Luas Dinding 2 1/4 Bata</v>
      </c>
      <c r="Y5" t="str">
        <v>Luas Dinding 2 1/2 Bata</v>
      </c>
      <c r="Z5" t="str">
        <v>Plester &amp; Aci</v>
      </c>
      <c r="AA5" t="str">
        <v>Benangan</v>
      </c>
    </row>
    <row r="6">
      <c r="E6" t="str">
        <v>Kolom Struktur</v>
      </c>
      <c r="F6" t="str">
        <v>Kolom Praktis</v>
      </c>
      <c r="H6" t="str">
        <v>Balok Struktur</v>
      </c>
      <c r="K6" t="str">
        <v>Balok Latei</v>
      </c>
      <c r="M6" t="str">
        <v>Balok Praktis</v>
      </c>
      <c r="O6" t="str">
        <v>Luas Kusen</v>
      </c>
      <c r="P6" t="str">
        <v>Tipe Kusen</v>
      </c>
      <c r="AC6" t="str">
        <v>Benangan Opening</v>
      </c>
      <c r="AD6" t="str">
        <v>Luas Plesteran Opening</v>
      </c>
    </row>
    <row r="7">
      <c r="A7" t="str">
        <v>Nomor</v>
      </c>
      <c r="B7" t="str">
        <v>Tebal (mm)</v>
      </c>
      <c r="E7" t="str">
        <v>m2</v>
      </c>
      <c r="F7" t="str">
        <v>m'</v>
      </c>
      <c r="G7" t="str">
        <v>Luas KP</v>
      </c>
      <c r="H7" t="str">
        <v>panjang</v>
      </c>
      <c r="I7" t="str">
        <v>tinggi</v>
      </c>
      <c r="J7" t="str">
        <v>Luas Balok</v>
      </c>
      <c r="K7" t="str">
        <v>m'</v>
      </c>
      <c r="L7" t="str">
        <v>Luas BL</v>
      </c>
      <c r="M7" t="str">
        <v>m'</v>
      </c>
      <c r="N7" t="str">
        <v>Luas BP</v>
      </c>
      <c r="O7" t="str">
        <v>m2</v>
      </c>
      <c r="Q7" t="str">
        <v>m2</v>
      </c>
      <c r="R7" t="str">
        <v>m2</v>
      </c>
      <c r="S7" t="str">
        <v>m2</v>
      </c>
      <c r="T7" t="str">
        <v>m2</v>
      </c>
      <c r="U7" t="str">
        <v>m2</v>
      </c>
      <c r="V7" t="str">
        <v>m2</v>
      </c>
      <c r="W7" t="str">
        <v>m2</v>
      </c>
      <c r="X7" t="str">
        <v>m2</v>
      </c>
      <c r="Y7" t="str">
        <v>m2</v>
      </c>
      <c r="Z7" t="str">
        <v>m2</v>
      </c>
      <c r="AA7" t="str">
        <v>m'</v>
      </c>
    </row>
    <row r="9">
      <c r="A9">
        <v>1</v>
      </c>
      <c r="B9">
        <v>200</v>
      </c>
      <c r="C9">
        <v>2885</v>
      </c>
      <c r="D9">
        <f>0-(-3300)</f>
        <v>3300</v>
      </c>
      <c r="Q9">
        <f>C9*D9/1000000-O9</f>
        <v>9.5205</v>
      </c>
      <c r="S9">
        <f>IF($B9=150,Q9-SUM(E9,G9,J9,L9,N9),0)</f>
        <v>0</v>
      </c>
      <c r="T9">
        <f>IF($B9=200,Q9-SUM(E9,G9,J9,L9,N9),0)</f>
        <v>9.5205</v>
      </c>
      <c r="U9">
        <f>IF($B9=250,Q9-SUM(E9,G9,J9,L9,N9),0)</f>
        <v>0</v>
      </c>
      <c r="V9">
        <f>IF($B9=300,Q9-SUM(E9,G9,J9,L9,N9),0)</f>
        <v>0</v>
      </c>
      <c r="W9">
        <f>IF($B9=350,Q9-SUM(E9,G9,J9,L9,N9),0)</f>
        <v>0</v>
      </c>
      <c r="X9">
        <f>IF($B9=500,Q9-SUM(E9,G9,J9,L9,N9),0)</f>
        <v>0</v>
      </c>
      <c r="Y9">
        <f>IF($B9=550,Q9-SUM(E9,G9,J9,L9,N9),0)</f>
        <v>0</v>
      </c>
      <c r="Z9">
        <f>SUM(S9:Y9)*2</f>
        <v>19.041</v>
      </c>
    </row>
    <row r="10">
      <c r="A10">
        <f>A9+1</f>
        <v>2</v>
      </c>
      <c r="B10">
        <v>200</v>
      </c>
      <c r="C10">
        <v>2885</v>
      </c>
      <c r="D10">
        <f>0-(-3300)</f>
        <v>3300</v>
      </c>
      <c r="Q10">
        <f>C10*D10/1000000-O10</f>
        <v>9.5205</v>
      </c>
      <c r="S10">
        <f>IF($B10=150,Q10-SUM(E10,G10,J10,L10,N10),0)</f>
        <v>0</v>
      </c>
      <c r="T10">
        <f>IF($B10=200,Q10-SUM(E10,G10,J10,L10,N10),0)</f>
        <v>9.5205</v>
      </c>
      <c r="U10">
        <f>IF($B10=250,Q10-SUM(E10,G10,J10,L10,N10),0)</f>
        <v>0</v>
      </c>
      <c r="V10">
        <f>IF($B10=300,Q10-SUM(E10,G10,J10,L10,N10),0)</f>
        <v>0</v>
      </c>
      <c r="W10">
        <f>IF($B10=350,Q10-SUM(E10,G10,J10,L10,N10),0)</f>
        <v>0</v>
      </c>
      <c r="X10">
        <f>IF($B10=500,Q10-SUM(E10,G10,J10,L10,N10),0)</f>
        <v>0</v>
      </c>
      <c r="Y10">
        <f>IF($B10=550,Q10-SUM(E10,G10,J10,L10,N10),0)</f>
        <v>0</v>
      </c>
      <c r="Z10">
        <f>SUM(S10:Y10)*2</f>
        <v>19.041</v>
      </c>
    </row>
    <row r="11">
      <c r="A11">
        <f>A10+1</f>
        <v>3</v>
      </c>
      <c r="B11">
        <v>200</v>
      </c>
      <c r="C11">
        <v>7730</v>
      </c>
      <c r="D11">
        <f>0-(-3300)</f>
        <v>3300</v>
      </c>
      <c r="O11">
        <f>(0.98*2.2+0.82*1.5)*2+0.98*2.2</f>
        <v>8.928</v>
      </c>
      <c r="Q11">
        <f>C11*D11/1000000-O11</f>
        <v>16.581</v>
      </c>
      <c r="S11">
        <f>IF($B11=150,Q11-SUM(E11,G11,J11,L11,N11),0)</f>
        <v>0</v>
      </c>
      <c r="T11">
        <f>IF($B11=200,Q11-SUM(E11,G11,J11,L11,N11),0)</f>
        <v>16.581</v>
      </c>
      <c r="U11">
        <f>IF($B11=250,Q11-SUM(E11,G11,J11,L11,N11),0)</f>
        <v>0</v>
      </c>
      <c r="V11">
        <f>IF($B11=300,Q11-SUM(E11,G11,J11,L11,N11),0)</f>
        <v>0</v>
      </c>
      <c r="W11">
        <f>IF($B11=350,Q11-SUM(E11,G11,J11,L11,N11),0)</f>
        <v>0</v>
      </c>
      <c r="X11">
        <f>IF($B11=500,Q11-SUM(E11,G11,J11,L11,N11),0)</f>
        <v>0</v>
      </c>
      <c r="Y11">
        <f>IF($B11=550,Q11-SUM(E11,G11,J11,L11,N11),0)</f>
        <v>0</v>
      </c>
      <c r="Z11">
        <f>SUM(S11:Y11)*2</f>
        <v>33.162</v>
      </c>
      <c r="AC11">
        <f>(0.98+2*2.2)+2*(0.82*1.5)+(0.98+2*2.2)</f>
        <v>13.220000000000002</v>
      </c>
    </row>
    <row r="12">
      <c r="A12">
        <f>A11+1</f>
        <v>4</v>
      </c>
      <c r="B12">
        <v>200</v>
      </c>
      <c r="C12">
        <v>4800</v>
      </c>
      <c r="D12">
        <f>0-(-3300)</f>
        <v>3300</v>
      </c>
      <c r="O12">
        <f>(0.98*2.2)*2</f>
        <v>4.312</v>
      </c>
      <c r="Q12">
        <f>C12*D12/1000000-O12</f>
        <v>11.527999999999999</v>
      </c>
      <c r="S12">
        <f>IF($B12=150,Q12-SUM(E12,G12,J12,L12,N12),0)</f>
        <v>0</v>
      </c>
      <c r="T12">
        <f>IF($B12=200,Q12-SUM(E12,G12,J12,L12,N12),0)</f>
        <v>11.527999999999999</v>
      </c>
      <c r="U12">
        <f>IF($B12=250,Q12-SUM(E12,G12,J12,L12,N12),0)</f>
        <v>0</v>
      </c>
      <c r="V12">
        <f>IF($B12=300,Q12-SUM(E12,G12,J12,L12,N12),0)</f>
        <v>0</v>
      </c>
      <c r="W12">
        <f>IF($B12=350,Q12-SUM(E12,G12,J12,L12,N12),0)</f>
        <v>0</v>
      </c>
      <c r="X12">
        <f>IF($B12=500,Q12-SUM(E12,G12,J12,L12,N12),0)</f>
        <v>0</v>
      </c>
      <c r="Y12">
        <f>IF($B12=550,Q12-SUM(E12,G12,J12,L12,N12),0)</f>
        <v>0</v>
      </c>
      <c r="Z12">
        <f>SUM(S12:Y12)*2</f>
        <v>23.055999999999997</v>
      </c>
      <c r="AC12">
        <f>(0.98+2*2.2)*2</f>
        <v>10.760000000000002</v>
      </c>
    </row>
    <row r="13">
      <c r="A13">
        <f>A12+1</f>
        <v>5</v>
      </c>
      <c r="B13">
        <v>200</v>
      </c>
      <c r="C13">
        <v>1420</v>
      </c>
      <c r="D13">
        <f>0-(-3300)</f>
        <v>3300</v>
      </c>
      <c r="Q13">
        <f>C13*D13/1000000-O13</f>
        <v>4.686</v>
      </c>
      <c r="S13">
        <f>IF($B13=150,Q13-SUM(E13,G13,J13,L13,N13),0)</f>
        <v>0</v>
      </c>
      <c r="T13">
        <f>IF($B13=200,Q13-SUM(E13,G13,J13,L13,N13),0)</f>
        <v>4.686</v>
      </c>
      <c r="U13">
        <f>IF($B13=250,Q13-SUM(E13,G13,J13,L13,N13),0)</f>
        <v>0</v>
      </c>
      <c r="V13">
        <f>IF($B13=300,Q13-SUM(E13,G13,J13,L13,N13),0)</f>
        <v>0</v>
      </c>
      <c r="W13">
        <f>IF($B13=350,Q13-SUM(E13,G13,J13,L13,N13),0)</f>
        <v>0</v>
      </c>
      <c r="X13">
        <f>IF($B13=500,Q13-SUM(E13,G13,J13,L13,N13),0)</f>
        <v>0</v>
      </c>
      <c r="Y13">
        <f>IF($B13=550,Q13-SUM(E13,G13,J13,L13,N13),0)</f>
        <v>0</v>
      </c>
      <c r="Z13">
        <f>SUM(S13:Y13)*2</f>
        <v>9.372</v>
      </c>
    </row>
    <row r="14">
      <c r="A14">
        <f>A13+1</f>
        <v>6</v>
      </c>
      <c r="B14">
        <v>200</v>
      </c>
      <c r="C14">
        <v>2670</v>
      </c>
      <c r="D14">
        <f>0-(-3300)</f>
        <v>3300</v>
      </c>
      <c r="Q14">
        <f>C14*D14/1000000-O14</f>
        <v>8.811</v>
      </c>
      <c r="S14">
        <f>IF($B14=150,Q14-SUM(E14,G14,J14,L14,N14),0)</f>
        <v>0</v>
      </c>
      <c r="T14">
        <f>IF($B14=200,Q14-SUM(E14,G14,J14,L14,N14),0)</f>
        <v>8.811</v>
      </c>
      <c r="U14">
        <f>IF($B14=250,Q14-SUM(E14,G14,J14,L14,N14),0)</f>
        <v>0</v>
      </c>
      <c r="V14">
        <f>IF($B14=300,Q14-SUM(E14,G14,J14,L14,N14),0)</f>
        <v>0</v>
      </c>
      <c r="W14">
        <f>IF($B14=350,Q14-SUM(E14,G14,J14,L14,N14),0)</f>
        <v>0</v>
      </c>
      <c r="X14">
        <f>IF($B14=500,Q14-SUM(E14,G14,J14,L14,N14),0)</f>
        <v>0</v>
      </c>
      <c r="Y14">
        <f>IF($B14=550,Q14-SUM(E14,G14,J14,L14,N14),0)</f>
        <v>0</v>
      </c>
      <c r="Z14">
        <f>SUM(S14:Y14)*2</f>
        <v>17.622</v>
      </c>
    </row>
    <row r="15">
      <c r="A15">
        <f>A14+1</f>
        <v>7</v>
      </c>
      <c r="B15">
        <v>200</v>
      </c>
      <c r="C15">
        <v>3000</v>
      </c>
      <c r="D15">
        <f>0-(-3300)</f>
        <v>3300</v>
      </c>
      <c r="Q15">
        <f>C15*D15/1000000-O15</f>
        <v>9.9</v>
      </c>
      <c r="S15">
        <f>IF($B15=150,Q15-SUM(E15,G15,J15,L15,N15),0)</f>
        <v>0</v>
      </c>
      <c r="T15">
        <f>IF($B15=200,Q15-SUM(E15,G15,J15,L15,N15),0)</f>
        <v>9.9</v>
      </c>
      <c r="U15">
        <f>IF($B15=250,Q15-SUM(E15,G15,J15,L15,N15),0)</f>
        <v>0</v>
      </c>
      <c r="V15">
        <f>IF($B15=300,Q15-SUM(E15,G15,J15,L15,N15),0)</f>
        <v>0</v>
      </c>
      <c r="W15">
        <f>IF($B15=350,Q15-SUM(E15,G15,J15,L15,N15),0)</f>
        <v>0</v>
      </c>
      <c r="X15">
        <f>IF($B15=500,Q15-SUM(E15,G15,J15,L15,N15),0)</f>
        <v>0</v>
      </c>
      <c r="Y15">
        <f>IF($B15=550,Q15-SUM(E15,G15,J15,L15,N15),0)</f>
        <v>0</v>
      </c>
      <c r="Z15">
        <f>SUM(S15:Y15)*2</f>
        <v>19.8</v>
      </c>
    </row>
    <row r="16">
      <c r="A16">
        <f>A15+1</f>
        <v>8</v>
      </c>
      <c r="B16">
        <v>200</v>
      </c>
      <c r="C16">
        <v>6645</v>
      </c>
      <c r="D16">
        <f>0-(-3300)</f>
        <v>3300</v>
      </c>
      <c r="O16">
        <f>1.18*2.2+1.5*2.2</f>
        <v>5.896000000000001</v>
      </c>
      <c r="Q16">
        <f>C16*D16/1000000-O16</f>
        <v>16.0325</v>
      </c>
      <c r="S16">
        <f>IF($B16=150,Q16-SUM(E16,G16,J16,L16,N16),0)</f>
        <v>0</v>
      </c>
      <c r="T16">
        <f>IF($B16=200,Q16-SUM(E16,G16,J16,L16,N16),0)</f>
        <v>16.0325</v>
      </c>
      <c r="U16">
        <f>IF($B16=250,Q16-SUM(E16,G16,J16,L16,N16),0)</f>
        <v>0</v>
      </c>
      <c r="V16">
        <f>IF($B16=300,Q16-SUM(E16,G16,J16,L16,N16),0)</f>
        <v>0</v>
      </c>
      <c r="W16">
        <f>IF($B16=350,Q16-SUM(E16,G16,J16,L16,N16),0)</f>
        <v>0</v>
      </c>
      <c r="X16">
        <f>IF($B16=500,Q16-SUM(E16,G16,J16,L16,N16),0)</f>
        <v>0</v>
      </c>
      <c r="Y16">
        <f>IF($B16=550,Q16-SUM(E16,G16,J16,L16,N16),0)</f>
        <v>0</v>
      </c>
      <c r="Z16">
        <f>SUM(S16:Y16)*2</f>
        <v>32.065</v>
      </c>
      <c r="AC16">
        <f>(1.18+2*2.2)+(1.5+2*2.2)</f>
        <v>11.48</v>
      </c>
    </row>
    <row r="17">
      <c r="A17">
        <f>A16+1</f>
        <v>9</v>
      </c>
      <c r="B17">
        <v>200</v>
      </c>
      <c r="C17">
        <v>8535</v>
      </c>
      <c r="D17">
        <f>0-(-3300)</f>
        <v>3300</v>
      </c>
      <c r="O17">
        <f>1.5*2.2</f>
        <v>3.3000000000000003</v>
      </c>
      <c r="Q17">
        <f>C17*D17/1000000-O17</f>
        <v>24.8655</v>
      </c>
      <c r="S17">
        <f>IF($B17=150,Q17-SUM(E17,G17,J17,L17,N17),0)</f>
        <v>0</v>
      </c>
      <c r="T17">
        <f>IF($B17=200,Q17-SUM(E17,G17,J17,L17,N17),0)</f>
        <v>24.8655</v>
      </c>
      <c r="U17">
        <f>IF($B17=250,Q17-SUM(E17,G17,J17,L17,N17),0)</f>
        <v>0</v>
      </c>
      <c r="V17">
        <f>IF($B17=300,Q17-SUM(E17,G17,J17,L17,N17),0)</f>
        <v>0</v>
      </c>
      <c r="W17">
        <f>IF($B17=350,Q17-SUM(E17,G17,J17,L17,N17),0)</f>
        <v>0</v>
      </c>
      <c r="X17">
        <f>IF($B17=500,Q17-SUM(E17,G17,J17,L17,N17),0)</f>
        <v>0</v>
      </c>
      <c r="Y17">
        <f>IF($B17=550,Q17-SUM(E17,G17,J17,L17,N17),0)</f>
        <v>0</v>
      </c>
      <c r="Z17">
        <f>SUM(S17:Y17)*2</f>
        <v>49.731</v>
      </c>
      <c r="AC17">
        <f>1.5+2*2.2</f>
        <v>5.9</v>
      </c>
    </row>
    <row r="18">
      <c r="A18">
        <f>A17+1</f>
        <v>10</v>
      </c>
      <c r="B18">
        <v>200</v>
      </c>
      <c r="C18">
        <v>1715</v>
      </c>
      <c r="D18">
        <f>0-(-3300)</f>
        <v>3300</v>
      </c>
      <c r="O18">
        <f>0.98*2.2</f>
        <v>2.156</v>
      </c>
      <c r="Q18">
        <f>C18*D18/1000000-O18</f>
        <v>3.5035000000000003</v>
      </c>
      <c r="S18">
        <f>IF($B18=150,Q18-SUM(E18,G18,J18,L18,N18),0)</f>
        <v>0</v>
      </c>
      <c r="T18">
        <f>IF($B18=200,Q18-SUM(E18,G18,J18,L18,N18),0)</f>
        <v>3.5035000000000003</v>
      </c>
      <c r="U18">
        <f>IF($B18=250,Q18-SUM(E18,G18,J18,L18,N18),0)</f>
        <v>0</v>
      </c>
      <c r="V18">
        <f>IF($B18=300,Q18-SUM(E18,G18,J18,L18,N18),0)</f>
        <v>0</v>
      </c>
      <c r="W18">
        <f>IF($B18=350,Q18-SUM(E18,G18,J18,L18,N18),0)</f>
        <v>0</v>
      </c>
      <c r="X18">
        <f>IF($B18=500,Q18-SUM(E18,G18,J18,L18,N18),0)</f>
        <v>0</v>
      </c>
      <c r="Y18">
        <f>IF($B18=550,Q18-SUM(E18,G18,J18,L18,N18),0)</f>
        <v>0</v>
      </c>
      <c r="Z18">
        <f>SUM(S18:Y18)*2</f>
        <v>7.007000000000001</v>
      </c>
      <c r="AC18">
        <f>0.98+2*2.2</f>
        <v>5.380000000000001</v>
      </c>
    </row>
    <row r="19">
      <c r="A19">
        <f>A18+1</f>
        <v>11</v>
      </c>
      <c r="B19">
        <v>200</v>
      </c>
      <c r="C19">
        <v>10065</v>
      </c>
      <c r="D19">
        <f>0-(-3300)</f>
        <v>3300</v>
      </c>
      <c r="Q19">
        <f>C19*D19/1000000-O19</f>
        <v>33.2145</v>
      </c>
      <c r="S19">
        <f>IF($B19=150,Q19-SUM(E19,G19,J19,L19,N19),0)</f>
        <v>0</v>
      </c>
      <c r="T19">
        <f>IF($B19=200,Q19-SUM(E19,G19,J19,L19,N19),0)</f>
        <v>33.2145</v>
      </c>
      <c r="U19">
        <f>IF($B19=250,Q19-SUM(E19,G19,J19,L19,N19),0)</f>
        <v>0</v>
      </c>
      <c r="V19">
        <f>IF($B19=300,Q19-SUM(E19,G19,J19,L19,N19),0)</f>
        <v>0</v>
      </c>
      <c r="W19">
        <f>IF($B19=350,Q19-SUM(E19,G19,J19,L19,N19),0)</f>
        <v>0</v>
      </c>
      <c r="X19">
        <f>IF($B19=500,Q19-SUM(E19,G19,J19,L19,N19),0)</f>
        <v>0</v>
      </c>
      <c r="Y19">
        <f>IF($B19=550,Q19-SUM(E19,G19,J19,L19,N19),0)</f>
        <v>0</v>
      </c>
      <c r="Z19">
        <f>SUM(S19:Y19)*2</f>
        <v>66.429</v>
      </c>
    </row>
    <row r="20">
      <c r="A20">
        <f>A19+1</f>
        <v>12</v>
      </c>
      <c r="B20">
        <v>200</v>
      </c>
      <c r="C20">
        <v>5600</v>
      </c>
      <c r="D20">
        <f>0-(-3300)</f>
        <v>3300</v>
      </c>
      <c r="O20">
        <f>0.98*2.2</f>
        <v>2.156</v>
      </c>
      <c r="Q20">
        <f>C20*D20/1000000-O20</f>
        <v>16.324</v>
      </c>
      <c r="S20">
        <f>IF($B20=150,Q20-SUM(E20,G20,J20,L20,N20),0)</f>
        <v>0</v>
      </c>
      <c r="T20">
        <f>IF($B20=200,Q20-SUM(E20,G20,J20,L20,N20),0)</f>
        <v>16.324</v>
      </c>
      <c r="U20">
        <f>IF($B20=250,Q20-SUM(E20,G20,J20,L20,N20),0)</f>
        <v>0</v>
      </c>
      <c r="V20">
        <f>IF($B20=300,Q20-SUM(E20,G20,J20,L20,N20),0)</f>
        <v>0</v>
      </c>
      <c r="W20">
        <f>IF($B20=350,Q20-SUM(E20,G20,J20,L20,N20),0)</f>
        <v>0</v>
      </c>
      <c r="X20">
        <f>IF($B20=500,Q20-SUM(E20,G20,J20,L20,N20),0)</f>
        <v>0</v>
      </c>
      <c r="Y20">
        <f>IF($B20=550,Q20-SUM(E20,G20,J20,L20,N20),0)</f>
        <v>0</v>
      </c>
      <c r="Z20">
        <f>SUM(S20:Y20)*2</f>
        <v>32.648</v>
      </c>
      <c r="AC20">
        <f>0.98+2*2.2</f>
        <v>5.380000000000001</v>
      </c>
    </row>
    <row r="21">
      <c r="A21">
        <f>A20+1</f>
        <v>13</v>
      </c>
      <c r="B21">
        <v>200</v>
      </c>
      <c r="C21">
        <v>2300</v>
      </c>
      <c r="D21">
        <f>0-(-3300)</f>
        <v>3300</v>
      </c>
      <c r="Q21">
        <f>C21*D21/1000000-O21</f>
        <v>7.59</v>
      </c>
      <c r="S21">
        <f>IF($B21=150,Q21-SUM(E21,G21,J21,L21,N21),0)</f>
        <v>0</v>
      </c>
      <c r="T21">
        <f>IF($B21=200,Q21-SUM(E21,G21,J21,L21,N21),0)</f>
        <v>7.59</v>
      </c>
      <c r="U21">
        <f>IF($B21=250,Q21-SUM(E21,G21,J21,L21,N21),0)</f>
        <v>0</v>
      </c>
      <c r="V21">
        <f>IF($B21=300,Q21-SUM(E21,G21,J21,L21,N21),0)</f>
        <v>0</v>
      </c>
      <c r="W21">
        <f>IF($B21=350,Q21-SUM(E21,G21,J21,L21,N21),0)</f>
        <v>0</v>
      </c>
      <c r="X21">
        <f>IF($B21=500,Q21-SUM(E21,G21,J21,L21,N21),0)</f>
        <v>0</v>
      </c>
      <c r="Y21">
        <f>IF($B21=550,Q21-SUM(E21,G21,J21,L21,N21),0)</f>
        <v>0</v>
      </c>
      <c r="Z21">
        <f>SUM(S21:Y21)*2</f>
        <v>15.18</v>
      </c>
    </row>
    <row r="22">
      <c r="A22">
        <f>A21+1</f>
        <v>14</v>
      </c>
      <c r="B22">
        <v>200</v>
      </c>
      <c r="C22">
        <v>4985</v>
      </c>
      <c r="D22">
        <f>0-(-3300)</f>
        <v>3300</v>
      </c>
      <c r="O22">
        <f>1.7*1.5</f>
        <v>2.55</v>
      </c>
      <c r="Q22">
        <f>C22*D22/1000000-O22</f>
        <v>13.900500000000001</v>
      </c>
      <c r="S22">
        <f>IF($B22=150,Q22-SUM(E22,G22,J22,L22,N22),0)</f>
        <v>0</v>
      </c>
      <c r="T22">
        <f>IF($B22=200,Q22-SUM(E22,G22,J22,L22,N22),0)</f>
        <v>13.900500000000001</v>
      </c>
      <c r="U22">
        <f>IF($B22=250,Q22-SUM(E22,G22,J22,L22,N22),0)</f>
        <v>0</v>
      </c>
      <c r="V22">
        <f>IF($B22=300,Q22-SUM(E22,G22,J22,L22,N22),0)</f>
        <v>0</v>
      </c>
      <c r="W22">
        <f>IF($B22=350,Q22-SUM(E22,G22,J22,L22,N22),0)</f>
        <v>0</v>
      </c>
      <c r="X22">
        <f>IF($B22=500,Q22-SUM(E22,G22,J22,L22,N22),0)</f>
        <v>0</v>
      </c>
      <c r="Y22">
        <f>IF($B22=550,Q22-SUM(E22,G22,J22,L22,N22),0)</f>
        <v>0</v>
      </c>
      <c r="Z22">
        <f>SUM(S22:Y22)*2</f>
        <v>27.801000000000002</v>
      </c>
      <c r="AC22">
        <f>2*(1.7+1.5)</f>
        <v>6.4</v>
      </c>
    </row>
    <row r="23">
      <c r="A23">
        <f>A22+1</f>
        <v>15</v>
      </c>
      <c r="B23">
        <v>200</v>
      </c>
      <c r="C23">
        <v>6670</v>
      </c>
      <c r="D23">
        <f>0-(-3300)</f>
        <v>3300</v>
      </c>
      <c r="O23">
        <f>0.98*2.2+1.6*2.2</f>
        <v>5.676</v>
      </c>
      <c r="Q23">
        <f>C23*D23/1000000-O23</f>
        <v>16.335</v>
      </c>
      <c r="S23">
        <f>IF($B23=150,Q23-SUM(E23,G23,J23,L23,N23),0)</f>
        <v>0</v>
      </c>
      <c r="T23">
        <f>IF($B23=200,Q23-SUM(E23,G23,J23,L23,N23),0)</f>
        <v>16.335</v>
      </c>
      <c r="U23">
        <f>IF($B23=250,Q23-SUM(E23,G23,J23,L23,N23),0)</f>
        <v>0</v>
      </c>
      <c r="V23">
        <f>IF($B23=300,Q23-SUM(E23,G23,J23,L23,N23),0)</f>
        <v>0</v>
      </c>
      <c r="W23">
        <f>IF($B23=350,Q23-SUM(E23,G23,J23,L23,N23),0)</f>
        <v>0</v>
      </c>
      <c r="X23">
        <f>IF($B23=500,Q23-SUM(E23,G23,J23,L23,N23),0)</f>
        <v>0</v>
      </c>
      <c r="Y23">
        <f>IF($B23=550,Q23-SUM(E23,G23,J23,L23,N23),0)</f>
        <v>0</v>
      </c>
      <c r="Z23">
        <f>SUM(S23:Y23)*2</f>
        <v>32.67</v>
      </c>
      <c r="AC23">
        <f>(0.98+2*2.2)+(1.6+2*2.2)</f>
        <v>11.38</v>
      </c>
    </row>
    <row r="24">
      <c r="A24">
        <f>A23+1</f>
        <v>16</v>
      </c>
      <c r="B24">
        <v>200</v>
      </c>
      <c r="C24">
        <v>6885</v>
      </c>
      <c r="D24">
        <f>0-(-3300)</f>
        <v>3300</v>
      </c>
      <c r="Q24">
        <f>C24*D24/1000000-O24</f>
        <v>22.7205</v>
      </c>
      <c r="S24">
        <f>IF($B24=150,Q24-SUM(E24,G24,J24,L24,N24),0)</f>
        <v>0</v>
      </c>
      <c r="T24">
        <f>IF($B24=200,Q24-SUM(E24,G24,J24,L24,N24),0)</f>
        <v>22.7205</v>
      </c>
      <c r="U24">
        <f>IF($B24=250,Q24-SUM(E24,G24,J24,L24,N24),0)</f>
        <v>0</v>
      </c>
      <c r="V24">
        <f>IF($B24=300,Q24-SUM(E24,G24,J24,L24,N24),0)</f>
        <v>0</v>
      </c>
      <c r="W24">
        <f>IF($B24=350,Q24-SUM(E24,G24,J24,L24,N24),0)</f>
        <v>0</v>
      </c>
      <c r="X24">
        <f>IF($B24=500,Q24-SUM(E24,G24,J24,L24,N24),0)</f>
        <v>0</v>
      </c>
      <c r="Y24">
        <f>IF($B24=550,Q24-SUM(E24,G24,J24,L24,N24),0)</f>
        <v>0</v>
      </c>
      <c r="Z24">
        <f>SUM(S24:Y24)*2</f>
        <v>45.441</v>
      </c>
    </row>
    <row r="25">
      <c r="A25">
        <f>A24+1</f>
        <v>17</v>
      </c>
      <c r="B25">
        <v>200</v>
      </c>
      <c r="C25">
        <v>2385</v>
      </c>
      <c r="D25">
        <f>0-(-3300)</f>
        <v>3300</v>
      </c>
      <c r="Q25">
        <f>C25*D25/1000000-O25</f>
        <v>7.8705</v>
      </c>
      <c r="S25">
        <f>IF($B25=150,Q25-SUM(E25,G25,J25,L25,N25),0)</f>
        <v>0</v>
      </c>
      <c r="T25">
        <f>IF($B25=200,Q25-SUM(E25,G25,J25,L25,N25),0)</f>
        <v>7.8705</v>
      </c>
      <c r="U25">
        <f>IF($B25=250,Q25-SUM(E25,G25,J25,L25,N25),0)</f>
        <v>0</v>
      </c>
      <c r="V25">
        <f>IF($B25=300,Q25-SUM(E25,G25,J25,L25,N25),0)</f>
        <v>0</v>
      </c>
      <c r="W25">
        <f>IF($B25=350,Q25-SUM(E25,G25,J25,L25,N25),0)</f>
        <v>0</v>
      </c>
      <c r="X25">
        <f>IF($B25=500,Q25-SUM(E25,G25,J25,L25,N25),0)</f>
        <v>0</v>
      </c>
      <c r="Y25">
        <f>IF($B25=550,Q25-SUM(E25,G25,J25,L25,N25),0)</f>
        <v>0</v>
      </c>
      <c r="Z25">
        <f>SUM(S25:Y25)*2</f>
        <v>15.741</v>
      </c>
    </row>
    <row r="26">
      <c r="A26">
        <f>A25+1</f>
        <v>18</v>
      </c>
      <c r="B26">
        <v>200</v>
      </c>
      <c r="C26">
        <v>730</v>
      </c>
      <c r="D26">
        <f>0-(-3300)</f>
        <v>3300</v>
      </c>
      <c r="Q26">
        <f>C26*D26/1000000-O26</f>
        <v>2.409</v>
      </c>
      <c r="S26">
        <f>IF($B26=150,Q26-SUM(E26,G26,J26,L26,N26),0)</f>
        <v>0</v>
      </c>
      <c r="T26">
        <f>IF($B26=200,Q26-SUM(E26,G26,J26,L26,N26),0)</f>
        <v>2.409</v>
      </c>
      <c r="U26">
        <f>IF($B26=250,Q26-SUM(E26,G26,J26,L26,N26),0)</f>
        <v>0</v>
      </c>
      <c r="V26">
        <f>IF($B26=300,Q26-SUM(E26,G26,J26,L26,N26),0)</f>
        <v>0</v>
      </c>
      <c r="W26">
        <f>IF($B26=350,Q26-SUM(E26,G26,J26,L26,N26),0)</f>
        <v>0</v>
      </c>
      <c r="X26">
        <f>IF($B26=500,Q26-SUM(E26,G26,J26,L26,N26),0)</f>
        <v>0</v>
      </c>
      <c r="Y26">
        <f>IF($B26=550,Q26-SUM(E26,G26,J26,L26,N26),0)</f>
        <v>0</v>
      </c>
      <c r="Z26">
        <f>SUM(S26:Y26)*2</f>
        <v>4.818</v>
      </c>
    </row>
    <row r="27">
      <c r="A27">
        <f>A26+1</f>
        <v>19</v>
      </c>
      <c r="B27">
        <v>200</v>
      </c>
      <c r="C27">
        <v>5015</v>
      </c>
      <c r="D27">
        <f>0-(-3300)</f>
        <v>3300</v>
      </c>
      <c r="O27">
        <f>0.8*2.2</f>
        <v>1.7600000000000002</v>
      </c>
      <c r="Q27">
        <f>C27*D27/1000000-O27</f>
        <v>14.789499999999999</v>
      </c>
      <c r="S27">
        <f>IF($B27=150,Q27-SUM(E27,G27,J27,L27,N27),0)</f>
        <v>0</v>
      </c>
      <c r="T27">
        <f>IF($B27=200,Q27-SUM(E27,G27,J27,L27,N27),0)</f>
        <v>14.789499999999999</v>
      </c>
      <c r="U27">
        <f>IF($B27=250,Q27-SUM(E27,G27,J27,L27,N27),0)</f>
        <v>0</v>
      </c>
      <c r="V27">
        <f>IF($B27=300,Q27-SUM(E27,G27,J27,L27,N27),0)</f>
        <v>0</v>
      </c>
      <c r="W27">
        <f>IF($B27=350,Q27-SUM(E27,G27,J27,L27,N27),0)</f>
        <v>0</v>
      </c>
      <c r="X27">
        <f>IF($B27=500,Q27-SUM(E27,G27,J27,L27,N27),0)</f>
        <v>0</v>
      </c>
      <c r="Y27">
        <f>IF($B27=550,Q27-SUM(E27,G27,J27,L27,N27),0)</f>
        <v>0</v>
      </c>
      <c r="Z27">
        <f>SUM(S27:Y27)*2</f>
        <v>29.578999999999997</v>
      </c>
      <c r="AC27">
        <f>0.8+2*2.2</f>
        <v>5.2</v>
      </c>
    </row>
    <row r="28">
      <c r="A28">
        <f>A27+1</f>
        <v>20</v>
      </c>
      <c r="B28">
        <v>200</v>
      </c>
      <c r="C28">
        <v>2815</v>
      </c>
      <c r="D28">
        <f>0-(-3300)</f>
        <v>3300</v>
      </c>
      <c r="Q28">
        <f>C28*D28/1000000-O28</f>
        <v>9.2895</v>
      </c>
      <c r="S28">
        <f>IF($B28=150,Q28-SUM(E28,G28,J28,L28,N28),0)</f>
        <v>0</v>
      </c>
      <c r="T28">
        <f>IF($B28=200,Q28-SUM(E28,G28,J28,L28,N28),0)</f>
        <v>9.2895</v>
      </c>
      <c r="U28">
        <f>IF($B28=250,Q28-SUM(E28,G28,J28,L28,N28),0)</f>
        <v>0</v>
      </c>
      <c r="V28">
        <f>IF($B28=300,Q28-SUM(E28,G28,J28,L28,N28),0)</f>
        <v>0</v>
      </c>
      <c r="W28">
        <f>IF($B28=350,Q28-SUM(E28,G28,J28,L28,N28),0)</f>
        <v>0</v>
      </c>
      <c r="X28">
        <f>IF($B28=500,Q28-SUM(E28,G28,J28,L28,N28),0)</f>
        <v>0</v>
      </c>
      <c r="Y28">
        <f>IF($B28=550,Q28-SUM(E28,G28,J28,L28,N28),0)</f>
        <v>0</v>
      </c>
      <c r="Z28">
        <f>SUM(S28:Y28)*2</f>
        <v>18.579</v>
      </c>
    </row>
    <row r="29">
      <c r="A29">
        <f>A28+1</f>
        <v>21</v>
      </c>
      <c r="B29">
        <v>200</v>
      </c>
      <c r="C29">
        <v>3200</v>
      </c>
      <c r="D29">
        <f>0-(-3300)</f>
        <v>3300</v>
      </c>
      <c r="Q29">
        <f>C29*D29/1000000-O29</f>
        <v>10.56</v>
      </c>
      <c r="S29">
        <f>IF($B29=150,Q29-SUM(E29,G29,J29,L29,N29),0)</f>
        <v>0</v>
      </c>
      <c r="T29">
        <f>IF($B29=200,Q29-SUM(E29,G29,J29,L29,N29),0)</f>
        <v>10.56</v>
      </c>
      <c r="U29">
        <f>IF($B29=250,Q29-SUM(E29,G29,J29,L29,N29),0)</f>
        <v>0</v>
      </c>
      <c r="V29">
        <f>IF($B29=300,Q29-SUM(E29,G29,J29,L29,N29),0)</f>
        <v>0</v>
      </c>
      <c r="W29">
        <f>IF($B29=350,Q29-SUM(E29,G29,J29,L29,N29),0)</f>
        <v>0</v>
      </c>
      <c r="X29">
        <f>IF($B29=500,Q29-SUM(E29,G29,J29,L29,N29),0)</f>
        <v>0</v>
      </c>
      <c r="Y29">
        <f>IF($B29=550,Q29-SUM(E29,G29,J29,L29,N29),0)</f>
        <v>0</v>
      </c>
      <c r="Z29">
        <f>SUM(S29:Y29)*2</f>
        <v>21.12</v>
      </c>
    </row>
    <row r="30">
      <c r="A30">
        <f>A29+1</f>
        <v>22</v>
      </c>
      <c r="B30">
        <v>200</v>
      </c>
      <c r="C30">
        <v>2695</v>
      </c>
      <c r="D30">
        <f>0-(-3300)</f>
        <v>3300</v>
      </c>
      <c r="O30">
        <f>1.86*2.2</f>
        <v>4.0920000000000005</v>
      </c>
      <c r="Q30">
        <f>C30*D30/1000000-O30</f>
        <v>4.801499999999999</v>
      </c>
      <c r="S30">
        <f>IF($B30=150,Q30-SUM(E30,G30,J30,L30,N30),0)</f>
        <v>0</v>
      </c>
      <c r="T30">
        <f>IF($B30=200,Q30-SUM(E30,G30,J30,L30,N30),0)</f>
        <v>4.801499999999999</v>
      </c>
      <c r="U30">
        <f>IF($B30=250,Q30-SUM(E30,G30,J30,L30,N30),0)</f>
        <v>0</v>
      </c>
      <c r="V30">
        <f>IF($B30=300,Q30-SUM(E30,G30,J30,L30,N30),0)</f>
        <v>0</v>
      </c>
      <c r="W30">
        <f>IF($B30=350,Q30-SUM(E30,G30,J30,L30,N30),0)</f>
        <v>0</v>
      </c>
      <c r="X30">
        <f>IF($B30=500,Q30-SUM(E30,G30,J30,L30,N30),0)</f>
        <v>0</v>
      </c>
      <c r="Y30">
        <f>IF($B30=550,Q30-SUM(E30,G30,J30,L30,N30),0)</f>
        <v>0</v>
      </c>
      <c r="Z30">
        <f>SUM(S30:Y30)*2</f>
        <v>9.602999999999998</v>
      </c>
      <c r="AC30">
        <f>1.86+2*2.2</f>
        <v>6.260000000000001</v>
      </c>
    </row>
    <row r="31">
      <c r="A31">
        <f>A30+1</f>
        <v>23</v>
      </c>
      <c r="B31">
        <v>200</v>
      </c>
      <c r="C31">
        <v>3630</v>
      </c>
      <c r="D31">
        <f>0-(-3300)</f>
        <v>3300</v>
      </c>
      <c r="O31">
        <f>0.98*2.2</f>
        <v>2.156</v>
      </c>
      <c r="Q31">
        <f>C31*D31/1000000-O31</f>
        <v>9.822999999999999</v>
      </c>
      <c r="S31">
        <f>IF($B31=150,Q31-SUM(E31,G31,J31,L31,N31),0)</f>
        <v>0</v>
      </c>
      <c r="T31">
        <f>IF($B31=200,Q31-SUM(E31,G31,J31,L31,N31),0)</f>
        <v>9.822999999999999</v>
      </c>
      <c r="U31">
        <f>IF($B31=250,Q31-SUM(E31,G31,J31,L31,N31),0)</f>
        <v>0</v>
      </c>
      <c r="V31">
        <f>IF($B31=300,Q31-SUM(E31,G31,J31,L31,N31),0)</f>
        <v>0</v>
      </c>
      <c r="W31">
        <f>IF($B31=350,Q31-SUM(E31,G31,J31,L31,N31),0)</f>
        <v>0</v>
      </c>
      <c r="X31">
        <f>IF($B31=500,Q31-SUM(E31,G31,J31,L31,N31),0)</f>
        <v>0</v>
      </c>
      <c r="Y31">
        <f>IF($B31=550,Q31-SUM(E31,G31,J31,L31,N31),0)</f>
        <v>0</v>
      </c>
      <c r="Z31">
        <f>SUM(S31:Y31)*2</f>
        <v>19.645999999999997</v>
      </c>
      <c r="AC31">
        <f>0.98+2*2.2</f>
        <v>5.380000000000001</v>
      </c>
    </row>
    <row r="32">
      <c r="A32">
        <f>A31+1</f>
        <v>24</v>
      </c>
      <c r="B32">
        <v>600</v>
      </c>
      <c r="C32">
        <v>5735</v>
      </c>
      <c r="D32">
        <f>0-(-3300)</f>
        <v>3300</v>
      </c>
      <c r="O32">
        <f>5.5*2.2</f>
        <v>12.100000000000001</v>
      </c>
      <c r="Q32">
        <f>C32*D32/1000000-O32</f>
        <v>6.825499999999998</v>
      </c>
      <c r="S32">
        <f>IF($B32=150,Q32-SUM(E32,G32,J32,L32,N32),0)</f>
        <v>0</v>
      </c>
      <c r="T32">
        <f>IF($B32=200,Q32-SUM(E32,G32,J32,L32,N32),0)</f>
        <v>0</v>
      </c>
      <c r="U32">
        <f>IF($B32=250,Q32-SUM(E32,G32,J32,L32,N32),0)</f>
        <v>0</v>
      </c>
      <c r="V32">
        <f>IF($B32=300,Q32-SUM(E32,G32,J32,L32,N32),0)</f>
        <v>0</v>
      </c>
      <c r="W32">
        <f>IF($B32=350,Q32-SUM(E32,G32,J32,L32,N32),0)</f>
        <v>0</v>
      </c>
      <c r="X32">
        <f>IF($B32=500,Q32-SUM(E32,G32,J32,L32,N32),0)</f>
        <v>0</v>
      </c>
      <c r="Y32">
        <f>IF($B32=550,Q32-SUM(E32,G32,J32,L32,N32),0)</f>
        <v>0</v>
      </c>
      <c r="Z32">
        <f>SUM(S32:Y32)*2</f>
        <v>0</v>
      </c>
      <c r="AC32">
        <f>5.5+2*2.2</f>
        <v>9.9</v>
      </c>
    </row>
    <row r="33">
      <c r="Q33">
        <f>C33*D33/1000000-O33</f>
        <v>0</v>
      </c>
      <c r="S33">
        <f>IF($B33=150,Q33-SUM(E33,G33,J33,L33,N33),0)</f>
        <v>0</v>
      </c>
      <c r="T33">
        <f>IF($B33=200,Q33-SUM(E33,G33,J33,L33,N33),0)</f>
        <v>0</v>
      </c>
      <c r="U33">
        <f>IF($B33=250,Q33-SUM(E33,G33,J33,L33,N33),0)</f>
        <v>0</v>
      </c>
      <c r="V33">
        <f>IF($B33=300,Q33-SUM(E33,G33,J33,L33,N33),0)</f>
        <v>0</v>
      </c>
      <c r="W33">
        <f>IF($B33=350,Q33-SUM(E33,G33,J33,L33,N33),0)</f>
        <v>0</v>
      </c>
      <c r="X33">
        <f>IF($B33=500,Q33-SUM(E33,G33,J33,L33,N33),0)</f>
        <v>0</v>
      </c>
      <c r="Y33">
        <f>IF($B33=550,Q33-SUM(E33,G33,J33,L33,N33),0)</f>
        <v>0</v>
      </c>
      <c r="Z33">
        <f>SUM(S33:Y33)*2</f>
        <v>0</v>
      </c>
    </row>
    <row r="34">
      <c r="A34" t="str">
        <v>VOLUME</v>
      </c>
      <c r="F34">
        <f>SUM(F8:F33)</f>
        <v>0</v>
      </c>
      <c r="K34">
        <f>SUM(K8:K33)</f>
        <v>0</v>
      </c>
      <c r="M34">
        <f>SUM(M8:M33)</f>
        <v>0</v>
      </c>
      <c r="Q34">
        <f>SUM(Q8:Q33)</f>
        <v>291.40149999999994</v>
      </c>
      <c r="R34">
        <f>SUM(R8:R33)</f>
        <v>0</v>
      </c>
      <c r="S34">
        <f>SUM(S8:S33)</f>
        <v>0</v>
      </c>
      <c r="T34">
        <f>SUM(T8:T33)</f>
        <v>284.57599999999996</v>
      </c>
      <c r="U34">
        <f>SUM(U8:U33)</f>
        <v>0</v>
      </c>
      <c r="V34">
        <f>SUM(V8:V33)</f>
        <v>0</v>
      </c>
      <c r="W34">
        <f>SUM(W8:W33)</f>
        <v>0</v>
      </c>
      <c r="X34">
        <f>SUM(X8:X33)</f>
        <v>0</v>
      </c>
      <c r="Y34">
        <f>SUM(Y8:Y33)</f>
        <v>0</v>
      </c>
      <c r="Z34">
        <f>SUM(Z8:Z33)</f>
        <v>569.1519999999999</v>
      </c>
      <c r="AA34">
        <f>SUM(AA8:AA33)</f>
        <v>0</v>
      </c>
      <c r="AB34">
        <f>SUM(R34:Y34)</f>
        <v>284.57599999999996</v>
      </c>
      <c r="AC34">
        <f>SUM(AC8:AC33)</f>
        <v>96.64000000000001</v>
      </c>
      <c r="AD34">
        <f>SUM(AD8:AD33)</f>
        <v>0</v>
      </c>
    </row>
    <row r="35">
      <c r="AD35">
        <f>AD34/AB34</f>
        <v>0</v>
      </c>
    </row>
    <row r="38">
      <c r="A38" t="str">
        <v>Lantai 1</v>
      </c>
      <c r="C38" t="str">
        <v>Panjang</v>
      </c>
      <c r="D38" t="str">
        <v>Tinggi</v>
      </c>
      <c r="E38" t="str">
        <v>Luas Pengurang</v>
      </c>
      <c r="Q38" t="str">
        <v>Luas Bruto - Kusen</v>
      </c>
      <c r="R38" t="str">
        <v>Luas Bruto - Kusen dan Balok</v>
      </c>
      <c r="S38" t="str">
        <v>Luas Dinding 1/2 Bata</v>
      </c>
      <c r="T38" t="str">
        <v>Luas Dinding 3/4 Bata</v>
      </c>
      <c r="U38" t="str">
        <v>Luas Dinding 1 Bata</v>
      </c>
      <c r="V38" t="str">
        <v>Luas Dinding 1 1/4 Bata</v>
      </c>
      <c r="W38" t="str">
        <v>Luas Dinding 1 1/2 Bata</v>
      </c>
      <c r="X38" t="str">
        <v>Luas Dinding 2 1/4 Bata</v>
      </c>
      <c r="Y38" t="str">
        <v>Luas Dinding 2 1/2 Bata</v>
      </c>
      <c r="Z38" t="str">
        <v>Plester &amp; Aci</v>
      </c>
      <c r="AA38" t="str">
        <v>Benangan</v>
      </c>
    </row>
    <row r="39">
      <c r="E39" t="str">
        <v>Kolom Struktur</v>
      </c>
      <c r="F39" t="str">
        <v>Kolom Praktis</v>
      </c>
      <c r="H39" t="str">
        <v>Balok Struktur</v>
      </c>
      <c r="K39" t="str">
        <v>Balok Latei</v>
      </c>
      <c r="M39" t="str">
        <v>Balok Praktis</v>
      </c>
      <c r="O39" t="str">
        <v>Luas Kusen</v>
      </c>
      <c r="P39" t="str">
        <v>Tipe Kusen</v>
      </c>
    </row>
    <row r="40">
      <c r="A40" t="str">
        <v>Nomor</v>
      </c>
      <c r="B40" t="str">
        <v>Tebal (mm)</v>
      </c>
      <c r="E40" t="str">
        <v>m2</v>
      </c>
      <c r="F40" t="str">
        <v>m'</v>
      </c>
      <c r="G40" t="str">
        <v>Luas KP</v>
      </c>
      <c r="H40" t="str">
        <v>panjang</v>
      </c>
      <c r="I40" t="str">
        <v>tinggi</v>
      </c>
      <c r="J40" t="str">
        <v>Luas Balok</v>
      </c>
      <c r="K40" t="str">
        <v>m'</v>
      </c>
      <c r="L40" t="str">
        <v>Luas BL</v>
      </c>
      <c r="M40" t="str">
        <v>m'</v>
      </c>
      <c r="N40" t="str">
        <v>Luas BP</v>
      </c>
      <c r="O40" t="str">
        <v>m2</v>
      </c>
      <c r="Q40" t="str">
        <v>m2</v>
      </c>
      <c r="R40" t="str">
        <v>m2</v>
      </c>
      <c r="S40" t="str">
        <v>m2</v>
      </c>
      <c r="T40" t="str">
        <v>m2</v>
      </c>
      <c r="U40" t="str">
        <v>m2</v>
      </c>
      <c r="V40" t="str">
        <v>m2</v>
      </c>
      <c r="W40" t="str">
        <v>m2</v>
      </c>
      <c r="X40" t="str">
        <v>m2</v>
      </c>
      <c r="Y40" t="str">
        <v>m2</v>
      </c>
      <c r="Z40" t="str">
        <v>m2</v>
      </c>
      <c r="AA40" t="str">
        <v>m'</v>
      </c>
    </row>
    <row r="42">
      <c r="A42">
        <v>1</v>
      </c>
      <c r="B42">
        <v>200</v>
      </c>
      <c r="C42">
        <v>24900</v>
      </c>
      <c r="D42">
        <f>4500-0</f>
        <v>4500</v>
      </c>
      <c r="Q42">
        <f>C42*D42/1000000-O42</f>
        <v>112.05</v>
      </c>
      <c r="S42">
        <f>IF($B42=150,Q42-SUM(E42,G42,J42,L42,N42),0)</f>
        <v>0</v>
      </c>
      <c r="T42">
        <f>IF($B42=200,Q42-SUM(E42,G42,J42,L42,N42),0)</f>
        <v>112.05</v>
      </c>
      <c r="U42">
        <f>IF($B42=250,Q42-SUM(E42,G42,J42,L42,N42),0)</f>
        <v>0</v>
      </c>
      <c r="V42">
        <f>IF($B42=300,Q42-SUM(E42,G42,J42,L42,N42),0)</f>
        <v>0</v>
      </c>
      <c r="W42">
        <f>IF($B42=350,Q42-SUM(E42,G42,J42,L42,N42),0)</f>
        <v>0</v>
      </c>
      <c r="X42">
        <f>IF($B42=500,Q42-SUM(E42,G42,J42,L42,N42),0)</f>
        <v>0</v>
      </c>
      <c r="Y42">
        <f>IF($B42=550,Q42-SUM(E42,G42,J42,L42,N42),0)</f>
        <v>0</v>
      </c>
      <c r="Z42">
        <f>SUM(S42:Y42)*2</f>
        <v>224.1</v>
      </c>
    </row>
    <row r="43">
      <c r="A43">
        <f>A42+1</f>
        <v>2</v>
      </c>
      <c r="B43">
        <v>200</v>
      </c>
      <c r="C43">
        <v>18000</v>
      </c>
      <c r="D43">
        <f>4500-0</f>
        <v>4500</v>
      </c>
      <c r="Q43">
        <f>C43*D43/1000000-O43</f>
        <v>81</v>
      </c>
      <c r="S43">
        <f>IF($B43=150,Q43-SUM(E43,G43,J43,L43,N43),0)</f>
        <v>0</v>
      </c>
      <c r="T43">
        <f>IF($B43=200,Q43-SUM(E43,G43,J43,L43,N43),0)</f>
        <v>81</v>
      </c>
      <c r="U43">
        <f>IF($B43=250,Q43-SUM(E43,G43,J43,L43,N43),0)</f>
        <v>0</v>
      </c>
      <c r="V43">
        <f>IF($B43=300,Q43-SUM(E43,G43,J43,L43,N43),0)</f>
        <v>0</v>
      </c>
      <c r="W43">
        <f>IF($B43=350,Q43-SUM(E43,G43,J43,L43,N43),0)</f>
        <v>0</v>
      </c>
      <c r="X43">
        <f>IF($B43=500,Q43-SUM(E43,G43,J43,L43,N43),0)</f>
        <v>0</v>
      </c>
      <c r="Y43">
        <f>IF($B43=550,Q43-SUM(E43,G43,J43,L43,N43),0)</f>
        <v>0</v>
      </c>
      <c r="Z43">
        <f>SUM(S43:Y43)*2</f>
        <v>162</v>
      </c>
    </row>
    <row r="44">
      <c r="A44">
        <f>A43+1</f>
        <v>3</v>
      </c>
      <c r="B44">
        <v>200</v>
      </c>
      <c r="C44">
        <v>24900</v>
      </c>
      <c r="D44">
        <f>4500-0</f>
        <v>4500</v>
      </c>
      <c r="Q44">
        <f>C44*D44/1000000-O44</f>
        <v>112.05</v>
      </c>
      <c r="S44">
        <f>IF($B44=150,Q44-SUM(E44,G44,J44,L44,N44),0)</f>
        <v>0</v>
      </c>
      <c r="T44">
        <f>IF($B44=200,Q44-SUM(E44,G44,J44,L44,N44),0)</f>
        <v>112.05</v>
      </c>
      <c r="U44">
        <f>IF($B44=250,Q44-SUM(E44,G44,J44,L44,N44),0)</f>
        <v>0</v>
      </c>
      <c r="V44">
        <f>IF($B44=300,Q44-SUM(E44,G44,J44,L44,N44),0)</f>
        <v>0</v>
      </c>
      <c r="W44">
        <f>IF($B44=350,Q44-SUM(E44,G44,J44,L44,N44),0)</f>
        <v>0</v>
      </c>
      <c r="X44">
        <f>IF($B44=500,Q44-SUM(E44,G44,J44,L44,N44),0)</f>
        <v>0</v>
      </c>
      <c r="Y44">
        <f>IF($B44=550,Q44-SUM(E44,G44,J44,L44,N44),0)</f>
        <v>0</v>
      </c>
      <c r="Z44">
        <f>SUM(S44:Y44)*2</f>
        <v>224.1</v>
      </c>
    </row>
    <row r="45">
      <c r="A45">
        <f>A44+1</f>
        <v>4</v>
      </c>
      <c r="B45">
        <v>200</v>
      </c>
      <c r="C45">
        <v>1000</v>
      </c>
      <c r="D45">
        <f>4500-0</f>
        <v>4500</v>
      </c>
      <c r="Q45">
        <f>C45*D45/1000000-O45</f>
        <v>4.5</v>
      </c>
      <c r="S45">
        <f>IF($B45=150,Q45-SUM(E45,G45,J45,L45,N45),0)</f>
        <v>0</v>
      </c>
      <c r="T45">
        <f>IF($B45=200,Q45-SUM(E45,G45,J45,L45,N45),0)</f>
        <v>4.5</v>
      </c>
      <c r="U45">
        <f>IF($B45=250,Q45-SUM(E45,G45,J45,L45,N45),0)</f>
        <v>0</v>
      </c>
      <c r="V45">
        <f>IF($B45=300,Q45-SUM(E45,G45,J45,L45,N45),0)</f>
        <v>0</v>
      </c>
      <c r="W45">
        <f>IF($B45=350,Q45-SUM(E45,G45,J45,L45,N45),0)</f>
        <v>0</v>
      </c>
      <c r="X45">
        <f>IF($B45=500,Q45-SUM(E45,G45,J45,L45,N45),0)</f>
        <v>0</v>
      </c>
      <c r="Y45">
        <f>IF($B45=550,Q45-SUM(E45,G45,J45,L45,N45),0)</f>
        <v>0</v>
      </c>
      <c r="Z45">
        <f>SUM(S45:Y45)*2</f>
        <v>9</v>
      </c>
    </row>
    <row r="46">
      <c r="A46">
        <f>A45+1</f>
        <v>5</v>
      </c>
      <c r="B46">
        <v>200</v>
      </c>
      <c r="C46">
        <v>1700</v>
      </c>
      <c r="D46">
        <f>4500-0</f>
        <v>4500</v>
      </c>
      <c r="Q46">
        <f>C46*D46/1000000-O46</f>
        <v>7.65</v>
      </c>
      <c r="S46">
        <f>IF($B46=150,Q46-SUM(E46,G46,J46,L46,N46),0)</f>
        <v>0</v>
      </c>
      <c r="T46">
        <f>IF($B46=200,Q46-SUM(E46,G46,J46,L46,N46),0)</f>
        <v>7.65</v>
      </c>
      <c r="U46">
        <f>IF($B46=250,Q46-SUM(E46,G46,J46,L46,N46),0)</f>
        <v>0</v>
      </c>
      <c r="V46">
        <f>IF($B46=300,Q46-SUM(E46,G46,J46,L46,N46),0)</f>
        <v>0</v>
      </c>
      <c r="W46">
        <f>IF($B46=350,Q46-SUM(E46,G46,J46,L46,N46),0)</f>
        <v>0</v>
      </c>
      <c r="X46">
        <f>IF($B46=500,Q46-SUM(E46,G46,J46,L46,N46),0)</f>
        <v>0</v>
      </c>
      <c r="Y46">
        <f>IF($B46=550,Q46-SUM(E46,G46,J46,L46,N46),0)</f>
        <v>0</v>
      </c>
      <c r="Z46">
        <f>SUM(S46:Y46)*2</f>
        <v>15.3</v>
      </c>
    </row>
    <row r="47">
      <c r="A47">
        <f>A46+1</f>
        <v>6</v>
      </c>
      <c r="B47">
        <v>200</v>
      </c>
      <c r="C47">
        <v>5700</v>
      </c>
      <c r="D47">
        <f>4500-0</f>
        <v>4500</v>
      </c>
      <c r="O47">
        <f>3.48*3</f>
        <v>10.44</v>
      </c>
      <c r="Q47">
        <f>C47*D47/1000000-O47</f>
        <v>15.209999999999999</v>
      </c>
      <c r="S47">
        <f>IF($B47=150,Q47-SUM(E47,G47,J47,L47,N47),0)</f>
        <v>0</v>
      </c>
      <c r="T47">
        <f>IF($B47=200,Q47-SUM(E47,G47,J47,L47,N47),0)</f>
        <v>15.209999999999999</v>
      </c>
      <c r="U47">
        <f>IF($B47=250,Q47-SUM(E47,G47,J47,L47,N47),0)</f>
        <v>0</v>
      </c>
      <c r="V47">
        <f>IF($B47=300,Q47-SUM(E47,G47,J47,L47,N47),0)</f>
        <v>0</v>
      </c>
      <c r="W47">
        <f>IF($B47=350,Q47-SUM(E47,G47,J47,L47,N47),0)</f>
        <v>0</v>
      </c>
      <c r="X47">
        <f>IF($B47=500,Q47-SUM(E47,G47,J47,L47,N47),0)</f>
        <v>0</v>
      </c>
      <c r="Y47">
        <f>IF($B47=550,Q47-SUM(E47,G47,J47,L47,N47),0)</f>
        <v>0</v>
      </c>
      <c r="Z47">
        <f>SUM(S47:Y47)*2</f>
        <v>30.419999999999998</v>
      </c>
      <c r="AC47">
        <f>3.48+2*3</f>
        <v>9.48</v>
      </c>
    </row>
    <row r="48">
      <c r="A48">
        <f>A47+1</f>
        <v>7</v>
      </c>
      <c r="B48">
        <v>200</v>
      </c>
      <c r="C48">
        <v>10280</v>
      </c>
      <c r="D48">
        <f>4500-0</f>
        <v>4500</v>
      </c>
      <c r="O48">
        <f>2.98*3+2.25*3</f>
        <v>15.69</v>
      </c>
      <c r="Q48">
        <f>C48*D48/1000000-O48</f>
        <v>30.57</v>
      </c>
      <c r="S48">
        <f>IF($B48=150,Q48-SUM(E48,G48,J48,L48,N48),0)</f>
        <v>0</v>
      </c>
      <c r="T48">
        <f>IF($B48=200,Q48-SUM(E48,G48,J48,L48,N48),0)</f>
        <v>30.57</v>
      </c>
      <c r="U48">
        <f>IF($B48=250,Q48-SUM(E48,G48,J48,L48,N48),0)</f>
        <v>0</v>
      </c>
      <c r="V48">
        <f>IF($B48=300,Q48-SUM(E48,G48,J48,L48,N48),0)</f>
        <v>0</v>
      </c>
      <c r="W48">
        <f>IF($B48=350,Q48-SUM(E48,G48,J48,L48,N48),0)</f>
        <v>0</v>
      </c>
      <c r="X48">
        <f>IF($B48=500,Q48-SUM(E48,G48,J48,L48,N48),0)</f>
        <v>0</v>
      </c>
      <c r="Y48">
        <f>IF($B48=550,Q48-SUM(E48,G48,J48,L48,N48),0)</f>
        <v>0</v>
      </c>
      <c r="Z48">
        <f>SUM(S48:Y48)*2</f>
        <v>61.14</v>
      </c>
      <c r="AC48">
        <f>2.98+2*3+2.25+2*3</f>
        <v>17.23</v>
      </c>
    </row>
    <row r="49">
      <c r="A49">
        <f>A48+1</f>
        <v>8</v>
      </c>
      <c r="B49">
        <v>300</v>
      </c>
      <c r="C49">
        <v>5330</v>
      </c>
      <c r="D49">
        <f>4500-0</f>
        <v>4500</v>
      </c>
      <c r="Q49">
        <f>C49*D49/1000000-O49</f>
        <v>23.985</v>
      </c>
      <c r="S49">
        <f>IF($B49=150,Q49-SUM(E49,G49,J49,L49,N49),0)</f>
        <v>0</v>
      </c>
      <c r="T49">
        <f>IF($B49=200,Q49-SUM(E49,G49,J49,L49,N49),0)</f>
        <v>0</v>
      </c>
      <c r="U49">
        <f>IF($B49=250,Q49-SUM(E49,G49,J49,L49,N49),0)</f>
        <v>0</v>
      </c>
      <c r="V49">
        <f>IF($B49=300,Q49-SUM(E49,G49,J49,L49,N49),0)</f>
        <v>23.985</v>
      </c>
      <c r="W49">
        <f>IF($B49=350,Q49-SUM(E49,G49,J49,L49,N49),0)</f>
        <v>0</v>
      </c>
      <c r="X49">
        <f>IF($B49=500,Q49-SUM(E49,G49,J49,L49,N49),0)</f>
        <v>0</v>
      </c>
      <c r="Y49">
        <f>IF($B49=550,Q49-SUM(E49,G49,J49,L49,N49),0)</f>
        <v>0</v>
      </c>
      <c r="Z49">
        <f>SUM(S49:Y49)*2</f>
        <v>47.97</v>
      </c>
    </row>
    <row r="50">
      <c r="A50">
        <f>A49+1</f>
        <v>9</v>
      </c>
      <c r="B50">
        <v>200</v>
      </c>
      <c r="C50">
        <v>10600</v>
      </c>
      <c r="D50">
        <f>4500-0</f>
        <v>4500</v>
      </c>
      <c r="O50">
        <f>1.18*3</f>
        <v>3.54</v>
      </c>
      <c r="Q50">
        <f>C50*D50/1000000-O50</f>
        <v>44.160000000000004</v>
      </c>
      <c r="S50">
        <f>IF($B50=150,Q50-SUM(E50,G50,J50,L50,N50),0)</f>
        <v>0</v>
      </c>
      <c r="T50">
        <f>IF($B50=200,Q50-SUM(E50,G50,J50,L50,N50),0)</f>
        <v>44.160000000000004</v>
      </c>
      <c r="U50">
        <f>IF($B50=250,Q50-SUM(E50,G50,J50,L50,N50),0)</f>
        <v>0</v>
      </c>
      <c r="V50">
        <f>IF($B50=300,Q50-SUM(E50,G50,J50,L50,N50),0)</f>
        <v>0</v>
      </c>
      <c r="W50">
        <f>IF($B50=350,Q50-SUM(E50,G50,J50,L50,N50),0)</f>
        <v>0</v>
      </c>
      <c r="X50">
        <f>IF($B50=500,Q50-SUM(E50,G50,J50,L50,N50),0)</f>
        <v>0</v>
      </c>
      <c r="Y50">
        <f>IF($B50=550,Q50-SUM(E50,G50,J50,L50,N50),0)</f>
        <v>0</v>
      </c>
      <c r="Z50">
        <f>SUM(S50:Y50)*2</f>
        <v>88.32000000000001</v>
      </c>
      <c r="AC50">
        <f>1.18*2*3</f>
        <v>7.08</v>
      </c>
    </row>
    <row r="51">
      <c r="A51">
        <f>A50+1</f>
        <v>10</v>
      </c>
      <c r="B51">
        <v>200</v>
      </c>
      <c r="C51">
        <v>10600</v>
      </c>
      <c r="D51">
        <f>4500-0</f>
        <v>4500</v>
      </c>
      <c r="O51">
        <f>1.188*3</f>
        <v>3.564</v>
      </c>
      <c r="Q51">
        <f>C51*D51/1000000-O51</f>
        <v>44.136</v>
      </c>
      <c r="S51">
        <f>IF($B51=150,Q51-SUM(E51,G51,J51,L51,N51),0)</f>
        <v>0</v>
      </c>
      <c r="T51">
        <f>IF($B51=200,Q51-SUM(E51,G51,J51,L51,N51),0)</f>
        <v>44.136</v>
      </c>
      <c r="U51">
        <f>IF($B51=250,Q51-SUM(E51,G51,J51,L51,N51),0)</f>
        <v>0</v>
      </c>
      <c r="V51">
        <f>IF($B51=300,Q51-SUM(E51,G51,J51,L51,N51),0)</f>
        <v>0</v>
      </c>
      <c r="W51">
        <f>IF($B51=350,Q51-SUM(E51,G51,J51,L51,N51),0)</f>
        <v>0</v>
      </c>
      <c r="X51">
        <f>IF($B51=500,Q51-SUM(E51,G51,J51,L51,N51),0)</f>
        <v>0</v>
      </c>
      <c r="Y51">
        <f>IF($B51=550,Q51-SUM(E51,G51,J51,L51,N51),0)</f>
        <v>0</v>
      </c>
      <c r="Z51">
        <f>SUM(S51:Y51)*2</f>
        <v>88.272</v>
      </c>
      <c r="AC51">
        <f>1.188+2*3</f>
        <v>7.188</v>
      </c>
    </row>
    <row r="52">
      <c r="A52">
        <f>A51+1</f>
        <v>11</v>
      </c>
      <c r="B52">
        <v>200</v>
      </c>
      <c r="C52">
        <v>4070</v>
      </c>
      <c r="D52">
        <f>4500-0</f>
        <v>4500</v>
      </c>
      <c r="Q52">
        <f>C52*D52/1000000-O52</f>
        <v>18.315</v>
      </c>
      <c r="S52">
        <f>IF($B52=150,Q52-SUM(E52,G52,J52,L52,N52),0)</f>
        <v>0</v>
      </c>
      <c r="T52">
        <f>IF($B52=200,Q52-SUM(E52,G52,J52,L52,N52),0)</f>
        <v>18.315</v>
      </c>
      <c r="U52">
        <f>IF($B52=250,Q52-SUM(E52,G52,J52,L52,N52),0)</f>
        <v>0</v>
      </c>
      <c r="V52">
        <f>IF($B52=300,Q52-SUM(E52,G52,J52,L52,N52),0)</f>
        <v>0</v>
      </c>
      <c r="W52">
        <f>IF($B52=350,Q52-SUM(E52,G52,J52,L52,N52),0)</f>
        <v>0</v>
      </c>
      <c r="X52">
        <f>IF($B52=500,Q52-SUM(E52,G52,J52,L52,N52),0)</f>
        <v>0</v>
      </c>
      <c r="Y52">
        <f>IF($B52=550,Q52-SUM(E52,G52,J52,L52,N52),0)</f>
        <v>0</v>
      </c>
      <c r="Z52">
        <f>SUM(S52:Y52)*2</f>
        <v>36.63</v>
      </c>
    </row>
    <row r="53">
      <c r="A53">
        <f>A52+1</f>
        <v>12</v>
      </c>
      <c r="B53">
        <v>350</v>
      </c>
      <c r="C53">
        <v>4585</v>
      </c>
      <c r="D53">
        <f>4500-0</f>
        <v>4500</v>
      </c>
      <c r="O53">
        <f>0.98*3</f>
        <v>2.94</v>
      </c>
      <c r="Q53">
        <f>C53*D53/1000000-O53</f>
        <v>17.6925</v>
      </c>
      <c r="S53">
        <f>IF($B53=150,Q53-SUM(E53,G53,J53,L53,N53),0)</f>
        <v>0</v>
      </c>
      <c r="T53">
        <f>IF($B53=200,Q53-SUM(E53,G53,J53,L53,N53),0)</f>
        <v>0</v>
      </c>
      <c r="U53">
        <f>IF($B53=250,Q53-SUM(E53,G53,J53,L53,N53),0)</f>
        <v>0</v>
      </c>
      <c r="V53">
        <f>IF($B53=300,Q53-SUM(E53,G53,J53,L53,N53),0)</f>
        <v>0</v>
      </c>
      <c r="W53">
        <f>IF($B53=350,Q53-SUM(E53,G53,J53,L53,N53),0)</f>
        <v>17.6925</v>
      </c>
      <c r="X53">
        <f>IF($B53=500,Q53-SUM(E53,G53,J53,L53,N53),0)</f>
        <v>0</v>
      </c>
      <c r="Y53">
        <f>IF($B53=550,Q53-SUM(E53,G53,J53,L53,N53),0)</f>
        <v>0</v>
      </c>
      <c r="Z53">
        <f>SUM(S53:Y53)*2</f>
        <v>35.385</v>
      </c>
      <c r="AC53">
        <f>0.98+2*3</f>
        <v>6.98</v>
      </c>
    </row>
    <row r="54">
      <c r="A54">
        <f>A53+1</f>
        <v>13</v>
      </c>
      <c r="B54">
        <v>550</v>
      </c>
      <c r="C54">
        <v>4385</v>
      </c>
      <c r="D54">
        <f>4500-0</f>
        <v>4500</v>
      </c>
      <c r="O54">
        <f>4.08*3</f>
        <v>12.24</v>
      </c>
      <c r="Q54">
        <f>C54*D54/1000000-O54</f>
        <v>7.4925000000000015</v>
      </c>
      <c r="S54">
        <f>IF($B54=150,Q54-SUM(E54,G54,J54,L54,N54),0)</f>
        <v>0</v>
      </c>
      <c r="T54">
        <f>IF($B54=200,Q54-SUM(E54,G54,J54,L54,N54),0)</f>
        <v>0</v>
      </c>
      <c r="U54">
        <f>IF($B54=250,Q54-SUM(E54,G54,J54,L54,N54),0)</f>
        <v>0</v>
      </c>
      <c r="V54">
        <f>IF($B54=300,Q54-SUM(E54,G54,J54,L54,N54),0)</f>
        <v>0</v>
      </c>
      <c r="W54">
        <f>IF($B54=350,Q54-SUM(E54,G54,J54,L54,N54),0)</f>
        <v>0</v>
      </c>
      <c r="X54">
        <f>IF($B54=500,Q54-SUM(E54,G54,J54,L54,N54),0)</f>
        <v>0</v>
      </c>
      <c r="Y54">
        <f>IF($B54=550,Q54-SUM(E54,G54,J54,L54,N54),0)</f>
        <v>7.4925000000000015</v>
      </c>
      <c r="Z54">
        <f>SUM(S54:Y54)*2</f>
        <v>14.985000000000003</v>
      </c>
      <c r="AC54">
        <f>4.08+2*3</f>
        <v>10.08</v>
      </c>
    </row>
    <row r="55">
      <c r="A55">
        <f>A54+1</f>
        <v>14</v>
      </c>
      <c r="B55">
        <v>200</v>
      </c>
      <c r="C55">
        <v>2210</v>
      </c>
      <c r="D55">
        <f>4500-0</f>
        <v>4500</v>
      </c>
      <c r="O55">
        <f>1.8*2.2</f>
        <v>3.9600000000000004</v>
      </c>
      <c r="Q55">
        <f>C55*D55/1000000-O55</f>
        <v>5.984999999999999</v>
      </c>
      <c r="S55">
        <f>IF($B55=150,Q55-SUM(E55,G55,J55,L55,N55),0)</f>
        <v>0</v>
      </c>
      <c r="T55">
        <f>IF($B55=200,Q55-SUM(E55,G55,J55,L55,N55),0)</f>
        <v>5.984999999999999</v>
      </c>
      <c r="U55">
        <f>IF($B55=250,Q55-SUM(E55,G55,J55,L55,N55),0)</f>
        <v>0</v>
      </c>
      <c r="V55">
        <f>IF($B55=300,Q55-SUM(E55,G55,J55,L55,N55),0)</f>
        <v>0</v>
      </c>
      <c r="W55">
        <f>IF($B55=350,Q55-SUM(E55,G55,J55,L55,N55),0)</f>
        <v>0</v>
      </c>
      <c r="X55">
        <f>IF($B55=500,Q55-SUM(E55,G55,J55,L55,N55),0)</f>
        <v>0</v>
      </c>
      <c r="Y55">
        <f>IF($B55=550,Q55-SUM(E55,G55,J55,L55,N55),0)</f>
        <v>0</v>
      </c>
      <c r="Z55">
        <f>SUM(S55:Y55)*2</f>
        <v>11.969999999999999</v>
      </c>
      <c r="AC55">
        <f>2*(1.8+2.2)</f>
        <v>8</v>
      </c>
    </row>
    <row r="56">
      <c r="A56">
        <f>A55+1</f>
        <v>15</v>
      </c>
      <c r="B56">
        <v>200</v>
      </c>
      <c r="C56">
        <v>2200</v>
      </c>
      <c r="D56">
        <f>4500-0</f>
        <v>4500</v>
      </c>
      <c r="Q56">
        <f>C56*D56/1000000-O56</f>
        <v>9.9</v>
      </c>
      <c r="S56">
        <f>IF($B56=150,Q56-SUM(E56,G56,J56,L56,N56),0)</f>
        <v>0</v>
      </c>
      <c r="T56">
        <f>IF($B56=200,Q56-SUM(E56,G56,J56,L56,N56),0)</f>
        <v>9.9</v>
      </c>
      <c r="U56">
        <f>IF($B56=250,Q56-SUM(E56,G56,J56,L56,N56),0)</f>
        <v>0</v>
      </c>
      <c r="V56">
        <f>IF($B56=300,Q56-SUM(E56,G56,J56,L56,N56),0)</f>
        <v>0</v>
      </c>
      <c r="W56">
        <f>IF($B56=350,Q56-SUM(E56,G56,J56,L56,N56),0)</f>
        <v>0</v>
      </c>
      <c r="X56">
        <f>IF($B56=500,Q56-SUM(E56,G56,J56,L56,N56),0)</f>
        <v>0</v>
      </c>
      <c r="Y56">
        <f>IF($B56=550,Q56-SUM(E56,G56,J56,L56,N56),0)</f>
        <v>0</v>
      </c>
      <c r="Z56">
        <f>SUM(S56:Y56)*2</f>
        <v>19.8</v>
      </c>
    </row>
    <row r="57">
      <c r="A57">
        <f>A56+1</f>
        <v>16</v>
      </c>
      <c r="B57">
        <v>200</v>
      </c>
      <c r="C57">
        <v>7830</v>
      </c>
      <c r="D57">
        <f>4500-0</f>
        <v>4500</v>
      </c>
      <c r="O57">
        <f>2*1.18*3</f>
        <v>7.08</v>
      </c>
      <c r="Q57">
        <f>C57*D57/1000000-O57</f>
        <v>28.155</v>
      </c>
      <c r="S57">
        <f>IF($B57=150,Q57-SUM(E57,G57,J57,L57,N57),0)</f>
        <v>0</v>
      </c>
      <c r="T57">
        <f>IF($B57=200,Q57-SUM(E57,G57,J57,L57,N57),0)</f>
        <v>28.155</v>
      </c>
      <c r="U57">
        <f>IF($B57=250,Q57-SUM(E57,G57,J57,L57,N57),0)</f>
        <v>0</v>
      </c>
      <c r="V57">
        <f>IF($B57=300,Q57-SUM(E57,G57,J57,L57,N57),0)</f>
        <v>0</v>
      </c>
      <c r="W57">
        <f>IF($B57=350,Q57-SUM(E57,G57,J57,L57,N57),0)</f>
        <v>0</v>
      </c>
      <c r="X57">
        <f>IF($B57=500,Q57-SUM(E57,G57,J57,L57,N57),0)</f>
        <v>0</v>
      </c>
      <c r="Y57">
        <f>IF($B57=550,Q57-SUM(E57,G57,J57,L57,N57),0)</f>
        <v>0</v>
      </c>
      <c r="Z57">
        <f>SUM(S57:Y57)*2</f>
        <v>56.31</v>
      </c>
      <c r="AC57">
        <f>2*(1.18+2*3)</f>
        <v>14.36</v>
      </c>
    </row>
    <row r="58">
      <c r="A58">
        <f>A57+1</f>
        <v>17</v>
      </c>
      <c r="B58">
        <v>350</v>
      </c>
      <c r="C58">
        <v>1970</v>
      </c>
      <c r="D58">
        <f>4500-0</f>
        <v>4500</v>
      </c>
      <c r="Q58">
        <f>C58*D58/1000000-O58</f>
        <v>8.865</v>
      </c>
      <c r="S58">
        <f>IF($B58=150,Q58-SUM(E58,G58,J58,L58,N58),0)</f>
        <v>0</v>
      </c>
      <c r="T58">
        <f>IF($B58=200,Q58-SUM(E58,G58,J58,L58,N58),0)</f>
        <v>0</v>
      </c>
      <c r="U58">
        <f>IF($B58=250,Q58-SUM(E58,G58,J58,L58,N58),0)</f>
        <v>0</v>
      </c>
      <c r="V58">
        <f>IF($B58=300,Q58-SUM(E58,G58,J58,L58,N58),0)</f>
        <v>0</v>
      </c>
      <c r="W58">
        <f>IF($B58=350,Q58-SUM(E58,G58,J58,L58,N58),0)</f>
        <v>8.865</v>
      </c>
      <c r="X58">
        <f>IF($B58=500,Q58-SUM(E58,G58,J58,L58,N58),0)</f>
        <v>0</v>
      </c>
      <c r="Y58">
        <f>IF($B58=550,Q58-SUM(E58,G58,J58,L58,N58),0)</f>
        <v>0</v>
      </c>
      <c r="Z58">
        <f>SUM(S58:Y58)*2</f>
        <v>17.73</v>
      </c>
    </row>
    <row r="59">
      <c r="A59">
        <f>A58+1</f>
        <v>18</v>
      </c>
      <c r="B59">
        <v>350</v>
      </c>
      <c r="C59">
        <v>2830</v>
      </c>
      <c r="D59">
        <f>4500-0</f>
        <v>4500</v>
      </c>
      <c r="Q59">
        <f>C59*D59/1000000-O59</f>
        <v>12.735</v>
      </c>
      <c r="S59">
        <f>IF($B59=150,Q59-SUM(E59,G59,J59,L59,N59),0)</f>
        <v>0</v>
      </c>
      <c r="T59">
        <f>IF($B59=200,Q59-SUM(E59,G59,J59,L59,N59),0)</f>
        <v>0</v>
      </c>
      <c r="U59">
        <f>IF($B59=250,Q59-SUM(E59,G59,J59,L59,N59),0)</f>
        <v>0</v>
      </c>
      <c r="V59">
        <f>IF($B59=300,Q59-SUM(E59,G59,J59,L59,N59),0)</f>
        <v>0</v>
      </c>
      <c r="W59">
        <f>IF($B59=350,Q59-SUM(E59,G59,J59,L59,N59),0)</f>
        <v>12.735</v>
      </c>
      <c r="X59">
        <f>IF($B59=500,Q59-SUM(E59,G59,J59,L59,N59),0)</f>
        <v>0</v>
      </c>
      <c r="Y59">
        <f>IF($B59=550,Q59-SUM(E59,G59,J59,L59,N59),0)</f>
        <v>0</v>
      </c>
      <c r="Z59">
        <f>SUM(S59:Y59)*2</f>
        <v>25.47</v>
      </c>
    </row>
    <row r="60">
      <c r="A60">
        <f>A59+1</f>
        <v>19</v>
      </c>
      <c r="B60">
        <v>200</v>
      </c>
      <c r="C60">
        <v>4815</v>
      </c>
      <c r="D60">
        <f>4500-0</f>
        <v>4500</v>
      </c>
      <c r="Q60">
        <f>C60*D60/1000000-O60</f>
        <v>21.6675</v>
      </c>
      <c r="S60">
        <f>IF($B60=150,Q60-SUM(E60,G60,J60,L60,N60),0)</f>
        <v>0</v>
      </c>
      <c r="T60">
        <f>IF($B60=200,Q60-SUM(E60,G60,J60,L60,N60),0)</f>
        <v>21.6675</v>
      </c>
      <c r="U60">
        <f>IF($B60=250,Q60-SUM(E60,G60,J60,L60,N60),0)</f>
        <v>0</v>
      </c>
      <c r="V60">
        <f>IF($B60=300,Q60-SUM(E60,G60,J60,L60,N60),0)</f>
        <v>0</v>
      </c>
      <c r="W60">
        <f>IF($B60=350,Q60-SUM(E60,G60,J60,L60,N60),0)</f>
        <v>0</v>
      </c>
      <c r="X60">
        <f>IF($B60=500,Q60-SUM(E60,G60,J60,L60,N60),0)</f>
        <v>0</v>
      </c>
      <c r="Y60">
        <f>IF($B60=550,Q60-SUM(E60,G60,J60,L60,N60),0)</f>
        <v>0</v>
      </c>
      <c r="Z60">
        <f>SUM(S60:Y60)*2</f>
        <v>43.335</v>
      </c>
    </row>
    <row r="61">
      <c r="A61">
        <f>A60+1</f>
        <v>20</v>
      </c>
      <c r="B61">
        <v>200</v>
      </c>
      <c r="C61">
        <v>3885</v>
      </c>
      <c r="D61">
        <f>4500-0</f>
        <v>4500</v>
      </c>
      <c r="O61">
        <f>1*3</f>
        <v>3</v>
      </c>
      <c r="Q61">
        <f>C61*D61/1000000-O61</f>
        <v>14.482500000000002</v>
      </c>
      <c r="S61">
        <f>IF($B61=150,Q61-SUM(E61,G61,J61,L61,N61),0)</f>
        <v>0</v>
      </c>
      <c r="T61">
        <f>IF($B61=200,Q61-SUM(E61,G61,J61,L61,N61),0)</f>
        <v>14.482500000000002</v>
      </c>
      <c r="U61">
        <f>IF($B61=250,Q61-SUM(E61,G61,J61,L61,N61),0)</f>
        <v>0</v>
      </c>
      <c r="V61">
        <f>IF($B61=300,Q61-SUM(E61,G61,J61,L61,N61),0)</f>
        <v>0</v>
      </c>
      <c r="W61">
        <f>IF($B61=350,Q61-SUM(E61,G61,J61,L61,N61),0)</f>
        <v>0</v>
      </c>
      <c r="X61">
        <f>IF($B61=500,Q61-SUM(E61,G61,J61,L61,N61),0)</f>
        <v>0</v>
      </c>
      <c r="Y61">
        <f>IF($B61=550,Q61-SUM(E61,G61,J61,L61,N61),0)</f>
        <v>0</v>
      </c>
      <c r="Z61">
        <f>SUM(S61:Y61)*2</f>
        <v>28.965000000000003</v>
      </c>
      <c r="AC61">
        <f>1+2*3</f>
        <v>7</v>
      </c>
    </row>
    <row r="62">
      <c r="A62">
        <f>A61+1</f>
        <v>21</v>
      </c>
      <c r="B62">
        <v>200</v>
      </c>
      <c r="C62">
        <v>2715</v>
      </c>
      <c r="D62">
        <f>4500-0</f>
        <v>4500</v>
      </c>
      <c r="O62">
        <f>0.98*3</f>
        <v>2.94</v>
      </c>
      <c r="Q62">
        <f>C62*D62/1000000-O62</f>
        <v>9.2775</v>
      </c>
      <c r="S62">
        <f>IF($B62=150,Q62-SUM(E62,G62,J62,L62,N62),0)</f>
        <v>0</v>
      </c>
      <c r="T62">
        <f>IF($B62=200,Q62-SUM(E62,G62,J62,L62,N62),0)</f>
        <v>9.2775</v>
      </c>
      <c r="U62">
        <f>IF($B62=250,Q62-SUM(E62,G62,J62,L62,N62),0)</f>
        <v>0</v>
      </c>
      <c r="V62">
        <f>IF($B62=300,Q62-SUM(E62,G62,J62,L62,N62),0)</f>
        <v>0</v>
      </c>
      <c r="W62">
        <f>IF($B62=350,Q62-SUM(E62,G62,J62,L62,N62),0)</f>
        <v>0</v>
      </c>
      <c r="X62">
        <f>IF($B62=500,Q62-SUM(E62,G62,J62,L62,N62),0)</f>
        <v>0</v>
      </c>
      <c r="Y62">
        <f>IF($B62=550,Q62-SUM(E62,G62,J62,L62,N62),0)</f>
        <v>0</v>
      </c>
      <c r="Z62">
        <f>SUM(S62:Y62)*2</f>
        <v>18.555</v>
      </c>
      <c r="AC62">
        <f>0.98+2*3</f>
        <v>6.98</v>
      </c>
    </row>
    <row r="63">
      <c r="A63">
        <f>A62+1</f>
        <v>22</v>
      </c>
      <c r="B63">
        <v>200</v>
      </c>
      <c r="C63">
        <v>2550</v>
      </c>
      <c r="D63">
        <f>4500-0</f>
        <v>4500</v>
      </c>
      <c r="O63">
        <f>0.77*2.2</f>
        <v>1.6940000000000002</v>
      </c>
      <c r="Q63">
        <f>C63*D63/1000000-O63</f>
        <v>9.780999999999999</v>
      </c>
      <c r="S63">
        <f>IF($B63=150,Q63-SUM(E63,G63,J63,L63,N63),0)</f>
        <v>0</v>
      </c>
      <c r="T63">
        <f>IF($B63=200,Q63-SUM(E63,G63,J63,L63,N63),0)</f>
        <v>9.780999999999999</v>
      </c>
      <c r="U63">
        <f>IF($B63=250,Q63-SUM(E63,G63,J63,L63,N63),0)</f>
        <v>0</v>
      </c>
      <c r="V63">
        <f>IF($B63=300,Q63-SUM(E63,G63,J63,L63,N63),0)</f>
        <v>0</v>
      </c>
      <c r="W63">
        <f>IF($B63=350,Q63-SUM(E63,G63,J63,L63,N63),0)</f>
        <v>0</v>
      </c>
      <c r="X63">
        <f>IF($B63=500,Q63-SUM(E63,G63,J63,L63,N63),0)</f>
        <v>0</v>
      </c>
      <c r="Y63">
        <f>IF($B63=550,Q63-SUM(E63,G63,J63,L63,N63),0)</f>
        <v>0</v>
      </c>
      <c r="Z63">
        <f>SUM(S63:Y63)*2</f>
        <v>19.561999999999998</v>
      </c>
      <c r="AC63">
        <f>0.77+2*2.2</f>
        <v>5.17</v>
      </c>
    </row>
    <row r="64">
      <c r="A64">
        <f>A63+1</f>
        <v>23</v>
      </c>
      <c r="B64">
        <v>350</v>
      </c>
      <c r="C64">
        <v>7970</v>
      </c>
      <c r="D64">
        <f>4500-0</f>
        <v>4500</v>
      </c>
      <c r="O64">
        <f>(1.8*3)*2</f>
        <v>10.8</v>
      </c>
      <c r="Q64">
        <f>C64*D64/1000000-O64</f>
        <v>25.065</v>
      </c>
      <c r="S64">
        <f>IF($B64=150,Q64-SUM(E64,G64,J64,L64,N64),0)</f>
        <v>0</v>
      </c>
      <c r="T64">
        <f>IF($B64=200,Q64-SUM(E64,G64,J64,L64,N64),0)</f>
        <v>0</v>
      </c>
      <c r="U64">
        <f>IF($B64=250,Q64-SUM(E64,G64,J64,L64,N64),0)</f>
        <v>0</v>
      </c>
      <c r="V64">
        <f>IF($B64=300,Q64-SUM(E64,G64,J64,L64,N64),0)</f>
        <v>0</v>
      </c>
      <c r="W64">
        <f>IF($B64=350,Q64-SUM(E64,G64,J64,L64,N64),0)</f>
        <v>25.065</v>
      </c>
      <c r="X64">
        <f>IF($B64=500,Q64-SUM(E64,G64,J64,L64,N64),0)</f>
        <v>0</v>
      </c>
      <c r="Y64">
        <f>IF($B64=550,Q64-SUM(E64,G64,J64,L64,N64),0)</f>
        <v>0</v>
      </c>
      <c r="Z64">
        <f>SUM(S64:Y64)*2</f>
        <v>50.13</v>
      </c>
      <c r="AC64">
        <f>(1.8+2*3)*2</f>
        <v>15.6</v>
      </c>
    </row>
    <row r="65">
      <c r="Q65">
        <f>C65*D65/1000000-O65</f>
        <v>0</v>
      </c>
      <c r="S65">
        <f>IF($B65=150,Q65-SUM(E65,G65,J65,L65,N65),0)</f>
        <v>0</v>
      </c>
      <c r="T65">
        <f>IF($B65=200,Q65-SUM(E65,G65,J65,L65,N65),0)</f>
        <v>0</v>
      </c>
      <c r="U65">
        <f>IF($B65=250,Q65-SUM(E65,G65,J65,L65,N65),0)</f>
        <v>0</v>
      </c>
      <c r="V65">
        <f>IF($B65=300,Q65-SUM(E65,G65,J65,L65,N65),0)</f>
        <v>0</v>
      </c>
      <c r="W65">
        <f>IF($B65=350,Q65-SUM(E65,G65,J65,L65,N65),0)</f>
        <v>0</v>
      </c>
      <c r="X65">
        <f>IF($B65=500,Q65-SUM(E65,G65,J65,L65,N65),0)</f>
        <v>0</v>
      </c>
      <c r="Y65">
        <f>IF($B65=550,Q65-SUM(E65,G65,J65,L65,N65),0)</f>
        <v>0</v>
      </c>
      <c r="Z65">
        <f>SUM(S65:Y65)*2</f>
        <v>0</v>
      </c>
    </row>
    <row r="66">
      <c r="A66" t="str">
        <v>VOLUME</v>
      </c>
      <c r="F66">
        <f>SUM(F41:F65)</f>
        <v>0</v>
      </c>
      <c r="K66">
        <f>SUM(K41:K65)</f>
        <v>0</v>
      </c>
      <c r="M66">
        <f>SUM(M41:M65)</f>
        <v>0</v>
      </c>
      <c r="Q66">
        <f>SUM(Q41:Q65)</f>
        <v>664.7245</v>
      </c>
      <c r="R66">
        <f>SUM(R41:R65)</f>
        <v>0</v>
      </c>
      <c r="S66">
        <f>SUM(S41:S65)</f>
        <v>0</v>
      </c>
      <c r="T66">
        <f>SUM(T41:T65)</f>
        <v>568.8895</v>
      </c>
      <c r="U66">
        <f>SUM(U41:U65)</f>
        <v>0</v>
      </c>
      <c r="V66">
        <f>SUM(V41:V65)</f>
        <v>23.985</v>
      </c>
      <c r="W66">
        <f>SUM(W41:W65)</f>
        <v>64.3575</v>
      </c>
      <c r="X66">
        <f>SUM(X41:X65)</f>
        <v>0</v>
      </c>
      <c r="Y66">
        <f>SUM(Y41:Y65)</f>
        <v>7.4925000000000015</v>
      </c>
      <c r="Z66">
        <f>SUM(Z41:Z65)</f>
        <v>1329.449</v>
      </c>
      <c r="AA66">
        <f>SUM(AA41:AA65)</f>
        <v>0</v>
      </c>
      <c r="AB66">
        <f>SUM(R66:Y66)</f>
        <v>664.7244999999999</v>
      </c>
      <c r="AC66">
        <f>SUM(AC41:AC65)</f>
        <v>115.148</v>
      </c>
      <c r="AD66">
        <f>AC66*(IF(S66&gt;0,150,IF(T66&gt;0,200,IF(U66&gt;0,250,IF(V66&gt;0,300,IF(W66&gt;0,350,IF(X66&gt;0,400,IF(Y66&gt;0,450))))))))/1000</f>
        <v>23.0296</v>
      </c>
    </row>
    <row r="67">
      <c r="AD67">
        <f>AD66/AB66</f>
        <v>0.034645330509105655</v>
      </c>
    </row>
    <row r="70">
      <c r="A70" t="str">
        <v>Lantai 2</v>
      </c>
      <c r="C70" t="str">
        <v>Panjang</v>
      </c>
      <c r="D70" t="str">
        <v>Tinggi</v>
      </c>
      <c r="E70" t="str">
        <v>Luas Pengurang</v>
      </c>
      <c r="Q70" t="str">
        <v>Luas Bruto - Kusen</v>
      </c>
      <c r="R70" t="str">
        <v>Luas Bruto - Kusen dan Balok</v>
      </c>
      <c r="S70" t="str">
        <v>Luas Dinding 1/2 Bata</v>
      </c>
      <c r="T70" t="str">
        <v>Luas Dinding 3/4 Bata</v>
      </c>
      <c r="U70" t="str">
        <v>Luas Dinding 1 Bata</v>
      </c>
      <c r="V70" t="str">
        <v>Luas Dinding 1 1/4 Bata</v>
      </c>
      <c r="W70" t="str">
        <v>Luas Dinding 1 1/2 Bata</v>
      </c>
      <c r="X70" t="str">
        <v>Luas Dinding 2 1/4 Bata</v>
      </c>
      <c r="Y70" t="str">
        <v>Luas Dinding 2 1/2 Bata</v>
      </c>
      <c r="Z70" t="str">
        <v>Plester &amp; Aci</v>
      </c>
      <c r="AA70" t="str">
        <v>Benangan</v>
      </c>
    </row>
    <row r="71">
      <c r="E71" t="str">
        <v>Kolom Struktur</v>
      </c>
      <c r="F71" t="str">
        <v>Kolom Praktis</v>
      </c>
      <c r="H71" t="str">
        <v>Balok Struktur</v>
      </c>
      <c r="K71" t="str">
        <v>Balok Latei</v>
      </c>
      <c r="M71" t="str">
        <v>Balok Praktis</v>
      </c>
      <c r="O71" t="str">
        <v>Luas Kusen</v>
      </c>
      <c r="P71" t="str">
        <v>Tipe Kusen</v>
      </c>
    </row>
    <row r="72">
      <c r="A72" t="str">
        <v>Nomor</v>
      </c>
      <c r="B72" t="str">
        <v>Tebal (mm)</v>
      </c>
      <c r="E72" t="str">
        <v>m2</v>
      </c>
      <c r="F72" t="str">
        <v>m'</v>
      </c>
      <c r="G72" t="str">
        <v>Luas KP</v>
      </c>
      <c r="H72" t="str">
        <v>panjang</v>
      </c>
      <c r="I72" t="str">
        <v>tinggi</v>
      </c>
      <c r="J72" t="str">
        <v>Luas Balok</v>
      </c>
      <c r="K72" t="str">
        <v>m'</v>
      </c>
      <c r="L72" t="str">
        <v>Luas BL</v>
      </c>
      <c r="M72" t="str">
        <v>m'</v>
      </c>
      <c r="N72" t="str">
        <v>Luas BP</v>
      </c>
      <c r="O72" t="str">
        <v>m2</v>
      </c>
      <c r="Q72" t="str">
        <v>m2</v>
      </c>
      <c r="R72" t="str">
        <v>m2</v>
      </c>
      <c r="S72" t="str">
        <v>m2</v>
      </c>
      <c r="T72" t="str">
        <v>m2</v>
      </c>
      <c r="U72" t="str">
        <v>m2</v>
      </c>
      <c r="V72" t="str">
        <v>m2</v>
      </c>
      <c r="W72" t="str">
        <v>m2</v>
      </c>
      <c r="X72" t="str">
        <v>m2</v>
      </c>
      <c r="Y72" t="str">
        <v>m2</v>
      </c>
      <c r="Z72" t="str">
        <v>m2</v>
      </c>
      <c r="AA72" t="str">
        <v>m'</v>
      </c>
    </row>
    <row r="74">
      <c r="A74">
        <v>1</v>
      </c>
      <c r="B74">
        <v>200</v>
      </c>
      <c r="C74">
        <v>14465</v>
      </c>
      <c r="D74">
        <f>9000-4500</f>
        <v>4500</v>
      </c>
      <c r="Q74">
        <f>C74*D74/1000000-O74</f>
        <v>65.0925</v>
      </c>
      <c r="S74">
        <f>IF($B74=150,Q74-SUM(E74,G74,J74,L74,N74),0)</f>
        <v>0</v>
      </c>
      <c r="T74">
        <f>IF($B74=200,Q74-SUM(E74,G74,J74,L74,N74),0)</f>
        <v>65.0925</v>
      </c>
      <c r="U74">
        <f>IF($B74=250,Q74-SUM(E74,G74,J74,L74,N74),0)</f>
        <v>0</v>
      </c>
      <c r="V74">
        <f>IF($B74=300,Q74-SUM(E74,G74,J74,L74,N74),0)</f>
        <v>0</v>
      </c>
      <c r="W74">
        <f>IF($B74=350,Q74-SUM(E74,G74,J74,L74,N74),0)</f>
        <v>0</v>
      </c>
      <c r="X74">
        <f>IF($B74=500,Q74-SUM(E74,G74,J74,L74,N74),0)</f>
        <v>0</v>
      </c>
      <c r="Y74">
        <f>IF($B74=550,Q74-SUM(E74,G74,J74,L74,N74),0)</f>
        <v>0</v>
      </c>
      <c r="Z74">
        <f>SUM(S74:Y74)*2</f>
        <v>130.185</v>
      </c>
    </row>
    <row r="75">
      <c r="A75">
        <f>A74+1</f>
        <v>2</v>
      </c>
      <c r="B75">
        <v>200</v>
      </c>
      <c r="C75">
        <v>9885</v>
      </c>
      <c r="D75">
        <f>9000-4500</f>
        <v>4500</v>
      </c>
      <c r="Q75">
        <f>C75*D75/1000000-O75</f>
        <v>44.4825</v>
      </c>
      <c r="S75">
        <f>IF($B75=150,Q75-SUM(E75,G75,J75,L75,N75),0)</f>
        <v>0</v>
      </c>
      <c r="T75">
        <f>IF($B75=200,Q75-SUM(E75,G75,J75,L75,N75),0)</f>
        <v>44.4825</v>
      </c>
      <c r="U75">
        <f>IF($B75=250,Q75-SUM(E75,G75,J75,L75,N75),0)</f>
        <v>0</v>
      </c>
      <c r="V75">
        <f>IF($B75=300,Q75-SUM(E75,G75,J75,L75,N75),0)</f>
        <v>0</v>
      </c>
      <c r="W75">
        <f>IF($B75=350,Q75-SUM(E75,G75,J75,L75,N75),0)</f>
        <v>0</v>
      </c>
      <c r="X75">
        <f>IF($B75=500,Q75-SUM(E75,G75,J75,L75,N75),0)</f>
        <v>0</v>
      </c>
      <c r="Y75">
        <f>IF($B75=550,Q75-SUM(E75,G75,J75,L75,N75),0)</f>
        <v>0</v>
      </c>
      <c r="Z75">
        <f>SUM(S75:Y75)*2</f>
        <v>88.965</v>
      </c>
    </row>
    <row r="76">
      <c r="A76">
        <f>A75+1</f>
        <v>3</v>
      </c>
      <c r="B76">
        <v>200</v>
      </c>
      <c r="C76">
        <v>18000</v>
      </c>
      <c r="D76">
        <f>9000-4500</f>
        <v>4500</v>
      </c>
      <c r="Q76">
        <f>C76*D76/1000000-O76</f>
        <v>81</v>
      </c>
      <c r="S76">
        <f>IF($B76=150,Q76-SUM(E76,G76,J76,L76,N76),0)</f>
        <v>0</v>
      </c>
      <c r="T76">
        <f>IF($B76=200,Q76-SUM(E76,G76,J76,L76,N76),0)</f>
        <v>81</v>
      </c>
      <c r="U76">
        <f>IF($B76=250,Q76-SUM(E76,G76,J76,L76,N76),0)</f>
        <v>0</v>
      </c>
      <c r="V76">
        <f>IF($B76=300,Q76-SUM(E76,G76,J76,L76,N76),0)</f>
        <v>0</v>
      </c>
      <c r="W76">
        <f>IF($B76=350,Q76-SUM(E76,G76,J76,L76,N76),0)</f>
        <v>0</v>
      </c>
      <c r="X76">
        <f>IF($B76=500,Q76-SUM(E76,G76,J76,L76,N76),0)</f>
        <v>0</v>
      </c>
      <c r="Y76">
        <f>IF($B76=550,Q76-SUM(E76,G76,J76,L76,N76),0)</f>
        <v>0</v>
      </c>
      <c r="Z76">
        <f>SUM(S76:Y76)*2</f>
        <v>162</v>
      </c>
    </row>
    <row r="77">
      <c r="A77">
        <f>A76+1</f>
        <v>4</v>
      </c>
      <c r="B77">
        <v>200</v>
      </c>
      <c r="C77">
        <v>24900</v>
      </c>
      <c r="D77">
        <f>9000-4500</f>
        <v>4500</v>
      </c>
      <c r="Q77">
        <f>C77*D77/1000000-O77</f>
        <v>112.05</v>
      </c>
      <c r="S77">
        <f>IF($B77=150,Q77-SUM(E77,G77,J77,L77,N77),0)</f>
        <v>0</v>
      </c>
      <c r="T77">
        <f>IF($B77=200,Q77-SUM(E77,G77,J77,L77,N77),0)</f>
        <v>112.05</v>
      </c>
      <c r="U77">
        <f>IF($B77=250,Q77-SUM(E77,G77,J77,L77,N77),0)</f>
        <v>0</v>
      </c>
      <c r="V77">
        <f>IF($B77=300,Q77-SUM(E77,G77,J77,L77,N77),0)</f>
        <v>0</v>
      </c>
      <c r="W77">
        <f>IF($B77=350,Q77-SUM(E77,G77,J77,L77,N77),0)</f>
        <v>0</v>
      </c>
      <c r="X77">
        <f>IF($B77=500,Q77-SUM(E77,G77,J77,L77,N77),0)</f>
        <v>0</v>
      </c>
      <c r="Y77">
        <f>IF($B77=550,Q77-SUM(E77,G77,J77,L77,N77),0)</f>
        <v>0</v>
      </c>
      <c r="Z77">
        <f>SUM(S77:Y77)*2</f>
        <v>224.1</v>
      </c>
    </row>
    <row r="78">
      <c r="A78">
        <f>A77+1</f>
        <v>5</v>
      </c>
      <c r="B78">
        <v>200</v>
      </c>
      <c r="C78">
        <v>5385</v>
      </c>
      <c r="D78">
        <f>9000-4500</f>
        <v>4500</v>
      </c>
      <c r="O78">
        <f>4.05*3</f>
        <v>12.149999999999999</v>
      </c>
      <c r="Q78">
        <f>C78*D78/1000000-O78</f>
        <v>12.082500000000003</v>
      </c>
      <c r="S78">
        <f>IF($B78=150,Q78-SUM(E78,G78,J78,L78,N78),0)</f>
        <v>0</v>
      </c>
      <c r="T78">
        <f>IF($B78=200,Q78-SUM(E78,G78,J78,L78,N78),0)</f>
        <v>12.082500000000003</v>
      </c>
      <c r="U78">
        <f>IF($B78=250,Q78-SUM(E78,G78,J78,L78,N78),0)</f>
        <v>0</v>
      </c>
      <c r="V78">
        <f>IF($B78=300,Q78-SUM(E78,G78,J78,L78,N78),0)</f>
        <v>0</v>
      </c>
      <c r="W78">
        <f>IF($B78=350,Q78-SUM(E78,G78,J78,L78,N78),0)</f>
        <v>0</v>
      </c>
      <c r="X78">
        <f>IF($B78=500,Q78-SUM(E78,G78,J78,L78,N78),0)</f>
        <v>0</v>
      </c>
      <c r="Y78">
        <f>IF($B78=550,Q78-SUM(E78,G78,J78,L78,N78),0)</f>
        <v>0</v>
      </c>
      <c r="Z78">
        <f>SUM(S78:Y78)*2</f>
        <v>24.165000000000006</v>
      </c>
      <c r="AC78">
        <f>4.05+2*3</f>
        <v>10.05</v>
      </c>
    </row>
    <row r="79">
      <c r="A79">
        <f>A78+1</f>
        <v>6</v>
      </c>
      <c r="B79">
        <v>200</v>
      </c>
      <c r="C79">
        <v>7715</v>
      </c>
      <c r="D79">
        <f>9000-4500</f>
        <v>4500</v>
      </c>
      <c r="O79">
        <f>1*3+1.4*3</f>
        <v>7.199999999999999</v>
      </c>
      <c r="Q79">
        <f>C79*D79/1000000-O79</f>
        <v>27.517500000000002</v>
      </c>
      <c r="S79">
        <f>IF($B79=150,Q79-SUM(E79,G79,J79,L79,N79),0)</f>
        <v>0</v>
      </c>
      <c r="T79">
        <f>IF($B79=200,Q79-SUM(E79,G79,J79,L79,N79),0)</f>
        <v>27.517500000000002</v>
      </c>
      <c r="U79">
        <f>IF($B79=250,Q79-SUM(E79,G79,J79,L79,N79),0)</f>
        <v>0</v>
      </c>
      <c r="V79">
        <f>IF($B79=300,Q79-SUM(E79,G79,J79,L79,N79),0)</f>
        <v>0</v>
      </c>
      <c r="W79">
        <f>IF($B79=350,Q79-SUM(E79,G79,J79,L79,N79),0)</f>
        <v>0</v>
      </c>
      <c r="X79">
        <f>IF($B79=500,Q79-SUM(E79,G79,J79,L79,N79),0)</f>
        <v>0</v>
      </c>
      <c r="Y79">
        <f>IF($B79=550,Q79-SUM(E79,G79,J79,L79,N79),0)</f>
        <v>0</v>
      </c>
      <c r="Z79">
        <f>SUM(S79:Y79)*2</f>
        <v>55.035000000000004</v>
      </c>
      <c r="AC79">
        <f>(1+2*3)+(1.4+2*3)</f>
        <v>14.4</v>
      </c>
    </row>
    <row r="80">
      <c r="A80">
        <f>A79+1</f>
        <v>7</v>
      </c>
      <c r="B80">
        <v>300</v>
      </c>
      <c r="C80">
        <v>3815</v>
      </c>
      <c r="D80">
        <f>9000-4500</f>
        <v>4500</v>
      </c>
      <c r="O80">
        <f>(0.85*3)*2</f>
        <v>5.1</v>
      </c>
      <c r="Q80">
        <f>C80*D80/1000000-O80</f>
        <v>12.0675</v>
      </c>
      <c r="S80">
        <f>IF($B80=150,Q80-SUM(E80,G80,J80,L80,N80),0)</f>
        <v>0</v>
      </c>
      <c r="T80">
        <f>IF($B80=200,Q80-SUM(E80,G80,J80,L80,N80),0)</f>
        <v>0</v>
      </c>
      <c r="U80">
        <f>IF($B80=250,Q80-SUM(E80,G80,J80,L80,N80),0)</f>
        <v>0</v>
      </c>
      <c r="V80">
        <f>IF($B80=300,Q80-SUM(E80,G80,J80,L80,N80),0)</f>
        <v>12.0675</v>
      </c>
      <c r="W80">
        <f>IF($B80=350,Q80-SUM(E80,G80,J80,L80,N80),0)</f>
        <v>0</v>
      </c>
      <c r="X80">
        <f>IF($B80=500,Q80-SUM(E80,G80,J80,L80,N80),0)</f>
        <v>0</v>
      </c>
      <c r="Y80">
        <f>IF($B80=550,Q80-SUM(E80,G80,J80,L80,N80),0)</f>
        <v>0</v>
      </c>
      <c r="Z80">
        <f>SUM(S80:Y80)*2</f>
        <v>24.135</v>
      </c>
      <c r="AC80">
        <f>(0.85+2*3)*2</f>
        <v>13.7</v>
      </c>
    </row>
    <row r="81">
      <c r="A81">
        <f>A80+1</f>
        <v>8</v>
      </c>
      <c r="B81">
        <v>200</v>
      </c>
      <c r="C81">
        <v>1700</v>
      </c>
      <c r="D81">
        <f>9000-4500</f>
        <v>4500</v>
      </c>
      <c r="Q81">
        <f>C81*D81/1000000-O81</f>
        <v>7.65</v>
      </c>
      <c r="S81">
        <f>IF($B81=150,Q81-SUM(E81,G81,J81,L81,N81),0)</f>
        <v>0</v>
      </c>
      <c r="T81">
        <f>IF($B81=200,Q81-SUM(E81,G81,J81,L81,N81),0)</f>
        <v>7.65</v>
      </c>
      <c r="U81">
        <f>IF($B81=250,Q81-SUM(E81,G81,J81,L81,N81),0)</f>
        <v>0</v>
      </c>
      <c r="V81">
        <f>IF($B81=300,Q81-SUM(E81,G81,J81,L81,N81),0)</f>
        <v>0</v>
      </c>
      <c r="W81">
        <f>IF($B81=350,Q81-SUM(E81,G81,J81,L81,N81),0)</f>
        <v>0</v>
      </c>
      <c r="X81">
        <f>IF($B81=500,Q81-SUM(E81,G81,J81,L81,N81),0)</f>
        <v>0</v>
      </c>
      <c r="Y81">
        <f>IF($B81=550,Q81-SUM(E81,G81,J81,L81,N81),0)</f>
        <v>0</v>
      </c>
      <c r="Z81">
        <f>SUM(S81:Y81)*2</f>
        <v>15.3</v>
      </c>
    </row>
    <row r="82">
      <c r="A82">
        <f>A81+1</f>
        <v>9</v>
      </c>
      <c r="B82">
        <v>200</v>
      </c>
      <c r="C82">
        <v>3000</v>
      </c>
      <c r="D82">
        <f>9000-4500</f>
        <v>4500</v>
      </c>
      <c r="O82">
        <f>1.6*2.2</f>
        <v>3.5200000000000005</v>
      </c>
      <c r="Q82">
        <f>C82*D82/1000000-O82</f>
        <v>9.98</v>
      </c>
      <c r="S82">
        <f>IF($B82=150,Q82-SUM(E82,G82,J82,L82,N82),0)</f>
        <v>0</v>
      </c>
      <c r="T82">
        <f>IF($B82=200,Q82-SUM(E82,G82,J82,L82,N82),0)</f>
        <v>9.98</v>
      </c>
      <c r="U82">
        <f>IF($B82=250,Q82-SUM(E82,G82,J82,L82,N82),0)</f>
        <v>0</v>
      </c>
      <c r="V82">
        <f>IF($B82=300,Q82-SUM(E82,G82,J82,L82,N82),0)</f>
        <v>0</v>
      </c>
      <c r="W82">
        <f>IF($B82=350,Q82-SUM(E82,G82,J82,L82,N82),0)</f>
        <v>0</v>
      </c>
      <c r="X82">
        <f>IF($B82=500,Q82-SUM(E82,G82,J82,L82,N82),0)</f>
        <v>0</v>
      </c>
      <c r="Y82">
        <f>IF($B82=550,Q82-SUM(E82,G82,J82,L82,N82),0)</f>
        <v>0</v>
      </c>
      <c r="Z82">
        <f>SUM(S82:Y82)*2</f>
        <v>19.96</v>
      </c>
      <c r="AC82">
        <f>2*(1.6+2.2)</f>
        <v>7.6000000000000005</v>
      </c>
    </row>
    <row r="83">
      <c r="A83">
        <f>A82+1</f>
        <v>10</v>
      </c>
      <c r="B83">
        <v>200</v>
      </c>
      <c r="C83">
        <v>1900</v>
      </c>
      <c r="D83">
        <f>9000-4500</f>
        <v>4500</v>
      </c>
      <c r="Q83">
        <f>C83*D83/1000000-O83</f>
        <v>8.55</v>
      </c>
      <c r="S83">
        <f>IF($B83=150,Q83-SUM(E83,G83,J83,L83,N83),0)</f>
        <v>0</v>
      </c>
      <c r="T83">
        <f>IF($B83=200,Q83-SUM(E83,G83,J83,L83,N83),0)</f>
        <v>8.55</v>
      </c>
      <c r="U83">
        <f>IF($B83=250,Q83-SUM(E83,G83,J83,L83,N83),0)</f>
        <v>0</v>
      </c>
      <c r="V83">
        <f>IF($B83=300,Q83-SUM(E83,G83,J83,L83,N83),0)</f>
        <v>0</v>
      </c>
      <c r="W83">
        <f>IF($B83=350,Q83-SUM(E83,G83,J83,L83,N83),0)</f>
        <v>0</v>
      </c>
      <c r="X83">
        <f>IF($B83=500,Q83-SUM(E83,G83,J83,L83,N83),0)</f>
        <v>0</v>
      </c>
      <c r="Y83">
        <f>IF($B83=550,Q83-SUM(E83,G83,J83,L83,N83),0)</f>
        <v>0</v>
      </c>
      <c r="Z83">
        <f>SUM(S83:Y83)*2</f>
        <v>17.1</v>
      </c>
    </row>
    <row r="84">
      <c r="A84">
        <f>A83+1</f>
        <v>11</v>
      </c>
      <c r="B84">
        <v>200</v>
      </c>
      <c r="C84">
        <v>9800</v>
      </c>
      <c r="D84">
        <f>9000-4500</f>
        <v>4500</v>
      </c>
      <c r="O84">
        <f>1.4*3</f>
        <v>4.199999999999999</v>
      </c>
      <c r="Q84">
        <f>C84*D84/1000000-O84</f>
        <v>39.900000000000006</v>
      </c>
      <c r="S84">
        <f>IF($B84=150,Q84-SUM(E84,G84,J84,L84,N84),0)</f>
        <v>0</v>
      </c>
      <c r="T84">
        <f>IF($B84=200,Q84-SUM(E84,G84,J84,L84,N84),0)</f>
        <v>39.900000000000006</v>
      </c>
      <c r="U84">
        <f>IF($B84=250,Q84-SUM(E84,G84,J84,L84,N84),0)</f>
        <v>0</v>
      </c>
      <c r="V84">
        <f>IF($B84=300,Q84-SUM(E84,G84,J84,L84,N84),0)</f>
        <v>0</v>
      </c>
      <c r="W84">
        <f>IF($B84=350,Q84-SUM(E84,G84,J84,L84,N84),0)</f>
        <v>0</v>
      </c>
      <c r="X84">
        <f>IF($B84=500,Q84-SUM(E84,G84,J84,L84,N84),0)</f>
        <v>0</v>
      </c>
      <c r="Y84">
        <f>IF($B84=550,Q84-SUM(E84,G84,J84,L84,N84),0)</f>
        <v>0</v>
      </c>
      <c r="Z84">
        <f>SUM(S84:Y84)*2</f>
        <v>79.80000000000001</v>
      </c>
      <c r="AC84">
        <f>1.4+2*3</f>
        <v>7.4</v>
      </c>
    </row>
    <row r="85">
      <c r="A85">
        <f>A84+1</f>
        <v>12</v>
      </c>
      <c r="B85">
        <v>200</v>
      </c>
      <c r="C85">
        <v>12400</v>
      </c>
      <c r="D85">
        <f>9000-4500</f>
        <v>4500</v>
      </c>
      <c r="O85">
        <f>1.86*3</f>
        <v>5.58</v>
      </c>
      <c r="Q85">
        <f>C85*D85/1000000-O85</f>
        <v>50.22</v>
      </c>
      <c r="S85">
        <f>IF($B85=150,Q85-SUM(E85,G85,J85,L85,N85),0)</f>
        <v>0</v>
      </c>
      <c r="T85">
        <f>IF($B85=200,Q85-SUM(E85,G85,J85,L85,N85),0)</f>
        <v>50.22</v>
      </c>
      <c r="U85">
        <f>IF($B85=250,Q85-SUM(E85,G85,J85,L85,N85),0)</f>
        <v>0</v>
      </c>
      <c r="V85">
        <f>IF($B85=300,Q85-SUM(E85,G85,J85,L85,N85),0)</f>
        <v>0</v>
      </c>
      <c r="W85">
        <f>IF($B85=350,Q85-SUM(E85,G85,J85,L85,N85),0)</f>
        <v>0</v>
      </c>
      <c r="X85">
        <f>IF($B85=500,Q85-SUM(E85,G85,J85,L85,N85),0)</f>
        <v>0</v>
      </c>
      <c r="Y85">
        <f>IF($B85=550,Q85-SUM(E85,G85,J85,L85,N85),0)</f>
        <v>0</v>
      </c>
      <c r="Z85">
        <f>SUM(S85:Y85)*2</f>
        <v>100.44</v>
      </c>
      <c r="AC85">
        <f>1.86+2*3</f>
        <v>7.86</v>
      </c>
    </row>
    <row r="86">
      <c r="A86">
        <f>A85+1</f>
        <v>13</v>
      </c>
      <c r="B86">
        <v>200</v>
      </c>
      <c r="C86">
        <v>3800</v>
      </c>
      <c r="D86">
        <f>9000-4500</f>
        <v>4500</v>
      </c>
      <c r="O86">
        <f>1.73*3</f>
        <v>5.1899999999999995</v>
      </c>
      <c r="Q86">
        <f>C86*D86/1000000-O86</f>
        <v>11.910000000000002</v>
      </c>
      <c r="S86">
        <f>IF($B86=150,Q86-SUM(E86,G86,J86,L86,N86),0)</f>
        <v>0</v>
      </c>
      <c r="T86">
        <f>IF($B86=200,Q86-SUM(E86,G86,J86,L86,N86),0)</f>
        <v>11.910000000000002</v>
      </c>
      <c r="U86">
        <f>IF($B86=250,Q86-SUM(E86,G86,J86,L86,N86),0)</f>
        <v>0</v>
      </c>
      <c r="V86">
        <f>IF($B86=300,Q86-SUM(E86,G86,J86,L86,N86),0)</f>
        <v>0</v>
      </c>
      <c r="W86">
        <f>IF($B86=350,Q86-SUM(E86,G86,J86,L86,N86),0)</f>
        <v>0</v>
      </c>
      <c r="X86">
        <f>IF($B86=500,Q86-SUM(E86,G86,J86,L86,N86),0)</f>
        <v>0</v>
      </c>
      <c r="Y86">
        <f>IF($B86=550,Q86-SUM(E86,G86,J86,L86,N86),0)</f>
        <v>0</v>
      </c>
      <c r="Z86">
        <f>SUM(S86:Y86)*2</f>
        <v>23.820000000000004</v>
      </c>
      <c r="AC86">
        <f>1.73+2*3</f>
        <v>7.73</v>
      </c>
    </row>
    <row r="87">
      <c r="A87">
        <f>A86+1</f>
        <v>14</v>
      </c>
      <c r="B87">
        <v>200</v>
      </c>
      <c r="C87">
        <v>3800</v>
      </c>
      <c r="D87">
        <f>9000-4500</f>
        <v>4500</v>
      </c>
      <c r="O87">
        <f>0.98*3</f>
        <v>2.94</v>
      </c>
      <c r="Q87">
        <f>C87*D87/1000000-O87</f>
        <v>14.160000000000002</v>
      </c>
      <c r="S87">
        <f>IF($B87=150,Q87-SUM(E87,G87,J87,L87,N87),0)</f>
        <v>0</v>
      </c>
      <c r="T87">
        <f>IF($B87=200,Q87-SUM(E87,G87,J87,L87,N87),0)</f>
        <v>14.160000000000002</v>
      </c>
      <c r="U87">
        <f>IF($B87=250,Q87-SUM(E87,G87,J87,L87,N87),0)</f>
        <v>0</v>
      </c>
      <c r="V87">
        <f>IF($B87=300,Q87-SUM(E87,G87,J87,L87,N87),0)</f>
        <v>0</v>
      </c>
      <c r="W87">
        <f>IF($B87=350,Q87-SUM(E87,G87,J87,L87,N87),0)</f>
        <v>0</v>
      </c>
      <c r="X87">
        <f>IF($B87=500,Q87-SUM(E87,G87,J87,L87,N87),0)</f>
        <v>0</v>
      </c>
      <c r="Y87">
        <f>IF($B87=550,Q87-SUM(E87,G87,J87,L87,N87),0)</f>
        <v>0</v>
      </c>
      <c r="Z87">
        <f>SUM(S87:Y87)*2</f>
        <v>28.320000000000004</v>
      </c>
      <c r="AC87">
        <f>0.98+2*3</f>
        <v>6.98</v>
      </c>
    </row>
    <row r="88">
      <c r="A88">
        <f>A87+1</f>
        <v>15</v>
      </c>
      <c r="B88">
        <v>200</v>
      </c>
      <c r="C88">
        <v>13300</v>
      </c>
      <c r="D88">
        <f>9000-4500</f>
        <v>4500</v>
      </c>
      <c r="Q88">
        <f>C88*D88/1000000-O88</f>
        <v>59.85</v>
      </c>
      <c r="S88">
        <f>IF($B88=150,Q88-SUM(E88,G88,J88,L88,N88),0)</f>
        <v>0</v>
      </c>
      <c r="T88">
        <f>IF($B88=200,Q88-SUM(E88,G88,J88,L88,N88),0)</f>
        <v>59.85</v>
      </c>
      <c r="U88">
        <f>IF($B88=250,Q88-SUM(E88,G88,J88,L88,N88),0)</f>
        <v>0</v>
      </c>
      <c r="V88">
        <f>IF($B88=300,Q88-SUM(E88,G88,J88,L88,N88),0)</f>
        <v>0</v>
      </c>
      <c r="W88">
        <f>IF($B88=350,Q88-SUM(E88,G88,J88,L88,N88),0)</f>
        <v>0</v>
      </c>
      <c r="X88">
        <f>IF($B88=500,Q88-SUM(E88,G88,J88,L88,N88),0)</f>
        <v>0</v>
      </c>
      <c r="Y88">
        <f>IF($B88=550,Q88-SUM(E88,G88,J88,L88,N88),0)</f>
        <v>0</v>
      </c>
      <c r="Z88">
        <f>SUM(S88:Y88)*2</f>
        <v>119.7</v>
      </c>
    </row>
    <row r="89">
      <c r="A89">
        <f>A88+1</f>
        <v>16</v>
      </c>
      <c r="B89">
        <v>200</v>
      </c>
      <c r="C89">
        <v>6800</v>
      </c>
      <c r="D89">
        <f>9000-4500</f>
        <v>4500</v>
      </c>
      <c r="O89">
        <f>1.2*3</f>
        <v>3.5999999999999996</v>
      </c>
      <c r="Q89">
        <f>C89*D89/1000000-O89</f>
        <v>27</v>
      </c>
      <c r="S89">
        <f>IF($B89=150,Q89-SUM(E89,G89,J89,L89,N89),0)</f>
        <v>0</v>
      </c>
      <c r="T89">
        <f>IF($B89=200,Q89-SUM(E89,G89,J89,L89,N89),0)</f>
        <v>27</v>
      </c>
      <c r="U89">
        <f>IF($B89=250,Q89-SUM(E89,G89,J89,L89,N89),0)</f>
        <v>0</v>
      </c>
      <c r="V89">
        <f>IF($B89=300,Q89-SUM(E89,G89,J89,L89,N89),0)</f>
        <v>0</v>
      </c>
      <c r="W89">
        <f>IF($B89=350,Q89-SUM(E89,G89,J89,L89,N89),0)</f>
        <v>0</v>
      </c>
      <c r="X89">
        <f>IF($B89=500,Q89-SUM(E89,G89,J89,L89,N89),0)</f>
        <v>0</v>
      </c>
      <c r="Y89">
        <f>IF($B89=550,Q89-SUM(E89,G89,J89,L89,N89),0)</f>
        <v>0</v>
      </c>
      <c r="Z89">
        <f>SUM(S89:Y89)*2</f>
        <v>54</v>
      </c>
      <c r="AC89">
        <f>1.2+2*3</f>
        <v>7.2</v>
      </c>
    </row>
    <row r="90">
      <c r="A90">
        <f>A89+1</f>
        <v>17</v>
      </c>
      <c r="B90">
        <v>200</v>
      </c>
      <c r="C90">
        <v>4000</v>
      </c>
      <c r="D90">
        <f>9000-4500</f>
        <v>4500</v>
      </c>
      <c r="O90">
        <f>1.8*3</f>
        <v>5.4</v>
      </c>
      <c r="Q90">
        <f>C90*D90/1000000-O90</f>
        <v>12.6</v>
      </c>
      <c r="S90">
        <f>IF($B90=150,Q90-SUM(E90,G90,J90,L90,N90),0)</f>
        <v>0</v>
      </c>
      <c r="T90">
        <f>IF($B90=200,Q90-SUM(E90,G90,J90,L90,N90),0)</f>
        <v>12.6</v>
      </c>
      <c r="U90">
        <f>IF($B90=250,Q90-SUM(E90,G90,J90,L90,N90),0)</f>
        <v>0</v>
      </c>
      <c r="V90">
        <f>IF($B90=300,Q90-SUM(E90,G90,J90,L90,N90),0)</f>
        <v>0</v>
      </c>
      <c r="W90">
        <f>IF($B90=350,Q90-SUM(E90,G90,J90,L90,N90),0)</f>
        <v>0</v>
      </c>
      <c r="X90">
        <f>IF($B90=500,Q90-SUM(E90,G90,J90,L90,N90),0)</f>
        <v>0</v>
      </c>
      <c r="Y90">
        <f>IF($B90=550,Q90-SUM(E90,G90,J90,L90,N90),0)</f>
        <v>0</v>
      </c>
      <c r="Z90">
        <f>SUM(S90:Y90)*2</f>
        <v>25.2</v>
      </c>
      <c r="AC90">
        <f>1.8+2*3</f>
        <v>7.8</v>
      </c>
    </row>
    <row r="91">
      <c r="A91">
        <f>A90+1</f>
        <v>18</v>
      </c>
      <c r="B91">
        <v>200</v>
      </c>
      <c r="C91">
        <v>7685</v>
      </c>
      <c r="D91">
        <f>9000-4500</f>
        <v>4500</v>
      </c>
      <c r="O91">
        <f>1.4*2.2</f>
        <v>3.08</v>
      </c>
      <c r="Q91">
        <f>C91*D91/1000000-O91</f>
        <v>31.502500000000005</v>
      </c>
      <c r="S91">
        <f>IF($B91=150,Q91-SUM(E91,G91,J91,L91,N91),0)</f>
        <v>0</v>
      </c>
      <c r="T91">
        <f>IF($B91=200,Q91-SUM(E91,G91,J91,L91,N91),0)</f>
        <v>31.502500000000005</v>
      </c>
      <c r="U91">
        <f>IF($B91=250,Q91-SUM(E91,G91,J91,L91,N91),0)</f>
        <v>0</v>
      </c>
      <c r="V91">
        <f>IF($B91=300,Q91-SUM(E91,G91,J91,L91,N91),0)</f>
        <v>0</v>
      </c>
      <c r="W91">
        <f>IF($B91=350,Q91-SUM(E91,G91,J91,L91,N91),0)</f>
        <v>0</v>
      </c>
      <c r="X91">
        <f>IF($B91=500,Q91-SUM(E91,G91,J91,L91,N91),0)</f>
        <v>0</v>
      </c>
      <c r="Y91">
        <f>IF($B91=550,Q91-SUM(E91,G91,J91,L91,N91),0)</f>
        <v>0</v>
      </c>
      <c r="Z91">
        <f>SUM(S91:Y91)*2</f>
        <v>63.00500000000001</v>
      </c>
      <c r="AC91">
        <f>2*(1.4+2.2)</f>
        <v>7.2</v>
      </c>
    </row>
    <row r="92">
      <c r="A92">
        <f>A91+1</f>
        <v>19</v>
      </c>
      <c r="B92">
        <v>200</v>
      </c>
      <c r="C92">
        <v>2315</v>
      </c>
      <c r="D92">
        <f>9000-4500</f>
        <v>4500</v>
      </c>
      <c r="O92">
        <f>1/6*2.2</f>
        <v>0.3666666666666667</v>
      </c>
      <c r="Q92">
        <f>C92*D92/1000000-O92</f>
        <v>10.050833333333333</v>
      </c>
      <c r="S92">
        <f>IF($B92=150,Q92-SUM(E92,G92,J92,L92,N92),0)</f>
        <v>0</v>
      </c>
      <c r="T92">
        <f>IF($B92=200,Q92-SUM(E92,G92,J92,L92,N92),0)</f>
        <v>10.050833333333333</v>
      </c>
      <c r="U92">
        <f>IF($B92=250,Q92-SUM(E92,G92,J92,L92,N92),0)</f>
        <v>0</v>
      </c>
      <c r="V92">
        <f>IF($B92=300,Q92-SUM(E92,G92,J92,L92,N92),0)</f>
        <v>0</v>
      </c>
      <c r="W92">
        <f>IF($B92=350,Q92-SUM(E92,G92,J92,L92,N92),0)</f>
        <v>0</v>
      </c>
      <c r="X92">
        <f>IF($B92=500,Q92-SUM(E92,G92,J92,L92,N92),0)</f>
        <v>0</v>
      </c>
      <c r="Y92">
        <f>IF($B92=550,Q92-SUM(E92,G92,J92,L92,N92),0)</f>
        <v>0</v>
      </c>
      <c r="Z92">
        <f>SUM(S92:Y92)*2</f>
        <v>20.101666666666667</v>
      </c>
      <c r="AC92">
        <f>2*(1.6+2.2)</f>
        <v>7.6000000000000005</v>
      </c>
    </row>
    <row r="93">
      <c r="A93">
        <f>A92+1</f>
        <v>20</v>
      </c>
      <c r="B93">
        <v>200</v>
      </c>
      <c r="C93">
        <v>1070</v>
      </c>
      <c r="D93">
        <f>9000-4500</f>
        <v>4500</v>
      </c>
      <c r="O93">
        <f>0.98*3</f>
        <v>2.94</v>
      </c>
      <c r="Q93">
        <f>C93*D93/1000000-O93</f>
        <v>1.8750000000000004</v>
      </c>
      <c r="S93">
        <f>IF($B93=150,Q93-SUM(E93,G93,J93,L93,N93),0)</f>
        <v>0</v>
      </c>
      <c r="T93">
        <f>IF($B93=200,Q93-SUM(E93,G93,J93,L93,N93),0)</f>
        <v>1.8750000000000004</v>
      </c>
      <c r="U93">
        <f>IF($B93=250,Q93-SUM(E93,G93,J93,L93,N93),0)</f>
        <v>0</v>
      </c>
      <c r="V93">
        <f>IF($B93=300,Q93-SUM(E93,G93,J93,L93,N93),0)</f>
        <v>0</v>
      </c>
      <c r="W93">
        <f>IF($B93=350,Q93-SUM(E93,G93,J93,L93,N93),0)</f>
        <v>0</v>
      </c>
      <c r="X93">
        <f>IF($B93=500,Q93-SUM(E93,G93,J93,L93,N93),0)</f>
        <v>0</v>
      </c>
      <c r="Y93">
        <f>IF($B93=550,Q93-SUM(E93,G93,J93,L93,N93),0)</f>
        <v>0</v>
      </c>
      <c r="Z93">
        <f>SUM(S93:Y93)*2</f>
        <v>3.750000000000001</v>
      </c>
      <c r="AC93">
        <f>0.98+2*3</f>
        <v>6.98</v>
      </c>
    </row>
    <row r="94">
      <c r="A94">
        <f>A93+1</f>
        <v>21</v>
      </c>
      <c r="B94">
        <v>200</v>
      </c>
      <c r="C94">
        <v>1385</v>
      </c>
      <c r="D94">
        <f>9000-4500</f>
        <v>4500</v>
      </c>
      <c r="Q94">
        <f>C94*D94/1000000-O94</f>
        <v>6.2325</v>
      </c>
      <c r="S94">
        <f>IF($B94=150,Q94-SUM(E94,G94,J94,L94,N94),0)</f>
        <v>0</v>
      </c>
      <c r="T94">
        <f>IF($B94=200,Q94-SUM(E94,G94,J94,L94,N94),0)</f>
        <v>6.2325</v>
      </c>
      <c r="U94">
        <f>IF($B94=250,Q94-SUM(E94,G94,J94,L94,N94),0)</f>
        <v>0</v>
      </c>
      <c r="V94">
        <f>IF($B94=300,Q94-SUM(E94,G94,J94,L94,N94),0)</f>
        <v>0</v>
      </c>
      <c r="W94">
        <f>IF($B94=350,Q94-SUM(E94,G94,J94,L94,N94),0)</f>
        <v>0</v>
      </c>
      <c r="X94">
        <f>IF($B94=500,Q94-SUM(E94,G94,J94,L94,N94),0)</f>
        <v>0</v>
      </c>
      <c r="Y94">
        <f>IF($B94=550,Q94-SUM(E94,G94,J94,L94,N94),0)</f>
        <v>0</v>
      </c>
      <c r="Z94">
        <f>SUM(S94:Y94)*2</f>
        <v>12.465</v>
      </c>
    </row>
    <row r="95">
      <c r="A95">
        <f>A94+1</f>
        <v>22</v>
      </c>
      <c r="B95">
        <v>200</v>
      </c>
      <c r="C95">
        <v>4400</v>
      </c>
      <c r="D95">
        <f>9000-4500</f>
        <v>4500</v>
      </c>
      <c r="O95">
        <f>1.4*3</f>
        <v>4.199999999999999</v>
      </c>
      <c r="Q95">
        <f>C95*D95/1000000-O95</f>
        <v>15.600000000000001</v>
      </c>
      <c r="S95">
        <f>IF($B95=150,Q95-SUM(E95,G95,J95,L95,N95),0)</f>
        <v>0</v>
      </c>
      <c r="T95">
        <f>IF($B95=200,Q95-SUM(E95,G95,J95,L95,N95),0)</f>
        <v>15.600000000000001</v>
      </c>
      <c r="U95">
        <f>IF($B95=250,Q95-SUM(E95,G95,J95,L95,N95),0)</f>
        <v>0</v>
      </c>
      <c r="V95">
        <f>IF($B95=300,Q95-SUM(E95,G95,J95,L95,N95),0)</f>
        <v>0</v>
      </c>
      <c r="W95">
        <f>IF($B95=350,Q95-SUM(E95,G95,J95,L95,N95),0)</f>
        <v>0</v>
      </c>
      <c r="X95">
        <f>IF($B95=500,Q95-SUM(E95,G95,J95,L95,N95),0)</f>
        <v>0</v>
      </c>
      <c r="Y95">
        <f>IF($B95=550,Q95-SUM(E95,G95,J95,L95,N95),0)</f>
        <v>0</v>
      </c>
      <c r="Z95">
        <f>SUM(S95:Y95)*2</f>
        <v>31.200000000000003</v>
      </c>
      <c r="AC95">
        <f>1.4+2*3</f>
        <v>7.4</v>
      </c>
    </row>
    <row r="96">
      <c r="A96">
        <f>A95+1</f>
        <v>23</v>
      </c>
      <c r="B96">
        <v>200</v>
      </c>
      <c r="C96">
        <v>7890</v>
      </c>
      <c r="D96">
        <f>9000-4500</f>
        <v>4500</v>
      </c>
      <c r="O96">
        <f>1.18*3</f>
        <v>3.54</v>
      </c>
      <c r="Q96">
        <f>C96*D96/1000000-O96</f>
        <v>31.965000000000003</v>
      </c>
      <c r="S96">
        <f>IF($B96=150,Q96-SUM(E96,G96,J96,L96,N96),0)</f>
        <v>0</v>
      </c>
      <c r="T96">
        <f>IF($B96=200,Q96-SUM(E96,G96,J96,L96,N96),0)</f>
        <v>31.965000000000003</v>
      </c>
      <c r="U96">
        <f>IF($B96=250,Q96-SUM(E96,G96,J96,L96,N96),0)</f>
        <v>0</v>
      </c>
      <c r="V96">
        <f>IF($B96=300,Q96-SUM(E96,G96,J96,L96,N96),0)</f>
        <v>0</v>
      </c>
      <c r="W96">
        <f>IF($B96=350,Q96-SUM(E96,G96,J96,L96,N96),0)</f>
        <v>0</v>
      </c>
      <c r="X96">
        <f>IF($B96=500,Q96-SUM(E96,G96,J96,L96,N96),0)</f>
        <v>0</v>
      </c>
      <c r="Y96">
        <f>IF($B96=550,Q96-SUM(E96,G96,J96,L96,N96),0)</f>
        <v>0</v>
      </c>
      <c r="Z96">
        <f>SUM(S96:Y96)*2</f>
        <v>63.93000000000001</v>
      </c>
      <c r="AC96">
        <f>1.18+2*3</f>
        <v>7.18</v>
      </c>
    </row>
    <row r="97">
      <c r="A97">
        <f>A96+1</f>
        <v>24</v>
      </c>
      <c r="B97">
        <v>350</v>
      </c>
      <c r="C97">
        <v>1910</v>
      </c>
      <c r="D97">
        <f>9000-4500</f>
        <v>4500</v>
      </c>
      <c r="Q97">
        <f>C97*D97/1000000-O97</f>
        <v>8.595</v>
      </c>
      <c r="S97">
        <f>IF($B97=150,Q97-SUM(E97,G97,J97,L97,N97),0)</f>
        <v>0</v>
      </c>
      <c r="T97">
        <f>IF($B97=200,Q97-SUM(E97,G97,J97,L97,N97),0)</f>
        <v>0</v>
      </c>
      <c r="U97">
        <f>IF($B97=250,Q97-SUM(E97,G97,J97,L97,N97),0)</f>
        <v>0</v>
      </c>
      <c r="V97">
        <f>IF($B97=300,Q97-SUM(E97,G97,J97,L97,N97),0)</f>
        <v>0</v>
      </c>
      <c r="W97">
        <f>IF($B97=350,Q97-SUM(E97,G97,J97,L97,N97),0)</f>
        <v>8.595</v>
      </c>
      <c r="X97">
        <f>IF($B97=500,Q97-SUM(E97,G97,J97,L97,N97),0)</f>
        <v>0</v>
      </c>
      <c r="Y97">
        <f>IF($B97=550,Q97-SUM(E97,G97,J97,L97,N97),0)</f>
        <v>0</v>
      </c>
      <c r="Z97">
        <f>SUM(S97:Y97)*2</f>
        <v>17.19</v>
      </c>
    </row>
    <row r="98">
      <c r="A98">
        <f>A97+1</f>
        <v>25</v>
      </c>
      <c r="B98">
        <v>200</v>
      </c>
      <c r="C98">
        <v>2815</v>
      </c>
      <c r="D98">
        <f>9000-4500</f>
        <v>4500</v>
      </c>
      <c r="Q98">
        <f>C98*D98/1000000-O98</f>
        <v>12.6675</v>
      </c>
      <c r="S98">
        <f>IF($B98=150,Q98-SUM(E98,G98,J98,L98,N98),0)</f>
        <v>0</v>
      </c>
      <c r="T98">
        <f>IF($B98=200,Q98-SUM(E98,G98,J98,L98,N98),0)</f>
        <v>12.6675</v>
      </c>
      <c r="U98">
        <f>IF($B98=250,Q98-SUM(E98,G98,J98,L98,N98),0)</f>
        <v>0</v>
      </c>
      <c r="V98">
        <f>IF($B98=300,Q98-SUM(E98,G98,J98,L98,N98),0)</f>
        <v>0</v>
      </c>
      <c r="W98">
        <f>IF($B98=350,Q98-SUM(E98,G98,J98,L98,N98),0)</f>
        <v>0</v>
      </c>
      <c r="X98">
        <f>IF($B98=500,Q98-SUM(E98,G98,J98,L98,N98),0)</f>
        <v>0</v>
      </c>
      <c r="Y98">
        <f>IF($B98=550,Q98-SUM(E98,G98,J98,L98,N98),0)</f>
        <v>0</v>
      </c>
      <c r="Z98">
        <f>SUM(S98:Y98)*2</f>
        <v>25.335</v>
      </c>
    </row>
    <row r="99">
      <c r="A99">
        <f>A98+1</f>
        <v>26</v>
      </c>
      <c r="B99">
        <v>200</v>
      </c>
      <c r="C99">
        <v>4815</v>
      </c>
      <c r="D99">
        <f>9000-4500</f>
        <v>4500</v>
      </c>
      <c r="O99">
        <f>1.18*3</f>
        <v>3.54</v>
      </c>
      <c r="Q99">
        <f>C99*D99/1000000-O99</f>
        <v>18.1275</v>
      </c>
      <c r="S99">
        <f>IF($B99=150,Q99-SUM(E99,G99,J99,L99,N99),0)</f>
        <v>0</v>
      </c>
      <c r="T99">
        <f>IF($B99=200,Q99-SUM(E99,G99,J99,L99,N99),0)</f>
        <v>18.1275</v>
      </c>
      <c r="U99">
        <f>IF($B99=250,Q99-SUM(E99,G99,J99,L99,N99),0)</f>
        <v>0</v>
      </c>
      <c r="V99">
        <f>IF($B99=300,Q99-SUM(E99,G99,J99,L99,N99),0)</f>
        <v>0</v>
      </c>
      <c r="W99">
        <f>IF($B99=350,Q99-SUM(E99,G99,J99,L99,N99),0)</f>
        <v>0</v>
      </c>
      <c r="X99">
        <f>IF($B99=500,Q99-SUM(E99,G99,J99,L99,N99),0)</f>
        <v>0</v>
      </c>
      <c r="Y99">
        <f>IF($B99=550,Q99-SUM(E99,G99,J99,L99,N99),0)</f>
        <v>0</v>
      </c>
      <c r="Z99">
        <f>SUM(S99:Y99)*2</f>
        <v>36.255</v>
      </c>
      <c r="AC99">
        <f>1.18+2*3</f>
        <v>7.18</v>
      </c>
    </row>
    <row r="100">
      <c r="A100">
        <f>A99+1</f>
        <v>27</v>
      </c>
      <c r="B100">
        <v>200</v>
      </c>
      <c r="C100">
        <v>4815</v>
      </c>
      <c r="D100">
        <f>9000-4500</f>
        <v>4500</v>
      </c>
      <c r="O100">
        <f>0.94*3</f>
        <v>2.82</v>
      </c>
      <c r="Q100">
        <f>C100*D100/1000000-O100</f>
        <v>18.8475</v>
      </c>
      <c r="S100">
        <f>IF($B100=150,Q100-SUM(E100,G100,J100,L100,N100),0)</f>
        <v>0</v>
      </c>
      <c r="T100">
        <f>IF($B100=200,Q100-SUM(E100,G100,J100,L100,N100),0)</f>
        <v>18.8475</v>
      </c>
      <c r="U100">
        <f>IF($B100=250,Q100-SUM(E100,G100,J100,L100,N100),0)</f>
        <v>0</v>
      </c>
      <c r="V100">
        <f>IF($B100=300,Q100-SUM(E100,G100,J100,L100,N100),0)</f>
        <v>0</v>
      </c>
      <c r="W100">
        <f>IF($B100=350,Q100-SUM(E100,G100,J100,L100,N100),0)</f>
        <v>0</v>
      </c>
      <c r="X100">
        <f>IF($B100=500,Q100-SUM(E100,G100,J100,L100,N100),0)</f>
        <v>0</v>
      </c>
      <c r="Y100">
        <f>IF($B100=550,Q100-SUM(E100,G100,J100,L100,N100),0)</f>
        <v>0</v>
      </c>
      <c r="Z100">
        <f>SUM(S100:Y100)*2</f>
        <v>37.695</v>
      </c>
      <c r="AC100">
        <f>0.94+2*3</f>
        <v>6.9399999999999995</v>
      </c>
    </row>
    <row r="101">
      <c r="A101">
        <f>A100+1</f>
        <v>28</v>
      </c>
      <c r="B101">
        <v>200</v>
      </c>
      <c r="C101">
        <v>7170</v>
      </c>
      <c r="D101">
        <f>9000-4500</f>
        <v>4500</v>
      </c>
      <c r="O101">
        <f>(1.8*3)*2</f>
        <v>10.8</v>
      </c>
      <c r="Q101">
        <f>C101*D101/1000000-O101</f>
        <v>21.465</v>
      </c>
      <c r="S101">
        <f>IF($B101=150,Q101-SUM(E101,G101,J101,L101,N101),0)</f>
        <v>0</v>
      </c>
      <c r="T101">
        <f>IF($B101=200,Q101-SUM(E101,G101,J101,L101,N101),0)</f>
        <v>21.465</v>
      </c>
      <c r="U101">
        <f>IF($B101=250,Q101-SUM(E101,G101,J101,L101,N101),0)</f>
        <v>0</v>
      </c>
      <c r="V101">
        <f>IF($B101=300,Q101-SUM(E101,G101,J101,L101,N101),0)</f>
        <v>0</v>
      </c>
      <c r="W101">
        <f>IF($B101=350,Q101-SUM(E101,G101,J101,L101,N101),0)</f>
        <v>0</v>
      </c>
      <c r="X101">
        <f>IF($B101=500,Q101-SUM(E101,G101,J101,L101,N101),0)</f>
        <v>0</v>
      </c>
      <c r="Y101">
        <f>IF($B101=550,Q101-SUM(E101,G101,J101,L101,N101),0)</f>
        <v>0</v>
      </c>
      <c r="Z101">
        <f>SUM(S101:Y101)*2</f>
        <v>42.93</v>
      </c>
      <c r="AC101">
        <f>(1.8+2*3)*2</f>
        <v>15.6</v>
      </c>
    </row>
    <row r="102">
      <c r="A102">
        <f>A101+1</f>
        <v>29</v>
      </c>
      <c r="B102">
        <v>300</v>
      </c>
      <c r="C102">
        <v>2900</v>
      </c>
      <c r="D102">
        <f>9000-4500</f>
        <v>4500</v>
      </c>
      <c r="O102">
        <f>0.77*2.2</f>
        <v>1.6940000000000002</v>
      </c>
      <c r="Q102">
        <f>C102*D102/1000000-O102</f>
        <v>11.356</v>
      </c>
      <c r="S102">
        <f>IF($B102=150,Q102-SUM(E102,G102,J102,L102,N102),0)</f>
        <v>0</v>
      </c>
      <c r="T102">
        <f>IF($B102=200,Q102-SUM(E102,G102,J102,L102,N102),0)</f>
        <v>0</v>
      </c>
      <c r="U102">
        <f>IF($B102=250,Q102-SUM(E102,G102,J102,L102,N102),0)</f>
        <v>0</v>
      </c>
      <c r="V102">
        <f>IF($B102=300,Q102-SUM(E102,G102,J102,L102,N102),0)</f>
        <v>11.356</v>
      </c>
      <c r="W102">
        <f>IF($B102=350,Q102-SUM(E102,G102,J102,L102,N102),0)</f>
        <v>0</v>
      </c>
      <c r="X102">
        <f>IF($B102=500,Q102-SUM(E102,G102,J102,L102,N102),0)</f>
        <v>0</v>
      </c>
      <c r="Y102">
        <f>IF($B102=550,Q102-SUM(E102,G102,J102,L102,N102),0)</f>
        <v>0</v>
      </c>
      <c r="Z102">
        <f>SUM(S102:Y102)*2</f>
        <v>22.712</v>
      </c>
      <c r="AC102">
        <f>2*(0.77+2.2)</f>
        <v>5.94</v>
      </c>
    </row>
    <row r="103">
      <c r="Q103">
        <f>C103*D103/1000000-O103</f>
        <v>0</v>
      </c>
      <c r="S103">
        <f>IF($B103=150,Q103-SUM(E103,G103,J103,L103,N103),0)</f>
        <v>0</v>
      </c>
      <c r="T103">
        <f>IF($B103=200,Q103-SUM(E103,G103,J103,L103,N103),0)</f>
        <v>0</v>
      </c>
      <c r="U103">
        <f>IF($B103=250,Q103-SUM(E103,G103,J103,L103,N103),0)</f>
        <v>0</v>
      </c>
      <c r="V103">
        <f>IF($B103=300,Q103-SUM(E103,G103,J103,L103,N103),0)</f>
        <v>0</v>
      </c>
      <c r="W103">
        <f>IF($B103=350,Q103-SUM(E103,G103,J103,L103,N103),0)</f>
        <v>0</v>
      </c>
      <c r="X103">
        <f>IF($B103=500,Q103-SUM(E103,G103,J103,L103,N103),0)</f>
        <v>0</v>
      </c>
      <c r="Y103">
        <f>IF($B103=550,Q103-SUM(E103,G103,J103,L103,N103),0)</f>
        <v>0</v>
      </c>
      <c r="Z103">
        <f>SUM(S103:Y103)*2</f>
        <v>0</v>
      </c>
    </row>
    <row r="104">
      <c r="A104" t="str">
        <v>VOLUME</v>
      </c>
      <c r="F104">
        <f>SUM(F73:F103)</f>
        <v>0</v>
      </c>
      <c r="K104">
        <f>SUM(K73:K103)</f>
        <v>0</v>
      </c>
      <c r="M104">
        <f>SUM(M73:M103)</f>
        <v>0</v>
      </c>
      <c r="Q104">
        <f>SUM(Q73:Q103)</f>
        <v>784.3968333333336</v>
      </c>
      <c r="R104">
        <f>SUM(R73:R103)</f>
        <v>0</v>
      </c>
      <c r="S104">
        <f>SUM(S73:S103)</f>
        <v>0</v>
      </c>
      <c r="T104">
        <f>SUM(T73:T103)</f>
        <v>752.3783333333336</v>
      </c>
      <c r="U104">
        <f>SUM(U73:U103)</f>
        <v>0</v>
      </c>
      <c r="V104">
        <f>SUM(V73:V103)</f>
        <v>23.4235</v>
      </c>
      <c r="W104">
        <f>SUM(W73:W103)</f>
        <v>8.595</v>
      </c>
      <c r="X104">
        <f>SUM(X73:X103)</f>
        <v>0</v>
      </c>
      <c r="Y104">
        <f>SUM(Y73:Y103)</f>
        <v>0</v>
      </c>
      <c r="Z104">
        <f>SUM(Z73:Z103)</f>
        <v>1568.7936666666671</v>
      </c>
      <c r="AA104">
        <f>SUM(AA73:AA103)</f>
        <v>0</v>
      </c>
      <c r="AB104">
        <f>SUM(R104:Y104)</f>
        <v>784.3968333333336</v>
      </c>
      <c r="AC104">
        <f>SUM(AC73:AC103)</f>
        <v>162.74</v>
      </c>
      <c r="AD104">
        <f>AC104*(IF(S104&gt;0,150,IF(T104&gt;0,200,IF(U104&gt;0,250,IF(V104&gt;0,300,IF(W104&gt;0,350,IF(X104&gt;0,400,IF(Y104&gt;0,450))))))))/1000</f>
        <v>32.548</v>
      </c>
    </row>
    <row r="105">
      <c r="AD105">
        <f>AD104/AB104</f>
        <v>0.04149430315990141</v>
      </c>
    </row>
    <row r="108">
      <c r="A108" t="str">
        <v>Lantai Attic</v>
      </c>
      <c r="C108" t="str">
        <v>Panjang</v>
      </c>
      <c r="D108" t="str">
        <v>Tinggi</v>
      </c>
      <c r="E108" t="str">
        <v>Luas Pengurang</v>
      </c>
      <c r="Q108" t="str">
        <v>Luas Bruto - Kusen</v>
      </c>
      <c r="R108" t="str">
        <v>Luas Bruto - Kusen dan Balok</v>
      </c>
      <c r="S108" t="str">
        <v>Luas Dinding 1/2 Bata</v>
      </c>
      <c r="T108" t="str">
        <v>Luas Dinding 3/4 Bata</v>
      </c>
      <c r="U108" t="str">
        <v>Luas Dinding 1 Bata</v>
      </c>
      <c r="V108" t="str">
        <v>Luas Dinding 1 1/4 Bata</v>
      </c>
      <c r="W108" t="str">
        <v>Luas Dinding 1 1/2 Bata</v>
      </c>
      <c r="X108" t="str">
        <v>Luas Dinding 2 1/4 Bata</v>
      </c>
      <c r="Y108" t="str">
        <v>Luas Dinding 2 1/2 Bata</v>
      </c>
      <c r="Z108" t="str">
        <v>Plester &amp; Aci</v>
      </c>
      <c r="AA108" t="str">
        <v>Benangan</v>
      </c>
    </row>
    <row r="109">
      <c r="E109" t="str">
        <v>Kolom Struktur</v>
      </c>
      <c r="F109" t="str">
        <v>Kolom Praktis</v>
      </c>
      <c r="H109" t="str">
        <v>Balok Struktur</v>
      </c>
      <c r="K109" t="str">
        <v>Balok Latei</v>
      </c>
      <c r="M109" t="str">
        <v>Balok Praktis</v>
      </c>
      <c r="O109" t="str">
        <v>Luas Kusen</v>
      </c>
      <c r="P109" t="str">
        <v>Tipe Kusen</v>
      </c>
    </row>
    <row r="110">
      <c r="A110" t="str">
        <v>Nomor</v>
      </c>
      <c r="B110" t="str">
        <v>Tebal (mm)</v>
      </c>
      <c r="E110" t="str">
        <v>m2</v>
      </c>
      <c r="F110" t="str">
        <v>m'</v>
      </c>
      <c r="G110" t="str">
        <v>Luas KP</v>
      </c>
      <c r="H110" t="str">
        <v>panjang</v>
      </c>
      <c r="I110" t="str">
        <v>tinggi</v>
      </c>
      <c r="J110" t="str">
        <v>Luas Balok</v>
      </c>
      <c r="K110" t="str">
        <v>m'</v>
      </c>
      <c r="L110" t="str">
        <v>Luas BL</v>
      </c>
      <c r="M110" t="str">
        <v>m'</v>
      </c>
      <c r="N110" t="str">
        <v>Luas BP</v>
      </c>
      <c r="O110" t="str">
        <v>m2</v>
      </c>
      <c r="Q110" t="str">
        <v>m2</v>
      </c>
      <c r="R110" t="str">
        <v>m2</v>
      </c>
      <c r="S110" t="str">
        <v>m2</v>
      </c>
      <c r="T110" t="str">
        <v>m2</v>
      </c>
      <c r="U110" t="str">
        <v>m2</v>
      </c>
      <c r="V110" t="str">
        <v>m2</v>
      </c>
      <c r="W110" t="str">
        <v>m2</v>
      </c>
      <c r="X110" t="str">
        <v>m2</v>
      </c>
      <c r="Y110" t="str">
        <v>m2</v>
      </c>
      <c r="Z110" t="str">
        <v>m2</v>
      </c>
      <c r="AA110" t="str">
        <v>m'</v>
      </c>
    </row>
    <row r="112">
      <c r="A112">
        <v>1</v>
      </c>
      <c r="B112">
        <v>200</v>
      </c>
      <c r="C112">
        <v>9985</v>
      </c>
      <c r="D112">
        <f>12500-9000</f>
        <v>3500</v>
      </c>
      <c r="Q112">
        <f>C112*D112/1000000-O112</f>
        <v>34.9475</v>
      </c>
      <c r="S112">
        <f>IF($B112=150,Q112-SUM(E112,G112,J112,L112,N112),0)</f>
        <v>0</v>
      </c>
      <c r="T112">
        <f>IF($B112=200,Q112-SUM(E112,G112,J112,L112,N112),0)</f>
        <v>34.9475</v>
      </c>
      <c r="U112">
        <f>IF($B112=250,Q112-SUM(E112,G112,J112,L112,N112),0)</f>
        <v>0</v>
      </c>
      <c r="V112">
        <f>IF($B112=300,Q112-SUM(E112,G112,J112,L112,N112),0)</f>
        <v>0</v>
      </c>
      <c r="W112">
        <f>IF($B112=350,Q112-SUM(E112,G112,J112,L112,N112),0)</f>
        <v>0</v>
      </c>
      <c r="X112">
        <f>IF($B112=500,Q112-SUM(E112,G112,J112,L112,N112),0)</f>
        <v>0</v>
      </c>
      <c r="Y112">
        <f>IF($B112=550,Q112-SUM(E112,G112,J112,L112,N112),0)</f>
        <v>0</v>
      </c>
      <c r="Z112">
        <f>SUM(S112:Y112)*2</f>
        <v>69.895</v>
      </c>
    </row>
    <row r="113">
      <c r="A113">
        <f>A112+1</f>
        <v>2</v>
      </c>
      <c r="B113">
        <v>200</v>
      </c>
      <c r="C113">
        <v>18000</v>
      </c>
      <c r="D113">
        <f>12500-9000</f>
        <v>3500</v>
      </c>
      <c r="Q113">
        <f>C113*D113/1000000-O113</f>
        <v>63</v>
      </c>
      <c r="S113">
        <f>IF($B113=150,Q113-SUM(E113,G113,J113,L113,N113),0)</f>
        <v>0</v>
      </c>
      <c r="T113">
        <f>IF($B113=200,Q113-SUM(E113,G113,J113,L113,N113),0)</f>
        <v>63</v>
      </c>
      <c r="U113">
        <f>IF($B113=250,Q113-SUM(E113,G113,J113,L113,N113),0)</f>
        <v>0</v>
      </c>
      <c r="V113">
        <f>IF($B113=300,Q113-SUM(E113,G113,J113,L113,N113),0)</f>
        <v>0</v>
      </c>
      <c r="W113">
        <f>IF($B113=350,Q113-SUM(E113,G113,J113,L113,N113),0)</f>
        <v>0</v>
      </c>
      <c r="X113">
        <f>IF($B113=500,Q113-SUM(E113,G113,J113,L113,N113),0)</f>
        <v>0</v>
      </c>
      <c r="Y113">
        <f>IF($B113=550,Q113-SUM(E113,G113,J113,L113,N113),0)</f>
        <v>0</v>
      </c>
      <c r="Z113">
        <f>SUM(S113:Y113)*2</f>
        <v>126</v>
      </c>
    </row>
    <row r="114">
      <c r="A114">
        <f>A113+1</f>
        <v>3</v>
      </c>
      <c r="B114">
        <v>200</v>
      </c>
      <c r="C114">
        <v>19300</v>
      </c>
      <c r="D114">
        <f>12500-9000</f>
        <v>3500</v>
      </c>
      <c r="Q114">
        <f>C114*D114/1000000-O114</f>
        <v>67.55</v>
      </c>
      <c r="S114">
        <f>IF($B114=150,Q114-SUM(E114,G114,J114,L114,N114),0)</f>
        <v>0</v>
      </c>
      <c r="T114">
        <f>IF($B114=200,Q114-SUM(E114,G114,J114,L114,N114),0)</f>
        <v>67.55</v>
      </c>
      <c r="U114">
        <f>IF($B114=250,Q114-SUM(E114,G114,J114,L114,N114),0)</f>
        <v>0</v>
      </c>
      <c r="V114">
        <f>IF($B114=300,Q114-SUM(E114,G114,J114,L114,N114),0)</f>
        <v>0</v>
      </c>
      <c r="W114">
        <f>IF($B114=350,Q114-SUM(E114,G114,J114,L114,N114),0)</f>
        <v>0</v>
      </c>
      <c r="X114">
        <f>IF($B114=500,Q114-SUM(E114,G114,J114,L114,N114),0)</f>
        <v>0</v>
      </c>
      <c r="Y114">
        <f>IF($B114=550,Q114-SUM(E114,G114,J114,L114,N114),0)</f>
        <v>0</v>
      </c>
      <c r="Z114">
        <f>SUM(S114:Y114)*2</f>
        <v>135.1</v>
      </c>
    </row>
    <row r="115">
      <c r="A115">
        <f>A114+1</f>
        <v>4</v>
      </c>
      <c r="B115">
        <v>200</v>
      </c>
      <c r="C115">
        <v>6700</v>
      </c>
      <c r="D115">
        <f>12500-9000</f>
        <v>3500</v>
      </c>
      <c r="Q115">
        <f>C115*D115/1000000-O115</f>
        <v>23.45</v>
      </c>
      <c r="S115">
        <f>IF($B115=150,Q115-SUM(E115,G115,J115,L115,N115),0)</f>
        <v>0</v>
      </c>
      <c r="T115">
        <f>IF($B115=200,Q115-SUM(E115,G115,J115,L115,N115),0)</f>
        <v>23.45</v>
      </c>
      <c r="U115">
        <f>IF($B115=250,Q115-SUM(E115,G115,J115,L115,N115),0)</f>
        <v>0</v>
      </c>
      <c r="V115">
        <f>IF($B115=300,Q115-SUM(E115,G115,J115,L115,N115),0)</f>
        <v>0</v>
      </c>
      <c r="W115">
        <f>IF($B115=350,Q115-SUM(E115,G115,J115,L115,N115),0)</f>
        <v>0</v>
      </c>
      <c r="X115">
        <f>IF($B115=500,Q115-SUM(E115,G115,J115,L115,N115),0)</f>
        <v>0</v>
      </c>
      <c r="Y115">
        <f>IF($B115=550,Q115-SUM(E115,G115,J115,L115,N115),0)</f>
        <v>0</v>
      </c>
      <c r="Z115">
        <f>SUM(S115:Y115)*2</f>
        <v>46.9</v>
      </c>
    </row>
    <row r="116">
      <c r="A116">
        <f>A115+1</f>
        <v>5</v>
      </c>
      <c r="B116">
        <v>200</v>
      </c>
      <c r="C116">
        <v>6700</v>
      </c>
      <c r="D116">
        <f>12500-9000</f>
        <v>3500</v>
      </c>
      <c r="O116">
        <f>1.95*2.2</f>
        <v>4.29</v>
      </c>
      <c r="Q116">
        <f>C116*D116/1000000-O116</f>
        <v>19.16</v>
      </c>
      <c r="S116">
        <f>IF($B116=150,Q116-SUM(E116,G116,J116,L116,N116),0)</f>
        <v>0</v>
      </c>
      <c r="T116">
        <f>IF($B116=200,Q116-SUM(E116,G116,J116,L116,N116),0)</f>
        <v>19.16</v>
      </c>
      <c r="U116">
        <f>IF($B116=250,Q116-SUM(E116,G116,J116,L116,N116),0)</f>
        <v>0</v>
      </c>
      <c r="V116">
        <f>IF($B116=300,Q116-SUM(E116,G116,J116,L116,N116),0)</f>
        <v>0</v>
      </c>
      <c r="W116">
        <f>IF($B116=350,Q116-SUM(E116,G116,J116,L116,N116),0)</f>
        <v>0</v>
      </c>
      <c r="X116">
        <f>IF($B116=500,Q116-SUM(E116,G116,J116,L116,N116),0)</f>
        <v>0</v>
      </c>
      <c r="Y116">
        <f>IF($B116=550,Q116-SUM(E116,G116,J116,L116,N116),0)</f>
        <v>0</v>
      </c>
      <c r="Z116">
        <f>SUM(S116:Y116)*2</f>
        <v>38.32</v>
      </c>
      <c r="AC116">
        <v>6.5</v>
      </c>
    </row>
    <row r="117">
      <c r="A117">
        <f>A116+1</f>
        <v>6</v>
      </c>
      <c r="B117">
        <v>200</v>
      </c>
      <c r="C117">
        <v>14515</v>
      </c>
      <c r="D117">
        <f>12500-9000</f>
        <v>3500</v>
      </c>
      <c r="O117">
        <f>1.08*2.2+1.95*2.2</f>
        <v>6.666</v>
      </c>
      <c r="Q117">
        <f>C117*D117/1000000-O117</f>
        <v>44.1365</v>
      </c>
      <c r="S117">
        <f>IF($B117=150,Q117-SUM(E117,G117,J117,L117,N117),0)</f>
        <v>0</v>
      </c>
      <c r="T117">
        <f>IF($B117=200,Q117-SUM(E117,G117,J117,L117,N117),0)</f>
        <v>44.1365</v>
      </c>
      <c r="U117">
        <f>IF($B117=250,Q117-SUM(E117,G117,J117,L117,N117),0)</f>
        <v>0</v>
      </c>
      <c r="V117">
        <f>IF($B117=300,Q117-SUM(E117,G117,J117,L117,N117),0)</f>
        <v>0</v>
      </c>
      <c r="W117">
        <f>IF($B117=350,Q117-SUM(E117,G117,J117,L117,N117),0)</f>
        <v>0</v>
      </c>
      <c r="X117">
        <f>IF($B117=500,Q117-SUM(E117,G117,J117,L117,N117),0)</f>
        <v>0</v>
      </c>
      <c r="Y117">
        <f>IF($B117=550,Q117-SUM(E117,G117,J117,L117,N117),0)</f>
        <v>0</v>
      </c>
      <c r="Z117">
        <f>SUM(S117:Y117)*2</f>
        <v>88.273</v>
      </c>
      <c r="AC117">
        <v>6.5</v>
      </c>
    </row>
    <row r="118">
      <c r="A118">
        <f>A117+1</f>
        <v>7</v>
      </c>
      <c r="B118">
        <v>200</v>
      </c>
      <c r="C118">
        <v>10400</v>
      </c>
      <c r="D118">
        <f>12500-9000</f>
        <v>3500</v>
      </c>
      <c r="O118">
        <f>0.98*2.2</f>
        <v>2.156</v>
      </c>
      <c r="Q118">
        <f>C118*D118/1000000-O118</f>
        <v>34.244</v>
      </c>
      <c r="S118">
        <f>IF($B118=150,Q118-SUM(E118,G118,J118,L118,N118),0)</f>
        <v>0</v>
      </c>
      <c r="T118">
        <f>IF($B118=200,Q118-SUM(E118,G118,J118,L118,N118),0)</f>
        <v>34.244</v>
      </c>
      <c r="U118">
        <f>IF($B118=250,Q118-SUM(E118,G118,J118,L118,N118),0)</f>
        <v>0</v>
      </c>
      <c r="V118">
        <f>IF($B118=300,Q118-SUM(E118,G118,J118,L118,N118),0)</f>
        <v>0</v>
      </c>
      <c r="W118">
        <f>IF($B118=350,Q118-SUM(E118,G118,J118,L118,N118),0)</f>
        <v>0</v>
      </c>
      <c r="X118">
        <f>IF($B118=500,Q118-SUM(E118,G118,J118,L118,N118),0)</f>
        <v>0</v>
      </c>
      <c r="Y118">
        <f>IF($B118=550,Q118-SUM(E118,G118,J118,L118,N118),0)</f>
        <v>0</v>
      </c>
      <c r="Z118">
        <f>SUM(S118:Y118)*2</f>
        <v>68.488</v>
      </c>
      <c r="AC118">
        <f>0.98+2*2.2</f>
        <v>5.380000000000001</v>
      </c>
    </row>
    <row r="119">
      <c r="A119">
        <f>A118+1</f>
        <v>8</v>
      </c>
      <c r="B119">
        <v>200</v>
      </c>
      <c r="C119">
        <v>5430</v>
      </c>
      <c r="D119">
        <f>12500-9000</f>
        <v>3500</v>
      </c>
      <c r="O119">
        <f>0.98*2.2</f>
        <v>2.156</v>
      </c>
      <c r="Q119">
        <f>C119*D119/1000000-O119</f>
        <v>16.849</v>
      </c>
      <c r="S119">
        <f>IF($B119=150,Q119-SUM(E119,G119,J119,L119,N119),0)</f>
        <v>0</v>
      </c>
      <c r="T119">
        <f>IF($B119=200,Q119-SUM(E119,G119,J119,L119,N119),0)</f>
        <v>16.849</v>
      </c>
      <c r="U119">
        <f>IF($B119=250,Q119-SUM(E119,G119,J119,L119,N119),0)</f>
        <v>0</v>
      </c>
      <c r="V119">
        <f>IF($B119=300,Q119-SUM(E119,G119,J119,L119,N119),0)</f>
        <v>0</v>
      </c>
      <c r="W119">
        <f>IF($B119=350,Q119-SUM(E119,G119,J119,L119,N119),0)</f>
        <v>0</v>
      </c>
      <c r="X119">
        <f>IF($B119=500,Q119-SUM(E119,G119,J119,L119,N119),0)</f>
        <v>0</v>
      </c>
      <c r="Y119">
        <f>IF($B119=550,Q119-SUM(E119,G119,J119,L119,N119),0)</f>
        <v>0</v>
      </c>
      <c r="Z119">
        <f>SUM(S119:Y119)*2</f>
        <v>33.698</v>
      </c>
      <c r="AC119">
        <f>0.98+2*2.2</f>
        <v>5.380000000000001</v>
      </c>
    </row>
    <row r="120">
      <c r="A120">
        <f>A119+1</f>
        <v>9</v>
      </c>
      <c r="B120">
        <v>200</v>
      </c>
      <c r="C120">
        <v>3725</v>
      </c>
      <c r="D120">
        <f>12500-9000</f>
        <v>3500</v>
      </c>
      <c r="Q120">
        <f>C120*D120/1000000-O120</f>
        <v>13.0375</v>
      </c>
      <c r="S120">
        <f>IF($B120=150,Q120-SUM(E120,G120,J120,L120,N120),0)</f>
        <v>0</v>
      </c>
      <c r="T120">
        <f>IF($B120=200,Q120-SUM(E120,G120,J120,L120,N120),0)</f>
        <v>13.0375</v>
      </c>
      <c r="U120">
        <f>IF($B120=250,Q120-SUM(E120,G120,J120,L120,N120),0)</f>
        <v>0</v>
      </c>
      <c r="V120">
        <f>IF($B120=300,Q120-SUM(E120,G120,J120,L120,N120),0)</f>
        <v>0</v>
      </c>
      <c r="W120">
        <f>IF($B120=350,Q120-SUM(E120,G120,J120,L120,N120),0)</f>
        <v>0</v>
      </c>
      <c r="X120">
        <f>IF($B120=500,Q120-SUM(E120,G120,J120,L120,N120),0)</f>
        <v>0</v>
      </c>
      <c r="Y120">
        <f>IF($B120=550,Q120-SUM(E120,G120,J120,L120,N120),0)</f>
        <v>0</v>
      </c>
      <c r="Z120">
        <f>SUM(S120:Y120)*2</f>
        <v>26.075</v>
      </c>
    </row>
    <row r="121">
      <c r="A121">
        <f>A120+1</f>
        <v>10</v>
      </c>
      <c r="B121">
        <v>200</v>
      </c>
      <c r="C121">
        <v>2815</v>
      </c>
      <c r="D121">
        <f>12500-9000</f>
        <v>3500</v>
      </c>
      <c r="O121">
        <f>0.98*2.2</f>
        <v>2.156</v>
      </c>
      <c r="Q121">
        <f>C121*D121/1000000-O121</f>
        <v>7.696499999999999</v>
      </c>
      <c r="S121">
        <f>IF($B121=150,Q121-SUM(E121,G121,J121,L121,N121),0)</f>
        <v>0</v>
      </c>
      <c r="T121">
        <f>IF($B121=200,Q121-SUM(E121,G121,J121,L121,N121),0)</f>
        <v>7.696499999999999</v>
      </c>
      <c r="U121">
        <f>IF($B121=250,Q121-SUM(E121,G121,J121,L121,N121),0)</f>
        <v>0</v>
      </c>
      <c r="V121">
        <f>IF($B121=300,Q121-SUM(E121,G121,J121,L121,N121),0)</f>
        <v>0</v>
      </c>
      <c r="W121">
        <f>IF($B121=350,Q121-SUM(E121,G121,J121,L121,N121),0)</f>
        <v>0</v>
      </c>
      <c r="X121">
        <f>IF($B121=500,Q121-SUM(E121,G121,J121,L121,N121),0)</f>
        <v>0</v>
      </c>
      <c r="Y121">
        <f>IF($B121=550,Q121-SUM(E121,G121,J121,L121,N121),0)</f>
        <v>0</v>
      </c>
      <c r="Z121">
        <f>SUM(S121:Y121)*2</f>
        <v>15.392999999999997</v>
      </c>
      <c r="AC121">
        <f>0.98+2*2.2</f>
        <v>5.380000000000001</v>
      </c>
    </row>
    <row r="122">
      <c r="A122">
        <f>A121+1</f>
        <v>11</v>
      </c>
      <c r="B122">
        <v>200</v>
      </c>
      <c r="C122">
        <v>10385</v>
      </c>
      <c r="D122">
        <f>12500-9000</f>
        <v>3500</v>
      </c>
      <c r="O122">
        <f>5.8*2.2</f>
        <v>12.76</v>
      </c>
      <c r="Q122">
        <f>C122*D122/1000000-O122</f>
        <v>23.5875</v>
      </c>
      <c r="S122">
        <f>IF($B122=150,Q122-SUM(E122,G122,J122,L122,N122),0)</f>
        <v>0</v>
      </c>
      <c r="T122">
        <f>IF($B122=200,Q122-SUM(E122,G122,J122,L122,N122),0)</f>
        <v>23.5875</v>
      </c>
      <c r="U122">
        <f>IF($B122=250,Q122-SUM(E122,G122,J122,L122,N122),0)</f>
        <v>0</v>
      </c>
      <c r="V122">
        <f>IF($B122=300,Q122-SUM(E122,G122,J122,L122,N122),0)</f>
        <v>0</v>
      </c>
      <c r="W122">
        <f>IF($B122=350,Q122-SUM(E122,G122,J122,L122,N122),0)</f>
        <v>0</v>
      </c>
      <c r="X122">
        <f>IF($B122=500,Q122-SUM(E122,G122,J122,L122,N122),0)</f>
        <v>0</v>
      </c>
      <c r="Y122">
        <f>IF($B122=550,Q122-SUM(E122,G122,J122,L122,N122),0)</f>
        <v>0</v>
      </c>
      <c r="Z122">
        <f>SUM(S122:Y122)*2</f>
        <v>47.175</v>
      </c>
      <c r="AC122">
        <f>5.8+2*2.2</f>
        <v>10.2</v>
      </c>
    </row>
    <row r="123">
      <c r="A123">
        <f>A122+1</f>
        <v>12</v>
      </c>
      <c r="B123">
        <v>200</v>
      </c>
      <c r="C123">
        <v>2815</v>
      </c>
      <c r="D123">
        <f>12500-9000</f>
        <v>3500</v>
      </c>
      <c r="Q123">
        <f>C123*D123/1000000-O123</f>
        <v>9.8525</v>
      </c>
      <c r="S123">
        <f>IF($B123=150,Q123-SUM(E123,G123,J123,L123,N123),0)</f>
        <v>0</v>
      </c>
      <c r="T123">
        <f>IF($B123=200,Q123-SUM(E123,G123,J123,L123,N123),0)</f>
        <v>9.8525</v>
      </c>
      <c r="U123">
        <f>IF($B123=250,Q123-SUM(E123,G123,J123,L123,N123),0)</f>
        <v>0</v>
      </c>
      <c r="V123">
        <f>IF($B123=300,Q123-SUM(E123,G123,J123,L123,N123),0)</f>
        <v>0</v>
      </c>
      <c r="W123">
        <f>IF($B123=350,Q123-SUM(E123,G123,J123,L123,N123),0)</f>
        <v>0</v>
      </c>
      <c r="X123">
        <f>IF($B123=500,Q123-SUM(E123,G123,J123,L123,N123),0)</f>
        <v>0</v>
      </c>
      <c r="Y123">
        <f>IF($B123=550,Q123-SUM(E123,G123,J123,L123,N123),0)</f>
        <v>0</v>
      </c>
      <c r="Z123">
        <f>SUM(S123:Y123)*2</f>
        <v>19.705</v>
      </c>
    </row>
    <row r="124">
      <c r="A124" t="str">
        <v>12A</v>
      </c>
      <c r="B124">
        <v>200</v>
      </c>
      <c r="C124">
        <v>1070</v>
      </c>
      <c r="D124">
        <f>12500-9000</f>
        <v>3500</v>
      </c>
      <c r="O124">
        <f>0.89*1.5</f>
        <v>1.335</v>
      </c>
      <c r="Q124">
        <f>C124*D124/1000000-O124</f>
        <v>2.41</v>
      </c>
      <c r="S124">
        <f>IF($B124=150,Q124-SUM(E124,G124,J124,L124,N124),0)</f>
        <v>0</v>
      </c>
      <c r="T124">
        <f>IF($B124=200,Q124-SUM(E124,G124,J124,L124,N124),0)</f>
        <v>2.41</v>
      </c>
      <c r="U124">
        <f>IF($B124=250,Q124-SUM(E124,G124,J124,L124,N124),0)</f>
        <v>0</v>
      </c>
      <c r="V124">
        <f>IF($B124=300,Q124-SUM(E124,G124,J124,L124,N124),0)</f>
        <v>0</v>
      </c>
      <c r="W124">
        <f>IF($B124=350,Q124-SUM(E124,G124,J124,L124,N124),0)</f>
        <v>0</v>
      </c>
      <c r="X124">
        <f>IF($B124=500,Q124-SUM(E124,G124,J124,L124,N124),0)</f>
        <v>0</v>
      </c>
      <c r="Y124">
        <f>IF($B124=550,Q124-SUM(E124,G124,J124,L124,N124),0)</f>
        <v>0</v>
      </c>
      <c r="Z124">
        <f>SUM(S124:Y124)*2</f>
        <v>4.82</v>
      </c>
      <c r="AC124">
        <f>2*(0.89+1.5)</f>
        <v>4.78</v>
      </c>
    </row>
    <row r="125">
      <c r="A125">
        <v>13</v>
      </c>
      <c r="B125">
        <v>200</v>
      </c>
      <c r="C125">
        <v>4670</v>
      </c>
      <c r="D125">
        <f>12500-9000</f>
        <v>3500</v>
      </c>
      <c r="Q125">
        <f>C125*D125/1000000-O125</f>
        <v>16.345</v>
      </c>
      <c r="S125">
        <f>IF($B125=150,Q125-SUM(E125,G125,J125,L125,N125),0)</f>
        <v>0</v>
      </c>
      <c r="T125">
        <f>IF($B125=200,Q125-SUM(E125,G125,J125,L125,N125),0)</f>
        <v>16.345</v>
      </c>
      <c r="U125">
        <f>IF($B125=250,Q125-SUM(E125,G125,J125,L125,N125),0)</f>
        <v>0</v>
      </c>
      <c r="V125">
        <f>IF($B125=300,Q125-SUM(E125,G125,J125,L125,N125),0)</f>
        <v>0</v>
      </c>
      <c r="W125">
        <f>IF($B125=350,Q125-SUM(E125,G125,J125,L125,N125),0)</f>
        <v>0</v>
      </c>
      <c r="X125">
        <f>IF($B125=500,Q125-SUM(E125,G125,J125,L125,N125),0)</f>
        <v>0</v>
      </c>
      <c r="Y125">
        <f>IF($B125=550,Q125-SUM(E125,G125,J125,L125,N125),0)</f>
        <v>0</v>
      </c>
      <c r="Z125">
        <f>SUM(S125:Y125)*2</f>
        <v>32.69</v>
      </c>
    </row>
    <row r="126">
      <c r="A126">
        <f>A125+1</f>
        <v>14</v>
      </c>
      <c r="B126">
        <v>200</v>
      </c>
      <c r="C126">
        <v>9815</v>
      </c>
      <c r="D126">
        <f>12500-9000</f>
        <v>3500</v>
      </c>
      <c r="O126">
        <f>5.8*2.2</f>
        <v>12.76</v>
      </c>
      <c r="Q126">
        <f>C126*D126/1000000-O126</f>
        <v>21.5925</v>
      </c>
      <c r="S126">
        <f>IF($B126=150,Q126-SUM(E126,G126,J126,L126,N126),0)</f>
        <v>0</v>
      </c>
      <c r="T126">
        <f>IF($B126=200,Q126-SUM(E126,G126,J126,L126,N126),0)</f>
        <v>21.5925</v>
      </c>
      <c r="U126">
        <f>IF($B126=250,Q126-SUM(E126,G126,J126,L126,N126),0)</f>
        <v>0</v>
      </c>
      <c r="V126">
        <f>IF($B126=300,Q126-SUM(E126,G126,J126,L126,N126),0)</f>
        <v>0</v>
      </c>
      <c r="W126">
        <f>IF($B126=350,Q126-SUM(E126,G126,J126,L126,N126),0)</f>
        <v>0</v>
      </c>
      <c r="X126">
        <f>IF($B126=500,Q126-SUM(E126,G126,J126,L126,N126),0)</f>
        <v>0</v>
      </c>
      <c r="Y126">
        <f>IF($B126=550,Q126-SUM(E126,G126,J126,L126,N126),0)</f>
        <v>0</v>
      </c>
      <c r="Z126">
        <f>SUM(S126:Y126)*2</f>
        <v>43.185</v>
      </c>
      <c r="AC126">
        <f>5.8+2*2.2</f>
        <v>10.2</v>
      </c>
    </row>
    <row r="127">
      <c r="A127">
        <f>A126+1</f>
        <v>15</v>
      </c>
      <c r="B127">
        <v>200</v>
      </c>
      <c r="C127">
        <v>2315</v>
      </c>
      <c r="D127">
        <f>12500-9000</f>
        <v>3500</v>
      </c>
      <c r="O127">
        <f>1.6*1.5</f>
        <v>2.4000000000000004</v>
      </c>
      <c r="Q127">
        <f>C127*D127/1000000-O127</f>
        <v>5.702499999999999</v>
      </c>
      <c r="S127">
        <f>IF($B127=150,Q127-SUM(E127,G127,J127,L127,N127),0)</f>
        <v>0</v>
      </c>
      <c r="T127">
        <f>IF($B127=200,Q127-SUM(E127,G127,J127,L127,N127),0)</f>
        <v>5.702499999999999</v>
      </c>
      <c r="U127">
        <f>IF($B127=250,Q127-SUM(E127,G127,J127,L127,N127),0)</f>
        <v>0</v>
      </c>
      <c r="V127">
        <f>IF($B127=300,Q127-SUM(E127,G127,J127,L127,N127),0)</f>
        <v>0</v>
      </c>
      <c r="W127">
        <f>IF($B127=350,Q127-SUM(E127,G127,J127,L127,N127),0)</f>
        <v>0</v>
      </c>
      <c r="X127">
        <f>IF($B127=500,Q127-SUM(E127,G127,J127,L127,N127),0)</f>
        <v>0</v>
      </c>
      <c r="Y127">
        <f>IF($B127=550,Q127-SUM(E127,G127,J127,L127,N127),0)</f>
        <v>0</v>
      </c>
      <c r="Z127">
        <f>SUM(S127:Y127)*2</f>
        <v>11.404999999999998</v>
      </c>
      <c r="AC127">
        <f>2*(1.6+1.5)</f>
        <v>6.2</v>
      </c>
    </row>
    <row r="128">
      <c r="A128">
        <f>A127+1</f>
        <v>16</v>
      </c>
      <c r="B128">
        <v>200</v>
      </c>
      <c r="C128">
        <v>10400</v>
      </c>
      <c r="D128">
        <f>12500-9000</f>
        <v>3500</v>
      </c>
      <c r="O128">
        <f>4.55*2.2+0.91*2.2</f>
        <v>12.012</v>
      </c>
      <c r="Q128">
        <f>C128*D128/1000000-O128</f>
        <v>24.387999999999998</v>
      </c>
      <c r="S128">
        <f>IF($B128=150,Q128-SUM(E128,G128,J128,L128,N128),0)</f>
        <v>0</v>
      </c>
      <c r="T128">
        <f>IF($B128=200,Q128-SUM(E128,G128,J128,L128,N128),0)</f>
        <v>24.387999999999998</v>
      </c>
      <c r="U128">
        <f>IF($B128=250,Q128-SUM(E128,G128,J128,L128,N128),0)</f>
        <v>0</v>
      </c>
      <c r="V128">
        <f>IF($B128=300,Q128-SUM(E128,G128,J128,L128,N128),0)</f>
        <v>0</v>
      </c>
      <c r="W128">
        <f>IF($B128=350,Q128-SUM(E128,G128,J128,L128,N128),0)</f>
        <v>0</v>
      </c>
      <c r="X128">
        <f>IF($B128=500,Q128-SUM(E128,G128,J128,L128,N128),0)</f>
        <v>0</v>
      </c>
      <c r="Y128">
        <f>IF($B128=550,Q128-SUM(E128,G128,J128,L128,N128),0)</f>
        <v>0</v>
      </c>
      <c r="Z128">
        <f>SUM(S128:Y128)*2</f>
        <v>48.775999999999996</v>
      </c>
      <c r="AC128">
        <f>(4.55+2*2.2)+(0.91+2*2.2)</f>
        <v>14.26</v>
      </c>
    </row>
    <row r="129">
      <c r="A129">
        <f>A128+1</f>
        <v>17</v>
      </c>
      <c r="B129">
        <v>200</v>
      </c>
      <c r="C129">
        <v>1065</v>
      </c>
      <c r="D129">
        <f>12500-9000</f>
        <v>3500</v>
      </c>
      <c r="Q129">
        <f>C129*D129/1000000-O129</f>
        <v>3.7275</v>
      </c>
      <c r="S129">
        <f>IF($B129=150,Q129-SUM(E129,G129,J129,L129,N129),0)</f>
        <v>0</v>
      </c>
      <c r="T129">
        <f>IF($B129=200,Q129-SUM(E129,G129,J129,L129,N129),0)</f>
        <v>3.7275</v>
      </c>
      <c r="U129">
        <f>IF($B129=250,Q129-SUM(E129,G129,J129,L129,N129),0)</f>
        <v>0</v>
      </c>
      <c r="V129">
        <f>IF($B129=300,Q129-SUM(E129,G129,J129,L129,N129),0)</f>
        <v>0</v>
      </c>
      <c r="W129">
        <f>IF($B129=350,Q129-SUM(E129,G129,J129,L129,N129),0)</f>
        <v>0</v>
      </c>
      <c r="X129">
        <f>IF($B129=500,Q129-SUM(E129,G129,J129,L129,N129),0)</f>
        <v>0</v>
      </c>
      <c r="Y129">
        <f>IF($B129=550,Q129-SUM(E129,G129,J129,L129,N129),0)</f>
        <v>0</v>
      </c>
      <c r="Z129">
        <f>SUM(S129:Y129)*2</f>
        <v>7.455</v>
      </c>
    </row>
    <row r="130">
      <c r="A130">
        <f>A129+1</f>
        <v>18</v>
      </c>
      <c r="B130">
        <v>200</v>
      </c>
      <c r="C130">
        <v>4115</v>
      </c>
      <c r="D130">
        <f>12500-9000</f>
        <v>3500</v>
      </c>
      <c r="O130">
        <f>0.91*2.2</f>
        <v>2.0020000000000002</v>
      </c>
      <c r="Q130">
        <f>C130*D130/1000000-O130</f>
        <v>12.4005</v>
      </c>
      <c r="S130">
        <f>IF($B130=150,Q130-SUM(E130,G130,J130,L130,N130),0)</f>
        <v>0</v>
      </c>
      <c r="T130">
        <f>IF($B130=200,Q130-SUM(E130,G130,J130,L130,N130),0)</f>
        <v>12.4005</v>
      </c>
      <c r="U130">
        <f>IF($B130=250,Q130-SUM(E130,G130,J130,L130,N130),0)</f>
        <v>0</v>
      </c>
      <c r="V130">
        <f>IF($B130=300,Q130-SUM(E130,G130,J130,L130,N130),0)</f>
        <v>0</v>
      </c>
      <c r="W130">
        <f>IF($B130=350,Q130-SUM(E130,G130,J130,L130,N130),0)</f>
        <v>0</v>
      </c>
      <c r="X130">
        <f>IF($B130=500,Q130-SUM(E130,G130,J130,L130,N130),0)</f>
        <v>0</v>
      </c>
      <c r="Y130">
        <f>IF($B130=550,Q130-SUM(E130,G130,J130,L130,N130),0)</f>
        <v>0</v>
      </c>
      <c r="Z130">
        <f>SUM(S130:Y130)*2</f>
        <v>24.801</v>
      </c>
      <c r="AC130">
        <f>0.91+2*2.2</f>
        <v>5.3100000000000005</v>
      </c>
    </row>
    <row r="131">
      <c r="A131">
        <f>A130+1</f>
        <v>19</v>
      </c>
      <c r="B131">
        <v>200</v>
      </c>
      <c r="C131">
        <v>5700</v>
      </c>
      <c r="D131">
        <f>12500-9000</f>
        <v>3500</v>
      </c>
      <c r="O131">
        <f>1.3*1.5</f>
        <v>1.9500000000000002</v>
      </c>
      <c r="Q131">
        <f>C131*D131/1000000-O131</f>
        <v>18</v>
      </c>
      <c r="S131">
        <f>IF($B131=150,Q131-SUM(E131,G131,J131,L131,N131),0)</f>
        <v>0</v>
      </c>
      <c r="T131">
        <f>IF($B131=200,Q131-SUM(E131,G131,J131,L131,N131),0)</f>
        <v>18</v>
      </c>
      <c r="U131">
        <f>IF($B131=250,Q131-SUM(E131,G131,J131,L131,N131),0)</f>
        <v>0</v>
      </c>
      <c r="V131">
        <f>IF($B131=300,Q131-SUM(E131,G131,J131,L131,N131),0)</f>
        <v>0</v>
      </c>
      <c r="W131">
        <f>IF($B131=350,Q131-SUM(E131,G131,J131,L131,N131),0)</f>
        <v>0</v>
      </c>
      <c r="X131">
        <f>IF($B131=500,Q131-SUM(E131,G131,J131,L131,N131),0)</f>
        <v>0</v>
      </c>
      <c r="Y131">
        <f>IF($B131=550,Q131-SUM(E131,G131,J131,L131,N131),0)</f>
        <v>0</v>
      </c>
      <c r="Z131">
        <f>SUM(S131:Y131)*2</f>
        <v>36</v>
      </c>
      <c r="AC131">
        <v>6.17</v>
      </c>
    </row>
    <row r="132">
      <c r="A132">
        <f>A131+1</f>
        <v>20</v>
      </c>
      <c r="B132">
        <v>200</v>
      </c>
      <c r="C132">
        <v>4115</v>
      </c>
      <c r="D132">
        <f>12500-9000</f>
        <v>3500</v>
      </c>
      <c r="Q132">
        <f>C132*D132/1000000-O132</f>
        <v>14.4025</v>
      </c>
      <c r="S132">
        <f>IF($B132=150,Q132-SUM(E132,G132,J132,L132,N132),0)</f>
        <v>0</v>
      </c>
      <c r="T132">
        <f>IF($B132=200,Q132-SUM(E132,G132,J132,L132,N132),0)</f>
        <v>14.4025</v>
      </c>
      <c r="U132">
        <f>IF($B132=250,Q132-SUM(E132,G132,J132,L132,N132),0)</f>
        <v>0</v>
      </c>
      <c r="V132">
        <f>IF($B132=300,Q132-SUM(E132,G132,J132,L132,N132),0)</f>
        <v>0</v>
      </c>
      <c r="W132">
        <f>IF($B132=350,Q132-SUM(E132,G132,J132,L132,N132),0)</f>
        <v>0</v>
      </c>
      <c r="X132">
        <f>IF($B132=500,Q132-SUM(E132,G132,J132,L132,N132),0)</f>
        <v>0</v>
      </c>
      <c r="Y132">
        <f>IF($B132=550,Q132-SUM(E132,G132,J132,L132,N132),0)</f>
        <v>0</v>
      </c>
      <c r="Z132">
        <f>SUM(S132:Y132)*2</f>
        <v>28.805</v>
      </c>
    </row>
    <row r="133">
      <c r="A133">
        <f>A132+1</f>
        <v>21</v>
      </c>
      <c r="B133">
        <v>200</v>
      </c>
      <c r="C133">
        <v>2620</v>
      </c>
      <c r="D133">
        <f>12500-9000</f>
        <v>3500</v>
      </c>
      <c r="Q133">
        <f>C133*D133/1000000-O133</f>
        <v>9.17</v>
      </c>
      <c r="S133">
        <f>IF($B133=150,Q133-SUM(E133,G133,J133,L133,N133),0)</f>
        <v>0</v>
      </c>
      <c r="T133">
        <f>IF($B133=200,Q133-SUM(E133,G133,J133,L133,N133),0)</f>
        <v>9.17</v>
      </c>
      <c r="U133">
        <f>IF($B133=250,Q133-SUM(E133,G133,J133,L133,N133),0)</f>
        <v>0</v>
      </c>
      <c r="V133">
        <f>IF($B133=300,Q133-SUM(E133,G133,J133,L133,N133),0)</f>
        <v>0</v>
      </c>
      <c r="W133">
        <f>IF($B133=350,Q133-SUM(E133,G133,J133,L133,N133),0)</f>
        <v>0</v>
      </c>
      <c r="X133">
        <f>IF($B133=500,Q133-SUM(E133,G133,J133,L133,N133),0)</f>
        <v>0</v>
      </c>
      <c r="Y133">
        <f>IF($B133=550,Q133-SUM(E133,G133,J133,L133,N133),0)</f>
        <v>0</v>
      </c>
      <c r="Z133">
        <f>SUM(S133:Y133)*2</f>
        <v>18.34</v>
      </c>
    </row>
    <row r="134">
      <c r="A134">
        <f>A133+1</f>
        <v>22</v>
      </c>
      <c r="B134">
        <v>200</v>
      </c>
      <c r="C134">
        <v>2200</v>
      </c>
      <c r="D134">
        <f>12500-9000</f>
        <v>3500</v>
      </c>
      <c r="Q134">
        <f>C134*D134/1000000-O134</f>
        <v>7.7</v>
      </c>
      <c r="S134">
        <f>IF($B134=150,Q134-SUM(E134,G134,J134,L134,N134),0)</f>
        <v>0</v>
      </c>
      <c r="T134">
        <f>IF($B134=200,Q134-SUM(E134,G134,J134,L134,N134),0)</f>
        <v>7.7</v>
      </c>
      <c r="U134">
        <f>IF($B134=250,Q134-SUM(E134,G134,J134,L134,N134),0)</f>
        <v>0</v>
      </c>
      <c r="V134">
        <f>IF($B134=300,Q134-SUM(E134,G134,J134,L134,N134),0)</f>
        <v>0</v>
      </c>
      <c r="W134">
        <f>IF($B134=350,Q134-SUM(E134,G134,J134,L134,N134),0)</f>
        <v>0</v>
      </c>
      <c r="X134">
        <f>IF($B134=500,Q134-SUM(E134,G134,J134,L134,N134),0)</f>
        <v>0</v>
      </c>
      <c r="Y134">
        <f>IF($B134=550,Q134-SUM(E134,G134,J134,L134,N134),0)</f>
        <v>0</v>
      </c>
      <c r="Z134">
        <f>SUM(S134:Y134)*2</f>
        <v>15.4</v>
      </c>
    </row>
    <row r="135">
      <c r="A135">
        <f>A134+1</f>
        <v>23</v>
      </c>
      <c r="B135">
        <v>200</v>
      </c>
      <c r="C135">
        <v>1615</v>
      </c>
      <c r="D135">
        <f>12500-9000</f>
        <v>3500</v>
      </c>
      <c r="Q135">
        <f>C135*D135/1000000-O135</f>
        <v>5.6525</v>
      </c>
      <c r="S135">
        <f>IF($B135=150,Q135-SUM(E135,G135,J135,L135,N135),0)</f>
        <v>0</v>
      </c>
      <c r="T135">
        <f>IF($B135=200,Q135-SUM(E135,G135,J135,L135,N135),0)</f>
        <v>5.6525</v>
      </c>
      <c r="U135">
        <f>IF($B135=250,Q135-SUM(E135,G135,J135,L135,N135),0)</f>
        <v>0</v>
      </c>
      <c r="V135">
        <f>IF($B135=300,Q135-SUM(E135,G135,J135,L135,N135),0)</f>
        <v>0</v>
      </c>
      <c r="W135">
        <f>IF($B135=350,Q135-SUM(E135,G135,J135,L135,N135),0)</f>
        <v>0</v>
      </c>
      <c r="X135">
        <f>IF($B135=500,Q135-SUM(E135,G135,J135,L135,N135),0)</f>
        <v>0</v>
      </c>
      <c r="Y135">
        <f>IF($B135=550,Q135-SUM(E135,G135,J135,L135,N135),0)</f>
        <v>0</v>
      </c>
      <c r="Z135">
        <f>SUM(S135:Y135)*2</f>
        <v>11.305</v>
      </c>
    </row>
    <row r="136">
      <c r="Q136">
        <f>C136*D136/1000000-O136</f>
        <v>0</v>
      </c>
      <c r="S136">
        <f>IF($B136=150,Q136-SUM(E136,G136,J136,L136,N136),0)</f>
        <v>0</v>
      </c>
      <c r="T136">
        <f>IF($B136=200,Q136-SUM(E136,G136,J136,L136,N136),0)</f>
        <v>0</v>
      </c>
      <c r="U136">
        <f>IF($B136=250,Q136-SUM(E136,G136,J136,L136,N136),0)</f>
        <v>0</v>
      </c>
      <c r="V136">
        <f>IF($B136=300,Q136-SUM(E136,G136,J136,L136,N136),0)</f>
        <v>0</v>
      </c>
      <c r="W136">
        <f>IF($B136=350,Q136-SUM(E136,G136,J136,L136,N136),0)</f>
        <v>0</v>
      </c>
      <c r="X136">
        <f>IF($B136=500,Q136-SUM(E136,G136,J136,L136,N136),0)</f>
        <v>0</v>
      </c>
      <c r="Y136">
        <f>IF($B136=550,Q136-SUM(E136,G136,J136,L136,N136),0)</f>
        <v>0</v>
      </c>
      <c r="Z136">
        <f>SUM(S136:Y136)*2</f>
        <v>0</v>
      </c>
    </row>
    <row r="137">
      <c r="A137" t="str">
        <v>VOLUME</v>
      </c>
      <c r="F137">
        <f>SUM(F111:F136)</f>
        <v>0</v>
      </c>
      <c r="K137">
        <f>SUM(K111:K136)</f>
        <v>0</v>
      </c>
      <c r="M137">
        <f>SUM(M111:M136)</f>
        <v>0</v>
      </c>
      <c r="Q137">
        <f>SUM(Q111:Q136)</f>
        <v>499.0019999999999</v>
      </c>
      <c r="R137">
        <f>SUM(R111:R136)</f>
        <v>0</v>
      </c>
      <c r="S137">
        <f>SUM(S111:S136)</f>
        <v>0</v>
      </c>
      <c r="T137">
        <f>SUM(T111:T136)</f>
        <v>499.0019999999999</v>
      </c>
      <c r="U137">
        <f>SUM(U111:U136)</f>
        <v>0</v>
      </c>
      <c r="V137">
        <f>SUM(V111:V136)</f>
        <v>0</v>
      </c>
      <c r="W137">
        <f>SUM(W111:W136)</f>
        <v>0</v>
      </c>
      <c r="X137">
        <f>SUM(X111:X136)</f>
        <v>0</v>
      </c>
      <c r="Y137">
        <f>SUM(Y111:Y136)</f>
        <v>0</v>
      </c>
      <c r="Z137">
        <f>SUM(Z111:Z136)</f>
        <v>998.0039999999998</v>
      </c>
      <c r="AA137">
        <f>SUM(AA111:AA136)</f>
        <v>0</v>
      </c>
      <c r="AB137">
        <f>SUM(R137:Y137)</f>
        <v>499.0019999999999</v>
      </c>
      <c r="AC137">
        <f>SUM(AC111:AC136)</f>
        <v>86.26000000000002</v>
      </c>
      <c r="AD137">
        <f>AC137*(IF(S137&gt;0,150,IF(T137&gt;0,200,IF(U137&gt;0,250,IF(V137&gt;0,300,IF(W137&gt;0,350,IF(X137&gt;0,400,IF(Y137&gt;0,450))))))))/1000</f>
        <v>17.252000000000002</v>
      </c>
    </row>
    <row r="138">
      <c r="AD138" t="e">
        <f>#REF!/#REF!</f>
        <v>#REF!</v>
      </c>
    </row>
    <row r="141">
      <c r="B141" t="str">
        <v>15cm</v>
      </c>
      <c r="C141" t="str">
        <v>20cm</v>
      </c>
      <c r="D141" t="str">
        <v>25cm</v>
      </c>
      <c r="E141" t="str">
        <v>30cm</v>
      </c>
      <c r="F141" t="str">
        <v>35cm</v>
      </c>
      <c r="G141" t="str">
        <v>50cm</v>
      </c>
      <c r="H141" t="str">
        <v>55cm</v>
      </c>
    </row>
    <row r="142">
      <c r="A142" t="str">
        <v>Lantai</v>
      </c>
      <c r="B142" t="str">
        <v>Luas Dinding 1/2 Bata</v>
      </c>
      <c r="C142" t="str">
        <v>Luas Dinding 3/4 Bata</v>
      </c>
      <c r="D142" t="str">
        <v>Luas Dinding 1 Bata</v>
      </c>
      <c r="E142" t="str">
        <v>Luas Dinding 1 1/4 Bata</v>
      </c>
      <c r="F142" t="str">
        <v>Luas Dinding 1 1/2 Bata</v>
      </c>
      <c r="G142" t="str">
        <v>Luas Dinding 2 1/4 Bata</v>
      </c>
      <c r="H142" t="str">
        <v>Luas Dinding 2 1/2 Bata</v>
      </c>
      <c r="I142" t="str">
        <v>Plester &amp; Aci</v>
      </c>
      <c r="K142" t="str">
        <v>Benangan Sudut</v>
      </c>
      <c r="L142" t="str">
        <v>Benangan Opening</v>
      </c>
      <c r="M142" t="str">
        <v>Plester Aci Opening</v>
      </c>
    </row>
    <row r="143">
      <c r="J143" t="str">
        <v>cek</v>
      </c>
    </row>
    <row r="145">
      <c r="A145" t="str">
        <v>Basement</v>
      </c>
      <c r="B145">
        <f>S34</f>
        <v>0</v>
      </c>
      <c r="C145">
        <f>T34</f>
        <v>284.57599999999996</v>
      </c>
      <c r="D145">
        <f>U34</f>
        <v>0</v>
      </c>
      <c r="E145">
        <f>V34</f>
        <v>0</v>
      </c>
      <c r="F145">
        <f>W34</f>
        <v>0</v>
      </c>
      <c r="G145">
        <f>X34</f>
        <v>0</v>
      </c>
      <c r="H145">
        <f>Y34</f>
        <v>0</v>
      </c>
      <c r="I145">
        <f>Z34</f>
        <v>569.1519999999999</v>
      </c>
      <c r="L145">
        <f>AC34</f>
        <v>96.64000000000001</v>
      </c>
    </row>
    <row r="146">
      <c r="A146" t="str">
        <v>Lantai 1</v>
      </c>
      <c r="B146">
        <f>S66</f>
        <v>0</v>
      </c>
      <c r="C146">
        <f>T66</f>
        <v>568.8895</v>
      </c>
      <c r="D146">
        <f>U66</f>
        <v>0</v>
      </c>
      <c r="E146">
        <f>V66</f>
        <v>23.985</v>
      </c>
      <c r="F146">
        <f>W66</f>
        <v>64.3575</v>
      </c>
      <c r="G146">
        <f>X66</f>
        <v>0</v>
      </c>
      <c r="H146">
        <f>Y66</f>
        <v>7.4925000000000015</v>
      </c>
      <c r="I146">
        <f>Z66</f>
        <v>1329.449</v>
      </c>
      <c r="L146">
        <f>AC66</f>
        <v>115.148</v>
      </c>
    </row>
    <row r="147">
      <c r="A147" t="str">
        <v>Lantai 2</v>
      </c>
      <c r="B147">
        <f>S104</f>
        <v>0</v>
      </c>
      <c r="C147">
        <f>T104</f>
        <v>752.3783333333336</v>
      </c>
      <c r="D147">
        <f>U104</f>
        <v>0</v>
      </c>
      <c r="E147">
        <f>V104</f>
        <v>23.4235</v>
      </c>
      <c r="F147">
        <f>W104</f>
        <v>8.595</v>
      </c>
      <c r="G147">
        <f>X104</f>
        <v>0</v>
      </c>
      <c r="H147">
        <f>Y104</f>
        <v>0</v>
      </c>
      <c r="I147">
        <f>Z104</f>
        <v>1568.7936666666671</v>
      </c>
      <c r="L147">
        <f>AC104</f>
        <v>162.74</v>
      </c>
    </row>
    <row r="148">
      <c r="A148" t="str">
        <v>Lantai Attic</v>
      </c>
      <c r="B148">
        <f>S137</f>
        <v>0</v>
      </c>
      <c r="C148">
        <f>T137</f>
        <v>499.0019999999999</v>
      </c>
      <c r="D148">
        <f>U137</f>
        <v>0</v>
      </c>
      <c r="E148">
        <f>V137</f>
        <v>0</v>
      </c>
      <c r="F148">
        <f>W137</f>
        <v>0</v>
      </c>
      <c r="G148">
        <f>X137</f>
        <v>0</v>
      </c>
      <c r="H148">
        <f>Y137</f>
        <v>0</v>
      </c>
      <c r="I148">
        <f>Z137</f>
        <v>998.0039999999998</v>
      </c>
      <c r="L148">
        <f>AC137</f>
        <v>86.26000000000002</v>
      </c>
    </row>
    <row r="150">
      <c r="A150" t="str">
        <v>Total</v>
      </c>
      <c r="B150">
        <f>SUM(B144:B149)</f>
        <v>0</v>
      </c>
      <c r="C150">
        <f>SUM(C144:C149)</f>
        <v>2104.8458333333333</v>
      </c>
      <c r="D150">
        <f>SUM(D144:D149)</f>
        <v>0</v>
      </c>
      <c r="E150">
        <f>SUM(E144:E149)</f>
        <v>47.408500000000004</v>
      </c>
      <c r="F150">
        <f>SUM(F144:F149)</f>
        <v>72.9525</v>
      </c>
      <c r="G150">
        <f>SUM(G144:G149)</f>
        <v>0</v>
      </c>
      <c r="H150">
        <f>SUM(H144:H149)</f>
        <v>7.4925000000000015</v>
      </c>
      <c r="I150">
        <f>SUM(I144:I149)</f>
        <v>4465.398666666667</v>
      </c>
      <c r="J150" t="str">
        <v>total</v>
      </c>
      <c r="K150">
        <f>SUM(K144:K149)</f>
        <v>0</v>
      </c>
      <c r="L150">
        <f>SUM(L144:L149)</f>
        <v>460.788</v>
      </c>
      <c r="M150">
        <f>SUM(M144:M149)</f>
        <v>0</v>
      </c>
    </row>
    <row r="151">
      <c r="I151">
        <f>I150-SUM(Z8:Z138)/2</f>
        <v>0</v>
      </c>
      <c r="J151" t="str">
        <v>rasio</v>
      </c>
      <c r="K151">
        <f>K150/I150</f>
        <v>0</v>
      </c>
    </row>
  </sheetData>
  <mergeCells count="100">
    <mergeCell ref="AA108:AA109"/>
    <mergeCell ref="F109:G109"/>
    <mergeCell ref="H109:J109"/>
    <mergeCell ref="K109:L109"/>
    <mergeCell ref="M109:N109"/>
    <mergeCell ref="P109:P110"/>
    <mergeCell ref="Q108:Q109"/>
    <mergeCell ref="R108:R109"/>
    <mergeCell ref="S108:S109"/>
    <mergeCell ref="T108:T109"/>
    <mergeCell ref="U108:U109"/>
    <mergeCell ref="X108:X109"/>
    <mergeCell ref="Y108:Y109"/>
    <mergeCell ref="Z108:Z109"/>
    <mergeCell ref="W108:W109"/>
    <mergeCell ref="AA70:AA71"/>
    <mergeCell ref="F71:G71"/>
    <mergeCell ref="H71:J71"/>
    <mergeCell ref="K71:L71"/>
    <mergeCell ref="M71:N71"/>
    <mergeCell ref="P71:P72"/>
    <mergeCell ref="R70:R71"/>
    <mergeCell ref="S70:S71"/>
    <mergeCell ref="T70:T71"/>
    <mergeCell ref="U70:U71"/>
    <mergeCell ref="V70:V71"/>
    <mergeCell ref="E70:P70"/>
    <mergeCell ref="Q70:Q71"/>
    <mergeCell ref="Z70:Z71"/>
    <mergeCell ref="Y70:Y71"/>
    <mergeCell ref="Z5:Z6"/>
    <mergeCell ref="AA5:AA6"/>
    <mergeCell ref="F6:G6"/>
    <mergeCell ref="H6:J6"/>
    <mergeCell ref="K6:L6"/>
    <mergeCell ref="M6:N6"/>
    <mergeCell ref="P6:P7"/>
    <mergeCell ref="S5:S6"/>
    <mergeCell ref="T5:T6"/>
    <mergeCell ref="U5:U6"/>
    <mergeCell ref="Y5:Y6"/>
    <mergeCell ref="V5:V6"/>
    <mergeCell ref="W5:W6"/>
    <mergeCell ref="X5:X6"/>
    <mergeCell ref="R5:R6"/>
    <mergeCell ref="A5:B6"/>
    <mergeCell ref="C5:C7"/>
    <mergeCell ref="D5:D7"/>
    <mergeCell ref="E5:P5"/>
    <mergeCell ref="Q5:Q6"/>
    <mergeCell ref="G104:J104"/>
    <mergeCell ref="E108:P108"/>
    <mergeCell ref="A137:E137"/>
    <mergeCell ref="G137:J137"/>
    <mergeCell ref="V108:V109"/>
    <mergeCell ref="A104:E104"/>
    <mergeCell ref="A108:B109"/>
    <mergeCell ref="C108:C110"/>
    <mergeCell ref="D108:D110"/>
    <mergeCell ref="A70:B71"/>
    <mergeCell ref="C70:C72"/>
    <mergeCell ref="D70:D72"/>
    <mergeCell ref="W70:W71"/>
    <mergeCell ref="X70:X71"/>
    <mergeCell ref="M39:N39"/>
    <mergeCell ref="A34:E34"/>
    <mergeCell ref="G34:J34"/>
    <mergeCell ref="A38:B39"/>
    <mergeCell ref="C38:C40"/>
    <mergeCell ref="D38:D40"/>
    <mergeCell ref="E38:P38"/>
    <mergeCell ref="P39:P40"/>
    <mergeCell ref="AA38:AA39"/>
    <mergeCell ref="A66:E66"/>
    <mergeCell ref="G66:J66"/>
    <mergeCell ref="X38:X39"/>
    <mergeCell ref="Y38:Y39"/>
    <mergeCell ref="Z38:Z39"/>
    <mergeCell ref="V38:V39"/>
    <mergeCell ref="Q38:Q39"/>
    <mergeCell ref="R38:R39"/>
    <mergeCell ref="S38:S39"/>
    <mergeCell ref="T38:T39"/>
    <mergeCell ref="W38:W39"/>
    <mergeCell ref="U38:U39"/>
    <mergeCell ref="F39:G39"/>
    <mergeCell ref="H39:J39"/>
    <mergeCell ref="K39:L39"/>
    <mergeCell ref="A142:A143"/>
    <mergeCell ref="B142:B143"/>
    <mergeCell ref="C142:C143"/>
    <mergeCell ref="D142:D143"/>
    <mergeCell ref="E142:E143"/>
    <mergeCell ref="L142:L143"/>
    <mergeCell ref="M142:M143"/>
    <mergeCell ref="F142:F143"/>
    <mergeCell ref="G142:G143"/>
    <mergeCell ref="H142:H143"/>
    <mergeCell ref="I142:I143"/>
    <mergeCell ref="K142:K143"/>
  </mergeCells>
  <pageMargins left="0.7" right="0.7" top="0.75" bottom="0.75" header="0.3" footer="0.3"/>
  <ignoredErrors>
    <ignoredError numberStoredAsText="1" sqref="A1:AF15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AC774"/>
  <sheetViews>
    <sheetView workbookViewId="0" rightToLeft="0"/>
  </sheetViews>
  <sheetData>
    <row r="1">
      <c r="B1" t="str">
        <v>PERHITUNGAN PEKERJAAN BALOK</v>
      </c>
    </row>
    <row r="3">
      <c r="B3" t="str">
        <v>Proyek</v>
      </c>
      <c r="E3" t="str">
        <v>:</v>
      </c>
      <c r="F3" t="str">
        <f>'Detail Balok'!B2</f>
        <v>PAKUWON INDAH PD3 no. 23</v>
      </c>
    </row>
    <row r="4">
      <c r="B4" t="str">
        <v>Elevasi Existing</v>
      </c>
      <c r="E4" t="str">
        <v>:</v>
      </c>
      <c r="F4">
        <v>0</v>
      </c>
    </row>
    <row r="5">
      <c r="B5" t="str">
        <v>Space Bekisting (per sisi)</v>
      </c>
      <c r="E5" t="str">
        <v>:</v>
      </c>
      <c r="F5">
        <v>100</v>
      </c>
      <c r="G5" t="str">
        <v>mm</v>
      </c>
    </row>
    <row r="6">
      <c r="B6" t="str">
        <v>Space Galian (per sisi)</v>
      </c>
      <c r="E6" t="str">
        <v>:</v>
      </c>
      <c r="F6">
        <v>300</v>
      </c>
      <c r="G6" t="str">
        <v>mm</v>
      </c>
    </row>
    <row r="7">
      <c r="B7" t="str">
        <v>Tebal Lantai Kerja</v>
      </c>
      <c r="E7" t="str">
        <v>:</v>
      </c>
      <c r="F7">
        <v>50</v>
      </c>
      <c r="G7" t="str">
        <v>mm</v>
      </c>
    </row>
    <row r="8">
      <c r="B8" t="str">
        <v>Tebal Pasir Urug</v>
      </c>
      <c r="E8" t="str">
        <v>:</v>
      </c>
      <c r="G8" t="str">
        <v>mm</v>
      </c>
    </row>
    <row r="10">
      <c r="A10" t="str">
        <v>Lantai / Elevasi</v>
      </c>
      <c r="B10" t="str">
        <v>Nomor Balok</v>
      </c>
      <c r="C10" t="str">
        <v>Type</v>
      </c>
      <c r="D10" t="str">
        <v>Dimensi</v>
      </c>
      <c r="G10" t="str">
        <v>RAP</v>
      </c>
    </row>
    <row r="11">
      <c r="G11" t="str">
        <v>L net</v>
      </c>
      <c r="H11" t="str">
        <v>Tebal Plat</v>
      </c>
      <c r="I11" t="str">
        <v>Elv. Top</v>
      </c>
      <c r="J11" t="str">
        <v>Elv. Bottom</v>
      </c>
      <c r="K11" t="str">
        <v>Jumlah</v>
      </c>
      <c r="L11" t="str">
        <v>Besi</v>
      </c>
      <c r="U11" t="str">
        <v>TOTAL BESI</v>
      </c>
      <c r="V11" t="str">
        <v>Beton</v>
      </c>
      <c r="W11" t="str">
        <v>Bekisting Kayu</v>
      </c>
      <c r="X11" t="str">
        <v>Bekisting Batako</v>
      </c>
      <c r="Y11" t="str">
        <v>Lantai Kerja</v>
      </c>
      <c r="Z11" t="str">
        <v>Galian</v>
      </c>
    </row>
    <row r="12">
      <c r="L12">
        <v>6</v>
      </c>
      <c r="M12">
        <v>8</v>
      </c>
      <c r="N12">
        <v>10</v>
      </c>
      <c r="O12">
        <v>13</v>
      </c>
      <c r="P12">
        <v>16</v>
      </c>
      <c r="Q12">
        <v>19</v>
      </c>
      <c r="R12">
        <v>22</v>
      </c>
      <c r="S12">
        <v>25</v>
      </c>
      <c r="T12">
        <v>29</v>
      </c>
    </row>
    <row r="14">
      <c r="A14" t="str">
        <f>'Data Panjang Balok'!A10</f>
        <v>Sloof</v>
      </c>
      <c r="B14">
        <f>'Data Panjang Balok'!B10</f>
        <v>1</v>
      </c>
      <c r="C14" t="str">
        <f>'Data Panjang Balok'!D10</f>
        <v>TB25-2</v>
      </c>
      <c r="D14">
        <f>IF(C14&gt;0,VLOOKUP(C14,'Detail Balok'!$C$11:$AU$110,2,FALSE),0)</f>
        <v>200</v>
      </c>
      <c r="E14" t="str">
        <v>x</v>
      </c>
      <c r="F14">
        <f>IF(C14&gt;0,VLOOKUP(C14,'Detail Balok'!$C$11:$AU$110,3,FALSE),0)</f>
        <v>500</v>
      </c>
      <c r="G14">
        <f>'Data Panjang Balok'!I10</f>
        <v>3500</v>
      </c>
      <c r="H14">
        <f>'Data Panjang Balok'!J10</f>
        <v>0</v>
      </c>
      <c r="J14">
        <f>I14-F14/1000</f>
        <v>-0.5</v>
      </c>
      <c r="K14">
        <f>'Data Panjang Balok'!E10</f>
        <v>1</v>
      </c>
      <c r="L14">
        <f>SUMIFS('Besi Balok'!$AA$23:$AA$12292,'Besi Balok'!$A$23:$A$12292,$A14,'Besi Balok'!$B$23:$B$12292,$B14,'Besi Balok'!$F$23:$F$12292,'REKAP Balok'!L$12)</f>
        <v>0</v>
      </c>
      <c r="M14">
        <f>SUMIFS('Besi Balok'!$AA$23:$AA$12292,'Besi Balok'!$A$23:$A$12292,$A14,'Besi Balok'!$B$23:$B$12292,$B14,'Besi Balok'!$F$23:$F$12292,'REKAP Balok'!M$12)</f>
        <v>0</v>
      </c>
      <c r="N14">
        <f>SUMIFS('Besi Balok'!$AA$23:$AA$12292,'Besi Balok'!$A$23:$A$12292,$A14,'Besi Balok'!$B$23:$B$12292,$B14,'Besi Balok'!$F$23:$F$12292,'REKAP Balok'!N$12)</f>
        <v>19.777320000000003</v>
      </c>
      <c r="O14">
        <f>SUMIFS('Besi Balok'!$AA$23:$AA$12292,'Besi Balok'!$A$23:$A$12292,$A14,'Besi Balok'!$B$23:$B$12292,$B14,'Besi Balok'!$F$23:$F$12292,'REKAP Balok'!O$12)</f>
        <v>0</v>
      </c>
      <c r="P14">
        <f>SUMIFS('Besi Balok'!$AA$23:$AA$12292,'Besi Balok'!$A$23:$A$12292,$A14,'Besi Balok'!$B$23:$B$12292,$B14,'Besi Balok'!$F$23:$F$12292,'REKAP Balok'!P$12)</f>
        <v>45.03034368</v>
      </c>
      <c r="Q14">
        <f>SUMIFS('Besi Balok'!$AA$23:$AA$12292,'Besi Balok'!$A$23:$A$12292,$A14,'Besi Balok'!$B$23:$B$12292,$B14,'Besi Balok'!$F$23:$F$12292,'REKAP Balok'!Q$12)</f>
        <v>0</v>
      </c>
      <c r="R14">
        <f>SUMIFS('Besi Balok'!$AA$23:$AA$12292,'Besi Balok'!$A$23:$A$12292,$A14,'Besi Balok'!$B$23:$B$12292,$B14,'Besi Balok'!$F$23:$F$12292,'REKAP Balok'!R$12)</f>
        <v>0</v>
      </c>
      <c r="S14">
        <f>SUMIFS('Besi Balok'!$AA$23:$AA$12292,'Besi Balok'!$A$23:$A$12292,$A14,'Besi Balok'!$B$23:$B$12292,$B14,'Besi Balok'!$F$23:$F$12292,'REKAP Balok'!S$12)</f>
        <v>0</v>
      </c>
      <c r="T14">
        <f>SUMIFS('Besi Balok'!$AA$23:$AA$12292,'Besi Balok'!$A$23:$A$12292,$A14,'Besi Balok'!$B$23:$B$12292,$B14,'Besi Balok'!$F$23:$F$12292,'REKAP Balok'!T$12)</f>
        <v>0</v>
      </c>
      <c r="U14">
        <f>SUM(L14:T14)</f>
        <v>64.80766368</v>
      </c>
      <c r="V14">
        <f>(D14*(F14-H14)*G14*K14)/1000000000</f>
        <v>0.35</v>
      </c>
      <c r="X14">
        <f>((F14-H14)*2*(G14)*K14)/1000000</f>
        <v>3.5</v>
      </c>
      <c r="Y14">
        <f>K14*(D14+2*$F$5)*G14*$F$7/1000000000</f>
        <v>0.07</v>
      </c>
      <c r="Z14">
        <f>K14*(D14+2*$F$5+2*$F$6)*($F$4-J14+($F$7+$F$8)/1000)*G14/1000000</f>
        <v>1.925</v>
      </c>
      <c r="AC14">
        <f>(D14+2*$F$5)*F14*G14/1000000000</f>
        <v>0.7</v>
      </c>
    </row>
    <row r="15">
      <c r="A15" t="str">
        <f>'Data Panjang Balok'!A11</f>
        <v>Sloof</v>
      </c>
      <c r="B15">
        <f>'Data Panjang Balok'!B11</f>
        <v>2</v>
      </c>
      <c r="C15" t="str">
        <f>'Data Panjang Balok'!D11</f>
        <v>TB245-1</v>
      </c>
      <c r="D15">
        <f>IF(C15&gt;0,VLOOKUP(C15,'Detail Balok'!$C$11:$AU$110,2,FALSE),0)</f>
        <v>200</v>
      </c>
      <c r="E15" t="str">
        <v>x</v>
      </c>
      <c r="F15">
        <f>IF(C15&gt;0,VLOOKUP(C15,'Detail Balok'!$C$11:$AU$110,3,FALSE),0)</f>
        <v>450</v>
      </c>
      <c r="G15">
        <f>'Data Panjang Balok'!I11</f>
        <v>3500</v>
      </c>
      <c r="H15">
        <f>'Data Panjang Balok'!J11</f>
        <v>0</v>
      </c>
      <c r="J15">
        <f>I15-F15/1000</f>
        <v>-0.45</v>
      </c>
      <c r="K15">
        <f>'Data Panjang Balok'!E11</f>
        <v>1</v>
      </c>
      <c r="L15">
        <f>SUMIFS('Besi Balok'!$AA$23:$AA$12292,'Besi Balok'!$A$23:$A$12292,$A15,'Besi Balok'!$B$23:$B$12292,$B15,'Besi Balok'!$F$23:$F$12292,'REKAP Balok'!L$12)</f>
        <v>0</v>
      </c>
      <c r="M15">
        <f>SUMIFS('Besi Balok'!$AA$23:$AA$12292,'Besi Balok'!$A$23:$A$12292,$A15,'Besi Balok'!$B$23:$B$12292,$B15,'Besi Balok'!$F$23:$F$12292,'REKAP Balok'!M$12)</f>
        <v>12.27633984</v>
      </c>
      <c r="N15">
        <f>SUMIFS('Besi Balok'!$AA$23:$AA$12292,'Besi Balok'!$A$23:$A$12292,$A15,'Besi Balok'!$B$23:$B$12292,$B15,'Besi Balok'!$F$23:$F$12292,'REKAP Balok'!N$12)</f>
        <v>0</v>
      </c>
      <c r="O15">
        <f>SUMIFS('Besi Balok'!$AA$23:$AA$12292,'Besi Balok'!$A$23:$A$12292,$A15,'Besi Balok'!$B$23:$B$12292,$B15,'Besi Balok'!$F$23:$F$12292,'REKAP Balok'!O$12)</f>
        <v>23.829993719999994</v>
      </c>
      <c r="P15">
        <f>SUMIFS('Besi Balok'!$AA$23:$AA$12292,'Besi Balok'!$A$23:$A$12292,$A15,'Besi Balok'!$B$23:$B$12292,$B15,'Besi Balok'!$F$23:$F$12292,'REKAP Balok'!P$12)</f>
        <v>0</v>
      </c>
      <c r="Q15">
        <f>SUMIFS('Besi Balok'!$AA$23:$AA$12292,'Besi Balok'!$A$23:$A$12292,$A15,'Besi Balok'!$B$23:$B$12292,$B15,'Besi Balok'!$F$23:$F$12292,'REKAP Balok'!Q$12)</f>
        <v>0</v>
      </c>
      <c r="R15">
        <f>SUMIFS('Besi Balok'!$AA$23:$AA$12292,'Besi Balok'!$A$23:$A$12292,$A15,'Besi Balok'!$B$23:$B$12292,$B15,'Besi Balok'!$F$23:$F$12292,'REKAP Balok'!R$12)</f>
        <v>0</v>
      </c>
      <c r="S15">
        <f>SUMIFS('Besi Balok'!$AA$23:$AA$12292,'Besi Balok'!$A$23:$A$12292,$A15,'Besi Balok'!$B$23:$B$12292,$B15,'Besi Balok'!$F$23:$F$12292,'REKAP Balok'!S$12)</f>
        <v>0</v>
      </c>
      <c r="T15">
        <f>SUMIFS('Besi Balok'!$AA$23:$AA$12292,'Besi Balok'!$A$23:$A$12292,$A15,'Besi Balok'!$B$23:$B$12292,$B15,'Besi Balok'!$F$23:$F$12292,'REKAP Balok'!T$12)</f>
        <v>0</v>
      </c>
      <c r="U15">
        <f>SUM(L15:T15)</f>
        <v>36.106333559999996</v>
      </c>
      <c r="V15">
        <f>(D15*(F15-H15)*G15*K15)/1000000000</f>
        <v>0.315</v>
      </c>
      <c r="X15">
        <f>((F15-H15)*2*(G15)*K15)/1000000</f>
        <v>3.15</v>
      </c>
      <c r="Y15">
        <f>K15*(D15+2*$F$5)*G15*$F$7/1000000000</f>
        <v>0.07</v>
      </c>
      <c r="Z15">
        <f>K15*(D15+2*$F$5+2*$F$6)*($F$4-J15+($F$7+$F$8)/1000)*G15/1000000</f>
        <v>1.75</v>
      </c>
      <c r="AC15">
        <f>(D15+2*$F$5)*F15*G15/1000000000</f>
        <v>0.63</v>
      </c>
    </row>
    <row r="16">
      <c r="A16" t="str">
        <f>'Data Panjang Balok'!A12</f>
        <v>Sloof</v>
      </c>
      <c r="B16">
        <f>'Data Panjang Balok'!B12</f>
        <v>3</v>
      </c>
      <c r="C16" t="str">
        <f>'Data Panjang Balok'!D12</f>
        <v>TB245-1</v>
      </c>
      <c r="D16">
        <f>IF(C16&gt;0,VLOOKUP(C16,'Detail Balok'!$C$11:$AU$110,2,FALSE),0)</f>
        <v>200</v>
      </c>
      <c r="E16" t="str">
        <v>x</v>
      </c>
      <c r="F16">
        <f>IF(C16&gt;0,VLOOKUP(C16,'Detail Balok'!$C$11:$AU$110,3,FALSE),0)</f>
        <v>450</v>
      </c>
      <c r="G16">
        <f>'Data Panjang Balok'!I12</f>
        <v>6000</v>
      </c>
      <c r="H16">
        <f>'Data Panjang Balok'!J12</f>
        <v>0</v>
      </c>
      <c r="J16">
        <f>I16-F16/1000</f>
        <v>-0.45</v>
      </c>
      <c r="K16">
        <f>'Data Panjang Balok'!E12</f>
        <v>1</v>
      </c>
      <c r="L16">
        <f>SUMIFS('Besi Balok'!$AA$23:$AA$12292,'Besi Balok'!$A$23:$A$12292,$A16,'Besi Balok'!$B$23:$B$12292,$B16,'Besi Balok'!$F$23:$F$12292,'REKAP Balok'!L$12)</f>
        <v>0</v>
      </c>
      <c r="M16">
        <f>SUMIFS('Besi Balok'!$AA$23:$AA$12292,'Besi Balok'!$A$23:$A$12292,$A16,'Besi Balok'!$B$23:$B$12292,$B16,'Besi Balok'!$F$23:$F$12292,'REKAP Balok'!M$12)</f>
        <v>19.59937344</v>
      </c>
      <c r="N16">
        <f>SUMIFS('Besi Balok'!$AA$23:$AA$12292,'Besi Balok'!$A$23:$A$12292,$A16,'Besi Balok'!$B$23:$B$12292,$B16,'Besi Balok'!$F$23:$F$12292,'REKAP Balok'!N$12)</f>
        <v>0</v>
      </c>
      <c r="O16">
        <f>SUMIFS('Besi Balok'!$AA$23:$AA$12292,'Besi Balok'!$A$23:$A$12292,$A16,'Besi Balok'!$B$23:$B$12292,$B16,'Besi Balok'!$F$23:$F$12292,'REKAP Balok'!O$12)</f>
        <v>39.45826871999999</v>
      </c>
      <c r="P16">
        <f>SUMIFS('Besi Balok'!$AA$23:$AA$12292,'Besi Balok'!$A$23:$A$12292,$A16,'Besi Balok'!$B$23:$B$12292,$B16,'Besi Balok'!$F$23:$F$12292,'REKAP Balok'!P$12)</f>
        <v>0</v>
      </c>
      <c r="Q16">
        <f>SUMIFS('Besi Balok'!$AA$23:$AA$12292,'Besi Balok'!$A$23:$A$12292,$A16,'Besi Balok'!$B$23:$B$12292,$B16,'Besi Balok'!$F$23:$F$12292,'REKAP Balok'!Q$12)</f>
        <v>0</v>
      </c>
      <c r="R16">
        <f>SUMIFS('Besi Balok'!$AA$23:$AA$12292,'Besi Balok'!$A$23:$A$12292,$A16,'Besi Balok'!$B$23:$B$12292,$B16,'Besi Balok'!$F$23:$F$12292,'REKAP Balok'!R$12)</f>
        <v>0</v>
      </c>
      <c r="S16">
        <f>SUMIFS('Besi Balok'!$AA$23:$AA$12292,'Besi Balok'!$A$23:$A$12292,$A16,'Besi Balok'!$B$23:$B$12292,$B16,'Besi Balok'!$F$23:$F$12292,'REKAP Balok'!S$12)</f>
        <v>0</v>
      </c>
      <c r="T16">
        <f>SUMIFS('Besi Balok'!$AA$23:$AA$12292,'Besi Balok'!$A$23:$A$12292,$A16,'Besi Balok'!$B$23:$B$12292,$B16,'Besi Balok'!$F$23:$F$12292,'REKAP Balok'!T$12)</f>
        <v>0</v>
      </c>
      <c r="U16">
        <f>SUM(L16:T16)</f>
        <v>59.05764215999999</v>
      </c>
      <c r="V16">
        <f>(D16*(F16-H16)*G16*K16)/1000000000</f>
        <v>0.54</v>
      </c>
      <c r="X16">
        <f>((F16-H16)*2*(G16)*K16)/1000000</f>
        <v>5.4</v>
      </c>
      <c r="Y16">
        <f>K16*(D16+2*$F$5)*G16*$F$7/1000000000</f>
        <v>0.12</v>
      </c>
      <c r="Z16">
        <f>K16*(D16+2*$F$5+2*$F$6)*($F$4-J16+($F$7+$F$8)/1000)*G16/1000000</f>
        <v>3</v>
      </c>
      <c r="AC16">
        <f>(D16+2*$F$5)*F16*G16/1000000000</f>
        <v>1.08</v>
      </c>
    </row>
    <row r="17">
      <c r="A17" t="str">
        <f>'Data Panjang Balok'!A13</f>
        <v>Sloof</v>
      </c>
      <c r="B17">
        <f>'Data Panjang Balok'!B13</f>
        <v>4</v>
      </c>
      <c r="C17" t="str">
        <f>'Data Panjang Balok'!D13</f>
        <v>TB245-1</v>
      </c>
      <c r="D17">
        <f>IF(C17&gt;0,VLOOKUP(C17,'Detail Balok'!$C$11:$AU$110,2,FALSE),0)</f>
        <v>200</v>
      </c>
      <c r="E17" t="str">
        <v>x</v>
      </c>
      <c r="F17">
        <f>IF(C17&gt;0,VLOOKUP(C17,'Detail Balok'!$C$11:$AU$110,3,FALSE),0)</f>
        <v>450</v>
      </c>
      <c r="G17">
        <f>'Data Panjang Balok'!I13</f>
        <v>2200</v>
      </c>
      <c r="H17">
        <f>'Data Panjang Balok'!J13</f>
        <v>0</v>
      </c>
      <c r="J17">
        <f>I17-F17/1000</f>
        <v>-0.45</v>
      </c>
      <c r="K17">
        <f>'Data Panjang Balok'!E13</f>
        <v>1</v>
      </c>
      <c r="L17">
        <f>SUMIFS('Besi Balok'!$AA$23:$AA$12292,'Besi Balok'!$A$23:$A$12292,$A17,'Besi Balok'!$B$23:$B$12292,$B17,'Besi Balok'!$F$23:$F$12292,'REKAP Balok'!L$12)</f>
        <v>0</v>
      </c>
      <c r="M17">
        <f>SUMIFS('Besi Balok'!$AA$23:$AA$12292,'Besi Balok'!$A$23:$A$12292,$A17,'Besi Balok'!$B$23:$B$12292,$B17,'Besi Balok'!$F$23:$F$12292,'REKAP Balok'!M$12)</f>
        <v>8.12951424</v>
      </c>
      <c r="N17">
        <f>SUMIFS('Besi Balok'!$AA$23:$AA$12292,'Besi Balok'!$A$23:$A$12292,$A17,'Besi Balok'!$B$23:$B$12292,$B17,'Besi Balok'!$F$23:$F$12292,'REKAP Balok'!N$12)</f>
        <v>0</v>
      </c>
      <c r="O17">
        <f>SUMIFS('Besi Balok'!$AA$23:$AA$12292,'Besi Balok'!$A$23:$A$12292,$A17,'Besi Balok'!$B$23:$B$12292,$B17,'Besi Balok'!$F$23:$F$12292,'REKAP Balok'!O$12)</f>
        <v>15.70329072</v>
      </c>
      <c r="P17">
        <f>SUMIFS('Besi Balok'!$AA$23:$AA$12292,'Besi Balok'!$A$23:$A$12292,$A17,'Besi Balok'!$B$23:$B$12292,$B17,'Besi Balok'!$F$23:$F$12292,'REKAP Balok'!P$12)</f>
        <v>0</v>
      </c>
      <c r="Q17">
        <f>SUMIFS('Besi Balok'!$AA$23:$AA$12292,'Besi Balok'!$A$23:$A$12292,$A17,'Besi Balok'!$B$23:$B$12292,$B17,'Besi Balok'!$F$23:$F$12292,'REKAP Balok'!Q$12)</f>
        <v>0</v>
      </c>
      <c r="R17">
        <f>SUMIFS('Besi Balok'!$AA$23:$AA$12292,'Besi Balok'!$A$23:$A$12292,$A17,'Besi Balok'!$B$23:$B$12292,$B17,'Besi Balok'!$F$23:$F$12292,'REKAP Balok'!R$12)</f>
        <v>0</v>
      </c>
      <c r="S17">
        <f>SUMIFS('Besi Balok'!$AA$23:$AA$12292,'Besi Balok'!$A$23:$A$12292,$A17,'Besi Balok'!$B$23:$B$12292,$B17,'Besi Balok'!$F$23:$F$12292,'REKAP Balok'!S$12)</f>
        <v>0</v>
      </c>
      <c r="T17">
        <f>SUMIFS('Besi Balok'!$AA$23:$AA$12292,'Besi Balok'!$A$23:$A$12292,$A17,'Besi Balok'!$B$23:$B$12292,$B17,'Besi Balok'!$F$23:$F$12292,'REKAP Balok'!T$12)</f>
        <v>0</v>
      </c>
      <c r="U17">
        <f>SUM(L17:T17)</f>
        <v>23.83280496</v>
      </c>
      <c r="V17">
        <f>(D17*(F17-H17)*G17*K17)/1000000000</f>
        <v>0.198</v>
      </c>
      <c r="X17">
        <f>((F17-H17)*2*(G17)*K17)/1000000</f>
        <v>1.98</v>
      </c>
      <c r="Y17">
        <f>K17*(D17+2*$F$5)*G17*$F$7/1000000000</f>
        <v>0.044</v>
      </c>
      <c r="Z17">
        <f>K17*(D17+2*$F$5+2*$F$6)*($F$4-J17+($F$7+$F$8)/1000)*G17/1000000</f>
        <v>1.1</v>
      </c>
      <c r="AC17">
        <f>(D17+2*$F$5)*F17*G17/1000000000</f>
        <v>0.396</v>
      </c>
    </row>
    <row r="18">
      <c r="A18" t="str">
        <f>'Data Panjang Balok'!A14</f>
        <v>Sloof</v>
      </c>
      <c r="B18">
        <f>'Data Panjang Balok'!B14</f>
        <v>5</v>
      </c>
      <c r="C18" t="str">
        <f>'Data Panjang Balok'!D14</f>
        <v>TB245-1</v>
      </c>
      <c r="D18">
        <f>IF(C18&gt;0,VLOOKUP(C18,'Detail Balok'!$C$11:$AU$110,2,FALSE),0)</f>
        <v>200</v>
      </c>
      <c r="E18" t="str">
        <v>x</v>
      </c>
      <c r="F18">
        <f>IF(C18&gt;0,VLOOKUP(C18,'Detail Balok'!$C$11:$AU$110,3,FALSE),0)</f>
        <v>450</v>
      </c>
      <c r="G18">
        <f>'Data Panjang Balok'!I14</f>
        <v>2800</v>
      </c>
      <c r="H18">
        <f>'Data Panjang Balok'!J14</f>
        <v>0</v>
      </c>
      <c r="J18">
        <f>I18-F18/1000</f>
        <v>-0.45</v>
      </c>
      <c r="K18">
        <f>'Data Panjang Balok'!E14</f>
        <v>1</v>
      </c>
      <c r="L18">
        <f>SUMIFS('Besi Balok'!$AA$23:$AA$12292,'Besi Balok'!$A$23:$A$12292,$A18,'Besi Balok'!$B$23:$B$12292,$B18,'Besi Balok'!$F$23:$F$12292,'REKAP Balok'!L$12)</f>
        <v>0</v>
      </c>
      <c r="M18">
        <f>SUMIFS('Besi Balok'!$AA$23:$AA$12292,'Besi Balok'!$A$23:$A$12292,$A18,'Besi Balok'!$B$23:$B$12292,$B18,'Besi Balok'!$F$23:$F$12292,'REKAP Balok'!M$12)</f>
        <v>9.94054464</v>
      </c>
      <c r="N18">
        <f>SUMIFS('Besi Balok'!$AA$23:$AA$12292,'Besi Balok'!$A$23:$A$12292,$A18,'Besi Balok'!$B$23:$B$12292,$B18,'Besi Balok'!$F$23:$F$12292,'REKAP Balok'!N$12)</f>
        <v>0</v>
      </c>
      <c r="O18">
        <f>SUMIFS('Besi Balok'!$AA$23:$AA$12292,'Besi Balok'!$A$23:$A$12292,$A18,'Besi Balok'!$B$23:$B$12292,$B18,'Besi Balok'!$F$23:$F$12292,'REKAP Balok'!O$12)</f>
        <v>19.454076719999996</v>
      </c>
      <c r="P18">
        <f>SUMIFS('Besi Balok'!$AA$23:$AA$12292,'Besi Balok'!$A$23:$A$12292,$A18,'Besi Balok'!$B$23:$B$12292,$B18,'Besi Balok'!$F$23:$F$12292,'REKAP Balok'!P$12)</f>
        <v>0</v>
      </c>
      <c r="Q18">
        <f>SUMIFS('Besi Balok'!$AA$23:$AA$12292,'Besi Balok'!$A$23:$A$12292,$A18,'Besi Balok'!$B$23:$B$12292,$B18,'Besi Balok'!$F$23:$F$12292,'REKAP Balok'!Q$12)</f>
        <v>0</v>
      </c>
      <c r="R18">
        <f>SUMIFS('Besi Balok'!$AA$23:$AA$12292,'Besi Balok'!$A$23:$A$12292,$A18,'Besi Balok'!$B$23:$B$12292,$B18,'Besi Balok'!$F$23:$F$12292,'REKAP Balok'!R$12)</f>
        <v>0</v>
      </c>
      <c r="S18">
        <f>SUMIFS('Besi Balok'!$AA$23:$AA$12292,'Besi Balok'!$A$23:$A$12292,$A18,'Besi Balok'!$B$23:$B$12292,$B18,'Besi Balok'!$F$23:$F$12292,'REKAP Balok'!S$12)</f>
        <v>0</v>
      </c>
      <c r="T18">
        <f>SUMIFS('Besi Balok'!$AA$23:$AA$12292,'Besi Balok'!$A$23:$A$12292,$A18,'Besi Balok'!$B$23:$B$12292,$B18,'Besi Balok'!$F$23:$F$12292,'REKAP Balok'!T$12)</f>
        <v>0</v>
      </c>
      <c r="U18">
        <f>SUM(L18:T18)</f>
        <v>29.394621359999995</v>
      </c>
      <c r="V18">
        <f>(D18*(F18-H18)*G18*K18)/1000000000</f>
        <v>0.252</v>
      </c>
      <c r="X18">
        <f>((F18-H18)*2*(G18)*K18)/1000000</f>
        <v>2.52</v>
      </c>
      <c r="Y18">
        <f>K18*(D18+2*$F$5)*G18*$F$7/1000000000</f>
        <v>0.056</v>
      </c>
      <c r="Z18">
        <f>K18*(D18+2*$F$5+2*$F$6)*($F$4-J18+($F$7+$F$8)/1000)*G18/1000000</f>
        <v>1.4</v>
      </c>
      <c r="AC18">
        <f>(D18+2*$F$5)*F18*G18/1000000000</f>
        <v>0.504</v>
      </c>
    </row>
    <row r="19">
      <c r="A19" t="str">
        <f>'Data Panjang Balok'!A15</f>
        <v>Sloof</v>
      </c>
      <c r="B19">
        <f>'Data Panjang Balok'!B15</f>
        <v>6</v>
      </c>
      <c r="C19" t="str">
        <f>'Data Panjang Balok'!D15</f>
        <v>TB24-1</v>
      </c>
      <c r="D19">
        <f>IF(C19&gt;0,VLOOKUP(C19,'Detail Balok'!$C$11:$AU$110,2,FALSE),0)</f>
        <v>200</v>
      </c>
      <c r="E19" t="str">
        <v>x</v>
      </c>
      <c r="F19">
        <f>IF(C19&gt;0,VLOOKUP(C19,'Detail Balok'!$C$11:$AU$110,3,FALSE),0)</f>
        <v>400</v>
      </c>
      <c r="G19">
        <f>'Data Panjang Balok'!I15</f>
        <v>4830</v>
      </c>
      <c r="H19">
        <f>'Data Panjang Balok'!J15</f>
        <v>0</v>
      </c>
      <c r="J19">
        <f>I19-F19/1000</f>
        <v>-0.4</v>
      </c>
      <c r="K19">
        <f>'Data Panjang Balok'!E15</f>
        <v>0</v>
      </c>
      <c r="L19">
        <f>SUMIFS('Besi Balok'!$AA$23:$AA$12292,'Besi Balok'!$A$23:$A$12292,$A19,'Besi Balok'!$B$23:$B$12292,$B19,'Besi Balok'!$F$23:$F$12292,'REKAP Balok'!L$12)</f>
        <v>0</v>
      </c>
      <c r="M19">
        <f>SUMIFS('Besi Balok'!$AA$23:$AA$12292,'Besi Balok'!$A$23:$A$12292,$A19,'Besi Balok'!$B$23:$B$12292,$B19,'Besi Balok'!$F$23:$F$12292,'REKAP Balok'!M$12)</f>
        <v>0</v>
      </c>
      <c r="N19">
        <f>SUMIFS('Besi Balok'!$AA$23:$AA$12292,'Besi Balok'!$A$23:$A$12292,$A19,'Besi Balok'!$B$23:$B$12292,$B19,'Besi Balok'!$F$23:$F$12292,'REKAP Balok'!N$12)</f>
        <v>0</v>
      </c>
      <c r="O19">
        <f>SUMIFS('Besi Balok'!$AA$23:$AA$12292,'Besi Balok'!$A$23:$A$12292,$A19,'Besi Balok'!$B$23:$B$12292,$B19,'Besi Balok'!$F$23:$F$12292,'REKAP Balok'!O$12)</f>
        <v>0</v>
      </c>
      <c r="P19">
        <f>SUMIFS('Besi Balok'!$AA$23:$AA$12292,'Besi Balok'!$A$23:$A$12292,$A19,'Besi Balok'!$B$23:$B$12292,$B19,'Besi Balok'!$F$23:$F$12292,'REKAP Balok'!P$12)</f>
        <v>0</v>
      </c>
      <c r="Q19">
        <f>SUMIFS('Besi Balok'!$AA$23:$AA$12292,'Besi Balok'!$A$23:$A$12292,$A19,'Besi Balok'!$B$23:$B$12292,$B19,'Besi Balok'!$F$23:$F$12292,'REKAP Balok'!Q$12)</f>
        <v>0</v>
      </c>
      <c r="R19">
        <f>SUMIFS('Besi Balok'!$AA$23:$AA$12292,'Besi Balok'!$A$23:$A$12292,$A19,'Besi Balok'!$B$23:$B$12292,$B19,'Besi Balok'!$F$23:$F$12292,'REKAP Balok'!R$12)</f>
        <v>0</v>
      </c>
      <c r="S19">
        <f>SUMIFS('Besi Balok'!$AA$23:$AA$12292,'Besi Balok'!$A$23:$A$12292,$A19,'Besi Balok'!$B$23:$B$12292,$B19,'Besi Balok'!$F$23:$F$12292,'REKAP Balok'!S$12)</f>
        <v>0</v>
      </c>
      <c r="T19">
        <f>SUMIFS('Besi Balok'!$AA$23:$AA$12292,'Besi Balok'!$A$23:$A$12292,$A19,'Besi Balok'!$B$23:$B$12292,$B19,'Besi Balok'!$F$23:$F$12292,'REKAP Balok'!T$12)</f>
        <v>0</v>
      </c>
      <c r="U19">
        <f>SUM(L19:T19)</f>
        <v>0</v>
      </c>
      <c r="V19">
        <f>(D19*(F19-H19)*G19*K19)/1000000000</f>
        <v>0</v>
      </c>
      <c r="X19">
        <f>((F19-H19)*2*(G19)*K19)/1000000</f>
        <v>0</v>
      </c>
      <c r="Y19">
        <f>K19*(D19+2*$F$5)*G19*$F$7/1000000000</f>
        <v>0</v>
      </c>
      <c r="Z19">
        <f>K19*(D19+2*$F$5+2*$F$6)*($F$4-J19+($F$7+$F$8)/1000)*G19/1000000</f>
        <v>0</v>
      </c>
      <c r="AC19">
        <f>(D19+2*$F$5)*F19*G19/1000000000</f>
        <v>0.7728</v>
      </c>
    </row>
    <row r="20">
      <c r="A20" t="str">
        <f>'Data Panjang Balok'!A16</f>
        <v>Sloof</v>
      </c>
      <c r="B20">
        <f>'Data Panjang Balok'!B16</f>
        <v>7</v>
      </c>
      <c r="C20" t="str">
        <f>'Data Panjang Balok'!D16</f>
        <v>TBK25-1</v>
      </c>
      <c r="D20">
        <f>IF(C20&gt;0,VLOOKUP(C20,'Detail Balok'!$C$11:$AU$110,2,FALSE),0)</f>
        <v>200</v>
      </c>
      <c r="E20" t="str">
        <v>x</v>
      </c>
      <c r="F20">
        <f>IF(C20&gt;0,VLOOKUP(C20,'Detail Balok'!$C$11:$AU$110,3,FALSE),0)</f>
        <v>500</v>
      </c>
      <c r="G20">
        <f>'Data Panjang Balok'!I16</f>
        <v>4830</v>
      </c>
      <c r="H20">
        <f>'Data Panjang Balok'!J16</f>
        <v>0</v>
      </c>
      <c r="J20">
        <f>I20-F20/1000</f>
        <v>-0.5</v>
      </c>
      <c r="K20">
        <f>'Data Panjang Balok'!E16</f>
        <v>0</v>
      </c>
      <c r="L20">
        <f>SUMIFS('Besi Balok'!$AA$23:$AA$12292,'Besi Balok'!$A$23:$A$12292,$A20,'Besi Balok'!$B$23:$B$12292,$B20,'Besi Balok'!$F$23:$F$12292,'REKAP Balok'!L$12)</f>
        <v>0</v>
      </c>
      <c r="M20">
        <f>SUMIFS('Besi Balok'!$AA$23:$AA$12292,'Besi Balok'!$A$23:$A$12292,$A20,'Besi Balok'!$B$23:$B$12292,$B20,'Besi Balok'!$F$23:$F$12292,'REKAP Balok'!M$12)</f>
        <v>0</v>
      </c>
      <c r="N20">
        <f>SUMIFS('Besi Balok'!$AA$23:$AA$12292,'Besi Balok'!$A$23:$A$12292,$A20,'Besi Balok'!$B$23:$B$12292,$B20,'Besi Balok'!$F$23:$F$12292,'REKAP Balok'!N$12)</f>
        <v>0</v>
      </c>
      <c r="O20">
        <f>SUMIFS('Besi Balok'!$AA$23:$AA$12292,'Besi Balok'!$A$23:$A$12292,$A20,'Besi Balok'!$B$23:$B$12292,$B20,'Besi Balok'!$F$23:$F$12292,'REKAP Balok'!O$12)</f>
        <v>0</v>
      </c>
      <c r="P20">
        <f>SUMIFS('Besi Balok'!$AA$23:$AA$12292,'Besi Balok'!$A$23:$A$12292,$A20,'Besi Balok'!$B$23:$B$12292,$B20,'Besi Balok'!$F$23:$F$12292,'REKAP Balok'!P$12)</f>
        <v>0</v>
      </c>
      <c r="Q20">
        <f>SUMIFS('Besi Balok'!$AA$23:$AA$12292,'Besi Balok'!$A$23:$A$12292,$A20,'Besi Balok'!$B$23:$B$12292,$B20,'Besi Balok'!$F$23:$F$12292,'REKAP Balok'!Q$12)</f>
        <v>0</v>
      </c>
      <c r="R20">
        <f>SUMIFS('Besi Balok'!$AA$23:$AA$12292,'Besi Balok'!$A$23:$A$12292,$A20,'Besi Balok'!$B$23:$B$12292,$B20,'Besi Balok'!$F$23:$F$12292,'REKAP Balok'!R$12)</f>
        <v>0</v>
      </c>
      <c r="S20">
        <f>SUMIFS('Besi Balok'!$AA$23:$AA$12292,'Besi Balok'!$A$23:$A$12292,$A20,'Besi Balok'!$B$23:$B$12292,$B20,'Besi Balok'!$F$23:$F$12292,'REKAP Balok'!S$12)</f>
        <v>0</v>
      </c>
      <c r="T20">
        <f>SUMIFS('Besi Balok'!$AA$23:$AA$12292,'Besi Balok'!$A$23:$A$12292,$A20,'Besi Balok'!$B$23:$B$12292,$B20,'Besi Balok'!$F$23:$F$12292,'REKAP Balok'!T$12)</f>
        <v>0</v>
      </c>
      <c r="U20">
        <f>SUM(L20:T20)</f>
        <v>0</v>
      </c>
      <c r="V20">
        <f>(D20*(F20-H20)*G20*K20)/1000000000</f>
        <v>0</v>
      </c>
      <c r="X20">
        <f>((F20-H20)*2*(G20)*K20)/1000000</f>
        <v>0</v>
      </c>
      <c r="Y20">
        <f>K20*(D20+2*$F$5)*G20*$F$7/1000000000</f>
        <v>0</v>
      </c>
      <c r="Z20">
        <f>K20*(D20+2*$F$5+2*$F$6)*($F$4-J20+($F$7+$F$8)/1000)*G20/1000000</f>
        <v>0</v>
      </c>
      <c r="AC20">
        <f>(D20+2*$F$5)*F20*G20/1000000000</f>
        <v>0.966</v>
      </c>
    </row>
    <row r="21">
      <c r="A21" t="str">
        <f>'Data Panjang Balok'!A17</f>
        <v>Sloof</v>
      </c>
      <c r="B21">
        <f>'Data Panjang Balok'!B17</f>
        <v>8</v>
      </c>
      <c r="C21" t="str">
        <f>'Data Panjang Balok'!D17</f>
        <v>TB46-1</v>
      </c>
      <c r="D21">
        <f>IF(C21&gt;0,VLOOKUP(C21,'Detail Balok'!$C$11:$AU$110,2,FALSE),0)</f>
        <v>400</v>
      </c>
      <c r="E21" t="str">
        <v>x</v>
      </c>
      <c r="F21">
        <f>IF(C21&gt;0,VLOOKUP(C21,'Detail Balok'!$C$11:$AU$110,3,FALSE),0)</f>
        <v>600</v>
      </c>
      <c r="G21">
        <f>'Data Panjang Balok'!I17</f>
        <v>3600</v>
      </c>
      <c r="H21">
        <f>'Data Panjang Balok'!J17</f>
        <v>150</v>
      </c>
      <c r="J21">
        <f>I21-F21/1000</f>
        <v>-0.6</v>
      </c>
      <c r="K21">
        <f>'Data Panjang Balok'!E17</f>
        <v>1</v>
      </c>
      <c r="L21">
        <f>SUMIFS('Besi Balok'!$AA$23:$AA$12292,'Besi Balok'!$A$23:$A$12292,$A21,'Besi Balok'!$B$23:$B$12292,$B21,'Besi Balok'!$F$23:$F$12292,'REKAP Balok'!L$12)</f>
        <v>0</v>
      </c>
      <c r="M21">
        <f>SUMIFS('Besi Balok'!$AA$23:$AA$12292,'Besi Balok'!$A$23:$A$12292,$A21,'Besi Balok'!$B$23:$B$12292,$B21,'Besi Balok'!$F$23:$F$12292,'REKAP Balok'!M$12)</f>
        <v>0</v>
      </c>
      <c r="N21">
        <f>SUMIFS('Besi Balok'!$AA$23:$AA$12292,'Besi Balok'!$A$23:$A$12292,$A21,'Besi Balok'!$B$23:$B$12292,$B21,'Besi Balok'!$F$23:$F$12292,'REKAP Balok'!N$12)</f>
        <v>27.29862</v>
      </c>
      <c r="O21">
        <f>SUMIFS('Besi Balok'!$AA$23:$AA$12292,'Besi Balok'!$A$23:$A$12292,$A21,'Besi Balok'!$B$23:$B$12292,$B21,'Besi Balok'!$F$23:$F$12292,'REKAP Balok'!O$12)</f>
        <v>0</v>
      </c>
      <c r="P21">
        <f>SUMIFS('Besi Balok'!$AA$23:$AA$12292,'Besi Balok'!$A$23:$A$12292,$A21,'Besi Balok'!$B$23:$B$12292,$B21,'Besi Balok'!$F$23:$F$12292,'REKAP Balok'!P$12)</f>
        <v>0</v>
      </c>
      <c r="Q21">
        <f>SUMIFS('Besi Balok'!$AA$23:$AA$12292,'Besi Balok'!$A$23:$A$12292,$A21,'Besi Balok'!$B$23:$B$12292,$B21,'Besi Balok'!$F$23:$F$12292,'REKAP Balok'!Q$12)</f>
        <v>126.37648296</v>
      </c>
      <c r="R21">
        <f>SUMIFS('Besi Balok'!$AA$23:$AA$12292,'Besi Balok'!$A$23:$A$12292,$A21,'Besi Balok'!$B$23:$B$12292,$B21,'Besi Balok'!$F$23:$F$12292,'REKAP Balok'!R$12)</f>
        <v>0</v>
      </c>
      <c r="S21">
        <f>SUMIFS('Besi Balok'!$AA$23:$AA$12292,'Besi Balok'!$A$23:$A$12292,$A21,'Besi Balok'!$B$23:$B$12292,$B21,'Besi Balok'!$F$23:$F$12292,'REKAP Balok'!S$12)</f>
        <v>0</v>
      </c>
      <c r="T21">
        <f>SUMIFS('Besi Balok'!$AA$23:$AA$12292,'Besi Balok'!$A$23:$A$12292,$A21,'Besi Balok'!$B$23:$B$12292,$B21,'Besi Balok'!$F$23:$F$12292,'REKAP Balok'!T$12)</f>
        <v>0</v>
      </c>
      <c r="U21">
        <f>SUM(L21:T21)</f>
        <v>153.67510296</v>
      </c>
      <c r="V21">
        <f>(D21*(F21-H21)*G21*K21)/1000000000</f>
        <v>0.648</v>
      </c>
      <c r="X21">
        <f>((F21-H21)*2*(G21)*K21)/1000000</f>
        <v>3.24</v>
      </c>
      <c r="Y21">
        <f>K21*(D21+2*$F$5)*G21*$F$7/1000000000</f>
        <v>0.108</v>
      </c>
      <c r="Z21">
        <f>K21*(D21+2*$F$5+2*$F$6)*($F$4-J21+($F$7+$F$8)/1000)*G21/1000000</f>
        <v>2.808</v>
      </c>
      <c r="AC21">
        <f>(D21+2*$F$5)*F21*G21/1000000000</f>
        <v>1.296</v>
      </c>
    </row>
    <row r="22">
      <c r="A22" t="str">
        <f>'Data Panjang Balok'!A18</f>
        <v>Sloof</v>
      </c>
      <c r="B22">
        <f>'Data Panjang Balok'!B18</f>
        <v>9</v>
      </c>
      <c r="C22" t="str">
        <f>'Data Panjang Balok'!D18</f>
        <v>TB245-1</v>
      </c>
      <c r="D22">
        <f>IF(C22&gt;0,VLOOKUP(C22,'Detail Balok'!$C$11:$AU$110,2,FALSE),0)</f>
        <v>200</v>
      </c>
      <c r="E22" t="str">
        <v>x</v>
      </c>
      <c r="F22">
        <f>IF(C22&gt;0,VLOOKUP(C22,'Detail Balok'!$C$11:$AU$110,3,FALSE),0)</f>
        <v>450</v>
      </c>
      <c r="G22">
        <f>'Data Panjang Balok'!I18</f>
        <v>8700</v>
      </c>
      <c r="H22">
        <f>'Data Panjang Balok'!J18</f>
        <v>150</v>
      </c>
      <c r="J22">
        <f>I22-F22/1000</f>
        <v>-0.45</v>
      </c>
      <c r="K22">
        <f>'Data Panjang Balok'!E18</f>
        <v>1</v>
      </c>
      <c r="L22">
        <f>SUMIFS('Besi Balok'!$AA$23:$AA$12292,'Besi Balok'!$A$23:$A$12292,$A22,'Besi Balok'!$B$23:$B$12292,$B22,'Besi Balok'!$F$23:$F$12292,'REKAP Balok'!L$12)</f>
        <v>0</v>
      </c>
      <c r="M22">
        <f>SUMIFS('Besi Balok'!$AA$23:$AA$12292,'Besi Balok'!$A$23:$A$12292,$A22,'Besi Balok'!$B$23:$B$12292,$B22,'Besi Balok'!$F$23:$F$12292,'REKAP Balok'!M$12)</f>
        <v>27.526083840000002</v>
      </c>
      <c r="N22">
        <f>SUMIFS('Besi Balok'!$AA$23:$AA$12292,'Besi Balok'!$A$23:$A$12292,$A22,'Besi Balok'!$B$23:$B$12292,$B22,'Besi Balok'!$F$23:$F$12292,'REKAP Balok'!N$12)</f>
        <v>0</v>
      </c>
      <c r="O22">
        <f>SUMIFS('Besi Balok'!$AA$23:$AA$12292,'Besi Balok'!$A$23:$A$12292,$A22,'Besi Balok'!$B$23:$B$12292,$B22,'Besi Balok'!$F$23:$F$12292,'REKAP Balok'!O$12)</f>
        <v>56.33680571999999</v>
      </c>
      <c r="P22">
        <f>SUMIFS('Besi Balok'!$AA$23:$AA$12292,'Besi Balok'!$A$23:$A$12292,$A22,'Besi Balok'!$B$23:$B$12292,$B22,'Besi Balok'!$F$23:$F$12292,'REKAP Balok'!P$12)</f>
        <v>0</v>
      </c>
      <c r="Q22">
        <f>SUMIFS('Besi Balok'!$AA$23:$AA$12292,'Besi Balok'!$A$23:$A$12292,$A22,'Besi Balok'!$B$23:$B$12292,$B22,'Besi Balok'!$F$23:$F$12292,'REKAP Balok'!Q$12)</f>
        <v>0</v>
      </c>
      <c r="R22">
        <f>SUMIFS('Besi Balok'!$AA$23:$AA$12292,'Besi Balok'!$A$23:$A$12292,$A22,'Besi Balok'!$B$23:$B$12292,$B22,'Besi Balok'!$F$23:$F$12292,'REKAP Balok'!R$12)</f>
        <v>0</v>
      </c>
      <c r="S22">
        <f>SUMIFS('Besi Balok'!$AA$23:$AA$12292,'Besi Balok'!$A$23:$A$12292,$A22,'Besi Balok'!$B$23:$B$12292,$B22,'Besi Balok'!$F$23:$F$12292,'REKAP Balok'!S$12)</f>
        <v>0</v>
      </c>
      <c r="T22">
        <f>SUMIFS('Besi Balok'!$AA$23:$AA$12292,'Besi Balok'!$A$23:$A$12292,$A22,'Besi Balok'!$B$23:$B$12292,$B22,'Besi Balok'!$F$23:$F$12292,'REKAP Balok'!T$12)</f>
        <v>0</v>
      </c>
      <c r="U22">
        <f>SUM(L22:T22)</f>
        <v>83.86288955999999</v>
      </c>
      <c r="V22">
        <f>(D22*(F22-H22)*G22*K22)/1000000000</f>
        <v>0.522</v>
      </c>
      <c r="X22">
        <f>((F22-H22)*2*(G22)*K22)/1000000</f>
        <v>5.22</v>
      </c>
      <c r="Y22">
        <f>K22*(D22+2*$F$5)*G22*$F$7/1000000000</f>
        <v>0.174</v>
      </c>
      <c r="Z22">
        <f>K22*(D22+2*$F$5+2*$F$6)*($F$4-J22+($F$7+$F$8)/1000)*G22/1000000</f>
        <v>4.35</v>
      </c>
      <c r="AC22">
        <f>(D22+2*$F$5)*F22*G22/1000000000</f>
        <v>1.566</v>
      </c>
    </row>
    <row r="23">
      <c r="A23" t="str">
        <f>'Data Panjang Balok'!A19</f>
        <v>Sloof</v>
      </c>
      <c r="B23">
        <f>'Data Panjang Balok'!B19</f>
        <v>10</v>
      </c>
      <c r="C23" t="str">
        <f>'Data Panjang Balok'!D19</f>
        <v>TB25-1</v>
      </c>
      <c r="D23">
        <f>IF(C23&gt;0,VLOOKUP(C23,'Detail Balok'!$C$11:$AU$110,2,FALSE),0)</f>
        <v>200</v>
      </c>
      <c r="E23" t="str">
        <v>x</v>
      </c>
      <c r="F23">
        <f>IF(C23&gt;0,VLOOKUP(C23,'Detail Balok'!$C$11:$AU$110,3,FALSE),0)</f>
        <v>500</v>
      </c>
      <c r="G23">
        <f>'Data Panjang Balok'!I19</f>
        <v>4250</v>
      </c>
      <c r="H23">
        <f>'Data Panjang Balok'!J19</f>
        <v>150</v>
      </c>
      <c r="J23">
        <f>I23-F23/1000</f>
        <v>-0.5</v>
      </c>
      <c r="K23">
        <f>'Data Panjang Balok'!E19</f>
        <v>1</v>
      </c>
      <c r="L23">
        <f>SUMIFS('Besi Balok'!$AA$23:$AA$12292,'Besi Balok'!$A$23:$A$12292,$A23,'Besi Balok'!$B$23:$B$12292,$B23,'Besi Balok'!$F$23:$F$12292,'REKAP Balok'!L$12)</f>
        <v>0</v>
      </c>
      <c r="M23">
        <f>SUMIFS('Besi Balok'!$AA$23:$AA$12292,'Besi Balok'!$A$23:$A$12292,$A23,'Besi Balok'!$B$23:$B$12292,$B23,'Besi Balok'!$F$23:$F$12292,'REKAP Balok'!M$12)</f>
        <v>0</v>
      </c>
      <c r="N23">
        <f>SUMIFS('Besi Balok'!$AA$23:$AA$12292,'Besi Balok'!$A$23:$A$12292,$A23,'Besi Balok'!$B$23:$B$12292,$B23,'Besi Balok'!$F$23:$F$12292,'REKAP Balok'!N$12)</f>
        <v>22.976955000000004</v>
      </c>
      <c r="O23">
        <f>SUMIFS('Besi Balok'!$AA$23:$AA$12292,'Besi Balok'!$A$23:$A$12292,$A23,'Besi Balok'!$B$23:$B$12292,$B23,'Besi Balok'!$F$23:$F$12292,'REKAP Balok'!O$12)</f>
        <v>0</v>
      </c>
      <c r="P23">
        <f>SUMIFS('Besi Balok'!$AA$23:$AA$12292,'Besi Balok'!$A$23:$A$12292,$A23,'Besi Balok'!$B$23:$B$12292,$B23,'Besi Balok'!$F$23:$F$12292,'REKAP Balok'!P$12)</f>
        <v>43.881384960000005</v>
      </c>
      <c r="Q23">
        <f>SUMIFS('Besi Balok'!$AA$23:$AA$12292,'Besi Balok'!$A$23:$A$12292,$A23,'Besi Balok'!$B$23:$B$12292,$B23,'Besi Balok'!$F$23:$F$12292,'REKAP Balok'!Q$12)</f>
        <v>0</v>
      </c>
      <c r="R23">
        <f>SUMIFS('Besi Balok'!$AA$23:$AA$12292,'Besi Balok'!$A$23:$A$12292,$A23,'Besi Balok'!$B$23:$B$12292,$B23,'Besi Balok'!$F$23:$F$12292,'REKAP Balok'!R$12)</f>
        <v>0</v>
      </c>
      <c r="S23">
        <f>SUMIFS('Besi Balok'!$AA$23:$AA$12292,'Besi Balok'!$A$23:$A$12292,$A23,'Besi Balok'!$B$23:$B$12292,$B23,'Besi Balok'!$F$23:$F$12292,'REKAP Balok'!S$12)</f>
        <v>0</v>
      </c>
      <c r="T23">
        <f>SUMIFS('Besi Balok'!$AA$23:$AA$12292,'Besi Balok'!$A$23:$A$12292,$A23,'Besi Balok'!$B$23:$B$12292,$B23,'Besi Balok'!$F$23:$F$12292,'REKAP Balok'!T$12)</f>
        <v>0</v>
      </c>
      <c r="U23">
        <f>SUM(L23:T23)</f>
        <v>66.85833996000001</v>
      </c>
      <c r="V23">
        <f>(D23*(F23-H23)*G23*K23)/1000000000</f>
        <v>0.2975</v>
      </c>
      <c r="X23">
        <f>((F23-H23)*2*(G23)*K23)/1000000</f>
        <v>2.975</v>
      </c>
      <c r="Y23">
        <f>K23*(D23+2*$F$5)*G23*$F$7/1000000000</f>
        <v>0.085</v>
      </c>
      <c r="Z23">
        <f>K23*(D23+2*$F$5+2*$F$6)*($F$4-J23+($F$7+$F$8)/1000)*G23/1000000</f>
        <v>2.3375</v>
      </c>
      <c r="AC23">
        <f>(D23+2*$F$5)*F23*G23/1000000000</f>
        <v>0.85</v>
      </c>
    </row>
    <row r="24">
      <c r="A24" t="str">
        <f>'Data Panjang Balok'!A20</f>
        <v>Sloof</v>
      </c>
      <c r="B24">
        <f>'Data Panjang Balok'!B20</f>
        <v>11</v>
      </c>
      <c r="C24" t="str">
        <f>'Data Panjang Balok'!D20</f>
        <v>Potongan S4</v>
      </c>
      <c r="D24">
        <f>IF(C24&gt;0,VLOOKUP(C24,'Detail Balok'!$C$11:$AU$110,2,FALSE),0)</f>
        <v>300</v>
      </c>
      <c r="E24" t="str">
        <v>x</v>
      </c>
      <c r="F24">
        <f>IF(C24&gt;0,VLOOKUP(C24,'Detail Balok'!$C$11:$AU$110,3,FALSE),0)</f>
        <v>500</v>
      </c>
      <c r="G24">
        <f>'Data Panjang Balok'!I20</f>
        <v>2100</v>
      </c>
      <c r="H24">
        <f>'Data Panjang Balok'!J20</f>
        <v>150</v>
      </c>
      <c r="J24">
        <f>I24-F24/1000</f>
        <v>-0.5</v>
      </c>
      <c r="K24">
        <f>'Data Panjang Balok'!E20</f>
        <v>1</v>
      </c>
      <c r="L24">
        <f>SUMIFS('Besi Balok'!$AA$23:$AA$12292,'Besi Balok'!$A$23:$A$12292,$A24,'Besi Balok'!$B$23:$B$12292,$B24,'Besi Balok'!$F$23:$F$12292,'REKAP Balok'!L$12)</f>
        <v>0</v>
      </c>
      <c r="M24">
        <f>SUMIFS('Besi Balok'!$AA$23:$AA$12292,'Besi Balok'!$A$23:$A$12292,$A24,'Besi Balok'!$B$23:$B$12292,$B24,'Besi Balok'!$F$23:$F$12292,'REKAP Balok'!M$12)</f>
        <v>0</v>
      </c>
      <c r="N24">
        <f>SUMIFS('Besi Balok'!$AA$23:$AA$12292,'Besi Balok'!$A$23:$A$12292,$A24,'Besi Balok'!$B$23:$B$12292,$B24,'Besi Balok'!$F$23:$F$12292,'REKAP Balok'!N$12)</f>
        <v>14.345955</v>
      </c>
      <c r="O24">
        <f>SUMIFS('Besi Balok'!$AA$23:$AA$12292,'Besi Balok'!$A$23:$A$12292,$A24,'Besi Balok'!$B$23:$B$12292,$B24,'Besi Balok'!$F$23:$F$12292,'REKAP Balok'!O$12)</f>
        <v>0</v>
      </c>
      <c r="P24">
        <f>SUMIFS('Besi Balok'!$AA$23:$AA$12292,'Besi Balok'!$A$23:$A$12292,$A24,'Besi Balok'!$B$23:$B$12292,$B24,'Besi Balok'!$F$23:$F$12292,'REKAP Balok'!P$12)</f>
        <v>31.362785280000004</v>
      </c>
      <c r="Q24">
        <f>SUMIFS('Besi Balok'!$AA$23:$AA$12292,'Besi Balok'!$A$23:$A$12292,$A24,'Besi Balok'!$B$23:$B$12292,$B24,'Besi Balok'!$F$23:$F$12292,'REKAP Balok'!Q$12)</f>
        <v>0</v>
      </c>
      <c r="R24">
        <f>SUMIFS('Besi Balok'!$AA$23:$AA$12292,'Besi Balok'!$A$23:$A$12292,$A24,'Besi Balok'!$B$23:$B$12292,$B24,'Besi Balok'!$F$23:$F$12292,'REKAP Balok'!R$12)</f>
        <v>0</v>
      </c>
      <c r="S24">
        <f>SUMIFS('Besi Balok'!$AA$23:$AA$12292,'Besi Balok'!$A$23:$A$12292,$A24,'Besi Balok'!$B$23:$B$12292,$B24,'Besi Balok'!$F$23:$F$12292,'REKAP Balok'!S$12)</f>
        <v>0</v>
      </c>
      <c r="T24">
        <f>SUMIFS('Besi Balok'!$AA$23:$AA$12292,'Besi Balok'!$A$23:$A$12292,$A24,'Besi Balok'!$B$23:$B$12292,$B24,'Besi Balok'!$F$23:$F$12292,'REKAP Balok'!T$12)</f>
        <v>0</v>
      </c>
      <c r="U24">
        <f>SUM(L24:T24)</f>
        <v>45.70874028</v>
      </c>
      <c r="V24">
        <f>(D24*(F24-H24)*G24*K24)/1000000000</f>
        <v>0.2205</v>
      </c>
      <c r="X24">
        <f>((F24-H24)*2*(G24)*K24)/1000000</f>
        <v>1.47</v>
      </c>
      <c r="Y24">
        <f>K24*(D24+2*$F$5)*G24*$F$7/1000000000</f>
        <v>0.0525</v>
      </c>
      <c r="Z24">
        <f>K24*(D24+2*$F$5+2*$F$6)*($F$4-J24+($F$7+$F$8)/1000)*G24/1000000</f>
        <v>1.2705</v>
      </c>
      <c r="AC24">
        <f>(D24+2*$F$5)*F24*G24/1000000000</f>
        <v>0.525</v>
      </c>
    </row>
    <row r="25">
      <c r="A25" t="str">
        <f>'Data Panjang Balok'!A21</f>
        <v>Sloof</v>
      </c>
      <c r="B25">
        <f>'Data Panjang Balok'!B21</f>
        <v>12</v>
      </c>
      <c r="C25" t="str">
        <f>'Data Panjang Balok'!D21</f>
        <v>Potongan S4</v>
      </c>
      <c r="D25">
        <f>IF(C25&gt;0,VLOOKUP(C25,'Detail Balok'!$C$11:$AU$110,2,FALSE),0)</f>
        <v>300</v>
      </c>
      <c r="E25" t="str">
        <v>x</v>
      </c>
      <c r="F25">
        <f>IF(C25&gt;0,VLOOKUP(C25,'Detail Balok'!$C$11:$AU$110,3,FALSE),0)</f>
        <v>500</v>
      </c>
      <c r="G25">
        <f>'Data Panjang Balok'!I21</f>
        <v>3335</v>
      </c>
      <c r="H25">
        <f>'Data Panjang Balok'!J21</f>
        <v>150</v>
      </c>
      <c r="J25">
        <f>I25-F25/1000</f>
        <v>-0.5</v>
      </c>
      <c r="K25">
        <f>'Data Panjang Balok'!E21</f>
        <v>1</v>
      </c>
      <c r="L25">
        <f>SUMIFS('Besi Balok'!$AA$23:$AA$12292,'Besi Balok'!$A$23:$A$12292,$A25,'Besi Balok'!$B$23:$B$12292,$B25,'Besi Balok'!$F$23:$F$12292,'REKAP Balok'!L$12)</f>
        <v>0</v>
      </c>
      <c r="M25">
        <f>SUMIFS('Besi Balok'!$AA$23:$AA$12292,'Besi Balok'!$A$23:$A$12292,$A25,'Besi Balok'!$B$23:$B$12292,$B25,'Besi Balok'!$F$23:$F$12292,'REKAP Balok'!M$12)</f>
        <v>0</v>
      </c>
      <c r="N25">
        <f>SUMIFS('Besi Balok'!$AA$23:$AA$12292,'Besi Balok'!$A$23:$A$12292,$A25,'Besi Balok'!$B$23:$B$12292,$B25,'Besi Balok'!$F$23:$F$12292,'REKAP Balok'!N$12)</f>
        <v>21.15828</v>
      </c>
      <c r="O25">
        <f>SUMIFS('Besi Balok'!$AA$23:$AA$12292,'Besi Balok'!$A$23:$A$12292,$A25,'Besi Balok'!$B$23:$B$12292,$B25,'Besi Balok'!$F$23:$F$12292,'REKAP Balok'!O$12)</f>
        <v>0</v>
      </c>
      <c r="P25">
        <f>SUMIFS('Besi Balok'!$AA$23:$AA$12292,'Besi Balok'!$A$23:$A$12292,$A25,'Besi Balok'!$B$23:$B$12292,$B25,'Besi Balok'!$F$23:$F$12292,'REKAP Balok'!P$12)</f>
        <v>46.955796480000004</v>
      </c>
      <c r="Q25">
        <f>SUMIFS('Besi Balok'!$AA$23:$AA$12292,'Besi Balok'!$A$23:$A$12292,$A25,'Besi Balok'!$B$23:$B$12292,$B25,'Besi Balok'!$F$23:$F$12292,'REKAP Balok'!Q$12)</f>
        <v>0</v>
      </c>
      <c r="R25">
        <f>SUMIFS('Besi Balok'!$AA$23:$AA$12292,'Besi Balok'!$A$23:$A$12292,$A25,'Besi Balok'!$B$23:$B$12292,$B25,'Besi Balok'!$F$23:$F$12292,'REKAP Balok'!R$12)</f>
        <v>0</v>
      </c>
      <c r="S25">
        <f>SUMIFS('Besi Balok'!$AA$23:$AA$12292,'Besi Balok'!$A$23:$A$12292,$A25,'Besi Balok'!$B$23:$B$12292,$B25,'Besi Balok'!$F$23:$F$12292,'REKAP Balok'!S$12)</f>
        <v>0</v>
      </c>
      <c r="T25">
        <f>SUMIFS('Besi Balok'!$AA$23:$AA$12292,'Besi Balok'!$A$23:$A$12292,$A25,'Besi Balok'!$B$23:$B$12292,$B25,'Besi Balok'!$F$23:$F$12292,'REKAP Balok'!T$12)</f>
        <v>0</v>
      </c>
      <c r="U25">
        <f>SUM(L25:T25)</f>
        <v>68.11407648000001</v>
      </c>
      <c r="V25">
        <f>(D25*(F25-H25)*G25*K25)/1000000000</f>
        <v>0.350175</v>
      </c>
      <c r="X25">
        <f>((F25-H25)*2*(G25)*K25)/1000000</f>
        <v>2.3345</v>
      </c>
      <c r="Y25">
        <f>K25*(D25+2*$F$5)*G25*$F$7/1000000000</f>
        <v>0.083375</v>
      </c>
      <c r="Z25">
        <f>K25*(D25+2*$F$5+2*$F$6)*($F$4-J25+($F$7+$F$8)/1000)*G25/1000000</f>
        <v>2.017675</v>
      </c>
      <c r="AC25">
        <f>(D25+2*$F$5)*F25*G25/1000000000</f>
        <v>0.83375</v>
      </c>
    </row>
    <row r="26">
      <c r="A26" t="str">
        <f>'Data Panjang Balok'!A22</f>
        <v>Sloof</v>
      </c>
      <c r="B26">
        <f>'Data Panjang Balok'!B22</f>
        <v>13</v>
      </c>
      <c r="C26" t="str">
        <f>'Data Panjang Balok'!D22</f>
        <v>TB25-2</v>
      </c>
      <c r="D26">
        <f>IF(C26&gt;0,VLOOKUP(C26,'Detail Balok'!$C$11:$AU$110,2,FALSE),0)</f>
        <v>200</v>
      </c>
      <c r="E26" t="str">
        <v>x</v>
      </c>
      <c r="F26">
        <f>IF(C26&gt;0,VLOOKUP(C26,'Detail Balok'!$C$11:$AU$110,3,FALSE),0)</f>
        <v>500</v>
      </c>
      <c r="G26">
        <f>'Data Panjang Balok'!I22</f>
        <v>5265</v>
      </c>
      <c r="H26">
        <f>'Data Panjang Balok'!J22</f>
        <v>150</v>
      </c>
      <c r="J26">
        <f>I26-F26/1000</f>
        <v>-0.5</v>
      </c>
      <c r="K26">
        <f>'Data Panjang Balok'!E22</f>
        <v>1</v>
      </c>
      <c r="L26">
        <f>SUMIFS('Besi Balok'!$AA$23:$AA$12292,'Besi Balok'!$A$23:$A$12292,$A26,'Besi Balok'!$B$23:$B$12292,$B26,'Besi Balok'!$F$23:$F$12292,'REKAP Balok'!L$12)</f>
        <v>0</v>
      </c>
      <c r="M26">
        <f>SUMIFS('Besi Balok'!$AA$23:$AA$12292,'Besi Balok'!$A$23:$A$12292,$A26,'Besi Balok'!$B$23:$B$12292,$B26,'Besi Balok'!$F$23:$F$12292,'REKAP Balok'!M$12)</f>
        <v>0</v>
      </c>
      <c r="N26">
        <f>SUMIFS('Besi Balok'!$AA$23:$AA$12292,'Besi Balok'!$A$23:$A$12292,$A26,'Besi Balok'!$B$23:$B$12292,$B26,'Besi Balok'!$F$23:$F$12292,'REKAP Balok'!N$12)</f>
        <v>28.77822</v>
      </c>
      <c r="O26">
        <f>SUMIFS('Besi Balok'!$AA$23:$AA$12292,'Besi Balok'!$A$23:$A$12292,$A26,'Besi Balok'!$B$23:$B$12292,$B26,'Besi Balok'!$F$23:$F$12292,'REKAP Balok'!O$12)</f>
        <v>0</v>
      </c>
      <c r="P26">
        <f>SUMIFS('Besi Balok'!$AA$23:$AA$12292,'Besi Balok'!$A$23:$A$12292,$A26,'Besi Balok'!$B$23:$B$12292,$B26,'Besi Balok'!$F$23:$F$12292,'REKAP Balok'!P$12)</f>
        <v>64.52949888</v>
      </c>
      <c r="Q26">
        <f>SUMIFS('Besi Balok'!$AA$23:$AA$12292,'Besi Balok'!$A$23:$A$12292,$A26,'Besi Balok'!$B$23:$B$12292,$B26,'Besi Balok'!$F$23:$F$12292,'REKAP Balok'!Q$12)</f>
        <v>0</v>
      </c>
      <c r="R26">
        <f>SUMIFS('Besi Balok'!$AA$23:$AA$12292,'Besi Balok'!$A$23:$A$12292,$A26,'Besi Balok'!$B$23:$B$12292,$B26,'Besi Balok'!$F$23:$F$12292,'REKAP Balok'!R$12)</f>
        <v>0</v>
      </c>
      <c r="S26">
        <f>SUMIFS('Besi Balok'!$AA$23:$AA$12292,'Besi Balok'!$A$23:$A$12292,$A26,'Besi Balok'!$B$23:$B$12292,$B26,'Besi Balok'!$F$23:$F$12292,'REKAP Balok'!S$12)</f>
        <v>0</v>
      </c>
      <c r="T26">
        <f>SUMIFS('Besi Balok'!$AA$23:$AA$12292,'Besi Balok'!$A$23:$A$12292,$A26,'Besi Balok'!$B$23:$B$12292,$B26,'Besi Balok'!$F$23:$F$12292,'REKAP Balok'!T$12)</f>
        <v>0</v>
      </c>
      <c r="U26">
        <f>SUM(L26:T26)</f>
        <v>93.30771888000001</v>
      </c>
      <c r="V26">
        <f>(D26*(F26-H26)*G26*K26)/1000000000</f>
        <v>0.36855</v>
      </c>
      <c r="X26">
        <f>((F26-H26)*2*(G26)*K26)/1000000</f>
        <v>3.6855</v>
      </c>
      <c r="Y26">
        <f>K26*(D26+2*$F$5)*G26*$F$7/1000000000</f>
        <v>0.1053</v>
      </c>
      <c r="Z26">
        <f>K26*(D26+2*$F$5+2*$F$6)*($F$4-J26+($F$7+$F$8)/1000)*G26/1000000</f>
        <v>2.89575</v>
      </c>
      <c r="AC26">
        <f>(D26+2*$F$5)*F26*G26/1000000000</f>
        <v>1.053</v>
      </c>
    </row>
    <row r="27">
      <c r="A27" t="str">
        <f>'Data Panjang Balok'!A23</f>
        <v>Sloof</v>
      </c>
      <c r="B27">
        <f>'Data Panjang Balok'!B23</f>
        <v>14</v>
      </c>
      <c r="C27" t="str">
        <f>'Data Panjang Balok'!D23</f>
        <v>TB245-1</v>
      </c>
      <c r="D27">
        <f>IF(C27&gt;0,VLOOKUP(C27,'Detail Balok'!$C$11:$AU$110,2,FALSE),0)</f>
        <v>200</v>
      </c>
      <c r="E27" t="str">
        <v>x</v>
      </c>
      <c r="F27">
        <f>IF(C27&gt;0,VLOOKUP(C27,'Detail Balok'!$C$11:$AU$110,3,FALSE),0)</f>
        <v>450</v>
      </c>
      <c r="G27">
        <f>'Data Panjang Balok'!I23</f>
        <v>7750</v>
      </c>
      <c r="H27">
        <f>'Data Panjang Balok'!J23</f>
        <v>150</v>
      </c>
      <c r="J27">
        <f>I27-F27/1000</f>
        <v>-0.45</v>
      </c>
      <c r="K27">
        <f>'Data Panjang Balok'!E23</f>
        <v>1</v>
      </c>
      <c r="L27">
        <f>SUMIFS('Besi Balok'!$AA$23:$AA$12292,'Besi Balok'!$A$23:$A$12292,$A27,'Besi Balok'!$B$23:$B$12292,$B27,'Besi Balok'!$F$23:$F$12292,'REKAP Balok'!L$12)</f>
        <v>0</v>
      </c>
      <c r="M27">
        <f>SUMIFS('Besi Balok'!$AA$23:$AA$12292,'Besi Balok'!$A$23:$A$12292,$A27,'Besi Balok'!$B$23:$B$12292,$B27,'Besi Balok'!$F$23:$F$12292,'REKAP Balok'!M$12)</f>
        <v>24.547155840000002</v>
      </c>
      <c r="N27">
        <f>SUMIFS('Besi Balok'!$AA$23:$AA$12292,'Besi Balok'!$A$23:$A$12292,$A27,'Besi Balok'!$B$23:$B$12292,$B27,'Besi Balok'!$F$23:$F$12292,'REKAP Balok'!N$12)</f>
        <v>0</v>
      </c>
      <c r="O27">
        <f>SUMIFS('Besi Balok'!$AA$23:$AA$12292,'Besi Balok'!$A$23:$A$12292,$A27,'Besi Balok'!$B$23:$B$12292,$B27,'Besi Balok'!$F$23:$F$12292,'REKAP Balok'!O$12)</f>
        <v>50.39806122</v>
      </c>
      <c r="P27">
        <f>SUMIFS('Besi Balok'!$AA$23:$AA$12292,'Besi Balok'!$A$23:$A$12292,$A27,'Besi Balok'!$B$23:$B$12292,$B27,'Besi Balok'!$F$23:$F$12292,'REKAP Balok'!P$12)</f>
        <v>0</v>
      </c>
      <c r="Q27">
        <f>SUMIFS('Besi Balok'!$AA$23:$AA$12292,'Besi Balok'!$A$23:$A$12292,$A27,'Besi Balok'!$B$23:$B$12292,$B27,'Besi Balok'!$F$23:$F$12292,'REKAP Balok'!Q$12)</f>
        <v>0</v>
      </c>
      <c r="R27">
        <f>SUMIFS('Besi Balok'!$AA$23:$AA$12292,'Besi Balok'!$A$23:$A$12292,$A27,'Besi Balok'!$B$23:$B$12292,$B27,'Besi Balok'!$F$23:$F$12292,'REKAP Balok'!R$12)</f>
        <v>0</v>
      </c>
      <c r="S27">
        <f>SUMIFS('Besi Balok'!$AA$23:$AA$12292,'Besi Balok'!$A$23:$A$12292,$A27,'Besi Balok'!$B$23:$B$12292,$B27,'Besi Balok'!$F$23:$F$12292,'REKAP Balok'!S$12)</f>
        <v>0</v>
      </c>
      <c r="T27">
        <f>SUMIFS('Besi Balok'!$AA$23:$AA$12292,'Besi Balok'!$A$23:$A$12292,$A27,'Besi Balok'!$B$23:$B$12292,$B27,'Besi Balok'!$F$23:$F$12292,'REKAP Balok'!T$12)</f>
        <v>0</v>
      </c>
      <c r="U27">
        <f>SUM(L27:T27)</f>
        <v>74.94521706</v>
      </c>
      <c r="V27">
        <f>(D27*(F27-H27)*G27*K27)/1000000000</f>
        <v>0.465</v>
      </c>
      <c r="X27">
        <f>((F27-H27)*2*(G27)*K27)/1000000</f>
        <v>4.65</v>
      </c>
      <c r="Y27">
        <f>K27*(D27+2*$F$5)*G27*$F$7/1000000000</f>
        <v>0.155</v>
      </c>
      <c r="Z27">
        <f>K27*(D27+2*$F$5+2*$F$6)*($F$4-J27+($F$7+$F$8)/1000)*G27/1000000</f>
        <v>3.875</v>
      </c>
      <c r="AC27">
        <f>(D27+2*$F$5)*F27*G27/1000000000</f>
        <v>1.395</v>
      </c>
    </row>
    <row r="28">
      <c r="A28" t="str">
        <f>'Data Panjang Balok'!A24</f>
        <v>Sloof</v>
      </c>
      <c r="B28">
        <f>'Data Panjang Balok'!B24</f>
        <v>15</v>
      </c>
      <c r="C28" t="str">
        <f>'Data Panjang Balok'!D24</f>
        <v>TB24-1</v>
      </c>
      <c r="D28">
        <f>IF(C28&gt;0,VLOOKUP(C28,'Detail Balok'!$C$11:$AU$110,2,FALSE),0)</f>
        <v>200</v>
      </c>
      <c r="E28" t="str">
        <v>x</v>
      </c>
      <c r="F28">
        <f>IF(C28&gt;0,VLOOKUP(C28,'Detail Balok'!$C$11:$AU$110,3,FALSE),0)</f>
        <v>400</v>
      </c>
      <c r="G28">
        <f>'Data Panjang Balok'!I24</f>
        <v>2000</v>
      </c>
      <c r="H28">
        <f>'Data Panjang Balok'!J24</f>
        <v>150</v>
      </c>
      <c r="J28">
        <f>I28-F28/1000</f>
        <v>-0.4</v>
      </c>
      <c r="K28">
        <f>'Data Panjang Balok'!E24</f>
        <v>1</v>
      </c>
      <c r="L28">
        <f>SUMIFS('Besi Balok'!$AA$23:$AA$12292,'Besi Balok'!$A$23:$A$12292,$A28,'Besi Balok'!$B$23:$B$12292,$B28,'Besi Balok'!$F$23:$F$12292,'REKAP Balok'!L$12)</f>
        <v>0</v>
      </c>
      <c r="M28">
        <f>SUMIFS('Besi Balok'!$AA$23:$AA$12292,'Besi Balok'!$A$23:$A$12292,$A28,'Besi Balok'!$B$23:$B$12292,$B28,'Besi Balok'!$F$23:$F$12292,'REKAP Balok'!M$12)</f>
        <v>4.876761600000001</v>
      </c>
      <c r="N28">
        <f>SUMIFS('Besi Balok'!$AA$23:$AA$12292,'Besi Balok'!$A$23:$A$12292,$A28,'Besi Balok'!$B$23:$B$12292,$B28,'Besi Balok'!$F$23:$F$12292,'REKAP Balok'!N$12)</f>
        <v>0</v>
      </c>
      <c r="O28">
        <f>SUMIFS('Besi Balok'!$AA$23:$AA$12292,'Besi Balok'!$A$23:$A$12292,$A28,'Besi Balok'!$B$23:$B$12292,$B28,'Besi Balok'!$F$23:$F$12292,'REKAP Balok'!O$12)</f>
        <v>9.63535248</v>
      </c>
      <c r="P28">
        <f>SUMIFS('Besi Balok'!$AA$23:$AA$12292,'Besi Balok'!$A$23:$A$12292,$A28,'Besi Balok'!$B$23:$B$12292,$B28,'Besi Balok'!$F$23:$F$12292,'REKAP Balok'!P$12)</f>
        <v>0</v>
      </c>
      <c r="Q28">
        <f>SUMIFS('Besi Balok'!$AA$23:$AA$12292,'Besi Balok'!$A$23:$A$12292,$A28,'Besi Balok'!$B$23:$B$12292,$B28,'Besi Balok'!$F$23:$F$12292,'REKAP Balok'!Q$12)</f>
        <v>0</v>
      </c>
      <c r="R28">
        <f>SUMIFS('Besi Balok'!$AA$23:$AA$12292,'Besi Balok'!$A$23:$A$12292,$A28,'Besi Balok'!$B$23:$B$12292,$B28,'Besi Balok'!$F$23:$F$12292,'REKAP Balok'!R$12)</f>
        <v>0</v>
      </c>
      <c r="S28">
        <f>SUMIFS('Besi Balok'!$AA$23:$AA$12292,'Besi Balok'!$A$23:$A$12292,$A28,'Besi Balok'!$B$23:$B$12292,$B28,'Besi Balok'!$F$23:$F$12292,'REKAP Balok'!S$12)</f>
        <v>0</v>
      </c>
      <c r="T28">
        <f>SUMIFS('Besi Balok'!$AA$23:$AA$12292,'Besi Balok'!$A$23:$A$12292,$A28,'Besi Balok'!$B$23:$B$12292,$B28,'Besi Balok'!$F$23:$F$12292,'REKAP Balok'!T$12)</f>
        <v>0</v>
      </c>
      <c r="U28">
        <f>SUM(L28:T28)</f>
        <v>14.51211408</v>
      </c>
      <c r="V28">
        <f>(D28*(F28-H28)*G28*K28)/1000000000</f>
        <v>0.1</v>
      </c>
      <c r="X28">
        <f>((F28-H28)*2*(G28)*K28)/1000000</f>
        <v>1</v>
      </c>
      <c r="Y28">
        <f>K28*(D28+2*$F$5)*G28*$F$7/1000000000</f>
        <v>0.04</v>
      </c>
      <c r="Z28">
        <f>K28*(D28+2*$F$5+2*$F$6)*($F$4-J28+($F$7+$F$8)/1000)*G28/1000000</f>
        <v>0.9</v>
      </c>
      <c r="AC28">
        <f>(D28+2*$F$5)*F28*G28/1000000000</f>
        <v>0.32</v>
      </c>
    </row>
    <row r="29">
      <c r="A29" t="str">
        <f>'Data Panjang Balok'!A25</f>
        <v>Sloof</v>
      </c>
      <c r="B29">
        <f>'Data Panjang Balok'!B25</f>
        <v>16</v>
      </c>
      <c r="C29" t="str">
        <f>'Data Panjang Balok'!D25</f>
        <v>Potongan S4</v>
      </c>
      <c r="D29">
        <f>IF(C29&gt;0,VLOOKUP(C29,'Detail Balok'!$C$11:$AU$110,2,FALSE),0)</f>
        <v>300</v>
      </c>
      <c r="E29" t="str">
        <v>x</v>
      </c>
      <c r="F29">
        <f>IF(C29&gt;0,VLOOKUP(C29,'Detail Balok'!$C$11:$AU$110,3,FALSE),0)</f>
        <v>500</v>
      </c>
      <c r="G29">
        <f>'Data Panjang Balok'!I25</f>
        <v>2160</v>
      </c>
      <c r="H29">
        <f>'Data Panjang Balok'!J25</f>
        <v>150</v>
      </c>
      <c r="J29">
        <f>I29-F29/1000</f>
        <v>-0.5</v>
      </c>
      <c r="K29">
        <f>'Data Panjang Balok'!E25</f>
        <v>1</v>
      </c>
      <c r="L29">
        <f>SUMIFS('Besi Balok'!$AA$23:$AA$12292,'Besi Balok'!$A$23:$A$12292,$A29,'Besi Balok'!$B$23:$B$12292,$B29,'Besi Balok'!$F$23:$F$12292,'REKAP Balok'!L$12)</f>
        <v>0</v>
      </c>
      <c r="M29">
        <f>SUMIFS('Besi Balok'!$AA$23:$AA$12292,'Besi Balok'!$A$23:$A$12292,$A29,'Besi Balok'!$B$23:$B$12292,$B29,'Besi Balok'!$F$23:$F$12292,'REKAP Balok'!M$12)</f>
        <v>0</v>
      </c>
      <c r="N29">
        <f>SUMIFS('Besi Balok'!$AA$23:$AA$12292,'Besi Balok'!$A$23:$A$12292,$A29,'Besi Balok'!$B$23:$B$12292,$B29,'Besi Balok'!$F$23:$F$12292,'REKAP Balok'!N$12)</f>
        <v>14.419935000000002</v>
      </c>
      <c r="O29">
        <f>SUMIFS('Besi Balok'!$AA$23:$AA$12292,'Besi Balok'!$A$23:$A$12292,$A29,'Besi Balok'!$B$23:$B$12292,$B29,'Besi Balok'!$F$23:$F$12292,'REKAP Balok'!O$12)</f>
        <v>0</v>
      </c>
      <c r="P29">
        <f>SUMIFS('Besi Balok'!$AA$23:$AA$12292,'Besi Balok'!$A$23:$A$12292,$A29,'Besi Balok'!$B$23:$B$12292,$B29,'Besi Balok'!$F$23:$F$12292,'REKAP Balok'!P$12)</f>
        <v>32.12034048</v>
      </c>
      <c r="Q29">
        <f>SUMIFS('Besi Balok'!$AA$23:$AA$12292,'Besi Balok'!$A$23:$A$12292,$A29,'Besi Balok'!$B$23:$B$12292,$B29,'Besi Balok'!$F$23:$F$12292,'REKAP Balok'!Q$12)</f>
        <v>0</v>
      </c>
      <c r="R29">
        <f>SUMIFS('Besi Balok'!$AA$23:$AA$12292,'Besi Balok'!$A$23:$A$12292,$A29,'Besi Balok'!$B$23:$B$12292,$B29,'Besi Balok'!$F$23:$F$12292,'REKAP Balok'!R$12)</f>
        <v>0</v>
      </c>
      <c r="S29">
        <f>SUMIFS('Besi Balok'!$AA$23:$AA$12292,'Besi Balok'!$A$23:$A$12292,$A29,'Besi Balok'!$B$23:$B$12292,$B29,'Besi Balok'!$F$23:$F$12292,'REKAP Balok'!S$12)</f>
        <v>0</v>
      </c>
      <c r="T29">
        <f>SUMIFS('Besi Balok'!$AA$23:$AA$12292,'Besi Balok'!$A$23:$A$12292,$A29,'Besi Balok'!$B$23:$B$12292,$B29,'Besi Balok'!$F$23:$F$12292,'REKAP Balok'!T$12)</f>
        <v>0</v>
      </c>
      <c r="U29">
        <f>SUM(L29:T29)</f>
        <v>46.540275480000005</v>
      </c>
      <c r="V29">
        <f>(D29*(F29-H29)*G29*K29)/1000000000</f>
        <v>0.2268</v>
      </c>
      <c r="X29">
        <f>((F29-H29)*2*(G29)*K29)/1000000</f>
        <v>1.512</v>
      </c>
      <c r="Y29">
        <f>K29*(D29+2*$F$5)*G29*$F$7/1000000000</f>
        <v>0.054</v>
      </c>
      <c r="Z29">
        <f>K29*(D29+2*$F$5+2*$F$6)*($F$4-J29+($F$7+$F$8)/1000)*G29/1000000</f>
        <v>1.3068</v>
      </c>
      <c r="AC29">
        <f>(D29+2*$F$5)*F29*G29/1000000000</f>
        <v>0.54</v>
      </c>
    </row>
    <row r="30">
      <c r="A30" t="str">
        <f>'Data Panjang Balok'!A26</f>
        <v>Sloof</v>
      </c>
      <c r="B30" t="str">
        <f>'Data Panjang Balok'!B26</f>
        <v>16A</v>
      </c>
      <c r="C30" t="str">
        <f>'Data Panjang Balok'!D26</f>
        <v>BB</v>
      </c>
      <c r="D30">
        <f>IF(C30&gt;0,VLOOKUP(C30,'Detail Balok'!$C$11:$AU$110,2,FALSE),0)</f>
        <v>200</v>
      </c>
      <c r="E30" t="str">
        <v>x</v>
      </c>
      <c r="F30">
        <f>IF(C30&gt;0,VLOOKUP(C30,'Detail Balok'!$C$11:$AU$110,3,FALSE),0)</f>
        <v>150</v>
      </c>
      <c r="G30">
        <f>'Data Panjang Balok'!I26</f>
        <v>5200</v>
      </c>
      <c r="H30">
        <f>'Data Panjang Balok'!J26</f>
        <v>150</v>
      </c>
      <c r="J30">
        <f>I30-F30/1000</f>
        <v>-0.15</v>
      </c>
      <c r="K30">
        <f>'Data Panjang Balok'!E26</f>
        <v>1</v>
      </c>
      <c r="L30">
        <f>SUMIFS('Besi Balok'!$AA$23:$AA$12292,'Besi Balok'!$A$23:$A$12292,$A30,'Besi Balok'!$B$23:$B$12292,$B30,'Besi Balok'!$F$23:$F$12292,'REKAP Balok'!L$12)</f>
        <v>0</v>
      </c>
      <c r="M30">
        <f>SUMIFS('Besi Balok'!$AA$23:$AA$12292,'Besi Balok'!$A$23:$A$12292,$A30,'Besi Balok'!$B$23:$B$12292,$B30,'Besi Balok'!$F$23:$F$12292,'REKAP Balok'!M$12)</f>
        <v>11.2923072</v>
      </c>
      <c r="N30">
        <f>SUMIFS('Besi Balok'!$AA$23:$AA$12292,'Besi Balok'!$A$23:$A$12292,$A30,'Besi Balok'!$B$23:$B$12292,$B30,'Besi Balok'!$F$23:$F$12292,'REKAP Balok'!N$12)</f>
        <v>13.41504</v>
      </c>
      <c r="O30">
        <f>SUMIFS('Besi Balok'!$AA$23:$AA$12292,'Besi Balok'!$A$23:$A$12292,$A30,'Besi Balok'!$B$23:$B$12292,$B30,'Besi Balok'!$F$23:$F$12292,'REKAP Balok'!O$12)</f>
        <v>0</v>
      </c>
      <c r="P30">
        <f>SUMIFS('Besi Balok'!$AA$23:$AA$12292,'Besi Balok'!$A$23:$A$12292,$A30,'Besi Balok'!$B$23:$B$12292,$B30,'Besi Balok'!$F$23:$F$12292,'REKAP Balok'!P$12)</f>
        <v>0</v>
      </c>
      <c r="Q30">
        <f>SUMIFS('Besi Balok'!$AA$23:$AA$12292,'Besi Balok'!$A$23:$A$12292,$A30,'Besi Balok'!$B$23:$B$12292,$B30,'Besi Balok'!$F$23:$F$12292,'REKAP Balok'!Q$12)</f>
        <v>0</v>
      </c>
      <c r="R30">
        <f>SUMIFS('Besi Balok'!$AA$23:$AA$12292,'Besi Balok'!$A$23:$A$12292,$A30,'Besi Balok'!$B$23:$B$12292,$B30,'Besi Balok'!$F$23:$F$12292,'REKAP Balok'!R$12)</f>
        <v>0</v>
      </c>
      <c r="S30">
        <f>SUMIFS('Besi Balok'!$AA$23:$AA$12292,'Besi Balok'!$A$23:$A$12292,$A30,'Besi Balok'!$B$23:$B$12292,$B30,'Besi Balok'!$F$23:$F$12292,'REKAP Balok'!S$12)</f>
        <v>0</v>
      </c>
      <c r="T30">
        <f>SUMIFS('Besi Balok'!$AA$23:$AA$12292,'Besi Balok'!$A$23:$A$12292,$A30,'Besi Balok'!$B$23:$B$12292,$B30,'Besi Balok'!$F$23:$F$12292,'REKAP Balok'!T$12)</f>
        <v>0</v>
      </c>
      <c r="U30">
        <f>SUM(L30:T30)</f>
        <v>24.7073472</v>
      </c>
      <c r="V30">
        <f>(D30*(F30-H30)*G30*K30)/1000000000</f>
        <v>0</v>
      </c>
      <c r="X30">
        <f>((F30-H30)*2*(G30)*K30)/1000000</f>
        <v>0</v>
      </c>
      <c r="Y30">
        <f>K30*(D30+2*$F$5)*G30*$F$7/1000000000</f>
        <v>0.104</v>
      </c>
      <c r="Z30">
        <f>K30*(D30+2*$F$5+2*$F$6)*($F$4-J30+($F$7+$F$8)/1000)*G30/1000000</f>
        <v>1.04</v>
      </c>
      <c r="AC30">
        <f>(D30+2*$F$5)*F30*G30/1000000000</f>
        <v>0.312</v>
      </c>
    </row>
    <row r="31">
      <c r="A31" t="str">
        <f>'Data Panjang Balok'!A27</f>
        <v>Sloof</v>
      </c>
      <c r="B31">
        <f>'Data Panjang Balok'!B27</f>
        <v>17</v>
      </c>
      <c r="C31" t="str">
        <f>'Data Panjang Balok'!D27</f>
        <v>TB46-1</v>
      </c>
      <c r="D31">
        <f>IF(C31&gt;0,VLOOKUP(C31,'Detail Balok'!$C$11:$AU$110,2,FALSE),0)</f>
        <v>400</v>
      </c>
      <c r="E31" t="str">
        <v>x</v>
      </c>
      <c r="F31">
        <f>IF(C31&gt;0,VLOOKUP(C31,'Detail Balok'!$C$11:$AU$110,3,FALSE),0)</f>
        <v>600</v>
      </c>
      <c r="G31">
        <f>'Data Panjang Balok'!I27</f>
        <v>3335</v>
      </c>
      <c r="H31">
        <f>'Data Panjang Balok'!J27</f>
        <v>150</v>
      </c>
      <c r="J31">
        <f>I31-F31/1000</f>
        <v>-0.6</v>
      </c>
      <c r="K31">
        <f>'Data Panjang Balok'!E27</f>
        <v>1</v>
      </c>
      <c r="L31">
        <f>SUMIFS('Besi Balok'!$AA$23:$AA$12292,'Besi Balok'!$A$23:$A$12292,$A31,'Besi Balok'!$B$23:$B$12292,$B31,'Besi Balok'!$F$23:$F$12292,'REKAP Balok'!L$12)</f>
        <v>0</v>
      </c>
      <c r="M31">
        <f>SUMIFS('Besi Balok'!$AA$23:$AA$12292,'Besi Balok'!$A$23:$A$12292,$A31,'Besi Balok'!$B$23:$B$12292,$B31,'Besi Balok'!$F$23:$F$12292,'REKAP Balok'!M$12)</f>
        <v>0</v>
      </c>
      <c r="N31">
        <f>SUMIFS('Besi Balok'!$AA$23:$AA$12292,'Besi Balok'!$A$23:$A$12292,$A31,'Besi Balok'!$B$23:$B$12292,$B31,'Besi Balok'!$F$23:$F$12292,'REKAP Balok'!N$12)</f>
        <v>25.843680000000003</v>
      </c>
      <c r="O31">
        <f>SUMIFS('Besi Balok'!$AA$23:$AA$12292,'Besi Balok'!$A$23:$A$12292,$A31,'Besi Balok'!$B$23:$B$12292,$B31,'Besi Balok'!$F$23:$F$12292,'REKAP Balok'!O$12)</f>
        <v>0</v>
      </c>
      <c r="P31">
        <f>SUMIFS('Besi Balok'!$AA$23:$AA$12292,'Besi Balok'!$A$23:$A$12292,$A31,'Besi Balok'!$B$23:$B$12292,$B31,'Besi Balok'!$F$23:$F$12292,'REKAP Balok'!P$12)</f>
        <v>0</v>
      </c>
      <c r="Q31">
        <f>SUMIFS('Besi Balok'!$AA$23:$AA$12292,'Besi Balok'!$A$23:$A$12292,$A31,'Besi Balok'!$B$23:$B$12292,$B31,'Besi Balok'!$F$23:$F$12292,'REKAP Balok'!Q$12)</f>
        <v>118.11963681000002</v>
      </c>
      <c r="R31">
        <f>SUMIFS('Besi Balok'!$AA$23:$AA$12292,'Besi Balok'!$A$23:$A$12292,$A31,'Besi Balok'!$B$23:$B$12292,$B31,'Besi Balok'!$F$23:$F$12292,'REKAP Balok'!R$12)</f>
        <v>0</v>
      </c>
      <c r="S31">
        <f>SUMIFS('Besi Balok'!$AA$23:$AA$12292,'Besi Balok'!$A$23:$A$12292,$A31,'Besi Balok'!$B$23:$B$12292,$B31,'Besi Balok'!$F$23:$F$12292,'REKAP Balok'!S$12)</f>
        <v>0</v>
      </c>
      <c r="T31">
        <f>SUMIFS('Besi Balok'!$AA$23:$AA$12292,'Besi Balok'!$A$23:$A$12292,$A31,'Besi Balok'!$B$23:$B$12292,$B31,'Besi Balok'!$F$23:$F$12292,'REKAP Balok'!T$12)</f>
        <v>0</v>
      </c>
      <c r="U31">
        <f>SUM(L31:T31)</f>
        <v>143.96331681</v>
      </c>
      <c r="V31">
        <f>(D31*(F31-H31)*G31*K31)/1000000000</f>
        <v>0.6003</v>
      </c>
      <c r="X31">
        <f>((F31-H31)*2*(G31)*K31)/1000000</f>
        <v>3.0015</v>
      </c>
      <c r="Y31">
        <f>K31*(D31+2*$F$5)*G31*$F$7/1000000000</f>
        <v>0.10005</v>
      </c>
      <c r="Z31">
        <f>K31*(D31+2*$F$5+2*$F$6)*($F$4-J31+($F$7+$F$8)/1000)*G31/1000000</f>
        <v>2.6013</v>
      </c>
      <c r="AC31">
        <f>(D31+2*$F$5)*F31*G31/1000000000</f>
        <v>1.2006</v>
      </c>
    </row>
    <row r="32">
      <c r="A32" t="str">
        <f>'Data Panjang Balok'!A28</f>
        <v>Sloof</v>
      </c>
      <c r="B32">
        <f>'Data Panjang Balok'!B28</f>
        <v>18</v>
      </c>
      <c r="C32" t="str">
        <f>'Data Panjang Balok'!D28</f>
        <v>TB25-2</v>
      </c>
      <c r="D32">
        <f>IF(C32&gt;0,VLOOKUP(C32,'Detail Balok'!$C$11:$AU$110,2,FALSE),0)</f>
        <v>200</v>
      </c>
      <c r="E32" t="str">
        <v>x</v>
      </c>
      <c r="F32">
        <f>IF(C32&gt;0,VLOOKUP(C32,'Detail Balok'!$C$11:$AU$110,3,FALSE),0)</f>
        <v>500</v>
      </c>
      <c r="G32">
        <f>'Data Panjang Balok'!I28</f>
        <v>5165</v>
      </c>
      <c r="H32">
        <f>'Data Panjang Balok'!J28</f>
        <v>150</v>
      </c>
      <c r="J32">
        <f>I32-F32/1000</f>
        <v>-0.5</v>
      </c>
      <c r="K32">
        <f>'Data Panjang Balok'!E28</f>
        <v>1</v>
      </c>
      <c r="L32">
        <f>SUMIFS('Besi Balok'!$AA$23:$AA$12292,'Besi Balok'!$A$23:$A$12292,$A32,'Besi Balok'!$B$23:$B$12292,$B32,'Besi Balok'!$F$23:$F$12292,'REKAP Balok'!L$12)</f>
        <v>0</v>
      </c>
      <c r="M32">
        <f>SUMIFS('Besi Balok'!$AA$23:$AA$12292,'Besi Balok'!$A$23:$A$12292,$A32,'Besi Balok'!$B$23:$B$12292,$B32,'Besi Balok'!$F$23:$F$12292,'REKAP Balok'!M$12)</f>
        <v>0</v>
      </c>
      <c r="N32">
        <f>SUMIFS('Besi Balok'!$AA$23:$AA$12292,'Besi Balok'!$A$23:$A$12292,$A32,'Besi Balok'!$B$23:$B$12292,$B32,'Besi Balok'!$F$23:$F$12292,'REKAP Balok'!N$12)</f>
        <v>27.138330000000003</v>
      </c>
      <c r="O32">
        <f>SUMIFS('Besi Balok'!$AA$23:$AA$12292,'Besi Balok'!$A$23:$A$12292,$A32,'Besi Balok'!$B$23:$B$12292,$B32,'Besi Balok'!$F$23:$F$12292,'REKAP Balok'!O$12)</f>
        <v>0</v>
      </c>
      <c r="P32">
        <f>SUMIFS('Besi Balok'!$AA$23:$AA$12292,'Besi Balok'!$A$23:$A$12292,$A32,'Besi Balok'!$B$23:$B$12292,$B32,'Besi Balok'!$F$23:$F$12292,'REKAP Balok'!P$12)</f>
        <v>63.42473088</v>
      </c>
      <c r="Q32">
        <f>SUMIFS('Besi Balok'!$AA$23:$AA$12292,'Besi Balok'!$A$23:$A$12292,$A32,'Besi Balok'!$B$23:$B$12292,$B32,'Besi Balok'!$F$23:$F$12292,'REKAP Balok'!Q$12)</f>
        <v>0</v>
      </c>
      <c r="R32">
        <f>SUMIFS('Besi Balok'!$AA$23:$AA$12292,'Besi Balok'!$A$23:$A$12292,$A32,'Besi Balok'!$B$23:$B$12292,$B32,'Besi Balok'!$F$23:$F$12292,'REKAP Balok'!R$12)</f>
        <v>0</v>
      </c>
      <c r="S32">
        <f>SUMIFS('Besi Balok'!$AA$23:$AA$12292,'Besi Balok'!$A$23:$A$12292,$A32,'Besi Balok'!$B$23:$B$12292,$B32,'Besi Balok'!$F$23:$F$12292,'REKAP Balok'!S$12)</f>
        <v>0</v>
      </c>
      <c r="T32">
        <f>SUMIFS('Besi Balok'!$AA$23:$AA$12292,'Besi Balok'!$A$23:$A$12292,$A32,'Besi Balok'!$B$23:$B$12292,$B32,'Besi Balok'!$F$23:$F$12292,'REKAP Balok'!T$12)</f>
        <v>0</v>
      </c>
      <c r="U32">
        <f>SUM(L32:T32)</f>
        <v>90.56306088</v>
      </c>
      <c r="V32">
        <f>(D32*(F32-H32)*G32*K32)/1000000000</f>
        <v>0.36155</v>
      </c>
      <c r="X32">
        <f>((F32-H32)*2*(G32)*K32)/1000000</f>
        <v>3.6155</v>
      </c>
      <c r="Y32">
        <f>K32*(D32+2*$F$5)*G32*$F$7/1000000000</f>
        <v>0.1033</v>
      </c>
      <c r="Z32">
        <f>K32*(D32+2*$F$5+2*$F$6)*($F$4-J32+($F$7+$F$8)/1000)*G32/1000000</f>
        <v>2.84075</v>
      </c>
      <c r="AC32">
        <f>(D32+2*$F$5)*F32*G32/1000000000</f>
        <v>1.033</v>
      </c>
    </row>
    <row r="33">
      <c r="A33" t="str">
        <f>'Data Panjang Balok'!A29</f>
        <v>Sloof</v>
      </c>
      <c r="B33">
        <f>'Data Panjang Balok'!B29</f>
        <v>19</v>
      </c>
      <c r="C33" t="str">
        <f>'Data Panjang Balok'!D29</f>
        <v>TB245-2</v>
      </c>
      <c r="D33">
        <f>IF(C33&gt;0,VLOOKUP(C33,'Detail Balok'!$C$11:$AU$110,2,FALSE),0)</f>
        <v>200</v>
      </c>
      <c r="E33" t="str">
        <v>x</v>
      </c>
      <c r="F33">
        <f>IF(C33&gt;0,VLOOKUP(C33,'Detail Balok'!$C$11:$AU$110,3,FALSE),0)</f>
        <v>450</v>
      </c>
      <c r="G33">
        <f>'Data Panjang Balok'!I29</f>
        <v>2150</v>
      </c>
      <c r="H33">
        <f>'Data Panjang Balok'!J29</f>
        <v>150</v>
      </c>
      <c r="J33">
        <f>I33-F33/1000</f>
        <v>-0.45</v>
      </c>
      <c r="K33">
        <f>'Data Panjang Balok'!E29</f>
        <v>1</v>
      </c>
      <c r="L33">
        <f>SUMIFS('Besi Balok'!$AA$23:$AA$12292,'Besi Balok'!$A$23:$A$12292,$A33,'Besi Balok'!$B$23:$B$12292,$B33,'Besi Balok'!$F$23:$F$12292,'REKAP Balok'!L$12)</f>
        <v>0</v>
      </c>
      <c r="M33">
        <f>SUMIFS('Besi Balok'!$AA$23:$AA$12292,'Besi Balok'!$A$23:$A$12292,$A33,'Besi Balok'!$B$23:$B$12292,$B33,'Besi Balok'!$F$23:$F$12292,'REKAP Balok'!M$12)</f>
        <v>9.87346944</v>
      </c>
      <c r="N33">
        <f>SUMIFS('Besi Balok'!$AA$23:$AA$12292,'Besi Balok'!$A$23:$A$12292,$A33,'Besi Balok'!$B$23:$B$12292,$B33,'Besi Balok'!$F$23:$F$12292,'REKAP Balok'!N$12)</f>
        <v>0</v>
      </c>
      <c r="O33">
        <f>SUMIFS('Besi Balok'!$AA$23:$AA$12292,'Besi Balok'!$A$23:$A$12292,$A33,'Besi Balok'!$B$23:$B$12292,$B33,'Besi Balok'!$F$23:$F$12292,'REKAP Balok'!O$12)</f>
        <v>19.093584509999996</v>
      </c>
      <c r="P33">
        <f>SUMIFS('Besi Balok'!$AA$23:$AA$12292,'Besi Balok'!$A$23:$A$12292,$A33,'Besi Balok'!$B$23:$B$12292,$B33,'Besi Balok'!$F$23:$F$12292,'REKAP Balok'!P$12)</f>
        <v>0</v>
      </c>
      <c r="Q33">
        <f>SUMIFS('Besi Balok'!$AA$23:$AA$12292,'Besi Balok'!$A$23:$A$12292,$A33,'Besi Balok'!$B$23:$B$12292,$B33,'Besi Balok'!$F$23:$F$12292,'REKAP Balok'!Q$12)</f>
        <v>0</v>
      </c>
      <c r="R33">
        <f>SUMIFS('Besi Balok'!$AA$23:$AA$12292,'Besi Balok'!$A$23:$A$12292,$A33,'Besi Balok'!$B$23:$B$12292,$B33,'Besi Balok'!$F$23:$F$12292,'REKAP Balok'!R$12)</f>
        <v>0</v>
      </c>
      <c r="S33">
        <f>SUMIFS('Besi Balok'!$AA$23:$AA$12292,'Besi Balok'!$A$23:$A$12292,$A33,'Besi Balok'!$B$23:$B$12292,$B33,'Besi Balok'!$F$23:$F$12292,'REKAP Balok'!S$12)</f>
        <v>0</v>
      </c>
      <c r="T33">
        <f>SUMIFS('Besi Balok'!$AA$23:$AA$12292,'Besi Balok'!$A$23:$A$12292,$A33,'Besi Balok'!$B$23:$B$12292,$B33,'Besi Balok'!$F$23:$F$12292,'REKAP Balok'!T$12)</f>
        <v>0</v>
      </c>
      <c r="U33">
        <f>SUM(L33:T33)</f>
        <v>28.967053949999993</v>
      </c>
      <c r="V33">
        <f>(D33*(F33-H33)*G33*K33)/1000000000</f>
        <v>0.129</v>
      </c>
      <c r="X33">
        <f>((F33-H33)*2*(G33)*K33)/1000000</f>
        <v>1.29</v>
      </c>
      <c r="Y33">
        <f>K33*(D33+2*$F$5)*G33*$F$7/1000000000</f>
        <v>0.043</v>
      </c>
      <c r="Z33">
        <f>K33*(D33+2*$F$5+2*$F$6)*($F$4-J33+($F$7+$F$8)/1000)*G33/1000000</f>
        <v>1.075</v>
      </c>
      <c r="AC33">
        <f>(D33+2*$F$5)*F33*G33/1000000000</f>
        <v>0.387</v>
      </c>
    </row>
    <row r="34">
      <c r="A34" t="str">
        <f>'Data Panjang Balok'!A30</f>
        <v>Sloof</v>
      </c>
      <c r="B34">
        <f>'Data Panjang Balok'!B30</f>
        <v>20</v>
      </c>
      <c r="C34" t="str">
        <f>'Data Panjang Balok'!D30</f>
        <v>TB47-2</v>
      </c>
      <c r="D34">
        <f>IF(C34&gt;0,VLOOKUP(C34,'Detail Balok'!$C$11:$AU$110,2,FALSE),0)</f>
        <v>400</v>
      </c>
      <c r="E34" t="str">
        <v>x</v>
      </c>
      <c r="F34">
        <f>IF(C34&gt;0,VLOOKUP(C34,'Detail Balok'!$C$11:$AU$110,3,FALSE),0)</f>
        <v>700</v>
      </c>
      <c r="G34">
        <f>'Data Panjang Balok'!I30</f>
        <v>7350</v>
      </c>
      <c r="H34">
        <f>'Data Panjang Balok'!J30</f>
        <v>150</v>
      </c>
      <c r="J34">
        <f>I34-F34/1000</f>
        <v>-0.7</v>
      </c>
      <c r="K34">
        <f>'Data Panjang Balok'!E30</f>
        <v>1</v>
      </c>
      <c r="L34">
        <f>SUMIFS('Besi Balok'!$AA$23:$AA$12292,'Besi Balok'!$A$23:$A$12292,$A34,'Besi Balok'!$B$23:$B$12292,$B34,'Besi Balok'!$F$23:$F$12292,'REKAP Balok'!L$12)</f>
        <v>0</v>
      </c>
      <c r="M34">
        <f>SUMIFS('Besi Balok'!$AA$23:$AA$12292,'Besi Balok'!$A$23:$A$12292,$A34,'Besi Balok'!$B$23:$B$12292,$B34,'Besi Balok'!$F$23:$F$12292,'REKAP Balok'!M$12)</f>
        <v>0</v>
      </c>
      <c r="N34">
        <f>SUMIFS('Besi Balok'!$AA$23:$AA$12292,'Besi Balok'!$A$23:$A$12292,$A34,'Besi Balok'!$B$23:$B$12292,$B34,'Besi Balok'!$F$23:$F$12292,'REKAP Balok'!N$12)</f>
        <v>56.91528</v>
      </c>
      <c r="O34">
        <f>SUMIFS('Besi Balok'!$AA$23:$AA$12292,'Besi Balok'!$A$23:$A$12292,$A34,'Besi Balok'!$B$23:$B$12292,$B34,'Besi Balok'!$F$23:$F$12292,'REKAP Balok'!O$12)</f>
        <v>0</v>
      </c>
      <c r="P34">
        <f>SUMIFS('Besi Balok'!$AA$23:$AA$12292,'Besi Balok'!$A$23:$A$12292,$A34,'Besi Balok'!$B$23:$B$12292,$B34,'Besi Balok'!$F$23:$F$12292,'REKAP Balok'!P$12)</f>
        <v>0</v>
      </c>
      <c r="Q34">
        <f>SUMIFS('Besi Balok'!$AA$23:$AA$12292,'Besi Balok'!$A$23:$A$12292,$A34,'Besi Balok'!$B$23:$B$12292,$B34,'Besi Balok'!$F$23:$F$12292,'REKAP Balok'!Q$12)</f>
        <v>0</v>
      </c>
      <c r="R34">
        <f>SUMIFS('Besi Balok'!$AA$23:$AA$12292,'Besi Balok'!$A$23:$A$12292,$A34,'Besi Balok'!$B$23:$B$12292,$B34,'Besi Balok'!$F$23:$F$12292,'REKAP Balok'!R$12)</f>
        <v>233.32740848999998</v>
      </c>
      <c r="S34">
        <f>SUMIFS('Besi Balok'!$AA$23:$AA$12292,'Besi Balok'!$A$23:$A$12292,$A34,'Besi Balok'!$B$23:$B$12292,$B34,'Besi Balok'!$F$23:$F$12292,'REKAP Balok'!S$12)</f>
        <v>0</v>
      </c>
      <c r="T34">
        <f>SUMIFS('Besi Balok'!$AA$23:$AA$12292,'Besi Balok'!$A$23:$A$12292,$A34,'Besi Balok'!$B$23:$B$12292,$B34,'Besi Balok'!$F$23:$F$12292,'REKAP Balok'!T$12)</f>
        <v>0</v>
      </c>
      <c r="U34">
        <f>SUM(L34:T34)</f>
        <v>290.24268849</v>
      </c>
      <c r="V34">
        <f>(D34*(F34-H34)*G34*K34)/1000000000</f>
        <v>1.617</v>
      </c>
      <c r="X34">
        <f>((F34-H34)*2*(G34)*K34)/1000000</f>
        <v>8.085</v>
      </c>
      <c r="Y34">
        <f>K34*(D34+2*$F$5)*G34*$F$7/1000000000</f>
        <v>0.2205</v>
      </c>
      <c r="Z34">
        <f>K34*(D34+2*$F$5+2*$F$6)*($F$4-J34+($F$7+$F$8)/1000)*G34/1000000</f>
        <v>6.615</v>
      </c>
      <c r="AC34">
        <f>(D34+2*$F$5)*F34*G34/1000000000</f>
        <v>3.087</v>
      </c>
    </row>
    <row r="35">
      <c r="A35" t="str">
        <f>'Data Panjang Balok'!A31</f>
        <v>Sloof</v>
      </c>
      <c r="B35">
        <f>'Data Panjang Balok'!B31</f>
        <v>21</v>
      </c>
      <c r="C35" t="str">
        <f>'Data Panjang Balok'!D31</f>
        <v>Potongan S2</v>
      </c>
      <c r="D35">
        <f>IF(C35&gt;0,VLOOKUP(C35,'Detail Balok'!$C$11:$AU$110,2,FALSE),0)</f>
        <v>300</v>
      </c>
      <c r="E35" t="str">
        <v>x</v>
      </c>
      <c r="F35">
        <f>IF(C35&gt;0,VLOOKUP(C35,'Detail Balok'!$C$11:$AU$110,3,FALSE),0)</f>
        <v>600</v>
      </c>
      <c r="G35">
        <f>'Data Panjang Balok'!I31</f>
        <v>4000</v>
      </c>
      <c r="H35">
        <f>'Data Panjang Balok'!J31</f>
        <v>150</v>
      </c>
      <c r="J35">
        <f>I35-F35/1000</f>
        <v>-0.6</v>
      </c>
      <c r="K35">
        <f>'Data Panjang Balok'!E31</f>
        <v>1</v>
      </c>
      <c r="L35">
        <f>SUMIFS('Besi Balok'!$AA$23:$AA$12292,'Besi Balok'!$A$23:$A$12292,$A35,'Besi Balok'!$B$23:$B$12292,$B35,'Besi Balok'!$F$23:$F$12292,'REKAP Balok'!L$12)</f>
        <v>0</v>
      </c>
      <c r="M35">
        <f>SUMIFS('Besi Balok'!$AA$23:$AA$12292,'Besi Balok'!$A$23:$A$12292,$A35,'Besi Balok'!$B$23:$B$12292,$B35,'Besi Balok'!$F$23:$F$12292,'REKAP Balok'!M$12)</f>
        <v>0</v>
      </c>
      <c r="N35">
        <f>SUMIFS('Besi Balok'!$AA$23:$AA$12292,'Besi Balok'!$A$23:$A$12292,$A35,'Besi Balok'!$B$23:$B$12292,$B35,'Besi Balok'!$F$23:$F$12292,'REKAP Balok'!N$12)</f>
        <v>27.335610000000006</v>
      </c>
      <c r="O35">
        <f>SUMIFS('Besi Balok'!$AA$23:$AA$12292,'Besi Balok'!$A$23:$A$12292,$A35,'Besi Balok'!$B$23:$B$12292,$B35,'Besi Balok'!$F$23:$F$12292,'REKAP Balok'!O$12)</f>
        <v>0</v>
      </c>
      <c r="P35">
        <f>SUMIFS('Besi Balok'!$AA$23:$AA$12292,'Besi Balok'!$A$23:$A$12292,$A35,'Besi Balok'!$B$23:$B$12292,$B35,'Besi Balok'!$F$23:$F$12292,'REKAP Balok'!P$12)</f>
        <v>0</v>
      </c>
      <c r="Q35">
        <f>SUMIFS('Besi Balok'!$AA$23:$AA$12292,'Besi Balok'!$A$23:$A$12292,$A35,'Besi Balok'!$B$23:$B$12292,$B35,'Besi Balok'!$F$23:$F$12292,'REKAP Balok'!Q$12)</f>
        <v>109.08829404</v>
      </c>
      <c r="R35">
        <f>SUMIFS('Besi Balok'!$AA$23:$AA$12292,'Besi Balok'!$A$23:$A$12292,$A35,'Besi Balok'!$B$23:$B$12292,$B35,'Besi Balok'!$F$23:$F$12292,'REKAP Balok'!R$12)</f>
        <v>0</v>
      </c>
      <c r="S35">
        <f>SUMIFS('Besi Balok'!$AA$23:$AA$12292,'Besi Balok'!$A$23:$A$12292,$A35,'Besi Balok'!$B$23:$B$12292,$B35,'Besi Balok'!$F$23:$F$12292,'REKAP Balok'!S$12)</f>
        <v>0</v>
      </c>
      <c r="T35">
        <f>SUMIFS('Besi Balok'!$AA$23:$AA$12292,'Besi Balok'!$A$23:$A$12292,$A35,'Besi Balok'!$B$23:$B$12292,$B35,'Besi Balok'!$F$23:$F$12292,'REKAP Balok'!T$12)</f>
        <v>0</v>
      </c>
      <c r="U35">
        <f>SUM(L35:T35)</f>
        <v>136.42390404</v>
      </c>
      <c r="V35">
        <f>(D35*(F35-H35)*G35*K35)/1000000000</f>
        <v>0.54</v>
      </c>
      <c r="X35">
        <f>((F35-H35)*2*(G35)*K35)/1000000</f>
        <v>3.6</v>
      </c>
      <c r="Y35">
        <f>K35*(D35+2*$F$5)*G35*$F$7/1000000000</f>
        <v>0.1</v>
      </c>
      <c r="Z35">
        <f>K35*(D35+2*$F$5+2*$F$6)*($F$4-J35+($F$7+$F$8)/1000)*G35/1000000</f>
        <v>2.86</v>
      </c>
      <c r="AC35">
        <f>(D35+2*$F$5)*F35*G35/1000000000</f>
        <v>1.2</v>
      </c>
    </row>
    <row r="36">
      <c r="A36" t="str">
        <f>'Data Panjang Balok'!A32</f>
        <v>Sloof</v>
      </c>
      <c r="B36">
        <f>'Data Panjang Balok'!B32</f>
        <v>22</v>
      </c>
      <c r="C36" t="str">
        <f>'Data Panjang Balok'!D32</f>
        <v>TB245-1</v>
      </c>
      <c r="D36">
        <f>IF(C36&gt;0,VLOOKUP(C36,'Detail Balok'!$C$11:$AU$110,2,FALSE),0)</f>
        <v>200</v>
      </c>
      <c r="E36" t="str">
        <v>x</v>
      </c>
      <c r="F36">
        <f>IF(C36&gt;0,VLOOKUP(C36,'Detail Balok'!$C$11:$AU$110,3,FALSE),0)</f>
        <v>450</v>
      </c>
      <c r="G36">
        <f>'Data Panjang Balok'!I32</f>
        <v>3400</v>
      </c>
      <c r="H36">
        <f>'Data Panjang Balok'!J32</f>
        <v>150</v>
      </c>
      <c r="J36">
        <f>I36-F36/1000</f>
        <v>-0.45</v>
      </c>
      <c r="K36">
        <f>'Data Panjang Balok'!E32</f>
        <v>1</v>
      </c>
      <c r="L36">
        <f>SUMIFS('Besi Balok'!$AA$23:$AA$12292,'Besi Balok'!$A$23:$A$12292,$A36,'Besi Balok'!$B$23:$B$12292,$B36,'Besi Balok'!$F$23:$F$12292,'REKAP Balok'!L$12)</f>
        <v>0</v>
      </c>
      <c r="M36">
        <f>SUMIFS('Besi Balok'!$AA$23:$AA$12292,'Besi Balok'!$A$23:$A$12292,$A36,'Besi Balok'!$B$23:$B$12292,$B36,'Besi Balok'!$F$23:$F$12292,'REKAP Balok'!M$12)</f>
        <v>11.75157504</v>
      </c>
      <c r="N36">
        <f>SUMIFS('Besi Balok'!$AA$23:$AA$12292,'Besi Balok'!$A$23:$A$12292,$A36,'Besi Balok'!$B$23:$B$12292,$B36,'Besi Balok'!$F$23:$F$12292,'REKAP Balok'!N$12)</f>
        <v>0</v>
      </c>
      <c r="O36">
        <f>SUMIFS('Besi Balok'!$AA$23:$AA$12292,'Besi Balok'!$A$23:$A$12292,$A36,'Besi Balok'!$B$23:$B$12292,$B36,'Besi Balok'!$F$23:$F$12292,'REKAP Balok'!O$12)</f>
        <v>23.204862719999998</v>
      </c>
      <c r="P36">
        <f>SUMIFS('Besi Balok'!$AA$23:$AA$12292,'Besi Balok'!$A$23:$A$12292,$A36,'Besi Balok'!$B$23:$B$12292,$B36,'Besi Balok'!$F$23:$F$12292,'REKAP Balok'!P$12)</f>
        <v>0</v>
      </c>
      <c r="Q36">
        <f>SUMIFS('Besi Balok'!$AA$23:$AA$12292,'Besi Balok'!$A$23:$A$12292,$A36,'Besi Balok'!$B$23:$B$12292,$B36,'Besi Balok'!$F$23:$F$12292,'REKAP Balok'!Q$12)</f>
        <v>0</v>
      </c>
      <c r="R36">
        <f>SUMIFS('Besi Balok'!$AA$23:$AA$12292,'Besi Balok'!$A$23:$A$12292,$A36,'Besi Balok'!$B$23:$B$12292,$B36,'Besi Balok'!$F$23:$F$12292,'REKAP Balok'!R$12)</f>
        <v>0</v>
      </c>
      <c r="S36">
        <f>SUMIFS('Besi Balok'!$AA$23:$AA$12292,'Besi Balok'!$A$23:$A$12292,$A36,'Besi Balok'!$B$23:$B$12292,$B36,'Besi Balok'!$F$23:$F$12292,'REKAP Balok'!S$12)</f>
        <v>0</v>
      </c>
      <c r="T36">
        <f>SUMIFS('Besi Balok'!$AA$23:$AA$12292,'Besi Balok'!$A$23:$A$12292,$A36,'Besi Balok'!$B$23:$B$12292,$B36,'Besi Balok'!$F$23:$F$12292,'REKAP Balok'!T$12)</f>
        <v>0</v>
      </c>
      <c r="U36">
        <f>SUM(L36:T36)</f>
        <v>34.95643776</v>
      </c>
      <c r="V36">
        <f>(D36*(F36-H36)*G36*K36)/1000000000</f>
        <v>0.204</v>
      </c>
      <c r="X36">
        <f>((F36-H36)*2*(G36)*K36)/1000000</f>
        <v>2.04</v>
      </c>
      <c r="Y36">
        <f>K36*(D36+2*$F$5)*G36*$F$7/1000000000</f>
        <v>0.068</v>
      </c>
      <c r="Z36">
        <f>K36*(D36+2*$F$5+2*$F$6)*($F$4-J36+($F$7+$F$8)/1000)*G36/1000000</f>
        <v>1.7</v>
      </c>
      <c r="AC36">
        <f>(D36+2*$F$5)*F36*G36/1000000000</f>
        <v>0.612</v>
      </c>
    </row>
    <row r="37">
      <c r="A37" t="str">
        <f>'Data Panjang Balok'!A33</f>
        <v>Sloof</v>
      </c>
      <c r="B37">
        <f>'Data Panjang Balok'!B33</f>
        <v>23</v>
      </c>
      <c r="C37" t="str">
        <f>'Data Panjang Balok'!D33</f>
        <v>TB245-1</v>
      </c>
      <c r="D37">
        <f>IF(C37&gt;0,VLOOKUP(C37,'Detail Balok'!$C$11:$AU$110,2,FALSE),0)</f>
        <v>200</v>
      </c>
      <c r="E37" t="str">
        <v>x</v>
      </c>
      <c r="F37">
        <f>IF(C37&gt;0,VLOOKUP(C37,'Detail Balok'!$C$11:$AU$110,3,FALSE),0)</f>
        <v>450</v>
      </c>
      <c r="G37">
        <f>'Data Panjang Balok'!I33</f>
        <v>7435</v>
      </c>
      <c r="H37">
        <f>'Data Panjang Balok'!J33</f>
        <v>150</v>
      </c>
      <c r="J37">
        <f>I37-F37/1000</f>
        <v>-0.45</v>
      </c>
      <c r="K37">
        <f>'Data Panjang Balok'!E33</f>
        <v>1</v>
      </c>
      <c r="L37">
        <f>SUMIFS('Besi Balok'!$AA$23:$AA$12292,'Besi Balok'!$A$23:$A$12292,$A37,'Besi Balok'!$B$23:$B$12292,$B37,'Besi Balok'!$F$23:$F$12292,'REKAP Balok'!L$12)</f>
        <v>0</v>
      </c>
      <c r="M37">
        <f>SUMIFS('Besi Balok'!$AA$23:$AA$12292,'Besi Balok'!$A$23:$A$12292,$A37,'Besi Balok'!$B$23:$B$12292,$B37,'Besi Balok'!$F$23:$F$12292,'REKAP Balok'!M$12)</f>
        <v>23.406877440000002</v>
      </c>
      <c r="N37">
        <f>SUMIFS('Besi Balok'!$AA$23:$AA$12292,'Besi Balok'!$A$23:$A$12292,$A37,'Besi Balok'!$B$23:$B$12292,$B37,'Besi Balok'!$F$23:$F$12292,'REKAP Balok'!N$12)</f>
        <v>0</v>
      </c>
      <c r="O37">
        <f>SUMIFS('Besi Balok'!$AA$23:$AA$12292,'Besi Balok'!$A$23:$A$12292,$A37,'Besi Balok'!$B$23:$B$12292,$B37,'Besi Balok'!$F$23:$F$12292,'REKAP Balok'!O$12)</f>
        <v>48.42889857</v>
      </c>
      <c r="P37">
        <f>SUMIFS('Besi Balok'!$AA$23:$AA$12292,'Besi Balok'!$A$23:$A$12292,$A37,'Besi Balok'!$B$23:$B$12292,$B37,'Besi Balok'!$F$23:$F$12292,'REKAP Balok'!P$12)</f>
        <v>0</v>
      </c>
      <c r="Q37">
        <f>SUMIFS('Besi Balok'!$AA$23:$AA$12292,'Besi Balok'!$A$23:$A$12292,$A37,'Besi Balok'!$B$23:$B$12292,$B37,'Besi Balok'!$F$23:$F$12292,'REKAP Balok'!Q$12)</f>
        <v>0</v>
      </c>
      <c r="R37">
        <f>SUMIFS('Besi Balok'!$AA$23:$AA$12292,'Besi Balok'!$A$23:$A$12292,$A37,'Besi Balok'!$B$23:$B$12292,$B37,'Besi Balok'!$F$23:$F$12292,'REKAP Balok'!R$12)</f>
        <v>0</v>
      </c>
      <c r="S37">
        <f>SUMIFS('Besi Balok'!$AA$23:$AA$12292,'Besi Balok'!$A$23:$A$12292,$A37,'Besi Balok'!$B$23:$B$12292,$B37,'Besi Balok'!$F$23:$F$12292,'REKAP Balok'!S$12)</f>
        <v>0</v>
      </c>
      <c r="T37">
        <f>SUMIFS('Besi Balok'!$AA$23:$AA$12292,'Besi Balok'!$A$23:$A$12292,$A37,'Besi Balok'!$B$23:$B$12292,$B37,'Besi Balok'!$F$23:$F$12292,'REKAP Balok'!T$12)</f>
        <v>0</v>
      </c>
      <c r="U37">
        <f>SUM(L37:T37)</f>
        <v>71.83577601</v>
      </c>
      <c r="V37">
        <f>(D37*(F37-H37)*G37*K37)/1000000000</f>
        <v>0.4461</v>
      </c>
      <c r="X37">
        <f>((F37-H37)*2*(G37)*K37)/1000000</f>
        <v>4.461</v>
      </c>
      <c r="Y37">
        <f>K37*(D37+2*$F$5)*G37*$F$7/1000000000</f>
        <v>0.1487</v>
      </c>
      <c r="Z37">
        <f>K37*(D37+2*$F$5+2*$F$6)*($F$4-J37+($F$7+$F$8)/1000)*G37/1000000</f>
        <v>3.7175</v>
      </c>
      <c r="AC37">
        <f>(D37+2*$F$5)*F37*G37/1000000000</f>
        <v>1.3383</v>
      </c>
    </row>
    <row r="38">
      <c r="A38" t="str">
        <f>'Data Panjang Balok'!A34</f>
        <v>Sloof</v>
      </c>
      <c r="B38">
        <f>'Data Panjang Balok'!B34</f>
        <v>24</v>
      </c>
      <c r="C38" t="str">
        <f>'Data Panjang Balok'!D34</f>
        <v>TB47-1</v>
      </c>
      <c r="D38">
        <f>IF(C38&gt;0,VLOOKUP(C38,'Detail Balok'!$C$11:$AU$110,2,FALSE),0)</f>
        <v>400</v>
      </c>
      <c r="E38" t="str">
        <v>x</v>
      </c>
      <c r="F38">
        <f>IF(C38&gt;0,VLOOKUP(C38,'Detail Balok'!$C$11:$AU$110,3,FALSE),0)</f>
        <v>700</v>
      </c>
      <c r="G38">
        <f>'Data Panjang Balok'!I34</f>
        <v>3665</v>
      </c>
      <c r="H38">
        <f>'Data Panjang Balok'!J34</f>
        <v>150</v>
      </c>
      <c r="J38">
        <f>I38-F38/1000</f>
        <v>-0.7</v>
      </c>
      <c r="K38">
        <f>'Data Panjang Balok'!E34</f>
        <v>1</v>
      </c>
      <c r="L38">
        <f>SUMIFS('Besi Balok'!$AA$23:$AA$12292,'Besi Balok'!$A$23:$A$12292,$A38,'Besi Balok'!$B$23:$B$12292,$B38,'Besi Balok'!$F$23:$F$12292,'REKAP Balok'!L$12)</f>
        <v>0</v>
      </c>
      <c r="M38">
        <f>SUMIFS('Besi Balok'!$AA$23:$AA$12292,'Besi Balok'!$A$23:$A$12292,$A38,'Besi Balok'!$B$23:$B$12292,$B38,'Besi Balok'!$F$23:$F$12292,'REKAP Balok'!M$12)</f>
        <v>0</v>
      </c>
      <c r="N38">
        <f>SUMIFS('Besi Balok'!$AA$23:$AA$12292,'Besi Balok'!$A$23:$A$12292,$A38,'Besi Balok'!$B$23:$B$12292,$B38,'Besi Balok'!$F$23:$F$12292,'REKAP Balok'!N$12)</f>
        <v>29.844765000000002</v>
      </c>
      <c r="O38">
        <f>SUMIFS('Besi Balok'!$AA$23:$AA$12292,'Besi Balok'!$A$23:$A$12292,$A38,'Besi Balok'!$B$23:$B$12292,$B38,'Besi Balok'!$F$23:$F$12292,'REKAP Balok'!O$12)</f>
        <v>0</v>
      </c>
      <c r="P38">
        <f>SUMIFS('Besi Balok'!$AA$23:$AA$12292,'Besi Balok'!$A$23:$A$12292,$A38,'Besi Balok'!$B$23:$B$12292,$B38,'Besi Balok'!$F$23:$F$12292,'REKAP Balok'!P$12)</f>
        <v>0</v>
      </c>
      <c r="Q38">
        <f>SUMIFS('Besi Balok'!$AA$23:$AA$12292,'Besi Balok'!$A$23:$A$12292,$A38,'Besi Balok'!$B$23:$B$12292,$B38,'Besi Balok'!$F$23:$F$12292,'REKAP Balok'!Q$12)</f>
        <v>0</v>
      </c>
      <c r="R38">
        <f>SUMIFS('Besi Balok'!$AA$23:$AA$12292,'Besi Balok'!$A$23:$A$12292,$A38,'Besi Balok'!$B$23:$B$12292,$B38,'Besi Balok'!$F$23:$F$12292,'REKAP Balok'!R$12)</f>
        <v>175.15854972</v>
      </c>
      <c r="S38">
        <f>SUMIFS('Besi Balok'!$AA$23:$AA$12292,'Besi Balok'!$A$23:$A$12292,$A38,'Besi Balok'!$B$23:$B$12292,$B38,'Besi Balok'!$F$23:$F$12292,'REKAP Balok'!S$12)</f>
        <v>0</v>
      </c>
      <c r="T38">
        <f>SUMIFS('Besi Balok'!$AA$23:$AA$12292,'Besi Balok'!$A$23:$A$12292,$A38,'Besi Balok'!$B$23:$B$12292,$B38,'Besi Balok'!$F$23:$F$12292,'REKAP Balok'!T$12)</f>
        <v>0</v>
      </c>
      <c r="U38">
        <f>SUM(L38:T38)</f>
        <v>205.00331472</v>
      </c>
      <c r="V38">
        <f>(D38*(F38-H38)*G38*K38)/1000000000</f>
        <v>0.8063</v>
      </c>
      <c r="X38">
        <f>((F38-H38)*2*(G38)*K38)/1000000</f>
        <v>4.0315</v>
      </c>
      <c r="Y38">
        <f>K38*(D38+2*$F$5)*G38*$F$7/1000000000</f>
        <v>0.10995</v>
      </c>
      <c r="Z38">
        <f>K38*(D38+2*$F$5+2*$F$6)*($F$4-J38+($F$7+$F$8)/1000)*G38/1000000</f>
        <v>3.2985</v>
      </c>
      <c r="AC38">
        <f>(D38+2*$F$5)*F38*G38/1000000000</f>
        <v>1.5393</v>
      </c>
    </row>
    <row r="39">
      <c r="A39" t="str">
        <f>'Data Panjang Balok'!A35</f>
        <v>Sloof</v>
      </c>
      <c r="B39">
        <f>'Data Panjang Balok'!B35</f>
        <v>25</v>
      </c>
      <c r="C39" t="str">
        <f>'Data Panjang Balok'!D35</f>
        <v>TB25-1</v>
      </c>
      <c r="D39">
        <f>IF(C39&gt;0,VLOOKUP(C39,'Detail Balok'!$C$11:$AU$110,2,FALSE),0)</f>
        <v>200</v>
      </c>
      <c r="E39" t="str">
        <v>x</v>
      </c>
      <c r="F39">
        <f>IF(C39&gt;0,VLOOKUP(C39,'Detail Balok'!$C$11:$AU$110,3,FALSE),0)</f>
        <v>500</v>
      </c>
      <c r="G39">
        <f>'Data Panjang Balok'!I35</f>
        <v>4000</v>
      </c>
      <c r="H39">
        <f>'Data Panjang Balok'!J35</f>
        <v>150</v>
      </c>
      <c r="J39">
        <f>I39-F39/1000</f>
        <v>-0.5</v>
      </c>
      <c r="K39">
        <f>'Data Panjang Balok'!E35</f>
        <v>1</v>
      </c>
      <c r="L39">
        <f>SUMIFS('Besi Balok'!$AA$23:$AA$12292,'Besi Balok'!$A$23:$A$12292,$A39,'Besi Balok'!$B$23:$B$12292,$B39,'Besi Balok'!$F$23:$F$12292,'REKAP Balok'!L$12)</f>
        <v>0</v>
      </c>
      <c r="M39">
        <f>SUMIFS('Besi Balok'!$AA$23:$AA$12292,'Besi Balok'!$A$23:$A$12292,$A39,'Besi Balok'!$B$23:$B$12292,$B39,'Besi Balok'!$F$23:$F$12292,'REKAP Balok'!M$12)</f>
        <v>0</v>
      </c>
      <c r="N39">
        <f>SUMIFS('Besi Balok'!$AA$23:$AA$12292,'Besi Balok'!$A$23:$A$12292,$A39,'Besi Balok'!$B$23:$B$12292,$B39,'Besi Balok'!$F$23:$F$12292,'REKAP Balok'!N$12)</f>
        <v>21.910410000000006</v>
      </c>
      <c r="O39">
        <f>SUMIFS('Besi Balok'!$AA$23:$AA$12292,'Besi Balok'!$A$23:$A$12292,$A39,'Besi Balok'!$B$23:$B$12292,$B39,'Besi Balok'!$F$23:$F$12292,'REKAP Balok'!O$12)</f>
        <v>0</v>
      </c>
      <c r="P39">
        <f>SUMIFS('Besi Balok'!$AA$23:$AA$12292,'Besi Balok'!$A$23:$A$12292,$A39,'Besi Balok'!$B$23:$B$12292,$B39,'Besi Balok'!$F$23:$F$12292,'REKAP Balok'!P$12)</f>
        <v>41.51402496000001</v>
      </c>
      <c r="Q39">
        <f>SUMIFS('Besi Balok'!$AA$23:$AA$12292,'Besi Balok'!$A$23:$A$12292,$A39,'Besi Balok'!$B$23:$B$12292,$B39,'Besi Balok'!$F$23:$F$12292,'REKAP Balok'!Q$12)</f>
        <v>0</v>
      </c>
      <c r="R39">
        <f>SUMIFS('Besi Balok'!$AA$23:$AA$12292,'Besi Balok'!$A$23:$A$12292,$A39,'Besi Balok'!$B$23:$B$12292,$B39,'Besi Balok'!$F$23:$F$12292,'REKAP Balok'!R$12)</f>
        <v>0</v>
      </c>
      <c r="S39">
        <f>SUMIFS('Besi Balok'!$AA$23:$AA$12292,'Besi Balok'!$A$23:$A$12292,$A39,'Besi Balok'!$B$23:$B$12292,$B39,'Besi Balok'!$F$23:$F$12292,'REKAP Balok'!S$12)</f>
        <v>0</v>
      </c>
      <c r="T39">
        <f>SUMIFS('Besi Balok'!$AA$23:$AA$12292,'Besi Balok'!$A$23:$A$12292,$A39,'Besi Balok'!$B$23:$B$12292,$B39,'Besi Balok'!$F$23:$F$12292,'REKAP Balok'!T$12)</f>
        <v>0</v>
      </c>
      <c r="U39">
        <f>SUM(L39:T39)</f>
        <v>63.42443496000001</v>
      </c>
      <c r="V39">
        <f>(D39*(F39-H39)*G39*K39)/1000000000</f>
        <v>0.28</v>
      </c>
      <c r="X39">
        <f>((F39-H39)*2*(G39)*K39)/1000000</f>
        <v>2.8</v>
      </c>
      <c r="Y39">
        <f>K39*(D39+2*$F$5)*G39*$F$7/1000000000</f>
        <v>0.08</v>
      </c>
      <c r="Z39">
        <f>K39*(D39+2*$F$5+2*$F$6)*($F$4-J39+($F$7+$F$8)/1000)*G39/1000000</f>
        <v>2.2</v>
      </c>
      <c r="AC39">
        <f>(D39+2*$F$5)*F39*G39/1000000000</f>
        <v>0.8</v>
      </c>
    </row>
    <row r="40">
      <c r="A40" t="str">
        <f>'Data Panjang Balok'!A36</f>
        <v>Sloof</v>
      </c>
      <c r="B40">
        <f>'Data Panjang Balok'!B36</f>
        <v>26</v>
      </c>
      <c r="C40" t="str">
        <f>'Data Panjang Balok'!D36</f>
        <v>TB245-2</v>
      </c>
      <c r="D40">
        <f>IF(C40&gt;0,VLOOKUP(C40,'Detail Balok'!$C$11:$AU$110,2,FALSE),0)</f>
        <v>200</v>
      </c>
      <c r="E40" t="str">
        <v>x</v>
      </c>
      <c r="F40">
        <f>IF(C40&gt;0,VLOOKUP(C40,'Detail Balok'!$C$11:$AU$110,3,FALSE),0)</f>
        <v>450</v>
      </c>
      <c r="G40">
        <f>'Data Panjang Balok'!I36</f>
        <v>3400</v>
      </c>
      <c r="H40">
        <f>'Data Panjang Balok'!J36</f>
        <v>150</v>
      </c>
      <c r="J40">
        <f>I40-F40/1000</f>
        <v>-0.45</v>
      </c>
      <c r="K40">
        <f>'Data Panjang Balok'!E36</f>
        <v>1</v>
      </c>
      <c r="L40">
        <f>SUMIFS('Besi Balok'!$AA$23:$AA$12292,'Besi Balok'!$A$23:$A$12292,$A40,'Besi Balok'!$B$23:$B$12292,$B40,'Besi Balok'!$F$23:$F$12292,'REKAP Balok'!L$12)</f>
        <v>0</v>
      </c>
      <c r="M40">
        <f>SUMIFS('Besi Balok'!$AA$23:$AA$12292,'Besi Balok'!$A$23:$A$12292,$A40,'Besi Balok'!$B$23:$B$12292,$B40,'Besi Balok'!$F$23:$F$12292,'REKAP Balok'!M$12)</f>
        <v>14.872544640000001</v>
      </c>
      <c r="N40">
        <f>SUMIFS('Besi Balok'!$AA$23:$AA$12292,'Besi Balok'!$A$23:$A$12292,$A40,'Besi Balok'!$B$23:$B$12292,$B40,'Besi Balok'!$F$23:$F$12292,'REKAP Balok'!N$12)</f>
        <v>0</v>
      </c>
      <c r="O40">
        <f>SUMIFS('Besi Balok'!$AA$23:$AA$12292,'Besi Balok'!$A$23:$A$12292,$A40,'Besi Balok'!$B$23:$B$12292,$B40,'Besi Balok'!$F$23:$F$12292,'REKAP Balok'!O$12)</f>
        <v>28.210078259999996</v>
      </c>
      <c r="P40">
        <f>SUMIFS('Besi Balok'!$AA$23:$AA$12292,'Besi Balok'!$A$23:$A$12292,$A40,'Besi Balok'!$B$23:$B$12292,$B40,'Besi Balok'!$F$23:$F$12292,'REKAP Balok'!P$12)</f>
        <v>0</v>
      </c>
      <c r="Q40">
        <f>SUMIFS('Besi Balok'!$AA$23:$AA$12292,'Besi Balok'!$A$23:$A$12292,$A40,'Besi Balok'!$B$23:$B$12292,$B40,'Besi Balok'!$F$23:$F$12292,'REKAP Balok'!Q$12)</f>
        <v>0</v>
      </c>
      <c r="R40">
        <f>SUMIFS('Besi Balok'!$AA$23:$AA$12292,'Besi Balok'!$A$23:$A$12292,$A40,'Besi Balok'!$B$23:$B$12292,$B40,'Besi Balok'!$F$23:$F$12292,'REKAP Balok'!R$12)</f>
        <v>0</v>
      </c>
      <c r="S40">
        <f>SUMIFS('Besi Balok'!$AA$23:$AA$12292,'Besi Balok'!$A$23:$A$12292,$A40,'Besi Balok'!$B$23:$B$12292,$B40,'Besi Balok'!$F$23:$F$12292,'REKAP Balok'!S$12)</f>
        <v>0</v>
      </c>
      <c r="T40">
        <f>SUMIFS('Besi Balok'!$AA$23:$AA$12292,'Besi Balok'!$A$23:$A$12292,$A40,'Besi Balok'!$B$23:$B$12292,$B40,'Besi Balok'!$F$23:$F$12292,'REKAP Balok'!T$12)</f>
        <v>0</v>
      </c>
      <c r="U40">
        <f>SUM(L40:T40)</f>
        <v>43.0826229</v>
      </c>
      <c r="V40">
        <f>(D40*(F40-H40)*G40*K40)/1000000000</f>
        <v>0.204</v>
      </c>
      <c r="X40">
        <f>((F40-H40)*2*(G40)*K40)/1000000</f>
        <v>2.04</v>
      </c>
      <c r="Y40">
        <f>K40*(D40+2*$F$5)*G40*$F$7/1000000000</f>
        <v>0.068</v>
      </c>
      <c r="Z40">
        <f>K40*(D40+2*$F$5+2*$F$6)*($F$4-J40+($F$7+$F$8)/1000)*G40/1000000</f>
        <v>1.7</v>
      </c>
      <c r="AC40">
        <f>(D40+2*$F$5)*F40*G40/1000000000</f>
        <v>0.612</v>
      </c>
    </row>
    <row r="41">
      <c r="A41" t="str">
        <f>'Data Panjang Balok'!A37</f>
        <v>Sloof</v>
      </c>
      <c r="B41">
        <f>'Data Panjang Balok'!B37</f>
        <v>27</v>
      </c>
      <c r="C41" t="str">
        <f>'Data Panjang Balok'!D37</f>
        <v>TB25-1</v>
      </c>
      <c r="D41">
        <f>IF(C41&gt;0,VLOOKUP(C41,'Detail Balok'!$C$11:$AU$110,2,FALSE),0)</f>
        <v>200</v>
      </c>
      <c r="E41" t="str">
        <v>x</v>
      </c>
      <c r="F41">
        <f>IF(C41&gt;0,VLOOKUP(C41,'Detail Balok'!$C$11:$AU$110,3,FALSE),0)</f>
        <v>500</v>
      </c>
      <c r="G41">
        <f>'Data Panjang Balok'!I37</f>
        <v>7085</v>
      </c>
      <c r="H41">
        <f>'Data Panjang Balok'!J37</f>
        <v>150</v>
      </c>
      <c r="J41">
        <f>I41-F41/1000</f>
        <v>-0.5</v>
      </c>
      <c r="K41">
        <f>'Data Panjang Balok'!E37</f>
        <v>1</v>
      </c>
      <c r="L41">
        <f>SUMIFS('Besi Balok'!$AA$23:$AA$12292,'Besi Balok'!$A$23:$A$12292,$A41,'Besi Balok'!$B$23:$B$12292,$B41,'Besi Balok'!$F$23:$F$12292,'REKAP Balok'!L$12)</f>
        <v>0</v>
      </c>
      <c r="M41">
        <f>SUMIFS('Besi Balok'!$AA$23:$AA$12292,'Besi Balok'!$A$23:$A$12292,$A41,'Besi Balok'!$B$23:$B$12292,$B41,'Besi Balok'!$F$23:$F$12292,'REKAP Balok'!M$12)</f>
        <v>0</v>
      </c>
      <c r="N41">
        <f>SUMIFS('Besi Balok'!$AA$23:$AA$12292,'Besi Balok'!$A$23:$A$12292,$A41,'Besi Balok'!$B$23:$B$12292,$B41,'Besi Balok'!$F$23:$F$12292,'REKAP Balok'!N$12)</f>
        <v>37.846935</v>
      </c>
      <c r="O41">
        <f>SUMIFS('Besi Balok'!$AA$23:$AA$12292,'Besi Balok'!$A$23:$A$12292,$A41,'Besi Balok'!$B$23:$B$12292,$B41,'Besi Balok'!$F$23:$F$12292,'REKAP Balok'!O$12)</f>
        <v>0</v>
      </c>
      <c r="P41">
        <f>SUMIFS('Besi Balok'!$AA$23:$AA$12292,'Besi Balok'!$A$23:$A$12292,$A41,'Besi Balok'!$B$23:$B$12292,$B41,'Besi Balok'!$F$23:$F$12292,'REKAP Balok'!P$12)</f>
        <v>70.72724736</v>
      </c>
      <c r="Q41">
        <f>SUMIFS('Besi Balok'!$AA$23:$AA$12292,'Besi Balok'!$A$23:$A$12292,$A41,'Besi Balok'!$B$23:$B$12292,$B41,'Besi Balok'!$F$23:$F$12292,'REKAP Balok'!Q$12)</f>
        <v>0</v>
      </c>
      <c r="R41">
        <f>SUMIFS('Besi Balok'!$AA$23:$AA$12292,'Besi Balok'!$A$23:$A$12292,$A41,'Besi Balok'!$B$23:$B$12292,$B41,'Besi Balok'!$F$23:$F$12292,'REKAP Balok'!R$12)</f>
        <v>0</v>
      </c>
      <c r="S41">
        <f>SUMIFS('Besi Balok'!$AA$23:$AA$12292,'Besi Balok'!$A$23:$A$12292,$A41,'Besi Balok'!$B$23:$B$12292,$B41,'Besi Balok'!$F$23:$F$12292,'REKAP Balok'!S$12)</f>
        <v>0</v>
      </c>
      <c r="T41">
        <f>SUMIFS('Besi Balok'!$AA$23:$AA$12292,'Besi Balok'!$A$23:$A$12292,$A41,'Besi Balok'!$B$23:$B$12292,$B41,'Besi Balok'!$F$23:$F$12292,'REKAP Balok'!T$12)</f>
        <v>0</v>
      </c>
      <c r="U41">
        <f>SUM(L41:T41)</f>
        <v>108.57418236000001</v>
      </c>
      <c r="V41">
        <f>(D41*(F41-H41)*G41*K41)/1000000000</f>
        <v>0.49595</v>
      </c>
      <c r="X41">
        <f>((F41-H41)*2*(G41)*K41)/1000000</f>
        <v>4.9595</v>
      </c>
      <c r="Y41">
        <f>K41*(D41+2*$F$5)*G41*$F$7/1000000000</f>
        <v>0.1417</v>
      </c>
      <c r="Z41">
        <f>K41*(D41+2*$F$5+2*$F$6)*($F$4-J41+($F$7+$F$8)/1000)*G41/1000000</f>
        <v>3.89675</v>
      </c>
      <c r="AC41">
        <f>(D41+2*$F$5)*F41*G41/1000000000</f>
        <v>1.417</v>
      </c>
    </row>
    <row r="42">
      <c r="A42" t="str">
        <f>'Data Panjang Balok'!A38</f>
        <v>Sloof</v>
      </c>
      <c r="B42">
        <f>'Data Panjang Balok'!B38</f>
        <v>28</v>
      </c>
      <c r="C42" t="str">
        <f>'Data Panjang Balok'!D38</f>
        <v>TB245-2</v>
      </c>
      <c r="D42">
        <f>IF(C42&gt;0,VLOOKUP(C42,'Detail Balok'!$C$11:$AU$110,2,FALSE),0)</f>
        <v>200</v>
      </c>
      <c r="E42" t="str">
        <v>x</v>
      </c>
      <c r="F42">
        <f>IF(C42&gt;0,VLOOKUP(C42,'Detail Balok'!$C$11:$AU$110,3,FALSE),0)</f>
        <v>450</v>
      </c>
      <c r="G42">
        <f>'Data Panjang Balok'!I38</f>
        <v>7435</v>
      </c>
      <c r="H42">
        <f>'Data Panjang Balok'!J38</f>
        <v>150</v>
      </c>
      <c r="J42">
        <f>I42-F42/1000</f>
        <v>-0.45</v>
      </c>
      <c r="K42">
        <f>'Data Panjang Balok'!E38</f>
        <v>1</v>
      </c>
      <c r="L42">
        <f>SUMIFS('Besi Balok'!$AA$23:$AA$12292,'Besi Balok'!$A$23:$A$12292,$A42,'Besi Balok'!$B$23:$B$12292,$B42,'Besi Balok'!$F$23:$F$12292,'REKAP Balok'!L$12)</f>
        <v>0</v>
      </c>
      <c r="M42">
        <f>SUMIFS('Besi Balok'!$AA$23:$AA$12292,'Besi Balok'!$A$23:$A$12292,$A42,'Besi Balok'!$B$23:$B$12292,$B42,'Besi Balok'!$F$23:$F$12292,'REKAP Balok'!M$12)</f>
        <v>31.43222784</v>
      </c>
      <c r="N42">
        <f>SUMIFS('Besi Balok'!$AA$23:$AA$12292,'Besi Balok'!$A$23:$A$12292,$A42,'Besi Balok'!$B$23:$B$12292,$B42,'Besi Balok'!$F$23:$F$12292,'REKAP Balok'!N$12)</f>
        <v>0</v>
      </c>
      <c r="O42">
        <f>SUMIFS('Besi Balok'!$AA$23:$AA$12292,'Besi Balok'!$A$23:$A$12292,$A42,'Besi Balok'!$B$23:$B$12292,$B42,'Besi Balok'!$F$23:$F$12292,'REKAP Balok'!O$12)</f>
        <v>57.638120085</v>
      </c>
      <c r="P42">
        <f>SUMIFS('Besi Balok'!$AA$23:$AA$12292,'Besi Balok'!$A$23:$A$12292,$A42,'Besi Balok'!$B$23:$B$12292,$B42,'Besi Balok'!$F$23:$F$12292,'REKAP Balok'!P$12)</f>
        <v>0</v>
      </c>
      <c r="Q42">
        <f>SUMIFS('Besi Balok'!$AA$23:$AA$12292,'Besi Balok'!$A$23:$A$12292,$A42,'Besi Balok'!$B$23:$B$12292,$B42,'Besi Balok'!$F$23:$F$12292,'REKAP Balok'!Q$12)</f>
        <v>0</v>
      </c>
      <c r="R42">
        <f>SUMIFS('Besi Balok'!$AA$23:$AA$12292,'Besi Balok'!$A$23:$A$12292,$A42,'Besi Balok'!$B$23:$B$12292,$B42,'Besi Balok'!$F$23:$F$12292,'REKAP Balok'!R$12)</f>
        <v>0</v>
      </c>
      <c r="S42">
        <f>SUMIFS('Besi Balok'!$AA$23:$AA$12292,'Besi Balok'!$A$23:$A$12292,$A42,'Besi Balok'!$B$23:$B$12292,$B42,'Besi Balok'!$F$23:$F$12292,'REKAP Balok'!S$12)</f>
        <v>0</v>
      </c>
      <c r="T42">
        <f>SUMIFS('Besi Balok'!$AA$23:$AA$12292,'Besi Balok'!$A$23:$A$12292,$A42,'Besi Balok'!$B$23:$B$12292,$B42,'Besi Balok'!$F$23:$F$12292,'REKAP Balok'!T$12)</f>
        <v>0</v>
      </c>
      <c r="U42">
        <f>SUM(L42:T42)</f>
        <v>89.070347925</v>
      </c>
      <c r="V42">
        <f>(D42*(F42-H42)*G42*K42)/1000000000</f>
        <v>0.4461</v>
      </c>
      <c r="X42">
        <f>((F42-H42)*2*(G42)*K42)/1000000</f>
        <v>4.461</v>
      </c>
      <c r="Y42">
        <f>K42*(D42+2*$F$5)*G42*$F$7/1000000000</f>
        <v>0.1487</v>
      </c>
      <c r="Z42">
        <f>K42*(D42+2*$F$5+2*$F$6)*($F$4-J42+($F$7+$F$8)/1000)*G42/1000000</f>
        <v>3.7175</v>
      </c>
      <c r="AC42">
        <f>(D42+2*$F$5)*F42*G42/1000000000</f>
        <v>1.3383</v>
      </c>
    </row>
    <row r="43">
      <c r="A43" t="str">
        <f>'Data Panjang Balok'!A39</f>
        <v>Sloof</v>
      </c>
      <c r="B43">
        <f>'Data Panjang Balok'!B39</f>
        <v>29</v>
      </c>
      <c r="C43" t="str">
        <f>'Data Panjang Balok'!D39</f>
        <v>TB47-1</v>
      </c>
      <c r="D43">
        <f>IF(C43&gt;0,VLOOKUP(C43,'Detail Balok'!$C$11:$AU$110,2,FALSE),0)</f>
        <v>400</v>
      </c>
      <c r="E43" t="str">
        <v>x</v>
      </c>
      <c r="F43">
        <f>IF(C43&gt;0,VLOOKUP(C43,'Detail Balok'!$C$11:$AU$110,3,FALSE),0)</f>
        <v>700</v>
      </c>
      <c r="G43">
        <f>'Data Panjang Balok'!I39</f>
        <v>3665</v>
      </c>
      <c r="H43">
        <f>'Data Panjang Balok'!J39</f>
        <v>150</v>
      </c>
      <c r="J43">
        <f>I43-F43/1000</f>
        <v>-0.7</v>
      </c>
      <c r="K43">
        <f>'Data Panjang Balok'!E39</f>
        <v>1</v>
      </c>
      <c r="L43">
        <f>SUMIFS('Besi Balok'!$AA$23:$AA$12292,'Besi Balok'!$A$23:$A$12292,$A43,'Besi Balok'!$B$23:$B$12292,$B43,'Besi Balok'!$F$23:$F$12292,'REKAP Balok'!L$12)</f>
        <v>0</v>
      </c>
      <c r="M43">
        <f>SUMIFS('Besi Balok'!$AA$23:$AA$12292,'Besi Balok'!$A$23:$A$12292,$A43,'Besi Balok'!$B$23:$B$12292,$B43,'Besi Balok'!$F$23:$F$12292,'REKAP Balok'!M$12)</f>
        <v>0</v>
      </c>
      <c r="N43">
        <f>SUMIFS('Besi Balok'!$AA$23:$AA$12292,'Besi Balok'!$A$23:$A$12292,$A43,'Besi Balok'!$B$23:$B$12292,$B43,'Besi Balok'!$F$23:$F$12292,'REKAP Balok'!N$12)</f>
        <v>29.844765000000002</v>
      </c>
      <c r="O43">
        <f>SUMIFS('Besi Balok'!$AA$23:$AA$12292,'Besi Balok'!$A$23:$A$12292,$A43,'Besi Balok'!$B$23:$B$12292,$B43,'Besi Balok'!$F$23:$F$12292,'REKAP Balok'!O$12)</f>
        <v>0</v>
      </c>
      <c r="P43">
        <f>SUMIFS('Besi Balok'!$AA$23:$AA$12292,'Besi Balok'!$A$23:$A$12292,$A43,'Besi Balok'!$B$23:$B$12292,$B43,'Besi Balok'!$F$23:$F$12292,'REKAP Balok'!P$12)</f>
        <v>0</v>
      </c>
      <c r="Q43">
        <f>SUMIFS('Besi Balok'!$AA$23:$AA$12292,'Besi Balok'!$A$23:$A$12292,$A43,'Besi Balok'!$B$23:$B$12292,$B43,'Besi Balok'!$F$23:$F$12292,'REKAP Balok'!Q$12)</f>
        <v>0</v>
      </c>
      <c r="R43">
        <f>SUMIFS('Besi Balok'!$AA$23:$AA$12292,'Besi Balok'!$A$23:$A$12292,$A43,'Besi Balok'!$B$23:$B$12292,$B43,'Besi Balok'!$F$23:$F$12292,'REKAP Balok'!R$12)</f>
        <v>175.15854972</v>
      </c>
      <c r="S43">
        <f>SUMIFS('Besi Balok'!$AA$23:$AA$12292,'Besi Balok'!$A$23:$A$12292,$A43,'Besi Balok'!$B$23:$B$12292,$B43,'Besi Balok'!$F$23:$F$12292,'REKAP Balok'!S$12)</f>
        <v>0</v>
      </c>
      <c r="T43">
        <f>SUMIFS('Besi Balok'!$AA$23:$AA$12292,'Besi Balok'!$A$23:$A$12292,$A43,'Besi Balok'!$B$23:$B$12292,$B43,'Besi Balok'!$F$23:$F$12292,'REKAP Balok'!T$12)</f>
        <v>0</v>
      </c>
      <c r="U43">
        <f>SUM(L43:T43)</f>
        <v>205.00331472</v>
      </c>
      <c r="V43">
        <f>(D43*(F43-H43)*G43*K43)/1000000000</f>
        <v>0.8063</v>
      </c>
      <c r="X43">
        <f>((F43-H43)*2*(G43)*K43)/1000000</f>
        <v>4.0315</v>
      </c>
      <c r="Y43">
        <f>K43*(D43+2*$F$5)*G43*$F$7/1000000000</f>
        <v>0.10995</v>
      </c>
      <c r="Z43">
        <f>K43*(D43+2*$F$5+2*$F$6)*($F$4-J43+($F$7+$F$8)/1000)*G43/1000000</f>
        <v>3.2985</v>
      </c>
      <c r="AC43">
        <f>(D43+2*$F$5)*F43*G43/1000000000</f>
        <v>1.5393</v>
      </c>
    </row>
    <row r="44">
      <c r="A44" t="str">
        <f>'Data Panjang Balok'!A40</f>
        <v>Sloof</v>
      </c>
      <c r="B44" t="str">
        <f>'Data Panjang Balok'!B40</f>
        <v>29A</v>
      </c>
      <c r="C44" t="str">
        <f>'Data Panjang Balok'!D40</f>
        <v>TB245-1</v>
      </c>
      <c r="D44">
        <f>IF(C44&gt;0,VLOOKUP(C44,'Detail Balok'!$C$11:$AU$110,2,FALSE),0)</f>
        <v>200</v>
      </c>
      <c r="E44" t="str">
        <v>x</v>
      </c>
      <c r="F44">
        <f>IF(C44&gt;0,VLOOKUP(C44,'Detail Balok'!$C$11:$AU$110,3,FALSE),0)</f>
        <v>450</v>
      </c>
      <c r="G44">
        <f>'Data Panjang Balok'!I40</f>
        <v>2370</v>
      </c>
      <c r="H44">
        <f>'Data Panjang Balok'!J40</f>
        <v>150</v>
      </c>
      <c r="J44">
        <f>I44-F44/1000</f>
        <v>-0.45</v>
      </c>
      <c r="K44">
        <f>'Data Panjang Balok'!E40</f>
        <v>1</v>
      </c>
      <c r="L44">
        <f>SUMIFS('Besi Balok'!$AA$23:$AA$12292,'Besi Balok'!$A$23:$A$12292,$A44,'Besi Balok'!$B$23:$B$12292,$B44,'Besi Balok'!$F$23:$F$12292,'REKAP Balok'!L$12)</f>
        <v>0</v>
      </c>
      <c r="M44">
        <f>SUMIFS('Besi Balok'!$AA$23:$AA$12292,'Besi Balok'!$A$23:$A$12292,$A44,'Besi Balok'!$B$23:$B$12292,$B44,'Besi Balok'!$F$23:$F$12292,'REKAP Balok'!M$12)</f>
        <v>8.70951744</v>
      </c>
      <c r="N44">
        <f>SUMIFS('Besi Balok'!$AA$23:$AA$12292,'Besi Balok'!$A$23:$A$12292,$A44,'Besi Balok'!$B$23:$B$12292,$B44,'Besi Balok'!$F$23:$F$12292,'REKAP Balok'!N$12)</f>
        <v>0</v>
      </c>
      <c r="O44">
        <f>SUMIFS('Besi Balok'!$AA$23:$AA$12292,'Besi Balok'!$A$23:$A$12292,$A44,'Besi Balok'!$B$23:$B$12292,$B44,'Besi Balok'!$F$23:$F$12292,'REKAP Balok'!O$12)</f>
        <v>16.76601342</v>
      </c>
      <c r="P44">
        <f>SUMIFS('Besi Balok'!$AA$23:$AA$12292,'Besi Balok'!$A$23:$A$12292,$A44,'Besi Balok'!$B$23:$B$12292,$B44,'Besi Balok'!$F$23:$F$12292,'REKAP Balok'!P$12)</f>
        <v>0</v>
      </c>
      <c r="Q44">
        <f>SUMIFS('Besi Balok'!$AA$23:$AA$12292,'Besi Balok'!$A$23:$A$12292,$A44,'Besi Balok'!$B$23:$B$12292,$B44,'Besi Balok'!$F$23:$F$12292,'REKAP Balok'!Q$12)</f>
        <v>0</v>
      </c>
      <c r="R44">
        <f>SUMIFS('Besi Balok'!$AA$23:$AA$12292,'Besi Balok'!$A$23:$A$12292,$A44,'Besi Balok'!$B$23:$B$12292,$B44,'Besi Balok'!$F$23:$F$12292,'REKAP Balok'!R$12)</f>
        <v>0</v>
      </c>
      <c r="S44">
        <f>SUMIFS('Besi Balok'!$AA$23:$AA$12292,'Besi Balok'!$A$23:$A$12292,$A44,'Besi Balok'!$B$23:$B$12292,$B44,'Besi Balok'!$F$23:$F$12292,'REKAP Balok'!S$12)</f>
        <v>0</v>
      </c>
      <c r="T44">
        <f>SUMIFS('Besi Balok'!$AA$23:$AA$12292,'Besi Balok'!$A$23:$A$12292,$A44,'Besi Balok'!$B$23:$B$12292,$B44,'Besi Balok'!$F$23:$F$12292,'REKAP Balok'!T$12)</f>
        <v>0</v>
      </c>
      <c r="U44">
        <f>SUM(L44:T44)</f>
        <v>25.47553086</v>
      </c>
      <c r="V44">
        <f>(D44*(F44-H44)*G44*K44)/1000000000</f>
        <v>0.1422</v>
      </c>
      <c r="X44">
        <f>((F44-H44)*2*(G44)*K44)/1000000</f>
        <v>1.422</v>
      </c>
      <c r="Y44">
        <f>K44*(D44+2*$F$5)*G44*$F$7/1000000000</f>
        <v>0.0474</v>
      </c>
      <c r="Z44">
        <f>K44*(D44+2*$F$5+2*$F$6)*($F$4-J44+($F$7+$F$8)/1000)*G44/1000000</f>
        <v>1.185</v>
      </c>
      <c r="AC44">
        <f>(D44+2*$F$5)*F44*G44/1000000000</f>
        <v>0.4266</v>
      </c>
    </row>
    <row r="45">
      <c r="A45" t="str">
        <f>'Data Panjang Balok'!A41</f>
        <v>Sloof</v>
      </c>
      <c r="B45" t="str">
        <f>'Data Panjang Balok'!B41</f>
        <v>29B</v>
      </c>
      <c r="C45" t="str">
        <f>'Data Panjang Balok'!D41</f>
        <v>TB24-2</v>
      </c>
      <c r="D45">
        <f>IF(C45&gt;0,VLOOKUP(C45,'Detail Balok'!$C$11:$AU$110,2,FALSE),0)</f>
        <v>200</v>
      </c>
      <c r="E45" t="str">
        <v>x</v>
      </c>
      <c r="F45">
        <f>IF(C45&gt;0,VLOOKUP(C45,'Detail Balok'!$C$11:$AU$110,3,FALSE),0)</f>
        <v>400</v>
      </c>
      <c r="G45">
        <f>'Data Panjang Balok'!I41</f>
        <v>1845</v>
      </c>
      <c r="H45">
        <f>'Data Panjang Balok'!J41</f>
        <v>150</v>
      </c>
      <c r="J45">
        <f>I45-F45/1000</f>
        <v>-0.4</v>
      </c>
      <c r="K45">
        <f>'Data Panjang Balok'!E41</f>
        <v>1</v>
      </c>
      <c r="L45">
        <f>SUMIFS('Besi Balok'!$AA$23:$AA$12292,'Besi Balok'!$A$23:$A$12292,$A45,'Besi Balok'!$B$23:$B$12292,$B45,'Besi Balok'!$F$23:$F$12292,'REKAP Balok'!L$12)</f>
        <v>0</v>
      </c>
      <c r="M45">
        <f>SUMIFS('Besi Balok'!$AA$23:$AA$12292,'Besi Balok'!$A$23:$A$12292,$A45,'Besi Balok'!$B$23:$B$12292,$B45,'Besi Balok'!$F$23:$F$12292,'REKAP Balok'!M$12)</f>
        <v>5.283158400000001</v>
      </c>
      <c r="N45">
        <f>SUMIFS('Besi Balok'!$AA$23:$AA$12292,'Besi Balok'!$A$23:$A$12292,$A45,'Besi Balok'!$B$23:$B$12292,$B45,'Besi Balok'!$F$23:$F$12292,'REKAP Balok'!N$12)</f>
        <v>0</v>
      </c>
      <c r="O45">
        <f>SUMIFS('Besi Balok'!$AA$23:$AA$12292,'Besi Balok'!$A$23:$A$12292,$A45,'Besi Balok'!$B$23:$B$12292,$B45,'Besi Balok'!$F$23:$F$12292,'REKAP Balok'!O$12)</f>
        <v>14.621814089999999</v>
      </c>
      <c r="P45">
        <f>SUMIFS('Besi Balok'!$AA$23:$AA$12292,'Besi Balok'!$A$23:$A$12292,$A45,'Besi Balok'!$B$23:$B$12292,$B45,'Besi Balok'!$F$23:$F$12292,'REKAP Balok'!P$12)</f>
        <v>0</v>
      </c>
      <c r="Q45">
        <f>SUMIFS('Besi Balok'!$AA$23:$AA$12292,'Besi Balok'!$A$23:$A$12292,$A45,'Besi Balok'!$B$23:$B$12292,$B45,'Besi Balok'!$F$23:$F$12292,'REKAP Balok'!Q$12)</f>
        <v>0</v>
      </c>
      <c r="R45">
        <f>SUMIFS('Besi Balok'!$AA$23:$AA$12292,'Besi Balok'!$A$23:$A$12292,$A45,'Besi Balok'!$B$23:$B$12292,$B45,'Besi Balok'!$F$23:$F$12292,'REKAP Balok'!R$12)</f>
        <v>0</v>
      </c>
      <c r="S45">
        <f>SUMIFS('Besi Balok'!$AA$23:$AA$12292,'Besi Balok'!$A$23:$A$12292,$A45,'Besi Balok'!$B$23:$B$12292,$B45,'Besi Balok'!$F$23:$F$12292,'REKAP Balok'!S$12)</f>
        <v>0</v>
      </c>
      <c r="T45">
        <f>SUMIFS('Besi Balok'!$AA$23:$AA$12292,'Besi Balok'!$A$23:$A$12292,$A45,'Besi Balok'!$B$23:$B$12292,$B45,'Besi Balok'!$F$23:$F$12292,'REKAP Balok'!T$12)</f>
        <v>0</v>
      </c>
      <c r="U45">
        <f>SUM(L45:T45)</f>
        <v>19.90497249</v>
      </c>
      <c r="V45">
        <f>(D45*(F45-H45)*G45*K45)/1000000000</f>
        <v>0.09225</v>
      </c>
      <c r="X45">
        <f>((F45-H45)*2*(G45)*K45)/1000000</f>
        <v>0.9225</v>
      </c>
      <c r="Y45">
        <f>K45*(D45+2*$F$5)*G45*$F$7/1000000000</f>
        <v>0.0369</v>
      </c>
      <c r="Z45">
        <f>K45*(D45+2*$F$5+2*$F$6)*($F$4-J45+($F$7+$F$8)/1000)*G45/1000000</f>
        <v>0.83025</v>
      </c>
      <c r="AC45">
        <f>(D45+2*$F$5)*F45*G45/1000000000</f>
        <v>0.2952</v>
      </c>
    </row>
    <row r="46">
      <c r="A46" t="str">
        <f>'Data Panjang Balok'!A42</f>
        <v>Sloof</v>
      </c>
      <c r="B46">
        <f>'Data Panjang Balok'!B42</f>
        <v>30</v>
      </c>
      <c r="C46" t="str">
        <f>'Data Panjang Balok'!D42</f>
        <v>TB35-1</v>
      </c>
      <c r="D46">
        <f>IF(C46&gt;0,VLOOKUP(C46,'Detail Balok'!$C$11:$AU$110,2,FALSE),0)</f>
        <v>300</v>
      </c>
      <c r="E46" t="str">
        <v>x</v>
      </c>
      <c r="F46">
        <f>IF(C46&gt;0,VLOOKUP(C46,'Detail Balok'!$C$11:$AU$110,3,FALSE),0)</f>
        <v>500</v>
      </c>
      <c r="G46">
        <f>'Data Panjang Balok'!I42</f>
        <v>5100</v>
      </c>
      <c r="H46">
        <f>'Data Panjang Balok'!J42</f>
        <v>150</v>
      </c>
      <c r="J46">
        <f>I46-F46/1000</f>
        <v>-0.5</v>
      </c>
      <c r="K46">
        <f>'Data Panjang Balok'!E42</f>
        <v>1</v>
      </c>
      <c r="L46">
        <f>SUMIFS('Besi Balok'!$AA$23:$AA$12292,'Besi Balok'!$A$23:$A$12292,$A46,'Besi Balok'!$B$23:$B$12292,$B46,'Besi Balok'!$F$23:$F$12292,'REKAP Balok'!L$12)</f>
        <v>0</v>
      </c>
      <c r="M46">
        <f>SUMIFS('Besi Balok'!$AA$23:$AA$12292,'Besi Balok'!$A$23:$A$12292,$A46,'Besi Balok'!$B$23:$B$12292,$B46,'Besi Balok'!$F$23:$F$12292,'REKAP Balok'!M$12)</f>
        <v>0</v>
      </c>
      <c r="N46">
        <f>SUMIFS('Besi Balok'!$AA$23:$AA$12292,'Besi Balok'!$A$23:$A$12292,$A46,'Besi Balok'!$B$23:$B$12292,$B46,'Besi Balok'!$F$23:$F$12292,'REKAP Balok'!N$12)</f>
        <v>30.387285</v>
      </c>
      <c r="O46">
        <f>SUMIFS('Besi Balok'!$AA$23:$AA$12292,'Besi Balok'!$A$23:$A$12292,$A46,'Besi Balok'!$B$23:$B$12292,$B46,'Besi Balok'!$F$23:$F$12292,'REKAP Balok'!O$12)</f>
        <v>0</v>
      </c>
      <c r="P46">
        <f>SUMIFS('Besi Balok'!$AA$23:$AA$12292,'Besi Balok'!$A$23:$A$12292,$A46,'Besi Balok'!$B$23:$B$12292,$B46,'Besi Balok'!$F$23:$F$12292,'REKAP Balok'!P$12)</f>
        <v>79.36337664</v>
      </c>
      <c r="Q46">
        <f>SUMIFS('Besi Balok'!$AA$23:$AA$12292,'Besi Balok'!$A$23:$A$12292,$A46,'Besi Balok'!$B$23:$B$12292,$B46,'Besi Balok'!$F$23:$F$12292,'REKAP Balok'!Q$12)</f>
        <v>0</v>
      </c>
      <c r="R46">
        <f>SUMIFS('Besi Balok'!$AA$23:$AA$12292,'Besi Balok'!$A$23:$A$12292,$A46,'Besi Balok'!$B$23:$B$12292,$B46,'Besi Balok'!$F$23:$F$12292,'REKAP Balok'!R$12)</f>
        <v>0</v>
      </c>
      <c r="S46">
        <f>SUMIFS('Besi Balok'!$AA$23:$AA$12292,'Besi Balok'!$A$23:$A$12292,$A46,'Besi Balok'!$B$23:$B$12292,$B46,'Besi Balok'!$F$23:$F$12292,'REKAP Balok'!S$12)</f>
        <v>0</v>
      </c>
      <c r="T46">
        <f>SUMIFS('Besi Balok'!$AA$23:$AA$12292,'Besi Balok'!$A$23:$A$12292,$A46,'Besi Balok'!$B$23:$B$12292,$B46,'Besi Balok'!$F$23:$F$12292,'REKAP Balok'!T$12)</f>
        <v>0</v>
      </c>
      <c r="U46">
        <f>SUM(L46:T46)</f>
        <v>109.75066164</v>
      </c>
      <c r="V46">
        <f>(D46*(F46-H46)*G46*K46)/1000000000</f>
        <v>0.5355</v>
      </c>
      <c r="X46">
        <f>((F46-H46)*2*(G46)*K46)/1000000</f>
        <v>3.57</v>
      </c>
      <c r="Y46">
        <f>K46*(D46+2*$F$5)*G46*$F$7/1000000000</f>
        <v>0.1275</v>
      </c>
      <c r="Z46">
        <f>K46*(D46+2*$F$5+2*$F$6)*($F$4-J46+($F$7+$F$8)/1000)*G46/1000000</f>
        <v>3.0855</v>
      </c>
      <c r="AC46">
        <f>(D46+2*$F$5)*F46*G46/1000000000</f>
        <v>1.275</v>
      </c>
    </row>
    <row r="47">
      <c r="A47" t="str">
        <f>'Data Panjang Balok'!A43</f>
        <v>Sloof</v>
      </c>
      <c r="B47" t="str">
        <f>'Data Panjang Balok'!B43</f>
        <v>30A</v>
      </c>
      <c r="C47" t="str">
        <f>'Data Panjang Balok'!D43</f>
        <v>TB24-1</v>
      </c>
      <c r="D47">
        <f>IF(C47&gt;0,VLOOKUP(C47,'Detail Balok'!$C$11:$AU$110,2,FALSE),0)</f>
        <v>200</v>
      </c>
      <c r="E47" t="str">
        <v>x</v>
      </c>
      <c r="F47">
        <f>IF(C47&gt;0,VLOOKUP(C47,'Detail Balok'!$C$11:$AU$110,3,FALSE),0)</f>
        <v>400</v>
      </c>
      <c r="G47">
        <f>'Data Panjang Balok'!I43</f>
        <v>2185</v>
      </c>
      <c r="H47">
        <f>'Data Panjang Balok'!J43</f>
        <v>150</v>
      </c>
      <c r="J47">
        <f>I47-F47/1000</f>
        <v>-0.4</v>
      </c>
      <c r="K47">
        <f>'Data Panjang Balok'!E43</f>
        <v>1</v>
      </c>
      <c r="L47">
        <f>SUMIFS('Besi Balok'!$AA$23:$AA$12292,'Besi Balok'!$A$23:$A$12292,$A47,'Besi Balok'!$B$23:$B$12292,$B47,'Besi Balok'!$F$23:$F$12292,'REKAP Balok'!L$12)</f>
        <v>0</v>
      </c>
      <c r="M47">
        <f>SUMIFS('Besi Balok'!$AA$23:$AA$12292,'Besi Balok'!$A$23:$A$12292,$A47,'Besi Balok'!$B$23:$B$12292,$B47,'Besi Balok'!$F$23:$F$12292,'REKAP Balok'!M$12)</f>
        <v>5.283158400000001</v>
      </c>
      <c r="N47">
        <f>SUMIFS('Besi Balok'!$AA$23:$AA$12292,'Besi Balok'!$A$23:$A$12292,$A47,'Besi Balok'!$B$23:$B$12292,$B47,'Besi Balok'!$F$23:$F$12292,'REKAP Balok'!N$12)</f>
        <v>0</v>
      </c>
      <c r="O47">
        <f>SUMIFS('Besi Balok'!$AA$23:$AA$12292,'Besi Balok'!$A$23:$A$12292,$A47,'Besi Balok'!$B$23:$B$12292,$B47,'Besi Balok'!$F$23:$F$12292,'REKAP Balok'!O$12)</f>
        <v>10.40634738</v>
      </c>
      <c r="P47">
        <f>SUMIFS('Besi Balok'!$AA$23:$AA$12292,'Besi Balok'!$A$23:$A$12292,$A47,'Besi Balok'!$B$23:$B$12292,$B47,'Besi Balok'!$F$23:$F$12292,'REKAP Balok'!P$12)</f>
        <v>0</v>
      </c>
      <c r="Q47">
        <f>SUMIFS('Besi Balok'!$AA$23:$AA$12292,'Besi Balok'!$A$23:$A$12292,$A47,'Besi Balok'!$B$23:$B$12292,$B47,'Besi Balok'!$F$23:$F$12292,'REKAP Balok'!Q$12)</f>
        <v>0</v>
      </c>
      <c r="R47">
        <f>SUMIFS('Besi Balok'!$AA$23:$AA$12292,'Besi Balok'!$A$23:$A$12292,$A47,'Besi Balok'!$B$23:$B$12292,$B47,'Besi Balok'!$F$23:$F$12292,'REKAP Balok'!R$12)</f>
        <v>0</v>
      </c>
      <c r="S47">
        <f>SUMIFS('Besi Balok'!$AA$23:$AA$12292,'Besi Balok'!$A$23:$A$12292,$A47,'Besi Balok'!$B$23:$B$12292,$B47,'Besi Balok'!$F$23:$F$12292,'REKAP Balok'!S$12)</f>
        <v>0</v>
      </c>
      <c r="T47">
        <f>SUMIFS('Besi Balok'!$AA$23:$AA$12292,'Besi Balok'!$A$23:$A$12292,$A47,'Besi Balok'!$B$23:$B$12292,$B47,'Besi Balok'!$F$23:$F$12292,'REKAP Balok'!T$12)</f>
        <v>0</v>
      </c>
      <c r="U47">
        <f>SUM(L47:T47)</f>
        <v>15.689505780000001</v>
      </c>
      <c r="V47">
        <f>(D47*(F47-H47)*G47*K47)/1000000000</f>
        <v>0.10925</v>
      </c>
      <c r="X47">
        <f>((F47-H47)*2*(G47)*K47)/1000000</f>
        <v>1.0925</v>
      </c>
      <c r="Y47">
        <f>K47*(D47+2*$F$5)*G47*$F$7/1000000000</f>
        <v>0.0437</v>
      </c>
      <c r="Z47">
        <f>K47*(D47+2*$F$5+2*$F$6)*($F$4-J47+($F$7+$F$8)/1000)*G47/1000000</f>
        <v>0.98325</v>
      </c>
      <c r="AC47">
        <f>(D47+2*$F$5)*F47*G47/1000000000</f>
        <v>0.3496</v>
      </c>
    </row>
    <row r="48">
      <c r="A48" t="str">
        <f>'Data Panjang Balok'!A44</f>
        <v>Sloof</v>
      </c>
      <c r="B48">
        <f>'Data Panjang Balok'!B44</f>
        <v>31</v>
      </c>
      <c r="C48" t="str">
        <f>'Data Panjang Balok'!D44</f>
        <v>TB25-3</v>
      </c>
      <c r="D48">
        <f>IF(C48&gt;0,VLOOKUP(C48,'Detail Balok'!$C$11:$AU$110,2,FALSE),0)</f>
        <v>200</v>
      </c>
      <c r="E48" t="str">
        <v>x</v>
      </c>
      <c r="F48">
        <f>IF(C48&gt;0,VLOOKUP(C48,'Detail Balok'!$C$11:$AU$110,3,FALSE),0)</f>
        <v>500</v>
      </c>
      <c r="G48">
        <f>'Data Panjang Balok'!I44</f>
        <v>3280</v>
      </c>
      <c r="H48">
        <f>'Data Panjang Balok'!J44</f>
        <v>150</v>
      </c>
      <c r="J48">
        <f>I48-F48/1000</f>
        <v>-0.5</v>
      </c>
      <c r="K48">
        <f>'Data Panjang Balok'!E44</f>
        <v>1</v>
      </c>
      <c r="L48">
        <f>SUMIFS('Besi Balok'!$AA$23:$AA$12292,'Besi Balok'!$A$23:$A$12292,$A48,'Besi Balok'!$B$23:$B$12292,$B48,'Besi Balok'!$F$23:$F$12292,'REKAP Balok'!L$12)</f>
        <v>0</v>
      </c>
      <c r="M48">
        <f>SUMIFS('Besi Balok'!$AA$23:$AA$12292,'Besi Balok'!$A$23:$A$12292,$A48,'Besi Balok'!$B$23:$B$12292,$B48,'Besi Balok'!$F$23:$F$12292,'REKAP Balok'!M$12)</f>
        <v>0</v>
      </c>
      <c r="N48">
        <f>SUMIFS('Besi Balok'!$AA$23:$AA$12292,'Besi Balok'!$A$23:$A$12292,$A48,'Besi Balok'!$B$23:$B$12292,$B48,'Besi Balok'!$F$23:$F$12292,'REKAP Balok'!N$12)</f>
        <v>17.98947</v>
      </c>
      <c r="O48">
        <f>SUMIFS('Besi Balok'!$AA$23:$AA$12292,'Besi Balok'!$A$23:$A$12292,$A48,'Besi Balok'!$B$23:$B$12292,$B48,'Besi Balok'!$F$23:$F$12292,'REKAP Balok'!O$12)</f>
        <v>0</v>
      </c>
      <c r="P48">
        <f>SUMIFS('Besi Balok'!$AA$23:$AA$12292,'Besi Balok'!$A$23:$A$12292,$A48,'Besi Balok'!$B$23:$B$12292,$B48,'Besi Balok'!$F$23:$F$12292,'REKAP Balok'!P$12)</f>
        <v>46.55176704</v>
      </c>
      <c r="Q48">
        <f>SUMIFS('Besi Balok'!$AA$23:$AA$12292,'Besi Balok'!$A$23:$A$12292,$A48,'Besi Balok'!$B$23:$B$12292,$B48,'Besi Balok'!$F$23:$F$12292,'REKAP Balok'!Q$12)</f>
        <v>0</v>
      </c>
      <c r="R48">
        <f>SUMIFS('Besi Balok'!$AA$23:$AA$12292,'Besi Balok'!$A$23:$A$12292,$A48,'Besi Balok'!$B$23:$B$12292,$B48,'Besi Balok'!$F$23:$F$12292,'REKAP Balok'!R$12)</f>
        <v>0</v>
      </c>
      <c r="S48">
        <f>SUMIFS('Besi Balok'!$AA$23:$AA$12292,'Besi Balok'!$A$23:$A$12292,$A48,'Besi Balok'!$B$23:$B$12292,$B48,'Besi Balok'!$F$23:$F$12292,'REKAP Balok'!S$12)</f>
        <v>0</v>
      </c>
      <c r="T48">
        <f>SUMIFS('Besi Balok'!$AA$23:$AA$12292,'Besi Balok'!$A$23:$A$12292,$A48,'Besi Balok'!$B$23:$B$12292,$B48,'Besi Balok'!$F$23:$F$12292,'REKAP Balok'!T$12)</f>
        <v>0</v>
      </c>
      <c r="U48">
        <f>SUM(L48:T48)</f>
        <v>64.54123704</v>
      </c>
      <c r="V48">
        <f>(D48*(F48-H48)*G48*K48)/1000000000</f>
        <v>0.2296</v>
      </c>
      <c r="X48">
        <f>((F48-H48)*2*(G48)*K48)/1000000</f>
        <v>2.296</v>
      </c>
      <c r="Y48">
        <f>K48*(D48+2*$F$5)*G48*$F$7/1000000000</f>
        <v>0.0656</v>
      </c>
      <c r="Z48">
        <f>K48*(D48+2*$F$5+2*$F$6)*($F$4-J48+($F$7+$F$8)/1000)*G48/1000000</f>
        <v>1.804</v>
      </c>
      <c r="AC48">
        <f>(D48+2*$F$5)*F48*G48/1000000000</f>
        <v>0.656</v>
      </c>
    </row>
    <row r="49">
      <c r="A49" t="str">
        <f>'Data Panjang Balok'!A45</f>
        <v>Sloof</v>
      </c>
      <c r="B49">
        <f>'Data Panjang Balok'!B45</f>
        <v>32</v>
      </c>
      <c r="C49" t="str">
        <f>'Data Panjang Balok'!D45</f>
        <v>TB25-3</v>
      </c>
      <c r="D49">
        <f>IF(C49&gt;0,VLOOKUP(C49,'Detail Balok'!$C$11:$AU$110,2,FALSE),0)</f>
        <v>200</v>
      </c>
      <c r="E49" t="str">
        <v>x</v>
      </c>
      <c r="F49">
        <f>IF(C49&gt;0,VLOOKUP(C49,'Detail Balok'!$C$11:$AU$110,3,FALSE),0)</f>
        <v>500</v>
      </c>
      <c r="G49">
        <f>'Data Panjang Balok'!I45</f>
        <v>3900</v>
      </c>
      <c r="H49">
        <f>'Data Panjang Balok'!J45</f>
        <v>150</v>
      </c>
      <c r="J49">
        <f>I49-F49/1000</f>
        <v>-0.5</v>
      </c>
      <c r="K49">
        <f>'Data Panjang Balok'!E45</f>
        <v>1</v>
      </c>
      <c r="L49">
        <f>SUMIFS('Besi Balok'!$AA$23:$AA$12292,'Besi Balok'!$A$23:$A$12292,$A49,'Besi Balok'!$B$23:$B$12292,$B49,'Besi Balok'!$F$23:$F$12292,'REKAP Balok'!L$12)</f>
        <v>0</v>
      </c>
      <c r="M49">
        <f>SUMIFS('Besi Balok'!$AA$23:$AA$12292,'Besi Balok'!$A$23:$A$12292,$A49,'Besi Balok'!$B$23:$B$12292,$B49,'Besi Balok'!$F$23:$F$12292,'REKAP Balok'!M$12)</f>
        <v>0</v>
      </c>
      <c r="N49">
        <f>SUMIFS('Besi Balok'!$AA$23:$AA$12292,'Besi Balok'!$A$23:$A$12292,$A49,'Besi Balok'!$B$23:$B$12292,$B49,'Besi Balok'!$F$23:$F$12292,'REKAP Balok'!N$12)</f>
        <v>21.78711</v>
      </c>
      <c r="O49">
        <f>SUMIFS('Besi Balok'!$AA$23:$AA$12292,'Besi Balok'!$A$23:$A$12292,$A49,'Besi Balok'!$B$23:$B$12292,$B49,'Besi Balok'!$F$23:$F$12292,'REKAP Balok'!O$12)</f>
        <v>0</v>
      </c>
      <c r="P49">
        <f>SUMIFS('Besi Balok'!$AA$23:$AA$12292,'Besi Balok'!$A$23:$A$12292,$A49,'Besi Balok'!$B$23:$B$12292,$B49,'Besi Balok'!$F$23:$F$12292,'REKAP Balok'!P$12)</f>
        <v>53.89058304</v>
      </c>
      <c r="Q49">
        <f>SUMIFS('Besi Balok'!$AA$23:$AA$12292,'Besi Balok'!$A$23:$A$12292,$A49,'Besi Balok'!$B$23:$B$12292,$B49,'Besi Balok'!$F$23:$F$12292,'REKAP Balok'!Q$12)</f>
        <v>0</v>
      </c>
      <c r="R49">
        <f>SUMIFS('Besi Balok'!$AA$23:$AA$12292,'Besi Balok'!$A$23:$A$12292,$A49,'Besi Balok'!$B$23:$B$12292,$B49,'Besi Balok'!$F$23:$F$12292,'REKAP Balok'!R$12)</f>
        <v>0</v>
      </c>
      <c r="S49">
        <f>SUMIFS('Besi Balok'!$AA$23:$AA$12292,'Besi Balok'!$A$23:$A$12292,$A49,'Besi Balok'!$B$23:$B$12292,$B49,'Besi Balok'!$F$23:$F$12292,'REKAP Balok'!S$12)</f>
        <v>0</v>
      </c>
      <c r="T49">
        <f>SUMIFS('Besi Balok'!$AA$23:$AA$12292,'Besi Balok'!$A$23:$A$12292,$A49,'Besi Balok'!$B$23:$B$12292,$B49,'Besi Balok'!$F$23:$F$12292,'REKAP Balok'!T$12)</f>
        <v>0</v>
      </c>
      <c r="U49">
        <f>SUM(L49:T49)</f>
        <v>75.67769304000001</v>
      </c>
      <c r="V49">
        <f>(D49*(F49-H49)*G49*K49)/1000000000</f>
        <v>0.273</v>
      </c>
      <c r="X49">
        <f>((F49-H49)*2*(G49)*K49)/1000000</f>
        <v>2.73</v>
      </c>
      <c r="Y49">
        <f>K49*(D49+2*$F$5)*G49*$F$7/1000000000</f>
        <v>0.078</v>
      </c>
      <c r="Z49">
        <f>K49*(D49+2*$F$5+2*$F$6)*($F$4-J49+($F$7+$F$8)/1000)*G49/1000000</f>
        <v>2.145</v>
      </c>
      <c r="AC49">
        <f>(D49+2*$F$5)*F49*G49/1000000000</f>
        <v>0.78</v>
      </c>
    </row>
    <row r="50">
      <c r="A50" t="str">
        <f>'Data Panjang Balok'!A46</f>
        <v>Sloof</v>
      </c>
      <c r="B50">
        <f>'Data Panjang Balok'!B46</f>
        <v>33</v>
      </c>
      <c r="C50" t="str">
        <f>'Data Panjang Balok'!D46</f>
        <v>TB47-1</v>
      </c>
      <c r="D50">
        <f>IF(C50&gt;0,VLOOKUP(C50,'Detail Balok'!$C$11:$AU$110,2,FALSE),0)</f>
        <v>400</v>
      </c>
      <c r="E50" t="str">
        <v>x</v>
      </c>
      <c r="F50">
        <f>IF(C50&gt;0,VLOOKUP(C50,'Detail Balok'!$C$11:$AU$110,3,FALSE),0)</f>
        <v>700</v>
      </c>
      <c r="G50">
        <f>'Data Panjang Balok'!I46</f>
        <v>3915</v>
      </c>
      <c r="H50">
        <f>'Data Panjang Balok'!J46</f>
        <v>150</v>
      </c>
      <c r="J50">
        <f>I50-F50/1000</f>
        <v>-0.7</v>
      </c>
      <c r="K50">
        <f>'Data Panjang Balok'!E46</f>
        <v>1</v>
      </c>
      <c r="L50">
        <f>SUMIFS('Besi Balok'!$AA$23:$AA$12292,'Besi Balok'!$A$23:$A$12292,$A50,'Besi Balok'!$B$23:$B$12292,$B50,'Besi Balok'!$F$23:$F$12292,'REKAP Balok'!L$12)</f>
        <v>0</v>
      </c>
      <c r="M50">
        <f>SUMIFS('Besi Balok'!$AA$23:$AA$12292,'Besi Balok'!$A$23:$A$12292,$A50,'Besi Balok'!$B$23:$B$12292,$B50,'Besi Balok'!$F$23:$F$12292,'REKAP Balok'!M$12)</f>
        <v>0</v>
      </c>
      <c r="N50">
        <f>SUMIFS('Besi Balok'!$AA$23:$AA$12292,'Besi Balok'!$A$23:$A$12292,$A50,'Besi Balok'!$B$23:$B$12292,$B50,'Besi Balok'!$F$23:$F$12292,'REKAP Balok'!N$12)</f>
        <v>32.656005</v>
      </c>
      <c r="O50">
        <f>SUMIFS('Besi Balok'!$AA$23:$AA$12292,'Besi Balok'!$A$23:$A$12292,$A50,'Besi Balok'!$B$23:$B$12292,$B50,'Besi Balok'!$F$23:$F$12292,'REKAP Balok'!O$12)</f>
        <v>0</v>
      </c>
      <c r="P50">
        <f>SUMIFS('Besi Balok'!$AA$23:$AA$12292,'Besi Balok'!$A$23:$A$12292,$A50,'Besi Balok'!$B$23:$B$12292,$B50,'Besi Balok'!$F$23:$F$12292,'REKAP Balok'!P$12)</f>
        <v>0</v>
      </c>
      <c r="Q50">
        <f>SUMIFS('Besi Balok'!$AA$23:$AA$12292,'Besi Balok'!$A$23:$A$12292,$A50,'Besi Balok'!$B$23:$B$12292,$B50,'Besi Balok'!$F$23:$F$12292,'REKAP Balok'!Q$12)</f>
        <v>0</v>
      </c>
      <c r="R50">
        <f>SUMIFS('Besi Balok'!$AA$23:$AA$12292,'Besi Balok'!$A$23:$A$12292,$A50,'Besi Balok'!$B$23:$B$12292,$B50,'Besi Balok'!$F$23:$F$12292,'REKAP Balok'!R$12)</f>
        <v>185.60205972</v>
      </c>
      <c r="S50">
        <f>SUMIFS('Besi Balok'!$AA$23:$AA$12292,'Besi Balok'!$A$23:$A$12292,$A50,'Besi Balok'!$B$23:$B$12292,$B50,'Besi Balok'!$F$23:$F$12292,'REKAP Balok'!S$12)</f>
        <v>0</v>
      </c>
      <c r="T50">
        <f>SUMIFS('Besi Balok'!$AA$23:$AA$12292,'Besi Balok'!$A$23:$A$12292,$A50,'Besi Balok'!$B$23:$B$12292,$B50,'Besi Balok'!$F$23:$F$12292,'REKAP Balok'!T$12)</f>
        <v>0</v>
      </c>
      <c r="U50">
        <f>SUM(L50:T50)</f>
        <v>218.25806472</v>
      </c>
      <c r="V50">
        <f>(D50*(F50-H50)*G50*K50)/1000000000</f>
        <v>0.8613</v>
      </c>
      <c r="X50">
        <f>((F50-H50)*2*(G50)*K50)/1000000</f>
        <v>4.3065</v>
      </c>
      <c r="Y50">
        <f>K50*(D50+2*$F$5)*G50*$F$7/1000000000</f>
        <v>0.11745</v>
      </c>
      <c r="Z50">
        <f>K50*(D50+2*$F$5+2*$F$6)*($F$4-J50+($F$7+$F$8)/1000)*G50/1000000</f>
        <v>3.5235</v>
      </c>
      <c r="AC50">
        <f>(D50+2*$F$5)*F50*G50/1000000000</f>
        <v>1.6443</v>
      </c>
    </row>
    <row r="51">
      <c r="A51" t="str">
        <f>'Data Panjang Balok'!A47</f>
        <v>Sloof</v>
      </c>
      <c r="B51" t="str">
        <f>'Data Panjang Balok'!B47</f>
        <v>33A</v>
      </c>
      <c r="C51" t="str">
        <f>'Data Panjang Balok'!D47</f>
        <v>Potongan S1</v>
      </c>
      <c r="D51">
        <f>IF(C51&gt;0,VLOOKUP(C51,'Detail Balok'!$C$11:$AU$110,2,FALSE),0)</f>
        <v>300</v>
      </c>
      <c r="E51" t="str">
        <v>x</v>
      </c>
      <c r="F51">
        <f>IF(C51&gt;0,VLOOKUP(C51,'Detail Balok'!$C$11:$AU$110,3,FALSE),0)</f>
        <v>500</v>
      </c>
      <c r="G51">
        <f>'Data Panjang Balok'!I47</f>
        <v>1505</v>
      </c>
      <c r="H51">
        <f>'Data Panjang Balok'!J47</f>
        <v>0</v>
      </c>
      <c r="J51">
        <f>I51-F51/1000</f>
        <v>-0.5</v>
      </c>
      <c r="K51">
        <f>'Data Panjang Balok'!E47</f>
        <v>1</v>
      </c>
      <c r="L51">
        <f>SUMIFS('Besi Balok'!$AA$23:$AA$12292,'Besi Balok'!$A$23:$A$12292,$A51,'Besi Balok'!$B$23:$B$12292,$B51,'Besi Balok'!$F$23:$F$12292,'REKAP Balok'!L$12)</f>
        <v>0</v>
      </c>
      <c r="M51">
        <f>SUMIFS('Besi Balok'!$AA$23:$AA$12292,'Besi Balok'!$A$23:$A$12292,$A51,'Besi Balok'!$B$23:$B$12292,$B51,'Besi Balok'!$F$23:$F$12292,'REKAP Balok'!M$12)</f>
        <v>0</v>
      </c>
      <c r="N51">
        <f>SUMIFS('Besi Balok'!$AA$23:$AA$12292,'Besi Balok'!$A$23:$A$12292,$A51,'Besi Balok'!$B$23:$B$12292,$B51,'Besi Balok'!$F$23:$F$12292,'REKAP Balok'!N$12)</f>
        <v>10.08594</v>
      </c>
      <c r="O51">
        <f>SUMIFS('Besi Balok'!$AA$23:$AA$12292,'Besi Balok'!$A$23:$A$12292,$A51,'Besi Balok'!$B$23:$B$12292,$B51,'Besi Balok'!$F$23:$F$12292,'REKAP Balok'!O$12)</f>
        <v>0</v>
      </c>
      <c r="P51">
        <f>SUMIFS('Besi Balok'!$AA$23:$AA$12292,'Besi Balok'!$A$23:$A$12292,$A51,'Besi Balok'!$B$23:$B$12292,$B51,'Besi Balok'!$F$23:$F$12292,'REKAP Balok'!P$12)</f>
        <v>32.79424896</v>
      </c>
      <c r="Q51">
        <f>SUMIFS('Besi Balok'!$AA$23:$AA$12292,'Besi Balok'!$A$23:$A$12292,$A51,'Besi Balok'!$B$23:$B$12292,$B51,'Besi Balok'!$F$23:$F$12292,'REKAP Balok'!Q$12)</f>
        <v>0</v>
      </c>
      <c r="R51">
        <f>SUMIFS('Besi Balok'!$AA$23:$AA$12292,'Besi Balok'!$A$23:$A$12292,$A51,'Besi Balok'!$B$23:$B$12292,$B51,'Besi Balok'!$F$23:$F$12292,'REKAP Balok'!R$12)</f>
        <v>0</v>
      </c>
      <c r="S51">
        <f>SUMIFS('Besi Balok'!$AA$23:$AA$12292,'Besi Balok'!$A$23:$A$12292,$A51,'Besi Balok'!$B$23:$B$12292,$B51,'Besi Balok'!$F$23:$F$12292,'REKAP Balok'!S$12)</f>
        <v>0</v>
      </c>
      <c r="T51">
        <f>SUMIFS('Besi Balok'!$AA$23:$AA$12292,'Besi Balok'!$A$23:$A$12292,$A51,'Besi Balok'!$B$23:$B$12292,$B51,'Besi Balok'!$F$23:$F$12292,'REKAP Balok'!T$12)</f>
        <v>0</v>
      </c>
      <c r="U51">
        <f>SUM(L51:T51)</f>
        <v>42.88018896</v>
      </c>
      <c r="V51">
        <f>(D51*(F51-H51)*G51*K51)/1000000000</f>
        <v>0.22575</v>
      </c>
      <c r="X51">
        <f>((F51-H51)*2*(G51)*K51)/1000000</f>
        <v>1.505</v>
      </c>
      <c r="Y51">
        <f>K51*(D51+2*$F$5)*G51*$F$7/1000000000</f>
        <v>0.037625</v>
      </c>
      <c r="Z51">
        <f>K51*(D51+2*$F$5+2*$F$6)*($F$4-J51+($F$7+$F$8)/1000)*G51/1000000</f>
        <v>0.910525</v>
      </c>
      <c r="AC51">
        <f>(D51+2*$F$5)*F51*G51/1000000000</f>
        <v>0.37625</v>
      </c>
    </row>
    <row r="52">
      <c r="A52" t="str">
        <f>'Data Panjang Balok'!A48</f>
        <v>Sloof</v>
      </c>
      <c r="B52">
        <f>'Data Panjang Balok'!B48</f>
        <v>34</v>
      </c>
      <c r="C52" t="str">
        <f>'Data Panjang Balok'!D48</f>
        <v>TB245-1</v>
      </c>
      <c r="D52">
        <f>IF(C52&gt;0,VLOOKUP(C52,'Detail Balok'!$C$11:$AU$110,2,FALSE),0)</f>
        <v>200</v>
      </c>
      <c r="E52" t="str">
        <v>x</v>
      </c>
      <c r="F52">
        <f>IF(C52&gt;0,VLOOKUP(C52,'Detail Balok'!$C$11:$AU$110,3,FALSE),0)</f>
        <v>450</v>
      </c>
      <c r="G52">
        <f>'Data Panjang Balok'!I48</f>
        <v>2790</v>
      </c>
      <c r="H52">
        <f>'Data Panjang Balok'!J48</f>
        <v>150</v>
      </c>
      <c r="J52">
        <f>I52-F52/1000</f>
        <v>-0.45</v>
      </c>
      <c r="K52">
        <f>'Data Panjang Balok'!E48</f>
        <v>1</v>
      </c>
      <c r="L52">
        <f>SUMIFS('Besi Balok'!$AA$23:$AA$12292,'Besi Balok'!$A$23:$A$12292,$A52,'Besi Balok'!$B$23:$B$12292,$B52,'Besi Balok'!$F$23:$F$12292,'REKAP Balok'!L$12)</f>
        <v>0</v>
      </c>
      <c r="M52">
        <f>SUMIFS('Besi Balok'!$AA$23:$AA$12292,'Besi Balok'!$A$23:$A$12292,$A52,'Besi Balok'!$B$23:$B$12292,$B52,'Besi Balok'!$F$23:$F$12292,'REKAP Balok'!M$12)</f>
        <v>9.932653440000001</v>
      </c>
      <c r="N52">
        <f>SUMIFS('Besi Balok'!$AA$23:$AA$12292,'Besi Balok'!$A$23:$A$12292,$A52,'Besi Balok'!$B$23:$B$12292,$B52,'Besi Balok'!$F$23:$F$12292,'REKAP Balok'!N$12)</f>
        <v>0</v>
      </c>
      <c r="O52">
        <f>SUMIFS('Besi Balok'!$AA$23:$AA$12292,'Besi Balok'!$A$23:$A$12292,$A52,'Besi Balok'!$B$23:$B$12292,$B52,'Besi Balok'!$F$23:$F$12292,'REKAP Balok'!O$12)</f>
        <v>19.39156362</v>
      </c>
      <c r="P52">
        <f>SUMIFS('Besi Balok'!$AA$23:$AA$12292,'Besi Balok'!$A$23:$A$12292,$A52,'Besi Balok'!$B$23:$B$12292,$B52,'Besi Balok'!$F$23:$F$12292,'REKAP Balok'!P$12)</f>
        <v>0</v>
      </c>
      <c r="Q52">
        <f>SUMIFS('Besi Balok'!$AA$23:$AA$12292,'Besi Balok'!$A$23:$A$12292,$A52,'Besi Balok'!$B$23:$B$12292,$B52,'Besi Balok'!$F$23:$F$12292,'REKAP Balok'!Q$12)</f>
        <v>0</v>
      </c>
      <c r="R52">
        <f>SUMIFS('Besi Balok'!$AA$23:$AA$12292,'Besi Balok'!$A$23:$A$12292,$A52,'Besi Balok'!$B$23:$B$12292,$B52,'Besi Balok'!$F$23:$F$12292,'REKAP Balok'!R$12)</f>
        <v>0</v>
      </c>
      <c r="S52">
        <f>SUMIFS('Besi Balok'!$AA$23:$AA$12292,'Besi Balok'!$A$23:$A$12292,$A52,'Besi Balok'!$B$23:$B$12292,$B52,'Besi Balok'!$F$23:$F$12292,'REKAP Balok'!S$12)</f>
        <v>0</v>
      </c>
      <c r="T52">
        <f>SUMIFS('Besi Balok'!$AA$23:$AA$12292,'Besi Balok'!$A$23:$A$12292,$A52,'Besi Balok'!$B$23:$B$12292,$B52,'Besi Balok'!$F$23:$F$12292,'REKAP Balok'!T$12)</f>
        <v>0</v>
      </c>
      <c r="U52">
        <f>SUM(L52:T52)</f>
        <v>29.324217060000002</v>
      </c>
      <c r="V52">
        <f>(D52*(F52-H52)*G52*K52)/1000000000</f>
        <v>0.1674</v>
      </c>
      <c r="X52">
        <f>((F52-H52)*2*(G52)*K52)/1000000</f>
        <v>1.674</v>
      </c>
      <c r="Y52">
        <f>K52*(D52+2*$F$5)*G52*$F$7/1000000000</f>
        <v>0.0558</v>
      </c>
      <c r="Z52">
        <f>K52*(D52+2*$F$5+2*$F$6)*($F$4-J52+($F$7+$F$8)/1000)*G52/1000000</f>
        <v>1.395</v>
      </c>
      <c r="AC52">
        <f>(D52+2*$F$5)*F52*G52/1000000000</f>
        <v>0.5022</v>
      </c>
    </row>
    <row r="53">
      <c r="A53" t="str">
        <f>'Data Panjang Balok'!A49</f>
        <v>Sloof</v>
      </c>
      <c r="B53">
        <f>'Data Panjang Balok'!B49</f>
        <v>35</v>
      </c>
      <c r="C53" t="str">
        <f>'Data Panjang Balok'!D49</f>
        <v>TB24-2</v>
      </c>
      <c r="D53">
        <f>IF(C53&gt;0,VLOOKUP(C53,'Detail Balok'!$C$11:$AU$110,2,FALSE),0)</f>
        <v>200</v>
      </c>
      <c r="E53" t="str">
        <v>x</v>
      </c>
      <c r="F53">
        <f>IF(C53&gt;0,VLOOKUP(C53,'Detail Balok'!$C$11:$AU$110,3,FALSE),0)</f>
        <v>400</v>
      </c>
      <c r="G53">
        <f>'Data Panjang Balok'!I49</f>
        <v>3120</v>
      </c>
      <c r="H53">
        <f>'Data Panjang Balok'!J49</f>
        <v>150</v>
      </c>
      <c r="J53">
        <f>I53-F53/1000</f>
        <v>-0.4</v>
      </c>
      <c r="K53">
        <f>'Data Panjang Balok'!E49</f>
        <v>1</v>
      </c>
      <c r="L53">
        <f>SUMIFS('Besi Balok'!$AA$23:$AA$12292,'Besi Balok'!$A$23:$A$12292,$A53,'Besi Balok'!$B$23:$B$12292,$B53,'Besi Balok'!$F$23:$F$12292,'REKAP Balok'!L$12)</f>
        <v>0</v>
      </c>
      <c r="M53">
        <f>SUMIFS('Besi Balok'!$AA$23:$AA$12292,'Besi Balok'!$A$23:$A$12292,$A53,'Besi Balok'!$B$23:$B$12292,$B53,'Besi Balok'!$F$23:$F$12292,'REKAP Balok'!M$12)</f>
        <v>8.127936000000002</v>
      </c>
      <c r="N53">
        <f>SUMIFS('Besi Balok'!$AA$23:$AA$12292,'Besi Balok'!$A$23:$A$12292,$A53,'Besi Balok'!$B$23:$B$12292,$B53,'Besi Balok'!$F$23:$F$12292,'REKAP Balok'!N$12)</f>
        <v>0</v>
      </c>
      <c r="O53">
        <f>SUMIFS('Besi Balok'!$AA$23:$AA$12292,'Besi Balok'!$A$23:$A$12292,$A53,'Besi Balok'!$B$23:$B$12292,$B53,'Besi Balok'!$F$23:$F$12292,'REKAP Balok'!O$12)</f>
        <v>22.59223434</v>
      </c>
      <c r="P53">
        <f>SUMIFS('Besi Balok'!$AA$23:$AA$12292,'Besi Balok'!$A$23:$A$12292,$A53,'Besi Balok'!$B$23:$B$12292,$B53,'Besi Balok'!$F$23:$F$12292,'REKAP Balok'!P$12)</f>
        <v>0</v>
      </c>
      <c r="Q53">
        <f>SUMIFS('Besi Balok'!$AA$23:$AA$12292,'Besi Balok'!$A$23:$A$12292,$A53,'Besi Balok'!$B$23:$B$12292,$B53,'Besi Balok'!$F$23:$F$12292,'REKAP Balok'!Q$12)</f>
        <v>0</v>
      </c>
      <c r="R53">
        <f>SUMIFS('Besi Balok'!$AA$23:$AA$12292,'Besi Balok'!$A$23:$A$12292,$A53,'Besi Balok'!$B$23:$B$12292,$B53,'Besi Balok'!$F$23:$F$12292,'REKAP Balok'!R$12)</f>
        <v>0</v>
      </c>
      <c r="S53">
        <f>SUMIFS('Besi Balok'!$AA$23:$AA$12292,'Besi Balok'!$A$23:$A$12292,$A53,'Besi Balok'!$B$23:$B$12292,$B53,'Besi Balok'!$F$23:$F$12292,'REKAP Balok'!S$12)</f>
        <v>0</v>
      </c>
      <c r="T53">
        <f>SUMIFS('Besi Balok'!$AA$23:$AA$12292,'Besi Balok'!$A$23:$A$12292,$A53,'Besi Balok'!$B$23:$B$12292,$B53,'Besi Balok'!$F$23:$F$12292,'REKAP Balok'!T$12)</f>
        <v>0</v>
      </c>
      <c r="U53">
        <f>SUM(L53:T53)</f>
        <v>30.720170340000003</v>
      </c>
      <c r="V53">
        <f>(D53*(F53-H53)*G53*K53)/1000000000</f>
        <v>0.156</v>
      </c>
      <c r="X53">
        <f>((F53-H53)*2*(G53)*K53)/1000000</f>
        <v>1.56</v>
      </c>
      <c r="Y53">
        <f>K53*(D53+2*$F$5)*G53*$F$7/1000000000</f>
        <v>0.0624</v>
      </c>
      <c r="Z53">
        <f>K53*(D53+2*$F$5+2*$F$6)*($F$4-J53+($F$7+$F$8)/1000)*G53/1000000</f>
        <v>1.404</v>
      </c>
      <c r="AC53">
        <f>(D53+2*$F$5)*F53*G53/1000000000</f>
        <v>0.4992</v>
      </c>
    </row>
    <row r="54">
      <c r="A54" t="str">
        <f>'Data Panjang Balok'!A50</f>
        <v>Sloof</v>
      </c>
      <c r="B54">
        <f>'Data Panjang Balok'!B50</f>
        <v>36</v>
      </c>
      <c r="C54" t="str">
        <f>'Data Panjang Balok'!D50</f>
        <v>TB35-1</v>
      </c>
      <c r="D54">
        <f>IF(C54&gt;0,VLOOKUP(C54,'Detail Balok'!$C$11:$AU$110,2,FALSE),0)</f>
        <v>300</v>
      </c>
      <c r="E54" t="str">
        <v>x</v>
      </c>
      <c r="F54">
        <f>IF(C54&gt;0,VLOOKUP(C54,'Detail Balok'!$C$11:$AU$110,3,FALSE),0)</f>
        <v>500</v>
      </c>
      <c r="G54">
        <f>'Data Panjang Balok'!I50</f>
        <v>4600</v>
      </c>
      <c r="H54">
        <f>'Data Panjang Balok'!J50</f>
        <v>150</v>
      </c>
      <c r="J54">
        <f>I54-F54/1000</f>
        <v>-0.5</v>
      </c>
      <c r="K54">
        <f>'Data Panjang Balok'!E50</f>
        <v>1</v>
      </c>
      <c r="L54">
        <f>SUMIFS('Besi Balok'!$AA$23:$AA$12292,'Besi Balok'!$A$23:$A$12292,$A54,'Besi Balok'!$B$23:$B$12292,$B54,'Besi Balok'!$F$23:$F$12292,'REKAP Balok'!L$12)</f>
        <v>0</v>
      </c>
      <c r="M54">
        <f>SUMIFS('Besi Balok'!$AA$23:$AA$12292,'Besi Balok'!$A$23:$A$12292,$A54,'Besi Balok'!$B$23:$B$12292,$B54,'Besi Balok'!$F$23:$F$12292,'REKAP Balok'!M$12)</f>
        <v>0</v>
      </c>
      <c r="N54">
        <f>SUMIFS('Besi Balok'!$AA$23:$AA$12292,'Besi Balok'!$A$23:$A$12292,$A54,'Besi Balok'!$B$23:$B$12292,$B54,'Besi Balok'!$F$23:$F$12292,'REKAP Balok'!N$12)</f>
        <v>28.88919</v>
      </c>
      <c r="O54">
        <f>SUMIFS('Besi Balok'!$AA$23:$AA$12292,'Besi Balok'!$A$23:$A$12292,$A54,'Besi Balok'!$B$23:$B$12292,$B54,'Besi Balok'!$F$23:$F$12292,'REKAP Balok'!O$12)</f>
        <v>0</v>
      </c>
      <c r="P54">
        <f>SUMIFS('Besi Balok'!$AA$23:$AA$12292,'Besi Balok'!$A$23:$A$12292,$A54,'Besi Balok'!$B$23:$B$12292,$B54,'Besi Balok'!$F$23:$F$12292,'REKAP Balok'!P$12)</f>
        <v>72.34020864</v>
      </c>
      <c r="Q54">
        <f>SUMIFS('Besi Balok'!$AA$23:$AA$12292,'Besi Balok'!$A$23:$A$12292,$A54,'Besi Balok'!$B$23:$B$12292,$B54,'Besi Balok'!$F$23:$F$12292,'REKAP Balok'!Q$12)</f>
        <v>0</v>
      </c>
      <c r="R54">
        <f>SUMIFS('Besi Balok'!$AA$23:$AA$12292,'Besi Balok'!$A$23:$A$12292,$A54,'Besi Balok'!$B$23:$B$12292,$B54,'Besi Balok'!$F$23:$F$12292,'REKAP Balok'!R$12)</f>
        <v>0</v>
      </c>
      <c r="S54">
        <f>SUMIFS('Besi Balok'!$AA$23:$AA$12292,'Besi Balok'!$A$23:$A$12292,$A54,'Besi Balok'!$B$23:$B$12292,$B54,'Besi Balok'!$F$23:$F$12292,'REKAP Balok'!S$12)</f>
        <v>0</v>
      </c>
      <c r="T54">
        <f>SUMIFS('Besi Balok'!$AA$23:$AA$12292,'Besi Balok'!$A$23:$A$12292,$A54,'Besi Balok'!$B$23:$B$12292,$B54,'Besi Balok'!$F$23:$F$12292,'REKAP Balok'!T$12)</f>
        <v>0</v>
      </c>
      <c r="U54">
        <f>SUM(L54:T54)</f>
        <v>101.22939864</v>
      </c>
      <c r="V54">
        <f>(D54*(F54-H54)*G54*K54)/1000000000</f>
        <v>0.483</v>
      </c>
      <c r="X54">
        <f>((F54-H54)*2*(G54)*K54)/1000000</f>
        <v>3.22</v>
      </c>
      <c r="Y54">
        <f>K54*(D54+2*$F$5)*G54*$F$7/1000000000</f>
        <v>0.115</v>
      </c>
      <c r="Z54">
        <f>K54*(D54+2*$F$5+2*$F$6)*($F$4-J54+($F$7+$F$8)/1000)*G54/1000000</f>
        <v>2.783</v>
      </c>
      <c r="AC54">
        <f>(D54+2*$F$5)*F54*G54/1000000000</f>
        <v>1.15</v>
      </c>
    </row>
    <row r="55">
      <c r="A55" t="str">
        <f>'Data Panjang Balok'!A51</f>
        <v>Sloof</v>
      </c>
      <c r="B55">
        <f>'Data Panjang Balok'!B51</f>
        <v>37</v>
      </c>
      <c r="C55" t="str">
        <f>'Data Panjang Balok'!D51</f>
        <v>TB36-1</v>
      </c>
      <c r="D55">
        <f>IF(C55&gt;0,VLOOKUP(C55,'Detail Balok'!$C$11:$AU$110,2,FALSE),0)</f>
        <v>300</v>
      </c>
      <c r="E55" t="str">
        <v>x</v>
      </c>
      <c r="F55">
        <f>IF(C55&gt;0,VLOOKUP(C55,'Detail Balok'!$C$11:$AU$110,3,FALSE),0)</f>
        <v>600</v>
      </c>
      <c r="G55">
        <f>'Data Panjang Balok'!I51</f>
        <v>6500</v>
      </c>
      <c r="H55">
        <f>'Data Panjang Balok'!J51</f>
        <v>150</v>
      </c>
      <c r="J55">
        <f>I55-F55/1000</f>
        <v>-0.6</v>
      </c>
      <c r="K55">
        <f>'Data Panjang Balok'!E51</f>
        <v>1</v>
      </c>
      <c r="L55">
        <f>SUMIFS('Besi Balok'!$AA$23:$AA$12292,'Besi Balok'!$A$23:$A$12292,$A55,'Besi Balok'!$B$23:$B$12292,$B55,'Besi Balok'!$F$23:$F$12292,'REKAP Balok'!L$12)</f>
        <v>0</v>
      </c>
      <c r="M55">
        <f>SUMIFS('Besi Balok'!$AA$23:$AA$12292,'Besi Balok'!$A$23:$A$12292,$A55,'Besi Balok'!$B$23:$B$12292,$B55,'Besi Balok'!$F$23:$F$12292,'REKAP Balok'!M$12)</f>
        <v>0</v>
      </c>
      <c r="N55">
        <f>SUMIFS('Besi Balok'!$AA$23:$AA$12292,'Besi Balok'!$A$23:$A$12292,$A55,'Besi Balok'!$B$23:$B$12292,$B55,'Besi Balok'!$F$23:$F$12292,'REKAP Balok'!N$12)</f>
        <v>44.48664000000001</v>
      </c>
      <c r="O55">
        <f>SUMIFS('Besi Balok'!$AA$23:$AA$12292,'Besi Balok'!$A$23:$A$12292,$A55,'Besi Balok'!$B$23:$B$12292,$B55,'Besi Balok'!$F$23:$F$12292,'REKAP Balok'!O$12)</f>
        <v>0</v>
      </c>
      <c r="P55">
        <f>SUMIFS('Besi Balok'!$AA$23:$AA$12292,'Besi Balok'!$A$23:$A$12292,$A55,'Besi Balok'!$B$23:$B$12292,$B55,'Besi Balok'!$F$23:$F$12292,'REKAP Balok'!P$12)</f>
        <v>0</v>
      </c>
      <c r="Q55">
        <f>SUMIFS('Besi Balok'!$AA$23:$AA$12292,'Besi Balok'!$A$23:$A$12292,$A55,'Besi Balok'!$B$23:$B$12292,$B55,'Besi Balok'!$F$23:$F$12292,'REKAP Balok'!Q$12)</f>
        <v>138.12301503</v>
      </c>
      <c r="R55">
        <f>SUMIFS('Besi Balok'!$AA$23:$AA$12292,'Besi Balok'!$A$23:$A$12292,$A55,'Besi Balok'!$B$23:$B$12292,$B55,'Besi Balok'!$F$23:$F$12292,'REKAP Balok'!R$12)</f>
        <v>0</v>
      </c>
      <c r="S55">
        <f>SUMIFS('Besi Balok'!$AA$23:$AA$12292,'Besi Balok'!$A$23:$A$12292,$A55,'Besi Balok'!$B$23:$B$12292,$B55,'Besi Balok'!$F$23:$F$12292,'REKAP Balok'!S$12)</f>
        <v>0</v>
      </c>
      <c r="T55">
        <f>SUMIFS('Besi Balok'!$AA$23:$AA$12292,'Besi Balok'!$A$23:$A$12292,$A55,'Besi Balok'!$B$23:$B$12292,$B55,'Besi Balok'!$F$23:$F$12292,'REKAP Balok'!T$12)</f>
        <v>0</v>
      </c>
      <c r="U55">
        <f>SUM(L55:T55)</f>
        <v>182.60965503</v>
      </c>
      <c r="V55">
        <f>(D55*(F55-H55)*G55*K55)/1000000000</f>
        <v>0.8775</v>
      </c>
      <c r="X55">
        <f>((F55-H55)*2*(G55)*K55)/1000000</f>
        <v>5.85</v>
      </c>
      <c r="Y55">
        <f>K55*(D55+2*$F$5)*G55*$F$7/1000000000</f>
        <v>0.1625</v>
      </c>
      <c r="Z55">
        <f>K55*(D55+2*$F$5+2*$F$6)*($F$4-J55+($F$7+$F$8)/1000)*G55/1000000</f>
        <v>4.6475</v>
      </c>
      <c r="AC55">
        <f>(D55+2*$F$5)*F55*G55/1000000000</f>
        <v>1.95</v>
      </c>
    </row>
    <row r="56">
      <c r="A56" t="str">
        <f>'Data Panjang Balok'!A52</f>
        <v>Sloof</v>
      </c>
      <c r="B56" t="str">
        <f>'Data Panjang Balok'!B52</f>
        <v>37A</v>
      </c>
      <c r="C56" t="str">
        <f>'Data Panjang Balok'!D52</f>
        <v>TB245-1</v>
      </c>
      <c r="D56">
        <f>IF(C56&gt;0,VLOOKUP(C56,'Detail Balok'!$C$11:$AU$110,2,FALSE),0)</f>
        <v>200</v>
      </c>
      <c r="E56" t="str">
        <v>x</v>
      </c>
      <c r="F56">
        <f>IF(C56&gt;0,VLOOKUP(C56,'Detail Balok'!$C$11:$AU$110,3,FALSE),0)</f>
        <v>450</v>
      </c>
      <c r="G56">
        <f>'Data Panjang Balok'!I52</f>
        <v>7415</v>
      </c>
      <c r="H56">
        <f>'Data Panjang Balok'!J52</f>
        <v>0</v>
      </c>
      <c r="J56">
        <f>I56-F56/1000</f>
        <v>-0.45</v>
      </c>
      <c r="K56">
        <f>'Data Panjang Balok'!E52</f>
        <v>1</v>
      </c>
      <c r="L56">
        <f>SUMIFS('Besi Balok'!$AA$23:$AA$12292,'Besi Balok'!$A$23:$A$12292,$A56,'Besi Balok'!$B$23:$B$12292,$B56,'Besi Balok'!$F$23:$F$12292,'REKAP Balok'!L$12)</f>
        <v>0</v>
      </c>
      <c r="M56">
        <f>SUMIFS('Besi Balok'!$AA$23:$AA$12292,'Besi Balok'!$A$23:$A$12292,$A56,'Besi Balok'!$B$23:$B$12292,$B56,'Besi Balok'!$F$23:$F$12292,'REKAP Balok'!M$12)</f>
        <v>23.391095040000003</v>
      </c>
      <c r="N56">
        <f>SUMIFS('Besi Balok'!$AA$23:$AA$12292,'Besi Balok'!$A$23:$A$12292,$A56,'Besi Balok'!$B$23:$B$12292,$B56,'Besi Balok'!$F$23:$F$12292,'REKAP Balok'!N$12)</f>
        <v>0</v>
      </c>
      <c r="O56">
        <f>SUMIFS('Besi Balok'!$AA$23:$AA$12292,'Besi Balok'!$A$23:$A$12292,$A56,'Besi Balok'!$B$23:$B$12292,$B56,'Besi Balok'!$F$23:$F$12292,'REKAP Balok'!O$12)</f>
        <v>48.30387237</v>
      </c>
      <c r="P56">
        <f>SUMIFS('Besi Balok'!$AA$23:$AA$12292,'Besi Balok'!$A$23:$A$12292,$A56,'Besi Balok'!$B$23:$B$12292,$B56,'Besi Balok'!$F$23:$F$12292,'REKAP Balok'!P$12)</f>
        <v>0</v>
      </c>
      <c r="Q56">
        <f>SUMIFS('Besi Balok'!$AA$23:$AA$12292,'Besi Balok'!$A$23:$A$12292,$A56,'Besi Balok'!$B$23:$B$12292,$B56,'Besi Balok'!$F$23:$F$12292,'REKAP Balok'!Q$12)</f>
        <v>0</v>
      </c>
      <c r="R56">
        <f>SUMIFS('Besi Balok'!$AA$23:$AA$12292,'Besi Balok'!$A$23:$A$12292,$A56,'Besi Balok'!$B$23:$B$12292,$B56,'Besi Balok'!$F$23:$F$12292,'REKAP Balok'!R$12)</f>
        <v>0</v>
      </c>
      <c r="S56">
        <f>SUMIFS('Besi Balok'!$AA$23:$AA$12292,'Besi Balok'!$A$23:$A$12292,$A56,'Besi Balok'!$B$23:$B$12292,$B56,'Besi Balok'!$F$23:$F$12292,'REKAP Balok'!S$12)</f>
        <v>0</v>
      </c>
      <c r="T56">
        <f>SUMIFS('Besi Balok'!$AA$23:$AA$12292,'Besi Balok'!$A$23:$A$12292,$A56,'Besi Balok'!$B$23:$B$12292,$B56,'Besi Balok'!$F$23:$F$12292,'REKAP Balok'!T$12)</f>
        <v>0</v>
      </c>
      <c r="U56">
        <f>SUM(L56:T56)</f>
        <v>71.69496741</v>
      </c>
      <c r="V56">
        <f>(D56*(F56-H56)*G56*K56)/1000000000</f>
        <v>0.66735</v>
      </c>
      <c r="X56">
        <f>((F56-H56)*2*(G56)*K56)/1000000</f>
        <v>6.6735</v>
      </c>
      <c r="Y56">
        <f>K56*(D56+2*$F$5)*G56*$F$7/1000000000</f>
        <v>0.1483</v>
      </c>
      <c r="Z56">
        <f>K56*(D56+2*$F$5+2*$F$6)*($F$4-J56+($F$7+$F$8)/1000)*G56/1000000</f>
        <v>3.7075</v>
      </c>
      <c r="AC56">
        <f>(D56+2*$F$5)*F56*G56/1000000000</f>
        <v>1.3347</v>
      </c>
    </row>
    <row r="57">
      <c r="A57" t="str">
        <f>'Data Panjang Balok'!A53</f>
        <v>Sloof</v>
      </c>
      <c r="B57">
        <f>'Data Panjang Balok'!B53</f>
        <v>38</v>
      </c>
      <c r="C57" t="str">
        <f>'Data Panjang Balok'!D53</f>
        <v>TB25-2</v>
      </c>
      <c r="D57">
        <f>IF(C57&gt;0,VLOOKUP(C57,'Detail Balok'!$C$11:$AU$110,2,FALSE),0)</f>
        <v>200</v>
      </c>
      <c r="E57" t="str">
        <v>x</v>
      </c>
      <c r="F57">
        <f>IF(C57&gt;0,VLOOKUP(C57,'Detail Balok'!$C$11:$AU$110,3,FALSE),0)</f>
        <v>500</v>
      </c>
      <c r="G57">
        <f>'Data Panjang Balok'!I53</f>
        <v>7100</v>
      </c>
      <c r="H57">
        <f>'Data Panjang Balok'!J53</f>
        <v>150</v>
      </c>
      <c r="J57">
        <f>I57-F57/1000</f>
        <v>-0.5</v>
      </c>
      <c r="K57">
        <f>'Data Panjang Balok'!E53</f>
        <v>1</v>
      </c>
      <c r="L57">
        <f>SUMIFS('Besi Balok'!$AA$23:$AA$12292,'Besi Balok'!$A$23:$A$12292,$A57,'Besi Balok'!$B$23:$B$12292,$B57,'Besi Balok'!$F$23:$F$12292,'REKAP Balok'!L$12)</f>
        <v>0</v>
      </c>
      <c r="M57">
        <f>SUMIFS('Besi Balok'!$AA$23:$AA$12292,'Besi Balok'!$A$23:$A$12292,$A57,'Besi Balok'!$B$23:$B$12292,$B57,'Besi Balok'!$F$23:$F$12292,'REKAP Balok'!M$12)</f>
        <v>0</v>
      </c>
      <c r="N57">
        <f>SUMIFS('Besi Balok'!$AA$23:$AA$12292,'Besi Balok'!$A$23:$A$12292,$A57,'Besi Balok'!$B$23:$B$12292,$B57,'Besi Balok'!$F$23:$F$12292,'REKAP Balok'!N$12)</f>
        <v>37.86543</v>
      </c>
      <c r="O57">
        <f>SUMIFS('Besi Balok'!$AA$23:$AA$12292,'Besi Balok'!$A$23:$A$12292,$A57,'Besi Balok'!$B$23:$B$12292,$B57,'Besi Balok'!$F$23:$F$12292,'REKAP Balok'!O$12)</f>
        <v>0</v>
      </c>
      <c r="P57">
        <f>SUMIFS('Besi Balok'!$AA$23:$AA$12292,'Besi Balok'!$A$23:$A$12292,$A57,'Besi Balok'!$B$23:$B$12292,$B57,'Besi Balok'!$F$23:$F$12292,'REKAP Balok'!P$12)</f>
        <v>84.80199167999999</v>
      </c>
      <c r="Q57">
        <f>SUMIFS('Besi Balok'!$AA$23:$AA$12292,'Besi Balok'!$A$23:$A$12292,$A57,'Besi Balok'!$B$23:$B$12292,$B57,'Besi Balok'!$F$23:$F$12292,'REKAP Balok'!Q$12)</f>
        <v>0</v>
      </c>
      <c r="R57">
        <f>SUMIFS('Besi Balok'!$AA$23:$AA$12292,'Besi Balok'!$A$23:$A$12292,$A57,'Besi Balok'!$B$23:$B$12292,$B57,'Besi Balok'!$F$23:$F$12292,'REKAP Balok'!R$12)</f>
        <v>0</v>
      </c>
      <c r="S57">
        <f>SUMIFS('Besi Balok'!$AA$23:$AA$12292,'Besi Balok'!$A$23:$A$12292,$A57,'Besi Balok'!$B$23:$B$12292,$B57,'Besi Balok'!$F$23:$F$12292,'REKAP Balok'!S$12)</f>
        <v>0</v>
      </c>
      <c r="T57">
        <f>SUMIFS('Besi Balok'!$AA$23:$AA$12292,'Besi Balok'!$A$23:$A$12292,$A57,'Besi Balok'!$B$23:$B$12292,$B57,'Besi Balok'!$F$23:$F$12292,'REKAP Balok'!T$12)</f>
        <v>0</v>
      </c>
      <c r="U57">
        <f>SUM(L57:T57)</f>
        <v>122.66742167999999</v>
      </c>
      <c r="V57">
        <f>(D57*(F57-H57)*G57*K57)/1000000000</f>
        <v>0.497</v>
      </c>
      <c r="X57">
        <f>((F57-H57)*2*(G57)*K57)/1000000</f>
        <v>4.97</v>
      </c>
      <c r="Y57">
        <f>K57*(D57+2*$F$5)*G57*$F$7/1000000000</f>
        <v>0.142</v>
      </c>
      <c r="Z57">
        <f>K57*(D57+2*$F$5+2*$F$6)*($F$4-J57+($F$7+$F$8)/1000)*G57/1000000</f>
        <v>3.905</v>
      </c>
      <c r="AC57">
        <f>(D57+2*$F$5)*F57*G57/1000000000</f>
        <v>1.42</v>
      </c>
    </row>
    <row r="58">
      <c r="A58" t="str">
        <f>'Data Panjang Balok'!A54</f>
        <v>Sloof</v>
      </c>
      <c r="B58">
        <f>'Data Panjang Balok'!B54</f>
        <v>39</v>
      </c>
      <c r="C58" t="str">
        <f>'Data Panjang Balok'!D54</f>
        <v>TB35-1</v>
      </c>
      <c r="D58">
        <f>IF(C58&gt;0,VLOOKUP(C58,'Detail Balok'!$C$11:$AU$110,2,FALSE),0)</f>
        <v>300</v>
      </c>
      <c r="E58" t="str">
        <v>x</v>
      </c>
      <c r="F58">
        <f>IF(C58&gt;0,VLOOKUP(C58,'Detail Balok'!$C$11:$AU$110,3,FALSE),0)</f>
        <v>500</v>
      </c>
      <c r="G58">
        <f>'Data Panjang Balok'!I54</f>
        <v>6885</v>
      </c>
      <c r="H58">
        <f>'Data Panjang Balok'!J54</f>
        <v>0</v>
      </c>
      <c r="J58">
        <f>I58-F58/1000</f>
        <v>-0.5</v>
      </c>
      <c r="K58">
        <f>'Data Panjang Balok'!E54</f>
        <v>1</v>
      </c>
      <c r="L58">
        <f>SUMIFS('Besi Balok'!$AA$23:$AA$12292,'Besi Balok'!$A$23:$A$12292,$A58,'Besi Balok'!$B$23:$B$12292,$B58,'Besi Balok'!$F$23:$F$12292,'REKAP Balok'!L$12)</f>
        <v>0</v>
      </c>
      <c r="M58">
        <f>SUMIFS('Besi Balok'!$AA$23:$AA$12292,'Besi Balok'!$A$23:$A$12292,$A58,'Besi Balok'!$B$23:$B$12292,$B58,'Besi Balok'!$F$23:$F$12292,'REKAP Balok'!M$12)</f>
        <v>0</v>
      </c>
      <c r="N58">
        <f>SUMIFS('Besi Balok'!$AA$23:$AA$12292,'Besi Balok'!$A$23:$A$12292,$A58,'Besi Balok'!$B$23:$B$12292,$B58,'Besi Balok'!$F$23:$F$12292,'REKAP Balok'!N$12)</f>
        <v>41.404140000000005</v>
      </c>
      <c r="O58">
        <f>SUMIFS('Besi Balok'!$AA$23:$AA$12292,'Besi Balok'!$A$23:$A$12292,$A58,'Besi Balok'!$B$23:$B$12292,$B58,'Besi Balok'!$F$23:$F$12292,'REKAP Balok'!O$12)</f>
        <v>0</v>
      </c>
      <c r="P58">
        <f>SUMIFS('Besi Balok'!$AA$23:$AA$12292,'Besi Balok'!$A$23:$A$12292,$A58,'Besi Balok'!$B$23:$B$12292,$B58,'Besi Balok'!$F$23:$F$12292,'REKAP Balok'!P$12)</f>
        <v>104.4360864</v>
      </c>
      <c r="Q58">
        <f>SUMIFS('Besi Balok'!$AA$23:$AA$12292,'Besi Balok'!$A$23:$A$12292,$A58,'Besi Balok'!$B$23:$B$12292,$B58,'Besi Balok'!$F$23:$F$12292,'REKAP Balok'!Q$12)</f>
        <v>0</v>
      </c>
      <c r="R58">
        <f>SUMIFS('Besi Balok'!$AA$23:$AA$12292,'Besi Balok'!$A$23:$A$12292,$A58,'Besi Balok'!$B$23:$B$12292,$B58,'Besi Balok'!$F$23:$F$12292,'REKAP Balok'!R$12)</f>
        <v>0</v>
      </c>
      <c r="S58">
        <f>SUMIFS('Besi Balok'!$AA$23:$AA$12292,'Besi Balok'!$A$23:$A$12292,$A58,'Besi Balok'!$B$23:$B$12292,$B58,'Besi Balok'!$F$23:$F$12292,'REKAP Balok'!S$12)</f>
        <v>0</v>
      </c>
      <c r="T58">
        <f>SUMIFS('Besi Balok'!$AA$23:$AA$12292,'Besi Balok'!$A$23:$A$12292,$A58,'Besi Balok'!$B$23:$B$12292,$B58,'Besi Balok'!$F$23:$F$12292,'REKAP Balok'!T$12)</f>
        <v>0</v>
      </c>
      <c r="U58">
        <f>SUM(L58:T58)</f>
        <v>145.8402264</v>
      </c>
      <c r="V58">
        <f>(D58*(F58-H58)*G58*K58)/1000000000</f>
        <v>1.03275</v>
      </c>
      <c r="X58">
        <f>((F58-H58)*2*(G58)*K58)/1000000</f>
        <v>6.885</v>
      </c>
      <c r="Y58">
        <f>K58*(D58+2*$F$5)*G58*$F$7/1000000000</f>
        <v>0.172125</v>
      </c>
      <c r="Z58">
        <f>K58*(D58+2*$F$5+2*$F$6)*($F$4-J58+($F$7+$F$8)/1000)*G58/1000000</f>
        <v>4.165425</v>
      </c>
      <c r="AC58">
        <f>(D58+2*$F$5)*F58*G58/1000000000</f>
        <v>1.72125</v>
      </c>
    </row>
    <row r="59">
      <c r="A59" t="str">
        <f>'Data Panjang Balok'!A55</f>
        <v>Sloof</v>
      </c>
      <c r="B59" t="str">
        <f>'Data Panjang Balok'!B55</f>
        <v>39A</v>
      </c>
      <c r="C59" t="str">
        <f>'Data Panjang Balok'!D55</f>
        <v>TB23-1</v>
      </c>
      <c r="D59">
        <f>IF(C59&gt;0,VLOOKUP(C59,'Detail Balok'!$C$11:$AU$110,2,FALSE),0)</f>
        <v>200</v>
      </c>
      <c r="E59" t="str">
        <v>x</v>
      </c>
      <c r="F59">
        <f>IF(C59&gt;0,VLOOKUP(C59,'Detail Balok'!$C$11:$AU$110,3,FALSE),0)</f>
        <v>300</v>
      </c>
      <c r="G59">
        <f>'Data Panjang Balok'!I55</f>
        <v>1770</v>
      </c>
      <c r="H59">
        <f>'Data Panjang Balok'!J55</f>
        <v>0</v>
      </c>
      <c r="J59">
        <f>I59-F59/1000</f>
        <v>-0.3</v>
      </c>
      <c r="K59">
        <f>'Data Panjang Balok'!E55</f>
        <v>1</v>
      </c>
      <c r="L59">
        <f>SUMIFS('Besi Balok'!$AA$23:$AA$12292,'Besi Balok'!$A$23:$A$12292,$A59,'Besi Balok'!$B$23:$B$12292,$B59,'Besi Balok'!$F$23:$F$12292,'REKAP Balok'!L$12)</f>
        <v>0</v>
      </c>
      <c r="M59">
        <f>SUMIFS('Besi Balok'!$AA$23:$AA$12292,'Besi Balok'!$A$23:$A$12292,$A59,'Besi Balok'!$B$23:$B$12292,$B59,'Besi Balok'!$F$23:$F$12292,'REKAP Balok'!M$12)</f>
        <v>4.584787200000001</v>
      </c>
      <c r="N59">
        <f>SUMIFS('Besi Balok'!$AA$23:$AA$12292,'Besi Balok'!$A$23:$A$12292,$A59,'Besi Balok'!$B$23:$B$12292,$B59,'Besi Balok'!$F$23:$F$12292,'REKAP Balok'!N$12)</f>
        <v>0</v>
      </c>
      <c r="O59">
        <f>SUMIFS('Besi Balok'!$AA$23:$AA$12292,'Besi Balok'!$A$23:$A$12292,$A59,'Besi Balok'!$B$23:$B$12292,$B59,'Besi Balok'!$F$23:$F$12292,'REKAP Balok'!O$12)</f>
        <v>8.676818279999999</v>
      </c>
      <c r="P59">
        <f>SUMIFS('Besi Balok'!$AA$23:$AA$12292,'Besi Balok'!$A$23:$A$12292,$A59,'Besi Balok'!$B$23:$B$12292,$B59,'Besi Balok'!$F$23:$F$12292,'REKAP Balok'!P$12)</f>
        <v>0</v>
      </c>
      <c r="Q59">
        <f>SUMIFS('Besi Balok'!$AA$23:$AA$12292,'Besi Balok'!$A$23:$A$12292,$A59,'Besi Balok'!$B$23:$B$12292,$B59,'Besi Balok'!$F$23:$F$12292,'REKAP Balok'!Q$12)</f>
        <v>0</v>
      </c>
      <c r="R59">
        <f>SUMIFS('Besi Balok'!$AA$23:$AA$12292,'Besi Balok'!$A$23:$A$12292,$A59,'Besi Balok'!$B$23:$B$12292,$B59,'Besi Balok'!$F$23:$F$12292,'REKAP Balok'!R$12)</f>
        <v>0</v>
      </c>
      <c r="S59">
        <f>SUMIFS('Besi Balok'!$AA$23:$AA$12292,'Besi Balok'!$A$23:$A$12292,$A59,'Besi Balok'!$B$23:$B$12292,$B59,'Besi Balok'!$F$23:$F$12292,'REKAP Balok'!S$12)</f>
        <v>0</v>
      </c>
      <c r="T59">
        <f>SUMIFS('Besi Balok'!$AA$23:$AA$12292,'Besi Balok'!$A$23:$A$12292,$A59,'Besi Balok'!$B$23:$B$12292,$B59,'Besi Balok'!$F$23:$F$12292,'REKAP Balok'!T$12)</f>
        <v>0</v>
      </c>
      <c r="U59">
        <f>SUM(L59:T59)</f>
        <v>13.26160548</v>
      </c>
      <c r="V59">
        <f>(D59*(F59-H59)*G59*K59)/1000000000</f>
        <v>0.1062</v>
      </c>
      <c r="X59">
        <f>((F59-H59)*2*(G59)*K59)/1000000</f>
        <v>1.062</v>
      </c>
      <c r="Y59">
        <f>K59*(D59+2*$F$5)*G59*$F$7/1000000000</f>
        <v>0.0354</v>
      </c>
      <c r="Z59">
        <f>K59*(D59+2*$F$5+2*$F$6)*($F$4-J59+($F$7+$F$8)/1000)*G59/1000000</f>
        <v>0.6195</v>
      </c>
      <c r="AC59">
        <f>(D59+2*$F$5)*F59*G59/1000000000</f>
        <v>0.2124</v>
      </c>
    </row>
    <row r="60">
      <c r="A60" t="str">
        <f>'Data Panjang Balok'!A56</f>
        <v>Sloof</v>
      </c>
      <c r="B60">
        <f>'Data Panjang Balok'!B56</f>
        <v>40</v>
      </c>
      <c r="C60" t="str">
        <f>'Data Panjang Balok'!D56</f>
        <v>TB245-1</v>
      </c>
      <c r="D60">
        <f>IF(C60&gt;0,VLOOKUP(C60,'Detail Balok'!$C$11:$AU$110,2,FALSE),0)</f>
        <v>200</v>
      </c>
      <c r="E60" t="str">
        <v>x</v>
      </c>
      <c r="F60">
        <f>IF(C60&gt;0,VLOOKUP(C60,'Detail Balok'!$C$11:$AU$110,3,FALSE),0)</f>
        <v>450</v>
      </c>
      <c r="G60">
        <f>'Data Panjang Balok'!I56</f>
        <v>2660</v>
      </c>
      <c r="H60">
        <f>'Data Panjang Balok'!J56</f>
        <v>0</v>
      </c>
      <c r="J60">
        <f>I60-F60/1000</f>
        <v>-0.45</v>
      </c>
      <c r="K60">
        <f>'Data Panjang Balok'!E56</f>
        <v>1</v>
      </c>
      <c r="L60">
        <f>SUMIFS('Besi Balok'!$AA$23:$AA$12292,'Besi Balok'!$A$23:$A$12292,$A60,'Besi Balok'!$B$23:$B$12292,$B60,'Besi Balok'!$F$23:$F$12292,'REKAP Balok'!L$12)</f>
        <v>0</v>
      </c>
      <c r="M60">
        <f>SUMIFS('Besi Balok'!$AA$23:$AA$12292,'Besi Balok'!$A$23:$A$12292,$A60,'Besi Balok'!$B$23:$B$12292,$B60,'Besi Balok'!$F$23:$F$12292,'REKAP Balok'!M$12)</f>
        <v>9.38421504</v>
      </c>
      <c r="N60">
        <f>SUMIFS('Besi Balok'!$AA$23:$AA$12292,'Besi Balok'!$A$23:$A$12292,$A60,'Besi Balok'!$B$23:$B$12292,$B60,'Besi Balok'!$F$23:$F$12292,'REKAP Balok'!N$12)</f>
        <v>0</v>
      </c>
      <c r="O60">
        <f>SUMIFS('Besi Balok'!$AA$23:$AA$12292,'Besi Balok'!$A$23:$A$12292,$A60,'Besi Balok'!$B$23:$B$12292,$B60,'Besi Balok'!$F$23:$F$12292,'REKAP Balok'!O$12)</f>
        <v>18.578893320000002</v>
      </c>
      <c r="P60">
        <f>SUMIFS('Besi Balok'!$AA$23:$AA$12292,'Besi Balok'!$A$23:$A$12292,$A60,'Besi Balok'!$B$23:$B$12292,$B60,'Besi Balok'!$F$23:$F$12292,'REKAP Balok'!P$12)</f>
        <v>0</v>
      </c>
      <c r="Q60">
        <f>SUMIFS('Besi Balok'!$AA$23:$AA$12292,'Besi Balok'!$A$23:$A$12292,$A60,'Besi Balok'!$B$23:$B$12292,$B60,'Besi Balok'!$F$23:$F$12292,'REKAP Balok'!Q$12)</f>
        <v>0</v>
      </c>
      <c r="R60">
        <f>SUMIFS('Besi Balok'!$AA$23:$AA$12292,'Besi Balok'!$A$23:$A$12292,$A60,'Besi Balok'!$B$23:$B$12292,$B60,'Besi Balok'!$F$23:$F$12292,'REKAP Balok'!R$12)</f>
        <v>0</v>
      </c>
      <c r="S60">
        <f>SUMIFS('Besi Balok'!$AA$23:$AA$12292,'Besi Balok'!$A$23:$A$12292,$A60,'Besi Balok'!$B$23:$B$12292,$B60,'Besi Balok'!$F$23:$F$12292,'REKAP Balok'!S$12)</f>
        <v>0</v>
      </c>
      <c r="T60">
        <f>SUMIFS('Besi Balok'!$AA$23:$AA$12292,'Besi Balok'!$A$23:$A$12292,$A60,'Besi Balok'!$B$23:$B$12292,$B60,'Besi Balok'!$F$23:$F$12292,'REKAP Balok'!T$12)</f>
        <v>0</v>
      </c>
      <c r="U60">
        <f>SUM(L60:T60)</f>
        <v>27.963108360000003</v>
      </c>
      <c r="V60">
        <f>(D60*(F60-H60)*G60*K60)/1000000000</f>
        <v>0.2394</v>
      </c>
      <c r="X60">
        <f>((F60-H60)*2*(G60)*K60)/1000000</f>
        <v>2.394</v>
      </c>
      <c r="Y60">
        <f>K60*(D60+2*$F$5)*G60*$F$7/1000000000</f>
        <v>0.0532</v>
      </c>
      <c r="Z60">
        <f>K60*(D60+2*$F$5+2*$F$6)*($F$4-J60+($F$7+$F$8)/1000)*G60/1000000</f>
        <v>1.33</v>
      </c>
      <c r="AC60">
        <f>(D60+2*$F$5)*F60*G60/1000000000</f>
        <v>0.4788</v>
      </c>
    </row>
    <row r="61">
      <c r="A61" t="str">
        <f>'Data Panjang Balok'!A57</f>
        <v>Sloof</v>
      </c>
      <c r="B61">
        <f>'Data Panjang Balok'!B57</f>
        <v>41</v>
      </c>
      <c r="C61" t="str">
        <f>'Data Panjang Balok'!D57</f>
        <v>TB245-2</v>
      </c>
      <c r="D61">
        <f>IF(C61&gt;0,VLOOKUP(C61,'Detail Balok'!$C$11:$AU$110,2,FALSE),0)</f>
        <v>200</v>
      </c>
      <c r="E61" t="str">
        <v>x</v>
      </c>
      <c r="F61">
        <f>IF(C61&gt;0,VLOOKUP(C61,'Detail Balok'!$C$11:$AU$110,3,FALSE),0)</f>
        <v>450</v>
      </c>
      <c r="G61">
        <f>'Data Panjang Balok'!I57</f>
        <v>7220</v>
      </c>
      <c r="H61">
        <f>'Data Panjang Balok'!J57</f>
        <v>0</v>
      </c>
      <c r="J61">
        <f>I61-F61/1000</f>
        <v>-0.45</v>
      </c>
      <c r="K61">
        <f>'Data Panjang Balok'!E57</f>
        <v>1</v>
      </c>
      <c r="L61">
        <f>SUMIFS('Besi Balok'!$AA$23:$AA$12292,'Besi Balok'!$A$23:$A$12292,$A61,'Besi Balok'!$B$23:$B$12292,$B61,'Besi Balok'!$F$23:$F$12292,'REKAP Balok'!L$12)</f>
        <v>0</v>
      </c>
      <c r="M61">
        <f>SUMIFS('Besi Balok'!$AA$23:$AA$12292,'Besi Balok'!$A$23:$A$12292,$A61,'Besi Balok'!$B$23:$B$12292,$B61,'Besi Balok'!$F$23:$F$12292,'REKAP Balok'!M$12)</f>
        <v>29.92500864</v>
      </c>
      <c r="N61">
        <f>SUMIFS('Besi Balok'!$AA$23:$AA$12292,'Besi Balok'!$A$23:$A$12292,$A61,'Besi Balok'!$B$23:$B$12292,$B61,'Besi Balok'!$F$23:$F$12292,'REKAP Balok'!N$12)</f>
        <v>0</v>
      </c>
      <c r="O61">
        <f>SUMIFS('Besi Balok'!$AA$23:$AA$12292,'Besi Balok'!$A$23:$A$12292,$A61,'Besi Balok'!$B$23:$B$12292,$B61,'Besi Balok'!$F$23:$F$12292,'REKAP Balok'!O$12)</f>
        <v>56.070083159999996</v>
      </c>
      <c r="P61">
        <f>SUMIFS('Besi Balok'!$AA$23:$AA$12292,'Besi Balok'!$A$23:$A$12292,$A61,'Besi Balok'!$B$23:$B$12292,$B61,'Besi Balok'!$F$23:$F$12292,'REKAP Balok'!P$12)</f>
        <v>0</v>
      </c>
      <c r="Q61">
        <f>SUMIFS('Besi Balok'!$AA$23:$AA$12292,'Besi Balok'!$A$23:$A$12292,$A61,'Besi Balok'!$B$23:$B$12292,$B61,'Besi Balok'!$F$23:$F$12292,'REKAP Balok'!Q$12)</f>
        <v>0</v>
      </c>
      <c r="R61">
        <f>SUMIFS('Besi Balok'!$AA$23:$AA$12292,'Besi Balok'!$A$23:$A$12292,$A61,'Besi Balok'!$B$23:$B$12292,$B61,'Besi Balok'!$F$23:$F$12292,'REKAP Balok'!R$12)</f>
        <v>0</v>
      </c>
      <c r="S61">
        <f>SUMIFS('Besi Balok'!$AA$23:$AA$12292,'Besi Balok'!$A$23:$A$12292,$A61,'Besi Balok'!$B$23:$B$12292,$B61,'Besi Balok'!$F$23:$F$12292,'REKAP Balok'!S$12)</f>
        <v>0</v>
      </c>
      <c r="T61">
        <f>SUMIFS('Besi Balok'!$AA$23:$AA$12292,'Besi Balok'!$A$23:$A$12292,$A61,'Besi Balok'!$B$23:$B$12292,$B61,'Besi Balok'!$F$23:$F$12292,'REKAP Balok'!T$12)</f>
        <v>0</v>
      </c>
      <c r="U61">
        <f>SUM(L61:T61)</f>
        <v>85.9950918</v>
      </c>
      <c r="V61">
        <f>(D61*(F61-H61)*G61*K61)/1000000000</f>
        <v>0.6498</v>
      </c>
      <c r="X61">
        <f>((F61-H61)*2*(G61)*K61)/1000000</f>
        <v>6.498</v>
      </c>
      <c r="Y61">
        <f>K61*(D61+2*$F$5)*G61*$F$7/1000000000</f>
        <v>0.1444</v>
      </c>
      <c r="Z61">
        <f>K61*(D61+2*$F$5+2*$F$6)*($F$4-J61+($F$7+$F$8)/1000)*G61/1000000</f>
        <v>3.61</v>
      </c>
      <c r="AC61">
        <f>(D61+2*$F$5)*F61*G61/1000000000</f>
        <v>1.2996</v>
      </c>
    </row>
    <row r="62">
      <c r="A62" t="str">
        <f>'Data Panjang Balok'!A58</f>
        <v>Sloof</v>
      </c>
      <c r="B62">
        <f>'Data Panjang Balok'!B58</f>
        <v>42</v>
      </c>
      <c r="C62" t="str">
        <f>'Data Panjang Balok'!D58</f>
        <v>TB24-1</v>
      </c>
      <c r="D62">
        <f>IF(C62&gt;0,VLOOKUP(C62,'Detail Balok'!$C$11:$AU$110,2,FALSE),0)</f>
        <v>200</v>
      </c>
      <c r="E62" t="str">
        <v>x</v>
      </c>
      <c r="F62">
        <f>IF(C62&gt;0,VLOOKUP(C62,'Detail Balok'!$C$11:$AU$110,3,FALSE),0)</f>
        <v>400</v>
      </c>
      <c r="G62">
        <f>'Data Panjang Balok'!I58</f>
        <v>1855</v>
      </c>
      <c r="H62">
        <f>'Data Panjang Balok'!J58</f>
        <v>0</v>
      </c>
      <c r="J62">
        <f>I62-F62/1000</f>
        <v>-0.4</v>
      </c>
      <c r="K62">
        <f>'Data Panjang Balok'!E58</f>
        <v>1</v>
      </c>
      <c r="L62">
        <f>SUMIFS('Besi Balok'!$AA$23:$AA$12292,'Besi Balok'!$A$23:$A$12292,$A62,'Besi Balok'!$B$23:$B$12292,$B62,'Besi Balok'!$F$23:$F$12292,'REKAP Balok'!L$12)</f>
        <v>0</v>
      </c>
      <c r="M62">
        <f>SUMIFS('Besi Balok'!$AA$23:$AA$12292,'Besi Balok'!$A$23:$A$12292,$A62,'Besi Balok'!$B$23:$B$12292,$B62,'Besi Balok'!$F$23:$F$12292,'REKAP Balok'!M$12)</f>
        <v>4.4703648000000005</v>
      </c>
      <c r="N62">
        <f>SUMIFS('Besi Balok'!$AA$23:$AA$12292,'Besi Balok'!$A$23:$A$12292,$A62,'Besi Balok'!$B$23:$B$12292,$B62,'Besi Balok'!$F$23:$F$12292,'REKAP Balok'!N$12)</f>
        <v>0</v>
      </c>
      <c r="O62">
        <f>SUMIFS('Besi Balok'!$AA$23:$AA$12292,'Besi Balok'!$A$23:$A$12292,$A62,'Besi Balok'!$B$23:$B$12292,$B62,'Besi Balok'!$F$23:$F$12292,'REKAP Balok'!O$12)</f>
        <v>9.031059179999998</v>
      </c>
      <c r="P62">
        <f>SUMIFS('Besi Balok'!$AA$23:$AA$12292,'Besi Balok'!$A$23:$A$12292,$A62,'Besi Balok'!$B$23:$B$12292,$B62,'Besi Balok'!$F$23:$F$12292,'REKAP Balok'!P$12)</f>
        <v>0</v>
      </c>
      <c r="Q62">
        <f>SUMIFS('Besi Balok'!$AA$23:$AA$12292,'Besi Balok'!$A$23:$A$12292,$A62,'Besi Balok'!$B$23:$B$12292,$B62,'Besi Balok'!$F$23:$F$12292,'REKAP Balok'!Q$12)</f>
        <v>0</v>
      </c>
      <c r="R62">
        <f>SUMIFS('Besi Balok'!$AA$23:$AA$12292,'Besi Balok'!$A$23:$A$12292,$A62,'Besi Balok'!$B$23:$B$12292,$B62,'Besi Balok'!$F$23:$F$12292,'REKAP Balok'!R$12)</f>
        <v>0</v>
      </c>
      <c r="S62">
        <f>SUMIFS('Besi Balok'!$AA$23:$AA$12292,'Besi Balok'!$A$23:$A$12292,$A62,'Besi Balok'!$B$23:$B$12292,$B62,'Besi Balok'!$F$23:$F$12292,'REKAP Balok'!S$12)</f>
        <v>0</v>
      </c>
      <c r="T62">
        <f>SUMIFS('Besi Balok'!$AA$23:$AA$12292,'Besi Balok'!$A$23:$A$12292,$A62,'Besi Balok'!$B$23:$B$12292,$B62,'Besi Balok'!$F$23:$F$12292,'REKAP Balok'!T$12)</f>
        <v>0</v>
      </c>
      <c r="U62">
        <f>SUM(L62:T62)</f>
        <v>13.501423979999998</v>
      </c>
      <c r="V62">
        <f>(D62*(F62-H62)*G62*K62)/1000000000</f>
        <v>0.1484</v>
      </c>
      <c r="X62">
        <f>((F62-H62)*2*(G62)*K62)/1000000</f>
        <v>1.484</v>
      </c>
      <c r="Y62">
        <f>K62*(D62+2*$F$5)*G62*$F$7/1000000000</f>
        <v>0.0371</v>
      </c>
      <c r="Z62">
        <f>K62*(D62+2*$F$5+2*$F$6)*($F$4-J62+($F$7+$F$8)/1000)*G62/1000000</f>
        <v>0.83475</v>
      </c>
      <c r="AC62">
        <f>(D62+2*$F$5)*F62*G62/1000000000</f>
        <v>0.2968</v>
      </c>
    </row>
    <row r="63">
      <c r="A63" t="str">
        <f>'Data Panjang Balok'!A59</f>
        <v>Sloof</v>
      </c>
      <c r="B63">
        <f>'Data Panjang Balok'!B59</f>
        <v>43</v>
      </c>
      <c r="C63" t="str">
        <f>'Data Panjang Balok'!D59</f>
        <v>TB25-1</v>
      </c>
      <c r="D63">
        <f>IF(C63&gt;0,VLOOKUP(C63,'Detail Balok'!$C$11:$AU$110,2,FALSE),0)</f>
        <v>200</v>
      </c>
      <c r="E63" t="str">
        <v>x</v>
      </c>
      <c r="F63">
        <f>IF(C63&gt;0,VLOOKUP(C63,'Detail Balok'!$C$11:$AU$110,3,FALSE),0)</f>
        <v>500</v>
      </c>
      <c r="G63">
        <f>'Data Panjang Balok'!I59</f>
        <v>6200</v>
      </c>
      <c r="H63">
        <f>'Data Panjang Balok'!J59</f>
        <v>0</v>
      </c>
      <c r="J63">
        <f>I63-F63/1000</f>
        <v>-0.5</v>
      </c>
      <c r="K63">
        <f>'Data Panjang Balok'!E59</f>
        <v>1</v>
      </c>
      <c r="L63">
        <f>SUMIFS('Besi Balok'!$AA$23:$AA$12292,'Besi Balok'!$A$23:$A$12292,$A63,'Besi Balok'!$B$23:$B$12292,$B63,'Besi Balok'!$F$23:$F$12292,'REKAP Balok'!L$12)</f>
        <v>0</v>
      </c>
      <c r="M63">
        <f>SUMIFS('Besi Balok'!$AA$23:$AA$12292,'Besi Balok'!$A$23:$A$12292,$A63,'Besi Balok'!$B$23:$B$12292,$B63,'Besi Balok'!$F$23:$F$12292,'REKAP Balok'!M$12)</f>
        <v>0</v>
      </c>
      <c r="N63">
        <f>SUMIFS('Besi Balok'!$AA$23:$AA$12292,'Besi Balok'!$A$23:$A$12292,$A63,'Besi Balok'!$B$23:$B$12292,$B63,'Besi Balok'!$F$23:$F$12292,'REKAP Balok'!N$12)</f>
        <v>33.722550000000005</v>
      </c>
      <c r="O63">
        <f>SUMIFS('Besi Balok'!$AA$23:$AA$12292,'Besi Balok'!$A$23:$A$12292,$A63,'Besi Balok'!$B$23:$B$12292,$B63,'Besi Balok'!$F$23:$F$12292,'REKAP Balok'!O$12)</f>
        <v>0</v>
      </c>
      <c r="P63">
        <f>SUMIFS('Besi Balok'!$AA$23:$AA$12292,'Besi Balok'!$A$23:$A$12292,$A63,'Besi Balok'!$B$23:$B$12292,$B63,'Besi Balok'!$F$23:$F$12292,'REKAP Balok'!P$12)</f>
        <v>62.34679296000001</v>
      </c>
      <c r="Q63">
        <f>SUMIFS('Besi Balok'!$AA$23:$AA$12292,'Besi Balok'!$A$23:$A$12292,$A63,'Besi Balok'!$B$23:$B$12292,$B63,'Besi Balok'!$F$23:$F$12292,'REKAP Balok'!Q$12)</f>
        <v>0</v>
      </c>
      <c r="R63">
        <f>SUMIFS('Besi Balok'!$AA$23:$AA$12292,'Besi Balok'!$A$23:$A$12292,$A63,'Besi Balok'!$B$23:$B$12292,$B63,'Besi Balok'!$F$23:$F$12292,'REKAP Balok'!R$12)</f>
        <v>0</v>
      </c>
      <c r="S63">
        <f>SUMIFS('Besi Balok'!$AA$23:$AA$12292,'Besi Balok'!$A$23:$A$12292,$A63,'Besi Balok'!$B$23:$B$12292,$B63,'Besi Balok'!$F$23:$F$12292,'REKAP Balok'!S$12)</f>
        <v>0</v>
      </c>
      <c r="T63">
        <f>SUMIFS('Besi Balok'!$AA$23:$AA$12292,'Besi Balok'!$A$23:$A$12292,$A63,'Besi Balok'!$B$23:$B$12292,$B63,'Besi Balok'!$F$23:$F$12292,'REKAP Balok'!T$12)</f>
        <v>0</v>
      </c>
      <c r="U63">
        <f>SUM(L63:T63)</f>
        <v>96.06934296000001</v>
      </c>
      <c r="V63">
        <f>(D63*(F63-H63)*G63*K63)/1000000000</f>
        <v>0.62</v>
      </c>
      <c r="X63">
        <f>((F63-H63)*2*(G63)*K63)/1000000</f>
        <v>6.2</v>
      </c>
      <c r="Y63">
        <f>K63*(D63+2*$F$5)*G63*$F$7/1000000000</f>
        <v>0.124</v>
      </c>
      <c r="Z63">
        <f>K63*(D63+2*$F$5+2*$F$6)*($F$4-J63+($F$7+$F$8)/1000)*G63/1000000</f>
        <v>3.41</v>
      </c>
      <c r="AC63">
        <f>(D63+2*$F$5)*F63*G63/1000000000</f>
        <v>1.24</v>
      </c>
    </row>
    <row r="64">
      <c r="A64" t="str">
        <f>'Data Panjang Balok'!A60</f>
        <v>Sloof</v>
      </c>
      <c r="B64">
        <f>'Data Panjang Balok'!B60</f>
        <v>44</v>
      </c>
      <c r="C64" t="str">
        <f>'Data Panjang Balok'!D60</f>
        <v>TB25-1</v>
      </c>
      <c r="D64">
        <f>IF(C64&gt;0,VLOOKUP(C64,'Detail Balok'!$C$11:$AU$110,2,FALSE),0)</f>
        <v>200</v>
      </c>
      <c r="E64" t="str">
        <v>x</v>
      </c>
      <c r="F64">
        <f>IF(C64&gt;0,VLOOKUP(C64,'Detail Balok'!$C$11:$AU$110,3,FALSE),0)</f>
        <v>500</v>
      </c>
      <c r="G64">
        <f>'Data Panjang Balok'!I60</f>
        <v>6200</v>
      </c>
      <c r="H64">
        <f>'Data Panjang Balok'!J60</f>
        <v>0</v>
      </c>
      <c r="J64">
        <f>I64-F64/1000</f>
        <v>-0.5</v>
      </c>
      <c r="K64">
        <f>'Data Panjang Balok'!E60</f>
        <v>1</v>
      </c>
      <c r="L64">
        <f>SUMIFS('Besi Balok'!$AA$23:$AA$12292,'Besi Balok'!$A$23:$A$12292,$A64,'Besi Balok'!$B$23:$B$12292,$B64,'Besi Balok'!$F$23:$F$12292,'REKAP Balok'!L$12)</f>
        <v>0</v>
      </c>
      <c r="M64">
        <f>SUMIFS('Besi Balok'!$AA$23:$AA$12292,'Besi Balok'!$A$23:$A$12292,$A64,'Besi Balok'!$B$23:$B$12292,$B64,'Besi Balok'!$F$23:$F$12292,'REKAP Balok'!M$12)</f>
        <v>0</v>
      </c>
      <c r="N64">
        <f>SUMIFS('Besi Balok'!$AA$23:$AA$12292,'Besi Balok'!$A$23:$A$12292,$A64,'Besi Balok'!$B$23:$B$12292,$B64,'Besi Balok'!$F$23:$F$12292,'REKAP Balok'!N$12)</f>
        <v>33.722550000000005</v>
      </c>
      <c r="O64">
        <f>SUMIFS('Besi Balok'!$AA$23:$AA$12292,'Besi Balok'!$A$23:$A$12292,$A64,'Besi Balok'!$B$23:$B$12292,$B64,'Besi Balok'!$F$23:$F$12292,'REKAP Balok'!O$12)</f>
        <v>0</v>
      </c>
      <c r="P64">
        <f>SUMIFS('Besi Balok'!$AA$23:$AA$12292,'Besi Balok'!$A$23:$A$12292,$A64,'Besi Balok'!$B$23:$B$12292,$B64,'Besi Balok'!$F$23:$F$12292,'REKAP Balok'!P$12)</f>
        <v>62.34679296000001</v>
      </c>
      <c r="Q64">
        <f>SUMIFS('Besi Balok'!$AA$23:$AA$12292,'Besi Balok'!$A$23:$A$12292,$A64,'Besi Balok'!$B$23:$B$12292,$B64,'Besi Balok'!$F$23:$F$12292,'REKAP Balok'!Q$12)</f>
        <v>0</v>
      </c>
      <c r="R64">
        <f>SUMIFS('Besi Balok'!$AA$23:$AA$12292,'Besi Balok'!$A$23:$A$12292,$A64,'Besi Balok'!$B$23:$B$12292,$B64,'Besi Balok'!$F$23:$F$12292,'REKAP Balok'!R$12)</f>
        <v>0</v>
      </c>
      <c r="S64">
        <f>SUMIFS('Besi Balok'!$AA$23:$AA$12292,'Besi Balok'!$A$23:$A$12292,$A64,'Besi Balok'!$B$23:$B$12292,$B64,'Besi Balok'!$F$23:$F$12292,'REKAP Balok'!S$12)</f>
        <v>0</v>
      </c>
      <c r="T64">
        <f>SUMIFS('Besi Balok'!$AA$23:$AA$12292,'Besi Balok'!$A$23:$A$12292,$A64,'Besi Balok'!$B$23:$B$12292,$B64,'Besi Balok'!$F$23:$F$12292,'REKAP Balok'!T$12)</f>
        <v>0</v>
      </c>
      <c r="U64">
        <f>SUM(L64:T64)</f>
        <v>96.06934296000001</v>
      </c>
      <c r="V64">
        <f>(D64*(F64-H64)*G64*K64)/1000000000</f>
        <v>0.62</v>
      </c>
      <c r="X64">
        <f>((F64-H64)*2*(G64)*K64)/1000000</f>
        <v>6.2</v>
      </c>
      <c r="Y64">
        <f>K64*(D64+2*$F$5)*G64*$F$7/1000000000</f>
        <v>0.124</v>
      </c>
      <c r="Z64">
        <f>K64*(D64+2*$F$5+2*$F$6)*($F$4-J64+($F$7+$F$8)/1000)*G64/1000000</f>
        <v>3.41</v>
      </c>
      <c r="AC64">
        <f>(D64+2*$F$5)*F64*G64/1000000000</f>
        <v>1.24</v>
      </c>
    </row>
    <row r="65">
      <c r="A65" t="str">
        <f>'Data Panjang Balok'!A61</f>
        <v>Sloof</v>
      </c>
      <c r="B65">
        <f>'Data Panjang Balok'!B61</f>
        <v>45</v>
      </c>
      <c r="C65" t="str">
        <f>'Data Panjang Balok'!D61</f>
        <v>TB245-2</v>
      </c>
      <c r="D65">
        <f>IF(C65&gt;0,VLOOKUP(C65,'Detail Balok'!$C$11:$AU$110,2,FALSE),0)</f>
        <v>200</v>
      </c>
      <c r="E65" t="str">
        <v>x</v>
      </c>
      <c r="F65">
        <f>IF(C65&gt;0,VLOOKUP(C65,'Detail Balok'!$C$11:$AU$110,3,FALSE),0)</f>
        <v>450</v>
      </c>
      <c r="G65">
        <f>'Data Panjang Balok'!I61</f>
        <v>7070</v>
      </c>
      <c r="H65">
        <f>'Data Panjang Balok'!J61</f>
        <v>0</v>
      </c>
      <c r="J65">
        <f>I65-F65/1000</f>
        <v>-0.45</v>
      </c>
      <c r="K65">
        <f>'Data Panjang Balok'!E61</f>
        <v>1</v>
      </c>
      <c r="L65">
        <f>SUMIFS('Besi Balok'!$AA$23:$AA$12292,'Besi Balok'!$A$23:$A$12292,$A65,'Besi Balok'!$B$23:$B$12292,$B65,'Besi Balok'!$F$23:$F$12292,'REKAP Balok'!L$12)</f>
        <v>0</v>
      </c>
      <c r="M65">
        <f>SUMIFS('Besi Balok'!$AA$23:$AA$12292,'Besi Balok'!$A$23:$A$12292,$A65,'Besi Balok'!$B$23:$B$12292,$B65,'Besi Balok'!$F$23:$F$12292,'REKAP Balok'!M$12)</f>
        <v>29.806640640000005</v>
      </c>
      <c r="N65">
        <f>SUMIFS('Besi Balok'!$AA$23:$AA$12292,'Besi Balok'!$A$23:$A$12292,$A65,'Besi Balok'!$B$23:$B$12292,$B65,'Besi Balok'!$F$23:$F$12292,'REKAP Balok'!N$12)</f>
        <v>0</v>
      </c>
      <c r="O65">
        <f>SUMIFS('Besi Balok'!$AA$23:$AA$12292,'Besi Balok'!$A$23:$A$12292,$A65,'Besi Balok'!$B$23:$B$12292,$B65,'Besi Balok'!$F$23:$F$12292,'REKAP Balok'!O$12)</f>
        <v>54.97610390999999</v>
      </c>
      <c r="P65">
        <f>SUMIFS('Besi Balok'!$AA$23:$AA$12292,'Besi Balok'!$A$23:$A$12292,$A65,'Besi Balok'!$B$23:$B$12292,$B65,'Besi Balok'!$F$23:$F$12292,'REKAP Balok'!P$12)</f>
        <v>0</v>
      </c>
      <c r="Q65">
        <f>SUMIFS('Besi Balok'!$AA$23:$AA$12292,'Besi Balok'!$A$23:$A$12292,$A65,'Besi Balok'!$B$23:$B$12292,$B65,'Besi Balok'!$F$23:$F$12292,'REKAP Balok'!Q$12)</f>
        <v>0</v>
      </c>
      <c r="R65">
        <f>SUMIFS('Besi Balok'!$AA$23:$AA$12292,'Besi Balok'!$A$23:$A$12292,$A65,'Besi Balok'!$B$23:$B$12292,$B65,'Besi Balok'!$F$23:$F$12292,'REKAP Balok'!R$12)</f>
        <v>0</v>
      </c>
      <c r="S65">
        <f>SUMIFS('Besi Balok'!$AA$23:$AA$12292,'Besi Balok'!$A$23:$A$12292,$A65,'Besi Balok'!$B$23:$B$12292,$B65,'Besi Balok'!$F$23:$F$12292,'REKAP Balok'!S$12)</f>
        <v>0</v>
      </c>
      <c r="T65">
        <f>SUMIFS('Besi Balok'!$AA$23:$AA$12292,'Besi Balok'!$A$23:$A$12292,$A65,'Besi Balok'!$B$23:$B$12292,$B65,'Besi Balok'!$F$23:$F$12292,'REKAP Balok'!T$12)</f>
        <v>0</v>
      </c>
      <c r="U65">
        <f>SUM(L65:T65)</f>
        <v>84.78274454999999</v>
      </c>
      <c r="V65">
        <f>(D65*(F65-H65)*G65*K65)/1000000000</f>
        <v>0.6363</v>
      </c>
      <c r="X65">
        <f>((F65-H65)*2*(G65)*K65)/1000000</f>
        <v>6.363</v>
      </c>
      <c r="Y65">
        <f>K65*(D65+2*$F$5)*G65*$F$7/1000000000</f>
        <v>0.1414</v>
      </c>
      <c r="Z65">
        <f>K65*(D65+2*$F$5+2*$F$6)*($F$4-J65+($F$7+$F$8)/1000)*G65/1000000</f>
        <v>3.535</v>
      </c>
      <c r="AC65">
        <f>(D65+2*$F$5)*F65*G65/1000000000</f>
        <v>1.2726</v>
      </c>
    </row>
    <row r="66">
      <c r="A66" t="str">
        <f>'Data Panjang Balok'!A62</f>
        <v>Sloof</v>
      </c>
      <c r="B66">
        <f>'Data Panjang Balok'!B62</f>
        <v>46</v>
      </c>
      <c r="C66" t="str">
        <f>'Data Panjang Balok'!D62</f>
        <v>TB23-1</v>
      </c>
      <c r="D66">
        <f>IF(C66&gt;0,VLOOKUP(C66,'Detail Balok'!$C$11:$AU$110,2,FALSE),0)</f>
        <v>200</v>
      </c>
      <c r="E66" t="str">
        <v>x</v>
      </c>
      <c r="F66">
        <f>IF(C66&gt;0,VLOOKUP(C66,'Detail Balok'!$C$11:$AU$110,3,FALSE),0)</f>
        <v>300</v>
      </c>
      <c r="G66">
        <f>'Data Panjang Balok'!I62</f>
        <v>3460</v>
      </c>
      <c r="H66">
        <f>'Data Panjang Balok'!J62</f>
        <v>0</v>
      </c>
      <c r="J66">
        <f>I66-F66/1000</f>
        <v>-0.3</v>
      </c>
      <c r="K66">
        <f>'Data Panjang Balok'!E62</f>
        <v>1</v>
      </c>
      <c r="L66">
        <f>SUMIFS('Besi Balok'!$AA$23:$AA$12292,'Besi Balok'!$A$23:$A$12292,$A66,'Besi Balok'!$B$23:$B$12292,$B66,'Besi Balok'!$F$23:$F$12292,'REKAP Balok'!L$12)</f>
        <v>0</v>
      </c>
      <c r="M66">
        <f>SUMIFS('Besi Balok'!$AA$23:$AA$12292,'Besi Balok'!$A$23:$A$12292,$A66,'Besi Balok'!$B$23:$B$12292,$B66,'Besi Balok'!$F$23:$F$12292,'REKAP Balok'!M$12)</f>
        <v>8.5146048</v>
      </c>
      <c r="N66">
        <f>SUMIFS('Besi Balok'!$AA$23:$AA$12292,'Besi Balok'!$A$23:$A$12292,$A66,'Besi Balok'!$B$23:$B$12292,$B66,'Besi Balok'!$F$23:$F$12292,'REKAP Balok'!N$12)</f>
        <v>0</v>
      </c>
      <c r="O66">
        <f>SUMIFS('Besi Balok'!$AA$23:$AA$12292,'Besi Balok'!$A$23:$A$12292,$A66,'Besi Balok'!$B$23:$B$12292,$B66,'Besi Balok'!$F$23:$F$12292,'REKAP Balok'!O$12)</f>
        <v>15.719960879999999</v>
      </c>
      <c r="P66">
        <f>SUMIFS('Besi Balok'!$AA$23:$AA$12292,'Besi Balok'!$A$23:$A$12292,$A66,'Besi Balok'!$B$23:$B$12292,$B66,'Besi Balok'!$F$23:$F$12292,'REKAP Balok'!P$12)</f>
        <v>0</v>
      </c>
      <c r="Q66">
        <f>SUMIFS('Besi Balok'!$AA$23:$AA$12292,'Besi Balok'!$A$23:$A$12292,$A66,'Besi Balok'!$B$23:$B$12292,$B66,'Besi Balok'!$F$23:$F$12292,'REKAP Balok'!Q$12)</f>
        <v>0</v>
      </c>
      <c r="R66">
        <f>SUMIFS('Besi Balok'!$AA$23:$AA$12292,'Besi Balok'!$A$23:$A$12292,$A66,'Besi Balok'!$B$23:$B$12292,$B66,'Besi Balok'!$F$23:$F$12292,'REKAP Balok'!R$12)</f>
        <v>0</v>
      </c>
      <c r="S66">
        <f>SUMIFS('Besi Balok'!$AA$23:$AA$12292,'Besi Balok'!$A$23:$A$12292,$A66,'Besi Balok'!$B$23:$B$12292,$B66,'Besi Balok'!$F$23:$F$12292,'REKAP Balok'!S$12)</f>
        <v>0</v>
      </c>
      <c r="T66">
        <f>SUMIFS('Besi Balok'!$AA$23:$AA$12292,'Besi Balok'!$A$23:$A$12292,$A66,'Besi Balok'!$B$23:$B$12292,$B66,'Besi Balok'!$F$23:$F$12292,'REKAP Balok'!T$12)</f>
        <v>0</v>
      </c>
      <c r="U66">
        <f>SUM(L66:T66)</f>
        <v>24.23456568</v>
      </c>
      <c r="V66">
        <f>(D66*(F66-H66)*G66*K66)/1000000000</f>
        <v>0.2076</v>
      </c>
      <c r="X66">
        <f>((F66-H66)*2*(G66)*K66)/1000000</f>
        <v>2.076</v>
      </c>
      <c r="Y66">
        <f>K66*(D66+2*$F$5)*G66*$F$7/1000000000</f>
        <v>0.0692</v>
      </c>
      <c r="Z66">
        <f>K66*(D66+2*$F$5+2*$F$6)*($F$4-J66+($F$7+$F$8)/1000)*G66/1000000</f>
        <v>1.211</v>
      </c>
      <c r="AC66">
        <f>(D66+2*$F$5)*F66*G66/1000000000</f>
        <v>0.4152</v>
      </c>
    </row>
    <row r="67">
      <c r="A67" t="str">
        <f>'Data Panjang Balok'!A63</f>
        <v>Sloof</v>
      </c>
      <c r="B67">
        <f>'Data Panjang Balok'!B63</f>
        <v>47</v>
      </c>
      <c r="C67" t="str">
        <f>'Data Panjang Balok'!D63</f>
        <v>TB23-1</v>
      </c>
      <c r="D67">
        <f>IF(C67&gt;0,VLOOKUP(C67,'Detail Balok'!$C$11:$AU$110,2,FALSE),0)</f>
        <v>200</v>
      </c>
      <c r="E67" t="str">
        <v>x</v>
      </c>
      <c r="F67">
        <f>IF(C67&gt;0,VLOOKUP(C67,'Detail Balok'!$C$11:$AU$110,3,FALSE),0)</f>
        <v>300</v>
      </c>
      <c r="G67">
        <f>'Data Panjang Balok'!I63</f>
        <v>3730</v>
      </c>
      <c r="H67">
        <f>'Data Panjang Balok'!J63</f>
        <v>0</v>
      </c>
      <c r="J67">
        <f>I67-F67/1000</f>
        <v>-0.3</v>
      </c>
      <c r="K67">
        <f>'Data Panjang Balok'!E63</f>
        <v>1</v>
      </c>
      <c r="L67">
        <f>SUMIFS('Besi Balok'!$AA$23:$AA$12292,'Besi Balok'!$A$23:$A$12292,$A67,'Besi Balok'!$B$23:$B$12292,$B67,'Besi Balok'!$F$23:$F$12292,'REKAP Balok'!L$12)</f>
        <v>0</v>
      </c>
      <c r="M67">
        <f>SUMIFS('Besi Balok'!$AA$23:$AA$12292,'Besi Balok'!$A$23:$A$12292,$A67,'Besi Balok'!$B$23:$B$12292,$B67,'Besi Balok'!$F$23:$F$12292,'REKAP Balok'!M$12)</f>
        <v>8.5146048</v>
      </c>
      <c r="N67">
        <f>SUMIFS('Besi Balok'!$AA$23:$AA$12292,'Besi Balok'!$A$23:$A$12292,$A67,'Besi Balok'!$B$23:$B$12292,$B67,'Besi Balok'!$F$23:$F$12292,'REKAP Balok'!N$12)</f>
        <v>0</v>
      </c>
      <c r="O67">
        <f>SUMIFS('Besi Balok'!$AA$23:$AA$12292,'Besi Balok'!$A$23:$A$12292,$A67,'Besi Balok'!$B$23:$B$12292,$B67,'Besi Balok'!$F$23:$F$12292,'REKAP Balok'!O$12)</f>
        <v>16.845196679999997</v>
      </c>
      <c r="P67">
        <f>SUMIFS('Besi Balok'!$AA$23:$AA$12292,'Besi Balok'!$A$23:$A$12292,$A67,'Besi Balok'!$B$23:$B$12292,$B67,'Besi Balok'!$F$23:$F$12292,'REKAP Balok'!P$12)</f>
        <v>0</v>
      </c>
      <c r="Q67">
        <f>SUMIFS('Besi Balok'!$AA$23:$AA$12292,'Besi Balok'!$A$23:$A$12292,$A67,'Besi Balok'!$B$23:$B$12292,$B67,'Besi Balok'!$F$23:$F$12292,'REKAP Balok'!Q$12)</f>
        <v>0</v>
      </c>
      <c r="R67">
        <f>SUMIFS('Besi Balok'!$AA$23:$AA$12292,'Besi Balok'!$A$23:$A$12292,$A67,'Besi Balok'!$B$23:$B$12292,$B67,'Besi Balok'!$F$23:$F$12292,'REKAP Balok'!R$12)</f>
        <v>0</v>
      </c>
      <c r="S67">
        <f>SUMIFS('Besi Balok'!$AA$23:$AA$12292,'Besi Balok'!$A$23:$A$12292,$A67,'Besi Balok'!$B$23:$B$12292,$B67,'Besi Balok'!$F$23:$F$12292,'REKAP Balok'!S$12)</f>
        <v>0</v>
      </c>
      <c r="T67">
        <f>SUMIFS('Besi Balok'!$AA$23:$AA$12292,'Besi Balok'!$A$23:$A$12292,$A67,'Besi Balok'!$B$23:$B$12292,$B67,'Besi Balok'!$F$23:$F$12292,'REKAP Balok'!T$12)</f>
        <v>0</v>
      </c>
      <c r="U67">
        <f>SUM(L67:T67)</f>
        <v>25.359801479999998</v>
      </c>
      <c r="V67">
        <f>(D67*(F67-H67)*G67*K67)/1000000000</f>
        <v>0.2238</v>
      </c>
      <c r="X67">
        <f>((F67-H67)*2*(G67)*K67)/1000000</f>
        <v>2.238</v>
      </c>
      <c r="Y67">
        <f>K67*(D67+2*$F$5)*G67*$F$7/1000000000</f>
        <v>0.0746</v>
      </c>
      <c r="Z67">
        <f>K67*(D67+2*$F$5+2*$F$6)*($F$4-J67+($F$7+$F$8)/1000)*G67/1000000</f>
        <v>1.3055</v>
      </c>
      <c r="AC67">
        <f>(D67+2*$F$5)*F67*G67/1000000000</f>
        <v>0.4476</v>
      </c>
    </row>
    <row r="68">
      <c r="A68" t="str">
        <f>'Data Panjang Balok'!A64</f>
        <v>Sloof</v>
      </c>
      <c r="B68">
        <f>'Data Panjang Balok'!B64</f>
        <v>48</v>
      </c>
      <c r="C68" t="str">
        <f>'Data Panjang Balok'!D64</f>
        <v>TB245-1</v>
      </c>
      <c r="D68">
        <f>IF(C68&gt;0,VLOOKUP(C68,'Detail Balok'!$C$11:$AU$110,2,FALSE),0)</f>
        <v>200</v>
      </c>
      <c r="E68" t="str">
        <v>x</v>
      </c>
      <c r="F68">
        <f>IF(C68&gt;0,VLOOKUP(C68,'Detail Balok'!$C$11:$AU$110,3,FALSE),0)</f>
        <v>450</v>
      </c>
      <c r="G68">
        <f>'Data Panjang Balok'!I64</f>
        <v>6085</v>
      </c>
      <c r="H68">
        <f>'Data Panjang Balok'!J64</f>
        <v>0</v>
      </c>
      <c r="J68">
        <f>I68-F68/1000</f>
        <v>-0.45</v>
      </c>
      <c r="K68">
        <f>'Data Panjang Balok'!E64</f>
        <v>1</v>
      </c>
      <c r="L68">
        <f>SUMIFS('Besi Balok'!$AA$23:$AA$12292,'Besi Balok'!$A$23:$A$12292,$A68,'Besi Balok'!$B$23:$B$12292,$B68,'Besi Balok'!$F$23:$F$12292,'REKAP Balok'!L$12)</f>
        <v>0</v>
      </c>
      <c r="M68">
        <f>SUMIFS('Besi Balok'!$AA$23:$AA$12292,'Besi Balok'!$A$23:$A$12292,$A68,'Besi Balok'!$B$23:$B$12292,$B68,'Besi Balok'!$F$23:$F$12292,'REKAP Balok'!M$12)</f>
        <v>19.66644864</v>
      </c>
      <c r="N68">
        <f>SUMIFS('Besi Balok'!$AA$23:$AA$12292,'Besi Balok'!$A$23:$A$12292,$A68,'Besi Balok'!$B$23:$B$12292,$B68,'Besi Balok'!$F$23:$F$12292,'REKAP Balok'!N$12)</f>
        <v>0</v>
      </c>
      <c r="O68">
        <f>SUMIFS('Besi Balok'!$AA$23:$AA$12292,'Besi Balok'!$A$23:$A$12292,$A68,'Besi Balok'!$B$23:$B$12292,$B68,'Besi Balok'!$F$23:$F$12292,'REKAP Balok'!O$12)</f>
        <v>39.98963006999999</v>
      </c>
      <c r="P68">
        <f>SUMIFS('Besi Balok'!$AA$23:$AA$12292,'Besi Balok'!$A$23:$A$12292,$A68,'Besi Balok'!$B$23:$B$12292,$B68,'Besi Balok'!$F$23:$F$12292,'REKAP Balok'!P$12)</f>
        <v>0</v>
      </c>
      <c r="Q68">
        <f>SUMIFS('Besi Balok'!$AA$23:$AA$12292,'Besi Balok'!$A$23:$A$12292,$A68,'Besi Balok'!$B$23:$B$12292,$B68,'Besi Balok'!$F$23:$F$12292,'REKAP Balok'!Q$12)</f>
        <v>0</v>
      </c>
      <c r="R68">
        <f>SUMIFS('Besi Balok'!$AA$23:$AA$12292,'Besi Balok'!$A$23:$A$12292,$A68,'Besi Balok'!$B$23:$B$12292,$B68,'Besi Balok'!$F$23:$F$12292,'REKAP Balok'!R$12)</f>
        <v>0</v>
      </c>
      <c r="S68">
        <f>SUMIFS('Besi Balok'!$AA$23:$AA$12292,'Besi Balok'!$A$23:$A$12292,$A68,'Besi Balok'!$B$23:$B$12292,$B68,'Besi Balok'!$F$23:$F$12292,'REKAP Balok'!S$12)</f>
        <v>0</v>
      </c>
      <c r="T68">
        <f>SUMIFS('Besi Balok'!$AA$23:$AA$12292,'Besi Balok'!$A$23:$A$12292,$A68,'Besi Balok'!$B$23:$B$12292,$B68,'Besi Balok'!$F$23:$F$12292,'REKAP Balok'!T$12)</f>
        <v>0</v>
      </c>
      <c r="U68">
        <f>SUM(L68:T68)</f>
        <v>59.65607870999999</v>
      </c>
      <c r="V68">
        <f>(D68*(F68-H68)*G68*K68)/1000000000</f>
        <v>0.54765</v>
      </c>
      <c r="X68">
        <f>((F68-H68)*2*(G68)*K68)/1000000</f>
        <v>5.4765</v>
      </c>
      <c r="Y68">
        <f>K68*(D68+2*$F$5)*G68*$F$7/1000000000</f>
        <v>0.1217</v>
      </c>
      <c r="Z68">
        <f>K68*(D68+2*$F$5+2*$F$6)*($F$4-J68+($F$7+$F$8)/1000)*G68/1000000</f>
        <v>3.0425</v>
      </c>
      <c r="AC68">
        <f>(D68+2*$F$5)*F68*G68/1000000000</f>
        <v>1.0953</v>
      </c>
    </row>
    <row r="69">
      <c r="A69" t="str">
        <f>'Data Panjang Balok'!A65</f>
        <v>Sloof</v>
      </c>
      <c r="B69">
        <f>'Data Panjang Balok'!B65</f>
        <v>49</v>
      </c>
      <c r="C69" t="str">
        <f>'Data Panjang Balok'!D65</f>
        <v>TB25-1</v>
      </c>
      <c r="D69">
        <f>IF(C69&gt;0,VLOOKUP(C69,'Detail Balok'!$C$11:$AU$110,2,FALSE),0)</f>
        <v>200</v>
      </c>
      <c r="E69" t="str">
        <v>x</v>
      </c>
      <c r="F69">
        <f>IF(C69&gt;0,VLOOKUP(C69,'Detail Balok'!$C$11:$AU$110,3,FALSE),0)</f>
        <v>500</v>
      </c>
      <c r="G69">
        <f>'Data Panjang Balok'!I65</f>
        <v>7315</v>
      </c>
      <c r="H69">
        <f>'Data Panjang Balok'!J65</f>
        <v>0</v>
      </c>
      <c r="J69">
        <f>I69-F69/1000</f>
        <v>-0.5</v>
      </c>
      <c r="K69">
        <f>'Data Panjang Balok'!E65</f>
        <v>1</v>
      </c>
      <c r="L69">
        <f>SUMIFS('Besi Balok'!$AA$23:$AA$12292,'Besi Balok'!$A$23:$A$12292,$A69,'Besi Balok'!$B$23:$B$12292,$B69,'Besi Balok'!$F$23:$F$12292,'REKAP Balok'!L$12)</f>
        <v>0</v>
      </c>
      <c r="M69">
        <f>SUMIFS('Besi Balok'!$AA$23:$AA$12292,'Besi Balok'!$A$23:$A$12292,$A69,'Besi Balok'!$B$23:$B$12292,$B69,'Besi Balok'!$F$23:$F$12292,'REKAP Balok'!M$12)</f>
        <v>0</v>
      </c>
      <c r="N69">
        <f>SUMIFS('Besi Balok'!$AA$23:$AA$12292,'Besi Balok'!$A$23:$A$12292,$A69,'Besi Balok'!$B$23:$B$12292,$B69,'Besi Balok'!$F$23:$F$12292,'REKAP Balok'!N$12)</f>
        <v>38.130525000000006</v>
      </c>
      <c r="O69">
        <f>SUMIFS('Besi Balok'!$AA$23:$AA$12292,'Besi Balok'!$A$23:$A$12292,$A69,'Besi Balok'!$B$23:$B$12292,$B69,'Besi Balok'!$F$23:$F$12292,'REKAP Balok'!O$12)</f>
        <v>0</v>
      </c>
      <c r="P69">
        <f>SUMIFS('Besi Balok'!$AA$23:$AA$12292,'Besi Balok'!$A$23:$A$12292,$A69,'Besi Balok'!$B$23:$B$12292,$B69,'Besi Balok'!$F$23:$F$12292,'REKAP Balok'!P$12)</f>
        <v>72.90521856000001</v>
      </c>
      <c r="Q69">
        <f>SUMIFS('Besi Balok'!$AA$23:$AA$12292,'Besi Balok'!$A$23:$A$12292,$A69,'Besi Balok'!$B$23:$B$12292,$B69,'Besi Balok'!$F$23:$F$12292,'REKAP Balok'!Q$12)</f>
        <v>0</v>
      </c>
      <c r="R69">
        <f>SUMIFS('Besi Balok'!$AA$23:$AA$12292,'Besi Balok'!$A$23:$A$12292,$A69,'Besi Balok'!$B$23:$B$12292,$B69,'Besi Balok'!$F$23:$F$12292,'REKAP Balok'!R$12)</f>
        <v>0</v>
      </c>
      <c r="S69">
        <f>SUMIFS('Besi Balok'!$AA$23:$AA$12292,'Besi Balok'!$A$23:$A$12292,$A69,'Besi Balok'!$B$23:$B$12292,$B69,'Besi Balok'!$F$23:$F$12292,'REKAP Balok'!S$12)</f>
        <v>0</v>
      </c>
      <c r="T69">
        <f>SUMIFS('Besi Balok'!$AA$23:$AA$12292,'Besi Balok'!$A$23:$A$12292,$A69,'Besi Balok'!$B$23:$B$12292,$B69,'Besi Balok'!$F$23:$F$12292,'REKAP Balok'!T$12)</f>
        <v>0</v>
      </c>
      <c r="U69">
        <f>SUM(L69:T69)</f>
        <v>111.03574356000001</v>
      </c>
      <c r="V69">
        <f>(D69*(F69-H69)*G69*K69)/1000000000</f>
        <v>0.7315</v>
      </c>
      <c r="X69">
        <f>((F69-H69)*2*(G69)*K69)/1000000</f>
        <v>7.315</v>
      </c>
      <c r="Y69">
        <f>K69*(D69+2*$F$5)*G69*$F$7/1000000000</f>
        <v>0.1463</v>
      </c>
      <c r="Z69">
        <f>K69*(D69+2*$F$5+2*$F$6)*($F$4-J69+($F$7+$F$8)/1000)*G69/1000000</f>
        <v>4.02325</v>
      </c>
      <c r="AC69">
        <f>(D69+2*$F$5)*F69*G69/1000000000</f>
        <v>1.463</v>
      </c>
    </row>
    <row r="70">
      <c r="A70" t="str">
        <f>'Data Panjang Balok'!A67</f>
        <v>Sloof</v>
      </c>
      <c r="B70">
        <f>'Data Panjang Balok'!B67</f>
        <v>50</v>
      </c>
      <c r="C70" t="str">
        <f>'Data Panjang Balok'!D67</f>
        <v>TB24-2</v>
      </c>
      <c r="D70">
        <f>IF(C70&gt;0,VLOOKUP(C70,'Detail Balok'!$C$11:$AU$110,2,FALSE),0)</f>
        <v>200</v>
      </c>
      <c r="E70" t="str">
        <v>x</v>
      </c>
      <c r="F70">
        <f>IF(C70&gt;0,VLOOKUP(C70,'Detail Balok'!$C$11:$AU$110,3,FALSE),0)</f>
        <v>400</v>
      </c>
      <c r="G70">
        <f>'Data Panjang Balok'!I67</f>
        <v>9615</v>
      </c>
      <c r="H70">
        <f>'Data Panjang Balok'!J67</f>
        <v>0</v>
      </c>
      <c r="J70">
        <f>I70-F70/1000</f>
        <v>-0.4</v>
      </c>
      <c r="K70">
        <f>'Data Panjang Balok'!E67</f>
        <v>1</v>
      </c>
      <c r="L70">
        <f>SUMIFS('Besi Balok'!$AA$23:$AA$12292,'Besi Balok'!$A$23:$A$12292,$A70,'Besi Balok'!$B$23:$B$12292,$B70,'Besi Balok'!$F$23:$F$12292,'REKAP Balok'!L$12)</f>
        <v>0</v>
      </c>
      <c r="M70">
        <f>SUMIFS('Besi Balok'!$AA$23:$AA$12292,'Besi Balok'!$A$23:$A$12292,$A70,'Besi Balok'!$B$23:$B$12292,$B70,'Besi Balok'!$F$23:$F$12292,'REKAP Balok'!M$12)</f>
        <v>23.571014400000003</v>
      </c>
      <c r="N70">
        <f>SUMIFS('Besi Balok'!$AA$23:$AA$12292,'Besi Balok'!$A$23:$A$12292,$A70,'Besi Balok'!$B$23:$B$12292,$B70,'Besi Balok'!$F$23:$F$12292,'REKAP Balok'!N$12)</f>
        <v>0</v>
      </c>
      <c r="O70">
        <f>SUMIFS('Besi Balok'!$AA$23:$AA$12292,'Besi Balok'!$A$23:$A$12292,$A70,'Besi Balok'!$B$23:$B$12292,$B70,'Besi Balok'!$F$23:$F$12292,'REKAP Balok'!O$12)</f>
        <v>63.19449279</v>
      </c>
      <c r="P70">
        <f>SUMIFS('Besi Balok'!$AA$23:$AA$12292,'Besi Balok'!$A$23:$A$12292,$A70,'Besi Balok'!$B$23:$B$12292,$B70,'Besi Balok'!$F$23:$F$12292,'REKAP Balok'!P$12)</f>
        <v>0</v>
      </c>
      <c r="Q70">
        <f>SUMIFS('Besi Balok'!$AA$23:$AA$12292,'Besi Balok'!$A$23:$A$12292,$A70,'Besi Balok'!$B$23:$B$12292,$B70,'Besi Balok'!$F$23:$F$12292,'REKAP Balok'!Q$12)</f>
        <v>0</v>
      </c>
      <c r="R70">
        <f>SUMIFS('Besi Balok'!$AA$23:$AA$12292,'Besi Balok'!$A$23:$A$12292,$A70,'Besi Balok'!$B$23:$B$12292,$B70,'Besi Balok'!$F$23:$F$12292,'REKAP Balok'!R$12)</f>
        <v>0</v>
      </c>
      <c r="S70">
        <f>SUMIFS('Besi Balok'!$AA$23:$AA$12292,'Besi Balok'!$A$23:$A$12292,$A70,'Besi Balok'!$B$23:$B$12292,$B70,'Besi Balok'!$F$23:$F$12292,'REKAP Balok'!S$12)</f>
        <v>0</v>
      </c>
      <c r="T70">
        <f>SUMIFS('Besi Balok'!$AA$23:$AA$12292,'Besi Balok'!$A$23:$A$12292,$A70,'Besi Balok'!$B$23:$B$12292,$B70,'Besi Balok'!$F$23:$F$12292,'REKAP Balok'!T$12)</f>
        <v>0</v>
      </c>
      <c r="U70">
        <f>SUM(L70:T70)</f>
        <v>86.76550719</v>
      </c>
      <c r="V70">
        <f>(D70*(F70-H70)*G70*K70)/1000000000</f>
        <v>0.7692</v>
      </c>
      <c r="X70">
        <f>((F70-H70)*2*(G70)*K70)/1000000</f>
        <v>7.692</v>
      </c>
      <c r="Y70">
        <f>K70*(D70+2*$F$5)*G70*$F$7/1000000000</f>
        <v>0.1923</v>
      </c>
      <c r="Z70">
        <f>K70*(D70+2*$F$5+2*$F$6)*($F$4-J70+($F$7+$F$8)/1000)*G70/1000000</f>
        <v>4.32675</v>
      </c>
      <c r="AC70">
        <f>(D70+2*$F$5)*F70*G70/1000000000</f>
        <v>1.5384</v>
      </c>
    </row>
    <row r="71">
      <c r="A71" t="str">
        <f>'Data Panjang Balok'!A68</f>
        <v>Sloof</v>
      </c>
      <c r="B71">
        <f>'Data Panjang Balok'!B68</f>
        <v>51</v>
      </c>
      <c r="C71" t="str">
        <f>'Data Panjang Balok'!D68</f>
        <v>TB24-1</v>
      </c>
      <c r="D71">
        <f>IF(C71&gt;0,VLOOKUP(C71,'Detail Balok'!$C$11:$AU$110,2,FALSE),0)</f>
        <v>200</v>
      </c>
      <c r="E71" t="str">
        <v>x</v>
      </c>
      <c r="F71">
        <f>IF(C71&gt;0,VLOOKUP(C71,'Detail Balok'!$C$11:$AU$110,3,FALSE),0)</f>
        <v>400</v>
      </c>
      <c r="G71">
        <f>'Data Panjang Balok'!I68</f>
        <v>3855</v>
      </c>
      <c r="H71">
        <f>'Data Panjang Balok'!J68</f>
        <v>0</v>
      </c>
      <c r="J71">
        <f>I71-F71/1000</f>
        <v>-0.4</v>
      </c>
      <c r="K71">
        <f>'Data Panjang Balok'!E68</f>
        <v>1</v>
      </c>
      <c r="L71">
        <f>SUMIFS('Besi Balok'!$AA$23:$AA$12292,'Besi Balok'!$A$23:$A$12292,$A71,'Besi Balok'!$B$23:$B$12292,$B71,'Besi Balok'!$F$23:$F$12292,'REKAP Balok'!L$12)</f>
        <v>0</v>
      </c>
      <c r="M71">
        <f>SUMIFS('Besi Balok'!$AA$23:$AA$12292,'Besi Balok'!$A$23:$A$12292,$A71,'Besi Balok'!$B$23:$B$12292,$B71,'Besi Balok'!$F$23:$F$12292,'REKAP Balok'!M$12)</f>
        <v>8.940729600000003</v>
      </c>
      <c r="N71">
        <f>SUMIFS('Besi Balok'!$AA$23:$AA$12292,'Besi Balok'!$A$23:$A$12292,$A71,'Besi Balok'!$B$23:$B$12292,$B71,'Besi Balok'!$F$23:$F$12292,'REKAP Balok'!N$12)</f>
        <v>0</v>
      </c>
      <c r="O71">
        <f>SUMIFS('Besi Balok'!$AA$23:$AA$12292,'Besi Balok'!$A$23:$A$12292,$A71,'Besi Balok'!$B$23:$B$12292,$B71,'Besi Balok'!$F$23:$F$12292,'REKAP Balok'!O$12)</f>
        <v>17.366139179999998</v>
      </c>
      <c r="P71">
        <f>SUMIFS('Besi Balok'!$AA$23:$AA$12292,'Besi Balok'!$A$23:$A$12292,$A71,'Besi Balok'!$B$23:$B$12292,$B71,'Besi Balok'!$F$23:$F$12292,'REKAP Balok'!P$12)</f>
        <v>0</v>
      </c>
      <c r="Q71">
        <f>SUMIFS('Besi Balok'!$AA$23:$AA$12292,'Besi Balok'!$A$23:$A$12292,$A71,'Besi Balok'!$B$23:$B$12292,$B71,'Besi Balok'!$F$23:$F$12292,'REKAP Balok'!Q$12)</f>
        <v>0</v>
      </c>
      <c r="R71">
        <f>SUMIFS('Besi Balok'!$AA$23:$AA$12292,'Besi Balok'!$A$23:$A$12292,$A71,'Besi Balok'!$B$23:$B$12292,$B71,'Besi Balok'!$F$23:$F$12292,'REKAP Balok'!R$12)</f>
        <v>0</v>
      </c>
      <c r="S71">
        <f>SUMIFS('Besi Balok'!$AA$23:$AA$12292,'Besi Balok'!$A$23:$A$12292,$A71,'Besi Balok'!$B$23:$B$12292,$B71,'Besi Balok'!$F$23:$F$12292,'REKAP Balok'!S$12)</f>
        <v>0</v>
      </c>
      <c r="T71">
        <f>SUMIFS('Besi Balok'!$AA$23:$AA$12292,'Besi Balok'!$A$23:$A$12292,$A71,'Besi Balok'!$B$23:$B$12292,$B71,'Besi Balok'!$F$23:$F$12292,'REKAP Balok'!T$12)</f>
        <v>0</v>
      </c>
      <c r="U71">
        <f>SUM(L71:T71)</f>
        <v>26.306868780000002</v>
      </c>
      <c r="V71">
        <f>(D71*(F71-H71)*G71*K71)/1000000000</f>
        <v>0.3084</v>
      </c>
      <c r="X71">
        <f>((F71-H71)*2*(G71)*K71)/1000000</f>
        <v>3.084</v>
      </c>
      <c r="Y71">
        <f>K71*(D71+2*$F$5)*G71*$F$7/1000000000</f>
        <v>0.0771</v>
      </c>
      <c r="Z71">
        <f>K71*(D71+2*$F$5+2*$F$6)*($F$4-J71+($F$7+$F$8)/1000)*G71/1000000</f>
        <v>1.73475</v>
      </c>
      <c r="AC71">
        <f>(D71+2*$F$5)*F71*G71/1000000000</f>
        <v>0.6168</v>
      </c>
    </row>
    <row r="72">
      <c r="A72" t="str">
        <f>'Data Panjang Balok'!A69</f>
        <v>Sloof</v>
      </c>
      <c r="B72">
        <f>'Data Panjang Balok'!B69</f>
        <v>52</v>
      </c>
      <c r="C72" t="str">
        <f>'Data Panjang Balok'!D69</f>
        <v>TB245-1</v>
      </c>
      <c r="D72">
        <f>IF(C72&gt;0,VLOOKUP(C72,'Detail Balok'!$C$11:$AU$110,2,FALSE),0)</f>
        <v>200</v>
      </c>
      <c r="E72" t="str">
        <v>x</v>
      </c>
      <c r="F72">
        <f>IF(C72&gt;0,VLOOKUP(C72,'Detail Balok'!$C$11:$AU$110,3,FALSE),0)</f>
        <v>450</v>
      </c>
      <c r="G72">
        <f>'Data Panjang Balok'!I69</f>
        <v>3815</v>
      </c>
      <c r="H72">
        <f>'Data Panjang Balok'!J69</f>
        <v>0</v>
      </c>
      <c r="J72">
        <f>I72-F72/1000</f>
        <v>-0.45</v>
      </c>
      <c r="K72">
        <f>'Data Panjang Balok'!E69</f>
        <v>1</v>
      </c>
      <c r="L72">
        <f>SUMIFS('Besi Balok'!$AA$23:$AA$12292,'Besi Balok'!$A$23:$A$12292,$A72,'Besi Balok'!$B$23:$B$12292,$B72,'Besi Balok'!$F$23:$F$12292,'REKAP Balok'!L$12)</f>
        <v>0</v>
      </c>
      <c r="M72">
        <f>SUMIFS('Besi Balok'!$AA$23:$AA$12292,'Besi Balok'!$A$23:$A$12292,$A72,'Besi Balok'!$B$23:$B$12292,$B72,'Besi Balok'!$F$23:$F$12292,'REKAP Balok'!M$12)</f>
        <v>12.97076544</v>
      </c>
      <c r="N72">
        <f>SUMIFS('Besi Balok'!$AA$23:$AA$12292,'Besi Balok'!$A$23:$A$12292,$A72,'Besi Balok'!$B$23:$B$12292,$B72,'Besi Balok'!$F$23:$F$12292,'REKAP Balok'!N$12)</f>
        <v>0</v>
      </c>
      <c r="O72">
        <f>SUMIFS('Besi Balok'!$AA$23:$AA$12292,'Besi Balok'!$A$23:$A$12292,$A72,'Besi Balok'!$B$23:$B$12292,$B72,'Besi Balok'!$F$23:$F$12292,'REKAP Balok'!O$12)</f>
        <v>25.79915637</v>
      </c>
      <c r="P72">
        <f>SUMIFS('Besi Balok'!$AA$23:$AA$12292,'Besi Balok'!$A$23:$A$12292,$A72,'Besi Balok'!$B$23:$B$12292,$B72,'Besi Balok'!$F$23:$F$12292,'REKAP Balok'!P$12)</f>
        <v>0</v>
      </c>
      <c r="Q72">
        <f>SUMIFS('Besi Balok'!$AA$23:$AA$12292,'Besi Balok'!$A$23:$A$12292,$A72,'Besi Balok'!$B$23:$B$12292,$B72,'Besi Balok'!$F$23:$F$12292,'REKAP Balok'!Q$12)</f>
        <v>0</v>
      </c>
      <c r="R72">
        <f>SUMIFS('Besi Balok'!$AA$23:$AA$12292,'Besi Balok'!$A$23:$A$12292,$A72,'Besi Balok'!$B$23:$B$12292,$B72,'Besi Balok'!$F$23:$F$12292,'REKAP Balok'!R$12)</f>
        <v>0</v>
      </c>
      <c r="S72">
        <f>SUMIFS('Besi Balok'!$AA$23:$AA$12292,'Besi Balok'!$A$23:$A$12292,$A72,'Besi Balok'!$B$23:$B$12292,$B72,'Besi Balok'!$F$23:$F$12292,'REKAP Balok'!S$12)</f>
        <v>0</v>
      </c>
      <c r="T72">
        <f>SUMIFS('Besi Balok'!$AA$23:$AA$12292,'Besi Balok'!$A$23:$A$12292,$A72,'Besi Balok'!$B$23:$B$12292,$B72,'Besi Balok'!$F$23:$F$12292,'REKAP Balok'!T$12)</f>
        <v>0</v>
      </c>
      <c r="U72">
        <f>SUM(L72:T72)</f>
        <v>38.76992181</v>
      </c>
      <c r="V72">
        <f>(D72*(F72-H72)*G72*K72)/1000000000</f>
        <v>0.34335</v>
      </c>
      <c r="X72">
        <f>((F72-H72)*2*(G72)*K72)/1000000</f>
        <v>3.4335</v>
      </c>
      <c r="Y72">
        <f>K72*(D72+2*$F$5)*G72*$F$7/1000000000</f>
        <v>0.0763</v>
      </c>
      <c r="Z72">
        <f>K72*(D72+2*$F$5+2*$F$6)*($F$4-J72+($F$7+$F$8)/1000)*G72/1000000</f>
        <v>1.9075</v>
      </c>
      <c r="AC72">
        <f>(D72+2*$F$5)*F72*G72/1000000000</f>
        <v>0.6867</v>
      </c>
    </row>
    <row r="73">
      <c r="A73" t="str">
        <f>'Data Panjang Balok'!A70</f>
        <v>Sloof</v>
      </c>
      <c r="B73">
        <f>'Data Panjang Balok'!B70</f>
        <v>53</v>
      </c>
      <c r="C73" t="str">
        <f>'Data Panjang Balok'!D70</f>
        <v>TB245-1</v>
      </c>
      <c r="D73">
        <f>IF(C73&gt;0,VLOOKUP(C73,'Detail Balok'!$C$11:$AU$110,2,FALSE),0)</f>
        <v>200</v>
      </c>
      <c r="E73" t="str">
        <v>x</v>
      </c>
      <c r="F73">
        <f>IF(C73&gt;0,VLOOKUP(C73,'Detail Balok'!$C$11:$AU$110,3,FALSE),0)</f>
        <v>450</v>
      </c>
      <c r="G73">
        <f>'Data Panjang Balok'!I70</f>
        <v>10435</v>
      </c>
      <c r="H73">
        <f>'Data Panjang Balok'!J70</f>
        <v>0</v>
      </c>
      <c r="J73">
        <f>I73-F73/1000</f>
        <v>-0.45</v>
      </c>
      <c r="K73">
        <f>'Data Panjang Balok'!E70</f>
        <v>1</v>
      </c>
      <c r="L73">
        <f>SUMIFS('Besi Balok'!$AA$23:$AA$12292,'Besi Balok'!$A$23:$A$12292,$A73,'Besi Balok'!$B$23:$B$12292,$B73,'Besi Balok'!$F$23:$F$12292,'REKAP Balok'!L$12)</f>
        <v>0</v>
      </c>
      <c r="M73">
        <f>SUMIFS('Besi Balok'!$AA$23:$AA$12292,'Besi Balok'!$A$23:$A$12292,$A73,'Besi Balok'!$B$23:$B$12292,$B73,'Besi Balok'!$F$23:$F$12292,'REKAP Balok'!M$12)</f>
        <v>32.46202944</v>
      </c>
      <c r="N73">
        <f>SUMIFS('Besi Balok'!$AA$23:$AA$12292,'Besi Balok'!$A$23:$A$12292,$A73,'Besi Balok'!$B$23:$B$12292,$B73,'Besi Balok'!$F$23:$F$12292,'REKAP Balok'!N$12)</f>
        <v>0</v>
      </c>
      <c r="O73">
        <f>SUMIFS('Besi Balok'!$AA$23:$AA$12292,'Besi Balok'!$A$23:$A$12292,$A73,'Besi Balok'!$B$23:$B$12292,$B73,'Besi Balok'!$F$23:$F$12292,'REKAP Balok'!O$12)</f>
        <v>67.18282857</v>
      </c>
      <c r="P73">
        <f>SUMIFS('Besi Balok'!$AA$23:$AA$12292,'Besi Balok'!$A$23:$A$12292,$A73,'Besi Balok'!$B$23:$B$12292,$B73,'Besi Balok'!$F$23:$F$12292,'REKAP Balok'!P$12)</f>
        <v>0</v>
      </c>
      <c r="Q73">
        <f>SUMIFS('Besi Balok'!$AA$23:$AA$12292,'Besi Balok'!$A$23:$A$12292,$A73,'Besi Balok'!$B$23:$B$12292,$B73,'Besi Balok'!$F$23:$F$12292,'REKAP Balok'!Q$12)</f>
        <v>0</v>
      </c>
      <c r="R73">
        <f>SUMIFS('Besi Balok'!$AA$23:$AA$12292,'Besi Balok'!$A$23:$A$12292,$A73,'Besi Balok'!$B$23:$B$12292,$B73,'Besi Balok'!$F$23:$F$12292,'REKAP Balok'!R$12)</f>
        <v>0</v>
      </c>
      <c r="S73">
        <f>SUMIFS('Besi Balok'!$AA$23:$AA$12292,'Besi Balok'!$A$23:$A$12292,$A73,'Besi Balok'!$B$23:$B$12292,$B73,'Besi Balok'!$F$23:$F$12292,'REKAP Balok'!S$12)</f>
        <v>0</v>
      </c>
      <c r="T73">
        <f>SUMIFS('Besi Balok'!$AA$23:$AA$12292,'Besi Balok'!$A$23:$A$12292,$A73,'Besi Balok'!$B$23:$B$12292,$B73,'Besi Balok'!$F$23:$F$12292,'REKAP Balok'!T$12)</f>
        <v>0</v>
      </c>
      <c r="U73">
        <f>SUM(L73:T73)</f>
        <v>99.64485801000001</v>
      </c>
      <c r="V73">
        <f>(D73*(F73-H73)*G73*K73)/1000000000</f>
        <v>0.93915</v>
      </c>
      <c r="X73">
        <f>((F73-H73)*2*(G73)*K73)/1000000</f>
        <v>9.3915</v>
      </c>
      <c r="Y73">
        <f>K73*(D73+2*$F$5)*G73*$F$7/1000000000</f>
        <v>0.2087</v>
      </c>
      <c r="Z73">
        <f>K73*(D73+2*$F$5+2*$F$6)*($F$4-J73+($F$7+$F$8)/1000)*G73/1000000</f>
        <v>5.2175</v>
      </c>
      <c r="AC73">
        <f>(D73+2*$F$5)*F73*G73/1000000000</f>
        <v>1.8783</v>
      </c>
    </row>
    <row r="74">
      <c r="A74" t="str">
        <f>'Data Panjang Balok'!A71</f>
        <v>Sloof</v>
      </c>
      <c r="B74">
        <f>'Data Panjang Balok'!B71</f>
        <v>54</v>
      </c>
      <c r="C74" t="str">
        <f>'Data Panjang Balok'!D71</f>
        <v>TB245-1</v>
      </c>
      <c r="D74">
        <f>IF(C74&gt;0,VLOOKUP(C74,'Detail Balok'!$C$11:$AU$110,2,FALSE),0)</f>
        <v>200</v>
      </c>
      <c r="E74" t="str">
        <v>x</v>
      </c>
      <c r="F74">
        <f>IF(C74&gt;0,VLOOKUP(C74,'Detail Balok'!$C$11:$AU$110,3,FALSE),0)</f>
        <v>450</v>
      </c>
      <c r="G74">
        <f>'Data Panjang Balok'!I71</f>
        <v>2900</v>
      </c>
      <c r="H74">
        <f>'Data Panjang Balok'!J71</f>
        <v>0</v>
      </c>
      <c r="J74">
        <f>I74-F74/1000</f>
        <v>-0.45</v>
      </c>
      <c r="K74">
        <f>'Data Panjang Balok'!E71</f>
        <v>1</v>
      </c>
      <c r="L74">
        <f>SUMIFS('Besi Balok'!$AA$23:$AA$12292,'Besi Balok'!$A$23:$A$12292,$A74,'Besi Balok'!$B$23:$B$12292,$B74,'Besi Balok'!$F$23:$F$12292,'REKAP Balok'!L$12)</f>
        <v>0</v>
      </c>
      <c r="M74">
        <f>SUMIFS('Besi Balok'!$AA$23:$AA$12292,'Besi Balok'!$A$23:$A$12292,$A74,'Besi Balok'!$B$23:$B$12292,$B74,'Besi Balok'!$F$23:$F$12292,'REKAP Balok'!M$12)</f>
        <v>10.46530944</v>
      </c>
      <c r="N74">
        <f>SUMIFS('Besi Balok'!$AA$23:$AA$12292,'Besi Balok'!$A$23:$A$12292,$A74,'Besi Balok'!$B$23:$B$12292,$B74,'Besi Balok'!$F$23:$F$12292,'REKAP Balok'!N$12)</f>
        <v>0</v>
      </c>
      <c r="O74">
        <f>SUMIFS('Besi Balok'!$AA$23:$AA$12292,'Besi Balok'!$A$23:$A$12292,$A74,'Besi Balok'!$B$23:$B$12292,$B74,'Besi Balok'!$F$23:$F$12292,'REKAP Balok'!O$12)</f>
        <v>20.079207719999996</v>
      </c>
      <c r="P74">
        <f>SUMIFS('Besi Balok'!$AA$23:$AA$12292,'Besi Balok'!$A$23:$A$12292,$A74,'Besi Balok'!$B$23:$B$12292,$B74,'Besi Balok'!$F$23:$F$12292,'REKAP Balok'!P$12)</f>
        <v>0</v>
      </c>
      <c r="Q74">
        <f>SUMIFS('Besi Balok'!$AA$23:$AA$12292,'Besi Balok'!$A$23:$A$12292,$A74,'Besi Balok'!$B$23:$B$12292,$B74,'Besi Balok'!$F$23:$F$12292,'REKAP Balok'!Q$12)</f>
        <v>0</v>
      </c>
      <c r="R74">
        <f>SUMIFS('Besi Balok'!$AA$23:$AA$12292,'Besi Balok'!$A$23:$A$12292,$A74,'Besi Balok'!$B$23:$B$12292,$B74,'Besi Balok'!$F$23:$F$12292,'REKAP Balok'!R$12)</f>
        <v>0</v>
      </c>
      <c r="S74">
        <f>SUMIFS('Besi Balok'!$AA$23:$AA$12292,'Besi Balok'!$A$23:$A$12292,$A74,'Besi Balok'!$B$23:$B$12292,$B74,'Besi Balok'!$F$23:$F$12292,'REKAP Balok'!S$12)</f>
        <v>0</v>
      </c>
      <c r="T74">
        <f>SUMIFS('Besi Balok'!$AA$23:$AA$12292,'Besi Balok'!$A$23:$A$12292,$A74,'Besi Balok'!$B$23:$B$12292,$B74,'Besi Balok'!$F$23:$F$12292,'REKAP Balok'!T$12)</f>
        <v>0</v>
      </c>
      <c r="U74">
        <f>SUM(L74:T74)</f>
        <v>30.544517159999998</v>
      </c>
      <c r="V74">
        <f>(D74*(F74-H74)*G74*K74)/1000000000</f>
        <v>0.261</v>
      </c>
      <c r="X74">
        <f>((F74-H74)*2*(G74)*K74)/1000000</f>
        <v>2.61</v>
      </c>
      <c r="Y74">
        <f>K74*(D74+2*$F$5)*G74*$F$7/1000000000</f>
        <v>0.058</v>
      </c>
      <c r="Z74">
        <f>K74*(D74+2*$F$5+2*$F$6)*($F$4-J74+($F$7+$F$8)/1000)*G74/1000000</f>
        <v>1.45</v>
      </c>
      <c r="AC74">
        <f>(D74+2*$F$5)*F74*G74/1000000000</f>
        <v>0.522</v>
      </c>
    </row>
    <row r="75">
      <c r="A75" t="str">
        <f>'Data Panjang Balok'!A72</f>
        <v>Sloof</v>
      </c>
      <c r="B75">
        <f>'Data Panjang Balok'!B72</f>
        <v>55</v>
      </c>
      <c r="C75" t="str">
        <f>'Data Panjang Balok'!D72</f>
        <v>TBK25-1</v>
      </c>
      <c r="D75">
        <f>IF(C75&gt;0,VLOOKUP(C75,'Detail Balok'!$C$11:$AU$110,2,FALSE),0)</f>
        <v>200</v>
      </c>
      <c r="E75" t="str">
        <v>x</v>
      </c>
      <c r="F75">
        <f>IF(C75&gt;0,VLOOKUP(C75,'Detail Balok'!$C$11:$AU$110,3,FALSE),0)</f>
        <v>500</v>
      </c>
      <c r="G75">
        <f>'Data Panjang Balok'!I72</f>
        <v>2900</v>
      </c>
      <c r="H75">
        <f>'Data Panjang Balok'!J72</f>
        <v>0</v>
      </c>
      <c r="J75">
        <f>I75-F75/1000</f>
        <v>-0.5</v>
      </c>
      <c r="K75">
        <f>'Data Panjang Balok'!E72</f>
        <v>1</v>
      </c>
      <c r="L75">
        <f>SUMIFS('Besi Balok'!$AA$23:$AA$12292,'Besi Balok'!$A$23:$A$12292,$A75,'Besi Balok'!$B$23:$B$12292,$B75,'Besi Balok'!$F$23:$F$12292,'REKAP Balok'!L$12)</f>
        <v>0</v>
      </c>
      <c r="M75">
        <f>SUMIFS('Besi Balok'!$AA$23:$AA$12292,'Besi Balok'!$A$23:$A$12292,$A75,'Besi Balok'!$B$23:$B$12292,$B75,'Besi Balok'!$F$23:$F$12292,'REKAP Balok'!M$12)</f>
        <v>0</v>
      </c>
      <c r="N75">
        <f>SUMIFS('Besi Balok'!$AA$23:$AA$12292,'Besi Balok'!$A$23:$A$12292,$A75,'Besi Balok'!$B$23:$B$12292,$B75,'Besi Balok'!$F$23:$F$12292,'REKAP Balok'!N$12)</f>
        <v>20.55411</v>
      </c>
      <c r="O75">
        <f>SUMIFS('Besi Balok'!$AA$23:$AA$12292,'Besi Balok'!$A$23:$A$12292,$A75,'Besi Balok'!$B$23:$B$12292,$B75,'Besi Balok'!$F$23:$F$12292,'REKAP Balok'!O$12)</f>
        <v>0</v>
      </c>
      <c r="P75">
        <f>SUMIFS('Besi Balok'!$AA$23:$AA$12292,'Besi Balok'!$A$23:$A$12292,$A75,'Besi Balok'!$B$23:$B$12292,$B75,'Besi Balok'!$F$23:$F$12292,'REKAP Balok'!P$12)</f>
        <v>36.28058112</v>
      </c>
      <c r="Q75">
        <f>SUMIFS('Besi Balok'!$AA$23:$AA$12292,'Besi Balok'!$A$23:$A$12292,$A75,'Besi Balok'!$B$23:$B$12292,$B75,'Besi Balok'!$F$23:$F$12292,'REKAP Balok'!Q$12)</f>
        <v>0</v>
      </c>
      <c r="R75">
        <f>SUMIFS('Besi Balok'!$AA$23:$AA$12292,'Besi Balok'!$A$23:$A$12292,$A75,'Besi Balok'!$B$23:$B$12292,$B75,'Besi Balok'!$F$23:$F$12292,'REKAP Balok'!R$12)</f>
        <v>0</v>
      </c>
      <c r="S75">
        <f>SUMIFS('Besi Balok'!$AA$23:$AA$12292,'Besi Balok'!$A$23:$A$12292,$A75,'Besi Balok'!$B$23:$B$12292,$B75,'Besi Balok'!$F$23:$F$12292,'REKAP Balok'!S$12)</f>
        <v>0</v>
      </c>
      <c r="T75">
        <f>SUMIFS('Besi Balok'!$AA$23:$AA$12292,'Besi Balok'!$A$23:$A$12292,$A75,'Besi Balok'!$B$23:$B$12292,$B75,'Besi Balok'!$F$23:$F$12292,'REKAP Balok'!T$12)</f>
        <v>0</v>
      </c>
      <c r="U75">
        <f>SUM(L75:T75)</f>
        <v>56.83469112</v>
      </c>
      <c r="V75">
        <f>(D75*(F75-H75)*G75*K75)/1000000000</f>
        <v>0.29</v>
      </c>
      <c r="X75">
        <f>((F75-H75)*2*(G75)*K75)/1000000</f>
        <v>2.9</v>
      </c>
      <c r="Y75">
        <f>K75*(D75+2*$F$5)*G75*$F$7/1000000000</f>
        <v>0.058</v>
      </c>
      <c r="Z75">
        <f>K75*(D75+2*$F$5+2*$F$6)*($F$4-J75+($F$7+$F$8)/1000)*G75/1000000</f>
        <v>1.595</v>
      </c>
      <c r="AC75">
        <f>(D75+2*$F$5)*F75*G75/1000000000</f>
        <v>0.58</v>
      </c>
    </row>
    <row r="76">
      <c r="A76" t="str">
        <f>'Data Panjang Balok'!A73</f>
        <v>Sloof</v>
      </c>
      <c r="B76">
        <f>'Data Panjang Balok'!B73</f>
        <v>56</v>
      </c>
      <c r="C76" t="str">
        <f>'Data Panjang Balok'!D73</f>
        <v>TB245-2</v>
      </c>
      <c r="D76">
        <f>IF(C76&gt;0,VLOOKUP(C76,'Detail Balok'!$C$11:$AU$110,2,FALSE),0)</f>
        <v>200</v>
      </c>
      <c r="E76" t="str">
        <v>x</v>
      </c>
      <c r="F76">
        <f>IF(C76&gt;0,VLOOKUP(C76,'Detail Balok'!$C$11:$AU$110,3,FALSE),0)</f>
        <v>450</v>
      </c>
      <c r="G76">
        <f>'Data Panjang Balok'!I73</f>
        <v>11065</v>
      </c>
      <c r="H76">
        <f>'Data Panjang Balok'!J73</f>
        <v>150</v>
      </c>
      <c r="J76">
        <f>I76-F76/1000</f>
        <v>-0.45</v>
      </c>
      <c r="K76">
        <f>'Data Panjang Balok'!E73</f>
        <v>1</v>
      </c>
      <c r="L76">
        <f>SUMIFS('Besi Balok'!$AA$23:$AA$12292,'Besi Balok'!$A$23:$A$12292,$A76,'Besi Balok'!$B$23:$B$12292,$B76,'Besi Balok'!$F$23:$F$12292,'REKAP Balok'!L$12)</f>
        <v>0</v>
      </c>
      <c r="M76">
        <f>SUMIFS('Besi Balok'!$AA$23:$AA$12292,'Besi Balok'!$A$23:$A$12292,$A76,'Besi Balok'!$B$23:$B$12292,$B76,'Besi Balok'!$F$23:$F$12292,'REKAP Balok'!M$12)</f>
        <v>45.88890624</v>
      </c>
      <c r="N76">
        <f>SUMIFS('Besi Balok'!$AA$23:$AA$12292,'Besi Balok'!$A$23:$A$12292,$A76,'Besi Balok'!$B$23:$B$12292,$B76,'Besi Balok'!$F$23:$F$12292,'REKAP Balok'!N$12)</f>
        <v>0</v>
      </c>
      <c r="O76">
        <f>SUMIFS('Besi Balok'!$AA$23:$AA$12292,'Besi Balok'!$A$23:$A$12292,$A76,'Besi Balok'!$B$23:$B$12292,$B76,'Besi Balok'!$F$23:$F$12292,'REKAP Balok'!O$12)</f>
        <v>84.112417935</v>
      </c>
      <c r="P76">
        <f>SUMIFS('Besi Balok'!$AA$23:$AA$12292,'Besi Balok'!$A$23:$A$12292,$A76,'Besi Balok'!$B$23:$B$12292,$B76,'Besi Balok'!$F$23:$F$12292,'REKAP Balok'!P$12)</f>
        <v>0</v>
      </c>
      <c r="Q76">
        <f>SUMIFS('Besi Balok'!$AA$23:$AA$12292,'Besi Balok'!$A$23:$A$12292,$A76,'Besi Balok'!$B$23:$B$12292,$B76,'Besi Balok'!$F$23:$F$12292,'REKAP Balok'!Q$12)</f>
        <v>0</v>
      </c>
      <c r="R76">
        <f>SUMIFS('Besi Balok'!$AA$23:$AA$12292,'Besi Balok'!$A$23:$A$12292,$A76,'Besi Balok'!$B$23:$B$12292,$B76,'Besi Balok'!$F$23:$F$12292,'REKAP Balok'!R$12)</f>
        <v>0</v>
      </c>
      <c r="S76">
        <f>SUMIFS('Besi Balok'!$AA$23:$AA$12292,'Besi Balok'!$A$23:$A$12292,$A76,'Besi Balok'!$B$23:$B$12292,$B76,'Besi Balok'!$F$23:$F$12292,'REKAP Balok'!S$12)</f>
        <v>0</v>
      </c>
      <c r="T76">
        <f>SUMIFS('Besi Balok'!$AA$23:$AA$12292,'Besi Balok'!$A$23:$A$12292,$A76,'Besi Balok'!$B$23:$B$12292,$B76,'Besi Balok'!$F$23:$F$12292,'REKAP Balok'!T$12)</f>
        <v>0</v>
      </c>
      <c r="U76">
        <f>SUM(L76:T76)</f>
        <v>130.00132417499998</v>
      </c>
      <c r="V76">
        <f>(D76*(F76-H76)*G76*K76)/1000000000</f>
        <v>0.6639</v>
      </c>
      <c r="X76">
        <f>((F76-H76)*2*(G76)*K76)/1000000</f>
        <v>6.639</v>
      </c>
      <c r="Y76">
        <f>K76*(D76+2*$F$5)*G76*$F$7/1000000000</f>
        <v>0.2213</v>
      </c>
      <c r="Z76">
        <f>K76*(D76+2*$F$5+2*$F$6)*($F$4-J76+($F$7+$F$8)/1000)*G76/1000000</f>
        <v>5.5325</v>
      </c>
      <c r="AC76">
        <f>(D76+2*$F$5)*F76*G76/1000000000</f>
        <v>1.9917</v>
      </c>
    </row>
    <row r="77">
      <c r="A77" t="str">
        <f>'Data Panjang Balok'!A74</f>
        <v>Sloof</v>
      </c>
      <c r="B77">
        <f>'Data Panjang Balok'!B74</f>
        <v>57</v>
      </c>
      <c r="C77" t="str">
        <f>'Data Panjang Balok'!D74</f>
        <v>TB245-1</v>
      </c>
      <c r="D77">
        <f>IF(C77&gt;0,VLOOKUP(C77,'Detail Balok'!$C$11:$AU$110,2,FALSE),0)</f>
        <v>200</v>
      </c>
      <c r="E77" t="str">
        <v>x</v>
      </c>
      <c r="F77">
        <f>IF(C77&gt;0,VLOOKUP(C77,'Detail Balok'!$C$11:$AU$110,3,FALSE),0)</f>
        <v>450</v>
      </c>
      <c r="G77">
        <f>'Data Panjang Balok'!I74</f>
        <v>7130</v>
      </c>
      <c r="H77">
        <f>'Data Panjang Balok'!J74</f>
        <v>150</v>
      </c>
      <c r="J77">
        <f>I77-F77/1000</f>
        <v>-0.45</v>
      </c>
      <c r="K77">
        <f>'Data Panjang Balok'!E74</f>
        <v>1</v>
      </c>
      <c r="L77">
        <f>SUMIFS('Besi Balok'!$AA$23:$AA$12292,'Besi Balok'!$A$23:$A$12292,$A77,'Besi Balok'!$B$23:$B$12292,$B77,'Besi Balok'!$F$23:$F$12292,'REKAP Balok'!L$12)</f>
        <v>0</v>
      </c>
      <c r="M77">
        <f>SUMIFS('Besi Balok'!$AA$23:$AA$12292,'Besi Balok'!$A$23:$A$12292,$A77,'Besi Balok'!$B$23:$B$12292,$B77,'Besi Balok'!$F$23:$F$12292,'REKAP Balok'!M$12)</f>
        <v>22.720343040000003</v>
      </c>
      <c r="N77">
        <f>SUMIFS('Besi Balok'!$AA$23:$AA$12292,'Besi Balok'!$A$23:$A$12292,$A77,'Besi Balok'!$B$23:$B$12292,$B77,'Besi Balok'!$F$23:$F$12292,'REKAP Balok'!N$12)</f>
        <v>0</v>
      </c>
      <c r="O77">
        <f>SUMIFS('Besi Balok'!$AA$23:$AA$12292,'Besi Balok'!$A$23:$A$12292,$A77,'Besi Balok'!$B$23:$B$12292,$B77,'Besi Balok'!$F$23:$F$12292,'REKAP Balok'!O$12)</f>
        <v>46.52224902</v>
      </c>
      <c r="P77">
        <f>SUMIFS('Besi Balok'!$AA$23:$AA$12292,'Besi Balok'!$A$23:$A$12292,$A77,'Besi Balok'!$B$23:$B$12292,$B77,'Besi Balok'!$F$23:$F$12292,'REKAP Balok'!P$12)</f>
        <v>0</v>
      </c>
      <c r="Q77">
        <f>SUMIFS('Besi Balok'!$AA$23:$AA$12292,'Besi Balok'!$A$23:$A$12292,$A77,'Besi Balok'!$B$23:$B$12292,$B77,'Besi Balok'!$F$23:$F$12292,'REKAP Balok'!Q$12)</f>
        <v>0</v>
      </c>
      <c r="R77">
        <f>SUMIFS('Besi Balok'!$AA$23:$AA$12292,'Besi Balok'!$A$23:$A$12292,$A77,'Besi Balok'!$B$23:$B$12292,$B77,'Besi Balok'!$F$23:$F$12292,'REKAP Balok'!R$12)</f>
        <v>0</v>
      </c>
      <c r="S77">
        <f>SUMIFS('Besi Balok'!$AA$23:$AA$12292,'Besi Balok'!$A$23:$A$12292,$A77,'Besi Balok'!$B$23:$B$12292,$B77,'Besi Balok'!$F$23:$F$12292,'REKAP Balok'!S$12)</f>
        <v>0</v>
      </c>
      <c r="T77">
        <f>SUMIFS('Besi Balok'!$AA$23:$AA$12292,'Besi Balok'!$A$23:$A$12292,$A77,'Besi Balok'!$B$23:$B$12292,$B77,'Besi Balok'!$F$23:$F$12292,'REKAP Balok'!T$12)</f>
        <v>0</v>
      </c>
      <c r="U77">
        <f>SUM(L77:T77)</f>
        <v>69.24259205999999</v>
      </c>
      <c r="V77">
        <f>(D77*(F77-H77)*G77*K77)/1000000000</f>
        <v>0.4278</v>
      </c>
      <c r="X77">
        <f>((F77-H77)*2*(G77)*K77)/1000000</f>
        <v>4.278</v>
      </c>
      <c r="Y77">
        <f>K77*(D77+2*$F$5)*G77*$F$7/1000000000</f>
        <v>0.1426</v>
      </c>
      <c r="Z77">
        <f>K77*(D77+2*$F$5+2*$F$6)*($F$4-J77+($F$7+$F$8)/1000)*G77/1000000</f>
        <v>3.565</v>
      </c>
      <c r="AC77">
        <f>(D77+2*$F$5)*F77*G77/1000000000</f>
        <v>1.2834</v>
      </c>
    </row>
    <row r="78">
      <c r="A78" t="str">
        <f>'Data Panjang Balok'!A75</f>
        <v>Sloof</v>
      </c>
      <c r="B78">
        <f>'Data Panjang Balok'!B75</f>
        <v>58</v>
      </c>
      <c r="C78" t="str">
        <f>'Data Panjang Balok'!D75</f>
        <v>TB245-1</v>
      </c>
      <c r="D78">
        <f>IF(C78&gt;0,VLOOKUP(C78,'Detail Balok'!$C$11:$AU$110,2,FALSE),0)</f>
        <v>200</v>
      </c>
      <c r="E78" t="str">
        <v>x</v>
      </c>
      <c r="F78">
        <f>IF(C78&gt;0,VLOOKUP(C78,'Detail Balok'!$C$11:$AU$110,3,FALSE),0)</f>
        <v>450</v>
      </c>
      <c r="G78">
        <f>'Data Panjang Balok'!I75</f>
        <v>5800</v>
      </c>
      <c r="H78">
        <f>'Data Panjang Balok'!J75</f>
        <v>150</v>
      </c>
      <c r="J78">
        <f>I78-F78/1000</f>
        <v>-0.45</v>
      </c>
      <c r="K78">
        <f>'Data Panjang Balok'!E75</f>
        <v>0</v>
      </c>
      <c r="L78">
        <f>SUMIFS('Besi Balok'!$AA$23:$AA$12292,'Besi Balok'!$A$23:$A$12292,$A78,'Besi Balok'!$B$23:$B$12292,$B78,'Besi Balok'!$F$23:$F$12292,'REKAP Balok'!L$12)</f>
        <v>0</v>
      </c>
      <c r="M78">
        <f>SUMIFS('Besi Balok'!$AA$23:$AA$12292,'Besi Balok'!$A$23:$A$12292,$A78,'Besi Balok'!$B$23:$B$12292,$B78,'Besi Balok'!$F$23:$F$12292,'REKAP Balok'!M$12)</f>
        <v>0</v>
      </c>
      <c r="N78">
        <f>SUMIFS('Besi Balok'!$AA$23:$AA$12292,'Besi Balok'!$A$23:$A$12292,$A78,'Besi Balok'!$B$23:$B$12292,$B78,'Besi Balok'!$F$23:$F$12292,'REKAP Balok'!N$12)</f>
        <v>0</v>
      </c>
      <c r="O78">
        <f>SUMIFS('Besi Balok'!$AA$23:$AA$12292,'Besi Balok'!$A$23:$A$12292,$A78,'Besi Balok'!$B$23:$B$12292,$B78,'Besi Balok'!$F$23:$F$12292,'REKAP Balok'!O$12)</f>
        <v>0</v>
      </c>
      <c r="P78">
        <f>SUMIFS('Besi Balok'!$AA$23:$AA$12292,'Besi Balok'!$A$23:$A$12292,$A78,'Besi Balok'!$B$23:$B$12292,$B78,'Besi Balok'!$F$23:$F$12292,'REKAP Balok'!P$12)</f>
        <v>0</v>
      </c>
      <c r="Q78">
        <f>SUMIFS('Besi Balok'!$AA$23:$AA$12292,'Besi Balok'!$A$23:$A$12292,$A78,'Besi Balok'!$B$23:$B$12292,$B78,'Besi Balok'!$F$23:$F$12292,'REKAP Balok'!Q$12)</f>
        <v>0</v>
      </c>
      <c r="R78">
        <f>SUMIFS('Besi Balok'!$AA$23:$AA$12292,'Besi Balok'!$A$23:$A$12292,$A78,'Besi Balok'!$B$23:$B$12292,$B78,'Besi Balok'!$F$23:$F$12292,'REKAP Balok'!R$12)</f>
        <v>0</v>
      </c>
      <c r="S78">
        <f>SUMIFS('Besi Balok'!$AA$23:$AA$12292,'Besi Balok'!$A$23:$A$12292,$A78,'Besi Balok'!$B$23:$B$12292,$B78,'Besi Balok'!$F$23:$F$12292,'REKAP Balok'!S$12)</f>
        <v>0</v>
      </c>
      <c r="T78">
        <f>SUMIFS('Besi Balok'!$AA$23:$AA$12292,'Besi Balok'!$A$23:$A$12292,$A78,'Besi Balok'!$B$23:$B$12292,$B78,'Besi Balok'!$F$23:$F$12292,'REKAP Balok'!T$12)</f>
        <v>0</v>
      </c>
      <c r="U78">
        <f>SUM(L78:T78)</f>
        <v>0</v>
      </c>
      <c r="V78">
        <f>(D78*(F78-H78)*G78*K78)/1000000000</f>
        <v>0</v>
      </c>
      <c r="X78">
        <f>((F78-H78)*2*(G78)*K78)/1000000</f>
        <v>0</v>
      </c>
      <c r="Y78">
        <f>K78*(D78+2*$F$5)*G78*$F$7/1000000000</f>
        <v>0</v>
      </c>
      <c r="Z78">
        <f>K78*(D78+2*$F$5+2*$F$6)*($F$4-J78+($F$7+$F$8)/1000)*G78/1000000</f>
        <v>0</v>
      </c>
      <c r="AC78">
        <f>(D78+2*$F$5)*F78*G78/1000000000</f>
        <v>1.044</v>
      </c>
    </row>
    <row r="79">
      <c r="A79" t="str">
        <f>'Data Panjang Balok'!A76</f>
        <v>Sloof</v>
      </c>
      <c r="B79">
        <f>'Data Panjang Balok'!B76</f>
        <v>59</v>
      </c>
      <c r="C79" t="str">
        <f>'Data Panjang Balok'!D76</f>
        <v>TB245-1</v>
      </c>
      <c r="D79">
        <f>IF(C79&gt;0,VLOOKUP(C79,'Detail Balok'!$C$11:$AU$110,2,FALSE),0)</f>
        <v>200</v>
      </c>
      <c r="E79" t="str">
        <v>x</v>
      </c>
      <c r="F79">
        <f>IF(C79&gt;0,VLOOKUP(C79,'Detail Balok'!$C$11:$AU$110,3,FALSE),0)</f>
        <v>450</v>
      </c>
      <c r="G79">
        <f>'Data Panjang Balok'!I76</f>
        <v>9250</v>
      </c>
      <c r="H79">
        <f>'Data Panjang Balok'!J76</f>
        <v>150</v>
      </c>
      <c r="J79">
        <f>I79-F79/1000</f>
        <v>-0.45</v>
      </c>
      <c r="K79">
        <f>'Data Panjang Balok'!E76</f>
        <v>1</v>
      </c>
      <c r="L79">
        <f>SUMIFS('Besi Balok'!$AA$23:$AA$12292,'Besi Balok'!$A$23:$A$12292,$A79,'Besi Balok'!$B$23:$B$12292,$B79,'Besi Balok'!$F$23:$F$12292,'REKAP Balok'!L$12)</f>
        <v>0</v>
      </c>
      <c r="M79">
        <f>SUMIFS('Besi Balok'!$AA$23:$AA$12292,'Besi Balok'!$A$23:$A$12292,$A79,'Besi Balok'!$B$23:$B$12292,$B79,'Besi Balok'!$F$23:$F$12292,'REKAP Balok'!M$12)</f>
        <v>29.29765824</v>
      </c>
      <c r="N79">
        <f>SUMIFS('Besi Balok'!$AA$23:$AA$12292,'Besi Balok'!$A$23:$A$12292,$A79,'Besi Balok'!$B$23:$B$12292,$B79,'Besi Balok'!$F$23:$F$12292,'REKAP Balok'!N$12)</f>
        <v>0</v>
      </c>
      <c r="O79">
        <f>SUMIFS('Besi Balok'!$AA$23:$AA$12292,'Besi Balok'!$A$23:$A$12292,$A79,'Besi Balok'!$B$23:$B$12292,$B79,'Besi Balok'!$F$23:$F$12292,'REKAP Balok'!O$12)</f>
        <v>59.77502622000001</v>
      </c>
      <c r="P79">
        <f>SUMIFS('Besi Balok'!$AA$23:$AA$12292,'Besi Balok'!$A$23:$A$12292,$A79,'Besi Balok'!$B$23:$B$12292,$B79,'Besi Balok'!$F$23:$F$12292,'REKAP Balok'!P$12)</f>
        <v>0</v>
      </c>
      <c r="Q79">
        <f>SUMIFS('Besi Balok'!$AA$23:$AA$12292,'Besi Balok'!$A$23:$A$12292,$A79,'Besi Balok'!$B$23:$B$12292,$B79,'Besi Balok'!$F$23:$F$12292,'REKAP Balok'!Q$12)</f>
        <v>0</v>
      </c>
      <c r="R79">
        <f>SUMIFS('Besi Balok'!$AA$23:$AA$12292,'Besi Balok'!$A$23:$A$12292,$A79,'Besi Balok'!$B$23:$B$12292,$B79,'Besi Balok'!$F$23:$F$12292,'REKAP Balok'!R$12)</f>
        <v>0</v>
      </c>
      <c r="S79">
        <f>SUMIFS('Besi Balok'!$AA$23:$AA$12292,'Besi Balok'!$A$23:$A$12292,$A79,'Besi Balok'!$B$23:$B$12292,$B79,'Besi Balok'!$F$23:$F$12292,'REKAP Balok'!S$12)</f>
        <v>0</v>
      </c>
      <c r="T79">
        <f>SUMIFS('Besi Balok'!$AA$23:$AA$12292,'Besi Balok'!$A$23:$A$12292,$A79,'Besi Balok'!$B$23:$B$12292,$B79,'Besi Balok'!$F$23:$F$12292,'REKAP Balok'!T$12)</f>
        <v>0</v>
      </c>
      <c r="U79">
        <f>SUM(L79:T79)</f>
        <v>89.07268446</v>
      </c>
      <c r="V79">
        <f>(D79*(F79-H79)*G79*K79)/1000000000</f>
        <v>0.555</v>
      </c>
      <c r="X79">
        <f>((F79-H79)*2*(G79)*K79)/1000000</f>
        <v>5.55</v>
      </c>
      <c r="Y79">
        <f>K79*(D79+2*$F$5)*G79*$F$7/1000000000</f>
        <v>0.185</v>
      </c>
      <c r="Z79">
        <f>K79*(D79+2*$F$5+2*$F$6)*($F$4-J79+($F$7+$F$8)/1000)*G79/1000000</f>
        <v>4.625</v>
      </c>
      <c r="AC79">
        <f>(D79+2*$F$5)*F79*G79/1000000000</f>
        <v>1.665</v>
      </c>
    </row>
    <row r="80">
      <c r="A80" t="str">
        <f>'Data Panjang Balok'!A77</f>
        <v>Sloof</v>
      </c>
      <c r="B80">
        <f>'Data Panjang Balok'!B77</f>
        <v>60</v>
      </c>
      <c r="C80" t="str">
        <f>'Data Panjang Balok'!D77</f>
        <v>TB245-1</v>
      </c>
      <c r="D80">
        <f>IF(C80&gt;0,VLOOKUP(C80,'Detail Balok'!$C$11:$AU$110,2,FALSE),0)</f>
        <v>200</v>
      </c>
      <c r="E80" t="str">
        <v>x</v>
      </c>
      <c r="F80">
        <f>IF(C80&gt;0,VLOOKUP(C80,'Detail Balok'!$C$11:$AU$110,3,FALSE),0)</f>
        <v>450</v>
      </c>
      <c r="G80">
        <f>'Data Panjang Balok'!I77</f>
        <v>3235</v>
      </c>
      <c r="H80">
        <f>'Data Panjang Balok'!J77</f>
        <v>150</v>
      </c>
      <c r="J80">
        <f>I80-F80/1000</f>
        <v>-0.45</v>
      </c>
      <c r="K80">
        <f>'Data Panjang Balok'!E77</f>
        <v>1</v>
      </c>
      <c r="L80">
        <f>SUMIFS('Besi Balok'!$AA$23:$AA$12292,'Besi Balok'!$A$23:$A$12292,$A80,'Besi Balok'!$B$23:$B$12292,$B80,'Besi Balok'!$F$23:$F$12292,'REKAP Balok'!L$12)</f>
        <v>0</v>
      </c>
      <c r="M80">
        <f>SUMIFS('Besi Balok'!$AA$23:$AA$12292,'Besi Balok'!$A$23:$A$12292,$A80,'Besi Balok'!$B$23:$B$12292,$B80,'Besi Balok'!$F$23:$F$12292,'REKAP Balok'!M$12)</f>
        <v>11.17551744</v>
      </c>
      <c r="N80">
        <f>SUMIFS('Besi Balok'!$AA$23:$AA$12292,'Besi Balok'!$A$23:$A$12292,$A80,'Besi Balok'!$B$23:$B$12292,$B80,'Besi Balok'!$F$23:$F$12292,'REKAP Balok'!N$12)</f>
        <v>0</v>
      </c>
      <c r="O80">
        <f>SUMIFS('Besi Balok'!$AA$23:$AA$12292,'Besi Balok'!$A$23:$A$12292,$A80,'Besi Balok'!$B$23:$B$12292,$B80,'Besi Balok'!$F$23:$F$12292,'REKAP Balok'!O$12)</f>
        <v>22.173396569999998</v>
      </c>
      <c r="P80">
        <f>SUMIFS('Besi Balok'!$AA$23:$AA$12292,'Besi Balok'!$A$23:$A$12292,$A80,'Besi Balok'!$B$23:$B$12292,$B80,'Besi Balok'!$F$23:$F$12292,'REKAP Balok'!P$12)</f>
        <v>0</v>
      </c>
      <c r="Q80">
        <f>SUMIFS('Besi Balok'!$AA$23:$AA$12292,'Besi Balok'!$A$23:$A$12292,$A80,'Besi Balok'!$B$23:$B$12292,$B80,'Besi Balok'!$F$23:$F$12292,'REKAP Balok'!Q$12)</f>
        <v>0</v>
      </c>
      <c r="R80">
        <f>SUMIFS('Besi Balok'!$AA$23:$AA$12292,'Besi Balok'!$A$23:$A$12292,$A80,'Besi Balok'!$B$23:$B$12292,$B80,'Besi Balok'!$F$23:$F$12292,'REKAP Balok'!R$12)</f>
        <v>0</v>
      </c>
      <c r="S80">
        <f>SUMIFS('Besi Balok'!$AA$23:$AA$12292,'Besi Balok'!$A$23:$A$12292,$A80,'Besi Balok'!$B$23:$B$12292,$B80,'Besi Balok'!$F$23:$F$12292,'REKAP Balok'!S$12)</f>
        <v>0</v>
      </c>
      <c r="T80">
        <f>SUMIFS('Besi Balok'!$AA$23:$AA$12292,'Besi Balok'!$A$23:$A$12292,$A80,'Besi Balok'!$B$23:$B$12292,$B80,'Besi Balok'!$F$23:$F$12292,'REKAP Balok'!T$12)</f>
        <v>0</v>
      </c>
      <c r="U80">
        <f>SUM(L80:T80)</f>
        <v>33.34891401</v>
      </c>
      <c r="V80">
        <f>(D80*(F80-H80)*G80*K80)/1000000000</f>
        <v>0.1941</v>
      </c>
      <c r="X80">
        <f>((F80-H80)*2*(G80)*K80)/1000000</f>
        <v>1.941</v>
      </c>
      <c r="Y80">
        <f>K80*(D80+2*$F$5)*G80*$F$7/1000000000</f>
        <v>0.0647</v>
      </c>
      <c r="Z80">
        <f>K80*(D80+2*$F$5+2*$F$6)*($F$4-J80+($F$7+$F$8)/1000)*G80/1000000</f>
        <v>1.6175</v>
      </c>
      <c r="AC80">
        <f>(D80+2*$F$5)*F80*G80/1000000000</f>
        <v>0.5823</v>
      </c>
    </row>
    <row r="81">
      <c r="A81" t="str">
        <f>'Data Panjang Balok'!A78</f>
        <v>Sloof</v>
      </c>
      <c r="B81">
        <f>'Data Panjang Balok'!B78</f>
        <v>61</v>
      </c>
      <c r="C81" t="str">
        <f>'Data Panjang Balok'!D78</f>
        <v>TB36-1</v>
      </c>
      <c r="D81">
        <f>IF(C81&gt;0,VLOOKUP(C81,'Detail Balok'!$C$11:$AU$110,2,FALSE),0)</f>
        <v>300</v>
      </c>
      <c r="E81" t="str">
        <v>x</v>
      </c>
      <c r="F81">
        <f>IF(C81&gt;0,VLOOKUP(C81,'Detail Balok'!$C$11:$AU$110,3,FALSE),0)</f>
        <v>600</v>
      </c>
      <c r="G81">
        <f>'Data Panjang Balok'!I78</f>
        <v>4850</v>
      </c>
      <c r="H81">
        <f>'Data Panjang Balok'!J78</f>
        <v>150</v>
      </c>
      <c r="J81">
        <f>I81-F81/1000</f>
        <v>-0.6</v>
      </c>
      <c r="K81">
        <f>'Data Panjang Balok'!E78</f>
        <v>1</v>
      </c>
      <c r="L81">
        <f>SUMIFS('Besi Balok'!$AA$23:$AA$12292,'Besi Balok'!$A$23:$A$12292,$A81,'Besi Balok'!$B$23:$B$12292,$B81,'Besi Balok'!$F$23:$F$12292,'REKAP Balok'!L$12)</f>
        <v>0</v>
      </c>
      <c r="M81">
        <f>SUMIFS('Besi Balok'!$AA$23:$AA$12292,'Besi Balok'!$A$23:$A$12292,$A81,'Besi Balok'!$B$23:$B$12292,$B81,'Besi Balok'!$F$23:$F$12292,'REKAP Balok'!M$12)</f>
        <v>0</v>
      </c>
      <c r="N81">
        <f>SUMIFS('Besi Balok'!$AA$23:$AA$12292,'Besi Balok'!$A$23:$A$12292,$A81,'Besi Balok'!$B$23:$B$12292,$B81,'Besi Balok'!$F$23:$F$12292,'REKAP Balok'!N$12)</f>
        <v>34.41303</v>
      </c>
      <c r="O81">
        <f>SUMIFS('Besi Balok'!$AA$23:$AA$12292,'Besi Balok'!$A$23:$A$12292,$A81,'Besi Balok'!$B$23:$B$12292,$B81,'Besi Balok'!$F$23:$F$12292,'REKAP Balok'!O$12)</f>
        <v>0</v>
      </c>
      <c r="P81">
        <f>SUMIFS('Besi Balok'!$AA$23:$AA$12292,'Besi Balok'!$A$23:$A$12292,$A81,'Besi Balok'!$B$23:$B$12292,$B81,'Besi Balok'!$F$23:$F$12292,'REKAP Balok'!P$12)</f>
        <v>0</v>
      </c>
      <c r="Q81">
        <f>SUMIFS('Besi Balok'!$AA$23:$AA$12292,'Besi Balok'!$A$23:$A$12292,$A81,'Besi Balok'!$B$23:$B$12292,$B81,'Besi Balok'!$F$23:$F$12292,'REKAP Balok'!Q$12)</f>
        <v>105.99142034249999</v>
      </c>
      <c r="R81">
        <f>SUMIFS('Besi Balok'!$AA$23:$AA$12292,'Besi Balok'!$A$23:$A$12292,$A81,'Besi Balok'!$B$23:$B$12292,$B81,'Besi Balok'!$F$23:$F$12292,'REKAP Balok'!R$12)</f>
        <v>0</v>
      </c>
      <c r="S81">
        <f>SUMIFS('Besi Balok'!$AA$23:$AA$12292,'Besi Balok'!$A$23:$A$12292,$A81,'Besi Balok'!$B$23:$B$12292,$B81,'Besi Balok'!$F$23:$F$12292,'REKAP Balok'!S$12)</f>
        <v>0</v>
      </c>
      <c r="T81">
        <f>SUMIFS('Besi Balok'!$AA$23:$AA$12292,'Besi Balok'!$A$23:$A$12292,$A81,'Besi Balok'!$B$23:$B$12292,$B81,'Besi Balok'!$F$23:$F$12292,'REKAP Balok'!T$12)</f>
        <v>0</v>
      </c>
      <c r="U81">
        <f>SUM(L81:T81)</f>
        <v>140.40445034249998</v>
      </c>
      <c r="V81">
        <f>(D81*(F81-H81)*G81*K81)/1000000000</f>
        <v>0.65475</v>
      </c>
      <c r="X81">
        <f>((F81-H81)*2*(G81)*K81)/1000000</f>
        <v>4.365</v>
      </c>
      <c r="Y81">
        <f>K81*(D81+2*$F$5)*G81*$F$7/1000000000</f>
        <v>0.12125</v>
      </c>
      <c r="Z81">
        <f>K81*(D81+2*$F$5+2*$F$6)*($F$4-J81+($F$7+$F$8)/1000)*G81/1000000</f>
        <v>3.46775</v>
      </c>
      <c r="AC81">
        <f>(D81+2*$F$5)*F81*G81/1000000000</f>
        <v>1.455</v>
      </c>
    </row>
    <row r="82">
      <c r="A82" t="str">
        <f>'Data Panjang Balok'!A79</f>
        <v>Sloof</v>
      </c>
      <c r="B82">
        <f>'Data Panjang Balok'!B79</f>
        <v>62</v>
      </c>
      <c r="C82" t="str">
        <f>'Data Panjang Balok'!D79</f>
        <v>TB24-2</v>
      </c>
      <c r="D82">
        <f>IF(C82&gt;0,VLOOKUP(C82,'Detail Balok'!$C$11:$AU$110,2,FALSE),0)</f>
        <v>200</v>
      </c>
      <c r="E82" t="str">
        <v>x</v>
      </c>
      <c r="F82">
        <f>IF(C82&gt;0,VLOOKUP(C82,'Detail Balok'!$C$11:$AU$110,3,FALSE),0)</f>
        <v>400</v>
      </c>
      <c r="G82">
        <f>'Data Panjang Balok'!I79</f>
        <v>3790</v>
      </c>
      <c r="H82">
        <f>'Data Panjang Balok'!J79</f>
        <v>150</v>
      </c>
      <c r="J82">
        <f>I82-F82/1000</f>
        <v>-0.4</v>
      </c>
      <c r="K82">
        <f>'Data Panjang Balok'!E79</f>
        <v>1</v>
      </c>
      <c r="L82">
        <f>SUMIFS('Besi Balok'!$AA$23:$AA$12292,'Besi Balok'!$A$23:$A$12292,$A82,'Besi Balok'!$B$23:$B$12292,$B82,'Besi Balok'!$F$23:$F$12292,'REKAP Balok'!L$12)</f>
        <v>0</v>
      </c>
      <c r="M82">
        <f>SUMIFS('Besi Balok'!$AA$23:$AA$12292,'Besi Balok'!$A$23:$A$12292,$A82,'Besi Balok'!$B$23:$B$12292,$B82,'Besi Balok'!$F$23:$F$12292,'REKAP Balok'!M$12)</f>
        <v>9.3471264</v>
      </c>
      <c r="N82">
        <f>SUMIFS('Besi Balok'!$AA$23:$AA$12292,'Besi Balok'!$A$23:$A$12292,$A82,'Besi Balok'!$B$23:$B$12292,$B82,'Besi Balok'!$F$23:$F$12292,'REKAP Balok'!N$12)</f>
        <v>0</v>
      </c>
      <c r="O82">
        <f>SUMIFS('Besi Balok'!$AA$23:$AA$12292,'Besi Balok'!$A$23:$A$12292,$A82,'Besi Balok'!$B$23:$B$12292,$B82,'Besi Balok'!$F$23:$F$12292,'REKAP Balok'!O$12)</f>
        <v>26.78061204</v>
      </c>
      <c r="P82">
        <f>SUMIFS('Besi Balok'!$AA$23:$AA$12292,'Besi Balok'!$A$23:$A$12292,$A82,'Besi Balok'!$B$23:$B$12292,$B82,'Besi Balok'!$F$23:$F$12292,'REKAP Balok'!P$12)</f>
        <v>0</v>
      </c>
      <c r="Q82">
        <f>SUMIFS('Besi Balok'!$AA$23:$AA$12292,'Besi Balok'!$A$23:$A$12292,$A82,'Besi Balok'!$B$23:$B$12292,$B82,'Besi Balok'!$F$23:$F$12292,'REKAP Balok'!Q$12)</f>
        <v>0</v>
      </c>
      <c r="R82">
        <f>SUMIFS('Besi Balok'!$AA$23:$AA$12292,'Besi Balok'!$A$23:$A$12292,$A82,'Besi Balok'!$B$23:$B$12292,$B82,'Besi Balok'!$F$23:$F$12292,'REKAP Balok'!R$12)</f>
        <v>0</v>
      </c>
      <c r="S82">
        <f>SUMIFS('Besi Balok'!$AA$23:$AA$12292,'Besi Balok'!$A$23:$A$12292,$A82,'Besi Balok'!$B$23:$B$12292,$B82,'Besi Balok'!$F$23:$F$12292,'REKAP Balok'!S$12)</f>
        <v>0</v>
      </c>
      <c r="T82">
        <f>SUMIFS('Besi Balok'!$AA$23:$AA$12292,'Besi Balok'!$A$23:$A$12292,$A82,'Besi Balok'!$B$23:$B$12292,$B82,'Besi Balok'!$F$23:$F$12292,'REKAP Balok'!T$12)</f>
        <v>0</v>
      </c>
      <c r="U82">
        <f>SUM(L82:T82)</f>
        <v>36.12773844</v>
      </c>
      <c r="V82">
        <f>(D82*(F82-H82)*G82*K82)/1000000000</f>
        <v>0.1895</v>
      </c>
      <c r="X82">
        <f>((F82-H82)*2*(G82)*K82)/1000000</f>
        <v>1.895</v>
      </c>
      <c r="Y82">
        <f>K82*(D82+2*$F$5)*G82*$F$7/1000000000</f>
        <v>0.0758</v>
      </c>
      <c r="Z82">
        <f>K82*(D82+2*$F$5+2*$F$6)*($F$4-J82+($F$7+$F$8)/1000)*G82/1000000</f>
        <v>1.7055</v>
      </c>
      <c r="AC82">
        <f>(D82+2*$F$5)*F82*G82/1000000000</f>
        <v>0.6064</v>
      </c>
    </row>
    <row r="83">
      <c r="A83" t="str">
        <f>'Data Panjang Balok'!A80</f>
        <v>Sloof</v>
      </c>
      <c r="B83">
        <f>'Data Panjang Balok'!B80</f>
        <v>63</v>
      </c>
      <c r="C83" t="str">
        <f>'Data Panjang Balok'!D80</f>
        <v>TB245-2</v>
      </c>
      <c r="D83">
        <f>IF(C83&gt;0,VLOOKUP(C83,'Detail Balok'!$C$11:$AU$110,2,FALSE),0)</f>
        <v>200</v>
      </c>
      <c r="E83" t="str">
        <v>x</v>
      </c>
      <c r="F83">
        <f>IF(C83&gt;0,VLOOKUP(C83,'Detail Balok'!$C$11:$AU$110,3,FALSE),0)</f>
        <v>450</v>
      </c>
      <c r="G83">
        <f>'Data Panjang Balok'!I80</f>
        <v>2675</v>
      </c>
      <c r="H83">
        <f>'Data Panjang Balok'!J80</f>
        <v>150</v>
      </c>
      <c r="J83">
        <f>I83-F83/1000</f>
        <v>-0.45</v>
      </c>
      <c r="K83">
        <f>'Data Panjang Balok'!E80</f>
        <v>1</v>
      </c>
      <c r="L83">
        <f>SUMIFS('Besi Balok'!$AA$23:$AA$12292,'Besi Balok'!$A$23:$A$12292,$A83,'Besi Balok'!$B$23:$B$12292,$B83,'Besi Balok'!$F$23:$F$12292,'REKAP Balok'!L$12)</f>
        <v>0</v>
      </c>
      <c r="M83">
        <f>SUMIFS('Besi Balok'!$AA$23:$AA$12292,'Besi Balok'!$A$23:$A$12292,$A83,'Besi Balok'!$B$23:$B$12292,$B83,'Besi Balok'!$F$23:$F$12292,'REKAP Balok'!M$12)</f>
        <v>12.07116864</v>
      </c>
      <c r="N83">
        <f>SUMIFS('Besi Balok'!$AA$23:$AA$12292,'Besi Balok'!$A$23:$A$12292,$A83,'Besi Balok'!$B$23:$B$12292,$B83,'Besi Balok'!$F$23:$F$12292,'REKAP Balok'!N$12)</f>
        <v>0</v>
      </c>
      <c r="O83">
        <f>SUMIFS('Besi Balok'!$AA$23:$AA$12292,'Besi Balok'!$A$23:$A$12292,$A83,'Besi Balok'!$B$23:$B$12292,$B83,'Besi Balok'!$F$23:$F$12292,'REKAP Balok'!O$12)</f>
        <v>22.922511885</v>
      </c>
      <c r="P83">
        <f>SUMIFS('Besi Balok'!$AA$23:$AA$12292,'Besi Balok'!$A$23:$A$12292,$A83,'Besi Balok'!$B$23:$B$12292,$B83,'Besi Balok'!$F$23:$F$12292,'REKAP Balok'!P$12)</f>
        <v>0</v>
      </c>
      <c r="Q83">
        <f>SUMIFS('Besi Balok'!$AA$23:$AA$12292,'Besi Balok'!$A$23:$A$12292,$A83,'Besi Balok'!$B$23:$B$12292,$B83,'Besi Balok'!$F$23:$F$12292,'REKAP Balok'!Q$12)</f>
        <v>0</v>
      </c>
      <c r="R83">
        <f>SUMIFS('Besi Balok'!$AA$23:$AA$12292,'Besi Balok'!$A$23:$A$12292,$A83,'Besi Balok'!$B$23:$B$12292,$B83,'Besi Balok'!$F$23:$F$12292,'REKAP Balok'!R$12)</f>
        <v>0</v>
      </c>
      <c r="S83">
        <f>SUMIFS('Besi Balok'!$AA$23:$AA$12292,'Besi Balok'!$A$23:$A$12292,$A83,'Besi Balok'!$B$23:$B$12292,$B83,'Besi Balok'!$F$23:$F$12292,'REKAP Balok'!S$12)</f>
        <v>0</v>
      </c>
      <c r="T83">
        <f>SUMIFS('Besi Balok'!$AA$23:$AA$12292,'Besi Balok'!$A$23:$A$12292,$A83,'Besi Balok'!$B$23:$B$12292,$B83,'Besi Balok'!$F$23:$F$12292,'REKAP Balok'!T$12)</f>
        <v>0</v>
      </c>
      <c r="U83">
        <f>SUM(L83:T83)</f>
        <v>34.993680525</v>
      </c>
      <c r="V83">
        <f>(D83*(F83-H83)*G83*K83)/1000000000</f>
        <v>0.1605</v>
      </c>
      <c r="X83">
        <f>((F83-H83)*2*(G83)*K83)/1000000</f>
        <v>1.605</v>
      </c>
      <c r="Y83">
        <f>K83*(D83+2*$F$5)*G83*$F$7/1000000000</f>
        <v>0.0535</v>
      </c>
      <c r="Z83">
        <f>K83*(D83+2*$F$5+2*$F$6)*($F$4-J83+($F$7+$F$8)/1000)*G83/1000000</f>
        <v>1.3375</v>
      </c>
      <c r="AC83">
        <f>(D83+2*$F$5)*F83*G83/1000000000</f>
        <v>0.4815</v>
      </c>
    </row>
    <row r="84">
      <c r="A84" t="str">
        <f>'Data Panjang Balok'!A81</f>
        <v>Sloof</v>
      </c>
      <c r="B84" t="str">
        <f>'Data Panjang Balok'!B81</f>
        <v>63A</v>
      </c>
      <c r="C84" t="str">
        <f>'Data Panjang Balok'!D81</f>
        <v>TB23-1</v>
      </c>
      <c r="D84">
        <f>IF(C84&gt;0,VLOOKUP(C84,'Detail Balok'!$C$11:$AU$110,2,FALSE),0)</f>
        <v>200</v>
      </c>
      <c r="E84" t="str">
        <v>x</v>
      </c>
      <c r="F84">
        <f>IF(C84&gt;0,VLOOKUP(C84,'Detail Balok'!$C$11:$AU$110,3,FALSE),0)</f>
        <v>300</v>
      </c>
      <c r="G84">
        <f>'Data Panjang Balok'!I81</f>
        <v>6030</v>
      </c>
      <c r="H84">
        <f>'Data Panjang Balok'!J81</f>
        <v>150</v>
      </c>
      <c r="J84">
        <f>I84-F84/1000</f>
        <v>-0.3</v>
      </c>
      <c r="K84">
        <f>'Data Panjang Balok'!E81</f>
        <v>1</v>
      </c>
      <c r="L84">
        <f>SUMIFS('Besi Balok'!$AA$23:$AA$12292,'Besi Balok'!$A$23:$A$12292,$A84,'Besi Balok'!$B$23:$B$12292,$B84,'Besi Balok'!$F$23:$F$12292,'REKAP Balok'!L$12)</f>
        <v>0</v>
      </c>
      <c r="M84">
        <f>SUMIFS('Besi Balok'!$AA$23:$AA$12292,'Besi Balok'!$A$23:$A$12292,$A84,'Besi Balok'!$B$23:$B$12292,$B84,'Besi Balok'!$F$23:$F$12292,'REKAP Balok'!M$12)</f>
        <v>13.7543616</v>
      </c>
      <c r="N84">
        <f>SUMIFS('Besi Balok'!$AA$23:$AA$12292,'Besi Balok'!$A$23:$A$12292,$A84,'Besi Balok'!$B$23:$B$12292,$B84,'Besi Balok'!$F$23:$F$12292,'REKAP Balok'!N$12)</f>
        <v>0</v>
      </c>
      <c r="O84">
        <f>SUMIFS('Besi Balok'!$AA$23:$AA$12292,'Besi Balok'!$A$23:$A$12292,$A84,'Besi Balok'!$B$23:$B$12292,$B84,'Besi Balok'!$F$23:$F$12292,'REKAP Balok'!O$12)</f>
        <v>26.430538679999998</v>
      </c>
      <c r="P84">
        <f>SUMIFS('Besi Balok'!$AA$23:$AA$12292,'Besi Balok'!$A$23:$A$12292,$A84,'Besi Balok'!$B$23:$B$12292,$B84,'Besi Balok'!$F$23:$F$12292,'REKAP Balok'!P$12)</f>
        <v>0</v>
      </c>
      <c r="Q84">
        <f>SUMIFS('Besi Balok'!$AA$23:$AA$12292,'Besi Balok'!$A$23:$A$12292,$A84,'Besi Balok'!$B$23:$B$12292,$B84,'Besi Balok'!$F$23:$F$12292,'REKAP Balok'!Q$12)</f>
        <v>0</v>
      </c>
      <c r="R84">
        <f>SUMIFS('Besi Balok'!$AA$23:$AA$12292,'Besi Balok'!$A$23:$A$12292,$A84,'Besi Balok'!$B$23:$B$12292,$B84,'Besi Balok'!$F$23:$F$12292,'REKAP Balok'!R$12)</f>
        <v>0</v>
      </c>
      <c r="S84">
        <f>SUMIFS('Besi Balok'!$AA$23:$AA$12292,'Besi Balok'!$A$23:$A$12292,$A84,'Besi Balok'!$B$23:$B$12292,$B84,'Besi Balok'!$F$23:$F$12292,'REKAP Balok'!S$12)</f>
        <v>0</v>
      </c>
      <c r="T84">
        <f>SUMIFS('Besi Balok'!$AA$23:$AA$12292,'Besi Balok'!$A$23:$A$12292,$A84,'Besi Balok'!$B$23:$B$12292,$B84,'Besi Balok'!$F$23:$F$12292,'REKAP Balok'!T$12)</f>
        <v>0</v>
      </c>
      <c r="U84">
        <f>SUM(L84:T84)</f>
        <v>40.184900279999994</v>
      </c>
      <c r="V84">
        <f>(D84*(F84-H84)*G84*K84)/1000000000</f>
        <v>0.1809</v>
      </c>
      <c r="X84">
        <f>((F84-H84)*2*(G84)*K84)/1000000</f>
        <v>1.809</v>
      </c>
      <c r="Y84">
        <f>K84*(D84+2*$F$5)*G84*$F$7/1000000000</f>
        <v>0.1206</v>
      </c>
      <c r="Z84">
        <f>K84*(D84+2*$F$5+2*$F$6)*($F$4-J84+($F$7+$F$8)/1000)*G84/1000000</f>
        <v>2.1105</v>
      </c>
      <c r="AC84">
        <f>(D84+2*$F$5)*F84*G84/1000000000</f>
        <v>0.7236</v>
      </c>
    </row>
    <row r="85">
      <c r="A85" t="str">
        <f>'Data Panjang Balok'!A82</f>
        <v>Sloof</v>
      </c>
      <c r="B85">
        <f>'Data Panjang Balok'!B82</f>
        <v>64</v>
      </c>
      <c r="C85" t="str">
        <f>'Data Panjang Balok'!D82</f>
        <v>TB24-2</v>
      </c>
      <c r="D85">
        <f>IF(C85&gt;0,VLOOKUP(C85,'Detail Balok'!$C$11:$AU$110,2,FALSE),0)</f>
        <v>200</v>
      </c>
      <c r="E85" t="str">
        <v>x</v>
      </c>
      <c r="F85">
        <f>IF(C85&gt;0,VLOOKUP(C85,'Detail Balok'!$C$11:$AU$110,3,FALSE),0)</f>
        <v>400</v>
      </c>
      <c r="G85">
        <f>'Data Panjang Balok'!I82</f>
        <v>3200</v>
      </c>
      <c r="H85">
        <f>'Data Panjang Balok'!J82</f>
        <v>150</v>
      </c>
      <c r="J85">
        <f>I85-F85/1000</f>
        <v>-0.4</v>
      </c>
      <c r="K85">
        <f>'Data Panjang Balok'!E82</f>
        <v>1</v>
      </c>
      <c r="L85">
        <f>SUMIFS('Besi Balok'!$AA$23:$AA$12292,'Besi Balok'!$A$23:$A$12292,$A85,'Besi Balok'!$B$23:$B$12292,$B85,'Besi Balok'!$F$23:$F$12292,'REKAP Balok'!L$12)</f>
        <v>0</v>
      </c>
      <c r="M85">
        <f>SUMIFS('Besi Balok'!$AA$23:$AA$12292,'Besi Balok'!$A$23:$A$12292,$A85,'Besi Balok'!$B$23:$B$12292,$B85,'Besi Balok'!$F$23:$F$12292,'REKAP Balok'!M$12)</f>
        <v>8.127936000000002</v>
      </c>
      <c r="N85">
        <f>SUMIFS('Besi Balok'!$AA$23:$AA$12292,'Besi Balok'!$A$23:$A$12292,$A85,'Besi Balok'!$B$23:$B$12292,$B85,'Besi Balok'!$F$23:$F$12292,'REKAP Balok'!N$12)</f>
        <v>0</v>
      </c>
      <c r="O85">
        <f>SUMIFS('Besi Balok'!$AA$23:$AA$12292,'Besi Balok'!$A$23:$A$12292,$A85,'Besi Balok'!$B$23:$B$12292,$B85,'Besi Balok'!$F$23:$F$12292,'REKAP Balok'!O$12)</f>
        <v>23.09233914</v>
      </c>
      <c r="P85">
        <f>SUMIFS('Besi Balok'!$AA$23:$AA$12292,'Besi Balok'!$A$23:$A$12292,$A85,'Besi Balok'!$B$23:$B$12292,$B85,'Besi Balok'!$F$23:$F$12292,'REKAP Balok'!P$12)</f>
        <v>0</v>
      </c>
      <c r="Q85">
        <f>SUMIFS('Besi Balok'!$AA$23:$AA$12292,'Besi Balok'!$A$23:$A$12292,$A85,'Besi Balok'!$B$23:$B$12292,$B85,'Besi Balok'!$F$23:$F$12292,'REKAP Balok'!Q$12)</f>
        <v>0</v>
      </c>
      <c r="R85">
        <f>SUMIFS('Besi Balok'!$AA$23:$AA$12292,'Besi Balok'!$A$23:$A$12292,$A85,'Besi Balok'!$B$23:$B$12292,$B85,'Besi Balok'!$F$23:$F$12292,'REKAP Balok'!R$12)</f>
        <v>0</v>
      </c>
      <c r="S85">
        <f>SUMIFS('Besi Balok'!$AA$23:$AA$12292,'Besi Balok'!$A$23:$A$12292,$A85,'Besi Balok'!$B$23:$B$12292,$B85,'Besi Balok'!$F$23:$F$12292,'REKAP Balok'!S$12)</f>
        <v>0</v>
      </c>
      <c r="T85">
        <f>SUMIFS('Besi Balok'!$AA$23:$AA$12292,'Besi Balok'!$A$23:$A$12292,$A85,'Besi Balok'!$B$23:$B$12292,$B85,'Besi Balok'!$F$23:$F$12292,'REKAP Balok'!T$12)</f>
        <v>0</v>
      </c>
      <c r="U85">
        <f>SUM(L85:T85)</f>
        <v>31.220275140000002</v>
      </c>
      <c r="V85">
        <f>(D85*(F85-H85)*G85*K85)/1000000000</f>
        <v>0.16</v>
      </c>
      <c r="X85">
        <f>((F85-H85)*2*(G85)*K85)/1000000</f>
        <v>1.6</v>
      </c>
      <c r="Y85">
        <f>K85*(D85+2*$F$5)*G85*$F$7/1000000000</f>
        <v>0.064</v>
      </c>
      <c r="Z85">
        <f>K85*(D85+2*$F$5+2*$F$6)*($F$4-J85+($F$7+$F$8)/1000)*G85/1000000</f>
        <v>1.44</v>
      </c>
      <c r="AC85">
        <f>(D85+2*$F$5)*F85*G85/1000000000</f>
        <v>0.512</v>
      </c>
    </row>
    <row r="86">
      <c r="A86" t="str">
        <f>'Data Panjang Balok'!A83</f>
        <v>Sloof</v>
      </c>
      <c r="B86">
        <f>'Data Panjang Balok'!B83</f>
        <v>65</v>
      </c>
      <c r="C86" t="str">
        <f>'Data Panjang Balok'!D83</f>
        <v>TB25-1</v>
      </c>
      <c r="D86">
        <f>IF(C86&gt;0,VLOOKUP(C86,'Detail Balok'!$C$11:$AU$110,2,FALSE),0)</f>
        <v>200</v>
      </c>
      <c r="E86" t="str">
        <v>x</v>
      </c>
      <c r="F86">
        <f>IF(C86&gt;0,VLOOKUP(C86,'Detail Balok'!$C$11:$AU$110,3,FALSE),0)</f>
        <v>500</v>
      </c>
      <c r="G86">
        <f>'Data Panjang Balok'!I83</f>
        <v>2900</v>
      </c>
      <c r="H86">
        <f>'Data Panjang Balok'!J83</f>
        <v>150</v>
      </c>
      <c r="J86">
        <f>I86-F86/1000</f>
        <v>-0.5</v>
      </c>
      <c r="K86">
        <f>'Data Panjang Balok'!E83</f>
        <v>1</v>
      </c>
      <c r="L86">
        <f>SUMIFS('Besi Balok'!$AA$23:$AA$12292,'Besi Balok'!$A$23:$A$12292,$A86,'Besi Balok'!$B$23:$B$12292,$B86,'Besi Balok'!$F$23:$F$12292,'REKAP Balok'!L$12)</f>
        <v>0</v>
      </c>
      <c r="M86">
        <f>SUMIFS('Besi Balok'!$AA$23:$AA$12292,'Besi Balok'!$A$23:$A$12292,$A86,'Besi Balok'!$B$23:$B$12292,$B86,'Besi Balok'!$F$23:$F$12292,'REKAP Balok'!M$12)</f>
        <v>0</v>
      </c>
      <c r="N86">
        <f>SUMIFS('Besi Balok'!$AA$23:$AA$12292,'Besi Balok'!$A$23:$A$12292,$A86,'Besi Balok'!$B$23:$B$12292,$B86,'Besi Balok'!$F$23:$F$12292,'REKAP Balok'!N$12)</f>
        <v>16.762635000000003</v>
      </c>
      <c r="O86">
        <f>SUMIFS('Besi Balok'!$AA$23:$AA$12292,'Besi Balok'!$A$23:$A$12292,$A86,'Besi Balok'!$B$23:$B$12292,$B86,'Besi Balok'!$F$23:$F$12292,'REKAP Balok'!O$12)</f>
        <v>0</v>
      </c>
      <c r="P86">
        <f>SUMIFS('Besi Balok'!$AA$23:$AA$12292,'Besi Balok'!$A$23:$A$12292,$A86,'Besi Balok'!$B$23:$B$12292,$B86,'Besi Balok'!$F$23:$F$12292,'REKAP Balok'!P$12)</f>
        <v>31.09764096</v>
      </c>
      <c r="Q86">
        <f>SUMIFS('Besi Balok'!$AA$23:$AA$12292,'Besi Balok'!$A$23:$A$12292,$A86,'Besi Balok'!$B$23:$B$12292,$B86,'Besi Balok'!$F$23:$F$12292,'REKAP Balok'!Q$12)</f>
        <v>0</v>
      </c>
      <c r="R86">
        <f>SUMIFS('Besi Balok'!$AA$23:$AA$12292,'Besi Balok'!$A$23:$A$12292,$A86,'Besi Balok'!$B$23:$B$12292,$B86,'Besi Balok'!$F$23:$F$12292,'REKAP Balok'!R$12)</f>
        <v>0</v>
      </c>
      <c r="S86">
        <f>SUMIFS('Besi Balok'!$AA$23:$AA$12292,'Besi Balok'!$A$23:$A$12292,$A86,'Besi Balok'!$B$23:$B$12292,$B86,'Besi Balok'!$F$23:$F$12292,'REKAP Balok'!S$12)</f>
        <v>0</v>
      </c>
      <c r="T86">
        <f>SUMIFS('Besi Balok'!$AA$23:$AA$12292,'Besi Balok'!$A$23:$A$12292,$A86,'Besi Balok'!$B$23:$B$12292,$B86,'Besi Balok'!$F$23:$F$12292,'REKAP Balok'!T$12)</f>
        <v>0</v>
      </c>
      <c r="U86">
        <f>SUM(L86:T86)</f>
        <v>47.86027596</v>
      </c>
      <c r="V86">
        <f>(D86*(F86-H86)*G86*K86)/1000000000</f>
        <v>0.203</v>
      </c>
      <c r="X86">
        <f>((F86-H86)*2*(G86)*K86)/1000000</f>
        <v>2.03</v>
      </c>
      <c r="Y86">
        <f>K86*(D86+2*$F$5)*G86*$F$7/1000000000</f>
        <v>0.058</v>
      </c>
      <c r="Z86">
        <f>K86*(D86+2*$F$5+2*$F$6)*($F$4-J86+($F$7+$F$8)/1000)*G86/1000000</f>
        <v>1.595</v>
      </c>
      <c r="AC86">
        <f>(D86+2*$F$5)*F86*G86/1000000000</f>
        <v>0.58</v>
      </c>
    </row>
    <row r="87">
      <c r="A87" t="str">
        <f>'Data Panjang Balok'!A84</f>
        <v>Sloof</v>
      </c>
      <c r="B87">
        <f>'Data Panjang Balok'!B84</f>
        <v>66</v>
      </c>
      <c r="C87" t="str">
        <f>'Data Panjang Balok'!D84</f>
        <v>TB35-1</v>
      </c>
      <c r="D87">
        <f>IF(C87&gt;0,VLOOKUP(C87,'Detail Balok'!$C$11:$AU$110,2,FALSE),0)</f>
        <v>300</v>
      </c>
      <c r="E87" t="str">
        <v>x</v>
      </c>
      <c r="F87">
        <f>IF(C87&gt;0,VLOOKUP(C87,'Detail Balok'!$C$11:$AU$110,3,FALSE),0)</f>
        <v>500</v>
      </c>
      <c r="G87">
        <f>'Data Panjang Balok'!I84</f>
        <v>5285</v>
      </c>
      <c r="H87">
        <f>'Data Panjang Balok'!J84</f>
        <v>150</v>
      </c>
      <c r="J87">
        <f>I87-F87/1000</f>
        <v>-0.5</v>
      </c>
      <c r="K87">
        <f>'Data Panjang Balok'!E84</f>
        <v>1</v>
      </c>
      <c r="L87">
        <f>SUMIFS('Besi Balok'!$AA$23:$AA$12292,'Besi Balok'!$A$23:$A$12292,$A87,'Besi Balok'!$B$23:$B$12292,$B87,'Besi Balok'!$F$23:$F$12292,'REKAP Balok'!L$12)</f>
        <v>0</v>
      </c>
      <c r="M87">
        <f>SUMIFS('Besi Balok'!$AA$23:$AA$12292,'Besi Balok'!$A$23:$A$12292,$A87,'Besi Balok'!$B$23:$B$12292,$B87,'Besi Balok'!$F$23:$F$12292,'REKAP Balok'!M$12)</f>
        <v>0</v>
      </c>
      <c r="N87">
        <f>SUMIFS('Besi Balok'!$AA$23:$AA$12292,'Besi Balok'!$A$23:$A$12292,$A87,'Besi Balok'!$B$23:$B$12292,$B87,'Besi Balok'!$F$23:$F$12292,'REKAP Balok'!N$12)</f>
        <v>32.37858</v>
      </c>
      <c r="O87">
        <f>SUMIFS('Besi Balok'!$AA$23:$AA$12292,'Besi Balok'!$A$23:$A$12292,$A87,'Besi Balok'!$B$23:$B$12292,$B87,'Besi Balok'!$F$23:$F$12292,'REKAP Balok'!O$12)</f>
        <v>0</v>
      </c>
      <c r="P87">
        <f>SUMIFS('Besi Balok'!$AA$23:$AA$12292,'Besi Balok'!$A$23:$A$12292,$A87,'Besi Balok'!$B$23:$B$12292,$B87,'Besi Balok'!$F$23:$F$12292,'REKAP Balok'!P$12)</f>
        <v>81.9619488</v>
      </c>
      <c r="Q87">
        <f>SUMIFS('Besi Balok'!$AA$23:$AA$12292,'Besi Balok'!$A$23:$A$12292,$A87,'Besi Balok'!$B$23:$B$12292,$B87,'Besi Balok'!$F$23:$F$12292,'REKAP Balok'!Q$12)</f>
        <v>0</v>
      </c>
      <c r="R87">
        <f>SUMIFS('Besi Balok'!$AA$23:$AA$12292,'Besi Balok'!$A$23:$A$12292,$A87,'Besi Balok'!$B$23:$B$12292,$B87,'Besi Balok'!$F$23:$F$12292,'REKAP Balok'!R$12)</f>
        <v>0</v>
      </c>
      <c r="S87">
        <f>SUMIFS('Besi Balok'!$AA$23:$AA$12292,'Besi Balok'!$A$23:$A$12292,$A87,'Besi Balok'!$B$23:$B$12292,$B87,'Besi Balok'!$F$23:$F$12292,'REKAP Balok'!S$12)</f>
        <v>0</v>
      </c>
      <c r="T87">
        <f>SUMIFS('Besi Balok'!$AA$23:$AA$12292,'Besi Balok'!$A$23:$A$12292,$A87,'Besi Balok'!$B$23:$B$12292,$B87,'Besi Balok'!$F$23:$F$12292,'REKAP Balok'!T$12)</f>
        <v>0</v>
      </c>
      <c r="U87">
        <f>SUM(L87:T87)</f>
        <v>114.3405288</v>
      </c>
      <c r="V87">
        <f>(D87*(F87-H87)*G87*K87)/1000000000</f>
        <v>0.554925</v>
      </c>
      <c r="X87">
        <f>((F87-H87)*2*(G87)*K87)/1000000</f>
        <v>3.6995</v>
      </c>
      <c r="Y87">
        <f>K87*(D87+2*$F$5)*G87*$F$7/1000000000</f>
        <v>0.132125</v>
      </c>
      <c r="Z87">
        <f>K87*(D87+2*$F$5+2*$F$6)*($F$4-J87+($F$7+$F$8)/1000)*G87/1000000</f>
        <v>3.197425</v>
      </c>
      <c r="AC87">
        <f>(D87+2*$F$5)*F87*G87/1000000000</f>
        <v>1.32125</v>
      </c>
    </row>
    <row r="88">
      <c r="A88" t="str">
        <f>'Data Panjang Balok'!A85</f>
        <v>Sloof</v>
      </c>
      <c r="B88">
        <f>'Data Panjang Balok'!B85</f>
        <v>67</v>
      </c>
      <c r="C88" t="str">
        <f>'Data Panjang Balok'!D85</f>
        <v>TB245-2</v>
      </c>
      <c r="D88">
        <f>IF(C88&gt;0,VLOOKUP(C88,'Detail Balok'!$C$11:$AU$110,2,FALSE),0)</f>
        <v>200</v>
      </c>
      <c r="E88" t="str">
        <v>x</v>
      </c>
      <c r="F88">
        <f>IF(C88&gt;0,VLOOKUP(C88,'Detail Balok'!$C$11:$AU$110,3,FALSE),0)</f>
        <v>450</v>
      </c>
      <c r="G88">
        <f>'Data Panjang Balok'!I85</f>
        <v>3015</v>
      </c>
      <c r="H88">
        <f>'Data Panjang Balok'!J85</f>
        <v>150</v>
      </c>
      <c r="J88">
        <f>I88-F88/1000</f>
        <v>-0.45</v>
      </c>
      <c r="K88">
        <f>'Data Panjang Balok'!E85</f>
        <v>1</v>
      </c>
      <c r="L88">
        <f>SUMIFS('Besi Balok'!$AA$23:$AA$12292,'Besi Balok'!$A$23:$A$12292,$A88,'Besi Balok'!$B$23:$B$12292,$B88,'Besi Balok'!$F$23:$F$12292,'REKAP Balok'!L$12)</f>
        <v>0</v>
      </c>
      <c r="M88">
        <f>SUMIFS('Besi Balok'!$AA$23:$AA$12292,'Besi Balok'!$A$23:$A$12292,$A88,'Besi Balok'!$B$23:$B$12292,$B88,'Besi Balok'!$F$23:$F$12292,'REKAP Balok'!M$12)</f>
        <v>13.23117504</v>
      </c>
      <c r="N88">
        <f>SUMIFS('Besi Balok'!$AA$23:$AA$12292,'Besi Balok'!$A$23:$A$12292,$A88,'Besi Balok'!$B$23:$B$12292,$B88,'Besi Balok'!$F$23:$F$12292,'REKAP Balok'!N$12)</f>
        <v>0</v>
      </c>
      <c r="O88">
        <f>SUMIFS('Besi Balok'!$AA$23:$AA$12292,'Besi Balok'!$A$23:$A$12292,$A88,'Besi Balok'!$B$23:$B$12292,$B88,'Besi Balok'!$F$23:$F$12292,'REKAP Balok'!O$12)</f>
        <v>25.402198184999996</v>
      </c>
      <c r="P88">
        <f>SUMIFS('Besi Balok'!$AA$23:$AA$12292,'Besi Balok'!$A$23:$A$12292,$A88,'Besi Balok'!$B$23:$B$12292,$B88,'Besi Balok'!$F$23:$F$12292,'REKAP Balok'!P$12)</f>
        <v>0</v>
      </c>
      <c r="Q88">
        <f>SUMIFS('Besi Balok'!$AA$23:$AA$12292,'Besi Balok'!$A$23:$A$12292,$A88,'Besi Balok'!$B$23:$B$12292,$B88,'Besi Balok'!$F$23:$F$12292,'REKAP Balok'!Q$12)</f>
        <v>0</v>
      </c>
      <c r="R88">
        <f>SUMIFS('Besi Balok'!$AA$23:$AA$12292,'Besi Balok'!$A$23:$A$12292,$A88,'Besi Balok'!$B$23:$B$12292,$B88,'Besi Balok'!$F$23:$F$12292,'REKAP Balok'!R$12)</f>
        <v>0</v>
      </c>
      <c r="S88">
        <f>SUMIFS('Besi Balok'!$AA$23:$AA$12292,'Besi Balok'!$A$23:$A$12292,$A88,'Besi Balok'!$B$23:$B$12292,$B88,'Besi Balok'!$F$23:$F$12292,'REKAP Balok'!S$12)</f>
        <v>0</v>
      </c>
      <c r="T88">
        <f>SUMIFS('Besi Balok'!$AA$23:$AA$12292,'Besi Balok'!$A$23:$A$12292,$A88,'Besi Balok'!$B$23:$B$12292,$B88,'Besi Balok'!$F$23:$F$12292,'REKAP Balok'!T$12)</f>
        <v>0</v>
      </c>
      <c r="U88">
        <f>SUM(L88:T88)</f>
        <v>38.633373225</v>
      </c>
      <c r="V88">
        <f>(D88*(F88-H88)*G88*K88)/1000000000</f>
        <v>0.1809</v>
      </c>
      <c r="X88">
        <f>((F88-H88)*2*(G88)*K88)/1000000</f>
        <v>1.809</v>
      </c>
      <c r="Y88">
        <f>K88*(D88+2*$F$5)*G88*$F$7/1000000000</f>
        <v>0.0603</v>
      </c>
      <c r="Z88">
        <f>K88*(D88+2*$F$5+2*$F$6)*($F$4-J88+($F$7+$F$8)/1000)*G88/1000000</f>
        <v>1.5075</v>
      </c>
      <c r="AC88">
        <f>(D88+2*$F$5)*F88*G88/1000000000</f>
        <v>0.5427</v>
      </c>
    </row>
    <row r="89">
      <c r="A89" t="str">
        <f>'Data Panjang Balok'!A86</f>
        <v>Sloof</v>
      </c>
      <c r="B89">
        <f>'Data Panjang Balok'!B86</f>
        <v>68</v>
      </c>
      <c r="C89" t="str">
        <f>'Data Panjang Balok'!D86</f>
        <v>TB245-1</v>
      </c>
      <c r="D89">
        <f>IF(C89&gt;0,VLOOKUP(C89,'Detail Balok'!$C$11:$AU$110,2,FALSE),0)</f>
        <v>200</v>
      </c>
      <c r="E89" t="str">
        <v>x</v>
      </c>
      <c r="F89">
        <f>IF(C89&gt;0,VLOOKUP(C89,'Detail Balok'!$C$11:$AU$110,3,FALSE),0)</f>
        <v>450</v>
      </c>
      <c r="G89">
        <f>'Data Panjang Balok'!I86</f>
        <v>3200</v>
      </c>
      <c r="H89">
        <f>'Data Panjang Balok'!J86</f>
        <v>150</v>
      </c>
      <c r="J89">
        <f>I89-F89/1000</f>
        <v>-0.45</v>
      </c>
      <c r="K89">
        <f>'Data Panjang Balok'!E86</f>
        <v>1</v>
      </c>
      <c r="L89">
        <f>SUMIFS('Besi Balok'!$AA$23:$AA$12292,'Besi Balok'!$A$23:$A$12292,$A89,'Besi Balok'!$B$23:$B$12292,$B89,'Besi Balok'!$F$23:$F$12292,'REKAP Balok'!L$12)</f>
        <v>0</v>
      </c>
      <c r="M89">
        <f>SUMIFS('Besi Balok'!$AA$23:$AA$12292,'Besi Balok'!$A$23:$A$12292,$A89,'Besi Balok'!$B$23:$B$12292,$B89,'Besi Balok'!$F$23:$F$12292,'REKAP Balok'!M$12)</f>
        <v>11.14789824</v>
      </c>
      <c r="N89">
        <f>SUMIFS('Besi Balok'!$AA$23:$AA$12292,'Besi Balok'!$A$23:$A$12292,$A89,'Besi Balok'!$B$23:$B$12292,$B89,'Besi Balok'!$F$23:$F$12292,'REKAP Balok'!N$12)</f>
        <v>0</v>
      </c>
      <c r="O89">
        <f>SUMIFS('Besi Balok'!$AA$23:$AA$12292,'Besi Balok'!$A$23:$A$12292,$A89,'Besi Balok'!$B$23:$B$12292,$B89,'Besi Balok'!$F$23:$F$12292,'REKAP Balok'!O$12)</f>
        <v>21.95460072</v>
      </c>
      <c r="P89">
        <f>SUMIFS('Besi Balok'!$AA$23:$AA$12292,'Besi Balok'!$A$23:$A$12292,$A89,'Besi Balok'!$B$23:$B$12292,$B89,'Besi Balok'!$F$23:$F$12292,'REKAP Balok'!P$12)</f>
        <v>0</v>
      </c>
      <c r="Q89">
        <f>SUMIFS('Besi Balok'!$AA$23:$AA$12292,'Besi Balok'!$A$23:$A$12292,$A89,'Besi Balok'!$B$23:$B$12292,$B89,'Besi Balok'!$F$23:$F$12292,'REKAP Balok'!Q$12)</f>
        <v>0</v>
      </c>
      <c r="R89">
        <f>SUMIFS('Besi Balok'!$AA$23:$AA$12292,'Besi Balok'!$A$23:$A$12292,$A89,'Besi Balok'!$B$23:$B$12292,$B89,'Besi Balok'!$F$23:$F$12292,'REKAP Balok'!R$12)</f>
        <v>0</v>
      </c>
      <c r="S89">
        <f>SUMIFS('Besi Balok'!$AA$23:$AA$12292,'Besi Balok'!$A$23:$A$12292,$A89,'Besi Balok'!$B$23:$B$12292,$B89,'Besi Balok'!$F$23:$F$12292,'REKAP Balok'!S$12)</f>
        <v>0</v>
      </c>
      <c r="T89">
        <f>SUMIFS('Besi Balok'!$AA$23:$AA$12292,'Besi Balok'!$A$23:$A$12292,$A89,'Besi Balok'!$B$23:$B$12292,$B89,'Besi Balok'!$F$23:$F$12292,'REKAP Balok'!T$12)</f>
        <v>0</v>
      </c>
      <c r="U89">
        <f>SUM(L89:T89)</f>
        <v>33.10249896</v>
      </c>
      <c r="V89">
        <f>(D89*(F89-H89)*G89*K89)/1000000000</f>
        <v>0.192</v>
      </c>
      <c r="X89">
        <f>((F89-H89)*2*(G89)*K89)/1000000</f>
        <v>1.92</v>
      </c>
      <c r="Y89">
        <f>K89*(D89+2*$F$5)*G89*$F$7/1000000000</f>
        <v>0.064</v>
      </c>
      <c r="Z89">
        <f>K89*(D89+2*$F$5+2*$F$6)*($F$4-J89+($F$7+$F$8)/1000)*G89/1000000</f>
        <v>1.6</v>
      </c>
      <c r="AC89">
        <f>(D89+2*$F$5)*F89*G89/1000000000</f>
        <v>0.576</v>
      </c>
    </row>
    <row r="90">
      <c r="A90" t="str">
        <f>'Data Panjang Balok'!A87</f>
        <v>Sloof</v>
      </c>
      <c r="B90">
        <f>'Data Panjang Balok'!B87</f>
        <v>69</v>
      </c>
      <c r="C90" t="str">
        <f>'Data Panjang Balok'!D87</f>
        <v>TB245-2</v>
      </c>
      <c r="D90">
        <f>IF(C90&gt;0,VLOOKUP(C90,'Detail Balok'!$C$11:$AU$110,2,FALSE),0)</f>
        <v>200</v>
      </c>
      <c r="E90" t="str">
        <v>x</v>
      </c>
      <c r="F90">
        <f>IF(C90&gt;0,VLOOKUP(C90,'Detail Balok'!$C$11:$AU$110,3,FALSE),0)</f>
        <v>450</v>
      </c>
      <c r="G90">
        <f>'Data Panjang Balok'!I87</f>
        <v>3600</v>
      </c>
      <c r="H90">
        <f>'Data Panjang Balok'!J87</f>
        <v>150</v>
      </c>
      <c r="J90">
        <f>I90-F90/1000</f>
        <v>-0.45</v>
      </c>
      <c r="K90">
        <f>'Data Panjang Balok'!E87</f>
        <v>1</v>
      </c>
      <c r="L90">
        <f>SUMIFS('Besi Balok'!$AA$23:$AA$12292,'Besi Balok'!$A$23:$A$12292,$A90,'Besi Balok'!$B$23:$B$12292,$B90,'Besi Balok'!$F$23:$F$12292,'REKAP Balok'!L$12)</f>
        <v>0</v>
      </c>
      <c r="M90">
        <f>SUMIFS('Besi Balok'!$AA$23:$AA$12292,'Besi Balok'!$A$23:$A$12292,$A90,'Besi Balok'!$B$23:$B$12292,$B90,'Besi Balok'!$F$23:$F$12292,'REKAP Balok'!M$12)</f>
        <v>15.47622144</v>
      </c>
      <c r="N90">
        <f>SUMIFS('Besi Balok'!$AA$23:$AA$12292,'Besi Balok'!$A$23:$A$12292,$A90,'Besi Balok'!$B$23:$B$12292,$B90,'Besi Balok'!$F$23:$F$12292,'REKAP Balok'!N$12)</f>
        <v>0</v>
      </c>
      <c r="O90">
        <f>SUMIFS('Besi Balok'!$AA$23:$AA$12292,'Besi Balok'!$A$23:$A$12292,$A90,'Besi Balok'!$B$23:$B$12292,$B90,'Besi Balok'!$F$23:$F$12292,'REKAP Balok'!O$12)</f>
        <v>29.668717259999998</v>
      </c>
      <c r="P90">
        <f>SUMIFS('Besi Balok'!$AA$23:$AA$12292,'Besi Balok'!$A$23:$A$12292,$A90,'Besi Balok'!$B$23:$B$12292,$B90,'Besi Balok'!$F$23:$F$12292,'REKAP Balok'!P$12)</f>
        <v>0</v>
      </c>
      <c r="Q90">
        <f>SUMIFS('Besi Balok'!$AA$23:$AA$12292,'Besi Balok'!$A$23:$A$12292,$A90,'Besi Balok'!$B$23:$B$12292,$B90,'Besi Balok'!$F$23:$F$12292,'REKAP Balok'!Q$12)</f>
        <v>0</v>
      </c>
      <c r="R90">
        <f>SUMIFS('Besi Balok'!$AA$23:$AA$12292,'Besi Balok'!$A$23:$A$12292,$A90,'Besi Balok'!$B$23:$B$12292,$B90,'Besi Balok'!$F$23:$F$12292,'REKAP Balok'!R$12)</f>
        <v>0</v>
      </c>
      <c r="S90">
        <f>SUMIFS('Besi Balok'!$AA$23:$AA$12292,'Besi Balok'!$A$23:$A$12292,$A90,'Besi Balok'!$B$23:$B$12292,$B90,'Besi Balok'!$F$23:$F$12292,'REKAP Balok'!S$12)</f>
        <v>0</v>
      </c>
      <c r="T90">
        <f>SUMIFS('Besi Balok'!$AA$23:$AA$12292,'Besi Balok'!$A$23:$A$12292,$A90,'Besi Balok'!$B$23:$B$12292,$B90,'Besi Balok'!$F$23:$F$12292,'REKAP Balok'!T$12)</f>
        <v>0</v>
      </c>
      <c r="U90">
        <f>SUM(L90:T90)</f>
        <v>45.1449387</v>
      </c>
      <c r="V90">
        <f>(D90*(F90-H90)*G90*K90)/1000000000</f>
        <v>0.216</v>
      </c>
      <c r="X90">
        <f>((F90-H90)*2*(G90)*K90)/1000000</f>
        <v>2.16</v>
      </c>
      <c r="Y90">
        <f>K90*(D90+2*$F$5)*G90*$F$7/1000000000</f>
        <v>0.072</v>
      </c>
      <c r="Z90">
        <f>K90*(D90+2*$F$5+2*$F$6)*($F$4-J90+($F$7+$F$8)/1000)*G90/1000000</f>
        <v>1.8</v>
      </c>
      <c r="AC90">
        <f>(D90+2*$F$5)*F90*G90/1000000000</f>
        <v>0.648</v>
      </c>
    </row>
    <row r="91">
      <c r="A91" t="str">
        <f>'Data Panjang Balok'!A88</f>
        <v>Sloof</v>
      </c>
      <c r="B91">
        <f>'Data Panjang Balok'!B88</f>
        <v>70</v>
      </c>
      <c r="C91" t="str">
        <f>'Data Panjang Balok'!D88</f>
        <v>TB25-1</v>
      </c>
      <c r="D91">
        <f>IF(C91&gt;0,VLOOKUP(C91,'Detail Balok'!$C$11:$AU$110,2,FALSE),0)</f>
        <v>200</v>
      </c>
      <c r="E91" t="str">
        <v>x</v>
      </c>
      <c r="F91">
        <f>IF(C91&gt;0,VLOOKUP(C91,'Detail Balok'!$C$11:$AU$110,3,FALSE),0)</f>
        <v>500</v>
      </c>
      <c r="G91">
        <f>'Data Panjang Balok'!I88</f>
        <v>10155</v>
      </c>
      <c r="H91">
        <f>'Data Panjang Balok'!J88</f>
        <v>150</v>
      </c>
      <c r="J91">
        <f>I91-F91/1000</f>
        <v>-0.5</v>
      </c>
      <c r="K91">
        <f>'Data Panjang Balok'!E88</f>
        <v>1</v>
      </c>
      <c r="L91">
        <f>SUMIFS('Besi Balok'!$AA$23:$AA$12292,'Besi Balok'!$A$23:$A$12292,$A91,'Besi Balok'!$B$23:$B$12292,$B91,'Besi Balok'!$F$23:$F$12292,'REKAP Balok'!L$12)</f>
        <v>0</v>
      </c>
      <c r="M91">
        <f>SUMIFS('Besi Balok'!$AA$23:$AA$12292,'Besi Balok'!$A$23:$A$12292,$A91,'Besi Balok'!$B$23:$B$12292,$B91,'Besi Balok'!$F$23:$F$12292,'REKAP Balok'!M$12)</f>
        <v>0</v>
      </c>
      <c r="N91">
        <f>SUMIFS('Besi Balok'!$AA$23:$AA$12292,'Besi Balok'!$A$23:$A$12292,$A91,'Besi Balok'!$B$23:$B$12292,$B91,'Besi Balok'!$F$23:$F$12292,'REKAP Balok'!N$12)</f>
        <v>53.00667</v>
      </c>
      <c r="O91">
        <f>SUMIFS('Besi Balok'!$AA$23:$AA$12292,'Besi Balok'!$A$23:$A$12292,$A91,'Besi Balok'!$B$23:$B$12292,$B91,'Besi Balok'!$F$23:$F$12292,'REKAP Balok'!O$12)</f>
        <v>0</v>
      </c>
      <c r="P91">
        <f>SUMIFS('Besi Balok'!$AA$23:$AA$12292,'Besi Balok'!$A$23:$A$12292,$A91,'Besi Balok'!$B$23:$B$12292,$B91,'Besi Balok'!$F$23:$F$12292,'REKAP Balok'!P$12)</f>
        <v>99.79842815999999</v>
      </c>
      <c r="Q91">
        <f>SUMIFS('Besi Balok'!$AA$23:$AA$12292,'Besi Balok'!$A$23:$A$12292,$A91,'Besi Balok'!$B$23:$B$12292,$B91,'Besi Balok'!$F$23:$F$12292,'REKAP Balok'!Q$12)</f>
        <v>0</v>
      </c>
      <c r="R91">
        <f>SUMIFS('Besi Balok'!$AA$23:$AA$12292,'Besi Balok'!$A$23:$A$12292,$A91,'Besi Balok'!$B$23:$B$12292,$B91,'Besi Balok'!$F$23:$F$12292,'REKAP Balok'!R$12)</f>
        <v>0</v>
      </c>
      <c r="S91">
        <f>SUMIFS('Besi Balok'!$AA$23:$AA$12292,'Besi Balok'!$A$23:$A$12292,$A91,'Besi Balok'!$B$23:$B$12292,$B91,'Besi Balok'!$F$23:$F$12292,'REKAP Balok'!S$12)</f>
        <v>0</v>
      </c>
      <c r="T91">
        <f>SUMIFS('Besi Balok'!$AA$23:$AA$12292,'Besi Balok'!$A$23:$A$12292,$A91,'Besi Balok'!$B$23:$B$12292,$B91,'Besi Balok'!$F$23:$F$12292,'REKAP Balok'!T$12)</f>
        <v>0</v>
      </c>
      <c r="U91">
        <f>SUM(L91:T91)</f>
        <v>152.80509816</v>
      </c>
      <c r="V91">
        <f>(D91*(F91-H91)*G91*K91)/1000000000</f>
        <v>0.71085</v>
      </c>
      <c r="X91">
        <f>((F91-H91)*2*(G91)*K91)/1000000</f>
        <v>7.1085</v>
      </c>
      <c r="Y91">
        <f>K91*(D91+2*$F$5)*G91*$F$7/1000000000</f>
        <v>0.2031</v>
      </c>
      <c r="Z91">
        <f>K91*(D91+2*$F$5+2*$F$6)*($F$4-J91+($F$7+$F$8)/1000)*G91/1000000</f>
        <v>5.58525</v>
      </c>
      <c r="AC91">
        <f>(D91+2*$F$5)*F91*G91/1000000000</f>
        <v>2.031</v>
      </c>
    </row>
    <row r="92">
      <c r="A92" t="str">
        <f>'Data Panjang Balok'!A89</f>
        <v>Sloof</v>
      </c>
      <c r="B92">
        <f>'Data Panjang Balok'!B89</f>
        <v>71</v>
      </c>
      <c r="C92" t="str">
        <f>'Data Panjang Balok'!D89</f>
        <v>TB25-1</v>
      </c>
      <c r="D92">
        <f>IF(C92&gt;0,VLOOKUP(C92,'Detail Balok'!$C$11:$AU$110,2,FALSE),0)</f>
        <v>200</v>
      </c>
      <c r="E92" t="str">
        <v>x</v>
      </c>
      <c r="F92">
        <f>IF(C92&gt;0,VLOOKUP(C92,'Detail Balok'!$C$11:$AU$110,3,FALSE),0)</f>
        <v>500</v>
      </c>
      <c r="G92">
        <f>'Data Panjang Balok'!I89</f>
        <v>3315</v>
      </c>
      <c r="H92">
        <f>'Data Panjang Balok'!J89</f>
        <v>150</v>
      </c>
      <c r="J92">
        <f>I92-F92/1000</f>
        <v>-0.5</v>
      </c>
      <c r="K92">
        <f>'Data Panjang Balok'!E89</f>
        <v>1</v>
      </c>
      <c r="L92">
        <f>SUMIFS('Besi Balok'!$AA$23:$AA$12292,'Besi Balok'!$A$23:$A$12292,$A92,'Besi Balok'!$B$23:$B$12292,$B92,'Besi Balok'!$F$23:$F$12292,'REKAP Balok'!L$12)</f>
        <v>0</v>
      </c>
      <c r="M92">
        <f>SUMIFS('Besi Balok'!$AA$23:$AA$12292,'Besi Balok'!$A$23:$A$12292,$A92,'Besi Balok'!$B$23:$B$12292,$B92,'Besi Balok'!$F$23:$F$12292,'REKAP Balok'!M$12)</f>
        <v>0</v>
      </c>
      <c r="N92">
        <f>SUMIFS('Besi Balok'!$AA$23:$AA$12292,'Besi Balok'!$A$23:$A$12292,$A92,'Besi Balok'!$B$23:$B$12292,$B92,'Besi Balok'!$F$23:$F$12292,'REKAP Balok'!N$12)</f>
        <v>18.79092</v>
      </c>
      <c r="O92">
        <f>SUMIFS('Besi Balok'!$AA$23:$AA$12292,'Besi Balok'!$A$23:$A$12292,$A92,'Besi Balok'!$B$23:$B$12292,$B92,'Besi Balok'!$F$23:$F$12292,'REKAP Balok'!O$12)</f>
        <v>0</v>
      </c>
      <c r="P92">
        <f>SUMIFS('Besi Balok'!$AA$23:$AA$12292,'Besi Balok'!$A$23:$A$12292,$A92,'Besi Balok'!$B$23:$B$12292,$B92,'Besi Balok'!$F$23:$F$12292,'REKAP Balok'!P$12)</f>
        <v>35.02745856</v>
      </c>
      <c r="Q92">
        <f>SUMIFS('Besi Balok'!$AA$23:$AA$12292,'Besi Balok'!$A$23:$A$12292,$A92,'Besi Balok'!$B$23:$B$12292,$B92,'Besi Balok'!$F$23:$F$12292,'REKAP Balok'!Q$12)</f>
        <v>0</v>
      </c>
      <c r="R92">
        <f>SUMIFS('Besi Balok'!$AA$23:$AA$12292,'Besi Balok'!$A$23:$A$12292,$A92,'Besi Balok'!$B$23:$B$12292,$B92,'Besi Balok'!$F$23:$F$12292,'REKAP Balok'!R$12)</f>
        <v>0</v>
      </c>
      <c r="S92">
        <f>SUMIFS('Besi Balok'!$AA$23:$AA$12292,'Besi Balok'!$A$23:$A$12292,$A92,'Besi Balok'!$B$23:$B$12292,$B92,'Besi Balok'!$F$23:$F$12292,'REKAP Balok'!S$12)</f>
        <v>0</v>
      </c>
      <c r="T92">
        <f>SUMIFS('Besi Balok'!$AA$23:$AA$12292,'Besi Balok'!$A$23:$A$12292,$A92,'Besi Balok'!$B$23:$B$12292,$B92,'Besi Balok'!$F$23:$F$12292,'REKAP Balok'!T$12)</f>
        <v>0</v>
      </c>
      <c r="U92">
        <f>SUM(L92:T92)</f>
        <v>53.81837856</v>
      </c>
      <c r="V92">
        <f>(D92*(F92-H92)*G92*K92)/1000000000</f>
        <v>0.23205</v>
      </c>
      <c r="X92">
        <f>((F92-H92)*2*(G92)*K92)/1000000</f>
        <v>2.3205</v>
      </c>
      <c r="Y92">
        <f>K92*(D92+2*$F$5)*G92*$F$7/1000000000</f>
        <v>0.0663</v>
      </c>
      <c r="Z92">
        <f>K92*(D92+2*$F$5+2*$F$6)*($F$4-J92+($F$7+$F$8)/1000)*G92/1000000</f>
        <v>1.82325</v>
      </c>
      <c r="AC92">
        <f>(D92+2*$F$5)*F92*G92/1000000000</f>
        <v>0.663</v>
      </c>
    </row>
    <row r="93">
      <c r="A93" t="str">
        <f>'Data Panjang Balok'!A90</f>
        <v>Sloof</v>
      </c>
      <c r="B93">
        <f>'Data Panjang Balok'!B90</f>
        <v>72</v>
      </c>
      <c r="C93" t="str">
        <f>'Data Panjang Balok'!D90</f>
        <v>TB245-2</v>
      </c>
      <c r="D93">
        <f>IF(C93&gt;0,VLOOKUP(C93,'Detail Balok'!$C$11:$AU$110,2,FALSE),0)</f>
        <v>200</v>
      </c>
      <c r="E93" t="str">
        <v>x</v>
      </c>
      <c r="F93">
        <f>IF(C93&gt;0,VLOOKUP(C93,'Detail Balok'!$C$11:$AU$110,3,FALSE),0)</f>
        <v>450</v>
      </c>
      <c r="G93">
        <f>'Data Panjang Balok'!I90</f>
        <v>6185</v>
      </c>
      <c r="H93">
        <f>'Data Panjang Balok'!J90</f>
        <v>150</v>
      </c>
      <c r="J93">
        <f>I93-F93/1000</f>
        <v>-0.45</v>
      </c>
      <c r="K93">
        <f>'Data Panjang Balok'!E90</f>
        <v>1</v>
      </c>
      <c r="L93">
        <f>SUMIFS('Besi Balok'!$AA$23:$AA$12292,'Besi Balok'!$A$23:$A$12292,$A93,'Besi Balok'!$B$23:$B$12292,$B93,'Besi Balok'!$F$23:$F$12292,'REKAP Balok'!L$12)</f>
        <v>0</v>
      </c>
      <c r="M93">
        <f>SUMIFS('Besi Balok'!$AA$23:$AA$12292,'Besi Balok'!$A$23:$A$12292,$A93,'Besi Balok'!$B$23:$B$12292,$B93,'Besi Balok'!$F$23:$F$12292,'REKAP Balok'!M$12)</f>
        <v>25.98729984</v>
      </c>
      <c r="N93">
        <f>SUMIFS('Besi Balok'!$AA$23:$AA$12292,'Besi Balok'!$A$23:$A$12292,$A93,'Besi Balok'!$B$23:$B$12292,$B93,'Besi Balok'!$F$23:$F$12292,'REKAP Balok'!N$12)</f>
        <v>0</v>
      </c>
      <c r="O93">
        <f>SUMIFS('Besi Balok'!$AA$23:$AA$12292,'Besi Balok'!$A$23:$A$12292,$A93,'Besi Balok'!$B$23:$B$12292,$B93,'Besi Balok'!$F$23:$F$12292,'REKAP Balok'!O$12)</f>
        <v>48.52162633499999</v>
      </c>
      <c r="P93">
        <f>SUMIFS('Besi Balok'!$AA$23:$AA$12292,'Besi Balok'!$A$23:$A$12292,$A93,'Besi Balok'!$B$23:$B$12292,$B93,'Besi Balok'!$F$23:$F$12292,'REKAP Balok'!P$12)</f>
        <v>0</v>
      </c>
      <c r="Q93">
        <f>SUMIFS('Besi Balok'!$AA$23:$AA$12292,'Besi Balok'!$A$23:$A$12292,$A93,'Besi Balok'!$B$23:$B$12292,$B93,'Besi Balok'!$F$23:$F$12292,'REKAP Balok'!Q$12)</f>
        <v>0</v>
      </c>
      <c r="R93">
        <f>SUMIFS('Besi Balok'!$AA$23:$AA$12292,'Besi Balok'!$A$23:$A$12292,$A93,'Besi Balok'!$B$23:$B$12292,$B93,'Besi Balok'!$F$23:$F$12292,'REKAP Balok'!R$12)</f>
        <v>0</v>
      </c>
      <c r="S93">
        <f>SUMIFS('Besi Balok'!$AA$23:$AA$12292,'Besi Balok'!$A$23:$A$12292,$A93,'Besi Balok'!$B$23:$B$12292,$B93,'Besi Balok'!$F$23:$F$12292,'REKAP Balok'!S$12)</f>
        <v>0</v>
      </c>
      <c r="T93">
        <f>SUMIFS('Besi Balok'!$AA$23:$AA$12292,'Besi Balok'!$A$23:$A$12292,$A93,'Besi Balok'!$B$23:$B$12292,$B93,'Besi Balok'!$F$23:$F$12292,'REKAP Balok'!T$12)</f>
        <v>0</v>
      </c>
      <c r="U93">
        <f>SUM(L93:T93)</f>
        <v>74.508926175</v>
      </c>
      <c r="V93">
        <f>(D93*(F93-H93)*G93*K93)/1000000000</f>
        <v>0.3711</v>
      </c>
      <c r="X93">
        <f>((F93-H93)*2*(G93)*K93)/1000000</f>
        <v>3.711</v>
      </c>
      <c r="Y93">
        <f>K93*(D93+2*$F$5)*G93*$F$7/1000000000</f>
        <v>0.1237</v>
      </c>
      <c r="Z93">
        <f>K93*(D93+2*$F$5+2*$F$6)*($F$4-J93+($F$7+$F$8)/1000)*G93/1000000</f>
        <v>3.0925</v>
      </c>
      <c r="AC93">
        <f>(D93+2*$F$5)*F93*G93/1000000000</f>
        <v>1.1133</v>
      </c>
    </row>
    <row r="94">
      <c r="A94" t="str">
        <f>'Data Panjang Balok'!A91</f>
        <v>Sloof</v>
      </c>
      <c r="B94">
        <f>'Data Panjang Balok'!B91</f>
        <v>73</v>
      </c>
      <c r="C94" t="str">
        <f>'Data Panjang Balok'!D91</f>
        <v>Potongan S4</v>
      </c>
      <c r="D94">
        <f>IF(C94&gt;0,VLOOKUP(C94,'Detail Balok'!$C$11:$AU$110,2,FALSE),0)</f>
        <v>300</v>
      </c>
      <c r="E94" t="str">
        <v>x</v>
      </c>
      <c r="F94">
        <f>IF(C94&gt;0,VLOOKUP(C94,'Detail Balok'!$C$11:$AU$110,3,FALSE),0)</f>
        <v>500</v>
      </c>
      <c r="G94">
        <f>'Data Panjang Balok'!I91</f>
        <v>2100</v>
      </c>
      <c r="H94">
        <f>'Data Panjang Balok'!J91</f>
        <v>150</v>
      </c>
      <c r="J94">
        <f>I94-F94/1000</f>
        <v>-0.5</v>
      </c>
      <c r="K94">
        <f>'Data Panjang Balok'!E91</f>
        <v>1</v>
      </c>
      <c r="L94">
        <f>SUMIFS('Besi Balok'!$AA$23:$AA$12292,'Besi Balok'!$A$23:$A$12292,$A94,'Besi Balok'!$B$23:$B$12292,$B94,'Besi Balok'!$F$23:$F$12292,'REKAP Balok'!L$12)</f>
        <v>0</v>
      </c>
      <c r="M94">
        <f>SUMIFS('Besi Balok'!$AA$23:$AA$12292,'Besi Balok'!$A$23:$A$12292,$A94,'Besi Balok'!$B$23:$B$12292,$B94,'Besi Balok'!$F$23:$F$12292,'REKAP Balok'!M$12)</f>
        <v>0</v>
      </c>
      <c r="N94">
        <f>SUMIFS('Besi Balok'!$AA$23:$AA$12292,'Besi Balok'!$A$23:$A$12292,$A94,'Besi Balok'!$B$23:$B$12292,$B94,'Besi Balok'!$F$23:$F$12292,'REKAP Balok'!N$12)</f>
        <v>14.345955</v>
      </c>
      <c r="O94">
        <f>SUMIFS('Besi Balok'!$AA$23:$AA$12292,'Besi Balok'!$A$23:$A$12292,$A94,'Besi Balok'!$B$23:$B$12292,$B94,'Besi Balok'!$F$23:$F$12292,'REKAP Balok'!O$12)</f>
        <v>0</v>
      </c>
      <c r="P94">
        <f>SUMIFS('Besi Balok'!$AA$23:$AA$12292,'Besi Balok'!$A$23:$A$12292,$A94,'Besi Balok'!$B$23:$B$12292,$B94,'Besi Balok'!$F$23:$F$12292,'REKAP Balok'!P$12)</f>
        <v>31.362785280000004</v>
      </c>
      <c r="Q94">
        <f>SUMIFS('Besi Balok'!$AA$23:$AA$12292,'Besi Balok'!$A$23:$A$12292,$A94,'Besi Balok'!$B$23:$B$12292,$B94,'Besi Balok'!$F$23:$F$12292,'REKAP Balok'!Q$12)</f>
        <v>0</v>
      </c>
      <c r="R94">
        <f>SUMIFS('Besi Balok'!$AA$23:$AA$12292,'Besi Balok'!$A$23:$A$12292,$A94,'Besi Balok'!$B$23:$B$12292,$B94,'Besi Balok'!$F$23:$F$12292,'REKAP Balok'!R$12)</f>
        <v>0</v>
      </c>
      <c r="S94">
        <f>SUMIFS('Besi Balok'!$AA$23:$AA$12292,'Besi Balok'!$A$23:$A$12292,$A94,'Besi Balok'!$B$23:$B$12292,$B94,'Besi Balok'!$F$23:$F$12292,'REKAP Balok'!S$12)</f>
        <v>0</v>
      </c>
      <c r="T94">
        <f>SUMIFS('Besi Balok'!$AA$23:$AA$12292,'Besi Balok'!$A$23:$A$12292,$A94,'Besi Balok'!$B$23:$B$12292,$B94,'Besi Balok'!$F$23:$F$12292,'REKAP Balok'!T$12)</f>
        <v>0</v>
      </c>
      <c r="U94">
        <f>SUM(L94:T94)</f>
        <v>45.70874028</v>
      </c>
      <c r="V94">
        <f>(D94*(F94-H94)*G94*K94)/1000000000</f>
        <v>0.2205</v>
      </c>
      <c r="X94">
        <f>((F94-H94)*2*(G94)*K94)/1000000</f>
        <v>1.47</v>
      </c>
      <c r="Y94">
        <f>K94*(D94+2*$F$5)*G94*$F$7/1000000000</f>
        <v>0.0525</v>
      </c>
      <c r="Z94">
        <f>K94*(D94+2*$F$5+2*$F$6)*($F$4-J94+($F$7+$F$8)/1000)*G94/1000000</f>
        <v>1.2705</v>
      </c>
      <c r="AC94">
        <f>(D94+2*$F$5)*F94*G94/1000000000</f>
        <v>0.525</v>
      </c>
    </row>
    <row r="95">
      <c r="A95" t="str">
        <f>'Data Panjang Balok'!A92</f>
        <v>Sloof</v>
      </c>
      <c r="B95">
        <f>'Data Panjang Balok'!B92</f>
        <v>74</v>
      </c>
      <c r="C95" t="str">
        <f>'Data Panjang Balok'!D92</f>
        <v>TB245-1</v>
      </c>
      <c r="D95">
        <f>IF(C95&gt;0,VLOOKUP(C95,'Detail Balok'!$C$11:$AU$110,2,FALSE),0)</f>
        <v>200</v>
      </c>
      <c r="E95" t="str">
        <v>x</v>
      </c>
      <c r="F95">
        <f>IF(C95&gt;0,VLOOKUP(C95,'Detail Balok'!$C$11:$AU$110,3,FALSE),0)</f>
        <v>450</v>
      </c>
      <c r="G95">
        <f>'Data Panjang Balok'!I92</f>
        <v>2100</v>
      </c>
      <c r="H95">
        <f>'Data Panjang Balok'!J92</f>
        <v>150</v>
      </c>
      <c r="J95">
        <f>I95-F95/1000</f>
        <v>-0.45</v>
      </c>
      <c r="K95">
        <f>'Data Panjang Balok'!E92</f>
        <v>1</v>
      </c>
      <c r="L95">
        <f>SUMIFS('Besi Balok'!$AA$23:$AA$12292,'Besi Balok'!$A$23:$A$12292,$A95,'Besi Balok'!$B$23:$B$12292,$B95,'Besi Balok'!$F$23:$F$12292,'REKAP Balok'!L$12)</f>
        <v>0</v>
      </c>
      <c r="M95">
        <f>SUMIFS('Besi Balok'!$AA$23:$AA$12292,'Besi Balok'!$A$23:$A$12292,$A95,'Besi Balok'!$B$23:$B$12292,$B95,'Besi Balok'!$F$23:$F$12292,'REKAP Balok'!M$12)</f>
        <v>8.05060224</v>
      </c>
      <c r="N95">
        <f>SUMIFS('Besi Balok'!$AA$23:$AA$12292,'Besi Balok'!$A$23:$A$12292,$A95,'Besi Balok'!$B$23:$B$12292,$B95,'Besi Balok'!$F$23:$F$12292,'REKAP Balok'!N$12)</f>
        <v>0</v>
      </c>
      <c r="O95">
        <f>SUMIFS('Besi Balok'!$AA$23:$AA$12292,'Besi Balok'!$A$23:$A$12292,$A95,'Besi Balok'!$B$23:$B$12292,$B95,'Besi Balok'!$F$23:$F$12292,'REKAP Balok'!O$12)</f>
        <v>15.078159719999999</v>
      </c>
      <c r="P95">
        <f>SUMIFS('Besi Balok'!$AA$23:$AA$12292,'Besi Balok'!$A$23:$A$12292,$A95,'Besi Balok'!$B$23:$B$12292,$B95,'Besi Balok'!$F$23:$F$12292,'REKAP Balok'!P$12)</f>
        <v>0</v>
      </c>
      <c r="Q95">
        <f>SUMIFS('Besi Balok'!$AA$23:$AA$12292,'Besi Balok'!$A$23:$A$12292,$A95,'Besi Balok'!$B$23:$B$12292,$B95,'Besi Balok'!$F$23:$F$12292,'REKAP Balok'!Q$12)</f>
        <v>0</v>
      </c>
      <c r="R95">
        <f>SUMIFS('Besi Balok'!$AA$23:$AA$12292,'Besi Balok'!$A$23:$A$12292,$A95,'Besi Balok'!$B$23:$B$12292,$B95,'Besi Balok'!$F$23:$F$12292,'REKAP Balok'!R$12)</f>
        <v>0</v>
      </c>
      <c r="S95">
        <f>SUMIFS('Besi Balok'!$AA$23:$AA$12292,'Besi Balok'!$A$23:$A$12292,$A95,'Besi Balok'!$B$23:$B$12292,$B95,'Besi Balok'!$F$23:$F$12292,'REKAP Balok'!S$12)</f>
        <v>0</v>
      </c>
      <c r="T95">
        <f>SUMIFS('Besi Balok'!$AA$23:$AA$12292,'Besi Balok'!$A$23:$A$12292,$A95,'Besi Balok'!$B$23:$B$12292,$B95,'Besi Balok'!$F$23:$F$12292,'REKAP Balok'!T$12)</f>
        <v>0</v>
      </c>
      <c r="U95">
        <f>SUM(L95:T95)</f>
        <v>23.12876196</v>
      </c>
      <c r="V95">
        <f>(D95*(F95-H95)*G95*K95)/1000000000</f>
        <v>0.126</v>
      </c>
      <c r="X95">
        <f>((F95-H95)*2*(G95)*K95)/1000000</f>
        <v>1.26</v>
      </c>
      <c r="Y95">
        <f>K95*(D95+2*$F$5)*G95*$F$7/1000000000</f>
        <v>0.042</v>
      </c>
      <c r="Z95">
        <f>K95*(D95+2*$F$5+2*$F$6)*($F$4-J95+($F$7+$F$8)/1000)*G95/1000000</f>
        <v>1.05</v>
      </c>
      <c r="AC95">
        <f>(D95+2*$F$5)*F95*G95/1000000000</f>
        <v>0.378</v>
      </c>
    </row>
    <row r="96">
      <c r="A96" t="str">
        <f>'Data Panjang Balok'!A93</f>
        <v>Sloof</v>
      </c>
      <c r="B96">
        <f>'Data Panjang Balok'!B93</f>
        <v>75</v>
      </c>
      <c r="C96" t="str">
        <f>'Data Panjang Balok'!D93</f>
        <v>Potongan S4</v>
      </c>
      <c r="D96">
        <f>IF(C96&gt;0,VLOOKUP(C96,'Detail Balok'!$C$11:$AU$110,2,FALSE),0)</f>
        <v>300</v>
      </c>
      <c r="E96" t="str">
        <v>x</v>
      </c>
      <c r="F96">
        <f>IF(C96&gt;0,VLOOKUP(C96,'Detail Balok'!$C$11:$AU$110,3,FALSE),0)</f>
        <v>500</v>
      </c>
      <c r="G96">
        <f>'Data Panjang Balok'!I93</f>
        <v>2100</v>
      </c>
      <c r="H96">
        <f>'Data Panjang Balok'!J93</f>
        <v>150</v>
      </c>
      <c r="J96">
        <f>I96-F96/1000</f>
        <v>-0.5</v>
      </c>
      <c r="K96">
        <f>'Data Panjang Balok'!E93</f>
        <v>1</v>
      </c>
      <c r="L96">
        <f>SUMIFS('Besi Balok'!$AA$23:$AA$12292,'Besi Balok'!$A$23:$A$12292,$A96,'Besi Balok'!$B$23:$B$12292,$B96,'Besi Balok'!$F$23:$F$12292,'REKAP Balok'!L$12)</f>
        <v>0</v>
      </c>
      <c r="M96">
        <f>SUMIFS('Besi Balok'!$AA$23:$AA$12292,'Besi Balok'!$A$23:$A$12292,$A96,'Besi Balok'!$B$23:$B$12292,$B96,'Besi Balok'!$F$23:$F$12292,'REKAP Balok'!M$12)</f>
        <v>0</v>
      </c>
      <c r="N96">
        <f>SUMIFS('Besi Balok'!$AA$23:$AA$12292,'Besi Balok'!$A$23:$A$12292,$A96,'Besi Balok'!$B$23:$B$12292,$B96,'Besi Balok'!$F$23:$F$12292,'REKAP Balok'!N$12)</f>
        <v>14.345955</v>
      </c>
      <c r="O96">
        <f>SUMIFS('Besi Balok'!$AA$23:$AA$12292,'Besi Balok'!$A$23:$A$12292,$A96,'Besi Balok'!$B$23:$B$12292,$B96,'Besi Balok'!$F$23:$F$12292,'REKAP Balok'!O$12)</f>
        <v>0</v>
      </c>
      <c r="P96">
        <f>SUMIFS('Besi Balok'!$AA$23:$AA$12292,'Besi Balok'!$A$23:$A$12292,$A96,'Besi Balok'!$B$23:$B$12292,$B96,'Besi Balok'!$F$23:$F$12292,'REKAP Balok'!P$12)</f>
        <v>31.362785280000004</v>
      </c>
      <c r="Q96">
        <f>SUMIFS('Besi Balok'!$AA$23:$AA$12292,'Besi Balok'!$A$23:$A$12292,$A96,'Besi Balok'!$B$23:$B$12292,$B96,'Besi Balok'!$F$23:$F$12292,'REKAP Balok'!Q$12)</f>
        <v>0</v>
      </c>
      <c r="R96">
        <f>SUMIFS('Besi Balok'!$AA$23:$AA$12292,'Besi Balok'!$A$23:$A$12292,$A96,'Besi Balok'!$B$23:$B$12292,$B96,'Besi Balok'!$F$23:$F$12292,'REKAP Balok'!R$12)</f>
        <v>0</v>
      </c>
      <c r="S96">
        <f>SUMIFS('Besi Balok'!$AA$23:$AA$12292,'Besi Balok'!$A$23:$A$12292,$A96,'Besi Balok'!$B$23:$B$12292,$B96,'Besi Balok'!$F$23:$F$12292,'REKAP Balok'!S$12)</f>
        <v>0</v>
      </c>
      <c r="T96">
        <f>SUMIFS('Besi Balok'!$AA$23:$AA$12292,'Besi Balok'!$A$23:$A$12292,$A96,'Besi Balok'!$B$23:$B$12292,$B96,'Besi Balok'!$F$23:$F$12292,'REKAP Balok'!T$12)</f>
        <v>0</v>
      </c>
      <c r="U96">
        <f>SUM(L96:T96)</f>
        <v>45.70874028</v>
      </c>
      <c r="V96">
        <f>(D96*(F96-H96)*G96*K96)/1000000000</f>
        <v>0.2205</v>
      </c>
      <c r="X96">
        <f>((F96-H96)*2*(G96)*K96)/1000000</f>
        <v>1.47</v>
      </c>
      <c r="Y96">
        <f>K96*(D96+2*$F$5)*G96*$F$7/1000000000</f>
        <v>0.0525</v>
      </c>
      <c r="Z96">
        <f>K96*(D96+2*$F$5+2*$F$6)*($F$4-J96+($F$7+$F$8)/1000)*G96/1000000</f>
        <v>1.2705</v>
      </c>
      <c r="AC96">
        <f>(D96+2*$F$5)*F96*G96/1000000000</f>
        <v>0.525</v>
      </c>
    </row>
    <row r="97">
      <c r="A97" t="str">
        <f>'Data Panjang Balok'!A94</f>
        <v>Sloof</v>
      </c>
      <c r="B97">
        <f>'Data Panjang Balok'!B94</f>
        <v>76</v>
      </c>
      <c r="C97" t="str">
        <f>'Data Panjang Balok'!D94</f>
        <v>Potongan S4</v>
      </c>
      <c r="D97">
        <f>IF(C97&gt;0,VLOOKUP(C97,'Detail Balok'!$C$11:$AU$110,2,FALSE),0)</f>
        <v>300</v>
      </c>
      <c r="E97" t="str">
        <v>x</v>
      </c>
      <c r="F97">
        <f>IF(C97&gt;0,VLOOKUP(C97,'Detail Balok'!$C$11:$AU$110,3,FALSE),0)</f>
        <v>500</v>
      </c>
      <c r="G97">
        <f>'Data Panjang Balok'!I94</f>
        <v>2100</v>
      </c>
      <c r="H97">
        <f>'Data Panjang Balok'!J94</f>
        <v>150</v>
      </c>
      <c r="J97">
        <f>I97-F97/1000</f>
        <v>-0.5</v>
      </c>
      <c r="K97">
        <f>'Data Panjang Balok'!E94</f>
        <v>1</v>
      </c>
      <c r="L97">
        <f>SUMIFS('Besi Balok'!$AA$23:$AA$12292,'Besi Balok'!$A$23:$A$12292,$A97,'Besi Balok'!$B$23:$B$12292,$B97,'Besi Balok'!$F$23:$F$12292,'REKAP Balok'!L$12)</f>
        <v>0</v>
      </c>
      <c r="M97">
        <f>SUMIFS('Besi Balok'!$AA$23:$AA$12292,'Besi Balok'!$A$23:$A$12292,$A97,'Besi Balok'!$B$23:$B$12292,$B97,'Besi Balok'!$F$23:$F$12292,'REKAP Balok'!M$12)</f>
        <v>0</v>
      </c>
      <c r="N97">
        <f>SUMIFS('Besi Balok'!$AA$23:$AA$12292,'Besi Balok'!$A$23:$A$12292,$A97,'Besi Balok'!$B$23:$B$12292,$B97,'Besi Balok'!$F$23:$F$12292,'REKAP Balok'!N$12)</f>
        <v>14.345955</v>
      </c>
      <c r="O97">
        <f>SUMIFS('Besi Balok'!$AA$23:$AA$12292,'Besi Balok'!$A$23:$A$12292,$A97,'Besi Balok'!$B$23:$B$12292,$B97,'Besi Balok'!$F$23:$F$12292,'REKAP Balok'!O$12)</f>
        <v>0</v>
      </c>
      <c r="P97">
        <f>SUMIFS('Besi Balok'!$AA$23:$AA$12292,'Besi Balok'!$A$23:$A$12292,$A97,'Besi Balok'!$B$23:$B$12292,$B97,'Besi Balok'!$F$23:$F$12292,'REKAP Balok'!P$12)</f>
        <v>31.362785280000004</v>
      </c>
      <c r="Q97">
        <f>SUMIFS('Besi Balok'!$AA$23:$AA$12292,'Besi Balok'!$A$23:$A$12292,$A97,'Besi Balok'!$B$23:$B$12292,$B97,'Besi Balok'!$F$23:$F$12292,'REKAP Balok'!Q$12)</f>
        <v>0</v>
      </c>
      <c r="R97">
        <f>SUMIFS('Besi Balok'!$AA$23:$AA$12292,'Besi Balok'!$A$23:$A$12292,$A97,'Besi Balok'!$B$23:$B$12292,$B97,'Besi Balok'!$F$23:$F$12292,'REKAP Balok'!R$12)</f>
        <v>0</v>
      </c>
      <c r="S97">
        <f>SUMIFS('Besi Balok'!$AA$23:$AA$12292,'Besi Balok'!$A$23:$A$12292,$A97,'Besi Balok'!$B$23:$B$12292,$B97,'Besi Balok'!$F$23:$F$12292,'REKAP Balok'!S$12)</f>
        <v>0</v>
      </c>
      <c r="T97">
        <f>SUMIFS('Besi Balok'!$AA$23:$AA$12292,'Besi Balok'!$A$23:$A$12292,$A97,'Besi Balok'!$B$23:$B$12292,$B97,'Besi Balok'!$F$23:$F$12292,'REKAP Balok'!T$12)</f>
        <v>0</v>
      </c>
      <c r="U97">
        <f>SUM(L97:T97)</f>
        <v>45.70874028</v>
      </c>
      <c r="V97">
        <f>(D97*(F97-H97)*G97*K97)/1000000000</f>
        <v>0.2205</v>
      </c>
      <c r="X97">
        <f>((F97-H97)*2*(G97)*K97)/1000000</f>
        <v>1.47</v>
      </c>
      <c r="Y97">
        <f>K97*(D97+2*$F$5)*G97*$F$7/1000000000</f>
        <v>0.0525</v>
      </c>
      <c r="Z97">
        <f>K97*(D97+2*$F$5+2*$F$6)*($F$4-J97+($F$7+$F$8)/1000)*G97/1000000</f>
        <v>1.2705</v>
      </c>
      <c r="AC97">
        <f>(D97+2*$F$5)*F97*G97/1000000000</f>
        <v>0.525</v>
      </c>
    </row>
    <row r="98">
      <c r="A98" t="str">
        <f>'Data Panjang Balok'!A95</f>
        <v>Sloof</v>
      </c>
      <c r="B98">
        <f>'Data Panjang Balok'!B95</f>
        <v>77</v>
      </c>
      <c r="C98" t="str">
        <f>'Data Panjang Balok'!D95</f>
        <v>TB245-2</v>
      </c>
      <c r="D98">
        <f>IF(C98&gt;0,VLOOKUP(C98,'Detail Balok'!$C$11:$AU$110,2,FALSE),0)</f>
        <v>200</v>
      </c>
      <c r="E98" t="str">
        <v>x</v>
      </c>
      <c r="F98">
        <f>IF(C98&gt;0,VLOOKUP(C98,'Detail Balok'!$C$11:$AU$110,3,FALSE),0)</f>
        <v>450</v>
      </c>
      <c r="G98">
        <f>'Data Panjang Balok'!I95</f>
        <v>7025</v>
      </c>
      <c r="H98">
        <f>'Data Panjang Balok'!J95</f>
        <v>150</v>
      </c>
      <c r="J98">
        <f>I98-F98/1000</f>
        <v>-0.45</v>
      </c>
      <c r="K98">
        <f>'Data Panjang Balok'!E95</f>
        <v>1</v>
      </c>
      <c r="L98">
        <f>SUMIFS('Besi Balok'!$AA$23:$AA$12292,'Besi Balok'!$A$23:$A$12292,$A98,'Besi Balok'!$B$23:$B$12292,$B98,'Besi Balok'!$F$23:$F$12292,'REKAP Balok'!L$12)</f>
        <v>0</v>
      </c>
      <c r="M98">
        <f>SUMIFS('Besi Balok'!$AA$23:$AA$12292,'Besi Balok'!$A$23:$A$12292,$A98,'Besi Balok'!$B$23:$B$12292,$B98,'Besi Balok'!$F$23:$F$12292,'REKAP Balok'!M$12)</f>
        <v>29.32527744</v>
      </c>
      <c r="N98">
        <f>SUMIFS('Besi Balok'!$AA$23:$AA$12292,'Besi Balok'!$A$23:$A$12292,$A98,'Besi Balok'!$B$23:$B$12292,$B98,'Besi Balok'!$F$23:$F$12292,'REKAP Balok'!N$12)</f>
        <v>0</v>
      </c>
      <c r="O98">
        <f>SUMIFS('Besi Balok'!$AA$23:$AA$12292,'Besi Balok'!$A$23:$A$12292,$A98,'Besi Balok'!$B$23:$B$12292,$B98,'Besi Balok'!$F$23:$F$12292,'REKAP Balok'!O$12)</f>
        <v>54.647910135000004</v>
      </c>
      <c r="P98">
        <f>SUMIFS('Besi Balok'!$AA$23:$AA$12292,'Besi Balok'!$A$23:$A$12292,$A98,'Besi Balok'!$B$23:$B$12292,$B98,'Besi Balok'!$F$23:$F$12292,'REKAP Balok'!P$12)</f>
        <v>0</v>
      </c>
      <c r="Q98">
        <f>SUMIFS('Besi Balok'!$AA$23:$AA$12292,'Besi Balok'!$A$23:$A$12292,$A98,'Besi Balok'!$B$23:$B$12292,$B98,'Besi Balok'!$F$23:$F$12292,'REKAP Balok'!Q$12)</f>
        <v>0</v>
      </c>
      <c r="R98">
        <f>SUMIFS('Besi Balok'!$AA$23:$AA$12292,'Besi Balok'!$A$23:$A$12292,$A98,'Besi Balok'!$B$23:$B$12292,$B98,'Besi Balok'!$F$23:$F$12292,'REKAP Balok'!R$12)</f>
        <v>0</v>
      </c>
      <c r="S98">
        <f>SUMIFS('Besi Balok'!$AA$23:$AA$12292,'Besi Balok'!$A$23:$A$12292,$A98,'Besi Balok'!$B$23:$B$12292,$B98,'Besi Balok'!$F$23:$F$12292,'REKAP Balok'!S$12)</f>
        <v>0</v>
      </c>
      <c r="T98">
        <f>SUMIFS('Besi Balok'!$AA$23:$AA$12292,'Besi Balok'!$A$23:$A$12292,$A98,'Besi Balok'!$B$23:$B$12292,$B98,'Besi Balok'!$F$23:$F$12292,'REKAP Balok'!T$12)</f>
        <v>0</v>
      </c>
      <c r="U98">
        <f>SUM(L98:T98)</f>
        <v>83.973187575</v>
      </c>
      <c r="V98">
        <f>(D98*(F98-H98)*G98*K98)/1000000000</f>
        <v>0.4215</v>
      </c>
      <c r="X98">
        <f>((F98-H98)*2*(G98)*K98)/1000000</f>
        <v>4.215</v>
      </c>
      <c r="Y98">
        <f>K98*(D98+2*$F$5)*G98*$F$7/1000000000</f>
        <v>0.1405</v>
      </c>
      <c r="Z98">
        <f>K98*(D98+2*$F$5+2*$F$6)*($F$4-J98+($F$7+$F$8)/1000)*G98/1000000</f>
        <v>3.5125</v>
      </c>
      <c r="AC98">
        <f>(D98+2*$F$5)*F98*G98/1000000000</f>
        <v>1.2645</v>
      </c>
    </row>
    <row r="99">
      <c r="A99" t="str">
        <f>'Data Panjang Balok'!A96</f>
        <v>Sloof</v>
      </c>
      <c r="B99">
        <f>'Data Panjang Balok'!B96</f>
        <v>78</v>
      </c>
      <c r="C99" t="str">
        <f>'Data Panjang Balok'!D96</f>
        <v>TB245-1</v>
      </c>
      <c r="D99">
        <f>IF(C99&gt;0,VLOOKUP(C99,'Detail Balok'!$C$11:$AU$110,2,FALSE),0)</f>
        <v>200</v>
      </c>
      <c r="E99" t="str">
        <v>x</v>
      </c>
      <c r="F99">
        <f>IF(C99&gt;0,VLOOKUP(C99,'Detail Balok'!$C$11:$AU$110,3,FALSE),0)</f>
        <v>450</v>
      </c>
      <c r="G99">
        <f>'Data Panjang Balok'!I96</f>
        <v>4135</v>
      </c>
      <c r="H99">
        <f>'Data Panjang Balok'!J96</f>
        <v>150</v>
      </c>
      <c r="J99">
        <f>I99-F99/1000</f>
        <v>-0.45</v>
      </c>
      <c r="K99">
        <f>'Data Panjang Balok'!E96</f>
        <v>1</v>
      </c>
      <c r="L99">
        <f>SUMIFS('Besi Balok'!$AA$23:$AA$12292,'Besi Balok'!$A$23:$A$12292,$A99,'Besi Balok'!$B$23:$B$12292,$B99,'Besi Balok'!$F$23:$F$12292,'REKAP Balok'!L$12)</f>
        <v>0</v>
      </c>
      <c r="M99">
        <f>SUMIFS('Besi Balok'!$AA$23:$AA$12292,'Besi Balok'!$A$23:$A$12292,$A99,'Besi Balok'!$B$23:$B$12292,$B99,'Besi Balok'!$F$23:$F$12292,'REKAP Balok'!M$12)</f>
        <v>13.223283839999999</v>
      </c>
      <c r="N99">
        <f>SUMIFS('Besi Balok'!$AA$23:$AA$12292,'Besi Balok'!$A$23:$A$12292,$A99,'Besi Balok'!$B$23:$B$12292,$B99,'Besi Balok'!$F$23:$F$12292,'REKAP Balok'!N$12)</f>
        <v>0</v>
      </c>
      <c r="O99">
        <f>SUMIFS('Besi Balok'!$AA$23:$AA$12292,'Besi Balok'!$A$23:$A$12292,$A99,'Besi Balok'!$B$23:$B$12292,$B99,'Besi Balok'!$F$23:$F$12292,'REKAP Balok'!O$12)</f>
        <v>27.79957557</v>
      </c>
      <c r="P99">
        <f>SUMIFS('Besi Balok'!$AA$23:$AA$12292,'Besi Balok'!$A$23:$A$12292,$A99,'Besi Balok'!$B$23:$B$12292,$B99,'Besi Balok'!$F$23:$F$12292,'REKAP Balok'!P$12)</f>
        <v>0</v>
      </c>
      <c r="Q99">
        <f>SUMIFS('Besi Balok'!$AA$23:$AA$12292,'Besi Balok'!$A$23:$A$12292,$A99,'Besi Balok'!$B$23:$B$12292,$B99,'Besi Balok'!$F$23:$F$12292,'REKAP Balok'!Q$12)</f>
        <v>0</v>
      </c>
      <c r="R99">
        <f>SUMIFS('Besi Balok'!$AA$23:$AA$12292,'Besi Balok'!$A$23:$A$12292,$A99,'Besi Balok'!$B$23:$B$12292,$B99,'Besi Balok'!$F$23:$F$12292,'REKAP Balok'!R$12)</f>
        <v>0</v>
      </c>
      <c r="S99">
        <f>SUMIFS('Besi Balok'!$AA$23:$AA$12292,'Besi Balok'!$A$23:$A$12292,$A99,'Besi Balok'!$B$23:$B$12292,$B99,'Besi Balok'!$F$23:$F$12292,'REKAP Balok'!S$12)</f>
        <v>0</v>
      </c>
      <c r="T99">
        <f>SUMIFS('Besi Balok'!$AA$23:$AA$12292,'Besi Balok'!$A$23:$A$12292,$A99,'Besi Balok'!$B$23:$B$12292,$B99,'Besi Balok'!$F$23:$F$12292,'REKAP Balok'!T$12)</f>
        <v>0</v>
      </c>
      <c r="U99">
        <f>SUM(L99:T99)</f>
        <v>41.022859409999995</v>
      </c>
      <c r="V99">
        <f>(D99*(F99-H99)*G99*K99)/1000000000</f>
        <v>0.2481</v>
      </c>
      <c r="X99">
        <f>((F99-H99)*2*(G99)*K99)/1000000</f>
        <v>2.481</v>
      </c>
      <c r="Y99">
        <f>K99*(D99+2*$F$5)*G99*$F$7/1000000000</f>
        <v>0.0827</v>
      </c>
      <c r="Z99">
        <f>K99*(D99+2*$F$5+2*$F$6)*($F$4-J99+($F$7+$F$8)/1000)*G99/1000000</f>
        <v>2.0675</v>
      </c>
      <c r="AC99">
        <f>(D99+2*$F$5)*F99*G99/1000000000</f>
        <v>0.7443</v>
      </c>
    </row>
    <row r="100">
      <c r="A100" t="str">
        <f>'Data Panjang Balok'!A97</f>
        <v>Sloof</v>
      </c>
      <c r="B100">
        <f>'Data Panjang Balok'!B97</f>
        <v>79</v>
      </c>
      <c r="C100" t="str">
        <f>'Data Panjang Balok'!D97</f>
        <v>TB25-1</v>
      </c>
      <c r="D100">
        <f>IF(C100&gt;0,VLOOKUP(C100,'Detail Balok'!$C$11:$AU$110,2,FALSE),0)</f>
        <v>200</v>
      </c>
      <c r="E100" t="str">
        <v>x</v>
      </c>
      <c r="F100">
        <f>IF(C100&gt;0,VLOOKUP(C100,'Detail Balok'!$C$11:$AU$110,3,FALSE),0)</f>
        <v>500</v>
      </c>
      <c r="G100">
        <f>'Data Panjang Balok'!I97</f>
        <v>2765</v>
      </c>
      <c r="H100">
        <f>'Data Panjang Balok'!J97</f>
        <v>150</v>
      </c>
      <c r="J100">
        <f>I100-F100/1000</f>
        <v>-0.5</v>
      </c>
      <c r="K100">
        <f>'Data Panjang Balok'!E97</f>
        <v>1</v>
      </c>
      <c r="L100">
        <f>SUMIFS('Besi Balok'!$AA$23:$AA$12292,'Besi Balok'!$A$23:$A$12292,$A100,'Besi Balok'!$B$23:$B$12292,$B100,'Besi Balok'!$F$23:$F$12292,'REKAP Balok'!L$12)</f>
        <v>0</v>
      </c>
      <c r="M100">
        <f>SUMIFS('Besi Balok'!$AA$23:$AA$12292,'Besi Balok'!$A$23:$A$12292,$A100,'Besi Balok'!$B$23:$B$12292,$B100,'Besi Balok'!$F$23:$F$12292,'REKAP Balok'!M$12)</f>
        <v>0</v>
      </c>
      <c r="N100">
        <f>SUMIFS('Besi Balok'!$AA$23:$AA$12292,'Besi Balok'!$A$23:$A$12292,$A100,'Besi Balok'!$B$23:$B$12292,$B100,'Besi Balok'!$F$23:$F$12292,'REKAP Balok'!N$12)</f>
        <v>15.837885</v>
      </c>
      <c r="O100">
        <f>SUMIFS('Besi Balok'!$AA$23:$AA$12292,'Besi Balok'!$A$23:$A$12292,$A100,'Besi Balok'!$B$23:$B$12292,$B100,'Besi Balok'!$F$23:$F$12292,'REKAP Balok'!O$12)</f>
        <v>0</v>
      </c>
      <c r="P100">
        <f>SUMIFS('Besi Balok'!$AA$23:$AA$12292,'Besi Balok'!$A$23:$A$12292,$A100,'Besi Balok'!$B$23:$B$12292,$B100,'Besi Balok'!$F$23:$F$12292,'REKAP Balok'!P$12)</f>
        <v>29.819266560000003</v>
      </c>
      <c r="Q100">
        <f>SUMIFS('Besi Balok'!$AA$23:$AA$12292,'Besi Balok'!$A$23:$A$12292,$A100,'Besi Balok'!$B$23:$B$12292,$B100,'Besi Balok'!$F$23:$F$12292,'REKAP Balok'!Q$12)</f>
        <v>0</v>
      </c>
      <c r="R100">
        <f>SUMIFS('Besi Balok'!$AA$23:$AA$12292,'Besi Balok'!$A$23:$A$12292,$A100,'Besi Balok'!$B$23:$B$12292,$B100,'Besi Balok'!$F$23:$F$12292,'REKAP Balok'!R$12)</f>
        <v>0</v>
      </c>
      <c r="S100">
        <f>SUMIFS('Besi Balok'!$AA$23:$AA$12292,'Besi Balok'!$A$23:$A$12292,$A100,'Besi Balok'!$B$23:$B$12292,$B100,'Besi Balok'!$F$23:$F$12292,'REKAP Balok'!S$12)</f>
        <v>0</v>
      </c>
      <c r="T100">
        <f>SUMIFS('Besi Balok'!$AA$23:$AA$12292,'Besi Balok'!$A$23:$A$12292,$A100,'Besi Balok'!$B$23:$B$12292,$B100,'Besi Balok'!$F$23:$F$12292,'REKAP Balok'!T$12)</f>
        <v>0</v>
      </c>
      <c r="U100">
        <f>SUM(L100:T100)</f>
        <v>45.65715156</v>
      </c>
      <c r="V100">
        <f>(D100*(F100-H100)*G100*K100)/1000000000</f>
        <v>0.19355</v>
      </c>
      <c r="X100">
        <f>((F100-H100)*2*(G100)*K100)/1000000</f>
        <v>1.9355</v>
      </c>
      <c r="Y100">
        <f>K100*(D100+2*$F$5)*G100*$F$7/1000000000</f>
        <v>0.0553</v>
      </c>
      <c r="Z100">
        <f>K100*(D100+2*$F$5+2*$F$6)*($F$4-J100+($F$7+$F$8)/1000)*G100/1000000</f>
        <v>1.52075</v>
      </c>
      <c r="AC100">
        <f>(D100+2*$F$5)*F100*G100/1000000000</f>
        <v>0.553</v>
      </c>
    </row>
    <row r="101">
      <c r="A101" t="str">
        <f>'Data Panjang Balok'!A98</f>
        <v>Sloof</v>
      </c>
      <c r="B101">
        <f>'Data Panjang Balok'!B98</f>
        <v>80</v>
      </c>
      <c r="C101" t="str">
        <f>'Data Panjang Balok'!D98</f>
        <v>TB35-2</v>
      </c>
      <c r="D101">
        <f>IF(C101&gt;0,VLOOKUP(C101,'Detail Balok'!$C$11:$AU$110,2,FALSE),0)</f>
        <v>300</v>
      </c>
      <c r="E101" t="str">
        <v>x</v>
      </c>
      <c r="F101">
        <f>IF(C101&gt;0,VLOOKUP(C101,'Detail Balok'!$C$11:$AU$110,3,FALSE),0)</f>
        <v>500</v>
      </c>
      <c r="G101">
        <f>'Data Panjang Balok'!I98</f>
        <v>5800</v>
      </c>
      <c r="H101">
        <f>'Data Panjang Balok'!J98</f>
        <v>150</v>
      </c>
      <c r="J101">
        <f>I101-F101/1000</f>
        <v>-0.5</v>
      </c>
      <c r="K101">
        <f>'Data Panjang Balok'!E98</f>
        <v>1</v>
      </c>
      <c r="L101">
        <f>SUMIFS('Besi Balok'!$AA$23:$AA$12292,'Besi Balok'!$A$23:$A$12292,$A101,'Besi Balok'!$B$23:$B$12292,$B101,'Besi Balok'!$F$23:$F$12292,'REKAP Balok'!L$12)</f>
        <v>0</v>
      </c>
      <c r="M101">
        <f>SUMIFS('Besi Balok'!$AA$23:$AA$12292,'Besi Balok'!$A$23:$A$12292,$A101,'Besi Balok'!$B$23:$B$12292,$B101,'Besi Balok'!$F$23:$F$12292,'REKAP Balok'!M$12)</f>
        <v>0</v>
      </c>
      <c r="N101">
        <f>SUMIFS('Besi Balok'!$AA$23:$AA$12292,'Besi Balok'!$A$23:$A$12292,$A101,'Besi Balok'!$B$23:$B$12292,$B101,'Besi Balok'!$F$23:$F$12292,'REKAP Balok'!N$12)</f>
        <v>43.592715</v>
      </c>
      <c r="O101">
        <f>SUMIFS('Besi Balok'!$AA$23:$AA$12292,'Besi Balok'!$A$23:$A$12292,$A101,'Besi Balok'!$B$23:$B$12292,$B101,'Besi Balok'!$F$23:$F$12292,'REKAP Balok'!O$12)</f>
        <v>0</v>
      </c>
      <c r="P101">
        <f>SUMIFS('Besi Balok'!$AA$23:$AA$12292,'Besi Balok'!$A$23:$A$12292,$A101,'Besi Balok'!$B$23:$B$12292,$B101,'Besi Balok'!$F$23:$F$12292,'REKAP Balok'!P$12)</f>
        <v>115.12313856000002</v>
      </c>
      <c r="Q101">
        <f>SUMIFS('Besi Balok'!$AA$23:$AA$12292,'Besi Balok'!$A$23:$A$12292,$A101,'Besi Balok'!$B$23:$B$12292,$B101,'Besi Balok'!$F$23:$F$12292,'REKAP Balok'!Q$12)</f>
        <v>0</v>
      </c>
      <c r="R101">
        <f>SUMIFS('Besi Balok'!$AA$23:$AA$12292,'Besi Balok'!$A$23:$A$12292,$A101,'Besi Balok'!$B$23:$B$12292,$B101,'Besi Balok'!$F$23:$F$12292,'REKAP Balok'!R$12)</f>
        <v>0</v>
      </c>
      <c r="S101">
        <f>SUMIFS('Besi Balok'!$AA$23:$AA$12292,'Besi Balok'!$A$23:$A$12292,$A101,'Besi Balok'!$B$23:$B$12292,$B101,'Besi Balok'!$F$23:$F$12292,'REKAP Balok'!S$12)</f>
        <v>0</v>
      </c>
      <c r="T101">
        <f>SUMIFS('Besi Balok'!$AA$23:$AA$12292,'Besi Balok'!$A$23:$A$12292,$A101,'Besi Balok'!$B$23:$B$12292,$B101,'Besi Balok'!$F$23:$F$12292,'REKAP Balok'!T$12)</f>
        <v>0</v>
      </c>
      <c r="U101">
        <f>SUM(L101:T101)</f>
        <v>158.71585356000003</v>
      </c>
      <c r="V101">
        <f>(D101*(F101-H101)*G101*K101)/1000000000</f>
        <v>0.609</v>
      </c>
      <c r="X101">
        <f>((F101-H101)*2*(G101)*K101)/1000000</f>
        <v>4.06</v>
      </c>
      <c r="Y101">
        <f>K101*(D101+2*$F$5)*G101*$F$7/1000000000</f>
        <v>0.145</v>
      </c>
      <c r="Z101">
        <f>K101*(D101+2*$F$5+2*$F$6)*($F$4-J101+($F$7+$F$8)/1000)*G101/1000000</f>
        <v>3.509</v>
      </c>
      <c r="AC101">
        <f>(D101+2*$F$5)*F101*G101/1000000000</f>
        <v>1.45</v>
      </c>
    </row>
    <row r="102">
      <c r="A102" t="str">
        <f>'Data Panjang Balok'!A99</f>
        <v>Sloof</v>
      </c>
      <c r="B102">
        <f>'Data Panjang Balok'!B99</f>
        <v>81</v>
      </c>
      <c r="C102" t="str">
        <f>'Data Panjang Balok'!D99</f>
        <v>TB245-2</v>
      </c>
      <c r="D102">
        <f>IF(C102&gt;0,VLOOKUP(C102,'Detail Balok'!$C$11:$AU$110,2,FALSE),0)</f>
        <v>200</v>
      </c>
      <c r="E102" t="str">
        <v>x</v>
      </c>
      <c r="F102">
        <f>IF(C102&gt;0,VLOOKUP(C102,'Detail Balok'!$C$11:$AU$110,3,FALSE),0)</f>
        <v>450</v>
      </c>
      <c r="G102">
        <f>'Data Panjang Balok'!I99</f>
        <v>3600</v>
      </c>
      <c r="H102">
        <f>'Data Panjang Balok'!J99</f>
        <v>150</v>
      </c>
      <c r="J102">
        <f>I102-F102/1000</f>
        <v>-0.45</v>
      </c>
      <c r="K102">
        <f>'Data Panjang Balok'!E99</f>
        <v>1</v>
      </c>
      <c r="L102">
        <f>SUMIFS('Besi Balok'!$AA$23:$AA$12292,'Besi Balok'!$A$23:$A$12292,$A102,'Besi Balok'!$B$23:$B$12292,$B102,'Besi Balok'!$F$23:$F$12292,'REKAP Balok'!L$12)</f>
        <v>0</v>
      </c>
      <c r="M102">
        <f>SUMIFS('Besi Balok'!$AA$23:$AA$12292,'Besi Balok'!$A$23:$A$12292,$A102,'Besi Balok'!$B$23:$B$12292,$B102,'Besi Balok'!$F$23:$F$12292,'REKAP Balok'!M$12)</f>
        <v>15.47622144</v>
      </c>
      <c r="N102">
        <f>SUMIFS('Besi Balok'!$AA$23:$AA$12292,'Besi Balok'!$A$23:$A$12292,$A102,'Besi Balok'!$B$23:$B$12292,$B102,'Besi Balok'!$F$23:$F$12292,'REKAP Balok'!N$12)</f>
        <v>0</v>
      </c>
      <c r="O102">
        <f>SUMIFS('Besi Balok'!$AA$23:$AA$12292,'Besi Balok'!$A$23:$A$12292,$A102,'Besi Balok'!$B$23:$B$12292,$B102,'Besi Balok'!$F$23:$F$12292,'REKAP Balok'!O$12)</f>
        <v>29.668717259999998</v>
      </c>
      <c r="P102">
        <f>SUMIFS('Besi Balok'!$AA$23:$AA$12292,'Besi Balok'!$A$23:$A$12292,$A102,'Besi Balok'!$B$23:$B$12292,$B102,'Besi Balok'!$F$23:$F$12292,'REKAP Balok'!P$12)</f>
        <v>0</v>
      </c>
      <c r="Q102">
        <f>SUMIFS('Besi Balok'!$AA$23:$AA$12292,'Besi Balok'!$A$23:$A$12292,$A102,'Besi Balok'!$B$23:$B$12292,$B102,'Besi Balok'!$F$23:$F$12292,'REKAP Balok'!Q$12)</f>
        <v>0</v>
      </c>
      <c r="R102">
        <f>SUMIFS('Besi Balok'!$AA$23:$AA$12292,'Besi Balok'!$A$23:$A$12292,$A102,'Besi Balok'!$B$23:$B$12292,$B102,'Besi Balok'!$F$23:$F$12292,'REKAP Balok'!R$12)</f>
        <v>0</v>
      </c>
      <c r="S102">
        <f>SUMIFS('Besi Balok'!$AA$23:$AA$12292,'Besi Balok'!$A$23:$A$12292,$A102,'Besi Balok'!$B$23:$B$12292,$B102,'Besi Balok'!$F$23:$F$12292,'REKAP Balok'!S$12)</f>
        <v>0</v>
      </c>
      <c r="T102">
        <f>SUMIFS('Besi Balok'!$AA$23:$AA$12292,'Besi Balok'!$A$23:$A$12292,$A102,'Besi Balok'!$B$23:$B$12292,$B102,'Besi Balok'!$F$23:$F$12292,'REKAP Balok'!T$12)</f>
        <v>0</v>
      </c>
      <c r="U102">
        <f>SUM(L102:T102)</f>
        <v>45.1449387</v>
      </c>
      <c r="V102">
        <f>(D102*(F102-H102)*G102*K102)/1000000000</f>
        <v>0.216</v>
      </c>
      <c r="X102">
        <f>((F102-H102)*2*(G102)*K102)/1000000</f>
        <v>2.16</v>
      </c>
      <c r="Y102">
        <f>K102*(D102+2*$F$5)*G102*$F$7/1000000000</f>
        <v>0.072</v>
      </c>
      <c r="Z102">
        <f>K102*(D102+2*$F$5+2*$F$6)*($F$4-J102+($F$7+$F$8)/1000)*G102/1000000</f>
        <v>1.8</v>
      </c>
      <c r="AC102">
        <f>(D102+2*$F$5)*F102*G102/1000000000</f>
        <v>0.648</v>
      </c>
    </row>
    <row r="103">
      <c r="A103" t="str">
        <f>'Data Panjang Balok'!A100</f>
        <v>Sloof</v>
      </c>
      <c r="B103">
        <f>'Data Panjang Balok'!B100</f>
        <v>82</v>
      </c>
      <c r="C103" t="str">
        <f>'Data Panjang Balok'!D100</f>
        <v>TB25-3</v>
      </c>
      <c r="D103">
        <f>IF(C103&gt;0,VLOOKUP(C103,'Detail Balok'!$C$11:$AU$110,2,FALSE),0)</f>
        <v>200</v>
      </c>
      <c r="E103" t="str">
        <v>x</v>
      </c>
      <c r="F103">
        <f>IF(C103&gt;0,VLOOKUP(C103,'Detail Balok'!$C$11:$AU$110,3,FALSE),0)</f>
        <v>500</v>
      </c>
      <c r="G103">
        <f>'Data Panjang Balok'!I100</f>
        <v>5800</v>
      </c>
      <c r="H103">
        <f>'Data Panjang Balok'!J100</f>
        <v>150</v>
      </c>
      <c r="J103">
        <f>I103-F103/1000</f>
        <v>-0.5</v>
      </c>
      <c r="K103">
        <f>'Data Panjang Balok'!E100</f>
        <v>1</v>
      </c>
      <c r="L103">
        <f>SUMIFS('Besi Balok'!$AA$23:$AA$12292,'Besi Balok'!$A$23:$A$12292,$A103,'Besi Balok'!$B$23:$B$12292,$B103,'Besi Balok'!$F$23:$F$12292,'REKAP Balok'!L$12)</f>
        <v>0</v>
      </c>
      <c r="M103">
        <f>SUMIFS('Besi Balok'!$AA$23:$AA$12292,'Besi Balok'!$A$23:$A$12292,$A103,'Besi Balok'!$B$23:$B$12292,$B103,'Besi Balok'!$F$23:$F$12292,'REKAP Balok'!M$12)</f>
        <v>0</v>
      </c>
      <c r="N103">
        <f>SUMIFS('Besi Balok'!$AA$23:$AA$12292,'Besi Balok'!$A$23:$A$12292,$A103,'Besi Balok'!$B$23:$B$12292,$B103,'Besi Balok'!$F$23:$F$12292,'REKAP Balok'!N$12)</f>
        <v>30.954465000000003</v>
      </c>
      <c r="O103">
        <f>SUMIFS('Besi Balok'!$AA$23:$AA$12292,'Besi Balok'!$A$23:$A$12292,$A103,'Besi Balok'!$B$23:$B$12292,$B103,'Besi Balok'!$F$23:$F$12292,'REKAP Balok'!O$12)</f>
        <v>0</v>
      </c>
      <c r="P103">
        <f>SUMIFS('Besi Balok'!$AA$23:$AA$12292,'Besi Balok'!$A$23:$A$12292,$A103,'Besi Balok'!$B$23:$B$12292,$B103,'Besi Balok'!$F$23:$F$12292,'REKAP Balok'!P$12)</f>
        <v>76.38050304000001</v>
      </c>
      <c r="Q103">
        <f>SUMIFS('Besi Balok'!$AA$23:$AA$12292,'Besi Balok'!$A$23:$A$12292,$A103,'Besi Balok'!$B$23:$B$12292,$B103,'Besi Balok'!$F$23:$F$12292,'REKAP Balok'!Q$12)</f>
        <v>0</v>
      </c>
      <c r="R103">
        <f>SUMIFS('Besi Balok'!$AA$23:$AA$12292,'Besi Balok'!$A$23:$A$12292,$A103,'Besi Balok'!$B$23:$B$12292,$B103,'Besi Balok'!$F$23:$F$12292,'REKAP Balok'!R$12)</f>
        <v>0</v>
      </c>
      <c r="S103">
        <f>SUMIFS('Besi Balok'!$AA$23:$AA$12292,'Besi Balok'!$A$23:$A$12292,$A103,'Besi Balok'!$B$23:$B$12292,$B103,'Besi Balok'!$F$23:$F$12292,'REKAP Balok'!S$12)</f>
        <v>0</v>
      </c>
      <c r="T103">
        <f>SUMIFS('Besi Balok'!$AA$23:$AA$12292,'Besi Balok'!$A$23:$A$12292,$A103,'Besi Balok'!$B$23:$B$12292,$B103,'Besi Balok'!$F$23:$F$12292,'REKAP Balok'!T$12)</f>
        <v>0</v>
      </c>
      <c r="U103">
        <f>SUM(L103:T103)</f>
        <v>107.33496804</v>
      </c>
      <c r="V103">
        <f>(D103*(F103-H103)*G103*K103)/1000000000</f>
        <v>0.406</v>
      </c>
      <c r="X103">
        <f>((F103-H103)*2*(G103)*K103)/1000000</f>
        <v>4.06</v>
      </c>
      <c r="Y103">
        <f>K103*(D103+2*$F$5)*G103*$F$7/1000000000</f>
        <v>0.116</v>
      </c>
      <c r="Z103">
        <f>K103*(D103+2*$F$5+2*$F$6)*($F$4-J103+($F$7+$F$8)/1000)*G103/1000000</f>
        <v>3.19</v>
      </c>
      <c r="AC103">
        <f>(D103+2*$F$5)*F103*G103/1000000000</f>
        <v>1.16</v>
      </c>
    </row>
    <row r="104">
      <c r="A104" t="str">
        <f>'Data Panjang Balok'!A101</f>
        <v>Sloof</v>
      </c>
      <c r="B104">
        <f>'Data Panjang Balok'!B101</f>
        <v>83</v>
      </c>
      <c r="C104" t="str">
        <f>'Data Panjang Balok'!D101</f>
        <v>TB245-2</v>
      </c>
      <c r="D104">
        <f>IF(C104&gt;0,VLOOKUP(C104,'Detail Balok'!$C$11:$AU$110,2,FALSE),0)</f>
        <v>200</v>
      </c>
      <c r="E104" t="str">
        <v>x</v>
      </c>
      <c r="F104">
        <f>IF(C104&gt;0,VLOOKUP(C104,'Detail Balok'!$C$11:$AU$110,3,FALSE),0)</f>
        <v>450</v>
      </c>
      <c r="G104">
        <f>'Data Panjang Balok'!I101</f>
        <v>3200</v>
      </c>
      <c r="H104">
        <f>'Data Panjang Balok'!J101</f>
        <v>150</v>
      </c>
      <c r="J104">
        <f>I104-F104/1000</f>
        <v>-0.45</v>
      </c>
      <c r="K104">
        <f>'Data Panjang Balok'!E101</f>
        <v>1</v>
      </c>
      <c r="L104">
        <f>SUMIFS('Besi Balok'!$AA$23:$AA$12292,'Besi Balok'!$A$23:$A$12292,$A104,'Besi Balok'!$B$23:$B$12292,$B104,'Besi Balok'!$F$23:$F$12292,'REKAP Balok'!L$12)</f>
        <v>0</v>
      </c>
      <c r="M104">
        <f>SUMIFS('Besi Balok'!$AA$23:$AA$12292,'Besi Balok'!$A$23:$A$12292,$A104,'Besi Balok'!$B$23:$B$12292,$B104,'Besi Balok'!$F$23:$F$12292,'REKAP Balok'!M$12)</f>
        <v>13.82301504</v>
      </c>
      <c r="N104">
        <f>SUMIFS('Besi Balok'!$AA$23:$AA$12292,'Besi Balok'!$A$23:$A$12292,$A104,'Besi Balok'!$B$23:$B$12292,$B104,'Besi Balok'!$F$23:$F$12292,'REKAP Balok'!N$12)</f>
        <v>0</v>
      </c>
      <c r="O104">
        <f>SUMIFS('Besi Balok'!$AA$23:$AA$12292,'Besi Balok'!$A$23:$A$12292,$A104,'Besi Balok'!$B$23:$B$12292,$B104,'Besi Balok'!$F$23:$F$12292,'REKAP Balok'!O$12)</f>
        <v>26.751439259999998</v>
      </c>
      <c r="P104">
        <f>SUMIFS('Besi Balok'!$AA$23:$AA$12292,'Besi Balok'!$A$23:$A$12292,$A104,'Besi Balok'!$B$23:$B$12292,$B104,'Besi Balok'!$F$23:$F$12292,'REKAP Balok'!P$12)</f>
        <v>0</v>
      </c>
      <c r="Q104">
        <f>SUMIFS('Besi Balok'!$AA$23:$AA$12292,'Besi Balok'!$A$23:$A$12292,$A104,'Besi Balok'!$B$23:$B$12292,$B104,'Besi Balok'!$F$23:$F$12292,'REKAP Balok'!Q$12)</f>
        <v>0</v>
      </c>
      <c r="R104">
        <f>SUMIFS('Besi Balok'!$AA$23:$AA$12292,'Besi Balok'!$A$23:$A$12292,$A104,'Besi Balok'!$B$23:$B$12292,$B104,'Besi Balok'!$F$23:$F$12292,'REKAP Balok'!R$12)</f>
        <v>0</v>
      </c>
      <c r="S104">
        <f>SUMIFS('Besi Balok'!$AA$23:$AA$12292,'Besi Balok'!$A$23:$A$12292,$A104,'Besi Balok'!$B$23:$B$12292,$B104,'Besi Balok'!$F$23:$F$12292,'REKAP Balok'!S$12)</f>
        <v>0</v>
      </c>
      <c r="T104">
        <f>SUMIFS('Besi Balok'!$AA$23:$AA$12292,'Besi Balok'!$A$23:$A$12292,$A104,'Besi Balok'!$B$23:$B$12292,$B104,'Besi Balok'!$F$23:$F$12292,'REKAP Balok'!T$12)</f>
        <v>0</v>
      </c>
      <c r="U104">
        <f>SUM(L104:T104)</f>
        <v>40.5744543</v>
      </c>
      <c r="V104">
        <f>(D104*(F104-H104)*G104*K104)/1000000000</f>
        <v>0.192</v>
      </c>
      <c r="X104">
        <f>((F104-H104)*2*(G104)*K104)/1000000</f>
        <v>1.92</v>
      </c>
      <c r="Y104">
        <f>K104*(D104+2*$F$5)*G104*$F$7/1000000000</f>
        <v>0.064</v>
      </c>
      <c r="Z104">
        <f>K104*(D104+2*$F$5+2*$F$6)*($F$4-J104+($F$7+$F$8)/1000)*G104/1000000</f>
        <v>1.6</v>
      </c>
      <c r="AC104">
        <f>(D104+2*$F$5)*F104*G104/1000000000</f>
        <v>0.576</v>
      </c>
    </row>
    <row r="105">
      <c r="A105" t="str">
        <f>'Data Panjang Balok'!A102</f>
        <v>Sloof</v>
      </c>
      <c r="B105">
        <f>'Data Panjang Balok'!B102</f>
        <v>84</v>
      </c>
      <c r="C105" t="str">
        <f>'Data Panjang Balok'!D102</f>
        <v>TB25-2</v>
      </c>
      <c r="D105">
        <f>IF(C105&gt;0,VLOOKUP(C105,'Detail Balok'!$C$11:$AU$110,2,FALSE),0)</f>
        <v>200</v>
      </c>
      <c r="E105" t="str">
        <v>x</v>
      </c>
      <c r="F105">
        <f>IF(C105&gt;0,VLOOKUP(C105,'Detail Balok'!$C$11:$AU$110,3,FALSE),0)</f>
        <v>500</v>
      </c>
      <c r="G105">
        <f>'Data Panjang Balok'!I102</f>
        <v>10100</v>
      </c>
      <c r="H105">
        <f>'Data Panjang Balok'!J102</f>
        <v>150</v>
      </c>
      <c r="J105">
        <f>I105-F105/1000</f>
        <v>-0.5</v>
      </c>
      <c r="K105">
        <f>'Data Panjang Balok'!E102</f>
        <v>1</v>
      </c>
      <c r="L105">
        <f>SUMIFS('Besi Balok'!$AA$23:$AA$12292,'Besi Balok'!$A$23:$A$12292,$A105,'Besi Balok'!$B$23:$B$12292,$B105,'Besi Balok'!$F$23:$F$12292,'REKAP Balok'!L$12)</f>
        <v>0</v>
      </c>
      <c r="M105">
        <f>SUMIFS('Besi Balok'!$AA$23:$AA$12292,'Besi Balok'!$A$23:$A$12292,$A105,'Besi Balok'!$B$23:$B$12292,$B105,'Besi Balok'!$F$23:$F$12292,'REKAP Balok'!M$12)</f>
        <v>0</v>
      </c>
      <c r="N105">
        <f>SUMIFS('Besi Balok'!$AA$23:$AA$12292,'Besi Balok'!$A$23:$A$12292,$A105,'Besi Balok'!$B$23:$B$12292,$B105,'Besi Balok'!$F$23:$F$12292,'REKAP Balok'!N$12)</f>
        <v>52.938855000000004</v>
      </c>
      <c r="O105">
        <f>SUMIFS('Besi Balok'!$AA$23:$AA$12292,'Besi Balok'!$A$23:$A$12292,$A105,'Besi Balok'!$B$23:$B$12292,$B105,'Besi Balok'!$F$23:$F$12292,'REKAP Balok'!O$12)</f>
        <v>0</v>
      </c>
      <c r="P105">
        <f>SUMIFS('Besi Balok'!$AA$23:$AA$12292,'Besi Balok'!$A$23:$A$12292,$A105,'Besi Balok'!$B$23:$B$12292,$B105,'Besi Balok'!$F$23:$F$12292,'REKAP Balok'!P$12)</f>
        <v>117.94503168000001</v>
      </c>
      <c r="Q105">
        <f>SUMIFS('Besi Balok'!$AA$23:$AA$12292,'Besi Balok'!$A$23:$A$12292,$A105,'Besi Balok'!$B$23:$B$12292,$B105,'Besi Balok'!$F$23:$F$12292,'REKAP Balok'!Q$12)</f>
        <v>0</v>
      </c>
      <c r="R105">
        <f>SUMIFS('Besi Balok'!$AA$23:$AA$12292,'Besi Balok'!$A$23:$A$12292,$A105,'Besi Balok'!$B$23:$B$12292,$B105,'Besi Balok'!$F$23:$F$12292,'REKAP Balok'!R$12)</f>
        <v>0</v>
      </c>
      <c r="S105">
        <f>SUMIFS('Besi Balok'!$AA$23:$AA$12292,'Besi Balok'!$A$23:$A$12292,$A105,'Besi Balok'!$B$23:$B$12292,$B105,'Besi Balok'!$F$23:$F$12292,'REKAP Balok'!S$12)</f>
        <v>0</v>
      </c>
      <c r="T105">
        <f>SUMIFS('Besi Balok'!$AA$23:$AA$12292,'Besi Balok'!$A$23:$A$12292,$A105,'Besi Balok'!$B$23:$B$12292,$B105,'Besi Balok'!$F$23:$F$12292,'REKAP Balok'!T$12)</f>
        <v>0</v>
      </c>
      <c r="U105">
        <f>SUM(L105:T105)</f>
        <v>170.88388668000002</v>
      </c>
      <c r="V105">
        <f>(D105*(F105-H105)*G105*K105)/1000000000</f>
        <v>0.707</v>
      </c>
      <c r="X105">
        <f>((F105-H105)*2*(G105)*K105)/1000000</f>
        <v>7.07</v>
      </c>
      <c r="Y105">
        <f>K105*(D105+2*$F$5)*G105*$F$7/1000000000</f>
        <v>0.202</v>
      </c>
      <c r="Z105">
        <f>K105*(D105+2*$F$5+2*$F$6)*($F$4-J105+($F$7+$F$8)/1000)*G105/1000000</f>
        <v>5.555</v>
      </c>
      <c r="AC105">
        <f>(D105+2*$F$5)*F105*G105/1000000000</f>
        <v>2.02</v>
      </c>
    </row>
    <row r="106">
      <c r="A106" t="str">
        <f>'Data Panjang Balok'!A103</f>
        <v>Sloof</v>
      </c>
      <c r="B106">
        <f>'Data Panjang Balok'!B103</f>
        <v>85</v>
      </c>
      <c r="C106" t="str">
        <f>'Data Panjang Balok'!D103</f>
        <v>TB25-1</v>
      </c>
      <c r="D106">
        <f>IF(C106&gt;0,VLOOKUP(C106,'Detail Balok'!$C$11:$AU$110,2,FALSE),0)</f>
        <v>200</v>
      </c>
      <c r="E106" t="str">
        <v>x</v>
      </c>
      <c r="F106">
        <f>IF(C106&gt;0,VLOOKUP(C106,'Detail Balok'!$C$11:$AU$110,3,FALSE),0)</f>
        <v>500</v>
      </c>
      <c r="G106">
        <f>'Data Panjang Balok'!I103</f>
        <v>3250</v>
      </c>
      <c r="H106">
        <f>'Data Panjang Balok'!J103</f>
        <v>150</v>
      </c>
      <c r="J106">
        <f>I106-F106/1000</f>
        <v>-0.5</v>
      </c>
      <c r="K106">
        <f>'Data Panjang Balok'!E103</f>
        <v>1</v>
      </c>
      <c r="L106">
        <f>SUMIFS('Besi Balok'!$AA$23:$AA$12292,'Besi Balok'!$A$23:$A$12292,$A106,'Besi Balok'!$B$23:$B$12292,$B106,'Besi Balok'!$F$23:$F$12292,'REKAP Balok'!L$12)</f>
        <v>0</v>
      </c>
      <c r="M106">
        <f>SUMIFS('Besi Balok'!$AA$23:$AA$12292,'Besi Balok'!$A$23:$A$12292,$A106,'Besi Balok'!$B$23:$B$12292,$B106,'Besi Balok'!$F$23:$F$12292,'REKAP Balok'!M$12)</f>
        <v>0</v>
      </c>
      <c r="N106">
        <f>SUMIFS('Besi Balok'!$AA$23:$AA$12292,'Besi Balok'!$A$23:$A$12292,$A106,'Besi Balok'!$B$23:$B$12292,$B106,'Besi Balok'!$F$23:$F$12292,'REKAP Balok'!N$12)</f>
        <v>17.95248</v>
      </c>
      <c r="O106">
        <f>SUMIFS('Besi Balok'!$AA$23:$AA$12292,'Besi Balok'!$A$23:$A$12292,$A106,'Besi Balok'!$B$23:$B$12292,$B106,'Besi Balok'!$F$23:$F$12292,'REKAP Balok'!O$12)</f>
        <v>0</v>
      </c>
      <c r="P106">
        <f>SUMIFS('Besi Balok'!$AA$23:$AA$12292,'Besi Balok'!$A$23:$A$12292,$A106,'Besi Balok'!$B$23:$B$12292,$B106,'Besi Balok'!$F$23:$F$12292,'REKAP Balok'!P$12)</f>
        <v>34.41194496000001</v>
      </c>
      <c r="Q106">
        <f>SUMIFS('Besi Balok'!$AA$23:$AA$12292,'Besi Balok'!$A$23:$A$12292,$A106,'Besi Balok'!$B$23:$B$12292,$B106,'Besi Balok'!$F$23:$F$12292,'REKAP Balok'!Q$12)</f>
        <v>0</v>
      </c>
      <c r="R106">
        <f>SUMIFS('Besi Balok'!$AA$23:$AA$12292,'Besi Balok'!$A$23:$A$12292,$A106,'Besi Balok'!$B$23:$B$12292,$B106,'Besi Balok'!$F$23:$F$12292,'REKAP Balok'!R$12)</f>
        <v>0</v>
      </c>
      <c r="S106">
        <f>SUMIFS('Besi Balok'!$AA$23:$AA$12292,'Besi Balok'!$A$23:$A$12292,$A106,'Besi Balok'!$B$23:$B$12292,$B106,'Besi Balok'!$F$23:$F$12292,'REKAP Balok'!S$12)</f>
        <v>0</v>
      </c>
      <c r="T106">
        <f>SUMIFS('Besi Balok'!$AA$23:$AA$12292,'Besi Balok'!$A$23:$A$12292,$A106,'Besi Balok'!$B$23:$B$12292,$B106,'Besi Balok'!$F$23:$F$12292,'REKAP Balok'!T$12)</f>
        <v>0</v>
      </c>
      <c r="U106">
        <f>SUM(L106:T106)</f>
        <v>52.36442496000001</v>
      </c>
      <c r="V106">
        <f>(D106*(F106-H106)*G106*K106)/1000000000</f>
        <v>0.2275</v>
      </c>
      <c r="X106">
        <f>((F106-H106)*2*(G106)*K106)/1000000</f>
        <v>2.275</v>
      </c>
      <c r="Y106">
        <f>K106*(D106+2*$F$5)*G106*$F$7/1000000000</f>
        <v>0.065</v>
      </c>
      <c r="Z106">
        <f>K106*(D106+2*$F$5+2*$F$6)*($F$4-J106+($F$7+$F$8)/1000)*G106/1000000</f>
        <v>1.7875</v>
      </c>
      <c r="AC106">
        <f>(D106+2*$F$5)*F106*G106/1000000000</f>
        <v>0.65</v>
      </c>
    </row>
    <row r="107">
      <c r="A107" t="str">
        <f>'Data Panjang Balok'!A104</f>
        <v>Sloof</v>
      </c>
      <c r="B107">
        <f>'Data Panjang Balok'!B104</f>
        <v>86</v>
      </c>
      <c r="C107" t="str">
        <f>'Data Panjang Balok'!D104</f>
        <v>TB24-1</v>
      </c>
      <c r="D107">
        <f>IF(C107&gt;0,VLOOKUP(C107,'Detail Balok'!$C$11:$AU$110,2,FALSE),0)</f>
        <v>200</v>
      </c>
      <c r="E107" t="str">
        <v>x</v>
      </c>
      <c r="F107">
        <f>IF(C107&gt;0,VLOOKUP(C107,'Detail Balok'!$C$11:$AU$110,3,FALSE),0)</f>
        <v>400</v>
      </c>
      <c r="G107">
        <f>'Data Panjang Balok'!I104</f>
        <v>5800</v>
      </c>
      <c r="H107">
        <f>'Data Panjang Balok'!J104</f>
        <v>0</v>
      </c>
      <c r="J107">
        <f>I107-F107/1000</f>
        <v>-0.4</v>
      </c>
      <c r="K107">
        <f>'Data Panjang Balok'!E104</f>
        <v>1</v>
      </c>
      <c r="L107">
        <f>SUMIFS('Besi Balok'!$AA$23:$AA$12292,'Besi Balok'!$A$23:$A$12292,$A107,'Besi Balok'!$B$23:$B$12292,$B107,'Besi Balok'!$F$23:$F$12292,'REKAP Balok'!L$12)</f>
        <v>0</v>
      </c>
      <c r="M107">
        <f>SUMIFS('Besi Balok'!$AA$23:$AA$12292,'Besi Balok'!$A$23:$A$12292,$A107,'Besi Balok'!$B$23:$B$12292,$B107,'Besi Balok'!$F$23:$F$12292,'REKAP Balok'!M$12)</f>
        <v>12.5983008</v>
      </c>
      <c r="N107">
        <f>SUMIFS('Besi Balok'!$AA$23:$AA$12292,'Besi Balok'!$A$23:$A$12292,$A107,'Besi Balok'!$B$23:$B$12292,$B107,'Besi Balok'!$F$23:$F$12292,'REKAP Balok'!N$12)</f>
        <v>0</v>
      </c>
      <c r="O107">
        <f>SUMIFS('Besi Balok'!$AA$23:$AA$12292,'Besi Balok'!$A$23:$A$12292,$A107,'Besi Balok'!$B$23:$B$12292,$B107,'Besi Balok'!$F$23:$F$12292,'REKAP Balok'!O$12)</f>
        <v>25.47200448</v>
      </c>
      <c r="P107">
        <f>SUMIFS('Besi Balok'!$AA$23:$AA$12292,'Besi Balok'!$A$23:$A$12292,$A107,'Besi Balok'!$B$23:$B$12292,$B107,'Besi Balok'!$F$23:$F$12292,'REKAP Balok'!P$12)</f>
        <v>0</v>
      </c>
      <c r="Q107">
        <f>SUMIFS('Besi Balok'!$AA$23:$AA$12292,'Besi Balok'!$A$23:$A$12292,$A107,'Besi Balok'!$B$23:$B$12292,$B107,'Besi Balok'!$F$23:$F$12292,'REKAP Balok'!Q$12)</f>
        <v>0</v>
      </c>
      <c r="R107">
        <f>SUMIFS('Besi Balok'!$AA$23:$AA$12292,'Besi Balok'!$A$23:$A$12292,$A107,'Besi Balok'!$B$23:$B$12292,$B107,'Besi Balok'!$F$23:$F$12292,'REKAP Balok'!R$12)</f>
        <v>0</v>
      </c>
      <c r="S107">
        <f>SUMIFS('Besi Balok'!$AA$23:$AA$12292,'Besi Balok'!$A$23:$A$12292,$A107,'Besi Balok'!$B$23:$B$12292,$B107,'Besi Balok'!$F$23:$F$12292,'REKAP Balok'!S$12)</f>
        <v>0</v>
      </c>
      <c r="T107">
        <f>SUMIFS('Besi Balok'!$AA$23:$AA$12292,'Besi Balok'!$A$23:$A$12292,$A107,'Besi Balok'!$B$23:$B$12292,$B107,'Besi Balok'!$F$23:$F$12292,'REKAP Balok'!T$12)</f>
        <v>0</v>
      </c>
      <c r="U107">
        <f>SUM(L107:T107)</f>
        <v>38.07030528</v>
      </c>
      <c r="V107">
        <f>(D107*(F107-H107)*G107*K107)/1000000000</f>
        <v>0.464</v>
      </c>
      <c r="X107">
        <f>((F107-H107)*2*(G107)*K107)/1000000</f>
        <v>4.64</v>
      </c>
      <c r="Y107">
        <f>K107*(D107+2*$F$5)*G107*$F$7/1000000000</f>
        <v>0.116</v>
      </c>
      <c r="Z107">
        <f>K107*(D107+2*$F$5+2*$F$6)*($F$4-J107+($F$7+$F$8)/1000)*G107/1000000</f>
        <v>2.61</v>
      </c>
      <c r="AC107">
        <f>(D107+2*$F$5)*F107*G107/1000000000</f>
        <v>0.928</v>
      </c>
    </row>
    <row r="108">
      <c r="A108" t="str">
        <f>'Data Panjang Balok'!A105</f>
        <v>Sloof</v>
      </c>
      <c r="B108">
        <f>'Data Panjang Balok'!B105</f>
        <v>87</v>
      </c>
      <c r="C108" t="str">
        <f>'Data Panjang Balok'!D105</f>
        <v>TB245-2</v>
      </c>
      <c r="D108">
        <f>IF(C108&gt;0,VLOOKUP(C108,'Detail Balok'!$C$11:$AU$110,2,FALSE),0)</f>
        <v>200</v>
      </c>
      <c r="E108" t="str">
        <v>x</v>
      </c>
      <c r="F108">
        <f>IF(C108&gt;0,VLOOKUP(C108,'Detail Balok'!$C$11:$AU$110,3,FALSE),0)</f>
        <v>450</v>
      </c>
      <c r="G108">
        <f>'Data Panjang Balok'!I105</f>
        <v>13200</v>
      </c>
      <c r="H108">
        <f>'Data Panjang Balok'!J105</f>
        <v>0</v>
      </c>
      <c r="J108">
        <f>I108-F108/1000</f>
        <v>-0.45</v>
      </c>
      <c r="K108">
        <f>'Data Panjang Balok'!E105</f>
        <v>1</v>
      </c>
      <c r="L108">
        <f>SUMIFS('Besi Balok'!$AA$23:$AA$12292,'Besi Balok'!$A$23:$A$12292,$A108,'Besi Balok'!$B$23:$B$12292,$B108,'Besi Balok'!$F$23:$F$12292,'REKAP Balok'!L$12)</f>
        <v>0</v>
      </c>
      <c r="M108">
        <f>SUMIFS('Besi Balok'!$AA$23:$AA$12292,'Besi Balok'!$A$23:$A$12292,$A108,'Besi Balok'!$B$23:$B$12292,$B108,'Besi Balok'!$F$23:$F$12292,'REKAP Balok'!M$12)</f>
        <v>54.261942911999995</v>
      </c>
      <c r="N108">
        <f>SUMIFS('Besi Balok'!$AA$23:$AA$12292,'Besi Balok'!$A$23:$A$12292,$A108,'Besi Balok'!$B$23:$B$12292,$B108,'Besi Balok'!$F$23:$F$12292,'REKAP Balok'!N$12)</f>
        <v>0</v>
      </c>
      <c r="O108">
        <f>SUMIFS('Besi Balok'!$AA$23:$AA$12292,'Besi Balok'!$A$23:$A$12292,$A108,'Besi Balok'!$B$23:$B$12292,$B108,'Besi Balok'!$F$23:$F$12292,'REKAP Balok'!O$12)</f>
        <v>99.68609816099999</v>
      </c>
      <c r="P108">
        <f>SUMIFS('Besi Balok'!$AA$23:$AA$12292,'Besi Balok'!$A$23:$A$12292,$A108,'Besi Balok'!$B$23:$B$12292,$B108,'Besi Balok'!$F$23:$F$12292,'REKAP Balok'!P$12)</f>
        <v>0</v>
      </c>
      <c r="Q108">
        <f>SUMIFS('Besi Balok'!$AA$23:$AA$12292,'Besi Balok'!$A$23:$A$12292,$A108,'Besi Balok'!$B$23:$B$12292,$B108,'Besi Balok'!$F$23:$F$12292,'REKAP Balok'!Q$12)</f>
        <v>0</v>
      </c>
      <c r="R108">
        <f>SUMIFS('Besi Balok'!$AA$23:$AA$12292,'Besi Balok'!$A$23:$A$12292,$A108,'Besi Balok'!$B$23:$B$12292,$B108,'Besi Balok'!$F$23:$F$12292,'REKAP Balok'!R$12)</f>
        <v>0</v>
      </c>
      <c r="S108">
        <f>SUMIFS('Besi Balok'!$AA$23:$AA$12292,'Besi Balok'!$A$23:$A$12292,$A108,'Besi Balok'!$B$23:$B$12292,$B108,'Besi Balok'!$F$23:$F$12292,'REKAP Balok'!S$12)</f>
        <v>0</v>
      </c>
      <c r="T108">
        <f>SUMIFS('Besi Balok'!$AA$23:$AA$12292,'Besi Balok'!$A$23:$A$12292,$A108,'Besi Balok'!$B$23:$B$12292,$B108,'Besi Balok'!$F$23:$F$12292,'REKAP Balok'!T$12)</f>
        <v>0</v>
      </c>
      <c r="U108">
        <f>SUM(L108:T108)</f>
        <v>153.94804107299998</v>
      </c>
      <c r="V108">
        <f>(D108*(F108-H108)*G108*K108)/1000000000</f>
        <v>1.188</v>
      </c>
      <c r="X108">
        <f>((F108-H108)*2*(G108)*K108)/1000000</f>
        <v>11.88</v>
      </c>
      <c r="Y108">
        <f>K108*(D108+2*$F$5)*G108*$F$7/1000000000</f>
        <v>0.264</v>
      </c>
      <c r="Z108">
        <f>K108*(D108+2*$F$5+2*$F$6)*($F$4-J108+($F$7+$F$8)/1000)*G108/1000000</f>
        <v>6.6</v>
      </c>
      <c r="AC108">
        <f>(D108+2*$F$5)*F108*G108/1000000000</f>
        <v>2.376</v>
      </c>
    </row>
    <row r="109">
      <c r="A109" t="str">
        <f>'Data Panjang Balok'!A106</f>
        <v>Sloof</v>
      </c>
      <c r="B109">
        <f>'Data Panjang Balok'!B106</f>
        <v>88</v>
      </c>
      <c r="C109" t="str">
        <f>'Data Panjang Balok'!D106</f>
        <v>TB245-2</v>
      </c>
      <c r="D109">
        <f>IF(C109&gt;0,VLOOKUP(C109,'Detail Balok'!$C$11:$AU$110,2,FALSE),0)</f>
        <v>200</v>
      </c>
      <c r="E109" t="str">
        <v>x</v>
      </c>
      <c r="F109">
        <f>IF(C109&gt;0,VLOOKUP(C109,'Detail Balok'!$C$11:$AU$110,3,FALSE),0)</f>
        <v>450</v>
      </c>
      <c r="G109">
        <f>'Data Panjang Balok'!I106</f>
        <v>8000</v>
      </c>
      <c r="H109">
        <f>'Data Panjang Balok'!J106</f>
        <v>0</v>
      </c>
      <c r="J109">
        <f>I109-F109/1000</f>
        <v>-0.45</v>
      </c>
      <c r="K109">
        <f>'Data Panjang Balok'!E106</f>
        <v>1</v>
      </c>
      <c r="L109">
        <f>SUMIFS('Besi Balok'!$AA$23:$AA$12292,'Besi Balok'!$A$23:$A$12292,$A109,'Besi Balok'!$B$23:$B$12292,$B109,'Besi Balok'!$F$23:$F$12292,'REKAP Balok'!L$12)</f>
        <v>0</v>
      </c>
      <c r="M109">
        <f>SUMIFS('Besi Balok'!$AA$23:$AA$12292,'Besi Balok'!$A$23:$A$12292,$A109,'Besi Balok'!$B$23:$B$12292,$B109,'Besi Balok'!$F$23:$F$12292,'REKAP Balok'!M$12)</f>
        <v>33.66149184</v>
      </c>
      <c r="N109">
        <f>SUMIFS('Besi Balok'!$AA$23:$AA$12292,'Besi Balok'!$A$23:$A$12292,$A109,'Besi Balok'!$B$23:$B$12292,$B109,'Besi Balok'!$F$23:$F$12292,'REKAP Balok'!N$12)</f>
        <v>0</v>
      </c>
      <c r="O109">
        <f>SUMIFS('Besi Balok'!$AA$23:$AA$12292,'Besi Balok'!$A$23:$A$12292,$A109,'Besi Balok'!$B$23:$B$12292,$B109,'Besi Balok'!$F$23:$F$12292,'REKAP Balok'!O$12)</f>
        <v>61.75877526000001</v>
      </c>
      <c r="P109">
        <f>SUMIFS('Besi Balok'!$AA$23:$AA$12292,'Besi Balok'!$A$23:$A$12292,$A109,'Besi Balok'!$B$23:$B$12292,$B109,'Besi Balok'!$F$23:$F$12292,'REKAP Balok'!P$12)</f>
        <v>0</v>
      </c>
      <c r="Q109">
        <f>SUMIFS('Besi Balok'!$AA$23:$AA$12292,'Besi Balok'!$A$23:$A$12292,$A109,'Besi Balok'!$B$23:$B$12292,$B109,'Besi Balok'!$F$23:$F$12292,'REKAP Balok'!Q$12)</f>
        <v>0</v>
      </c>
      <c r="R109">
        <f>SUMIFS('Besi Balok'!$AA$23:$AA$12292,'Besi Balok'!$A$23:$A$12292,$A109,'Besi Balok'!$B$23:$B$12292,$B109,'Besi Balok'!$F$23:$F$12292,'REKAP Balok'!R$12)</f>
        <v>0</v>
      </c>
      <c r="S109">
        <f>SUMIFS('Besi Balok'!$AA$23:$AA$12292,'Besi Balok'!$A$23:$A$12292,$A109,'Besi Balok'!$B$23:$B$12292,$B109,'Besi Balok'!$F$23:$F$12292,'REKAP Balok'!S$12)</f>
        <v>0</v>
      </c>
      <c r="T109">
        <f>SUMIFS('Besi Balok'!$AA$23:$AA$12292,'Besi Balok'!$A$23:$A$12292,$A109,'Besi Balok'!$B$23:$B$12292,$B109,'Besi Balok'!$F$23:$F$12292,'REKAP Balok'!T$12)</f>
        <v>0</v>
      </c>
      <c r="U109">
        <f>SUM(L109:T109)</f>
        <v>95.4202671</v>
      </c>
      <c r="V109">
        <f>(D109*(F109-H109)*G109*K109)/1000000000</f>
        <v>0.72</v>
      </c>
      <c r="X109">
        <f>((F109-H109)*2*(G109)*K109)/1000000</f>
        <v>7.2</v>
      </c>
      <c r="Y109">
        <f>K109*(D109+2*$F$5)*G109*$F$7/1000000000</f>
        <v>0.16</v>
      </c>
      <c r="Z109">
        <f>K109*(D109+2*$F$5+2*$F$6)*($F$4-J109+($F$7+$F$8)/1000)*G109/1000000</f>
        <v>4</v>
      </c>
      <c r="AC109">
        <f>(D109+2*$F$5)*F109*G109/1000000000</f>
        <v>1.44</v>
      </c>
    </row>
    <row r="110">
      <c r="A110" t="str">
        <f>'Data Panjang Balok'!A107</f>
        <v>Sloof</v>
      </c>
      <c r="B110">
        <f>'Data Panjang Balok'!B107</f>
        <v>89</v>
      </c>
      <c r="C110" t="str">
        <f>'Data Panjang Balok'!D107</f>
        <v>TB25-1</v>
      </c>
      <c r="D110">
        <f>IF(C110&gt;0,VLOOKUP(C110,'Detail Balok'!$C$11:$AU$110,2,FALSE),0)</f>
        <v>200</v>
      </c>
      <c r="E110" t="str">
        <v>x</v>
      </c>
      <c r="F110">
        <f>IF(C110&gt;0,VLOOKUP(C110,'Detail Balok'!$C$11:$AU$110,3,FALSE),0)</f>
        <v>500</v>
      </c>
      <c r="G110">
        <f>'Data Panjang Balok'!I107</f>
        <v>3000</v>
      </c>
      <c r="H110">
        <f>'Data Panjang Balok'!J107</f>
        <v>0</v>
      </c>
      <c r="J110">
        <f>I110-F110/1000</f>
        <v>-0.5</v>
      </c>
      <c r="K110">
        <f>'Data Panjang Balok'!E107</f>
        <v>1</v>
      </c>
      <c r="L110">
        <f>SUMIFS('Besi Balok'!$AA$23:$AA$12292,'Besi Balok'!$A$23:$A$12292,$A110,'Besi Balok'!$B$23:$B$12292,$B110,'Besi Balok'!$F$23:$F$12292,'REKAP Balok'!L$12)</f>
        <v>0</v>
      </c>
      <c r="M110">
        <f>SUMIFS('Besi Balok'!$AA$23:$AA$12292,'Besi Balok'!$A$23:$A$12292,$A110,'Besi Balok'!$B$23:$B$12292,$B110,'Besi Balok'!$F$23:$F$12292,'REKAP Balok'!M$12)</f>
        <v>0</v>
      </c>
      <c r="N110">
        <f>SUMIFS('Besi Balok'!$AA$23:$AA$12292,'Besi Balok'!$A$23:$A$12292,$A110,'Besi Balok'!$B$23:$B$12292,$B110,'Besi Balok'!$F$23:$F$12292,'REKAP Balok'!N$12)</f>
        <v>16.885935000000003</v>
      </c>
      <c r="O110">
        <f>SUMIFS('Besi Balok'!$AA$23:$AA$12292,'Besi Balok'!$A$23:$A$12292,$A110,'Besi Balok'!$B$23:$B$12292,$B110,'Besi Balok'!$F$23:$F$12292,'REKAP Balok'!O$12)</f>
        <v>0</v>
      </c>
      <c r="P110">
        <f>SUMIFS('Besi Balok'!$AA$23:$AA$12292,'Besi Balok'!$A$23:$A$12292,$A110,'Besi Balok'!$B$23:$B$12292,$B110,'Besi Balok'!$F$23:$F$12292,'REKAP Balok'!P$12)</f>
        <v>32.04458496000001</v>
      </c>
      <c r="Q110">
        <f>SUMIFS('Besi Balok'!$AA$23:$AA$12292,'Besi Balok'!$A$23:$A$12292,$A110,'Besi Balok'!$B$23:$B$12292,$B110,'Besi Balok'!$F$23:$F$12292,'REKAP Balok'!Q$12)</f>
        <v>0</v>
      </c>
      <c r="R110">
        <f>SUMIFS('Besi Balok'!$AA$23:$AA$12292,'Besi Balok'!$A$23:$A$12292,$A110,'Besi Balok'!$B$23:$B$12292,$B110,'Besi Balok'!$F$23:$F$12292,'REKAP Balok'!R$12)</f>
        <v>0</v>
      </c>
      <c r="S110">
        <f>SUMIFS('Besi Balok'!$AA$23:$AA$12292,'Besi Balok'!$A$23:$A$12292,$A110,'Besi Balok'!$B$23:$B$12292,$B110,'Besi Balok'!$F$23:$F$12292,'REKAP Balok'!S$12)</f>
        <v>0</v>
      </c>
      <c r="T110">
        <f>SUMIFS('Besi Balok'!$AA$23:$AA$12292,'Besi Balok'!$A$23:$A$12292,$A110,'Besi Balok'!$B$23:$B$12292,$B110,'Besi Balok'!$F$23:$F$12292,'REKAP Balok'!T$12)</f>
        <v>0</v>
      </c>
      <c r="U110">
        <f>SUM(L110:T110)</f>
        <v>48.93051996000001</v>
      </c>
      <c r="V110">
        <f>(D110*(F110-H110)*G110*K110)/1000000000</f>
        <v>0.3</v>
      </c>
      <c r="X110">
        <f>((F110-H110)*2*(G110)*K110)/1000000</f>
        <v>3</v>
      </c>
      <c r="Y110">
        <f>K110*(D110+2*$F$5)*G110*$F$7/1000000000</f>
        <v>0.06</v>
      </c>
      <c r="Z110">
        <f>K110*(D110+2*$F$5+2*$F$6)*($F$4-J110+($F$7+$F$8)/1000)*G110/1000000</f>
        <v>1.65</v>
      </c>
      <c r="AC110">
        <f>(D110+2*$F$5)*F110*G110/1000000000</f>
        <v>0.6</v>
      </c>
    </row>
    <row r="112">
      <c r="A112" t="str">
        <f>'Data Panjang Balok'!A109</f>
        <v>Lantai 1</v>
      </c>
      <c r="B112">
        <f>'Data Panjang Balok'!B109</f>
        <v>1</v>
      </c>
      <c r="C112" t="str">
        <f>'Data Panjang Balok'!D109</f>
        <v>B245-1</v>
      </c>
      <c r="D112">
        <f>IF(C112&gt;0,VLOOKUP(C112,'Detail Balok'!$C$11:$AU$110,2,FALSE),0)</f>
        <v>200</v>
      </c>
      <c r="E112" t="str">
        <v>x</v>
      </c>
      <c r="F112">
        <f>IF(C112&gt;0,VLOOKUP(C112,'Detail Balok'!$C$11:$AU$110,3,FALSE),0)</f>
        <v>450</v>
      </c>
      <c r="G112">
        <f>'Data Panjang Balok'!I109</f>
        <v>7000</v>
      </c>
      <c r="H112">
        <f>'Data Panjang Balok'!J109</f>
        <v>130</v>
      </c>
      <c r="J112">
        <f>I112-F112/1000</f>
        <v>-0.45</v>
      </c>
      <c r="K112">
        <f>'Data Panjang Balok'!E109</f>
        <v>1</v>
      </c>
      <c r="L112">
        <f>SUMIFS('Besi Balok'!$AA$23:$AA$12292,'Besi Balok'!$A$23:$A$12292,$A112,'Besi Balok'!$B$23:$B$12292,$B112,'Besi Balok'!$F$23:$F$12292,'REKAP Balok'!L$12)</f>
        <v>0</v>
      </c>
      <c r="M112">
        <f>SUMIFS('Besi Balok'!$AA$23:$AA$12292,'Besi Balok'!$A$23:$A$12292,$A112,'Besi Balok'!$B$23:$B$12292,$B112,'Besi Balok'!$F$23:$F$12292,'REKAP Balok'!M$12)</f>
        <v>30.64310784</v>
      </c>
      <c r="N112">
        <f>SUMIFS('Besi Balok'!$AA$23:$AA$12292,'Besi Balok'!$A$23:$A$12292,$A112,'Besi Balok'!$B$23:$B$12292,$B112,'Besi Balok'!$F$23:$F$12292,'REKAP Balok'!N$12)</f>
        <v>0</v>
      </c>
      <c r="O112">
        <f>SUMIFS('Besi Balok'!$AA$23:$AA$12292,'Besi Balok'!$A$23:$A$12292,$A112,'Besi Balok'!$B$23:$B$12292,$B112,'Besi Balok'!$F$23:$F$12292,'REKAP Balok'!O$12)</f>
        <v>30.473052479999996</v>
      </c>
      <c r="P112">
        <f>SUMIFS('Besi Balok'!$AA$23:$AA$12292,'Besi Balok'!$A$23:$A$12292,$A112,'Besi Balok'!$B$23:$B$12292,$B112,'Besi Balok'!$F$23:$F$12292,'REKAP Balok'!P$12)</f>
        <v>0</v>
      </c>
      <c r="Q112">
        <f>SUMIFS('Besi Balok'!$AA$23:$AA$12292,'Besi Balok'!$A$23:$A$12292,$A112,'Besi Balok'!$B$23:$B$12292,$B112,'Besi Balok'!$F$23:$F$12292,'REKAP Balok'!Q$12)</f>
        <v>0</v>
      </c>
      <c r="R112">
        <f>SUMIFS('Besi Balok'!$AA$23:$AA$12292,'Besi Balok'!$A$23:$A$12292,$A112,'Besi Balok'!$B$23:$B$12292,$B112,'Besi Balok'!$F$23:$F$12292,'REKAP Balok'!R$12)</f>
        <v>0</v>
      </c>
      <c r="S112">
        <f>SUMIFS('Besi Balok'!$AA$23:$AA$12292,'Besi Balok'!$A$23:$A$12292,$A112,'Besi Balok'!$B$23:$B$12292,$B112,'Besi Balok'!$F$23:$F$12292,'REKAP Balok'!S$12)</f>
        <v>0</v>
      </c>
      <c r="T112">
        <f>SUMIFS('Besi Balok'!$AA$23:$AA$12292,'Besi Balok'!$A$23:$A$12292,$A112,'Besi Balok'!$B$23:$B$12292,$B112,'Besi Balok'!$F$23:$F$12292,'REKAP Balok'!T$12)</f>
        <v>0</v>
      </c>
      <c r="U112">
        <f>SUM(L112:T112)</f>
        <v>61.11616031999999</v>
      </c>
      <c r="V112">
        <f>(D112*(F112-H112)*G112*K112)/1000000000</f>
        <v>0.448</v>
      </c>
      <c r="W112">
        <f>(((F112-H112)*2+D112)*(G112)*K112)/1000000</f>
        <v>5.88</v>
      </c>
      <c r="AC112">
        <f>(D112+2*$F$5)*F112*G112/1000000000</f>
        <v>1.26</v>
      </c>
    </row>
    <row r="113">
      <c r="A113" t="str">
        <f>'Data Panjang Balok'!A110</f>
        <v>Lantai 1</v>
      </c>
      <c r="B113">
        <f>'Data Panjang Balok'!B110</f>
        <v>2</v>
      </c>
      <c r="C113" t="str">
        <f>'Data Panjang Balok'!D110</f>
        <v>B245-1</v>
      </c>
      <c r="D113">
        <f>IF(C113&gt;0,VLOOKUP(C113,'Detail Balok'!$C$11:$AU$110,2,FALSE),0)</f>
        <v>200</v>
      </c>
      <c r="E113" t="str">
        <v>x</v>
      </c>
      <c r="F113">
        <f>IF(C113&gt;0,VLOOKUP(C113,'Detail Balok'!$C$11:$AU$110,3,FALSE),0)</f>
        <v>450</v>
      </c>
      <c r="G113">
        <f>'Data Panjang Balok'!I110</f>
        <v>6000</v>
      </c>
      <c r="H113">
        <f>'Data Panjang Balok'!J110</f>
        <v>0</v>
      </c>
      <c r="J113">
        <f>I113-F113/1000</f>
        <v>-0.45</v>
      </c>
      <c r="K113">
        <f>'Data Panjang Balok'!E110</f>
        <v>1</v>
      </c>
      <c r="L113">
        <f>SUMIFS('Besi Balok'!$AA$23:$AA$12292,'Besi Balok'!$A$23:$A$12292,$A113,'Besi Balok'!$B$23:$B$12292,$B113,'Besi Balok'!$F$23:$F$12292,'REKAP Balok'!L$12)</f>
        <v>0</v>
      </c>
      <c r="M113">
        <f>SUMIFS('Besi Balok'!$AA$23:$AA$12292,'Besi Balok'!$A$23:$A$12292,$A113,'Besi Balok'!$B$23:$B$12292,$B113,'Besi Balok'!$F$23:$F$12292,'REKAP Balok'!M$12)</f>
        <v>25.841312639999998</v>
      </c>
      <c r="N113">
        <f>SUMIFS('Besi Balok'!$AA$23:$AA$12292,'Besi Balok'!$A$23:$A$12292,$A113,'Besi Balok'!$B$23:$B$12292,$B113,'Besi Balok'!$F$23:$F$12292,'REKAP Balok'!N$12)</f>
        <v>0</v>
      </c>
      <c r="O113">
        <f>SUMIFS('Besi Balok'!$AA$23:$AA$12292,'Besi Balok'!$A$23:$A$12292,$A113,'Besi Balok'!$B$23:$B$12292,$B113,'Besi Balok'!$F$23:$F$12292,'REKAP Balok'!O$12)</f>
        <v>26.305512479999997</v>
      </c>
      <c r="P113">
        <f>SUMIFS('Besi Balok'!$AA$23:$AA$12292,'Besi Balok'!$A$23:$A$12292,$A113,'Besi Balok'!$B$23:$B$12292,$B113,'Besi Balok'!$F$23:$F$12292,'REKAP Balok'!P$12)</f>
        <v>0</v>
      </c>
      <c r="Q113">
        <f>SUMIFS('Besi Balok'!$AA$23:$AA$12292,'Besi Balok'!$A$23:$A$12292,$A113,'Besi Balok'!$B$23:$B$12292,$B113,'Besi Balok'!$F$23:$F$12292,'REKAP Balok'!Q$12)</f>
        <v>0</v>
      </c>
      <c r="R113">
        <f>SUMIFS('Besi Balok'!$AA$23:$AA$12292,'Besi Balok'!$A$23:$A$12292,$A113,'Besi Balok'!$B$23:$B$12292,$B113,'Besi Balok'!$F$23:$F$12292,'REKAP Balok'!R$12)</f>
        <v>0</v>
      </c>
      <c r="S113">
        <f>SUMIFS('Besi Balok'!$AA$23:$AA$12292,'Besi Balok'!$A$23:$A$12292,$A113,'Besi Balok'!$B$23:$B$12292,$B113,'Besi Balok'!$F$23:$F$12292,'REKAP Balok'!S$12)</f>
        <v>0</v>
      </c>
      <c r="T113">
        <f>SUMIFS('Besi Balok'!$AA$23:$AA$12292,'Besi Balok'!$A$23:$A$12292,$A113,'Besi Balok'!$B$23:$B$12292,$B113,'Besi Balok'!$F$23:$F$12292,'REKAP Balok'!T$12)</f>
        <v>0</v>
      </c>
      <c r="U113">
        <f>SUM(L113:T113)</f>
        <v>52.146825119999995</v>
      </c>
      <c r="V113">
        <f>(D113*(F113-H113)*G113*K113)/1000000000</f>
        <v>0.54</v>
      </c>
      <c r="W113">
        <f>(((F113-H113)*2+D113)*(G113)*K113)/1000000</f>
        <v>6.6</v>
      </c>
      <c r="AC113">
        <f>(D113+2*$F$5)*F113*G113/1000000000</f>
        <v>1.08</v>
      </c>
    </row>
    <row r="114">
      <c r="A114" t="str">
        <f>'Data Panjang Balok'!A111</f>
        <v>Lantai 1</v>
      </c>
      <c r="B114">
        <f>'Data Panjang Balok'!B111</f>
        <v>3</v>
      </c>
      <c r="C114" t="str">
        <f>'Data Panjang Balok'!D111</f>
        <v>B245-1</v>
      </c>
      <c r="D114">
        <f>IF(C114&gt;0,VLOOKUP(C114,'Detail Balok'!$C$11:$AU$110,2,FALSE),0)</f>
        <v>200</v>
      </c>
      <c r="E114" t="str">
        <v>x</v>
      </c>
      <c r="F114">
        <f>IF(C114&gt;0,VLOOKUP(C114,'Detail Balok'!$C$11:$AU$110,3,FALSE),0)</f>
        <v>450</v>
      </c>
      <c r="G114">
        <f>'Data Panjang Balok'!I111</f>
        <v>5000</v>
      </c>
      <c r="H114">
        <f>'Data Panjang Balok'!J111</f>
        <v>0</v>
      </c>
      <c r="J114">
        <f>I114-F114/1000</f>
        <v>-0.45</v>
      </c>
      <c r="K114">
        <f>'Data Panjang Balok'!E111</f>
        <v>1</v>
      </c>
      <c r="L114">
        <f>SUMIFS('Besi Balok'!$AA$23:$AA$12292,'Besi Balok'!$A$23:$A$12292,$A114,'Besi Balok'!$B$23:$B$12292,$B114,'Besi Balok'!$F$23:$F$12292,'REKAP Balok'!L$12)</f>
        <v>0</v>
      </c>
      <c r="M114">
        <f>SUMIFS('Besi Balok'!$AA$23:$AA$12292,'Besi Balok'!$A$23:$A$12292,$A114,'Besi Balok'!$B$23:$B$12292,$B114,'Besi Balok'!$F$23:$F$12292,'REKAP Balok'!M$12)</f>
        <v>22.37707584</v>
      </c>
      <c r="N114">
        <f>SUMIFS('Besi Balok'!$AA$23:$AA$12292,'Besi Balok'!$A$23:$A$12292,$A114,'Besi Balok'!$B$23:$B$12292,$B114,'Besi Balok'!$F$23:$F$12292,'REKAP Balok'!N$12)</f>
        <v>0</v>
      </c>
      <c r="O114">
        <f>SUMIFS('Besi Balok'!$AA$23:$AA$12292,'Besi Balok'!$A$23:$A$12292,$A114,'Besi Balok'!$B$23:$B$12292,$B114,'Besi Balok'!$F$23:$F$12292,'REKAP Balok'!O$12)</f>
        <v>22.137972479999995</v>
      </c>
      <c r="P114">
        <f>SUMIFS('Besi Balok'!$AA$23:$AA$12292,'Besi Balok'!$A$23:$A$12292,$A114,'Besi Balok'!$B$23:$B$12292,$B114,'Besi Balok'!$F$23:$F$12292,'REKAP Balok'!P$12)</f>
        <v>0</v>
      </c>
      <c r="Q114">
        <f>SUMIFS('Besi Balok'!$AA$23:$AA$12292,'Besi Balok'!$A$23:$A$12292,$A114,'Besi Balok'!$B$23:$B$12292,$B114,'Besi Balok'!$F$23:$F$12292,'REKAP Balok'!Q$12)</f>
        <v>0</v>
      </c>
      <c r="R114">
        <f>SUMIFS('Besi Balok'!$AA$23:$AA$12292,'Besi Balok'!$A$23:$A$12292,$A114,'Besi Balok'!$B$23:$B$12292,$B114,'Besi Balok'!$F$23:$F$12292,'REKAP Balok'!R$12)</f>
        <v>0</v>
      </c>
      <c r="S114">
        <f>SUMIFS('Besi Balok'!$AA$23:$AA$12292,'Besi Balok'!$A$23:$A$12292,$A114,'Besi Balok'!$B$23:$B$12292,$B114,'Besi Balok'!$F$23:$F$12292,'REKAP Balok'!S$12)</f>
        <v>0</v>
      </c>
      <c r="T114">
        <f>SUMIFS('Besi Balok'!$AA$23:$AA$12292,'Besi Balok'!$A$23:$A$12292,$A114,'Besi Balok'!$B$23:$B$12292,$B114,'Besi Balok'!$F$23:$F$12292,'REKAP Balok'!T$12)</f>
        <v>0</v>
      </c>
      <c r="U114">
        <f>SUM(L114:T114)</f>
        <v>44.51504831999999</v>
      </c>
      <c r="V114">
        <f>(D114*(F114-H114)*G114*K114)/1000000000</f>
        <v>0.45</v>
      </c>
      <c r="W114">
        <f>(((F114-H114)*2+D114)*(G114)*K114)/1000000</f>
        <v>5.5</v>
      </c>
      <c r="AC114">
        <f>(D114+2*$F$5)*F114*G114/1000000000</f>
        <v>0.9</v>
      </c>
    </row>
    <row r="115">
      <c r="A115" t="str">
        <f>'Data Panjang Balok'!A112</f>
        <v>Lantai 1</v>
      </c>
      <c r="B115">
        <f>'Data Panjang Balok'!B112</f>
        <v>4</v>
      </c>
      <c r="C115" t="str">
        <f>'Data Panjang Balok'!D112</f>
        <v>B25-1</v>
      </c>
      <c r="D115">
        <f>IF(C115&gt;0,VLOOKUP(C115,'Detail Balok'!$C$11:$AU$110,2,FALSE),0)</f>
        <v>200</v>
      </c>
      <c r="E115" t="str">
        <v>x</v>
      </c>
      <c r="F115">
        <f>IF(C115&gt;0,VLOOKUP(C115,'Detail Balok'!$C$11:$AU$110,3,FALSE),0)</f>
        <v>500</v>
      </c>
      <c r="G115">
        <f>'Data Panjang Balok'!I112</f>
        <v>7000</v>
      </c>
      <c r="H115">
        <f>'Data Panjang Balok'!J112</f>
        <v>130</v>
      </c>
      <c r="J115">
        <f>I115-F115/1000</f>
        <v>-0.5</v>
      </c>
      <c r="K115">
        <f>'Data Panjang Balok'!E112</f>
        <v>1</v>
      </c>
      <c r="L115">
        <f>SUMIFS('Besi Balok'!$AA$23:$AA$12292,'Besi Balok'!$A$23:$A$12292,$A115,'Besi Balok'!$B$23:$B$12292,$B115,'Besi Balok'!$F$23:$F$12292,'REKAP Balok'!L$12)</f>
        <v>0</v>
      </c>
      <c r="M115">
        <f>SUMIFS('Besi Balok'!$AA$23:$AA$12292,'Besi Balok'!$A$23:$A$12292,$A115,'Besi Balok'!$B$23:$B$12292,$B115,'Besi Balok'!$F$23:$F$12292,'REKAP Balok'!M$12)</f>
        <v>0</v>
      </c>
      <c r="N115">
        <f>SUMIFS('Besi Balok'!$AA$23:$AA$12292,'Besi Balok'!$A$23:$A$12292,$A115,'Besi Balok'!$B$23:$B$12292,$B115,'Besi Balok'!$F$23:$F$12292,'REKAP Balok'!N$12)</f>
        <v>51.39144</v>
      </c>
      <c r="O115">
        <f>SUMIFS('Besi Balok'!$AA$23:$AA$12292,'Besi Balok'!$A$23:$A$12292,$A115,'Besi Balok'!$B$23:$B$12292,$B115,'Besi Balok'!$F$23:$F$12292,'REKAP Balok'!O$12)</f>
        <v>0</v>
      </c>
      <c r="P115">
        <f>SUMIFS('Besi Balok'!$AA$23:$AA$12292,'Besi Balok'!$A$23:$A$12292,$A115,'Besi Balok'!$B$23:$B$12292,$B115,'Besi Balok'!$F$23:$F$12292,'REKAP Balok'!P$12)</f>
        <v>46.614896640000005</v>
      </c>
      <c r="Q115">
        <f>SUMIFS('Besi Balok'!$AA$23:$AA$12292,'Besi Balok'!$A$23:$A$12292,$A115,'Besi Balok'!$B$23:$B$12292,$B115,'Besi Balok'!$F$23:$F$12292,'REKAP Balok'!Q$12)</f>
        <v>0</v>
      </c>
      <c r="R115">
        <f>SUMIFS('Besi Balok'!$AA$23:$AA$12292,'Besi Balok'!$A$23:$A$12292,$A115,'Besi Balok'!$B$23:$B$12292,$B115,'Besi Balok'!$F$23:$F$12292,'REKAP Balok'!R$12)</f>
        <v>0</v>
      </c>
      <c r="S115">
        <f>SUMIFS('Besi Balok'!$AA$23:$AA$12292,'Besi Balok'!$A$23:$A$12292,$A115,'Besi Balok'!$B$23:$B$12292,$B115,'Besi Balok'!$F$23:$F$12292,'REKAP Balok'!S$12)</f>
        <v>0</v>
      </c>
      <c r="T115">
        <f>SUMIFS('Besi Balok'!$AA$23:$AA$12292,'Besi Balok'!$A$23:$A$12292,$A115,'Besi Balok'!$B$23:$B$12292,$B115,'Besi Balok'!$F$23:$F$12292,'REKAP Balok'!T$12)</f>
        <v>0</v>
      </c>
      <c r="U115">
        <f>SUM(L115:T115)</f>
        <v>98.00633664</v>
      </c>
      <c r="V115">
        <f>(D115*(F115-H115)*G115*K115)/1000000000</f>
        <v>0.518</v>
      </c>
      <c r="W115">
        <f>(((F115-H115)*2+D115)*(G115)*K115)/1000000</f>
        <v>6.58</v>
      </c>
      <c r="AC115">
        <f>(D115+2*$F$5)*F115*G115/1000000000</f>
        <v>1.4</v>
      </c>
    </row>
    <row r="116">
      <c r="A116" t="str">
        <f>'Data Panjang Balok'!A113</f>
        <v>Lantai 1</v>
      </c>
      <c r="B116">
        <f>'Data Panjang Balok'!B113</f>
        <v>5</v>
      </c>
      <c r="C116" t="str">
        <f>'Data Panjang Balok'!D113</f>
        <v>B24-2</v>
      </c>
      <c r="D116">
        <f>IF(C116&gt;0,VLOOKUP(C116,'Detail Balok'!$C$11:$AU$110,2,FALSE),0)</f>
        <v>200</v>
      </c>
      <c r="E116" t="str">
        <v>x</v>
      </c>
      <c r="F116">
        <f>IF(C116&gt;0,VLOOKUP(C116,'Detail Balok'!$C$11:$AU$110,3,FALSE),0)</f>
        <v>400</v>
      </c>
      <c r="G116">
        <f>'Data Panjang Balok'!I113</f>
        <v>4835</v>
      </c>
      <c r="H116">
        <f>'Data Panjang Balok'!J113</f>
        <v>130</v>
      </c>
      <c r="J116">
        <f>I116-F116/1000</f>
        <v>-0.4</v>
      </c>
      <c r="K116">
        <f>'Data Panjang Balok'!E113</f>
        <v>1</v>
      </c>
      <c r="L116">
        <f>SUMIFS('Besi Balok'!$AA$23:$AA$12292,'Besi Balok'!$A$23:$A$12292,$A116,'Besi Balok'!$B$23:$B$12292,$B116,'Besi Balok'!$F$23:$F$12292,'REKAP Balok'!L$12)</f>
        <v>0</v>
      </c>
      <c r="M116">
        <f>SUMIFS('Besi Balok'!$AA$23:$AA$12292,'Besi Balok'!$A$23:$A$12292,$A116,'Besi Balok'!$B$23:$B$12292,$B116,'Besi Balok'!$F$23:$F$12292,'REKAP Balok'!M$12)</f>
        <v>15.443078400000001</v>
      </c>
      <c r="N116">
        <f>SUMIFS('Besi Balok'!$AA$23:$AA$12292,'Besi Balok'!$A$23:$A$12292,$A116,'Besi Balok'!$B$23:$B$12292,$B116,'Besi Balok'!$F$23:$F$12292,'REKAP Balok'!N$12)</f>
        <v>0</v>
      </c>
      <c r="O116">
        <f>SUMIFS('Besi Balok'!$AA$23:$AA$12292,'Besi Balok'!$A$23:$A$12292,$A116,'Besi Balok'!$B$23:$B$12292,$B116,'Besi Balok'!$F$23:$F$12292,'REKAP Balok'!O$12)</f>
        <v>0</v>
      </c>
      <c r="P116">
        <f>SUMIFS('Besi Balok'!$AA$23:$AA$12292,'Besi Balok'!$A$23:$A$12292,$A116,'Besi Balok'!$B$23:$B$12292,$B116,'Besi Balok'!$F$23:$F$12292,'REKAP Balok'!P$12)</f>
        <v>32.94733824</v>
      </c>
      <c r="Q116">
        <f>SUMIFS('Besi Balok'!$AA$23:$AA$12292,'Besi Balok'!$A$23:$A$12292,$A116,'Besi Balok'!$B$23:$B$12292,$B116,'Besi Balok'!$F$23:$F$12292,'REKAP Balok'!Q$12)</f>
        <v>0</v>
      </c>
      <c r="R116">
        <f>SUMIFS('Besi Balok'!$AA$23:$AA$12292,'Besi Balok'!$A$23:$A$12292,$A116,'Besi Balok'!$B$23:$B$12292,$B116,'Besi Balok'!$F$23:$F$12292,'REKAP Balok'!R$12)</f>
        <v>0</v>
      </c>
      <c r="S116">
        <f>SUMIFS('Besi Balok'!$AA$23:$AA$12292,'Besi Balok'!$A$23:$A$12292,$A116,'Besi Balok'!$B$23:$B$12292,$B116,'Besi Balok'!$F$23:$F$12292,'REKAP Balok'!S$12)</f>
        <v>0</v>
      </c>
      <c r="T116">
        <f>SUMIFS('Besi Balok'!$AA$23:$AA$12292,'Besi Balok'!$A$23:$A$12292,$A116,'Besi Balok'!$B$23:$B$12292,$B116,'Besi Balok'!$F$23:$F$12292,'REKAP Balok'!T$12)</f>
        <v>0</v>
      </c>
      <c r="U116">
        <f>SUM(L116:T116)</f>
        <v>48.39041664</v>
      </c>
      <c r="V116">
        <f>(D116*(F116-H116)*G116*K116)/1000000000</f>
        <v>0.26109</v>
      </c>
      <c r="W116">
        <f>(((F116-H116)*2+D116)*(G116)*K116)/1000000</f>
        <v>3.5779</v>
      </c>
      <c r="AC116">
        <f>(D116+2*$F$5)*F116*G116/1000000000</f>
        <v>0.7736</v>
      </c>
    </row>
    <row r="117">
      <c r="A117" t="str">
        <f>'Data Panjang Balok'!A114</f>
        <v>Lantai 1</v>
      </c>
      <c r="B117">
        <f>'Data Panjang Balok'!B114</f>
        <v>6</v>
      </c>
      <c r="C117" t="str">
        <f>'Data Panjang Balok'!D114</f>
        <v>B24-3</v>
      </c>
      <c r="D117">
        <f>IF(C117&gt;0,VLOOKUP(C117,'Detail Balok'!$C$11:$AU$110,2,FALSE),0)</f>
        <v>200</v>
      </c>
      <c r="E117" t="str">
        <v>x</v>
      </c>
      <c r="F117">
        <f>IF(C117&gt;0,VLOOKUP(C117,'Detail Balok'!$C$11:$AU$110,3,FALSE),0)</f>
        <v>400</v>
      </c>
      <c r="G117">
        <f>'Data Panjang Balok'!I114</f>
        <v>4265</v>
      </c>
      <c r="H117">
        <f>'Data Panjang Balok'!J114</f>
        <v>130</v>
      </c>
      <c r="J117">
        <f>I117-F117/1000</f>
        <v>-0.4</v>
      </c>
      <c r="K117">
        <f>'Data Panjang Balok'!E114</f>
        <v>1</v>
      </c>
      <c r="L117">
        <f>SUMIFS('Besi Balok'!$AA$23:$AA$12292,'Besi Balok'!$A$23:$A$12292,$A117,'Besi Balok'!$B$23:$B$12292,$B117,'Besi Balok'!$F$23:$F$12292,'REKAP Balok'!L$12)</f>
        <v>0</v>
      </c>
      <c r="M117">
        <f>SUMIFS('Besi Balok'!$AA$23:$AA$12292,'Besi Balok'!$A$23:$A$12292,$A117,'Besi Balok'!$B$23:$B$12292,$B117,'Besi Balok'!$F$23:$F$12292,'REKAP Balok'!M$12)</f>
        <v>0</v>
      </c>
      <c r="N117">
        <f>SUMIFS('Besi Balok'!$AA$23:$AA$12292,'Besi Balok'!$A$23:$A$12292,$A117,'Besi Balok'!$B$23:$B$12292,$B117,'Besi Balok'!$F$23:$F$12292,'REKAP Balok'!N$12)</f>
        <v>22.224825000000003</v>
      </c>
      <c r="O117">
        <f>SUMIFS('Besi Balok'!$AA$23:$AA$12292,'Besi Balok'!$A$23:$A$12292,$A117,'Besi Balok'!$B$23:$B$12292,$B117,'Besi Balok'!$F$23:$F$12292,'REKAP Balok'!O$12)</f>
        <v>0</v>
      </c>
      <c r="P117">
        <f>SUMIFS('Besi Balok'!$AA$23:$AA$12292,'Besi Balok'!$A$23:$A$12292,$A117,'Besi Balok'!$B$23:$B$12292,$B117,'Besi Balok'!$F$23:$F$12292,'REKAP Balok'!P$12)</f>
        <v>44.02342655999999</v>
      </c>
      <c r="Q117">
        <f>SUMIFS('Besi Balok'!$AA$23:$AA$12292,'Besi Balok'!$A$23:$A$12292,$A117,'Besi Balok'!$B$23:$B$12292,$B117,'Besi Balok'!$F$23:$F$12292,'REKAP Balok'!Q$12)</f>
        <v>0</v>
      </c>
      <c r="R117">
        <f>SUMIFS('Besi Balok'!$AA$23:$AA$12292,'Besi Balok'!$A$23:$A$12292,$A117,'Besi Balok'!$B$23:$B$12292,$B117,'Besi Balok'!$F$23:$F$12292,'REKAP Balok'!R$12)</f>
        <v>0</v>
      </c>
      <c r="S117">
        <f>SUMIFS('Besi Balok'!$AA$23:$AA$12292,'Besi Balok'!$A$23:$A$12292,$A117,'Besi Balok'!$B$23:$B$12292,$B117,'Besi Balok'!$F$23:$F$12292,'REKAP Balok'!S$12)</f>
        <v>0</v>
      </c>
      <c r="T117">
        <f>SUMIFS('Besi Balok'!$AA$23:$AA$12292,'Besi Balok'!$A$23:$A$12292,$A117,'Besi Balok'!$B$23:$B$12292,$B117,'Besi Balok'!$F$23:$F$12292,'REKAP Balok'!T$12)</f>
        <v>0</v>
      </c>
      <c r="U117">
        <f>SUM(L117:T117)</f>
        <v>66.24825156</v>
      </c>
      <c r="V117">
        <f>(D117*(F117-H117)*G117*K117)/1000000000</f>
        <v>0.23031</v>
      </c>
      <c r="W117">
        <f>(((F117-H117)*2+D117)*(G117)*K117)/1000000</f>
        <v>3.1561</v>
      </c>
      <c r="AC117">
        <f>(D117+2*$F$5)*F117*G117/1000000000</f>
        <v>0.6824</v>
      </c>
    </row>
    <row r="118">
      <c r="A118" t="str">
        <f>'Data Panjang Balok'!A115</f>
        <v>Lantai 1</v>
      </c>
      <c r="B118">
        <f>'Data Panjang Balok'!B115</f>
        <v>7</v>
      </c>
      <c r="C118" t="str">
        <f>'Data Panjang Balok'!D115</f>
        <v>B23-2</v>
      </c>
      <c r="D118">
        <f>IF(C118&gt;0,VLOOKUP(C118,'Detail Balok'!$C$11:$AU$110,2,FALSE),0)</f>
        <v>200</v>
      </c>
      <c r="E118" t="str">
        <v>x</v>
      </c>
      <c r="F118">
        <f>IF(C118&gt;0,VLOOKUP(C118,'Detail Balok'!$C$11:$AU$110,3,FALSE),0)</f>
        <v>300</v>
      </c>
      <c r="G118">
        <f>'Data Panjang Balok'!I115</f>
        <v>3335</v>
      </c>
      <c r="H118">
        <f>'Data Panjang Balok'!J115</f>
        <v>130</v>
      </c>
      <c r="J118">
        <f>I118-F118/1000</f>
        <v>-0.3</v>
      </c>
      <c r="K118">
        <f>'Data Panjang Balok'!E115</f>
        <v>1</v>
      </c>
      <c r="L118">
        <f>SUMIFS('Besi Balok'!$AA$23:$AA$12292,'Besi Balok'!$A$23:$A$12292,$A118,'Besi Balok'!$B$23:$B$12292,$B118,'Besi Balok'!$F$23:$F$12292,'REKAP Balok'!L$12)</f>
        <v>0</v>
      </c>
      <c r="M118">
        <f>SUMIFS('Besi Balok'!$AA$23:$AA$12292,'Besi Balok'!$A$23:$A$12292,$A118,'Besi Balok'!$B$23:$B$12292,$B118,'Besi Balok'!$F$23:$F$12292,'REKAP Balok'!M$12)</f>
        <v>9.4970592</v>
      </c>
      <c r="N118">
        <f>SUMIFS('Besi Balok'!$AA$23:$AA$12292,'Besi Balok'!$A$23:$A$12292,$A118,'Besi Balok'!$B$23:$B$12292,$B118,'Besi Balok'!$F$23:$F$12292,'REKAP Balok'!N$12)</f>
        <v>0</v>
      </c>
      <c r="O118">
        <f>SUMIFS('Besi Balok'!$AA$23:$AA$12292,'Besi Balok'!$A$23:$A$12292,$A118,'Besi Balok'!$B$23:$B$12292,$B118,'Besi Balok'!$F$23:$F$12292,'REKAP Balok'!O$12)</f>
        <v>20.136511395</v>
      </c>
      <c r="P118">
        <f>SUMIFS('Besi Balok'!$AA$23:$AA$12292,'Besi Balok'!$A$23:$A$12292,$A118,'Besi Balok'!$B$23:$B$12292,$B118,'Besi Balok'!$F$23:$F$12292,'REKAP Balok'!P$12)</f>
        <v>0</v>
      </c>
      <c r="Q118">
        <f>SUMIFS('Besi Balok'!$AA$23:$AA$12292,'Besi Balok'!$A$23:$A$12292,$A118,'Besi Balok'!$B$23:$B$12292,$B118,'Besi Balok'!$F$23:$F$12292,'REKAP Balok'!Q$12)</f>
        <v>0</v>
      </c>
      <c r="R118">
        <f>SUMIFS('Besi Balok'!$AA$23:$AA$12292,'Besi Balok'!$A$23:$A$12292,$A118,'Besi Balok'!$B$23:$B$12292,$B118,'Besi Balok'!$F$23:$F$12292,'REKAP Balok'!R$12)</f>
        <v>0</v>
      </c>
      <c r="S118">
        <f>SUMIFS('Besi Balok'!$AA$23:$AA$12292,'Besi Balok'!$A$23:$A$12292,$A118,'Besi Balok'!$B$23:$B$12292,$B118,'Besi Balok'!$F$23:$F$12292,'REKAP Balok'!S$12)</f>
        <v>0</v>
      </c>
      <c r="T118">
        <f>SUMIFS('Besi Balok'!$AA$23:$AA$12292,'Besi Balok'!$A$23:$A$12292,$A118,'Besi Balok'!$B$23:$B$12292,$B118,'Besi Balok'!$F$23:$F$12292,'REKAP Balok'!T$12)</f>
        <v>0</v>
      </c>
      <c r="U118">
        <f>SUM(L118:T118)</f>
        <v>29.633570595000002</v>
      </c>
      <c r="V118">
        <f>(D118*(F118-H118)*G118*K118)/1000000000</f>
        <v>0.11339</v>
      </c>
      <c r="W118">
        <f>(((F118-H118)*2+D118)*(G118)*K118)/1000000</f>
        <v>1.8009</v>
      </c>
      <c r="AC118">
        <f>(D118+2*$F$5)*F118*G118/1000000000</f>
        <v>0.4002</v>
      </c>
    </row>
    <row r="119">
      <c r="A119" t="str">
        <f>'Data Panjang Balok'!A116</f>
        <v>Lantai 1</v>
      </c>
      <c r="B119">
        <f>'Data Panjang Balok'!B116</f>
        <v>8</v>
      </c>
      <c r="C119" t="str">
        <f>'Data Panjang Balok'!D116</f>
        <v>B245-4</v>
      </c>
      <c r="D119">
        <f>IF(C119&gt;0,VLOOKUP(C119,'Detail Balok'!$C$11:$AU$110,2,FALSE),0)</f>
        <v>200</v>
      </c>
      <c r="E119" t="str">
        <v>x</v>
      </c>
      <c r="F119">
        <f>IF(C119&gt;0,VLOOKUP(C119,'Detail Balok'!$C$11:$AU$110,3,FALSE),0)</f>
        <v>450</v>
      </c>
      <c r="G119">
        <f>'Data Panjang Balok'!I116</f>
        <v>5265</v>
      </c>
      <c r="H119">
        <f>'Data Panjang Balok'!J116</f>
        <v>130</v>
      </c>
      <c r="J119">
        <f>I119-F119/1000</f>
        <v>-0.45</v>
      </c>
      <c r="K119">
        <f>'Data Panjang Balok'!E116</f>
        <v>1</v>
      </c>
      <c r="L119">
        <f>SUMIFS('Besi Balok'!$AA$23:$AA$12292,'Besi Balok'!$A$23:$A$12292,$A119,'Besi Balok'!$B$23:$B$12292,$B119,'Besi Balok'!$F$23:$F$12292,'REKAP Balok'!L$12)</f>
        <v>0</v>
      </c>
      <c r="M119">
        <f>SUMIFS('Besi Balok'!$AA$23:$AA$12292,'Besi Balok'!$A$23:$A$12292,$A119,'Besi Balok'!$B$23:$B$12292,$B119,'Besi Balok'!$F$23:$F$12292,'REKAP Balok'!M$12)</f>
        <v>22.58619264</v>
      </c>
      <c r="N119">
        <f>SUMIFS('Besi Balok'!$AA$23:$AA$12292,'Besi Balok'!$A$23:$A$12292,$A119,'Besi Balok'!$B$23:$B$12292,$B119,'Besi Balok'!$F$23:$F$12292,'REKAP Balok'!N$12)</f>
        <v>0</v>
      </c>
      <c r="O119">
        <f>SUMIFS('Besi Balok'!$AA$23:$AA$12292,'Besi Balok'!$A$23:$A$12292,$A119,'Besi Balok'!$B$23:$B$12292,$B119,'Besi Balok'!$F$23:$F$12292,'REKAP Balok'!O$12)</f>
        <v>0</v>
      </c>
      <c r="P119">
        <f>SUMIFS('Besi Balok'!$AA$23:$AA$12292,'Besi Balok'!$A$23:$A$12292,$A119,'Besi Balok'!$B$23:$B$12292,$B119,'Besi Balok'!$F$23:$F$12292,'REKAP Balok'!P$12)</f>
        <v>53.492866559999996</v>
      </c>
      <c r="Q119">
        <f>SUMIFS('Besi Balok'!$AA$23:$AA$12292,'Besi Balok'!$A$23:$A$12292,$A119,'Besi Balok'!$B$23:$B$12292,$B119,'Besi Balok'!$F$23:$F$12292,'REKAP Balok'!Q$12)</f>
        <v>0</v>
      </c>
      <c r="R119">
        <f>SUMIFS('Besi Balok'!$AA$23:$AA$12292,'Besi Balok'!$A$23:$A$12292,$A119,'Besi Balok'!$B$23:$B$12292,$B119,'Besi Balok'!$F$23:$F$12292,'REKAP Balok'!R$12)</f>
        <v>0</v>
      </c>
      <c r="S119">
        <f>SUMIFS('Besi Balok'!$AA$23:$AA$12292,'Besi Balok'!$A$23:$A$12292,$A119,'Besi Balok'!$B$23:$B$12292,$B119,'Besi Balok'!$F$23:$F$12292,'REKAP Balok'!S$12)</f>
        <v>0</v>
      </c>
      <c r="T119">
        <f>SUMIFS('Besi Balok'!$AA$23:$AA$12292,'Besi Balok'!$A$23:$A$12292,$A119,'Besi Balok'!$B$23:$B$12292,$B119,'Besi Balok'!$F$23:$F$12292,'REKAP Balok'!T$12)</f>
        <v>0</v>
      </c>
      <c r="U119">
        <f>SUM(L119:T119)</f>
        <v>76.07905919999999</v>
      </c>
      <c r="V119">
        <f>(D119*(F119-H119)*G119*K119)/1000000000</f>
        <v>0.33696</v>
      </c>
      <c r="W119">
        <f>(((F119-H119)*2+D119)*(G119)*K119)/1000000</f>
        <v>4.4226</v>
      </c>
      <c r="AC119">
        <f>(D119+2*$F$5)*F119*G119/1000000000</f>
        <v>0.9477</v>
      </c>
    </row>
    <row r="120">
      <c r="A120" t="str">
        <f>'Data Panjang Balok'!A117</f>
        <v>Lantai 1</v>
      </c>
      <c r="B120">
        <f>'Data Panjang Balok'!B117</f>
        <v>9</v>
      </c>
      <c r="C120" t="str">
        <f>'Data Panjang Balok'!D117</f>
        <v>B245-1</v>
      </c>
      <c r="D120">
        <f>IF(C120&gt;0,VLOOKUP(C120,'Detail Balok'!$C$11:$AU$110,2,FALSE),0)</f>
        <v>200</v>
      </c>
      <c r="E120" t="str">
        <v>x</v>
      </c>
      <c r="F120">
        <f>IF(C120&gt;0,VLOOKUP(C120,'Detail Balok'!$C$11:$AU$110,3,FALSE),0)</f>
        <v>450</v>
      </c>
      <c r="G120">
        <f>'Data Panjang Balok'!I117</f>
        <v>3435</v>
      </c>
      <c r="H120">
        <f>'Data Panjang Balok'!J117</f>
        <v>130</v>
      </c>
      <c r="J120">
        <f>I120-F120/1000</f>
        <v>-0.45</v>
      </c>
      <c r="K120">
        <f>'Data Panjang Balok'!E117</f>
        <v>1</v>
      </c>
      <c r="L120">
        <f>SUMIFS('Besi Balok'!$AA$23:$AA$12292,'Besi Balok'!$A$23:$A$12292,$A120,'Besi Balok'!$B$23:$B$12292,$B120,'Besi Balok'!$F$23:$F$12292,'REKAP Balok'!L$12)</f>
        <v>0</v>
      </c>
      <c r="M120">
        <f>SUMIFS('Besi Balok'!$AA$23:$AA$12292,'Besi Balok'!$A$23:$A$12292,$A120,'Besi Balok'!$B$23:$B$12292,$B120,'Besi Balok'!$F$23:$F$12292,'REKAP Balok'!M$12)</f>
        <v>15.346016640000002</v>
      </c>
      <c r="N120">
        <f>SUMIFS('Besi Balok'!$AA$23:$AA$12292,'Besi Balok'!$A$23:$A$12292,$A120,'Besi Balok'!$B$23:$B$12292,$B120,'Besi Balok'!$F$23:$F$12292,'REKAP Balok'!N$12)</f>
        <v>0</v>
      </c>
      <c r="O120">
        <f>SUMIFS('Besi Balok'!$AA$23:$AA$12292,'Besi Balok'!$A$23:$A$12292,$A120,'Besi Balok'!$B$23:$B$12292,$B120,'Besi Balok'!$F$23:$F$12292,'REKAP Balok'!O$12)</f>
        <v>15.61577238</v>
      </c>
      <c r="P120">
        <f>SUMIFS('Besi Balok'!$AA$23:$AA$12292,'Besi Balok'!$A$23:$A$12292,$A120,'Besi Balok'!$B$23:$B$12292,$B120,'Besi Balok'!$F$23:$F$12292,'REKAP Balok'!P$12)</f>
        <v>0</v>
      </c>
      <c r="Q120">
        <f>SUMIFS('Besi Balok'!$AA$23:$AA$12292,'Besi Balok'!$A$23:$A$12292,$A120,'Besi Balok'!$B$23:$B$12292,$B120,'Besi Balok'!$F$23:$F$12292,'REKAP Balok'!Q$12)</f>
        <v>0</v>
      </c>
      <c r="R120">
        <f>SUMIFS('Besi Balok'!$AA$23:$AA$12292,'Besi Balok'!$A$23:$A$12292,$A120,'Besi Balok'!$B$23:$B$12292,$B120,'Besi Balok'!$F$23:$F$12292,'REKAP Balok'!R$12)</f>
        <v>0</v>
      </c>
      <c r="S120">
        <f>SUMIFS('Besi Balok'!$AA$23:$AA$12292,'Besi Balok'!$A$23:$A$12292,$A120,'Besi Balok'!$B$23:$B$12292,$B120,'Besi Balok'!$F$23:$F$12292,'REKAP Balok'!S$12)</f>
        <v>0</v>
      </c>
      <c r="T120">
        <f>SUMIFS('Besi Balok'!$AA$23:$AA$12292,'Besi Balok'!$A$23:$A$12292,$A120,'Besi Balok'!$B$23:$B$12292,$B120,'Besi Balok'!$F$23:$F$12292,'REKAP Balok'!T$12)</f>
        <v>0</v>
      </c>
      <c r="U120">
        <f>SUM(L120:T120)</f>
        <v>30.96178902</v>
      </c>
      <c r="V120">
        <f>(D120*(F120-H120)*G120*K120)/1000000000</f>
        <v>0.21984</v>
      </c>
      <c r="W120">
        <f>(((F120-H120)*2+D120)*(G120)*K120)/1000000</f>
        <v>2.8854</v>
      </c>
      <c r="AC120">
        <f>(D120+2*$F$5)*F120*G120/1000000000</f>
        <v>0.6183</v>
      </c>
    </row>
    <row r="121">
      <c r="A121" t="str">
        <f>'Data Panjang Balok'!A118</f>
        <v>Lantai 1</v>
      </c>
      <c r="B121">
        <f>'Data Panjang Balok'!B118</f>
        <v>10</v>
      </c>
      <c r="C121" t="str">
        <f>'Data Panjang Balok'!D118</f>
        <v>B245-5</v>
      </c>
      <c r="D121">
        <f>IF(C121&gt;0,VLOOKUP(C121,'Detail Balok'!$C$11:$AU$110,2,FALSE),0)</f>
        <v>200</v>
      </c>
      <c r="E121" t="str">
        <v>x</v>
      </c>
      <c r="F121">
        <f>IF(C121&gt;0,VLOOKUP(C121,'Detail Balok'!$C$11:$AU$110,3,FALSE),0)</f>
        <v>450</v>
      </c>
      <c r="G121">
        <f>'Data Panjang Balok'!I118</f>
        <v>4265</v>
      </c>
      <c r="H121">
        <f>'Data Panjang Balok'!J118</f>
        <v>130</v>
      </c>
      <c r="J121">
        <f>I121-F121/1000</f>
        <v>-0.45</v>
      </c>
      <c r="K121">
        <f>'Data Panjang Balok'!E118</f>
        <v>1</v>
      </c>
      <c r="L121">
        <f>SUMIFS('Besi Balok'!$AA$23:$AA$12292,'Besi Balok'!$A$23:$A$12292,$A121,'Besi Balok'!$B$23:$B$12292,$B121,'Besi Balok'!$F$23:$F$12292,'REKAP Balok'!L$12)</f>
        <v>0</v>
      </c>
      <c r="M121">
        <f>SUMIFS('Besi Balok'!$AA$23:$AA$12292,'Besi Balok'!$A$23:$A$12292,$A121,'Besi Balok'!$B$23:$B$12292,$B121,'Besi Balok'!$F$23:$F$12292,'REKAP Balok'!M$12)</f>
        <v>0</v>
      </c>
      <c r="N121">
        <f>SUMIFS('Besi Balok'!$AA$23:$AA$12292,'Besi Balok'!$A$23:$A$12292,$A121,'Besi Balok'!$B$23:$B$12292,$B121,'Besi Balok'!$F$23:$F$12292,'REKAP Balok'!N$12)</f>
        <v>32.723819999999996</v>
      </c>
      <c r="O121">
        <f>SUMIFS('Besi Balok'!$AA$23:$AA$12292,'Besi Balok'!$A$23:$A$12292,$A121,'Besi Balok'!$B$23:$B$12292,$B121,'Besi Balok'!$F$23:$F$12292,'REKAP Balok'!O$12)</f>
        <v>0</v>
      </c>
      <c r="P121">
        <f>SUMIFS('Besi Balok'!$AA$23:$AA$12292,'Besi Balok'!$A$23:$A$12292,$A121,'Besi Balok'!$B$23:$B$12292,$B121,'Besi Balok'!$F$23:$F$12292,'REKAP Balok'!P$12)</f>
        <v>51.36066431999999</v>
      </c>
      <c r="Q121">
        <f>SUMIFS('Besi Balok'!$AA$23:$AA$12292,'Besi Balok'!$A$23:$A$12292,$A121,'Besi Balok'!$B$23:$B$12292,$B121,'Besi Balok'!$F$23:$F$12292,'REKAP Balok'!Q$12)</f>
        <v>0</v>
      </c>
      <c r="R121">
        <f>SUMIFS('Besi Balok'!$AA$23:$AA$12292,'Besi Balok'!$A$23:$A$12292,$A121,'Besi Balok'!$B$23:$B$12292,$B121,'Besi Balok'!$F$23:$F$12292,'REKAP Balok'!R$12)</f>
        <v>0</v>
      </c>
      <c r="S121">
        <f>SUMIFS('Besi Balok'!$AA$23:$AA$12292,'Besi Balok'!$A$23:$A$12292,$A121,'Besi Balok'!$B$23:$B$12292,$B121,'Besi Balok'!$F$23:$F$12292,'REKAP Balok'!S$12)</f>
        <v>0</v>
      </c>
      <c r="T121">
        <f>SUMIFS('Besi Balok'!$AA$23:$AA$12292,'Besi Balok'!$A$23:$A$12292,$A121,'Besi Balok'!$B$23:$B$12292,$B121,'Besi Balok'!$F$23:$F$12292,'REKAP Balok'!T$12)</f>
        <v>0</v>
      </c>
      <c r="U121">
        <f>SUM(L121:T121)</f>
        <v>84.08448431999999</v>
      </c>
      <c r="V121">
        <f>(D121*(F121-H121)*G121*K121)/1000000000</f>
        <v>0.27296</v>
      </c>
      <c r="W121">
        <f>(((F121-H121)*2+D121)*(G121)*K121)/1000000</f>
        <v>3.5826</v>
      </c>
      <c r="AC121">
        <f>(D121+2*$F$5)*F121*G121/1000000000</f>
        <v>0.7677</v>
      </c>
    </row>
    <row r="122">
      <c r="A122" t="str">
        <f>'Data Panjang Balok'!A119</f>
        <v>Lantai 1</v>
      </c>
      <c r="B122">
        <f>'Data Panjang Balok'!B119</f>
        <v>11</v>
      </c>
      <c r="C122" t="str">
        <f>'Data Panjang Balok'!D119</f>
        <v>B245-1</v>
      </c>
      <c r="D122">
        <f>IF(C122&gt;0,VLOOKUP(C122,'Detail Balok'!$C$11:$AU$110,2,FALSE),0)</f>
        <v>200</v>
      </c>
      <c r="E122" t="str">
        <v>x</v>
      </c>
      <c r="F122">
        <f>IF(C122&gt;0,VLOOKUP(C122,'Detail Balok'!$C$11:$AU$110,3,FALSE),0)</f>
        <v>450</v>
      </c>
      <c r="G122">
        <f>'Data Panjang Balok'!I119</f>
        <v>1050</v>
      </c>
      <c r="H122">
        <f>'Data Panjang Balok'!J119</f>
        <v>130</v>
      </c>
      <c r="J122">
        <f>I122-F122/1000</f>
        <v>-0.45</v>
      </c>
      <c r="K122">
        <f>'Data Panjang Balok'!E119</f>
        <v>1</v>
      </c>
      <c r="L122">
        <f>SUMIFS('Besi Balok'!$AA$23:$AA$12292,'Besi Balok'!$A$23:$A$12292,$A122,'Besi Balok'!$B$23:$B$12292,$B122,'Besi Balok'!$F$23:$F$12292,'REKAP Balok'!L$12)</f>
        <v>0</v>
      </c>
      <c r="M122">
        <f>SUMIFS('Besi Balok'!$AA$23:$AA$12292,'Besi Balok'!$A$23:$A$12292,$A122,'Besi Balok'!$B$23:$B$12292,$B122,'Besi Balok'!$F$23:$F$12292,'REKAP Balok'!M$12)</f>
        <v>6.33032064</v>
      </c>
      <c r="N122">
        <f>SUMIFS('Besi Balok'!$AA$23:$AA$12292,'Besi Balok'!$A$23:$A$12292,$A122,'Besi Balok'!$B$23:$B$12292,$B122,'Besi Balok'!$F$23:$F$12292,'REKAP Balok'!N$12)</f>
        <v>0</v>
      </c>
      <c r="O122">
        <f>SUMIFS('Besi Balok'!$AA$23:$AA$12292,'Besi Balok'!$A$23:$A$12292,$A122,'Besi Balok'!$B$23:$B$12292,$B122,'Besi Balok'!$F$23:$F$12292,'REKAP Balok'!O$12)</f>
        <v>5.676189480000001</v>
      </c>
      <c r="P122">
        <f>SUMIFS('Besi Balok'!$AA$23:$AA$12292,'Besi Balok'!$A$23:$A$12292,$A122,'Besi Balok'!$B$23:$B$12292,$B122,'Besi Balok'!$F$23:$F$12292,'REKAP Balok'!P$12)</f>
        <v>0</v>
      </c>
      <c r="Q122">
        <f>SUMIFS('Besi Balok'!$AA$23:$AA$12292,'Besi Balok'!$A$23:$A$12292,$A122,'Besi Balok'!$B$23:$B$12292,$B122,'Besi Balok'!$F$23:$F$12292,'REKAP Balok'!Q$12)</f>
        <v>0</v>
      </c>
      <c r="R122">
        <f>SUMIFS('Besi Balok'!$AA$23:$AA$12292,'Besi Balok'!$A$23:$A$12292,$A122,'Besi Balok'!$B$23:$B$12292,$B122,'Besi Balok'!$F$23:$F$12292,'REKAP Balok'!R$12)</f>
        <v>0</v>
      </c>
      <c r="S122">
        <f>SUMIFS('Besi Balok'!$AA$23:$AA$12292,'Besi Balok'!$A$23:$A$12292,$A122,'Besi Balok'!$B$23:$B$12292,$B122,'Besi Balok'!$F$23:$F$12292,'REKAP Balok'!S$12)</f>
        <v>0</v>
      </c>
      <c r="T122">
        <f>SUMIFS('Besi Balok'!$AA$23:$AA$12292,'Besi Balok'!$A$23:$A$12292,$A122,'Besi Balok'!$B$23:$B$12292,$B122,'Besi Balok'!$F$23:$F$12292,'REKAP Balok'!T$12)</f>
        <v>0</v>
      </c>
      <c r="U122">
        <f>SUM(L122:T122)</f>
        <v>12.006510120000002</v>
      </c>
      <c r="V122">
        <f>(D122*(F122-H122)*G122*K122)/1000000000</f>
        <v>0.0672</v>
      </c>
      <c r="W122">
        <f>(((F122-H122)*2+D122)*(G122)*K122)/1000000</f>
        <v>0.882</v>
      </c>
      <c r="AC122">
        <f>(D122+2*$F$5)*F122*G122/1000000000</f>
        <v>0.189</v>
      </c>
    </row>
    <row r="123">
      <c r="A123" t="str">
        <f>'Data Panjang Balok'!A120</f>
        <v>Lantai 1</v>
      </c>
      <c r="B123">
        <f>'Data Panjang Balok'!B120</f>
        <v>12</v>
      </c>
      <c r="C123" t="str">
        <f>'Data Panjang Balok'!D120</f>
        <v>B245-1</v>
      </c>
      <c r="D123">
        <f>IF(C123&gt;0,VLOOKUP(C123,'Detail Balok'!$C$11:$AU$110,2,FALSE),0)</f>
        <v>200</v>
      </c>
      <c r="E123" t="str">
        <v>x</v>
      </c>
      <c r="F123">
        <f>IF(C123&gt;0,VLOOKUP(C123,'Detail Balok'!$C$11:$AU$110,3,FALSE),0)</f>
        <v>450</v>
      </c>
      <c r="G123">
        <f>'Data Panjang Balok'!I120</f>
        <v>2100</v>
      </c>
      <c r="H123">
        <f>'Data Panjang Balok'!J120</f>
        <v>130</v>
      </c>
      <c r="J123">
        <f>I123-F123/1000</f>
        <v>-0.45</v>
      </c>
      <c r="K123">
        <f>'Data Panjang Balok'!E120</f>
        <v>1</v>
      </c>
      <c r="L123">
        <f>SUMIFS('Besi Balok'!$AA$23:$AA$12292,'Besi Balok'!$A$23:$A$12292,$A123,'Besi Balok'!$B$23:$B$12292,$B123,'Besi Balok'!$F$23:$F$12292,'REKAP Balok'!L$12)</f>
        <v>0</v>
      </c>
      <c r="M123">
        <f>SUMIFS('Besi Balok'!$AA$23:$AA$12292,'Besi Balok'!$A$23:$A$12292,$A123,'Besi Balok'!$B$23:$B$12292,$B123,'Besi Balok'!$F$23:$F$12292,'REKAP Balok'!M$12)</f>
        <v>11.61742464</v>
      </c>
      <c r="N123">
        <f>SUMIFS('Besi Balok'!$AA$23:$AA$12292,'Besi Balok'!$A$23:$A$12292,$A123,'Besi Balok'!$B$23:$B$12292,$B123,'Besi Balok'!$F$23:$F$12292,'REKAP Balok'!N$12)</f>
        <v>0</v>
      </c>
      <c r="O123">
        <f>SUMIFS('Besi Balok'!$AA$23:$AA$12292,'Besi Balok'!$A$23:$A$12292,$A123,'Besi Balok'!$B$23:$B$12292,$B123,'Besi Balok'!$F$23:$F$12292,'REKAP Balok'!O$12)</f>
        <v>10.052106479999999</v>
      </c>
      <c r="P123">
        <f>SUMIFS('Besi Balok'!$AA$23:$AA$12292,'Besi Balok'!$A$23:$A$12292,$A123,'Besi Balok'!$B$23:$B$12292,$B123,'Besi Balok'!$F$23:$F$12292,'REKAP Balok'!P$12)</f>
        <v>0</v>
      </c>
      <c r="Q123">
        <f>SUMIFS('Besi Balok'!$AA$23:$AA$12292,'Besi Balok'!$A$23:$A$12292,$A123,'Besi Balok'!$B$23:$B$12292,$B123,'Besi Balok'!$F$23:$F$12292,'REKAP Balok'!Q$12)</f>
        <v>0</v>
      </c>
      <c r="R123">
        <f>SUMIFS('Besi Balok'!$AA$23:$AA$12292,'Besi Balok'!$A$23:$A$12292,$A123,'Besi Balok'!$B$23:$B$12292,$B123,'Besi Balok'!$F$23:$F$12292,'REKAP Balok'!R$12)</f>
        <v>0</v>
      </c>
      <c r="S123">
        <f>SUMIFS('Besi Balok'!$AA$23:$AA$12292,'Besi Balok'!$A$23:$A$12292,$A123,'Besi Balok'!$B$23:$B$12292,$B123,'Besi Balok'!$F$23:$F$12292,'REKAP Balok'!S$12)</f>
        <v>0</v>
      </c>
      <c r="T123">
        <f>SUMIFS('Besi Balok'!$AA$23:$AA$12292,'Besi Balok'!$A$23:$A$12292,$A123,'Besi Balok'!$B$23:$B$12292,$B123,'Besi Balok'!$F$23:$F$12292,'REKAP Balok'!T$12)</f>
        <v>0</v>
      </c>
      <c r="U123">
        <f>SUM(L123:T123)</f>
        <v>21.66953112</v>
      </c>
      <c r="V123">
        <f>(D123*(F123-H123)*G123*K123)/1000000000</f>
        <v>0.1344</v>
      </c>
      <c r="W123">
        <f>(((F123-H123)*2+D123)*(G123)*K123)/1000000</f>
        <v>1.764</v>
      </c>
      <c r="AC123">
        <f>(D123+2*$F$5)*F123*G123/1000000000</f>
        <v>0.378</v>
      </c>
    </row>
    <row r="124">
      <c r="A124" t="str">
        <f>'Data Panjang Balok'!A121</f>
        <v>Lantai 1</v>
      </c>
      <c r="B124">
        <f>'Data Panjang Balok'!B121</f>
        <v>13</v>
      </c>
      <c r="C124" t="str">
        <f>'Data Panjang Balok'!D121</f>
        <v>B245-4</v>
      </c>
      <c r="D124">
        <f>IF(C124&gt;0,VLOOKUP(C124,'Detail Balok'!$C$11:$AU$110,2,FALSE),0)</f>
        <v>200</v>
      </c>
      <c r="E124" t="str">
        <v>x</v>
      </c>
      <c r="F124">
        <f>IF(C124&gt;0,VLOOKUP(C124,'Detail Balok'!$C$11:$AU$110,3,FALSE),0)</f>
        <v>450</v>
      </c>
      <c r="G124">
        <f>'Data Panjang Balok'!I121</f>
        <v>3335</v>
      </c>
      <c r="H124">
        <f>'Data Panjang Balok'!J121</f>
        <v>130</v>
      </c>
      <c r="J124">
        <f>I124-F124/1000</f>
        <v>-0.45</v>
      </c>
      <c r="K124">
        <f>'Data Panjang Balok'!E121</f>
        <v>1</v>
      </c>
      <c r="L124">
        <f>SUMIFS('Besi Balok'!$AA$23:$AA$12292,'Besi Balok'!$A$23:$A$12292,$A124,'Besi Balok'!$B$23:$B$12292,$B124,'Besi Balok'!$F$23:$F$12292,'REKAP Balok'!L$12)</f>
        <v>0</v>
      </c>
      <c r="M124">
        <f>SUMIFS('Besi Balok'!$AA$23:$AA$12292,'Besi Balok'!$A$23:$A$12292,$A124,'Besi Balok'!$B$23:$B$12292,$B124,'Besi Balok'!$F$23:$F$12292,'REKAP Balok'!M$12)</f>
        <v>15.26710464</v>
      </c>
      <c r="N124">
        <f>SUMIFS('Besi Balok'!$AA$23:$AA$12292,'Besi Balok'!$A$23:$A$12292,$A124,'Besi Balok'!$B$23:$B$12292,$B124,'Besi Balok'!$F$23:$F$12292,'REKAP Balok'!N$12)</f>
        <v>0</v>
      </c>
      <c r="O124">
        <f>SUMIFS('Besi Balok'!$AA$23:$AA$12292,'Besi Balok'!$A$23:$A$12292,$A124,'Besi Balok'!$B$23:$B$12292,$B124,'Besi Balok'!$F$23:$F$12292,'REKAP Balok'!O$12)</f>
        <v>0</v>
      </c>
      <c r="P124">
        <f>SUMIFS('Besi Balok'!$AA$23:$AA$12292,'Besi Balok'!$A$23:$A$12292,$A124,'Besi Balok'!$B$23:$B$12292,$B124,'Besi Balok'!$F$23:$F$12292,'REKAP Balok'!P$12)</f>
        <v>35.21684736</v>
      </c>
      <c r="Q124">
        <f>SUMIFS('Besi Balok'!$AA$23:$AA$12292,'Besi Balok'!$A$23:$A$12292,$A124,'Besi Balok'!$B$23:$B$12292,$B124,'Besi Balok'!$F$23:$F$12292,'REKAP Balok'!Q$12)</f>
        <v>0</v>
      </c>
      <c r="R124">
        <f>SUMIFS('Besi Balok'!$AA$23:$AA$12292,'Besi Balok'!$A$23:$A$12292,$A124,'Besi Balok'!$B$23:$B$12292,$B124,'Besi Balok'!$F$23:$F$12292,'REKAP Balok'!R$12)</f>
        <v>0</v>
      </c>
      <c r="S124">
        <f>SUMIFS('Besi Balok'!$AA$23:$AA$12292,'Besi Balok'!$A$23:$A$12292,$A124,'Besi Balok'!$B$23:$B$12292,$B124,'Besi Balok'!$F$23:$F$12292,'REKAP Balok'!S$12)</f>
        <v>0</v>
      </c>
      <c r="T124">
        <f>SUMIFS('Besi Balok'!$AA$23:$AA$12292,'Besi Balok'!$A$23:$A$12292,$A124,'Besi Balok'!$B$23:$B$12292,$B124,'Besi Balok'!$F$23:$F$12292,'REKAP Balok'!T$12)</f>
        <v>0</v>
      </c>
      <c r="U124">
        <f>SUM(L124:T124)</f>
        <v>50.483952</v>
      </c>
      <c r="V124">
        <f>(D124*(F124-H124)*G124*K124)/1000000000</f>
        <v>0.21344</v>
      </c>
      <c r="W124">
        <f>(((F124-H124)*2+D124)*(G124)*K124)/1000000</f>
        <v>2.8014</v>
      </c>
      <c r="AC124">
        <f>(D124+2*$F$5)*F124*G124/1000000000</f>
        <v>0.6003</v>
      </c>
    </row>
    <row r="125">
      <c r="A125" t="str">
        <f>'Data Panjang Balok'!A122</f>
        <v>Lantai 1</v>
      </c>
      <c r="B125">
        <f>'Data Panjang Balok'!B122</f>
        <v>14</v>
      </c>
      <c r="C125" t="str">
        <f>'Data Panjang Balok'!D122</f>
        <v>B245-4</v>
      </c>
      <c r="D125">
        <f>IF(C125&gt;0,VLOOKUP(C125,'Detail Balok'!$C$11:$AU$110,2,FALSE),0)</f>
        <v>200</v>
      </c>
      <c r="E125" t="str">
        <v>x</v>
      </c>
      <c r="F125">
        <f>IF(C125&gt;0,VLOOKUP(C125,'Detail Balok'!$C$11:$AU$110,3,FALSE),0)</f>
        <v>450</v>
      </c>
      <c r="G125">
        <f>'Data Panjang Balok'!I122</f>
        <v>5165</v>
      </c>
      <c r="H125">
        <f>'Data Panjang Balok'!J122</f>
        <v>130</v>
      </c>
      <c r="J125">
        <f>I125-F125/1000</f>
        <v>-0.45</v>
      </c>
      <c r="K125">
        <f>'Data Panjang Balok'!E122</f>
        <v>1</v>
      </c>
      <c r="L125">
        <f>SUMIFS('Besi Balok'!$AA$23:$AA$12292,'Besi Balok'!$A$23:$A$12292,$A125,'Besi Balok'!$B$23:$B$12292,$B125,'Besi Balok'!$F$23:$F$12292,'REKAP Balok'!L$12)</f>
        <v>0</v>
      </c>
      <c r="M125">
        <f>SUMIFS('Besi Balok'!$AA$23:$AA$12292,'Besi Balok'!$A$23:$A$12292,$A125,'Besi Balok'!$B$23:$B$12292,$B125,'Besi Balok'!$F$23:$F$12292,'REKAP Balok'!M$12)</f>
        <v>22.50728064</v>
      </c>
      <c r="N125">
        <f>SUMIFS('Besi Balok'!$AA$23:$AA$12292,'Besi Balok'!$A$23:$A$12292,$A125,'Besi Balok'!$B$23:$B$12292,$B125,'Besi Balok'!$F$23:$F$12292,'REKAP Balok'!N$12)</f>
        <v>0</v>
      </c>
      <c r="O125">
        <f>SUMIFS('Besi Balok'!$AA$23:$AA$12292,'Besi Balok'!$A$23:$A$12292,$A125,'Besi Balok'!$B$23:$B$12292,$B125,'Besi Balok'!$F$23:$F$12292,'REKAP Balok'!O$12)</f>
        <v>0</v>
      </c>
      <c r="P125">
        <f>SUMIFS('Besi Balok'!$AA$23:$AA$12292,'Besi Balok'!$A$23:$A$12292,$A125,'Besi Balok'!$B$23:$B$12292,$B125,'Besi Balok'!$F$23:$F$12292,'REKAP Balok'!P$12)</f>
        <v>52.54592256</v>
      </c>
      <c r="Q125">
        <f>SUMIFS('Besi Balok'!$AA$23:$AA$12292,'Besi Balok'!$A$23:$A$12292,$A125,'Besi Balok'!$B$23:$B$12292,$B125,'Besi Balok'!$F$23:$F$12292,'REKAP Balok'!Q$12)</f>
        <v>0</v>
      </c>
      <c r="R125">
        <f>SUMIFS('Besi Balok'!$AA$23:$AA$12292,'Besi Balok'!$A$23:$A$12292,$A125,'Besi Balok'!$B$23:$B$12292,$B125,'Besi Balok'!$F$23:$F$12292,'REKAP Balok'!R$12)</f>
        <v>0</v>
      </c>
      <c r="S125">
        <f>SUMIFS('Besi Balok'!$AA$23:$AA$12292,'Besi Balok'!$A$23:$A$12292,$A125,'Besi Balok'!$B$23:$B$12292,$B125,'Besi Balok'!$F$23:$F$12292,'REKAP Balok'!S$12)</f>
        <v>0</v>
      </c>
      <c r="T125">
        <f>SUMIFS('Besi Balok'!$AA$23:$AA$12292,'Besi Balok'!$A$23:$A$12292,$A125,'Besi Balok'!$B$23:$B$12292,$B125,'Besi Balok'!$F$23:$F$12292,'REKAP Balok'!T$12)</f>
        <v>0</v>
      </c>
      <c r="U125">
        <f>SUM(L125:T125)</f>
        <v>75.0532032</v>
      </c>
      <c r="V125">
        <f>(D125*(F125-H125)*G125*K125)/1000000000</f>
        <v>0.33056</v>
      </c>
      <c r="W125">
        <f>(((F125-H125)*2+D125)*(G125)*K125)/1000000</f>
        <v>4.3386</v>
      </c>
      <c r="AC125">
        <f>(D125+2*$F$5)*F125*G125/1000000000</f>
        <v>0.9297</v>
      </c>
    </row>
    <row r="126">
      <c r="A126" t="str">
        <f>'Data Panjang Balok'!A123</f>
        <v>Lantai 1</v>
      </c>
      <c r="B126">
        <f>'Data Panjang Balok'!B123</f>
        <v>15</v>
      </c>
      <c r="C126" t="str">
        <f>'Data Panjang Balok'!D123</f>
        <v>Potongan I</v>
      </c>
      <c r="D126">
        <f>IF(C126&gt;0,VLOOKUP(C126,'Detail Balok'!$C$11:$AU$110,2,FALSE),0)</f>
        <v>200</v>
      </c>
      <c r="E126" t="str">
        <v>x</v>
      </c>
      <c r="F126">
        <f>IF(C126&gt;0,VLOOKUP(C126,'Detail Balok'!$C$11:$AU$110,3,FALSE),0)</f>
        <v>450</v>
      </c>
      <c r="G126">
        <f>'Data Panjang Balok'!I123</f>
        <v>1750</v>
      </c>
      <c r="H126">
        <f>'Data Panjang Balok'!J123</f>
        <v>130</v>
      </c>
      <c r="J126">
        <f>I126-F126/1000</f>
        <v>-0.45</v>
      </c>
      <c r="K126">
        <f>'Data Panjang Balok'!E123</f>
        <v>1</v>
      </c>
      <c r="L126">
        <f>SUMIFS('Besi Balok'!$AA$23:$AA$12292,'Besi Balok'!$A$23:$A$12292,$A126,'Besi Balok'!$B$23:$B$12292,$B126,'Besi Balok'!$F$23:$F$12292,'REKAP Balok'!L$12)</f>
        <v>0</v>
      </c>
      <c r="M126">
        <f>SUMIFS('Besi Balok'!$AA$23:$AA$12292,'Besi Balok'!$A$23:$A$12292,$A126,'Besi Balok'!$B$23:$B$12292,$B126,'Besi Balok'!$F$23:$F$12292,'REKAP Balok'!M$12)</f>
        <v>0</v>
      </c>
      <c r="N126">
        <f>SUMIFS('Besi Balok'!$AA$23:$AA$12292,'Besi Balok'!$A$23:$A$12292,$A126,'Besi Balok'!$B$23:$B$12292,$B126,'Besi Balok'!$F$23:$F$12292,'REKAP Balok'!N$12)</f>
        <v>19.173149999999996</v>
      </c>
      <c r="O126">
        <f>SUMIFS('Besi Balok'!$AA$23:$AA$12292,'Besi Balok'!$A$23:$A$12292,$A126,'Besi Balok'!$B$23:$B$12292,$B126,'Besi Balok'!$F$23:$F$12292,'REKAP Balok'!O$12)</f>
        <v>0</v>
      </c>
      <c r="P126">
        <f>SUMIFS('Besi Balok'!$AA$23:$AA$12292,'Besi Balok'!$A$23:$A$12292,$A126,'Besi Balok'!$B$23:$B$12292,$B126,'Besi Balok'!$F$23:$F$12292,'REKAP Balok'!P$12)</f>
        <v>23.57574912</v>
      </c>
      <c r="Q126">
        <f>SUMIFS('Besi Balok'!$AA$23:$AA$12292,'Besi Balok'!$A$23:$A$12292,$A126,'Besi Balok'!$B$23:$B$12292,$B126,'Besi Balok'!$F$23:$F$12292,'REKAP Balok'!Q$12)</f>
        <v>0</v>
      </c>
      <c r="R126">
        <f>SUMIFS('Besi Balok'!$AA$23:$AA$12292,'Besi Balok'!$A$23:$A$12292,$A126,'Besi Balok'!$B$23:$B$12292,$B126,'Besi Balok'!$F$23:$F$12292,'REKAP Balok'!R$12)</f>
        <v>0</v>
      </c>
      <c r="S126">
        <f>SUMIFS('Besi Balok'!$AA$23:$AA$12292,'Besi Balok'!$A$23:$A$12292,$A126,'Besi Balok'!$B$23:$B$12292,$B126,'Besi Balok'!$F$23:$F$12292,'REKAP Balok'!S$12)</f>
        <v>0</v>
      </c>
      <c r="T126">
        <f>SUMIFS('Besi Balok'!$AA$23:$AA$12292,'Besi Balok'!$A$23:$A$12292,$A126,'Besi Balok'!$B$23:$B$12292,$B126,'Besi Balok'!$F$23:$F$12292,'REKAP Balok'!T$12)</f>
        <v>0</v>
      </c>
      <c r="U126">
        <f>SUM(L126:T126)</f>
        <v>42.74889912</v>
      </c>
      <c r="V126">
        <f>(D126*(F126-H126)*G126*K126)/1000000000</f>
        <v>0.112</v>
      </c>
      <c r="W126">
        <f>(((F126-H126)*2+D126)*(G126)*K126)/1000000</f>
        <v>1.47</v>
      </c>
      <c r="AC126">
        <f>(D126+2*$F$5)*F126*G126/1000000000</f>
        <v>0.315</v>
      </c>
    </row>
    <row r="127">
      <c r="A127" t="str">
        <f>'Data Panjang Balok'!A124</f>
        <v>Lantai 1</v>
      </c>
      <c r="B127">
        <f>'Data Panjang Balok'!B124</f>
        <v>16</v>
      </c>
      <c r="C127" t="str">
        <f>'Data Panjang Balok'!D124</f>
        <v>B77-1</v>
      </c>
      <c r="D127">
        <f>IF(C127&gt;0,VLOOKUP(C127,'Detail Balok'!$C$11:$AU$110,2,FALSE),0)</f>
        <v>700</v>
      </c>
      <c r="E127" t="str">
        <v>x</v>
      </c>
      <c r="F127">
        <f>IF(C127&gt;0,VLOOKUP(C127,'Detail Balok'!$C$11:$AU$110,3,FALSE),0)</f>
        <v>700</v>
      </c>
      <c r="G127">
        <f>'Data Panjang Balok'!I124</f>
        <v>7750</v>
      </c>
      <c r="H127">
        <f>'Data Panjang Balok'!J124</f>
        <v>130</v>
      </c>
      <c r="J127">
        <f>I127-F127/1000</f>
        <v>-0.7</v>
      </c>
      <c r="K127">
        <f>'Data Panjang Balok'!E124</f>
        <v>1</v>
      </c>
      <c r="L127">
        <f>SUMIFS('Besi Balok'!$AA$23:$AA$12292,'Besi Balok'!$A$23:$A$12292,$A127,'Besi Balok'!$B$23:$B$12292,$B127,'Besi Balok'!$F$23:$F$12292,'REKAP Balok'!L$12)</f>
        <v>0</v>
      </c>
      <c r="M127">
        <f>SUMIFS('Besi Balok'!$AA$23:$AA$12292,'Besi Balok'!$A$23:$A$12292,$A127,'Besi Balok'!$B$23:$B$12292,$B127,'Besi Balok'!$F$23:$F$12292,'REKAP Balok'!M$12)</f>
        <v>0</v>
      </c>
      <c r="N127">
        <f>SUMIFS('Besi Balok'!$AA$23:$AA$12292,'Besi Balok'!$A$23:$A$12292,$A127,'Besi Balok'!$B$23:$B$12292,$B127,'Besi Balok'!$F$23:$F$12292,'REKAP Balok'!N$12)</f>
        <v>9.85167</v>
      </c>
      <c r="O127">
        <f>SUMIFS('Besi Balok'!$AA$23:$AA$12292,'Besi Balok'!$A$23:$A$12292,$A127,'Besi Balok'!$B$23:$B$12292,$B127,'Besi Balok'!$F$23:$F$12292,'REKAP Balok'!O$12)</f>
        <v>318.82514507999997</v>
      </c>
      <c r="P127">
        <f>SUMIFS('Besi Balok'!$AA$23:$AA$12292,'Besi Balok'!$A$23:$A$12292,$A127,'Besi Balok'!$B$23:$B$12292,$B127,'Besi Balok'!$F$23:$F$12292,'REKAP Balok'!P$12)</f>
        <v>0</v>
      </c>
      <c r="Q127">
        <f>SUMIFS('Besi Balok'!$AA$23:$AA$12292,'Besi Balok'!$A$23:$A$12292,$A127,'Besi Balok'!$B$23:$B$12292,$B127,'Besi Balok'!$F$23:$F$12292,'REKAP Balok'!Q$12)</f>
        <v>0</v>
      </c>
      <c r="R127">
        <f>SUMIFS('Besi Balok'!$AA$23:$AA$12292,'Besi Balok'!$A$23:$A$12292,$A127,'Besi Balok'!$B$23:$B$12292,$B127,'Besi Balok'!$F$23:$F$12292,'REKAP Balok'!R$12)</f>
        <v>496.75898052</v>
      </c>
      <c r="S127">
        <f>SUMIFS('Besi Balok'!$AA$23:$AA$12292,'Besi Balok'!$A$23:$A$12292,$A127,'Besi Balok'!$B$23:$B$12292,$B127,'Besi Balok'!$F$23:$F$12292,'REKAP Balok'!S$12)</f>
        <v>0</v>
      </c>
      <c r="T127">
        <f>SUMIFS('Besi Balok'!$AA$23:$AA$12292,'Besi Balok'!$A$23:$A$12292,$A127,'Besi Balok'!$B$23:$B$12292,$B127,'Besi Balok'!$F$23:$F$12292,'REKAP Balok'!T$12)</f>
        <v>0</v>
      </c>
      <c r="U127">
        <f>SUM(L127:T127)</f>
        <v>825.4357956</v>
      </c>
      <c r="V127">
        <f>(D127*(F127-H127)*G127*K127)/1000000000</f>
        <v>3.09225</v>
      </c>
      <c r="W127">
        <f>(((F127-H127)*2+D127)*(G127)*K127)/1000000</f>
        <v>14.26</v>
      </c>
      <c r="AC127">
        <f>(D127+2*$F$5)*F127*G127/1000000000</f>
        <v>4.8825</v>
      </c>
    </row>
    <row r="128">
      <c r="A128" t="str">
        <f>'Data Panjang Balok'!A125</f>
        <v>Lantai 1</v>
      </c>
      <c r="B128">
        <f>'Data Panjang Balok'!B125</f>
        <v>17</v>
      </c>
      <c r="C128" t="str">
        <f>'Data Panjang Balok'!D125</f>
        <v>B24-2</v>
      </c>
      <c r="D128">
        <f>IF(C128&gt;0,VLOOKUP(C128,'Detail Balok'!$C$11:$AU$110,2,FALSE),0)</f>
        <v>200</v>
      </c>
      <c r="E128" t="str">
        <v>x</v>
      </c>
      <c r="F128">
        <f>IF(C128&gt;0,VLOOKUP(C128,'Detail Balok'!$C$11:$AU$110,3,FALSE),0)</f>
        <v>400</v>
      </c>
      <c r="G128">
        <f>'Data Panjang Balok'!I125</f>
        <v>5800</v>
      </c>
      <c r="H128">
        <f>'Data Panjang Balok'!J125</f>
        <v>130</v>
      </c>
      <c r="J128">
        <f>I128-F128/1000</f>
        <v>-0.4</v>
      </c>
      <c r="K128">
        <f>'Data Panjang Balok'!E125</f>
        <v>1</v>
      </c>
      <c r="L128">
        <f>SUMIFS('Besi Balok'!$AA$23:$AA$12292,'Besi Balok'!$A$23:$A$12292,$A128,'Besi Balok'!$B$23:$B$12292,$B128,'Besi Balok'!$F$23:$F$12292,'REKAP Balok'!L$12)</f>
        <v>0</v>
      </c>
      <c r="M128">
        <f>SUMIFS('Besi Balok'!$AA$23:$AA$12292,'Besi Balok'!$A$23:$A$12292,$A128,'Besi Balok'!$B$23:$B$12292,$B128,'Besi Balok'!$F$23:$F$12292,'REKAP Balok'!M$12)</f>
        <v>19.1006496</v>
      </c>
      <c r="N128">
        <f>SUMIFS('Besi Balok'!$AA$23:$AA$12292,'Besi Balok'!$A$23:$A$12292,$A128,'Besi Balok'!$B$23:$B$12292,$B128,'Besi Balok'!$F$23:$F$12292,'REKAP Balok'!N$12)</f>
        <v>0</v>
      </c>
      <c r="O128">
        <f>SUMIFS('Besi Balok'!$AA$23:$AA$12292,'Besi Balok'!$A$23:$A$12292,$A128,'Besi Balok'!$B$23:$B$12292,$B128,'Besi Balok'!$F$23:$F$12292,'REKAP Balok'!O$12)</f>
        <v>0</v>
      </c>
      <c r="P128">
        <f>SUMIFS('Besi Balok'!$AA$23:$AA$12292,'Besi Balok'!$A$23:$A$12292,$A128,'Besi Balok'!$B$23:$B$12292,$B128,'Besi Balok'!$F$23:$F$12292,'REKAP Balok'!P$12)</f>
        <v>39.039344639999996</v>
      </c>
      <c r="Q128">
        <f>SUMIFS('Besi Balok'!$AA$23:$AA$12292,'Besi Balok'!$A$23:$A$12292,$A128,'Besi Balok'!$B$23:$B$12292,$B128,'Besi Balok'!$F$23:$F$12292,'REKAP Balok'!Q$12)</f>
        <v>0</v>
      </c>
      <c r="R128">
        <f>SUMIFS('Besi Balok'!$AA$23:$AA$12292,'Besi Balok'!$A$23:$A$12292,$A128,'Besi Balok'!$B$23:$B$12292,$B128,'Besi Balok'!$F$23:$F$12292,'REKAP Balok'!R$12)</f>
        <v>0</v>
      </c>
      <c r="S128">
        <f>SUMIFS('Besi Balok'!$AA$23:$AA$12292,'Besi Balok'!$A$23:$A$12292,$A128,'Besi Balok'!$B$23:$B$12292,$B128,'Besi Balok'!$F$23:$F$12292,'REKAP Balok'!S$12)</f>
        <v>0</v>
      </c>
      <c r="T128">
        <f>SUMIFS('Besi Balok'!$AA$23:$AA$12292,'Besi Balok'!$A$23:$A$12292,$A128,'Besi Balok'!$B$23:$B$12292,$B128,'Besi Balok'!$F$23:$F$12292,'REKAP Balok'!T$12)</f>
        <v>0</v>
      </c>
      <c r="U128">
        <f>SUM(L128:T128)</f>
        <v>58.13999423999999</v>
      </c>
      <c r="V128">
        <f>(D128*(F128-H128)*G128*K128)/1000000000</f>
        <v>0.3132</v>
      </c>
      <c r="W128">
        <f>(((F128-H128)*2+D128)*(G128)*K128)/1000000</f>
        <v>4.292</v>
      </c>
      <c r="AC128">
        <f>(D128+2*$F$5)*F128*G128/1000000000</f>
        <v>0.928</v>
      </c>
    </row>
    <row r="129">
      <c r="A129" t="str">
        <f>'Data Panjang Balok'!A126</f>
        <v>Lantai 1</v>
      </c>
      <c r="B129">
        <f>'Data Panjang Balok'!B126</f>
        <v>18</v>
      </c>
      <c r="C129" t="str">
        <f>'Data Panjang Balok'!D126</f>
        <v>B57-4</v>
      </c>
      <c r="D129">
        <f>IF(C129&gt;0,VLOOKUP(C129,'Detail Balok'!$C$11:$AU$110,2,FALSE),0)</f>
        <v>500</v>
      </c>
      <c r="E129" t="str">
        <v>x</v>
      </c>
      <c r="F129">
        <f>IF(C129&gt;0,VLOOKUP(C129,'Detail Balok'!$C$11:$AU$110,3,FALSE),0)</f>
        <v>700</v>
      </c>
      <c r="G129">
        <f>'Data Panjang Balok'!I126</f>
        <v>11100</v>
      </c>
      <c r="H129">
        <f>'Data Panjang Balok'!J126</f>
        <v>130</v>
      </c>
      <c r="J129">
        <f>I129-F129/1000</f>
        <v>-0.7</v>
      </c>
      <c r="K129">
        <f>'Data Panjang Balok'!E126</f>
        <v>1</v>
      </c>
      <c r="L129">
        <f>SUMIFS('Besi Balok'!$AA$23:$AA$12292,'Besi Balok'!$A$23:$A$12292,$A129,'Besi Balok'!$B$23:$B$12292,$B129,'Besi Balok'!$F$23:$F$12292,'REKAP Balok'!L$12)</f>
        <v>0</v>
      </c>
      <c r="M129">
        <f>SUMIFS('Besi Balok'!$AA$23:$AA$12292,'Besi Balok'!$A$23:$A$12292,$A129,'Besi Balok'!$B$23:$B$12292,$B129,'Besi Balok'!$F$23:$F$12292,'REKAP Balok'!M$12)</f>
        <v>0</v>
      </c>
      <c r="N129">
        <f>SUMIFS('Besi Balok'!$AA$23:$AA$12292,'Besi Balok'!$A$23:$A$12292,$A129,'Besi Balok'!$B$23:$B$12292,$B129,'Besi Balok'!$F$23:$F$12292,'REKAP Balok'!N$12)</f>
        <v>198.01363500000002</v>
      </c>
      <c r="O129">
        <f>SUMIFS('Besi Balok'!$AA$23:$AA$12292,'Besi Balok'!$A$23:$A$12292,$A129,'Besi Balok'!$B$23:$B$12292,$B129,'Besi Balok'!$F$23:$F$12292,'REKAP Balok'!O$12)</f>
        <v>0</v>
      </c>
      <c r="P129">
        <f>SUMIFS('Besi Balok'!$AA$23:$AA$12292,'Besi Balok'!$A$23:$A$12292,$A129,'Besi Balok'!$B$23:$B$12292,$B129,'Besi Balok'!$F$23:$F$12292,'REKAP Balok'!P$12)</f>
        <v>0</v>
      </c>
      <c r="Q129">
        <f>SUMIFS('Besi Balok'!$AA$23:$AA$12292,'Besi Balok'!$A$23:$A$12292,$A129,'Besi Balok'!$B$23:$B$12292,$B129,'Besi Balok'!$F$23:$F$12292,'REKAP Balok'!Q$12)</f>
        <v>0</v>
      </c>
      <c r="R129">
        <f>SUMIFS('Besi Balok'!$AA$23:$AA$12292,'Besi Balok'!$A$23:$A$12292,$A129,'Besi Balok'!$B$23:$B$12292,$B129,'Besi Balok'!$F$23:$F$12292,'REKAP Balok'!R$12)</f>
        <v>508.61087244000004</v>
      </c>
      <c r="S129">
        <f>SUMIFS('Besi Balok'!$AA$23:$AA$12292,'Besi Balok'!$A$23:$A$12292,$A129,'Besi Balok'!$B$23:$B$12292,$B129,'Besi Balok'!$F$23:$F$12292,'REKAP Balok'!S$12)</f>
        <v>0</v>
      </c>
      <c r="T129">
        <f>SUMIFS('Besi Balok'!$AA$23:$AA$12292,'Besi Balok'!$A$23:$A$12292,$A129,'Besi Balok'!$B$23:$B$12292,$B129,'Besi Balok'!$F$23:$F$12292,'REKAP Balok'!T$12)</f>
        <v>0</v>
      </c>
      <c r="U129">
        <f>SUM(L129:T129)</f>
        <v>706.6245074400001</v>
      </c>
      <c r="V129">
        <f>(D129*(F129-H129)*G129*K129)/1000000000</f>
        <v>3.1635</v>
      </c>
      <c r="W129">
        <f>(((F129-H129)*2+D129)*(G129)*K129)/1000000</f>
        <v>18.204</v>
      </c>
      <c r="AC129">
        <f>(D129+2*$F$5)*F129*G129/1000000000</f>
        <v>5.439</v>
      </c>
    </row>
    <row r="130">
      <c r="A130" t="str">
        <f>'Data Panjang Balok'!A127</f>
        <v>Lantai 1</v>
      </c>
      <c r="B130">
        <f>'Data Panjang Balok'!B127</f>
        <v>19</v>
      </c>
      <c r="C130" t="str">
        <f>'Data Panjang Balok'!D127</f>
        <v>B23-1</v>
      </c>
      <c r="D130">
        <f>IF(C130&gt;0,VLOOKUP(C130,'Detail Balok'!$C$11:$AU$110,2,FALSE),0)</f>
        <v>200</v>
      </c>
      <c r="E130" t="str">
        <v>x</v>
      </c>
      <c r="F130">
        <f>IF(C130&gt;0,VLOOKUP(C130,'Detail Balok'!$C$11:$AU$110,3,FALSE),0)</f>
        <v>300</v>
      </c>
      <c r="G130">
        <f>'Data Panjang Balok'!I127</f>
        <v>1200</v>
      </c>
      <c r="H130">
        <f>'Data Panjang Balok'!J127</f>
        <v>130</v>
      </c>
      <c r="J130">
        <f>I130-F130/1000</f>
        <v>-0.3</v>
      </c>
      <c r="K130">
        <f>'Data Panjang Balok'!E127</f>
        <v>1</v>
      </c>
      <c r="L130">
        <f>SUMIFS('Besi Balok'!$AA$23:$AA$12292,'Besi Balok'!$A$23:$A$12292,$A130,'Besi Balok'!$B$23:$B$12292,$B130,'Besi Balok'!$F$23:$F$12292,'REKAP Balok'!L$12)</f>
        <v>0</v>
      </c>
      <c r="M130">
        <f>SUMIFS('Besi Balok'!$AA$23:$AA$12292,'Besi Balok'!$A$23:$A$12292,$A130,'Besi Balok'!$B$23:$B$12292,$B130,'Besi Balok'!$F$23:$F$12292,'REKAP Balok'!M$12)</f>
        <v>4.2573024</v>
      </c>
      <c r="N130">
        <f>SUMIFS('Besi Balok'!$AA$23:$AA$12292,'Besi Balok'!$A$23:$A$12292,$A130,'Besi Balok'!$B$23:$B$12292,$B130,'Besi Balok'!$F$23:$F$12292,'REKAP Balok'!N$12)</f>
        <v>0</v>
      </c>
      <c r="O130">
        <f>SUMIFS('Besi Balok'!$AA$23:$AA$12292,'Besi Balok'!$A$23:$A$12292,$A130,'Besi Balok'!$B$23:$B$12292,$B130,'Besi Balok'!$F$23:$F$12292,'REKAP Balok'!O$12)</f>
        <v>6.301320479999999</v>
      </c>
      <c r="P130">
        <f>SUMIFS('Besi Balok'!$AA$23:$AA$12292,'Besi Balok'!$A$23:$A$12292,$A130,'Besi Balok'!$B$23:$B$12292,$B130,'Besi Balok'!$F$23:$F$12292,'REKAP Balok'!P$12)</f>
        <v>0</v>
      </c>
      <c r="Q130">
        <f>SUMIFS('Besi Balok'!$AA$23:$AA$12292,'Besi Balok'!$A$23:$A$12292,$A130,'Besi Balok'!$B$23:$B$12292,$B130,'Besi Balok'!$F$23:$F$12292,'REKAP Balok'!Q$12)</f>
        <v>0</v>
      </c>
      <c r="R130">
        <f>SUMIFS('Besi Balok'!$AA$23:$AA$12292,'Besi Balok'!$A$23:$A$12292,$A130,'Besi Balok'!$B$23:$B$12292,$B130,'Besi Balok'!$F$23:$F$12292,'REKAP Balok'!R$12)</f>
        <v>0</v>
      </c>
      <c r="S130">
        <f>SUMIFS('Besi Balok'!$AA$23:$AA$12292,'Besi Balok'!$A$23:$A$12292,$A130,'Besi Balok'!$B$23:$B$12292,$B130,'Besi Balok'!$F$23:$F$12292,'REKAP Balok'!S$12)</f>
        <v>0</v>
      </c>
      <c r="T130">
        <f>SUMIFS('Besi Balok'!$AA$23:$AA$12292,'Besi Balok'!$A$23:$A$12292,$A130,'Besi Balok'!$B$23:$B$12292,$B130,'Besi Balok'!$F$23:$F$12292,'REKAP Balok'!T$12)</f>
        <v>0</v>
      </c>
      <c r="U130">
        <f>SUM(L130:T130)</f>
        <v>10.55862288</v>
      </c>
      <c r="V130">
        <f>(D130*(F130-H130)*G130*K130)/1000000000</f>
        <v>0.0408</v>
      </c>
      <c r="W130">
        <f>(((F130-H130)*2+D130)*(G130)*K130)/1000000</f>
        <v>0.648</v>
      </c>
      <c r="AC130">
        <f>(D130+2*$F$5)*F130*G130/1000000000</f>
        <v>0.144</v>
      </c>
    </row>
    <row r="131">
      <c r="A131" t="str">
        <f>'Data Panjang Balok'!A128</f>
        <v>Lantai 1</v>
      </c>
      <c r="B131">
        <f>'Data Panjang Balok'!B128</f>
        <v>20</v>
      </c>
      <c r="C131" t="str">
        <f>'Data Panjang Balok'!D128</f>
        <v>B24-1</v>
      </c>
      <c r="D131">
        <f>IF(C131&gt;0,VLOOKUP(C131,'Detail Balok'!$C$11:$AU$110,2,FALSE),0)</f>
        <v>200</v>
      </c>
      <c r="E131" t="str">
        <v>x</v>
      </c>
      <c r="F131">
        <f>IF(C131&gt;0,VLOOKUP(C131,'Detail Balok'!$C$11:$AU$110,3,FALSE),0)</f>
        <v>400</v>
      </c>
      <c r="G131">
        <f>'Data Panjang Balok'!I128</f>
        <v>2635</v>
      </c>
      <c r="H131">
        <f>'Data Panjang Balok'!J128</f>
        <v>130</v>
      </c>
      <c r="J131">
        <f>I131-F131/1000</f>
        <v>-0.4</v>
      </c>
      <c r="K131">
        <f>'Data Panjang Balok'!E128</f>
        <v>1</v>
      </c>
      <c r="L131">
        <f>SUMIFS('Besi Balok'!$AA$23:$AA$12292,'Besi Balok'!$A$23:$A$12292,$A131,'Besi Balok'!$B$23:$B$12292,$B131,'Besi Balok'!$F$23:$F$12292,'REKAP Balok'!L$12)</f>
        <v>0</v>
      </c>
      <c r="M131">
        <f>SUMIFS('Besi Balok'!$AA$23:$AA$12292,'Besi Balok'!$A$23:$A$12292,$A131,'Besi Balok'!$B$23:$B$12292,$B131,'Besi Balok'!$F$23:$F$12292,'REKAP Balok'!M$12)</f>
        <v>9.3471264</v>
      </c>
      <c r="N131">
        <f>SUMIFS('Besi Balok'!$AA$23:$AA$12292,'Besi Balok'!$A$23:$A$12292,$A131,'Besi Balok'!$B$23:$B$12292,$B131,'Besi Balok'!$F$23:$F$12292,'REKAP Balok'!N$12)</f>
        <v>0</v>
      </c>
      <c r="O131">
        <f>SUMIFS('Besi Balok'!$AA$23:$AA$12292,'Besi Balok'!$A$23:$A$12292,$A131,'Besi Balok'!$B$23:$B$12292,$B131,'Besi Balok'!$F$23:$F$12292,'REKAP Balok'!O$12)</f>
        <v>12.28174038</v>
      </c>
      <c r="P131">
        <f>SUMIFS('Besi Balok'!$AA$23:$AA$12292,'Besi Balok'!$A$23:$A$12292,$A131,'Besi Balok'!$B$23:$B$12292,$B131,'Besi Balok'!$F$23:$F$12292,'REKAP Balok'!P$12)</f>
        <v>0</v>
      </c>
      <c r="Q131">
        <f>SUMIFS('Besi Balok'!$AA$23:$AA$12292,'Besi Balok'!$A$23:$A$12292,$A131,'Besi Balok'!$B$23:$B$12292,$B131,'Besi Balok'!$F$23:$F$12292,'REKAP Balok'!Q$12)</f>
        <v>0</v>
      </c>
      <c r="R131">
        <f>SUMIFS('Besi Balok'!$AA$23:$AA$12292,'Besi Balok'!$A$23:$A$12292,$A131,'Besi Balok'!$B$23:$B$12292,$B131,'Besi Balok'!$F$23:$F$12292,'REKAP Balok'!R$12)</f>
        <v>0</v>
      </c>
      <c r="S131">
        <f>SUMIFS('Besi Balok'!$AA$23:$AA$12292,'Besi Balok'!$A$23:$A$12292,$A131,'Besi Balok'!$B$23:$B$12292,$B131,'Besi Balok'!$F$23:$F$12292,'REKAP Balok'!S$12)</f>
        <v>0</v>
      </c>
      <c r="T131">
        <f>SUMIFS('Besi Balok'!$AA$23:$AA$12292,'Besi Balok'!$A$23:$A$12292,$A131,'Besi Balok'!$B$23:$B$12292,$B131,'Besi Balok'!$F$23:$F$12292,'REKAP Balok'!T$12)</f>
        <v>0</v>
      </c>
      <c r="U131">
        <f>SUM(L131:T131)</f>
        <v>21.628866780000003</v>
      </c>
      <c r="V131">
        <f>(D131*(F131-H131)*G131*K131)/1000000000</f>
        <v>0.14229</v>
      </c>
      <c r="W131">
        <f>(((F131-H131)*2+D131)*(G131)*K131)/1000000</f>
        <v>1.9499</v>
      </c>
      <c r="AC131">
        <f>(D131+2*$F$5)*F131*G131/1000000000</f>
        <v>0.4216</v>
      </c>
    </row>
    <row r="132">
      <c r="A132" t="str">
        <f>'Data Panjang Balok'!A129</f>
        <v>Lantai 1</v>
      </c>
      <c r="B132">
        <f>'Data Panjang Balok'!B129</f>
        <v>21</v>
      </c>
      <c r="C132" t="str">
        <f>'Data Panjang Balok'!D129</f>
        <v>B245-6</v>
      </c>
      <c r="D132">
        <f>IF(C132&gt;0,VLOOKUP(C132,'Detail Balok'!$C$11:$AU$110,2,FALSE),0)</f>
        <v>200</v>
      </c>
      <c r="E132" t="str">
        <v>x</v>
      </c>
      <c r="F132">
        <f>IF(C132&gt;0,VLOOKUP(C132,'Detail Balok'!$C$11:$AU$110,3,FALSE),0)</f>
        <v>450</v>
      </c>
      <c r="G132">
        <f>'Data Panjang Balok'!I129</f>
        <v>3065</v>
      </c>
      <c r="H132">
        <f>'Data Panjang Balok'!J129</f>
        <v>130</v>
      </c>
      <c r="J132">
        <f>I132-F132/1000</f>
        <v>-0.45</v>
      </c>
      <c r="K132">
        <f>'Data Panjang Balok'!E129</f>
        <v>1</v>
      </c>
      <c r="L132">
        <f>SUMIFS('Besi Balok'!$AA$23:$AA$12292,'Besi Balok'!$A$23:$A$12292,$A132,'Besi Balok'!$B$23:$B$12292,$B132,'Besi Balok'!$F$23:$F$12292,'REKAP Balok'!L$12)</f>
        <v>0</v>
      </c>
      <c r="M132">
        <f>SUMIFS('Besi Balok'!$AA$23:$AA$12292,'Besi Balok'!$A$23:$A$12292,$A132,'Besi Balok'!$B$23:$B$12292,$B132,'Besi Balok'!$F$23:$F$12292,'REKAP Balok'!M$12)</f>
        <v>16.837453439999997</v>
      </c>
      <c r="N132">
        <f>SUMIFS('Besi Balok'!$AA$23:$AA$12292,'Besi Balok'!$A$23:$A$12292,$A132,'Besi Balok'!$B$23:$B$12292,$B132,'Besi Balok'!$F$23:$F$12292,'REKAP Balok'!N$12)</f>
        <v>0</v>
      </c>
      <c r="O132">
        <f>SUMIFS('Besi Balok'!$AA$23:$AA$12292,'Besi Balok'!$A$23:$A$12292,$A132,'Besi Balok'!$B$23:$B$12292,$B132,'Besi Balok'!$F$23:$F$12292,'REKAP Balok'!O$12)</f>
        <v>0</v>
      </c>
      <c r="P132">
        <f>SUMIFS('Besi Balok'!$AA$23:$AA$12292,'Besi Balok'!$A$23:$A$12292,$A132,'Besi Balok'!$B$23:$B$12292,$B132,'Besi Balok'!$F$23:$F$12292,'REKAP Balok'!P$12)</f>
        <v>34.78125312000001</v>
      </c>
      <c r="Q132">
        <f>SUMIFS('Besi Balok'!$AA$23:$AA$12292,'Besi Balok'!$A$23:$A$12292,$A132,'Besi Balok'!$B$23:$B$12292,$B132,'Besi Balok'!$F$23:$F$12292,'REKAP Balok'!Q$12)</f>
        <v>0</v>
      </c>
      <c r="R132">
        <f>SUMIFS('Besi Balok'!$AA$23:$AA$12292,'Besi Balok'!$A$23:$A$12292,$A132,'Besi Balok'!$B$23:$B$12292,$B132,'Besi Balok'!$F$23:$F$12292,'REKAP Balok'!R$12)</f>
        <v>0</v>
      </c>
      <c r="S132">
        <f>SUMIFS('Besi Balok'!$AA$23:$AA$12292,'Besi Balok'!$A$23:$A$12292,$A132,'Besi Balok'!$B$23:$B$12292,$B132,'Besi Balok'!$F$23:$F$12292,'REKAP Balok'!S$12)</f>
        <v>0</v>
      </c>
      <c r="T132">
        <f>SUMIFS('Besi Balok'!$AA$23:$AA$12292,'Besi Balok'!$A$23:$A$12292,$A132,'Besi Balok'!$B$23:$B$12292,$B132,'Besi Balok'!$F$23:$F$12292,'REKAP Balok'!T$12)</f>
        <v>0</v>
      </c>
      <c r="U132">
        <f>SUM(L132:T132)</f>
        <v>51.61870656000001</v>
      </c>
      <c r="V132">
        <f>(D132*(F132-H132)*G132*K132)/1000000000</f>
        <v>0.19616</v>
      </c>
      <c r="W132">
        <f>(((F132-H132)*2+D132)*(G132)*K132)/1000000</f>
        <v>2.5746</v>
      </c>
      <c r="AC132">
        <f>(D132+2*$F$5)*F132*G132/1000000000</f>
        <v>0.5517</v>
      </c>
    </row>
    <row r="133">
      <c r="A133" t="str">
        <f>'Data Panjang Balok'!A130</f>
        <v>Lantai 1</v>
      </c>
      <c r="B133">
        <f>'Data Panjang Balok'!B130</f>
        <v>22</v>
      </c>
      <c r="C133" t="str">
        <f>'Data Panjang Balok'!D130</f>
        <v>B57-1</v>
      </c>
      <c r="D133">
        <f>IF(C133&gt;0,VLOOKUP(C133,'Detail Balok'!$C$11:$AU$110,2,FALSE),0)</f>
        <v>500</v>
      </c>
      <c r="E133" t="str">
        <v>x</v>
      </c>
      <c r="F133">
        <f>IF(C133&gt;0,VLOOKUP(C133,'Detail Balok'!$C$11:$AU$110,3,FALSE),0)</f>
        <v>700</v>
      </c>
      <c r="G133">
        <f>'Data Panjang Balok'!I130</f>
        <v>11100</v>
      </c>
      <c r="H133">
        <f>'Data Panjang Balok'!J130</f>
        <v>130</v>
      </c>
      <c r="J133">
        <f>I133-F133/1000</f>
        <v>-0.7</v>
      </c>
      <c r="K133">
        <f>'Data Panjang Balok'!E130</f>
        <v>1</v>
      </c>
      <c r="L133">
        <f>SUMIFS('Besi Balok'!$AA$23:$AA$12292,'Besi Balok'!$A$23:$A$12292,$A133,'Besi Balok'!$B$23:$B$12292,$B133,'Besi Balok'!$F$23:$F$12292,'REKAP Balok'!L$12)</f>
        <v>0</v>
      </c>
      <c r="M133">
        <f>SUMIFS('Besi Balok'!$AA$23:$AA$12292,'Besi Balok'!$A$23:$A$12292,$A133,'Besi Balok'!$B$23:$B$12292,$B133,'Besi Balok'!$F$23:$F$12292,'REKAP Balok'!M$12)</f>
        <v>0</v>
      </c>
      <c r="N133">
        <f>SUMIFS('Besi Balok'!$AA$23:$AA$12292,'Besi Balok'!$A$23:$A$12292,$A133,'Besi Balok'!$B$23:$B$12292,$B133,'Besi Balok'!$F$23:$F$12292,'REKAP Balok'!N$12)</f>
        <v>0</v>
      </c>
      <c r="O133">
        <f>SUMIFS('Besi Balok'!$AA$23:$AA$12292,'Besi Balok'!$A$23:$A$12292,$A133,'Besi Balok'!$B$23:$B$12292,$B133,'Besi Balok'!$F$23:$F$12292,'REKAP Balok'!O$12)</f>
        <v>348.47719218</v>
      </c>
      <c r="P133">
        <f>SUMIFS('Besi Balok'!$AA$23:$AA$12292,'Besi Balok'!$A$23:$A$12292,$A133,'Besi Balok'!$B$23:$B$12292,$B133,'Besi Balok'!$F$23:$F$12292,'REKAP Balok'!P$12)</f>
        <v>0</v>
      </c>
      <c r="Q133">
        <f>SUMIFS('Besi Balok'!$AA$23:$AA$12292,'Besi Balok'!$A$23:$A$12292,$A133,'Besi Balok'!$B$23:$B$12292,$B133,'Besi Balok'!$F$23:$F$12292,'REKAP Balok'!Q$12)</f>
        <v>0</v>
      </c>
      <c r="R133">
        <f>SUMIFS('Besi Balok'!$AA$23:$AA$12292,'Besi Balok'!$A$23:$A$12292,$A133,'Besi Balok'!$B$23:$B$12292,$B133,'Besi Balok'!$F$23:$F$12292,'REKAP Balok'!R$12)</f>
        <v>462.8862018</v>
      </c>
      <c r="S133">
        <f>SUMIFS('Besi Balok'!$AA$23:$AA$12292,'Besi Balok'!$A$23:$A$12292,$A133,'Besi Balok'!$B$23:$B$12292,$B133,'Besi Balok'!$F$23:$F$12292,'REKAP Balok'!S$12)</f>
        <v>0</v>
      </c>
      <c r="T133">
        <f>SUMIFS('Besi Balok'!$AA$23:$AA$12292,'Besi Balok'!$A$23:$A$12292,$A133,'Besi Balok'!$B$23:$B$12292,$B133,'Besi Balok'!$F$23:$F$12292,'REKAP Balok'!T$12)</f>
        <v>0</v>
      </c>
      <c r="U133">
        <f>SUM(L133:T133)</f>
        <v>811.36339398</v>
      </c>
      <c r="V133">
        <f>(D133*(F133-H133)*G133*K133)/1000000000</f>
        <v>3.1635</v>
      </c>
      <c r="W133">
        <f>(((F133-H133)*2+D133)*(G133)*K133)/1000000</f>
        <v>18.204</v>
      </c>
      <c r="AC133">
        <f>(D133+2*$F$5)*F133*G133/1000000000</f>
        <v>5.439</v>
      </c>
    </row>
    <row r="134">
      <c r="A134" t="str">
        <f>'Data Panjang Balok'!A131</f>
        <v>Lantai 1</v>
      </c>
      <c r="B134">
        <f>'Data Panjang Balok'!B131</f>
        <v>23</v>
      </c>
      <c r="C134" t="str">
        <f>'Data Panjang Balok'!D131</f>
        <v>B23-1</v>
      </c>
      <c r="D134">
        <f>IF(C134&gt;0,VLOOKUP(C134,'Detail Balok'!$C$11:$AU$110,2,FALSE),0)</f>
        <v>200</v>
      </c>
      <c r="E134" t="str">
        <v>x</v>
      </c>
      <c r="F134">
        <f>IF(C134&gt;0,VLOOKUP(C134,'Detail Balok'!$C$11:$AU$110,3,FALSE),0)</f>
        <v>300</v>
      </c>
      <c r="G134">
        <f>'Data Panjang Balok'!I131</f>
        <v>1100</v>
      </c>
      <c r="H134">
        <f>'Data Panjang Balok'!J131</f>
        <v>150</v>
      </c>
      <c r="J134">
        <f>I134-F134/1000</f>
        <v>-0.3</v>
      </c>
      <c r="K134">
        <f>'Data Panjang Balok'!E131</f>
        <v>1</v>
      </c>
      <c r="L134">
        <f>SUMIFS('Besi Balok'!$AA$23:$AA$12292,'Besi Balok'!$A$23:$A$12292,$A134,'Besi Balok'!$B$23:$B$12292,$B134,'Besi Balok'!$F$23:$F$12292,'REKAP Balok'!L$12)</f>
        <v>0</v>
      </c>
      <c r="M134">
        <f>SUMIFS('Besi Balok'!$AA$23:$AA$12292,'Besi Balok'!$A$23:$A$12292,$A134,'Besi Balok'!$B$23:$B$12292,$B134,'Besi Balok'!$F$23:$F$12292,'REKAP Balok'!M$12)</f>
        <v>3.9298176000000002</v>
      </c>
      <c r="N134">
        <f>SUMIFS('Besi Balok'!$AA$23:$AA$12292,'Besi Balok'!$A$23:$A$12292,$A134,'Besi Balok'!$B$23:$B$12292,$B134,'Besi Balok'!$F$23:$F$12292,'REKAP Balok'!N$12)</f>
        <v>0</v>
      </c>
      <c r="O134">
        <f>SUMIFS('Besi Balok'!$AA$23:$AA$12292,'Besi Balok'!$A$23:$A$12292,$A134,'Besi Balok'!$B$23:$B$12292,$B134,'Besi Balok'!$F$23:$F$12292,'REKAP Balok'!O$12)</f>
        <v>5.88456648</v>
      </c>
      <c r="P134">
        <f>SUMIFS('Besi Balok'!$AA$23:$AA$12292,'Besi Balok'!$A$23:$A$12292,$A134,'Besi Balok'!$B$23:$B$12292,$B134,'Besi Balok'!$F$23:$F$12292,'REKAP Balok'!P$12)</f>
        <v>0</v>
      </c>
      <c r="Q134">
        <f>SUMIFS('Besi Balok'!$AA$23:$AA$12292,'Besi Balok'!$A$23:$A$12292,$A134,'Besi Balok'!$B$23:$B$12292,$B134,'Besi Balok'!$F$23:$F$12292,'REKAP Balok'!Q$12)</f>
        <v>0</v>
      </c>
      <c r="R134">
        <f>SUMIFS('Besi Balok'!$AA$23:$AA$12292,'Besi Balok'!$A$23:$A$12292,$A134,'Besi Balok'!$B$23:$B$12292,$B134,'Besi Balok'!$F$23:$F$12292,'REKAP Balok'!R$12)</f>
        <v>0</v>
      </c>
      <c r="S134">
        <f>SUMIFS('Besi Balok'!$AA$23:$AA$12292,'Besi Balok'!$A$23:$A$12292,$A134,'Besi Balok'!$B$23:$B$12292,$B134,'Besi Balok'!$F$23:$F$12292,'REKAP Balok'!S$12)</f>
        <v>0</v>
      </c>
      <c r="T134">
        <f>SUMIFS('Besi Balok'!$AA$23:$AA$12292,'Besi Balok'!$A$23:$A$12292,$A134,'Besi Balok'!$B$23:$B$12292,$B134,'Besi Balok'!$F$23:$F$12292,'REKAP Balok'!T$12)</f>
        <v>0</v>
      </c>
      <c r="U134">
        <f>SUM(L134:T134)</f>
        <v>9.81438408</v>
      </c>
      <c r="V134">
        <f>(D134*(F134-H134)*G134*K134)/1000000000</f>
        <v>0.033</v>
      </c>
      <c r="W134">
        <f>(((F134-H134)*2+D134)*(G134)*K134)/1000000</f>
        <v>0.55</v>
      </c>
      <c r="AC134">
        <f>(D134+2*$F$5)*F134*G134/1000000000</f>
        <v>0.132</v>
      </c>
    </row>
    <row r="135">
      <c r="A135" t="str">
        <f>'Data Panjang Balok'!A132</f>
        <v>Lantai 1</v>
      </c>
      <c r="B135">
        <f>'Data Panjang Balok'!B132</f>
        <v>24</v>
      </c>
      <c r="C135" t="str">
        <f>'Data Panjang Balok'!D132</f>
        <v>B23-1</v>
      </c>
      <c r="D135">
        <f>IF(C135&gt;0,VLOOKUP(C135,'Detail Balok'!$C$11:$AU$110,2,FALSE),0)</f>
        <v>200</v>
      </c>
      <c r="E135" t="str">
        <v>x</v>
      </c>
      <c r="F135">
        <f>IF(C135&gt;0,VLOOKUP(C135,'Detail Balok'!$C$11:$AU$110,3,FALSE),0)</f>
        <v>300</v>
      </c>
      <c r="G135">
        <f>'Data Panjang Balok'!I132</f>
        <v>1100</v>
      </c>
      <c r="H135">
        <f>'Data Panjang Balok'!J132</f>
        <v>150</v>
      </c>
      <c r="J135">
        <f>I135-F135/1000</f>
        <v>-0.3</v>
      </c>
      <c r="K135">
        <f>'Data Panjang Balok'!E132</f>
        <v>1</v>
      </c>
      <c r="L135">
        <f>SUMIFS('Besi Balok'!$AA$23:$AA$12292,'Besi Balok'!$A$23:$A$12292,$A135,'Besi Balok'!$B$23:$B$12292,$B135,'Besi Balok'!$F$23:$F$12292,'REKAP Balok'!L$12)</f>
        <v>0</v>
      </c>
      <c r="M135">
        <f>SUMIFS('Besi Balok'!$AA$23:$AA$12292,'Besi Balok'!$A$23:$A$12292,$A135,'Besi Balok'!$B$23:$B$12292,$B135,'Besi Balok'!$F$23:$F$12292,'REKAP Balok'!M$12)</f>
        <v>3.9298176000000002</v>
      </c>
      <c r="N135">
        <f>SUMIFS('Besi Balok'!$AA$23:$AA$12292,'Besi Balok'!$A$23:$A$12292,$A135,'Besi Balok'!$B$23:$B$12292,$B135,'Besi Balok'!$F$23:$F$12292,'REKAP Balok'!N$12)</f>
        <v>0</v>
      </c>
      <c r="O135">
        <f>SUMIFS('Besi Balok'!$AA$23:$AA$12292,'Besi Balok'!$A$23:$A$12292,$A135,'Besi Balok'!$B$23:$B$12292,$B135,'Besi Balok'!$F$23:$F$12292,'REKAP Balok'!O$12)</f>
        <v>5.88456648</v>
      </c>
      <c r="P135">
        <f>SUMIFS('Besi Balok'!$AA$23:$AA$12292,'Besi Balok'!$A$23:$A$12292,$A135,'Besi Balok'!$B$23:$B$12292,$B135,'Besi Balok'!$F$23:$F$12292,'REKAP Balok'!P$12)</f>
        <v>0</v>
      </c>
      <c r="Q135">
        <f>SUMIFS('Besi Balok'!$AA$23:$AA$12292,'Besi Balok'!$A$23:$A$12292,$A135,'Besi Balok'!$B$23:$B$12292,$B135,'Besi Balok'!$F$23:$F$12292,'REKAP Balok'!Q$12)</f>
        <v>0</v>
      </c>
      <c r="R135">
        <f>SUMIFS('Besi Balok'!$AA$23:$AA$12292,'Besi Balok'!$A$23:$A$12292,$A135,'Besi Balok'!$B$23:$B$12292,$B135,'Besi Balok'!$F$23:$F$12292,'REKAP Balok'!R$12)</f>
        <v>0</v>
      </c>
      <c r="S135">
        <f>SUMIFS('Besi Balok'!$AA$23:$AA$12292,'Besi Balok'!$A$23:$A$12292,$A135,'Besi Balok'!$B$23:$B$12292,$B135,'Besi Balok'!$F$23:$F$12292,'REKAP Balok'!S$12)</f>
        <v>0</v>
      </c>
      <c r="T135">
        <f>SUMIFS('Besi Balok'!$AA$23:$AA$12292,'Besi Balok'!$A$23:$A$12292,$A135,'Besi Balok'!$B$23:$B$12292,$B135,'Besi Balok'!$F$23:$F$12292,'REKAP Balok'!T$12)</f>
        <v>0</v>
      </c>
      <c r="U135">
        <f>SUM(L135:T135)</f>
        <v>9.81438408</v>
      </c>
      <c r="V135">
        <f>(D135*(F135-H135)*G135*K135)/1000000000</f>
        <v>0.033</v>
      </c>
      <c r="W135">
        <f>(((F135-H135)*2+D135)*(G135)*K135)/1000000</f>
        <v>0.55</v>
      </c>
      <c r="AC135">
        <f>(D135+2*$F$5)*F135*G135/1000000000</f>
        <v>0.132</v>
      </c>
    </row>
    <row r="136">
      <c r="A136" t="str">
        <f>'Data Panjang Balok'!A133</f>
        <v>Lantai 1</v>
      </c>
      <c r="B136">
        <f>'Data Panjang Balok'!B133</f>
        <v>25</v>
      </c>
      <c r="C136" t="str">
        <f>'Data Panjang Balok'!D133</f>
        <v>CL25-1</v>
      </c>
      <c r="D136">
        <f>IF(C136&gt;0,VLOOKUP(C136,'Detail Balok'!$C$11:$AU$110,2,FALSE),0)</f>
        <v>200</v>
      </c>
      <c r="E136" t="str">
        <v>x</v>
      </c>
      <c r="F136">
        <f>IF(C136&gt;0,VLOOKUP(C136,'Detail Balok'!$C$11:$AU$110,3,FALSE),0)</f>
        <v>500</v>
      </c>
      <c r="G136">
        <f>'Data Panjang Balok'!I133</f>
        <v>4250</v>
      </c>
      <c r="H136">
        <f>'Data Panjang Balok'!J133</f>
        <v>130</v>
      </c>
      <c r="J136">
        <f>I136-F136/1000</f>
        <v>-0.5</v>
      </c>
      <c r="K136">
        <f>'Data Panjang Balok'!E133</f>
        <v>1</v>
      </c>
      <c r="L136">
        <f>SUMIFS('Besi Balok'!$AA$23:$AA$12292,'Besi Balok'!$A$23:$A$12292,$A136,'Besi Balok'!$B$23:$B$12292,$B136,'Besi Balok'!$F$23:$F$12292,'REKAP Balok'!L$12)</f>
        <v>0</v>
      </c>
      <c r="M136">
        <f>SUMIFS('Besi Balok'!$AA$23:$AA$12292,'Besi Balok'!$A$23:$A$12292,$A136,'Besi Balok'!$B$23:$B$12292,$B136,'Besi Balok'!$F$23:$F$12292,'REKAP Balok'!M$12)</f>
        <v>0</v>
      </c>
      <c r="N136">
        <f>SUMIFS('Besi Balok'!$AA$23:$AA$12292,'Besi Balok'!$A$23:$A$12292,$A136,'Besi Balok'!$B$23:$B$12292,$B136,'Besi Balok'!$F$23:$F$12292,'REKAP Balok'!N$12)</f>
        <v>22.976955000000004</v>
      </c>
      <c r="O136">
        <f>SUMIFS('Besi Balok'!$AA$23:$AA$12292,'Besi Balok'!$A$23:$A$12292,$A136,'Besi Balok'!$B$23:$B$12292,$B136,'Besi Balok'!$F$23:$F$12292,'REKAP Balok'!O$12)</f>
        <v>0</v>
      </c>
      <c r="P136">
        <f>SUMIFS('Besi Balok'!$AA$23:$AA$12292,'Besi Balok'!$A$23:$A$12292,$A136,'Besi Balok'!$B$23:$B$12292,$B136,'Besi Balok'!$F$23:$F$12292,'REKAP Balok'!P$12)</f>
        <v>53.31610368</v>
      </c>
      <c r="Q136">
        <f>SUMIFS('Besi Balok'!$AA$23:$AA$12292,'Besi Balok'!$A$23:$A$12292,$A136,'Besi Balok'!$B$23:$B$12292,$B136,'Besi Balok'!$F$23:$F$12292,'REKAP Balok'!Q$12)</f>
        <v>0</v>
      </c>
      <c r="R136">
        <f>SUMIFS('Besi Balok'!$AA$23:$AA$12292,'Besi Balok'!$A$23:$A$12292,$A136,'Besi Balok'!$B$23:$B$12292,$B136,'Besi Balok'!$F$23:$F$12292,'REKAP Balok'!R$12)</f>
        <v>0</v>
      </c>
      <c r="S136">
        <f>SUMIFS('Besi Balok'!$AA$23:$AA$12292,'Besi Balok'!$A$23:$A$12292,$A136,'Besi Balok'!$B$23:$B$12292,$B136,'Besi Balok'!$F$23:$F$12292,'REKAP Balok'!S$12)</f>
        <v>0</v>
      </c>
      <c r="T136">
        <f>SUMIFS('Besi Balok'!$AA$23:$AA$12292,'Besi Balok'!$A$23:$A$12292,$A136,'Besi Balok'!$B$23:$B$12292,$B136,'Besi Balok'!$F$23:$F$12292,'REKAP Balok'!T$12)</f>
        <v>0</v>
      </c>
      <c r="U136">
        <f>SUM(L136:T136)</f>
        <v>76.29305868</v>
      </c>
      <c r="V136">
        <f>(D136*(F136-H136)*G136*K136)/1000000000</f>
        <v>0.3145</v>
      </c>
      <c r="W136">
        <f>(((F136-H136)*2+D136)*(G136)*K136)/1000000</f>
        <v>3.995</v>
      </c>
      <c r="AC136">
        <f>(D136+2*$F$5)*F136*G136/1000000000</f>
        <v>0.85</v>
      </c>
    </row>
    <row r="137">
      <c r="A137" t="str">
        <f>'Data Panjang Balok'!A134</f>
        <v>Lantai 1</v>
      </c>
      <c r="B137">
        <f>'Data Panjang Balok'!B134</f>
        <v>26</v>
      </c>
      <c r="C137" t="str">
        <f>'Data Panjang Balok'!D134</f>
        <v>B24-1</v>
      </c>
      <c r="D137">
        <f>IF(C137&gt;0,VLOOKUP(C137,'Detail Balok'!$C$11:$AU$110,2,FALSE),0)</f>
        <v>200</v>
      </c>
      <c r="E137" t="str">
        <v>x</v>
      </c>
      <c r="F137">
        <f>IF(C137&gt;0,VLOOKUP(C137,'Detail Balok'!$C$11:$AU$110,3,FALSE),0)</f>
        <v>400</v>
      </c>
      <c r="G137">
        <f>'Data Panjang Balok'!I134</f>
        <v>2000</v>
      </c>
      <c r="H137">
        <f>'Data Panjang Balok'!J134</f>
        <v>130</v>
      </c>
      <c r="J137">
        <f>I137-F137/1000</f>
        <v>-0.4</v>
      </c>
      <c r="K137">
        <f>'Data Panjang Balok'!E134</f>
        <v>1</v>
      </c>
      <c r="L137">
        <f>SUMIFS('Besi Balok'!$AA$23:$AA$12292,'Besi Balok'!$A$23:$A$12292,$A137,'Besi Balok'!$B$23:$B$12292,$B137,'Besi Balok'!$F$23:$F$12292,'REKAP Balok'!L$12)</f>
        <v>0</v>
      </c>
      <c r="M137">
        <f>SUMIFS('Besi Balok'!$AA$23:$AA$12292,'Besi Balok'!$A$23:$A$12292,$A137,'Besi Balok'!$B$23:$B$12292,$B137,'Besi Balok'!$F$23:$F$12292,'REKAP Balok'!M$12)</f>
        <v>8.127936000000002</v>
      </c>
      <c r="N137">
        <f>SUMIFS('Besi Balok'!$AA$23:$AA$12292,'Besi Balok'!$A$23:$A$12292,$A137,'Besi Balok'!$B$23:$B$12292,$B137,'Besi Balok'!$F$23:$F$12292,'REKAP Balok'!N$12)</f>
        <v>0</v>
      </c>
      <c r="O137">
        <f>SUMIFS('Besi Balok'!$AA$23:$AA$12292,'Besi Balok'!$A$23:$A$12292,$A137,'Besi Balok'!$B$23:$B$12292,$B137,'Besi Balok'!$F$23:$F$12292,'REKAP Balok'!O$12)</f>
        <v>9.63535248</v>
      </c>
      <c r="P137">
        <f>SUMIFS('Besi Balok'!$AA$23:$AA$12292,'Besi Balok'!$A$23:$A$12292,$A137,'Besi Balok'!$B$23:$B$12292,$B137,'Besi Balok'!$F$23:$F$12292,'REKAP Balok'!P$12)</f>
        <v>0</v>
      </c>
      <c r="Q137">
        <f>SUMIFS('Besi Balok'!$AA$23:$AA$12292,'Besi Balok'!$A$23:$A$12292,$A137,'Besi Balok'!$B$23:$B$12292,$B137,'Besi Balok'!$F$23:$F$12292,'REKAP Balok'!Q$12)</f>
        <v>0</v>
      </c>
      <c r="R137">
        <f>SUMIFS('Besi Balok'!$AA$23:$AA$12292,'Besi Balok'!$A$23:$A$12292,$A137,'Besi Balok'!$B$23:$B$12292,$B137,'Besi Balok'!$F$23:$F$12292,'REKAP Balok'!R$12)</f>
        <v>0</v>
      </c>
      <c r="S137">
        <f>SUMIFS('Besi Balok'!$AA$23:$AA$12292,'Besi Balok'!$A$23:$A$12292,$A137,'Besi Balok'!$B$23:$B$12292,$B137,'Besi Balok'!$F$23:$F$12292,'REKAP Balok'!S$12)</f>
        <v>0</v>
      </c>
      <c r="T137">
        <f>SUMIFS('Besi Balok'!$AA$23:$AA$12292,'Besi Balok'!$A$23:$A$12292,$A137,'Besi Balok'!$B$23:$B$12292,$B137,'Besi Balok'!$F$23:$F$12292,'REKAP Balok'!T$12)</f>
        <v>0</v>
      </c>
      <c r="U137">
        <f>SUM(L137:T137)</f>
        <v>17.76328848</v>
      </c>
      <c r="V137">
        <f>(D137*(F137-H137)*G137*K137)/1000000000</f>
        <v>0.108</v>
      </c>
      <c r="W137">
        <f>(((F137-H137)*2+D137)*(G137)*K137)/1000000</f>
        <v>1.48</v>
      </c>
      <c r="AC137">
        <f>(D137+2*$F$5)*F137*G137/1000000000</f>
        <v>0.32</v>
      </c>
    </row>
    <row r="138">
      <c r="A138" t="str">
        <f>'Data Panjang Balok'!A135</f>
        <v>Lantai 1</v>
      </c>
      <c r="B138">
        <f>'Data Panjang Balok'!B135</f>
        <v>27</v>
      </c>
      <c r="C138" t="str">
        <f>'Data Panjang Balok'!D135</f>
        <v>B57-4</v>
      </c>
      <c r="D138">
        <f>IF(C138&gt;0,VLOOKUP(C138,'Detail Balok'!$C$11:$AU$110,2,FALSE),0)</f>
        <v>500</v>
      </c>
      <c r="E138" t="str">
        <v>x</v>
      </c>
      <c r="F138">
        <f>IF(C138&gt;0,VLOOKUP(C138,'Detail Balok'!$C$11:$AU$110,3,FALSE),0)</f>
        <v>700</v>
      </c>
      <c r="G138">
        <f>'Data Panjang Balok'!I135</f>
        <v>11100</v>
      </c>
      <c r="H138">
        <f>'Data Panjang Balok'!J135</f>
        <v>130</v>
      </c>
      <c r="J138">
        <f>I138-F138/1000</f>
        <v>-0.7</v>
      </c>
      <c r="K138">
        <f>'Data Panjang Balok'!E135</f>
        <v>1</v>
      </c>
      <c r="L138">
        <f>SUMIFS('Besi Balok'!$AA$23:$AA$12292,'Besi Balok'!$A$23:$A$12292,$A138,'Besi Balok'!$B$23:$B$12292,$B138,'Besi Balok'!$F$23:$F$12292,'REKAP Balok'!L$12)</f>
        <v>0</v>
      </c>
      <c r="M138">
        <f>SUMIFS('Besi Balok'!$AA$23:$AA$12292,'Besi Balok'!$A$23:$A$12292,$A138,'Besi Balok'!$B$23:$B$12292,$B138,'Besi Balok'!$F$23:$F$12292,'REKAP Balok'!M$12)</f>
        <v>0</v>
      </c>
      <c r="N138">
        <f>SUMIFS('Besi Balok'!$AA$23:$AA$12292,'Besi Balok'!$A$23:$A$12292,$A138,'Besi Balok'!$B$23:$B$12292,$B138,'Besi Balok'!$F$23:$F$12292,'REKAP Balok'!N$12)</f>
        <v>198.01363500000002</v>
      </c>
      <c r="O138">
        <f>SUMIFS('Besi Balok'!$AA$23:$AA$12292,'Besi Balok'!$A$23:$A$12292,$A138,'Besi Balok'!$B$23:$B$12292,$B138,'Besi Balok'!$F$23:$F$12292,'REKAP Balok'!O$12)</f>
        <v>0</v>
      </c>
      <c r="P138">
        <f>SUMIFS('Besi Balok'!$AA$23:$AA$12292,'Besi Balok'!$A$23:$A$12292,$A138,'Besi Balok'!$B$23:$B$12292,$B138,'Besi Balok'!$F$23:$F$12292,'REKAP Balok'!P$12)</f>
        <v>0</v>
      </c>
      <c r="Q138">
        <f>SUMIFS('Besi Balok'!$AA$23:$AA$12292,'Besi Balok'!$A$23:$A$12292,$A138,'Besi Balok'!$B$23:$B$12292,$B138,'Besi Balok'!$F$23:$F$12292,'REKAP Balok'!Q$12)</f>
        <v>0</v>
      </c>
      <c r="R138">
        <f>SUMIFS('Besi Balok'!$AA$23:$AA$12292,'Besi Balok'!$A$23:$A$12292,$A138,'Besi Balok'!$B$23:$B$12292,$B138,'Besi Balok'!$F$23:$F$12292,'REKAP Balok'!R$12)</f>
        <v>508.61087244000004</v>
      </c>
      <c r="S138">
        <f>SUMIFS('Besi Balok'!$AA$23:$AA$12292,'Besi Balok'!$A$23:$A$12292,$A138,'Besi Balok'!$B$23:$B$12292,$B138,'Besi Balok'!$F$23:$F$12292,'REKAP Balok'!S$12)</f>
        <v>0</v>
      </c>
      <c r="T138">
        <f>SUMIFS('Besi Balok'!$AA$23:$AA$12292,'Besi Balok'!$A$23:$A$12292,$A138,'Besi Balok'!$B$23:$B$12292,$B138,'Besi Balok'!$F$23:$F$12292,'REKAP Balok'!T$12)</f>
        <v>0</v>
      </c>
      <c r="U138">
        <f>SUM(L138:T138)</f>
        <v>706.6245074400001</v>
      </c>
      <c r="V138">
        <f>(D138*(F138-H138)*G138*K138)/1000000000</f>
        <v>3.1635</v>
      </c>
      <c r="W138">
        <f>(((F138-H138)*2+D138)*(G138)*K138)/1000000</f>
        <v>18.204</v>
      </c>
      <c r="AC138">
        <f>(D138+2*$F$5)*F138*G138/1000000000</f>
        <v>5.439</v>
      </c>
    </row>
    <row r="139">
      <c r="A139" t="str">
        <f>'Data Panjang Balok'!A136</f>
        <v>Lantai 1</v>
      </c>
      <c r="B139">
        <f>'Data Panjang Balok'!B136</f>
        <v>28</v>
      </c>
      <c r="C139" t="str">
        <f>'Data Panjang Balok'!D136</f>
        <v>Potongan M</v>
      </c>
      <c r="D139">
        <f>IF(C139&gt;0,VLOOKUP(C139,'Detail Balok'!$C$11:$AU$110,2,FALSE),0)</f>
        <v>500</v>
      </c>
      <c r="E139" t="str">
        <v>x</v>
      </c>
      <c r="F139">
        <f>IF(C139&gt;0,VLOOKUP(C139,'Detail Balok'!$C$11:$AU$110,3,FALSE),0)</f>
        <v>700</v>
      </c>
      <c r="G139">
        <f>'Data Panjang Balok'!I136</f>
        <v>4100</v>
      </c>
      <c r="H139">
        <f>'Data Panjang Balok'!J136</f>
        <v>130</v>
      </c>
      <c r="J139">
        <f>I139-F139/1000</f>
        <v>-0.7</v>
      </c>
      <c r="K139">
        <f>'Data Panjang Balok'!E136</f>
        <v>1</v>
      </c>
      <c r="L139">
        <f>SUMIFS('Besi Balok'!$AA$23:$AA$12292,'Besi Balok'!$A$23:$A$12292,$A139,'Besi Balok'!$B$23:$B$12292,$B139,'Besi Balok'!$F$23:$F$12292,'REKAP Balok'!L$12)</f>
        <v>0</v>
      </c>
      <c r="M139">
        <f>SUMIFS('Besi Balok'!$AA$23:$AA$12292,'Besi Balok'!$A$23:$A$12292,$A139,'Besi Balok'!$B$23:$B$12292,$B139,'Besi Balok'!$F$23:$F$12292,'REKAP Balok'!M$12)</f>
        <v>0</v>
      </c>
      <c r="N139">
        <f>SUMIFS('Besi Balok'!$AA$23:$AA$12292,'Besi Balok'!$A$23:$A$12292,$A139,'Besi Balok'!$B$23:$B$12292,$B139,'Besi Balok'!$F$23:$F$12292,'REKAP Balok'!N$12)</f>
        <v>105.22422</v>
      </c>
      <c r="O139">
        <f>SUMIFS('Besi Balok'!$AA$23:$AA$12292,'Besi Balok'!$A$23:$A$12292,$A139,'Besi Balok'!$B$23:$B$12292,$B139,'Besi Balok'!$F$23:$F$12292,'REKAP Balok'!O$12)</f>
        <v>0</v>
      </c>
      <c r="P139">
        <f>SUMIFS('Besi Balok'!$AA$23:$AA$12292,'Besi Balok'!$A$23:$A$12292,$A139,'Besi Balok'!$B$23:$B$12292,$B139,'Besi Balok'!$F$23:$F$12292,'REKAP Balok'!P$12)</f>
        <v>0</v>
      </c>
      <c r="Q139">
        <f>SUMIFS('Besi Balok'!$AA$23:$AA$12292,'Besi Balok'!$A$23:$A$12292,$A139,'Besi Balok'!$B$23:$B$12292,$B139,'Besi Balok'!$F$23:$F$12292,'REKAP Balok'!Q$12)</f>
        <v>0</v>
      </c>
      <c r="R139">
        <f>SUMIFS('Besi Balok'!$AA$23:$AA$12292,'Besi Balok'!$A$23:$A$12292,$A139,'Besi Balok'!$B$23:$B$12292,$B139,'Besi Balok'!$F$23:$F$12292,'REKAP Balok'!R$12)</f>
        <v>151.90234488</v>
      </c>
      <c r="S139">
        <f>SUMIFS('Besi Balok'!$AA$23:$AA$12292,'Besi Balok'!$A$23:$A$12292,$A139,'Besi Balok'!$B$23:$B$12292,$B139,'Besi Balok'!$F$23:$F$12292,'REKAP Balok'!S$12)</f>
        <v>0</v>
      </c>
      <c r="T139">
        <f>SUMIFS('Besi Balok'!$AA$23:$AA$12292,'Besi Balok'!$A$23:$A$12292,$A139,'Besi Balok'!$B$23:$B$12292,$B139,'Besi Balok'!$F$23:$F$12292,'REKAP Balok'!T$12)</f>
        <v>0</v>
      </c>
      <c r="U139">
        <f>SUM(L139:T139)</f>
        <v>257.12656488</v>
      </c>
      <c r="V139">
        <f>(D139*(F139-H139)*G139*K139)/1000000000</f>
        <v>1.1685</v>
      </c>
      <c r="W139">
        <f>(((F139-H139)*2+D139)*(G139)*K139)/1000000</f>
        <v>6.724</v>
      </c>
      <c r="AC139">
        <f>(D139+2*$F$5)*F139*G139/1000000000</f>
        <v>2.009</v>
      </c>
    </row>
    <row r="140">
      <c r="A140" t="str">
        <f>'Data Panjang Balok'!A137</f>
        <v>Lantai 1</v>
      </c>
      <c r="B140">
        <f>'Data Panjang Balok'!B137</f>
        <v>29</v>
      </c>
      <c r="C140" t="str">
        <f>'Data Panjang Balok'!D137</f>
        <v>B57-1</v>
      </c>
      <c r="D140">
        <f>IF(C140&gt;0,VLOOKUP(C140,'Detail Balok'!$C$11:$AU$110,2,FALSE),0)</f>
        <v>500</v>
      </c>
      <c r="E140" t="str">
        <v>x</v>
      </c>
      <c r="F140">
        <f>IF(C140&gt;0,VLOOKUP(C140,'Detail Balok'!$C$11:$AU$110,3,FALSE),0)</f>
        <v>700</v>
      </c>
      <c r="G140">
        <f>'Data Panjang Balok'!I137</f>
        <v>7000</v>
      </c>
      <c r="H140">
        <f>'Data Panjang Balok'!J137</f>
        <v>130</v>
      </c>
      <c r="J140">
        <f>I140-F140/1000</f>
        <v>-0.7</v>
      </c>
      <c r="K140">
        <f>'Data Panjang Balok'!E137</f>
        <v>1</v>
      </c>
      <c r="L140">
        <f>SUMIFS('Besi Balok'!$AA$23:$AA$12292,'Besi Balok'!$A$23:$A$12292,$A140,'Besi Balok'!$B$23:$B$12292,$B140,'Besi Balok'!$F$23:$F$12292,'REKAP Balok'!L$12)</f>
        <v>0</v>
      </c>
      <c r="M140">
        <f>SUMIFS('Besi Balok'!$AA$23:$AA$12292,'Besi Balok'!$A$23:$A$12292,$A140,'Besi Balok'!$B$23:$B$12292,$B140,'Besi Balok'!$F$23:$F$12292,'REKAP Balok'!M$12)</f>
        <v>0</v>
      </c>
      <c r="N140">
        <f>SUMIFS('Besi Balok'!$AA$23:$AA$12292,'Besi Balok'!$A$23:$A$12292,$A140,'Besi Balok'!$B$23:$B$12292,$B140,'Besi Balok'!$F$23:$F$12292,'REKAP Balok'!N$12)</f>
        <v>0</v>
      </c>
      <c r="O140">
        <f>SUMIFS('Besi Balok'!$AA$23:$AA$12292,'Besi Balok'!$A$23:$A$12292,$A140,'Besi Balok'!$B$23:$B$12292,$B140,'Besi Balok'!$F$23:$F$12292,'REKAP Balok'!O$12)</f>
        <v>219.45015378000002</v>
      </c>
      <c r="P140">
        <f>SUMIFS('Besi Balok'!$AA$23:$AA$12292,'Besi Balok'!$A$23:$A$12292,$A140,'Besi Balok'!$B$23:$B$12292,$B140,'Besi Balok'!$F$23:$F$12292,'REKAP Balok'!P$12)</f>
        <v>0</v>
      </c>
      <c r="Q140">
        <f>SUMIFS('Besi Balok'!$AA$23:$AA$12292,'Besi Balok'!$A$23:$A$12292,$A140,'Besi Balok'!$B$23:$B$12292,$B140,'Besi Balok'!$F$23:$F$12292,'REKAP Balok'!Q$12)</f>
        <v>0</v>
      </c>
      <c r="R140">
        <f>SUMIFS('Besi Balok'!$AA$23:$AA$12292,'Besi Balok'!$A$23:$A$12292,$A140,'Besi Balok'!$B$23:$B$12292,$B140,'Besi Balok'!$F$23:$F$12292,'REKAP Balok'!R$12)</f>
        <v>297.7295508</v>
      </c>
      <c r="S140">
        <f>SUMIFS('Besi Balok'!$AA$23:$AA$12292,'Besi Balok'!$A$23:$A$12292,$A140,'Besi Balok'!$B$23:$B$12292,$B140,'Besi Balok'!$F$23:$F$12292,'REKAP Balok'!S$12)</f>
        <v>0</v>
      </c>
      <c r="T140">
        <f>SUMIFS('Besi Balok'!$AA$23:$AA$12292,'Besi Balok'!$A$23:$A$12292,$A140,'Besi Balok'!$B$23:$B$12292,$B140,'Besi Balok'!$F$23:$F$12292,'REKAP Balok'!T$12)</f>
        <v>0</v>
      </c>
      <c r="U140">
        <f>SUM(L140:T140)</f>
        <v>517.17970458</v>
      </c>
      <c r="V140">
        <f>(D140*(F140-H140)*G140*K140)/1000000000</f>
        <v>1.995</v>
      </c>
      <c r="W140">
        <f>(((F140-H140)*2+D140)*(G140)*K140)/1000000</f>
        <v>11.48</v>
      </c>
      <c r="AC140">
        <f>(D140+2*$F$5)*F140*G140/1000000000</f>
        <v>3.43</v>
      </c>
    </row>
    <row r="141">
      <c r="A141" t="str">
        <f>'Data Panjang Balok'!A138</f>
        <v>Lantai 1</v>
      </c>
      <c r="B141">
        <f>'Data Panjang Balok'!B138</f>
        <v>30</v>
      </c>
      <c r="C141" t="str">
        <f>'Data Panjang Balok'!D138</f>
        <v>B57-1</v>
      </c>
      <c r="D141">
        <f>IF(C141&gt;0,VLOOKUP(C141,'Detail Balok'!$C$11:$AU$110,2,FALSE),0)</f>
        <v>500</v>
      </c>
      <c r="E141" t="str">
        <v>x</v>
      </c>
      <c r="F141">
        <f>IF(C141&gt;0,VLOOKUP(C141,'Detail Balok'!$C$11:$AU$110,3,FALSE),0)</f>
        <v>700</v>
      </c>
      <c r="G141">
        <f>'Data Panjang Balok'!I138</f>
        <v>4100</v>
      </c>
      <c r="H141">
        <f>'Data Panjang Balok'!J138</f>
        <v>130</v>
      </c>
      <c r="J141">
        <f>I141-F141/1000</f>
        <v>-0.7</v>
      </c>
      <c r="K141">
        <f>'Data Panjang Balok'!E138</f>
        <v>1</v>
      </c>
      <c r="L141">
        <f>SUMIFS('Besi Balok'!$AA$23:$AA$12292,'Besi Balok'!$A$23:$A$12292,$A141,'Besi Balok'!$B$23:$B$12292,$B141,'Besi Balok'!$F$23:$F$12292,'REKAP Balok'!L$12)</f>
        <v>0</v>
      </c>
      <c r="M141">
        <f>SUMIFS('Besi Balok'!$AA$23:$AA$12292,'Besi Balok'!$A$23:$A$12292,$A141,'Besi Balok'!$B$23:$B$12292,$B141,'Besi Balok'!$F$23:$F$12292,'REKAP Balok'!M$12)</f>
        <v>0</v>
      </c>
      <c r="N141">
        <f>SUMIFS('Besi Balok'!$AA$23:$AA$12292,'Besi Balok'!$A$23:$A$12292,$A141,'Besi Balok'!$B$23:$B$12292,$B141,'Besi Balok'!$F$23:$F$12292,'REKAP Balok'!N$12)</f>
        <v>0</v>
      </c>
      <c r="O141">
        <f>SUMIFS('Besi Balok'!$AA$23:$AA$12292,'Besi Balok'!$A$23:$A$12292,$A141,'Besi Balok'!$B$23:$B$12292,$B141,'Besi Balok'!$F$23:$F$12292,'REKAP Balok'!O$12)</f>
        <v>155.68679178</v>
      </c>
      <c r="P141">
        <f>SUMIFS('Besi Balok'!$AA$23:$AA$12292,'Besi Balok'!$A$23:$A$12292,$A141,'Besi Balok'!$B$23:$B$12292,$B141,'Besi Balok'!$F$23:$F$12292,'REKAP Balok'!P$12)</f>
        <v>0</v>
      </c>
      <c r="Q141">
        <f>SUMIFS('Besi Balok'!$AA$23:$AA$12292,'Besi Balok'!$A$23:$A$12292,$A141,'Besi Balok'!$B$23:$B$12292,$B141,'Besi Balok'!$F$23:$F$12292,'REKAP Balok'!Q$12)</f>
        <v>0</v>
      </c>
      <c r="R141">
        <f>SUMIFS('Besi Balok'!$AA$23:$AA$12292,'Besi Balok'!$A$23:$A$12292,$A141,'Besi Balok'!$B$23:$B$12292,$B141,'Besi Balok'!$F$23:$F$12292,'REKAP Balok'!R$12)</f>
        <v>180.91143179999995</v>
      </c>
      <c r="S141">
        <f>SUMIFS('Besi Balok'!$AA$23:$AA$12292,'Besi Balok'!$A$23:$A$12292,$A141,'Besi Balok'!$B$23:$B$12292,$B141,'Besi Balok'!$F$23:$F$12292,'REKAP Balok'!S$12)</f>
        <v>0</v>
      </c>
      <c r="T141">
        <f>SUMIFS('Besi Balok'!$AA$23:$AA$12292,'Besi Balok'!$A$23:$A$12292,$A141,'Besi Balok'!$B$23:$B$12292,$B141,'Besi Balok'!$F$23:$F$12292,'REKAP Balok'!T$12)</f>
        <v>0</v>
      </c>
      <c r="U141">
        <f>SUM(L141:T141)</f>
        <v>336.59822357999997</v>
      </c>
      <c r="V141">
        <f>(D141*(F141-H141)*G141*K141)/1000000000</f>
        <v>1.1685</v>
      </c>
      <c r="W141">
        <f>(((F141-H141)*2+D141)*(G141)*K141)/1000000</f>
        <v>6.724</v>
      </c>
      <c r="AC141">
        <f>(D141+2*$F$5)*F141*G141/1000000000</f>
        <v>2.009</v>
      </c>
    </row>
    <row r="142">
      <c r="A142" t="str">
        <f>'Data Panjang Balok'!A139</f>
        <v>Lantai 1</v>
      </c>
      <c r="B142">
        <f>'Data Panjang Balok'!B139</f>
        <v>31</v>
      </c>
      <c r="C142" t="str">
        <f>'Data Panjang Balok'!D139</f>
        <v>B67-1</v>
      </c>
      <c r="D142">
        <f>IF(C142&gt;0,VLOOKUP(C142,'Detail Balok'!$C$11:$AU$110,2,FALSE),0)</f>
        <v>600</v>
      </c>
      <c r="E142" t="str">
        <v>x</v>
      </c>
      <c r="F142">
        <f>IF(C142&gt;0,VLOOKUP(C142,'Detail Balok'!$C$11:$AU$110,3,FALSE),0)</f>
        <v>700</v>
      </c>
      <c r="G142">
        <f>'Data Panjang Balok'!I139</f>
        <v>7000</v>
      </c>
      <c r="H142">
        <f>'Data Panjang Balok'!J139</f>
        <v>130</v>
      </c>
      <c r="J142">
        <f>I142-F142/1000</f>
        <v>-0.7</v>
      </c>
      <c r="K142">
        <f>'Data Panjang Balok'!E139</f>
        <v>1</v>
      </c>
      <c r="L142">
        <f>SUMIFS('Besi Balok'!$AA$23:$AA$12292,'Besi Balok'!$A$23:$A$12292,$A142,'Besi Balok'!$B$23:$B$12292,$B142,'Besi Balok'!$F$23:$F$12292,'REKAP Balok'!L$12)</f>
        <v>0</v>
      </c>
      <c r="M142">
        <f>SUMIFS('Besi Balok'!$AA$23:$AA$12292,'Besi Balok'!$A$23:$A$12292,$A142,'Besi Balok'!$B$23:$B$12292,$B142,'Besi Balok'!$F$23:$F$12292,'REKAP Balok'!M$12)</f>
        <v>0</v>
      </c>
      <c r="N142">
        <f>SUMIFS('Besi Balok'!$AA$23:$AA$12292,'Besi Balok'!$A$23:$A$12292,$A142,'Besi Balok'!$B$23:$B$12292,$B142,'Besi Balok'!$F$23:$F$12292,'REKAP Balok'!N$12)</f>
        <v>8.92692</v>
      </c>
      <c r="O142">
        <f>SUMIFS('Besi Balok'!$AA$23:$AA$12292,'Besi Balok'!$A$23:$A$12292,$A142,'Besi Balok'!$B$23:$B$12292,$B142,'Besi Balok'!$F$23:$F$12292,'REKAP Balok'!O$12)</f>
        <v>212.31532529999998</v>
      </c>
      <c r="P142">
        <f>SUMIFS('Besi Balok'!$AA$23:$AA$12292,'Besi Balok'!$A$23:$A$12292,$A142,'Besi Balok'!$B$23:$B$12292,$B142,'Besi Balok'!$F$23:$F$12292,'REKAP Balok'!P$12)</f>
        <v>0</v>
      </c>
      <c r="Q142">
        <f>SUMIFS('Besi Balok'!$AA$23:$AA$12292,'Besi Balok'!$A$23:$A$12292,$A142,'Besi Balok'!$B$23:$B$12292,$B142,'Besi Balok'!$F$23:$F$12292,'REKAP Balok'!Q$12)</f>
        <v>0</v>
      </c>
      <c r="R142">
        <f>SUMIFS('Besi Balok'!$AA$23:$AA$12292,'Besi Balok'!$A$23:$A$12292,$A142,'Besi Balok'!$B$23:$B$12292,$B142,'Besi Balok'!$F$23:$F$12292,'REKAP Balok'!R$12)</f>
        <v>274.63447440000004</v>
      </c>
      <c r="S142">
        <f>SUMIFS('Besi Balok'!$AA$23:$AA$12292,'Besi Balok'!$A$23:$A$12292,$A142,'Besi Balok'!$B$23:$B$12292,$B142,'Besi Balok'!$F$23:$F$12292,'REKAP Balok'!S$12)</f>
        <v>0</v>
      </c>
      <c r="T142">
        <f>SUMIFS('Besi Balok'!$AA$23:$AA$12292,'Besi Balok'!$A$23:$A$12292,$A142,'Besi Balok'!$B$23:$B$12292,$B142,'Besi Balok'!$F$23:$F$12292,'REKAP Balok'!T$12)</f>
        <v>0</v>
      </c>
      <c r="U142">
        <f>SUM(L142:T142)</f>
        <v>495.8767197</v>
      </c>
      <c r="V142">
        <f>(D142*(F142-H142)*G142*K142)/1000000000</f>
        <v>2.394</v>
      </c>
      <c r="W142">
        <f>(((F142-H142)*2+D142)*(G142)*K142)/1000000</f>
        <v>12.18</v>
      </c>
      <c r="AC142">
        <f>(D142+2*$F$5)*F142*G142/1000000000</f>
        <v>3.92</v>
      </c>
    </row>
    <row r="143">
      <c r="A143" t="str">
        <f>'Data Panjang Balok'!A140</f>
        <v>Lantai 1</v>
      </c>
      <c r="B143">
        <f>'Data Panjang Balok'!B140</f>
        <v>32</v>
      </c>
      <c r="C143" t="str">
        <f>'Data Panjang Balok'!D140</f>
        <v>BB</v>
      </c>
      <c r="D143">
        <f>IF(C143&gt;0,VLOOKUP(C143,'Detail Balok'!$C$11:$AU$110,2,FALSE),0)</f>
        <v>200</v>
      </c>
      <c r="E143" t="str">
        <v>x</v>
      </c>
      <c r="F143">
        <f>IF(C143&gt;0,VLOOKUP(C143,'Detail Balok'!$C$11:$AU$110,3,FALSE),0)</f>
        <v>150</v>
      </c>
      <c r="G143">
        <f>'Data Panjang Balok'!I140</f>
        <v>3200</v>
      </c>
      <c r="H143">
        <f>'Data Panjang Balok'!J140</f>
        <v>130</v>
      </c>
      <c r="J143">
        <f>I143-F143/1000</f>
        <v>-0.15</v>
      </c>
      <c r="K143">
        <f>'Data Panjang Balok'!E140</f>
        <v>1</v>
      </c>
      <c r="L143">
        <f>SUMIFS('Besi Balok'!$AA$23:$AA$12292,'Besi Balok'!$A$23:$A$12292,$A143,'Besi Balok'!$B$23:$B$12292,$B143,'Besi Balok'!$F$23:$F$12292,'REKAP Balok'!L$12)</f>
        <v>0</v>
      </c>
      <c r="M143">
        <f>SUMIFS('Besi Balok'!$AA$23:$AA$12292,'Besi Balok'!$A$23:$A$12292,$A143,'Besi Balok'!$B$23:$B$12292,$B143,'Besi Balok'!$F$23:$F$12292,'REKAP Balok'!M$12)</f>
        <v>7.109971200000001</v>
      </c>
      <c r="N143">
        <f>SUMIFS('Besi Balok'!$AA$23:$AA$12292,'Besi Balok'!$A$23:$A$12292,$A143,'Besi Balok'!$B$23:$B$12292,$B143,'Besi Balok'!$F$23:$F$12292,'REKAP Balok'!N$12)</f>
        <v>8.48304</v>
      </c>
      <c r="O143">
        <f>SUMIFS('Besi Balok'!$AA$23:$AA$12292,'Besi Balok'!$A$23:$A$12292,$A143,'Besi Balok'!$B$23:$B$12292,$B143,'Besi Balok'!$F$23:$F$12292,'REKAP Balok'!O$12)</f>
        <v>0</v>
      </c>
      <c r="P143">
        <f>SUMIFS('Besi Balok'!$AA$23:$AA$12292,'Besi Balok'!$A$23:$A$12292,$A143,'Besi Balok'!$B$23:$B$12292,$B143,'Besi Balok'!$F$23:$F$12292,'REKAP Balok'!P$12)</f>
        <v>0</v>
      </c>
      <c r="Q143">
        <f>SUMIFS('Besi Balok'!$AA$23:$AA$12292,'Besi Balok'!$A$23:$A$12292,$A143,'Besi Balok'!$B$23:$B$12292,$B143,'Besi Balok'!$F$23:$F$12292,'REKAP Balok'!Q$12)</f>
        <v>0</v>
      </c>
      <c r="R143">
        <f>SUMIFS('Besi Balok'!$AA$23:$AA$12292,'Besi Balok'!$A$23:$A$12292,$A143,'Besi Balok'!$B$23:$B$12292,$B143,'Besi Balok'!$F$23:$F$12292,'REKAP Balok'!R$12)</f>
        <v>0</v>
      </c>
      <c r="S143">
        <f>SUMIFS('Besi Balok'!$AA$23:$AA$12292,'Besi Balok'!$A$23:$A$12292,$A143,'Besi Balok'!$B$23:$B$12292,$B143,'Besi Balok'!$F$23:$F$12292,'REKAP Balok'!S$12)</f>
        <v>0</v>
      </c>
      <c r="T143">
        <f>SUMIFS('Besi Balok'!$AA$23:$AA$12292,'Besi Balok'!$A$23:$A$12292,$A143,'Besi Balok'!$B$23:$B$12292,$B143,'Besi Balok'!$F$23:$F$12292,'REKAP Balok'!T$12)</f>
        <v>0</v>
      </c>
      <c r="U143">
        <f>SUM(L143:T143)</f>
        <v>15.593011200000003</v>
      </c>
      <c r="V143">
        <f>(D143*(F143-H143)*G143*K143)/1000000000</f>
        <v>0.0128</v>
      </c>
      <c r="W143">
        <f>(((F143-H143)*2+D143)*(G143)*K143)/1000000</f>
        <v>0.768</v>
      </c>
      <c r="AC143">
        <f>(D143+2*$F$5)*F143*G143/1000000000</f>
        <v>0.192</v>
      </c>
    </row>
    <row r="144">
      <c r="A144" t="str">
        <f>'Data Panjang Balok'!A141</f>
        <v>Lantai 1</v>
      </c>
      <c r="B144">
        <f>'Data Panjang Balok'!B141</f>
        <v>33</v>
      </c>
      <c r="C144" t="str">
        <f>'Data Panjang Balok'!D141</f>
        <v>B245-1</v>
      </c>
      <c r="D144">
        <f>IF(C144&gt;0,VLOOKUP(C144,'Detail Balok'!$C$11:$AU$110,2,FALSE),0)</f>
        <v>200</v>
      </c>
      <c r="E144" t="str">
        <v>x</v>
      </c>
      <c r="F144">
        <f>IF(C144&gt;0,VLOOKUP(C144,'Detail Balok'!$C$11:$AU$110,3,FALSE),0)</f>
        <v>450</v>
      </c>
      <c r="G144">
        <f>'Data Panjang Balok'!I141</f>
        <v>1770</v>
      </c>
      <c r="H144">
        <f>'Data Panjang Balok'!J141</f>
        <v>130</v>
      </c>
      <c r="J144">
        <f>I144-F144/1000</f>
        <v>-0.45</v>
      </c>
      <c r="K144">
        <f>'Data Panjang Balok'!E141</f>
        <v>1</v>
      </c>
      <c r="L144">
        <f>SUMIFS('Besi Balok'!$AA$23:$AA$12292,'Besi Balok'!$A$23:$A$12292,$A144,'Besi Balok'!$B$23:$B$12292,$B144,'Besi Balok'!$F$23:$F$12292,'REKAP Balok'!L$12)</f>
        <v>0</v>
      </c>
      <c r="M144">
        <f>SUMIFS('Besi Balok'!$AA$23:$AA$12292,'Besi Balok'!$A$23:$A$12292,$A144,'Besi Balok'!$B$23:$B$12292,$B144,'Besi Balok'!$F$23:$F$12292,'REKAP Balok'!M$12)</f>
        <v>10.01945664</v>
      </c>
      <c r="N144">
        <f>SUMIFS('Besi Balok'!$AA$23:$AA$12292,'Besi Balok'!$A$23:$A$12292,$A144,'Besi Balok'!$B$23:$B$12292,$B144,'Besi Balok'!$F$23:$F$12292,'REKAP Balok'!N$12)</f>
        <v>0</v>
      </c>
      <c r="O144">
        <f>SUMIFS('Besi Balok'!$AA$23:$AA$12292,'Besi Balok'!$A$23:$A$12292,$A144,'Besi Balok'!$B$23:$B$12292,$B144,'Besi Balok'!$F$23:$F$12292,'REKAP Balok'!O$12)</f>
        <v>8.676818279999999</v>
      </c>
      <c r="P144">
        <f>SUMIFS('Besi Balok'!$AA$23:$AA$12292,'Besi Balok'!$A$23:$A$12292,$A144,'Besi Balok'!$B$23:$B$12292,$B144,'Besi Balok'!$F$23:$F$12292,'REKAP Balok'!P$12)</f>
        <v>0</v>
      </c>
      <c r="Q144">
        <f>SUMIFS('Besi Balok'!$AA$23:$AA$12292,'Besi Balok'!$A$23:$A$12292,$A144,'Besi Balok'!$B$23:$B$12292,$B144,'Besi Balok'!$F$23:$F$12292,'REKAP Balok'!Q$12)</f>
        <v>0</v>
      </c>
      <c r="R144">
        <f>SUMIFS('Besi Balok'!$AA$23:$AA$12292,'Besi Balok'!$A$23:$A$12292,$A144,'Besi Balok'!$B$23:$B$12292,$B144,'Besi Balok'!$F$23:$F$12292,'REKAP Balok'!R$12)</f>
        <v>0</v>
      </c>
      <c r="S144">
        <f>SUMIFS('Besi Balok'!$AA$23:$AA$12292,'Besi Balok'!$A$23:$A$12292,$A144,'Besi Balok'!$B$23:$B$12292,$B144,'Besi Balok'!$F$23:$F$12292,'REKAP Balok'!S$12)</f>
        <v>0</v>
      </c>
      <c r="T144">
        <f>SUMIFS('Besi Balok'!$AA$23:$AA$12292,'Besi Balok'!$A$23:$A$12292,$A144,'Besi Balok'!$B$23:$B$12292,$B144,'Besi Balok'!$F$23:$F$12292,'REKAP Balok'!T$12)</f>
        <v>0</v>
      </c>
      <c r="U144">
        <f>SUM(L144:T144)</f>
        <v>18.69627492</v>
      </c>
      <c r="V144">
        <f>(D144*(F144-H144)*G144*K144)/1000000000</f>
        <v>0.11328</v>
      </c>
      <c r="W144">
        <f>(((F144-H144)*2+D144)*(G144)*K144)/1000000</f>
        <v>1.4868</v>
      </c>
      <c r="AC144">
        <f>(D144+2*$F$5)*F144*G144/1000000000</f>
        <v>0.3186</v>
      </c>
    </row>
    <row r="145">
      <c r="A145" t="str">
        <f>'Data Panjang Balok'!A142</f>
        <v>Lantai 1</v>
      </c>
      <c r="B145">
        <f>'Data Panjang Balok'!B142</f>
        <v>34</v>
      </c>
      <c r="C145" t="str">
        <f>'Data Panjang Balok'!D142</f>
        <v>B245-1</v>
      </c>
      <c r="D145">
        <f>IF(C145&gt;0,VLOOKUP(C145,'Detail Balok'!$C$11:$AU$110,2,FALSE),0)</f>
        <v>200</v>
      </c>
      <c r="E145" t="str">
        <v>x</v>
      </c>
      <c r="F145">
        <f>IF(C145&gt;0,VLOOKUP(C145,'Detail Balok'!$C$11:$AU$110,3,FALSE),0)</f>
        <v>450</v>
      </c>
      <c r="G145">
        <f>'Data Panjang Balok'!I142</f>
        <v>3135</v>
      </c>
      <c r="H145">
        <f>'Data Panjang Balok'!J142</f>
        <v>130</v>
      </c>
      <c r="J145">
        <f>I145-F145/1000</f>
        <v>-0.45</v>
      </c>
      <c r="K145">
        <f>'Data Panjang Balok'!E142</f>
        <v>1</v>
      </c>
      <c r="L145">
        <f>SUMIFS('Besi Balok'!$AA$23:$AA$12292,'Besi Balok'!$A$23:$A$12292,$A145,'Besi Balok'!$B$23:$B$12292,$B145,'Besi Balok'!$F$23:$F$12292,'REKAP Balok'!L$12)</f>
        <v>0</v>
      </c>
      <c r="M145">
        <f>SUMIFS('Besi Balok'!$AA$23:$AA$12292,'Besi Balok'!$A$23:$A$12292,$A145,'Besi Balok'!$B$23:$B$12292,$B145,'Besi Balok'!$F$23:$F$12292,'REKAP Balok'!M$12)</f>
        <v>14.66342784</v>
      </c>
      <c r="N145">
        <f>SUMIFS('Besi Balok'!$AA$23:$AA$12292,'Besi Balok'!$A$23:$A$12292,$A145,'Besi Balok'!$B$23:$B$12292,$B145,'Besi Balok'!$F$23:$F$12292,'REKAP Balok'!N$12)</f>
        <v>0</v>
      </c>
      <c r="O145">
        <f>SUMIFS('Besi Balok'!$AA$23:$AA$12292,'Besi Balok'!$A$23:$A$12292,$A145,'Besi Balok'!$B$23:$B$12292,$B145,'Besi Balok'!$F$23:$F$12292,'REKAP Balok'!O$12)</f>
        <v>14.36551038</v>
      </c>
      <c r="P145">
        <f>SUMIFS('Besi Balok'!$AA$23:$AA$12292,'Besi Balok'!$A$23:$A$12292,$A145,'Besi Balok'!$B$23:$B$12292,$B145,'Besi Balok'!$F$23:$F$12292,'REKAP Balok'!P$12)</f>
        <v>0</v>
      </c>
      <c r="Q145">
        <f>SUMIFS('Besi Balok'!$AA$23:$AA$12292,'Besi Balok'!$A$23:$A$12292,$A145,'Besi Balok'!$B$23:$B$12292,$B145,'Besi Balok'!$F$23:$F$12292,'REKAP Balok'!Q$12)</f>
        <v>0</v>
      </c>
      <c r="R145">
        <f>SUMIFS('Besi Balok'!$AA$23:$AA$12292,'Besi Balok'!$A$23:$A$12292,$A145,'Besi Balok'!$B$23:$B$12292,$B145,'Besi Balok'!$F$23:$F$12292,'REKAP Balok'!R$12)</f>
        <v>0</v>
      </c>
      <c r="S145">
        <f>SUMIFS('Besi Balok'!$AA$23:$AA$12292,'Besi Balok'!$A$23:$A$12292,$A145,'Besi Balok'!$B$23:$B$12292,$B145,'Besi Balok'!$F$23:$F$12292,'REKAP Balok'!S$12)</f>
        <v>0</v>
      </c>
      <c r="T145">
        <f>SUMIFS('Besi Balok'!$AA$23:$AA$12292,'Besi Balok'!$A$23:$A$12292,$A145,'Besi Balok'!$B$23:$B$12292,$B145,'Besi Balok'!$F$23:$F$12292,'REKAP Balok'!T$12)</f>
        <v>0</v>
      </c>
      <c r="U145">
        <f>SUM(L145:T145)</f>
        <v>29.02893822</v>
      </c>
      <c r="V145">
        <f>(D145*(F145-H145)*G145*K145)/1000000000</f>
        <v>0.20064</v>
      </c>
      <c r="W145">
        <f>(((F145-H145)*2+D145)*(G145)*K145)/1000000</f>
        <v>2.6334</v>
      </c>
      <c r="AC145">
        <f>(D145+2*$F$5)*F145*G145/1000000000</f>
        <v>0.5643</v>
      </c>
    </row>
    <row r="146">
      <c r="A146" t="str">
        <f>'Data Panjang Balok'!A143</f>
        <v>Lantai 1</v>
      </c>
      <c r="B146">
        <f>'Data Panjang Balok'!B143</f>
        <v>35</v>
      </c>
      <c r="C146" t="str">
        <f>'Data Panjang Balok'!D143</f>
        <v>B47-1</v>
      </c>
      <c r="D146">
        <f>IF(C146&gt;0,VLOOKUP(C146,'Detail Balok'!$C$11:$AU$110,2,FALSE),0)</f>
        <v>400</v>
      </c>
      <c r="E146" t="str">
        <v>x</v>
      </c>
      <c r="F146">
        <f>IF(C146&gt;0,VLOOKUP(C146,'Detail Balok'!$C$11:$AU$110,3,FALSE),0)</f>
        <v>700</v>
      </c>
      <c r="G146">
        <f>'Data Panjang Balok'!I143</f>
        <v>4585</v>
      </c>
      <c r="H146">
        <f>'Data Panjang Balok'!J143</f>
        <v>130</v>
      </c>
      <c r="J146">
        <f>I146-F146/1000</f>
        <v>-0.7</v>
      </c>
      <c r="K146">
        <f>'Data Panjang Balok'!E143</f>
        <v>1</v>
      </c>
      <c r="L146">
        <f>SUMIFS('Besi Balok'!$AA$23:$AA$12292,'Besi Balok'!$A$23:$A$12292,$A146,'Besi Balok'!$B$23:$B$12292,$B146,'Besi Balok'!$F$23:$F$12292,'REKAP Balok'!L$12)</f>
        <v>0</v>
      </c>
      <c r="M146">
        <f>SUMIFS('Besi Balok'!$AA$23:$AA$12292,'Besi Balok'!$A$23:$A$12292,$A146,'Besi Balok'!$B$23:$B$12292,$B146,'Besi Balok'!$F$23:$F$12292,'REKAP Balok'!M$12)</f>
        <v>0</v>
      </c>
      <c r="N146">
        <f>SUMIFS('Besi Balok'!$AA$23:$AA$12292,'Besi Balok'!$A$23:$A$12292,$A146,'Besi Balok'!$B$23:$B$12292,$B146,'Besi Balok'!$F$23:$F$12292,'REKAP Balok'!N$12)</f>
        <v>5.949225000000001</v>
      </c>
      <c r="O146">
        <f>SUMIFS('Besi Balok'!$AA$23:$AA$12292,'Besi Balok'!$A$23:$A$12292,$A146,'Besi Balok'!$B$23:$B$12292,$B146,'Besi Balok'!$F$23:$F$12292,'REKAP Balok'!O$12)</f>
        <v>103.94261513999999</v>
      </c>
      <c r="P146">
        <f>SUMIFS('Besi Balok'!$AA$23:$AA$12292,'Besi Balok'!$A$23:$A$12292,$A146,'Besi Balok'!$B$23:$B$12292,$B146,'Besi Balok'!$F$23:$F$12292,'REKAP Balok'!P$12)</f>
        <v>111.50817984000001</v>
      </c>
      <c r="Q146">
        <f>SUMIFS('Besi Balok'!$AA$23:$AA$12292,'Besi Balok'!$A$23:$A$12292,$A146,'Besi Balok'!$B$23:$B$12292,$B146,'Besi Balok'!$F$23:$F$12292,'REKAP Balok'!Q$12)</f>
        <v>0</v>
      </c>
      <c r="R146">
        <f>SUMIFS('Besi Balok'!$AA$23:$AA$12292,'Besi Balok'!$A$23:$A$12292,$A146,'Besi Balok'!$B$23:$B$12292,$B146,'Besi Balok'!$F$23:$F$12292,'REKAP Balok'!R$12)</f>
        <v>0</v>
      </c>
      <c r="S146">
        <f>SUMIFS('Besi Balok'!$AA$23:$AA$12292,'Besi Balok'!$A$23:$A$12292,$A146,'Besi Balok'!$B$23:$B$12292,$B146,'Besi Balok'!$F$23:$F$12292,'REKAP Balok'!S$12)</f>
        <v>0</v>
      </c>
      <c r="T146">
        <f>SUMIFS('Besi Balok'!$AA$23:$AA$12292,'Besi Balok'!$A$23:$A$12292,$A146,'Besi Balok'!$B$23:$B$12292,$B146,'Besi Balok'!$F$23:$F$12292,'REKAP Balok'!T$12)</f>
        <v>0</v>
      </c>
      <c r="U146">
        <f>SUM(L146:T146)</f>
        <v>221.40001998</v>
      </c>
      <c r="V146">
        <f>(D146*(F146-H146)*G146*K146)/1000000000</f>
        <v>1.04538</v>
      </c>
      <c r="W146">
        <f>(((F146-H146)*2+D146)*(G146)*K146)/1000000</f>
        <v>7.0609</v>
      </c>
      <c r="AC146">
        <f>(D146+2*$F$5)*F146*G146/1000000000</f>
        <v>1.9257</v>
      </c>
    </row>
    <row r="147">
      <c r="A147" t="str">
        <f>'Data Panjang Balok'!A144</f>
        <v>Lantai 1</v>
      </c>
      <c r="B147">
        <f>'Data Panjang Balok'!B144</f>
        <v>36</v>
      </c>
      <c r="C147" t="str">
        <f>'Data Panjang Balok'!D144</f>
        <v>B47-1</v>
      </c>
      <c r="D147">
        <f>IF(C147&gt;0,VLOOKUP(C147,'Detail Balok'!$C$11:$AU$110,2,FALSE),0)</f>
        <v>400</v>
      </c>
      <c r="E147" t="str">
        <v>x</v>
      </c>
      <c r="F147">
        <f>IF(C147&gt;0,VLOOKUP(C147,'Detail Balok'!$C$11:$AU$110,3,FALSE),0)</f>
        <v>700</v>
      </c>
      <c r="G147">
        <f>'Data Panjang Balok'!I144</f>
        <v>6500</v>
      </c>
      <c r="H147">
        <f>'Data Panjang Balok'!J144</f>
        <v>130</v>
      </c>
      <c r="J147">
        <f>I147-F147/1000</f>
        <v>-0.7</v>
      </c>
      <c r="K147">
        <f>'Data Panjang Balok'!E144</f>
        <v>1</v>
      </c>
      <c r="L147">
        <f>SUMIFS('Besi Balok'!$AA$23:$AA$12292,'Besi Balok'!$A$23:$A$12292,$A147,'Besi Balok'!$B$23:$B$12292,$B147,'Besi Balok'!$F$23:$F$12292,'REKAP Balok'!L$12)</f>
        <v>0</v>
      </c>
      <c r="M147">
        <f>SUMIFS('Besi Balok'!$AA$23:$AA$12292,'Besi Balok'!$A$23:$A$12292,$A147,'Besi Balok'!$B$23:$B$12292,$B147,'Besi Balok'!$F$23:$F$12292,'REKAP Balok'!M$12)</f>
        <v>0</v>
      </c>
      <c r="N147">
        <f>SUMIFS('Besi Balok'!$AA$23:$AA$12292,'Besi Balok'!$A$23:$A$12292,$A147,'Besi Balok'!$B$23:$B$12292,$B147,'Besi Balok'!$F$23:$F$12292,'REKAP Balok'!N$12)</f>
        <v>8.31042</v>
      </c>
      <c r="O147">
        <f>SUMIFS('Besi Balok'!$AA$23:$AA$12292,'Besi Balok'!$A$23:$A$12292,$A147,'Besi Balok'!$B$23:$B$12292,$B147,'Besi Balok'!$F$23:$F$12292,'REKAP Balok'!O$12)</f>
        <v>131.51922731999997</v>
      </c>
      <c r="P147">
        <f>SUMIFS('Besi Balok'!$AA$23:$AA$12292,'Besi Balok'!$A$23:$A$12292,$A147,'Besi Balok'!$B$23:$B$12292,$B147,'Besi Balok'!$F$23:$F$12292,'REKAP Balok'!P$12)</f>
        <v>154.72749312000002</v>
      </c>
      <c r="Q147">
        <f>SUMIFS('Besi Balok'!$AA$23:$AA$12292,'Besi Balok'!$A$23:$A$12292,$A147,'Besi Balok'!$B$23:$B$12292,$B147,'Besi Balok'!$F$23:$F$12292,'REKAP Balok'!Q$12)</f>
        <v>0</v>
      </c>
      <c r="R147">
        <f>SUMIFS('Besi Balok'!$AA$23:$AA$12292,'Besi Balok'!$A$23:$A$12292,$A147,'Besi Balok'!$B$23:$B$12292,$B147,'Besi Balok'!$F$23:$F$12292,'REKAP Balok'!R$12)</f>
        <v>0</v>
      </c>
      <c r="S147">
        <f>SUMIFS('Besi Balok'!$AA$23:$AA$12292,'Besi Balok'!$A$23:$A$12292,$A147,'Besi Balok'!$B$23:$B$12292,$B147,'Besi Balok'!$F$23:$F$12292,'REKAP Balok'!S$12)</f>
        <v>0</v>
      </c>
      <c r="T147">
        <f>SUMIFS('Besi Balok'!$AA$23:$AA$12292,'Besi Balok'!$A$23:$A$12292,$A147,'Besi Balok'!$B$23:$B$12292,$B147,'Besi Balok'!$F$23:$F$12292,'REKAP Balok'!T$12)</f>
        <v>0</v>
      </c>
      <c r="U147">
        <f>SUM(L147:T147)</f>
        <v>294.55714044</v>
      </c>
      <c r="V147">
        <f>(D147*(F147-H147)*G147*K147)/1000000000</f>
        <v>1.482</v>
      </c>
      <c r="W147">
        <f>(((F147-H147)*2+D147)*(G147)*K147)/1000000</f>
        <v>10.01</v>
      </c>
      <c r="AC147">
        <f>(D147+2*$F$5)*F147*G147/1000000000</f>
        <v>2.73</v>
      </c>
    </row>
    <row r="148">
      <c r="A148" t="str">
        <f>'Data Panjang Balok'!A145</f>
        <v>Lantai 1</v>
      </c>
      <c r="B148">
        <f>'Data Panjang Balok'!B145</f>
        <v>37</v>
      </c>
      <c r="C148" t="str">
        <f>'Data Panjang Balok'!D145</f>
        <v>B23-1</v>
      </c>
      <c r="D148">
        <f>IF(C148&gt;0,VLOOKUP(C148,'Detail Balok'!$C$11:$AU$110,2,FALSE),0)</f>
        <v>200</v>
      </c>
      <c r="E148" t="str">
        <v>x</v>
      </c>
      <c r="F148">
        <f>IF(C148&gt;0,VLOOKUP(C148,'Detail Balok'!$C$11:$AU$110,3,FALSE),0)</f>
        <v>300</v>
      </c>
      <c r="G148">
        <f>'Data Panjang Balok'!I145</f>
        <v>1350</v>
      </c>
      <c r="H148">
        <f>'Data Panjang Balok'!J145</f>
        <v>150</v>
      </c>
      <c r="J148">
        <f>I148-F148/1000</f>
        <v>-0.3</v>
      </c>
      <c r="K148">
        <f>'Data Panjang Balok'!E145</f>
        <v>1</v>
      </c>
      <c r="L148">
        <f>SUMIFS('Besi Balok'!$AA$23:$AA$12292,'Besi Balok'!$A$23:$A$12292,$A148,'Besi Balok'!$B$23:$B$12292,$B148,'Besi Balok'!$F$23:$F$12292,'REKAP Balok'!L$12)</f>
        <v>0</v>
      </c>
      <c r="M148">
        <f>SUMIFS('Besi Balok'!$AA$23:$AA$12292,'Besi Balok'!$A$23:$A$12292,$A148,'Besi Balok'!$B$23:$B$12292,$B148,'Besi Balok'!$F$23:$F$12292,'REKAP Balok'!M$12)</f>
        <v>4.912272</v>
      </c>
      <c r="N148">
        <f>SUMIFS('Besi Balok'!$AA$23:$AA$12292,'Besi Balok'!$A$23:$A$12292,$A148,'Besi Balok'!$B$23:$B$12292,$B148,'Besi Balok'!$F$23:$F$12292,'REKAP Balok'!N$12)</f>
        <v>0</v>
      </c>
      <c r="O148">
        <f>SUMIFS('Besi Balok'!$AA$23:$AA$12292,'Besi Balok'!$A$23:$A$12292,$A148,'Besi Balok'!$B$23:$B$12292,$B148,'Besi Balok'!$F$23:$F$12292,'REKAP Balok'!O$12)</f>
        <v>6.92645148</v>
      </c>
      <c r="P148">
        <f>SUMIFS('Besi Balok'!$AA$23:$AA$12292,'Besi Balok'!$A$23:$A$12292,$A148,'Besi Balok'!$B$23:$B$12292,$B148,'Besi Balok'!$F$23:$F$12292,'REKAP Balok'!P$12)</f>
        <v>0</v>
      </c>
      <c r="Q148">
        <f>SUMIFS('Besi Balok'!$AA$23:$AA$12292,'Besi Balok'!$A$23:$A$12292,$A148,'Besi Balok'!$B$23:$B$12292,$B148,'Besi Balok'!$F$23:$F$12292,'REKAP Balok'!Q$12)</f>
        <v>0</v>
      </c>
      <c r="R148">
        <f>SUMIFS('Besi Balok'!$AA$23:$AA$12292,'Besi Balok'!$A$23:$A$12292,$A148,'Besi Balok'!$B$23:$B$12292,$B148,'Besi Balok'!$F$23:$F$12292,'REKAP Balok'!R$12)</f>
        <v>0</v>
      </c>
      <c r="S148">
        <f>SUMIFS('Besi Balok'!$AA$23:$AA$12292,'Besi Balok'!$A$23:$A$12292,$A148,'Besi Balok'!$B$23:$B$12292,$B148,'Besi Balok'!$F$23:$F$12292,'REKAP Balok'!S$12)</f>
        <v>0</v>
      </c>
      <c r="T148">
        <f>SUMIFS('Besi Balok'!$AA$23:$AA$12292,'Besi Balok'!$A$23:$A$12292,$A148,'Besi Balok'!$B$23:$B$12292,$B148,'Besi Balok'!$F$23:$F$12292,'REKAP Balok'!T$12)</f>
        <v>0</v>
      </c>
      <c r="U148">
        <f>SUM(L148:T148)</f>
        <v>11.838723479999999</v>
      </c>
      <c r="V148">
        <f>(D148*(F148-H148)*G148*K148)/1000000000</f>
        <v>0.0405</v>
      </c>
      <c r="W148">
        <f>(((F148-H148)*2+D148)*(G148)*K148)/1000000</f>
        <v>0.675</v>
      </c>
      <c r="AC148">
        <f>(D148+2*$F$5)*F148*G148/1000000000</f>
        <v>0.162</v>
      </c>
    </row>
    <row r="149">
      <c r="A149" t="str">
        <f>'Data Panjang Balok'!A146</f>
        <v>Lantai 1</v>
      </c>
      <c r="B149">
        <f>'Data Panjang Balok'!B146</f>
        <v>38</v>
      </c>
      <c r="C149" t="str">
        <f>'Data Panjang Balok'!D146</f>
        <v>B24-2</v>
      </c>
      <c r="D149">
        <f>IF(C149&gt;0,VLOOKUP(C149,'Detail Balok'!$C$11:$AU$110,2,FALSE),0)</f>
        <v>200</v>
      </c>
      <c r="E149" t="str">
        <v>x</v>
      </c>
      <c r="F149">
        <f>IF(C149&gt;0,VLOOKUP(C149,'Detail Balok'!$C$11:$AU$110,3,FALSE),0)</f>
        <v>400</v>
      </c>
      <c r="G149">
        <f>'Data Panjang Balok'!I146</f>
        <v>5535</v>
      </c>
      <c r="H149">
        <f>'Data Panjang Balok'!J146</f>
        <v>0</v>
      </c>
      <c r="J149">
        <f>I149-F149/1000</f>
        <v>-0.4</v>
      </c>
      <c r="K149">
        <f>'Data Panjang Balok'!E146</f>
        <v>1</v>
      </c>
      <c r="L149">
        <f>SUMIFS('Besi Balok'!$AA$23:$AA$12292,'Besi Balok'!$A$23:$A$12292,$A149,'Besi Balok'!$B$23:$B$12292,$B149,'Besi Balok'!$F$23:$F$12292,'REKAP Balok'!L$12)</f>
        <v>0</v>
      </c>
      <c r="M149">
        <f>SUMIFS('Besi Balok'!$AA$23:$AA$12292,'Besi Balok'!$A$23:$A$12292,$A149,'Besi Balok'!$B$23:$B$12292,$B149,'Besi Balok'!$F$23:$F$12292,'REKAP Balok'!M$12)</f>
        <v>17.881459200000002</v>
      </c>
      <c r="N149">
        <f>SUMIFS('Besi Balok'!$AA$23:$AA$12292,'Besi Balok'!$A$23:$A$12292,$A149,'Besi Balok'!$B$23:$B$12292,$B149,'Besi Balok'!$F$23:$F$12292,'REKAP Balok'!N$12)</f>
        <v>0</v>
      </c>
      <c r="O149">
        <f>SUMIFS('Besi Balok'!$AA$23:$AA$12292,'Besi Balok'!$A$23:$A$12292,$A149,'Besi Balok'!$B$23:$B$12292,$B149,'Besi Balok'!$F$23:$F$12292,'REKAP Balok'!O$12)</f>
        <v>0</v>
      </c>
      <c r="P149">
        <f>SUMIFS('Besi Balok'!$AA$23:$AA$12292,'Besi Balok'!$A$23:$A$12292,$A149,'Besi Balok'!$B$23:$B$12292,$B149,'Besi Balok'!$F$23:$F$12292,'REKAP Balok'!P$12)</f>
        <v>37.36641024000001</v>
      </c>
      <c r="Q149">
        <f>SUMIFS('Besi Balok'!$AA$23:$AA$12292,'Besi Balok'!$A$23:$A$12292,$A149,'Besi Balok'!$B$23:$B$12292,$B149,'Besi Balok'!$F$23:$F$12292,'REKAP Balok'!Q$12)</f>
        <v>0</v>
      </c>
      <c r="R149">
        <f>SUMIFS('Besi Balok'!$AA$23:$AA$12292,'Besi Balok'!$A$23:$A$12292,$A149,'Besi Balok'!$B$23:$B$12292,$B149,'Besi Balok'!$F$23:$F$12292,'REKAP Balok'!R$12)</f>
        <v>0</v>
      </c>
      <c r="S149">
        <f>SUMIFS('Besi Balok'!$AA$23:$AA$12292,'Besi Balok'!$A$23:$A$12292,$A149,'Besi Balok'!$B$23:$B$12292,$B149,'Besi Balok'!$F$23:$F$12292,'REKAP Balok'!S$12)</f>
        <v>0</v>
      </c>
      <c r="T149">
        <f>SUMIFS('Besi Balok'!$AA$23:$AA$12292,'Besi Balok'!$A$23:$A$12292,$A149,'Besi Balok'!$B$23:$B$12292,$B149,'Besi Balok'!$F$23:$F$12292,'REKAP Balok'!T$12)</f>
        <v>0</v>
      </c>
      <c r="U149">
        <f>SUM(L149:T149)</f>
        <v>55.24786944000001</v>
      </c>
      <c r="V149">
        <f>(D149*(F149-H149)*G149*K149)/1000000000</f>
        <v>0.4428</v>
      </c>
      <c r="W149">
        <f>(((F149-H149)*2+D149)*(G149)*K149)/1000000</f>
        <v>5.535</v>
      </c>
      <c r="AC149">
        <f>(D149+2*$F$5)*F149*G149/1000000000</f>
        <v>0.8856</v>
      </c>
    </row>
    <row r="150">
      <c r="A150" t="str">
        <f>'Data Panjang Balok'!A147</f>
        <v>Lantai 1</v>
      </c>
      <c r="B150">
        <f>'Data Panjang Balok'!B147</f>
        <v>39</v>
      </c>
      <c r="C150" t="str">
        <f>'Data Panjang Balok'!D147</f>
        <v>B24-2</v>
      </c>
      <c r="D150">
        <f>IF(C150&gt;0,VLOOKUP(C150,'Detail Balok'!$C$11:$AU$110,2,FALSE),0)</f>
        <v>200</v>
      </c>
      <c r="E150" t="str">
        <v>x</v>
      </c>
      <c r="F150">
        <f>IF(C150&gt;0,VLOOKUP(C150,'Detail Balok'!$C$11:$AU$110,3,FALSE),0)</f>
        <v>400</v>
      </c>
      <c r="G150">
        <f>'Data Panjang Balok'!I147</f>
        <v>5535</v>
      </c>
      <c r="H150">
        <f>'Data Panjang Balok'!J147</f>
        <v>0</v>
      </c>
      <c r="J150">
        <f>I150-F150/1000</f>
        <v>-0.4</v>
      </c>
      <c r="K150">
        <f>'Data Panjang Balok'!E147</f>
        <v>1</v>
      </c>
      <c r="L150">
        <f>SUMIFS('Besi Balok'!$AA$23:$AA$12292,'Besi Balok'!$A$23:$A$12292,$A150,'Besi Balok'!$B$23:$B$12292,$B150,'Besi Balok'!$F$23:$F$12292,'REKAP Balok'!L$12)</f>
        <v>0</v>
      </c>
      <c r="M150">
        <f>SUMIFS('Besi Balok'!$AA$23:$AA$12292,'Besi Balok'!$A$23:$A$12292,$A150,'Besi Balok'!$B$23:$B$12292,$B150,'Besi Balok'!$F$23:$F$12292,'REKAP Balok'!M$12)</f>
        <v>17.881459200000002</v>
      </c>
      <c r="N150">
        <f>SUMIFS('Besi Balok'!$AA$23:$AA$12292,'Besi Balok'!$A$23:$A$12292,$A150,'Besi Balok'!$B$23:$B$12292,$B150,'Besi Balok'!$F$23:$F$12292,'REKAP Balok'!N$12)</f>
        <v>0</v>
      </c>
      <c r="O150">
        <f>SUMIFS('Besi Balok'!$AA$23:$AA$12292,'Besi Balok'!$A$23:$A$12292,$A150,'Besi Balok'!$B$23:$B$12292,$B150,'Besi Balok'!$F$23:$F$12292,'REKAP Balok'!O$12)</f>
        <v>0</v>
      </c>
      <c r="P150">
        <f>SUMIFS('Besi Balok'!$AA$23:$AA$12292,'Besi Balok'!$A$23:$A$12292,$A150,'Besi Balok'!$B$23:$B$12292,$B150,'Besi Balok'!$F$23:$F$12292,'REKAP Balok'!P$12)</f>
        <v>37.36641024000001</v>
      </c>
      <c r="Q150">
        <f>SUMIFS('Besi Balok'!$AA$23:$AA$12292,'Besi Balok'!$A$23:$A$12292,$A150,'Besi Balok'!$B$23:$B$12292,$B150,'Besi Balok'!$F$23:$F$12292,'REKAP Balok'!Q$12)</f>
        <v>0</v>
      </c>
      <c r="R150">
        <f>SUMIFS('Besi Balok'!$AA$23:$AA$12292,'Besi Balok'!$A$23:$A$12292,$A150,'Besi Balok'!$B$23:$B$12292,$B150,'Besi Balok'!$F$23:$F$12292,'REKAP Balok'!R$12)</f>
        <v>0</v>
      </c>
      <c r="S150">
        <f>SUMIFS('Besi Balok'!$AA$23:$AA$12292,'Besi Balok'!$A$23:$A$12292,$A150,'Besi Balok'!$B$23:$B$12292,$B150,'Besi Balok'!$F$23:$F$12292,'REKAP Balok'!S$12)</f>
        <v>0</v>
      </c>
      <c r="T150">
        <f>SUMIFS('Besi Balok'!$AA$23:$AA$12292,'Besi Balok'!$A$23:$A$12292,$A150,'Besi Balok'!$B$23:$B$12292,$B150,'Besi Balok'!$F$23:$F$12292,'REKAP Balok'!T$12)</f>
        <v>0</v>
      </c>
      <c r="U150">
        <f>SUM(L150:T150)</f>
        <v>55.24786944000001</v>
      </c>
      <c r="V150">
        <f>(D150*(F150-H150)*G150*K150)/1000000000</f>
        <v>0.4428</v>
      </c>
      <c r="W150">
        <f>(((F150-H150)*2+D150)*(G150)*K150)/1000000</f>
        <v>5.535</v>
      </c>
      <c r="AC150">
        <f>(D150+2*$F$5)*F150*G150/1000000000</f>
        <v>0.8856</v>
      </c>
    </row>
    <row r="151">
      <c r="A151" t="str">
        <f>'Data Panjang Balok'!A148</f>
        <v>Lantai 1</v>
      </c>
      <c r="B151">
        <f>'Data Panjang Balok'!B148</f>
        <v>40</v>
      </c>
      <c r="C151" t="str">
        <f>'Data Panjang Balok'!D148</f>
        <v>B24-1</v>
      </c>
      <c r="D151">
        <f>IF(C151&gt;0,VLOOKUP(C151,'Detail Balok'!$C$11:$AU$110,2,FALSE),0)</f>
        <v>200</v>
      </c>
      <c r="E151" t="str">
        <v>x</v>
      </c>
      <c r="F151">
        <f>IF(C151&gt;0,VLOOKUP(C151,'Detail Balok'!$C$11:$AU$110,3,FALSE),0)</f>
        <v>400</v>
      </c>
      <c r="G151">
        <f>'Data Panjang Balok'!I148</f>
        <v>5535</v>
      </c>
      <c r="H151">
        <f>'Data Panjang Balok'!J148</f>
        <v>0</v>
      </c>
      <c r="J151">
        <f>I151-F151/1000</f>
        <v>-0.4</v>
      </c>
      <c r="K151">
        <f>'Data Panjang Balok'!E148</f>
        <v>1</v>
      </c>
      <c r="L151">
        <f>SUMIFS('Besi Balok'!$AA$23:$AA$12292,'Besi Balok'!$A$23:$A$12292,$A151,'Besi Balok'!$B$23:$B$12292,$B151,'Besi Balok'!$F$23:$F$12292,'REKAP Balok'!L$12)</f>
        <v>0</v>
      </c>
      <c r="M151">
        <f>SUMIFS('Besi Balok'!$AA$23:$AA$12292,'Besi Balok'!$A$23:$A$12292,$A151,'Besi Balok'!$B$23:$B$12292,$B151,'Besi Balok'!$F$23:$F$12292,'REKAP Balok'!M$12)</f>
        <v>17.881459200000002</v>
      </c>
      <c r="N151">
        <f>SUMIFS('Besi Balok'!$AA$23:$AA$12292,'Besi Balok'!$A$23:$A$12292,$A151,'Besi Balok'!$B$23:$B$12292,$B151,'Besi Balok'!$F$23:$F$12292,'REKAP Balok'!N$12)</f>
        <v>0</v>
      </c>
      <c r="O151">
        <f>SUMIFS('Besi Balok'!$AA$23:$AA$12292,'Besi Balok'!$A$23:$A$12292,$A151,'Besi Balok'!$B$23:$B$12292,$B151,'Besi Balok'!$F$23:$F$12292,'REKAP Balok'!O$12)</f>
        <v>24.367606379999998</v>
      </c>
      <c r="P151">
        <f>SUMIFS('Besi Balok'!$AA$23:$AA$12292,'Besi Balok'!$A$23:$A$12292,$A151,'Besi Balok'!$B$23:$B$12292,$B151,'Besi Balok'!$F$23:$F$12292,'REKAP Balok'!P$12)</f>
        <v>0</v>
      </c>
      <c r="Q151">
        <f>SUMIFS('Besi Balok'!$AA$23:$AA$12292,'Besi Balok'!$A$23:$A$12292,$A151,'Besi Balok'!$B$23:$B$12292,$B151,'Besi Balok'!$F$23:$F$12292,'REKAP Balok'!Q$12)</f>
        <v>0</v>
      </c>
      <c r="R151">
        <f>SUMIFS('Besi Balok'!$AA$23:$AA$12292,'Besi Balok'!$A$23:$A$12292,$A151,'Besi Balok'!$B$23:$B$12292,$B151,'Besi Balok'!$F$23:$F$12292,'REKAP Balok'!R$12)</f>
        <v>0</v>
      </c>
      <c r="S151">
        <f>SUMIFS('Besi Balok'!$AA$23:$AA$12292,'Besi Balok'!$A$23:$A$12292,$A151,'Besi Balok'!$B$23:$B$12292,$B151,'Besi Balok'!$F$23:$F$12292,'REKAP Balok'!S$12)</f>
        <v>0</v>
      </c>
      <c r="T151">
        <f>SUMIFS('Besi Balok'!$AA$23:$AA$12292,'Besi Balok'!$A$23:$A$12292,$A151,'Besi Balok'!$B$23:$B$12292,$B151,'Besi Balok'!$F$23:$F$12292,'REKAP Balok'!T$12)</f>
        <v>0</v>
      </c>
      <c r="U151">
        <f>SUM(L151:T151)</f>
        <v>42.24906558</v>
      </c>
      <c r="V151">
        <f>(D151*(F151-H151)*G151*K151)/1000000000</f>
        <v>0.4428</v>
      </c>
      <c r="W151">
        <f>(((F151-H151)*2+D151)*(G151)*K151)/1000000</f>
        <v>5.535</v>
      </c>
      <c r="AC151">
        <f>(D151+2*$F$5)*F151*G151/1000000000</f>
        <v>0.8856</v>
      </c>
    </row>
    <row r="152">
      <c r="A152" t="str">
        <f>'Data Panjang Balok'!A149</f>
        <v>Lantai 1</v>
      </c>
      <c r="B152">
        <f>'Data Panjang Balok'!B149</f>
        <v>41</v>
      </c>
      <c r="C152" t="str">
        <f>'Data Panjang Balok'!D149</f>
        <v>B24-1</v>
      </c>
      <c r="D152">
        <f>IF(C152&gt;0,VLOOKUP(C152,'Detail Balok'!$C$11:$AU$110,2,FALSE),0)</f>
        <v>200</v>
      </c>
      <c r="E152" t="str">
        <v>x</v>
      </c>
      <c r="F152">
        <f>IF(C152&gt;0,VLOOKUP(C152,'Detail Balok'!$C$11:$AU$110,3,FALSE),0)</f>
        <v>400</v>
      </c>
      <c r="G152">
        <f>'Data Panjang Balok'!I149</f>
        <v>3385</v>
      </c>
      <c r="H152">
        <f>'Data Panjang Balok'!J149</f>
        <v>0</v>
      </c>
      <c r="J152">
        <f>I152-F152/1000</f>
        <v>-0.4</v>
      </c>
      <c r="K152">
        <f>'Data Panjang Balok'!E149</f>
        <v>1</v>
      </c>
      <c r="L152">
        <f>SUMIFS('Besi Balok'!$AA$23:$AA$12292,'Besi Balok'!$A$23:$A$12292,$A152,'Besi Balok'!$B$23:$B$12292,$B152,'Besi Balok'!$F$23:$F$12292,'REKAP Balok'!L$12)</f>
        <v>0</v>
      </c>
      <c r="M152">
        <f>SUMIFS('Besi Balok'!$AA$23:$AA$12292,'Besi Balok'!$A$23:$A$12292,$A152,'Besi Balok'!$B$23:$B$12292,$B152,'Besi Balok'!$F$23:$F$12292,'REKAP Balok'!M$12)</f>
        <v>10.566316800000003</v>
      </c>
      <c r="N152">
        <f>SUMIFS('Besi Balok'!$AA$23:$AA$12292,'Besi Balok'!$A$23:$A$12292,$A152,'Besi Balok'!$B$23:$B$12292,$B152,'Besi Balok'!$F$23:$F$12292,'REKAP Balok'!N$12)</f>
        <v>0</v>
      </c>
      <c r="O152">
        <f>SUMIFS('Besi Balok'!$AA$23:$AA$12292,'Besi Balok'!$A$23:$A$12292,$A152,'Besi Balok'!$B$23:$B$12292,$B152,'Besi Balok'!$F$23:$F$12292,'REKAP Balok'!O$12)</f>
        <v>15.407395379999999</v>
      </c>
      <c r="P152">
        <f>SUMIFS('Besi Balok'!$AA$23:$AA$12292,'Besi Balok'!$A$23:$A$12292,$A152,'Besi Balok'!$B$23:$B$12292,$B152,'Besi Balok'!$F$23:$F$12292,'REKAP Balok'!P$12)</f>
        <v>0</v>
      </c>
      <c r="Q152">
        <f>SUMIFS('Besi Balok'!$AA$23:$AA$12292,'Besi Balok'!$A$23:$A$12292,$A152,'Besi Balok'!$B$23:$B$12292,$B152,'Besi Balok'!$F$23:$F$12292,'REKAP Balok'!Q$12)</f>
        <v>0</v>
      </c>
      <c r="R152">
        <f>SUMIFS('Besi Balok'!$AA$23:$AA$12292,'Besi Balok'!$A$23:$A$12292,$A152,'Besi Balok'!$B$23:$B$12292,$B152,'Besi Balok'!$F$23:$F$12292,'REKAP Balok'!R$12)</f>
        <v>0</v>
      </c>
      <c r="S152">
        <f>SUMIFS('Besi Balok'!$AA$23:$AA$12292,'Besi Balok'!$A$23:$A$12292,$A152,'Besi Balok'!$B$23:$B$12292,$B152,'Besi Balok'!$F$23:$F$12292,'REKAP Balok'!S$12)</f>
        <v>0</v>
      </c>
      <c r="T152">
        <f>SUMIFS('Besi Balok'!$AA$23:$AA$12292,'Besi Balok'!$A$23:$A$12292,$A152,'Besi Balok'!$B$23:$B$12292,$B152,'Besi Balok'!$F$23:$F$12292,'REKAP Balok'!T$12)</f>
        <v>0</v>
      </c>
      <c r="U152">
        <f>SUM(L152:T152)</f>
        <v>25.97371218</v>
      </c>
      <c r="V152">
        <f>(D152*(F152-H152)*G152*K152)/1000000000</f>
        <v>0.2708</v>
      </c>
      <c r="W152">
        <f>(((F152-H152)*2+D152)*(G152)*K152)/1000000</f>
        <v>3.385</v>
      </c>
      <c r="AC152">
        <f>(D152+2*$F$5)*F152*G152/1000000000</f>
        <v>0.5416</v>
      </c>
    </row>
    <row r="153">
      <c r="A153" t="str">
        <f>'Data Panjang Balok'!A150</f>
        <v>Lantai 1</v>
      </c>
      <c r="B153">
        <f>'Data Panjang Balok'!B150</f>
        <v>42</v>
      </c>
      <c r="C153" t="str">
        <f>'Data Panjang Balok'!D150</f>
        <v>B245-4</v>
      </c>
      <c r="D153">
        <f>IF(C153&gt;0,VLOOKUP(C153,'Detail Balok'!$C$11:$AU$110,2,FALSE),0)</f>
        <v>200</v>
      </c>
      <c r="E153" t="str">
        <v>x</v>
      </c>
      <c r="F153">
        <f>IF(C153&gt;0,VLOOKUP(C153,'Detail Balok'!$C$11:$AU$110,3,FALSE),0)</f>
        <v>450</v>
      </c>
      <c r="G153">
        <f>'Data Panjang Balok'!I150</f>
        <v>7100</v>
      </c>
      <c r="H153">
        <f>'Data Panjang Balok'!J150</f>
        <v>150</v>
      </c>
      <c r="J153">
        <f>I153-F153/1000</f>
        <v>-0.45</v>
      </c>
      <c r="K153">
        <f>'Data Panjang Balok'!E150</f>
        <v>1</v>
      </c>
      <c r="L153">
        <f>SUMIFS('Besi Balok'!$AA$23:$AA$12292,'Besi Balok'!$A$23:$A$12292,$A153,'Besi Balok'!$B$23:$B$12292,$B153,'Besi Balok'!$F$23:$F$12292,'REKAP Balok'!L$12)</f>
        <v>0</v>
      </c>
      <c r="M153">
        <f>SUMIFS('Besi Balok'!$AA$23:$AA$12292,'Besi Balok'!$A$23:$A$12292,$A153,'Besi Balok'!$B$23:$B$12292,$B153,'Besi Balok'!$F$23:$F$12292,'REKAP Balok'!M$12)</f>
        <v>30.72201984</v>
      </c>
      <c r="N153">
        <f>SUMIFS('Besi Balok'!$AA$23:$AA$12292,'Besi Balok'!$A$23:$A$12292,$A153,'Besi Balok'!$B$23:$B$12292,$B153,'Besi Balok'!$F$23:$F$12292,'REKAP Balok'!N$12)</f>
        <v>0</v>
      </c>
      <c r="O153">
        <f>SUMIFS('Besi Balok'!$AA$23:$AA$12292,'Besi Balok'!$A$23:$A$12292,$A153,'Besi Balok'!$B$23:$B$12292,$B153,'Besi Balok'!$F$23:$F$12292,'REKAP Balok'!O$12)</f>
        <v>0</v>
      </c>
      <c r="P153">
        <f>SUMIFS('Besi Balok'!$AA$23:$AA$12292,'Besi Balok'!$A$23:$A$12292,$A153,'Besi Balok'!$B$23:$B$12292,$B153,'Besi Balok'!$F$23:$F$12292,'REKAP Balok'!P$12)</f>
        <v>70.86928895999999</v>
      </c>
      <c r="Q153">
        <f>SUMIFS('Besi Balok'!$AA$23:$AA$12292,'Besi Balok'!$A$23:$A$12292,$A153,'Besi Balok'!$B$23:$B$12292,$B153,'Besi Balok'!$F$23:$F$12292,'REKAP Balok'!Q$12)</f>
        <v>0</v>
      </c>
      <c r="R153">
        <f>SUMIFS('Besi Balok'!$AA$23:$AA$12292,'Besi Balok'!$A$23:$A$12292,$A153,'Besi Balok'!$B$23:$B$12292,$B153,'Besi Balok'!$F$23:$F$12292,'REKAP Balok'!R$12)</f>
        <v>0</v>
      </c>
      <c r="S153">
        <f>SUMIFS('Besi Balok'!$AA$23:$AA$12292,'Besi Balok'!$A$23:$A$12292,$A153,'Besi Balok'!$B$23:$B$12292,$B153,'Besi Balok'!$F$23:$F$12292,'REKAP Balok'!S$12)</f>
        <v>0</v>
      </c>
      <c r="T153">
        <f>SUMIFS('Besi Balok'!$AA$23:$AA$12292,'Besi Balok'!$A$23:$A$12292,$A153,'Besi Balok'!$B$23:$B$12292,$B153,'Besi Balok'!$F$23:$F$12292,'REKAP Balok'!T$12)</f>
        <v>0</v>
      </c>
      <c r="U153">
        <f>SUM(L153:T153)</f>
        <v>101.5913088</v>
      </c>
      <c r="V153">
        <f>(D153*(F153-H153)*G153*K153)/1000000000</f>
        <v>0.426</v>
      </c>
      <c r="W153">
        <f>(((F153-H153)*2+D153)*(G153)*K153)/1000000</f>
        <v>5.68</v>
      </c>
      <c r="AC153">
        <f>(D153+2*$F$5)*F153*G153/1000000000</f>
        <v>1.278</v>
      </c>
    </row>
    <row r="154">
      <c r="A154" t="str">
        <f>'Data Panjang Balok'!A151</f>
        <v>Lantai 1</v>
      </c>
      <c r="B154">
        <f>'Data Panjang Balok'!B151</f>
        <v>43</v>
      </c>
      <c r="C154" t="str">
        <f>'Data Panjang Balok'!D151</f>
        <v>B245-4</v>
      </c>
      <c r="D154">
        <f>IF(C154&gt;0,VLOOKUP(C154,'Detail Balok'!$C$11:$AU$110,2,FALSE),0)</f>
        <v>200</v>
      </c>
      <c r="E154" t="str">
        <v>x</v>
      </c>
      <c r="F154">
        <f>IF(C154&gt;0,VLOOKUP(C154,'Detail Balok'!$C$11:$AU$110,3,FALSE),0)</f>
        <v>450</v>
      </c>
      <c r="G154">
        <f>'Data Panjang Balok'!I151</f>
        <v>7100</v>
      </c>
      <c r="H154">
        <f>'Data Panjang Balok'!J151</f>
        <v>150</v>
      </c>
      <c r="J154">
        <f>I154-F154/1000</f>
        <v>-0.45</v>
      </c>
      <c r="K154">
        <f>'Data Panjang Balok'!E151</f>
        <v>1</v>
      </c>
      <c r="L154">
        <f>SUMIFS('Besi Balok'!$AA$23:$AA$12292,'Besi Balok'!$A$23:$A$12292,$A154,'Besi Balok'!$B$23:$B$12292,$B154,'Besi Balok'!$F$23:$F$12292,'REKAP Balok'!L$12)</f>
        <v>0</v>
      </c>
      <c r="M154">
        <f>SUMIFS('Besi Balok'!$AA$23:$AA$12292,'Besi Balok'!$A$23:$A$12292,$A154,'Besi Balok'!$B$23:$B$12292,$B154,'Besi Balok'!$F$23:$F$12292,'REKAP Balok'!M$12)</f>
        <v>30.72201984</v>
      </c>
      <c r="N154">
        <f>SUMIFS('Besi Balok'!$AA$23:$AA$12292,'Besi Balok'!$A$23:$A$12292,$A154,'Besi Balok'!$B$23:$B$12292,$B154,'Besi Balok'!$F$23:$F$12292,'REKAP Balok'!N$12)</f>
        <v>0</v>
      </c>
      <c r="O154">
        <f>SUMIFS('Besi Balok'!$AA$23:$AA$12292,'Besi Balok'!$A$23:$A$12292,$A154,'Besi Balok'!$B$23:$B$12292,$B154,'Besi Balok'!$F$23:$F$12292,'REKAP Balok'!O$12)</f>
        <v>0</v>
      </c>
      <c r="P154">
        <f>SUMIFS('Besi Balok'!$AA$23:$AA$12292,'Besi Balok'!$A$23:$A$12292,$A154,'Besi Balok'!$B$23:$B$12292,$B154,'Besi Balok'!$F$23:$F$12292,'REKAP Balok'!P$12)</f>
        <v>70.86928895999999</v>
      </c>
      <c r="Q154">
        <f>SUMIFS('Besi Balok'!$AA$23:$AA$12292,'Besi Balok'!$A$23:$A$12292,$A154,'Besi Balok'!$B$23:$B$12292,$B154,'Besi Balok'!$F$23:$F$12292,'REKAP Balok'!Q$12)</f>
        <v>0</v>
      </c>
      <c r="R154">
        <f>SUMIFS('Besi Balok'!$AA$23:$AA$12292,'Besi Balok'!$A$23:$A$12292,$A154,'Besi Balok'!$B$23:$B$12292,$B154,'Besi Balok'!$F$23:$F$12292,'REKAP Balok'!R$12)</f>
        <v>0</v>
      </c>
      <c r="S154">
        <f>SUMIFS('Besi Balok'!$AA$23:$AA$12292,'Besi Balok'!$A$23:$A$12292,$A154,'Besi Balok'!$B$23:$B$12292,$B154,'Besi Balok'!$F$23:$F$12292,'REKAP Balok'!S$12)</f>
        <v>0</v>
      </c>
      <c r="T154">
        <f>SUMIFS('Besi Balok'!$AA$23:$AA$12292,'Besi Balok'!$A$23:$A$12292,$A154,'Besi Balok'!$B$23:$B$12292,$B154,'Besi Balok'!$F$23:$F$12292,'REKAP Balok'!T$12)</f>
        <v>0</v>
      </c>
      <c r="U154">
        <f>SUM(L154:T154)</f>
        <v>101.5913088</v>
      </c>
      <c r="V154">
        <f>(D154*(F154-H154)*G154*K154)/1000000000</f>
        <v>0.426</v>
      </c>
      <c r="W154">
        <f>(((F154-H154)*2+D154)*(G154)*K154)/1000000</f>
        <v>5.68</v>
      </c>
      <c r="AC154">
        <f>(D154+2*$F$5)*F154*G154/1000000000</f>
        <v>1.278</v>
      </c>
    </row>
    <row r="155">
      <c r="A155" t="str">
        <f>'Data Panjang Balok'!A152</f>
        <v>Lantai 1</v>
      </c>
      <c r="B155">
        <f>'Data Panjang Balok'!B152</f>
        <v>44</v>
      </c>
      <c r="C155" t="str">
        <f>'Data Panjang Balok'!D152</f>
        <v>B25-6</v>
      </c>
      <c r="D155">
        <f>IF(C155&gt;0,VLOOKUP(C155,'Detail Balok'!$C$11:$AU$110,2,FALSE),0)</f>
        <v>200</v>
      </c>
      <c r="E155" t="str">
        <v>x</v>
      </c>
      <c r="F155">
        <f>IF(C155&gt;0,VLOOKUP(C155,'Detail Balok'!$C$11:$AU$110,3,FALSE),0)</f>
        <v>500</v>
      </c>
      <c r="G155">
        <f>'Data Panjang Balok'!I152</f>
        <v>7100</v>
      </c>
      <c r="H155">
        <f>'Data Panjang Balok'!J152</f>
        <v>150</v>
      </c>
      <c r="J155">
        <f>I155-F155/1000</f>
        <v>-0.5</v>
      </c>
      <c r="K155">
        <f>'Data Panjang Balok'!E152</f>
        <v>1</v>
      </c>
      <c r="L155">
        <f>SUMIFS('Besi Balok'!$AA$23:$AA$12292,'Besi Balok'!$A$23:$A$12292,$A155,'Besi Balok'!$B$23:$B$12292,$B155,'Besi Balok'!$F$23:$F$12292,'REKAP Balok'!L$12)</f>
        <v>0</v>
      </c>
      <c r="M155">
        <f>SUMIFS('Besi Balok'!$AA$23:$AA$12292,'Besi Balok'!$A$23:$A$12292,$A155,'Besi Balok'!$B$23:$B$12292,$B155,'Besi Balok'!$F$23:$F$12292,'REKAP Balok'!M$12)</f>
        <v>0</v>
      </c>
      <c r="N155">
        <f>SUMIFS('Besi Balok'!$AA$23:$AA$12292,'Besi Balok'!$A$23:$A$12292,$A155,'Besi Balok'!$B$23:$B$12292,$B155,'Besi Balok'!$F$23:$F$12292,'REKAP Balok'!N$12)</f>
        <v>51.51474</v>
      </c>
      <c r="O155">
        <f>SUMIFS('Besi Balok'!$AA$23:$AA$12292,'Besi Balok'!$A$23:$A$12292,$A155,'Besi Balok'!$B$23:$B$12292,$B155,'Besi Balok'!$F$23:$F$12292,'REKAP Balok'!O$12)</f>
        <v>0</v>
      </c>
      <c r="P155">
        <f>SUMIFS('Besi Balok'!$AA$23:$AA$12292,'Besi Balok'!$A$23:$A$12292,$A155,'Besi Balok'!$B$23:$B$12292,$B155,'Besi Balok'!$F$23:$F$12292,'REKAP Balok'!P$12)</f>
        <v>83.07539711999999</v>
      </c>
      <c r="Q155">
        <f>SUMIFS('Besi Balok'!$AA$23:$AA$12292,'Besi Balok'!$A$23:$A$12292,$A155,'Besi Balok'!$B$23:$B$12292,$B155,'Besi Balok'!$F$23:$F$12292,'REKAP Balok'!Q$12)</f>
        <v>0</v>
      </c>
      <c r="R155">
        <f>SUMIFS('Besi Balok'!$AA$23:$AA$12292,'Besi Balok'!$A$23:$A$12292,$A155,'Besi Balok'!$B$23:$B$12292,$B155,'Besi Balok'!$F$23:$F$12292,'REKAP Balok'!R$12)</f>
        <v>0</v>
      </c>
      <c r="S155">
        <f>SUMIFS('Besi Balok'!$AA$23:$AA$12292,'Besi Balok'!$A$23:$A$12292,$A155,'Besi Balok'!$B$23:$B$12292,$B155,'Besi Balok'!$F$23:$F$12292,'REKAP Balok'!S$12)</f>
        <v>0</v>
      </c>
      <c r="T155">
        <f>SUMIFS('Besi Balok'!$AA$23:$AA$12292,'Besi Balok'!$A$23:$A$12292,$A155,'Besi Balok'!$B$23:$B$12292,$B155,'Besi Balok'!$F$23:$F$12292,'REKAP Balok'!T$12)</f>
        <v>0</v>
      </c>
      <c r="U155">
        <f>SUM(L155:T155)</f>
        <v>134.59013712</v>
      </c>
      <c r="V155">
        <f>(D155*(F155-H155)*G155*K155)/1000000000</f>
        <v>0.497</v>
      </c>
      <c r="W155">
        <f>(((F155-H155)*2+D155)*(G155)*K155)/1000000</f>
        <v>6.39</v>
      </c>
      <c r="AC155">
        <f>(D155+2*$F$5)*F155*G155/1000000000</f>
        <v>1.42</v>
      </c>
    </row>
    <row r="156">
      <c r="A156" t="str">
        <f>'Data Panjang Balok'!A153</f>
        <v>Lantai 1</v>
      </c>
      <c r="B156">
        <f>'Data Panjang Balok'!B153</f>
        <v>45</v>
      </c>
      <c r="C156" t="str">
        <f>'Data Panjang Balok'!D153</f>
        <v>B25-6</v>
      </c>
      <c r="D156">
        <f>IF(C156&gt;0,VLOOKUP(C156,'Detail Balok'!$C$11:$AU$110,2,FALSE),0)</f>
        <v>200</v>
      </c>
      <c r="E156" t="str">
        <v>x</v>
      </c>
      <c r="F156">
        <f>IF(C156&gt;0,VLOOKUP(C156,'Detail Balok'!$C$11:$AU$110,3,FALSE),0)</f>
        <v>500</v>
      </c>
      <c r="G156">
        <f>'Data Panjang Balok'!I153</f>
        <v>6100</v>
      </c>
      <c r="H156">
        <f>'Data Panjang Balok'!J153</f>
        <v>150</v>
      </c>
      <c r="J156">
        <f>I156-F156/1000</f>
        <v>-0.5</v>
      </c>
      <c r="K156">
        <f>'Data Panjang Balok'!E153</f>
        <v>1</v>
      </c>
      <c r="L156">
        <f>SUMIFS('Besi Balok'!$AA$23:$AA$12292,'Besi Balok'!$A$23:$A$12292,$A156,'Besi Balok'!$B$23:$B$12292,$B156,'Besi Balok'!$F$23:$F$12292,'REKAP Balok'!L$12)</f>
        <v>0</v>
      </c>
      <c r="M156">
        <f>SUMIFS('Besi Balok'!$AA$23:$AA$12292,'Besi Balok'!$A$23:$A$12292,$A156,'Besi Balok'!$B$23:$B$12292,$B156,'Besi Balok'!$F$23:$F$12292,'REKAP Balok'!M$12)</f>
        <v>0</v>
      </c>
      <c r="N156">
        <f>SUMIFS('Besi Balok'!$AA$23:$AA$12292,'Besi Balok'!$A$23:$A$12292,$A156,'Besi Balok'!$B$23:$B$12292,$B156,'Besi Balok'!$F$23:$F$12292,'REKAP Balok'!N$12)</f>
        <v>43.457085</v>
      </c>
      <c r="O156">
        <f>SUMIFS('Besi Balok'!$AA$23:$AA$12292,'Besi Balok'!$A$23:$A$12292,$A156,'Besi Balok'!$B$23:$B$12292,$B156,'Besi Balok'!$F$23:$F$12292,'REKAP Balok'!O$12)</f>
        <v>0</v>
      </c>
      <c r="P156">
        <f>SUMIFS('Besi Balok'!$AA$23:$AA$12292,'Besi Balok'!$A$23:$A$12292,$A156,'Besi Balok'!$B$23:$B$12292,$B156,'Besi Balok'!$F$23:$F$12292,'REKAP Balok'!P$12)</f>
        <v>72.18554112</v>
      </c>
      <c r="Q156">
        <f>SUMIFS('Besi Balok'!$AA$23:$AA$12292,'Besi Balok'!$A$23:$A$12292,$A156,'Besi Balok'!$B$23:$B$12292,$B156,'Besi Balok'!$F$23:$F$12292,'REKAP Balok'!Q$12)</f>
        <v>0</v>
      </c>
      <c r="R156">
        <f>SUMIFS('Besi Balok'!$AA$23:$AA$12292,'Besi Balok'!$A$23:$A$12292,$A156,'Besi Balok'!$B$23:$B$12292,$B156,'Besi Balok'!$F$23:$F$12292,'REKAP Balok'!R$12)</f>
        <v>0</v>
      </c>
      <c r="S156">
        <f>SUMIFS('Besi Balok'!$AA$23:$AA$12292,'Besi Balok'!$A$23:$A$12292,$A156,'Besi Balok'!$B$23:$B$12292,$B156,'Besi Balok'!$F$23:$F$12292,'REKAP Balok'!S$12)</f>
        <v>0</v>
      </c>
      <c r="T156">
        <f>SUMIFS('Besi Balok'!$AA$23:$AA$12292,'Besi Balok'!$A$23:$A$12292,$A156,'Besi Balok'!$B$23:$B$12292,$B156,'Besi Balok'!$F$23:$F$12292,'REKAP Balok'!T$12)</f>
        <v>0</v>
      </c>
      <c r="U156">
        <f>SUM(L156:T156)</f>
        <v>115.64262611999999</v>
      </c>
      <c r="V156">
        <f>(D156*(F156-H156)*G156*K156)/1000000000</f>
        <v>0.427</v>
      </c>
      <c r="W156">
        <f>(((F156-H156)*2+D156)*(G156)*K156)/1000000</f>
        <v>5.49</v>
      </c>
      <c r="AC156">
        <f>(D156+2*$F$5)*F156*G156/1000000000</f>
        <v>1.22</v>
      </c>
    </row>
    <row r="157">
      <c r="A157" t="str">
        <f>'Data Panjang Balok'!A154</f>
        <v>Lantai 1</v>
      </c>
      <c r="B157">
        <f>'Data Panjang Balok'!B154</f>
        <v>46</v>
      </c>
      <c r="C157" t="str">
        <f>'Data Panjang Balok'!D154</f>
        <v>B245-4</v>
      </c>
      <c r="D157">
        <f>IF(C157&gt;0,VLOOKUP(C157,'Detail Balok'!$C$11:$AU$110,2,FALSE),0)</f>
        <v>200</v>
      </c>
      <c r="E157" t="str">
        <v>x</v>
      </c>
      <c r="F157">
        <f>IF(C157&gt;0,VLOOKUP(C157,'Detail Balok'!$C$11:$AU$110,3,FALSE),0)</f>
        <v>450</v>
      </c>
      <c r="G157">
        <f>'Data Panjang Balok'!I154</f>
        <v>6100</v>
      </c>
      <c r="H157">
        <f>'Data Panjang Balok'!J154</f>
        <v>150</v>
      </c>
      <c r="J157">
        <f>I157-F157/1000</f>
        <v>-0.45</v>
      </c>
      <c r="K157">
        <f>'Data Panjang Balok'!E154</f>
        <v>1</v>
      </c>
      <c r="L157">
        <f>SUMIFS('Besi Balok'!$AA$23:$AA$12292,'Besi Balok'!$A$23:$A$12292,$A157,'Besi Balok'!$B$23:$B$12292,$B157,'Besi Balok'!$F$23:$F$12292,'REKAP Balok'!L$12)</f>
        <v>0</v>
      </c>
      <c r="M157">
        <f>SUMIFS('Besi Balok'!$AA$23:$AA$12292,'Besi Balok'!$A$23:$A$12292,$A157,'Besi Balok'!$B$23:$B$12292,$B157,'Besi Balok'!$F$23:$F$12292,'REKAP Balok'!M$12)</f>
        <v>25.92022464</v>
      </c>
      <c r="N157">
        <f>SUMIFS('Besi Balok'!$AA$23:$AA$12292,'Besi Balok'!$A$23:$A$12292,$A157,'Besi Balok'!$B$23:$B$12292,$B157,'Besi Balok'!$F$23:$F$12292,'REKAP Balok'!N$12)</f>
        <v>0</v>
      </c>
      <c r="O157">
        <f>SUMIFS('Besi Balok'!$AA$23:$AA$12292,'Besi Balok'!$A$23:$A$12292,$A157,'Besi Balok'!$B$23:$B$12292,$B157,'Besi Balok'!$F$23:$F$12292,'REKAP Balok'!O$12)</f>
        <v>0</v>
      </c>
      <c r="P157">
        <f>SUMIFS('Besi Balok'!$AA$23:$AA$12292,'Besi Balok'!$A$23:$A$12292,$A157,'Besi Balok'!$B$23:$B$12292,$B157,'Besi Balok'!$F$23:$F$12292,'REKAP Balok'!P$12)</f>
        <v>61.39984896</v>
      </c>
      <c r="Q157">
        <f>SUMIFS('Besi Balok'!$AA$23:$AA$12292,'Besi Balok'!$A$23:$A$12292,$A157,'Besi Balok'!$B$23:$B$12292,$B157,'Besi Balok'!$F$23:$F$12292,'REKAP Balok'!Q$12)</f>
        <v>0</v>
      </c>
      <c r="R157">
        <f>SUMIFS('Besi Balok'!$AA$23:$AA$12292,'Besi Balok'!$A$23:$A$12292,$A157,'Besi Balok'!$B$23:$B$12292,$B157,'Besi Balok'!$F$23:$F$12292,'REKAP Balok'!R$12)</f>
        <v>0</v>
      </c>
      <c r="S157">
        <f>SUMIFS('Besi Balok'!$AA$23:$AA$12292,'Besi Balok'!$A$23:$A$12292,$A157,'Besi Balok'!$B$23:$B$12292,$B157,'Besi Balok'!$F$23:$F$12292,'REKAP Balok'!S$12)</f>
        <v>0</v>
      </c>
      <c r="T157">
        <f>SUMIFS('Besi Balok'!$AA$23:$AA$12292,'Besi Balok'!$A$23:$A$12292,$A157,'Besi Balok'!$B$23:$B$12292,$B157,'Besi Balok'!$F$23:$F$12292,'REKAP Balok'!T$12)</f>
        <v>0</v>
      </c>
      <c r="U157">
        <f>SUM(L157:T157)</f>
        <v>87.3200736</v>
      </c>
      <c r="V157">
        <f>(D157*(F157-H157)*G157*K157)/1000000000</f>
        <v>0.366</v>
      </c>
      <c r="W157">
        <f>(((F157-H157)*2+D157)*(G157)*K157)/1000000</f>
        <v>4.88</v>
      </c>
      <c r="AC157">
        <f>(D157+2*$F$5)*F157*G157/1000000000</f>
        <v>1.098</v>
      </c>
    </row>
    <row r="158">
      <c r="A158" t="str">
        <f>'Data Panjang Balok'!A155</f>
        <v>Lantai 1</v>
      </c>
      <c r="B158">
        <f>'Data Panjang Balok'!B155</f>
        <v>47</v>
      </c>
      <c r="C158" t="str">
        <f>'Data Panjang Balok'!D155</f>
        <v>B245-4</v>
      </c>
      <c r="D158">
        <f>IF(C158&gt;0,VLOOKUP(C158,'Detail Balok'!$C$11:$AU$110,2,FALSE),0)</f>
        <v>200</v>
      </c>
      <c r="E158" t="str">
        <v>x</v>
      </c>
      <c r="F158">
        <f>IF(C158&gt;0,VLOOKUP(C158,'Detail Balok'!$C$11:$AU$110,3,FALSE),0)</f>
        <v>450</v>
      </c>
      <c r="G158">
        <f>'Data Panjang Balok'!I155</f>
        <v>6100</v>
      </c>
      <c r="H158">
        <f>'Data Panjang Balok'!J155</f>
        <v>150</v>
      </c>
      <c r="J158">
        <f>I158-F158/1000</f>
        <v>-0.45</v>
      </c>
      <c r="K158">
        <f>'Data Panjang Balok'!E155</f>
        <v>1</v>
      </c>
      <c r="L158">
        <f>SUMIFS('Besi Balok'!$AA$23:$AA$12292,'Besi Balok'!$A$23:$A$12292,$A158,'Besi Balok'!$B$23:$B$12292,$B158,'Besi Balok'!$F$23:$F$12292,'REKAP Balok'!L$12)</f>
        <v>0</v>
      </c>
      <c r="M158">
        <f>SUMIFS('Besi Balok'!$AA$23:$AA$12292,'Besi Balok'!$A$23:$A$12292,$A158,'Besi Balok'!$B$23:$B$12292,$B158,'Besi Balok'!$F$23:$F$12292,'REKAP Balok'!M$12)</f>
        <v>25.92022464</v>
      </c>
      <c r="N158">
        <f>SUMIFS('Besi Balok'!$AA$23:$AA$12292,'Besi Balok'!$A$23:$A$12292,$A158,'Besi Balok'!$B$23:$B$12292,$B158,'Besi Balok'!$F$23:$F$12292,'REKAP Balok'!N$12)</f>
        <v>0</v>
      </c>
      <c r="O158">
        <f>SUMIFS('Besi Balok'!$AA$23:$AA$12292,'Besi Balok'!$A$23:$A$12292,$A158,'Besi Balok'!$B$23:$B$12292,$B158,'Besi Balok'!$F$23:$F$12292,'REKAP Balok'!O$12)</f>
        <v>0</v>
      </c>
      <c r="P158">
        <f>SUMIFS('Besi Balok'!$AA$23:$AA$12292,'Besi Balok'!$A$23:$A$12292,$A158,'Besi Balok'!$B$23:$B$12292,$B158,'Besi Balok'!$F$23:$F$12292,'REKAP Balok'!P$12)</f>
        <v>61.39984896</v>
      </c>
      <c r="Q158">
        <f>SUMIFS('Besi Balok'!$AA$23:$AA$12292,'Besi Balok'!$A$23:$A$12292,$A158,'Besi Balok'!$B$23:$B$12292,$B158,'Besi Balok'!$F$23:$F$12292,'REKAP Balok'!Q$12)</f>
        <v>0</v>
      </c>
      <c r="R158">
        <f>SUMIFS('Besi Balok'!$AA$23:$AA$12292,'Besi Balok'!$A$23:$A$12292,$A158,'Besi Balok'!$B$23:$B$12292,$B158,'Besi Balok'!$F$23:$F$12292,'REKAP Balok'!R$12)</f>
        <v>0</v>
      </c>
      <c r="S158">
        <f>SUMIFS('Besi Balok'!$AA$23:$AA$12292,'Besi Balok'!$A$23:$A$12292,$A158,'Besi Balok'!$B$23:$B$12292,$B158,'Besi Balok'!$F$23:$F$12292,'REKAP Balok'!S$12)</f>
        <v>0</v>
      </c>
      <c r="T158">
        <f>SUMIFS('Besi Balok'!$AA$23:$AA$12292,'Besi Balok'!$A$23:$A$12292,$A158,'Besi Balok'!$B$23:$B$12292,$B158,'Besi Balok'!$F$23:$F$12292,'REKAP Balok'!T$12)</f>
        <v>0</v>
      </c>
      <c r="U158">
        <f>SUM(L158:T158)</f>
        <v>87.3200736</v>
      </c>
      <c r="V158">
        <f>(D158*(F158-H158)*G158*K158)/1000000000</f>
        <v>0.366</v>
      </c>
      <c r="W158">
        <f>(((F158-H158)*2+D158)*(G158)*K158)/1000000</f>
        <v>4.88</v>
      </c>
      <c r="AC158">
        <f>(D158+2*$F$5)*F158*G158/1000000000</f>
        <v>1.098</v>
      </c>
    </row>
    <row r="159">
      <c r="A159" t="str">
        <f>'Data Panjang Balok'!A156</f>
        <v>Lantai 1</v>
      </c>
      <c r="B159">
        <f>'Data Panjang Balok'!B156</f>
        <v>48</v>
      </c>
      <c r="C159" t="str">
        <f>'Data Panjang Balok'!D156</f>
        <v>B245-2</v>
      </c>
      <c r="D159">
        <f>IF(C159&gt;0,VLOOKUP(C159,'Detail Balok'!$C$11:$AU$110,2,FALSE),0)</f>
        <v>200</v>
      </c>
      <c r="E159" t="str">
        <v>x</v>
      </c>
      <c r="F159">
        <f>IF(C159&gt;0,VLOOKUP(C159,'Detail Balok'!$C$11:$AU$110,3,FALSE),0)</f>
        <v>450</v>
      </c>
      <c r="G159">
        <f>'Data Panjang Balok'!I156</f>
        <v>6100</v>
      </c>
      <c r="H159">
        <f>'Data Panjang Balok'!J156</f>
        <v>150</v>
      </c>
      <c r="J159">
        <f>I159-F159/1000</f>
        <v>-0.45</v>
      </c>
      <c r="K159">
        <f>'Data Panjang Balok'!E156</f>
        <v>1</v>
      </c>
      <c r="L159">
        <f>SUMIFS('Besi Balok'!$AA$23:$AA$12292,'Besi Balok'!$A$23:$A$12292,$A159,'Besi Balok'!$B$23:$B$12292,$B159,'Besi Balok'!$F$23:$F$12292,'REKAP Balok'!L$12)</f>
        <v>0</v>
      </c>
      <c r="M159">
        <f>SUMIFS('Besi Balok'!$AA$23:$AA$12292,'Besi Balok'!$A$23:$A$12292,$A159,'Besi Balok'!$B$23:$B$12292,$B159,'Besi Balok'!$F$23:$F$12292,'REKAP Balok'!M$12)</f>
        <v>25.92022464</v>
      </c>
      <c r="N159">
        <f>SUMIFS('Besi Balok'!$AA$23:$AA$12292,'Besi Balok'!$A$23:$A$12292,$A159,'Besi Balok'!$B$23:$B$12292,$B159,'Besi Balok'!$F$23:$F$12292,'REKAP Balok'!N$12)</f>
        <v>0</v>
      </c>
      <c r="O159">
        <f>SUMIFS('Besi Balok'!$AA$23:$AA$12292,'Besi Balok'!$A$23:$A$12292,$A159,'Besi Balok'!$B$23:$B$12292,$B159,'Besi Balok'!$F$23:$F$12292,'REKAP Balok'!O$12)</f>
        <v>40.083399719999996</v>
      </c>
      <c r="P159">
        <f>SUMIFS('Besi Balok'!$AA$23:$AA$12292,'Besi Balok'!$A$23:$A$12292,$A159,'Besi Balok'!$B$23:$B$12292,$B159,'Besi Balok'!$F$23:$F$12292,'REKAP Balok'!P$12)</f>
        <v>0</v>
      </c>
      <c r="Q159">
        <f>SUMIFS('Besi Balok'!$AA$23:$AA$12292,'Besi Balok'!$A$23:$A$12292,$A159,'Besi Balok'!$B$23:$B$12292,$B159,'Besi Balok'!$F$23:$F$12292,'REKAP Balok'!Q$12)</f>
        <v>0</v>
      </c>
      <c r="R159">
        <f>SUMIFS('Besi Balok'!$AA$23:$AA$12292,'Besi Balok'!$A$23:$A$12292,$A159,'Besi Balok'!$B$23:$B$12292,$B159,'Besi Balok'!$F$23:$F$12292,'REKAP Balok'!R$12)</f>
        <v>0</v>
      </c>
      <c r="S159">
        <f>SUMIFS('Besi Balok'!$AA$23:$AA$12292,'Besi Balok'!$A$23:$A$12292,$A159,'Besi Balok'!$B$23:$B$12292,$B159,'Besi Balok'!$F$23:$F$12292,'REKAP Balok'!S$12)</f>
        <v>0</v>
      </c>
      <c r="T159">
        <f>SUMIFS('Besi Balok'!$AA$23:$AA$12292,'Besi Balok'!$A$23:$A$12292,$A159,'Besi Balok'!$B$23:$B$12292,$B159,'Besi Balok'!$F$23:$F$12292,'REKAP Balok'!T$12)</f>
        <v>0</v>
      </c>
      <c r="U159">
        <f>SUM(L159:T159)</f>
        <v>66.00362436</v>
      </c>
      <c r="V159">
        <f>(D159*(F159-H159)*G159*K159)/1000000000</f>
        <v>0.366</v>
      </c>
      <c r="W159">
        <f>(((F159-H159)*2+D159)*(G159)*K159)/1000000</f>
        <v>4.88</v>
      </c>
      <c r="AC159">
        <f>(D159+2*$F$5)*F159*G159/1000000000</f>
        <v>1.098</v>
      </c>
    </row>
    <row r="160">
      <c r="A160" t="str">
        <f>'Data Panjang Balok'!A157</f>
        <v>Lantai 1</v>
      </c>
      <c r="B160">
        <f>'Data Panjang Balok'!B157</f>
        <v>49</v>
      </c>
      <c r="C160" t="str">
        <f>'Data Panjang Balok'!D157</f>
        <v>B174-1</v>
      </c>
      <c r="D160">
        <f>IF(C160&gt;0,VLOOKUP(C160,'Detail Balok'!$C$11:$AU$110,2,FALSE),0)</f>
        <v>170</v>
      </c>
      <c r="E160" t="str">
        <v>x</v>
      </c>
      <c r="F160">
        <f>IF(C160&gt;0,VLOOKUP(C160,'Detail Balok'!$C$11:$AU$110,3,FALSE),0)</f>
        <v>400</v>
      </c>
      <c r="G160">
        <f>'Data Panjang Balok'!I157</f>
        <v>3500</v>
      </c>
      <c r="H160">
        <f>'Data Panjang Balok'!J157</f>
        <v>0</v>
      </c>
      <c r="J160">
        <f>I160-F160/1000</f>
        <v>-0.4</v>
      </c>
      <c r="K160">
        <f>'Data Panjang Balok'!E157</f>
        <v>1</v>
      </c>
      <c r="L160">
        <f>SUMIFS('Besi Balok'!$AA$23:$AA$12292,'Besi Balok'!$A$23:$A$12292,$A160,'Besi Balok'!$B$23:$B$12292,$B160,'Besi Balok'!$F$23:$F$12292,'REKAP Balok'!L$12)</f>
        <v>0</v>
      </c>
      <c r="M160">
        <f>SUMIFS('Besi Balok'!$AA$23:$AA$12292,'Besi Balok'!$A$23:$A$12292,$A160,'Besi Balok'!$B$23:$B$12292,$B160,'Besi Balok'!$F$23:$F$12292,'REKAP Balok'!M$12)</f>
        <v>0</v>
      </c>
      <c r="N160">
        <f>SUMIFS('Besi Balok'!$AA$23:$AA$12292,'Besi Balok'!$A$23:$A$12292,$A160,'Besi Balok'!$B$23:$B$12292,$B160,'Besi Balok'!$F$23:$F$12292,'REKAP Balok'!N$12)</f>
        <v>17.342145000000002</v>
      </c>
      <c r="O160">
        <f>SUMIFS('Besi Balok'!$AA$23:$AA$12292,'Besi Balok'!$A$23:$A$12292,$A160,'Besi Balok'!$B$23:$B$12292,$B160,'Besi Balok'!$F$23:$F$12292,'REKAP Balok'!O$12)</f>
        <v>15.886662479999996</v>
      </c>
      <c r="P160">
        <f>SUMIFS('Besi Balok'!$AA$23:$AA$12292,'Besi Balok'!$A$23:$A$12292,$A160,'Besi Balok'!$B$23:$B$12292,$B160,'Besi Balok'!$F$23:$F$12292,'REKAP Balok'!P$12)</f>
        <v>0</v>
      </c>
      <c r="Q160">
        <f>SUMIFS('Besi Balok'!$AA$23:$AA$12292,'Besi Balok'!$A$23:$A$12292,$A160,'Besi Balok'!$B$23:$B$12292,$B160,'Besi Balok'!$F$23:$F$12292,'REKAP Balok'!Q$12)</f>
        <v>0</v>
      </c>
      <c r="R160">
        <f>SUMIFS('Besi Balok'!$AA$23:$AA$12292,'Besi Balok'!$A$23:$A$12292,$A160,'Besi Balok'!$B$23:$B$12292,$B160,'Besi Balok'!$F$23:$F$12292,'REKAP Balok'!R$12)</f>
        <v>0</v>
      </c>
      <c r="S160">
        <f>SUMIFS('Besi Balok'!$AA$23:$AA$12292,'Besi Balok'!$A$23:$A$12292,$A160,'Besi Balok'!$B$23:$B$12292,$B160,'Besi Balok'!$F$23:$F$12292,'REKAP Balok'!S$12)</f>
        <v>0</v>
      </c>
      <c r="T160">
        <f>SUMIFS('Besi Balok'!$AA$23:$AA$12292,'Besi Balok'!$A$23:$A$12292,$A160,'Besi Balok'!$B$23:$B$12292,$B160,'Besi Balok'!$F$23:$F$12292,'REKAP Balok'!T$12)</f>
        <v>0</v>
      </c>
      <c r="U160">
        <f>SUM(L160:T160)</f>
        <v>33.22880748</v>
      </c>
      <c r="V160">
        <f>(D160*(F160-H160)*G160*K160)/1000000000</f>
        <v>0.238</v>
      </c>
      <c r="W160">
        <f>(((F160-H160)*2+D160)*(G160)*K160)/1000000</f>
        <v>3.395</v>
      </c>
      <c r="AC160">
        <f>(D160+2*$F$5)*F160*G160/1000000000</f>
        <v>0.518</v>
      </c>
    </row>
    <row r="161">
      <c r="A161" t="str">
        <f>'Data Panjang Balok'!A158</f>
        <v>Lantai 1</v>
      </c>
      <c r="B161">
        <f>'Data Panjang Balok'!B158</f>
        <v>50</v>
      </c>
      <c r="C161" t="str">
        <f>'Data Panjang Balok'!D158</f>
        <v>B174-2</v>
      </c>
      <c r="D161">
        <f>IF(C161&gt;0,VLOOKUP(C161,'Detail Balok'!$C$11:$AU$110,2,FALSE),0)</f>
        <v>170</v>
      </c>
      <c r="E161" t="str">
        <v>x</v>
      </c>
      <c r="F161">
        <f>IF(C161&gt;0,VLOOKUP(C161,'Detail Balok'!$C$11:$AU$110,3,FALSE),0)</f>
        <v>400</v>
      </c>
      <c r="G161">
        <f>'Data Panjang Balok'!I158</f>
        <v>2500</v>
      </c>
      <c r="H161">
        <f>'Data Panjang Balok'!J158</f>
        <v>0</v>
      </c>
      <c r="J161">
        <f>I161-F161/1000</f>
        <v>-0.4</v>
      </c>
      <c r="K161">
        <f>'Data Panjang Balok'!E158</f>
        <v>1</v>
      </c>
      <c r="L161">
        <f>SUMIFS('Besi Balok'!$AA$23:$AA$12292,'Besi Balok'!$A$23:$A$12292,$A161,'Besi Balok'!$B$23:$B$12292,$B161,'Besi Balok'!$F$23:$F$12292,'REKAP Balok'!L$12)</f>
        <v>0</v>
      </c>
      <c r="M161">
        <f>SUMIFS('Besi Balok'!$AA$23:$AA$12292,'Besi Balok'!$A$23:$A$12292,$A161,'Besi Balok'!$B$23:$B$12292,$B161,'Besi Balok'!$F$23:$F$12292,'REKAP Balok'!M$12)</f>
        <v>0</v>
      </c>
      <c r="N161">
        <f>SUMIFS('Besi Balok'!$AA$23:$AA$12292,'Besi Balok'!$A$23:$A$12292,$A161,'Besi Balok'!$B$23:$B$12292,$B161,'Besi Balok'!$F$23:$F$12292,'REKAP Balok'!N$12)</f>
        <v>14.950125</v>
      </c>
      <c r="O161">
        <f>SUMIFS('Besi Balok'!$AA$23:$AA$12292,'Besi Balok'!$A$23:$A$12292,$A161,'Besi Balok'!$B$23:$B$12292,$B161,'Besi Balok'!$F$23:$F$12292,'REKAP Balok'!O$12)</f>
        <v>19.433239020000002</v>
      </c>
      <c r="P161">
        <f>SUMIFS('Besi Balok'!$AA$23:$AA$12292,'Besi Balok'!$A$23:$A$12292,$A161,'Besi Balok'!$B$23:$B$12292,$B161,'Besi Balok'!$F$23:$F$12292,'REKAP Balok'!P$12)</f>
        <v>0</v>
      </c>
      <c r="Q161">
        <f>SUMIFS('Besi Balok'!$AA$23:$AA$12292,'Besi Balok'!$A$23:$A$12292,$A161,'Besi Balok'!$B$23:$B$12292,$B161,'Besi Balok'!$F$23:$F$12292,'REKAP Balok'!Q$12)</f>
        <v>0</v>
      </c>
      <c r="R161">
        <f>SUMIFS('Besi Balok'!$AA$23:$AA$12292,'Besi Balok'!$A$23:$A$12292,$A161,'Besi Balok'!$B$23:$B$12292,$B161,'Besi Balok'!$F$23:$F$12292,'REKAP Balok'!R$12)</f>
        <v>0</v>
      </c>
      <c r="S161">
        <f>SUMIFS('Besi Balok'!$AA$23:$AA$12292,'Besi Balok'!$A$23:$A$12292,$A161,'Besi Balok'!$B$23:$B$12292,$B161,'Besi Balok'!$F$23:$F$12292,'REKAP Balok'!S$12)</f>
        <v>0</v>
      </c>
      <c r="T161">
        <f>SUMIFS('Besi Balok'!$AA$23:$AA$12292,'Besi Balok'!$A$23:$A$12292,$A161,'Besi Balok'!$B$23:$B$12292,$B161,'Besi Balok'!$F$23:$F$12292,'REKAP Balok'!T$12)</f>
        <v>0</v>
      </c>
      <c r="U161">
        <f>SUM(L161:T161)</f>
        <v>34.38336402</v>
      </c>
      <c r="V161">
        <f>(D161*(F161-H161)*G161*K161)/1000000000</f>
        <v>0.17</v>
      </c>
      <c r="W161">
        <f>(((F161-H161)*2+D161)*(G161)*K161)/1000000</f>
        <v>2.425</v>
      </c>
      <c r="AC161">
        <f>(D161+2*$F$5)*F161*G161/1000000000</f>
        <v>0.37</v>
      </c>
    </row>
    <row r="162">
      <c r="A162" t="str">
        <f>'Data Panjang Balok'!A159</f>
        <v>Lantai 1</v>
      </c>
      <c r="B162">
        <f>'Data Panjang Balok'!B159</f>
        <v>51</v>
      </c>
      <c r="C162" t="str">
        <f>'Data Panjang Balok'!D159</f>
        <v>B174-2</v>
      </c>
      <c r="D162">
        <f>IF(C162&gt;0,VLOOKUP(C162,'Detail Balok'!$C$11:$AU$110,2,FALSE),0)</f>
        <v>170</v>
      </c>
      <c r="E162" t="str">
        <v>x</v>
      </c>
      <c r="F162">
        <f>IF(C162&gt;0,VLOOKUP(C162,'Detail Balok'!$C$11:$AU$110,3,FALSE),0)</f>
        <v>400</v>
      </c>
      <c r="G162">
        <f>'Data Panjang Balok'!I159</f>
        <v>3965</v>
      </c>
      <c r="H162">
        <f>'Data Panjang Balok'!J159</f>
        <v>150</v>
      </c>
      <c r="J162">
        <f>I162-F162/1000</f>
        <v>-0.4</v>
      </c>
      <c r="K162">
        <f>'Data Panjang Balok'!E159</f>
        <v>1</v>
      </c>
      <c r="L162">
        <f>SUMIFS('Besi Balok'!$AA$23:$AA$12292,'Besi Balok'!$A$23:$A$12292,$A162,'Besi Balok'!$B$23:$B$12292,$B162,'Besi Balok'!$F$23:$F$12292,'REKAP Balok'!L$12)</f>
        <v>0</v>
      </c>
      <c r="M162">
        <f>SUMIFS('Besi Balok'!$AA$23:$AA$12292,'Besi Balok'!$A$23:$A$12292,$A162,'Besi Balok'!$B$23:$B$12292,$B162,'Besi Balok'!$F$23:$F$12292,'REKAP Balok'!M$12)</f>
        <v>0</v>
      </c>
      <c r="N162">
        <f>SUMIFS('Besi Balok'!$AA$23:$AA$12292,'Besi Balok'!$A$23:$A$12292,$A162,'Besi Balok'!$B$23:$B$12292,$B162,'Besi Balok'!$F$23:$F$12292,'REKAP Balok'!N$12)</f>
        <v>22.72419</v>
      </c>
      <c r="O162">
        <f>SUMIFS('Besi Balok'!$AA$23:$AA$12292,'Besi Balok'!$A$23:$A$12292,$A162,'Besi Balok'!$B$23:$B$12292,$B162,'Besi Balok'!$F$23:$F$12292,'REKAP Balok'!O$12)</f>
        <v>29.201952779999996</v>
      </c>
      <c r="P162">
        <f>SUMIFS('Besi Balok'!$AA$23:$AA$12292,'Besi Balok'!$A$23:$A$12292,$A162,'Besi Balok'!$B$23:$B$12292,$B162,'Besi Balok'!$F$23:$F$12292,'REKAP Balok'!P$12)</f>
        <v>0</v>
      </c>
      <c r="Q162">
        <f>SUMIFS('Besi Balok'!$AA$23:$AA$12292,'Besi Balok'!$A$23:$A$12292,$A162,'Besi Balok'!$B$23:$B$12292,$B162,'Besi Balok'!$F$23:$F$12292,'REKAP Balok'!Q$12)</f>
        <v>0</v>
      </c>
      <c r="R162">
        <f>SUMIFS('Besi Balok'!$AA$23:$AA$12292,'Besi Balok'!$A$23:$A$12292,$A162,'Besi Balok'!$B$23:$B$12292,$B162,'Besi Balok'!$F$23:$F$12292,'REKAP Balok'!R$12)</f>
        <v>0</v>
      </c>
      <c r="S162">
        <f>SUMIFS('Besi Balok'!$AA$23:$AA$12292,'Besi Balok'!$A$23:$A$12292,$A162,'Besi Balok'!$B$23:$B$12292,$B162,'Besi Balok'!$F$23:$F$12292,'REKAP Balok'!S$12)</f>
        <v>0</v>
      </c>
      <c r="T162">
        <f>SUMIFS('Besi Balok'!$AA$23:$AA$12292,'Besi Balok'!$A$23:$A$12292,$A162,'Besi Balok'!$B$23:$B$12292,$B162,'Besi Balok'!$F$23:$F$12292,'REKAP Balok'!T$12)</f>
        <v>0</v>
      </c>
      <c r="U162">
        <f>SUM(L162:T162)</f>
        <v>51.92614277999999</v>
      </c>
      <c r="V162">
        <f>(D162*(F162-H162)*G162*K162)/1000000000</f>
        <v>0.1685125</v>
      </c>
      <c r="W162">
        <f>(((F162-H162)*2+D162)*(G162)*K162)/1000000</f>
        <v>2.65655</v>
      </c>
      <c r="AC162">
        <f>(D162+2*$F$5)*F162*G162/1000000000</f>
        <v>0.58682</v>
      </c>
    </row>
    <row r="163">
      <c r="A163" t="str">
        <f>'Data Panjang Balok'!A160</f>
        <v>Lantai 1</v>
      </c>
      <c r="B163">
        <f>'Data Panjang Balok'!B160</f>
        <v>52</v>
      </c>
      <c r="C163" t="str">
        <f>'Data Panjang Balok'!D160</f>
        <v>B174-1</v>
      </c>
      <c r="D163">
        <f>IF(C163&gt;0,VLOOKUP(C163,'Detail Balok'!$C$11:$AU$110,2,FALSE),0)</f>
        <v>170</v>
      </c>
      <c r="E163" t="str">
        <v>x</v>
      </c>
      <c r="F163">
        <f>IF(C163&gt;0,VLOOKUP(C163,'Detail Balok'!$C$11:$AU$110,3,FALSE),0)</f>
        <v>400</v>
      </c>
      <c r="G163">
        <f>'Data Panjang Balok'!I160</f>
        <v>6535</v>
      </c>
      <c r="H163">
        <f>'Data Panjang Balok'!J160</f>
        <v>150</v>
      </c>
      <c r="J163">
        <f>I163-F163/1000</f>
        <v>-0.4</v>
      </c>
      <c r="K163">
        <f>'Data Panjang Balok'!E160</f>
        <v>1</v>
      </c>
      <c r="L163">
        <f>SUMIFS('Besi Balok'!$AA$23:$AA$12292,'Besi Balok'!$A$23:$A$12292,$A163,'Besi Balok'!$B$23:$B$12292,$B163,'Besi Balok'!$F$23:$F$12292,'REKAP Balok'!L$12)</f>
        <v>0</v>
      </c>
      <c r="M163">
        <f>SUMIFS('Besi Balok'!$AA$23:$AA$12292,'Besi Balok'!$A$23:$A$12292,$A163,'Besi Balok'!$B$23:$B$12292,$B163,'Besi Balok'!$F$23:$F$12292,'REKAP Balok'!M$12)</f>
        <v>0</v>
      </c>
      <c r="N163">
        <f>SUMIFS('Besi Balok'!$AA$23:$AA$12292,'Besi Balok'!$A$23:$A$12292,$A163,'Besi Balok'!$B$23:$B$12292,$B163,'Besi Balok'!$F$23:$F$12292,'REKAP Balok'!N$12)</f>
        <v>29.90025</v>
      </c>
      <c r="O163">
        <f>SUMIFS('Besi Balok'!$AA$23:$AA$12292,'Besi Balok'!$A$23:$A$12292,$A163,'Besi Balok'!$B$23:$B$12292,$B163,'Besi Balok'!$F$23:$F$12292,'REKAP Balok'!O$12)</f>
        <v>28.535146379999997</v>
      </c>
      <c r="P163">
        <f>SUMIFS('Besi Balok'!$AA$23:$AA$12292,'Besi Balok'!$A$23:$A$12292,$A163,'Besi Balok'!$B$23:$B$12292,$B163,'Besi Balok'!$F$23:$F$12292,'REKAP Balok'!P$12)</f>
        <v>0</v>
      </c>
      <c r="Q163">
        <f>SUMIFS('Besi Balok'!$AA$23:$AA$12292,'Besi Balok'!$A$23:$A$12292,$A163,'Besi Balok'!$B$23:$B$12292,$B163,'Besi Balok'!$F$23:$F$12292,'REKAP Balok'!Q$12)</f>
        <v>0</v>
      </c>
      <c r="R163">
        <f>SUMIFS('Besi Balok'!$AA$23:$AA$12292,'Besi Balok'!$A$23:$A$12292,$A163,'Besi Balok'!$B$23:$B$12292,$B163,'Besi Balok'!$F$23:$F$12292,'REKAP Balok'!R$12)</f>
        <v>0</v>
      </c>
      <c r="S163">
        <f>SUMIFS('Besi Balok'!$AA$23:$AA$12292,'Besi Balok'!$A$23:$A$12292,$A163,'Besi Balok'!$B$23:$B$12292,$B163,'Besi Balok'!$F$23:$F$12292,'REKAP Balok'!S$12)</f>
        <v>0</v>
      </c>
      <c r="T163">
        <f>SUMIFS('Besi Balok'!$AA$23:$AA$12292,'Besi Balok'!$A$23:$A$12292,$A163,'Besi Balok'!$B$23:$B$12292,$B163,'Besi Balok'!$F$23:$F$12292,'REKAP Balok'!T$12)</f>
        <v>0</v>
      </c>
      <c r="U163">
        <f>SUM(L163:T163)</f>
        <v>58.43539638</v>
      </c>
      <c r="V163">
        <f>(D163*(F163-H163)*G163*K163)/1000000000</f>
        <v>0.2777375</v>
      </c>
      <c r="W163">
        <f>(((F163-H163)*2+D163)*(G163)*K163)/1000000</f>
        <v>4.37845</v>
      </c>
      <c r="AC163">
        <f>(D163+2*$F$5)*F163*G163/1000000000</f>
        <v>0.96718</v>
      </c>
    </row>
    <row r="164">
      <c r="A164" t="str">
        <f>'Data Panjang Balok'!A161</f>
        <v>Lantai 1</v>
      </c>
      <c r="B164">
        <f>'Data Panjang Balok'!B161</f>
        <v>53</v>
      </c>
      <c r="C164" t="str">
        <f>'Data Panjang Balok'!D161</f>
        <v>B174-1</v>
      </c>
      <c r="D164">
        <f>IF(C164&gt;0,VLOOKUP(C164,'Detail Balok'!$C$11:$AU$110,2,FALSE),0)</f>
        <v>170</v>
      </c>
      <c r="E164" t="str">
        <v>x</v>
      </c>
      <c r="F164">
        <f>IF(C164&gt;0,VLOOKUP(C164,'Detail Balok'!$C$11:$AU$110,3,FALSE),0)</f>
        <v>400</v>
      </c>
      <c r="G164">
        <f>'Data Panjang Balok'!I161</f>
        <v>5500</v>
      </c>
      <c r="H164">
        <f>'Data Panjang Balok'!J161</f>
        <v>0</v>
      </c>
      <c r="J164">
        <f>I164-F164/1000</f>
        <v>-0.4</v>
      </c>
      <c r="K164">
        <f>'Data Panjang Balok'!E161</f>
        <v>1</v>
      </c>
      <c r="L164">
        <f>SUMIFS('Besi Balok'!$AA$23:$AA$12292,'Besi Balok'!$A$23:$A$12292,$A164,'Besi Balok'!$B$23:$B$12292,$B164,'Besi Balok'!$F$23:$F$12292,'REKAP Balok'!L$12)</f>
        <v>0</v>
      </c>
      <c r="M164">
        <f>SUMIFS('Besi Balok'!$AA$23:$AA$12292,'Besi Balok'!$A$23:$A$12292,$A164,'Besi Balok'!$B$23:$B$12292,$B164,'Besi Balok'!$F$23:$F$12292,'REKAP Balok'!M$12)</f>
        <v>0</v>
      </c>
      <c r="N164">
        <f>SUMIFS('Besi Balok'!$AA$23:$AA$12292,'Besi Balok'!$A$23:$A$12292,$A164,'Besi Balok'!$B$23:$B$12292,$B164,'Besi Balok'!$F$23:$F$12292,'REKAP Balok'!N$12)</f>
        <v>26.312220000000003</v>
      </c>
      <c r="O164">
        <f>SUMIFS('Besi Balok'!$AA$23:$AA$12292,'Besi Balok'!$A$23:$A$12292,$A164,'Besi Balok'!$B$23:$B$12292,$B164,'Besi Balok'!$F$23:$F$12292,'REKAP Balok'!O$12)</f>
        <v>24.221742479999996</v>
      </c>
      <c r="P164">
        <f>SUMIFS('Besi Balok'!$AA$23:$AA$12292,'Besi Balok'!$A$23:$A$12292,$A164,'Besi Balok'!$B$23:$B$12292,$B164,'Besi Balok'!$F$23:$F$12292,'REKAP Balok'!P$12)</f>
        <v>0</v>
      </c>
      <c r="Q164">
        <f>SUMIFS('Besi Balok'!$AA$23:$AA$12292,'Besi Balok'!$A$23:$A$12292,$A164,'Besi Balok'!$B$23:$B$12292,$B164,'Besi Balok'!$F$23:$F$12292,'REKAP Balok'!Q$12)</f>
        <v>0</v>
      </c>
      <c r="R164">
        <f>SUMIFS('Besi Balok'!$AA$23:$AA$12292,'Besi Balok'!$A$23:$A$12292,$A164,'Besi Balok'!$B$23:$B$12292,$B164,'Besi Balok'!$F$23:$F$12292,'REKAP Balok'!R$12)</f>
        <v>0</v>
      </c>
      <c r="S164">
        <f>SUMIFS('Besi Balok'!$AA$23:$AA$12292,'Besi Balok'!$A$23:$A$12292,$A164,'Besi Balok'!$B$23:$B$12292,$B164,'Besi Balok'!$F$23:$F$12292,'REKAP Balok'!S$12)</f>
        <v>0</v>
      </c>
      <c r="T164">
        <f>SUMIFS('Besi Balok'!$AA$23:$AA$12292,'Besi Balok'!$A$23:$A$12292,$A164,'Besi Balok'!$B$23:$B$12292,$B164,'Besi Balok'!$F$23:$F$12292,'REKAP Balok'!T$12)</f>
        <v>0</v>
      </c>
      <c r="U164">
        <f>SUM(L164:T164)</f>
        <v>50.53396248</v>
      </c>
      <c r="V164">
        <f>(D164*(F164-H164)*G164*K164)/1000000000</f>
        <v>0.374</v>
      </c>
      <c r="W164">
        <f>(((F164-H164)*2+D164)*(G164)*K164)/1000000</f>
        <v>5.335</v>
      </c>
      <c r="AC164">
        <f>(D164+2*$F$5)*F164*G164/1000000000</f>
        <v>0.814</v>
      </c>
    </row>
    <row r="165">
      <c r="A165" t="str">
        <f>'Data Panjang Balok'!A162</f>
        <v>Lantai 1</v>
      </c>
      <c r="B165">
        <f>'Data Panjang Balok'!B162</f>
        <v>54</v>
      </c>
      <c r="C165" t="str">
        <f>'Data Panjang Balok'!D162</f>
        <v>B24-1</v>
      </c>
      <c r="D165">
        <f>IF(C165&gt;0,VLOOKUP(C165,'Detail Balok'!$C$11:$AU$110,2,FALSE),0)</f>
        <v>200</v>
      </c>
      <c r="E165" t="str">
        <v>x</v>
      </c>
      <c r="F165">
        <f>IF(C165&gt;0,VLOOKUP(C165,'Detail Balok'!$C$11:$AU$110,3,FALSE),0)</f>
        <v>400</v>
      </c>
      <c r="G165">
        <f>'Data Panjang Balok'!I162</f>
        <v>5100</v>
      </c>
      <c r="H165">
        <f>'Data Panjang Balok'!J162</f>
        <v>130</v>
      </c>
      <c r="J165">
        <f>I165-F165/1000</f>
        <v>-0.4</v>
      </c>
      <c r="K165">
        <f>'Data Panjang Balok'!E162</f>
        <v>1</v>
      </c>
      <c r="L165">
        <f>SUMIFS('Besi Balok'!$AA$23:$AA$12292,'Besi Balok'!$A$23:$A$12292,$A165,'Besi Balok'!$B$23:$B$12292,$B165,'Besi Balok'!$F$23:$F$12292,'REKAP Balok'!L$12)</f>
        <v>0</v>
      </c>
      <c r="M165">
        <f>SUMIFS('Besi Balok'!$AA$23:$AA$12292,'Besi Balok'!$A$23:$A$12292,$A165,'Besi Balok'!$B$23:$B$12292,$B165,'Besi Balok'!$F$23:$F$12292,'REKAP Balok'!M$12)</f>
        <v>16.662268800000003</v>
      </c>
      <c r="N165">
        <f>SUMIFS('Besi Balok'!$AA$23:$AA$12292,'Besi Balok'!$A$23:$A$12292,$A165,'Besi Balok'!$B$23:$B$12292,$B165,'Besi Balok'!$F$23:$F$12292,'REKAP Balok'!N$12)</f>
        <v>0</v>
      </c>
      <c r="O165">
        <f>SUMIFS('Besi Balok'!$AA$23:$AA$12292,'Besi Balok'!$A$23:$A$12292,$A165,'Besi Balok'!$B$23:$B$12292,$B165,'Besi Balok'!$F$23:$F$12292,'REKAP Balok'!O$12)</f>
        <v>22.55472648</v>
      </c>
      <c r="P165">
        <f>SUMIFS('Besi Balok'!$AA$23:$AA$12292,'Besi Balok'!$A$23:$A$12292,$A165,'Besi Balok'!$B$23:$B$12292,$B165,'Besi Balok'!$F$23:$F$12292,'REKAP Balok'!P$12)</f>
        <v>0</v>
      </c>
      <c r="Q165">
        <f>SUMIFS('Besi Balok'!$AA$23:$AA$12292,'Besi Balok'!$A$23:$A$12292,$A165,'Besi Balok'!$B$23:$B$12292,$B165,'Besi Balok'!$F$23:$F$12292,'REKAP Balok'!Q$12)</f>
        <v>0</v>
      </c>
      <c r="R165">
        <f>SUMIFS('Besi Balok'!$AA$23:$AA$12292,'Besi Balok'!$A$23:$A$12292,$A165,'Besi Balok'!$B$23:$B$12292,$B165,'Besi Balok'!$F$23:$F$12292,'REKAP Balok'!R$12)</f>
        <v>0</v>
      </c>
      <c r="S165">
        <f>SUMIFS('Besi Balok'!$AA$23:$AA$12292,'Besi Balok'!$A$23:$A$12292,$A165,'Besi Balok'!$B$23:$B$12292,$B165,'Besi Balok'!$F$23:$F$12292,'REKAP Balok'!S$12)</f>
        <v>0</v>
      </c>
      <c r="T165">
        <f>SUMIFS('Besi Balok'!$AA$23:$AA$12292,'Besi Balok'!$A$23:$A$12292,$A165,'Besi Balok'!$B$23:$B$12292,$B165,'Besi Balok'!$F$23:$F$12292,'REKAP Balok'!T$12)</f>
        <v>0</v>
      </c>
      <c r="U165">
        <f>SUM(L165:T165)</f>
        <v>39.216995280000006</v>
      </c>
      <c r="V165">
        <f>(D165*(F165-H165)*G165*K165)/1000000000</f>
        <v>0.2754</v>
      </c>
      <c r="W165">
        <f>(((F165-H165)*2+D165)*(G165)*K165)/1000000</f>
        <v>3.774</v>
      </c>
      <c r="AC165">
        <f>(D165+2*$F$5)*F165*G165/1000000000</f>
        <v>0.816</v>
      </c>
    </row>
    <row r="166">
      <c r="A166" t="str">
        <f>'Data Panjang Balok'!A163</f>
        <v>Lantai 1</v>
      </c>
      <c r="B166">
        <f>'Data Panjang Balok'!B163</f>
        <v>55</v>
      </c>
      <c r="C166" t="str">
        <f>'Data Panjang Balok'!D163</f>
        <v>B25-1</v>
      </c>
      <c r="D166">
        <f>IF(C166&gt;0,VLOOKUP(C166,'Detail Balok'!$C$11:$AU$110,2,FALSE),0)</f>
        <v>200</v>
      </c>
      <c r="E166" t="str">
        <v>x</v>
      </c>
      <c r="F166">
        <f>IF(C166&gt;0,VLOOKUP(C166,'Detail Balok'!$C$11:$AU$110,3,FALSE),0)</f>
        <v>500</v>
      </c>
      <c r="G166">
        <f>'Data Panjang Balok'!I163</f>
        <v>2900</v>
      </c>
      <c r="H166">
        <f>'Data Panjang Balok'!J163</f>
        <v>130</v>
      </c>
      <c r="J166">
        <f>I166-F166/1000</f>
        <v>-0.5</v>
      </c>
      <c r="K166">
        <f>'Data Panjang Balok'!E163</f>
        <v>1</v>
      </c>
      <c r="L166">
        <f>SUMIFS('Besi Balok'!$AA$23:$AA$12292,'Besi Balok'!$A$23:$A$12292,$A166,'Besi Balok'!$B$23:$B$12292,$B166,'Besi Balok'!$F$23:$F$12292,'REKAP Balok'!L$12)</f>
        <v>0</v>
      </c>
      <c r="M166">
        <f>SUMIFS('Besi Balok'!$AA$23:$AA$12292,'Besi Balok'!$A$23:$A$12292,$A166,'Besi Balok'!$B$23:$B$12292,$B166,'Besi Balok'!$F$23:$F$12292,'REKAP Balok'!M$12)</f>
        <v>0</v>
      </c>
      <c r="N166">
        <f>SUMIFS('Besi Balok'!$AA$23:$AA$12292,'Besi Balok'!$A$23:$A$12292,$A166,'Besi Balok'!$B$23:$B$12292,$B166,'Besi Balok'!$F$23:$F$12292,'REKAP Balok'!N$12)</f>
        <v>24.345585</v>
      </c>
      <c r="O166">
        <f>SUMIFS('Besi Balok'!$AA$23:$AA$12292,'Besi Balok'!$A$23:$A$12292,$A166,'Besi Balok'!$B$23:$B$12292,$B166,'Besi Balok'!$F$23:$F$12292,'REKAP Balok'!O$12)</f>
        <v>0</v>
      </c>
      <c r="P166">
        <f>SUMIFS('Besi Balok'!$AA$23:$AA$12292,'Besi Balok'!$A$23:$A$12292,$A166,'Besi Balok'!$B$23:$B$12292,$B166,'Besi Balok'!$F$23:$F$12292,'REKAP Balok'!P$12)</f>
        <v>20.73176064</v>
      </c>
      <c r="Q166">
        <f>SUMIFS('Besi Balok'!$AA$23:$AA$12292,'Besi Balok'!$A$23:$A$12292,$A166,'Besi Balok'!$B$23:$B$12292,$B166,'Besi Balok'!$F$23:$F$12292,'REKAP Balok'!Q$12)</f>
        <v>0</v>
      </c>
      <c r="R166">
        <f>SUMIFS('Besi Balok'!$AA$23:$AA$12292,'Besi Balok'!$A$23:$A$12292,$A166,'Besi Balok'!$B$23:$B$12292,$B166,'Besi Balok'!$F$23:$F$12292,'REKAP Balok'!R$12)</f>
        <v>0</v>
      </c>
      <c r="S166">
        <f>SUMIFS('Besi Balok'!$AA$23:$AA$12292,'Besi Balok'!$A$23:$A$12292,$A166,'Besi Balok'!$B$23:$B$12292,$B166,'Besi Balok'!$F$23:$F$12292,'REKAP Balok'!S$12)</f>
        <v>0</v>
      </c>
      <c r="T166">
        <f>SUMIFS('Besi Balok'!$AA$23:$AA$12292,'Besi Balok'!$A$23:$A$12292,$A166,'Besi Balok'!$B$23:$B$12292,$B166,'Besi Balok'!$F$23:$F$12292,'REKAP Balok'!T$12)</f>
        <v>0</v>
      </c>
      <c r="U166">
        <f>SUM(L166:T166)</f>
        <v>45.077345640000004</v>
      </c>
      <c r="V166">
        <f>(D166*(F166-H166)*G166*K166)/1000000000</f>
        <v>0.2146</v>
      </c>
      <c r="W166">
        <f>(((F166-H166)*2+D166)*(G166)*K166)/1000000</f>
        <v>2.726</v>
      </c>
      <c r="AC166">
        <f>(D166+2*$F$5)*F166*G166/1000000000</f>
        <v>0.58</v>
      </c>
    </row>
    <row r="167">
      <c r="A167" t="str">
        <f>'Data Panjang Balok'!A164</f>
        <v>Lantai 1</v>
      </c>
      <c r="B167">
        <f>'Data Panjang Balok'!B164</f>
        <v>56</v>
      </c>
      <c r="C167" t="str">
        <f>'Data Panjang Balok'!D164</f>
        <v>B245-2</v>
      </c>
      <c r="D167">
        <f>IF(C167&gt;0,VLOOKUP(C167,'Detail Balok'!$C$11:$AU$110,2,FALSE),0)</f>
        <v>200</v>
      </c>
      <c r="E167" t="str">
        <v>x</v>
      </c>
      <c r="F167">
        <f>IF(C167&gt;0,VLOOKUP(C167,'Detail Balok'!$C$11:$AU$110,3,FALSE),0)</f>
        <v>450</v>
      </c>
      <c r="G167">
        <f>'Data Panjang Balok'!I164</f>
        <v>7570</v>
      </c>
      <c r="H167">
        <f>'Data Panjang Balok'!J164</f>
        <v>150</v>
      </c>
      <c r="J167">
        <f>I167-F167/1000</f>
        <v>-0.45</v>
      </c>
      <c r="K167">
        <f>'Data Panjang Balok'!E164</f>
        <v>1</v>
      </c>
      <c r="L167">
        <f>SUMIFS('Besi Balok'!$AA$23:$AA$12292,'Besi Balok'!$A$23:$A$12292,$A167,'Besi Balok'!$B$23:$B$12292,$B167,'Besi Balok'!$F$23:$F$12292,'REKAP Balok'!L$12)</f>
        <v>0</v>
      </c>
      <c r="M167">
        <f>SUMIFS('Besi Balok'!$AA$23:$AA$12292,'Besi Balok'!$A$23:$A$12292,$A167,'Besi Balok'!$B$23:$B$12292,$B167,'Besi Balok'!$F$23:$F$12292,'REKAP Balok'!M$12)</f>
        <v>32.430464640000004</v>
      </c>
      <c r="N167">
        <f>SUMIFS('Besi Balok'!$AA$23:$AA$12292,'Besi Balok'!$A$23:$A$12292,$A167,'Besi Balok'!$B$23:$B$12292,$B167,'Besi Balok'!$F$23:$F$12292,'REKAP Balok'!N$12)</f>
        <v>0</v>
      </c>
      <c r="O167">
        <f>SUMIFS('Besi Balok'!$AA$23:$AA$12292,'Besi Balok'!$A$23:$A$12292,$A167,'Besi Balok'!$B$23:$B$12292,$B167,'Besi Balok'!$F$23:$F$12292,'REKAP Balok'!O$12)</f>
        <v>49.272825420000004</v>
      </c>
      <c r="P167">
        <f>SUMIFS('Besi Balok'!$AA$23:$AA$12292,'Besi Balok'!$A$23:$A$12292,$A167,'Besi Balok'!$B$23:$B$12292,$B167,'Besi Balok'!$F$23:$F$12292,'REKAP Balok'!P$12)</f>
        <v>0</v>
      </c>
      <c r="Q167">
        <f>SUMIFS('Besi Balok'!$AA$23:$AA$12292,'Besi Balok'!$A$23:$A$12292,$A167,'Besi Balok'!$B$23:$B$12292,$B167,'Besi Balok'!$F$23:$F$12292,'REKAP Balok'!Q$12)</f>
        <v>0</v>
      </c>
      <c r="R167">
        <f>SUMIFS('Besi Balok'!$AA$23:$AA$12292,'Besi Balok'!$A$23:$A$12292,$A167,'Besi Balok'!$B$23:$B$12292,$B167,'Besi Balok'!$F$23:$F$12292,'REKAP Balok'!R$12)</f>
        <v>0</v>
      </c>
      <c r="S167">
        <f>SUMIFS('Besi Balok'!$AA$23:$AA$12292,'Besi Balok'!$A$23:$A$12292,$A167,'Besi Balok'!$B$23:$B$12292,$B167,'Besi Balok'!$F$23:$F$12292,'REKAP Balok'!S$12)</f>
        <v>0</v>
      </c>
      <c r="T167">
        <f>SUMIFS('Besi Balok'!$AA$23:$AA$12292,'Besi Balok'!$A$23:$A$12292,$A167,'Besi Balok'!$B$23:$B$12292,$B167,'Besi Balok'!$F$23:$F$12292,'REKAP Balok'!T$12)</f>
        <v>0</v>
      </c>
      <c r="U167">
        <f>SUM(L167:T167)</f>
        <v>81.70329006</v>
      </c>
      <c r="V167">
        <f>(D167*(F167-H167)*G167*K167)/1000000000</f>
        <v>0.4542</v>
      </c>
      <c r="W167">
        <f>(((F167-H167)*2+D167)*(G167)*K167)/1000000</f>
        <v>6.056</v>
      </c>
      <c r="AC167">
        <f>(D167+2*$F$5)*F167*G167/1000000000</f>
        <v>1.3626</v>
      </c>
    </row>
    <row r="168">
      <c r="A168" t="str">
        <f>'Data Panjang Balok'!A165</f>
        <v>Lantai 1</v>
      </c>
      <c r="B168">
        <f>'Data Panjang Balok'!B165</f>
        <v>57</v>
      </c>
      <c r="C168" t="str">
        <f>'Data Panjang Balok'!D165</f>
        <v>B245-4</v>
      </c>
      <c r="D168">
        <f>IF(C168&gt;0,VLOOKUP(C168,'Detail Balok'!$C$11:$AU$110,2,FALSE),0)</f>
        <v>200</v>
      </c>
      <c r="E168" t="str">
        <v>x</v>
      </c>
      <c r="F168">
        <f>IF(C168&gt;0,VLOOKUP(C168,'Detail Balok'!$C$11:$AU$110,3,FALSE),0)</f>
        <v>450</v>
      </c>
      <c r="G168">
        <f>'Data Panjang Balok'!I165</f>
        <v>4340</v>
      </c>
      <c r="H168">
        <f>'Data Panjang Balok'!J165</f>
        <v>0</v>
      </c>
      <c r="J168">
        <f>I168-F168/1000</f>
        <v>-0.45</v>
      </c>
      <c r="K168">
        <f>'Data Panjang Balok'!E165</f>
        <v>1</v>
      </c>
      <c r="L168">
        <f>SUMIFS('Besi Balok'!$AA$23:$AA$12292,'Besi Balok'!$A$23:$A$12292,$A168,'Besi Balok'!$B$23:$B$12292,$B168,'Besi Balok'!$F$23:$F$12292,'REKAP Balok'!L$12)</f>
        <v>0</v>
      </c>
      <c r="M168">
        <f>SUMIFS('Besi Balok'!$AA$23:$AA$12292,'Besi Balok'!$A$23:$A$12292,$A168,'Besi Balok'!$B$23:$B$12292,$B168,'Besi Balok'!$F$23:$F$12292,'REKAP Balok'!M$12)</f>
        <v>19.18113984</v>
      </c>
      <c r="N168">
        <f>SUMIFS('Besi Balok'!$AA$23:$AA$12292,'Besi Balok'!$A$23:$A$12292,$A168,'Besi Balok'!$B$23:$B$12292,$B168,'Besi Balok'!$F$23:$F$12292,'REKAP Balok'!N$12)</f>
        <v>0</v>
      </c>
      <c r="O168">
        <f>SUMIFS('Besi Balok'!$AA$23:$AA$12292,'Besi Balok'!$A$23:$A$12292,$A168,'Besi Balok'!$B$23:$B$12292,$B168,'Besi Balok'!$F$23:$F$12292,'REKAP Balok'!O$12)</f>
        <v>0</v>
      </c>
      <c r="P168">
        <f>SUMIFS('Besi Balok'!$AA$23:$AA$12292,'Besi Balok'!$A$23:$A$12292,$A168,'Besi Balok'!$B$23:$B$12292,$B168,'Besi Balok'!$F$23:$F$12292,'REKAP Balok'!P$12)</f>
        <v>44.733634560000006</v>
      </c>
      <c r="Q168">
        <f>SUMIFS('Besi Balok'!$AA$23:$AA$12292,'Besi Balok'!$A$23:$A$12292,$A168,'Besi Balok'!$B$23:$B$12292,$B168,'Besi Balok'!$F$23:$F$12292,'REKAP Balok'!Q$12)</f>
        <v>0</v>
      </c>
      <c r="R168">
        <f>SUMIFS('Besi Balok'!$AA$23:$AA$12292,'Besi Balok'!$A$23:$A$12292,$A168,'Besi Balok'!$B$23:$B$12292,$B168,'Besi Balok'!$F$23:$F$12292,'REKAP Balok'!R$12)</f>
        <v>0</v>
      </c>
      <c r="S168">
        <f>SUMIFS('Besi Balok'!$AA$23:$AA$12292,'Besi Balok'!$A$23:$A$12292,$A168,'Besi Balok'!$B$23:$B$12292,$B168,'Besi Balok'!$F$23:$F$12292,'REKAP Balok'!S$12)</f>
        <v>0</v>
      </c>
      <c r="T168">
        <f>SUMIFS('Besi Balok'!$AA$23:$AA$12292,'Besi Balok'!$A$23:$A$12292,$A168,'Besi Balok'!$B$23:$B$12292,$B168,'Besi Balok'!$F$23:$F$12292,'REKAP Balok'!T$12)</f>
        <v>0</v>
      </c>
      <c r="U168">
        <f>SUM(L168:T168)</f>
        <v>63.914774400000006</v>
      </c>
      <c r="V168">
        <f>(D168*(F168-H168)*G168*K168)/1000000000</f>
        <v>0.3906</v>
      </c>
      <c r="W168">
        <f>(((F168-H168)*2+D168)*(G168)*K168)/1000000</f>
        <v>4.774</v>
      </c>
      <c r="AC168">
        <f>(D168+2*$F$5)*F168*G168/1000000000</f>
        <v>0.7812</v>
      </c>
    </row>
    <row r="169">
      <c r="A169" t="str">
        <f>'Data Panjang Balok'!A166</f>
        <v>Lantai 1</v>
      </c>
      <c r="B169">
        <f>'Data Panjang Balok'!B166</f>
        <v>58</v>
      </c>
      <c r="C169" t="str">
        <f>'Data Panjang Balok'!D166</f>
        <v>B245-5</v>
      </c>
      <c r="D169">
        <f>IF(C169&gt;0,VLOOKUP(C169,'Detail Balok'!$C$11:$AU$110,2,FALSE),0)</f>
        <v>200</v>
      </c>
      <c r="E169" t="str">
        <v>x</v>
      </c>
      <c r="F169">
        <f>IF(C169&gt;0,VLOOKUP(C169,'Detail Balok'!$C$11:$AU$110,3,FALSE),0)</f>
        <v>450</v>
      </c>
      <c r="G169">
        <f>'Data Panjang Balok'!I166</f>
        <v>2780</v>
      </c>
      <c r="H169">
        <f>'Data Panjang Balok'!J166</f>
        <v>0</v>
      </c>
      <c r="J169">
        <f>I169-F169/1000</f>
        <v>-0.45</v>
      </c>
      <c r="K169">
        <f>'Data Panjang Balok'!E166</f>
        <v>1</v>
      </c>
      <c r="L169">
        <f>SUMIFS('Besi Balok'!$AA$23:$AA$12292,'Besi Balok'!$A$23:$A$12292,$A169,'Besi Balok'!$B$23:$B$12292,$B169,'Besi Balok'!$F$23:$F$12292,'REKAP Balok'!L$12)</f>
        <v>0</v>
      </c>
      <c r="M169">
        <f>SUMIFS('Besi Balok'!$AA$23:$AA$12292,'Besi Balok'!$A$23:$A$12292,$A169,'Besi Balok'!$B$23:$B$12292,$B169,'Besi Balok'!$F$23:$F$12292,'REKAP Balok'!M$12)</f>
        <v>0</v>
      </c>
      <c r="N169">
        <f>SUMIFS('Besi Balok'!$AA$23:$AA$12292,'Besi Balok'!$A$23:$A$12292,$A169,'Besi Balok'!$B$23:$B$12292,$B169,'Besi Balok'!$F$23:$F$12292,'REKAP Balok'!N$12)</f>
        <v>23.926364999999997</v>
      </c>
      <c r="O169">
        <f>SUMIFS('Besi Balok'!$AA$23:$AA$12292,'Besi Balok'!$A$23:$A$12292,$A169,'Besi Balok'!$B$23:$B$12292,$B169,'Besi Balok'!$F$23:$F$12292,'REKAP Balok'!O$12)</f>
        <v>0</v>
      </c>
      <c r="P169">
        <f>SUMIFS('Besi Balok'!$AA$23:$AA$12292,'Besi Balok'!$A$23:$A$12292,$A169,'Besi Balok'!$B$23:$B$12292,$B169,'Besi Balok'!$F$23:$F$12292,'REKAP Balok'!P$12)</f>
        <v>34.95485952</v>
      </c>
      <c r="Q169">
        <f>SUMIFS('Besi Balok'!$AA$23:$AA$12292,'Besi Balok'!$A$23:$A$12292,$A169,'Besi Balok'!$B$23:$B$12292,$B169,'Besi Balok'!$F$23:$F$12292,'REKAP Balok'!Q$12)</f>
        <v>0</v>
      </c>
      <c r="R169">
        <f>SUMIFS('Besi Balok'!$AA$23:$AA$12292,'Besi Balok'!$A$23:$A$12292,$A169,'Besi Balok'!$B$23:$B$12292,$B169,'Besi Balok'!$F$23:$F$12292,'REKAP Balok'!R$12)</f>
        <v>0</v>
      </c>
      <c r="S169">
        <f>SUMIFS('Besi Balok'!$AA$23:$AA$12292,'Besi Balok'!$A$23:$A$12292,$A169,'Besi Balok'!$B$23:$B$12292,$B169,'Besi Balok'!$F$23:$F$12292,'REKAP Balok'!S$12)</f>
        <v>0</v>
      </c>
      <c r="T169">
        <f>SUMIFS('Besi Balok'!$AA$23:$AA$12292,'Besi Balok'!$A$23:$A$12292,$A169,'Besi Balok'!$B$23:$B$12292,$B169,'Besi Balok'!$F$23:$F$12292,'REKAP Balok'!T$12)</f>
        <v>0</v>
      </c>
      <c r="U169">
        <f>SUM(L169:T169)</f>
        <v>58.881224519999996</v>
      </c>
      <c r="V169">
        <f>(D169*(F169-H169)*G169*K169)/1000000000</f>
        <v>0.2502</v>
      </c>
      <c r="W169">
        <f>(((F169-H169)*2+D169)*(G169)*K169)/1000000</f>
        <v>3.058</v>
      </c>
      <c r="AC169">
        <f>(D169+2*$F$5)*F169*G169/1000000000</f>
        <v>0.5004</v>
      </c>
    </row>
    <row r="170">
      <c r="A170" t="str">
        <f>'Data Panjang Balok'!A167</f>
        <v>Lantai 1</v>
      </c>
      <c r="B170">
        <f>'Data Panjang Balok'!B167</f>
        <v>59</v>
      </c>
      <c r="C170" t="str">
        <f>'Data Panjang Balok'!D167</f>
        <v>B245-2</v>
      </c>
      <c r="D170">
        <f>IF(C170&gt;0,VLOOKUP(C170,'Detail Balok'!$C$11:$AU$110,2,FALSE),0)</f>
        <v>200</v>
      </c>
      <c r="E170" t="str">
        <v>x</v>
      </c>
      <c r="F170">
        <f>IF(C170&gt;0,VLOOKUP(C170,'Detail Balok'!$C$11:$AU$110,3,FALSE),0)</f>
        <v>450</v>
      </c>
      <c r="G170">
        <f>'Data Panjang Balok'!I167</f>
        <v>2095</v>
      </c>
      <c r="H170">
        <f>'Data Panjang Balok'!J167</f>
        <v>0</v>
      </c>
      <c r="J170">
        <f>I170-F170/1000</f>
        <v>-0.45</v>
      </c>
      <c r="K170">
        <f>'Data Panjang Balok'!E167</f>
        <v>0</v>
      </c>
      <c r="L170">
        <f>SUMIFS('Besi Balok'!$AA$23:$AA$12292,'Besi Balok'!$A$23:$A$12292,$A170,'Besi Balok'!$B$23:$B$12292,$B170,'Besi Balok'!$F$23:$F$12292,'REKAP Balok'!L$12)</f>
        <v>0</v>
      </c>
      <c r="M170">
        <f>SUMIFS('Besi Balok'!$AA$23:$AA$12292,'Besi Balok'!$A$23:$A$12292,$A170,'Besi Balok'!$B$23:$B$12292,$B170,'Besi Balok'!$F$23:$F$12292,'REKAP Balok'!M$12)</f>
        <v>0</v>
      </c>
      <c r="N170">
        <f>SUMIFS('Besi Balok'!$AA$23:$AA$12292,'Besi Balok'!$A$23:$A$12292,$A170,'Besi Balok'!$B$23:$B$12292,$B170,'Besi Balok'!$F$23:$F$12292,'REKAP Balok'!N$12)</f>
        <v>0</v>
      </c>
      <c r="O170">
        <f>SUMIFS('Besi Balok'!$AA$23:$AA$12292,'Besi Balok'!$A$23:$A$12292,$A170,'Besi Balok'!$B$23:$B$12292,$B170,'Besi Balok'!$F$23:$F$12292,'REKAP Balok'!O$12)</f>
        <v>0</v>
      </c>
      <c r="P170">
        <f>SUMIFS('Besi Balok'!$AA$23:$AA$12292,'Besi Balok'!$A$23:$A$12292,$A170,'Besi Balok'!$B$23:$B$12292,$B170,'Besi Balok'!$F$23:$F$12292,'REKAP Balok'!P$12)</f>
        <v>0</v>
      </c>
      <c r="Q170">
        <f>SUMIFS('Besi Balok'!$AA$23:$AA$12292,'Besi Balok'!$A$23:$A$12292,$A170,'Besi Balok'!$B$23:$B$12292,$B170,'Besi Balok'!$F$23:$F$12292,'REKAP Balok'!Q$12)</f>
        <v>0</v>
      </c>
      <c r="R170">
        <f>SUMIFS('Besi Balok'!$AA$23:$AA$12292,'Besi Balok'!$A$23:$A$12292,$A170,'Besi Balok'!$B$23:$B$12292,$B170,'Besi Balok'!$F$23:$F$12292,'REKAP Balok'!R$12)</f>
        <v>0</v>
      </c>
      <c r="S170">
        <f>SUMIFS('Besi Balok'!$AA$23:$AA$12292,'Besi Balok'!$A$23:$A$12292,$A170,'Besi Balok'!$B$23:$B$12292,$B170,'Besi Balok'!$F$23:$F$12292,'REKAP Balok'!S$12)</f>
        <v>0</v>
      </c>
      <c r="T170">
        <f>SUMIFS('Besi Balok'!$AA$23:$AA$12292,'Besi Balok'!$A$23:$A$12292,$A170,'Besi Balok'!$B$23:$B$12292,$B170,'Besi Balok'!$F$23:$F$12292,'REKAP Balok'!T$12)</f>
        <v>0</v>
      </c>
      <c r="U170">
        <f>SUM(L170:T170)</f>
        <v>0</v>
      </c>
      <c r="V170">
        <f>(D170*(F170-H170)*G170*K170)/1000000000</f>
        <v>0</v>
      </c>
      <c r="W170">
        <f>(((F170-H170)*2+D170)*(G170)*K170)/1000000</f>
        <v>0</v>
      </c>
      <c r="AC170">
        <f>(D170+2*$F$5)*F170*G170/1000000000</f>
        <v>0.3771</v>
      </c>
    </row>
    <row r="171">
      <c r="A171" t="str">
        <f>'Data Panjang Balok'!A168</f>
        <v>Lantai 1</v>
      </c>
      <c r="B171">
        <f>'Data Panjang Balok'!B168</f>
        <v>60</v>
      </c>
      <c r="C171" t="str">
        <f>'Data Panjang Balok'!D168</f>
        <v>B245-1</v>
      </c>
      <c r="D171">
        <f>IF(C171&gt;0,VLOOKUP(C171,'Detail Balok'!$C$11:$AU$110,2,FALSE),0)</f>
        <v>200</v>
      </c>
      <c r="E171" t="str">
        <v>x</v>
      </c>
      <c r="F171">
        <f>IF(C171&gt;0,VLOOKUP(C171,'Detail Balok'!$C$11:$AU$110,3,FALSE),0)</f>
        <v>450</v>
      </c>
      <c r="G171">
        <f>'Data Panjang Balok'!I168</f>
        <v>2095</v>
      </c>
      <c r="H171">
        <f>'Data Panjang Balok'!J168</f>
        <v>0</v>
      </c>
      <c r="J171">
        <f>I171-F171/1000</f>
        <v>-0.45</v>
      </c>
      <c r="K171">
        <f>'Data Panjang Balok'!E168</f>
        <v>0</v>
      </c>
      <c r="L171">
        <f>SUMIFS('Besi Balok'!$AA$23:$AA$12292,'Besi Balok'!$A$23:$A$12292,$A171,'Besi Balok'!$B$23:$B$12292,$B171,'Besi Balok'!$F$23:$F$12292,'REKAP Balok'!L$12)</f>
        <v>0</v>
      </c>
      <c r="M171">
        <f>SUMIFS('Besi Balok'!$AA$23:$AA$12292,'Besi Balok'!$A$23:$A$12292,$A171,'Besi Balok'!$B$23:$B$12292,$B171,'Besi Balok'!$F$23:$F$12292,'REKAP Balok'!M$12)</f>
        <v>0</v>
      </c>
      <c r="N171">
        <f>SUMIFS('Besi Balok'!$AA$23:$AA$12292,'Besi Balok'!$A$23:$A$12292,$A171,'Besi Balok'!$B$23:$B$12292,$B171,'Besi Balok'!$F$23:$F$12292,'REKAP Balok'!N$12)</f>
        <v>0</v>
      </c>
      <c r="O171">
        <f>SUMIFS('Besi Balok'!$AA$23:$AA$12292,'Besi Balok'!$A$23:$A$12292,$A171,'Besi Balok'!$B$23:$B$12292,$B171,'Besi Balok'!$F$23:$F$12292,'REKAP Balok'!O$12)</f>
        <v>0</v>
      </c>
      <c r="P171">
        <f>SUMIFS('Besi Balok'!$AA$23:$AA$12292,'Besi Balok'!$A$23:$A$12292,$A171,'Besi Balok'!$B$23:$B$12292,$B171,'Besi Balok'!$F$23:$F$12292,'REKAP Balok'!P$12)</f>
        <v>0</v>
      </c>
      <c r="Q171">
        <f>SUMIFS('Besi Balok'!$AA$23:$AA$12292,'Besi Balok'!$A$23:$A$12292,$A171,'Besi Balok'!$B$23:$B$12292,$B171,'Besi Balok'!$F$23:$F$12292,'REKAP Balok'!Q$12)</f>
        <v>0</v>
      </c>
      <c r="R171">
        <f>SUMIFS('Besi Balok'!$AA$23:$AA$12292,'Besi Balok'!$A$23:$A$12292,$A171,'Besi Balok'!$B$23:$B$12292,$B171,'Besi Balok'!$F$23:$F$12292,'REKAP Balok'!R$12)</f>
        <v>0</v>
      </c>
      <c r="S171">
        <f>SUMIFS('Besi Balok'!$AA$23:$AA$12292,'Besi Balok'!$A$23:$A$12292,$A171,'Besi Balok'!$B$23:$B$12292,$B171,'Besi Balok'!$F$23:$F$12292,'REKAP Balok'!S$12)</f>
        <v>0</v>
      </c>
      <c r="T171">
        <f>SUMIFS('Besi Balok'!$AA$23:$AA$12292,'Besi Balok'!$A$23:$A$12292,$A171,'Besi Balok'!$B$23:$B$12292,$B171,'Besi Balok'!$F$23:$F$12292,'REKAP Balok'!T$12)</f>
        <v>0</v>
      </c>
      <c r="U171">
        <f>SUM(L171:T171)</f>
        <v>0</v>
      </c>
      <c r="V171">
        <f>(D171*(F171-H171)*G171*K171)/1000000000</f>
        <v>0</v>
      </c>
      <c r="W171">
        <f>(((F171-H171)*2+D171)*(G171)*K171)/1000000</f>
        <v>0</v>
      </c>
      <c r="AC171">
        <f>(D171+2*$F$5)*F171*G171/1000000000</f>
        <v>0.3771</v>
      </c>
    </row>
    <row r="172">
      <c r="A172" t="str">
        <f>'Data Panjang Balok'!A169</f>
        <v>Lantai 1</v>
      </c>
      <c r="B172">
        <f>'Data Panjang Balok'!B169</f>
        <v>61</v>
      </c>
      <c r="C172" t="str">
        <f>'Data Panjang Balok'!D169</f>
        <v>Potongan B</v>
      </c>
      <c r="D172">
        <f>IF(C172&gt;0,VLOOKUP(C172,'Detail Balok'!$C$11:$AU$110,2,FALSE),0)</f>
        <v>200</v>
      </c>
      <c r="E172" t="str">
        <v>x</v>
      </c>
      <c r="F172">
        <f>IF(C172&gt;0,VLOOKUP(C172,'Detail Balok'!$C$11:$AU$110,3,FALSE),0)</f>
        <v>500</v>
      </c>
      <c r="G172">
        <f>'Data Panjang Balok'!I169</f>
        <v>2450</v>
      </c>
      <c r="H172">
        <f>'Data Panjang Balok'!J169</f>
        <v>130</v>
      </c>
      <c r="J172">
        <f>I172-F172/1000</f>
        <v>-0.5</v>
      </c>
      <c r="K172">
        <f>'Data Panjang Balok'!E169</f>
        <v>0</v>
      </c>
      <c r="L172">
        <f>SUMIFS('Besi Balok'!$AA$23:$AA$12292,'Besi Balok'!$A$23:$A$12292,$A172,'Besi Balok'!$B$23:$B$12292,$B172,'Besi Balok'!$F$23:$F$12292,'REKAP Balok'!L$12)</f>
        <v>0</v>
      </c>
      <c r="M172">
        <f>SUMIFS('Besi Balok'!$AA$23:$AA$12292,'Besi Balok'!$A$23:$A$12292,$A172,'Besi Balok'!$B$23:$B$12292,$B172,'Besi Balok'!$F$23:$F$12292,'REKAP Balok'!M$12)</f>
        <v>0</v>
      </c>
      <c r="N172">
        <f>SUMIFS('Besi Balok'!$AA$23:$AA$12292,'Besi Balok'!$A$23:$A$12292,$A172,'Besi Balok'!$B$23:$B$12292,$B172,'Besi Balok'!$F$23:$F$12292,'REKAP Balok'!N$12)</f>
        <v>0</v>
      </c>
      <c r="O172">
        <f>SUMIFS('Besi Balok'!$AA$23:$AA$12292,'Besi Balok'!$A$23:$A$12292,$A172,'Besi Balok'!$B$23:$B$12292,$B172,'Besi Balok'!$F$23:$F$12292,'REKAP Balok'!O$12)</f>
        <v>0</v>
      </c>
      <c r="P172">
        <f>SUMIFS('Besi Balok'!$AA$23:$AA$12292,'Besi Balok'!$A$23:$A$12292,$A172,'Besi Balok'!$B$23:$B$12292,$B172,'Besi Balok'!$F$23:$F$12292,'REKAP Balok'!P$12)</f>
        <v>0</v>
      </c>
      <c r="Q172">
        <f>SUMIFS('Besi Balok'!$AA$23:$AA$12292,'Besi Balok'!$A$23:$A$12292,$A172,'Besi Balok'!$B$23:$B$12292,$B172,'Besi Balok'!$F$23:$F$12292,'REKAP Balok'!Q$12)</f>
        <v>0</v>
      </c>
      <c r="R172">
        <f>SUMIFS('Besi Balok'!$AA$23:$AA$12292,'Besi Balok'!$A$23:$A$12292,$A172,'Besi Balok'!$B$23:$B$12292,$B172,'Besi Balok'!$F$23:$F$12292,'REKAP Balok'!R$12)</f>
        <v>0</v>
      </c>
      <c r="S172">
        <f>SUMIFS('Besi Balok'!$AA$23:$AA$12292,'Besi Balok'!$A$23:$A$12292,$A172,'Besi Balok'!$B$23:$B$12292,$B172,'Besi Balok'!$F$23:$F$12292,'REKAP Balok'!S$12)</f>
        <v>0</v>
      </c>
      <c r="T172">
        <f>SUMIFS('Besi Balok'!$AA$23:$AA$12292,'Besi Balok'!$A$23:$A$12292,$A172,'Besi Balok'!$B$23:$B$12292,$B172,'Besi Balok'!$F$23:$F$12292,'REKAP Balok'!T$12)</f>
        <v>0</v>
      </c>
      <c r="U172">
        <f>SUM(L172:T172)</f>
        <v>0</v>
      </c>
      <c r="V172">
        <f>(D172*(F172-H172)*G172*K172)/1000000000</f>
        <v>0</v>
      </c>
      <c r="W172">
        <f>(((F172-H172)*2+D172)*(G172)*K172)/1000000</f>
        <v>0</v>
      </c>
      <c r="AC172">
        <f>(D172+2*$F$5)*F172*G172/1000000000</f>
        <v>0.49</v>
      </c>
    </row>
    <row r="173">
      <c r="A173" t="str">
        <f>'Data Panjang Balok'!A170</f>
        <v>Lantai 1</v>
      </c>
      <c r="B173">
        <f>'Data Panjang Balok'!B170</f>
        <v>62</v>
      </c>
      <c r="C173" t="str">
        <f>'Data Panjang Balok'!D170</f>
        <v>B25-2</v>
      </c>
      <c r="D173">
        <f>IF(C173&gt;0,VLOOKUP(C173,'Detail Balok'!$C$11:$AU$110,2,FALSE),0)</f>
        <v>200</v>
      </c>
      <c r="E173" t="str">
        <v>x</v>
      </c>
      <c r="F173">
        <f>IF(C173&gt;0,VLOOKUP(C173,'Detail Balok'!$C$11:$AU$110,3,FALSE),0)</f>
        <v>500</v>
      </c>
      <c r="G173">
        <f>'Data Panjang Balok'!I170</f>
        <v>3635</v>
      </c>
      <c r="H173">
        <f>'Data Panjang Balok'!J170</f>
        <v>130</v>
      </c>
      <c r="J173">
        <f>I173-F173/1000</f>
        <v>-0.5</v>
      </c>
      <c r="K173">
        <f>'Data Panjang Balok'!E170</f>
        <v>0</v>
      </c>
      <c r="L173">
        <f>SUMIFS('Besi Balok'!$AA$23:$AA$12292,'Besi Balok'!$A$23:$A$12292,$A173,'Besi Balok'!$B$23:$B$12292,$B173,'Besi Balok'!$F$23:$F$12292,'REKAP Balok'!L$12)</f>
        <v>0</v>
      </c>
      <c r="M173">
        <f>SUMIFS('Besi Balok'!$AA$23:$AA$12292,'Besi Balok'!$A$23:$A$12292,$A173,'Besi Balok'!$B$23:$B$12292,$B173,'Besi Balok'!$F$23:$F$12292,'REKAP Balok'!M$12)</f>
        <v>0</v>
      </c>
      <c r="N173">
        <f>SUMIFS('Besi Balok'!$AA$23:$AA$12292,'Besi Balok'!$A$23:$A$12292,$A173,'Besi Balok'!$B$23:$B$12292,$B173,'Besi Balok'!$F$23:$F$12292,'REKAP Balok'!N$12)</f>
        <v>0</v>
      </c>
      <c r="O173">
        <f>SUMIFS('Besi Balok'!$AA$23:$AA$12292,'Besi Balok'!$A$23:$A$12292,$A173,'Besi Balok'!$B$23:$B$12292,$B173,'Besi Balok'!$F$23:$F$12292,'REKAP Balok'!O$12)</f>
        <v>0</v>
      </c>
      <c r="P173">
        <f>SUMIFS('Besi Balok'!$AA$23:$AA$12292,'Besi Balok'!$A$23:$A$12292,$A173,'Besi Balok'!$B$23:$B$12292,$B173,'Besi Balok'!$F$23:$F$12292,'REKAP Balok'!P$12)</f>
        <v>0</v>
      </c>
      <c r="Q173">
        <f>SUMIFS('Besi Balok'!$AA$23:$AA$12292,'Besi Balok'!$A$23:$A$12292,$A173,'Besi Balok'!$B$23:$B$12292,$B173,'Besi Balok'!$F$23:$F$12292,'REKAP Balok'!Q$12)</f>
        <v>0</v>
      </c>
      <c r="R173">
        <f>SUMIFS('Besi Balok'!$AA$23:$AA$12292,'Besi Balok'!$A$23:$A$12292,$A173,'Besi Balok'!$B$23:$B$12292,$B173,'Besi Balok'!$F$23:$F$12292,'REKAP Balok'!R$12)</f>
        <v>0</v>
      </c>
      <c r="S173">
        <f>SUMIFS('Besi Balok'!$AA$23:$AA$12292,'Besi Balok'!$A$23:$A$12292,$A173,'Besi Balok'!$B$23:$B$12292,$B173,'Besi Balok'!$F$23:$F$12292,'REKAP Balok'!S$12)</f>
        <v>0</v>
      </c>
      <c r="T173">
        <f>SUMIFS('Besi Balok'!$AA$23:$AA$12292,'Besi Balok'!$A$23:$A$12292,$A173,'Besi Balok'!$B$23:$B$12292,$B173,'Besi Balok'!$F$23:$F$12292,'REKAP Balok'!T$12)</f>
        <v>0</v>
      </c>
      <c r="U173">
        <f>SUM(L173:T173)</f>
        <v>0</v>
      </c>
      <c r="V173">
        <f>(D173*(F173-H173)*G173*K173)/1000000000</f>
        <v>0</v>
      </c>
      <c r="W173">
        <f>(((F173-H173)*2+D173)*(G173)*K173)/1000000</f>
        <v>0</v>
      </c>
      <c r="AC173">
        <f>(D173+2*$F$5)*F173*G173/1000000000</f>
        <v>0.727</v>
      </c>
    </row>
    <row r="174">
      <c r="A174" t="str">
        <f>'Data Panjang Balok'!A171</f>
        <v>Lantai 1</v>
      </c>
      <c r="B174">
        <f>'Data Panjang Balok'!B171</f>
        <v>63</v>
      </c>
      <c r="C174" t="str">
        <f>'Data Panjang Balok'!D171</f>
        <v>B245-6</v>
      </c>
      <c r="D174">
        <f>IF(C174&gt;0,VLOOKUP(C174,'Detail Balok'!$C$11:$AU$110,2,FALSE),0)</f>
        <v>200</v>
      </c>
      <c r="E174" t="str">
        <v>x</v>
      </c>
      <c r="F174">
        <f>IF(C174&gt;0,VLOOKUP(C174,'Detail Balok'!$C$11:$AU$110,3,FALSE),0)</f>
        <v>450</v>
      </c>
      <c r="G174">
        <f>'Data Panjang Balok'!I171</f>
        <v>4915</v>
      </c>
      <c r="H174">
        <f>'Data Panjang Balok'!J171</f>
        <v>0</v>
      </c>
      <c r="J174">
        <f>I174-F174/1000</f>
        <v>-0.45</v>
      </c>
      <c r="K174">
        <f>'Data Panjang Balok'!E171</f>
        <v>0</v>
      </c>
      <c r="L174">
        <f>SUMIFS('Besi Balok'!$AA$23:$AA$12292,'Besi Balok'!$A$23:$A$12292,$A174,'Besi Balok'!$B$23:$B$12292,$B174,'Besi Balok'!$F$23:$F$12292,'REKAP Balok'!L$12)</f>
        <v>0</v>
      </c>
      <c r="M174">
        <f>SUMIFS('Besi Balok'!$AA$23:$AA$12292,'Besi Balok'!$A$23:$A$12292,$A174,'Besi Balok'!$B$23:$B$12292,$B174,'Besi Balok'!$F$23:$F$12292,'REKAP Balok'!M$12)</f>
        <v>0</v>
      </c>
      <c r="N174">
        <f>SUMIFS('Besi Balok'!$AA$23:$AA$12292,'Besi Balok'!$A$23:$A$12292,$A174,'Besi Balok'!$B$23:$B$12292,$B174,'Besi Balok'!$F$23:$F$12292,'REKAP Balok'!N$12)</f>
        <v>0</v>
      </c>
      <c r="O174">
        <f>SUMIFS('Besi Balok'!$AA$23:$AA$12292,'Besi Balok'!$A$23:$A$12292,$A174,'Besi Balok'!$B$23:$B$12292,$B174,'Besi Balok'!$F$23:$F$12292,'REKAP Balok'!O$12)</f>
        <v>0</v>
      </c>
      <c r="P174">
        <f>SUMIFS('Besi Balok'!$AA$23:$AA$12292,'Besi Balok'!$A$23:$A$12292,$A174,'Besi Balok'!$B$23:$B$12292,$B174,'Besi Balok'!$F$23:$F$12292,'REKAP Balok'!P$12)</f>
        <v>0</v>
      </c>
      <c r="Q174">
        <f>SUMIFS('Besi Balok'!$AA$23:$AA$12292,'Besi Balok'!$A$23:$A$12292,$A174,'Besi Balok'!$B$23:$B$12292,$B174,'Besi Balok'!$F$23:$F$12292,'REKAP Balok'!Q$12)</f>
        <v>0</v>
      </c>
      <c r="R174">
        <f>SUMIFS('Besi Balok'!$AA$23:$AA$12292,'Besi Balok'!$A$23:$A$12292,$A174,'Besi Balok'!$B$23:$B$12292,$B174,'Besi Balok'!$F$23:$F$12292,'REKAP Balok'!R$12)</f>
        <v>0</v>
      </c>
      <c r="S174">
        <f>SUMIFS('Besi Balok'!$AA$23:$AA$12292,'Besi Balok'!$A$23:$A$12292,$A174,'Besi Balok'!$B$23:$B$12292,$B174,'Besi Balok'!$F$23:$F$12292,'REKAP Balok'!S$12)</f>
        <v>0</v>
      </c>
      <c r="T174">
        <f>SUMIFS('Besi Balok'!$AA$23:$AA$12292,'Besi Balok'!$A$23:$A$12292,$A174,'Besi Balok'!$B$23:$B$12292,$B174,'Besi Balok'!$F$23:$F$12292,'REKAP Balok'!T$12)</f>
        <v>0</v>
      </c>
      <c r="U174">
        <f>SUM(L174:T174)</f>
        <v>0</v>
      </c>
      <c r="V174">
        <f>(D174*(F174-H174)*G174*K174)/1000000000</f>
        <v>0</v>
      </c>
      <c r="W174">
        <f>(((F174-H174)*2+D174)*(G174)*K174)/1000000</f>
        <v>0</v>
      </c>
      <c r="AC174">
        <f>(D174+2*$F$5)*F174*G174/1000000000</f>
        <v>0.8847</v>
      </c>
    </row>
    <row r="175">
      <c r="A175" t="str">
        <f>'Data Panjang Balok'!A172</f>
        <v>Lantai 1</v>
      </c>
      <c r="B175">
        <f>'Data Panjang Balok'!B172</f>
        <v>64</v>
      </c>
      <c r="C175" t="str">
        <f>'Data Panjang Balok'!D172</f>
        <v>B24-2</v>
      </c>
      <c r="D175">
        <f>IF(C175&gt;0,VLOOKUP(C175,'Detail Balok'!$C$11:$AU$110,2,FALSE),0)</f>
        <v>200</v>
      </c>
      <c r="E175" t="str">
        <v>x</v>
      </c>
      <c r="F175">
        <f>IF(C175&gt;0,VLOOKUP(C175,'Detail Balok'!$C$11:$AU$110,3,FALSE),0)</f>
        <v>400</v>
      </c>
      <c r="G175">
        <f>'Data Panjang Balok'!I172</f>
        <v>3185</v>
      </c>
      <c r="H175">
        <f>'Data Panjang Balok'!J172</f>
        <v>150</v>
      </c>
      <c r="J175">
        <f>I175-F175/1000</f>
        <v>-0.4</v>
      </c>
      <c r="K175">
        <f>'Data Panjang Balok'!E172</f>
        <v>0</v>
      </c>
      <c r="L175">
        <f>SUMIFS('Besi Balok'!$AA$23:$AA$12292,'Besi Balok'!$A$23:$A$12292,$A175,'Besi Balok'!$B$23:$B$12292,$B175,'Besi Balok'!$F$23:$F$12292,'REKAP Balok'!L$12)</f>
        <v>0</v>
      </c>
      <c r="M175">
        <f>SUMIFS('Besi Balok'!$AA$23:$AA$12292,'Besi Balok'!$A$23:$A$12292,$A175,'Besi Balok'!$B$23:$B$12292,$B175,'Besi Balok'!$F$23:$F$12292,'REKAP Balok'!M$12)</f>
        <v>0</v>
      </c>
      <c r="N175">
        <f>SUMIFS('Besi Balok'!$AA$23:$AA$12292,'Besi Balok'!$A$23:$A$12292,$A175,'Besi Balok'!$B$23:$B$12292,$B175,'Besi Balok'!$F$23:$F$12292,'REKAP Balok'!N$12)</f>
        <v>0</v>
      </c>
      <c r="O175">
        <f>SUMIFS('Besi Balok'!$AA$23:$AA$12292,'Besi Balok'!$A$23:$A$12292,$A175,'Besi Balok'!$B$23:$B$12292,$B175,'Besi Balok'!$F$23:$F$12292,'REKAP Balok'!O$12)</f>
        <v>0</v>
      </c>
      <c r="P175">
        <f>SUMIFS('Besi Balok'!$AA$23:$AA$12292,'Besi Balok'!$A$23:$A$12292,$A175,'Besi Balok'!$B$23:$B$12292,$B175,'Besi Balok'!$F$23:$F$12292,'REKAP Balok'!P$12)</f>
        <v>0</v>
      </c>
      <c r="Q175">
        <f>SUMIFS('Besi Balok'!$AA$23:$AA$12292,'Besi Balok'!$A$23:$A$12292,$A175,'Besi Balok'!$B$23:$B$12292,$B175,'Besi Balok'!$F$23:$F$12292,'REKAP Balok'!Q$12)</f>
        <v>0</v>
      </c>
      <c r="R175">
        <f>SUMIFS('Besi Balok'!$AA$23:$AA$12292,'Besi Balok'!$A$23:$A$12292,$A175,'Besi Balok'!$B$23:$B$12292,$B175,'Besi Balok'!$F$23:$F$12292,'REKAP Balok'!R$12)</f>
        <v>0</v>
      </c>
      <c r="S175">
        <f>SUMIFS('Besi Balok'!$AA$23:$AA$12292,'Besi Balok'!$A$23:$A$12292,$A175,'Besi Balok'!$B$23:$B$12292,$B175,'Besi Balok'!$F$23:$F$12292,'REKAP Balok'!S$12)</f>
        <v>0</v>
      </c>
      <c r="T175">
        <f>SUMIFS('Besi Balok'!$AA$23:$AA$12292,'Besi Balok'!$A$23:$A$12292,$A175,'Besi Balok'!$B$23:$B$12292,$B175,'Besi Balok'!$F$23:$F$12292,'REKAP Balok'!T$12)</f>
        <v>0</v>
      </c>
      <c r="U175">
        <f>SUM(L175:T175)</f>
        <v>0</v>
      </c>
      <c r="V175">
        <f>(D175*(F175-H175)*G175*K175)/1000000000</f>
        <v>0</v>
      </c>
      <c r="W175">
        <f>(((F175-H175)*2+D175)*(G175)*K175)/1000000</f>
        <v>0</v>
      </c>
      <c r="AC175">
        <f>(D175+2*$F$5)*F175*G175/1000000000</f>
        <v>0.5096</v>
      </c>
    </row>
    <row r="176">
      <c r="A176" t="str">
        <f>'Data Panjang Balok'!A173</f>
        <v>Lantai 1</v>
      </c>
      <c r="B176">
        <f>'Data Panjang Balok'!B173</f>
        <v>65</v>
      </c>
      <c r="C176" t="str">
        <f>'Data Panjang Balok'!D173</f>
        <v>B245-1</v>
      </c>
      <c r="D176">
        <f>IF(C176&gt;0,VLOOKUP(C176,'Detail Balok'!$C$11:$AU$110,2,FALSE),0)</f>
        <v>200</v>
      </c>
      <c r="E176" t="str">
        <v>x</v>
      </c>
      <c r="F176">
        <f>IF(C176&gt;0,VLOOKUP(C176,'Detail Balok'!$C$11:$AU$110,3,FALSE),0)</f>
        <v>450</v>
      </c>
      <c r="G176">
        <f>'Data Panjang Balok'!I173</f>
        <v>3200</v>
      </c>
      <c r="H176">
        <f>'Data Panjang Balok'!J173</f>
        <v>150</v>
      </c>
      <c r="J176">
        <f>I176-F176/1000</f>
        <v>-0.45</v>
      </c>
      <c r="K176">
        <f>'Data Panjang Balok'!E173</f>
        <v>1</v>
      </c>
      <c r="L176">
        <f>SUMIFS('Besi Balok'!$AA$23:$AA$12292,'Besi Balok'!$A$23:$A$12292,$A176,'Besi Balok'!$B$23:$B$12292,$B176,'Besi Balok'!$F$23:$F$12292,'REKAP Balok'!L$12)</f>
        <v>0</v>
      </c>
      <c r="M176">
        <f>SUMIFS('Besi Balok'!$AA$23:$AA$12292,'Besi Balok'!$A$23:$A$12292,$A176,'Besi Balok'!$B$23:$B$12292,$B176,'Besi Balok'!$F$23:$F$12292,'REKAP Balok'!M$12)</f>
        <v>14.71472064</v>
      </c>
      <c r="N176">
        <f>SUMIFS('Besi Balok'!$AA$23:$AA$12292,'Besi Balok'!$A$23:$A$12292,$A176,'Besi Balok'!$B$23:$B$12292,$B176,'Besi Balok'!$F$23:$F$12292,'REKAP Balok'!N$12)</f>
        <v>0</v>
      </c>
      <c r="O176">
        <f>SUMIFS('Besi Balok'!$AA$23:$AA$12292,'Besi Balok'!$A$23:$A$12292,$A176,'Besi Balok'!$B$23:$B$12292,$B176,'Besi Balok'!$F$23:$F$12292,'REKAP Balok'!O$12)</f>
        <v>14.636400479999999</v>
      </c>
      <c r="P176">
        <f>SUMIFS('Besi Balok'!$AA$23:$AA$12292,'Besi Balok'!$A$23:$A$12292,$A176,'Besi Balok'!$B$23:$B$12292,$B176,'Besi Balok'!$F$23:$F$12292,'REKAP Balok'!P$12)</f>
        <v>0</v>
      </c>
      <c r="Q176">
        <f>SUMIFS('Besi Balok'!$AA$23:$AA$12292,'Besi Balok'!$A$23:$A$12292,$A176,'Besi Balok'!$B$23:$B$12292,$B176,'Besi Balok'!$F$23:$F$12292,'REKAP Balok'!Q$12)</f>
        <v>0</v>
      </c>
      <c r="R176">
        <f>SUMIFS('Besi Balok'!$AA$23:$AA$12292,'Besi Balok'!$A$23:$A$12292,$A176,'Besi Balok'!$B$23:$B$12292,$B176,'Besi Balok'!$F$23:$F$12292,'REKAP Balok'!R$12)</f>
        <v>0</v>
      </c>
      <c r="S176">
        <f>SUMIFS('Besi Balok'!$AA$23:$AA$12292,'Besi Balok'!$A$23:$A$12292,$A176,'Besi Balok'!$B$23:$B$12292,$B176,'Besi Balok'!$F$23:$F$12292,'REKAP Balok'!S$12)</f>
        <v>0</v>
      </c>
      <c r="T176">
        <f>SUMIFS('Besi Balok'!$AA$23:$AA$12292,'Besi Balok'!$A$23:$A$12292,$A176,'Besi Balok'!$B$23:$B$12292,$B176,'Besi Balok'!$F$23:$F$12292,'REKAP Balok'!T$12)</f>
        <v>0</v>
      </c>
      <c r="U176">
        <f>SUM(L176:T176)</f>
        <v>29.35112112</v>
      </c>
      <c r="V176">
        <f>(D176*(F176-H176)*G176*K176)/1000000000</f>
        <v>0.192</v>
      </c>
      <c r="W176">
        <f>(((F176-H176)*2+D176)*(G176)*K176)/1000000</f>
        <v>2.56</v>
      </c>
      <c r="AC176">
        <f>(D176+2*$F$5)*F176*G176/1000000000</f>
        <v>0.576</v>
      </c>
    </row>
    <row r="177">
      <c r="A177" t="str">
        <f>'Data Panjang Balok'!A174</f>
        <v>Lantai 1</v>
      </c>
      <c r="B177">
        <f>'Data Panjang Balok'!B174</f>
        <v>66</v>
      </c>
      <c r="C177" t="str">
        <f>'Data Panjang Balok'!D174</f>
        <v>B245-4</v>
      </c>
      <c r="D177">
        <f>IF(C177&gt;0,VLOOKUP(C177,'Detail Balok'!$C$11:$AU$110,2,FALSE),0)</f>
        <v>200</v>
      </c>
      <c r="E177" t="str">
        <v>x</v>
      </c>
      <c r="F177">
        <f>IF(C177&gt;0,VLOOKUP(C177,'Detail Balok'!$C$11:$AU$110,3,FALSE),0)</f>
        <v>450</v>
      </c>
      <c r="G177">
        <f>'Data Panjang Balok'!I174</f>
        <v>5700</v>
      </c>
      <c r="H177">
        <f>'Data Panjang Balok'!J174</f>
        <v>130</v>
      </c>
      <c r="J177">
        <f>I177-F177/1000</f>
        <v>-0.45</v>
      </c>
      <c r="K177">
        <f>'Data Panjang Balok'!E174</f>
        <v>1</v>
      </c>
      <c r="L177">
        <f>SUMIFS('Besi Balok'!$AA$23:$AA$12292,'Besi Balok'!$A$23:$A$12292,$A177,'Besi Balok'!$B$23:$B$12292,$B177,'Besi Balok'!$F$23:$F$12292,'REKAP Balok'!L$12)</f>
        <v>0</v>
      </c>
      <c r="M177">
        <f>SUMIFS('Besi Balok'!$AA$23:$AA$12292,'Besi Balok'!$A$23:$A$12292,$A177,'Besi Balok'!$B$23:$B$12292,$B177,'Besi Balok'!$F$23:$F$12292,'REKAP Balok'!M$12)</f>
        <v>24.26701824</v>
      </c>
      <c r="N177">
        <f>SUMIFS('Besi Balok'!$AA$23:$AA$12292,'Besi Balok'!$A$23:$A$12292,$A177,'Besi Balok'!$B$23:$B$12292,$B177,'Besi Balok'!$F$23:$F$12292,'REKAP Balok'!N$12)</f>
        <v>0</v>
      </c>
      <c r="O177">
        <f>SUMIFS('Besi Balok'!$AA$23:$AA$12292,'Besi Balok'!$A$23:$A$12292,$A177,'Besi Balok'!$B$23:$B$12292,$B177,'Besi Balok'!$F$23:$F$12292,'REKAP Balok'!O$12)</f>
        <v>0</v>
      </c>
      <c r="P177">
        <f>SUMIFS('Besi Balok'!$AA$23:$AA$12292,'Besi Balok'!$A$23:$A$12292,$A177,'Besi Balok'!$B$23:$B$12292,$B177,'Besi Balok'!$F$23:$F$12292,'REKAP Balok'!P$12)</f>
        <v>57.612072960000006</v>
      </c>
      <c r="Q177">
        <f>SUMIFS('Besi Balok'!$AA$23:$AA$12292,'Besi Balok'!$A$23:$A$12292,$A177,'Besi Balok'!$B$23:$B$12292,$B177,'Besi Balok'!$F$23:$F$12292,'REKAP Balok'!Q$12)</f>
        <v>0</v>
      </c>
      <c r="R177">
        <f>SUMIFS('Besi Balok'!$AA$23:$AA$12292,'Besi Balok'!$A$23:$A$12292,$A177,'Besi Balok'!$B$23:$B$12292,$B177,'Besi Balok'!$F$23:$F$12292,'REKAP Balok'!R$12)</f>
        <v>0</v>
      </c>
      <c r="S177">
        <f>SUMIFS('Besi Balok'!$AA$23:$AA$12292,'Besi Balok'!$A$23:$A$12292,$A177,'Besi Balok'!$B$23:$B$12292,$B177,'Besi Balok'!$F$23:$F$12292,'REKAP Balok'!S$12)</f>
        <v>0</v>
      </c>
      <c r="T177">
        <f>SUMIFS('Besi Balok'!$AA$23:$AA$12292,'Besi Balok'!$A$23:$A$12292,$A177,'Besi Balok'!$B$23:$B$12292,$B177,'Besi Balok'!$F$23:$F$12292,'REKAP Balok'!T$12)</f>
        <v>0</v>
      </c>
      <c r="U177">
        <f>SUM(L177:T177)</f>
        <v>81.8790912</v>
      </c>
      <c r="V177">
        <f>(D177*(F177-H177)*G177*K177)/1000000000</f>
        <v>0.3648</v>
      </c>
      <c r="W177">
        <f>(((F177-H177)*2+D177)*(G177)*K177)/1000000</f>
        <v>4.788</v>
      </c>
      <c r="AC177">
        <f>(D177+2*$F$5)*F177*G177/1000000000</f>
        <v>1.026</v>
      </c>
    </row>
    <row r="178">
      <c r="A178" t="str">
        <f>'Data Panjang Balok'!A175</f>
        <v>Lantai 1</v>
      </c>
      <c r="B178">
        <f>'Data Panjang Balok'!B175</f>
        <v>67</v>
      </c>
      <c r="C178" t="str">
        <f>'Data Panjang Balok'!D175</f>
        <v>B245-1</v>
      </c>
      <c r="D178">
        <f>IF(C178&gt;0,VLOOKUP(C178,'Detail Balok'!$C$11:$AU$110,2,FALSE),0)</f>
        <v>200</v>
      </c>
      <c r="E178" t="str">
        <v>x</v>
      </c>
      <c r="F178">
        <f>IF(C178&gt;0,VLOOKUP(C178,'Detail Balok'!$C$11:$AU$110,3,FALSE),0)</f>
        <v>450</v>
      </c>
      <c r="G178">
        <f>'Data Panjang Balok'!I175</f>
        <v>2500</v>
      </c>
      <c r="H178">
        <f>'Data Panjang Balok'!J175</f>
        <v>150</v>
      </c>
      <c r="J178">
        <f>I178-F178/1000</f>
        <v>-0.45</v>
      </c>
      <c r="K178">
        <f>'Data Panjang Balok'!E175</f>
        <v>1</v>
      </c>
      <c r="L178">
        <f>SUMIFS('Besi Balok'!$AA$23:$AA$12292,'Besi Balok'!$A$23:$A$12292,$A178,'Besi Balok'!$B$23:$B$12292,$B178,'Besi Balok'!$F$23:$F$12292,'REKAP Balok'!L$12)</f>
        <v>0</v>
      </c>
      <c r="M178">
        <f>SUMIFS('Besi Balok'!$AA$23:$AA$12292,'Besi Balok'!$A$23:$A$12292,$A178,'Besi Balok'!$B$23:$B$12292,$B178,'Besi Balok'!$F$23:$F$12292,'REKAP Balok'!M$12)</f>
        <v>12.82477824</v>
      </c>
      <c r="N178">
        <f>SUMIFS('Besi Balok'!$AA$23:$AA$12292,'Besi Balok'!$A$23:$A$12292,$A178,'Besi Balok'!$B$23:$B$12292,$B178,'Besi Balok'!$F$23:$F$12292,'REKAP Balok'!N$12)</f>
        <v>0</v>
      </c>
      <c r="O178">
        <f>SUMIFS('Besi Balok'!$AA$23:$AA$12292,'Besi Balok'!$A$23:$A$12292,$A178,'Besi Balok'!$B$23:$B$12292,$B178,'Besi Balok'!$F$23:$F$12292,'REKAP Balok'!O$12)</f>
        <v>11.719122480000001</v>
      </c>
      <c r="P178">
        <f>SUMIFS('Besi Balok'!$AA$23:$AA$12292,'Besi Balok'!$A$23:$A$12292,$A178,'Besi Balok'!$B$23:$B$12292,$B178,'Besi Balok'!$F$23:$F$12292,'REKAP Balok'!P$12)</f>
        <v>0</v>
      </c>
      <c r="Q178">
        <f>SUMIFS('Besi Balok'!$AA$23:$AA$12292,'Besi Balok'!$A$23:$A$12292,$A178,'Besi Balok'!$B$23:$B$12292,$B178,'Besi Balok'!$F$23:$F$12292,'REKAP Balok'!Q$12)</f>
        <v>0</v>
      </c>
      <c r="R178">
        <f>SUMIFS('Besi Balok'!$AA$23:$AA$12292,'Besi Balok'!$A$23:$A$12292,$A178,'Besi Balok'!$B$23:$B$12292,$B178,'Besi Balok'!$F$23:$F$12292,'REKAP Balok'!R$12)</f>
        <v>0</v>
      </c>
      <c r="S178">
        <f>SUMIFS('Besi Balok'!$AA$23:$AA$12292,'Besi Balok'!$A$23:$A$12292,$A178,'Besi Balok'!$B$23:$B$12292,$B178,'Besi Balok'!$F$23:$F$12292,'REKAP Balok'!S$12)</f>
        <v>0</v>
      </c>
      <c r="T178">
        <f>SUMIFS('Besi Balok'!$AA$23:$AA$12292,'Besi Balok'!$A$23:$A$12292,$A178,'Besi Balok'!$B$23:$B$12292,$B178,'Besi Balok'!$F$23:$F$12292,'REKAP Balok'!T$12)</f>
        <v>0</v>
      </c>
      <c r="U178">
        <f>SUM(L178:T178)</f>
        <v>24.543900720000003</v>
      </c>
      <c r="V178">
        <f>(D178*(F178-H178)*G178*K178)/1000000000</f>
        <v>0.15</v>
      </c>
      <c r="W178">
        <f>(((F178-H178)*2+D178)*(G178)*K178)/1000000</f>
        <v>2</v>
      </c>
      <c r="AC178">
        <f>(D178+2*$F$5)*F178*G178/1000000000</f>
        <v>0.45</v>
      </c>
    </row>
    <row r="179">
      <c r="A179" t="str">
        <f>'Data Panjang Balok'!A176</f>
        <v>Lantai 1</v>
      </c>
      <c r="B179">
        <f>'Data Panjang Balok'!B176</f>
        <v>68</v>
      </c>
      <c r="C179" t="str">
        <f>'Data Panjang Balok'!D176</f>
        <v>B24-1</v>
      </c>
      <c r="D179">
        <f>IF(C179&gt;0,VLOOKUP(C179,'Detail Balok'!$C$11:$AU$110,2,FALSE),0)</f>
        <v>200</v>
      </c>
      <c r="E179" t="str">
        <v>x</v>
      </c>
      <c r="F179">
        <f>IF(C179&gt;0,VLOOKUP(C179,'Detail Balok'!$C$11:$AU$110,3,FALSE),0)</f>
        <v>400</v>
      </c>
      <c r="G179">
        <f>'Data Panjang Balok'!I176</f>
        <v>4600</v>
      </c>
      <c r="H179">
        <f>'Data Panjang Balok'!J176</f>
        <v>150</v>
      </c>
      <c r="J179">
        <f>I179-F179/1000</f>
        <v>-0.4</v>
      </c>
      <c r="K179">
        <f>'Data Panjang Balok'!E176</f>
        <v>1</v>
      </c>
      <c r="L179">
        <f>SUMIFS('Besi Balok'!$AA$23:$AA$12292,'Besi Balok'!$A$23:$A$12292,$A179,'Besi Balok'!$B$23:$B$12292,$B179,'Besi Balok'!$F$23:$F$12292,'REKAP Balok'!L$12)</f>
        <v>0</v>
      </c>
      <c r="M179">
        <f>SUMIFS('Besi Balok'!$AA$23:$AA$12292,'Besi Balok'!$A$23:$A$12292,$A179,'Besi Balok'!$B$23:$B$12292,$B179,'Besi Balok'!$F$23:$F$12292,'REKAP Balok'!M$12)</f>
        <v>15.443078400000001</v>
      </c>
      <c r="N179">
        <f>SUMIFS('Besi Balok'!$AA$23:$AA$12292,'Besi Balok'!$A$23:$A$12292,$A179,'Besi Balok'!$B$23:$B$12292,$B179,'Besi Balok'!$F$23:$F$12292,'REKAP Balok'!N$12)</f>
        <v>0</v>
      </c>
      <c r="O179">
        <f>SUMIFS('Besi Balok'!$AA$23:$AA$12292,'Besi Balok'!$A$23:$A$12292,$A179,'Besi Balok'!$B$23:$B$12292,$B179,'Besi Balok'!$F$23:$F$12292,'REKAP Balok'!O$12)</f>
        <v>20.470956479999998</v>
      </c>
      <c r="P179">
        <f>SUMIFS('Besi Balok'!$AA$23:$AA$12292,'Besi Balok'!$A$23:$A$12292,$A179,'Besi Balok'!$B$23:$B$12292,$B179,'Besi Balok'!$F$23:$F$12292,'REKAP Balok'!P$12)</f>
        <v>0</v>
      </c>
      <c r="Q179">
        <f>SUMIFS('Besi Balok'!$AA$23:$AA$12292,'Besi Balok'!$A$23:$A$12292,$A179,'Besi Balok'!$B$23:$B$12292,$B179,'Besi Balok'!$F$23:$F$12292,'REKAP Balok'!Q$12)</f>
        <v>0</v>
      </c>
      <c r="R179">
        <f>SUMIFS('Besi Balok'!$AA$23:$AA$12292,'Besi Balok'!$A$23:$A$12292,$A179,'Besi Balok'!$B$23:$B$12292,$B179,'Besi Balok'!$F$23:$F$12292,'REKAP Balok'!R$12)</f>
        <v>0</v>
      </c>
      <c r="S179">
        <f>SUMIFS('Besi Balok'!$AA$23:$AA$12292,'Besi Balok'!$A$23:$A$12292,$A179,'Besi Balok'!$B$23:$B$12292,$B179,'Besi Balok'!$F$23:$F$12292,'REKAP Balok'!S$12)</f>
        <v>0</v>
      </c>
      <c r="T179">
        <f>SUMIFS('Besi Balok'!$AA$23:$AA$12292,'Besi Balok'!$A$23:$A$12292,$A179,'Besi Balok'!$B$23:$B$12292,$B179,'Besi Balok'!$F$23:$F$12292,'REKAP Balok'!T$12)</f>
        <v>0</v>
      </c>
      <c r="U179">
        <f>SUM(L179:T179)</f>
        <v>35.91403488</v>
      </c>
      <c r="V179">
        <f>(D179*(F179-H179)*G179*K179)/1000000000</f>
        <v>0.23</v>
      </c>
      <c r="W179">
        <f>(((F179-H179)*2+D179)*(G179)*K179)/1000000</f>
        <v>3.22</v>
      </c>
      <c r="AC179">
        <f>(D179+2*$F$5)*F179*G179/1000000000</f>
        <v>0.736</v>
      </c>
    </row>
    <row r="180">
      <c r="A180" t="str">
        <f>'Data Panjang Balok'!A177</f>
        <v>Lantai 1</v>
      </c>
      <c r="B180">
        <f>'Data Panjang Balok'!B177</f>
        <v>69</v>
      </c>
      <c r="C180" t="str">
        <f>'Data Panjang Balok'!D177</f>
        <v>B245-3</v>
      </c>
      <c r="D180">
        <f>IF(C180&gt;0,VLOOKUP(C180,'Detail Balok'!$C$11:$AU$110,2,FALSE),0)</f>
        <v>200</v>
      </c>
      <c r="E180" t="str">
        <v>x</v>
      </c>
      <c r="F180">
        <f>IF(C180&gt;0,VLOOKUP(C180,'Detail Balok'!$C$11:$AU$110,3,FALSE),0)</f>
        <v>450</v>
      </c>
      <c r="G180">
        <f>'Data Panjang Balok'!I177</f>
        <v>8100</v>
      </c>
      <c r="H180">
        <f>'Data Panjang Balok'!J177</f>
        <v>130</v>
      </c>
      <c r="J180">
        <f>I180-F180/1000</f>
        <v>-0.45</v>
      </c>
      <c r="K180">
        <f>'Data Panjang Balok'!E177</f>
        <v>1</v>
      </c>
      <c r="L180">
        <f>SUMIFS('Besi Balok'!$AA$23:$AA$12292,'Besi Balok'!$A$23:$A$12292,$A180,'Besi Balok'!$B$23:$B$12292,$B180,'Besi Balok'!$F$23:$F$12292,'REKAP Balok'!L$12)</f>
        <v>0</v>
      </c>
      <c r="M180">
        <f>SUMIFS('Besi Balok'!$AA$23:$AA$12292,'Besi Balok'!$A$23:$A$12292,$A180,'Besi Balok'!$B$23:$B$12292,$B180,'Besi Balok'!$F$23:$F$12292,'REKAP Balok'!M$12)</f>
        <v>0</v>
      </c>
      <c r="N180">
        <f>SUMIFS('Besi Balok'!$AA$23:$AA$12292,'Besi Balok'!$A$23:$A$12292,$A180,'Besi Balok'!$B$23:$B$12292,$B180,'Besi Balok'!$F$23:$F$12292,'REKAP Balok'!N$12)</f>
        <v>59.745014999999995</v>
      </c>
      <c r="O180">
        <f>SUMIFS('Besi Balok'!$AA$23:$AA$12292,'Besi Balok'!$A$23:$A$12292,$A180,'Besi Balok'!$B$23:$B$12292,$B180,'Besi Balok'!$F$23:$F$12292,'REKAP Balok'!O$12)</f>
        <v>0</v>
      </c>
      <c r="P180">
        <f>SUMIFS('Besi Balok'!$AA$23:$AA$12292,'Besi Balok'!$A$23:$A$12292,$A180,'Besi Balok'!$B$23:$B$12292,$B180,'Besi Balok'!$F$23:$F$12292,'REKAP Balok'!P$12)</f>
        <v>53.55915264</v>
      </c>
      <c r="Q180">
        <f>SUMIFS('Besi Balok'!$AA$23:$AA$12292,'Besi Balok'!$A$23:$A$12292,$A180,'Besi Balok'!$B$23:$B$12292,$B180,'Besi Balok'!$F$23:$F$12292,'REKAP Balok'!Q$12)</f>
        <v>0</v>
      </c>
      <c r="R180">
        <f>SUMIFS('Besi Balok'!$AA$23:$AA$12292,'Besi Balok'!$A$23:$A$12292,$A180,'Besi Balok'!$B$23:$B$12292,$B180,'Besi Balok'!$F$23:$F$12292,'REKAP Balok'!R$12)</f>
        <v>0</v>
      </c>
      <c r="S180">
        <f>SUMIFS('Besi Balok'!$AA$23:$AA$12292,'Besi Balok'!$A$23:$A$12292,$A180,'Besi Balok'!$B$23:$B$12292,$B180,'Besi Balok'!$F$23:$F$12292,'REKAP Balok'!S$12)</f>
        <v>0</v>
      </c>
      <c r="T180">
        <f>SUMIFS('Besi Balok'!$AA$23:$AA$12292,'Besi Balok'!$A$23:$A$12292,$A180,'Besi Balok'!$B$23:$B$12292,$B180,'Besi Balok'!$F$23:$F$12292,'REKAP Balok'!T$12)</f>
        <v>0</v>
      </c>
      <c r="U180">
        <f>SUM(L180:T180)</f>
        <v>113.30416764</v>
      </c>
      <c r="V180">
        <f>(D180*(F180-H180)*G180*K180)/1000000000</f>
        <v>0.5184</v>
      </c>
      <c r="W180">
        <f>(((F180-H180)*2+D180)*(G180)*K180)/1000000</f>
        <v>6.804</v>
      </c>
      <c r="AC180">
        <f>(D180+2*$F$5)*F180*G180/1000000000</f>
        <v>1.458</v>
      </c>
    </row>
    <row r="181">
      <c r="A181" t="str">
        <f>'Data Panjang Balok'!A178</f>
        <v>Lantai 1</v>
      </c>
      <c r="B181">
        <f>'Data Panjang Balok'!B178</f>
        <v>70</v>
      </c>
      <c r="C181" t="str">
        <f>'Data Panjang Balok'!D178</f>
        <v>B245-1</v>
      </c>
      <c r="D181">
        <f>IF(C181&gt;0,VLOOKUP(C181,'Detail Balok'!$C$11:$AU$110,2,FALSE),0)</f>
        <v>200</v>
      </c>
      <c r="E181" t="str">
        <v>x</v>
      </c>
      <c r="F181">
        <f>IF(C181&gt;0,VLOOKUP(C181,'Detail Balok'!$C$11:$AU$110,3,FALSE),0)</f>
        <v>450</v>
      </c>
      <c r="G181">
        <f>'Data Panjang Balok'!I178</f>
        <v>6335</v>
      </c>
      <c r="H181">
        <f>'Data Panjang Balok'!J178</f>
        <v>150</v>
      </c>
      <c r="J181">
        <f>I181-F181/1000</f>
        <v>-0.45</v>
      </c>
      <c r="K181">
        <f>'Data Panjang Balok'!E178</f>
        <v>1</v>
      </c>
      <c r="L181">
        <f>SUMIFS('Besi Balok'!$AA$23:$AA$12292,'Besi Balok'!$A$23:$A$12292,$A181,'Besi Balok'!$B$23:$B$12292,$B181,'Besi Balok'!$F$23:$F$12292,'REKAP Balok'!L$12)</f>
        <v>0</v>
      </c>
      <c r="M181">
        <f>SUMIFS('Besi Balok'!$AA$23:$AA$12292,'Besi Balok'!$A$23:$A$12292,$A181,'Besi Balok'!$B$23:$B$12292,$B181,'Besi Balok'!$F$23:$F$12292,'REKAP Balok'!M$12)</f>
        <v>27.443226239999998</v>
      </c>
      <c r="N181">
        <f>SUMIFS('Besi Balok'!$AA$23:$AA$12292,'Besi Balok'!$A$23:$A$12292,$A181,'Besi Balok'!$B$23:$B$12292,$B181,'Besi Balok'!$F$23:$F$12292,'REKAP Balok'!N$12)</f>
        <v>0</v>
      </c>
      <c r="O181">
        <f>SUMIFS('Besi Balok'!$AA$23:$AA$12292,'Besi Balok'!$A$23:$A$12292,$A181,'Besi Balok'!$B$23:$B$12292,$B181,'Besi Balok'!$F$23:$F$12292,'REKAP Balok'!O$12)</f>
        <v>27.701638379999995</v>
      </c>
      <c r="P181">
        <f>SUMIFS('Besi Balok'!$AA$23:$AA$12292,'Besi Balok'!$A$23:$A$12292,$A181,'Besi Balok'!$B$23:$B$12292,$B181,'Besi Balok'!$F$23:$F$12292,'REKAP Balok'!P$12)</f>
        <v>0</v>
      </c>
      <c r="Q181">
        <f>SUMIFS('Besi Balok'!$AA$23:$AA$12292,'Besi Balok'!$A$23:$A$12292,$A181,'Besi Balok'!$B$23:$B$12292,$B181,'Besi Balok'!$F$23:$F$12292,'REKAP Balok'!Q$12)</f>
        <v>0</v>
      </c>
      <c r="R181">
        <f>SUMIFS('Besi Balok'!$AA$23:$AA$12292,'Besi Balok'!$A$23:$A$12292,$A181,'Besi Balok'!$B$23:$B$12292,$B181,'Besi Balok'!$F$23:$F$12292,'REKAP Balok'!R$12)</f>
        <v>0</v>
      </c>
      <c r="S181">
        <f>SUMIFS('Besi Balok'!$AA$23:$AA$12292,'Besi Balok'!$A$23:$A$12292,$A181,'Besi Balok'!$B$23:$B$12292,$B181,'Besi Balok'!$F$23:$F$12292,'REKAP Balok'!S$12)</f>
        <v>0</v>
      </c>
      <c r="T181">
        <f>SUMIFS('Besi Balok'!$AA$23:$AA$12292,'Besi Balok'!$A$23:$A$12292,$A181,'Besi Balok'!$B$23:$B$12292,$B181,'Besi Balok'!$F$23:$F$12292,'REKAP Balok'!T$12)</f>
        <v>0</v>
      </c>
      <c r="U181">
        <f>SUM(L181:T181)</f>
        <v>55.14486461999999</v>
      </c>
      <c r="V181">
        <f>(D181*(F181-H181)*G181*K181)/1000000000</f>
        <v>0.3801</v>
      </c>
      <c r="W181">
        <f>(((F181-H181)*2+D181)*(G181)*K181)/1000000</f>
        <v>5.068</v>
      </c>
      <c r="AC181">
        <f>(D181+2*$F$5)*F181*G181/1000000000</f>
        <v>1.1403</v>
      </c>
    </row>
    <row r="182">
      <c r="A182" t="str">
        <f>'Data Panjang Balok'!A179</f>
        <v>Lantai 1</v>
      </c>
      <c r="B182">
        <f>'Data Panjang Balok'!B179</f>
        <v>71</v>
      </c>
      <c r="C182" t="str">
        <f>'Data Panjang Balok'!D179</f>
        <v>B245-2</v>
      </c>
      <c r="D182">
        <f>IF(C182&gt;0,VLOOKUP(C182,'Detail Balok'!$C$11:$AU$110,2,FALSE),0)</f>
        <v>200</v>
      </c>
      <c r="E182" t="str">
        <v>x</v>
      </c>
      <c r="F182">
        <f>IF(C182&gt;0,VLOOKUP(C182,'Detail Balok'!$C$11:$AU$110,3,FALSE),0)</f>
        <v>450</v>
      </c>
      <c r="G182">
        <f>'Data Panjang Balok'!I179</f>
        <v>5765</v>
      </c>
      <c r="H182">
        <f>'Data Panjang Balok'!J179</f>
        <v>130</v>
      </c>
      <c r="J182">
        <f>I182-F182/1000</f>
        <v>-0.45</v>
      </c>
      <c r="K182">
        <f>'Data Panjang Balok'!E179</f>
        <v>1</v>
      </c>
      <c r="L182">
        <f>SUMIFS('Besi Balok'!$AA$23:$AA$12292,'Besi Balok'!$A$23:$A$12292,$A182,'Besi Balok'!$B$23:$B$12292,$B182,'Besi Balok'!$F$23:$F$12292,'REKAP Balok'!L$12)</f>
        <v>0</v>
      </c>
      <c r="M182">
        <f>SUMIFS('Besi Balok'!$AA$23:$AA$12292,'Besi Balok'!$A$23:$A$12292,$A182,'Besi Balok'!$B$23:$B$12292,$B182,'Besi Balok'!$F$23:$F$12292,'REKAP Balok'!M$12)</f>
        <v>24.318311039999998</v>
      </c>
      <c r="N182">
        <f>SUMIFS('Besi Balok'!$AA$23:$AA$12292,'Besi Balok'!$A$23:$A$12292,$A182,'Besi Balok'!$B$23:$B$12292,$B182,'Besi Balok'!$F$23:$F$12292,'REKAP Balok'!N$12)</f>
        <v>0</v>
      </c>
      <c r="O182">
        <f>SUMIFS('Besi Balok'!$AA$23:$AA$12292,'Besi Balok'!$A$23:$A$12292,$A182,'Besi Balok'!$B$23:$B$12292,$B182,'Besi Balok'!$F$23:$F$12292,'REKAP Balok'!O$12)</f>
        <v>37.989210869999994</v>
      </c>
      <c r="P182">
        <f>SUMIFS('Besi Balok'!$AA$23:$AA$12292,'Besi Balok'!$A$23:$A$12292,$A182,'Besi Balok'!$B$23:$B$12292,$B182,'Besi Balok'!$F$23:$F$12292,'REKAP Balok'!P$12)</f>
        <v>0</v>
      </c>
      <c r="Q182">
        <f>SUMIFS('Besi Balok'!$AA$23:$AA$12292,'Besi Balok'!$A$23:$A$12292,$A182,'Besi Balok'!$B$23:$B$12292,$B182,'Besi Balok'!$F$23:$F$12292,'REKAP Balok'!Q$12)</f>
        <v>0</v>
      </c>
      <c r="R182">
        <f>SUMIFS('Besi Balok'!$AA$23:$AA$12292,'Besi Balok'!$A$23:$A$12292,$A182,'Besi Balok'!$B$23:$B$12292,$B182,'Besi Balok'!$F$23:$F$12292,'REKAP Balok'!R$12)</f>
        <v>0</v>
      </c>
      <c r="S182">
        <f>SUMIFS('Besi Balok'!$AA$23:$AA$12292,'Besi Balok'!$A$23:$A$12292,$A182,'Besi Balok'!$B$23:$B$12292,$B182,'Besi Balok'!$F$23:$F$12292,'REKAP Balok'!S$12)</f>
        <v>0</v>
      </c>
      <c r="T182">
        <f>SUMIFS('Besi Balok'!$AA$23:$AA$12292,'Besi Balok'!$A$23:$A$12292,$A182,'Besi Balok'!$B$23:$B$12292,$B182,'Besi Balok'!$F$23:$F$12292,'REKAP Balok'!T$12)</f>
        <v>0</v>
      </c>
      <c r="U182">
        <f>SUM(L182:T182)</f>
        <v>62.30752190999999</v>
      </c>
      <c r="V182">
        <f>(D182*(F182-H182)*G182*K182)/1000000000</f>
        <v>0.36896</v>
      </c>
      <c r="W182">
        <f>(((F182-H182)*2+D182)*(G182)*K182)/1000000</f>
        <v>4.8426</v>
      </c>
      <c r="AC182">
        <f>(D182+2*$F$5)*F182*G182/1000000000</f>
        <v>1.0377</v>
      </c>
    </row>
    <row r="183">
      <c r="A183" t="str">
        <f>'Data Panjang Balok'!A180</f>
        <v>Lantai 1</v>
      </c>
      <c r="B183">
        <f>'Data Panjang Balok'!B180</f>
        <v>72</v>
      </c>
      <c r="C183" t="str">
        <f>'Data Panjang Balok'!D180</f>
        <v>B57-1</v>
      </c>
      <c r="D183">
        <f>IF(C183&gt;0,VLOOKUP(C183,'Detail Balok'!$C$11:$AU$110,2,FALSE),0)</f>
        <v>500</v>
      </c>
      <c r="E183" t="str">
        <v>x</v>
      </c>
      <c r="F183">
        <f>IF(C183&gt;0,VLOOKUP(C183,'Detail Balok'!$C$11:$AU$110,3,FALSE),0)</f>
        <v>700</v>
      </c>
      <c r="G183">
        <f>'Data Panjang Balok'!I180</f>
        <v>7915</v>
      </c>
      <c r="H183">
        <f>'Data Panjang Balok'!J180</f>
        <v>130</v>
      </c>
      <c r="J183">
        <f>I183-F183/1000</f>
        <v>-0.7</v>
      </c>
      <c r="K183">
        <f>'Data Panjang Balok'!E180</f>
        <v>1</v>
      </c>
      <c r="L183">
        <f>SUMIFS('Besi Balok'!$AA$23:$AA$12292,'Besi Balok'!$A$23:$A$12292,$A183,'Besi Balok'!$B$23:$B$12292,$B183,'Besi Balok'!$F$23:$F$12292,'REKAP Balok'!L$12)</f>
        <v>0</v>
      </c>
      <c r="M183">
        <f>SUMIFS('Besi Balok'!$AA$23:$AA$12292,'Besi Balok'!$A$23:$A$12292,$A183,'Besi Balok'!$B$23:$B$12292,$B183,'Besi Balok'!$F$23:$F$12292,'REKAP Balok'!M$12)</f>
        <v>0</v>
      </c>
      <c r="N183">
        <f>SUMIFS('Besi Balok'!$AA$23:$AA$12292,'Besi Balok'!$A$23:$A$12292,$A183,'Besi Balok'!$B$23:$B$12292,$B183,'Besi Balok'!$F$23:$F$12292,'REKAP Balok'!N$12)</f>
        <v>0</v>
      </c>
      <c r="O183">
        <f>SUMIFS('Besi Balok'!$AA$23:$AA$12292,'Besi Balok'!$A$23:$A$12292,$A183,'Besi Balok'!$B$23:$B$12292,$B183,'Besi Balok'!$F$23:$F$12292,'REKAP Balok'!O$12)</f>
        <v>247.17471362999999</v>
      </c>
      <c r="P183">
        <f>SUMIFS('Besi Balok'!$AA$23:$AA$12292,'Besi Balok'!$A$23:$A$12292,$A183,'Besi Balok'!$B$23:$B$12292,$B183,'Besi Balok'!$F$23:$F$12292,'REKAP Balok'!P$12)</f>
        <v>0</v>
      </c>
      <c r="Q183">
        <f>SUMIFS('Besi Balok'!$AA$23:$AA$12292,'Besi Balok'!$A$23:$A$12292,$A183,'Besi Balok'!$B$23:$B$12292,$B183,'Besi Balok'!$F$23:$F$12292,'REKAP Balok'!Q$12)</f>
        <v>0</v>
      </c>
      <c r="R183">
        <f>SUMIFS('Besi Balok'!$AA$23:$AA$12292,'Besi Balok'!$A$23:$A$12292,$A183,'Besi Balok'!$B$23:$B$12292,$B183,'Besi Balok'!$F$23:$F$12292,'REKAP Balok'!R$12)</f>
        <v>334.58768145000005</v>
      </c>
      <c r="S183">
        <f>SUMIFS('Besi Balok'!$AA$23:$AA$12292,'Besi Balok'!$A$23:$A$12292,$A183,'Besi Balok'!$B$23:$B$12292,$B183,'Besi Balok'!$F$23:$F$12292,'REKAP Balok'!S$12)</f>
        <v>0</v>
      </c>
      <c r="T183">
        <f>SUMIFS('Besi Balok'!$AA$23:$AA$12292,'Besi Balok'!$A$23:$A$12292,$A183,'Besi Balok'!$B$23:$B$12292,$B183,'Besi Balok'!$F$23:$F$12292,'REKAP Balok'!T$12)</f>
        <v>0</v>
      </c>
      <c r="U183">
        <f>SUM(L183:T183)</f>
        <v>581.76239508</v>
      </c>
      <c r="V183">
        <f>(D183*(F183-H183)*G183*K183)/1000000000</f>
        <v>2.255775</v>
      </c>
      <c r="W183">
        <f>(((F183-H183)*2+D183)*(G183)*K183)/1000000</f>
        <v>12.9806</v>
      </c>
      <c r="AC183">
        <f>(D183+2*$F$5)*F183*G183/1000000000</f>
        <v>3.87835</v>
      </c>
    </row>
    <row r="184">
      <c r="A184" t="str">
        <f>'Data Panjang Balok'!A181</f>
        <v>Lantai 1</v>
      </c>
      <c r="B184">
        <f>'Data Panjang Balok'!B181</f>
        <v>73</v>
      </c>
      <c r="C184" t="str">
        <f>'Data Panjang Balok'!D181</f>
        <v>B57-1</v>
      </c>
      <c r="D184">
        <f>IF(C184&gt;0,VLOOKUP(C184,'Detail Balok'!$C$11:$AU$110,2,FALSE),0)</f>
        <v>500</v>
      </c>
      <c r="E184" t="str">
        <v>x</v>
      </c>
      <c r="F184">
        <f>IF(C184&gt;0,VLOOKUP(C184,'Detail Balok'!$C$11:$AU$110,3,FALSE),0)</f>
        <v>700</v>
      </c>
      <c r="G184">
        <f>'Data Panjang Balok'!I181</f>
        <v>6035</v>
      </c>
      <c r="H184">
        <f>'Data Panjang Balok'!J181</f>
        <v>130</v>
      </c>
      <c r="J184">
        <f>I184-F184/1000</f>
        <v>-0.7</v>
      </c>
      <c r="K184">
        <f>'Data Panjang Balok'!E181</f>
        <v>1</v>
      </c>
      <c r="L184">
        <f>SUMIFS('Besi Balok'!$AA$23:$AA$12292,'Besi Balok'!$A$23:$A$12292,$A184,'Besi Balok'!$B$23:$B$12292,$B184,'Besi Balok'!$F$23:$F$12292,'REKAP Balok'!L$12)</f>
        <v>0</v>
      </c>
      <c r="M184">
        <f>SUMIFS('Besi Balok'!$AA$23:$AA$12292,'Besi Balok'!$A$23:$A$12292,$A184,'Besi Balok'!$B$23:$B$12292,$B184,'Besi Balok'!$F$23:$F$12292,'REKAP Balok'!M$12)</f>
        <v>0</v>
      </c>
      <c r="N184">
        <f>SUMIFS('Besi Balok'!$AA$23:$AA$12292,'Besi Balok'!$A$23:$A$12292,$A184,'Besi Balok'!$B$23:$B$12292,$B184,'Besi Balok'!$F$23:$F$12292,'REKAP Balok'!N$12)</f>
        <v>0</v>
      </c>
      <c r="O184">
        <f>SUMIFS('Besi Balok'!$AA$23:$AA$12292,'Besi Balok'!$A$23:$A$12292,$A184,'Besi Balok'!$B$23:$B$12292,$B184,'Besi Balok'!$F$23:$F$12292,'REKAP Balok'!O$12)</f>
        <v>191.62140542999998</v>
      </c>
      <c r="P184">
        <f>SUMIFS('Besi Balok'!$AA$23:$AA$12292,'Besi Balok'!$A$23:$A$12292,$A184,'Besi Balok'!$B$23:$B$12292,$B184,'Besi Balok'!$F$23:$F$12292,'REKAP Balok'!P$12)</f>
        <v>0</v>
      </c>
      <c r="Q184">
        <f>SUMIFS('Besi Balok'!$AA$23:$AA$12292,'Besi Balok'!$A$23:$A$12292,$A184,'Besi Balok'!$B$23:$B$12292,$B184,'Besi Balok'!$F$23:$F$12292,'REKAP Balok'!Q$12)</f>
        <v>0</v>
      </c>
      <c r="R184">
        <f>SUMIFS('Besi Balok'!$AA$23:$AA$12292,'Besi Balok'!$A$23:$A$12292,$A184,'Besi Balok'!$B$23:$B$12292,$B184,'Besi Balok'!$F$23:$F$12292,'REKAP Balok'!R$12)</f>
        <v>258.85731465000003</v>
      </c>
      <c r="S184">
        <f>SUMIFS('Besi Balok'!$AA$23:$AA$12292,'Besi Balok'!$A$23:$A$12292,$A184,'Besi Balok'!$B$23:$B$12292,$B184,'Besi Balok'!$F$23:$F$12292,'REKAP Balok'!S$12)</f>
        <v>0</v>
      </c>
      <c r="T184">
        <f>SUMIFS('Besi Balok'!$AA$23:$AA$12292,'Besi Balok'!$A$23:$A$12292,$A184,'Besi Balok'!$B$23:$B$12292,$B184,'Besi Balok'!$F$23:$F$12292,'REKAP Balok'!T$12)</f>
        <v>0</v>
      </c>
      <c r="U184">
        <f>SUM(L184:T184)</f>
        <v>450.47872008</v>
      </c>
      <c r="V184">
        <f>(D184*(F184-H184)*G184*K184)/1000000000</f>
        <v>1.719975</v>
      </c>
      <c r="W184">
        <f>(((F184-H184)*2+D184)*(G184)*K184)/1000000</f>
        <v>9.8974</v>
      </c>
      <c r="AC184">
        <f>(D184+2*$F$5)*F184*G184/1000000000</f>
        <v>2.95715</v>
      </c>
    </row>
    <row r="185">
      <c r="A185" t="str">
        <f>'Data Panjang Balok'!A182</f>
        <v>Lantai 1</v>
      </c>
      <c r="B185">
        <f>'Data Panjang Balok'!B182</f>
        <v>74</v>
      </c>
      <c r="C185" t="str">
        <f>'Data Panjang Balok'!D182</f>
        <v>B245-2</v>
      </c>
      <c r="D185">
        <f>IF(C185&gt;0,VLOOKUP(C185,'Detail Balok'!$C$11:$AU$110,2,FALSE),0)</f>
        <v>200</v>
      </c>
      <c r="E185" t="str">
        <v>x</v>
      </c>
      <c r="F185">
        <f>IF(C185&gt;0,VLOOKUP(C185,'Detail Balok'!$C$11:$AU$110,3,FALSE),0)</f>
        <v>450</v>
      </c>
      <c r="G185">
        <f>'Data Panjang Balok'!I182</f>
        <v>5365</v>
      </c>
      <c r="H185">
        <f>'Data Panjang Balok'!J182</f>
        <v>130</v>
      </c>
      <c r="J185">
        <f>I185-F185/1000</f>
        <v>-0.45</v>
      </c>
      <c r="K185">
        <f>'Data Panjang Balok'!E182</f>
        <v>1</v>
      </c>
      <c r="L185">
        <f>SUMIFS('Besi Balok'!$AA$23:$AA$12292,'Besi Balok'!$A$23:$A$12292,$A185,'Besi Balok'!$B$23:$B$12292,$B185,'Besi Balok'!$F$23:$F$12292,'REKAP Balok'!L$12)</f>
        <v>0</v>
      </c>
      <c r="M185">
        <f>SUMIFS('Besi Balok'!$AA$23:$AA$12292,'Besi Balok'!$A$23:$A$12292,$A185,'Besi Balok'!$B$23:$B$12292,$B185,'Besi Balok'!$F$23:$F$12292,'REKAP Balok'!M$12)</f>
        <v>22.665104640000003</v>
      </c>
      <c r="N185">
        <f>SUMIFS('Besi Balok'!$AA$23:$AA$12292,'Besi Balok'!$A$23:$A$12292,$A185,'Besi Balok'!$B$23:$B$12292,$B185,'Besi Balok'!$F$23:$F$12292,'REKAP Balok'!N$12)</f>
        <v>0</v>
      </c>
      <c r="O185">
        <f>SUMIFS('Besi Balok'!$AA$23:$AA$12292,'Besi Balok'!$A$23:$A$12292,$A185,'Besi Balok'!$B$23:$B$12292,$B185,'Besi Balok'!$F$23:$F$12292,'REKAP Balok'!O$12)</f>
        <v>35.48868687</v>
      </c>
      <c r="P185">
        <f>SUMIFS('Besi Balok'!$AA$23:$AA$12292,'Besi Balok'!$A$23:$A$12292,$A185,'Besi Balok'!$B$23:$B$12292,$B185,'Besi Balok'!$F$23:$F$12292,'REKAP Balok'!P$12)</f>
        <v>0</v>
      </c>
      <c r="Q185">
        <f>SUMIFS('Besi Balok'!$AA$23:$AA$12292,'Besi Balok'!$A$23:$A$12292,$A185,'Besi Balok'!$B$23:$B$12292,$B185,'Besi Balok'!$F$23:$F$12292,'REKAP Balok'!Q$12)</f>
        <v>0</v>
      </c>
      <c r="R185">
        <f>SUMIFS('Besi Balok'!$AA$23:$AA$12292,'Besi Balok'!$A$23:$A$12292,$A185,'Besi Balok'!$B$23:$B$12292,$B185,'Besi Balok'!$F$23:$F$12292,'REKAP Balok'!R$12)</f>
        <v>0</v>
      </c>
      <c r="S185">
        <f>SUMIFS('Besi Balok'!$AA$23:$AA$12292,'Besi Balok'!$A$23:$A$12292,$A185,'Besi Balok'!$B$23:$B$12292,$B185,'Besi Balok'!$F$23:$F$12292,'REKAP Balok'!S$12)</f>
        <v>0</v>
      </c>
      <c r="T185">
        <f>SUMIFS('Besi Balok'!$AA$23:$AA$12292,'Besi Balok'!$A$23:$A$12292,$A185,'Besi Balok'!$B$23:$B$12292,$B185,'Besi Balok'!$F$23:$F$12292,'REKAP Balok'!T$12)</f>
        <v>0</v>
      </c>
      <c r="U185">
        <f>SUM(L185:T185)</f>
        <v>58.153791510000005</v>
      </c>
      <c r="V185">
        <f>(D185*(F185-H185)*G185*K185)/1000000000</f>
        <v>0.34336</v>
      </c>
      <c r="W185">
        <f>(((F185-H185)*2+D185)*(G185)*K185)/1000000</f>
        <v>4.5066</v>
      </c>
      <c r="AC185">
        <f>(D185+2*$F$5)*F185*G185/1000000000</f>
        <v>0.9657</v>
      </c>
    </row>
    <row r="186">
      <c r="A186" t="str">
        <f>'Data Panjang Balok'!A183</f>
        <v>Lantai 1</v>
      </c>
      <c r="B186">
        <f>'Data Panjang Balok'!B183</f>
        <v>75</v>
      </c>
      <c r="C186" t="str">
        <f>'Data Panjang Balok'!D183</f>
        <v>B245-2</v>
      </c>
      <c r="D186">
        <f>IF(C186&gt;0,VLOOKUP(C186,'Detail Balok'!$C$11:$AU$110,2,FALSE),0)</f>
        <v>200</v>
      </c>
      <c r="E186" t="str">
        <v>x</v>
      </c>
      <c r="F186">
        <f>IF(C186&gt;0,VLOOKUP(C186,'Detail Balok'!$C$11:$AU$110,3,FALSE),0)</f>
        <v>450</v>
      </c>
      <c r="G186">
        <f>'Data Panjang Balok'!I183</f>
        <v>5100</v>
      </c>
      <c r="H186">
        <f>'Data Panjang Balok'!J183</f>
        <v>130</v>
      </c>
      <c r="J186">
        <f>I186-F186/1000</f>
        <v>-0.45</v>
      </c>
      <c r="K186">
        <f>'Data Panjang Balok'!E183</f>
        <v>1</v>
      </c>
      <c r="L186">
        <f>SUMIFS('Besi Balok'!$AA$23:$AA$12292,'Besi Balok'!$A$23:$A$12292,$A186,'Besi Balok'!$B$23:$B$12292,$B186,'Besi Balok'!$F$23:$F$12292,'REKAP Balok'!L$12)</f>
        <v>0</v>
      </c>
      <c r="M186">
        <f>SUMIFS('Besi Balok'!$AA$23:$AA$12292,'Besi Balok'!$A$23:$A$12292,$A186,'Besi Balok'!$B$23:$B$12292,$B186,'Besi Balok'!$F$23:$F$12292,'REKAP Balok'!M$12)</f>
        <v>22.455987840000002</v>
      </c>
      <c r="N186">
        <f>SUMIFS('Besi Balok'!$AA$23:$AA$12292,'Besi Balok'!$A$23:$A$12292,$A186,'Besi Balok'!$B$23:$B$12292,$B186,'Besi Balok'!$F$23:$F$12292,'REKAP Balok'!N$12)</f>
        <v>0</v>
      </c>
      <c r="O186">
        <f>SUMIFS('Besi Balok'!$AA$23:$AA$12292,'Besi Balok'!$A$23:$A$12292,$A186,'Besi Balok'!$B$23:$B$12292,$B186,'Besi Balok'!$F$23:$F$12292,'REKAP Balok'!O$12)</f>
        <v>33.83208972</v>
      </c>
      <c r="P186">
        <f>SUMIFS('Besi Balok'!$AA$23:$AA$12292,'Besi Balok'!$A$23:$A$12292,$A186,'Besi Balok'!$B$23:$B$12292,$B186,'Besi Balok'!$F$23:$F$12292,'REKAP Balok'!P$12)</f>
        <v>0</v>
      </c>
      <c r="Q186">
        <f>SUMIFS('Besi Balok'!$AA$23:$AA$12292,'Besi Balok'!$A$23:$A$12292,$A186,'Besi Balok'!$B$23:$B$12292,$B186,'Besi Balok'!$F$23:$F$12292,'REKAP Balok'!Q$12)</f>
        <v>0</v>
      </c>
      <c r="R186">
        <f>SUMIFS('Besi Balok'!$AA$23:$AA$12292,'Besi Balok'!$A$23:$A$12292,$A186,'Besi Balok'!$B$23:$B$12292,$B186,'Besi Balok'!$F$23:$F$12292,'REKAP Balok'!R$12)</f>
        <v>0</v>
      </c>
      <c r="S186">
        <f>SUMIFS('Besi Balok'!$AA$23:$AA$12292,'Besi Balok'!$A$23:$A$12292,$A186,'Besi Balok'!$B$23:$B$12292,$B186,'Besi Balok'!$F$23:$F$12292,'REKAP Balok'!S$12)</f>
        <v>0</v>
      </c>
      <c r="T186">
        <f>SUMIFS('Besi Balok'!$AA$23:$AA$12292,'Besi Balok'!$A$23:$A$12292,$A186,'Besi Balok'!$B$23:$B$12292,$B186,'Besi Balok'!$F$23:$F$12292,'REKAP Balok'!T$12)</f>
        <v>0</v>
      </c>
      <c r="U186">
        <f>SUM(L186:T186)</f>
        <v>56.288077560000005</v>
      </c>
      <c r="V186">
        <f>(D186*(F186-H186)*G186*K186)/1000000000</f>
        <v>0.3264</v>
      </c>
      <c r="W186">
        <f>(((F186-H186)*2+D186)*(G186)*K186)/1000000</f>
        <v>4.284</v>
      </c>
      <c r="AC186">
        <f>(D186+2*$F$5)*F186*G186/1000000000</f>
        <v>0.918</v>
      </c>
    </row>
    <row r="187">
      <c r="A187" t="str">
        <f>'Data Panjang Balok'!A184</f>
        <v>Lantai 1</v>
      </c>
      <c r="B187">
        <f>'Data Panjang Balok'!B184</f>
        <v>76</v>
      </c>
      <c r="C187" t="str">
        <f>'Data Panjang Balok'!D184</f>
        <v>CL25-1</v>
      </c>
      <c r="D187">
        <f>IF(C187&gt;0,VLOOKUP(C187,'Detail Balok'!$C$11:$AU$110,2,FALSE),0)</f>
        <v>200</v>
      </c>
      <c r="E187" t="str">
        <v>x</v>
      </c>
      <c r="F187">
        <f>IF(C187&gt;0,VLOOKUP(C187,'Detail Balok'!$C$11:$AU$110,3,FALSE),0)</f>
        <v>500</v>
      </c>
      <c r="G187">
        <f>'Data Panjang Balok'!I184</f>
        <v>3285</v>
      </c>
      <c r="H187">
        <f>'Data Panjang Balok'!J184</f>
        <v>130</v>
      </c>
      <c r="J187">
        <f>I187-F187/1000</f>
        <v>-0.5</v>
      </c>
      <c r="K187">
        <f>'Data Panjang Balok'!E184</f>
        <v>1</v>
      </c>
      <c r="L187">
        <f>SUMIFS('Besi Balok'!$AA$23:$AA$12292,'Besi Balok'!$A$23:$A$12292,$A187,'Besi Balok'!$B$23:$B$12292,$B187,'Besi Balok'!$F$23:$F$12292,'REKAP Balok'!L$12)</f>
        <v>0</v>
      </c>
      <c r="M187">
        <f>SUMIFS('Besi Balok'!$AA$23:$AA$12292,'Besi Balok'!$A$23:$A$12292,$A187,'Besi Balok'!$B$23:$B$12292,$B187,'Besi Balok'!$F$23:$F$12292,'REKAP Balok'!M$12)</f>
        <v>0</v>
      </c>
      <c r="N187">
        <f>SUMIFS('Besi Balok'!$AA$23:$AA$12292,'Besi Balok'!$A$23:$A$12292,$A187,'Besi Balok'!$B$23:$B$12292,$B187,'Besi Balok'!$F$23:$F$12292,'REKAP Balok'!N$12)</f>
        <v>17.995635000000004</v>
      </c>
      <c r="O187">
        <f>SUMIFS('Besi Balok'!$AA$23:$AA$12292,'Besi Balok'!$A$23:$A$12292,$A187,'Besi Balok'!$B$23:$B$12292,$B187,'Besi Balok'!$F$23:$F$12292,'REKAP Balok'!O$12)</f>
        <v>0</v>
      </c>
      <c r="P187">
        <f>SUMIFS('Besi Balok'!$AA$23:$AA$12292,'Besi Balok'!$A$23:$A$12292,$A187,'Besi Balok'!$B$23:$B$12292,$B187,'Besi Balok'!$F$23:$F$12292,'REKAP Balok'!P$12)</f>
        <v>42.65509248000001</v>
      </c>
      <c r="Q187">
        <f>SUMIFS('Besi Balok'!$AA$23:$AA$12292,'Besi Balok'!$A$23:$A$12292,$A187,'Besi Balok'!$B$23:$B$12292,$B187,'Besi Balok'!$F$23:$F$12292,'REKAP Balok'!Q$12)</f>
        <v>0</v>
      </c>
      <c r="R187">
        <f>SUMIFS('Besi Balok'!$AA$23:$AA$12292,'Besi Balok'!$A$23:$A$12292,$A187,'Besi Balok'!$B$23:$B$12292,$B187,'Besi Balok'!$F$23:$F$12292,'REKAP Balok'!R$12)</f>
        <v>0</v>
      </c>
      <c r="S187">
        <f>SUMIFS('Besi Balok'!$AA$23:$AA$12292,'Besi Balok'!$A$23:$A$12292,$A187,'Besi Balok'!$B$23:$B$12292,$B187,'Besi Balok'!$F$23:$F$12292,'REKAP Balok'!S$12)</f>
        <v>0</v>
      </c>
      <c r="T187">
        <f>SUMIFS('Besi Balok'!$AA$23:$AA$12292,'Besi Balok'!$A$23:$A$12292,$A187,'Besi Balok'!$B$23:$B$12292,$B187,'Besi Balok'!$F$23:$F$12292,'REKAP Balok'!T$12)</f>
        <v>0</v>
      </c>
      <c r="U187">
        <f>SUM(L187:T187)</f>
        <v>60.650727480000015</v>
      </c>
      <c r="V187">
        <f>(D187*(F187-H187)*G187*K187)/1000000000</f>
        <v>0.24309</v>
      </c>
      <c r="W187">
        <f>(((F187-H187)*2+D187)*(G187)*K187)/1000000</f>
        <v>3.0879</v>
      </c>
      <c r="AC187">
        <f>(D187+2*$F$5)*F187*G187/1000000000</f>
        <v>0.657</v>
      </c>
    </row>
    <row r="188">
      <c r="A188" t="str">
        <f>'Data Panjang Balok'!A185</f>
        <v>Lantai 1</v>
      </c>
      <c r="B188">
        <f>'Data Panjang Balok'!B185</f>
        <v>77</v>
      </c>
      <c r="C188" t="str">
        <f>'Data Panjang Balok'!D185</f>
        <v>B25-1</v>
      </c>
      <c r="D188">
        <f>IF(C188&gt;0,VLOOKUP(C188,'Detail Balok'!$C$11:$AU$110,2,FALSE),0)</f>
        <v>200</v>
      </c>
      <c r="E188" t="str">
        <v>x</v>
      </c>
      <c r="F188">
        <f>IF(C188&gt;0,VLOOKUP(C188,'Detail Balok'!$C$11:$AU$110,3,FALSE),0)</f>
        <v>500</v>
      </c>
      <c r="G188">
        <f>'Data Panjang Balok'!I185</f>
        <v>3600</v>
      </c>
      <c r="H188">
        <f>'Data Panjang Balok'!J185</f>
        <v>130</v>
      </c>
      <c r="J188">
        <f>I188-F188/1000</f>
        <v>-0.5</v>
      </c>
      <c r="K188">
        <f>'Data Panjang Balok'!E185</f>
        <v>1</v>
      </c>
      <c r="L188">
        <f>SUMIFS('Besi Balok'!$AA$23:$AA$12292,'Besi Balok'!$A$23:$A$12292,$A188,'Besi Balok'!$B$23:$B$12292,$B188,'Besi Balok'!$F$23:$F$12292,'REKAP Balok'!L$12)</f>
        <v>0</v>
      </c>
      <c r="M188">
        <f>SUMIFS('Besi Balok'!$AA$23:$AA$12292,'Besi Balok'!$A$23:$A$12292,$A188,'Besi Balok'!$B$23:$B$12292,$B188,'Besi Balok'!$F$23:$F$12292,'REKAP Balok'!M$12)</f>
        <v>0</v>
      </c>
      <c r="N188">
        <f>SUMIFS('Besi Balok'!$AA$23:$AA$12292,'Besi Balok'!$A$23:$A$12292,$A188,'Besi Balok'!$B$23:$B$12292,$B188,'Besi Balok'!$F$23:$F$12292,'REKAP Balok'!N$12)</f>
        <v>27.48357</v>
      </c>
      <c r="O188">
        <f>SUMIFS('Besi Balok'!$AA$23:$AA$12292,'Besi Balok'!$A$23:$A$12292,$A188,'Besi Balok'!$B$23:$B$12292,$B188,'Besi Balok'!$F$23:$F$12292,'REKAP Balok'!O$12)</f>
        <v>0</v>
      </c>
      <c r="P188">
        <f>SUMIFS('Besi Balok'!$AA$23:$AA$12292,'Besi Balok'!$A$23:$A$12292,$A188,'Besi Balok'!$B$23:$B$12292,$B188,'Besi Balok'!$F$23:$F$12292,'REKAP Balok'!P$12)</f>
        <v>25.150832640000004</v>
      </c>
      <c r="Q188">
        <f>SUMIFS('Besi Balok'!$AA$23:$AA$12292,'Besi Balok'!$A$23:$A$12292,$A188,'Besi Balok'!$B$23:$B$12292,$B188,'Besi Balok'!$F$23:$F$12292,'REKAP Balok'!Q$12)</f>
        <v>0</v>
      </c>
      <c r="R188">
        <f>SUMIFS('Besi Balok'!$AA$23:$AA$12292,'Besi Balok'!$A$23:$A$12292,$A188,'Besi Balok'!$B$23:$B$12292,$B188,'Besi Balok'!$F$23:$F$12292,'REKAP Balok'!R$12)</f>
        <v>0</v>
      </c>
      <c r="S188">
        <f>SUMIFS('Besi Balok'!$AA$23:$AA$12292,'Besi Balok'!$A$23:$A$12292,$A188,'Besi Balok'!$B$23:$B$12292,$B188,'Besi Balok'!$F$23:$F$12292,'REKAP Balok'!S$12)</f>
        <v>0</v>
      </c>
      <c r="T188">
        <f>SUMIFS('Besi Balok'!$AA$23:$AA$12292,'Besi Balok'!$A$23:$A$12292,$A188,'Besi Balok'!$B$23:$B$12292,$B188,'Besi Balok'!$F$23:$F$12292,'REKAP Balok'!T$12)</f>
        <v>0</v>
      </c>
      <c r="U188">
        <f>SUM(L188:T188)</f>
        <v>52.634402640000005</v>
      </c>
      <c r="V188">
        <f>(D188*(F188-H188)*G188*K188)/1000000000</f>
        <v>0.2664</v>
      </c>
      <c r="W188">
        <f>(((F188-H188)*2+D188)*(G188)*K188)/1000000</f>
        <v>3.384</v>
      </c>
      <c r="AC188">
        <f>(D188+2*$F$5)*F188*G188/1000000000</f>
        <v>0.72</v>
      </c>
    </row>
    <row r="189">
      <c r="A189" t="str">
        <f>'Data Panjang Balok'!A186</f>
        <v>Lantai 1</v>
      </c>
      <c r="B189">
        <f>'Data Panjang Balok'!B186</f>
        <v>78</v>
      </c>
      <c r="C189" t="str">
        <f>'Data Panjang Balok'!D186</f>
        <v>B37-1</v>
      </c>
      <c r="D189">
        <f>IF(C189&gt;0,VLOOKUP(C189,'Detail Balok'!$C$11:$AU$110,2,FALSE),0)</f>
        <v>300</v>
      </c>
      <c r="E189" t="str">
        <v>x</v>
      </c>
      <c r="F189">
        <f>IF(C189&gt;0,VLOOKUP(C189,'Detail Balok'!$C$11:$AU$110,3,FALSE),0)</f>
        <v>700</v>
      </c>
      <c r="G189">
        <f>'Data Panjang Balok'!I186</f>
        <v>2885</v>
      </c>
      <c r="H189">
        <f>'Data Panjang Balok'!J186</f>
        <v>130</v>
      </c>
      <c r="J189">
        <f>I189-F189/1000</f>
        <v>-0.7</v>
      </c>
      <c r="K189">
        <f>'Data Panjang Balok'!E186</f>
        <v>1</v>
      </c>
      <c r="L189">
        <f>SUMIFS('Besi Balok'!$AA$23:$AA$12292,'Besi Balok'!$A$23:$A$12292,$A189,'Besi Balok'!$B$23:$B$12292,$B189,'Besi Balok'!$F$23:$F$12292,'REKAP Balok'!L$12)</f>
        <v>0</v>
      </c>
      <c r="M189">
        <f>SUMIFS('Besi Balok'!$AA$23:$AA$12292,'Besi Balok'!$A$23:$A$12292,$A189,'Besi Balok'!$B$23:$B$12292,$B189,'Besi Balok'!$F$23:$F$12292,'REKAP Balok'!M$12)</f>
        <v>0</v>
      </c>
      <c r="N189">
        <f>SUMIFS('Besi Balok'!$AA$23:$AA$12292,'Besi Balok'!$A$23:$A$12292,$A189,'Besi Balok'!$B$23:$B$12292,$B189,'Besi Balok'!$F$23:$F$12292,'REKAP Balok'!N$12)</f>
        <v>47.85273000000001</v>
      </c>
      <c r="O189">
        <f>SUMIFS('Besi Balok'!$AA$23:$AA$12292,'Besi Balok'!$A$23:$A$12292,$A189,'Besi Balok'!$B$23:$B$12292,$B189,'Besi Balok'!$F$23:$F$12292,'REKAP Balok'!O$12)</f>
        <v>0</v>
      </c>
      <c r="P189">
        <f>SUMIFS('Besi Balok'!$AA$23:$AA$12292,'Besi Balok'!$A$23:$A$12292,$A189,'Besi Balok'!$B$23:$B$12292,$B189,'Besi Balok'!$F$23:$F$12292,'REKAP Balok'!P$12)</f>
        <v>0</v>
      </c>
      <c r="Q189">
        <f>SUMIFS('Besi Balok'!$AA$23:$AA$12292,'Besi Balok'!$A$23:$A$12292,$A189,'Besi Balok'!$B$23:$B$12292,$B189,'Besi Balok'!$F$23:$F$12292,'REKAP Balok'!Q$12)</f>
        <v>0</v>
      </c>
      <c r="R189">
        <f>SUMIFS('Besi Balok'!$AA$23:$AA$12292,'Besi Balok'!$A$23:$A$12292,$A189,'Besi Balok'!$B$23:$B$12292,$B189,'Besi Balok'!$F$23:$F$12292,'REKAP Balok'!R$12)</f>
        <v>112.40051427</v>
      </c>
      <c r="S189">
        <f>SUMIFS('Besi Balok'!$AA$23:$AA$12292,'Besi Balok'!$A$23:$A$12292,$A189,'Besi Balok'!$B$23:$B$12292,$B189,'Besi Balok'!$F$23:$F$12292,'REKAP Balok'!S$12)</f>
        <v>0</v>
      </c>
      <c r="T189">
        <f>SUMIFS('Besi Balok'!$AA$23:$AA$12292,'Besi Balok'!$A$23:$A$12292,$A189,'Besi Balok'!$B$23:$B$12292,$B189,'Besi Balok'!$F$23:$F$12292,'REKAP Balok'!T$12)</f>
        <v>0</v>
      </c>
      <c r="U189">
        <f>SUM(L189:T189)</f>
        <v>160.25324427</v>
      </c>
      <c r="V189">
        <f>(D189*(F189-H189)*G189*K189)/1000000000</f>
        <v>0.493335</v>
      </c>
      <c r="W189">
        <f>(((F189-H189)*2+D189)*(G189)*K189)/1000000</f>
        <v>4.1544</v>
      </c>
      <c r="AC189">
        <f>(D189+2*$F$5)*F189*G189/1000000000</f>
        <v>1.00975</v>
      </c>
    </row>
    <row r="190">
      <c r="A190" t="str">
        <f>'Data Panjang Balok'!A187</f>
        <v>Lantai 1</v>
      </c>
      <c r="B190">
        <f>'Data Panjang Balok'!B187</f>
        <v>79</v>
      </c>
      <c r="C190" t="str">
        <f>'Data Panjang Balok'!D187</f>
        <v>B37-1</v>
      </c>
      <c r="D190">
        <f>IF(C190&gt;0,VLOOKUP(C190,'Detail Balok'!$C$11:$AU$110,2,FALSE),0)</f>
        <v>300</v>
      </c>
      <c r="E190" t="str">
        <v>x</v>
      </c>
      <c r="F190">
        <f>IF(C190&gt;0,VLOOKUP(C190,'Detail Balok'!$C$11:$AU$110,3,FALSE),0)</f>
        <v>700</v>
      </c>
      <c r="G190">
        <f>'Data Panjang Balok'!I187</f>
        <v>4915</v>
      </c>
      <c r="H190">
        <f>'Data Panjang Balok'!J187</f>
        <v>130</v>
      </c>
      <c r="J190">
        <f>I190-F190/1000</f>
        <v>-0.7</v>
      </c>
      <c r="K190">
        <f>'Data Panjang Balok'!E187</f>
        <v>1</v>
      </c>
      <c r="L190">
        <f>SUMIFS('Besi Balok'!$AA$23:$AA$12292,'Besi Balok'!$A$23:$A$12292,$A190,'Besi Balok'!$B$23:$B$12292,$B190,'Besi Balok'!$F$23:$F$12292,'REKAP Balok'!L$12)</f>
        <v>0</v>
      </c>
      <c r="M190">
        <f>SUMIFS('Besi Balok'!$AA$23:$AA$12292,'Besi Balok'!$A$23:$A$12292,$A190,'Besi Balok'!$B$23:$B$12292,$B190,'Besi Balok'!$F$23:$F$12292,'REKAP Balok'!M$12)</f>
        <v>0</v>
      </c>
      <c r="N190">
        <f>SUMIFS('Besi Balok'!$AA$23:$AA$12292,'Besi Balok'!$A$23:$A$12292,$A190,'Besi Balok'!$B$23:$B$12292,$B190,'Besi Balok'!$F$23:$F$12292,'REKAP Balok'!N$12)</f>
        <v>72.91962000000001</v>
      </c>
      <c r="O190">
        <f>SUMIFS('Besi Balok'!$AA$23:$AA$12292,'Besi Balok'!$A$23:$A$12292,$A190,'Besi Balok'!$B$23:$B$12292,$B190,'Besi Balok'!$F$23:$F$12292,'REKAP Balok'!O$12)</f>
        <v>0</v>
      </c>
      <c r="P190">
        <f>SUMIFS('Besi Balok'!$AA$23:$AA$12292,'Besi Balok'!$A$23:$A$12292,$A190,'Besi Balok'!$B$23:$B$12292,$B190,'Besi Balok'!$F$23:$F$12292,'REKAP Balok'!P$12)</f>
        <v>0</v>
      </c>
      <c r="Q190">
        <f>SUMIFS('Besi Balok'!$AA$23:$AA$12292,'Besi Balok'!$A$23:$A$12292,$A190,'Besi Balok'!$B$23:$B$12292,$B190,'Besi Balok'!$F$23:$F$12292,'REKAP Balok'!Q$12)</f>
        <v>0</v>
      </c>
      <c r="R190">
        <f>SUMIFS('Besi Balok'!$AA$23:$AA$12292,'Besi Balok'!$A$23:$A$12292,$A190,'Besi Balok'!$B$23:$B$12292,$B190,'Besi Balok'!$F$23:$F$12292,'REKAP Balok'!R$12)</f>
        <v>172.36714869</v>
      </c>
      <c r="S190">
        <f>SUMIFS('Besi Balok'!$AA$23:$AA$12292,'Besi Balok'!$A$23:$A$12292,$A190,'Besi Balok'!$B$23:$B$12292,$B190,'Besi Balok'!$F$23:$F$12292,'REKAP Balok'!S$12)</f>
        <v>0</v>
      </c>
      <c r="T190">
        <f>SUMIFS('Besi Balok'!$AA$23:$AA$12292,'Besi Balok'!$A$23:$A$12292,$A190,'Besi Balok'!$B$23:$B$12292,$B190,'Besi Balok'!$F$23:$F$12292,'REKAP Balok'!T$12)</f>
        <v>0</v>
      </c>
      <c r="U190">
        <f>SUM(L190:T190)</f>
        <v>245.28676869</v>
      </c>
      <c r="V190">
        <f>(D190*(F190-H190)*G190*K190)/1000000000</f>
        <v>0.840465</v>
      </c>
      <c r="W190">
        <f>(((F190-H190)*2+D190)*(G190)*K190)/1000000</f>
        <v>7.0776</v>
      </c>
      <c r="AC190">
        <f>(D190+2*$F$5)*F190*G190/1000000000</f>
        <v>1.72025</v>
      </c>
    </row>
    <row r="191">
      <c r="A191" t="str">
        <f>'Data Panjang Balok'!A188</f>
        <v>Lantai 1</v>
      </c>
      <c r="B191">
        <f>'Data Panjang Balok'!B188</f>
        <v>80</v>
      </c>
      <c r="C191" t="str">
        <f>'Data Panjang Balok'!D188</f>
        <v>B37-1</v>
      </c>
      <c r="D191">
        <f>IF(C191&gt;0,VLOOKUP(C191,'Detail Balok'!$C$11:$AU$110,2,FALSE),0)</f>
        <v>300</v>
      </c>
      <c r="E191" t="str">
        <v>x</v>
      </c>
      <c r="F191">
        <f>IF(C191&gt;0,VLOOKUP(C191,'Detail Balok'!$C$11:$AU$110,3,FALSE),0)</f>
        <v>700</v>
      </c>
      <c r="G191">
        <f>'Data Panjang Balok'!I188</f>
        <v>8400</v>
      </c>
      <c r="H191">
        <f>'Data Panjang Balok'!J188</f>
        <v>130</v>
      </c>
      <c r="J191">
        <f>I191-F191/1000</f>
        <v>-0.7</v>
      </c>
      <c r="K191">
        <f>'Data Panjang Balok'!E188</f>
        <v>1</v>
      </c>
      <c r="L191">
        <f>SUMIFS('Besi Balok'!$AA$23:$AA$12292,'Besi Balok'!$A$23:$A$12292,$A191,'Besi Balok'!$B$23:$B$12292,$B191,'Besi Balok'!$F$23:$F$12292,'REKAP Balok'!L$12)</f>
        <v>0</v>
      </c>
      <c r="M191">
        <f>SUMIFS('Besi Balok'!$AA$23:$AA$12292,'Besi Balok'!$A$23:$A$12292,$A191,'Besi Balok'!$B$23:$B$12292,$B191,'Besi Balok'!$F$23:$F$12292,'REKAP Balok'!M$12)</f>
        <v>0</v>
      </c>
      <c r="N191">
        <f>SUMIFS('Besi Balok'!$AA$23:$AA$12292,'Besi Balok'!$A$23:$A$12292,$A191,'Besi Balok'!$B$23:$B$12292,$B191,'Besi Balok'!$F$23:$F$12292,'REKAP Balok'!N$12)</f>
        <v>118.95984</v>
      </c>
      <c r="O191">
        <f>SUMIFS('Besi Balok'!$AA$23:$AA$12292,'Besi Balok'!$A$23:$A$12292,$A191,'Besi Balok'!$B$23:$B$12292,$B191,'Besi Balok'!$F$23:$F$12292,'REKAP Balok'!O$12)</f>
        <v>0</v>
      </c>
      <c r="P191">
        <f>SUMIFS('Besi Balok'!$AA$23:$AA$12292,'Besi Balok'!$A$23:$A$12292,$A191,'Besi Balok'!$B$23:$B$12292,$B191,'Besi Balok'!$F$23:$F$12292,'REKAP Balok'!P$12)</f>
        <v>0</v>
      </c>
      <c r="Q191">
        <f>SUMIFS('Besi Balok'!$AA$23:$AA$12292,'Besi Balok'!$A$23:$A$12292,$A191,'Besi Balok'!$B$23:$B$12292,$B191,'Besi Balok'!$F$23:$F$12292,'REKAP Balok'!Q$12)</f>
        <v>0</v>
      </c>
      <c r="R191">
        <f>SUMIFS('Besi Balok'!$AA$23:$AA$12292,'Besi Balok'!$A$23:$A$12292,$A191,'Besi Balok'!$B$23:$B$12292,$B191,'Besi Balok'!$F$23:$F$12292,'REKAP Balok'!R$12)</f>
        <v>275.31479448</v>
      </c>
      <c r="S191">
        <f>SUMIFS('Besi Balok'!$AA$23:$AA$12292,'Besi Balok'!$A$23:$A$12292,$A191,'Besi Balok'!$B$23:$B$12292,$B191,'Besi Balok'!$F$23:$F$12292,'REKAP Balok'!S$12)</f>
        <v>0</v>
      </c>
      <c r="T191">
        <f>SUMIFS('Besi Balok'!$AA$23:$AA$12292,'Besi Balok'!$A$23:$A$12292,$A191,'Besi Balok'!$B$23:$B$12292,$B191,'Besi Balok'!$F$23:$F$12292,'REKAP Balok'!T$12)</f>
        <v>0</v>
      </c>
      <c r="U191">
        <f>SUM(L191:T191)</f>
        <v>394.27463448</v>
      </c>
      <c r="V191">
        <f>(D191*(F191-H191)*G191*K191)/1000000000</f>
        <v>1.4364</v>
      </c>
      <c r="W191">
        <f>(((F191-H191)*2+D191)*(G191)*K191)/1000000</f>
        <v>12.096</v>
      </c>
      <c r="AC191">
        <f>(D191+2*$F$5)*F191*G191/1000000000</f>
        <v>2.94</v>
      </c>
    </row>
    <row r="192">
      <c r="A192" t="str">
        <f>'Data Panjang Balok'!A189</f>
        <v>Lantai 1</v>
      </c>
      <c r="B192">
        <f>'Data Panjang Balok'!B189</f>
        <v>81</v>
      </c>
      <c r="C192" t="str">
        <f>'Data Panjang Balok'!D189</f>
        <v>B345-1</v>
      </c>
      <c r="D192">
        <f>IF(C192&gt;0,VLOOKUP(C192,'Detail Balok'!$C$11:$AU$110,2,FALSE),0)</f>
        <v>300</v>
      </c>
      <c r="E192" t="str">
        <v>x</v>
      </c>
      <c r="F192">
        <f>IF(C192&gt;0,VLOOKUP(C192,'Detail Balok'!$C$11:$AU$110,3,FALSE),0)</f>
        <v>450</v>
      </c>
      <c r="G192">
        <f>'Data Panjang Balok'!I189</f>
        <v>3700</v>
      </c>
      <c r="H192">
        <f>'Data Panjang Balok'!J189</f>
        <v>130</v>
      </c>
      <c r="J192">
        <f>I192-F192/1000</f>
        <v>-0.45</v>
      </c>
      <c r="K192">
        <f>'Data Panjang Balok'!E189</f>
        <v>1</v>
      </c>
      <c r="L192">
        <f>SUMIFS('Besi Balok'!$AA$23:$AA$12292,'Besi Balok'!$A$23:$A$12292,$A192,'Besi Balok'!$B$23:$B$12292,$B192,'Besi Balok'!$F$23:$F$12292,'REKAP Balok'!L$12)</f>
        <v>0</v>
      </c>
      <c r="M192">
        <f>SUMIFS('Besi Balok'!$AA$23:$AA$12292,'Besi Balok'!$A$23:$A$12292,$A192,'Besi Balok'!$B$23:$B$12292,$B192,'Besi Balok'!$F$23:$F$12292,'REKAP Balok'!M$12)</f>
        <v>18.289434239999995</v>
      </c>
      <c r="N192">
        <f>SUMIFS('Besi Balok'!$AA$23:$AA$12292,'Besi Balok'!$A$23:$A$12292,$A192,'Besi Balok'!$B$23:$B$12292,$B192,'Besi Balok'!$F$23:$F$12292,'REKAP Balok'!N$12)</f>
        <v>0</v>
      </c>
      <c r="O192">
        <f>SUMIFS('Besi Balok'!$AA$23:$AA$12292,'Besi Balok'!$A$23:$A$12292,$A192,'Besi Balok'!$B$23:$B$12292,$B192,'Besi Balok'!$F$23:$F$12292,'REKAP Balok'!O$12)</f>
        <v>0</v>
      </c>
      <c r="P192">
        <f>SUMIFS('Besi Balok'!$AA$23:$AA$12292,'Besi Balok'!$A$23:$A$12292,$A192,'Besi Balok'!$B$23:$B$12292,$B192,'Besi Balok'!$F$23:$F$12292,'REKAP Balok'!P$12)</f>
        <v>40.79434752</v>
      </c>
      <c r="Q192">
        <f>SUMIFS('Besi Balok'!$AA$23:$AA$12292,'Besi Balok'!$A$23:$A$12292,$A192,'Besi Balok'!$B$23:$B$12292,$B192,'Besi Balok'!$F$23:$F$12292,'REKAP Balok'!Q$12)</f>
        <v>0</v>
      </c>
      <c r="R192">
        <f>SUMIFS('Besi Balok'!$AA$23:$AA$12292,'Besi Balok'!$A$23:$A$12292,$A192,'Besi Balok'!$B$23:$B$12292,$B192,'Besi Balok'!$F$23:$F$12292,'REKAP Balok'!R$12)</f>
        <v>0</v>
      </c>
      <c r="S192">
        <f>SUMIFS('Besi Balok'!$AA$23:$AA$12292,'Besi Balok'!$A$23:$A$12292,$A192,'Besi Balok'!$B$23:$B$12292,$B192,'Besi Balok'!$F$23:$F$12292,'REKAP Balok'!S$12)</f>
        <v>0</v>
      </c>
      <c r="T192">
        <f>SUMIFS('Besi Balok'!$AA$23:$AA$12292,'Besi Balok'!$A$23:$A$12292,$A192,'Besi Balok'!$B$23:$B$12292,$B192,'Besi Balok'!$F$23:$F$12292,'REKAP Balok'!T$12)</f>
        <v>0</v>
      </c>
      <c r="U192">
        <f>SUM(L192:T192)</f>
        <v>59.083781759999994</v>
      </c>
      <c r="V192">
        <f>(D192*(F192-H192)*G192*K192)/1000000000</f>
        <v>0.3552</v>
      </c>
      <c r="W192">
        <f>(((F192-H192)*2+D192)*(G192)*K192)/1000000</f>
        <v>3.478</v>
      </c>
      <c r="AC192">
        <f>(D192+2*$F$5)*F192*G192/1000000000</f>
        <v>0.8325</v>
      </c>
    </row>
    <row r="193">
      <c r="A193" t="str">
        <f>'Data Panjang Balok'!A190</f>
        <v>Lantai 1</v>
      </c>
      <c r="B193">
        <f>'Data Panjang Balok'!B190</f>
        <v>82</v>
      </c>
      <c r="C193" t="str">
        <f>'Data Panjang Balok'!D190</f>
        <v>B23-1</v>
      </c>
      <c r="D193">
        <f>IF(C193&gt;0,VLOOKUP(C193,'Detail Balok'!$C$11:$AU$110,2,FALSE),0)</f>
        <v>200</v>
      </c>
      <c r="E193" t="str">
        <v>x</v>
      </c>
      <c r="F193">
        <f>IF(C193&gt;0,VLOOKUP(C193,'Detail Balok'!$C$11:$AU$110,3,FALSE),0)</f>
        <v>300</v>
      </c>
      <c r="G193">
        <f>'Data Panjang Balok'!I190</f>
        <v>2700</v>
      </c>
      <c r="H193">
        <f>'Data Panjang Balok'!J190</f>
        <v>130</v>
      </c>
      <c r="J193">
        <f>I193-F193/1000</f>
        <v>-0.3</v>
      </c>
      <c r="K193">
        <f>'Data Panjang Balok'!E190</f>
        <v>1</v>
      </c>
      <c r="L193">
        <f>SUMIFS('Besi Balok'!$AA$23:$AA$12292,'Besi Balok'!$A$23:$A$12292,$A193,'Besi Balok'!$B$23:$B$12292,$B193,'Besi Balok'!$F$23:$F$12292,'REKAP Balok'!L$12)</f>
        <v>0</v>
      </c>
      <c r="M193">
        <f>SUMIFS('Besi Balok'!$AA$23:$AA$12292,'Besi Balok'!$A$23:$A$12292,$A193,'Besi Balok'!$B$23:$B$12292,$B193,'Besi Balok'!$F$23:$F$12292,'REKAP Balok'!M$12)</f>
        <v>8.18712</v>
      </c>
      <c r="N193">
        <f>SUMIFS('Besi Balok'!$AA$23:$AA$12292,'Besi Balok'!$A$23:$A$12292,$A193,'Besi Balok'!$B$23:$B$12292,$B193,'Besi Balok'!$F$23:$F$12292,'REKAP Balok'!N$12)</f>
        <v>0</v>
      </c>
      <c r="O193">
        <f>SUMIFS('Besi Balok'!$AA$23:$AA$12292,'Besi Balok'!$A$23:$A$12292,$A193,'Besi Balok'!$B$23:$B$12292,$B193,'Besi Balok'!$F$23:$F$12292,'REKAP Balok'!O$12)</f>
        <v>12.55263048</v>
      </c>
      <c r="P193">
        <f>SUMIFS('Besi Balok'!$AA$23:$AA$12292,'Besi Balok'!$A$23:$A$12292,$A193,'Besi Balok'!$B$23:$B$12292,$B193,'Besi Balok'!$F$23:$F$12292,'REKAP Balok'!P$12)</f>
        <v>0</v>
      </c>
      <c r="Q193">
        <f>SUMIFS('Besi Balok'!$AA$23:$AA$12292,'Besi Balok'!$A$23:$A$12292,$A193,'Besi Balok'!$B$23:$B$12292,$B193,'Besi Balok'!$F$23:$F$12292,'REKAP Balok'!Q$12)</f>
        <v>0</v>
      </c>
      <c r="R193">
        <f>SUMIFS('Besi Balok'!$AA$23:$AA$12292,'Besi Balok'!$A$23:$A$12292,$A193,'Besi Balok'!$B$23:$B$12292,$B193,'Besi Balok'!$F$23:$F$12292,'REKAP Balok'!R$12)</f>
        <v>0</v>
      </c>
      <c r="S193">
        <f>SUMIFS('Besi Balok'!$AA$23:$AA$12292,'Besi Balok'!$A$23:$A$12292,$A193,'Besi Balok'!$B$23:$B$12292,$B193,'Besi Balok'!$F$23:$F$12292,'REKAP Balok'!S$12)</f>
        <v>0</v>
      </c>
      <c r="T193">
        <f>SUMIFS('Besi Balok'!$AA$23:$AA$12292,'Besi Balok'!$A$23:$A$12292,$A193,'Besi Balok'!$B$23:$B$12292,$B193,'Besi Balok'!$F$23:$F$12292,'REKAP Balok'!T$12)</f>
        <v>0</v>
      </c>
      <c r="U193">
        <f>SUM(L193:T193)</f>
        <v>20.739750479999998</v>
      </c>
      <c r="V193">
        <f>(D193*(F193-H193)*G193*K193)/1000000000</f>
        <v>0.0918</v>
      </c>
      <c r="W193">
        <f>(((F193-H193)*2+D193)*(G193)*K193)/1000000</f>
        <v>1.458</v>
      </c>
      <c r="AC193">
        <f>(D193+2*$F$5)*F193*G193/1000000000</f>
        <v>0.324</v>
      </c>
    </row>
    <row r="194">
      <c r="A194" t="str">
        <f>'Data Panjang Balok'!A191</f>
        <v>Lantai 1</v>
      </c>
      <c r="B194">
        <f>'Data Panjang Balok'!B191</f>
        <v>83</v>
      </c>
      <c r="C194" t="str">
        <f>'Data Panjang Balok'!D191</f>
        <v>B35-1</v>
      </c>
      <c r="D194">
        <f>IF(C194&gt;0,VLOOKUP(C194,'Detail Balok'!$C$11:$AU$110,2,FALSE),0)</f>
        <v>300</v>
      </c>
      <c r="E194" t="str">
        <v>x</v>
      </c>
      <c r="F194">
        <f>IF(C194&gt;0,VLOOKUP(C194,'Detail Balok'!$C$11:$AU$110,3,FALSE),0)</f>
        <v>500</v>
      </c>
      <c r="G194">
        <f>'Data Panjang Balok'!I191</f>
        <v>6685</v>
      </c>
      <c r="H194">
        <f>'Data Panjang Balok'!J191</f>
        <v>130</v>
      </c>
      <c r="J194">
        <f>I194-F194/1000</f>
        <v>-0.5</v>
      </c>
      <c r="K194">
        <f>'Data Panjang Balok'!E191</f>
        <v>1</v>
      </c>
      <c r="L194">
        <f>SUMIFS('Besi Balok'!$AA$23:$AA$12292,'Besi Balok'!$A$23:$A$12292,$A194,'Besi Balok'!$B$23:$B$12292,$B194,'Besi Balok'!$F$23:$F$12292,'REKAP Balok'!L$12)</f>
        <v>0</v>
      </c>
      <c r="M194">
        <f>SUMIFS('Besi Balok'!$AA$23:$AA$12292,'Besi Balok'!$A$23:$A$12292,$A194,'Besi Balok'!$B$23:$B$12292,$B194,'Besi Balok'!$F$23:$F$12292,'REKAP Balok'!M$12)</f>
        <v>0</v>
      </c>
      <c r="N194">
        <f>SUMIFS('Besi Balok'!$AA$23:$AA$12292,'Besi Balok'!$A$23:$A$12292,$A194,'Besi Balok'!$B$23:$B$12292,$B194,'Besi Balok'!$F$23:$F$12292,'REKAP Balok'!N$12)</f>
        <v>39.39435</v>
      </c>
      <c r="O194">
        <f>SUMIFS('Besi Balok'!$AA$23:$AA$12292,'Besi Balok'!$A$23:$A$12292,$A194,'Besi Balok'!$B$23:$B$12292,$B194,'Besi Balok'!$F$23:$F$12292,'REKAP Balok'!O$12)</f>
        <v>0</v>
      </c>
      <c r="P194">
        <f>SUMIFS('Besi Balok'!$AA$23:$AA$12292,'Besi Balok'!$A$23:$A$12292,$A194,'Besi Balok'!$B$23:$B$12292,$B194,'Besi Balok'!$F$23:$F$12292,'REKAP Balok'!P$12)</f>
        <v>78.09604992</v>
      </c>
      <c r="Q194">
        <f>SUMIFS('Besi Balok'!$AA$23:$AA$12292,'Besi Balok'!$A$23:$A$12292,$A194,'Besi Balok'!$B$23:$B$12292,$B194,'Besi Balok'!$F$23:$F$12292,'REKAP Balok'!Q$12)</f>
        <v>0</v>
      </c>
      <c r="R194">
        <f>SUMIFS('Besi Balok'!$AA$23:$AA$12292,'Besi Balok'!$A$23:$A$12292,$A194,'Besi Balok'!$B$23:$B$12292,$B194,'Besi Balok'!$F$23:$F$12292,'REKAP Balok'!R$12)</f>
        <v>0</v>
      </c>
      <c r="S194">
        <f>SUMIFS('Besi Balok'!$AA$23:$AA$12292,'Besi Balok'!$A$23:$A$12292,$A194,'Besi Balok'!$B$23:$B$12292,$B194,'Besi Balok'!$F$23:$F$12292,'REKAP Balok'!S$12)</f>
        <v>0</v>
      </c>
      <c r="T194">
        <f>SUMIFS('Besi Balok'!$AA$23:$AA$12292,'Besi Balok'!$A$23:$A$12292,$A194,'Besi Balok'!$B$23:$B$12292,$B194,'Besi Balok'!$F$23:$F$12292,'REKAP Balok'!T$12)</f>
        <v>0</v>
      </c>
      <c r="U194">
        <f>SUM(L194:T194)</f>
        <v>117.49039992</v>
      </c>
      <c r="V194">
        <f>(D194*(F194-H194)*G194*K194)/1000000000</f>
        <v>0.742035</v>
      </c>
      <c r="W194">
        <f>(((F194-H194)*2+D194)*(G194)*K194)/1000000</f>
        <v>6.9524</v>
      </c>
      <c r="AC194">
        <f>(D194+2*$F$5)*F194*G194/1000000000</f>
        <v>1.67125</v>
      </c>
    </row>
    <row r="195">
      <c r="A195" t="str">
        <f>'Data Panjang Balok'!A192</f>
        <v>Lantai 1</v>
      </c>
      <c r="B195">
        <f>'Data Panjang Balok'!B192</f>
        <v>84</v>
      </c>
      <c r="C195" t="str">
        <f>'Data Panjang Balok'!D192</f>
        <v>B245-3</v>
      </c>
      <c r="D195">
        <f>IF(C195&gt;0,VLOOKUP(C195,'Detail Balok'!$C$11:$AU$110,2,FALSE),0)</f>
        <v>200</v>
      </c>
      <c r="E195" t="str">
        <v>x</v>
      </c>
      <c r="F195">
        <f>IF(C195&gt;0,VLOOKUP(C195,'Detail Balok'!$C$11:$AU$110,3,FALSE),0)</f>
        <v>450</v>
      </c>
      <c r="G195">
        <f>'Data Panjang Balok'!I192</f>
        <v>4600</v>
      </c>
      <c r="H195">
        <f>'Data Panjang Balok'!J192</f>
        <v>130</v>
      </c>
      <c r="J195">
        <f>I195-F195/1000</f>
        <v>-0.45</v>
      </c>
      <c r="K195">
        <f>'Data Panjang Balok'!E192</f>
        <v>1</v>
      </c>
      <c r="L195">
        <f>SUMIFS('Besi Balok'!$AA$23:$AA$12292,'Besi Balok'!$A$23:$A$12292,$A195,'Besi Balok'!$B$23:$B$12292,$B195,'Besi Balok'!$F$23:$F$12292,'REKAP Balok'!L$12)</f>
        <v>0</v>
      </c>
      <c r="M195">
        <f>SUMIFS('Besi Balok'!$AA$23:$AA$12292,'Besi Balok'!$A$23:$A$12292,$A195,'Besi Balok'!$B$23:$B$12292,$B195,'Besi Balok'!$F$23:$F$12292,'REKAP Balok'!M$12)</f>
        <v>0</v>
      </c>
      <c r="N195">
        <f>SUMIFS('Besi Balok'!$AA$23:$AA$12292,'Besi Balok'!$A$23:$A$12292,$A195,'Besi Balok'!$B$23:$B$12292,$B195,'Besi Balok'!$F$23:$F$12292,'REKAP Balok'!N$12)</f>
        <v>34.530165</v>
      </c>
      <c r="O195">
        <f>SUMIFS('Besi Balok'!$AA$23:$AA$12292,'Besi Balok'!$A$23:$A$12292,$A195,'Besi Balok'!$B$23:$B$12292,$B195,'Besi Balok'!$F$23:$F$12292,'REKAP Balok'!O$12)</f>
        <v>0</v>
      </c>
      <c r="P195">
        <f>SUMIFS('Besi Balok'!$AA$23:$AA$12292,'Besi Balok'!$A$23:$A$12292,$A195,'Besi Balok'!$B$23:$B$12292,$B195,'Besi Balok'!$F$23:$F$12292,'REKAP Balok'!P$12)</f>
        <v>31.463792639999998</v>
      </c>
      <c r="Q195">
        <f>SUMIFS('Besi Balok'!$AA$23:$AA$12292,'Besi Balok'!$A$23:$A$12292,$A195,'Besi Balok'!$B$23:$B$12292,$B195,'Besi Balok'!$F$23:$F$12292,'REKAP Balok'!Q$12)</f>
        <v>0</v>
      </c>
      <c r="R195">
        <f>SUMIFS('Besi Balok'!$AA$23:$AA$12292,'Besi Balok'!$A$23:$A$12292,$A195,'Besi Balok'!$B$23:$B$12292,$B195,'Besi Balok'!$F$23:$F$12292,'REKAP Balok'!R$12)</f>
        <v>0</v>
      </c>
      <c r="S195">
        <f>SUMIFS('Besi Balok'!$AA$23:$AA$12292,'Besi Balok'!$A$23:$A$12292,$A195,'Besi Balok'!$B$23:$B$12292,$B195,'Besi Balok'!$F$23:$F$12292,'REKAP Balok'!S$12)</f>
        <v>0</v>
      </c>
      <c r="T195">
        <f>SUMIFS('Besi Balok'!$AA$23:$AA$12292,'Besi Balok'!$A$23:$A$12292,$A195,'Besi Balok'!$B$23:$B$12292,$B195,'Besi Balok'!$F$23:$F$12292,'REKAP Balok'!T$12)</f>
        <v>0</v>
      </c>
      <c r="U195">
        <f>SUM(L195:T195)</f>
        <v>65.99395763999999</v>
      </c>
      <c r="V195">
        <f>(D195*(F195-H195)*G195*K195)/1000000000</f>
        <v>0.2944</v>
      </c>
      <c r="W195">
        <f>(((F195-H195)*2+D195)*(G195)*K195)/1000000</f>
        <v>3.864</v>
      </c>
      <c r="AC195">
        <f>(D195+2*$F$5)*F195*G195/1000000000</f>
        <v>0.828</v>
      </c>
    </row>
    <row r="196">
      <c r="A196" t="str">
        <f>'Data Panjang Balok'!A193</f>
        <v>Lantai 1</v>
      </c>
      <c r="B196">
        <f>'Data Panjang Balok'!B193</f>
        <v>85</v>
      </c>
      <c r="C196" t="str">
        <f>'Data Panjang Balok'!D193</f>
        <v>B37-1</v>
      </c>
      <c r="D196">
        <f>IF(C196&gt;0,VLOOKUP(C196,'Detail Balok'!$C$11:$AU$110,2,FALSE),0)</f>
        <v>300</v>
      </c>
      <c r="E196" t="str">
        <v>x</v>
      </c>
      <c r="F196">
        <f>IF(C196&gt;0,VLOOKUP(C196,'Detail Balok'!$C$11:$AU$110,3,FALSE),0)</f>
        <v>700</v>
      </c>
      <c r="G196">
        <f>'Data Panjang Balok'!I193</f>
        <v>2885</v>
      </c>
      <c r="H196">
        <f>'Data Panjang Balok'!J193</f>
        <v>130</v>
      </c>
      <c r="J196">
        <f>I196-F196/1000</f>
        <v>-0.7</v>
      </c>
      <c r="K196">
        <f>'Data Panjang Balok'!E193</f>
        <v>1</v>
      </c>
      <c r="L196">
        <f>SUMIFS('Besi Balok'!$AA$23:$AA$12292,'Besi Balok'!$A$23:$A$12292,$A196,'Besi Balok'!$B$23:$B$12292,$B196,'Besi Balok'!$F$23:$F$12292,'REKAP Balok'!L$12)</f>
        <v>0</v>
      </c>
      <c r="M196">
        <f>SUMIFS('Besi Balok'!$AA$23:$AA$12292,'Besi Balok'!$A$23:$A$12292,$A196,'Besi Balok'!$B$23:$B$12292,$B196,'Besi Balok'!$F$23:$F$12292,'REKAP Balok'!M$12)</f>
        <v>0</v>
      </c>
      <c r="N196">
        <f>SUMIFS('Besi Balok'!$AA$23:$AA$12292,'Besi Balok'!$A$23:$A$12292,$A196,'Besi Balok'!$B$23:$B$12292,$B196,'Besi Balok'!$F$23:$F$12292,'REKAP Balok'!N$12)</f>
        <v>47.85273000000001</v>
      </c>
      <c r="O196">
        <f>SUMIFS('Besi Balok'!$AA$23:$AA$12292,'Besi Balok'!$A$23:$A$12292,$A196,'Besi Balok'!$B$23:$B$12292,$B196,'Besi Balok'!$F$23:$F$12292,'REKAP Balok'!O$12)</f>
        <v>0</v>
      </c>
      <c r="P196">
        <f>SUMIFS('Besi Balok'!$AA$23:$AA$12292,'Besi Balok'!$A$23:$A$12292,$A196,'Besi Balok'!$B$23:$B$12292,$B196,'Besi Balok'!$F$23:$F$12292,'REKAP Balok'!P$12)</f>
        <v>0</v>
      </c>
      <c r="Q196">
        <f>SUMIFS('Besi Balok'!$AA$23:$AA$12292,'Besi Balok'!$A$23:$A$12292,$A196,'Besi Balok'!$B$23:$B$12292,$B196,'Besi Balok'!$F$23:$F$12292,'REKAP Balok'!Q$12)</f>
        <v>0</v>
      </c>
      <c r="R196">
        <f>SUMIFS('Besi Balok'!$AA$23:$AA$12292,'Besi Balok'!$A$23:$A$12292,$A196,'Besi Balok'!$B$23:$B$12292,$B196,'Besi Balok'!$F$23:$F$12292,'REKAP Balok'!R$12)</f>
        <v>112.40051427</v>
      </c>
      <c r="S196">
        <f>SUMIFS('Besi Balok'!$AA$23:$AA$12292,'Besi Balok'!$A$23:$A$12292,$A196,'Besi Balok'!$B$23:$B$12292,$B196,'Besi Balok'!$F$23:$F$12292,'REKAP Balok'!S$12)</f>
        <v>0</v>
      </c>
      <c r="T196">
        <f>SUMIFS('Besi Balok'!$AA$23:$AA$12292,'Besi Balok'!$A$23:$A$12292,$A196,'Besi Balok'!$B$23:$B$12292,$B196,'Besi Balok'!$F$23:$F$12292,'REKAP Balok'!T$12)</f>
        <v>0</v>
      </c>
      <c r="U196">
        <f>SUM(L196:T196)</f>
        <v>160.25324427</v>
      </c>
      <c r="V196">
        <f>(D196*(F196-H196)*G196*K196)/1000000000</f>
        <v>0.493335</v>
      </c>
      <c r="W196">
        <f>(((F196-H196)*2+D196)*(G196)*K196)/1000000</f>
        <v>4.1544</v>
      </c>
      <c r="AC196">
        <f>(D196+2*$F$5)*F196*G196/1000000000</f>
        <v>1.00975</v>
      </c>
    </row>
    <row r="197">
      <c r="A197" t="str">
        <f>'Data Panjang Balok'!A194</f>
        <v>Lantai 1</v>
      </c>
      <c r="B197">
        <f>'Data Panjang Balok'!B194</f>
        <v>86</v>
      </c>
      <c r="C197" t="str">
        <f>'Data Panjang Balok'!D194</f>
        <v>B37-1</v>
      </c>
      <c r="D197">
        <f>IF(C197&gt;0,VLOOKUP(C197,'Detail Balok'!$C$11:$AU$110,2,FALSE),0)</f>
        <v>300</v>
      </c>
      <c r="E197" t="str">
        <v>x</v>
      </c>
      <c r="F197">
        <f>IF(C197&gt;0,VLOOKUP(C197,'Detail Balok'!$C$11:$AU$110,3,FALSE),0)</f>
        <v>700</v>
      </c>
      <c r="G197">
        <f>'Data Panjang Balok'!I194</f>
        <v>4915</v>
      </c>
      <c r="H197">
        <f>'Data Panjang Balok'!J194</f>
        <v>130</v>
      </c>
      <c r="J197">
        <f>I197-F197/1000</f>
        <v>-0.7</v>
      </c>
      <c r="K197">
        <f>'Data Panjang Balok'!E194</f>
        <v>1</v>
      </c>
      <c r="L197">
        <f>SUMIFS('Besi Balok'!$AA$23:$AA$12292,'Besi Balok'!$A$23:$A$12292,$A197,'Besi Balok'!$B$23:$B$12292,$B197,'Besi Balok'!$F$23:$F$12292,'REKAP Balok'!L$12)</f>
        <v>0</v>
      </c>
      <c r="M197">
        <f>SUMIFS('Besi Balok'!$AA$23:$AA$12292,'Besi Balok'!$A$23:$A$12292,$A197,'Besi Balok'!$B$23:$B$12292,$B197,'Besi Balok'!$F$23:$F$12292,'REKAP Balok'!M$12)</f>
        <v>0</v>
      </c>
      <c r="N197">
        <f>SUMIFS('Besi Balok'!$AA$23:$AA$12292,'Besi Balok'!$A$23:$A$12292,$A197,'Besi Balok'!$B$23:$B$12292,$B197,'Besi Balok'!$F$23:$F$12292,'REKAP Balok'!N$12)</f>
        <v>72.91962000000001</v>
      </c>
      <c r="O197">
        <f>SUMIFS('Besi Balok'!$AA$23:$AA$12292,'Besi Balok'!$A$23:$A$12292,$A197,'Besi Balok'!$B$23:$B$12292,$B197,'Besi Balok'!$F$23:$F$12292,'REKAP Balok'!O$12)</f>
        <v>0</v>
      </c>
      <c r="P197">
        <f>SUMIFS('Besi Balok'!$AA$23:$AA$12292,'Besi Balok'!$A$23:$A$12292,$A197,'Besi Balok'!$B$23:$B$12292,$B197,'Besi Balok'!$F$23:$F$12292,'REKAP Balok'!P$12)</f>
        <v>0</v>
      </c>
      <c r="Q197">
        <f>SUMIFS('Besi Balok'!$AA$23:$AA$12292,'Besi Balok'!$A$23:$A$12292,$A197,'Besi Balok'!$B$23:$B$12292,$B197,'Besi Balok'!$F$23:$F$12292,'REKAP Balok'!Q$12)</f>
        <v>0</v>
      </c>
      <c r="R197">
        <f>SUMIFS('Besi Balok'!$AA$23:$AA$12292,'Besi Balok'!$A$23:$A$12292,$A197,'Besi Balok'!$B$23:$B$12292,$B197,'Besi Balok'!$F$23:$F$12292,'REKAP Balok'!R$12)</f>
        <v>172.36714869</v>
      </c>
      <c r="S197">
        <f>SUMIFS('Besi Balok'!$AA$23:$AA$12292,'Besi Balok'!$A$23:$A$12292,$A197,'Besi Balok'!$B$23:$B$12292,$B197,'Besi Balok'!$F$23:$F$12292,'REKAP Balok'!S$12)</f>
        <v>0</v>
      </c>
      <c r="T197">
        <f>SUMIFS('Besi Balok'!$AA$23:$AA$12292,'Besi Balok'!$A$23:$A$12292,$A197,'Besi Balok'!$B$23:$B$12292,$B197,'Besi Balok'!$F$23:$F$12292,'REKAP Balok'!T$12)</f>
        <v>0</v>
      </c>
      <c r="U197">
        <f>SUM(L197:T197)</f>
        <v>245.28676869</v>
      </c>
      <c r="V197">
        <f>(D197*(F197-H197)*G197*K197)/1000000000</f>
        <v>0.840465</v>
      </c>
      <c r="W197">
        <f>(((F197-H197)*2+D197)*(G197)*K197)/1000000</f>
        <v>7.0776</v>
      </c>
      <c r="AC197">
        <f>(D197+2*$F$5)*F197*G197/1000000000</f>
        <v>1.72025</v>
      </c>
    </row>
    <row r="198">
      <c r="A198" t="str">
        <f>'Data Panjang Balok'!A195</f>
        <v>Lantai 1</v>
      </c>
      <c r="B198">
        <f>'Data Panjang Balok'!B195</f>
        <v>87</v>
      </c>
      <c r="C198" t="str">
        <f>'Data Panjang Balok'!D195</f>
        <v>B37-1</v>
      </c>
      <c r="D198">
        <f>IF(C198&gt;0,VLOOKUP(C198,'Detail Balok'!$C$11:$AU$110,2,FALSE),0)</f>
        <v>300</v>
      </c>
      <c r="E198" t="str">
        <v>x</v>
      </c>
      <c r="F198">
        <f>IF(C198&gt;0,VLOOKUP(C198,'Detail Balok'!$C$11:$AU$110,3,FALSE),0)</f>
        <v>700</v>
      </c>
      <c r="G198">
        <f>'Data Panjang Balok'!I195</f>
        <v>5715</v>
      </c>
      <c r="H198">
        <f>'Data Panjang Balok'!J195</f>
        <v>130</v>
      </c>
      <c r="J198">
        <f>I198-F198/1000</f>
        <v>-0.7</v>
      </c>
      <c r="K198">
        <f>'Data Panjang Balok'!E195</f>
        <v>1</v>
      </c>
      <c r="L198">
        <f>SUMIFS('Besi Balok'!$AA$23:$AA$12292,'Besi Balok'!$A$23:$A$12292,$A198,'Besi Balok'!$B$23:$B$12292,$B198,'Besi Balok'!$F$23:$F$12292,'REKAP Balok'!L$12)</f>
        <v>0</v>
      </c>
      <c r="M198">
        <f>SUMIFS('Besi Balok'!$AA$23:$AA$12292,'Besi Balok'!$A$23:$A$12292,$A198,'Besi Balok'!$B$23:$B$12292,$B198,'Besi Balok'!$F$23:$F$12292,'REKAP Balok'!M$12)</f>
        <v>0</v>
      </c>
      <c r="N198">
        <f>SUMIFS('Besi Balok'!$AA$23:$AA$12292,'Besi Balok'!$A$23:$A$12292,$A198,'Besi Balok'!$B$23:$B$12292,$B198,'Besi Balok'!$F$23:$F$12292,'REKAP Balok'!N$12)</f>
        <v>82.93158000000001</v>
      </c>
      <c r="O198">
        <f>SUMIFS('Besi Balok'!$AA$23:$AA$12292,'Besi Balok'!$A$23:$A$12292,$A198,'Besi Balok'!$B$23:$B$12292,$B198,'Besi Balok'!$F$23:$F$12292,'REKAP Balok'!O$12)</f>
        <v>0</v>
      </c>
      <c r="P198">
        <f>SUMIFS('Besi Balok'!$AA$23:$AA$12292,'Besi Balok'!$A$23:$A$12292,$A198,'Besi Balok'!$B$23:$B$12292,$B198,'Besi Balok'!$F$23:$F$12292,'REKAP Balok'!P$12)</f>
        <v>0</v>
      </c>
      <c r="Q198">
        <f>SUMIFS('Besi Balok'!$AA$23:$AA$12292,'Besi Balok'!$A$23:$A$12292,$A198,'Besi Balok'!$B$23:$B$12292,$B198,'Besi Balok'!$F$23:$F$12292,'REKAP Balok'!Q$12)</f>
        <v>0</v>
      </c>
      <c r="R198">
        <f>SUMIFS('Besi Balok'!$AA$23:$AA$12292,'Besi Balok'!$A$23:$A$12292,$A198,'Besi Balok'!$B$23:$B$12292,$B198,'Besi Balok'!$F$23:$F$12292,'REKAP Balok'!R$12)</f>
        <v>195.99931989</v>
      </c>
      <c r="S198">
        <f>SUMIFS('Besi Balok'!$AA$23:$AA$12292,'Besi Balok'!$A$23:$A$12292,$A198,'Besi Balok'!$B$23:$B$12292,$B198,'Besi Balok'!$F$23:$F$12292,'REKAP Balok'!S$12)</f>
        <v>0</v>
      </c>
      <c r="T198">
        <f>SUMIFS('Besi Balok'!$AA$23:$AA$12292,'Besi Balok'!$A$23:$A$12292,$A198,'Besi Balok'!$B$23:$B$12292,$B198,'Besi Balok'!$F$23:$F$12292,'REKAP Balok'!T$12)</f>
        <v>0</v>
      </c>
      <c r="U198">
        <f>SUM(L198:T198)</f>
        <v>278.93089989000003</v>
      </c>
      <c r="V198">
        <f>(D198*(F198-H198)*G198*K198)/1000000000</f>
        <v>0.977265</v>
      </c>
      <c r="W198">
        <f>(((F198-H198)*2+D198)*(G198)*K198)/1000000</f>
        <v>8.2296</v>
      </c>
      <c r="AC198">
        <f>(D198+2*$F$5)*F198*G198/1000000000</f>
        <v>2.00025</v>
      </c>
    </row>
    <row r="199">
      <c r="A199" t="str">
        <f>'Data Panjang Balok'!A196</f>
        <v>Lantai 1</v>
      </c>
      <c r="B199">
        <f>'Data Panjang Balok'!B196</f>
        <v>88</v>
      </c>
      <c r="C199" t="str">
        <f>'Data Panjang Balok'!D196</f>
        <v>B245-4</v>
      </c>
      <c r="D199">
        <f>IF(C199&gt;0,VLOOKUP(C199,'Detail Balok'!$C$11:$AU$110,2,FALSE),0)</f>
        <v>200</v>
      </c>
      <c r="E199" t="str">
        <v>x</v>
      </c>
      <c r="F199">
        <f>IF(C199&gt;0,VLOOKUP(C199,'Detail Balok'!$C$11:$AU$110,3,FALSE),0)</f>
        <v>450</v>
      </c>
      <c r="G199">
        <f>'Data Panjang Balok'!I196</f>
        <v>2600</v>
      </c>
      <c r="H199">
        <f>'Data Panjang Balok'!J196</f>
        <v>130</v>
      </c>
      <c r="J199">
        <f>I199-F199/1000</f>
        <v>-0.45</v>
      </c>
      <c r="K199">
        <f>'Data Panjang Balok'!E196</f>
        <v>1</v>
      </c>
      <c r="L199">
        <f>SUMIFS('Besi Balok'!$AA$23:$AA$12292,'Besi Balok'!$A$23:$A$12292,$A199,'Besi Balok'!$B$23:$B$12292,$B199,'Besi Balok'!$F$23:$F$12292,'REKAP Balok'!L$12)</f>
        <v>0</v>
      </c>
      <c r="M199">
        <f>SUMIFS('Besi Balok'!$AA$23:$AA$12292,'Besi Balok'!$A$23:$A$12292,$A199,'Besi Balok'!$B$23:$B$12292,$B199,'Besi Balok'!$F$23:$F$12292,'REKAP Balok'!M$12)</f>
        <v>12.90369024</v>
      </c>
      <c r="N199">
        <f>SUMIFS('Besi Balok'!$AA$23:$AA$12292,'Besi Balok'!$A$23:$A$12292,$A199,'Besi Balok'!$B$23:$B$12292,$B199,'Besi Balok'!$F$23:$F$12292,'REKAP Balok'!N$12)</f>
        <v>0</v>
      </c>
      <c r="O199">
        <f>SUMIFS('Besi Balok'!$AA$23:$AA$12292,'Besi Balok'!$A$23:$A$12292,$A199,'Besi Balok'!$B$23:$B$12292,$B199,'Besi Balok'!$F$23:$F$12292,'REKAP Balok'!O$12)</f>
        <v>0</v>
      </c>
      <c r="P199">
        <f>SUMIFS('Besi Balok'!$AA$23:$AA$12292,'Besi Balok'!$A$23:$A$12292,$A199,'Besi Balok'!$B$23:$B$12292,$B199,'Besi Balok'!$F$23:$F$12292,'REKAP Balok'!P$12)</f>
        <v>28.256808960000008</v>
      </c>
      <c r="Q199">
        <f>SUMIFS('Besi Balok'!$AA$23:$AA$12292,'Besi Balok'!$A$23:$A$12292,$A199,'Besi Balok'!$B$23:$B$12292,$B199,'Besi Balok'!$F$23:$F$12292,'REKAP Balok'!Q$12)</f>
        <v>0</v>
      </c>
      <c r="R199">
        <f>SUMIFS('Besi Balok'!$AA$23:$AA$12292,'Besi Balok'!$A$23:$A$12292,$A199,'Besi Balok'!$B$23:$B$12292,$B199,'Besi Balok'!$F$23:$F$12292,'REKAP Balok'!R$12)</f>
        <v>0</v>
      </c>
      <c r="S199">
        <f>SUMIFS('Besi Balok'!$AA$23:$AA$12292,'Besi Balok'!$A$23:$A$12292,$A199,'Besi Balok'!$B$23:$B$12292,$B199,'Besi Balok'!$F$23:$F$12292,'REKAP Balok'!S$12)</f>
        <v>0</v>
      </c>
      <c r="T199">
        <f>SUMIFS('Besi Balok'!$AA$23:$AA$12292,'Besi Balok'!$A$23:$A$12292,$A199,'Besi Balok'!$B$23:$B$12292,$B199,'Besi Balok'!$F$23:$F$12292,'REKAP Balok'!T$12)</f>
        <v>0</v>
      </c>
      <c r="U199">
        <f>SUM(L199:T199)</f>
        <v>41.160499200000004</v>
      </c>
      <c r="V199">
        <f>(D199*(F199-H199)*G199*K199)/1000000000</f>
        <v>0.1664</v>
      </c>
      <c r="W199">
        <f>(((F199-H199)*2+D199)*(G199)*K199)/1000000</f>
        <v>2.184</v>
      </c>
      <c r="AC199">
        <f>(D199+2*$F$5)*F199*G199/1000000000</f>
        <v>0.468</v>
      </c>
    </row>
    <row r="200">
      <c r="A200" t="str">
        <f>'Data Panjang Balok'!A197</f>
        <v>Lantai 1</v>
      </c>
      <c r="B200">
        <f>'Data Panjang Balok'!B197</f>
        <v>89</v>
      </c>
      <c r="C200" t="str">
        <f>'Data Panjang Balok'!D197</f>
        <v>B245-3</v>
      </c>
      <c r="D200">
        <f>IF(C200&gt;0,VLOOKUP(C200,'Detail Balok'!$C$11:$AU$110,2,FALSE),0)</f>
        <v>200</v>
      </c>
      <c r="E200" t="str">
        <v>x</v>
      </c>
      <c r="F200">
        <f>IF(C200&gt;0,VLOOKUP(C200,'Detail Balok'!$C$11:$AU$110,3,FALSE),0)</f>
        <v>450</v>
      </c>
      <c r="G200">
        <f>'Data Panjang Balok'!I197</f>
        <v>3000</v>
      </c>
      <c r="H200">
        <f>'Data Panjang Balok'!J197</f>
        <v>130</v>
      </c>
      <c r="J200">
        <f>I200-F200/1000</f>
        <v>-0.45</v>
      </c>
      <c r="K200">
        <f>'Data Panjang Balok'!E197</f>
        <v>1</v>
      </c>
      <c r="L200">
        <f>SUMIFS('Besi Balok'!$AA$23:$AA$12292,'Besi Balok'!$A$23:$A$12292,$A200,'Besi Balok'!$B$23:$B$12292,$B200,'Besi Balok'!$F$23:$F$12292,'REKAP Balok'!L$12)</f>
        <v>0</v>
      </c>
      <c r="M200">
        <f>SUMIFS('Besi Balok'!$AA$23:$AA$12292,'Besi Balok'!$A$23:$A$12292,$A200,'Besi Balok'!$B$23:$B$12292,$B200,'Besi Balok'!$F$23:$F$12292,'REKAP Balok'!M$12)</f>
        <v>0</v>
      </c>
      <c r="N200">
        <f>SUMIFS('Besi Balok'!$AA$23:$AA$12292,'Besi Balok'!$A$23:$A$12292,$A200,'Besi Balok'!$B$23:$B$12292,$B200,'Besi Balok'!$F$23:$F$12292,'REKAP Balok'!N$12)</f>
        <v>24.197624999999995</v>
      </c>
      <c r="O200">
        <f>SUMIFS('Besi Balok'!$AA$23:$AA$12292,'Besi Balok'!$A$23:$A$12292,$A200,'Besi Balok'!$B$23:$B$12292,$B200,'Besi Balok'!$F$23:$F$12292,'REKAP Balok'!O$12)</f>
        <v>0</v>
      </c>
      <c r="P200">
        <f>SUMIFS('Besi Balok'!$AA$23:$AA$12292,'Besi Balok'!$A$23:$A$12292,$A200,'Besi Balok'!$B$23:$B$12292,$B200,'Besi Balok'!$F$23:$F$12292,'REKAP Balok'!P$12)</f>
        <v>21.363056640000003</v>
      </c>
      <c r="Q200">
        <f>SUMIFS('Besi Balok'!$AA$23:$AA$12292,'Besi Balok'!$A$23:$A$12292,$A200,'Besi Balok'!$B$23:$B$12292,$B200,'Besi Balok'!$F$23:$F$12292,'REKAP Balok'!Q$12)</f>
        <v>0</v>
      </c>
      <c r="R200">
        <f>SUMIFS('Besi Balok'!$AA$23:$AA$12292,'Besi Balok'!$A$23:$A$12292,$A200,'Besi Balok'!$B$23:$B$12292,$B200,'Besi Balok'!$F$23:$F$12292,'REKAP Balok'!R$12)</f>
        <v>0</v>
      </c>
      <c r="S200">
        <f>SUMIFS('Besi Balok'!$AA$23:$AA$12292,'Besi Balok'!$A$23:$A$12292,$A200,'Besi Balok'!$B$23:$B$12292,$B200,'Besi Balok'!$F$23:$F$12292,'REKAP Balok'!S$12)</f>
        <v>0</v>
      </c>
      <c r="T200">
        <f>SUMIFS('Besi Balok'!$AA$23:$AA$12292,'Besi Balok'!$A$23:$A$12292,$A200,'Besi Balok'!$B$23:$B$12292,$B200,'Besi Balok'!$F$23:$F$12292,'REKAP Balok'!T$12)</f>
        <v>0</v>
      </c>
      <c r="U200">
        <f>SUM(L200:T200)</f>
        <v>45.56068164</v>
      </c>
      <c r="V200">
        <f>(D200*(F200-H200)*G200*K200)/1000000000</f>
        <v>0.192</v>
      </c>
      <c r="W200">
        <f>(((F200-H200)*2+D200)*(G200)*K200)/1000000</f>
        <v>2.52</v>
      </c>
      <c r="AC200">
        <f>(D200+2*$F$5)*F200*G200/1000000000</f>
        <v>0.54</v>
      </c>
    </row>
    <row r="201">
      <c r="A201" t="str">
        <f>'Data Panjang Balok'!A198</f>
        <v>Lantai 1</v>
      </c>
      <c r="B201" t="str">
        <f>'Data Panjang Balok'!B198</f>
        <v>89A</v>
      </c>
      <c r="C201" t="str">
        <f>'Data Panjang Balok'!D198</f>
        <v>B245-6</v>
      </c>
      <c r="D201">
        <f>IF(C201&gt;0,VLOOKUP(C201,'Detail Balok'!$C$11:$AU$110,2,FALSE),0)</f>
        <v>200</v>
      </c>
      <c r="E201" t="str">
        <v>x</v>
      </c>
      <c r="F201">
        <f>IF(C201&gt;0,VLOOKUP(C201,'Detail Balok'!$C$11:$AU$110,3,FALSE),0)</f>
        <v>450</v>
      </c>
      <c r="G201">
        <f>'Data Panjang Balok'!I198</f>
        <v>3135</v>
      </c>
      <c r="H201">
        <f>'Data Panjang Balok'!J198</f>
        <v>0</v>
      </c>
      <c r="J201">
        <f>I201-F201/1000</f>
        <v>-0.45</v>
      </c>
      <c r="K201">
        <f>'Data Panjang Balok'!E198</f>
        <v>1</v>
      </c>
      <c r="L201">
        <f>SUMIFS('Besi Balok'!$AA$23:$AA$12292,'Besi Balok'!$A$23:$A$12292,$A201,'Besi Balok'!$B$23:$B$12292,$B201,'Besi Balok'!$F$23:$F$12292,'REKAP Balok'!L$12)</f>
        <v>0</v>
      </c>
      <c r="M201">
        <f>SUMIFS('Besi Balok'!$AA$23:$AA$12292,'Besi Balok'!$A$23:$A$12292,$A201,'Besi Balok'!$B$23:$B$12292,$B201,'Besi Balok'!$F$23:$F$12292,'REKAP Balok'!M$12)</f>
        <v>17.338544640000002</v>
      </c>
      <c r="N201">
        <f>SUMIFS('Besi Balok'!$AA$23:$AA$12292,'Besi Balok'!$A$23:$A$12292,$A201,'Besi Balok'!$B$23:$B$12292,$B201,'Besi Balok'!$F$23:$F$12292,'REKAP Balok'!N$12)</f>
        <v>0</v>
      </c>
      <c r="O201">
        <f>SUMIFS('Besi Balok'!$AA$23:$AA$12292,'Besi Balok'!$A$23:$A$12292,$A201,'Besi Balok'!$B$23:$B$12292,$B201,'Besi Balok'!$F$23:$F$12292,'REKAP Balok'!O$12)</f>
        <v>0</v>
      </c>
      <c r="P201">
        <f>SUMIFS('Besi Balok'!$AA$23:$AA$12292,'Besi Balok'!$A$23:$A$12292,$A201,'Besi Balok'!$B$23:$B$12292,$B201,'Besi Balok'!$F$23:$F$12292,'REKAP Balok'!P$12)</f>
        <v>35.44411391999999</v>
      </c>
      <c r="Q201">
        <f>SUMIFS('Besi Balok'!$AA$23:$AA$12292,'Besi Balok'!$A$23:$A$12292,$A201,'Besi Balok'!$B$23:$B$12292,$B201,'Besi Balok'!$F$23:$F$12292,'REKAP Balok'!Q$12)</f>
        <v>0</v>
      </c>
      <c r="R201">
        <f>SUMIFS('Besi Balok'!$AA$23:$AA$12292,'Besi Balok'!$A$23:$A$12292,$A201,'Besi Balok'!$B$23:$B$12292,$B201,'Besi Balok'!$F$23:$F$12292,'REKAP Balok'!R$12)</f>
        <v>0</v>
      </c>
      <c r="S201">
        <f>SUMIFS('Besi Balok'!$AA$23:$AA$12292,'Besi Balok'!$A$23:$A$12292,$A201,'Besi Balok'!$B$23:$B$12292,$B201,'Besi Balok'!$F$23:$F$12292,'REKAP Balok'!S$12)</f>
        <v>0</v>
      </c>
      <c r="T201">
        <f>SUMIFS('Besi Balok'!$AA$23:$AA$12292,'Besi Balok'!$A$23:$A$12292,$A201,'Besi Balok'!$B$23:$B$12292,$B201,'Besi Balok'!$F$23:$F$12292,'REKAP Balok'!T$12)</f>
        <v>0</v>
      </c>
      <c r="U201">
        <f>SUM(L201:T201)</f>
        <v>52.782658559999994</v>
      </c>
      <c r="V201">
        <f>(D201*(F201-H201)*G201*K201)/1000000000</f>
        <v>0.28215</v>
      </c>
      <c r="W201">
        <f>(((F201-H201)*2+D201)*(G201)*K201)/1000000</f>
        <v>3.4485</v>
      </c>
      <c r="AC201">
        <f>(D201+2*$F$5)*F201*G201/1000000000</f>
        <v>0.5643</v>
      </c>
    </row>
    <row r="202">
      <c r="A202" t="str">
        <f>'Data Panjang Balok'!A199</f>
        <v>Lantai 1</v>
      </c>
      <c r="B202">
        <f>'Data Panjang Balok'!B199</f>
        <v>90</v>
      </c>
      <c r="C202" t="str">
        <f>'Data Panjang Balok'!D199</f>
        <v>B24-1</v>
      </c>
      <c r="D202">
        <f>IF(C202&gt;0,VLOOKUP(C202,'Detail Balok'!$C$11:$AU$110,2,FALSE),0)</f>
        <v>200</v>
      </c>
      <c r="E202" t="str">
        <v>x</v>
      </c>
      <c r="F202">
        <f>IF(C202&gt;0,VLOOKUP(C202,'Detail Balok'!$C$11:$AU$110,3,FALSE),0)</f>
        <v>400</v>
      </c>
      <c r="G202">
        <f>'Data Panjang Balok'!I199</f>
        <v>4850</v>
      </c>
      <c r="H202">
        <f>'Data Panjang Balok'!J199</f>
        <v>130</v>
      </c>
      <c r="J202">
        <f>I202-F202/1000</f>
        <v>-0.4</v>
      </c>
      <c r="K202">
        <f>'Data Panjang Balok'!E199</f>
        <v>1</v>
      </c>
      <c r="L202">
        <f>SUMIFS('Besi Balok'!$AA$23:$AA$12292,'Besi Balok'!$A$23:$A$12292,$A202,'Besi Balok'!$B$23:$B$12292,$B202,'Besi Balok'!$F$23:$F$12292,'REKAP Balok'!L$12)</f>
        <v>0</v>
      </c>
      <c r="M202">
        <f>SUMIFS('Besi Balok'!$AA$23:$AA$12292,'Besi Balok'!$A$23:$A$12292,$A202,'Besi Balok'!$B$23:$B$12292,$B202,'Besi Balok'!$F$23:$F$12292,'REKAP Balok'!M$12)</f>
        <v>15.443078400000001</v>
      </c>
      <c r="N202">
        <f>SUMIFS('Besi Balok'!$AA$23:$AA$12292,'Besi Balok'!$A$23:$A$12292,$A202,'Besi Balok'!$B$23:$B$12292,$B202,'Besi Balok'!$F$23:$F$12292,'REKAP Balok'!N$12)</f>
        <v>0</v>
      </c>
      <c r="O202">
        <f>SUMIFS('Besi Balok'!$AA$23:$AA$12292,'Besi Balok'!$A$23:$A$12292,$A202,'Besi Balok'!$B$23:$B$12292,$B202,'Besi Balok'!$F$23:$F$12292,'REKAP Balok'!O$12)</f>
        <v>21.51284148</v>
      </c>
      <c r="P202">
        <f>SUMIFS('Besi Balok'!$AA$23:$AA$12292,'Besi Balok'!$A$23:$A$12292,$A202,'Besi Balok'!$B$23:$B$12292,$B202,'Besi Balok'!$F$23:$F$12292,'REKAP Balok'!P$12)</f>
        <v>0</v>
      </c>
      <c r="Q202">
        <f>SUMIFS('Besi Balok'!$AA$23:$AA$12292,'Besi Balok'!$A$23:$A$12292,$A202,'Besi Balok'!$B$23:$B$12292,$B202,'Besi Balok'!$F$23:$F$12292,'REKAP Balok'!Q$12)</f>
        <v>0</v>
      </c>
      <c r="R202">
        <f>SUMIFS('Besi Balok'!$AA$23:$AA$12292,'Besi Balok'!$A$23:$A$12292,$A202,'Besi Balok'!$B$23:$B$12292,$B202,'Besi Balok'!$F$23:$F$12292,'REKAP Balok'!R$12)</f>
        <v>0</v>
      </c>
      <c r="S202">
        <f>SUMIFS('Besi Balok'!$AA$23:$AA$12292,'Besi Balok'!$A$23:$A$12292,$A202,'Besi Balok'!$B$23:$B$12292,$B202,'Besi Balok'!$F$23:$F$12292,'REKAP Balok'!S$12)</f>
        <v>0</v>
      </c>
      <c r="T202">
        <f>SUMIFS('Besi Balok'!$AA$23:$AA$12292,'Besi Balok'!$A$23:$A$12292,$A202,'Besi Balok'!$B$23:$B$12292,$B202,'Besi Balok'!$F$23:$F$12292,'REKAP Balok'!T$12)</f>
        <v>0</v>
      </c>
      <c r="U202">
        <f>SUM(L202:T202)</f>
        <v>36.955919879999996</v>
      </c>
      <c r="V202">
        <f>(D202*(F202-H202)*G202*K202)/1000000000</f>
        <v>0.2619</v>
      </c>
      <c r="W202">
        <f>(((F202-H202)*2+D202)*(G202)*K202)/1000000</f>
        <v>3.589</v>
      </c>
      <c r="AC202">
        <f>(D202+2*$F$5)*F202*G202/1000000000</f>
        <v>0.776</v>
      </c>
    </row>
    <row r="203">
      <c r="A203" t="str">
        <f>'Data Panjang Balok'!A200</f>
        <v>Lantai 1</v>
      </c>
      <c r="B203">
        <f>'Data Panjang Balok'!B200</f>
        <v>91</v>
      </c>
      <c r="C203" t="str">
        <f>'Data Panjang Balok'!D200</f>
        <v>B245-1</v>
      </c>
      <c r="D203">
        <f>IF(C203&gt;0,VLOOKUP(C203,'Detail Balok'!$C$11:$AU$110,2,FALSE),0)</f>
        <v>200</v>
      </c>
      <c r="E203" t="str">
        <v>x</v>
      </c>
      <c r="F203">
        <f>IF(C203&gt;0,VLOOKUP(C203,'Detail Balok'!$C$11:$AU$110,3,FALSE),0)</f>
        <v>450</v>
      </c>
      <c r="G203">
        <f>'Data Panjang Balok'!I200</f>
        <v>3400</v>
      </c>
      <c r="H203">
        <f>'Data Panjang Balok'!J200</f>
        <v>130</v>
      </c>
      <c r="J203">
        <f>I203-F203/1000</f>
        <v>-0.45</v>
      </c>
      <c r="K203">
        <f>'Data Panjang Balok'!E200</f>
        <v>1</v>
      </c>
      <c r="L203">
        <f>SUMIFS('Besi Balok'!$AA$23:$AA$12292,'Besi Balok'!$A$23:$A$12292,$A203,'Besi Balok'!$B$23:$B$12292,$B203,'Besi Balok'!$F$23:$F$12292,'REKAP Balok'!L$12)</f>
        <v>0</v>
      </c>
      <c r="M203">
        <f>SUMIFS('Besi Balok'!$AA$23:$AA$12292,'Besi Balok'!$A$23:$A$12292,$A203,'Besi Balok'!$B$23:$B$12292,$B203,'Besi Balok'!$F$23:$F$12292,'REKAP Balok'!M$12)</f>
        <v>15.318397440000002</v>
      </c>
      <c r="N203">
        <f>SUMIFS('Besi Balok'!$AA$23:$AA$12292,'Besi Balok'!$A$23:$A$12292,$A203,'Besi Balok'!$B$23:$B$12292,$B203,'Besi Balok'!$F$23:$F$12292,'REKAP Balok'!N$12)</f>
        <v>0</v>
      </c>
      <c r="O203">
        <f>SUMIFS('Besi Balok'!$AA$23:$AA$12292,'Besi Balok'!$A$23:$A$12292,$A203,'Besi Balok'!$B$23:$B$12292,$B203,'Besi Balok'!$F$23:$F$12292,'REKAP Balok'!O$12)</f>
        <v>15.469908479999999</v>
      </c>
      <c r="P203">
        <f>SUMIFS('Besi Balok'!$AA$23:$AA$12292,'Besi Balok'!$A$23:$A$12292,$A203,'Besi Balok'!$B$23:$B$12292,$B203,'Besi Balok'!$F$23:$F$12292,'REKAP Balok'!P$12)</f>
        <v>0</v>
      </c>
      <c r="Q203">
        <f>SUMIFS('Besi Balok'!$AA$23:$AA$12292,'Besi Balok'!$A$23:$A$12292,$A203,'Besi Balok'!$B$23:$B$12292,$B203,'Besi Balok'!$F$23:$F$12292,'REKAP Balok'!Q$12)</f>
        <v>0</v>
      </c>
      <c r="R203">
        <f>SUMIFS('Besi Balok'!$AA$23:$AA$12292,'Besi Balok'!$A$23:$A$12292,$A203,'Besi Balok'!$B$23:$B$12292,$B203,'Besi Balok'!$F$23:$F$12292,'REKAP Balok'!R$12)</f>
        <v>0</v>
      </c>
      <c r="S203">
        <f>SUMIFS('Besi Balok'!$AA$23:$AA$12292,'Besi Balok'!$A$23:$A$12292,$A203,'Besi Balok'!$B$23:$B$12292,$B203,'Besi Balok'!$F$23:$F$12292,'REKAP Balok'!S$12)</f>
        <v>0</v>
      </c>
      <c r="T203">
        <f>SUMIFS('Besi Balok'!$AA$23:$AA$12292,'Besi Balok'!$A$23:$A$12292,$A203,'Besi Balok'!$B$23:$B$12292,$B203,'Besi Balok'!$F$23:$F$12292,'REKAP Balok'!T$12)</f>
        <v>0</v>
      </c>
      <c r="U203">
        <f>SUM(L203:T203)</f>
        <v>30.78830592</v>
      </c>
      <c r="V203">
        <f>(D203*(F203-H203)*G203*K203)/1000000000</f>
        <v>0.2176</v>
      </c>
      <c r="W203">
        <f>(((F203-H203)*2+D203)*(G203)*K203)/1000000</f>
        <v>2.856</v>
      </c>
      <c r="AC203">
        <f>(D203+2*$F$5)*F203*G203/1000000000</f>
        <v>0.612</v>
      </c>
    </row>
    <row r="204">
      <c r="A204" t="str">
        <f>'Data Panjang Balok'!A201</f>
        <v>Lantai 1</v>
      </c>
      <c r="B204">
        <f>'Data Panjang Balok'!B201</f>
        <v>92</v>
      </c>
      <c r="C204" t="str">
        <f>'Data Panjang Balok'!D201</f>
        <v>B57-1</v>
      </c>
      <c r="D204">
        <f>IF(C204&gt;0,VLOOKUP(C204,'Detail Balok'!$C$11:$AU$110,2,FALSE),0)</f>
        <v>500</v>
      </c>
      <c r="E204" t="str">
        <v>x</v>
      </c>
      <c r="F204">
        <f>IF(C204&gt;0,VLOOKUP(C204,'Detail Balok'!$C$11:$AU$110,3,FALSE),0)</f>
        <v>700</v>
      </c>
      <c r="G204">
        <f>'Data Panjang Balok'!I201</f>
        <v>3450</v>
      </c>
      <c r="H204">
        <f>'Data Panjang Balok'!J201</f>
        <v>130</v>
      </c>
      <c r="J204">
        <f>I204-F204/1000</f>
        <v>-0.7</v>
      </c>
      <c r="K204">
        <f>'Data Panjang Balok'!E201</f>
        <v>1</v>
      </c>
      <c r="L204">
        <f>SUMIFS('Besi Balok'!$AA$23:$AA$12292,'Besi Balok'!$A$23:$A$12292,$A204,'Besi Balok'!$B$23:$B$12292,$B204,'Besi Balok'!$F$23:$F$12292,'REKAP Balok'!L$12)</f>
        <v>0</v>
      </c>
      <c r="M204">
        <f>SUMIFS('Besi Balok'!$AA$23:$AA$12292,'Besi Balok'!$A$23:$A$12292,$A204,'Besi Balok'!$B$23:$B$12292,$B204,'Besi Balok'!$F$23:$F$12292,'REKAP Balok'!M$12)</f>
        <v>0</v>
      </c>
      <c r="N204">
        <f>SUMIFS('Besi Balok'!$AA$23:$AA$12292,'Besi Balok'!$A$23:$A$12292,$A204,'Besi Balok'!$B$23:$B$12292,$B204,'Besi Balok'!$F$23:$F$12292,'REKAP Balok'!N$12)</f>
        <v>0</v>
      </c>
      <c r="O204">
        <f>SUMIFS('Besi Balok'!$AA$23:$AA$12292,'Besi Balok'!$A$23:$A$12292,$A204,'Besi Balok'!$B$23:$B$12292,$B204,'Besi Balok'!$F$23:$F$12292,'REKAP Balok'!O$12)</f>
        <v>142.68406698</v>
      </c>
      <c r="P204">
        <f>SUMIFS('Besi Balok'!$AA$23:$AA$12292,'Besi Balok'!$A$23:$A$12292,$A204,'Besi Balok'!$B$23:$B$12292,$B204,'Besi Balok'!$F$23:$F$12292,'REKAP Balok'!P$12)</f>
        <v>0</v>
      </c>
      <c r="Q204">
        <f>SUMIFS('Besi Balok'!$AA$23:$AA$12292,'Besi Balok'!$A$23:$A$12292,$A204,'Besi Balok'!$B$23:$B$12292,$B204,'Besi Balok'!$F$23:$F$12292,'REKAP Balok'!Q$12)</f>
        <v>0</v>
      </c>
      <c r="R204">
        <f>SUMIFS('Besi Balok'!$AA$23:$AA$12292,'Besi Balok'!$A$23:$A$12292,$A204,'Besi Balok'!$B$23:$B$12292,$B204,'Besi Balok'!$F$23:$F$12292,'REKAP Balok'!R$12)</f>
        <v>154.72806029999998</v>
      </c>
      <c r="S204">
        <f>SUMIFS('Besi Balok'!$AA$23:$AA$12292,'Besi Balok'!$A$23:$A$12292,$A204,'Besi Balok'!$B$23:$B$12292,$B204,'Besi Balok'!$F$23:$F$12292,'REKAP Balok'!S$12)</f>
        <v>0</v>
      </c>
      <c r="T204">
        <f>SUMIFS('Besi Balok'!$AA$23:$AA$12292,'Besi Balok'!$A$23:$A$12292,$A204,'Besi Balok'!$B$23:$B$12292,$B204,'Besi Balok'!$F$23:$F$12292,'REKAP Balok'!T$12)</f>
        <v>0</v>
      </c>
      <c r="U204">
        <f>SUM(L204:T204)</f>
        <v>297.41212728</v>
      </c>
      <c r="V204">
        <f>(D204*(F204-H204)*G204*K204)/1000000000</f>
        <v>0.98325</v>
      </c>
      <c r="W204">
        <f>(((F204-H204)*2+D204)*(G204)*K204)/1000000</f>
        <v>5.658</v>
      </c>
      <c r="AC204">
        <f>(D204+2*$F$5)*F204*G204/1000000000</f>
        <v>1.6905</v>
      </c>
    </row>
    <row r="205">
      <c r="A205" t="str">
        <f>'Data Panjang Balok'!A202</f>
        <v>Lantai 1</v>
      </c>
      <c r="B205">
        <f>'Data Panjang Balok'!B202</f>
        <v>93</v>
      </c>
      <c r="C205" t="str">
        <f>'Data Panjang Balok'!D202</f>
        <v>B57-1</v>
      </c>
      <c r="D205">
        <f>IF(C205&gt;0,VLOOKUP(C205,'Detail Balok'!$C$11:$AU$110,2,FALSE),0)</f>
        <v>500</v>
      </c>
      <c r="E205" t="str">
        <v>x</v>
      </c>
      <c r="F205">
        <f>IF(C205&gt;0,VLOOKUP(C205,'Detail Balok'!$C$11:$AU$110,3,FALSE),0)</f>
        <v>700</v>
      </c>
      <c r="G205">
        <f>'Data Panjang Balok'!I202</f>
        <v>4715</v>
      </c>
      <c r="H205">
        <f>'Data Panjang Balok'!J202</f>
        <v>130</v>
      </c>
      <c r="J205">
        <f>I205-F205/1000</f>
        <v>-0.7</v>
      </c>
      <c r="K205">
        <f>'Data Panjang Balok'!E202</f>
        <v>1</v>
      </c>
      <c r="L205">
        <f>SUMIFS('Besi Balok'!$AA$23:$AA$12292,'Besi Balok'!$A$23:$A$12292,$A205,'Besi Balok'!$B$23:$B$12292,$B205,'Besi Balok'!$F$23:$F$12292,'REKAP Balok'!L$12)</f>
        <v>0</v>
      </c>
      <c r="M205">
        <f>SUMIFS('Besi Balok'!$AA$23:$AA$12292,'Besi Balok'!$A$23:$A$12292,$A205,'Besi Balok'!$B$23:$B$12292,$B205,'Besi Balok'!$F$23:$F$12292,'REKAP Balok'!M$12)</f>
        <v>0</v>
      </c>
      <c r="N205">
        <f>SUMIFS('Besi Balok'!$AA$23:$AA$12292,'Besi Balok'!$A$23:$A$12292,$A205,'Besi Balok'!$B$23:$B$12292,$B205,'Besi Balok'!$F$23:$F$12292,'REKAP Balok'!N$12)</f>
        <v>0</v>
      </c>
      <c r="O205">
        <f>SUMIFS('Besi Balok'!$AA$23:$AA$12292,'Besi Balok'!$A$23:$A$12292,$A205,'Besi Balok'!$B$23:$B$12292,$B205,'Besi Balok'!$F$23:$F$12292,'REKAP Balok'!O$12)</f>
        <v>166.28692977</v>
      </c>
      <c r="P205">
        <f>SUMIFS('Besi Balok'!$AA$23:$AA$12292,'Besi Balok'!$A$23:$A$12292,$A205,'Besi Balok'!$B$23:$B$12292,$B205,'Besi Balok'!$F$23:$F$12292,'REKAP Balok'!P$12)</f>
        <v>0</v>
      </c>
      <c r="Q205">
        <f>SUMIFS('Besi Balok'!$AA$23:$AA$12292,'Besi Balok'!$A$23:$A$12292,$A205,'Besi Balok'!$B$23:$B$12292,$B205,'Besi Balok'!$F$23:$F$12292,'REKAP Balok'!Q$12)</f>
        <v>0</v>
      </c>
      <c r="R205">
        <f>SUMIFS('Besi Balok'!$AA$23:$AA$12292,'Besi Balok'!$A$23:$A$12292,$A205,'Besi Balok'!$B$23:$B$12292,$B205,'Besi Balok'!$F$23:$F$12292,'REKAP Balok'!R$12)</f>
        <v>205.68492945000003</v>
      </c>
      <c r="S205">
        <f>SUMIFS('Besi Balok'!$AA$23:$AA$12292,'Besi Balok'!$A$23:$A$12292,$A205,'Besi Balok'!$B$23:$B$12292,$B205,'Besi Balok'!$F$23:$F$12292,'REKAP Balok'!S$12)</f>
        <v>0</v>
      </c>
      <c r="T205">
        <f>SUMIFS('Besi Balok'!$AA$23:$AA$12292,'Besi Balok'!$A$23:$A$12292,$A205,'Besi Balok'!$B$23:$B$12292,$B205,'Besi Balok'!$F$23:$F$12292,'REKAP Balok'!T$12)</f>
        <v>0</v>
      </c>
      <c r="U205">
        <f>SUM(L205:T205)</f>
        <v>371.97185922000006</v>
      </c>
      <c r="V205">
        <f>(D205*(F205-H205)*G205*K205)/1000000000</f>
        <v>1.343775</v>
      </c>
      <c r="W205">
        <f>(((F205-H205)*2+D205)*(G205)*K205)/1000000</f>
        <v>7.7326</v>
      </c>
      <c r="AC205">
        <f>(D205+2*$F$5)*F205*G205/1000000000</f>
        <v>2.31035</v>
      </c>
    </row>
    <row r="206">
      <c r="A206" t="str">
        <f>'Data Panjang Balok'!A203</f>
        <v>Lantai 1</v>
      </c>
      <c r="B206">
        <f>'Data Panjang Balok'!B203</f>
        <v>94</v>
      </c>
      <c r="C206" t="str">
        <f>'Data Panjang Balok'!D203</f>
        <v>B57-1</v>
      </c>
      <c r="D206">
        <f>IF(C206&gt;0,VLOOKUP(C206,'Detail Balok'!$C$11:$AU$110,2,FALSE),0)</f>
        <v>500</v>
      </c>
      <c r="E206" t="str">
        <v>x</v>
      </c>
      <c r="F206">
        <f>IF(C206&gt;0,VLOOKUP(C206,'Detail Balok'!$C$11:$AU$110,3,FALSE),0)</f>
        <v>700</v>
      </c>
      <c r="G206">
        <f>'Data Panjang Balok'!I203</f>
        <v>5500</v>
      </c>
      <c r="H206">
        <f>'Data Panjang Balok'!J203</f>
        <v>130</v>
      </c>
      <c r="J206">
        <f>I206-F206/1000</f>
        <v>-0.7</v>
      </c>
      <c r="K206">
        <f>'Data Panjang Balok'!E203</f>
        <v>1</v>
      </c>
      <c r="L206">
        <f>SUMIFS('Besi Balok'!$AA$23:$AA$12292,'Besi Balok'!$A$23:$A$12292,$A206,'Besi Balok'!$B$23:$B$12292,$B206,'Besi Balok'!$F$23:$F$12292,'REKAP Balok'!L$12)</f>
        <v>0</v>
      </c>
      <c r="M206">
        <f>SUMIFS('Besi Balok'!$AA$23:$AA$12292,'Besi Balok'!$A$23:$A$12292,$A206,'Besi Balok'!$B$23:$B$12292,$B206,'Besi Balok'!$F$23:$F$12292,'REKAP Balok'!M$12)</f>
        <v>0</v>
      </c>
      <c r="N206">
        <f>SUMIFS('Besi Balok'!$AA$23:$AA$12292,'Besi Balok'!$A$23:$A$12292,$A206,'Besi Balok'!$B$23:$B$12292,$B206,'Besi Balok'!$F$23:$F$12292,'REKAP Balok'!N$12)</f>
        <v>0</v>
      </c>
      <c r="O206">
        <f>SUMIFS('Besi Balok'!$AA$23:$AA$12292,'Besi Balok'!$A$23:$A$12292,$A206,'Besi Balok'!$B$23:$B$12292,$B206,'Besi Balok'!$F$23:$F$12292,'REKAP Balok'!O$12)</f>
        <v>179.57096352</v>
      </c>
      <c r="P206">
        <f>SUMIFS('Besi Balok'!$AA$23:$AA$12292,'Besi Balok'!$A$23:$A$12292,$A206,'Besi Balok'!$B$23:$B$12292,$B206,'Besi Balok'!$F$23:$F$12292,'REKAP Balok'!P$12)</f>
        <v>0</v>
      </c>
      <c r="Q206">
        <f>SUMIFS('Besi Balok'!$AA$23:$AA$12292,'Besi Balok'!$A$23:$A$12292,$A206,'Besi Balok'!$B$23:$B$12292,$B206,'Besi Balok'!$F$23:$F$12292,'REKAP Balok'!Q$12)</f>
        <v>0</v>
      </c>
      <c r="R206">
        <f>SUMIFS('Besi Balok'!$AA$23:$AA$12292,'Besi Balok'!$A$23:$A$12292,$A206,'Besi Balok'!$B$23:$B$12292,$B206,'Besi Balok'!$F$23:$F$12292,'REKAP Balok'!R$12)</f>
        <v>237.3063858</v>
      </c>
      <c r="S206">
        <f>SUMIFS('Besi Balok'!$AA$23:$AA$12292,'Besi Balok'!$A$23:$A$12292,$A206,'Besi Balok'!$B$23:$B$12292,$B206,'Besi Balok'!$F$23:$F$12292,'REKAP Balok'!S$12)</f>
        <v>0</v>
      </c>
      <c r="T206">
        <f>SUMIFS('Besi Balok'!$AA$23:$AA$12292,'Besi Balok'!$A$23:$A$12292,$A206,'Besi Balok'!$B$23:$B$12292,$B206,'Besi Balok'!$F$23:$F$12292,'REKAP Balok'!T$12)</f>
        <v>0</v>
      </c>
      <c r="U206">
        <f>SUM(L206:T206)</f>
        <v>416.87734932</v>
      </c>
      <c r="V206">
        <f>(D206*(F206-H206)*G206*K206)/1000000000</f>
        <v>1.5675</v>
      </c>
      <c r="W206">
        <f>(((F206-H206)*2+D206)*(G206)*K206)/1000000</f>
        <v>9.02</v>
      </c>
      <c r="AC206">
        <f>(D206+2*$F$5)*F206*G206/1000000000</f>
        <v>2.695</v>
      </c>
    </row>
    <row r="207">
      <c r="A207" t="str">
        <f>'Data Panjang Balok'!A204</f>
        <v>Lantai 1</v>
      </c>
      <c r="B207">
        <f>'Data Panjang Balok'!B204</f>
        <v>95</v>
      </c>
      <c r="C207" t="str">
        <f>'Data Panjang Balok'!D204</f>
        <v>B174-1</v>
      </c>
      <c r="D207">
        <f>IF(C207&gt;0,VLOOKUP(C207,'Detail Balok'!$C$11:$AU$110,2,FALSE),0)</f>
        <v>170</v>
      </c>
      <c r="E207" t="str">
        <v>x</v>
      </c>
      <c r="F207">
        <f>IF(C207&gt;0,VLOOKUP(C207,'Detail Balok'!$C$11:$AU$110,3,FALSE),0)</f>
        <v>400</v>
      </c>
      <c r="G207">
        <f>'Data Panjang Balok'!I204</f>
        <v>2685</v>
      </c>
      <c r="H207">
        <f>'Data Panjang Balok'!J204</f>
        <v>0</v>
      </c>
      <c r="J207">
        <f>I207-F207/1000</f>
        <v>-0.4</v>
      </c>
      <c r="K207">
        <f>'Data Panjang Balok'!E204</f>
        <v>1</v>
      </c>
      <c r="L207">
        <f>SUMIFS('Besi Balok'!$AA$23:$AA$12292,'Besi Balok'!$A$23:$A$12292,$A207,'Besi Balok'!$B$23:$B$12292,$B207,'Besi Balok'!$F$23:$F$12292,'REKAP Balok'!L$12)</f>
        <v>0</v>
      </c>
      <c r="M207">
        <f>SUMIFS('Besi Balok'!$AA$23:$AA$12292,'Besi Balok'!$A$23:$A$12292,$A207,'Besi Balok'!$B$23:$B$12292,$B207,'Besi Balok'!$F$23:$F$12292,'REKAP Balok'!M$12)</f>
        <v>0</v>
      </c>
      <c r="N207">
        <f>SUMIFS('Besi Balok'!$AA$23:$AA$12292,'Besi Balok'!$A$23:$A$12292,$A207,'Besi Balok'!$B$23:$B$12292,$B207,'Besi Balok'!$F$23:$F$12292,'REKAP Balok'!N$12)</f>
        <v>13.754115</v>
      </c>
      <c r="O207">
        <f>SUMIFS('Besi Balok'!$AA$23:$AA$12292,'Besi Balok'!$A$23:$A$12292,$A207,'Besi Balok'!$B$23:$B$12292,$B207,'Besi Balok'!$F$23:$F$12292,'REKAP Balok'!O$12)</f>
        <v>12.49011738</v>
      </c>
      <c r="P207">
        <f>SUMIFS('Besi Balok'!$AA$23:$AA$12292,'Besi Balok'!$A$23:$A$12292,$A207,'Besi Balok'!$B$23:$B$12292,$B207,'Besi Balok'!$F$23:$F$12292,'REKAP Balok'!P$12)</f>
        <v>0</v>
      </c>
      <c r="Q207">
        <f>SUMIFS('Besi Balok'!$AA$23:$AA$12292,'Besi Balok'!$A$23:$A$12292,$A207,'Besi Balok'!$B$23:$B$12292,$B207,'Besi Balok'!$F$23:$F$12292,'REKAP Balok'!Q$12)</f>
        <v>0</v>
      </c>
      <c r="R207">
        <f>SUMIFS('Besi Balok'!$AA$23:$AA$12292,'Besi Balok'!$A$23:$A$12292,$A207,'Besi Balok'!$B$23:$B$12292,$B207,'Besi Balok'!$F$23:$F$12292,'REKAP Balok'!R$12)</f>
        <v>0</v>
      </c>
      <c r="S207">
        <f>SUMIFS('Besi Balok'!$AA$23:$AA$12292,'Besi Balok'!$A$23:$A$12292,$A207,'Besi Balok'!$B$23:$B$12292,$B207,'Besi Balok'!$F$23:$F$12292,'REKAP Balok'!S$12)</f>
        <v>0</v>
      </c>
      <c r="T207">
        <f>SUMIFS('Besi Balok'!$AA$23:$AA$12292,'Besi Balok'!$A$23:$A$12292,$A207,'Besi Balok'!$B$23:$B$12292,$B207,'Besi Balok'!$F$23:$F$12292,'REKAP Balok'!T$12)</f>
        <v>0</v>
      </c>
      <c r="U207">
        <f>SUM(L207:T207)</f>
        <v>26.24423238</v>
      </c>
      <c r="V207">
        <f>(D207*(F207-H207)*G207*K207)/1000000000</f>
        <v>0.18258</v>
      </c>
      <c r="W207">
        <f>(((F207-H207)*2+D207)*(G207)*K207)/1000000</f>
        <v>2.60445</v>
      </c>
      <c r="AC207">
        <f>(D207+2*$F$5)*F207*G207/1000000000</f>
        <v>0.39738</v>
      </c>
    </row>
    <row r="208">
      <c r="A208" t="str">
        <f>'Data Panjang Balok'!A205</f>
        <v>Lantai 1</v>
      </c>
      <c r="B208">
        <f>'Data Panjang Balok'!B205</f>
        <v>96</v>
      </c>
      <c r="C208" t="str">
        <f>'Data Panjang Balok'!D205</f>
        <v>B176-1</v>
      </c>
      <c r="D208">
        <f>IF(C208&gt;0,VLOOKUP(C208,'Detail Balok'!$C$11:$AU$110,2,FALSE),0)</f>
        <v>170</v>
      </c>
      <c r="E208" t="str">
        <v>x</v>
      </c>
      <c r="F208">
        <f>IF(C208&gt;0,VLOOKUP(C208,'Detail Balok'!$C$11:$AU$110,3,FALSE),0)</f>
        <v>600</v>
      </c>
      <c r="G208">
        <f>'Data Panjang Balok'!I205</f>
        <v>4900</v>
      </c>
      <c r="H208">
        <f>'Data Panjang Balok'!J205</f>
        <v>130</v>
      </c>
      <c r="J208">
        <f>I208-F208/1000</f>
        <v>-0.6</v>
      </c>
      <c r="K208">
        <f>'Data Panjang Balok'!E205</f>
        <v>1</v>
      </c>
      <c r="L208">
        <f>SUMIFS('Besi Balok'!$AA$23:$AA$12292,'Besi Balok'!$A$23:$A$12292,$A208,'Besi Balok'!$B$23:$B$12292,$B208,'Besi Balok'!$F$23:$F$12292,'REKAP Balok'!L$12)</f>
        <v>0</v>
      </c>
      <c r="M208">
        <f>SUMIFS('Besi Balok'!$AA$23:$AA$12292,'Besi Balok'!$A$23:$A$12292,$A208,'Besi Balok'!$B$23:$B$12292,$B208,'Besi Balok'!$F$23:$F$12292,'REKAP Balok'!M$12)</f>
        <v>0</v>
      </c>
      <c r="N208">
        <f>SUMIFS('Besi Balok'!$AA$23:$AA$12292,'Besi Balok'!$A$23:$A$12292,$A208,'Besi Balok'!$B$23:$B$12292,$B208,'Besi Balok'!$F$23:$F$12292,'REKAP Balok'!N$12)</f>
        <v>38.43261</v>
      </c>
      <c r="O208">
        <f>SUMIFS('Besi Balok'!$AA$23:$AA$12292,'Besi Balok'!$A$23:$A$12292,$A208,'Besi Balok'!$B$23:$B$12292,$B208,'Besi Balok'!$F$23:$F$12292,'REKAP Balok'!O$12)</f>
        <v>32.58182772</v>
      </c>
      <c r="P208">
        <f>SUMIFS('Besi Balok'!$AA$23:$AA$12292,'Besi Balok'!$A$23:$A$12292,$A208,'Besi Balok'!$B$23:$B$12292,$B208,'Besi Balok'!$F$23:$F$12292,'REKAP Balok'!P$12)</f>
        <v>0</v>
      </c>
      <c r="Q208">
        <f>SUMIFS('Besi Balok'!$AA$23:$AA$12292,'Besi Balok'!$A$23:$A$12292,$A208,'Besi Balok'!$B$23:$B$12292,$B208,'Besi Balok'!$F$23:$F$12292,'REKAP Balok'!Q$12)</f>
        <v>0</v>
      </c>
      <c r="R208">
        <f>SUMIFS('Besi Balok'!$AA$23:$AA$12292,'Besi Balok'!$A$23:$A$12292,$A208,'Besi Balok'!$B$23:$B$12292,$B208,'Besi Balok'!$F$23:$F$12292,'REKAP Balok'!R$12)</f>
        <v>0</v>
      </c>
      <c r="S208">
        <f>SUMIFS('Besi Balok'!$AA$23:$AA$12292,'Besi Balok'!$A$23:$A$12292,$A208,'Besi Balok'!$B$23:$B$12292,$B208,'Besi Balok'!$F$23:$F$12292,'REKAP Balok'!S$12)</f>
        <v>0</v>
      </c>
      <c r="T208">
        <f>SUMIFS('Besi Balok'!$AA$23:$AA$12292,'Besi Balok'!$A$23:$A$12292,$A208,'Besi Balok'!$B$23:$B$12292,$B208,'Besi Balok'!$F$23:$F$12292,'REKAP Balok'!T$12)</f>
        <v>0</v>
      </c>
      <c r="U208">
        <f>SUM(L208:T208)</f>
        <v>71.01443771999999</v>
      </c>
      <c r="V208">
        <f>(D208*(F208-H208)*G208*K208)/1000000000</f>
        <v>0.39151</v>
      </c>
      <c r="W208">
        <f>(((F208-H208)*2+D208)*(G208)*K208)/1000000</f>
        <v>5.439</v>
      </c>
      <c r="AC208">
        <f>(D208+2*$F$5)*F208*G208/1000000000</f>
        <v>1.0878</v>
      </c>
    </row>
    <row r="209">
      <c r="A209" t="str">
        <f>'Data Panjang Balok'!A206</f>
        <v>Lantai 1</v>
      </c>
      <c r="B209">
        <f>'Data Panjang Balok'!B206</f>
        <v>97</v>
      </c>
      <c r="C209" t="str">
        <f>'Data Panjang Balok'!D206</f>
        <v>B174-1</v>
      </c>
      <c r="D209">
        <f>IF(C209&gt;0,VLOOKUP(C209,'Detail Balok'!$C$11:$AU$110,2,FALSE),0)</f>
        <v>170</v>
      </c>
      <c r="E209" t="str">
        <v>x</v>
      </c>
      <c r="F209">
        <f>IF(C209&gt;0,VLOOKUP(C209,'Detail Balok'!$C$11:$AU$110,3,FALSE),0)</f>
        <v>400</v>
      </c>
      <c r="G209">
        <f>'Data Panjang Balok'!I206</f>
        <v>3185</v>
      </c>
      <c r="H209">
        <f>'Data Panjang Balok'!J206</f>
        <v>0</v>
      </c>
      <c r="J209">
        <f>I209-F209/1000</f>
        <v>-0.4</v>
      </c>
      <c r="K209">
        <f>'Data Panjang Balok'!E206</f>
        <v>1</v>
      </c>
      <c r="L209">
        <f>SUMIFS('Besi Balok'!$AA$23:$AA$12292,'Besi Balok'!$A$23:$A$12292,$A209,'Besi Balok'!$B$23:$B$12292,$B209,'Besi Balok'!$F$23:$F$12292,'REKAP Balok'!L$12)</f>
        <v>0</v>
      </c>
      <c r="M209">
        <f>SUMIFS('Besi Balok'!$AA$23:$AA$12292,'Besi Balok'!$A$23:$A$12292,$A209,'Besi Balok'!$B$23:$B$12292,$B209,'Besi Balok'!$F$23:$F$12292,'REKAP Balok'!M$12)</f>
        <v>0</v>
      </c>
      <c r="N209">
        <f>SUMIFS('Besi Balok'!$AA$23:$AA$12292,'Besi Balok'!$A$23:$A$12292,$A209,'Besi Balok'!$B$23:$B$12292,$B209,'Besi Balok'!$F$23:$F$12292,'REKAP Balok'!N$12)</f>
        <v>15.548129999999999</v>
      </c>
      <c r="O209">
        <f>SUMIFS('Besi Balok'!$AA$23:$AA$12292,'Besi Balok'!$A$23:$A$12292,$A209,'Besi Balok'!$B$23:$B$12292,$B209,'Besi Balok'!$F$23:$F$12292,'REKAP Balok'!O$12)</f>
        <v>14.573887379999999</v>
      </c>
      <c r="P209">
        <f>SUMIFS('Besi Balok'!$AA$23:$AA$12292,'Besi Balok'!$A$23:$A$12292,$A209,'Besi Balok'!$B$23:$B$12292,$B209,'Besi Balok'!$F$23:$F$12292,'REKAP Balok'!P$12)</f>
        <v>0</v>
      </c>
      <c r="Q209">
        <f>SUMIFS('Besi Balok'!$AA$23:$AA$12292,'Besi Balok'!$A$23:$A$12292,$A209,'Besi Balok'!$B$23:$B$12292,$B209,'Besi Balok'!$F$23:$F$12292,'REKAP Balok'!Q$12)</f>
        <v>0</v>
      </c>
      <c r="R209">
        <f>SUMIFS('Besi Balok'!$AA$23:$AA$12292,'Besi Balok'!$A$23:$A$12292,$A209,'Besi Balok'!$B$23:$B$12292,$B209,'Besi Balok'!$F$23:$F$12292,'REKAP Balok'!R$12)</f>
        <v>0</v>
      </c>
      <c r="S209">
        <f>SUMIFS('Besi Balok'!$AA$23:$AA$12292,'Besi Balok'!$A$23:$A$12292,$A209,'Besi Balok'!$B$23:$B$12292,$B209,'Besi Balok'!$F$23:$F$12292,'REKAP Balok'!S$12)</f>
        <v>0</v>
      </c>
      <c r="T209">
        <f>SUMIFS('Besi Balok'!$AA$23:$AA$12292,'Besi Balok'!$A$23:$A$12292,$A209,'Besi Balok'!$B$23:$B$12292,$B209,'Besi Balok'!$F$23:$F$12292,'REKAP Balok'!T$12)</f>
        <v>0</v>
      </c>
      <c r="U209">
        <f>SUM(L209:T209)</f>
        <v>30.122017379999996</v>
      </c>
      <c r="V209">
        <f>(D209*(F209-H209)*G209*K209)/1000000000</f>
        <v>0.21658</v>
      </c>
      <c r="W209">
        <f>(((F209-H209)*2+D209)*(G209)*K209)/1000000</f>
        <v>3.08945</v>
      </c>
      <c r="AC209">
        <f>(D209+2*$F$5)*F209*G209/1000000000</f>
        <v>0.47138</v>
      </c>
    </row>
    <row r="211">
      <c r="A211" t="str">
        <f>'Data Panjang Balok'!A208</f>
        <v>Lantai 2</v>
      </c>
      <c r="B211">
        <f>'Data Panjang Balok'!B208</f>
        <v>1</v>
      </c>
      <c r="C211" t="str">
        <f>'Data Panjang Balok'!D208</f>
        <v>B26-6</v>
      </c>
      <c r="D211">
        <f>IF(C211&gt;0,VLOOKUP(C211,'Detail Balok'!$C$11:$AU$110,2,FALSE),0)</f>
        <v>200</v>
      </c>
      <c r="E211" t="str">
        <v>x</v>
      </c>
      <c r="F211">
        <f>IF(C211&gt;0,VLOOKUP(C211,'Detail Balok'!$C$11:$AU$110,3,FALSE),0)</f>
        <v>600</v>
      </c>
      <c r="G211">
        <f>'Data Panjang Balok'!I208</f>
        <v>3500</v>
      </c>
      <c r="H211">
        <f>'Data Panjang Balok'!J208</f>
        <v>150</v>
      </c>
      <c r="J211">
        <f>I211-F211/1000</f>
        <v>-0.6</v>
      </c>
      <c r="K211">
        <f>'Data Panjang Balok'!E208</f>
        <v>1</v>
      </c>
      <c r="L211">
        <f>SUMIFS('Besi Balok'!$AA$23:$AA$12292,'Besi Balok'!$A$23:$A$12292,$A211,'Besi Balok'!$B$23:$B$12292,$B211,'Besi Balok'!$F$23:$F$12292,'REKAP Balok'!L$12)</f>
        <v>0</v>
      </c>
      <c r="M211">
        <f>SUMIFS('Besi Balok'!$AA$23:$AA$12292,'Besi Balok'!$A$23:$A$12292,$A211,'Besi Balok'!$B$23:$B$12292,$B211,'Besi Balok'!$F$23:$F$12292,'REKAP Balok'!M$12)</f>
        <v>0</v>
      </c>
      <c r="N211">
        <f>SUMIFS('Besi Balok'!$AA$23:$AA$12292,'Besi Balok'!$A$23:$A$12292,$A211,'Besi Balok'!$B$23:$B$12292,$B211,'Besi Balok'!$F$23:$F$12292,'REKAP Balok'!N$12)</f>
        <v>32.82246000000001</v>
      </c>
      <c r="O211">
        <f>SUMIFS('Besi Balok'!$AA$23:$AA$12292,'Besi Balok'!$A$23:$A$12292,$A211,'Besi Balok'!$B$23:$B$12292,$B211,'Besi Balok'!$F$23:$F$12292,'REKAP Balok'!O$12)</f>
        <v>0</v>
      </c>
      <c r="P211">
        <f>SUMIFS('Besi Balok'!$AA$23:$AA$12292,'Besi Balok'!$A$23:$A$12292,$A211,'Besi Balok'!$B$23:$B$12292,$B211,'Besi Balok'!$F$23:$F$12292,'REKAP Balok'!P$12)</f>
        <v>24.519536640000002</v>
      </c>
      <c r="Q211">
        <f>SUMIFS('Besi Balok'!$AA$23:$AA$12292,'Besi Balok'!$A$23:$A$12292,$A211,'Besi Balok'!$B$23:$B$12292,$B211,'Besi Balok'!$F$23:$F$12292,'REKAP Balok'!Q$12)</f>
        <v>0</v>
      </c>
      <c r="R211">
        <f>SUMIFS('Besi Balok'!$AA$23:$AA$12292,'Besi Balok'!$A$23:$A$12292,$A211,'Besi Balok'!$B$23:$B$12292,$B211,'Besi Balok'!$F$23:$F$12292,'REKAP Balok'!R$12)</f>
        <v>0</v>
      </c>
      <c r="S211">
        <f>SUMIFS('Besi Balok'!$AA$23:$AA$12292,'Besi Balok'!$A$23:$A$12292,$A211,'Besi Balok'!$B$23:$B$12292,$B211,'Besi Balok'!$F$23:$F$12292,'REKAP Balok'!S$12)</f>
        <v>0</v>
      </c>
      <c r="T211">
        <f>SUMIFS('Besi Balok'!$AA$23:$AA$12292,'Besi Balok'!$A$23:$A$12292,$A211,'Besi Balok'!$B$23:$B$12292,$B211,'Besi Balok'!$F$23:$F$12292,'REKAP Balok'!T$12)</f>
        <v>0</v>
      </c>
      <c r="U211">
        <f>SUM(L211:T211)</f>
        <v>57.341996640000005</v>
      </c>
      <c r="V211">
        <f>(D211*(F211-H211)*G211*K211)/1000000000</f>
        <v>0.315</v>
      </c>
      <c r="W211">
        <f>(((F211-H211)*2+D211)*(G211)*K211)/1000000</f>
        <v>3.85</v>
      </c>
      <c r="AC211">
        <f>(D211+2*$F$5)*F211*G211/1000000000</f>
        <v>0.84</v>
      </c>
    </row>
    <row r="212">
      <c r="A212" t="str">
        <f>'Data Panjang Balok'!A209</f>
        <v>Lantai 2</v>
      </c>
      <c r="B212">
        <f>'Data Panjang Balok'!B209</f>
        <v>2</v>
      </c>
      <c r="C212" t="str">
        <f>'Data Panjang Balok'!D209</f>
        <v>B245-1</v>
      </c>
      <c r="D212">
        <f>IF(C212&gt;0,VLOOKUP(C212,'Detail Balok'!$C$11:$AU$110,2,FALSE),0)</f>
        <v>200</v>
      </c>
      <c r="E212" t="str">
        <v>x</v>
      </c>
      <c r="F212">
        <f>IF(C212&gt;0,VLOOKUP(C212,'Detail Balok'!$C$11:$AU$110,3,FALSE),0)</f>
        <v>450</v>
      </c>
      <c r="G212">
        <f>'Data Panjang Balok'!I209</f>
        <v>6600</v>
      </c>
      <c r="H212">
        <f>'Data Panjang Balok'!J209</f>
        <v>130</v>
      </c>
      <c r="J212">
        <f>I212-F212/1000</f>
        <v>-0.45</v>
      </c>
      <c r="K212">
        <f>'Data Panjang Balok'!E209</f>
        <v>1</v>
      </c>
      <c r="L212">
        <f>SUMIFS('Besi Balok'!$AA$23:$AA$12292,'Besi Balok'!$A$23:$A$12292,$A212,'Besi Balok'!$B$23:$B$12292,$B212,'Besi Balok'!$F$23:$F$12292,'REKAP Balok'!L$12)</f>
        <v>0</v>
      </c>
      <c r="M212">
        <f>SUMIFS('Besi Balok'!$AA$23:$AA$12292,'Besi Balok'!$A$23:$A$12292,$A212,'Besi Balok'!$B$23:$B$12292,$B212,'Besi Balok'!$F$23:$F$12292,'REKAP Balok'!M$12)</f>
        <v>28.98990144</v>
      </c>
      <c r="N212">
        <f>SUMIFS('Besi Balok'!$AA$23:$AA$12292,'Besi Balok'!$A$23:$A$12292,$A212,'Besi Balok'!$B$23:$B$12292,$B212,'Besi Balok'!$F$23:$F$12292,'REKAP Balok'!N$12)</f>
        <v>0</v>
      </c>
      <c r="O212">
        <f>SUMIFS('Besi Balok'!$AA$23:$AA$12292,'Besi Balok'!$A$23:$A$12292,$A212,'Besi Balok'!$B$23:$B$12292,$B212,'Besi Balok'!$F$23:$F$12292,'REKAP Balok'!O$12)</f>
        <v>28.80603648</v>
      </c>
      <c r="P212">
        <f>SUMIFS('Besi Balok'!$AA$23:$AA$12292,'Besi Balok'!$A$23:$A$12292,$A212,'Besi Balok'!$B$23:$B$12292,$B212,'Besi Balok'!$F$23:$F$12292,'REKAP Balok'!P$12)</f>
        <v>0</v>
      </c>
      <c r="Q212">
        <f>SUMIFS('Besi Balok'!$AA$23:$AA$12292,'Besi Balok'!$A$23:$A$12292,$A212,'Besi Balok'!$B$23:$B$12292,$B212,'Besi Balok'!$F$23:$F$12292,'REKAP Balok'!Q$12)</f>
        <v>0</v>
      </c>
      <c r="R212">
        <f>SUMIFS('Besi Balok'!$AA$23:$AA$12292,'Besi Balok'!$A$23:$A$12292,$A212,'Besi Balok'!$B$23:$B$12292,$B212,'Besi Balok'!$F$23:$F$12292,'REKAP Balok'!R$12)</f>
        <v>0</v>
      </c>
      <c r="S212">
        <f>SUMIFS('Besi Balok'!$AA$23:$AA$12292,'Besi Balok'!$A$23:$A$12292,$A212,'Besi Balok'!$B$23:$B$12292,$B212,'Besi Balok'!$F$23:$F$12292,'REKAP Balok'!S$12)</f>
        <v>0</v>
      </c>
      <c r="T212">
        <f>SUMIFS('Besi Balok'!$AA$23:$AA$12292,'Besi Balok'!$A$23:$A$12292,$A212,'Besi Balok'!$B$23:$B$12292,$B212,'Besi Balok'!$F$23:$F$12292,'REKAP Balok'!T$12)</f>
        <v>0</v>
      </c>
      <c r="U212">
        <f>SUM(L212:T212)</f>
        <v>57.79593792</v>
      </c>
      <c r="V212">
        <f>(D212*(F212-H212)*G212*K212)/1000000000</f>
        <v>0.4224</v>
      </c>
      <c r="W212">
        <f>(((F212-H212)*2+D212)*(G212)*K212)/1000000</f>
        <v>5.544</v>
      </c>
      <c r="AC212">
        <f>(D212+2*$F$5)*F212*G212/1000000000</f>
        <v>1.188</v>
      </c>
    </row>
    <row r="213">
      <c r="A213" t="str">
        <f>'Data Panjang Balok'!A210</f>
        <v>Lantai 2</v>
      </c>
      <c r="B213">
        <f>'Data Panjang Balok'!B210</f>
        <v>3</v>
      </c>
      <c r="C213" t="str">
        <f>'Data Panjang Balok'!D210</f>
        <v>B245-3</v>
      </c>
      <c r="D213">
        <f>IF(C213&gt;0,VLOOKUP(C213,'Detail Balok'!$C$11:$AU$110,2,FALSE),0)</f>
        <v>200</v>
      </c>
      <c r="E213" t="str">
        <v>x</v>
      </c>
      <c r="F213">
        <f>IF(C213&gt;0,VLOOKUP(C213,'Detail Balok'!$C$11:$AU$110,3,FALSE),0)</f>
        <v>450</v>
      </c>
      <c r="G213">
        <f>'Data Panjang Balok'!I210</f>
        <v>2800</v>
      </c>
      <c r="H213">
        <f>'Data Panjang Balok'!J210</f>
        <v>0</v>
      </c>
      <c r="J213">
        <f>I213-F213/1000</f>
        <v>-0.45</v>
      </c>
      <c r="K213">
        <f>'Data Panjang Balok'!E210</f>
        <v>1</v>
      </c>
      <c r="L213">
        <f>SUMIFS('Besi Balok'!$AA$23:$AA$12292,'Besi Balok'!$A$23:$A$12292,$A213,'Besi Balok'!$B$23:$B$12292,$B213,'Besi Balok'!$F$23:$F$12292,'REKAP Balok'!L$12)</f>
        <v>0</v>
      </c>
      <c r="M213">
        <f>SUMIFS('Besi Balok'!$AA$23:$AA$12292,'Besi Balok'!$A$23:$A$12292,$A213,'Besi Balok'!$B$23:$B$12292,$B213,'Besi Balok'!$F$23:$F$12292,'REKAP Balok'!M$12)</f>
        <v>0</v>
      </c>
      <c r="N213">
        <f>SUMIFS('Besi Balok'!$AA$23:$AA$12292,'Besi Balok'!$A$23:$A$12292,$A213,'Besi Balok'!$B$23:$B$12292,$B213,'Besi Balok'!$F$23:$F$12292,'REKAP Balok'!N$12)</f>
        <v>23.254379999999998</v>
      </c>
      <c r="O213">
        <f>SUMIFS('Besi Balok'!$AA$23:$AA$12292,'Besi Balok'!$A$23:$A$12292,$A213,'Besi Balok'!$B$23:$B$12292,$B213,'Besi Balok'!$F$23:$F$12292,'REKAP Balok'!O$12)</f>
        <v>0</v>
      </c>
      <c r="P213">
        <f>SUMIFS('Besi Balok'!$AA$23:$AA$12292,'Besi Balok'!$A$23:$A$12292,$A213,'Besi Balok'!$B$23:$B$12292,$B213,'Besi Balok'!$F$23:$F$12292,'REKAP Balok'!P$12)</f>
        <v>20.10046464</v>
      </c>
      <c r="Q213">
        <f>SUMIFS('Besi Balok'!$AA$23:$AA$12292,'Besi Balok'!$A$23:$A$12292,$A213,'Besi Balok'!$B$23:$B$12292,$B213,'Besi Balok'!$F$23:$F$12292,'REKAP Balok'!Q$12)</f>
        <v>0</v>
      </c>
      <c r="R213">
        <f>SUMIFS('Besi Balok'!$AA$23:$AA$12292,'Besi Balok'!$A$23:$A$12292,$A213,'Besi Balok'!$B$23:$B$12292,$B213,'Besi Balok'!$F$23:$F$12292,'REKAP Balok'!R$12)</f>
        <v>0</v>
      </c>
      <c r="S213">
        <f>SUMIFS('Besi Balok'!$AA$23:$AA$12292,'Besi Balok'!$A$23:$A$12292,$A213,'Besi Balok'!$B$23:$B$12292,$B213,'Besi Balok'!$F$23:$F$12292,'REKAP Balok'!S$12)</f>
        <v>0</v>
      </c>
      <c r="T213">
        <f>SUMIFS('Besi Balok'!$AA$23:$AA$12292,'Besi Balok'!$A$23:$A$12292,$A213,'Besi Balok'!$B$23:$B$12292,$B213,'Besi Balok'!$F$23:$F$12292,'REKAP Balok'!T$12)</f>
        <v>0</v>
      </c>
      <c r="U213">
        <f>SUM(L213:T213)</f>
        <v>43.354844639999996</v>
      </c>
      <c r="V213">
        <f>(D213*(F213-H213)*G213*K213)/1000000000</f>
        <v>0.252</v>
      </c>
      <c r="W213">
        <f>(((F213-H213)*2+D213)*(G213)*K213)/1000000</f>
        <v>3.08</v>
      </c>
      <c r="AC213">
        <f>(D213+2*$F$5)*F213*G213/1000000000</f>
        <v>0.504</v>
      </c>
    </row>
    <row r="214">
      <c r="A214" t="str">
        <f>'Data Panjang Balok'!A211</f>
        <v>Lantai 2</v>
      </c>
      <c r="B214">
        <f>'Data Panjang Balok'!B211</f>
        <v>4</v>
      </c>
      <c r="C214" t="str">
        <f>'Data Panjang Balok'!D211</f>
        <v>B24-1</v>
      </c>
      <c r="D214">
        <f>IF(C214&gt;0,VLOOKUP(C214,'Detail Balok'!$C$11:$AU$110,2,FALSE),0)</f>
        <v>200</v>
      </c>
      <c r="E214" t="str">
        <v>x</v>
      </c>
      <c r="F214">
        <f>IF(C214&gt;0,VLOOKUP(C214,'Detail Balok'!$C$11:$AU$110,3,FALSE),0)</f>
        <v>400</v>
      </c>
      <c r="G214">
        <f>'Data Panjang Balok'!I211</f>
        <v>2300</v>
      </c>
      <c r="H214">
        <f>'Data Panjang Balok'!J211</f>
        <v>130</v>
      </c>
      <c r="J214">
        <f>I214-F214/1000</f>
        <v>-0.4</v>
      </c>
      <c r="K214">
        <f>'Data Panjang Balok'!E211</f>
        <v>1</v>
      </c>
      <c r="L214">
        <f>SUMIFS('Besi Balok'!$AA$23:$AA$12292,'Besi Balok'!$A$23:$A$12292,$A214,'Besi Balok'!$B$23:$B$12292,$B214,'Besi Balok'!$F$23:$F$12292,'REKAP Balok'!L$12)</f>
        <v>0</v>
      </c>
      <c r="M214">
        <f>SUMIFS('Besi Balok'!$AA$23:$AA$12292,'Besi Balok'!$A$23:$A$12292,$A214,'Besi Balok'!$B$23:$B$12292,$B214,'Besi Balok'!$F$23:$F$12292,'REKAP Balok'!M$12)</f>
        <v>8.940729600000001</v>
      </c>
      <c r="N214">
        <f>SUMIFS('Besi Balok'!$AA$23:$AA$12292,'Besi Balok'!$A$23:$A$12292,$A214,'Besi Balok'!$B$23:$B$12292,$B214,'Besi Balok'!$F$23:$F$12292,'REKAP Balok'!N$12)</f>
        <v>0</v>
      </c>
      <c r="O214">
        <f>SUMIFS('Besi Balok'!$AA$23:$AA$12292,'Besi Balok'!$A$23:$A$12292,$A214,'Besi Balok'!$B$23:$B$12292,$B214,'Besi Balok'!$F$23:$F$12292,'REKAP Balok'!O$12)</f>
        <v>10.885614479999997</v>
      </c>
      <c r="P214">
        <f>SUMIFS('Besi Balok'!$AA$23:$AA$12292,'Besi Balok'!$A$23:$A$12292,$A214,'Besi Balok'!$B$23:$B$12292,$B214,'Besi Balok'!$F$23:$F$12292,'REKAP Balok'!P$12)</f>
        <v>0</v>
      </c>
      <c r="Q214">
        <f>SUMIFS('Besi Balok'!$AA$23:$AA$12292,'Besi Balok'!$A$23:$A$12292,$A214,'Besi Balok'!$B$23:$B$12292,$B214,'Besi Balok'!$F$23:$F$12292,'REKAP Balok'!Q$12)</f>
        <v>0</v>
      </c>
      <c r="R214">
        <f>SUMIFS('Besi Balok'!$AA$23:$AA$12292,'Besi Balok'!$A$23:$A$12292,$A214,'Besi Balok'!$B$23:$B$12292,$B214,'Besi Balok'!$F$23:$F$12292,'REKAP Balok'!R$12)</f>
        <v>0</v>
      </c>
      <c r="S214">
        <f>SUMIFS('Besi Balok'!$AA$23:$AA$12292,'Besi Balok'!$A$23:$A$12292,$A214,'Besi Balok'!$B$23:$B$12292,$B214,'Besi Balok'!$F$23:$F$12292,'REKAP Balok'!S$12)</f>
        <v>0</v>
      </c>
      <c r="T214">
        <f>SUMIFS('Besi Balok'!$AA$23:$AA$12292,'Besi Balok'!$A$23:$A$12292,$A214,'Besi Balok'!$B$23:$B$12292,$B214,'Besi Balok'!$F$23:$F$12292,'REKAP Balok'!T$12)</f>
        <v>0</v>
      </c>
      <c r="U214">
        <f>SUM(L214:T214)</f>
        <v>19.82634408</v>
      </c>
      <c r="V214">
        <f>(D214*(F214-H214)*G214*K214)/1000000000</f>
        <v>0.1242</v>
      </c>
      <c r="W214">
        <f>(((F214-H214)*2+D214)*(G214)*K214)/1000000</f>
        <v>1.702</v>
      </c>
      <c r="AC214">
        <f>(D214+2*$F$5)*F214*G214/1000000000</f>
        <v>0.368</v>
      </c>
    </row>
    <row r="215">
      <c r="A215" t="str">
        <f>'Data Panjang Balok'!A212</f>
        <v>Lantai 2</v>
      </c>
      <c r="B215">
        <f>'Data Panjang Balok'!B212</f>
        <v>5</v>
      </c>
      <c r="C215" t="str">
        <f>'Data Panjang Balok'!D212</f>
        <v>B1745-1</v>
      </c>
      <c r="D215">
        <f>IF(C215&gt;0,VLOOKUP(C215,'Detail Balok'!$C$11:$AU$110,2,FALSE),0)</f>
        <v>170</v>
      </c>
      <c r="E215" t="str">
        <v>x</v>
      </c>
      <c r="F215">
        <f>IF(C215&gt;0,VLOOKUP(C215,'Detail Balok'!$C$11:$AU$110,3,FALSE),0)</f>
        <v>450</v>
      </c>
      <c r="G215">
        <f>'Data Panjang Balok'!I212</f>
        <v>2800</v>
      </c>
      <c r="H215">
        <f>'Data Panjang Balok'!J212</f>
        <v>0</v>
      </c>
      <c r="J215">
        <f>I215-F215/1000</f>
        <v>-0.45</v>
      </c>
      <c r="K215">
        <f>'Data Panjang Balok'!E212</f>
        <v>1</v>
      </c>
      <c r="L215">
        <f>SUMIFS('Besi Balok'!$AA$23:$AA$12292,'Besi Balok'!$A$23:$A$12292,$A215,'Besi Balok'!$B$23:$B$12292,$B215,'Besi Balok'!$F$23:$F$12292,'REKAP Balok'!L$12)</f>
        <v>0</v>
      </c>
      <c r="M215">
        <f>SUMIFS('Besi Balok'!$AA$23:$AA$12292,'Besi Balok'!$A$23:$A$12292,$A215,'Besi Balok'!$B$23:$B$12292,$B215,'Besi Balok'!$F$23:$F$12292,'REKAP Balok'!M$12)</f>
        <v>18.826035840000003</v>
      </c>
      <c r="N215">
        <f>SUMIFS('Besi Balok'!$AA$23:$AA$12292,'Besi Balok'!$A$23:$A$12292,$A215,'Besi Balok'!$B$23:$B$12292,$B215,'Besi Balok'!$F$23:$F$12292,'REKAP Balok'!N$12)</f>
        <v>0</v>
      </c>
      <c r="O215">
        <f>SUMIFS('Besi Balok'!$AA$23:$AA$12292,'Besi Balok'!$A$23:$A$12292,$A215,'Besi Balok'!$B$23:$B$12292,$B215,'Besi Balok'!$F$23:$F$12292,'REKAP Balok'!O$12)</f>
        <v>12.969384479999999</v>
      </c>
      <c r="P215">
        <f>SUMIFS('Besi Balok'!$AA$23:$AA$12292,'Besi Balok'!$A$23:$A$12292,$A215,'Besi Balok'!$B$23:$B$12292,$B215,'Besi Balok'!$F$23:$F$12292,'REKAP Balok'!P$12)</f>
        <v>0</v>
      </c>
      <c r="Q215">
        <f>SUMIFS('Besi Balok'!$AA$23:$AA$12292,'Besi Balok'!$A$23:$A$12292,$A215,'Besi Balok'!$B$23:$B$12292,$B215,'Besi Balok'!$F$23:$F$12292,'REKAP Balok'!Q$12)</f>
        <v>0</v>
      </c>
      <c r="R215">
        <f>SUMIFS('Besi Balok'!$AA$23:$AA$12292,'Besi Balok'!$A$23:$A$12292,$A215,'Besi Balok'!$B$23:$B$12292,$B215,'Besi Balok'!$F$23:$F$12292,'REKAP Balok'!R$12)</f>
        <v>0</v>
      </c>
      <c r="S215">
        <f>SUMIFS('Besi Balok'!$AA$23:$AA$12292,'Besi Balok'!$A$23:$A$12292,$A215,'Besi Balok'!$B$23:$B$12292,$B215,'Besi Balok'!$F$23:$F$12292,'REKAP Balok'!S$12)</f>
        <v>0</v>
      </c>
      <c r="T215">
        <f>SUMIFS('Besi Balok'!$AA$23:$AA$12292,'Besi Balok'!$A$23:$A$12292,$A215,'Besi Balok'!$B$23:$B$12292,$B215,'Besi Balok'!$F$23:$F$12292,'REKAP Balok'!T$12)</f>
        <v>0</v>
      </c>
      <c r="U215">
        <f>SUM(L215:T215)</f>
        <v>31.79542032</v>
      </c>
      <c r="V215">
        <f>(D215*(F215-H215)*G215*K215)/1000000000</f>
        <v>0.2142</v>
      </c>
      <c r="W215">
        <f>(((F215-H215)*2+D215)*(G215)*K215)/1000000</f>
        <v>2.996</v>
      </c>
      <c r="AC215">
        <f>(D215+2*$F$5)*F215*G215/1000000000</f>
        <v>0.4662</v>
      </c>
    </row>
    <row r="216">
      <c r="A216" t="str">
        <f>'Data Panjang Balok'!A213</f>
        <v>Lantai 2</v>
      </c>
      <c r="B216">
        <f>'Data Panjang Balok'!B213</f>
        <v>6</v>
      </c>
      <c r="C216" t="str">
        <f>'Data Panjang Balok'!D213</f>
        <v>B36-1</v>
      </c>
      <c r="D216">
        <f>IF(C216&gt;0,VLOOKUP(C216,'Detail Balok'!$C$11:$AU$110,2,FALSE),0)</f>
        <v>300</v>
      </c>
      <c r="E216" t="str">
        <v>x</v>
      </c>
      <c r="F216">
        <f>IF(C216&gt;0,VLOOKUP(C216,'Detail Balok'!$C$11:$AU$110,3,FALSE),0)</f>
        <v>600</v>
      </c>
      <c r="G216">
        <f>'Data Panjang Balok'!I213</f>
        <v>5585</v>
      </c>
      <c r="H216">
        <f>'Data Panjang Balok'!J213</f>
        <v>130</v>
      </c>
      <c r="J216">
        <f>I216-F216/1000</f>
        <v>-0.6</v>
      </c>
      <c r="K216">
        <f>'Data Panjang Balok'!E213</f>
        <v>1</v>
      </c>
      <c r="L216">
        <f>SUMIFS('Besi Balok'!$AA$23:$AA$12292,'Besi Balok'!$A$23:$A$12292,$A216,'Besi Balok'!$B$23:$B$12292,$B216,'Besi Balok'!$F$23:$F$12292,'REKAP Balok'!L$12)</f>
        <v>0</v>
      </c>
      <c r="M216">
        <f>SUMIFS('Besi Balok'!$AA$23:$AA$12292,'Besi Balok'!$A$23:$A$12292,$A216,'Besi Balok'!$B$23:$B$12292,$B216,'Besi Balok'!$F$23:$F$12292,'REKAP Balok'!M$12)</f>
        <v>0</v>
      </c>
      <c r="N216">
        <f>SUMIFS('Besi Balok'!$AA$23:$AA$12292,'Besi Balok'!$A$23:$A$12292,$A216,'Besi Balok'!$B$23:$B$12292,$B216,'Besi Balok'!$F$23:$F$12292,'REKAP Balok'!N$12)</f>
        <v>77.96875500000002</v>
      </c>
      <c r="O216">
        <f>SUMIFS('Besi Balok'!$AA$23:$AA$12292,'Besi Balok'!$A$23:$A$12292,$A216,'Besi Balok'!$B$23:$B$12292,$B216,'Besi Balok'!$F$23:$F$12292,'REKAP Balok'!O$12)</f>
        <v>0</v>
      </c>
      <c r="P216">
        <f>SUMIFS('Besi Balok'!$AA$23:$AA$12292,'Besi Balok'!$A$23:$A$12292,$A216,'Besi Balok'!$B$23:$B$12292,$B216,'Besi Balok'!$F$23:$F$12292,'REKAP Balok'!P$12)</f>
        <v>86.57514432</v>
      </c>
      <c r="Q216">
        <f>SUMIFS('Besi Balok'!$AA$23:$AA$12292,'Besi Balok'!$A$23:$A$12292,$A216,'Besi Balok'!$B$23:$B$12292,$B216,'Besi Balok'!$F$23:$F$12292,'REKAP Balok'!Q$12)</f>
        <v>0</v>
      </c>
      <c r="R216">
        <f>SUMIFS('Besi Balok'!$AA$23:$AA$12292,'Besi Balok'!$A$23:$A$12292,$A216,'Besi Balok'!$B$23:$B$12292,$B216,'Besi Balok'!$F$23:$F$12292,'REKAP Balok'!R$12)</f>
        <v>0</v>
      </c>
      <c r="S216">
        <f>SUMIFS('Besi Balok'!$AA$23:$AA$12292,'Besi Balok'!$A$23:$A$12292,$A216,'Besi Balok'!$B$23:$B$12292,$B216,'Besi Balok'!$F$23:$F$12292,'REKAP Balok'!S$12)</f>
        <v>0</v>
      </c>
      <c r="T216">
        <f>SUMIFS('Besi Balok'!$AA$23:$AA$12292,'Besi Balok'!$A$23:$A$12292,$A216,'Besi Balok'!$B$23:$B$12292,$B216,'Besi Balok'!$F$23:$F$12292,'REKAP Balok'!T$12)</f>
        <v>0</v>
      </c>
      <c r="U216">
        <f>SUM(L216:T216)</f>
        <v>164.54389932000004</v>
      </c>
      <c r="V216">
        <f>(D216*(F216-H216)*G216*K216)/1000000000</f>
        <v>0.787485</v>
      </c>
      <c r="W216">
        <f>(((F216-H216)*2+D216)*(G216)*K216)/1000000</f>
        <v>6.9254</v>
      </c>
      <c r="AC216">
        <f>(D216+2*$F$5)*F216*G216/1000000000</f>
        <v>1.6755</v>
      </c>
    </row>
    <row r="217">
      <c r="A217" t="str">
        <f>'Data Panjang Balok'!A214</f>
        <v>Lantai 2</v>
      </c>
      <c r="B217">
        <f>'Data Panjang Balok'!B214</f>
        <v>7</v>
      </c>
      <c r="C217" t="str">
        <f>'Data Panjang Balok'!D214</f>
        <v>Potongan H</v>
      </c>
      <c r="D217">
        <f>IF(C217&gt;0,VLOOKUP(C217,'Detail Balok'!$C$11:$AU$110,2,FALSE),0)</f>
        <v>400</v>
      </c>
      <c r="E217" t="str">
        <v>x</v>
      </c>
      <c r="F217">
        <f>IF(C217&gt;0,VLOOKUP(C217,'Detail Balok'!$C$11:$AU$110,3,FALSE),0)</f>
        <v>800</v>
      </c>
      <c r="G217">
        <f>'Data Panjang Balok'!I214</f>
        <v>2415</v>
      </c>
      <c r="H217">
        <f>'Data Panjang Balok'!J214</f>
        <v>130</v>
      </c>
      <c r="J217">
        <f>I217-F217/1000</f>
        <v>-0.8</v>
      </c>
      <c r="K217">
        <f>'Data Panjang Balok'!E214</f>
        <v>1</v>
      </c>
      <c r="L217">
        <f>SUMIFS('Besi Balok'!$AA$23:$AA$12292,'Besi Balok'!$A$23:$A$12292,$A217,'Besi Balok'!$B$23:$B$12292,$B217,'Besi Balok'!$F$23:$F$12292,'REKAP Balok'!L$12)</f>
        <v>0</v>
      </c>
      <c r="M217">
        <f>SUMIFS('Besi Balok'!$AA$23:$AA$12292,'Besi Balok'!$A$23:$A$12292,$A217,'Besi Balok'!$B$23:$B$12292,$B217,'Besi Balok'!$F$23:$F$12292,'REKAP Balok'!M$12)</f>
        <v>0</v>
      </c>
      <c r="N217">
        <f>SUMIFS('Besi Balok'!$AA$23:$AA$12292,'Besi Balok'!$A$23:$A$12292,$A217,'Besi Balok'!$B$23:$B$12292,$B217,'Besi Balok'!$F$23:$F$12292,'REKAP Balok'!N$12)</f>
        <v>6.547230000000001</v>
      </c>
      <c r="O217">
        <f>SUMIFS('Besi Balok'!$AA$23:$AA$12292,'Besi Balok'!$A$23:$A$12292,$A217,'Besi Balok'!$B$23:$B$12292,$B217,'Besi Balok'!$F$23:$F$12292,'REKAP Balok'!O$12)</f>
        <v>72.21930066</v>
      </c>
      <c r="P217">
        <f>SUMIFS('Besi Balok'!$AA$23:$AA$12292,'Besi Balok'!$A$23:$A$12292,$A217,'Besi Balok'!$B$23:$B$12292,$B217,'Besi Balok'!$F$23:$F$12292,'REKAP Balok'!P$12)</f>
        <v>53.009925120000005</v>
      </c>
      <c r="Q217">
        <f>SUMIFS('Besi Balok'!$AA$23:$AA$12292,'Besi Balok'!$A$23:$A$12292,$A217,'Besi Balok'!$B$23:$B$12292,$B217,'Besi Balok'!$F$23:$F$12292,'REKAP Balok'!Q$12)</f>
        <v>0</v>
      </c>
      <c r="R217">
        <f>SUMIFS('Besi Balok'!$AA$23:$AA$12292,'Besi Balok'!$A$23:$A$12292,$A217,'Besi Balok'!$B$23:$B$12292,$B217,'Besi Balok'!$F$23:$F$12292,'REKAP Balok'!R$12)</f>
        <v>0</v>
      </c>
      <c r="S217">
        <f>SUMIFS('Besi Balok'!$AA$23:$AA$12292,'Besi Balok'!$A$23:$A$12292,$A217,'Besi Balok'!$B$23:$B$12292,$B217,'Besi Balok'!$F$23:$F$12292,'REKAP Balok'!S$12)</f>
        <v>0</v>
      </c>
      <c r="T217">
        <f>SUMIFS('Besi Balok'!$AA$23:$AA$12292,'Besi Balok'!$A$23:$A$12292,$A217,'Besi Balok'!$B$23:$B$12292,$B217,'Besi Balok'!$F$23:$F$12292,'REKAP Balok'!T$12)</f>
        <v>0</v>
      </c>
      <c r="U217">
        <f>SUM(L217:T217)</f>
        <v>131.77645578</v>
      </c>
      <c r="V217">
        <f>(D217*(F217-H217)*G217*K217)/1000000000</f>
        <v>0.64722</v>
      </c>
      <c r="W217">
        <f>(((F217-H217)*2+D217)*(G217)*K217)/1000000</f>
        <v>4.2021</v>
      </c>
      <c r="AC217">
        <f>(D217+2*$F$5)*F217*G217/1000000000</f>
        <v>1.1592</v>
      </c>
    </row>
    <row r="218">
      <c r="A218" t="str">
        <f>'Data Panjang Balok'!A215</f>
        <v>Lantai 2</v>
      </c>
      <c r="B218">
        <f>'Data Panjang Balok'!B215</f>
        <v>8</v>
      </c>
      <c r="C218" t="str">
        <f>'Data Panjang Balok'!D215</f>
        <v>B36-2</v>
      </c>
      <c r="D218">
        <f>IF(C218&gt;0,VLOOKUP(C218,'Detail Balok'!$C$11:$AU$110,2,FALSE),0)</f>
        <v>300</v>
      </c>
      <c r="E218" t="str">
        <v>x</v>
      </c>
      <c r="F218">
        <f>IF(C218&gt;0,VLOOKUP(C218,'Detail Balok'!$C$11:$AU$110,3,FALSE),0)</f>
        <v>600</v>
      </c>
      <c r="G218">
        <f>'Data Panjang Balok'!I215</f>
        <v>3835</v>
      </c>
      <c r="H218">
        <f>'Data Panjang Balok'!J215</f>
        <v>130</v>
      </c>
      <c r="J218">
        <f>I218-F218/1000</f>
        <v>-0.6</v>
      </c>
      <c r="K218">
        <f>'Data Panjang Balok'!E215</f>
        <v>1</v>
      </c>
      <c r="L218">
        <f>SUMIFS('Besi Balok'!$AA$23:$AA$12292,'Besi Balok'!$A$23:$A$12292,$A218,'Besi Balok'!$B$23:$B$12292,$B218,'Besi Balok'!$F$23:$F$12292,'REKAP Balok'!L$12)</f>
        <v>0</v>
      </c>
      <c r="M218">
        <f>SUMIFS('Besi Balok'!$AA$23:$AA$12292,'Besi Balok'!$A$23:$A$12292,$A218,'Besi Balok'!$B$23:$B$12292,$B218,'Besi Balok'!$F$23:$F$12292,'REKAP Balok'!M$12)</f>
        <v>0</v>
      </c>
      <c r="N218">
        <f>SUMIFS('Besi Balok'!$AA$23:$AA$12292,'Besi Balok'!$A$23:$A$12292,$A218,'Besi Balok'!$B$23:$B$12292,$B218,'Besi Balok'!$F$23:$F$12292,'REKAP Balok'!N$12)</f>
        <v>60.269040000000004</v>
      </c>
      <c r="O218">
        <f>SUMIFS('Besi Balok'!$AA$23:$AA$12292,'Besi Balok'!$A$23:$A$12292,$A218,'Besi Balok'!$B$23:$B$12292,$B218,'Besi Balok'!$F$23:$F$12292,'REKAP Balok'!O$12)</f>
        <v>0</v>
      </c>
      <c r="P218">
        <f>SUMIFS('Besi Balok'!$AA$23:$AA$12292,'Besi Balok'!$A$23:$A$12292,$A218,'Besi Balok'!$B$23:$B$12292,$B218,'Besi Balok'!$F$23:$F$12292,'REKAP Balok'!P$12)</f>
        <v>77.03310527999999</v>
      </c>
      <c r="Q218">
        <f>SUMIFS('Besi Balok'!$AA$23:$AA$12292,'Besi Balok'!$A$23:$A$12292,$A218,'Besi Balok'!$B$23:$B$12292,$B218,'Besi Balok'!$F$23:$F$12292,'REKAP Balok'!Q$12)</f>
        <v>0</v>
      </c>
      <c r="R218">
        <f>SUMIFS('Besi Balok'!$AA$23:$AA$12292,'Besi Balok'!$A$23:$A$12292,$A218,'Besi Balok'!$B$23:$B$12292,$B218,'Besi Balok'!$F$23:$F$12292,'REKAP Balok'!R$12)</f>
        <v>0</v>
      </c>
      <c r="S218">
        <f>SUMIFS('Besi Balok'!$AA$23:$AA$12292,'Besi Balok'!$A$23:$A$12292,$A218,'Besi Balok'!$B$23:$B$12292,$B218,'Besi Balok'!$F$23:$F$12292,'REKAP Balok'!S$12)</f>
        <v>0</v>
      </c>
      <c r="T218">
        <f>SUMIFS('Besi Balok'!$AA$23:$AA$12292,'Besi Balok'!$A$23:$A$12292,$A218,'Besi Balok'!$B$23:$B$12292,$B218,'Besi Balok'!$F$23:$F$12292,'REKAP Balok'!T$12)</f>
        <v>0</v>
      </c>
      <c r="U218">
        <f>SUM(L218:T218)</f>
        <v>137.30214528</v>
      </c>
      <c r="V218">
        <f>(D218*(F218-H218)*G218*K218)/1000000000</f>
        <v>0.540735</v>
      </c>
      <c r="W218">
        <f>(((F218-H218)*2+D218)*(G218)*K218)/1000000</f>
        <v>4.7554</v>
      </c>
      <c r="AC218">
        <f>(D218+2*$F$5)*F218*G218/1000000000</f>
        <v>1.1505</v>
      </c>
    </row>
    <row r="219">
      <c r="A219" t="str">
        <f>'Data Panjang Balok'!A216</f>
        <v>Lantai 2</v>
      </c>
      <c r="B219">
        <f>'Data Panjang Balok'!B216</f>
        <v>9</v>
      </c>
      <c r="C219" t="str">
        <f>'Data Panjang Balok'!D216</f>
        <v>B36-1</v>
      </c>
      <c r="D219">
        <f>IF(C219&gt;0,VLOOKUP(C219,'Detail Balok'!$C$11:$AU$110,2,FALSE),0)</f>
        <v>300</v>
      </c>
      <c r="E219" t="str">
        <v>x</v>
      </c>
      <c r="F219">
        <f>IF(C219&gt;0,VLOOKUP(C219,'Detail Balok'!$C$11:$AU$110,3,FALSE),0)</f>
        <v>600</v>
      </c>
      <c r="G219">
        <f>'Data Panjang Balok'!I216</f>
        <v>4265</v>
      </c>
      <c r="H219">
        <f>'Data Panjang Balok'!J216</f>
        <v>130</v>
      </c>
      <c r="J219">
        <f>I219-F219/1000</f>
        <v>-0.6</v>
      </c>
      <c r="K219">
        <f>'Data Panjang Balok'!E216</f>
        <v>1</v>
      </c>
      <c r="L219">
        <f>SUMIFS('Besi Balok'!$AA$23:$AA$12292,'Besi Balok'!$A$23:$A$12292,$A219,'Besi Balok'!$B$23:$B$12292,$B219,'Besi Balok'!$F$23:$F$12292,'REKAP Balok'!L$12)</f>
        <v>0</v>
      </c>
      <c r="M219">
        <f>SUMIFS('Besi Balok'!$AA$23:$AA$12292,'Besi Balok'!$A$23:$A$12292,$A219,'Besi Balok'!$B$23:$B$12292,$B219,'Besi Balok'!$F$23:$F$12292,'REKAP Balok'!M$12)</f>
        <v>0</v>
      </c>
      <c r="N219">
        <f>SUMIFS('Besi Balok'!$AA$23:$AA$12292,'Besi Balok'!$A$23:$A$12292,$A219,'Besi Balok'!$B$23:$B$12292,$B219,'Besi Balok'!$F$23:$F$12292,'REKAP Balok'!N$12)</f>
        <v>62.809020000000004</v>
      </c>
      <c r="O219">
        <f>SUMIFS('Besi Balok'!$AA$23:$AA$12292,'Besi Balok'!$A$23:$A$12292,$A219,'Besi Balok'!$B$23:$B$12292,$B219,'Besi Balok'!$F$23:$F$12292,'REKAP Balok'!O$12)</f>
        <v>0</v>
      </c>
      <c r="P219">
        <f>SUMIFS('Besi Balok'!$AA$23:$AA$12292,'Besi Balok'!$A$23:$A$12292,$A219,'Besi Balok'!$B$23:$B$12292,$B219,'Besi Balok'!$F$23:$F$12292,'REKAP Balok'!P$12)</f>
        <v>67.61732544</v>
      </c>
      <c r="Q219">
        <f>SUMIFS('Besi Balok'!$AA$23:$AA$12292,'Besi Balok'!$A$23:$A$12292,$A219,'Besi Balok'!$B$23:$B$12292,$B219,'Besi Balok'!$F$23:$F$12292,'REKAP Balok'!Q$12)</f>
        <v>0</v>
      </c>
      <c r="R219">
        <f>SUMIFS('Besi Balok'!$AA$23:$AA$12292,'Besi Balok'!$A$23:$A$12292,$A219,'Besi Balok'!$B$23:$B$12292,$B219,'Besi Balok'!$F$23:$F$12292,'REKAP Balok'!R$12)</f>
        <v>0</v>
      </c>
      <c r="S219">
        <f>SUMIFS('Besi Balok'!$AA$23:$AA$12292,'Besi Balok'!$A$23:$A$12292,$A219,'Besi Balok'!$B$23:$B$12292,$B219,'Besi Balok'!$F$23:$F$12292,'REKAP Balok'!S$12)</f>
        <v>0</v>
      </c>
      <c r="T219">
        <f>SUMIFS('Besi Balok'!$AA$23:$AA$12292,'Besi Balok'!$A$23:$A$12292,$A219,'Besi Balok'!$B$23:$B$12292,$B219,'Besi Balok'!$F$23:$F$12292,'REKAP Balok'!T$12)</f>
        <v>0</v>
      </c>
      <c r="U219">
        <f>SUM(L219:T219)</f>
        <v>130.42634544</v>
      </c>
      <c r="V219">
        <f>(D219*(F219-H219)*G219*K219)/1000000000</f>
        <v>0.601365</v>
      </c>
      <c r="W219">
        <f>(((F219-H219)*2+D219)*(G219)*K219)/1000000</f>
        <v>5.2886</v>
      </c>
      <c r="AC219">
        <f>(D219+2*$F$5)*F219*G219/1000000000</f>
        <v>1.2795</v>
      </c>
    </row>
    <row r="220">
      <c r="A220" t="str">
        <f>'Data Panjang Balok'!A217</f>
        <v>Lantai 2</v>
      </c>
      <c r="B220">
        <f>'Data Panjang Balok'!B217</f>
        <v>10</v>
      </c>
      <c r="C220" t="str">
        <f>'Data Panjang Balok'!D217</f>
        <v>B245-1</v>
      </c>
      <c r="D220">
        <f>IF(C220&gt;0,VLOOKUP(C220,'Detail Balok'!$C$11:$AU$110,2,FALSE),0)</f>
        <v>200</v>
      </c>
      <c r="E220" t="str">
        <v>x</v>
      </c>
      <c r="F220">
        <f>IF(C220&gt;0,VLOOKUP(C220,'Detail Balok'!$C$11:$AU$110,3,FALSE),0)</f>
        <v>450</v>
      </c>
      <c r="G220">
        <f>'Data Panjang Balok'!I217</f>
        <v>1050</v>
      </c>
      <c r="H220">
        <f>'Data Panjang Balok'!J217</f>
        <v>130</v>
      </c>
      <c r="J220">
        <f>I220-F220/1000</f>
        <v>-0.45</v>
      </c>
      <c r="K220">
        <f>'Data Panjang Balok'!E217</f>
        <v>1</v>
      </c>
      <c r="L220">
        <f>SUMIFS('Besi Balok'!$AA$23:$AA$12292,'Besi Balok'!$A$23:$A$12292,$A220,'Besi Balok'!$B$23:$B$12292,$B220,'Besi Balok'!$F$23:$F$12292,'REKAP Balok'!L$12)</f>
        <v>0</v>
      </c>
      <c r="M220">
        <f>SUMIFS('Besi Balok'!$AA$23:$AA$12292,'Besi Balok'!$A$23:$A$12292,$A220,'Besi Balok'!$B$23:$B$12292,$B220,'Besi Balok'!$F$23:$F$12292,'REKAP Balok'!M$12)</f>
        <v>6.33032064</v>
      </c>
      <c r="N220">
        <f>SUMIFS('Besi Balok'!$AA$23:$AA$12292,'Besi Balok'!$A$23:$A$12292,$A220,'Besi Balok'!$B$23:$B$12292,$B220,'Besi Balok'!$F$23:$F$12292,'REKAP Balok'!N$12)</f>
        <v>0</v>
      </c>
      <c r="O220">
        <f>SUMIFS('Besi Balok'!$AA$23:$AA$12292,'Besi Balok'!$A$23:$A$12292,$A220,'Besi Balok'!$B$23:$B$12292,$B220,'Besi Balok'!$F$23:$F$12292,'REKAP Balok'!O$12)</f>
        <v>5.676189480000001</v>
      </c>
      <c r="P220">
        <f>SUMIFS('Besi Balok'!$AA$23:$AA$12292,'Besi Balok'!$A$23:$A$12292,$A220,'Besi Balok'!$B$23:$B$12292,$B220,'Besi Balok'!$F$23:$F$12292,'REKAP Balok'!P$12)</f>
        <v>0</v>
      </c>
      <c r="Q220">
        <f>SUMIFS('Besi Balok'!$AA$23:$AA$12292,'Besi Balok'!$A$23:$A$12292,$A220,'Besi Balok'!$B$23:$B$12292,$B220,'Besi Balok'!$F$23:$F$12292,'REKAP Balok'!Q$12)</f>
        <v>0</v>
      </c>
      <c r="R220">
        <f>SUMIFS('Besi Balok'!$AA$23:$AA$12292,'Besi Balok'!$A$23:$A$12292,$A220,'Besi Balok'!$B$23:$B$12292,$B220,'Besi Balok'!$F$23:$F$12292,'REKAP Balok'!R$12)</f>
        <v>0</v>
      </c>
      <c r="S220">
        <f>SUMIFS('Besi Balok'!$AA$23:$AA$12292,'Besi Balok'!$A$23:$A$12292,$A220,'Besi Balok'!$B$23:$B$12292,$B220,'Besi Balok'!$F$23:$F$12292,'REKAP Balok'!S$12)</f>
        <v>0</v>
      </c>
      <c r="T220">
        <f>SUMIFS('Besi Balok'!$AA$23:$AA$12292,'Besi Balok'!$A$23:$A$12292,$A220,'Besi Balok'!$B$23:$B$12292,$B220,'Besi Balok'!$F$23:$F$12292,'REKAP Balok'!T$12)</f>
        <v>0</v>
      </c>
      <c r="U220">
        <f>SUM(L220:T220)</f>
        <v>12.006510120000002</v>
      </c>
      <c r="V220">
        <f>(D220*(F220-H220)*G220*K220)/1000000000</f>
        <v>0.0672</v>
      </c>
      <c r="W220">
        <f>(((F220-H220)*2+D220)*(G220)*K220)/1000000</f>
        <v>0.882</v>
      </c>
      <c r="AC220">
        <f>(D220+2*$F$5)*F220*G220/1000000000</f>
        <v>0.189</v>
      </c>
    </row>
    <row r="221">
      <c r="A221" t="str">
        <f>'Data Panjang Balok'!A218</f>
        <v>Lantai 2</v>
      </c>
      <c r="B221">
        <f>'Data Panjang Balok'!B218</f>
        <v>11</v>
      </c>
      <c r="C221" t="str">
        <f>'Data Panjang Balok'!D218</f>
        <v>B25-2</v>
      </c>
      <c r="D221">
        <f>IF(C221&gt;0,VLOOKUP(C221,'Detail Balok'!$C$11:$AU$110,2,FALSE),0)</f>
        <v>200</v>
      </c>
      <c r="E221" t="str">
        <v>x</v>
      </c>
      <c r="F221">
        <f>IF(C221&gt;0,VLOOKUP(C221,'Detail Balok'!$C$11:$AU$110,3,FALSE),0)</f>
        <v>500</v>
      </c>
      <c r="G221">
        <f>'Data Panjang Balok'!I218</f>
        <v>6000</v>
      </c>
      <c r="H221">
        <f>'Data Panjang Balok'!J218</f>
        <v>130</v>
      </c>
      <c r="J221">
        <f>I221-F221/1000</f>
        <v>-0.5</v>
      </c>
      <c r="K221">
        <f>'Data Panjang Balok'!E218</f>
        <v>1</v>
      </c>
      <c r="L221">
        <f>SUMIFS('Besi Balok'!$AA$23:$AA$12292,'Besi Balok'!$A$23:$A$12292,$A221,'Besi Balok'!$B$23:$B$12292,$B221,'Besi Balok'!$F$23:$F$12292,'REKAP Balok'!L$12)</f>
        <v>0</v>
      </c>
      <c r="M221">
        <f>SUMIFS('Besi Balok'!$AA$23:$AA$12292,'Besi Balok'!$A$23:$A$12292,$A221,'Besi Balok'!$B$23:$B$12292,$B221,'Besi Balok'!$F$23:$F$12292,'REKAP Balok'!M$12)</f>
        <v>0</v>
      </c>
      <c r="N221">
        <f>SUMIFS('Besi Balok'!$AA$23:$AA$12292,'Besi Balok'!$A$23:$A$12292,$A221,'Besi Balok'!$B$23:$B$12292,$B221,'Besi Balok'!$F$23:$F$12292,'REKAP Balok'!N$12)</f>
        <v>57.74139000000001</v>
      </c>
      <c r="O221">
        <f>SUMIFS('Besi Balok'!$AA$23:$AA$12292,'Besi Balok'!$A$23:$A$12292,$A221,'Besi Balok'!$B$23:$B$12292,$B221,'Besi Balok'!$F$23:$F$12292,'REKAP Balok'!O$12)</f>
        <v>0</v>
      </c>
      <c r="P221">
        <f>SUMIFS('Besi Balok'!$AA$23:$AA$12292,'Besi Balok'!$A$23:$A$12292,$A221,'Besi Balok'!$B$23:$B$12292,$B221,'Besi Balok'!$F$23:$F$12292,'REKAP Balok'!P$12)</f>
        <v>60.45290496</v>
      </c>
      <c r="Q221">
        <f>SUMIFS('Besi Balok'!$AA$23:$AA$12292,'Besi Balok'!$A$23:$A$12292,$A221,'Besi Balok'!$B$23:$B$12292,$B221,'Besi Balok'!$F$23:$F$12292,'REKAP Balok'!Q$12)</f>
        <v>0</v>
      </c>
      <c r="R221">
        <f>SUMIFS('Besi Balok'!$AA$23:$AA$12292,'Besi Balok'!$A$23:$A$12292,$A221,'Besi Balok'!$B$23:$B$12292,$B221,'Besi Balok'!$F$23:$F$12292,'REKAP Balok'!R$12)</f>
        <v>0</v>
      </c>
      <c r="S221">
        <f>SUMIFS('Besi Balok'!$AA$23:$AA$12292,'Besi Balok'!$A$23:$A$12292,$A221,'Besi Balok'!$B$23:$B$12292,$B221,'Besi Balok'!$F$23:$F$12292,'REKAP Balok'!S$12)</f>
        <v>0</v>
      </c>
      <c r="T221">
        <f>SUMIFS('Besi Balok'!$AA$23:$AA$12292,'Besi Balok'!$A$23:$A$12292,$A221,'Besi Balok'!$B$23:$B$12292,$B221,'Besi Balok'!$F$23:$F$12292,'REKAP Balok'!T$12)</f>
        <v>0</v>
      </c>
      <c r="U221">
        <f>SUM(L221:T221)</f>
        <v>118.19429496000001</v>
      </c>
      <c r="V221">
        <f>(D221*(F221-H221)*G221*K221)/1000000000</f>
        <v>0.444</v>
      </c>
      <c r="W221">
        <f>(((F221-H221)*2+D221)*(G221)*K221)/1000000</f>
        <v>5.64</v>
      </c>
      <c r="AC221">
        <f>(D221+2*$F$5)*F221*G221/1000000000</f>
        <v>1.2</v>
      </c>
    </row>
    <row r="222">
      <c r="A222" t="str">
        <f>'Data Panjang Balok'!A219</f>
        <v>Lantai 2</v>
      </c>
      <c r="B222">
        <f>'Data Panjang Balok'!B219</f>
        <v>12</v>
      </c>
      <c r="C222" t="str">
        <f>'Data Panjang Balok'!D219</f>
        <v>B25-2</v>
      </c>
      <c r="D222">
        <f>IF(C222&gt;0,VLOOKUP(C222,'Detail Balok'!$C$11:$AU$110,2,FALSE),0)</f>
        <v>200</v>
      </c>
      <c r="E222" t="str">
        <v>x</v>
      </c>
      <c r="F222">
        <f>IF(C222&gt;0,VLOOKUP(C222,'Detail Balok'!$C$11:$AU$110,3,FALSE),0)</f>
        <v>500</v>
      </c>
      <c r="G222">
        <f>'Data Panjang Balok'!I219</f>
        <v>7000</v>
      </c>
      <c r="H222">
        <f>'Data Panjang Balok'!J219</f>
        <v>130</v>
      </c>
      <c r="J222">
        <f>I222-F222/1000</f>
        <v>-0.5</v>
      </c>
      <c r="K222">
        <f>'Data Panjang Balok'!E219</f>
        <v>1</v>
      </c>
      <c r="L222">
        <f>SUMIFS('Besi Balok'!$AA$23:$AA$12292,'Besi Balok'!$A$23:$A$12292,$A222,'Besi Balok'!$B$23:$B$12292,$B222,'Besi Balok'!$F$23:$F$12292,'REKAP Balok'!L$12)</f>
        <v>0</v>
      </c>
      <c r="M222">
        <f>SUMIFS('Besi Balok'!$AA$23:$AA$12292,'Besi Balok'!$A$23:$A$12292,$A222,'Besi Balok'!$B$23:$B$12292,$B222,'Besi Balok'!$F$23:$F$12292,'REKAP Balok'!M$12)</f>
        <v>0</v>
      </c>
      <c r="N222">
        <f>SUMIFS('Besi Balok'!$AA$23:$AA$12292,'Besi Balok'!$A$23:$A$12292,$A222,'Besi Balok'!$B$23:$B$12292,$B222,'Besi Balok'!$F$23:$F$12292,'REKAP Balok'!N$12)</f>
        <v>66.55734000000001</v>
      </c>
      <c r="O222">
        <f>SUMIFS('Besi Balok'!$AA$23:$AA$12292,'Besi Balok'!$A$23:$A$12292,$A222,'Besi Balok'!$B$23:$B$12292,$B222,'Besi Balok'!$F$23:$F$12292,'REKAP Balok'!O$12)</f>
        <v>0</v>
      </c>
      <c r="P222">
        <f>SUMIFS('Besi Balok'!$AA$23:$AA$12292,'Besi Balok'!$A$23:$A$12292,$A222,'Besi Balok'!$B$23:$B$12292,$B222,'Besi Balok'!$F$23:$F$12292,'REKAP Balok'!P$12)</f>
        <v>69.92234496</v>
      </c>
      <c r="Q222">
        <f>SUMIFS('Besi Balok'!$AA$23:$AA$12292,'Besi Balok'!$A$23:$A$12292,$A222,'Besi Balok'!$B$23:$B$12292,$B222,'Besi Balok'!$F$23:$F$12292,'REKAP Balok'!Q$12)</f>
        <v>0</v>
      </c>
      <c r="R222">
        <f>SUMIFS('Besi Balok'!$AA$23:$AA$12292,'Besi Balok'!$A$23:$A$12292,$A222,'Besi Balok'!$B$23:$B$12292,$B222,'Besi Balok'!$F$23:$F$12292,'REKAP Balok'!R$12)</f>
        <v>0</v>
      </c>
      <c r="S222">
        <f>SUMIFS('Besi Balok'!$AA$23:$AA$12292,'Besi Balok'!$A$23:$A$12292,$A222,'Besi Balok'!$B$23:$B$12292,$B222,'Besi Balok'!$F$23:$F$12292,'REKAP Balok'!S$12)</f>
        <v>0</v>
      </c>
      <c r="T222">
        <f>SUMIFS('Besi Balok'!$AA$23:$AA$12292,'Besi Balok'!$A$23:$A$12292,$A222,'Besi Balok'!$B$23:$B$12292,$B222,'Besi Balok'!$F$23:$F$12292,'REKAP Balok'!T$12)</f>
        <v>0</v>
      </c>
      <c r="U222">
        <f>SUM(L222:T222)</f>
        <v>136.47968496000001</v>
      </c>
      <c r="V222">
        <f>(D222*(F222-H222)*G222*K222)/1000000000</f>
        <v>0.518</v>
      </c>
      <c r="W222">
        <f>(((F222-H222)*2+D222)*(G222)*K222)/1000000</f>
        <v>6.58</v>
      </c>
      <c r="AC222">
        <f>(D222+2*$F$5)*F222*G222/1000000000</f>
        <v>1.4</v>
      </c>
    </row>
    <row r="223">
      <c r="A223" t="str">
        <f>'Data Panjang Balok'!A220</f>
        <v>Lantai 2</v>
      </c>
      <c r="B223">
        <f>'Data Panjang Balok'!B220</f>
        <v>13</v>
      </c>
      <c r="C223" t="str">
        <f>'Data Panjang Balok'!D220</f>
        <v>B25-1</v>
      </c>
      <c r="D223">
        <f>IF(C223&gt;0,VLOOKUP(C223,'Detail Balok'!$C$11:$AU$110,2,FALSE),0)</f>
        <v>200</v>
      </c>
      <c r="E223" t="str">
        <v>x</v>
      </c>
      <c r="F223">
        <f>IF(C223&gt;0,VLOOKUP(C223,'Detail Balok'!$C$11:$AU$110,3,FALSE),0)</f>
        <v>500</v>
      </c>
      <c r="G223">
        <f>'Data Panjang Balok'!I220</f>
        <v>3000</v>
      </c>
      <c r="H223">
        <f>'Data Panjang Balok'!J220</f>
        <v>130</v>
      </c>
      <c r="J223">
        <f>I223-F223/1000</f>
        <v>-0.5</v>
      </c>
      <c r="K223">
        <f>'Data Panjang Balok'!E220</f>
        <v>1</v>
      </c>
      <c r="L223">
        <f>SUMIFS('Besi Balok'!$AA$23:$AA$12292,'Besi Balok'!$A$23:$A$12292,$A223,'Besi Balok'!$B$23:$B$12292,$B223,'Besi Balok'!$F$23:$F$12292,'REKAP Balok'!L$12)</f>
        <v>0</v>
      </c>
      <c r="M223">
        <f>SUMIFS('Besi Balok'!$AA$23:$AA$12292,'Besi Balok'!$A$23:$A$12292,$A223,'Besi Balok'!$B$23:$B$12292,$B223,'Besi Balok'!$F$23:$F$12292,'REKAP Balok'!M$12)</f>
        <v>0</v>
      </c>
      <c r="N223">
        <f>SUMIFS('Besi Balok'!$AA$23:$AA$12292,'Besi Balok'!$A$23:$A$12292,$A223,'Besi Balok'!$B$23:$B$12292,$B223,'Besi Balok'!$F$23:$F$12292,'REKAP Balok'!N$12)</f>
        <v>24.468885</v>
      </c>
      <c r="O223">
        <f>SUMIFS('Besi Balok'!$AA$23:$AA$12292,'Besi Balok'!$A$23:$A$12292,$A223,'Besi Balok'!$B$23:$B$12292,$B223,'Besi Balok'!$F$23:$F$12292,'REKAP Balok'!O$12)</f>
        <v>0</v>
      </c>
      <c r="P223">
        <f>SUMIFS('Besi Balok'!$AA$23:$AA$12292,'Besi Balok'!$A$23:$A$12292,$A223,'Besi Balok'!$B$23:$B$12292,$B223,'Besi Balok'!$F$23:$F$12292,'REKAP Balok'!P$12)</f>
        <v>21.363056640000003</v>
      </c>
      <c r="Q223">
        <f>SUMIFS('Besi Balok'!$AA$23:$AA$12292,'Besi Balok'!$A$23:$A$12292,$A223,'Besi Balok'!$B$23:$B$12292,$B223,'Besi Balok'!$F$23:$F$12292,'REKAP Balok'!Q$12)</f>
        <v>0</v>
      </c>
      <c r="R223">
        <f>SUMIFS('Besi Balok'!$AA$23:$AA$12292,'Besi Balok'!$A$23:$A$12292,$A223,'Besi Balok'!$B$23:$B$12292,$B223,'Besi Balok'!$F$23:$F$12292,'REKAP Balok'!R$12)</f>
        <v>0</v>
      </c>
      <c r="S223">
        <f>SUMIFS('Besi Balok'!$AA$23:$AA$12292,'Besi Balok'!$A$23:$A$12292,$A223,'Besi Balok'!$B$23:$B$12292,$B223,'Besi Balok'!$F$23:$F$12292,'REKAP Balok'!S$12)</f>
        <v>0</v>
      </c>
      <c r="T223">
        <f>SUMIFS('Besi Balok'!$AA$23:$AA$12292,'Besi Balok'!$A$23:$A$12292,$A223,'Besi Balok'!$B$23:$B$12292,$B223,'Besi Balok'!$F$23:$F$12292,'REKAP Balok'!T$12)</f>
        <v>0</v>
      </c>
      <c r="U223">
        <f>SUM(L223:T223)</f>
        <v>45.831941640000004</v>
      </c>
      <c r="V223">
        <f>(D223*(F223-H223)*G223*K223)/1000000000</f>
        <v>0.222</v>
      </c>
      <c r="W223">
        <f>(((F223-H223)*2+D223)*(G223)*K223)/1000000</f>
        <v>2.82</v>
      </c>
      <c r="AC223">
        <f>(D223+2*$F$5)*F223*G223/1000000000</f>
        <v>0.6</v>
      </c>
    </row>
    <row r="224">
      <c r="A224" t="str">
        <f>'Data Panjang Balok'!A221</f>
        <v>Lantai 2</v>
      </c>
      <c r="B224">
        <f>'Data Panjang Balok'!B221</f>
        <v>14</v>
      </c>
      <c r="C224" t="str">
        <f>'Data Panjang Balok'!D221</f>
        <v>B245-3</v>
      </c>
      <c r="D224">
        <f>IF(C224&gt;0,VLOOKUP(C224,'Detail Balok'!$C$11:$AU$110,2,FALSE),0)</f>
        <v>200</v>
      </c>
      <c r="E224" t="str">
        <v>x</v>
      </c>
      <c r="F224">
        <f>IF(C224&gt;0,VLOOKUP(C224,'Detail Balok'!$C$11:$AU$110,3,FALSE),0)</f>
        <v>450</v>
      </c>
      <c r="G224">
        <f>'Data Panjang Balok'!I221</f>
        <v>2000</v>
      </c>
      <c r="H224">
        <f>'Data Panjang Balok'!J221</f>
        <v>130</v>
      </c>
      <c r="J224">
        <f>I224-F224/1000</f>
        <v>-0.45</v>
      </c>
      <c r="K224">
        <f>'Data Panjang Balok'!E221</f>
        <v>1</v>
      </c>
      <c r="L224">
        <f>SUMIFS('Besi Balok'!$AA$23:$AA$12292,'Besi Balok'!$A$23:$A$12292,$A224,'Besi Balok'!$B$23:$B$12292,$B224,'Besi Balok'!$F$23:$F$12292,'REKAP Balok'!L$12)</f>
        <v>0</v>
      </c>
      <c r="M224">
        <f>SUMIFS('Besi Balok'!$AA$23:$AA$12292,'Besi Balok'!$A$23:$A$12292,$A224,'Besi Balok'!$B$23:$B$12292,$B224,'Besi Balok'!$F$23:$F$12292,'REKAP Balok'!M$12)</f>
        <v>0</v>
      </c>
      <c r="N224">
        <f>SUMIFS('Besi Balok'!$AA$23:$AA$12292,'Besi Balok'!$A$23:$A$12292,$A224,'Besi Balok'!$B$23:$B$12292,$B224,'Besi Balok'!$F$23:$F$12292,'REKAP Balok'!N$12)</f>
        <v>18.784755</v>
      </c>
      <c r="O224">
        <f>SUMIFS('Besi Balok'!$AA$23:$AA$12292,'Besi Balok'!$A$23:$A$12292,$A224,'Besi Balok'!$B$23:$B$12292,$B224,'Besi Balok'!$F$23:$F$12292,'REKAP Balok'!O$12)</f>
        <v>0</v>
      </c>
      <c r="P224">
        <f>SUMIFS('Besi Balok'!$AA$23:$AA$12292,'Besi Balok'!$A$23:$A$12292,$A224,'Besi Balok'!$B$23:$B$12292,$B224,'Besi Balok'!$F$23:$F$12292,'REKAP Balok'!P$12)</f>
        <v>15.05009664</v>
      </c>
      <c r="Q224">
        <f>SUMIFS('Besi Balok'!$AA$23:$AA$12292,'Besi Balok'!$A$23:$A$12292,$A224,'Besi Balok'!$B$23:$B$12292,$B224,'Besi Balok'!$F$23:$F$12292,'REKAP Balok'!Q$12)</f>
        <v>0</v>
      </c>
      <c r="R224">
        <f>SUMIFS('Besi Balok'!$AA$23:$AA$12292,'Besi Balok'!$A$23:$A$12292,$A224,'Besi Balok'!$B$23:$B$12292,$B224,'Besi Balok'!$F$23:$F$12292,'REKAP Balok'!R$12)</f>
        <v>0</v>
      </c>
      <c r="S224">
        <f>SUMIFS('Besi Balok'!$AA$23:$AA$12292,'Besi Balok'!$A$23:$A$12292,$A224,'Besi Balok'!$B$23:$B$12292,$B224,'Besi Balok'!$F$23:$F$12292,'REKAP Balok'!S$12)</f>
        <v>0</v>
      </c>
      <c r="T224">
        <f>SUMIFS('Besi Balok'!$AA$23:$AA$12292,'Besi Balok'!$A$23:$A$12292,$A224,'Besi Balok'!$B$23:$B$12292,$B224,'Besi Balok'!$F$23:$F$12292,'REKAP Balok'!T$12)</f>
        <v>0</v>
      </c>
      <c r="U224">
        <f>SUM(L224:T224)</f>
        <v>33.83485164</v>
      </c>
      <c r="V224">
        <f>(D224*(F224-H224)*G224*K224)/1000000000</f>
        <v>0.128</v>
      </c>
      <c r="W224">
        <f>(((F224-H224)*2+D224)*(G224)*K224)/1000000</f>
        <v>1.68</v>
      </c>
      <c r="AC224">
        <f>(D224+2*$F$5)*F224*G224/1000000000</f>
        <v>0.36</v>
      </c>
    </row>
    <row r="225">
      <c r="A225" t="str">
        <f>'Data Panjang Balok'!A222</f>
        <v>Lantai 2</v>
      </c>
      <c r="B225">
        <f>'Data Panjang Balok'!B222</f>
        <v>15</v>
      </c>
      <c r="C225" t="str">
        <f>'Data Panjang Balok'!D222</f>
        <v>B47-1</v>
      </c>
      <c r="D225">
        <f>IF(C225&gt;0,VLOOKUP(C225,'Detail Balok'!$C$11:$AU$110,2,FALSE),0)</f>
        <v>400</v>
      </c>
      <c r="E225" t="str">
        <v>x</v>
      </c>
      <c r="F225">
        <f>IF(C225&gt;0,VLOOKUP(C225,'Detail Balok'!$C$11:$AU$110,3,FALSE),0)</f>
        <v>700</v>
      </c>
      <c r="G225">
        <f>'Data Panjang Balok'!I222</f>
        <v>6000</v>
      </c>
      <c r="H225">
        <f>'Data Panjang Balok'!J222</f>
        <v>130</v>
      </c>
      <c r="J225">
        <f>I225-F225/1000</f>
        <v>-0.7</v>
      </c>
      <c r="K225">
        <f>'Data Panjang Balok'!E222</f>
        <v>1</v>
      </c>
      <c r="L225">
        <f>SUMIFS('Besi Balok'!$AA$23:$AA$12292,'Besi Balok'!$A$23:$A$12292,$A225,'Besi Balok'!$B$23:$B$12292,$B225,'Besi Balok'!$F$23:$F$12292,'REKAP Balok'!L$12)</f>
        <v>0</v>
      </c>
      <c r="M225">
        <f>SUMIFS('Besi Balok'!$AA$23:$AA$12292,'Besi Balok'!$A$23:$A$12292,$A225,'Besi Balok'!$B$23:$B$12292,$B225,'Besi Balok'!$F$23:$F$12292,'REKAP Balok'!M$12)</f>
        <v>0</v>
      </c>
      <c r="N225">
        <f>SUMIFS('Besi Balok'!$AA$23:$AA$12292,'Besi Balok'!$A$23:$A$12292,$A225,'Besi Balok'!$B$23:$B$12292,$B225,'Besi Balok'!$F$23:$F$12292,'REKAP Balok'!N$12)</f>
        <v>7.693920000000001</v>
      </c>
      <c r="O225">
        <f>SUMIFS('Besi Balok'!$AA$23:$AA$12292,'Besi Balok'!$A$23:$A$12292,$A225,'Besi Balok'!$B$23:$B$12292,$B225,'Besi Balok'!$F$23:$F$12292,'REKAP Balok'!O$12)</f>
        <v>120.91283801999998</v>
      </c>
      <c r="P225">
        <f>SUMIFS('Besi Balok'!$AA$23:$AA$12292,'Besi Balok'!$A$23:$A$12292,$A225,'Besi Balok'!$B$23:$B$12292,$B225,'Besi Balok'!$F$23:$F$12292,'REKAP Balok'!P$12)</f>
        <v>143.44307712</v>
      </c>
      <c r="Q225">
        <f>SUMIFS('Besi Balok'!$AA$23:$AA$12292,'Besi Balok'!$A$23:$A$12292,$A225,'Besi Balok'!$B$23:$B$12292,$B225,'Besi Balok'!$F$23:$F$12292,'REKAP Balok'!Q$12)</f>
        <v>0</v>
      </c>
      <c r="R225">
        <f>SUMIFS('Besi Balok'!$AA$23:$AA$12292,'Besi Balok'!$A$23:$A$12292,$A225,'Besi Balok'!$B$23:$B$12292,$B225,'Besi Balok'!$F$23:$F$12292,'REKAP Balok'!R$12)</f>
        <v>0</v>
      </c>
      <c r="S225">
        <f>SUMIFS('Besi Balok'!$AA$23:$AA$12292,'Besi Balok'!$A$23:$A$12292,$A225,'Besi Balok'!$B$23:$B$12292,$B225,'Besi Balok'!$F$23:$F$12292,'REKAP Balok'!S$12)</f>
        <v>0</v>
      </c>
      <c r="T225">
        <f>SUMIFS('Besi Balok'!$AA$23:$AA$12292,'Besi Balok'!$A$23:$A$12292,$A225,'Besi Balok'!$B$23:$B$12292,$B225,'Besi Balok'!$F$23:$F$12292,'REKAP Balok'!T$12)</f>
        <v>0</v>
      </c>
      <c r="U225">
        <f>SUM(L225:T225)</f>
        <v>272.04983513999997</v>
      </c>
      <c r="V225">
        <f>(D225*(F225-H225)*G225*K225)/1000000000</f>
        <v>1.368</v>
      </c>
      <c r="W225">
        <f>(((F225-H225)*2+D225)*(G225)*K225)/1000000</f>
        <v>9.24</v>
      </c>
      <c r="AC225">
        <f>(D225+2*$F$5)*F225*G225/1000000000</f>
        <v>2.52</v>
      </c>
    </row>
    <row r="226">
      <c r="A226" t="str">
        <f>'Data Panjang Balok'!A223</f>
        <v>Lantai 2</v>
      </c>
      <c r="B226">
        <f>'Data Panjang Balok'!B223</f>
        <v>16</v>
      </c>
      <c r="C226" t="str">
        <f>'Data Panjang Balok'!D223</f>
        <v>B475-1</v>
      </c>
      <c r="D226">
        <f>IF(C226&gt;0,VLOOKUP(C226,'Detail Balok'!$C$11:$AU$110,2,FALSE),0)</f>
        <v>400</v>
      </c>
      <c r="E226" t="str">
        <v>x</v>
      </c>
      <c r="F226">
        <f>IF(C226&gt;0,VLOOKUP(C226,'Detail Balok'!$C$11:$AU$110,3,FALSE),0)</f>
        <v>750</v>
      </c>
      <c r="G226">
        <f>'Data Panjang Balok'!I223</f>
        <v>7000</v>
      </c>
      <c r="H226">
        <f>'Data Panjang Balok'!J223</f>
        <v>130</v>
      </c>
      <c r="J226">
        <f>I226-F226/1000</f>
        <v>-0.75</v>
      </c>
      <c r="K226">
        <f>'Data Panjang Balok'!E223</f>
        <v>1</v>
      </c>
      <c r="L226">
        <f>SUMIFS('Besi Balok'!$AA$23:$AA$12292,'Besi Balok'!$A$23:$A$12292,$A226,'Besi Balok'!$B$23:$B$12292,$B226,'Besi Balok'!$F$23:$F$12292,'REKAP Balok'!L$12)</f>
        <v>0</v>
      </c>
      <c r="M226">
        <f>SUMIFS('Besi Balok'!$AA$23:$AA$12292,'Besi Balok'!$A$23:$A$12292,$A226,'Besi Balok'!$B$23:$B$12292,$B226,'Besi Balok'!$F$23:$F$12292,'REKAP Balok'!M$12)</f>
        <v>0</v>
      </c>
      <c r="N226">
        <f>SUMIFS('Besi Balok'!$AA$23:$AA$12292,'Besi Balok'!$A$23:$A$12292,$A226,'Besi Balok'!$B$23:$B$12292,$B226,'Besi Balok'!$F$23:$F$12292,'REKAP Balok'!N$12)</f>
        <v>17.85384</v>
      </c>
      <c r="O226">
        <f>SUMIFS('Besi Balok'!$AA$23:$AA$12292,'Besi Balok'!$A$23:$A$12292,$A226,'Besi Balok'!$B$23:$B$12292,$B226,'Besi Balok'!$F$23:$F$12292,'REKAP Balok'!O$12)</f>
        <v>146.88077976</v>
      </c>
      <c r="P226">
        <f>SUMIFS('Besi Balok'!$AA$23:$AA$12292,'Besi Balok'!$A$23:$A$12292,$A226,'Besi Balok'!$B$23:$B$12292,$B226,'Besi Balok'!$F$23:$F$12292,'REKAP Balok'!P$12)</f>
        <v>128.19096576</v>
      </c>
      <c r="Q226">
        <f>SUMIFS('Besi Balok'!$AA$23:$AA$12292,'Besi Balok'!$A$23:$A$12292,$A226,'Besi Balok'!$B$23:$B$12292,$B226,'Besi Balok'!$F$23:$F$12292,'REKAP Balok'!Q$12)</f>
        <v>0</v>
      </c>
      <c r="R226">
        <f>SUMIFS('Besi Balok'!$AA$23:$AA$12292,'Besi Balok'!$A$23:$A$12292,$A226,'Besi Balok'!$B$23:$B$12292,$B226,'Besi Balok'!$F$23:$F$12292,'REKAP Balok'!R$12)</f>
        <v>0</v>
      </c>
      <c r="S226">
        <f>SUMIFS('Besi Balok'!$AA$23:$AA$12292,'Besi Balok'!$A$23:$A$12292,$A226,'Besi Balok'!$B$23:$B$12292,$B226,'Besi Balok'!$F$23:$F$12292,'REKAP Balok'!S$12)</f>
        <v>0</v>
      </c>
      <c r="T226">
        <f>SUMIFS('Besi Balok'!$AA$23:$AA$12292,'Besi Balok'!$A$23:$A$12292,$A226,'Besi Balok'!$B$23:$B$12292,$B226,'Besi Balok'!$F$23:$F$12292,'REKAP Balok'!T$12)</f>
        <v>0</v>
      </c>
      <c r="U226">
        <f>SUM(L226:T226)</f>
        <v>292.92558552</v>
      </c>
      <c r="V226">
        <f>(D226*(F226-H226)*G226*K226)/1000000000</f>
        <v>1.736</v>
      </c>
      <c r="W226">
        <f>(((F226-H226)*2+D226)*(G226)*K226)/1000000</f>
        <v>11.48</v>
      </c>
      <c r="AC226">
        <f>(D226+2*$F$5)*F226*G226/1000000000</f>
        <v>3.15</v>
      </c>
    </row>
    <row r="227">
      <c r="A227" t="str">
        <f>'Data Panjang Balok'!A224</f>
        <v>Lantai 2</v>
      </c>
      <c r="B227">
        <f>'Data Panjang Balok'!B224</f>
        <v>17</v>
      </c>
      <c r="C227" t="str">
        <f>'Data Panjang Balok'!D224</f>
        <v>B257-1</v>
      </c>
      <c r="D227">
        <f>IF(C227&gt;0,VLOOKUP(C227,'Detail Balok'!$C$11:$AU$110,2,FALSE),0)</f>
        <v>250</v>
      </c>
      <c r="E227" t="str">
        <v>x</v>
      </c>
      <c r="F227">
        <f>IF(C227&gt;0,VLOOKUP(C227,'Detail Balok'!$C$11:$AU$110,3,FALSE),0)</f>
        <v>700</v>
      </c>
      <c r="G227">
        <f>'Data Panjang Balok'!I224</f>
        <v>5000</v>
      </c>
      <c r="H227">
        <f>'Data Panjang Balok'!J224</f>
        <v>130</v>
      </c>
      <c r="J227">
        <f>I227-F227/1000</f>
        <v>-0.7</v>
      </c>
      <c r="K227">
        <f>'Data Panjang Balok'!E224</f>
        <v>1</v>
      </c>
      <c r="L227">
        <f>SUMIFS('Besi Balok'!$AA$23:$AA$12292,'Besi Balok'!$A$23:$A$12292,$A227,'Besi Balok'!$B$23:$B$12292,$B227,'Besi Balok'!$F$23:$F$12292,'REKAP Balok'!L$12)</f>
        <v>0</v>
      </c>
      <c r="M227">
        <f>SUMIFS('Besi Balok'!$AA$23:$AA$12292,'Besi Balok'!$A$23:$A$12292,$A227,'Besi Balok'!$B$23:$B$12292,$B227,'Besi Balok'!$F$23:$F$12292,'REKAP Balok'!M$12)</f>
        <v>0</v>
      </c>
      <c r="N227">
        <f>SUMIFS('Besi Balok'!$AA$23:$AA$12292,'Besi Balok'!$A$23:$A$12292,$A227,'Besi Balok'!$B$23:$B$12292,$B227,'Besi Balok'!$F$23:$F$12292,'REKAP Balok'!N$12)</f>
        <v>50.189265000000006</v>
      </c>
      <c r="O227">
        <f>SUMIFS('Besi Balok'!$AA$23:$AA$12292,'Besi Balok'!$A$23:$A$12292,$A227,'Besi Balok'!$B$23:$B$12292,$B227,'Besi Balok'!$F$23:$F$12292,'REKAP Balok'!O$12)</f>
        <v>0</v>
      </c>
      <c r="P227">
        <f>SUMIFS('Besi Balok'!$AA$23:$AA$12292,'Besi Balok'!$A$23:$A$12292,$A227,'Besi Balok'!$B$23:$B$12292,$B227,'Besi Balok'!$F$23:$F$12292,'REKAP Balok'!P$12)</f>
        <v>50.983464960000006</v>
      </c>
      <c r="Q227">
        <f>SUMIFS('Besi Balok'!$AA$23:$AA$12292,'Besi Balok'!$A$23:$A$12292,$A227,'Besi Balok'!$B$23:$B$12292,$B227,'Besi Balok'!$F$23:$F$12292,'REKAP Balok'!Q$12)</f>
        <v>0</v>
      </c>
      <c r="R227">
        <f>SUMIFS('Besi Balok'!$AA$23:$AA$12292,'Besi Balok'!$A$23:$A$12292,$A227,'Besi Balok'!$B$23:$B$12292,$B227,'Besi Balok'!$F$23:$F$12292,'REKAP Balok'!R$12)</f>
        <v>0</v>
      </c>
      <c r="S227">
        <f>SUMIFS('Besi Balok'!$AA$23:$AA$12292,'Besi Balok'!$A$23:$A$12292,$A227,'Besi Balok'!$B$23:$B$12292,$B227,'Besi Balok'!$F$23:$F$12292,'REKAP Balok'!S$12)</f>
        <v>0</v>
      </c>
      <c r="T227">
        <f>SUMIFS('Besi Balok'!$AA$23:$AA$12292,'Besi Balok'!$A$23:$A$12292,$A227,'Besi Balok'!$B$23:$B$12292,$B227,'Besi Balok'!$F$23:$F$12292,'REKAP Balok'!T$12)</f>
        <v>0</v>
      </c>
      <c r="U227">
        <f>SUM(L227:T227)</f>
        <v>101.17272996000001</v>
      </c>
      <c r="V227">
        <f>(D227*(F227-H227)*G227*K227)/1000000000</f>
        <v>0.7125</v>
      </c>
      <c r="W227">
        <f>(((F227-H227)*2+D227)*(G227)*K227)/1000000</f>
        <v>6.95</v>
      </c>
      <c r="AC227">
        <f>(D227+2*$F$5)*F227*G227/1000000000</f>
        <v>1.575</v>
      </c>
    </row>
    <row r="228">
      <c r="A228" t="str">
        <f>'Data Panjang Balok'!A225</f>
        <v>Lantai 2</v>
      </c>
      <c r="B228">
        <f>'Data Panjang Balok'!B225</f>
        <v>18</v>
      </c>
      <c r="C228" t="str">
        <f>'Data Panjang Balok'!D225</f>
        <v>Potongan F</v>
      </c>
      <c r="D228">
        <f>IF(C228&gt;0,VLOOKUP(C228,'Detail Balok'!$C$11:$AU$110,2,FALSE),0)</f>
        <v>200</v>
      </c>
      <c r="E228" t="str">
        <v>x</v>
      </c>
      <c r="F228">
        <f>IF(C228&gt;0,VLOOKUP(C228,'Detail Balok'!$C$11:$AU$110,3,FALSE),0)</f>
        <v>450</v>
      </c>
      <c r="G228">
        <f>'Data Panjang Balok'!I225</f>
        <v>1100</v>
      </c>
      <c r="H228">
        <f>'Data Panjang Balok'!J225</f>
        <v>130</v>
      </c>
      <c r="J228">
        <f>I228-F228/1000</f>
        <v>-0.45</v>
      </c>
      <c r="K228">
        <f>'Data Panjang Balok'!E225</f>
        <v>1</v>
      </c>
      <c r="L228">
        <f>SUMIFS('Besi Balok'!$AA$23:$AA$12292,'Besi Balok'!$A$23:$A$12292,$A228,'Besi Balok'!$B$23:$B$12292,$B228,'Besi Balok'!$F$23:$F$12292,'REKAP Balok'!L$12)</f>
        <v>0</v>
      </c>
      <c r="M228">
        <f>SUMIFS('Besi Balok'!$AA$23:$AA$12292,'Besi Balok'!$A$23:$A$12292,$A228,'Besi Balok'!$B$23:$B$12292,$B228,'Besi Balok'!$F$23:$F$12292,'REKAP Balok'!M$12)</f>
        <v>0</v>
      </c>
      <c r="N228">
        <f>SUMIFS('Besi Balok'!$AA$23:$AA$12292,'Besi Balok'!$A$23:$A$12292,$A228,'Besi Balok'!$B$23:$B$12292,$B228,'Besi Balok'!$F$23:$F$12292,'REKAP Balok'!N$12)</f>
        <v>10.011959999999998</v>
      </c>
      <c r="O228">
        <f>SUMIFS('Besi Balok'!$AA$23:$AA$12292,'Besi Balok'!$A$23:$A$12292,$A228,'Besi Balok'!$B$23:$B$12292,$B228,'Besi Balok'!$F$23:$F$12292,'REKAP Balok'!O$12)</f>
        <v>0</v>
      </c>
      <c r="P228">
        <f>SUMIFS('Besi Balok'!$AA$23:$AA$12292,'Besi Balok'!$A$23:$A$12292,$A228,'Besi Balok'!$B$23:$B$12292,$B228,'Besi Balok'!$F$23:$F$12292,'REKAP Balok'!P$12)</f>
        <v>18.736865280000004</v>
      </c>
      <c r="Q228">
        <f>SUMIFS('Besi Balok'!$AA$23:$AA$12292,'Besi Balok'!$A$23:$A$12292,$A228,'Besi Balok'!$B$23:$B$12292,$B228,'Besi Balok'!$F$23:$F$12292,'REKAP Balok'!Q$12)</f>
        <v>0</v>
      </c>
      <c r="R228">
        <f>SUMIFS('Besi Balok'!$AA$23:$AA$12292,'Besi Balok'!$A$23:$A$12292,$A228,'Besi Balok'!$B$23:$B$12292,$B228,'Besi Balok'!$F$23:$F$12292,'REKAP Balok'!R$12)</f>
        <v>0</v>
      </c>
      <c r="S228">
        <f>SUMIFS('Besi Balok'!$AA$23:$AA$12292,'Besi Balok'!$A$23:$A$12292,$A228,'Besi Balok'!$B$23:$B$12292,$B228,'Besi Balok'!$F$23:$F$12292,'REKAP Balok'!S$12)</f>
        <v>0</v>
      </c>
      <c r="T228">
        <f>SUMIFS('Besi Balok'!$AA$23:$AA$12292,'Besi Balok'!$A$23:$A$12292,$A228,'Besi Balok'!$B$23:$B$12292,$B228,'Besi Balok'!$F$23:$F$12292,'REKAP Balok'!T$12)</f>
        <v>0</v>
      </c>
      <c r="U228">
        <f>SUM(L228:T228)</f>
        <v>28.748825280000002</v>
      </c>
      <c r="V228">
        <f>(D228*(F228-H228)*G228*K228)/1000000000</f>
        <v>0.0704</v>
      </c>
      <c r="W228">
        <f>(((F228-H228)*2+D228)*(G228)*K228)/1000000</f>
        <v>0.924</v>
      </c>
      <c r="AC228">
        <f>(D228+2*$F$5)*F228*G228/1000000000</f>
        <v>0.198</v>
      </c>
    </row>
    <row r="229">
      <c r="A229" t="str">
        <f>'Data Panjang Balok'!A226</f>
        <v>Lantai 2</v>
      </c>
      <c r="B229">
        <f>'Data Panjang Balok'!B226</f>
        <v>19</v>
      </c>
      <c r="C229" t="str">
        <f>'Data Panjang Balok'!D226</f>
        <v>B257-2</v>
      </c>
      <c r="D229">
        <f>IF(C229&gt;0,VLOOKUP(C229,'Detail Balok'!$C$11:$AU$110,2,FALSE),0)</f>
        <v>250</v>
      </c>
      <c r="E229" t="str">
        <v>x</v>
      </c>
      <c r="F229">
        <f>IF(C229&gt;0,VLOOKUP(C229,'Detail Balok'!$C$11:$AU$110,3,FALSE),0)</f>
        <v>700</v>
      </c>
      <c r="G229">
        <f>'Data Panjang Balok'!I226</f>
        <v>11000</v>
      </c>
      <c r="H229">
        <f>'Data Panjang Balok'!J226</f>
        <v>130</v>
      </c>
      <c r="J229">
        <f>I229-F229/1000</f>
        <v>-0.7</v>
      </c>
      <c r="K229">
        <f>'Data Panjang Balok'!E226</f>
        <v>1</v>
      </c>
      <c r="L229">
        <f>SUMIFS('Besi Balok'!$AA$23:$AA$12292,'Besi Balok'!$A$23:$A$12292,$A229,'Besi Balok'!$B$23:$B$12292,$B229,'Besi Balok'!$F$23:$F$12292,'REKAP Balok'!L$12)</f>
        <v>0</v>
      </c>
      <c r="M229">
        <f>SUMIFS('Besi Balok'!$AA$23:$AA$12292,'Besi Balok'!$A$23:$A$12292,$A229,'Besi Balok'!$B$23:$B$12292,$B229,'Besi Balok'!$F$23:$F$12292,'REKAP Balok'!M$12)</f>
        <v>0</v>
      </c>
      <c r="N229">
        <f>SUMIFS('Besi Balok'!$AA$23:$AA$12292,'Besi Balok'!$A$23:$A$12292,$A229,'Besi Balok'!$B$23:$B$12292,$B229,'Besi Balok'!$F$23:$F$12292,'REKAP Balok'!N$12)</f>
        <v>118.38033</v>
      </c>
      <c r="O229">
        <f>SUMIFS('Besi Balok'!$AA$23:$AA$12292,'Besi Balok'!$A$23:$A$12292,$A229,'Besi Balok'!$B$23:$B$12292,$B229,'Besi Balok'!$F$23:$F$12292,'REKAP Balok'!O$12)</f>
        <v>0</v>
      </c>
      <c r="P229">
        <f>SUMIFS('Besi Balok'!$AA$23:$AA$12292,'Besi Balok'!$A$23:$A$12292,$A229,'Besi Balok'!$B$23:$B$12292,$B229,'Besi Balok'!$F$23:$F$12292,'REKAP Balok'!P$12)</f>
        <v>0</v>
      </c>
      <c r="Q229">
        <f>SUMIFS('Besi Balok'!$AA$23:$AA$12292,'Besi Balok'!$A$23:$A$12292,$A229,'Besi Balok'!$B$23:$B$12292,$B229,'Besi Balok'!$F$23:$F$12292,'REKAP Balok'!Q$12)</f>
        <v>0</v>
      </c>
      <c r="R229">
        <f>SUMIFS('Besi Balok'!$AA$23:$AA$12292,'Besi Balok'!$A$23:$A$12292,$A229,'Besi Balok'!$B$23:$B$12292,$B229,'Besi Balok'!$F$23:$F$12292,'REKAP Balok'!R$12)</f>
        <v>266.25579552</v>
      </c>
      <c r="S229">
        <f>SUMIFS('Besi Balok'!$AA$23:$AA$12292,'Besi Balok'!$A$23:$A$12292,$A229,'Besi Balok'!$B$23:$B$12292,$B229,'Besi Balok'!$F$23:$F$12292,'REKAP Balok'!S$12)</f>
        <v>0</v>
      </c>
      <c r="T229">
        <f>SUMIFS('Besi Balok'!$AA$23:$AA$12292,'Besi Balok'!$A$23:$A$12292,$A229,'Besi Balok'!$B$23:$B$12292,$B229,'Besi Balok'!$F$23:$F$12292,'REKAP Balok'!T$12)</f>
        <v>0</v>
      </c>
      <c r="U229">
        <f>SUM(L229:T229)</f>
        <v>384.63612552</v>
      </c>
      <c r="V229">
        <f>(D229*(F229-H229)*G229*K229)/1000000000</f>
        <v>1.5675</v>
      </c>
      <c r="W229">
        <f>(((F229-H229)*2+D229)*(G229)*K229)/1000000</f>
        <v>15.29</v>
      </c>
      <c r="AC229">
        <f>(D229+2*$F$5)*F229*G229/1000000000</f>
        <v>3.465</v>
      </c>
    </row>
    <row r="230">
      <c r="A230" t="str">
        <f>'Data Panjang Balok'!A227</f>
        <v>Lantai 2</v>
      </c>
      <c r="B230">
        <f>'Data Panjang Balok'!B227</f>
        <v>20</v>
      </c>
      <c r="C230" t="str">
        <f>'Data Panjang Balok'!D227</f>
        <v>B245-3</v>
      </c>
      <c r="D230">
        <f>IF(C230&gt;0,VLOOKUP(C230,'Detail Balok'!$C$11:$AU$110,2,FALSE),0)</f>
        <v>200</v>
      </c>
      <c r="E230" t="str">
        <v>x</v>
      </c>
      <c r="F230">
        <f>IF(C230&gt;0,VLOOKUP(C230,'Detail Balok'!$C$11:$AU$110,3,FALSE),0)</f>
        <v>450</v>
      </c>
      <c r="G230">
        <f>'Data Panjang Balok'!I227</f>
        <v>1100</v>
      </c>
      <c r="H230">
        <f>'Data Panjang Balok'!J227</f>
        <v>130</v>
      </c>
      <c r="J230">
        <f>I230-F230/1000</f>
        <v>-0.45</v>
      </c>
      <c r="K230">
        <f>'Data Panjang Balok'!E227</f>
        <v>1</v>
      </c>
      <c r="L230">
        <f>SUMIFS('Besi Balok'!$AA$23:$AA$12292,'Besi Balok'!$A$23:$A$12292,$A230,'Besi Balok'!$B$23:$B$12292,$B230,'Besi Balok'!$F$23:$F$12292,'REKAP Balok'!L$12)</f>
        <v>0</v>
      </c>
      <c r="M230">
        <f>SUMIFS('Besi Balok'!$AA$23:$AA$12292,'Besi Balok'!$A$23:$A$12292,$A230,'Besi Balok'!$B$23:$B$12292,$B230,'Besi Balok'!$F$23:$F$12292,'REKAP Balok'!M$12)</f>
        <v>0</v>
      </c>
      <c r="N230">
        <f>SUMIFS('Besi Balok'!$AA$23:$AA$12292,'Besi Balok'!$A$23:$A$12292,$A230,'Besi Balok'!$B$23:$B$12292,$B230,'Besi Balok'!$F$23:$F$12292,'REKAP Balok'!N$12)</f>
        <v>10.708604999999999</v>
      </c>
      <c r="O230">
        <f>SUMIFS('Besi Balok'!$AA$23:$AA$12292,'Besi Balok'!$A$23:$A$12292,$A230,'Besi Balok'!$B$23:$B$12292,$B230,'Besi Balok'!$F$23:$F$12292,'REKAP Balok'!O$12)</f>
        <v>0</v>
      </c>
      <c r="P230">
        <f>SUMIFS('Besi Balok'!$AA$23:$AA$12292,'Besi Balok'!$A$23:$A$12292,$A230,'Besi Balok'!$B$23:$B$12292,$B230,'Besi Balok'!$F$23:$F$12292,'REKAP Balok'!P$12)</f>
        <v>9.368432640000002</v>
      </c>
      <c r="Q230">
        <f>SUMIFS('Besi Balok'!$AA$23:$AA$12292,'Besi Balok'!$A$23:$A$12292,$A230,'Besi Balok'!$B$23:$B$12292,$B230,'Besi Balok'!$F$23:$F$12292,'REKAP Balok'!Q$12)</f>
        <v>0</v>
      </c>
      <c r="R230">
        <f>SUMIFS('Besi Balok'!$AA$23:$AA$12292,'Besi Balok'!$A$23:$A$12292,$A230,'Besi Balok'!$B$23:$B$12292,$B230,'Besi Balok'!$F$23:$F$12292,'REKAP Balok'!R$12)</f>
        <v>0</v>
      </c>
      <c r="S230">
        <f>SUMIFS('Besi Balok'!$AA$23:$AA$12292,'Besi Balok'!$A$23:$A$12292,$A230,'Besi Balok'!$B$23:$B$12292,$B230,'Besi Balok'!$F$23:$F$12292,'REKAP Balok'!S$12)</f>
        <v>0</v>
      </c>
      <c r="T230">
        <f>SUMIFS('Besi Balok'!$AA$23:$AA$12292,'Besi Balok'!$A$23:$A$12292,$A230,'Besi Balok'!$B$23:$B$12292,$B230,'Besi Balok'!$F$23:$F$12292,'REKAP Balok'!T$12)</f>
        <v>0</v>
      </c>
      <c r="U230">
        <f>SUM(L230:T230)</f>
        <v>20.07703764</v>
      </c>
      <c r="V230">
        <f>(D230*(F230-H230)*G230*K230)/1000000000</f>
        <v>0.0704</v>
      </c>
      <c r="W230">
        <f>(((F230-H230)*2+D230)*(G230)*K230)/1000000</f>
        <v>0.924</v>
      </c>
      <c r="AC230">
        <f>(D230+2*$F$5)*F230*G230/1000000000</f>
        <v>0.198</v>
      </c>
    </row>
    <row r="231">
      <c r="A231" t="str">
        <f>'Data Panjang Balok'!A228</f>
        <v>Lantai 2</v>
      </c>
      <c r="B231">
        <f>'Data Panjang Balok'!B228</f>
        <v>21</v>
      </c>
      <c r="C231" t="str">
        <f>'Data Panjang Balok'!D228</f>
        <v>B245-7</v>
      </c>
      <c r="D231">
        <f>IF(C231&gt;0,VLOOKUP(C231,'Detail Balok'!$C$11:$AU$110,2,FALSE),0)</f>
        <v>200</v>
      </c>
      <c r="E231" t="str">
        <v>x</v>
      </c>
      <c r="F231">
        <f>IF(C231&gt;0,VLOOKUP(C231,'Detail Balok'!$C$11:$AU$110,3,FALSE),0)</f>
        <v>450</v>
      </c>
      <c r="G231">
        <f>'Data Panjang Balok'!I228</f>
        <v>6100</v>
      </c>
      <c r="H231">
        <f>'Data Panjang Balok'!J228</f>
        <v>130</v>
      </c>
      <c r="J231">
        <f>I231-F231/1000</f>
        <v>-0.45</v>
      </c>
      <c r="K231">
        <f>'Data Panjang Balok'!E228</f>
        <v>1</v>
      </c>
      <c r="L231">
        <f>SUMIFS('Besi Balok'!$AA$23:$AA$12292,'Besi Balok'!$A$23:$A$12292,$A231,'Besi Balok'!$B$23:$B$12292,$B231,'Besi Balok'!$F$23:$F$12292,'REKAP Balok'!L$12)</f>
        <v>0</v>
      </c>
      <c r="M231">
        <f>SUMIFS('Besi Balok'!$AA$23:$AA$12292,'Besi Balok'!$A$23:$A$12292,$A231,'Besi Balok'!$B$23:$B$12292,$B231,'Besi Balok'!$F$23:$F$12292,'REKAP Balok'!M$12)</f>
        <v>21.46169664</v>
      </c>
      <c r="N231">
        <f>SUMIFS('Besi Balok'!$AA$23:$AA$12292,'Besi Balok'!$A$23:$A$12292,$A231,'Besi Balok'!$B$23:$B$12292,$B231,'Besi Balok'!$F$23:$F$12292,'REKAP Balok'!N$12)</f>
        <v>0</v>
      </c>
      <c r="O231">
        <f>SUMIFS('Besi Balok'!$AA$23:$AA$12292,'Besi Balok'!$A$23:$A$12292,$A231,'Besi Balok'!$B$23:$B$12292,$B231,'Besi Balok'!$F$23:$F$12292,'REKAP Balok'!O$12)</f>
        <v>0</v>
      </c>
      <c r="P231">
        <f>SUMIFS('Besi Balok'!$AA$23:$AA$12292,'Besi Balok'!$A$23:$A$12292,$A231,'Besi Balok'!$B$23:$B$12292,$B231,'Besi Balok'!$F$23:$F$12292,'REKAP Balok'!P$12)</f>
        <v>0</v>
      </c>
      <c r="Q231">
        <f>SUMIFS('Besi Balok'!$AA$23:$AA$12292,'Besi Balok'!$A$23:$A$12292,$A231,'Besi Balok'!$B$23:$B$12292,$B231,'Besi Balok'!$F$23:$F$12292,'REKAP Balok'!Q$12)</f>
        <v>91.09682658</v>
      </c>
      <c r="R231">
        <f>SUMIFS('Besi Balok'!$AA$23:$AA$12292,'Besi Balok'!$A$23:$A$12292,$A231,'Besi Balok'!$B$23:$B$12292,$B231,'Besi Balok'!$F$23:$F$12292,'REKAP Balok'!R$12)</f>
        <v>0</v>
      </c>
      <c r="S231">
        <f>SUMIFS('Besi Balok'!$AA$23:$AA$12292,'Besi Balok'!$A$23:$A$12292,$A231,'Besi Balok'!$B$23:$B$12292,$B231,'Besi Balok'!$F$23:$F$12292,'REKAP Balok'!S$12)</f>
        <v>0</v>
      </c>
      <c r="T231">
        <f>SUMIFS('Besi Balok'!$AA$23:$AA$12292,'Besi Balok'!$A$23:$A$12292,$A231,'Besi Balok'!$B$23:$B$12292,$B231,'Besi Balok'!$F$23:$F$12292,'REKAP Balok'!T$12)</f>
        <v>0</v>
      </c>
      <c r="U231">
        <f>SUM(L231:T231)</f>
        <v>112.55852322</v>
      </c>
      <c r="V231">
        <f>(D231*(F231-H231)*G231*K231)/1000000000</f>
        <v>0.3904</v>
      </c>
      <c r="W231">
        <f>(((F231-H231)*2+D231)*(G231)*K231)/1000000</f>
        <v>5.124</v>
      </c>
      <c r="AC231">
        <f>(D231+2*$F$5)*F231*G231/1000000000</f>
        <v>1.098</v>
      </c>
    </row>
    <row r="232">
      <c r="A232" t="str">
        <f>'Data Panjang Balok'!A229</f>
        <v>Lantai 2</v>
      </c>
      <c r="B232">
        <f>'Data Panjang Balok'!B229</f>
        <v>22</v>
      </c>
      <c r="C232" t="str">
        <f>'Data Panjang Balok'!D229</f>
        <v>B245-1</v>
      </c>
      <c r="D232">
        <f>IF(C232&gt;0,VLOOKUP(C232,'Detail Balok'!$C$11:$AU$110,2,FALSE),0)</f>
        <v>200</v>
      </c>
      <c r="E232" t="str">
        <v>x</v>
      </c>
      <c r="F232">
        <f>IF(C232&gt;0,VLOOKUP(C232,'Detail Balok'!$C$11:$AU$110,3,FALSE),0)</f>
        <v>450</v>
      </c>
      <c r="G232">
        <f>'Data Panjang Balok'!I229</f>
        <v>7215</v>
      </c>
      <c r="H232">
        <f>'Data Panjang Balok'!J229</f>
        <v>0</v>
      </c>
      <c r="J232">
        <f>I232-F232/1000</f>
        <v>-0.45</v>
      </c>
      <c r="K232">
        <f>'Data Panjang Balok'!E229</f>
        <v>1</v>
      </c>
      <c r="L232">
        <f>SUMIFS('Besi Balok'!$AA$23:$AA$12292,'Besi Balok'!$A$23:$A$12292,$A232,'Besi Balok'!$B$23:$B$12292,$B232,'Besi Balok'!$F$23:$F$12292,'REKAP Balok'!L$12)</f>
        <v>0</v>
      </c>
      <c r="M232">
        <f>SUMIFS('Besi Balok'!$AA$23:$AA$12292,'Besi Balok'!$A$23:$A$12292,$A232,'Besi Balok'!$B$23:$B$12292,$B232,'Besi Balok'!$F$23:$F$12292,'REKAP Balok'!M$12)</f>
        <v>30.81276864</v>
      </c>
      <c r="N232">
        <f>SUMIFS('Besi Balok'!$AA$23:$AA$12292,'Besi Balok'!$A$23:$A$12292,$A232,'Besi Balok'!$B$23:$B$12292,$B232,'Besi Balok'!$F$23:$F$12292,'REKAP Balok'!N$12)</f>
        <v>0</v>
      </c>
      <c r="O232">
        <f>SUMIFS('Besi Balok'!$AA$23:$AA$12292,'Besi Balok'!$A$23:$A$12292,$A232,'Besi Balok'!$B$23:$B$12292,$B232,'Besi Balok'!$F$23:$F$12292,'REKAP Balok'!O$12)</f>
        <v>31.369073579999995</v>
      </c>
      <c r="P232">
        <f>SUMIFS('Besi Balok'!$AA$23:$AA$12292,'Besi Balok'!$A$23:$A$12292,$A232,'Besi Balok'!$B$23:$B$12292,$B232,'Besi Balok'!$F$23:$F$12292,'REKAP Balok'!P$12)</f>
        <v>0</v>
      </c>
      <c r="Q232">
        <f>SUMIFS('Besi Balok'!$AA$23:$AA$12292,'Besi Balok'!$A$23:$A$12292,$A232,'Besi Balok'!$B$23:$B$12292,$B232,'Besi Balok'!$F$23:$F$12292,'REKAP Balok'!Q$12)</f>
        <v>0</v>
      </c>
      <c r="R232">
        <f>SUMIFS('Besi Balok'!$AA$23:$AA$12292,'Besi Balok'!$A$23:$A$12292,$A232,'Besi Balok'!$B$23:$B$12292,$B232,'Besi Balok'!$F$23:$F$12292,'REKAP Balok'!R$12)</f>
        <v>0</v>
      </c>
      <c r="S232">
        <f>SUMIFS('Besi Balok'!$AA$23:$AA$12292,'Besi Balok'!$A$23:$A$12292,$A232,'Besi Balok'!$B$23:$B$12292,$B232,'Besi Balok'!$F$23:$F$12292,'REKAP Balok'!S$12)</f>
        <v>0</v>
      </c>
      <c r="T232">
        <f>SUMIFS('Besi Balok'!$AA$23:$AA$12292,'Besi Balok'!$A$23:$A$12292,$A232,'Besi Balok'!$B$23:$B$12292,$B232,'Besi Balok'!$F$23:$F$12292,'REKAP Balok'!T$12)</f>
        <v>0</v>
      </c>
      <c r="U232">
        <f>SUM(L232:T232)</f>
        <v>62.18184221999999</v>
      </c>
      <c r="V232">
        <f>(D232*(F232-H232)*G232*K232)/1000000000</f>
        <v>0.64935</v>
      </c>
      <c r="W232">
        <f>(((F232-H232)*2+D232)*(G232)*K232)/1000000</f>
        <v>7.9365</v>
      </c>
      <c r="AC232">
        <f>(D232+2*$F$5)*F232*G232/1000000000</f>
        <v>1.2987</v>
      </c>
    </row>
    <row r="233">
      <c r="A233" t="str">
        <f>'Data Panjang Balok'!A230</f>
        <v>Lantai 2</v>
      </c>
      <c r="B233">
        <f>'Data Panjang Balok'!B230</f>
        <v>23</v>
      </c>
      <c r="C233" t="str">
        <f>'Data Panjang Balok'!D230</f>
        <v>B245-1</v>
      </c>
      <c r="D233">
        <f>IF(C233&gt;0,VLOOKUP(C233,'Detail Balok'!$C$11:$AU$110,2,FALSE),0)</f>
        <v>200</v>
      </c>
      <c r="E233" t="str">
        <v>x</v>
      </c>
      <c r="F233">
        <f>IF(C233&gt;0,VLOOKUP(C233,'Detail Balok'!$C$11:$AU$110,3,FALSE),0)</f>
        <v>450</v>
      </c>
      <c r="G233">
        <f>'Data Panjang Balok'!I230</f>
        <v>9300</v>
      </c>
      <c r="H233">
        <f>'Data Panjang Balok'!J230</f>
        <v>0</v>
      </c>
      <c r="J233">
        <f>I233-F233/1000</f>
        <v>-0.45</v>
      </c>
      <c r="K233">
        <f>'Data Panjang Balok'!E230</f>
        <v>1</v>
      </c>
      <c r="L233">
        <f>SUMIFS('Besi Balok'!$AA$23:$AA$12292,'Besi Balok'!$A$23:$A$12292,$A233,'Besi Balok'!$B$23:$B$12292,$B233,'Besi Balok'!$F$23:$F$12292,'REKAP Balok'!L$12)</f>
        <v>0</v>
      </c>
      <c r="M233">
        <f>SUMIFS('Besi Balok'!$AA$23:$AA$12292,'Besi Balok'!$A$23:$A$12292,$A233,'Besi Balok'!$B$23:$B$12292,$B233,'Besi Balok'!$F$23:$F$12292,'REKAP Balok'!M$12)</f>
        <v>39.14587584</v>
      </c>
      <c r="N233">
        <f>SUMIFS('Besi Balok'!$AA$23:$AA$12292,'Besi Balok'!$A$23:$A$12292,$A233,'Besi Balok'!$B$23:$B$12292,$B233,'Besi Balok'!$F$23:$F$12292,'REKAP Balok'!N$12)</f>
        <v>0</v>
      </c>
      <c r="O233">
        <f>SUMIFS('Besi Balok'!$AA$23:$AA$12292,'Besi Balok'!$A$23:$A$12292,$A233,'Besi Balok'!$B$23:$B$12292,$B233,'Besi Balok'!$F$23:$F$12292,'REKAP Balok'!O$12)</f>
        <v>40.05839448</v>
      </c>
      <c r="P233">
        <f>SUMIFS('Besi Balok'!$AA$23:$AA$12292,'Besi Balok'!$A$23:$A$12292,$A233,'Besi Balok'!$B$23:$B$12292,$B233,'Besi Balok'!$F$23:$F$12292,'REKAP Balok'!P$12)</f>
        <v>0</v>
      </c>
      <c r="Q233">
        <f>SUMIFS('Besi Balok'!$AA$23:$AA$12292,'Besi Balok'!$A$23:$A$12292,$A233,'Besi Balok'!$B$23:$B$12292,$B233,'Besi Balok'!$F$23:$F$12292,'REKAP Balok'!Q$12)</f>
        <v>0</v>
      </c>
      <c r="R233">
        <f>SUMIFS('Besi Balok'!$AA$23:$AA$12292,'Besi Balok'!$A$23:$A$12292,$A233,'Besi Balok'!$B$23:$B$12292,$B233,'Besi Balok'!$F$23:$F$12292,'REKAP Balok'!R$12)</f>
        <v>0</v>
      </c>
      <c r="S233">
        <f>SUMIFS('Besi Balok'!$AA$23:$AA$12292,'Besi Balok'!$A$23:$A$12292,$A233,'Besi Balok'!$B$23:$B$12292,$B233,'Besi Balok'!$F$23:$F$12292,'REKAP Balok'!S$12)</f>
        <v>0</v>
      </c>
      <c r="T233">
        <f>SUMIFS('Besi Balok'!$AA$23:$AA$12292,'Besi Balok'!$A$23:$A$12292,$A233,'Besi Balok'!$B$23:$B$12292,$B233,'Besi Balok'!$F$23:$F$12292,'REKAP Balok'!T$12)</f>
        <v>0</v>
      </c>
      <c r="U233">
        <f>SUM(L233:T233)</f>
        <v>79.20427032</v>
      </c>
      <c r="V233">
        <f>(D233*(F233-H233)*G233*K233)/1000000000</f>
        <v>0.837</v>
      </c>
      <c r="W233">
        <f>(((F233-H233)*2+D233)*(G233)*K233)/1000000</f>
        <v>10.23</v>
      </c>
      <c r="AC233">
        <f>(D233+2*$F$5)*F233*G233/1000000000</f>
        <v>1.674</v>
      </c>
    </row>
    <row r="234">
      <c r="A234" t="str">
        <f>'Data Panjang Balok'!A231</f>
        <v>Lantai 2</v>
      </c>
      <c r="B234">
        <f>'Data Panjang Balok'!B231</f>
        <v>24</v>
      </c>
      <c r="C234" t="str">
        <f>'Data Panjang Balok'!D231</f>
        <v>B245-1</v>
      </c>
      <c r="D234">
        <f>IF(C234&gt;0,VLOOKUP(C234,'Detail Balok'!$C$11:$AU$110,2,FALSE),0)</f>
        <v>200</v>
      </c>
      <c r="E234" t="str">
        <v>x</v>
      </c>
      <c r="F234">
        <f>IF(C234&gt;0,VLOOKUP(C234,'Detail Balok'!$C$11:$AU$110,3,FALSE),0)</f>
        <v>450</v>
      </c>
      <c r="G234">
        <f>'Data Panjang Balok'!I231</f>
        <v>5800</v>
      </c>
      <c r="H234">
        <f>'Data Panjang Balok'!J231</f>
        <v>0</v>
      </c>
      <c r="J234">
        <f>I234-F234/1000</f>
        <v>-0.45</v>
      </c>
      <c r="K234">
        <f>'Data Panjang Balok'!E231</f>
        <v>1</v>
      </c>
      <c r="L234">
        <f>SUMIFS('Besi Balok'!$AA$23:$AA$12292,'Besi Balok'!$A$23:$A$12292,$A234,'Besi Balok'!$B$23:$B$12292,$B234,'Besi Balok'!$F$23:$F$12292,'REKAP Balok'!L$12)</f>
        <v>0</v>
      </c>
      <c r="M234">
        <f>SUMIFS('Besi Balok'!$AA$23:$AA$12292,'Besi Balok'!$A$23:$A$12292,$A234,'Besi Balok'!$B$23:$B$12292,$B234,'Besi Balok'!$F$23:$F$12292,'REKAP Balok'!M$12)</f>
        <v>25.68348864</v>
      </c>
      <c r="N234">
        <f>SUMIFS('Besi Balok'!$AA$23:$AA$12292,'Besi Balok'!$A$23:$A$12292,$A234,'Besi Balok'!$B$23:$B$12292,$B234,'Besi Balok'!$F$23:$F$12292,'REKAP Balok'!N$12)</f>
        <v>0</v>
      </c>
      <c r="O234">
        <f>SUMIFS('Besi Balok'!$AA$23:$AA$12292,'Besi Balok'!$A$23:$A$12292,$A234,'Besi Balok'!$B$23:$B$12292,$B234,'Besi Balok'!$F$23:$F$12292,'REKAP Balok'!O$12)</f>
        <v>25.47200448</v>
      </c>
      <c r="P234">
        <f>SUMIFS('Besi Balok'!$AA$23:$AA$12292,'Besi Balok'!$A$23:$A$12292,$A234,'Besi Balok'!$B$23:$B$12292,$B234,'Besi Balok'!$F$23:$F$12292,'REKAP Balok'!P$12)</f>
        <v>0</v>
      </c>
      <c r="Q234">
        <f>SUMIFS('Besi Balok'!$AA$23:$AA$12292,'Besi Balok'!$A$23:$A$12292,$A234,'Besi Balok'!$B$23:$B$12292,$B234,'Besi Balok'!$F$23:$F$12292,'REKAP Balok'!Q$12)</f>
        <v>0</v>
      </c>
      <c r="R234">
        <f>SUMIFS('Besi Balok'!$AA$23:$AA$12292,'Besi Balok'!$A$23:$A$12292,$A234,'Besi Balok'!$B$23:$B$12292,$B234,'Besi Balok'!$F$23:$F$12292,'REKAP Balok'!R$12)</f>
        <v>0</v>
      </c>
      <c r="S234">
        <f>SUMIFS('Besi Balok'!$AA$23:$AA$12292,'Besi Balok'!$A$23:$A$12292,$A234,'Besi Balok'!$B$23:$B$12292,$B234,'Besi Balok'!$F$23:$F$12292,'REKAP Balok'!S$12)</f>
        <v>0</v>
      </c>
      <c r="T234">
        <f>SUMIFS('Besi Balok'!$AA$23:$AA$12292,'Besi Balok'!$A$23:$A$12292,$A234,'Besi Balok'!$B$23:$B$12292,$B234,'Besi Balok'!$F$23:$F$12292,'REKAP Balok'!T$12)</f>
        <v>0</v>
      </c>
      <c r="U234">
        <f>SUM(L234:T234)</f>
        <v>51.15549312</v>
      </c>
      <c r="V234">
        <f>(D234*(F234-H234)*G234*K234)/1000000000</f>
        <v>0.522</v>
      </c>
      <c r="W234">
        <f>(((F234-H234)*2+D234)*(G234)*K234)/1000000</f>
        <v>6.38</v>
      </c>
      <c r="AC234">
        <f>(D234+2*$F$5)*F234*G234/1000000000</f>
        <v>1.044</v>
      </c>
    </row>
    <row r="235">
      <c r="A235" t="str">
        <f>'Data Panjang Balok'!A232</f>
        <v>Lantai 2</v>
      </c>
      <c r="B235">
        <f>'Data Panjang Balok'!B232</f>
        <v>25</v>
      </c>
      <c r="C235" t="str">
        <f>'Data Panjang Balok'!D232</f>
        <v>B245-4</v>
      </c>
      <c r="D235">
        <f>IF(C235&gt;0,VLOOKUP(C235,'Detail Balok'!$C$11:$AU$110,2,FALSE),0)</f>
        <v>200</v>
      </c>
      <c r="E235" t="str">
        <v>x</v>
      </c>
      <c r="F235">
        <f>IF(C235&gt;0,VLOOKUP(C235,'Detail Balok'!$C$11:$AU$110,3,FALSE),0)</f>
        <v>450</v>
      </c>
      <c r="G235">
        <f>'Data Panjang Balok'!I232</f>
        <v>2310</v>
      </c>
      <c r="H235">
        <f>'Data Panjang Balok'!J232</f>
        <v>0</v>
      </c>
      <c r="J235">
        <f>I235-F235/1000</f>
        <v>-0.45</v>
      </c>
      <c r="K235">
        <f>'Data Panjang Balok'!E232</f>
        <v>1</v>
      </c>
      <c r="L235">
        <f>SUMIFS('Besi Balok'!$AA$23:$AA$12292,'Besi Balok'!$A$23:$A$12292,$A235,'Besi Balok'!$B$23:$B$12292,$B235,'Besi Balok'!$F$23:$F$12292,'REKAP Balok'!L$12)</f>
        <v>0</v>
      </c>
      <c r="M235">
        <f>SUMIFS('Besi Balok'!$AA$23:$AA$12292,'Besi Balok'!$A$23:$A$12292,$A235,'Besi Balok'!$B$23:$B$12292,$B235,'Besi Balok'!$F$23:$F$12292,'REKAP Balok'!M$12)</f>
        <v>12.228992640000001</v>
      </c>
      <c r="N235">
        <f>SUMIFS('Besi Balok'!$AA$23:$AA$12292,'Besi Balok'!$A$23:$A$12292,$A235,'Besi Balok'!$B$23:$B$12292,$B235,'Besi Balok'!$F$23:$F$12292,'REKAP Balok'!N$12)</f>
        <v>0</v>
      </c>
      <c r="O235">
        <f>SUMIFS('Besi Balok'!$AA$23:$AA$12292,'Besi Balok'!$A$23:$A$12292,$A235,'Besi Balok'!$B$23:$B$12292,$B235,'Besi Balok'!$F$23:$F$12292,'REKAP Balok'!O$12)</f>
        <v>0</v>
      </c>
      <c r="P235">
        <f>SUMIFS('Besi Balok'!$AA$23:$AA$12292,'Besi Balok'!$A$23:$A$12292,$A235,'Besi Balok'!$B$23:$B$12292,$B235,'Besi Balok'!$F$23:$F$12292,'REKAP Balok'!P$12)</f>
        <v>25.51067136</v>
      </c>
      <c r="Q235">
        <f>SUMIFS('Besi Balok'!$AA$23:$AA$12292,'Besi Balok'!$A$23:$A$12292,$A235,'Besi Balok'!$B$23:$B$12292,$B235,'Besi Balok'!$F$23:$F$12292,'REKAP Balok'!Q$12)</f>
        <v>0</v>
      </c>
      <c r="R235">
        <f>SUMIFS('Besi Balok'!$AA$23:$AA$12292,'Besi Balok'!$A$23:$A$12292,$A235,'Besi Balok'!$B$23:$B$12292,$B235,'Besi Balok'!$F$23:$F$12292,'REKAP Balok'!R$12)</f>
        <v>0</v>
      </c>
      <c r="S235">
        <f>SUMIFS('Besi Balok'!$AA$23:$AA$12292,'Besi Balok'!$A$23:$A$12292,$A235,'Besi Balok'!$B$23:$B$12292,$B235,'Besi Balok'!$F$23:$F$12292,'REKAP Balok'!S$12)</f>
        <v>0</v>
      </c>
      <c r="T235">
        <f>SUMIFS('Besi Balok'!$AA$23:$AA$12292,'Besi Balok'!$A$23:$A$12292,$A235,'Besi Balok'!$B$23:$B$12292,$B235,'Besi Balok'!$F$23:$F$12292,'REKAP Balok'!T$12)</f>
        <v>0</v>
      </c>
      <c r="U235">
        <f>SUM(L235:T235)</f>
        <v>37.739664000000005</v>
      </c>
      <c r="V235">
        <f>(D235*(F235-H235)*G235*K235)/1000000000</f>
        <v>0.2079</v>
      </c>
      <c r="W235">
        <f>(((F235-H235)*2+D235)*(G235)*K235)/1000000</f>
        <v>2.541</v>
      </c>
      <c r="AC235">
        <f>(D235+2*$F$5)*F235*G235/1000000000</f>
        <v>0.4158</v>
      </c>
    </row>
    <row r="236">
      <c r="A236" t="str">
        <f>'Data Panjang Balok'!A233</f>
        <v>Lantai 2</v>
      </c>
      <c r="B236">
        <f>'Data Panjang Balok'!B233</f>
        <v>26</v>
      </c>
      <c r="C236" t="str">
        <f>'Data Panjang Balok'!D233</f>
        <v>B36-3</v>
      </c>
      <c r="D236">
        <f>IF(C236&gt;0,VLOOKUP(C236,'Detail Balok'!$C$11:$AU$110,2,FALSE),0)</f>
        <v>300</v>
      </c>
      <c r="E236" t="str">
        <v>x</v>
      </c>
      <c r="F236">
        <f>IF(C236&gt;0,VLOOKUP(C236,'Detail Balok'!$C$11:$AU$110,3,FALSE),0)</f>
        <v>600</v>
      </c>
      <c r="G236">
        <f>'Data Panjang Balok'!I233</f>
        <v>8100</v>
      </c>
      <c r="H236">
        <f>'Data Panjang Balok'!J233</f>
        <v>130</v>
      </c>
      <c r="J236">
        <f>I236-F236/1000</f>
        <v>-0.6</v>
      </c>
      <c r="K236">
        <f>'Data Panjang Balok'!E233</f>
        <v>1</v>
      </c>
      <c r="L236">
        <f>SUMIFS('Besi Balok'!$AA$23:$AA$12292,'Besi Balok'!$A$23:$A$12292,$A236,'Besi Balok'!$B$23:$B$12292,$B236,'Besi Balok'!$F$23:$F$12292,'REKAP Balok'!L$12)</f>
        <v>0</v>
      </c>
      <c r="M236">
        <f>SUMIFS('Besi Balok'!$AA$23:$AA$12292,'Besi Balok'!$A$23:$A$12292,$A236,'Besi Balok'!$B$23:$B$12292,$B236,'Besi Balok'!$F$23:$F$12292,'REKAP Balok'!M$12)</f>
        <v>0</v>
      </c>
      <c r="N236">
        <f>SUMIFS('Besi Balok'!$AA$23:$AA$12292,'Besi Balok'!$A$23:$A$12292,$A236,'Besi Balok'!$B$23:$B$12292,$B236,'Besi Balok'!$F$23:$F$12292,'REKAP Balok'!N$12)</f>
        <v>96.969285</v>
      </c>
      <c r="O236">
        <f>SUMIFS('Besi Balok'!$AA$23:$AA$12292,'Besi Balok'!$A$23:$A$12292,$A236,'Besi Balok'!$B$23:$B$12292,$B236,'Besi Balok'!$F$23:$F$12292,'REKAP Balok'!O$12)</f>
        <v>0</v>
      </c>
      <c r="P236">
        <f>SUMIFS('Besi Balok'!$AA$23:$AA$12292,'Besi Balok'!$A$23:$A$12292,$A236,'Besi Balok'!$B$23:$B$12292,$B236,'Besi Balok'!$F$23:$F$12292,'REKAP Balok'!P$12)</f>
        <v>0</v>
      </c>
      <c r="Q236">
        <f>SUMIFS('Besi Balok'!$AA$23:$AA$12292,'Besi Balok'!$A$23:$A$12292,$A236,'Besi Balok'!$B$23:$B$12292,$B236,'Besi Balok'!$F$23:$F$12292,'REKAP Balok'!Q$12)</f>
        <v>232.06856481</v>
      </c>
      <c r="R236">
        <f>SUMIFS('Besi Balok'!$AA$23:$AA$12292,'Besi Balok'!$A$23:$A$12292,$A236,'Besi Balok'!$B$23:$B$12292,$B236,'Besi Balok'!$F$23:$F$12292,'REKAP Balok'!R$12)</f>
        <v>0</v>
      </c>
      <c r="S236">
        <f>SUMIFS('Besi Balok'!$AA$23:$AA$12292,'Besi Balok'!$A$23:$A$12292,$A236,'Besi Balok'!$B$23:$B$12292,$B236,'Besi Balok'!$F$23:$F$12292,'REKAP Balok'!S$12)</f>
        <v>0</v>
      </c>
      <c r="T236">
        <f>SUMIFS('Besi Balok'!$AA$23:$AA$12292,'Besi Balok'!$A$23:$A$12292,$A236,'Besi Balok'!$B$23:$B$12292,$B236,'Besi Balok'!$F$23:$F$12292,'REKAP Balok'!T$12)</f>
        <v>0</v>
      </c>
      <c r="U236">
        <f>SUM(L236:T236)</f>
        <v>329.03784981</v>
      </c>
      <c r="V236">
        <f>(D236*(F236-H236)*G236*K236)/1000000000</f>
        <v>1.1421</v>
      </c>
      <c r="W236">
        <f>(((F236-H236)*2+D236)*(G236)*K236)/1000000</f>
        <v>10.044</v>
      </c>
      <c r="AC236">
        <f>(D236+2*$F$5)*F236*G236/1000000000</f>
        <v>2.43</v>
      </c>
    </row>
    <row r="237">
      <c r="A237" t="str">
        <f>'Data Panjang Balok'!A234</f>
        <v>Lantai 2</v>
      </c>
      <c r="B237">
        <f>'Data Panjang Balok'!B234</f>
        <v>27</v>
      </c>
      <c r="C237" t="str">
        <f>'Data Panjang Balok'!D234</f>
        <v>B24-1</v>
      </c>
      <c r="D237">
        <f>IF(C237&gt;0,VLOOKUP(C237,'Detail Balok'!$C$11:$AU$110,2,FALSE),0)</f>
        <v>200</v>
      </c>
      <c r="E237" t="str">
        <v>x</v>
      </c>
      <c r="F237">
        <f>IF(C237&gt;0,VLOOKUP(C237,'Detail Balok'!$C$11:$AU$110,3,FALSE),0)</f>
        <v>400</v>
      </c>
      <c r="G237">
        <f>'Data Panjang Balok'!I234</f>
        <v>2100</v>
      </c>
      <c r="H237">
        <f>'Data Panjang Balok'!J234</f>
        <v>130</v>
      </c>
      <c r="J237">
        <f>I237-F237/1000</f>
        <v>-0.4</v>
      </c>
      <c r="K237">
        <f>'Data Panjang Balok'!E234</f>
        <v>1</v>
      </c>
      <c r="L237">
        <f>SUMIFS('Besi Balok'!$AA$23:$AA$12292,'Besi Balok'!$A$23:$A$12292,$A237,'Besi Balok'!$B$23:$B$12292,$B237,'Besi Balok'!$F$23:$F$12292,'REKAP Balok'!L$12)</f>
        <v>0</v>
      </c>
      <c r="M237">
        <f>SUMIFS('Besi Balok'!$AA$23:$AA$12292,'Besi Balok'!$A$23:$A$12292,$A237,'Besi Balok'!$B$23:$B$12292,$B237,'Besi Balok'!$F$23:$F$12292,'REKAP Balok'!M$12)</f>
        <v>8.534332800000001</v>
      </c>
      <c r="N237">
        <f>SUMIFS('Besi Balok'!$AA$23:$AA$12292,'Besi Balok'!$A$23:$A$12292,$A237,'Besi Balok'!$B$23:$B$12292,$B237,'Besi Balok'!$F$23:$F$12292,'REKAP Balok'!N$12)</f>
        <v>0</v>
      </c>
      <c r="O237">
        <f>SUMIFS('Besi Balok'!$AA$23:$AA$12292,'Besi Balok'!$A$23:$A$12292,$A237,'Besi Balok'!$B$23:$B$12292,$B237,'Besi Balok'!$F$23:$F$12292,'REKAP Balok'!O$12)</f>
        <v>10.052106479999999</v>
      </c>
      <c r="P237">
        <f>SUMIFS('Besi Balok'!$AA$23:$AA$12292,'Besi Balok'!$A$23:$A$12292,$A237,'Besi Balok'!$B$23:$B$12292,$B237,'Besi Balok'!$F$23:$F$12292,'REKAP Balok'!P$12)</f>
        <v>0</v>
      </c>
      <c r="Q237">
        <f>SUMIFS('Besi Balok'!$AA$23:$AA$12292,'Besi Balok'!$A$23:$A$12292,$A237,'Besi Balok'!$B$23:$B$12292,$B237,'Besi Balok'!$F$23:$F$12292,'REKAP Balok'!Q$12)</f>
        <v>0</v>
      </c>
      <c r="R237">
        <f>SUMIFS('Besi Balok'!$AA$23:$AA$12292,'Besi Balok'!$A$23:$A$12292,$A237,'Besi Balok'!$B$23:$B$12292,$B237,'Besi Balok'!$F$23:$F$12292,'REKAP Balok'!R$12)</f>
        <v>0</v>
      </c>
      <c r="S237">
        <f>SUMIFS('Besi Balok'!$AA$23:$AA$12292,'Besi Balok'!$A$23:$A$12292,$A237,'Besi Balok'!$B$23:$B$12292,$B237,'Besi Balok'!$F$23:$F$12292,'REKAP Balok'!S$12)</f>
        <v>0</v>
      </c>
      <c r="T237">
        <f>SUMIFS('Besi Balok'!$AA$23:$AA$12292,'Besi Balok'!$A$23:$A$12292,$A237,'Besi Balok'!$B$23:$B$12292,$B237,'Besi Balok'!$F$23:$F$12292,'REKAP Balok'!T$12)</f>
        <v>0</v>
      </c>
      <c r="U237">
        <f>SUM(L237:T237)</f>
        <v>18.58643928</v>
      </c>
      <c r="V237">
        <f>(D237*(F237-H237)*G237*K237)/1000000000</f>
        <v>0.1134</v>
      </c>
      <c r="W237">
        <f>(((F237-H237)*2+D237)*(G237)*K237)/1000000</f>
        <v>1.554</v>
      </c>
      <c r="AC237">
        <f>(D237+2*$F$5)*F237*G237/1000000000</f>
        <v>0.336</v>
      </c>
    </row>
    <row r="238">
      <c r="A238" t="str">
        <f>'Data Panjang Balok'!A235</f>
        <v>Lantai 2</v>
      </c>
      <c r="B238">
        <f>'Data Panjang Balok'!B235</f>
        <v>28</v>
      </c>
      <c r="C238" t="str">
        <f>'Data Panjang Balok'!D235</f>
        <v>B26-5</v>
      </c>
      <c r="D238">
        <f>IF(C238&gt;0,VLOOKUP(C238,'Detail Balok'!$C$11:$AU$110,2,FALSE),0)</f>
        <v>200</v>
      </c>
      <c r="E238" t="str">
        <v>x</v>
      </c>
      <c r="F238">
        <f>IF(C238&gt;0,VLOOKUP(C238,'Detail Balok'!$C$11:$AU$110,3,FALSE),0)</f>
        <v>600</v>
      </c>
      <c r="G238">
        <f>'Data Panjang Balok'!I235</f>
        <v>4000</v>
      </c>
      <c r="H238">
        <f>'Data Panjang Balok'!J235</f>
        <v>130</v>
      </c>
      <c r="J238">
        <f>I238-F238/1000</f>
        <v>-0.6</v>
      </c>
      <c r="K238">
        <f>'Data Panjang Balok'!E235</f>
        <v>1</v>
      </c>
      <c r="L238">
        <f>SUMIFS('Besi Balok'!$AA$23:$AA$12292,'Besi Balok'!$A$23:$A$12292,$A238,'Besi Balok'!$B$23:$B$12292,$B238,'Besi Balok'!$F$23:$F$12292,'REKAP Balok'!L$12)</f>
        <v>0</v>
      </c>
      <c r="M238">
        <f>SUMIFS('Besi Balok'!$AA$23:$AA$12292,'Besi Balok'!$A$23:$A$12292,$A238,'Besi Balok'!$B$23:$B$12292,$B238,'Besi Balok'!$F$23:$F$12292,'REKAP Balok'!M$12)</f>
        <v>0</v>
      </c>
      <c r="N238">
        <f>SUMIFS('Besi Balok'!$AA$23:$AA$12292,'Besi Balok'!$A$23:$A$12292,$A238,'Besi Balok'!$B$23:$B$12292,$B238,'Besi Balok'!$F$23:$F$12292,'REKAP Balok'!N$12)</f>
        <v>40.49172</v>
      </c>
      <c r="O238">
        <f>SUMIFS('Besi Balok'!$AA$23:$AA$12292,'Besi Balok'!$A$23:$A$12292,$A238,'Besi Balok'!$B$23:$B$12292,$B238,'Besi Balok'!$F$23:$F$12292,'REKAP Balok'!O$12)</f>
        <v>0</v>
      </c>
      <c r="P238">
        <f>SUMIFS('Besi Balok'!$AA$23:$AA$12292,'Besi Balok'!$A$23:$A$12292,$A238,'Besi Balok'!$B$23:$B$12292,$B238,'Besi Balok'!$F$23:$F$12292,'REKAP Balok'!P$12)</f>
        <v>0</v>
      </c>
      <c r="Q238">
        <f>SUMIFS('Besi Balok'!$AA$23:$AA$12292,'Besi Balok'!$A$23:$A$12292,$A238,'Besi Balok'!$B$23:$B$12292,$B238,'Besi Balok'!$F$23:$F$12292,'REKAP Balok'!Q$12)</f>
        <v>101.58368886000001</v>
      </c>
      <c r="R238">
        <f>SUMIFS('Besi Balok'!$AA$23:$AA$12292,'Besi Balok'!$A$23:$A$12292,$A238,'Besi Balok'!$B$23:$B$12292,$B238,'Besi Balok'!$F$23:$F$12292,'REKAP Balok'!R$12)</f>
        <v>0</v>
      </c>
      <c r="S238">
        <f>SUMIFS('Besi Balok'!$AA$23:$AA$12292,'Besi Balok'!$A$23:$A$12292,$A238,'Besi Balok'!$B$23:$B$12292,$B238,'Besi Balok'!$F$23:$F$12292,'REKAP Balok'!S$12)</f>
        <v>0</v>
      </c>
      <c r="T238">
        <f>SUMIFS('Besi Balok'!$AA$23:$AA$12292,'Besi Balok'!$A$23:$A$12292,$A238,'Besi Balok'!$B$23:$B$12292,$B238,'Besi Balok'!$F$23:$F$12292,'REKAP Balok'!T$12)</f>
        <v>0</v>
      </c>
      <c r="U238">
        <f>SUM(L238:T238)</f>
        <v>142.07540886</v>
      </c>
      <c r="V238">
        <f>(D238*(F238-H238)*G238*K238)/1000000000</f>
        <v>0.376</v>
      </c>
      <c r="W238">
        <f>(((F238-H238)*2+D238)*(G238)*K238)/1000000</f>
        <v>4.56</v>
      </c>
      <c r="AC238">
        <f>(D238+2*$F$5)*F238*G238/1000000000</f>
        <v>0.96</v>
      </c>
    </row>
    <row r="239">
      <c r="A239" t="str">
        <f>'Data Panjang Balok'!A236</f>
        <v>Lantai 2</v>
      </c>
      <c r="B239">
        <f>'Data Panjang Balok'!B236</f>
        <v>29</v>
      </c>
      <c r="C239" t="str">
        <f>'Data Panjang Balok'!D236</f>
        <v>B26-3</v>
      </c>
      <c r="D239">
        <f>IF(C239&gt;0,VLOOKUP(C239,'Detail Balok'!$C$11:$AU$110,2,FALSE),0)</f>
        <v>200</v>
      </c>
      <c r="E239" t="str">
        <v>x</v>
      </c>
      <c r="F239">
        <f>IF(C239&gt;0,VLOOKUP(C239,'Detail Balok'!$C$11:$AU$110,3,FALSE),0)</f>
        <v>600</v>
      </c>
      <c r="G239">
        <f>'Data Panjang Balok'!I236</f>
        <v>4275</v>
      </c>
      <c r="H239">
        <f>'Data Panjang Balok'!J236</f>
        <v>130</v>
      </c>
      <c r="J239">
        <f>I239-F239/1000</f>
        <v>-0.6</v>
      </c>
      <c r="K239">
        <f>'Data Panjang Balok'!E236</f>
        <v>1</v>
      </c>
      <c r="L239">
        <f>SUMIFS('Besi Balok'!$AA$23:$AA$12292,'Besi Balok'!$A$23:$A$12292,$A239,'Besi Balok'!$B$23:$B$12292,$B239,'Besi Balok'!$F$23:$F$12292,'REKAP Balok'!L$12)</f>
        <v>0</v>
      </c>
      <c r="M239">
        <f>SUMIFS('Besi Balok'!$AA$23:$AA$12292,'Besi Balok'!$A$23:$A$12292,$A239,'Besi Balok'!$B$23:$B$12292,$B239,'Besi Balok'!$F$23:$F$12292,'REKAP Balok'!M$12)</f>
        <v>0</v>
      </c>
      <c r="N239">
        <f>SUMIFS('Besi Balok'!$AA$23:$AA$12292,'Besi Balok'!$A$23:$A$12292,$A239,'Besi Balok'!$B$23:$B$12292,$B239,'Besi Balok'!$F$23:$F$12292,'REKAP Balok'!N$12)</f>
        <v>36.42282</v>
      </c>
      <c r="O239">
        <f>SUMIFS('Besi Balok'!$AA$23:$AA$12292,'Besi Balok'!$A$23:$A$12292,$A239,'Besi Balok'!$B$23:$B$12292,$B239,'Besi Balok'!$F$23:$F$12292,'REKAP Balok'!O$12)</f>
        <v>0</v>
      </c>
      <c r="P239">
        <f>SUMIFS('Besi Balok'!$AA$23:$AA$12292,'Besi Balok'!$A$23:$A$12292,$A239,'Besi Balok'!$B$23:$B$12292,$B239,'Besi Balok'!$F$23:$F$12292,'REKAP Balok'!P$12)</f>
        <v>0</v>
      </c>
      <c r="Q239">
        <f>SUMIFS('Besi Balok'!$AA$23:$AA$12292,'Besi Balok'!$A$23:$A$12292,$A239,'Besi Balok'!$B$23:$B$12292,$B239,'Besi Balok'!$F$23:$F$12292,'REKAP Balok'!Q$12)</f>
        <v>63.17488809000001</v>
      </c>
      <c r="R239">
        <f>SUMIFS('Besi Balok'!$AA$23:$AA$12292,'Besi Balok'!$A$23:$A$12292,$A239,'Besi Balok'!$B$23:$B$12292,$B239,'Besi Balok'!$F$23:$F$12292,'REKAP Balok'!R$12)</f>
        <v>0</v>
      </c>
      <c r="S239">
        <f>SUMIFS('Besi Balok'!$AA$23:$AA$12292,'Besi Balok'!$A$23:$A$12292,$A239,'Besi Balok'!$B$23:$B$12292,$B239,'Besi Balok'!$F$23:$F$12292,'REKAP Balok'!S$12)</f>
        <v>0</v>
      </c>
      <c r="T239">
        <f>SUMIFS('Besi Balok'!$AA$23:$AA$12292,'Besi Balok'!$A$23:$A$12292,$A239,'Besi Balok'!$B$23:$B$12292,$B239,'Besi Balok'!$F$23:$F$12292,'REKAP Balok'!T$12)</f>
        <v>0</v>
      </c>
      <c r="U239">
        <f>SUM(L239:T239)</f>
        <v>99.59770809000001</v>
      </c>
      <c r="V239">
        <f>(D239*(F239-H239)*G239*K239)/1000000000</f>
        <v>0.40185</v>
      </c>
      <c r="W239">
        <f>(((F239-H239)*2+D239)*(G239)*K239)/1000000</f>
        <v>4.8735</v>
      </c>
      <c r="AC239">
        <f>(D239+2*$F$5)*F239*G239/1000000000</f>
        <v>1.026</v>
      </c>
    </row>
    <row r="240">
      <c r="A240" t="str">
        <f>'Data Panjang Balok'!A237</f>
        <v>Lantai 2</v>
      </c>
      <c r="B240">
        <f>'Data Panjang Balok'!B237</f>
        <v>30</v>
      </c>
      <c r="C240" t="str">
        <f>'Data Panjang Balok'!D237</f>
        <v>B26-4</v>
      </c>
      <c r="D240">
        <f>IF(C240&gt;0,VLOOKUP(C240,'Detail Balok'!$C$11:$AU$110,2,FALSE),0)</f>
        <v>200</v>
      </c>
      <c r="E240" t="str">
        <v>x</v>
      </c>
      <c r="F240">
        <f>IF(C240&gt;0,VLOOKUP(C240,'Detail Balok'!$C$11:$AU$110,3,FALSE),0)</f>
        <v>600</v>
      </c>
      <c r="G240">
        <f>'Data Panjang Balok'!I237</f>
        <v>2725</v>
      </c>
      <c r="H240">
        <f>'Data Panjang Balok'!J237</f>
        <v>130</v>
      </c>
      <c r="J240">
        <f>I240-F240/1000</f>
        <v>-0.6</v>
      </c>
      <c r="K240">
        <f>'Data Panjang Balok'!E237</f>
        <v>1</v>
      </c>
      <c r="L240">
        <f>SUMIFS('Besi Balok'!$AA$23:$AA$12292,'Besi Balok'!$A$23:$A$12292,$A240,'Besi Balok'!$B$23:$B$12292,$B240,'Besi Balok'!$F$23:$F$12292,'REKAP Balok'!L$12)</f>
        <v>0</v>
      </c>
      <c r="M240">
        <f>SUMIFS('Besi Balok'!$AA$23:$AA$12292,'Besi Balok'!$A$23:$A$12292,$A240,'Besi Balok'!$B$23:$B$12292,$B240,'Besi Balok'!$F$23:$F$12292,'REKAP Balok'!M$12)</f>
        <v>0</v>
      </c>
      <c r="N240">
        <f>SUMIFS('Besi Balok'!$AA$23:$AA$12292,'Besi Balok'!$A$23:$A$12292,$A240,'Besi Balok'!$B$23:$B$12292,$B240,'Besi Balok'!$F$23:$F$12292,'REKAP Balok'!N$12)</f>
        <v>46.847835</v>
      </c>
      <c r="O240">
        <f>SUMIFS('Besi Balok'!$AA$23:$AA$12292,'Besi Balok'!$A$23:$A$12292,$A240,'Besi Balok'!$B$23:$B$12292,$B240,'Besi Balok'!$F$23:$F$12292,'REKAP Balok'!O$12)</f>
        <v>0</v>
      </c>
      <c r="P240">
        <f>SUMIFS('Besi Balok'!$AA$23:$AA$12292,'Besi Balok'!$A$23:$A$12292,$A240,'Besi Balok'!$B$23:$B$12292,$B240,'Besi Balok'!$F$23:$F$12292,'REKAP Balok'!P$12)</f>
        <v>0</v>
      </c>
      <c r="Q240">
        <f>SUMIFS('Besi Balok'!$AA$23:$AA$12292,'Besi Balok'!$A$23:$A$12292,$A240,'Besi Balok'!$B$23:$B$12292,$B240,'Besi Balok'!$F$23:$F$12292,'REKAP Balok'!Q$12)</f>
        <v>63.715700385000005</v>
      </c>
      <c r="R240">
        <f>SUMIFS('Besi Balok'!$AA$23:$AA$12292,'Besi Balok'!$A$23:$A$12292,$A240,'Besi Balok'!$B$23:$B$12292,$B240,'Besi Balok'!$F$23:$F$12292,'REKAP Balok'!R$12)</f>
        <v>0</v>
      </c>
      <c r="S240">
        <f>SUMIFS('Besi Balok'!$AA$23:$AA$12292,'Besi Balok'!$A$23:$A$12292,$A240,'Besi Balok'!$B$23:$B$12292,$B240,'Besi Balok'!$F$23:$F$12292,'REKAP Balok'!S$12)</f>
        <v>0</v>
      </c>
      <c r="T240">
        <f>SUMIFS('Besi Balok'!$AA$23:$AA$12292,'Besi Balok'!$A$23:$A$12292,$A240,'Besi Balok'!$B$23:$B$12292,$B240,'Besi Balok'!$F$23:$F$12292,'REKAP Balok'!T$12)</f>
        <v>0</v>
      </c>
      <c r="U240">
        <f>SUM(L240:T240)</f>
        <v>110.56353538500001</v>
      </c>
      <c r="V240">
        <f>(D240*(F240-H240)*G240*K240)/1000000000</f>
        <v>0.25615</v>
      </c>
      <c r="W240">
        <f>(((F240-H240)*2+D240)*(G240)*K240)/1000000</f>
        <v>3.1065</v>
      </c>
      <c r="AC240">
        <f>(D240+2*$F$5)*F240*G240/1000000000</f>
        <v>0.654</v>
      </c>
    </row>
    <row r="241">
      <c r="A241" t="str">
        <f>'Data Panjang Balok'!A238</f>
        <v>Lantai 2</v>
      </c>
      <c r="B241">
        <f>'Data Panjang Balok'!B238</f>
        <v>31</v>
      </c>
      <c r="C241" t="str">
        <f>'Data Panjang Balok'!D238</f>
        <v>CL24-1</v>
      </c>
      <c r="D241">
        <f>IF(C241&gt;0,VLOOKUP(C241,'Detail Balok'!$C$11:$AU$110,2,FALSE),0)</f>
        <v>200</v>
      </c>
      <c r="E241" t="str">
        <v>x</v>
      </c>
      <c r="F241">
        <f>IF(C241&gt;0,VLOOKUP(C241,'Detail Balok'!$C$11:$AU$110,3,FALSE),0)</f>
        <v>400</v>
      </c>
      <c r="G241">
        <f>'Data Panjang Balok'!I238</f>
        <v>2700</v>
      </c>
      <c r="H241">
        <f>'Data Panjang Balok'!J238</f>
        <v>130</v>
      </c>
      <c r="J241">
        <f>I241-F241/1000</f>
        <v>-0.4</v>
      </c>
      <c r="K241">
        <f>'Data Panjang Balok'!E238</f>
        <v>1</v>
      </c>
      <c r="L241">
        <f>SUMIFS('Besi Balok'!$AA$23:$AA$12292,'Besi Balok'!$A$23:$A$12292,$A241,'Besi Balok'!$B$23:$B$12292,$B241,'Besi Balok'!$F$23:$F$12292,'REKAP Balok'!L$12)</f>
        <v>0</v>
      </c>
      <c r="M241">
        <f>SUMIFS('Besi Balok'!$AA$23:$AA$12292,'Besi Balok'!$A$23:$A$12292,$A241,'Besi Balok'!$B$23:$B$12292,$B241,'Besi Balok'!$F$23:$F$12292,'REKAP Balok'!M$12)</f>
        <v>6.502348800000001</v>
      </c>
      <c r="N241">
        <f>SUMIFS('Besi Balok'!$AA$23:$AA$12292,'Besi Balok'!$A$23:$A$12292,$A241,'Besi Balok'!$B$23:$B$12292,$B241,'Besi Balok'!$F$23:$F$12292,'REKAP Balok'!N$12)</f>
        <v>0</v>
      </c>
      <c r="O241">
        <f>SUMIFS('Besi Balok'!$AA$23:$AA$12292,'Besi Balok'!$A$23:$A$12292,$A241,'Besi Balok'!$B$23:$B$12292,$B241,'Besi Balok'!$F$23:$F$12292,'REKAP Balok'!O$12)</f>
        <v>0</v>
      </c>
      <c r="P241">
        <f>SUMIFS('Besi Balok'!$AA$23:$AA$12292,'Besi Balok'!$A$23:$A$12292,$A241,'Besi Balok'!$B$23:$B$12292,$B241,'Besi Balok'!$F$23:$F$12292,'REKAP Balok'!P$12)</f>
        <v>24.336460800000005</v>
      </c>
      <c r="Q241">
        <f>SUMIFS('Besi Balok'!$AA$23:$AA$12292,'Besi Balok'!$A$23:$A$12292,$A241,'Besi Balok'!$B$23:$B$12292,$B241,'Besi Balok'!$F$23:$F$12292,'REKAP Balok'!Q$12)</f>
        <v>0</v>
      </c>
      <c r="R241">
        <f>SUMIFS('Besi Balok'!$AA$23:$AA$12292,'Besi Balok'!$A$23:$A$12292,$A241,'Besi Balok'!$B$23:$B$12292,$B241,'Besi Balok'!$F$23:$F$12292,'REKAP Balok'!R$12)</f>
        <v>0</v>
      </c>
      <c r="S241">
        <f>SUMIFS('Besi Balok'!$AA$23:$AA$12292,'Besi Balok'!$A$23:$A$12292,$A241,'Besi Balok'!$B$23:$B$12292,$B241,'Besi Balok'!$F$23:$F$12292,'REKAP Balok'!S$12)</f>
        <v>0</v>
      </c>
      <c r="T241">
        <f>SUMIFS('Besi Balok'!$AA$23:$AA$12292,'Besi Balok'!$A$23:$A$12292,$A241,'Besi Balok'!$B$23:$B$12292,$B241,'Besi Balok'!$F$23:$F$12292,'REKAP Balok'!T$12)</f>
        <v>0</v>
      </c>
      <c r="U241">
        <f>SUM(L241:T241)</f>
        <v>30.838809600000005</v>
      </c>
      <c r="V241">
        <f>(D241*(F241-H241)*G241*K241)/1000000000</f>
        <v>0.1458</v>
      </c>
      <c r="W241">
        <f>(((F241-H241)*2+D241)*(G241)*K241)/1000000</f>
        <v>1.998</v>
      </c>
      <c r="AC241">
        <f>(D241+2*$F$5)*F241*G241/1000000000</f>
        <v>0.432</v>
      </c>
    </row>
    <row r="242">
      <c r="A242" t="str">
        <f>'Data Panjang Balok'!A239</f>
        <v>Lantai 2</v>
      </c>
      <c r="B242">
        <f>'Data Panjang Balok'!B239</f>
        <v>32</v>
      </c>
      <c r="C242" t="str">
        <f>'Data Panjang Balok'!D239</f>
        <v>B23-1</v>
      </c>
      <c r="D242">
        <f>IF(C242&gt;0,VLOOKUP(C242,'Detail Balok'!$C$11:$AU$110,2,FALSE),0)</f>
        <v>200</v>
      </c>
      <c r="E242" t="str">
        <v>x</v>
      </c>
      <c r="F242">
        <f>IF(C242&gt;0,VLOOKUP(C242,'Detail Balok'!$C$11:$AU$110,3,FALSE),0)</f>
        <v>300</v>
      </c>
      <c r="G242">
        <f>'Data Panjang Balok'!I239</f>
        <v>3100</v>
      </c>
      <c r="H242">
        <f>'Data Panjang Balok'!J239</f>
        <v>130</v>
      </c>
      <c r="J242">
        <f>I242-F242/1000</f>
        <v>-0.3</v>
      </c>
      <c r="K242">
        <f>'Data Panjang Balok'!E239</f>
        <v>1</v>
      </c>
      <c r="L242">
        <f>SUMIFS('Besi Balok'!$AA$23:$AA$12292,'Besi Balok'!$A$23:$A$12292,$A242,'Besi Balok'!$B$23:$B$12292,$B242,'Besi Balok'!$F$23:$F$12292,'REKAP Balok'!L$12)</f>
        <v>0</v>
      </c>
      <c r="M242">
        <f>SUMIFS('Besi Balok'!$AA$23:$AA$12292,'Besi Balok'!$A$23:$A$12292,$A242,'Besi Balok'!$B$23:$B$12292,$B242,'Besi Balok'!$F$23:$F$12292,'REKAP Balok'!M$12)</f>
        <v>9.1695744</v>
      </c>
      <c r="N242">
        <f>SUMIFS('Besi Balok'!$AA$23:$AA$12292,'Besi Balok'!$A$23:$A$12292,$A242,'Besi Balok'!$B$23:$B$12292,$B242,'Besi Balok'!$F$23:$F$12292,'REKAP Balok'!N$12)</f>
        <v>0</v>
      </c>
      <c r="O242">
        <f>SUMIFS('Besi Balok'!$AA$23:$AA$12292,'Besi Balok'!$A$23:$A$12292,$A242,'Besi Balok'!$B$23:$B$12292,$B242,'Besi Balok'!$F$23:$F$12292,'REKAP Balok'!O$12)</f>
        <v>14.21964648</v>
      </c>
      <c r="P242">
        <f>SUMIFS('Besi Balok'!$AA$23:$AA$12292,'Besi Balok'!$A$23:$A$12292,$A242,'Besi Balok'!$B$23:$B$12292,$B242,'Besi Balok'!$F$23:$F$12292,'REKAP Balok'!P$12)</f>
        <v>0</v>
      </c>
      <c r="Q242">
        <f>SUMIFS('Besi Balok'!$AA$23:$AA$12292,'Besi Balok'!$A$23:$A$12292,$A242,'Besi Balok'!$B$23:$B$12292,$B242,'Besi Balok'!$F$23:$F$12292,'REKAP Balok'!Q$12)</f>
        <v>0</v>
      </c>
      <c r="R242">
        <f>SUMIFS('Besi Balok'!$AA$23:$AA$12292,'Besi Balok'!$A$23:$A$12292,$A242,'Besi Balok'!$B$23:$B$12292,$B242,'Besi Balok'!$F$23:$F$12292,'REKAP Balok'!R$12)</f>
        <v>0</v>
      </c>
      <c r="S242">
        <f>SUMIFS('Besi Balok'!$AA$23:$AA$12292,'Besi Balok'!$A$23:$A$12292,$A242,'Besi Balok'!$B$23:$B$12292,$B242,'Besi Balok'!$F$23:$F$12292,'REKAP Balok'!S$12)</f>
        <v>0</v>
      </c>
      <c r="T242">
        <f>SUMIFS('Besi Balok'!$AA$23:$AA$12292,'Besi Balok'!$A$23:$A$12292,$A242,'Besi Balok'!$B$23:$B$12292,$B242,'Besi Balok'!$F$23:$F$12292,'REKAP Balok'!T$12)</f>
        <v>0</v>
      </c>
      <c r="U242">
        <f>SUM(L242:T242)</f>
        <v>23.38922088</v>
      </c>
      <c r="V242">
        <f>(D242*(F242-H242)*G242*K242)/1000000000</f>
        <v>0.1054</v>
      </c>
      <c r="W242">
        <f>(((F242-H242)*2+D242)*(G242)*K242)/1000000</f>
        <v>1.674</v>
      </c>
      <c r="AC242">
        <f>(D242+2*$F$5)*F242*G242/1000000000</f>
        <v>0.372</v>
      </c>
    </row>
    <row r="243">
      <c r="A243" t="str">
        <f>'Data Panjang Balok'!A240</f>
        <v>Lantai 2</v>
      </c>
      <c r="B243">
        <f>'Data Panjang Balok'!B240</f>
        <v>33</v>
      </c>
      <c r="C243" t="str">
        <f>'Data Panjang Balok'!D240</f>
        <v>B245-4</v>
      </c>
      <c r="D243">
        <f>IF(C243&gt;0,VLOOKUP(C243,'Detail Balok'!$C$11:$AU$110,2,FALSE),0)</f>
        <v>200</v>
      </c>
      <c r="E243" t="str">
        <v>x</v>
      </c>
      <c r="F243">
        <f>IF(C243&gt;0,VLOOKUP(C243,'Detail Balok'!$C$11:$AU$110,3,FALSE),0)</f>
        <v>450</v>
      </c>
      <c r="G243">
        <f>'Data Panjang Balok'!I240</f>
        <v>4600</v>
      </c>
      <c r="H243">
        <f>'Data Panjang Balok'!J240</f>
        <v>130</v>
      </c>
      <c r="J243">
        <f>I243-F243/1000</f>
        <v>-0.45</v>
      </c>
      <c r="K243">
        <f>'Data Panjang Balok'!E240</f>
        <v>1</v>
      </c>
      <c r="L243">
        <f>SUMIFS('Besi Balok'!$AA$23:$AA$12292,'Besi Balok'!$A$23:$A$12292,$A243,'Besi Balok'!$B$23:$B$12292,$B243,'Besi Balok'!$F$23:$F$12292,'REKAP Balok'!L$12)</f>
        <v>0</v>
      </c>
      <c r="M243">
        <f>SUMIFS('Besi Balok'!$AA$23:$AA$12292,'Besi Balok'!$A$23:$A$12292,$A243,'Besi Balok'!$B$23:$B$12292,$B243,'Besi Balok'!$F$23:$F$12292,'REKAP Balok'!M$12)</f>
        <v>20.72386944</v>
      </c>
      <c r="N243">
        <f>SUMIFS('Besi Balok'!$AA$23:$AA$12292,'Besi Balok'!$A$23:$A$12292,$A243,'Besi Balok'!$B$23:$B$12292,$B243,'Besi Balok'!$F$23:$F$12292,'REKAP Balok'!N$12)</f>
        <v>0</v>
      </c>
      <c r="O243">
        <f>SUMIFS('Besi Balok'!$AA$23:$AA$12292,'Besi Balok'!$A$23:$A$12292,$A243,'Besi Balok'!$B$23:$B$12292,$B243,'Besi Balok'!$F$23:$F$12292,'REKAP Balok'!O$12)</f>
        <v>0</v>
      </c>
      <c r="P243">
        <f>SUMIFS('Besi Balok'!$AA$23:$AA$12292,'Besi Balok'!$A$23:$A$12292,$A243,'Besi Balok'!$B$23:$B$12292,$B243,'Besi Balok'!$F$23:$F$12292,'REKAP Balok'!P$12)</f>
        <v>47.19568896</v>
      </c>
      <c r="Q243">
        <f>SUMIFS('Besi Balok'!$AA$23:$AA$12292,'Besi Balok'!$A$23:$A$12292,$A243,'Besi Balok'!$B$23:$B$12292,$B243,'Besi Balok'!$F$23:$F$12292,'REKAP Balok'!Q$12)</f>
        <v>0</v>
      </c>
      <c r="R243">
        <f>SUMIFS('Besi Balok'!$AA$23:$AA$12292,'Besi Balok'!$A$23:$A$12292,$A243,'Besi Balok'!$B$23:$B$12292,$B243,'Besi Balok'!$F$23:$F$12292,'REKAP Balok'!R$12)</f>
        <v>0</v>
      </c>
      <c r="S243">
        <f>SUMIFS('Besi Balok'!$AA$23:$AA$12292,'Besi Balok'!$A$23:$A$12292,$A243,'Besi Balok'!$B$23:$B$12292,$B243,'Besi Balok'!$F$23:$F$12292,'REKAP Balok'!S$12)</f>
        <v>0</v>
      </c>
      <c r="T243">
        <f>SUMIFS('Besi Balok'!$AA$23:$AA$12292,'Besi Balok'!$A$23:$A$12292,$A243,'Besi Balok'!$B$23:$B$12292,$B243,'Besi Balok'!$F$23:$F$12292,'REKAP Balok'!T$12)</f>
        <v>0</v>
      </c>
      <c r="U243">
        <f>SUM(L243:T243)</f>
        <v>67.9195584</v>
      </c>
      <c r="V243">
        <f>(D243*(F243-H243)*G243*K243)/1000000000</f>
        <v>0.2944</v>
      </c>
      <c r="W243">
        <f>(((F243-H243)*2+D243)*(G243)*K243)/1000000</f>
        <v>3.864</v>
      </c>
      <c r="AC243">
        <f>(D243+2*$F$5)*F243*G243/1000000000</f>
        <v>0.828</v>
      </c>
    </row>
    <row r="244">
      <c r="A244" t="str">
        <f>'Data Panjang Balok'!A241</f>
        <v>Lantai 2</v>
      </c>
      <c r="B244">
        <f>'Data Panjang Balok'!B241</f>
        <v>34</v>
      </c>
      <c r="C244" t="str">
        <f>'Data Panjang Balok'!D241</f>
        <v>B23-1</v>
      </c>
      <c r="D244">
        <f>IF(C244&gt;0,VLOOKUP(C244,'Detail Balok'!$C$11:$AU$110,2,FALSE),0)</f>
        <v>200</v>
      </c>
      <c r="E244" t="str">
        <v>x</v>
      </c>
      <c r="F244">
        <f>IF(C244&gt;0,VLOOKUP(C244,'Detail Balok'!$C$11:$AU$110,3,FALSE),0)</f>
        <v>300</v>
      </c>
      <c r="G244">
        <f>'Data Panjang Balok'!I241</f>
        <v>3600</v>
      </c>
      <c r="H244">
        <f>'Data Panjang Balok'!J241</f>
        <v>130</v>
      </c>
      <c r="J244">
        <f>I244-F244/1000</f>
        <v>-0.3</v>
      </c>
      <c r="K244">
        <f>'Data Panjang Balok'!E241</f>
        <v>1</v>
      </c>
      <c r="L244">
        <f>SUMIFS('Besi Balok'!$AA$23:$AA$12292,'Besi Balok'!$A$23:$A$12292,$A244,'Besi Balok'!$B$23:$B$12292,$B244,'Besi Balok'!$F$23:$F$12292,'REKAP Balok'!L$12)</f>
        <v>0</v>
      </c>
      <c r="M244">
        <f>SUMIFS('Besi Balok'!$AA$23:$AA$12292,'Besi Balok'!$A$23:$A$12292,$A244,'Besi Balok'!$B$23:$B$12292,$B244,'Besi Balok'!$F$23:$F$12292,'REKAP Balok'!M$12)</f>
        <v>10.4795136</v>
      </c>
      <c r="N244">
        <f>SUMIFS('Besi Balok'!$AA$23:$AA$12292,'Besi Balok'!$A$23:$A$12292,$A244,'Besi Balok'!$B$23:$B$12292,$B244,'Besi Balok'!$F$23:$F$12292,'REKAP Balok'!N$12)</f>
        <v>0</v>
      </c>
      <c r="O244">
        <f>SUMIFS('Besi Balok'!$AA$23:$AA$12292,'Besi Balok'!$A$23:$A$12292,$A244,'Besi Balok'!$B$23:$B$12292,$B244,'Besi Balok'!$F$23:$F$12292,'REKAP Balok'!O$12)</f>
        <v>16.30341648</v>
      </c>
      <c r="P244">
        <f>SUMIFS('Besi Balok'!$AA$23:$AA$12292,'Besi Balok'!$A$23:$A$12292,$A244,'Besi Balok'!$B$23:$B$12292,$B244,'Besi Balok'!$F$23:$F$12292,'REKAP Balok'!P$12)</f>
        <v>0</v>
      </c>
      <c r="Q244">
        <f>SUMIFS('Besi Balok'!$AA$23:$AA$12292,'Besi Balok'!$A$23:$A$12292,$A244,'Besi Balok'!$B$23:$B$12292,$B244,'Besi Balok'!$F$23:$F$12292,'REKAP Balok'!Q$12)</f>
        <v>0</v>
      </c>
      <c r="R244">
        <f>SUMIFS('Besi Balok'!$AA$23:$AA$12292,'Besi Balok'!$A$23:$A$12292,$A244,'Besi Balok'!$B$23:$B$12292,$B244,'Besi Balok'!$F$23:$F$12292,'REKAP Balok'!R$12)</f>
        <v>0</v>
      </c>
      <c r="S244">
        <f>SUMIFS('Besi Balok'!$AA$23:$AA$12292,'Besi Balok'!$A$23:$A$12292,$A244,'Besi Balok'!$B$23:$B$12292,$B244,'Besi Balok'!$F$23:$F$12292,'REKAP Balok'!S$12)</f>
        <v>0</v>
      </c>
      <c r="T244">
        <f>SUMIFS('Besi Balok'!$AA$23:$AA$12292,'Besi Balok'!$A$23:$A$12292,$A244,'Besi Balok'!$B$23:$B$12292,$B244,'Besi Balok'!$F$23:$F$12292,'REKAP Balok'!T$12)</f>
        <v>0</v>
      </c>
      <c r="U244">
        <f>SUM(L244:T244)</f>
        <v>26.78293008</v>
      </c>
      <c r="V244">
        <f>(D244*(F244-H244)*G244*K244)/1000000000</f>
        <v>0.1224</v>
      </c>
      <c r="W244">
        <f>(((F244-H244)*2+D244)*(G244)*K244)/1000000</f>
        <v>1.944</v>
      </c>
      <c r="AC244">
        <f>(D244+2*$F$5)*F244*G244/1000000000</f>
        <v>0.432</v>
      </c>
    </row>
    <row r="245">
      <c r="A245" t="str">
        <f>'Data Panjang Balok'!A242</f>
        <v>Lantai 2</v>
      </c>
      <c r="B245">
        <f>'Data Panjang Balok'!B242</f>
        <v>35</v>
      </c>
      <c r="C245" t="str">
        <f>'Data Panjang Balok'!D242</f>
        <v>B173-1</v>
      </c>
      <c r="D245">
        <f>IF(C245&gt;0,VLOOKUP(C245,'Detail Balok'!$C$11:$AU$110,2,FALSE),0)</f>
        <v>170</v>
      </c>
      <c r="E245" t="str">
        <v>x</v>
      </c>
      <c r="F245">
        <f>IF(C245&gt;0,VLOOKUP(C245,'Detail Balok'!$C$11:$AU$110,3,FALSE),0)</f>
        <v>300</v>
      </c>
      <c r="G245">
        <f>'Data Panjang Balok'!I242</f>
        <v>2485</v>
      </c>
      <c r="H245">
        <f>'Data Panjang Balok'!J242</f>
        <v>0</v>
      </c>
      <c r="J245">
        <f>I245-F245/1000</f>
        <v>-0.3</v>
      </c>
      <c r="K245">
        <f>'Data Panjang Balok'!E242</f>
        <v>1</v>
      </c>
      <c r="L245">
        <f>SUMIFS('Besi Balok'!$AA$23:$AA$12292,'Besi Balok'!$A$23:$A$12292,$A245,'Besi Balok'!$B$23:$B$12292,$B245,'Besi Balok'!$F$23:$F$12292,'REKAP Balok'!L$12)</f>
        <v>0</v>
      </c>
      <c r="M245">
        <f>SUMIFS('Besi Balok'!$AA$23:$AA$12292,'Besi Balok'!$A$23:$A$12292,$A245,'Besi Balok'!$B$23:$B$12292,$B245,'Besi Balok'!$F$23:$F$12292,'REKAP Balok'!M$12)</f>
        <v>6.6838464</v>
      </c>
      <c r="N245">
        <f>SUMIFS('Besi Balok'!$AA$23:$AA$12292,'Besi Balok'!$A$23:$A$12292,$A245,'Besi Balok'!$B$23:$B$12292,$B245,'Besi Balok'!$F$23:$F$12292,'REKAP Balok'!N$12)</f>
        <v>0</v>
      </c>
      <c r="O245">
        <f>SUMIFS('Besi Balok'!$AA$23:$AA$12292,'Besi Balok'!$A$23:$A$12292,$A245,'Besi Balok'!$B$23:$B$12292,$B245,'Besi Balok'!$F$23:$F$12292,'REKAP Balok'!O$12)</f>
        <v>11.65660938</v>
      </c>
      <c r="P245">
        <f>SUMIFS('Besi Balok'!$AA$23:$AA$12292,'Besi Balok'!$A$23:$A$12292,$A245,'Besi Balok'!$B$23:$B$12292,$B245,'Besi Balok'!$F$23:$F$12292,'REKAP Balok'!P$12)</f>
        <v>0</v>
      </c>
      <c r="Q245">
        <f>SUMIFS('Besi Balok'!$AA$23:$AA$12292,'Besi Balok'!$A$23:$A$12292,$A245,'Besi Balok'!$B$23:$B$12292,$B245,'Besi Balok'!$F$23:$F$12292,'REKAP Balok'!Q$12)</f>
        <v>0</v>
      </c>
      <c r="R245">
        <f>SUMIFS('Besi Balok'!$AA$23:$AA$12292,'Besi Balok'!$A$23:$A$12292,$A245,'Besi Balok'!$B$23:$B$12292,$B245,'Besi Balok'!$F$23:$F$12292,'REKAP Balok'!R$12)</f>
        <v>0</v>
      </c>
      <c r="S245">
        <f>SUMIFS('Besi Balok'!$AA$23:$AA$12292,'Besi Balok'!$A$23:$A$12292,$A245,'Besi Balok'!$B$23:$B$12292,$B245,'Besi Balok'!$F$23:$F$12292,'REKAP Balok'!S$12)</f>
        <v>0</v>
      </c>
      <c r="T245">
        <f>SUMIFS('Besi Balok'!$AA$23:$AA$12292,'Besi Balok'!$A$23:$A$12292,$A245,'Besi Balok'!$B$23:$B$12292,$B245,'Besi Balok'!$F$23:$F$12292,'REKAP Balok'!T$12)</f>
        <v>0</v>
      </c>
      <c r="U245">
        <f>SUM(L245:T245)</f>
        <v>18.34045578</v>
      </c>
      <c r="V245">
        <f>(D245*(F245-H245)*G245*K245)/1000000000</f>
        <v>0.126735</v>
      </c>
      <c r="W245">
        <f>(((F245-H245)*2+D245)*(G245)*K245)/1000000</f>
        <v>1.91345</v>
      </c>
      <c r="AC245">
        <f>(D245+2*$F$5)*F245*G245/1000000000</f>
        <v>0.275835</v>
      </c>
    </row>
    <row r="246">
      <c r="A246" t="str">
        <f>'Data Panjang Balok'!A243</f>
        <v>Lantai 2</v>
      </c>
      <c r="B246">
        <f>'Data Panjang Balok'!B243</f>
        <v>36</v>
      </c>
      <c r="C246" t="str">
        <f>'Data Panjang Balok'!D243</f>
        <v>B25-1</v>
      </c>
      <c r="D246">
        <f>IF(C246&gt;0,VLOOKUP(C246,'Detail Balok'!$C$11:$AU$110,2,FALSE),0)</f>
        <v>200</v>
      </c>
      <c r="E246" t="str">
        <v>x</v>
      </c>
      <c r="F246">
        <f>IF(C246&gt;0,VLOOKUP(C246,'Detail Balok'!$C$11:$AU$110,3,FALSE),0)</f>
        <v>500</v>
      </c>
      <c r="G246">
        <f>'Data Panjang Balok'!I243</f>
        <v>5100</v>
      </c>
      <c r="H246">
        <f>'Data Panjang Balok'!J243</f>
        <v>130</v>
      </c>
      <c r="J246">
        <f>I246-F246/1000</f>
        <v>-0.5</v>
      </c>
      <c r="K246">
        <f>'Data Panjang Balok'!E243</f>
        <v>1</v>
      </c>
      <c r="L246">
        <f>SUMIFS('Besi Balok'!$AA$23:$AA$12292,'Besi Balok'!$A$23:$A$12292,$A246,'Besi Balok'!$B$23:$B$12292,$B246,'Besi Balok'!$F$23:$F$12292,'REKAP Balok'!L$12)</f>
        <v>0</v>
      </c>
      <c r="M246">
        <f>SUMIFS('Besi Balok'!$AA$23:$AA$12292,'Besi Balok'!$A$23:$A$12292,$A246,'Besi Balok'!$B$23:$B$12292,$B246,'Besi Balok'!$F$23:$F$12292,'REKAP Balok'!M$12)</f>
        <v>0</v>
      </c>
      <c r="N246">
        <f>SUMIFS('Besi Balok'!$AA$23:$AA$12292,'Besi Balok'!$A$23:$A$12292,$A246,'Besi Balok'!$B$23:$B$12292,$B246,'Besi Balok'!$F$23:$F$12292,'REKAP Balok'!N$12)</f>
        <v>37.674315</v>
      </c>
      <c r="O246">
        <f>SUMIFS('Besi Balok'!$AA$23:$AA$12292,'Besi Balok'!$A$23:$A$12292,$A246,'Besi Balok'!$B$23:$B$12292,$B246,'Besi Balok'!$F$23:$F$12292,'REKAP Balok'!O$12)</f>
        <v>0</v>
      </c>
      <c r="P246">
        <f>SUMIFS('Besi Balok'!$AA$23:$AA$12292,'Besi Balok'!$A$23:$A$12292,$A246,'Besi Balok'!$B$23:$B$12292,$B246,'Besi Balok'!$F$23:$F$12292,'REKAP Balok'!P$12)</f>
        <v>34.620272639999996</v>
      </c>
      <c r="Q246">
        <f>SUMIFS('Besi Balok'!$AA$23:$AA$12292,'Besi Balok'!$A$23:$A$12292,$A246,'Besi Balok'!$B$23:$B$12292,$B246,'Besi Balok'!$F$23:$F$12292,'REKAP Balok'!Q$12)</f>
        <v>0</v>
      </c>
      <c r="R246">
        <f>SUMIFS('Besi Balok'!$AA$23:$AA$12292,'Besi Balok'!$A$23:$A$12292,$A246,'Besi Balok'!$B$23:$B$12292,$B246,'Besi Balok'!$F$23:$F$12292,'REKAP Balok'!R$12)</f>
        <v>0</v>
      </c>
      <c r="S246">
        <f>SUMIFS('Besi Balok'!$AA$23:$AA$12292,'Besi Balok'!$A$23:$A$12292,$A246,'Besi Balok'!$B$23:$B$12292,$B246,'Besi Balok'!$F$23:$F$12292,'REKAP Balok'!S$12)</f>
        <v>0</v>
      </c>
      <c r="T246">
        <f>SUMIFS('Besi Balok'!$AA$23:$AA$12292,'Besi Balok'!$A$23:$A$12292,$A246,'Besi Balok'!$B$23:$B$12292,$B246,'Besi Balok'!$F$23:$F$12292,'REKAP Balok'!T$12)</f>
        <v>0</v>
      </c>
      <c r="U246">
        <f>SUM(L246:T246)</f>
        <v>72.29458764</v>
      </c>
      <c r="V246">
        <f>(D246*(F246-H246)*G246*K246)/1000000000</f>
        <v>0.3774</v>
      </c>
      <c r="W246">
        <f>(((F246-H246)*2+D246)*(G246)*K246)/1000000</f>
        <v>4.794</v>
      </c>
      <c r="AC246">
        <f>(D246+2*$F$5)*F246*G246/1000000000</f>
        <v>1.02</v>
      </c>
    </row>
    <row r="247">
      <c r="A247" t="str">
        <f>'Data Panjang Balok'!A244</f>
        <v>Lantai 2</v>
      </c>
      <c r="B247">
        <f>'Data Panjang Balok'!B244</f>
        <v>37</v>
      </c>
      <c r="C247" t="str">
        <f>'Data Panjang Balok'!D244</f>
        <v>B26-6</v>
      </c>
      <c r="D247">
        <f>IF(C247&gt;0,VLOOKUP(C247,'Detail Balok'!$C$11:$AU$110,2,FALSE),0)</f>
        <v>200</v>
      </c>
      <c r="E247" t="str">
        <v>x</v>
      </c>
      <c r="F247">
        <f>IF(C247&gt;0,VLOOKUP(C247,'Detail Balok'!$C$11:$AU$110,3,FALSE),0)</f>
        <v>600</v>
      </c>
      <c r="G247">
        <f>'Data Panjang Balok'!I244</f>
        <v>2900</v>
      </c>
      <c r="H247">
        <f>'Data Panjang Balok'!J244</f>
        <v>150</v>
      </c>
      <c r="J247">
        <f>I247-F247/1000</f>
        <v>-0.6</v>
      </c>
      <c r="K247">
        <f>'Data Panjang Balok'!E244</f>
        <v>1</v>
      </c>
      <c r="L247">
        <f>SUMIFS('Besi Balok'!$AA$23:$AA$12292,'Besi Balok'!$A$23:$A$12292,$A247,'Besi Balok'!$B$23:$B$12292,$B247,'Besi Balok'!$F$23:$F$12292,'REKAP Balok'!L$12)</f>
        <v>0</v>
      </c>
      <c r="M247">
        <f>SUMIFS('Besi Balok'!$AA$23:$AA$12292,'Besi Balok'!$A$23:$A$12292,$A247,'Besi Balok'!$B$23:$B$12292,$B247,'Besi Balok'!$F$23:$F$12292,'REKAP Balok'!M$12)</f>
        <v>0</v>
      </c>
      <c r="N247">
        <f>SUMIFS('Besi Balok'!$AA$23:$AA$12292,'Besi Balok'!$A$23:$A$12292,$A247,'Besi Balok'!$B$23:$B$12292,$B247,'Besi Balok'!$F$23:$F$12292,'REKAP Balok'!N$12)</f>
        <v>29.437875</v>
      </c>
      <c r="O247">
        <f>SUMIFS('Besi Balok'!$AA$23:$AA$12292,'Besi Balok'!$A$23:$A$12292,$A247,'Besi Balok'!$B$23:$B$12292,$B247,'Besi Balok'!$F$23:$F$12292,'REKAP Balok'!O$12)</f>
        <v>0</v>
      </c>
      <c r="P247">
        <f>SUMIFS('Besi Balok'!$AA$23:$AA$12292,'Besi Balok'!$A$23:$A$12292,$A247,'Besi Balok'!$B$23:$B$12292,$B247,'Besi Balok'!$F$23:$F$12292,'REKAP Balok'!P$12)</f>
        <v>20.73176064</v>
      </c>
      <c r="Q247">
        <f>SUMIFS('Besi Balok'!$AA$23:$AA$12292,'Besi Balok'!$A$23:$A$12292,$A247,'Besi Balok'!$B$23:$B$12292,$B247,'Besi Balok'!$F$23:$F$12292,'REKAP Balok'!Q$12)</f>
        <v>0</v>
      </c>
      <c r="R247">
        <f>SUMIFS('Besi Balok'!$AA$23:$AA$12292,'Besi Balok'!$A$23:$A$12292,$A247,'Besi Balok'!$B$23:$B$12292,$B247,'Besi Balok'!$F$23:$F$12292,'REKAP Balok'!R$12)</f>
        <v>0</v>
      </c>
      <c r="S247">
        <f>SUMIFS('Besi Balok'!$AA$23:$AA$12292,'Besi Balok'!$A$23:$A$12292,$A247,'Besi Balok'!$B$23:$B$12292,$B247,'Besi Balok'!$F$23:$F$12292,'REKAP Balok'!S$12)</f>
        <v>0</v>
      </c>
      <c r="T247">
        <f>SUMIFS('Besi Balok'!$AA$23:$AA$12292,'Besi Balok'!$A$23:$A$12292,$A247,'Besi Balok'!$B$23:$B$12292,$B247,'Besi Balok'!$F$23:$F$12292,'REKAP Balok'!T$12)</f>
        <v>0</v>
      </c>
      <c r="U247">
        <f>SUM(L247:T247)</f>
        <v>50.169635639999996</v>
      </c>
      <c r="V247">
        <f>(D247*(F247-H247)*G247*K247)/1000000000</f>
        <v>0.261</v>
      </c>
      <c r="W247">
        <f>(((F247-H247)*2+D247)*(G247)*K247)/1000000</f>
        <v>3.19</v>
      </c>
      <c r="AC247">
        <f>(D247+2*$F$5)*F247*G247/1000000000</f>
        <v>0.696</v>
      </c>
    </row>
    <row r="248">
      <c r="A248" t="str">
        <f>'Data Panjang Balok'!A245</f>
        <v>Lantai 2</v>
      </c>
      <c r="B248">
        <f>'Data Panjang Balok'!B245</f>
        <v>38</v>
      </c>
      <c r="C248" t="str">
        <f>'Data Panjang Balok'!D245</f>
        <v>B26-1</v>
      </c>
      <c r="D248">
        <f>IF(C248&gt;0,VLOOKUP(C248,'Detail Balok'!$C$11:$AU$110,2,FALSE),0)</f>
        <v>200</v>
      </c>
      <c r="E248" t="str">
        <v>x</v>
      </c>
      <c r="F248">
        <f>IF(C248&gt;0,VLOOKUP(C248,'Detail Balok'!$C$11:$AU$110,3,FALSE),0)</f>
        <v>600</v>
      </c>
      <c r="G248">
        <f>'Data Panjang Balok'!I245</f>
        <v>8100</v>
      </c>
      <c r="H248">
        <f>'Data Panjang Balok'!J245</f>
        <v>130</v>
      </c>
      <c r="J248">
        <f>I248-F248/1000</f>
        <v>-0.6</v>
      </c>
      <c r="K248">
        <f>'Data Panjang Balok'!E245</f>
        <v>1</v>
      </c>
      <c r="L248">
        <f>SUMIFS('Besi Balok'!$AA$23:$AA$12292,'Besi Balok'!$A$23:$A$12292,$A248,'Besi Balok'!$B$23:$B$12292,$B248,'Besi Balok'!$F$23:$F$12292,'REKAP Balok'!L$12)</f>
        <v>0</v>
      </c>
      <c r="M248">
        <f>SUMIFS('Besi Balok'!$AA$23:$AA$12292,'Besi Balok'!$A$23:$A$12292,$A248,'Besi Balok'!$B$23:$B$12292,$B248,'Besi Balok'!$F$23:$F$12292,'REKAP Balok'!M$12)</f>
        <v>0</v>
      </c>
      <c r="N248">
        <f>SUMIFS('Besi Balok'!$AA$23:$AA$12292,'Besi Balok'!$A$23:$A$12292,$A248,'Besi Balok'!$B$23:$B$12292,$B248,'Besi Balok'!$F$23:$F$12292,'REKAP Balok'!N$12)</f>
        <v>64.94211</v>
      </c>
      <c r="O248">
        <f>SUMIFS('Besi Balok'!$AA$23:$AA$12292,'Besi Balok'!$A$23:$A$12292,$A248,'Besi Balok'!$B$23:$B$12292,$B248,'Besi Balok'!$F$23:$F$12292,'REKAP Balok'!O$12)</f>
        <v>0</v>
      </c>
      <c r="P248">
        <f>SUMIFS('Besi Balok'!$AA$23:$AA$12292,'Besi Balok'!$A$23:$A$12292,$A248,'Besi Balok'!$B$23:$B$12292,$B248,'Besi Balok'!$F$23:$F$12292,'REKAP Balok'!P$12)</f>
        <v>96.47938943999999</v>
      </c>
      <c r="Q248">
        <f>SUMIFS('Besi Balok'!$AA$23:$AA$12292,'Besi Balok'!$A$23:$A$12292,$A248,'Besi Balok'!$B$23:$B$12292,$B248,'Besi Balok'!$F$23:$F$12292,'REKAP Balok'!Q$12)</f>
        <v>0</v>
      </c>
      <c r="R248">
        <f>SUMIFS('Besi Balok'!$AA$23:$AA$12292,'Besi Balok'!$A$23:$A$12292,$A248,'Besi Balok'!$B$23:$B$12292,$B248,'Besi Balok'!$F$23:$F$12292,'REKAP Balok'!R$12)</f>
        <v>0</v>
      </c>
      <c r="S248">
        <f>SUMIFS('Besi Balok'!$AA$23:$AA$12292,'Besi Balok'!$A$23:$A$12292,$A248,'Besi Balok'!$B$23:$B$12292,$B248,'Besi Balok'!$F$23:$F$12292,'REKAP Balok'!S$12)</f>
        <v>0</v>
      </c>
      <c r="T248">
        <f>SUMIFS('Besi Balok'!$AA$23:$AA$12292,'Besi Balok'!$A$23:$A$12292,$A248,'Besi Balok'!$B$23:$B$12292,$B248,'Besi Balok'!$F$23:$F$12292,'REKAP Balok'!T$12)</f>
        <v>0</v>
      </c>
      <c r="U248">
        <f>SUM(L248:T248)</f>
        <v>161.42149944</v>
      </c>
      <c r="V248">
        <f>(D248*(F248-H248)*G248*K248)/1000000000</f>
        <v>0.7614</v>
      </c>
      <c r="W248">
        <f>(((F248-H248)*2+D248)*(G248)*K248)/1000000</f>
        <v>9.234</v>
      </c>
      <c r="AC248">
        <f>(D248+2*$F$5)*F248*G248/1000000000</f>
        <v>1.944</v>
      </c>
    </row>
    <row r="249">
      <c r="A249" t="str">
        <f>'Data Panjang Balok'!A246</f>
        <v>Lantai 2</v>
      </c>
      <c r="B249">
        <f>'Data Panjang Balok'!B246</f>
        <v>39</v>
      </c>
      <c r="C249" t="str">
        <f>'Data Panjang Balok'!D246</f>
        <v>B245-7</v>
      </c>
      <c r="D249">
        <f>IF(C249&gt;0,VLOOKUP(C249,'Detail Balok'!$C$11:$AU$110,2,FALSE),0)</f>
        <v>200</v>
      </c>
      <c r="E249" t="str">
        <v>x</v>
      </c>
      <c r="F249">
        <f>IF(C249&gt;0,VLOOKUP(C249,'Detail Balok'!$C$11:$AU$110,3,FALSE),0)</f>
        <v>450</v>
      </c>
      <c r="G249">
        <f>'Data Panjang Balok'!I246</f>
        <v>4100</v>
      </c>
      <c r="H249">
        <f>'Data Panjang Balok'!J246</f>
        <v>130</v>
      </c>
      <c r="J249">
        <f>I249-F249/1000</f>
        <v>-0.45</v>
      </c>
      <c r="K249">
        <f>'Data Panjang Balok'!E246</f>
        <v>1</v>
      </c>
      <c r="L249">
        <f>SUMIFS('Besi Balok'!$AA$23:$AA$12292,'Besi Balok'!$A$23:$A$12292,$A249,'Besi Balok'!$B$23:$B$12292,$B249,'Besi Balok'!$F$23:$F$12292,'REKAP Balok'!L$12)</f>
        <v>0</v>
      </c>
      <c r="M249">
        <f>SUMIFS('Besi Balok'!$AA$23:$AA$12292,'Besi Balok'!$A$23:$A$12292,$A249,'Besi Balok'!$B$23:$B$12292,$B249,'Besi Balok'!$F$23:$F$12292,'REKAP Balok'!M$12)</f>
        <v>14.97907584</v>
      </c>
      <c r="N249">
        <f>SUMIFS('Besi Balok'!$AA$23:$AA$12292,'Besi Balok'!$A$23:$A$12292,$A249,'Besi Balok'!$B$23:$B$12292,$B249,'Besi Balok'!$F$23:$F$12292,'REKAP Balok'!N$12)</f>
        <v>0</v>
      </c>
      <c r="O249">
        <f>SUMIFS('Besi Balok'!$AA$23:$AA$12292,'Besi Balok'!$A$23:$A$12292,$A249,'Besi Balok'!$B$23:$B$12292,$B249,'Besi Balok'!$F$23:$F$12292,'REKAP Balok'!O$12)</f>
        <v>0</v>
      </c>
      <c r="P249">
        <f>SUMIFS('Besi Balok'!$AA$23:$AA$12292,'Besi Balok'!$A$23:$A$12292,$A249,'Besi Balok'!$B$23:$B$12292,$B249,'Besi Balok'!$F$23:$F$12292,'REKAP Balok'!P$12)</f>
        <v>0</v>
      </c>
      <c r="Q249">
        <f>SUMIFS('Besi Balok'!$AA$23:$AA$12292,'Besi Balok'!$A$23:$A$12292,$A249,'Besi Balok'!$B$23:$B$12292,$B249,'Besi Balok'!$F$23:$F$12292,'REKAP Balok'!Q$12)</f>
        <v>64.39004658</v>
      </c>
      <c r="R249">
        <f>SUMIFS('Besi Balok'!$AA$23:$AA$12292,'Besi Balok'!$A$23:$A$12292,$A249,'Besi Balok'!$B$23:$B$12292,$B249,'Besi Balok'!$F$23:$F$12292,'REKAP Balok'!R$12)</f>
        <v>0</v>
      </c>
      <c r="S249">
        <f>SUMIFS('Besi Balok'!$AA$23:$AA$12292,'Besi Balok'!$A$23:$A$12292,$A249,'Besi Balok'!$B$23:$B$12292,$B249,'Besi Balok'!$F$23:$F$12292,'REKAP Balok'!S$12)</f>
        <v>0</v>
      </c>
      <c r="T249">
        <f>SUMIFS('Besi Balok'!$AA$23:$AA$12292,'Besi Balok'!$A$23:$A$12292,$A249,'Besi Balok'!$B$23:$B$12292,$B249,'Besi Balok'!$F$23:$F$12292,'REKAP Balok'!T$12)</f>
        <v>0</v>
      </c>
      <c r="U249">
        <f>SUM(L249:T249)</f>
        <v>79.36912242</v>
      </c>
      <c r="V249">
        <f>(D249*(F249-H249)*G249*K249)/1000000000</f>
        <v>0.2624</v>
      </c>
      <c r="W249">
        <f>(((F249-H249)*2+D249)*(G249)*K249)/1000000</f>
        <v>3.444</v>
      </c>
      <c r="AC249">
        <f>(D249+2*$F$5)*F249*G249/1000000000</f>
        <v>0.738</v>
      </c>
    </row>
    <row r="250">
      <c r="A250" t="str">
        <f>'Data Panjang Balok'!A247</f>
        <v>Lantai 2</v>
      </c>
      <c r="B250">
        <f>'Data Panjang Balok'!B247</f>
        <v>40</v>
      </c>
      <c r="C250" t="str">
        <f>'Data Panjang Balok'!D247</f>
        <v>B36-3</v>
      </c>
      <c r="D250">
        <f>IF(C250&gt;0,VLOOKUP(C250,'Detail Balok'!$C$11:$AU$110,2,FALSE),0)</f>
        <v>300</v>
      </c>
      <c r="E250" t="str">
        <v>x</v>
      </c>
      <c r="F250">
        <f>IF(C250&gt;0,VLOOKUP(C250,'Detail Balok'!$C$11:$AU$110,3,FALSE),0)</f>
        <v>600</v>
      </c>
      <c r="G250">
        <f>'Data Panjang Balok'!I247</f>
        <v>6000</v>
      </c>
      <c r="H250">
        <f>'Data Panjang Balok'!J247</f>
        <v>130</v>
      </c>
      <c r="J250">
        <f>I250-F250/1000</f>
        <v>-0.6</v>
      </c>
      <c r="K250">
        <f>'Data Panjang Balok'!E247</f>
        <v>1</v>
      </c>
      <c r="L250">
        <f>SUMIFS('Besi Balok'!$AA$23:$AA$12292,'Besi Balok'!$A$23:$A$12292,$A250,'Besi Balok'!$B$23:$B$12292,$B250,'Besi Balok'!$F$23:$F$12292,'REKAP Balok'!L$12)</f>
        <v>0</v>
      </c>
      <c r="M250">
        <f>SUMIFS('Besi Balok'!$AA$23:$AA$12292,'Besi Balok'!$A$23:$A$12292,$A250,'Besi Balok'!$B$23:$B$12292,$B250,'Besi Balok'!$F$23:$F$12292,'REKAP Balok'!M$12)</f>
        <v>0</v>
      </c>
      <c r="N250">
        <f>SUMIFS('Besi Balok'!$AA$23:$AA$12292,'Besi Balok'!$A$23:$A$12292,$A250,'Besi Balok'!$B$23:$B$12292,$B250,'Besi Balok'!$F$23:$F$12292,'REKAP Balok'!N$12)</f>
        <v>73.16622000000001</v>
      </c>
      <c r="O250">
        <f>SUMIFS('Besi Balok'!$AA$23:$AA$12292,'Besi Balok'!$A$23:$A$12292,$A250,'Besi Balok'!$B$23:$B$12292,$B250,'Besi Balok'!$F$23:$F$12292,'REKAP Balok'!O$12)</f>
        <v>0</v>
      </c>
      <c r="P250">
        <f>SUMIFS('Besi Balok'!$AA$23:$AA$12292,'Besi Balok'!$A$23:$A$12292,$A250,'Besi Balok'!$B$23:$B$12292,$B250,'Besi Balok'!$F$23:$F$12292,'REKAP Balok'!P$12)</f>
        <v>0</v>
      </c>
      <c r="Q250">
        <f>SUMIFS('Besi Balok'!$AA$23:$AA$12292,'Besi Balok'!$A$23:$A$12292,$A250,'Besi Balok'!$B$23:$B$12292,$B250,'Besi Balok'!$F$23:$F$12292,'REKAP Balok'!Q$12)</f>
        <v>175.750642485</v>
      </c>
      <c r="R250">
        <f>SUMIFS('Besi Balok'!$AA$23:$AA$12292,'Besi Balok'!$A$23:$A$12292,$A250,'Besi Balok'!$B$23:$B$12292,$B250,'Besi Balok'!$F$23:$F$12292,'REKAP Balok'!R$12)</f>
        <v>0</v>
      </c>
      <c r="S250">
        <f>SUMIFS('Besi Balok'!$AA$23:$AA$12292,'Besi Balok'!$A$23:$A$12292,$A250,'Besi Balok'!$B$23:$B$12292,$B250,'Besi Balok'!$F$23:$F$12292,'REKAP Balok'!S$12)</f>
        <v>0</v>
      </c>
      <c r="T250">
        <f>SUMIFS('Besi Balok'!$AA$23:$AA$12292,'Besi Balok'!$A$23:$A$12292,$A250,'Besi Balok'!$B$23:$B$12292,$B250,'Besi Balok'!$F$23:$F$12292,'REKAP Balok'!T$12)</f>
        <v>0</v>
      </c>
      <c r="U250">
        <f>SUM(L250:T250)</f>
        <v>248.916862485</v>
      </c>
      <c r="V250">
        <f>(D250*(F250-H250)*G250*K250)/1000000000</f>
        <v>0.846</v>
      </c>
      <c r="W250">
        <f>(((F250-H250)*2+D250)*(G250)*K250)/1000000</f>
        <v>7.44</v>
      </c>
      <c r="AC250">
        <f>(D250+2*$F$5)*F250*G250/1000000000</f>
        <v>1.8</v>
      </c>
    </row>
    <row r="251">
      <c r="A251" t="str">
        <f>'Data Panjang Balok'!A248</f>
        <v>Lantai 2</v>
      </c>
      <c r="B251">
        <f>'Data Panjang Balok'!B248</f>
        <v>41</v>
      </c>
      <c r="C251" t="str">
        <f>'Data Panjang Balok'!D248</f>
        <v>Potongan N</v>
      </c>
      <c r="D251">
        <f>IF(C251&gt;0,VLOOKUP(C251,'Detail Balok'!$C$11:$AU$110,2,FALSE),0)</f>
        <v>200</v>
      </c>
      <c r="E251" t="str">
        <v>x</v>
      </c>
      <c r="F251">
        <f>IF(C251&gt;0,VLOOKUP(C251,'Detail Balok'!$C$11:$AU$110,3,FALSE),0)</f>
        <v>600</v>
      </c>
      <c r="G251">
        <f>'Data Panjang Balok'!I248</f>
        <v>2000</v>
      </c>
      <c r="H251">
        <f>'Data Panjang Balok'!J248</f>
        <v>150</v>
      </c>
      <c r="J251">
        <f>I251-F251/1000</f>
        <v>-0.6</v>
      </c>
      <c r="K251">
        <f>'Data Panjang Balok'!E248</f>
        <v>1</v>
      </c>
      <c r="L251">
        <f>SUMIFS('Besi Balok'!$AA$23:$AA$12292,'Besi Balok'!$A$23:$A$12292,$A251,'Besi Balok'!$B$23:$B$12292,$B251,'Besi Balok'!$F$23:$F$12292,'REKAP Balok'!L$12)</f>
        <v>0</v>
      </c>
      <c r="M251">
        <f>SUMIFS('Besi Balok'!$AA$23:$AA$12292,'Besi Balok'!$A$23:$A$12292,$A251,'Besi Balok'!$B$23:$B$12292,$B251,'Besi Balok'!$F$23:$F$12292,'REKAP Balok'!M$12)</f>
        <v>0</v>
      </c>
      <c r="N251">
        <f>SUMIFS('Besi Balok'!$AA$23:$AA$12292,'Besi Balok'!$A$23:$A$12292,$A251,'Besi Balok'!$B$23:$B$12292,$B251,'Besi Balok'!$F$23:$F$12292,'REKAP Balok'!N$12)</f>
        <v>12.459465</v>
      </c>
      <c r="O251">
        <f>SUMIFS('Besi Balok'!$AA$23:$AA$12292,'Besi Balok'!$A$23:$A$12292,$A251,'Besi Balok'!$B$23:$B$12292,$B251,'Besi Balok'!$F$23:$F$12292,'REKAP Balok'!O$12)</f>
        <v>0</v>
      </c>
      <c r="P251">
        <f>SUMIFS('Besi Balok'!$AA$23:$AA$12292,'Besi Balok'!$A$23:$A$12292,$A251,'Besi Balok'!$B$23:$B$12292,$B251,'Besi Balok'!$F$23:$F$12292,'REKAP Balok'!P$12)</f>
        <v>0</v>
      </c>
      <c r="Q251">
        <f>SUMIFS('Besi Balok'!$AA$23:$AA$12292,'Besi Balok'!$A$23:$A$12292,$A251,'Besi Balok'!$B$23:$B$12292,$B251,'Besi Balok'!$F$23:$F$12292,'REKAP Balok'!Q$12)</f>
        <v>38.261913480000004</v>
      </c>
      <c r="R251">
        <f>SUMIFS('Besi Balok'!$AA$23:$AA$12292,'Besi Balok'!$A$23:$A$12292,$A251,'Besi Balok'!$B$23:$B$12292,$B251,'Besi Balok'!$F$23:$F$12292,'REKAP Balok'!R$12)</f>
        <v>0</v>
      </c>
      <c r="S251">
        <f>SUMIFS('Besi Balok'!$AA$23:$AA$12292,'Besi Balok'!$A$23:$A$12292,$A251,'Besi Balok'!$B$23:$B$12292,$B251,'Besi Balok'!$F$23:$F$12292,'REKAP Balok'!S$12)</f>
        <v>0</v>
      </c>
      <c r="T251">
        <f>SUMIFS('Besi Balok'!$AA$23:$AA$12292,'Besi Balok'!$A$23:$A$12292,$A251,'Besi Balok'!$B$23:$B$12292,$B251,'Besi Balok'!$F$23:$F$12292,'REKAP Balok'!T$12)</f>
        <v>0</v>
      </c>
      <c r="U251">
        <f>SUM(L251:T251)</f>
        <v>50.721378480000006</v>
      </c>
      <c r="V251">
        <f>(D251*(F251-H251)*G251*K251)/1000000000</f>
        <v>0.18</v>
      </c>
      <c r="W251">
        <f>(((F251-H251)*2+D251)*(G251)*K251)/1000000</f>
        <v>2.2</v>
      </c>
      <c r="AC251">
        <f>(D251+2*$F$5)*F251*G251/1000000000</f>
        <v>0.48</v>
      </c>
    </row>
    <row r="252">
      <c r="A252" t="str">
        <f>'Data Panjang Balok'!A249</f>
        <v>Lantai 2</v>
      </c>
      <c r="B252">
        <f>'Data Panjang Balok'!B249</f>
        <v>42</v>
      </c>
      <c r="C252" t="str">
        <f>'Data Panjang Balok'!D249</f>
        <v>B25-1</v>
      </c>
      <c r="D252">
        <f>IF(C252&gt;0,VLOOKUP(C252,'Detail Balok'!$C$11:$AU$110,2,FALSE),0)</f>
        <v>200</v>
      </c>
      <c r="E252" t="str">
        <v>x</v>
      </c>
      <c r="F252">
        <f>IF(C252&gt;0,VLOOKUP(C252,'Detail Balok'!$C$11:$AU$110,3,FALSE),0)</f>
        <v>500</v>
      </c>
      <c r="G252">
        <f>'Data Panjang Balok'!I249</f>
        <v>2700</v>
      </c>
      <c r="H252">
        <f>'Data Panjang Balok'!J249</f>
        <v>130</v>
      </c>
      <c r="J252">
        <f>I252-F252/1000</f>
        <v>-0.5</v>
      </c>
      <c r="K252">
        <f>'Data Panjang Balok'!E249</f>
        <v>1</v>
      </c>
      <c r="L252">
        <f>SUMIFS('Besi Balok'!$AA$23:$AA$12292,'Besi Balok'!$A$23:$A$12292,$A252,'Besi Balok'!$B$23:$B$12292,$B252,'Besi Balok'!$F$23:$F$12292,'REKAP Balok'!L$12)</f>
        <v>0</v>
      </c>
      <c r="M252">
        <f>SUMIFS('Besi Balok'!$AA$23:$AA$12292,'Besi Balok'!$A$23:$A$12292,$A252,'Besi Balok'!$B$23:$B$12292,$B252,'Besi Balok'!$F$23:$F$12292,'REKAP Balok'!M$12)</f>
        <v>0</v>
      </c>
      <c r="N252">
        <f>SUMIFS('Besi Balok'!$AA$23:$AA$12292,'Besi Balok'!$A$23:$A$12292,$A252,'Besi Balok'!$B$23:$B$12292,$B252,'Besi Balok'!$F$23:$F$12292,'REKAP Balok'!N$12)</f>
        <v>23.340690000000002</v>
      </c>
      <c r="O252">
        <f>SUMIFS('Besi Balok'!$AA$23:$AA$12292,'Besi Balok'!$A$23:$A$12292,$A252,'Besi Balok'!$B$23:$B$12292,$B252,'Besi Balok'!$F$23:$F$12292,'REKAP Balok'!O$12)</f>
        <v>0</v>
      </c>
      <c r="P252">
        <f>SUMIFS('Besi Balok'!$AA$23:$AA$12292,'Besi Balok'!$A$23:$A$12292,$A252,'Besi Balok'!$B$23:$B$12292,$B252,'Besi Balok'!$F$23:$F$12292,'REKAP Balok'!P$12)</f>
        <v>19.469168640000003</v>
      </c>
      <c r="Q252">
        <f>SUMIFS('Besi Balok'!$AA$23:$AA$12292,'Besi Balok'!$A$23:$A$12292,$A252,'Besi Balok'!$B$23:$B$12292,$B252,'Besi Balok'!$F$23:$F$12292,'REKAP Balok'!Q$12)</f>
        <v>0</v>
      </c>
      <c r="R252">
        <f>SUMIFS('Besi Balok'!$AA$23:$AA$12292,'Besi Balok'!$A$23:$A$12292,$A252,'Besi Balok'!$B$23:$B$12292,$B252,'Besi Balok'!$F$23:$F$12292,'REKAP Balok'!R$12)</f>
        <v>0</v>
      </c>
      <c r="S252">
        <f>SUMIFS('Besi Balok'!$AA$23:$AA$12292,'Besi Balok'!$A$23:$A$12292,$A252,'Besi Balok'!$B$23:$B$12292,$B252,'Besi Balok'!$F$23:$F$12292,'REKAP Balok'!S$12)</f>
        <v>0</v>
      </c>
      <c r="T252">
        <f>SUMIFS('Besi Balok'!$AA$23:$AA$12292,'Besi Balok'!$A$23:$A$12292,$A252,'Besi Balok'!$B$23:$B$12292,$B252,'Besi Balok'!$F$23:$F$12292,'REKAP Balok'!T$12)</f>
        <v>0</v>
      </c>
      <c r="U252">
        <f>SUM(L252:T252)</f>
        <v>42.80985864</v>
      </c>
      <c r="V252">
        <f>(D252*(F252-H252)*G252*K252)/1000000000</f>
        <v>0.1998</v>
      </c>
      <c r="W252">
        <f>(((F252-H252)*2+D252)*(G252)*K252)/1000000</f>
        <v>2.538</v>
      </c>
      <c r="AC252">
        <f>(D252+2*$F$5)*F252*G252/1000000000</f>
        <v>0.54</v>
      </c>
    </row>
    <row r="253">
      <c r="A253" t="str">
        <f>'Data Panjang Balok'!A250</f>
        <v>Lantai 2</v>
      </c>
      <c r="B253">
        <f>'Data Panjang Balok'!B250</f>
        <v>43</v>
      </c>
      <c r="C253" t="str">
        <f>'Data Panjang Balok'!D250</f>
        <v>B24-1</v>
      </c>
      <c r="D253">
        <f>IF(C253&gt;0,VLOOKUP(C253,'Detail Balok'!$C$11:$AU$110,2,FALSE),0)</f>
        <v>200</v>
      </c>
      <c r="E253" t="str">
        <v>x</v>
      </c>
      <c r="F253">
        <f>IF(C253&gt;0,VLOOKUP(C253,'Detail Balok'!$C$11:$AU$110,3,FALSE),0)</f>
        <v>400</v>
      </c>
      <c r="G253">
        <f>'Data Panjang Balok'!I250</f>
        <v>3200</v>
      </c>
      <c r="H253">
        <f>'Data Panjang Balok'!J250</f>
        <v>130</v>
      </c>
      <c r="J253">
        <f>I253-F253/1000</f>
        <v>-0.4</v>
      </c>
      <c r="K253">
        <f>'Data Panjang Balok'!E250</f>
        <v>1</v>
      </c>
      <c r="L253">
        <f>SUMIFS('Besi Balok'!$AA$23:$AA$12292,'Besi Balok'!$A$23:$A$12292,$A253,'Besi Balok'!$B$23:$B$12292,$B253,'Besi Balok'!$F$23:$F$12292,'REKAP Balok'!L$12)</f>
        <v>0</v>
      </c>
      <c r="M253">
        <f>SUMIFS('Besi Balok'!$AA$23:$AA$12292,'Besi Balok'!$A$23:$A$12292,$A253,'Besi Balok'!$B$23:$B$12292,$B253,'Besi Balok'!$F$23:$F$12292,'REKAP Balok'!M$12)</f>
        <v>10.566316800000003</v>
      </c>
      <c r="N253">
        <f>SUMIFS('Besi Balok'!$AA$23:$AA$12292,'Besi Balok'!$A$23:$A$12292,$A253,'Besi Balok'!$B$23:$B$12292,$B253,'Besi Balok'!$F$23:$F$12292,'REKAP Balok'!N$12)</f>
        <v>0</v>
      </c>
      <c r="O253">
        <f>SUMIFS('Besi Balok'!$AA$23:$AA$12292,'Besi Balok'!$A$23:$A$12292,$A253,'Besi Balok'!$B$23:$B$12292,$B253,'Besi Balok'!$F$23:$F$12292,'REKAP Balok'!O$12)</f>
        <v>14.636400479999999</v>
      </c>
      <c r="P253">
        <f>SUMIFS('Besi Balok'!$AA$23:$AA$12292,'Besi Balok'!$A$23:$A$12292,$A253,'Besi Balok'!$B$23:$B$12292,$B253,'Besi Balok'!$F$23:$F$12292,'REKAP Balok'!P$12)</f>
        <v>0</v>
      </c>
      <c r="Q253">
        <f>SUMIFS('Besi Balok'!$AA$23:$AA$12292,'Besi Balok'!$A$23:$A$12292,$A253,'Besi Balok'!$B$23:$B$12292,$B253,'Besi Balok'!$F$23:$F$12292,'REKAP Balok'!Q$12)</f>
        <v>0</v>
      </c>
      <c r="R253">
        <f>SUMIFS('Besi Balok'!$AA$23:$AA$12292,'Besi Balok'!$A$23:$A$12292,$A253,'Besi Balok'!$B$23:$B$12292,$B253,'Besi Balok'!$F$23:$F$12292,'REKAP Balok'!R$12)</f>
        <v>0</v>
      </c>
      <c r="S253">
        <f>SUMIFS('Besi Balok'!$AA$23:$AA$12292,'Besi Balok'!$A$23:$A$12292,$A253,'Besi Balok'!$B$23:$B$12292,$B253,'Besi Balok'!$F$23:$F$12292,'REKAP Balok'!S$12)</f>
        <v>0</v>
      </c>
      <c r="T253">
        <f>SUMIFS('Besi Balok'!$AA$23:$AA$12292,'Besi Balok'!$A$23:$A$12292,$A253,'Besi Balok'!$B$23:$B$12292,$B253,'Besi Balok'!$F$23:$F$12292,'REKAP Balok'!T$12)</f>
        <v>0</v>
      </c>
      <c r="U253">
        <f>SUM(L253:T253)</f>
        <v>25.20271728</v>
      </c>
      <c r="V253">
        <f>(D253*(F253-H253)*G253*K253)/1000000000</f>
        <v>0.1728</v>
      </c>
      <c r="W253">
        <f>(((F253-H253)*2+D253)*(G253)*K253)/1000000</f>
        <v>2.368</v>
      </c>
      <c r="AC253">
        <f>(D253+2*$F$5)*F253*G253/1000000000</f>
        <v>0.512</v>
      </c>
    </row>
    <row r="254">
      <c r="A254" t="str">
        <f>'Data Panjang Balok'!A251</f>
        <v>Lantai 2</v>
      </c>
      <c r="B254">
        <f>'Data Panjang Balok'!B251</f>
        <v>44</v>
      </c>
      <c r="C254" t="str">
        <f>'Data Panjang Balok'!D251</f>
        <v>B24-1</v>
      </c>
      <c r="D254">
        <f>IF(C254&gt;0,VLOOKUP(C254,'Detail Balok'!$C$11:$AU$110,2,FALSE),0)</f>
        <v>200</v>
      </c>
      <c r="E254" t="str">
        <v>x</v>
      </c>
      <c r="F254">
        <f>IF(C254&gt;0,VLOOKUP(C254,'Detail Balok'!$C$11:$AU$110,3,FALSE),0)</f>
        <v>400</v>
      </c>
      <c r="G254">
        <f>'Data Panjang Balok'!I251</f>
        <v>2600</v>
      </c>
      <c r="H254">
        <f>'Data Panjang Balok'!J251</f>
        <v>130</v>
      </c>
      <c r="J254">
        <f>I254-F254/1000</f>
        <v>-0.4</v>
      </c>
      <c r="K254">
        <f>'Data Panjang Balok'!E251</f>
        <v>1</v>
      </c>
      <c r="L254">
        <f>SUMIFS('Besi Balok'!$AA$23:$AA$12292,'Besi Balok'!$A$23:$A$12292,$A254,'Besi Balok'!$B$23:$B$12292,$B254,'Besi Balok'!$F$23:$F$12292,'REKAP Balok'!L$12)</f>
        <v>0</v>
      </c>
      <c r="M254">
        <f>SUMIFS('Besi Balok'!$AA$23:$AA$12292,'Besi Balok'!$A$23:$A$12292,$A254,'Besi Balok'!$B$23:$B$12292,$B254,'Besi Balok'!$F$23:$F$12292,'REKAP Balok'!M$12)</f>
        <v>9.3471264</v>
      </c>
      <c r="N254">
        <f>SUMIFS('Besi Balok'!$AA$23:$AA$12292,'Besi Balok'!$A$23:$A$12292,$A254,'Besi Balok'!$B$23:$B$12292,$B254,'Besi Balok'!$F$23:$F$12292,'REKAP Balok'!N$12)</f>
        <v>0</v>
      </c>
      <c r="O254">
        <f>SUMIFS('Besi Balok'!$AA$23:$AA$12292,'Besi Balok'!$A$23:$A$12292,$A254,'Besi Balok'!$B$23:$B$12292,$B254,'Besi Balok'!$F$23:$F$12292,'REKAP Balok'!O$12)</f>
        <v>12.135876479999999</v>
      </c>
      <c r="P254">
        <f>SUMIFS('Besi Balok'!$AA$23:$AA$12292,'Besi Balok'!$A$23:$A$12292,$A254,'Besi Balok'!$B$23:$B$12292,$B254,'Besi Balok'!$F$23:$F$12292,'REKAP Balok'!P$12)</f>
        <v>0</v>
      </c>
      <c r="Q254">
        <f>SUMIFS('Besi Balok'!$AA$23:$AA$12292,'Besi Balok'!$A$23:$A$12292,$A254,'Besi Balok'!$B$23:$B$12292,$B254,'Besi Balok'!$F$23:$F$12292,'REKAP Balok'!Q$12)</f>
        <v>0</v>
      </c>
      <c r="R254">
        <f>SUMIFS('Besi Balok'!$AA$23:$AA$12292,'Besi Balok'!$A$23:$A$12292,$A254,'Besi Balok'!$B$23:$B$12292,$B254,'Besi Balok'!$F$23:$F$12292,'REKAP Balok'!R$12)</f>
        <v>0</v>
      </c>
      <c r="S254">
        <f>SUMIFS('Besi Balok'!$AA$23:$AA$12292,'Besi Balok'!$A$23:$A$12292,$A254,'Besi Balok'!$B$23:$B$12292,$B254,'Besi Balok'!$F$23:$F$12292,'REKAP Balok'!S$12)</f>
        <v>0</v>
      </c>
      <c r="T254">
        <f>SUMIFS('Besi Balok'!$AA$23:$AA$12292,'Besi Balok'!$A$23:$A$12292,$A254,'Besi Balok'!$B$23:$B$12292,$B254,'Besi Balok'!$F$23:$F$12292,'REKAP Balok'!T$12)</f>
        <v>0</v>
      </c>
      <c r="U254">
        <f>SUM(L254:T254)</f>
        <v>21.48300288</v>
      </c>
      <c r="V254">
        <f>(D254*(F254-H254)*G254*K254)/1000000000</f>
        <v>0.1404</v>
      </c>
      <c r="W254">
        <f>(((F254-H254)*2+D254)*(G254)*K254)/1000000</f>
        <v>1.924</v>
      </c>
      <c r="AC254">
        <f>(D254+2*$F$5)*F254*G254/1000000000</f>
        <v>0.416</v>
      </c>
    </row>
    <row r="255">
      <c r="A255" t="str">
        <f>'Data Panjang Balok'!A252</f>
        <v>Lantai 2</v>
      </c>
      <c r="B255">
        <f>'Data Panjang Balok'!B252</f>
        <v>45</v>
      </c>
      <c r="C255" t="str">
        <f>'Data Panjang Balok'!D252</f>
        <v>B78-1</v>
      </c>
      <c r="D255">
        <f>IF(C255&gt;0,VLOOKUP(C255,'Detail Balok'!$C$11:$AU$110,2,FALSE),0)</f>
        <v>700</v>
      </c>
      <c r="E255" t="str">
        <v>x</v>
      </c>
      <c r="F255">
        <f>IF(C255&gt;0,VLOOKUP(C255,'Detail Balok'!$C$11:$AU$110,3,FALSE),0)</f>
        <v>800</v>
      </c>
      <c r="G255">
        <f>'Data Panjang Balok'!I252</f>
        <v>8800</v>
      </c>
      <c r="H255">
        <f>'Data Panjang Balok'!J252</f>
        <v>130</v>
      </c>
      <c r="J255">
        <f>I255-F255/1000</f>
        <v>-0.8</v>
      </c>
      <c r="K255">
        <f>'Data Panjang Balok'!E252</f>
        <v>1</v>
      </c>
      <c r="L255">
        <f>SUMIFS('Besi Balok'!$AA$23:$AA$12292,'Besi Balok'!$A$23:$A$12292,$A255,'Besi Balok'!$B$23:$B$12292,$B255,'Besi Balok'!$F$23:$F$12292,'REKAP Balok'!L$12)</f>
        <v>0</v>
      </c>
      <c r="M255">
        <f>SUMIFS('Besi Balok'!$AA$23:$AA$12292,'Besi Balok'!$A$23:$A$12292,$A255,'Besi Balok'!$B$23:$B$12292,$B255,'Besi Balok'!$F$23:$F$12292,'REKAP Balok'!M$12)</f>
        <v>0</v>
      </c>
      <c r="N255">
        <f>SUMIFS('Besi Balok'!$AA$23:$AA$12292,'Besi Balok'!$A$23:$A$12292,$A255,'Besi Balok'!$B$23:$B$12292,$B255,'Besi Balok'!$F$23:$F$12292,'REKAP Balok'!N$12)</f>
        <v>22.292640000000006</v>
      </c>
      <c r="O255">
        <f>SUMIFS('Besi Balok'!$AA$23:$AA$12292,'Besi Balok'!$A$23:$A$12292,$A255,'Besi Balok'!$B$23:$B$12292,$B255,'Besi Balok'!$F$23:$F$12292,'REKAP Balok'!O$12)</f>
        <v>269.11472796000004</v>
      </c>
      <c r="P255">
        <f>SUMIFS('Besi Balok'!$AA$23:$AA$12292,'Besi Balok'!$A$23:$A$12292,$A255,'Besi Balok'!$B$23:$B$12292,$B255,'Besi Balok'!$F$23:$F$12292,'REKAP Balok'!P$12)</f>
        <v>0</v>
      </c>
      <c r="Q255">
        <f>SUMIFS('Besi Balok'!$AA$23:$AA$12292,'Besi Balok'!$A$23:$A$12292,$A255,'Besi Balok'!$B$23:$B$12292,$B255,'Besi Balok'!$F$23:$F$12292,'REKAP Balok'!Q$12)</f>
        <v>0</v>
      </c>
      <c r="R255">
        <f>SUMIFS('Besi Balok'!$AA$23:$AA$12292,'Besi Balok'!$A$23:$A$12292,$A255,'Besi Balok'!$B$23:$B$12292,$B255,'Besi Balok'!$F$23:$F$12292,'REKAP Balok'!R$12)</f>
        <v>356.1893359200001</v>
      </c>
      <c r="S255">
        <f>SUMIFS('Besi Balok'!$AA$23:$AA$12292,'Besi Balok'!$A$23:$A$12292,$A255,'Besi Balok'!$B$23:$B$12292,$B255,'Besi Balok'!$F$23:$F$12292,'REKAP Balok'!S$12)</f>
        <v>0</v>
      </c>
      <c r="T255">
        <f>SUMIFS('Besi Balok'!$AA$23:$AA$12292,'Besi Balok'!$A$23:$A$12292,$A255,'Besi Balok'!$B$23:$B$12292,$B255,'Besi Balok'!$F$23:$F$12292,'REKAP Balok'!T$12)</f>
        <v>0</v>
      </c>
      <c r="U255">
        <f>SUM(L255:T255)</f>
        <v>647.5967038800002</v>
      </c>
      <c r="V255">
        <f>(D255*(F255-H255)*G255*K255)/1000000000</f>
        <v>4.1272</v>
      </c>
      <c r="W255">
        <f>(((F255-H255)*2+D255)*(G255)*K255)/1000000</f>
        <v>17.952</v>
      </c>
      <c r="AC255">
        <f>(D255+2*$F$5)*F255*G255/1000000000</f>
        <v>6.336</v>
      </c>
    </row>
    <row r="256">
      <c r="A256" t="str">
        <f>'Data Panjang Balok'!A253</f>
        <v>Lantai 2</v>
      </c>
      <c r="B256">
        <f>'Data Panjang Balok'!B253</f>
        <v>46</v>
      </c>
      <c r="C256" t="str">
        <f>'Data Panjang Balok'!D253</f>
        <v>B23-1</v>
      </c>
      <c r="D256">
        <f>IF(C256&gt;0,VLOOKUP(C256,'Detail Balok'!$C$11:$AU$110,2,FALSE),0)</f>
        <v>200</v>
      </c>
      <c r="E256" t="str">
        <v>x</v>
      </c>
      <c r="F256">
        <f>IF(C256&gt;0,VLOOKUP(C256,'Detail Balok'!$C$11:$AU$110,3,FALSE),0)</f>
        <v>300</v>
      </c>
      <c r="G256">
        <f>'Data Panjang Balok'!I253</f>
        <v>2200</v>
      </c>
      <c r="H256">
        <f>'Data Panjang Balok'!J253</f>
        <v>150</v>
      </c>
      <c r="J256">
        <f>I256-F256/1000</f>
        <v>-0.3</v>
      </c>
      <c r="K256">
        <f>'Data Panjang Balok'!E253</f>
        <v>1</v>
      </c>
      <c r="L256">
        <f>SUMIFS('Besi Balok'!$AA$23:$AA$12292,'Besi Balok'!$A$23:$A$12292,$A256,'Besi Balok'!$B$23:$B$12292,$B256,'Besi Balok'!$F$23:$F$12292,'REKAP Balok'!L$12)</f>
        <v>0</v>
      </c>
      <c r="M256">
        <f>SUMIFS('Besi Balok'!$AA$23:$AA$12292,'Besi Balok'!$A$23:$A$12292,$A256,'Besi Balok'!$B$23:$B$12292,$B256,'Besi Balok'!$F$23:$F$12292,'REKAP Balok'!M$12)</f>
        <v>6.8771808</v>
      </c>
      <c r="N256">
        <f>SUMIFS('Besi Balok'!$AA$23:$AA$12292,'Besi Balok'!$A$23:$A$12292,$A256,'Besi Balok'!$B$23:$B$12292,$B256,'Besi Balok'!$F$23:$F$12292,'REKAP Balok'!N$12)</f>
        <v>0</v>
      </c>
      <c r="O256">
        <f>SUMIFS('Besi Balok'!$AA$23:$AA$12292,'Besi Balok'!$A$23:$A$12292,$A256,'Besi Balok'!$B$23:$B$12292,$B256,'Besi Balok'!$F$23:$F$12292,'REKAP Balok'!O$12)</f>
        <v>10.46886048</v>
      </c>
      <c r="P256">
        <f>SUMIFS('Besi Balok'!$AA$23:$AA$12292,'Besi Balok'!$A$23:$A$12292,$A256,'Besi Balok'!$B$23:$B$12292,$B256,'Besi Balok'!$F$23:$F$12292,'REKAP Balok'!P$12)</f>
        <v>0</v>
      </c>
      <c r="Q256">
        <f>SUMIFS('Besi Balok'!$AA$23:$AA$12292,'Besi Balok'!$A$23:$A$12292,$A256,'Besi Balok'!$B$23:$B$12292,$B256,'Besi Balok'!$F$23:$F$12292,'REKAP Balok'!Q$12)</f>
        <v>0</v>
      </c>
      <c r="R256">
        <f>SUMIFS('Besi Balok'!$AA$23:$AA$12292,'Besi Balok'!$A$23:$A$12292,$A256,'Besi Balok'!$B$23:$B$12292,$B256,'Besi Balok'!$F$23:$F$12292,'REKAP Balok'!R$12)</f>
        <v>0</v>
      </c>
      <c r="S256">
        <f>SUMIFS('Besi Balok'!$AA$23:$AA$12292,'Besi Balok'!$A$23:$A$12292,$A256,'Besi Balok'!$B$23:$B$12292,$B256,'Besi Balok'!$F$23:$F$12292,'REKAP Balok'!S$12)</f>
        <v>0</v>
      </c>
      <c r="T256">
        <f>SUMIFS('Besi Balok'!$AA$23:$AA$12292,'Besi Balok'!$A$23:$A$12292,$A256,'Besi Balok'!$B$23:$B$12292,$B256,'Besi Balok'!$F$23:$F$12292,'REKAP Balok'!T$12)</f>
        <v>0</v>
      </c>
      <c r="U256">
        <f>SUM(L256:T256)</f>
        <v>17.34604128</v>
      </c>
      <c r="V256">
        <f>(D256*(F256-H256)*G256*K256)/1000000000</f>
        <v>0.066</v>
      </c>
      <c r="W256">
        <f>(((F256-H256)*2+D256)*(G256)*K256)/1000000</f>
        <v>1.1</v>
      </c>
      <c r="AC256">
        <f>(D256+2*$F$5)*F256*G256/1000000000</f>
        <v>0.264</v>
      </c>
    </row>
    <row r="257">
      <c r="A257" t="str">
        <f>'Data Panjang Balok'!A254</f>
        <v>Lantai 2</v>
      </c>
      <c r="B257">
        <f>'Data Panjang Balok'!B254</f>
        <v>47</v>
      </c>
      <c r="C257" t="str">
        <f>'Data Panjang Balok'!D254</f>
        <v>B245-4</v>
      </c>
      <c r="D257">
        <f>IF(C257&gt;0,VLOOKUP(C257,'Detail Balok'!$C$11:$AU$110,2,FALSE),0)</f>
        <v>200</v>
      </c>
      <c r="E257" t="str">
        <v>x</v>
      </c>
      <c r="F257">
        <f>IF(C257&gt;0,VLOOKUP(C257,'Detail Balok'!$C$11:$AU$110,3,FALSE),0)</f>
        <v>450</v>
      </c>
      <c r="G257">
        <f>'Data Panjang Balok'!I254</f>
        <v>5100</v>
      </c>
      <c r="H257">
        <f>'Data Panjang Balok'!J254</f>
        <v>130</v>
      </c>
      <c r="J257">
        <f>I257-F257/1000</f>
        <v>-0.45</v>
      </c>
      <c r="K257">
        <f>'Data Panjang Balok'!E254</f>
        <v>1</v>
      </c>
      <c r="L257">
        <f>SUMIFS('Besi Balok'!$AA$23:$AA$12292,'Besi Balok'!$A$23:$A$12292,$A257,'Besi Balok'!$B$23:$B$12292,$B257,'Besi Balok'!$F$23:$F$12292,'REKAP Balok'!L$12)</f>
        <v>0</v>
      </c>
      <c r="M257">
        <f>SUMIFS('Besi Balok'!$AA$23:$AA$12292,'Besi Balok'!$A$23:$A$12292,$A257,'Besi Balok'!$B$23:$B$12292,$B257,'Besi Balok'!$F$23:$F$12292,'REKAP Balok'!M$12)</f>
        <v>22.455987840000002</v>
      </c>
      <c r="N257">
        <f>SUMIFS('Besi Balok'!$AA$23:$AA$12292,'Besi Balok'!$A$23:$A$12292,$A257,'Besi Balok'!$B$23:$B$12292,$B257,'Besi Balok'!$F$23:$F$12292,'REKAP Balok'!N$12)</f>
        <v>0</v>
      </c>
      <c r="O257">
        <f>SUMIFS('Besi Balok'!$AA$23:$AA$12292,'Besi Balok'!$A$23:$A$12292,$A257,'Besi Balok'!$B$23:$B$12292,$B257,'Besi Balok'!$F$23:$F$12292,'REKAP Balok'!O$12)</f>
        <v>0</v>
      </c>
      <c r="P257">
        <f>SUMIFS('Besi Balok'!$AA$23:$AA$12292,'Besi Balok'!$A$23:$A$12292,$A257,'Besi Balok'!$B$23:$B$12292,$B257,'Besi Balok'!$F$23:$F$12292,'REKAP Balok'!P$12)</f>
        <v>51.930408959999994</v>
      </c>
      <c r="Q257">
        <f>SUMIFS('Besi Balok'!$AA$23:$AA$12292,'Besi Balok'!$A$23:$A$12292,$A257,'Besi Balok'!$B$23:$B$12292,$B257,'Besi Balok'!$F$23:$F$12292,'REKAP Balok'!Q$12)</f>
        <v>0</v>
      </c>
      <c r="R257">
        <f>SUMIFS('Besi Balok'!$AA$23:$AA$12292,'Besi Balok'!$A$23:$A$12292,$A257,'Besi Balok'!$B$23:$B$12292,$B257,'Besi Balok'!$F$23:$F$12292,'REKAP Balok'!R$12)</f>
        <v>0</v>
      </c>
      <c r="S257">
        <f>SUMIFS('Besi Balok'!$AA$23:$AA$12292,'Besi Balok'!$A$23:$A$12292,$A257,'Besi Balok'!$B$23:$B$12292,$B257,'Besi Balok'!$F$23:$F$12292,'REKAP Balok'!S$12)</f>
        <v>0</v>
      </c>
      <c r="T257">
        <f>SUMIFS('Besi Balok'!$AA$23:$AA$12292,'Besi Balok'!$A$23:$A$12292,$A257,'Besi Balok'!$B$23:$B$12292,$B257,'Besi Balok'!$F$23:$F$12292,'REKAP Balok'!T$12)</f>
        <v>0</v>
      </c>
      <c r="U257">
        <f>SUM(L257:T257)</f>
        <v>74.3863968</v>
      </c>
      <c r="V257">
        <f>(D257*(F257-H257)*G257*K257)/1000000000</f>
        <v>0.3264</v>
      </c>
      <c r="W257">
        <f>(((F257-H257)*2+D257)*(G257)*K257)/1000000</f>
        <v>4.284</v>
      </c>
      <c r="AC257">
        <f>(D257+2*$F$5)*F257*G257/1000000000</f>
        <v>0.918</v>
      </c>
    </row>
    <row r="258">
      <c r="A258" t="str">
        <f>'Data Panjang Balok'!A255</f>
        <v>Lantai 2</v>
      </c>
      <c r="B258">
        <f>'Data Panjang Balok'!B255</f>
        <v>48</v>
      </c>
      <c r="C258" t="str">
        <f>'Data Panjang Balok'!D255</f>
        <v>B26-1</v>
      </c>
      <c r="D258">
        <f>IF(C258&gt;0,VLOOKUP(C258,'Detail Balok'!$C$11:$AU$110,2,FALSE),0)</f>
        <v>200</v>
      </c>
      <c r="E258" t="str">
        <v>x</v>
      </c>
      <c r="F258">
        <f>IF(C258&gt;0,VLOOKUP(C258,'Detail Balok'!$C$11:$AU$110,3,FALSE),0)</f>
        <v>600</v>
      </c>
      <c r="G258">
        <f>'Data Panjang Balok'!I255</f>
        <v>8000</v>
      </c>
      <c r="H258">
        <f>'Data Panjang Balok'!J255</f>
        <v>130</v>
      </c>
      <c r="J258">
        <f>I258-F258/1000</f>
        <v>-0.6</v>
      </c>
      <c r="K258">
        <f>'Data Panjang Balok'!E255</f>
        <v>1</v>
      </c>
      <c r="L258">
        <f>SUMIFS('Besi Balok'!$AA$23:$AA$12292,'Besi Balok'!$A$23:$A$12292,$A258,'Besi Balok'!$B$23:$B$12292,$B258,'Besi Balok'!$F$23:$F$12292,'REKAP Balok'!L$12)</f>
        <v>0</v>
      </c>
      <c r="M258">
        <f>SUMIFS('Besi Balok'!$AA$23:$AA$12292,'Besi Balok'!$A$23:$A$12292,$A258,'Besi Balok'!$B$23:$B$12292,$B258,'Besi Balok'!$F$23:$F$12292,'REKAP Balok'!M$12)</f>
        <v>0</v>
      </c>
      <c r="N258">
        <f>SUMIFS('Besi Balok'!$AA$23:$AA$12292,'Besi Balok'!$A$23:$A$12292,$A258,'Besi Balok'!$B$23:$B$12292,$B258,'Besi Balok'!$F$23:$F$12292,'REKAP Balok'!N$12)</f>
        <v>64.81881</v>
      </c>
      <c r="O258">
        <f>SUMIFS('Besi Balok'!$AA$23:$AA$12292,'Besi Balok'!$A$23:$A$12292,$A258,'Besi Balok'!$B$23:$B$12292,$B258,'Besi Balok'!$F$23:$F$12292,'REKAP Balok'!O$12)</f>
        <v>0</v>
      </c>
      <c r="P258">
        <f>SUMIFS('Besi Balok'!$AA$23:$AA$12292,'Besi Balok'!$A$23:$A$12292,$A258,'Besi Balok'!$B$23:$B$12292,$B258,'Besi Balok'!$F$23:$F$12292,'REKAP Balok'!P$12)</f>
        <v>95.35094784000002</v>
      </c>
      <c r="Q258">
        <f>SUMIFS('Besi Balok'!$AA$23:$AA$12292,'Besi Balok'!$A$23:$A$12292,$A258,'Besi Balok'!$B$23:$B$12292,$B258,'Besi Balok'!$F$23:$F$12292,'REKAP Balok'!Q$12)</f>
        <v>0</v>
      </c>
      <c r="R258">
        <f>SUMIFS('Besi Balok'!$AA$23:$AA$12292,'Besi Balok'!$A$23:$A$12292,$A258,'Besi Balok'!$B$23:$B$12292,$B258,'Besi Balok'!$F$23:$F$12292,'REKAP Balok'!R$12)</f>
        <v>0</v>
      </c>
      <c r="S258">
        <f>SUMIFS('Besi Balok'!$AA$23:$AA$12292,'Besi Balok'!$A$23:$A$12292,$A258,'Besi Balok'!$B$23:$B$12292,$B258,'Besi Balok'!$F$23:$F$12292,'REKAP Balok'!S$12)</f>
        <v>0</v>
      </c>
      <c r="T258">
        <f>SUMIFS('Besi Balok'!$AA$23:$AA$12292,'Besi Balok'!$A$23:$A$12292,$A258,'Besi Balok'!$B$23:$B$12292,$B258,'Besi Balok'!$F$23:$F$12292,'REKAP Balok'!T$12)</f>
        <v>0</v>
      </c>
      <c r="U258">
        <f>SUM(L258:T258)</f>
        <v>160.16975784000002</v>
      </c>
      <c r="V258">
        <f>(D258*(F258-H258)*G258*K258)/1000000000</f>
        <v>0.752</v>
      </c>
      <c r="W258">
        <f>(((F258-H258)*2+D258)*(G258)*K258)/1000000</f>
        <v>9.12</v>
      </c>
      <c r="AC258">
        <f>(D258+2*$F$5)*F258*G258/1000000000</f>
        <v>1.92</v>
      </c>
    </row>
    <row r="259">
      <c r="A259" t="str">
        <f>'Data Panjang Balok'!A256</f>
        <v>Lantai 2</v>
      </c>
      <c r="B259">
        <f>'Data Panjang Balok'!B256</f>
        <v>49</v>
      </c>
      <c r="C259" t="str">
        <f>'Data Panjang Balok'!D256</f>
        <v>CL26-1</v>
      </c>
      <c r="D259">
        <f>IF(C259&gt;0,VLOOKUP(C259,'Detail Balok'!$C$11:$AU$110,2,FALSE),0)</f>
        <v>200</v>
      </c>
      <c r="E259" t="str">
        <v>x</v>
      </c>
      <c r="F259">
        <f>IF(C259&gt;0,VLOOKUP(C259,'Detail Balok'!$C$11:$AU$110,3,FALSE),0)</f>
        <v>600</v>
      </c>
      <c r="G259">
        <f>'Data Panjang Balok'!I256</f>
        <v>3300</v>
      </c>
      <c r="H259">
        <f>'Data Panjang Balok'!J256</f>
        <v>130</v>
      </c>
      <c r="J259">
        <f>I259-F259/1000</f>
        <v>-0.6</v>
      </c>
      <c r="K259">
        <f>'Data Panjang Balok'!E256</f>
        <v>1</v>
      </c>
      <c r="L259">
        <f>SUMIFS('Besi Balok'!$AA$23:$AA$12292,'Besi Balok'!$A$23:$A$12292,$A259,'Besi Balok'!$B$23:$B$12292,$B259,'Besi Balok'!$F$23:$F$12292,'REKAP Balok'!L$12)</f>
        <v>0</v>
      </c>
      <c r="M259">
        <f>SUMIFS('Besi Balok'!$AA$23:$AA$12292,'Besi Balok'!$A$23:$A$12292,$A259,'Besi Balok'!$B$23:$B$12292,$B259,'Besi Balok'!$F$23:$F$12292,'REKAP Balok'!M$12)</f>
        <v>0</v>
      </c>
      <c r="N259">
        <f>SUMIFS('Besi Balok'!$AA$23:$AA$12292,'Besi Balok'!$A$23:$A$12292,$A259,'Besi Balok'!$B$23:$B$12292,$B259,'Besi Balok'!$F$23:$F$12292,'REKAP Balok'!N$12)</f>
        <v>25.523100000000003</v>
      </c>
      <c r="O259">
        <f>SUMIFS('Besi Balok'!$AA$23:$AA$12292,'Besi Balok'!$A$23:$A$12292,$A259,'Besi Balok'!$B$23:$B$12292,$B259,'Besi Balok'!$F$23:$F$12292,'REKAP Balok'!O$12)</f>
        <v>0</v>
      </c>
      <c r="P259">
        <f>SUMIFS('Besi Balok'!$AA$23:$AA$12292,'Besi Balok'!$A$23:$A$12292,$A259,'Besi Balok'!$B$23:$B$12292,$B259,'Besi Balok'!$F$23:$F$12292,'REKAP Balok'!P$12)</f>
        <v>42.82080768</v>
      </c>
      <c r="Q259">
        <f>SUMIFS('Besi Balok'!$AA$23:$AA$12292,'Besi Balok'!$A$23:$A$12292,$A259,'Besi Balok'!$B$23:$B$12292,$B259,'Besi Balok'!$F$23:$F$12292,'REKAP Balok'!Q$12)</f>
        <v>0</v>
      </c>
      <c r="R259">
        <f>SUMIFS('Besi Balok'!$AA$23:$AA$12292,'Besi Balok'!$A$23:$A$12292,$A259,'Besi Balok'!$B$23:$B$12292,$B259,'Besi Balok'!$F$23:$F$12292,'REKAP Balok'!R$12)</f>
        <v>0</v>
      </c>
      <c r="S259">
        <f>SUMIFS('Besi Balok'!$AA$23:$AA$12292,'Besi Balok'!$A$23:$A$12292,$A259,'Besi Balok'!$B$23:$B$12292,$B259,'Besi Balok'!$F$23:$F$12292,'REKAP Balok'!S$12)</f>
        <v>0</v>
      </c>
      <c r="T259">
        <f>SUMIFS('Besi Balok'!$AA$23:$AA$12292,'Besi Balok'!$A$23:$A$12292,$A259,'Besi Balok'!$B$23:$B$12292,$B259,'Besi Balok'!$F$23:$F$12292,'REKAP Balok'!T$12)</f>
        <v>0</v>
      </c>
      <c r="U259">
        <f>SUM(L259:T259)</f>
        <v>68.34390768</v>
      </c>
      <c r="V259">
        <f>(D259*(F259-H259)*G259*K259)/1000000000</f>
        <v>0.3102</v>
      </c>
      <c r="W259">
        <f>(((F259-H259)*2+D259)*(G259)*K259)/1000000</f>
        <v>3.762</v>
      </c>
      <c r="AC259">
        <f>(D259+2*$F$5)*F259*G259/1000000000</f>
        <v>0.792</v>
      </c>
    </row>
    <row r="260">
      <c r="A260" t="str">
        <f>'Data Panjang Balok'!A257</f>
        <v>Lantai 2</v>
      </c>
      <c r="B260">
        <f>'Data Panjang Balok'!B257</f>
        <v>50</v>
      </c>
      <c r="C260" t="str">
        <f>'Data Panjang Balok'!D257</f>
        <v>B26-5</v>
      </c>
      <c r="D260">
        <f>IF(C260&gt;0,VLOOKUP(C260,'Detail Balok'!$C$11:$AU$110,2,FALSE),0)</f>
        <v>200</v>
      </c>
      <c r="E260" t="str">
        <v>x</v>
      </c>
      <c r="F260">
        <f>IF(C260&gt;0,VLOOKUP(C260,'Detail Balok'!$C$11:$AU$110,3,FALSE),0)</f>
        <v>600</v>
      </c>
      <c r="G260">
        <f>'Data Panjang Balok'!I257</f>
        <v>6100</v>
      </c>
      <c r="H260">
        <f>'Data Panjang Balok'!J257</f>
        <v>130</v>
      </c>
      <c r="J260">
        <f>I260-F260/1000</f>
        <v>-0.6</v>
      </c>
      <c r="K260">
        <f>'Data Panjang Balok'!E257</f>
        <v>1</v>
      </c>
      <c r="L260">
        <f>SUMIFS('Besi Balok'!$AA$23:$AA$12292,'Besi Balok'!$A$23:$A$12292,$A260,'Besi Balok'!$B$23:$B$12292,$B260,'Besi Balok'!$F$23:$F$12292,'REKAP Balok'!L$12)</f>
        <v>0</v>
      </c>
      <c r="M260">
        <f>SUMIFS('Besi Balok'!$AA$23:$AA$12292,'Besi Balok'!$A$23:$A$12292,$A260,'Besi Balok'!$B$23:$B$12292,$B260,'Besi Balok'!$F$23:$F$12292,'REKAP Balok'!M$12)</f>
        <v>0</v>
      </c>
      <c r="N260">
        <f>SUMIFS('Besi Balok'!$AA$23:$AA$12292,'Besi Balok'!$A$23:$A$12292,$A260,'Besi Balok'!$B$23:$B$12292,$B260,'Besi Balok'!$F$23:$F$12292,'REKAP Balok'!N$12)</f>
        <v>56.304945000000004</v>
      </c>
      <c r="O260">
        <f>SUMIFS('Besi Balok'!$AA$23:$AA$12292,'Besi Balok'!$A$23:$A$12292,$A260,'Besi Balok'!$B$23:$B$12292,$B260,'Besi Balok'!$F$23:$F$12292,'REKAP Balok'!O$12)</f>
        <v>0</v>
      </c>
      <c r="P260">
        <f>SUMIFS('Besi Balok'!$AA$23:$AA$12292,'Besi Balok'!$A$23:$A$12292,$A260,'Besi Balok'!$B$23:$B$12292,$B260,'Besi Balok'!$F$23:$F$12292,'REKAP Balok'!P$12)</f>
        <v>0</v>
      </c>
      <c r="Q260">
        <f>SUMIFS('Besi Balok'!$AA$23:$AA$12292,'Besi Balok'!$A$23:$A$12292,$A260,'Besi Balok'!$B$23:$B$12292,$B260,'Besi Balok'!$F$23:$F$12292,'REKAP Balok'!Q$12)</f>
        <v>148.78792251</v>
      </c>
      <c r="R260">
        <f>SUMIFS('Besi Balok'!$AA$23:$AA$12292,'Besi Balok'!$A$23:$A$12292,$A260,'Besi Balok'!$B$23:$B$12292,$B260,'Besi Balok'!$F$23:$F$12292,'REKAP Balok'!R$12)</f>
        <v>0</v>
      </c>
      <c r="S260">
        <f>SUMIFS('Besi Balok'!$AA$23:$AA$12292,'Besi Balok'!$A$23:$A$12292,$A260,'Besi Balok'!$B$23:$B$12292,$B260,'Besi Balok'!$F$23:$F$12292,'REKAP Balok'!S$12)</f>
        <v>0</v>
      </c>
      <c r="T260">
        <f>SUMIFS('Besi Balok'!$AA$23:$AA$12292,'Besi Balok'!$A$23:$A$12292,$A260,'Besi Balok'!$B$23:$B$12292,$B260,'Besi Balok'!$F$23:$F$12292,'REKAP Balok'!T$12)</f>
        <v>0</v>
      </c>
      <c r="U260">
        <f>SUM(L260:T260)</f>
        <v>205.09286751</v>
      </c>
      <c r="V260">
        <f>(D260*(F260-H260)*G260*K260)/1000000000</f>
        <v>0.5734</v>
      </c>
      <c r="W260">
        <f>(((F260-H260)*2+D260)*(G260)*K260)/1000000</f>
        <v>6.954</v>
      </c>
      <c r="AC260">
        <f>(D260+2*$F$5)*F260*G260/1000000000</f>
        <v>1.464</v>
      </c>
    </row>
    <row r="261">
      <c r="A261" t="str">
        <f>'Data Panjang Balok'!A258</f>
        <v>Lantai 2</v>
      </c>
      <c r="B261">
        <f>'Data Panjang Balok'!B258</f>
        <v>51</v>
      </c>
      <c r="C261" t="str">
        <f>'Data Panjang Balok'!D258</f>
        <v>Potongan N</v>
      </c>
      <c r="D261">
        <f>IF(C261&gt;0,VLOOKUP(C261,'Detail Balok'!$C$11:$AU$110,2,FALSE),0)</f>
        <v>200</v>
      </c>
      <c r="E261" t="str">
        <v>x</v>
      </c>
      <c r="F261">
        <f>IF(C261&gt;0,VLOOKUP(C261,'Detail Balok'!$C$11:$AU$110,3,FALSE),0)</f>
        <v>600</v>
      </c>
      <c r="G261">
        <f>'Data Panjang Balok'!I258</f>
        <v>2000</v>
      </c>
      <c r="H261">
        <f>'Data Panjang Balok'!J258</f>
        <v>150</v>
      </c>
      <c r="J261">
        <f>I261-F261/1000</f>
        <v>-0.6</v>
      </c>
      <c r="K261">
        <f>'Data Panjang Balok'!E258</f>
        <v>1</v>
      </c>
      <c r="L261">
        <f>SUMIFS('Besi Balok'!$AA$23:$AA$12292,'Besi Balok'!$A$23:$A$12292,$A261,'Besi Balok'!$B$23:$B$12292,$B261,'Besi Balok'!$F$23:$F$12292,'REKAP Balok'!L$12)</f>
        <v>0</v>
      </c>
      <c r="M261">
        <f>SUMIFS('Besi Balok'!$AA$23:$AA$12292,'Besi Balok'!$A$23:$A$12292,$A261,'Besi Balok'!$B$23:$B$12292,$B261,'Besi Balok'!$F$23:$F$12292,'REKAP Balok'!M$12)</f>
        <v>0</v>
      </c>
      <c r="N261">
        <f>SUMIFS('Besi Balok'!$AA$23:$AA$12292,'Besi Balok'!$A$23:$A$12292,$A261,'Besi Balok'!$B$23:$B$12292,$B261,'Besi Balok'!$F$23:$F$12292,'REKAP Balok'!N$12)</f>
        <v>12.459465</v>
      </c>
      <c r="O261">
        <f>SUMIFS('Besi Balok'!$AA$23:$AA$12292,'Besi Balok'!$A$23:$A$12292,$A261,'Besi Balok'!$B$23:$B$12292,$B261,'Besi Balok'!$F$23:$F$12292,'REKAP Balok'!O$12)</f>
        <v>0</v>
      </c>
      <c r="P261">
        <f>SUMIFS('Besi Balok'!$AA$23:$AA$12292,'Besi Balok'!$A$23:$A$12292,$A261,'Besi Balok'!$B$23:$B$12292,$B261,'Besi Balok'!$F$23:$F$12292,'REKAP Balok'!P$12)</f>
        <v>0</v>
      </c>
      <c r="Q261">
        <f>SUMIFS('Besi Balok'!$AA$23:$AA$12292,'Besi Balok'!$A$23:$A$12292,$A261,'Besi Balok'!$B$23:$B$12292,$B261,'Besi Balok'!$F$23:$F$12292,'REKAP Balok'!Q$12)</f>
        <v>38.261913480000004</v>
      </c>
      <c r="R261">
        <f>SUMIFS('Besi Balok'!$AA$23:$AA$12292,'Besi Balok'!$A$23:$A$12292,$A261,'Besi Balok'!$B$23:$B$12292,$B261,'Besi Balok'!$F$23:$F$12292,'REKAP Balok'!R$12)</f>
        <v>0</v>
      </c>
      <c r="S261">
        <f>SUMIFS('Besi Balok'!$AA$23:$AA$12292,'Besi Balok'!$A$23:$A$12292,$A261,'Besi Balok'!$B$23:$B$12292,$B261,'Besi Balok'!$F$23:$F$12292,'REKAP Balok'!S$12)</f>
        <v>0</v>
      </c>
      <c r="T261">
        <f>SUMIFS('Besi Balok'!$AA$23:$AA$12292,'Besi Balok'!$A$23:$A$12292,$A261,'Besi Balok'!$B$23:$B$12292,$B261,'Besi Balok'!$F$23:$F$12292,'REKAP Balok'!T$12)</f>
        <v>0</v>
      </c>
      <c r="U261">
        <f>SUM(L261:T261)</f>
        <v>50.721378480000006</v>
      </c>
      <c r="V261">
        <f>(D261*(F261-H261)*G261*K261)/1000000000</f>
        <v>0.18</v>
      </c>
      <c r="W261">
        <f>(((F261-H261)*2+D261)*(G261)*K261)/1000000</f>
        <v>2.2</v>
      </c>
      <c r="AC261">
        <f>(D261+2*$F$5)*F261*G261/1000000000</f>
        <v>0.48</v>
      </c>
    </row>
    <row r="262">
      <c r="A262" t="str">
        <f>'Data Panjang Balok'!A259</f>
        <v>Lantai 2</v>
      </c>
      <c r="B262">
        <f>'Data Panjang Balok'!B259</f>
        <v>52</v>
      </c>
      <c r="C262" t="str">
        <f>'Data Panjang Balok'!D259</f>
        <v>B245-6</v>
      </c>
      <c r="D262">
        <f>IF(C262&gt;0,VLOOKUP(C262,'Detail Balok'!$C$11:$AU$110,2,FALSE),0)</f>
        <v>200</v>
      </c>
      <c r="E262" t="str">
        <v>x</v>
      </c>
      <c r="F262">
        <f>IF(C262&gt;0,VLOOKUP(C262,'Detail Balok'!$C$11:$AU$110,3,FALSE),0)</f>
        <v>450</v>
      </c>
      <c r="G262">
        <f>'Data Panjang Balok'!I259</f>
        <v>5200</v>
      </c>
      <c r="H262">
        <f>'Data Panjang Balok'!J259</f>
        <v>130</v>
      </c>
      <c r="J262">
        <f>I262-F262/1000</f>
        <v>-0.45</v>
      </c>
      <c r="K262">
        <f>'Data Panjang Balok'!E259</f>
        <v>1</v>
      </c>
      <c r="L262">
        <f>SUMIFS('Besi Balok'!$AA$23:$AA$12292,'Besi Balok'!$A$23:$A$12292,$A262,'Besi Balok'!$B$23:$B$12292,$B262,'Besi Balok'!$F$23:$F$12292,'REKAP Balok'!L$12)</f>
        <v>0</v>
      </c>
      <c r="M262">
        <f>SUMIFS('Besi Balok'!$AA$23:$AA$12292,'Besi Balok'!$A$23:$A$12292,$A262,'Besi Balok'!$B$23:$B$12292,$B262,'Besi Balok'!$F$23:$F$12292,'REKAP Balok'!M$12)</f>
        <v>26.10172224</v>
      </c>
      <c r="N262">
        <f>SUMIFS('Besi Balok'!$AA$23:$AA$12292,'Besi Balok'!$A$23:$A$12292,$A262,'Besi Balok'!$B$23:$B$12292,$B262,'Besi Balok'!$F$23:$F$12292,'REKAP Balok'!N$12)</f>
        <v>0</v>
      </c>
      <c r="O262">
        <f>SUMIFS('Besi Balok'!$AA$23:$AA$12292,'Besi Balok'!$A$23:$A$12292,$A262,'Besi Balok'!$B$23:$B$12292,$B262,'Besi Balok'!$F$23:$F$12292,'REKAP Balok'!O$12)</f>
        <v>0</v>
      </c>
      <c r="P262">
        <f>SUMIFS('Besi Balok'!$AA$23:$AA$12292,'Besi Balok'!$A$23:$A$12292,$A262,'Besi Balok'!$B$23:$B$12292,$B262,'Besi Balok'!$F$23:$F$12292,'REKAP Balok'!P$12)</f>
        <v>54.998507520000004</v>
      </c>
      <c r="Q262">
        <f>SUMIFS('Besi Balok'!$AA$23:$AA$12292,'Besi Balok'!$A$23:$A$12292,$A262,'Besi Balok'!$B$23:$B$12292,$B262,'Besi Balok'!$F$23:$F$12292,'REKAP Balok'!Q$12)</f>
        <v>0</v>
      </c>
      <c r="R262">
        <f>SUMIFS('Besi Balok'!$AA$23:$AA$12292,'Besi Balok'!$A$23:$A$12292,$A262,'Besi Balok'!$B$23:$B$12292,$B262,'Besi Balok'!$F$23:$F$12292,'REKAP Balok'!R$12)</f>
        <v>0</v>
      </c>
      <c r="S262">
        <f>SUMIFS('Besi Balok'!$AA$23:$AA$12292,'Besi Balok'!$A$23:$A$12292,$A262,'Besi Balok'!$B$23:$B$12292,$B262,'Besi Balok'!$F$23:$F$12292,'REKAP Balok'!S$12)</f>
        <v>0</v>
      </c>
      <c r="T262">
        <f>SUMIFS('Besi Balok'!$AA$23:$AA$12292,'Besi Balok'!$A$23:$A$12292,$A262,'Besi Balok'!$B$23:$B$12292,$B262,'Besi Balok'!$F$23:$F$12292,'REKAP Balok'!T$12)</f>
        <v>0</v>
      </c>
      <c r="U262">
        <f>SUM(L262:T262)</f>
        <v>81.10022976</v>
      </c>
      <c r="V262">
        <f>(D262*(F262-H262)*G262*K262)/1000000000</f>
        <v>0.3328</v>
      </c>
      <c r="W262">
        <f>(((F262-H262)*2+D262)*(G262)*K262)/1000000</f>
        <v>4.368</v>
      </c>
      <c r="AC262">
        <f>(D262+2*$F$5)*F262*G262/1000000000</f>
        <v>0.936</v>
      </c>
    </row>
    <row r="263">
      <c r="A263" t="str">
        <f>'Data Panjang Balok'!A260</f>
        <v>Lantai 2</v>
      </c>
      <c r="B263">
        <f>'Data Panjang Balok'!B260</f>
        <v>53</v>
      </c>
      <c r="C263" t="str">
        <f>'Data Panjang Balok'!D260</f>
        <v>B26-1</v>
      </c>
      <c r="D263">
        <f>IF(C263&gt;0,VLOOKUP(C263,'Detail Balok'!$C$11:$AU$110,2,FALSE),0)</f>
        <v>200</v>
      </c>
      <c r="E263" t="str">
        <v>x</v>
      </c>
      <c r="F263">
        <f>IF(C263&gt;0,VLOOKUP(C263,'Detail Balok'!$C$11:$AU$110,3,FALSE),0)</f>
        <v>600</v>
      </c>
      <c r="G263">
        <f>'Data Panjang Balok'!I260</f>
        <v>8100</v>
      </c>
      <c r="H263">
        <f>'Data Panjang Balok'!J260</f>
        <v>130</v>
      </c>
      <c r="J263">
        <f>I263-F263/1000</f>
        <v>-0.6</v>
      </c>
      <c r="K263">
        <f>'Data Panjang Balok'!E260</f>
        <v>1</v>
      </c>
      <c r="L263">
        <f>SUMIFS('Besi Balok'!$AA$23:$AA$12292,'Besi Balok'!$A$23:$A$12292,$A263,'Besi Balok'!$B$23:$B$12292,$B263,'Besi Balok'!$F$23:$F$12292,'REKAP Balok'!L$12)</f>
        <v>0</v>
      </c>
      <c r="M263">
        <f>SUMIFS('Besi Balok'!$AA$23:$AA$12292,'Besi Balok'!$A$23:$A$12292,$A263,'Besi Balok'!$B$23:$B$12292,$B263,'Besi Balok'!$F$23:$F$12292,'REKAP Balok'!M$12)</f>
        <v>0</v>
      </c>
      <c r="N263">
        <f>SUMIFS('Besi Balok'!$AA$23:$AA$12292,'Besi Balok'!$A$23:$A$12292,$A263,'Besi Balok'!$B$23:$B$12292,$B263,'Besi Balok'!$F$23:$F$12292,'REKAP Balok'!N$12)</f>
        <v>64.94211</v>
      </c>
      <c r="O263">
        <f>SUMIFS('Besi Balok'!$AA$23:$AA$12292,'Besi Balok'!$A$23:$A$12292,$A263,'Besi Balok'!$B$23:$B$12292,$B263,'Besi Balok'!$F$23:$F$12292,'REKAP Balok'!O$12)</f>
        <v>0</v>
      </c>
      <c r="P263">
        <f>SUMIFS('Besi Balok'!$AA$23:$AA$12292,'Besi Balok'!$A$23:$A$12292,$A263,'Besi Balok'!$B$23:$B$12292,$B263,'Besi Balok'!$F$23:$F$12292,'REKAP Balok'!P$12)</f>
        <v>96.47938943999999</v>
      </c>
      <c r="Q263">
        <f>SUMIFS('Besi Balok'!$AA$23:$AA$12292,'Besi Balok'!$A$23:$A$12292,$A263,'Besi Balok'!$B$23:$B$12292,$B263,'Besi Balok'!$F$23:$F$12292,'REKAP Balok'!Q$12)</f>
        <v>0</v>
      </c>
      <c r="R263">
        <f>SUMIFS('Besi Balok'!$AA$23:$AA$12292,'Besi Balok'!$A$23:$A$12292,$A263,'Besi Balok'!$B$23:$B$12292,$B263,'Besi Balok'!$F$23:$F$12292,'REKAP Balok'!R$12)</f>
        <v>0</v>
      </c>
      <c r="S263">
        <f>SUMIFS('Besi Balok'!$AA$23:$AA$12292,'Besi Balok'!$A$23:$A$12292,$A263,'Besi Balok'!$B$23:$B$12292,$B263,'Besi Balok'!$F$23:$F$12292,'REKAP Balok'!S$12)</f>
        <v>0</v>
      </c>
      <c r="T263">
        <f>SUMIFS('Besi Balok'!$AA$23:$AA$12292,'Besi Balok'!$A$23:$A$12292,$A263,'Besi Balok'!$B$23:$B$12292,$B263,'Besi Balok'!$F$23:$F$12292,'REKAP Balok'!T$12)</f>
        <v>0</v>
      </c>
      <c r="U263">
        <f>SUM(L263:T263)</f>
        <v>161.42149944</v>
      </c>
      <c r="V263">
        <f>(D263*(F263-H263)*G263*K263)/1000000000</f>
        <v>0.7614</v>
      </c>
      <c r="W263">
        <f>(((F263-H263)*2+D263)*(G263)*K263)/1000000</f>
        <v>9.234</v>
      </c>
      <c r="AC263">
        <f>(D263+2*$F$5)*F263*G263/1000000000</f>
        <v>1.944</v>
      </c>
    </row>
    <row r="264">
      <c r="A264" t="str">
        <f>'Data Panjang Balok'!A261</f>
        <v>Lantai 2</v>
      </c>
      <c r="B264">
        <f>'Data Panjang Balok'!B261</f>
        <v>54</v>
      </c>
      <c r="C264" t="str">
        <f>'Data Panjang Balok'!D261</f>
        <v>Potongan G</v>
      </c>
      <c r="D264">
        <f>IF(C264&gt;0,VLOOKUP(C264,'Detail Balok'!$C$11:$AU$110,2,FALSE),0)</f>
        <v>200</v>
      </c>
      <c r="E264" t="str">
        <v>x</v>
      </c>
      <c r="F264">
        <f>IF(C264&gt;0,VLOOKUP(C264,'Detail Balok'!$C$11:$AU$110,3,FALSE),0)</f>
        <v>600</v>
      </c>
      <c r="G264">
        <f>'Data Panjang Balok'!I261</f>
        <v>3000</v>
      </c>
      <c r="H264">
        <f>'Data Panjang Balok'!J261</f>
        <v>130</v>
      </c>
      <c r="J264">
        <f>I264-F264/1000</f>
        <v>-0.6</v>
      </c>
      <c r="K264">
        <f>'Data Panjang Balok'!E261</f>
        <v>1</v>
      </c>
      <c r="L264">
        <f>SUMIFS('Besi Balok'!$AA$23:$AA$12292,'Besi Balok'!$A$23:$A$12292,$A264,'Besi Balok'!$B$23:$B$12292,$B264,'Besi Balok'!$F$23:$F$12292,'REKAP Balok'!L$12)</f>
        <v>0</v>
      </c>
      <c r="M264">
        <f>SUMIFS('Besi Balok'!$AA$23:$AA$12292,'Besi Balok'!$A$23:$A$12292,$A264,'Besi Balok'!$B$23:$B$12292,$B264,'Besi Balok'!$F$23:$F$12292,'REKAP Balok'!M$12)</f>
        <v>0</v>
      </c>
      <c r="N264">
        <f>SUMIFS('Besi Balok'!$AA$23:$AA$12292,'Besi Balok'!$A$23:$A$12292,$A264,'Besi Balok'!$B$23:$B$12292,$B264,'Besi Balok'!$F$23:$F$12292,'REKAP Balok'!N$12)</f>
        <v>39.25872</v>
      </c>
      <c r="O264">
        <f>SUMIFS('Besi Balok'!$AA$23:$AA$12292,'Besi Balok'!$A$23:$A$12292,$A264,'Besi Balok'!$B$23:$B$12292,$B264,'Besi Balok'!$F$23:$F$12292,'REKAP Balok'!O$12)</f>
        <v>0</v>
      </c>
      <c r="P264">
        <f>SUMIFS('Besi Balok'!$AA$23:$AA$12292,'Besi Balok'!$A$23:$A$12292,$A264,'Besi Balok'!$B$23:$B$12292,$B264,'Besi Balok'!$F$23:$F$12292,'REKAP Balok'!P$12)</f>
        <v>48.06687744000001</v>
      </c>
      <c r="Q264">
        <f>SUMIFS('Besi Balok'!$AA$23:$AA$12292,'Besi Balok'!$A$23:$A$12292,$A264,'Besi Balok'!$B$23:$B$12292,$B264,'Besi Balok'!$F$23:$F$12292,'REKAP Balok'!Q$12)</f>
        <v>0</v>
      </c>
      <c r="R264">
        <f>SUMIFS('Besi Balok'!$AA$23:$AA$12292,'Besi Balok'!$A$23:$A$12292,$A264,'Besi Balok'!$B$23:$B$12292,$B264,'Besi Balok'!$F$23:$F$12292,'REKAP Balok'!R$12)</f>
        <v>0</v>
      </c>
      <c r="S264">
        <f>SUMIFS('Besi Balok'!$AA$23:$AA$12292,'Besi Balok'!$A$23:$A$12292,$A264,'Besi Balok'!$B$23:$B$12292,$B264,'Besi Balok'!$F$23:$F$12292,'REKAP Balok'!S$12)</f>
        <v>0</v>
      </c>
      <c r="T264">
        <f>SUMIFS('Besi Balok'!$AA$23:$AA$12292,'Besi Balok'!$A$23:$A$12292,$A264,'Besi Balok'!$B$23:$B$12292,$B264,'Besi Balok'!$F$23:$F$12292,'REKAP Balok'!T$12)</f>
        <v>0</v>
      </c>
      <c r="U264">
        <f>SUM(L264:T264)</f>
        <v>87.32559744000001</v>
      </c>
      <c r="V264">
        <f>(D264*(F264-H264)*G264*K264)/1000000000</f>
        <v>0.282</v>
      </c>
      <c r="W264">
        <f>(((F264-H264)*2+D264)*(G264)*K264)/1000000</f>
        <v>3.42</v>
      </c>
      <c r="AC264">
        <f>(D264+2*$F$5)*F264*G264/1000000000</f>
        <v>0.72</v>
      </c>
    </row>
    <row r="265">
      <c r="A265" t="str">
        <f>'Data Panjang Balok'!A262</f>
        <v>Lantai 2</v>
      </c>
      <c r="B265">
        <f>'Data Panjang Balok'!B262</f>
        <v>55</v>
      </c>
      <c r="C265" t="str">
        <f>'Data Panjang Balok'!D262</f>
        <v>B26-1</v>
      </c>
      <c r="D265">
        <f>IF(C265&gt;0,VLOOKUP(C265,'Detail Balok'!$C$11:$AU$110,2,FALSE),0)</f>
        <v>200</v>
      </c>
      <c r="E265" t="str">
        <v>x</v>
      </c>
      <c r="F265">
        <f>IF(C265&gt;0,VLOOKUP(C265,'Detail Balok'!$C$11:$AU$110,3,FALSE),0)</f>
        <v>600</v>
      </c>
      <c r="G265">
        <f>'Data Panjang Balok'!I262</f>
        <v>6000</v>
      </c>
      <c r="H265">
        <f>'Data Panjang Balok'!J262</f>
        <v>130</v>
      </c>
      <c r="J265">
        <f>I265-F265/1000</f>
        <v>-0.6</v>
      </c>
      <c r="K265">
        <f>'Data Panjang Balok'!E262</f>
        <v>1</v>
      </c>
      <c r="L265">
        <f>SUMIFS('Besi Balok'!$AA$23:$AA$12292,'Besi Balok'!$A$23:$A$12292,$A265,'Besi Balok'!$B$23:$B$12292,$B265,'Besi Balok'!$F$23:$F$12292,'REKAP Balok'!L$12)</f>
        <v>0</v>
      </c>
      <c r="M265">
        <f>SUMIFS('Besi Balok'!$AA$23:$AA$12292,'Besi Balok'!$A$23:$A$12292,$A265,'Besi Balok'!$B$23:$B$12292,$B265,'Besi Balok'!$F$23:$F$12292,'REKAP Balok'!M$12)</f>
        <v>0</v>
      </c>
      <c r="N265">
        <f>SUMIFS('Besi Balok'!$AA$23:$AA$12292,'Besi Balok'!$A$23:$A$12292,$A265,'Besi Balok'!$B$23:$B$12292,$B265,'Besi Balok'!$F$23:$F$12292,'REKAP Balok'!N$12)</f>
        <v>49.128885</v>
      </c>
      <c r="O265">
        <f>SUMIFS('Besi Balok'!$AA$23:$AA$12292,'Besi Balok'!$A$23:$A$12292,$A265,'Besi Balok'!$B$23:$B$12292,$B265,'Besi Balok'!$F$23:$F$12292,'REKAP Balok'!O$12)</f>
        <v>0</v>
      </c>
      <c r="P265">
        <f>SUMIFS('Besi Balok'!$AA$23:$AA$12292,'Besi Balok'!$A$23:$A$12292,$A265,'Besi Balok'!$B$23:$B$12292,$B265,'Besi Balok'!$F$23:$F$12292,'REKAP Balok'!P$12)</f>
        <v>72.78211584</v>
      </c>
      <c r="Q265">
        <f>SUMIFS('Besi Balok'!$AA$23:$AA$12292,'Besi Balok'!$A$23:$A$12292,$A265,'Besi Balok'!$B$23:$B$12292,$B265,'Besi Balok'!$F$23:$F$12292,'REKAP Balok'!Q$12)</f>
        <v>0</v>
      </c>
      <c r="R265">
        <f>SUMIFS('Besi Balok'!$AA$23:$AA$12292,'Besi Balok'!$A$23:$A$12292,$A265,'Besi Balok'!$B$23:$B$12292,$B265,'Besi Balok'!$F$23:$F$12292,'REKAP Balok'!R$12)</f>
        <v>0</v>
      </c>
      <c r="S265">
        <f>SUMIFS('Besi Balok'!$AA$23:$AA$12292,'Besi Balok'!$A$23:$A$12292,$A265,'Besi Balok'!$B$23:$B$12292,$B265,'Besi Balok'!$F$23:$F$12292,'REKAP Balok'!S$12)</f>
        <v>0</v>
      </c>
      <c r="T265">
        <f>SUMIFS('Besi Balok'!$AA$23:$AA$12292,'Besi Balok'!$A$23:$A$12292,$A265,'Besi Balok'!$B$23:$B$12292,$B265,'Besi Balok'!$F$23:$F$12292,'REKAP Balok'!T$12)</f>
        <v>0</v>
      </c>
      <c r="U265">
        <f>SUM(L265:T265)</f>
        <v>121.91100084</v>
      </c>
      <c r="V265">
        <f>(D265*(F265-H265)*G265*K265)/1000000000</f>
        <v>0.564</v>
      </c>
      <c r="W265">
        <f>(((F265-H265)*2+D265)*(G265)*K265)/1000000</f>
        <v>6.84</v>
      </c>
      <c r="AC265">
        <f>(D265+2*$F$5)*F265*G265/1000000000</f>
        <v>1.44</v>
      </c>
    </row>
    <row r="266">
      <c r="A266" t="str">
        <f>'Data Panjang Balok'!A263</f>
        <v>Lantai 2</v>
      </c>
      <c r="B266">
        <f>'Data Panjang Balok'!B263</f>
        <v>56</v>
      </c>
      <c r="C266" t="str">
        <f>'Data Panjang Balok'!D263</f>
        <v>CL26-1</v>
      </c>
      <c r="D266">
        <f>IF(C266&gt;0,VLOOKUP(C266,'Detail Balok'!$C$11:$AU$110,2,FALSE),0)</f>
        <v>200</v>
      </c>
      <c r="E266" t="str">
        <v>x</v>
      </c>
      <c r="F266">
        <f>IF(C266&gt;0,VLOOKUP(C266,'Detail Balok'!$C$11:$AU$110,3,FALSE),0)</f>
        <v>600</v>
      </c>
      <c r="G266">
        <f>'Data Panjang Balok'!I263</f>
        <v>2000</v>
      </c>
      <c r="H266">
        <f>'Data Panjang Balok'!J263</f>
        <v>130</v>
      </c>
      <c r="J266">
        <f>I266-F266/1000</f>
        <v>-0.6</v>
      </c>
      <c r="K266">
        <f>'Data Panjang Balok'!E263</f>
        <v>1</v>
      </c>
      <c r="L266">
        <f>SUMIFS('Besi Balok'!$AA$23:$AA$12292,'Besi Balok'!$A$23:$A$12292,$A266,'Besi Balok'!$B$23:$B$12292,$B266,'Besi Balok'!$F$23:$F$12292,'REKAP Balok'!L$12)</f>
        <v>0</v>
      </c>
      <c r="M266">
        <f>SUMIFS('Besi Balok'!$AA$23:$AA$12292,'Besi Balok'!$A$23:$A$12292,$A266,'Besi Balok'!$B$23:$B$12292,$B266,'Besi Balok'!$F$23:$F$12292,'REKAP Balok'!M$12)</f>
        <v>0</v>
      </c>
      <c r="N266">
        <f>SUMIFS('Besi Balok'!$AA$23:$AA$12292,'Besi Balok'!$A$23:$A$12292,$A266,'Besi Balok'!$B$23:$B$12292,$B266,'Besi Balok'!$F$23:$F$12292,'REKAP Balok'!N$12)</f>
        <v>15.10425</v>
      </c>
      <c r="O266">
        <f>SUMIFS('Besi Balok'!$AA$23:$AA$12292,'Besi Balok'!$A$23:$A$12292,$A266,'Besi Balok'!$B$23:$B$12292,$B266,'Besi Balok'!$F$23:$F$12292,'REKAP Balok'!O$12)</f>
        <v>0</v>
      </c>
      <c r="P266">
        <f>SUMIFS('Besi Balok'!$AA$23:$AA$12292,'Besi Balok'!$A$23:$A$12292,$A266,'Besi Balok'!$B$23:$B$12292,$B266,'Besi Balok'!$F$23:$F$12292,'REKAP Balok'!P$12)</f>
        <v>28.458823680000002</v>
      </c>
      <c r="Q266">
        <f>SUMIFS('Besi Balok'!$AA$23:$AA$12292,'Besi Balok'!$A$23:$A$12292,$A266,'Besi Balok'!$B$23:$B$12292,$B266,'Besi Balok'!$F$23:$F$12292,'REKAP Balok'!Q$12)</f>
        <v>0</v>
      </c>
      <c r="R266">
        <f>SUMIFS('Besi Balok'!$AA$23:$AA$12292,'Besi Balok'!$A$23:$A$12292,$A266,'Besi Balok'!$B$23:$B$12292,$B266,'Besi Balok'!$F$23:$F$12292,'REKAP Balok'!R$12)</f>
        <v>0</v>
      </c>
      <c r="S266">
        <f>SUMIFS('Besi Balok'!$AA$23:$AA$12292,'Besi Balok'!$A$23:$A$12292,$A266,'Besi Balok'!$B$23:$B$12292,$B266,'Besi Balok'!$F$23:$F$12292,'REKAP Balok'!S$12)</f>
        <v>0</v>
      </c>
      <c r="T266">
        <f>SUMIFS('Besi Balok'!$AA$23:$AA$12292,'Besi Balok'!$A$23:$A$12292,$A266,'Besi Balok'!$B$23:$B$12292,$B266,'Besi Balok'!$F$23:$F$12292,'REKAP Balok'!T$12)</f>
        <v>0</v>
      </c>
      <c r="U266">
        <f>SUM(L266:T266)</f>
        <v>43.56307368</v>
      </c>
      <c r="V266">
        <f>(D266*(F266-H266)*G266*K266)/1000000000</f>
        <v>0.188</v>
      </c>
      <c r="W266">
        <f>(((F266-H266)*2+D266)*(G266)*K266)/1000000</f>
        <v>2.28</v>
      </c>
      <c r="AC266">
        <f>(D266+2*$F$5)*F266*G266/1000000000</f>
        <v>0.48</v>
      </c>
    </row>
    <row r="267">
      <c r="A267" t="str">
        <f>'Data Panjang Balok'!A264</f>
        <v>Lantai 2</v>
      </c>
      <c r="B267">
        <f>'Data Panjang Balok'!B264</f>
        <v>57</v>
      </c>
      <c r="C267" t="str">
        <f>'Data Panjang Balok'!D264</f>
        <v>B245-6</v>
      </c>
      <c r="D267">
        <f>IF(C267&gt;0,VLOOKUP(C267,'Detail Balok'!$C$11:$AU$110,2,FALSE),0)</f>
        <v>200</v>
      </c>
      <c r="E267" t="str">
        <v>x</v>
      </c>
      <c r="F267">
        <f>IF(C267&gt;0,VLOOKUP(C267,'Detail Balok'!$C$11:$AU$110,3,FALSE),0)</f>
        <v>450</v>
      </c>
      <c r="G267">
        <f>'Data Panjang Balok'!I264</f>
        <v>5100</v>
      </c>
      <c r="H267">
        <f>'Data Panjang Balok'!J264</f>
        <v>130</v>
      </c>
      <c r="J267">
        <f>I267-F267/1000</f>
        <v>-0.45</v>
      </c>
      <c r="K267">
        <f>'Data Panjang Balok'!E264</f>
        <v>1</v>
      </c>
      <c r="L267">
        <f>SUMIFS('Besi Balok'!$AA$23:$AA$12292,'Besi Balok'!$A$23:$A$12292,$A267,'Besi Balok'!$B$23:$B$12292,$B267,'Besi Balok'!$F$23:$F$12292,'REKAP Balok'!L$12)</f>
        <v>0</v>
      </c>
      <c r="M267">
        <f>SUMIFS('Besi Balok'!$AA$23:$AA$12292,'Besi Balok'!$A$23:$A$12292,$A267,'Besi Balok'!$B$23:$B$12292,$B267,'Besi Balok'!$F$23:$F$12292,'REKAP Balok'!M$12)</f>
        <v>26.022810240000002</v>
      </c>
      <c r="N267">
        <f>SUMIFS('Besi Balok'!$AA$23:$AA$12292,'Besi Balok'!$A$23:$A$12292,$A267,'Besi Balok'!$B$23:$B$12292,$B267,'Besi Balok'!$F$23:$F$12292,'REKAP Balok'!N$12)</f>
        <v>0</v>
      </c>
      <c r="O267">
        <f>SUMIFS('Besi Balok'!$AA$23:$AA$12292,'Besi Balok'!$A$23:$A$12292,$A267,'Besi Balok'!$B$23:$B$12292,$B267,'Besi Balok'!$F$23:$F$12292,'REKAP Balok'!O$12)</f>
        <v>0</v>
      </c>
      <c r="P267">
        <f>SUMIFS('Besi Balok'!$AA$23:$AA$12292,'Besi Balok'!$A$23:$A$12292,$A267,'Besi Balok'!$B$23:$B$12292,$B267,'Besi Balok'!$F$23:$F$12292,'REKAP Balok'!P$12)</f>
        <v>54.051563519999995</v>
      </c>
      <c r="Q267">
        <f>SUMIFS('Besi Balok'!$AA$23:$AA$12292,'Besi Balok'!$A$23:$A$12292,$A267,'Besi Balok'!$B$23:$B$12292,$B267,'Besi Balok'!$F$23:$F$12292,'REKAP Balok'!Q$12)</f>
        <v>0</v>
      </c>
      <c r="R267">
        <f>SUMIFS('Besi Balok'!$AA$23:$AA$12292,'Besi Balok'!$A$23:$A$12292,$A267,'Besi Balok'!$B$23:$B$12292,$B267,'Besi Balok'!$F$23:$F$12292,'REKAP Balok'!R$12)</f>
        <v>0</v>
      </c>
      <c r="S267">
        <f>SUMIFS('Besi Balok'!$AA$23:$AA$12292,'Besi Balok'!$A$23:$A$12292,$A267,'Besi Balok'!$B$23:$B$12292,$B267,'Besi Balok'!$F$23:$F$12292,'REKAP Balok'!S$12)</f>
        <v>0</v>
      </c>
      <c r="T267">
        <f>SUMIFS('Besi Balok'!$AA$23:$AA$12292,'Besi Balok'!$A$23:$A$12292,$A267,'Besi Balok'!$B$23:$B$12292,$B267,'Besi Balok'!$F$23:$F$12292,'REKAP Balok'!T$12)</f>
        <v>0</v>
      </c>
      <c r="U267">
        <f>SUM(L267:T267)</f>
        <v>80.07437376</v>
      </c>
      <c r="V267">
        <f>(D267*(F267-H267)*G267*K267)/1000000000</f>
        <v>0.3264</v>
      </c>
      <c r="W267">
        <f>(((F267-H267)*2+D267)*(G267)*K267)/1000000</f>
        <v>4.284</v>
      </c>
      <c r="AC267">
        <f>(D267+2*$F$5)*F267*G267/1000000000</f>
        <v>0.918</v>
      </c>
    </row>
    <row r="268">
      <c r="A268" t="str">
        <f>'Data Panjang Balok'!A265</f>
        <v>Lantai 2</v>
      </c>
      <c r="B268">
        <f>'Data Panjang Balok'!B265</f>
        <v>58</v>
      </c>
      <c r="C268" t="str">
        <f>'Data Panjang Balok'!D265</f>
        <v>B26-2</v>
      </c>
      <c r="D268">
        <f>IF(C268&gt;0,VLOOKUP(C268,'Detail Balok'!$C$11:$AU$110,2,FALSE),0)</f>
        <v>200</v>
      </c>
      <c r="E268" t="str">
        <v>x</v>
      </c>
      <c r="F268">
        <f>IF(C268&gt;0,VLOOKUP(C268,'Detail Balok'!$C$11:$AU$110,3,FALSE),0)</f>
        <v>600</v>
      </c>
      <c r="G268">
        <f>'Data Panjang Balok'!I265</f>
        <v>8150</v>
      </c>
      <c r="H268">
        <f>'Data Panjang Balok'!J265</f>
        <v>130</v>
      </c>
      <c r="J268">
        <f>I268-F268/1000</f>
        <v>-0.6</v>
      </c>
      <c r="K268">
        <f>'Data Panjang Balok'!E265</f>
        <v>1</v>
      </c>
      <c r="L268">
        <f>SUMIFS('Besi Balok'!$AA$23:$AA$12292,'Besi Balok'!$A$23:$A$12292,$A268,'Besi Balok'!$B$23:$B$12292,$B268,'Besi Balok'!$F$23:$F$12292,'REKAP Balok'!L$12)</f>
        <v>0</v>
      </c>
      <c r="M268">
        <f>SUMIFS('Besi Balok'!$AA$23:$AA$12292,'Besi Balok'!$A$23:$A$12292,$A268,'Besi Balok'!$B$23:$B$12292,$B268,'Besi Balok'!$F$23:$F$12292,'REKAP Balok'!M$12)</f>
        <v>0</v>
      </c>
      <c r="N268">
        <f>SUMIFS('Besi Balok'!$AA$23:$AA$12292,'Besi Balok'!$A$23:$A$12292,$A268,'Besi Balok'!$B$23:$B$12292,$B268,'Besi Balok'!$F$23:$F$12292,'REKAP Balok'!N$12)</f>
        <v>65.00376</v>
      </c>
      <c r="O268">
        <f>SUMIFS('Besi Balok'!$AA$23:$AA$12292,'Besi Balok'!$A$23:$A$12292,$A268,'Besi Balok'!$B$23:$B$12292,$B268,'Besi Balok'!$F$23:$F$12292,'REKAP Balok'!O$12)</f>
        <v>0</v>
      </c>
      <c r="P268">
        <f>SUMIFS('Besi Balok'!$AA$23:$AA$12292,'Besi Balok'!$A$23:$A$12292,$A268,'Besi Balok'!$B$23:$B$12292,$B268,'Besi Balok'!$F$23:$F$12292,'REKAP Balok'!P$12)</f>
        <v>116.53092864000001</v>
      </c>
      <c r="Q268">
        <f>SUMIFS('Besi Balok'!$AA$23:$AA$12292,'Besi Balok'!$A$23:$A$12292,$A268,'Besi Balok'!$B$23:$B$12292,$B268,'Besi Balok'!$F$23:$F$12292,'REKAP Balok'!Q$12)</f>
        <v>0</v>
      </c>
      <c r="R268">
        <f>SUMIFS('Besi Balok'!$AA$23:$AA$12292,'Besi Balok'!$A$23:$A$12292,$A268,'Besi Balok'!$B$23:$B$12292,$B268,'Besi Balok'!$F$23:$F$12292,'REKAP Balok'!R$12)</f>
        <v>0</v>
      </c>
      <c r="S268">
        <f>SUMIFS('Besi Balok'!$AA$23:$AA$12292,'Besi Balok'!$A$23:$A$12292,$A268,'Besi Balok'!$B$23:$B$12292,$B268,'Besi Balok'!$F$23:$F$12292,'REKAP Balok'!S$12)</f>
        <v>0</v>
      </c>
      <c r="T268">
        <f>SUMIFS('Besi Balok'!$AA$23:$AA$12292,'Besi Balok'!$A$23:$A$12292,$A268,'Besi Balok'!$B$23:$B$12292,$B268,'Besi Balok'!$F$23:$F$12292,'REKAP Balok'!T$12)</f>
        <v>0</v>
      </c>
      <c r="U268">
        <f>SUM(L268:T268)</f>
        <v>181.53468864</v>
      </c>
      <c r="V268">
        <f>(D268*(F268-H268)*G268*K268)/1000000000</f>
        <v>0.7661</v>
      </c>
      <c r="W268">
        <f>(((F268-H268)*2+D268)*(G268)*K268)/1000000</f>
        <v>9.291</v>
      </c>
      <c r="AC268">
        <f>(D268+2*$F$5)*F268*G268/1000000000</f>
        <v>1.956</v>
      </c>
    </row>
    <row r="269">
      <c r="A269" t="str">
        <f>'Data Panjang Balok'!A266</f>
        <v>Lantai 2</v>
      </c>
      <c r="B269">
        <f>'Data Panjang Balok'!B266</f>
        <v>59</v>
      </c>
      <c r="C269" t="str">
        <f>'Data Panjang Balok'!D266</f>
        <v>B245-3</v>
      </c>
      <c r="D269">
        <f>IF(C269&gt;0,VLOOKUP(C269,'Detail Balok'!$C$11:$AU$110,2,FALSE),0)</f>
        <v>200</v>
      </c>
      <c r="E269" t="str">
        <v>x</v>
      </c>
      <c r="F269">
        <f>IF(C269&gt;0,VLOOKUP(C269,'Detail Balok'!$C$11:$AU$110,3,FALSE),0)</f>
        <v>450</v>
      </c>
      <c r="G269">
        <f>'Data Panjang Balok'!I266</f>
        <v>3100</v>
      </c>
      <c r="H269">
        <f>'Data Panjang Balok'!J266</f>
        <v>130</v>
      </c>
      <c r="J269">
        <f>I269-F269/1000</f>
        <v>-0.45</v>
      </c>
      <c r="K269">
        <f>'Data Panjang Balok'!E266</f>
        <v>1</v>
      </c>
      <c r="L269">
        <f>SUMIFS('Besi Balok'!$AA$23:$AA$12292,'Besi Balok'!$A$23:$A$12292,$A269,'Besi Balok'!$B$23:$B$12292,$B269,'Besi Balok'!$F$23:$F$12292,'REKAP Balok'!L$12)</f>
        <v>0</v>
      </c>
      <c r="M269">
        <f>SUMIFS('Besi Balok'!$AA$23:$AA$12292,'Besi Balok'!$A$23:$A$12292,$A269,'Besi Balok'!$B$23:$B$12292,$B269,'Besi Balok'!$F$23:$F$12292,'REKAP Balok'!M$12)</f>
        <v>0</v>
      </c>
      <c r="N269">
        <f>SUMIFS('Besi Balok'!$AA$23:$AA$12292,'Besi Balok'!$A$23:$A$12292,$A269,'Besi Balok'!$B$23:$B$12292,$B269,'Besi Balok'!$F$23:$F$12292,'REKAP Balok'!N$12)</f>
        <v>24.320924999999995</v>
      </c>
      <c r="O269">
        <f>SUMIFS('Besi Balok'!$AA$23:$AA$12292,'Besi Balok'!$A$23:$A$12292,$A269,'Besi Balok'!$B$23:$B$12292,$B269,'Besi Balok'!$F$23:$F$12292,'REKAP Balok'!O$12)</f>
        <v>0</v>
      </c>
      <c r="P269">
        <f>SUMIFS('Besi Balok'!$AA$23:$AA$12292,'Besi Balok'!$A$23:$A$12292,$A269,'Besi Balok'!$B$23:$B$12292,$B269,'Besi Balok'!$F$23:$F$12292,'REKAP Balok'!P$12)</f>
        <v>21.994352640000002</v>
      </c>
      <c r="Q269">
        <f>SUMIFS('Besi Balok'!$AA$23:$AA$12292,'Besi Balok'!$A$23:$A$12292,$A269,'Besi Balok'!$B$23:$B$12292,$B269,'Besi Balok'!$F$23:$F$12292,'REKAP Balok'!Q$12)</f>
        <v>0</v>
      </c>
      <c r="R269">
        <f>SUMIFS('Besi Balok'!$AA$23:$AA$12292,'Besi Balok'!$A$23:$A$12292,$A269,'Besi Balok'!$B$23:$B$12292,$B269,'Besi Balok'!$F$23:$F$12292,'REKAP Balok'!R$12)</f>
        <v>0</v>
      </c>
      <c r="S269">
        <f>SUMIFS('Besi Balok'!$AA$23:$AA$12292,'Besi Balok'!$A$23:$A$12292,$A269,'Besi Balok'!$B$23:$B$12292,$B269,'Besi Balok'!$F$23:$F$12292,'REKAP Balok'!S$12)</f>
        <v>0</v>
      </c>
      <c r="T269">
        <f>SUMIFS('Besi Balok'!$AA$23:$AA$12292,'Besi Balok'!$A$23:$A$12292,$A269,'Besi Balok'!$B$23:$B$12292,$B269,'Besi Balok'!$F$23:$F$12292,'REKAP Balok'!T$12)</f>
        <v>0</v>
      </c>
      <c r="U269">
        <f>SUM(L269:T269)</f>
        <v>46.31527764</v>
      </c>
      <c r="V269">
        <f>(D269*(F269-H269)*G269*K269)/1000000000</f>
        <v>0.1984</v>
      </c>
      <c r="W269">
        <f>(((F269-H269)*2+D269)*(G269)*K269)/1000000</f>
        <v>2.604</v>
      </c>
      <c r="AC269">
        <f>(D269+2*$F$5)*F269*G269/1000000000</f>
        <v>0.558</v>
      </c>
    </row>
    <row r="270">
      <c r="A270" t="str">
        <f>'Data Panjang Balok'!A267</f>
        <v>Lantai 2</v>
      </c>
      <c r="B270">
        <f>'Data Panjang Balok'!B267</f>
        <v>60</v>
      </c>
      <c r="C270" t="str">
        <f>'Data Panjang Balok'!D267</f>
        <v>B245-4</v>
      </c>
      <c r="D270">
        <f>IF(C270&gt;0,VLOOKUP(C270,'Detail Balok'!$C$11:$AU$110,2,FALSE),0)</f>
        <v>200</v>
      </c>
      <c r="E270" t="str">
        <v>x</v>
      </c>
      <c r="F270">
        <f>IF(C270&gt;0,VLOOKUP(C270,'Detail Balok'!$C$11:$AU$110,3,FALSE),0)</f>
        <v>450</v>
      </c>
      <c r="G270">
        <f>'Data Panjang Balok'!I267</f>
        <v>3235</v>
      </c>
      <c r="H270">
        <f>'Data Panjang Balok'!J267</f>
        <v>130</v>
      </c>
      <c r="J270">
        <f>I270-F270/1000</f>
        <v>-0.45</v>
      </c>
      <c r="K270">
        <f>'Data Panjang Balok'!E267</f>
        <v>1</v>
      </c>
      <c r="L270">
        <f>SUMIFS('Besi Balok'!$AA$23:$AA$12292,'Besi Balok'!$A$23:$A$12292,$A270,'Besi Balok'!$B$23:$B$12292,$B270,'Besi Balok'!$F$23:$F$12292,'REKAP Balok'!L$12)</f>
        <v>0</v>
      </c>
      <c r="M270">
        <f>SUMIFS('Besi Balok'!$AA$23:$AA$12292,'Besi Balok'!$A$23:$A$12292,$A270,'Besi Balok'!$B$23:$B$12292,$B270,'Besi Balok'!$F$23:$F$12292,'REKAP Balok'!M$12)</f>
        <v>14.74233984</v>
      </c>
      <c r="N270">
        <f>SUMIFS('Besi Balok'!$AA$23:$AA$12292,'Besi Balok'!$A$23:$A$12292,$A270,'Besi Balok'!$B$23:$B$12292,$B270,'Besi Balok'!$F$23:$F$12292,'REKAP Balok'!N$12)</f>
        <v>0</v>
      </c>
      <c r="O270">
        <f>SUMIFS('Besi Balok'!$AA$23:$AA$12292,'Besi Balok'!$A$23:$A$12292,$A270,'Besi Balok'!$B$23:$B$12292,$B270,'Besi Balok'!$F$23:$F$12292,'REKAP Balok'!O$12)</f>
        <v>0</v>
      </c>
      <c r="P270">
        <f>SUMIFS('Besi Balok'!$AA$23:$AA$12292,'Besi Balok'!$A$23:$A$12292,$A270,'Besi Balok'!$B$23:$B$12292,$B270,'Besi Balok'!$F$23:$F$12292,'REKAP Balok'!P$12)</f>
        <v>34.26990336</v>
      </c>
      <c r="Q270">
        <f>SUMIFS('Besi Balok'!$AA$23:$AA$12292,'Besi Balok'!$A$23:$A$12292,$A270,'Besi Balok'!$B$23:$B$12292,$B270,'Besi Balok'!$F$23:$F$12292,'REKAP Balok'!Q$12)</f>
        <v>0</v>
      </c>
      <c r="R270">
        <f>SUMIFS('Besi Balok'!$AA$23:$AA$12292,'Besi Balok'!$A$23:$A$12292,$A270,'Besi Balok'!$B$23:$B$12292,$B270,'Besi Balok'!$F$23:$F$12292,'REKAP Balok'!R$12)</f>
        <v>0</v>
      </c>
      <c r="S270">
        <f>SUMIFS('Besi Balok'!$AA$23:$AA$12292,'Besi Balok'!$A$23:$A$12292,$A270,'Besi Balok'!$B$23:$B$12292,$B270,'Besi Balok'!$F$23:$F$12292,'REKAP Balok'!S$12)</f>
        <v>0</v>
      </c>
      <c r="T270">
        <f>SUMIFS('Besi Balok'!$AA$23:$AA$12292,'Besi Balok'!$A$23:$A$12292,$A270,'Besi Balok'!$B$23:$B$12292,$B270,'Besi Balok'!$F$23:$F$12292,'REKAP Balok'!T$12)</f>
        <v>0</v>
      </c>
      <c r="U270">
        <f>SUM(L270:T270)</f>
        <v>49.0122432</v>
      </c>
      <c r="V270">
        <f>(D270*(F270-H270)*G270*K270)/1000000000</f>
        <v>0.20704</v>
      </c>
      <c r="W270">
        <f>(((F270-H270)*2+D270)*(G270)*K270)/1000000</f>
        <v>2.7174</v>
      </c>
      <c r="AC270">
        <f>(D270+2*$F$5)*F270*G270/1000000000</f>
        <v>0.5823</v>
      </c>
    </row>
    <row r="271">
      <c r="A271" t="str">
        <f>'Data Panjang Balok'!A268</f>
        <v>Lantai 2</v>
      </c>
      <c r="B271">
        <f>'Data Panjang Balok'!B268</f>
        <v>61</v>
      </c>
      <c r="C271" t="str">
        <f>'Data Panjang Balok'!D268</f>
        <v>B245-1</v>
      </c>
      <c r="D271">
        <f>IF(C271&gt;0,VLOOKUP(C271,'Detail Balok'!$C$11:$AU$110,2,FALSE),0)</f>
        <v>200</v>
      </c>
      <c r="E271" t="str">
        <v>x</v>
      </c>
      <c r="F271">
        <f>IF(C271&gt;0,VLOOKUP(C271,'Detail Balok'!$C$11:$AU$110,3,FALSE),0)</f>
        <v>450</v>
      </c>
      <c r="G271">
        <f>'Data Panjang Balok'!I268</f>
        <v>4765</v>
      </c>
      <c r="H271">
        <f>'Data Panjang Balok'!J268</f>
        <v>130</v>
      </c>
      <c r="J271">
        <f>I271-F271/1000</f>
        <v>-0.45</v>
      </c>
      <c r="K271">
        <f>'Data Panjang Balok'!E268</f>
        <v>1</v>
      </c>
      <c r="L271">
        <f>SUMIFS('Besi Balok'!$AA$23:$AA$12292,'Besi Balok'!$A$23:$A$12292,$A271,'Besi Balok'!$B$23:$B$12292,$B271,'Besi Balok'!$F$23:$F$12292,'REKAP Balok'!L$12)</f>
        <v>0</v>
      </c>
      <c r="M271">
        <f>SUMIFS('Besi Balok'!$AA$23:$AA$12292,'Besi Balok'!$A$23:$A$12292,$A271,'Besi Balok'!$B$23:$B$12292,$B271,'Besi Balok'!$F$23:$F$12292,'REKAP Balok'!M$12)</f>
        <v>20.85407424</v>
      </c>
      <c r="N271">
        <f>SUMIFS('Besi Balok'!$AA$23:$AA$12292,'Besi Balok'!$A$23:$A$12292,$A271,'Besi Balok'!$B$23:$B$12292,$B271,'Besi Balok'!$F$23:$F$12292,'REKAP Balok'!N$12)</f>
        <v>0</v>
      </c>
      <c r="O271">
        <f>SUMIFS('Besi Balok'!$AA$23:$AA$12292,'Besi Balok'!$A$23:$A$12292,$A271,'Besi Balok'!$B$23:$B$12292,$B271,'Besi Balok'!$F$23:$F$12292,'REKAP Balok'!O$12)</f>
        <v>21.158600579999998</v>
      </c>
      <c r="P271">
        <f>SUMIFS('Besi Balok'!$AA$23:$AA$12292,'Besi Balok'!$A$23:$A$12292,$A271,'Besi Balok'!$B$23:$B$12292,$B271,'Besi Balok'!$F$23:$F$12292,'REKAP Balok'!P$12)</f>
        <v>0</v>
      </c>
      <c r="Q271">
        <f>SUMIFS('Besi Balok'!$AA$23:$AA$12292,'Besi Balok'!$A$23:$A$12292,$A271,'Besi Balok'!$B$23:$B$12292,$B271,'Besi Balok'!$F$23:$F$12292,'REKAP Balok'!Q$12)</f>
        <v>0</v>
      </c>
      <c r="R271">
        <f>SUMIFS('Besi Balok'!$AA$23:$AA$12292,'Besi Balok'!$A$23:$A$12292,$A271,'Besi Balok'!$B$23:$B$12292,$B271,'Besi Balok'!$F$23:$F$12292,'REKAP Balok'!R$12)</f>
        <v>0</v>
      </c>
      <c r="S271">
        <f>SUMIFS('Besi Balok'!$AA$23:$AA$12292,'Besi Balok'!$A$23:$A$12292,$A271,'Besi Balok'!$B$23:$B$12292,$B271,'Besi Balok'!$F$23:$F$12292,'REKAP Balok'!S$12)</f>
        <v>0</v>
      </c>
      <c r="T271">
        <f>SUMIFS('Besi Balok'!$AA$23:$AA$12292,'Besi Balok'!$A$23:$A$12292,$A271,'Besi Balok'!$B$23:$B$12292,$B271,'Besi Balok'!$F$23:$F$12292,'REKAP Balok'!T$12)</f>
        <v>0</v>
      </c>
      <c r="U271">
        <f>SUM(L271:T271)</f>
        <v>42.01267482</v>
      </c>
      <c r="V271">
        <f>(D271*(F271-H271)*G271*K271)/1000000000</f>
        <v>0.30496</v>
      </c>
      <c r="W271">
        <f>(((F271-H271)*2+D271)*(G271)*K271)/1000000</f>
        <v>4.0026</v>
      </c>
      <c r="AC271">
        <f>(D271+2*$F$5)*F271*G271/1000000000</f>
        <v>0.8577</v>
      </c>
    </row>
    <row r="272">
      <c r="A272" t="str">
        <f>'Data Panjang Balok'!A269</f>
        <v>Lantai 2</v>
      </c>
      <c r="B272">
        <f>'Data Panjang Balok'!B269</f>
        <v>62</v>
      </c>
      <c r="C272" t="str">
        <f>'Data Panjang Balok'!D269</f>
        <v>B245-1</v>
      </c>
      <c r="D272">
        <f>IF(C272&gt;0,VLOOKUP(C272,'Detail Balok'!$C$11:$AU$110,2,FALSE),0)</f>
        <v>200</v>
      </c>
      <c r="E272" t="str">
        <v>x</v>
      </c>
      <c r="F272">
        <f>IF(C272&gt;0,VLOOKUP(C272,'Detail Balok'!$C$11:$AU$110,3,FALSE),0)</f>
        <v>450</v>
      </c>
      <c r="G272">
        <f>'Data Panjang Balok'!I269</f>
        <v>4600</v>
      </c>
      <c r="H272">
        <f>'Data Panjang Balok'!J269</f>
        <v>130</v>
      </c>
      <c r="J272">
        <f>I272-F272/1000</f>
        <v>-0.45</v>
      </c>
      <c r="K272">
        <f>'Data Panjang Balok'!E269</f>
        <v>1</v>
      </c>
      <c r="L272">
        <f>SUMIFS('Besi Balok'!$AA$23:$AA$12292,'Besi Balok'!$A$23:$A$12292,$A272,'Besi Balok'!$B$23:$B$12292,$B272,'Besi Balok'!$F$23:$F$12292,'REKAP Balok'!L$12)</f>
        <v>0</v>
      </c>
      <c r="M272">
        <f>SUMIFS('Besi Balok'!$AA$23:$AA$12292,'Besi Balok'!$A$23:$A$12292,$A272,'Besi Balok'!$B$23:$B$12292,$B272,'Besi Balok'!$F$23:$F$12292,'REKAP Balok'!M$12)</f>
        <v>20.72386944</v>
      </c>
      <c r="N272">
        <f>SUMIFS('Besi Balok'!$AA$23:$AA$12292,'Besi Balok'!$A$23:$A$12292,$A272,'Besi Balok'!$B$23:$B$12292,$B272,'Besi Balok'!$F$23:$F$12292,'REKAP Balok'!N$12)</f>
        <v>0</v>
      </c>
      <c r="O272">
        <f>SUMIFS('Besi Balok'!$AA$23:$AA$12292,'Besi Balok'!$A$23:$A$12292,$A272,'Besi Balok'!$B$23:$B$12292,$B272,'Besi Balok'!$F$23:$F$12292,'REKAP Balok'!O$12)</f>
        <v>20.470956479999998</v>
      </c>
      <c r="P272">
        <f>SUMIFS('Besi Balok'!$AA$23:$AA$12292,'Besi Balok'!$A$23:$A$12292,$A272,'Besi Balok'!$B$23:$B$12292,$B272,'Besi Balok'!$F$23:$F$12292,'REKAP Balok'!P$12)</f>
        <v>0</v>
      </c>
      <c r="Q272">
        <f>SUMIFS('Besi Balok'!$AA$23:$AA$12292,'Besi Balok'!$A$23:$A$12292,$A272,'Besi Balok'!$B$23:$B$12292,$B272,'Besi Balok'!$F$23:$F$12292,'REKAP Balok'!Q$12)</f>
        <v>0</v>
      </c>
      <c r="R272">
        <f>SUMIFS('Besi Balok'!$AA$23:$AA$12292,'Besi Balok'!$A$23:$A$12292,$A272,'Besi Balok'!$B$23:$B$12292,$B272,'Besi Balok'!$F$23:$F$12292,'REKAP Balok'!R$12)</f>
        <v>0</v>
      </c>
      <c r="S272">
        <f>SUMIFS('Besi Balok'!$AA$23:$AA$12292,'Besi Balok'!$A$23:$A$12292,$A272,'Besi Balok'!$B$23:$B$12292,$B272,'Besi Balok'!$F$23:$F$12292,'REKAP Balok'!S$12)</f>
        <v>0</v>
      </c>
      <c r="T272">
        <f>SUMIFS('Besi Balok'!$AA$23:$AA$12292,'Besi Balok'!$A$23:$A$12292,$A272,'Besi Balok'!$B$23:$B$12292,$B272,'Besi Balok'!$F$23:$F$12292,'REKAP Balok'!T$12)</f>
        <v>0</v>
      </c>
      <c r="U272">
        <f>SUM(L272:T272)</f>
        <v>41.19482592</v>
      </c>
      <c r="V272">
        <f>(D272*(F272-H272)*G272*K272)/1000000000</f>
        <v>0.2944</v>
      </c>
      <c r="W272">
        <f>(((F272-H272)*2+D272)*(G272)*K272)/1000000</f>
        <v>3.864</v>
      </c>
      <c r="AC272">
        <f>(D272+2*$F$5)*F272*G272/1000000000</f>
        <v>0.828</v>
      </c>
    </row>
    <row r="273">
      <c r="A273" t="str">
        <f>'Data Panjang Balok'!A270</f>
        <v>Lantai 2</v>
      </c>
      <c r="B273">
        <f>'Data Panjang Balok'!B270</f>
        <v>63</v>
      </c>
      <c r="C273" t="str">
        <f>'Data Panjang Balok'!D270</f>
        <v>B173-1</v>
      </c>
      <c r="D273">
        <f>IF(C273&gt;0,VLOOKUP(C273,'Detail Balok'!$C$11:$AU$110,2,FALSE),0)</f>
        <v>170</v>
      </c>
      <c r="E273" t="str">
        <v>x</v>
      </c>
      <c r="F273">
        <f>IF(C273&gt;0,VLOOKUP(C273,'Detail Balok'!$C$11:$AU$110,3,FALSE),0)</f>
        <v>300</v>
      </c>
      <c r="G273">
        <f>'Data Panjang Balok'!I270</f>
        <v>450</v>
      </c>
      <c r="H273">
        <f>'Data Panjang Balok'!J270</f>
        <v>0</v>
      </c>
      <c r="J273">
        <f>I273-F273/1000</f>
        <v>-0.3</v>
      </c>
      <c r="K273">
        <f>'Data Panjang Balok'!E270</f>
        <v>1</v>
      </c>
      <c r="L273">
        <f>SUMIFS('Besi Balok'!$AA$23:$AA$12292,'Besi Balok'!$A$23:$A$12292,$A273,'Besi Balok'!$B$23:$B$12292,$B273,'Besi Balok'!$F$23:$F$12292,'REKAP Balok'!L$12)</f>
        <v>0</v>
      </c>
      <c r="M273">
        <f>SUMIFS('Besi Balok'!$AA$23:$AA$12292,'Besi Balok'!$A$23:$A$12292,$A273,'Besi Balok'!$B$23:$B$12292,$B273,'Besi Balok'!$F$23:$F$12292,'REKAP Balok'!M$12)</f>
        <v>1.8228672000000001</v>
      </c>
      <c r="N273">
        <f>SUMIFS('Besi Balok'!$AA$23:$AA$12292,'Besi Balok'!$A$23:$A$12292,$A273,'Besi Balok'!$B$23:$B$12292,$B273,'Besi Balok'!$F$23:$F$12292,'REKAP Balok'!N$12)</f>
        <v>0</v>
      </c>
      <c r="O273">
        <f>SUMIFS('Besi Balok'!$AA$23:$AA$12292,'Besi Balok'!$A$23:$A$12292,$A273,'Besi Balok'!$B$23:$B$12292,$B273,'Besi Balok'!$F$23:$F$12292,'REKAP Balok'!O$12)</f>
        <v>3.1756654799999997</v>
      </c>
      <c r="P273">
        <f>SUMIFS('Besi Balok'!$AA$23:$AA$12292,'Besi Balok'!$A$23:$A$12292,$A273,'Besi Balok'!$B$23:$B$12292,$B273,'Besi Balok'!$F$23:$F$12292,'REKAP Balok'!P$12)</f>
        <v>0</v>
      </c>
      <c r="Q273">
        <f>SUMIFS('Besi Balok'!$AA$23:$AA$12292,'Besi Balok'!$A$23:$A$12292,$A273,'Besi Balok'!$B$23:$B$12292,$B273,'Besi Balok'!$F$23:$F$12292,'REKAP Balok'!Q$12)</f>
        <v>0</v>
      </c>
      <c r="R273">
        <f>SUMIFS('Besi Balok'!$AA$23:$AA$12292,'Besi Balok'!$A$23:$A$12292,$A273,'Besi Balok'!$B$23:$B$12292,$B273,'Besi Balok'!$F$23:$F$12292,'REKAP Balok'!R$12)</f>
        <v>0</v>
      </c>
      <c r="S273">
        <f>SUMIFS('Besi Balok'!$AA$23:$AA$12292,'Besi Balok'!$A$23:$A$12292,$A273,'Besi Balok'!$B$23:$B$12292,$B273,'Besi Balok'!$F$23:$F$12292,'REKAP Balok'!S$12)</f>
        <v>0</v>
      </c>
      <c r="T273">
        <f>SUMIFS('Besi Balok'!$AA$23:$AA$12292,'Besi Balok'!$A$23:$A$12292,$A273,'Besi Balok'!$B$23:$B$12292,$B273,'Besi Balok'!$F$23:$F$12292,'REKAP Balok'!T$12)</f>
        <v>0</v>
      </c>
      <c r="U273">
        <f>SUM(L273:T273)</f>
        <v>4.99853268</v>
      </c>
      <c r="V273">
        <f>(D273*(F273-H273)*G273*K273)/1000000000</f>
        <v>0.02295</v>
      </c>
      <c r="W273">
        <f>(((F273-H273)*2+D273)*(G273)*K273)/1000000</f>
        <v>0.3465</v>
      </c>
      <c r="AC273">
        <f>(D273+2*$F$5)*F273*G273/1000000000</f>
        <v>0.04995</v>
      </c>
    </row>
    <row r="274">
      <c r="A274" t="str">
        <f>'Data Panjang Balok'!A271</f>
        <v>Lantai 2</v>
      </c>
      <c r="B274">
        <f>'Data Panjang Balok'!B271</f>
        <v>64</v>
      </c>
      <c r="C274" t="str">
        <f>'Data Panjang Balok'!D271</f>
        <v>B24-1</v>
      </c>
      <c r="D274">
        <f>IF(C274&gt;0,VLOOKUP(C274,'Detail Balok'!$C$11:$AU$110,2,FALSE),0)</f>
        <v>200</v>
      </c>
      <c r="E274" t="str">
        <v>x</v>
      </c>
      <c r="F274">
        <f>IF(C274&gt;0,VLOOKUP(C274,'Detail Balok'!$C$11:$AU$110,3,FALSE),0)</f>
        <v>400</v>
      </c>
      <c r="G274">
        <f>'Data Panjang Balok'!I271</f>
        <v>3450</v>
      </c>
      <c r="H274">
        <f>'Data Panjang Balok'!J271</f>
        <v>130</v>
      </c>
      <c r="J274">
        <f>I274-F274/1000</f>
        <v>-0.4</v>
      </c>
      <c r="K274">
        <f>'Data Panjang Balok'!E271</f>
        <v>1</v>
      </c>
      <c r="L274">
        <f>SUMIFS('Besi Balok'!$AA$23:$AA$12292,'Besi Balok'!$A$23:$A$12292,$A274,'Besi Balok'!$B$23:$B$12292,$B274,'Besi Balok'!$F$23:$F$12292,'REKAP Balok'!L$12)</f>
        <v>0</v>
      </c>
      <c r="M274">
        <f>SUMIFS('Besi Balok'!$AA$23:$AA$12292,'Besi Balok'!$A$23:$A$12292,$A274,'Besi Balok'!$B$23:$B$12292,$B274,'Besi Balok'!$F$23:$F$12292,'REKAP Balok'!M$12)</f>
        <v>11.785507200000001</v>
      </c>
      <c r="N274">
        <f>SUMIFS('Besi Balok'!$AA$23:$AA$12292,'Besi Balok'!$A$23:$A$12292,$A274,'Besi Balok'!$B$23:$B$12292,$B274,'Besi Balok'!$F$23:$F$12292,'REKAP Balok'!N$12)</f>
        <v>0</v>
      </c>
      <c r="O274">
        <f>SUMIFS('Besi Balok'!$AA$23:$AA$12292,'Besi Balok'!$A$23:$A$12292,$A274,'Besi Balok'!$B$23:$B$12292,$B274,'Besi Balok'!$F$23:$F$12292,'REKAP Balok'!O$12)</f>
        <v>15.67828548</v>
      </c>
      <c r="P274">
        <f>SUMIFS('Besi Balok'!$AA$23:$AA$12292,'Besi Balok'!$A$23:$A$12292,$A274,'Besi Balok'!$B$23:$B$12292,$B274,'Besi Balok'!$F$23:$F$12292,'REKAP Balok'!P$12)</f>
        <v>0</v>
      </c>
      <c r="Q274">
        <f>SUMIFS('Besi Balok'!$AA$23:$AA$12292,'Besi Balok'!$A$23:$A$12292,$A274,'Besi Balok'!$B$23:$B$12292,$B274,'Besi Balok'!$F$23:$F$12292,'REKAP Balok'!Q$12)</f>
        <v>0</v>
      </c>
      <c r="R274">
        <f>SUMIFS('Besi Balok'!$AA$23:$AA$12292,'Besi Balok'!$A$23:$A$12292,$A274,'Besi Balok'!$B$23:$B$12292,$B274,'Besi Balok'!$F$23:$F$12292,'REKAP Balok'!R$12)</f>
        <v>0</v>
      </c>
      <c r="S274">
        <f>SUMIFS('Besi Balok'!$AA$23:$AA$12292,'Besi Balok'!$A$23:$A$12292,$A274,'Besi Balok'!$B$23:$B$12292,$B274,'Besi Balok'!$F$23:$F$12292,'REKAP Balok'!S$12)</f>
        <v>0</v>
      </c>
      <c r="T274">
        <f>SUMIFS('Besi Balok'!$AA$23:$AA$12292,'Besi Balok'!$A$23:$A$12292,$A274,'Besi Balok'!$B$23:$B$12292,$B274,'Besi Balok'!$F$23:$F$12292,'REKAP Balok'!T$12)</f>
        <v>0</v>
      </c>
      <c r="U274">
        <f>SUM(L274:T274)</f>
        <v>27.46379268</v>
      </c>
      <c r="V274">
        <f>(D274*(F274-H274)*G274*K274)/1000000000</f>
        <v>0.1863</v>
      </c>
      <c r="W274">
        <f>(((F274-H274)*2+D274)*(G274)*K274)/1000000</f>
        <v>2.553</v>
      </c>
      <c r="AC274">
        <f>(D274+2*$F$5)*F274*G274/1000000000</f>
        <v>0.552</v>
      </c>
    </row>
    <row r="275">
      <c r="A275" t="str">
        <f>'Data Panjang Balok'!A272</f>
        <v>Lantai 2</v>
      </c>
      <c r="B275">
        <f>'Data Panjang Balok'!B272</f>
        <v>65</v>
      </c>
      <c r="C275" t="str">
        <f>'Data Panjang Balok'!D272</f>
        <v>B175-2</v>
      </c>
      <c r="D275">
        <f>IF(C275&gt;0,VLOOKUP(C275,'Detail Balok'!$C$11:$AU$110,2,FALSE),0)</f>
        <v>170</v>
      </c>
      <c r="E275" t="str">
        <v>x</v>
      </c>
      <c r="F275">
        <f>IF(C275&gt;0,VLOOKUP(C275,'Detail Balok'!$C$11:$AU$110,3,FALSE),0)</f>
        <v>500</v>
      </c>
      <c r="G275">
        <f>'Data Panjang Balok'!I272</f>
        <v>4715</v>
      </c>
      <c r="H275">
        <f>'Data Panjang Balok'!J272</f>
        <v>0</v>
      </c>
      <c r="J275">
        <f>I275-F275/1000</f>
        <v>-0.5</v>
      </c>
      <c r="K275">
        <f>'Data Panjang Balok'!E272</f>
        <v>1</v>
      </c>
      <c r="L275">
        <f>SUMIFS('Besi Balok'!$AA$23:$AA$12292,'Besi Balok'!$A$23:$A$12292,$A275,'Besi Balok'!$B$23:$B$12292,$B275,'Besi Balok'!$F$23:$F$12292,'REKAP Balok'!L$12)</f>
        <v>0</v>
      </c>
      <c r="M275">
        <f>SUMIFS('Besi Balok'!$AA$23:$AA$12292,'Besi Balok'!$A$23:$A$12292,$A275,'Besi Balok'!$B$23:$B$12292,$B275,'Besi Balok'!$F$23:$F$12292,'REKAP Balok'!M$12)</f>
        <v>0</v>
      </c>
      <c r="N275">
        <f>SUMIFS('Besi Balok'!$AA$23:$AA$12292,'Besi Balok'!$A$23:$A$12292,$A275,'Besi Balok'!$B$23:$B$12292,$B275,'Besi Balok'!$F$23:$F$12292,'REKAP Balok'!N$12)</f>
        <v>37.846935</v>
      </c>
      <c r="O275">
        <f>SUMIFS('Besi Balok'!$AA$23:$AA$12292,'Besi Balok'!$A$23:$A$12292,$A275,'Besi Balok'!$B$23:$B$12292,$B275,'Besi Balok'!$F$23:$F$12292,'REKAP Balok'!O$12)</f>
        <v>37.64174222249999</v>
      </c>
      <c r="P275">
        <f>SUMIFS('Besi Balok'!$AA$23:$AA$12292,'Besi Balok'!$A$23:$A$12292,$A275,'Besi Balok'!$B$23:$B$12292,$B275,'Besi Balok'!$F$23:$F$12292,'REKAP Balok'!P$12)</f>
        <v>0</v>
      </c>
      <c r="Q275">
        <f>SUMIFS('Besi Balok'!$AA$23:$AA$12292,'Besi Balok'!$A$23:$A$12292,$A275,'Besi Balok'!$B$23:$B$12292,$B275,'Besi Balok'!$F$23:$F$12292,'REKAP Balok'!Q$12)</f>
        <v>0</v>
      </c>
      <c r="R275">
        <f>SUMIFS('Besi Balok'!$AA$23:$AA$12292,'Besi Balok'!$A$23:$A$12292,$A275,'Besi Balok'!$B$23:$B$12292,$B275,'Besi Balok'!$F$23:$F$12292,'REKAP Balok'!R$12)</f>
        <v>0</v>
      </c>
      <c r="S275">
        <f>SUMIFS('Besi Balok'!$AA$23:$AA$12292,'Besi Balok'!$A$23:$A$12292,$A275,'Besi Balok'!$B$23:$B$12292,$B275,'Besi Balok'!$F$23:$F$12292,'REKAP Balok'!S$12)</f>
        <v>0</v>
      </c>
      <c r="T275">
        <f>SUMIFS('Besi Balok'!$AA$23:$AA$12292,'Besi Balok'!$A$23:$A$12292,$A275,'Besi Balok'!$B$23:$B$12292,$B275,'Besi Balok'!$F$23:$F$12292,'REKAP Balok'!T$12)</f>
        <v>0</v>
      </c>
      <c r="U275">
        <f>SUM(L275:T275)</f>
        <v>75.4886772225</v>
      </c>
      <c r="V275">
        <f>(D275*(F275-H275)*G275*K275)/1000000000</f>
        <v>0.400775</v>
      </c>
      <c r="W275">
        <f>(((F275-H275)*2+D275)*(G275)*K275)/1000000</f>
        <v>5.51655</v>
      </c>
      <c r="AC275">
        <f>(D275+2*$F$5)*F275*G275/1000000000</f>
        <v>0.872275</v>
      </c>
    </row>
    <row r="276">
      <c r="A276" t="str">
        <f>'Data Panjang Balok'!A273</f>
        <v>Lantai 2</v>
      </c>
      <c r="B276">
        <f>'Data Panjang Balok'!B273</f>
        <v>66</v>
      </c>
      <c r="C276" t="str">
        <f>'Data Panjang Balok'!D273</f>
        <v>B175-2</v>
      </c>
      <c r="D276">
        <f>IF(C276&gt;0,VLOOKUP(C276,'Detail Balok'!$C$11:$AU$110,2,FALSE),0)</f>
        <v>170</v>
      </c>
      <c r="E276" t="str">
        <v>x</v>
      </c>
      <c r="F276">
        <f>IF(C276&gt;0,VLOOKUP(C276,'Detail Balok'!$C$11:$AU$110,3,FALSE),0)</f>
        <v>500</v>
      </c>
      <c r="G276">
        <f>'Data Panjang Balok'!I273</f>
        <v>5285</v>
      </c>
      <c r="H276">
        <f>'Data Panjang Balok'!J273</f>
        <v>0</v>
      </c>
      <c r="J276">
        <f>I276-F276/1000</f>
        <v>-0.5</v>
      </c>
      <c r="K276">
        <f>'Data Panjang Balok'!E273</f>
        <v>1</v>
      </c>
      <c r="L276">
        <f>SUMIFS('Besi Balok'!$AA$23:$AA$12292,'Besi Balok'!$A$23:$A$12292,$A276,'Besi Balok'!$B$23:$B$12292,$B276,'Besi Balok'!$F$23:$F$12292,'REKAP Balok'!L$12)</f>
        <v>0</v>
      </c>
      <c r="M276">
        <f>SUMIFS('Besi Balok'!$AA$23:$AA$12292,'Besi Balok'!$A$23:$A$12292,$A276,'Besi Balok'!$B$23:$B$12292,$B276,'Besi Balok'!$F$23:$F$12292,'REKAP Balok'!M$12)</f>
        <v>0</v>
      </c>
      <c r="N276">
        <f>SUMIFS('Besi Balok'!$AA$23:$AA$12292,'Besi Balok'!$A$23:$A$12292,$A276,'Besi Balok'!$B$23:$B$12292,$B276,'Besi Balok'!$F$23:$F$12292,'REKAP Balok'!N$12)</f>
        <v>42.156270000000006</v>
      </c>
      <c r="O276">
        <f>SUMIFS('Besi Balok'!$AA$23:$AA$12292,'Besi Balok'!$A$23:$A$12292,$A276,'Besi Balok'!$B$23:$B$12292,$B276,'Besi Balok'!$F$23:$F$12292,'REKAP Balok'!O$12)</f>
        <v>41.85825081749999</v>
      </c>
      <c r="P276">
        <f>SUMIFS('Besi Balok'!$AA$23:$AA$12292,'Besi Balok'!$A$23:$A$12292,$A276,'Besi Balok'!$B$23:$B$12292,$B276,'Besi Balok'!$F$23:$F$12292,'REKAP Balok'!P$12)</f>
        <v>0</v>
      </c>
      <c r="Q276">
        <f>SUMIFS('Besi Balok'!$AA$23:$AA$12292,'Besi Balok'!$A$23:$A$12292,$A276,'Besi Balok'!$B$23:$B$12292,$B276,'Besi Balok'!$F$23:$F$12292,'REKAP Balok'!Q$12)</f>
        <v>0</v>
      </c>
      <c r="R276">
        <f>SUMIFS('Besi Balok'!$AA$23:$AA$12292,'Besi Balok'!$A$23:$A$12292,$A276,'Besi Balok'!$B$23:$B$12292,$B276,'Besi Balok'!$F$23:$F$12292,'REKAP Balok'!R$12)</f>
        <v>0</v>
      </c>
      <c r="S276">
        <f>SUMIFS('Besi Balok'!$AA$23:$AA$12292,'Besi Balok'!$A$23:$A$12292,$A276,'Besi Balok'!$B$23:$B$12292,$B276,'Besi Balok'!$F$23:$F$12292,'REKAP Balok'!S$12)</f>
        <v>0</v>
      </c>
      <c r="T276">
        <f>SUMIFS('Besi Balok'!$AA$23:$AA$12292,'Besi Balok'!$A$23:$A$12292,$A276,'Besi Balok'!$B$23:$B$12292,$B276,'Besi Balok'!$F$23:$F$12292,'REKAP Balok'!T$12)</f>
        <v>0</v>
      </c>
      <c r="U276">
        <f>SUM(L276:T276)</f>
        <v>84.0145208175</v>
      </c>
      <c r="V276">
        <f>(D276*(F276-H276)*G276*K276)/1000000000</f>
        <v>0.449225</v>
      </c>
      <c r="W276">
        <f>(((F276-H276)*2+D276)*(G276)*K276)/1000000</f>
        <v>6.18345</v>
      </c>
      <c r="AC276">
        <f>(D276+2*$F$5)*F276*G276/1000000000</f>
        <v>0.977725</v>
      </c>
    </row>
    <row r="277">
      <c r="A277" t="str">
        <f>'Data Panjang Balok'!A274</f>
        <v>Lantai 2</v>
      </c>
      <c r="B277">
        <f>'Data Panjang Balok'!B274</f>
        <v>67</v>
      </c>
      <c r="C277" t="str">
        <f>'Data Panjang Balok'!D274</f>
        <v>B175-1</v>
      </c>
      <c r="D277">
        <f>IF(C277&gt;0,VLOOKUP(C277,'Detail Balok'!$C$11:$AU$110,2,FALSE),0)</f>
        <v>170</v>
      </c>
      <c r="E277" t="str">
        <v>x</v>
      </c>
      <c r="F277">
        <f>IF(C277&gt;0,VLOOKUP(C277,'Detail Balok'!$C$11:$AU$110,3,FALSE),0)</f>
        <v>500</v>
      </c>
      <c r="G277">
        <f>'Data Panjang Balok'!I274</f>
        <v>5300</v>
      </c>
      <c r="H277">
        <f>'Data Panjang Balok'!J274</f>
        <v>0</v>
      </c>
      <c r="J277">
        <f>I277-F277/1000</f>
        <v>-0.5</v>
      </c>
      <c r="K277">
        <f>'Data Panjang Balok'!E274</f>
        <v>1</v>
      </c>
      <c r="L277">
        <f>SUMIFS('Besi Balok'!$AA$23:$AA$12292,'Besi Balok'!$A$23:$A$12292,$A277,'Besi Balok'!$B$23:$B$12292,$B277,'Besi Balok'!$F$23:$F$12292,'REKAP Balok'!L$12)</f>
        <v>0</v>
      </c>
      <c r="M277">
        <f>SUMIFS('Besi Balok'!$AA$23:$AA$12292,'Besi Balok'!$A$23:$A$12292,$A277,'Besi Balok'!$B$23:$B$12292,$B277,'Besi Balok'!$F$23:$F$12292,'REKAP Balok'!M$12)</f>
        <v>0</v>
      </c>
      <c r="N277">
        <f>SUMIFS('Besi Balok'!$AA$23:$AA$12292,'Besi Balok'!$A$23:$A$12292,$A277,'Besi Balok'!$B$23:$B$12292,$B277,'Besi Balok'!$F$23:$F$12292,'REKAP Balok'!N$12)</f>
        <v>42.174764999999994</v>
      </c>
      <c r="O277">
        <f>SUMIFS('Besi Balok'!$AA$23:$AA$12292,'Besi Balok'!$A$23:$A$12292,$A277,'Besi Balok'!$B$23:$B$12292,$B277,'Besi Balok'!$F$23:$F$12292,'REKAP Balok'!O$12)</f>
        <v>23.388234479999998</v>
      </c>
      <c r="P277">
        <f>SUMIFS('Besi Balok'!$AA$23:$AA$12292,'Besi Balok'!$A$23:$A$12292,$A277,'Besi Balok'!$B$23:$B$12292,$B277,'Besi Balok'!$F$23:$F$12292,'REKAP Balok'!P$12)</f>
        <v>0</v>
      </c>
      <c r="Q277">
        <f>SUMIFS('Besi Balok'!$AA$23:$AA$12292,'Besi Balok'!$A$23:$A$12292,$A277,'Besi Balok'!$B$23:$B$12292,$B277,'Besi Balok'!$F$23:$F$12292,'REKAP Balok'!Q$12)</f>
        <v>0</v>
      </c>
      <c r="R277">
        <f>SUMIFS('Besi Balok'!$AA$23:$AA$12292,'Besi Balok'!$A$23:$A$12292,$A277,'Besi Balok'!$B$23:$B$12292,$B277,'Besi Balok'!$F$23:$F$12292,'REKAP Balok'!R$12)</f>
        <v>0</v>
      </c>
      <c r="S277">
        <f>SUMIFS('Besi Balok'!$AA$23:$AA$12292,'Besi Balok'!$A$23:$A$12292,$A277,'Besi Balok'!$B$23:$B$12292,$B277,'Besi Balok'!$F$23:$F$12292,'REKAP Balok'!S$12)</f>
        <v>0</v>
      </c>
      <c r="T277">
        <f>SUMIFS('Besi Balok'!$AA$23:$AA$12292,'Besi Balok'!$A$23:$A$12292,$A277,'Besi Balok'!$B$23:$B$12292,$B277,'Besi Balok'!$F$23:$F$12292,'REKAP Balok'!T$12)</f>
        <v>0</v>
      </c>
      <c r="U277">
        <f>SUM(L277:T277)</f>
        <v>65.56299947999999</v>
      </c>
      <c r="V277">
        <f>(D277*(F277-H277)*G277*K277)/1000000000</f>
        <v>0.4505</v>
      </c>
      <c r="W277">
        <f>(((F277-H277)*2+D277)*(G277)*K277)/1000000</f>
        <v>6.201</v>
      </c>
      <c r="AC277">
        <f>(D277+2*$F$5)*F277*G277/1000000000</f>
        <v>0.9805</v>
      </c>
    </row>
    <row r="278">
      <c r="A278" t="str">
        <f>'Data Panjang Balok'!A275</f>
        <v>Lantai 2</v>
      </c>
      <c r="B278">
        <f>'Data Panjang Balok'!B275</f>
        <v>68</v>
      </c>
      <c r="C278" t="str">
        <f>'Data Panjang Balok'!D275</f>
        <v>B1745-1</v>
      </c>
      <c r="D278">
        <f>IF(C278&gt;0,VLOOKUP(C278,'Detail Balok'!$C$11:$AU$110,2,FALSE),0)</f>
        <v>170</v>
      </c>
      <c r="E278" t="str">
        <v>x</v>
      </c>
      <c r="F278">
        <f>IF(C278&gt;0,VLOOKUP(C278,'Detail Balok'!$C$11:$AU$110,3,FALSE),0)</f>
        <v>450</v>
      </c>
      <c r="G278">
        <f>'Data Panjang Balok'!I275</f>
        <v>2200</v>
      </c>
      <c r="H278">
        <f>'Data Panjang Balok'!J275</f>
        <v>130</v>
      </c>
      <c r="J278">
        <f>I278-F278/1000</f>
        <v>-0.45</v>
      </c>
      <c r="K278">
        <f>'Data Panjang Balok'!E275</f>
        <v>1</v>
      </c>
      <c r="L278">
        <f>SUMIFS('Besi Balok'!$AA$23:$AA$12292,'Besi Balok'!$A$23:$A$12292,$A278,'Besi Balok'!$B$23:$B$12292,$B278,'Besi Balok'!$F$23:$F$12292,'REKAP Balok'!L$12)</f>
        <v>0</v>
      </c>
      <c r="M278">
        <f>SUMIFS('Besi Balok'!$AA$23:$AA$12292,'Besi Balok'!$A$23:$A$12292,$A278,'Besi Balok'!$B$23:$B$12292,$B278,'Besi Balok'!$F$23:$F$12292,'REKAP Balok'!M$12)</f>
        <v>14.975130240000002</v>
      </c>
      <c r="N278">
        <f>SUMIFS('Besi Balok'!$AA$23:$AA$12292,'Besi Balok'!$A$23:$A$12292,$A278,'Besi Balok'!$B$23:$B$12292,$B278,'Besi Balok'!$F$23:$F$12292,'REKAP Balok'!N$12)</f>
        <v>0</v>
      </c>
      <c r="O278">
        <f>SUMIFS('Besi Balok'!$AA$23:$AA$12292,'Besi Balok'!$A$23:$A$12292,$A278,'Besi Balok'!$B$23:$B$12292,$B278,'Besi Balok'!$F$23:$F$12292,'REKAP Balok'!O$12)</f>
        <v>10.46886048</v>
      </c>
      <c r="P278">
        <f>SUMIFS('Besi Balok'!$AA$23:$AA$12292,'Besi Balok'!$A$23:$A$12292,$A278,'Besi Balok'!$B$23:$B$12292,$B278,'Besi Balok'!$F$23:$F$12292,'REKAP Balok'!P$12)</f>
        <v>0</v>
      </c>
      <c r="Q278">
        <f>SUMIFS('Besi Balok'!$AA$23:$AA$12292,'Besi Balok'!$A$23:$A$12292,$A278,'Besi Balok'!$B$23:$B$12292,$B278,'Besi Balok'!$F$23:$F$12292,'REKAP Balok'!Q$12)</f>
        <v>0</v>
      </c>
      <c r="R278">
        <f>SUMIFS('Besi Balok'!$AA$23:$AA$12292,'Besi Balok'!$A$23:$A$12292,$A278,'Besi Balok'!$B$23:$B$12292,$B278,'Besi Balok'!$F$23:$F$12292,'REKAP Balok'!R$12)</f>
        <v>0</v>
      </c>
      <c r="S278">
        <f>SUMIFS('Besi Balok'!$AA$23:$AA$12292,'Besi Balok'!$A$23:$A$12292,$A278,'Besi Balok'!$B$23:$B$12292,$B278,'Besi Balok'!$F$23:$F$12292,'REKAP Balok'!S$12)</f>
        <v>0</v>
      </c>
      <c r="T278">
        <f>SUMIFS('Besi Balok'!$AA$23:$AA$12292,'Besi Balok'!$A$23:$A$12292,$A278,'Besi Balok'!$B$23:$B$12292,$B278,'Besi Balok'!$F$23:$F$12292,'REKAP Balok'!T$12)</f>
        <v>0</v>
      </c>
      <c r="U278">
        <f>SUM(L278:T278)</f>
        <v>25.443990720000002</v>
      </c>
      <c r="V278">
        <f>(D278*(F278-H278)*G278*K278)/1000000000</f>
        <v>0.11968</v>
      </c>
      <c r="W278">
        <f>(((F278-H278)*2+D278)*(G278)*K278)/1000000</f>
        <v>1.782</v>
      </c>
      <c r="AC278">
        <f>(D278+2*$F$5)*F278*G278/1000000000</f>
        <v>0.3663</v>
      </c>
    </row>
    <row r="279">
      <c r="A279" t="str">
        <f>'Data Panjang Balok'!A276</f>
        <v>Lantai 2</v>
      </c>
      <c r="B279">
        <f>'Data Panjang Balok'!B276</f>
        <v>69</v>
      </c>
      <c r="C279" t="str">
        <f>'Data Panjang Balok'!D276</f>
        <v>B1745-1</v>
      </c>
      <c r="D279">
        <f>IF(C279&gt;0,VLOOKUP(C279,'Detail Balok'!$C$11:$AU$110,2,FALSE),0)</f>
        <v>170</v>
      </c>
      <c r="E279" t="str">
        <v>x</v>
      </c>
      <c r="F279">
        <f>IF(C279&gt;0,VLOOKUP(C279,'Detail Balok'!$C$11:$AU$110,3,FALSE),0)</f>
        <v>450</v>
      </c>
      <c r="G279">
        <f>'Data Panjang Balok'!I276</f>
        <v>3500</v>
      </c>
      <c r="H279">
        <f>'Data Panjang Balok'!J276</f>
        <v>0</v>
      </c>
      <c r="J279">
        <f>I279-F279/1000</f>
        <v>-0.45</v>
      </c>
      <c r="K279">
        <f>'Data Panjang Balok'!E276</f>
        <v>1</v>
      </c>
      <c r="L279">
        <f>SUMIFS('Besi Balok'!$AA$23:$AA$12292,'Besi Balok'!$A$23:$A$12292,$A279,'Besi Balok'!$B$23:$B$12292,$B279,'Besi Balok'!$F$23:$F$12292,'REKAP Balok'!L$12)</f>
        <v>0</v>
      </c>
      <c r="M279">
        <f>SUMIFS('Besi Balok'!$AA$23:$AA$12292,'Besi Balok'!$A$23:$A$12292,$A279,'Besi Balok'!$B$23:$B$12292,$B279,'Besi Balok'!$F$23:$F$12292,'REKAP Balok'!M$12)</f>
        <v>23.60021184</v>
      </c>
      <c r="N279">
        <f>SUMIFS('Besi Balok'!$AA$23:$AA$12292,'Besi Balok'!$A$23:$A$12292,$A279,'Besi Balok'!$B$23:$B$12292,$B279,'Besi Balok'!$F$23:$F$12292,'REKAP Balok'!N$12)</f>
        <v>0</v>
      </c>
      <c r="O279">
        <f>SUMIFS('Besi Balok'!$AA$23:$AA$12292,'Besi Balok'!$A$23:$A$12292,$A279,'Besi Balok'!$B$23:$B$12292,$B279,'Besi Balok'!$F$23:$F$12292,'REKAP Balok'!O$12)</f>
        <v>15.886662479999996</v>
      </c>
      <c r="P279">
        <f>SUMIFS('Besi Balok'!$AA$23:$AA$12292,'Besi Balok'!$A$23:$A$12292,$A279,'Besi Balok'!$B$23:$B$12292,$B279,'Besi Balok'!$F$23:$F$12292,'REKAP Balok'!P$12)</f>
        <v>0</v>
      </c>
      <c r="Q279">
        <f>SUMIFS('Besi Balok'!$AA$23:$AA$12292,'Besi Balok'!$A$23:$A$12292,$A279,'Besi Balok'!$B$23:$B$12292,$B279,'Besi Balok'!$F$23:$F$12292,'REKAP Balok'!Q$12)</f>
        <v>0</v>
      </c>
      <c r="R279">
        <f>SUMIFS('Besi Balok'!$AA$23:$AA$12292,'Besi Balok'!$A$23:$A$12292,$A279,'Besi Balok'!$B$23:$B$12292,$B279,'Besi Balok'!$F$23:$F$12292,'REKAP Balok'!R$12)</f>
        <v>0</v>
      </c>
      <c r="S279">
        <f>SUMIFS('Besi Balok'!$AA$23:$AA$12292,'Besi Balok'!$A$23:$A$12292,$A279,'Besi Balok'!$B$23:$B$12292,$B279,'Besi Balok'!$F$23:$F$12292,'REKAP Balok'!S$12)</f>
        <v>0</v>
      </c>
      <c r="T279">
        <f>SUMIFS('Besi Balok'!$AA$23:$AA$12292,'Besi Balok'!$A$23:$A$12292,$A279,'Besi Balok'!$B$23:$B$12292,$B279,'Besi Balok'!$F$23:$F$12292,'REKAP Balok'!T$12)</f>
        <v>0</v>
      </c>
      <c r="U279">
        <f>SUM(L279:T279)</f>
        <v>39.48687432</v>
      </c>
      <c r="V279">
        <f>(D279*(F279-H279)*G279*K279)/1000000000</f>
        <v>0.26775</v>
      </c>
      <c r="W279">
        <f>(((F279-H279)*2+D279)*(G279)*K279)/1000000</f>
        <v>3.745</v>
      </c>
      <c r="AC279">
        <f>(D279+2*$F$5)*F279*G279/1000000000</f>
        <v>0.58275</v>
      </c>
    </row>
    <row r="281">
      <c r="A281" t="str">
        <f>'Data Panjang Balok'!A278</f>
        <v>Lantai Attic</v>
      </c>
      <c r="B281">
        <f>'Data Panjang Balok'!B278</f>
        <v>1</v>
      </c>
      <c r="C281" t="str">
        <f>'Data Panjang Balok'!D278</f>
        <v>B174-1</v>
      </c>
      <c r="D281">
        <f>IF(C281&gt;0,VLOOKUP(C281,'Detail Balok'!$C$11:$AU$110,2,FALSE),0)</f>
        <v>170</v>
      </c>
      <c r="E281" t="str">
        <v>x</v>
      </c>
      <c r="F281">
        <f>IF(C281&gt;0,VLOOKUP(C281,'Detail Balok'!$C$11:$AU$110,3,FALSE),0)</f>
        <v>400</v>
      </c>
      <c r="G281">
        <f>'Data Panjang Balok'!I278</f>
        <v>3500</v>
      </c>
      <c r="H281">
        <f>'Data Panjang Balok'!J278</f>
        <v>0</v>
      </c>
      <c r="J281">
        <f>I281-F281/1000</f>
        <v>-0.4</v>
      </c>
      <c r="K281">
        <f>'Data Panjang Balok'!E278</f>
        <v>1</v>
      </c>
      <c r="L281">
        <f>SUMIFS('Besi Balok'!$AA$23:$AA$12292,'Besi Balok'!$A$23:$A$12292,$A281,'Besi Balok'!$B$23:$B$12292,$B281,'Besi Balok'!$F$23:$F$12292,'REKAP Balok'!L$12)</f>
        <v>0</v>
      </c>
      <c r="M281">
        <f>SUMIFS('Besi Balok'!$AA$23:$AA$12292,'Besi Balok'!$A$23:$A$12292,$A281,'Besi Balok'!$B$23:$B$12292,$B281,'Besi Balok'!$F$23:$F$12292,'REKAP Balok'!M$12)</f>
        <v>0</v>
      </c>
      <c r="N281">
        <f>SUMIFS('Besi Balok'!$AA$23:$AA$12292,'Besi Balok'!$A$23:$A$12292,$A281,'Besi Balok'!$B$23:$B$12292,$B281,'Besi Balok'!$F$23:$F$12292,'REKAP Balok'!N$12)</f>
        <v>17.342145000000002</v>
      </c>
      <c r="O281">
        <f>SUMIFS('Besi Balok'!$AA$23:$AA$12292,'Besi Balok'!$A$23:$A$12292,$A281,'Besi Balok'!$B$23:$B$12292,$B281,'Besi Balok'!$F$23:$F$12292,'REKAP Balok'!O$12)</f>
        <v>15.886662479999996</v>
      </c>
      <c r="P281">
        <f>SUMIFS('Besi Balok'!$AA$23:$AA$12292,'Besi Balok'!$A$23:$A$12292,$A281,'Besi Balok'!$B$23:$B$12292,$B281,'Besi Balok'!$F$23:$F$12292,'REKAP Balok'!P$12)</f>
        <v>0</v>
      </c>
      <c r="Q281">
        <f>SUMIFS('Besi Balok'!$AA$23:$AA$12292,'Besi Balok'!$A$23:$A$12292,$A281,'Besi Balok'!$B$23:$B$12292,$B281,'Besi Balok'!$F$23:$F$12292,'REKAP Balok'!Q$12)</f>
        <v>0</v>
      </c>
      <c r="R281">
        <f>SUMIFS('Besi Balok'!$AA$23:$AA$12292,'Besi Balok'!$A$23:$A$12292,$A281,'Besi Balok'!$B$23:$B$12292,$B281,'Besi Balok'!$F$23:$F$12292,'REKAP Balok'!R$12)</f>
        <v>0</v>
      </c>
      <c r="S281">
        <f>SUMIFS('Besi Balok'!$AA$23:$AA$12292,'Besi Balok'!$A$23:$A$12292,$A281,'Besi Balok'!$B$23:$B$12292,$B281,'Besi Balok'!$F$23:$F$12292,'REKAP Balok'!S$12)</f>
        <v>0</v>
      </c>
      <c r="T281">
        <f>SUMIFS('Besi Balok'!$AA$23:$AA$12292,'Besi Balok'!$A$23:$A$12292,$A281,'Besi Balok'!$B$23:$B$12292,$B281,'Besi Balok'!$F$23:$F$12292,'REKAP Balok'!T$12)</f>
        <v>0</v>
      </c>
      <c r="U281">
        <f>SUM(L281:T281)</f>
        <v>33.22880748</v>
      </c>
      <c r="V281">
        <f>(D281*(F281-H281)*G281*K281)/1000000000</f>
        <v>0.238</v>
      </c>
      <c r="W281">
        <f>(((F281-H281)*2+D281)*(G281)*K281)/1000000</f>
        <v>3.395</v>
      </c>
      <c r="AC281">
        <f>(D281+2*$F$5)*F281*G281/1000000000</f>
        <v>0.518</v>
      </c>
    </row>
    <row r="282">
      <c r="A282" t="str">
        <f>'Data Panjang Balok'!A279</f>
        <v>Lantai Attic</v>
      </c>
      <c r="B282">
        <f>'Data Panjang Balok'!B279</f>
        <v>2</v>
      </c>
      <c r="C282" t="str">
        <f>'Data Panjang Balok'!D279</f>
        <v>B24-1</v>
      </c>
      <c r="D282">
        <f>IF(C282&gt;0,VLOOKUP(C282,'Detail Balok'!$C$11:$AU$110,2,FALSE),0)</f>
        <v>200</v>
      </c>
      <c r="E282" t="str">
        <v>x</v>
      </c>
      <c r="F282">
        <f>IF(C282&gt;0,VLOOKUP(C282,'Detail Balok'!$C$11:$AU$110,3,FALSE),0)</f>
        <v>400</v>
      </c>
      <c r="G282">
        <f>'Data Panjang Balok'!I279</f>
        <v>3500</v>
      </c>
      <c r="H282">
        <f>'Data Panjang Balok'!J279</f>
        <v>0</v>
      </c>
      <c r="J282">
        <f>I282-F282/1000</f>
        <v>-0.4</v>
      </c>
      <c r="K282">
        <f>'Data Panjang Balok'!E279</f>
        <v>1</v>
      </c>
      <c r="L282">
        <f>SUMIFS('Besi Balok'!$AA$23:$AA$12292,'Besi Balok'!$A$23:$A$12292,$A282,'Besi Balok'!$B$23:$B$12292,$B282,'Besi Balok'!$F$23:$F$12292,'REKAP Balok'!L$12)</f>
        <v>0</v>
      </c>
      <c r="M282">
        <f>SUMIFS('Besi Balok'!$AA$23:$AA$12292,'Besi Balok'!$A$23:$A$12292,$A282,'Besi Balok'!$B$23:$B$12292,$B282,'Besi Balok'!$F$23:$F$12292,'REKAP Balok'!M$12)</f>
        <v>11.785507200000001</v>
      </c>
      <c r="N282">
        <f>SUMIFS('Besi Balok'!$AA$23:$AA$12292,'Besi Balok'!$A$23:$A$12292,$A282,'Besi Balok'!$B$23:$B$12292,$B282,'Besi Balok'!$F$23:$F$12292,'REKAP Balok'!N$12)</f>
        <v>0</v>
      </c>
      <c r="O282">
        <f>SUMIFS('Besi Balok'!$AA$23:$AA$12292,'Besi Balok'!$A$23:$A$12292,$A282,'Besi Balok'!$B$23:$B$12292,$B282,'Besi Balok'!$F$23:$F$12292,'REKAP Balok'!O$12)</f>
        <v>15.886662479999996</v>
      </c>
      <c r="P282">
        <f>SUMIFS('Besi Balok'!$AA$23:$AA$12292,'Besi Balok'!$A$23:$A$12292,$A282,'Besi Balok'!$B$23:$B$12292,$B282,'Besi Balok'!$F$23:$F$12292,'REKAP Balok'!P$12)</f>
        <v>0</v>
      </c>
      <c r="Q282">
        <f>SUMIFS('Besi Balok'!$AA$23:$AA$12292,'Besi Balok'!$A$23:$A$12292,$A282,'Besi Balok'!$B$23:$B$12292,$B282,'Besi Balok'!$F$23:$F$12292,'REKAP Balok'!Q$12)</f>
        <v>0</v>
      </c>
      <c r="R282">
        <f>SUMIFS('Besi Balok'!$AA$23:$AA$12292,'Besi Balok'!$A$23:$A$12292,$A282,'Besi Balok'!$B$23:$B$12292,$B282,'Besi Balok'!$F$23:$F$12292,'REKAP Balok'!R$12)</f>
        <v>0</v>
      </c>
      <c r="S282">
        <f>SUMIFS('Besi Balok'!$AA$23:$AA$12292,'Besi Balok'!$A$23:$A$12292,$A282,'Besi Balok'!$B$23:$B$12292,$B282,'Besi Balok'!$F$23:$F$12292,'REKAP Balok'!S$12)</f>
        <v>0</v>
      </c>
      <c r="T282">
        <f>SUMIFS('Besi Balok'!$AA$23:$AA$12292,'Besi Balok'!$A$23:$A$12292,$A282,'Besi Balok'!$B$23:$B$12292,$B282,'Besi Balok'!$F$23:$F$12292,'REKAP Balok'!T$12)</f>
        <v>0</v>
      </c>
      <c r="U282">
        <f>SUM(L282:T282)</f>
        <v>27.672169679999996</v>
      </c>
      <c r="V282">
        <f>(D282*(F282-H282)*G282*K282)/1000000000</f>
        <v>0.28</v>
      </c>
      <c r="W282">
        <f>(((F282-H282)*2+D282)*(G282)*K282)/1000000</f>
        <v>3.5</v>
      </c>
      <c r="AC282">
        <f>(D282+2*$F$5)*F282*G282/1000000000</f>
        <v>0.56</v>
      </c>
    </row>
    <row r="283">
      <c r="A283" t="str">
        <f>'Data Panjang Balok'!A280</f>
        <v>Lantai Attic</v>
      </c>
      <c r="B283">
        <f>'Data Panjang Balok'!B280</f>
        <v>3</v>
      </c>
      <c r="C283" t="str">
        <f>'Data Panjang Balok'!D280</f>
        <v>B245-4</v>
      </c>
      <c r="D283">
        <f>IF(C283&gt;0,VLOOKUP(C283,'Detail Balok'!$C$11:$AU$110,2,FALSE),0)</f>
        <v>200</v>
      </c>
      <c r="E283" t="str">
        <v>x</v>
      </c>
      <c r="F283">
        <f>IF(C283&gt;0,VLOOKUP(C283,'Detail Balok'!$C$11:$AU$110,3,FALSE),0)</f>
        <v>450</v>
      </c>
      <c r="G283">
        <f>'Data Panjang Balok'!I280</f>
        <v>3100</v>
      </c>
      <c r="H283">
        <f>'Data Panjang Balok'!J280</f>
        <v>150</v>
      </c>
      <c r="J283">
        <f>I283-F283/1000</f>
        <v>-0.45</v>
      </c>
      <c r="K283">
        <f>'Data Panjang Balok'!E280</f>
        <v>1</v>
      </c>
      <c r="L283">
        <f>SUMIFS('Besi Balok'!$AA$23:$AA$12292,'Besi Balok'!$A$23:$A$12292,$A283,'Besi Balok'!$B$23:$B$12292,$B283,'Besi Balok'!$F$23:$F$12292,'REKAP Balok'!L$12)</f>
        <v>0</v>
      </c>
      <c r="M283">
        <f>SUMIFS('Besi Balok'!$AA$23:$AA$12292,'Besi Balok'!$A$23:$A$12292,$A283,'Besi Balok'!$B$23:$B$12292,$B283,'Besi Balok'!$F$23:$F$12292,'REKAP Balok'!M$12)</f>
        <v>14.63580864</v>
      </c>
      <c r="N283">
        <f>SUMIFS('Besi Balok'!$AA$23:$AA$12292,'Besi Balok'!$A$23:$A$12292,$A283,'Besi Balok'!$B$23:$B$12292,$B283,'Besi Balok'!$F$23:$F$12292,'REKAP Balok'!N$12)</f>
        <v>0</v>
      </c>
      <c r="O283">
        <f>SUMIFS('Besi Balok'!$AA$23:$AA$12292,'Besi Balok'!$A$23:$A$12292,$A283,'Besi Balok'!$B$23:$B$12292,$B283,'Besi Balok'!$F$23:$F$12292,'REKAP Balok'!O$12)</f>
        <v>0</v>
      </c>
      <c r="P283">
        <f>SUMIFS('Besi Balok'!$AA$23:$AA$12292,'Besi Balok'!$A$23:$A$12292,$A283,'Besi Balok'!$B$23:$B$12292,$B283,'Besi Balok'!$F$23:$F$12292,'REKAP Balok'!P$12)</f>
        <v>32.991528960000004</v>
      </c>
      <c r="Q283">
        <f>SUMIFS('Besi Balok'!$AA$23:$AA$12292,'Besi Balok'!$A$23:$A$12292,$A283,'Besi Balok'!$B$23:$B$12292,$B283,'Besi Balok'!$F$23:$F$12292,'REKAP Balok'!Q$12)</f>
        <v>0</v>
      </c>
      <c r="R283">
        <f>SUMIFS('Besi Balok'!$AA$23:$AA$12292,'Besi Balok'!$A$23:$A$12292,$A283,'Besi Balok'!$B$23:$B$12292,$B283,'Besi Balok'!$F$23:$F$12292,'REKAP Balok'!R$12)</f>
        <v>0</v>
      </c>
      <c r="S283">
        <f>SUMIFS('Besi Balok'!$AA$23:$AA$12292,'Besi Balok'!$A$23:$A$12292,$A283,'Besi Balok'!$B$23:$B$12292,$B283,'Besi Balok'!$F$23:$F$12292,'REKAP Balok'!S$12)</f>
        <v>0</v>
      </c>
      <c r="T283">
        <f>SUMIFS('Besi Balok'!$AA$23:$AA$12292,'Besi Balok'!$A$23:$A$12292,$A283,'Besi Balok'!$B$23:$B$12292,$B283,'Besi Balok'!$F$23:$F$12292,'REKAP Balok'!T$12)</f>
        <v>0</v>
      </c>
      <c r="U283">
        <f>SUM(L283:T283)</f>
        <v>47.627337600000004</v>
      </c>
      <c r="V283">
        <f>(D283*(F283-H283)*G283*K283)/1000000000</f>
        <v>0.186</v>
      </c>
      <c r="W283">
        <f>(((F283-H283)*2+D283)*(G283)*K283)/1000000</f>
        <v>2.48</v>
      </c>
      <c r="AC283">
        <f>(D283+2*$F$5)*F283*G283/1000000000</f>
        <v>0.558</v>
      </c>
    </row>
    <row r="284">
      <c r="A284" t="str">
        <f>'Data Panjang Balok'!A281</f>
        <v>Lantai Attic</v>
      </c>
      <c r="B284">
        <f>'Data Panjang Balok'!B281</f>
        <v>4</v>
      </c>
      <c r="C284" t="str">
        <f>'Data Panjang Balok'!D281</f>
        <v>B245-4</v>
      </c>
      <c r="D284">
        <f>IF(C284&gt;0,VLOOKUP(C284,'Detail Balok'!$C$11:$AU$110,2,FALSE),0)</f>
        <v>200</v>
      </c>
      <c r="E284" t="str">
        <v>x</v>
      </c>
      <c r="F284">
        <f>IF(C284&gt;0,VLOOKUP(C284,'Detail Balok'!$C$11:$AU$110,3,FALSE),0)</f>
        <v>450</v>
      </c>
      <c r="G284">
        <f>'Data Panjang Balok'!I281</f>
        <v>2900</v>
      </c>
      <c r="H284">
        <f>'Data Panjang Balok'!J281</f>
        <v>0</v>
      </c>
      <c r="J284">
        <f>I284-F284/1000</f>
        <v>-0.45</v>
      </c>
      <c r="K284">
        <f>'Data Panjang Balok'!E281</f>
        <v>1</v>
      </c>
      <c r="L284">
        <f>SUMIFS('Besi Balok'!$AA$23:$AA$12292,'Besi Balok'!$A$23:$A$12292,$A284,'Besi Balok'!$B$23:$B$12292,$B284,'Besi Balok'!$F$23:$F$12292,'REKAP Balok'!L$12)</f>
        <v>0</v>
      </c>
      <c r="M284">
        <f>SUMIFS('Besi Balok'!$AA$23:$AA$12292,'Besi Balok'!$A$23:$A$12292,$A284,'Besi Balok'!$B$23:$B$12292,$B284,'Besi Balok'!$F$23:$F$12292,'REKAP Balok'!M$12)</f>
        <v>14.032131840000002</v>
      </c>
      <c r="N284">
        <f>SUMIFS('Besi Balok'!$AA$23:$AA$12292,'Besi Balok'!$A$23:$A$12292,$A284,'Besi Balok'!$B$23:$B$12292,$B284,'Besi Balok'!$F$23:$F$12292,'REKAP Balok'!N$12)</f>
        <v>0</v>
      </c>
      <c r="O284">
        <f>SUMIFS('Besi Balok'!$AA$23:$AA$12292,'Besi Balok'!$A$23:$A$12292,$A284,'Besi Balok'!$B$23:$B$12292,$B284,'Besi Balok'!$F$23:$F$12292,'REKAP Balok'!O$12)</f>
        <v>0</v>
      </c>
      <c r="P284">
        <f>SUMIFS('Besi Balok'!$AA$23:$AA$12292,'Besi Balok'!$A$23:$A$12292,$A284,'Besi Balok'!$B$23:$B$12292,$B284,'Besi Balok'!$F$23:$F$12292,'REKAP Balok'!P$12)</f>
        <v>31.09764096</v>
      </c>
      <c r="Q284">
        <f>SUMIFS('Besi Balok'!$AA$23:$AA$12292,'Besi Balok'!$A$23:$A$12292,$A284,'Besi Balok'!$B$23:$B$12292,$B284,'Besi Balok'!$F$23:$F$12292,'REKAP Balok'!Q$12)</f>
        <v>0</v>
      </c>
      <c r="R284">
        <f>SUMIFS('Besi Balok'!$AA$23:$AA$12292,'Besi Balok'!$A$23:$A$12292,$A284,'Besi Balok'!$B$23:$B$12292,$B284,'Besi Balok'!$F$23:$F$12292,'REKAP Balok'!R$12)</f>
        <v>0</v>
      </c>
      <c r="S284">
        <f>SUMIFS('Besi Balok'!$AA$23:$AA$12292,'Besi Balok'!$A$23:$A$12292,$A284,'Besi Balok'!$B$23:$B$12292,$B284,'Besi Balok'!$F$23:$F$12292,'REKAP Balok'!S$12)</f>
        <v>0</v>
      </c>
      <c r="T284">
        <f>SUMIFS('Besi Balok'!$AA$23:$AA$12292,'Besi Balok'!$A$23:$A$12292,$A284,'Besi Balok'!$B$23:$B$12292,$B284,'Besi Balok'!$F$23:$F$12292,'REKAP Balok'!T$12)</f>
        <v>0</v>
      </c>
      <c r="U284">
        <f>SUM(L284:T284)</f>
        <v>45.1297728</v>
      </c>
      <c r="V284">
        <f>(D284*(F284-H284)*G284*K284)/1000000000</f>
        <v>0.261</v>
      </c>
      <c r="W284">
        <f>(((F284-H284)*2+D284)*(G284)*K284)/1000000</f>
        <v>3.19</v>
      </c>
      <c r="AC284">
        <f>(D284+2*$F$5)*F284*G284/1000000000</f>
        <v>0.522</v>
      </c>
    </row>
    <row r="285">
      <c r="A285" t="str">
        <f>'Data Panjang Balok'!A282</f>
        <v>Lantai Attic</v>
      </c>
      <c r="B285">
        <f>'Data Panjang Balok'!B282</f>
        <v>5</v>
      </c>
      <c r="C285" t="str">
        <f>'Data Panjang Balok'!D282</f>
        <v>B24-1</v>
      </c>
      <c r="D285">
        <f>IF(C285&gt;0,VLOOKUP(C285,'Detail Balok'!$C$11:$AU$110,2,FALSE),0)</f>
        <v>200</v>
      </c>
      <c r="E285" t="str">
        <v>x</v>
      </c>
      <c r="F285">
        <f>IF(C285&gt;0,VLOOKUP(C285,'Detail Balok'!$C$11:$AU$110,3,FALSE),0)</f>
        <v>400</v>
      </c>
      <c r="G285">
        <f>'Data Panjang Balok'!I282</f>
        <v>2200</v>
      </c>
      <c r="H285">
        <f>'Data Panjang Balok'!J282</f>
        <v>130</v>
      </c>
      <c r="J285">
        <f>I285-F285/1000</f>
        <v>-0.4</v>
      </c>
      <c r="K285">
        <f>'Data Panjang Balok'!E282</f>
        <v>1</v>
      </c>
      <c r="L285">
        <f>SUMIFS('Besi Balok'!$AA$23:$AA$12292,'Besi Balok'!$A$23:$A$12292,$A285,'Besi Balok'!$B$23:$B$12292,$B285,'Besi Balok'!$F$23:$F$12292,'REKAP Balok'!L$12)</f>
        <v>0</v>
      </c>
      <c r="M285">
        <f>SUMIFS('Besi Balok'!$AA$23:$AA$12292,'Besi Balok'!$A$23:$A$12292,$A285,'Besi Balok'!$B$23:$B$12292,$B285,'Besi Balok'!$F$23:$F$12292,'REKAP Balok'!M$12)</f>
        <v>8.534332800000001</v>
      </c>
      <c r="N285">
        <f>SUMIFS('Besi Balok'!$AA$23:$AA$12292,'Besi Balok'!$A$23:$A$12292,$A285,'Besi Balok'!$B$23:$B$12292,$B285,'Besi Balok'!$F$23:$F$12292,'REKAP Balok'!N$12)</f>
        <v>0</v>
      </c>
      <c r="O285">
        <f>SUMIFS('Besi Balok'!$AA$23:$AA$12292,'Besi Balok'!$A$23:$A$12292,$A285,'Besi Balok'!$B$23:$B$12292,$B285,'Besi Balok'!$F$23:$F$12292,'REKAP Balok'!O$12)</f>
        <v>10.46886048</v>
      </c>
      <c r="P285">
        <f>SUMIFS('Besi Balok'!$AA$23:$AA$12292,'Besi Balok'!$A$23:$A$12292,$A285,'Besi Balok'!$B$23:$B$12292,$B285,'Besi Balok'!$F$23:$F$12292,'REKAP Balok'!P$12)</f>
        <v>0</v>
      </c>
      <c r="Q285">
        <f>SUMIFS('Besi Balok'!$AA$23:$AA$12292,'Besi Balok'!$A$23:$A$12292,$A285,'Besi Balok'!$B$23:$B$12292,$B285,'Besi Balok'!$F$23:$F$12292,'REKAP Balok'!Q$12)</f>
        <v>0</v>
      </c>
      <c r="R285">
        <f>SUMIFS('Besi Balok'!$AA$23:$AA$12292,'Besi Balok'!$A$23:$A$12292,$A285,'Besi Balok'!$B$23:$B$12292,$B285,'Besi Balok'!$F$23:$F$12292,'REKAP Balok'!R$12)</f>
        <v>0</v>
      </c>
      <c r="S285">
        <f>SUMIFS('Besi Balok'!$AA$23:$AA$12292,'Besi Balok'!$A$23:$A$12292,$A285,'Besi Balok'!$B$23:$B$12292,$B285,'Besi Balok'!$F$23:$F$12292,'REKAP Balok'!S$12)</f>
        <v>0</v>
      </c>
      <c r="T285">
        <f>SUMIFS('Besi Balok'!$AA$23:$AA$12292,'Besi Balok'!$A$23:$A$12292,$A285,'Besi Balok'!$B$23:$B$12292,$B285,'Besi Balok'!$F$23:$F$12292,'REKAP Balok'!T$12)</f>
        <v>0</v>
      </c>
      <c r="U285">
        <f>SUM(L285:T285)</f>
        <v>19.00319328</v>
      </c>
      <c r="V285">
        <f>(D285*(F285-H285)*G285*K285)/1000000000</f>
        <v>0.1188</v>
      </c>
      <c r="W285">
        <f>(((F285-H285)*2+D285)*(G285)*K285)/1000000</f>
        <v>1.628</v>
      </c>
      <c r="AC285">
        <f>(D285+2*$F$5)*F285*G285/1000000000</f>
        <v>0.352</v>
      </c>
    </row>
    <row r="286">
      <c r="A286" t="str">
        <f>'Data Panjang Balok'!A283</f>
        <v>Lantai Attic</v>
      </c>
      <c r="B286">
        <f>'Data Panjang Balok'!B283</f>
        <v>6</v>
      </c>
      <c r="C286" t="str">
        <f>'Data Panjang Balok'!D283</f>
        <v>B1745-1</v>
      </c>
      <c r="D286">
        <f>IF(C286&gt;0,VLOOKUP(C286,'Detail Balok'!$C$11:$AU$110,2,FALSE),0)</f>
        <v>170</v>
      </c>
      <c r="E286" t="str">
        <v>x</v>
      </c>
      <c r="F286">
        <f>IF(C286&gt;0,VLOOKUP(C286,'Detail Balok'!$C$11:$AU$110,3,FALSE),0)</f>
        <v>450</v>
      </c>
      <c r="G286">
        <f>'Data Panjang Balok'!I283</f>
        <v>2800</v>
      </c>
      <c r="H286">
        <f>'Data Panjang Balok'!J283</f>
        <v>0</v>
      </c>
      <c r="J286">
        <f>I286-F286/1000</f>
        <v>-0.45</v>
      </c>
      <c r="K286">
        <f>'Data Panjang Balok'!E283</f>
        <v>1</v>
      </c>
      <c r="L286">
        <f>SUMIFS('Besi Balok'!$AA$23:$AA$12292,'Besi Balok'!$A$23:$A$12292,$A286,'Besi Balok'!$B$23:$B$12292,$B286,'Besi Balok'!$F$23:$F$12292,'REKAP Balok'!L$12)</f>
        <v>0</v>
      </c>
      <c r="M286">
        <f>SUMIFS('Besi Balok'!$AA$23:$AA$12292,'Besi Balok'!$A$23:$A$12292,$A286,'Besi Balok'!$B$23:$B$12292,$B286,'Besi Balok'!$F$23:$F$12292,'REKAP Balok'!M$12)</f>
        <v>18.826035840000003</v>
      </c>
      <c r="N286">
        <f>SUMIFS('Besi Balok'!$AA$23:$AA$12292,'Besi Balok'!$A$23:$A$12292,$A286,'Besi Balok'!$B$23:$B$12292,$B286,'Besi Balok'!$F$23:$F$12292,'REKAP Balok'!N$12)</f>
        <v>0</v>
      </c>
      <c r="O286">
        <f>SUMIFS('Besi Balok'!$AA$23:$AA$12292,'Besi Balok'!$A$23:$A$12292,$A286,'Besi Balok'!$B$23:$B$12292,$B286,'Besi Balok'!$F$23:$F$12292,'REKAP Balok'!O$12)</f>
        <v>12.969384479999999</v>
      </c>
      <c r="P286">
        <f>SUMIFS('Besi Balok'!$AA$23:$AA$12292,'Besi Balok'!$A$23:$A$12292,$A286,'Besi Balok'!$B$23:$B$12292,$B286,'Besi Balok'!$F$23:$F$12292,'REKAP Balok'!P$12)</f>
        <v>0</v>
      </c>
      <c r="Q286">
        <f>SUMIFS('Besi Balok'!$AA$23:$AA$12292,'Besi Balok'!$A$23:$A$12292,$A286,'Besi Balok'!$B$23:$B$12292,$B286,'Besi Balok'!$F$23:$F$12292,'REKAP Balok'!Q$12)</f>
        <v>0</v>
      </c>
      <c r="R286">
        <f>SUMIFS('Besi Balok'!$AA$23:$AA$12292,'Besi Balok'!$A$23:$A$12292,$A286,'Besi Balok'!$B$23:$B$12292,$B286,'Besi Balok'!$F$23:$F$12292,'REKAP Balok'!R$12)</f>
        <v>0</v>
      </c>
      <c r="S286">
        <f>SUMIFS('Besi Balok'!$AA$23:$AA$12292,'Besi Balok'!$A$23:$A$12292,$A286,'Besi Balok'!$B$23:$B$12292,$B286,'Besi Balok'!$F$23:$F$12292,'REKAP Balok'!S$12)</f>
        <v>0</v>
      </c>
      <c r="T286">
        <f>SUMIFS('Besi Balok'!$AA$23:$AA$12292,'Besi Balok'!$A$23:$A$12292,$A286,'Besi Balok'!$B$23:$B$12292,$B286,'Besi Balok'!$F$23:$F$12292,'REKAP Balok'!T$12)</f>
        <v>0</v>
      </c>
      <c r="U286">
        <f>SUM(L286:T286)</f>
        <v>31.79542032</v>
      </c>
      <c r="V286">
        <f>(D286*(F286-H286)*G286*K286)/1000000000</f>
        <v>0.2142</v>
      </c>
      <c r="W286">
        <f>(((F286-H286)*2+D286)*(G286)*K286)/1000000</f>
        <v>2.996</v>
      </c>
      <c r="AC286">
        <f>(D286+2*$F$5)*F286*G286/1000000000</f>
        <v>0.4662</v>
      </c>
    </row>
    <row r="287">
      <c r="A287" t="str">
        <f>'Data Panjang Balok'!A284</f>
        <v>Lantai Attic</v>
      </c>
      <c r="B287">
        <f>'Data Panjang Balok'!B284</f>
        <v>7</v>
      </c>
      <c r="C287" t="str">
        <f>'Data Panjang Balok'!D284</f>
        <v>B25-2</v>
      </c>
      <c r="D287">
        <f>IF(C287&gt;0,VLOOKUP(C287,'Detail Balok'!$C$11:$AU$110,2,FALSE),0)</f>
        <v>200</v>
      </c>
      <c r="E287" t="str">
        <v>x</v>
      </c>
      <c r="F287">
        <f>IF(C287&gt;0,VLOOKUP(C287,'Detail Balok'!$C$11:$AU$110,3,FALSE),0)</f>
        <v>500</v>
      </c>
      <c r="G287">
        <f>'Data Panjang Balok'!I284</f>
        <v>5485</v>
      </c>
      <c r="H287">
        <f>'Data Panjang Balok'!J284</f>
        <v>130</v>
      </c>
      <c r="J287">
        <f>I287-F287/1000</f>
        <v>-0.5</v>
      </c>
      <c r="K287">
        <f>'Data Panjang Balok'!E284</f>
        <v>1</v>
      </c>
      <c r="L287">
        <f>SUMIFS('Besi Balok'!$AA$23:$AA$12292,'Besi Balok'!$A$23:$A$12292,$A287,'Besi Balok'!$B$23:$B$12292,$B287,'Besi Balok'!$F$23:$F$12292,'REKAP Balok'!L$12)</f>
        <v>0</v>
      </c>
      <c r="M287">
        <f>SUMIFS('Besi Balok'!$AA$23:$AA$12292,'Besi Balok'!$A$23:$A$12292,$A287,'Besi Balok'!$B$23:$B$12292,$B287,'Besi Balok'!$F$23:$F$12292,'REKAP Balok'!M$12)</f>
        <v>0</v>
      </c>
      <c r="N287">
        <f>SUMIFS('Besi Balok'!$AA$23:$AA$12292,'Besi Balok'!$A$23:$A$12292,$A287,'Besi Balok'!$B$23:$B$12292,$B287,'Besi Balok'!$F$23:$F$12292,'REKAP Balok'!N$12)</f>
        <v>52.55662500000001</v>
      </c>
      <c r="O287">
        <f>SUMIFS('Besi Balok'!$AA$23:$AA$12292,'Besi Balok'!$A$23:$A$12292,$A287,'Besi Balok'!$B$23:$B$12292,$B287,'Besi Balok'!$F$23:$F$12292,'REKAP Balok'!O$12)</f>
        <v>0</v>
      </c>
      <c r="P287">
        <f>SUMIFS('Besi Balok'!$AA$23:$AA$12292,'Besi Balok'!$A$23:$A$12292,$A287,'Besi Balok'!$B$23:$B$12292,$B287,'Besi Balok'!$F$23:$F$12292,'REKAP Balok'!P$12)</f>
        <v>55.576143359999996</v>
      </c>
      <c r="Q287">
        <f>SUMIFS('Besi Balok'!$AA$23:$AA$12292,'Besi Balok'!$A$23:$A$12292,$A287,'Besi Balok'!$B$23:$B$12292,$B287,'Besi Balok'!$F$23:$F$12292,'REKAP Balok'!Q$12)</f>
        <v>0</v>
      </c>
      <c r="R287">
        <f>SUMIFS('Besi Balok'!$AA$23:$AA$12292,'Besi Balok'!$A$23:$A$12292,$A287,'Besi Balok'!$B$23:$B$12292,$B287,'Besi Balok'!$F$23:$F$12292,'REKAP Balok'!R$12)</f>
        <v>0</v>
      </c>
      <c r="S287">
        <f>SUMIFS('Besi Balok'!$AA$23:$AA$12292,'Besi Balok'!$A$23:$A$12292,$A287,'Besi Balok'!$B$23:$B$12292,$B287,'Besi Balok'!$F$23:$F$12292,'REKAP Balok'!S$12)</f>
        <v>0</v>
      </c>
      <c r="T287">
        <f>SUMIFS('Besi Balok'!$AA$23:$AA$12292,'Besi Balok'!$A$23:$A$12292,$A287,'Besi Balok'!$B$23:$B$12292,$B287,'Besi Balok'!$F$23:$F$12292,'REKAP Balok'!T$12)</f>
        <v>0</v>
      </c>
      <c r="U287">
        <f>SUM(L287:T287)</f>
        <v>108.13276836</v>
      </c>
      <c r="V287">
        <f>(D287*(F287-H287)*G287*K287)/1000000000</f>
        <v>0.40589</v>
      </c>
      <c r="W287">
        <f>(((F287-H287)*2+D287)*(G287)*K287)/1000000</f>
        <v>5.1559</v>
      </c>
      <c r="AC287">
        <f>(D287+2*$F$5)*F287*G287/1000000000</f>
        <v>1.097</v>
      </c>
    </row>
    <row r="288">
      <c r="A288" t="str">
        <f>'Data Panjang Balok'!A285</f>
        <v>Lantai Attic</v>
      </c>
      <c r="B288">
        <f>'Data Panjang Balok'!B285</f>
        <v>8</v>
      </c>
      <c r="C288" t="str">
        <f>'Data Panjang Balok'!D285</f>
        <v>Potongan O</v>
      </c>
      <c r="D288">
        <f>IF(C288&gt;0,VLOOKUP(C288,'Detail Balok'!$C$11:$AU$110,2,FALSE),0)</f>
        <v>300</v>
      </c>
      <c r="E288" t="str">
        <v>x</v>
      </c>
      <c r="F288">
        <f>IF(C288&gt;0,VLOOKUP(C288,'Detail Balok'!$C$11:$AU$110,3,FALSE),0)</f>
        <v>500</v>
      </c>
      <c r="G288">
        <f>'Data Panjang Balok'!I285</f>
        <v>1615</v>
      </c>
      <c r="H288">
        <f>'Data Panjang Balok'!J285</f>
        <v>130</v>
      </c>
      <c r="J288">
        <f>I288-F288/1000</f>
        <v>-0.5</v>
      </c>
      <c r="K288">
        <f>'Data Panjang Balok'!E285</f>
        <v>1</v>
      </c>
      <c r="L288">
        <f>SUMIFS('Besi Balok'!$AA$23:$AA$12292,'Besi Balok'!$A$23:$A$12292,$A288,'Besi Balok'!$B$23:$B$12292,$B288,'Besi Balok'!$F$23:$F$12292,'REKAP Balok'!L$12)</f>
        <v>0</v>
      </c>
      <c r="M288">
        <f>SUMIFS('Besi Balok'!$AA$23:$AA$12292,'Besi Balok'!$A$23:$A$12292,$A288,'Besi Balok'!$B$23:$B$12292,$B288,'Besi Balok'!$F$23:$F$12292,'REKAP Balok'!M$12)</f>
        <v>0</v>
      </c>
      <c r="N288">
        <f>SUMIFS('Besi Balok'!$AA$23:$AA$12292,'Besi Balok'!$A$23:$A$12292,$A288,'Besi Balok'!$B$23:$B$12292,$B288,'Besi Balok'!$F$23:$F$12292,'REKAP Balok'!N$12)</f>
        <v>19.03752</v>
      </c>
      <c r="O288">
        <f>SUMIFS('Besi Balok'!$AA$23:$AA$12292,'Besi Balok'!$A$23:$A$12292,$A288,'Besi Balok'!$B$23:$B$12292,$B288,'Besi Balok'!$F$23:$F$12292,'REKAP Balok'!O$12)</f>
        <v>0</v>
      </c>
      <c r="P288">
        <f>SUMIFS('Besi Balok'!$AA$23:$AA$12292,'Besi Balok'!$A$23:$A$12292,$A288,'Besi Balok'!$B$23:$B$12292,$B288,'Besi Balok'!$F$23:$F$12292,'REKAP Balok'!P$12)</f>
        <v>0</v>
      </c>
      <c r="Q288">
        <f>SUMIFS('Besi Balok'!$AA$23:$AA$12292,'Besi Balok'!$A$23:$A$12292,$A288,'Besi Balok'!$B$23:$B$12292,$B288,'Besi Balok'!$F$23:$F$12292,'REKAP Balok'!Q$12)</f>
        <v>50.700596264999994</v>
      </c>
      <c r="R288">
        <f>SUMIFS('Besi Balok'!$AA$23:$AA$12292,'Besi Balok'!$A$23:$A$12292,$A288,'Besi Balok'!$B$23:$B$12292,$B288,'Besi Balok'!$F$23:$F$12292,'REKAP Balok'!R$12)</f>
        <v>0</v>
      </c>
      <c r="S288">
        <f>SUMIFS('Besi Balok'!$AA$23:$AA$12292,'Besi Balok'!$A$23:$A$12292,$A288,'Besi Balok'!$B$23:$B$12292,$B288,'Besi Balok'!$F$23:$F$12292,'REKAP Balok'!S$12)</f>
        <v>0</v>
      </c>
      <c r="T288">
        <f>SUMIFS('Besi Balok'!$AA$23:$AA$12292,'Besi Balok'!$A$23:$A$12292,$A288,'Besi Balok'!$B$23:$B$12292,$B288,'Besi Balok'!$F$23:$F$12292,'REKAP Balok'!T$12)</f>
        <v>0</v>
      </c>
      <c r="U288">
        <f>SUM(L288:T288)</f>
        <v>69.738116265</v>
      </c>
      <c r="V288">
        <f>(D288*(F288-H288)*G288*K288)/1000000000</f>
        <v>0.179265</v>
      </c>
      <c r="W288">
        <f>(((F288-H288)*2+D288)*(G288)*K288)/1000000</f>
        <v>1.6796</v>
      </c>
      <c r="AC288">
        <f>(D288+2*$F$5)*F288*G288/1000000000</f>
        <v>0.40375</v>
      </c>
    </row>
    <row r="289">
      <c r="A289" t="str">
        <f>'Data Panjang Balok'!A286</f>
        <v>Lantai Attic</v>
      </c>
      <c r="B289">
        <f>'Data Panjang Balok'!B286</f>
        <v>9</v>
      </c>
      <c r="C289" t="str">
        <f>'Data Panjang Balok'!D286</f>
        <v>B35-2</v>
      </c>
      <c r="D289">
        <f>IF(C289&gt;0,VLOOKUP(C289,'Detail Balok'!$C$11:$AU$110,2,FALSE),0)</f>
        <v>300</v>
      </c>
      <c r="E289" t="str">
        <v>x</v>
      </c>
      <c r="F289">
        <f>IF(C289&gt;0,VLOOKUP(C289,'Detail Balok'!$C$11:$AU$110,3,FALSE),0)</f>
        <v>500</v>
      </c>
      <c r="G289">
        <f>'Data Panjang Balok'!I286</f>
        <v>6100</v>
      </c>
      <c r="H289">
        <f>'Data Panjang Balok'!J286</f>
        <v>130</v>
      </c>
      <c r="J289">
        <f>I289-F289/1000</f>
        <v>-0.5</v>
      </c>
      <c r="K289">
        <f>'Data Panjang Balok'!E286</f>
        <v>1</v>
      </c>
      <c r="L289">
        <f>SUMIFS('Besi Balok'!$AA$23:$AA$12292,'Besi Balok'!$A$23:$A$12292,$A289,'Besi Balok'!$B$23:$B$12292,$B289,'Besi Balok'!$F$23:$F$12292,'REKAP Balok'!L$12)</f>
        <v>0</v>
      </c>
      <c r="M289">
        <f>SUMIFS('Besi Balok'!$AA$23:$AA$12292,'Besi Balok'!$A$23:$A$12292,$A289,'Besi Balok'!$B$23:$B$12292,$B289,'Besi Balok'!$F$23:$F$12292,'REKAP Balok'!M$12)</f>
        <v>0</v>
      </c>
      <c r="N289">
        <f>SUMIFS('Besi Balok'!$AA$23:$AA$12292,'Besi Balok'!$A$23:$A$12292,$A289,'Besi Balok'!$B$23:$B$12292,$B289,'Besi Balok'!$F$23:$F$12292,'REKAP Balok'!N$12)</f>
        <v>52.778565</v>
      </c>
      <c r="O289">
        <f>SUMIFS('Besi Balok'!$AA$23:$AA$12292,'Besi Balok'!$A$23:$A$12292,$A289,'Besi Balok'!$B$23:$B$12292,$B289,'Besi Balok'!$F$23:$F$12292,'REKAP Balok'!O$12)</f>
        <v>0</v>
      </c>
      <c r="P289">
        <f>SUMIFS('Besi Balok'!$AA$23:$AA$12292,'Besi Balok'!$A$23:$A$12292,$A289,'Besi Balok'!$B$23:$B$12292,$B289,'Besi Balok'!$F$23:$F$12292,'REKAP Balok'!P$12)</f>
        <v>0</v>
      </c>
      <c r="Q289">
        <f>SUMIFS('Besi Balok'!$AA$23:$AA$12292,'Besi Balok'!$A$23:$A$12292,$A289,'Besi Balok'!$B$23:$B$12292,$B289,'Besi Balok'!$F$23:$F$12292,'REKAP Balok'!Q$12)</f>
        <v>138.42124074</v>
      </c>
      <c r="R289">
        <f>SUMIFS('Besi Balok'!$AA$23:$AA$12292,'Besi Balok'!$A$23:$A$12292,$A289,'Besi Balok'!$B$23:$B$12292,$B289,'Besi Balok'!$F$23:$F$12292,'REKAP Balok'!R$12)</f>
        <v>0</v>
      </c>
      <c r="S289">
        <f>SUMIFS('Besi Balok'!$AA$23:$AA$12292,'Besi Balok'!$A$23:$A$12292,$A289,'Besi Balok'!$B$23:$B$12292,$B289,'Besi Balok'!$F$23:$F$12292,'REKAP Balok'!S$12)</f>
        <v>0</v>
      </c>
      <c r="T289">
        <f>SUMIFS('Besi Balok'!$AA$23:$AA$12292,'Besi Balok'!$A$23:$A$12292,$A289,'Besi Balok'!$B$23:$B$12292,$B289,'Besi Balok'!$F$23:$F$12292,'REKAP Balok'!T$12)</f>
        <v>0</v>
      </c>
      <c r="U289">
        <f>SUM(L289:T289)</f>
        <v>191.19980574</v>
      </c>
      <c r="V289">
        <f>(D289*(F289-H289)*G289*K289)/1000000000</f>
        <v>0.6771</v>
      </c>
      <c r="W289">
        <f>(((F289-H289)*2+D289)*(G289)*K289)/1000000</f>
        <v>6.344</v>
      </c>
      <c r="AC289">
        <f>(D289+2*$F$5)*F289*G289/1000000000</f>
        <v>1.525</v>
      </c>
    </row>
    <row r="290">
      <c r="A290" t="str">
        <f>'Data Panjang Balok'!A287</f>
        <v>Lantai Attic</v>
      </c>
      <c r="B290">
        <f>'Data Panjang Balok'!B287</f>
        <v>10</v>
      </c>
      <c r="C290" t="str">
        <f>'Data Panjang Balok'!D287</f>
        <v>B25-3</v>
      </c>
      <c r="D290">
        <f>IF(C290&gt;0,VLOOKUP(C290,'Detail Balok'!$C$11:$AU$110,2,FALSE),0)</f>
        <v>200</v>
      </c>
      <c r="E290" t="str">
        <v>x</v>
      </c>
      <c r="F290">
        <f>IF(C290&gt;0,VLOOKUP(C290,'Detail Balok'!$C$11:$AU$110,3,FALSE),0)</f>
        <v>500</v>
      </c>
      <c r="G290">
        <f>'Data Panjang Balok'!I287</f>
        <v>7100</v>
      </c>
      <c r="H290">
        <f>'Data Panjang Balok'!J287</f>
        <v>130</v>
      </c>
      <c r="J290">
        <f>I290-F290/1000</f>
        <v>-0.5</v>
      </c>
      <c r="K290">
        <f>'Data Panjang Balok'!E287</f>
        <v>1</v>
      </c>
      <c r="L290">
        <f>SUMIFS('Besi Balok'!$AA$23:$AA$12292,'Besi Balok'!$A$23:$A$12292,$A290,'Besi Balok'!$B$23:$B$12292,$B290,'Besi Balok'!$F$23:$F$12292,'REKAP Balok'!L$12)</f>
        <v>0</v>
      </c>
      <c r="M290">
        <f>SUMIFS('Besi Balok'!$AA$23:$AA$12292,'Besi Balok'!$A$23:$A$12292,$A290,'Besi Balok'!$B$23:$B$12292,$B290,'Besi Balok'!$F$23:$F$12292,'REKAP Balok'!M$12)</f>
        <v>0</v>
      </c>
      <c r="N290">
        <f>SUMIFS('Besi Balok'!$AA$23:$AA$12292,'Besi Balok'!$A$23:$A$12292,$A290,'Besi Balok'!$B$23:$B$12292,$B290,'Besi Balok'!$F$23:$F$12292,'REKAP Balok'!N$12)</f>
        <v>54.547920000000005</v>
      </c>
      <c r="O290">
        <f>SUMIFS('Besi Balok'!$AA$23:$AA$12292,'Besi Balok'!$A$23:$A$12292,$A290,'Besi Balok'!$B$23:$B$12292,$B290,'Besi Balok'!$F$23:$F$12292,'REKAP Balok'!O$12)</f>
        <v>0</v>
      </c>
      <c r="P290">
        <f>SUMIFS('Besi Balok'!$AA$23:$AA$12292,'Besi Balok'!$A$23:$A$12292,$A290,'Besi Balok'!$B$23:$B$12292,$B290,'Besi Balok'!$F$23:$F$12292,'REKAP Balok'!P$12)</f>
        <v>95.64450048</v>
      </c>
      <c r="Q290">
        <f>SUMIFS('Besi Balok'!$AA$23:$AA$12292,'Besi Balok'!$A$23:$A$12292,$A290,'Besi Balok'!$B$23:$B$12292,$B290,'Besi Balok'!$F$23:$F$12292,'REKAP Balok'!Q$12)</f>
        <v>0</v>
      </c>
      <c r="R290">
        <f>SUMIFS('Besi Balok'!$AA$23:$AA$12292,'Besi Balok'!$A$23:$A$12292,$A290,'Besi Balok'!$B$23:$B$12292,$B290,'Besi Balok'!$F$23:$F$12292,'REKAP Balok'!R$12)</f>
        <v>0</v>
      </c>
      <c r="S290">
        <f>SUMIFS('Besi Balok'!$AA$23:$AA$12292,'Besi Balok'!$A$23:$A$12292,$A290,'Besi Balok'!$B$23:$B$12292,$B290,'Besi Balok'!$F$23:$F$12292,'REKAP Balok'!S$12)</f>
        <v>0</v>
      </c>
      <c r="T290">
        <f>SUMIFS('Besi Balok'!$AA$23:$AA$12292,'Besi Balok'!$A$23:$A$12292,$A290,'Besi Balok'!$B$23:$B$12292,$B290,'Besi Balok'!$F$23:$F$12292,'REKAP Balok'!T$12)</f>
        <v>0</v>
      </c>
      <c r="U290">
        <f>SUM(L290:T290)</f>
        <v>150.19242048</v>
      </c>
      <c r="V290">
        <f>(D290*(F290-H290)*G290*K290)/1000000000</f>
        <v>0.5254</v>
      </c>
      <c r="W290">
        <f>(((F290-H290)*2+D290)*(G290)*K290)/1000000</f>
        <v>6.674</v>
      </c>
      <c r="AC290">
        <f>(D290+2*$F$5)*F290*G290/1000000000</f>
        <v>1.42</v>
      </c>
    </row>
    <row r="291">
      <c r="A291" t="str">
        <f>'Data Panjang Balok'!A288</f>
        <v>Lantai Attic</v>
      </c>
      <c r="B291">
        <f>'Data Panjang Balok'!B288</f>
        <v>11</v>
      </c>
      <c r="C291" t="str">
        <f>'Data Panjang Balok'!D288</f>
        <v>Potongan C</v>
      </c>
      <c r="D291">
        <f>IF(C291&gt;0,VLOOKUP(C291,'Detail Balok'!$C$11:$AU$110,2,FALSE),0)</f>
        <v>200</v>
      </c>
      <c r="E291" t="str">
        <v>x</v>
      </c>
      <c r="F291">
        <f>IF(C291&gt;0,VLOOKUP(C291,'Detail Balok'!$C$11:$AU$110,3,FALSE),0)</f>
        <v>500</v>
      </c>
      <c r="G291">
        <f>'Data Panjang Balok'!I288</f>
        <v>3100</v>
      </c>
      <c r="H291">
        <f>'Data Panjang Balok'!J288</f>
        <v>130</v>
      </c>
      <c r="J291">
        <f>I291-F291/1000</f>
        <v>-0.5</v>
      </c>
      <c r="K291">
        <f>'Data Panjang Balok'!E288</f>
        <v>1</v>
      </c>
      <c r="L291">
        <f>SUMIFS('Besi Balok'!$AA$23:$AA$12292,'Besi Balok'!$A$23:$A$12292,$A291,'Besi Balok'!$B$23:$B$12292,$B291,'Besi Balok'!$F$23:$F$12292,'REKAP Balok'!L$12)</f>
        <v>0</v>
      </c>
      <c r="M291">
        <f>SUMIFS('Besi Balok'!$AA$23:$AA$12292,'Besi Balok'!$A$23:$A$12292,$A291,'Besi Balok'!$B$23:$B$12292,$B291,'Besi Balok'!$F$23:$F$12292,'REKAP Balok'!M$12)</f>
        <v>0</v>
      </c>
      <c r="N291">
        <f>SUMIFS('Besi Balok'!$AA$23:$AA$12292,'Besi Balok'!$A$23:$A$12292,$A291,'Besi Balok'!$B$23:$B$12292,$B291,'Besi Balok'!$F$23:$F$12292,'REKAP Balok'!N$12)</f>
        <v>36.724905</v>
      </c>
      <c r="O291">
        <f>SUMIFS('Besi Balok'!$AA$23:$AA$12292,'Besi Balok'!$A$23:$A$12292,$A291,'Besi Balok'!$B$23:$B$12292,$B291,'Besi Balok'!$F$23:$F$12292,'REKAP Balok'!O$12)</f>
        <v>0</v>
      </c>
      <c r="P291">
        <f>SUMIFS('Besi Balok'!$AA$23:$AA$12292,'Besi Balok'!$A$23:$A$12292,$A291,'Besi Balok'!$B$23:$B$12292,$B291,'Besi Balok'!$F$23:$F$12292,'REKAP Balok'!P$12)</f>
        <v>0</v>
      </c>
      <c r="Q291">
        <f>SUMIFS('Besi Balok'!$AA$23:$AA$12292,'Besi Balok'!$A$23:$A$12292,$A291,'Besi Balok'!$B$23:$B$12292,$B291,'Besi Balok'!$F$23:$F$12292,'REKAP Balok'!Q$12)</f>
        <v>71.22698226</v>
      </c>
      <c r="R291">
        <f>SUMIFS('Besi Balok'!$AA$23:$AA$12292,'Besi Balok'!$A$23:$A$12292,$A291,'Besi Balok'!$B$23:$B$12292,$B291,'Besi Balok'!$F$23:$F$12292,'REKAP Balok'!R$12)</f>
        <v>0</v>
      </c>
      <c r="S291">
        <f>SUMIFS('Besi Balok'!$AA$23:$AA$12292,'Besi Balok'!$A$23:$A$12292,$A291,'Besi Balok'!$B$23:$B$12292,$B291,'Besi Balok'!$F$23:$F$12292,'REKAP Balok'!S$12)</f>
        <v>0</v>
      </c>
      <c r="T291">
        <f>SUMIFS('Besi Balok'!$AA$23:$AA$12292,'Besi Balok'!$A$23:$A$12292,$A291,'Besi Balok'!$B$23:$B$12292,$B291,'Besi Balok'!$F$23:$F$12292,'REKAP Balok'!T$12)</f>
        <v>0</v>
      </c>
      <c r="U291">
        <f>SUM(L291:T291)</f>
        <v>107.95188726</v>
      </c>
      <c r="V291">
        <f>(D291*(F291-H291)*G291*K291)/1000000000</f>
        <v>0.2294</v>
      </c>
      <c r="W291">
        <f>(((F291-H291)*2+D291)*(G291)*K291)/1000000</f>
        <v>2.914</v>
      </c>
      <c r="AC291">
        <f>(D291+2*$F$5)*F291*G291/1000000000</f>
        <v>0.62</v>
      </c>
    </row>
    <row r="292">
      <c r="A292" t="str">
        <f>'Data Panjang Balok'!A289</f>
        <v>Lantai Attic</v>
      </c>
      <c r="B292">
        <f>'Data Panjang Balok'!B289</f>
        <v>12</v>
      </c>
      <c r="C292" t="str">
        <f>'Data Panjang Balok'!D289</f>
        <v>Potongan J</v>
      </c>
      <c r="D292">
        <f>IF(C292&gt;0,VLOOKUP(C292,'Detail Balok'!$C$11:$AU$110,2,FALSE),0)</f>
        <v>200</v>
      </c>
      <c r="E292" t="str">
        <v>x</v>
      </c>
      <c r="F292">
        <f>IF(C292&gt;0,VLOOKUP(C292,'Detail Balok'!$C$11:$AU$110,3,FALSE),0)</f>
        <v>500</v>
      </c>
      <c r="G292">
        <f>'Data Panjang Balok'!I289</f>
        <v>2000</v>
      </c>
      <c r="H292">
        <f>'Data Panjang Balok'!J289</f>
        <v>130</v>
      </c>
      <c r="J292">
        <f>I292-F292/1000</f>
        <v>-0.5</v>
      </c>
      <c r="K292">
        <f>'Data Panjang Balok'!E289</f>
        <v>1</v>
      </c>
      <c r="L292">
        <f>SUMIFS('Besi Balok'!$AA$23:$AA$12292,'Besi Balok'!$A$23:$A$12292,$A292,'Besi Balok'!$B$23:$B$12292,$B292,'Besi Balok'!$F$23:$F$12292,'REKAP Balok'!L$12)</f>
        <v>0</v>
      </c>
      <c r="M292">
        <f>SUMIFS('Besi Balok'!$AA$23:$AA$12292,'Besi Balok'!$A$23:$A$12292,$A292,'Besi Balok'!$B$23:$B$12292,$B292,'Besi Balok'!$F$23:$F$12292,'REKAP Balok'!M$12)</f>
        <v>0</v>
      </c>
      <c r="N292">
        <f>SUMIFS('Besi Balok'!$AA$23:$AA$12292,'Besi Balok'!$A$23:$A$12292,$A292,'Besi Balok'!$B$23:$B$12292,$B292,'Besi Balok'!$F$23:$F$12292,'REKAP Balok'!N$12)</f>
        <v>11.103165</v>
      </c>
      <c r="O292">
        <f>SUMIFS('Besi Balok'!$AA$23:$AA$12292,'Besi Balok'!$A$23:$A$12292,$A292,'Besi Balok'!$B$23:$B$12292,$B292,'Besi Balok'!$F$23:$F$12292,'REKAP Balok'!O$12)</f>
        <v>0</v>
      </c>
      <c r="P292">
        <f>SUMIFS('Besi Balok'!$AA$23:$AA$12292,'Besi Balok'!$A$23:$A$12292,$A292,'Besi Balok'!$B$23:$B$12292,$B292,'Besi Balok'!$F$23:$F$12292,'REKAP Balok'!P$12)</f>
        <v>0</v>
      </c>
      <c r="Q292">
        <f>SUMIFS('Besi Balok'!$AA$23:$AA$12292,'Besi Balok'!$A$23:$A$12292,$A292,'Besi Balok'!$B$23:$B$12292,$B292,'Besi Balok'!$F$23:$F$12292,'REKAP Balok'!Q$12)</f>
        <v>38.261913480000004</v>
      </c>
      <c r="R292">
        <f>SUMIFS('Besi Balok'!$AA$23:$AA$12292,'Besi Balok'!$A$23:$A$12292,$A292,'Besi Balok'!$B$23:$B$12292,$B292,'Besi Balok'!$F$23:$F$12292,'REKAP Balok'!R$12)</f>
        <v>0</v>
      </c>
      <c r="S292">
        <f>SUMIFS('Besi Balok'!$AA$23:$AA$12292,'Besi Balok'!$A$23:$A$12292,$A292,'Besi Balok'!$B$23:$B$12292,$B292,'Besi Balok'!$F$23:$F$12292,'REKAP Balok'!S$12)</f>
        <v>0</v>
      </c>
      <c r="T292">
        <f>SUMIFS('Besi Balok'!$AA$23:$AA$12292,'Besi Balok'!$A$23:$A$12292,$A292,'Besi Balok'!$B$23:$B$12292,$B292,'Besi Balok'!$F$23:$F$12292,'REKAP Balok'!T$12)</f>
        <v>0</v>
      </c>
      <c r="U292">
        <f>SUM(L292:T292)</f>
        <v>49.36507848000001</v>
      </c>
      <c r="V292">
        <f>(D292*(F292-H292)*G292*K292)/1000000000</f>
        <v>0.148</v>
      </c>
      <c r="W292">
        <f>(((F292-H292)*2+D292)*(G292)*K292)/1000000</f>
        <v>1.88</v>
      </c>
      <c r="AC292">
        <f>(D292+2*$F$5)*F292*G292/1000000000</f>
        <v>0.4</v>
      </c>
    </row>
    <row r="293">
      <c r="A293" t="str">
        <f>'Data Panjang Balok'!A290</f>
        <v>Lantai Attic</v>
      </c>
      <c r="B293">
        <f>'Data Panjang Balok'!B290</f>
        <v>13</v>
      </c>
      <c r="C293" t="str">
        <f>'Data Panjang Balok'!D290</f>
        <v>B25-1</v>
      </c>
      <c r="D293">
        <f>IF(C293&gt;0,VLOOKUP(C293,'Detail Balok'!$C$11:$AU$110,2,FALSE),0)</f>
        <v>200</v>
      </c>
      <c r="E293" t="str">
        <v>x</v>
      </c>
      <c r="F293">
        <f>IF(C293&gt;0,VLOOKUP(C293,'Detail Balok'!$C$11:$AU$110,3,FALSE),0)</f>
        <v>500</v>
      </c>
      <c r="G293">
        <f>'Data Panjang Balok'!I290</f>
        <v>3100</v>
      </c>
      <c r="H293">
        <f>'Data Panjang Balok'!J290</f>
        <v>130</v>
      </c>
      <c r="J293">
        <f>I293-F293/1000</f>
        <v>-0.5</v>
      </c>
      <c r="K293">
        <f>'Data Panjang Balok'!E290</f>
        <v>1</v>
      </c>
      <c r="L293">
        <f>SUMIFS('Besi Balok'!$AA$23:$AA$12292,'Besi Balok'!$A$23:$A$12292,$A293,'Besi Balok'!$B$23:$B$12292,$B293,'Besi Balok'!$F$23:$F$12292,'REKAP Balok'!L$12)</f>
        <v>0</v>
      </c>
      <c r="M293">
        <f>SUMIFS('Besi Balok'!$AA$23:$AA$12292,'Besi Balok'!$A$23:$A$12292,$A293,'Besi Balok'!$B$23:$B$12292,$B293,'Besi Balok'!$F$23:$F$12292,'REKAP Balok'!M$12)</f>
        <v>0</v>
      </c>
      <c r="N293">
        <f>SUMIFS('Besi Balok'!$AA$23:$AA$12292,'Besi Balok'!$A$23:$A$12292,$A293,'Besi Balok'!$B$23:$B$12292,$B293,'Besi Balok'!$F$23:$F$12292,'REKAP Balok'!N$12)</f>
        <v>25.350480000000005</v>
      </c>
      <c r="O293">
        <f>SUMIFS('Besi Balok'!$AA$23:$AA$12292,'Besi Balok'!$A$23:$A$12292,$A293,'Besi Balok'!$B$23:$B$12292,$B293,'Besi Balok'!$F$23:$F$12292,'REKAP Balok'!O$12)</f>
        <v>0</v>
      </c>
      <c r="P293">
        <f>SUMIFS('Besi Balok'!$AA$23:$AA$12292,'Besi Balok'!$A$23:$A$12292,$A293,'Besi Balok'!$B$23:$B$12292,$B293,'Besi Balok'!$F$23:$F$12292,'REKAP Balok'!P$12)</f>
        <v>21.994352640000002</v>
      </c>
      <c r="Q293">
        <f>SUMIFS('Besi Balok'!$AA$23:$AA$12292,'Besi Balok'!$A$23:$A$12292,$A293,'Besi Balok'!$B$23:$B$12292,$B293,'Besi Balok'!$F$23:$F$12292,'REKAP Balok'!Q$12)</f>
        <v>0</v>
      </c>
      <c r="R293">
        <f>SUMIFS('Besi Balok'!$AA$23:$AA$12292,'Besi Balok'!$A$23:$A$12292,$A293,'Besi Balok'!$B$23:$B$12292,$B293,'Besi Balok'!$F$23:$F$12292,'REKAP Balok'!R$12)</f>
        <v>0</v>
      </c>
      <c r="S293">
        <f>SUMIFS('Besi Balok'!$AA$23:$AA$12292,'Besi Balok'!$A$23:$A$12292,$A293,'Besi Balok'!$B$23:$B$12292,$B293,'Besi Balok'!$F$23:$F$12292,'REKAP Balok'!S$12)</f>
        <v>0</v>
      </c>
      <c r="T293">
        <f>SUMIFS('Besi Balok'!$AA$23:$AA$12292,'Besi Balok'!$A$23:$A$12292,$A293,'Besi Balok'!$B$23:$B$12292,$B293,'Besi Balok'!$F$23:$F$12292,'REKAP Balok'!T$12)</f>
        <v>0</v>
      </c>
      <c r="U293">
        <f>SUM(L293:T293)</f>
        <v>47.34483264000001</v>
      </c>
      <c r="V293">
        <f>(D293*(F293-H293)*G293*K293)/1000000000</f>
        <v>0.2294</v>
      </c>
      <c r="W293">
        <f>(((F293-H293)*2+D293)*(G293)*K293)/1000000</f>
        <v>2.914</v>
      </c>
      <c r="AC293">
        <f>(D293+2*$F$5)*F293*G293/1000000000</f>
        <v>0.62</v>
      </c>
    </row>
    <row r="294">
      <c r="A294" t="str">
        <f>'Data Panjang Balok'!A291</f>
        <v>Lantai Attic</v>
      </c>
      <c r="B294">
        <f>'Data Panjang Balok'!B291</f>
        <v>14</v>
      </c>
      <c r="C294" t="str">
        <f>'Data Panjang Balok'!D291</f>
        <v>B25-3</v>
      </c>
      <c r="D294">
        <f>IF(C294&gt;0,VLOOKUP(C294,'Detail Balok'!$C$11:$AU$110,2,FALSE),0)</f>
        <v>200</v>
      </c>
      <c r="E294" t="str">
        <v>x</v>
      </c>
      <c r="F294">
        <f>IF(C294&gt;0,VLOOKUP(C294,'Detail Balok'!$C$11:$AU$110,3,FALSE),0)</f>
        <v>500</v>
      </c>
      <c r="G294">
        <f>'Data Panjang Balok'!I291</f>
        <v>6000</v>
      </c>
      <c r="H294">
        <f>'Data Panjang Balok'!J291</f>
        <v>130</v>
      </c>
      <c r="J294">
        <f>I294-F294/1000</f>
        <v>-0.5</v>
      </c>
      <c r="K294">
        <f>'Data Panjang Balok'!E291</f>
        <v>1</v>
      </c>
      <c r="L294">
        <f>SUMIFS('Besi Balok'!$AA$23:$AA$12292,'Besi Balok'!$A$23:$A$12292,$A294,'Besi Balok'!$B$23:$B$12292,$B294,'Besi Balok'!$F$23:$F$12292,'REKAP Balok'!L$12)</f>
        <v>0</v>
      </c>
      <c r="M294">
        <f>SUMIFS('Besi Balok'!$AA$23:$AA$12292,'Besi Balok'!$A$23:$A$12292,$A294,'Besi Balok'!$B$23:$B$12292,$B294,'Besi Balok'!$F$23:$F$12292,'REKAP Balok'!M$12)</f>
        <v>0</v>
      </c>
      <c r="N294">
        <f>SUMIFS('Besi Balok'!$AA$23:$AA$12292,'Besi Balok'!$A$23:$A$12292,$A294,'Besi Balok'!$B$23:$B$12292,$B294,'Besi Balok'!$F$23:$F$12292,'REKAP Balok'!N$12)</f>
        <v>46.366965</v>
      </c>
      <c r="O294">
        <f>SUMIFS('Besi Balok'!$AA$23:$AA$12292,'Besi Balok'!$A$23:$A$12292,$A294,'Besi Balok'!$B$23:$B$12292,$B294,'Besi Balok'!$F$23:$F$12292,'REKAP Balok'!O$12)</f>
        <v>0</v>
      </c>
      <c r="P294">
        <f>SUMIFS('Besi Balok'!$AA$23:$AA$12292,'Besi Balok'!$A$23:$A$12292,$A294,'Besi Balok'!$B$23:$B$12292,$B294,'Besi Balok'!$F$23:$F$12292,'REKAP Balok'!P$12)</f>
        <v>81.92959488000001</v>
      </c>
      <c r="Q294">
        <f>SUMIFS('Besi Balok'!$AA$23:$AA$12292,'Besi Balok'!$A$23:$A$12292,$A294,'Besi Balok'!$B$23:$B$12292,$B294,'Besi Balok'!$F$23:$F$12292,'REKAP Balok'!Q$12)</f>
        <v>0</v>
      </c>
      <c r="R294">
        <f>SUMIFS('Besi Balok'!$AA$23:$AA$12292,'Besi Balok'!$A$23:$A$12292,$A294,'Besi Balok'!$B$23:$B$12292,$B294,'Besi Balok'!$F$23:$F$12292,'REKAP Balok'!R$12)</f>
        <v>0</v>
      </c>
      <c r="S294">
        <f>SUMIFS('Besi Balok'!$AA$23:$AA$12292,'Besi Balok'!$A$23:$A$12292,$A294,'Besi Balok'!$B$23:$B$12292,$B294,'Besi Balok'!$F$23:$F$12292,'REKAP Balok'!S$12)</f>
        <v>0</v>
      </c>
      <c r="T294">
        <f>SUMIFS('Besi Balok'!$AA$23:$AA$12292,'Besi Balok'!$A$23:$A$12292,$A294,'Besi Balok'!$B$23:$B$12292,$B294,'Besi Balok'!$F$23:$F$12292,'REKAP Balok'!T$12)</f>
        <v>0</v>
      </c>
      <c r="U294">
        <f>SUM(L294:T294)</f>
        <v>128.29655988000002</v>
      </c>
      <c r="V294">
        <f>(D294*(F294-H294)*G294*K294)/1000000000</f>
        <v>0.444</v>
      </c>
      <c r="W294">
        <f>(((F294-H294)*2+D294)*(G294)*K294)/1000000</f>
        <v>5.64</v>
      </c>
      <c r="AC294">
        <f>(D294+2*$F$5)*F294*G294/1000000000</f>
        <v>1.2</v>
      </c>
    </row>
    <row r="295">
      <c r="A295" t="str">
        <f>'Data Panjang Balok'!A292</f>
        <v>Lantai Attic</v>
      </c>
      <c r="B295">
        <f>'Data Panjang Balok'!B292</f>
        <v>15</v>
      </c>
      <c r="C295" t="str">
        <f>'Data Panjang Balok'!D292</f>
        <v>Potongan B</v>
      </c>
      <c r="D295">
        <f>IF(C295&gt;0,VLOOKUP(C295,'Detail Balok'!$C$11:$AU$110,2,FALSE),0)</f>
        <v>200</v>
      </c>
      <c r="E295" t="str">
        <v>x</v>
      </c>
      <c r="F295">
        <f>IF(C295&gt;0,VLOOKUP(C295,'Detail Balok'!$C$11:$AU$110,3,FALSE),0)</f>
        <v>500</v>
      </c>
      <c r="G295">
        <f>'Data Panjang Balok'!I292</f>
        <v>2000</v>
      </c>
      <c r="H295">
        <f>'Data Panjang Balok'!J292</f>
        <v>130</v>
      </c>
      <c r="J295">
        <f>I295-F295/1000</f>
        <v>-0.5</v>
      </c>
      <c r="K295">
        <f>'Data Panjang Balok'!E292</f>
        <v>1</v>
      </c>
      <c r="L295">
        <f>SUMIFS('Besi Balok'!$AA$23:$AA$12292,'Besi Balok'!$A$23:$A$12292,$A295,'Besi Balok'!$B$23:$B$12292,$B295,'Besi Balok'!$F$23:$F$12292,'REKAP Balok'!L$12)</f>
        <v>0</v>
      </c>
      <c r="M295">
        <f>SUMIFS('Besi Balok'!$AA$23:$AA$12292,'Besi Balok'!$A$23:$A$12292,$A295,'Besi Balok'!$B$23:$B$12292,$B295,'Besi Balok'!$F$23:$F$12292,'REKAP Balok'!M$12)</f>
        <v>0</v>
      </c>
      <c r="N295">
        <f>SUMIFS('Besi Balok'!$AA$23:$AA$12292,'Besi Balok'!$A$23:$A$12292,$A295,'Besi Balok'!$B$23:$B$12292,$B295,'Besi Balok'!$F$23:$F$12292,'REKAP Balok'!N$12)</f>
        <v>31.614120000000003</v>
      </c>
      <c r="O295">
        <f>SUMIFS('Besi Balok'!$AA$23:$AA$12292,'Besi Balok'!$A$23:$A$12292,$A295,'Besi Balok'!$B$23:$B$12292,$B295,'Besi Balok'!$F$23:$F$12292,'REKAP Balok'!O$12)</f>
        <v>0</v>
      </c>
      <c r="P295">
        <f>SUMIFS('Besi Balok'!$AA$23:$AA$12292,'Besi Balok'!$A$23:$A$12292,$A295,'Besi Balok'!$B$23:$B$12292,$B295,'Besi Balok'!$F$23:$F$12292,'REKAP Balok'!P$12)</f>
        <v>33.86271744</v>
      </c>
      <c r="Q295">
        <f>SUMIFS('Besi Balok'!$AA$23:$AA$12292,'Besi Balok'!$A$23:$A$12292,$A295,'Besi Balok'!$B$23:$B$12292,$B295,'Besi Balok'!$F$23:$F$12292,'REKAP Balok'!Q$12)</f>
        <v>0</v>
      </c>
      <c r="R295">
        <f>SUMIFS('Besi Balok'!$AA$23:$AA$12292,'Besi Balok'!$A$23:$A$12292,$A295,'Besi Balok'!$B$23:$B$12292,$B295,'Besi Balok'!$F$23:$F$12292,'REKAP Balok'!R$12)</f>
        <v>0</v>
      </c>
      <c r="S295">
        <f>SUMIFS('Besi Balok'!$AA$23:$AA$12292,'Besi Balok'!$A$23:$A$12292,$A295,'Besi Balok'!$B$23:$B$12292,$B295,'Besi Balok'!$F$23:$F$12292,'REKAP Balok'!S$12)</f>
        <v>0</v>
      </c>
      <c r="T295">
        <f>SUMIFS('Besi Balok'!$AA$23:$AA$12292,'Besi Balok'!$A$23:$A$12292,$A295,'Besi Balok'!$B$23:$B$12292,$B295,'Besi Balok'!$F$23:$F$12292,'REKAP Balok'!T$12)</f>
        <v>0</v>
      </c>
      <c r="U295">
        <f>SUM(L295:T295)</f>
        <v>65.47683744</v>
      </c>
      <c r="V295">
        <f>(D295*(F295-H295)*G295*K295)/1000000000</f>
        <v>0.148</v>
      </c>
      <c r="W295">
        <f>(((F295-H295)*2+D295)*(G295)*K295)/1000000</f>
        <v>1.88</v>
      </c>
      <c r="AC295">
        <f>(D295+2*$F$5)*F295*G295/1000000000</f>
        <v>0.4</v>
      </c>
    </row>
    <row r="296">
      <c r="A296" t="str">
        <f>'Data Panjang Balok'!A293</f>
        <v>Lantai Attic</v>
      </c>
      <c r="B296">
        <f>'Data Panjang Balok'!B293</f>
        <v>16</v>
      </c>
      <c r="C296">
        <f>'Data Panjang Balok'!D293</f>
        <v>0</v>
      </c>
      <c r="D296">
        <f>IF(C296&gt;0,VLOOKUP(C296,'Detail Balok'!$C$11:$AU$110,2,FALSE),0)</f>
        <v>0</v>
      </c>
      <c r="E296" t="str">
        <v>x</v>
      </c>
      <c r="F296">
        <f>IF(C296&gt;0,VLOOKUP(C296,'Detail Balok'!$C$11:$AU$110,3,FALSE),0)</f>
        <v>0</v>
      </c>
      <c r="G296">
        <f>'Data Panjang Balok'!I293</f>
        <v>0</v>
      </c>
      <c r="H296">
        <f>'Data Panjang Balok'!J293</f>
        <v>0</v>
      </c>
      <c r="J296">
        <f>I296-F296/1000</f>
        <v>0</v>
      </c>
      <c r="K296">
        <f>'Data Panjang Balok'!E293</f>
        <v>0</v>
      </c>
      <c r="L296">
        <f>SUMIFS('Besi Balok'!$AA$23:$AA$12292,'Besi Balok'!$A$23:$A$12292,$A296,'Besi Balok'!$B$23:$B$12292,$B296,'Besi Balok'!$F$23:$F$12292,'REKAP Balok'!L$12)</f>
        <v>0</v>
      </c>
      <c r="M296">
        <f>SUMIFS('Besi Balok'!$AA$23:$AA$12292,'Besi Balok'!$A$23:$A$12292,$A296,'Besi Balok'!$B$23:$B$12292,$B296,'Besi Balok'!$F$23:$F$12292,'REKAP Balok'!M$12)</f>
        <v>0</v>
      </c>
      <c r="N296">
        <f>SUMIFS('Besi Balok'!$AA$23:$AA$12292,'Besi Balok'!$A$23:$A$12292,$A296,'Besi Balok'!$B$23:$B$12292,$B296,'Besi Balok'!$F$23:$F$12292,'REKAP Balok'!N$12)</f>
        <v>0</v>
      </c>
      <c r="O296">
        <f>SUMIFS('Besi Balok'!$AA$23:$AA$12292,'Besi Balok'!$A$23:$A$12292,$A296,'Besi Balok'!$B$23:$B$12292,$B296,'Besi Balok'!$F$23:$F$12292,'REKAP Balok'!O$12)</f>
        <v>0</v>
      </c>
      <c r="P296">
        <f>SUMIFS('Besi Balok'!$AA$23:$AA$12292,'Besi Balok'!$A$23:$A$12292,$A296,'Besi Balok'!$B$23:$B$12292,$B296,'Besi Balok'!$F$23:$F$12292,'REKAP Balok'!P$12)</f>
        <v>0</v>
      </c>
      <c r="Q296">
        <f>SUMIFS('Besi Balok'!$AA$23:$AA$12292,'Besi Balok'!$A$23:$A$12292,$A296,'Besi Balok'!$B$23:$B$12292,$B296,'Besi Balok'!$F$23:$F$12292,'REKAP Balok'!Q$12)</f>
        <v>0</v>
      </c>
      <c r="R296">
        <f>SUMIFS('Besi Balok'!$AA$23:$AA$12292,'Besi Balok'!$A$23:$A$12292,$A296,'Besi Balok'!$B$23:$B$12292,$B296,'Besi Balok'!$F$23:$F$12292,'REKAP Balok'!R$12)</f>
        <v>0</v>
      </c>
      <c r="S296">
        <f>SUMIFS('Besi Balok'!$AA$23:$AA$12292,'Besi Balok'!$A$23:$A$12292,$A296,'Besi Balok'!$B$23:$B$12292,$B296,'Besi Balok'!$F$23:$F$12292,'REKAP Balok'!S$12)</f>
        <v>0</v>
      </c>
      <c r="T296">
        <f>SUMIFS('Besi Balok'!$AA$23:$AA$12292,'Besi Balok'!$A$23:$A$12292,$A296,'Besi Balok'!$B$23:$B$12292,$B296,'Besi Balok'!$F$23:$F$12292,'REKAP Balok'!T$12)</f>
        <v>0</v>
      </c>
      <c r="U296">
        <f>SUM(L296:T296)</f>
        <v>0</v>
      </c>
      <c r="V296">
        <f>(D296*(F296-H296)*G296*K296)/1000000000</f>
        <v>0</v>
      </c>
      <c r="W296">
        <f>(((F296-H296)*2+D296)*(G296)*K296)/1000000</f>
        <v>0</v>
      </c>
      <c r="AC296">
        <f>(D296+2*$F$5)*F296*G296/1000000000</f>
        <v>0</v>
      </c>
    </row>
    <row r="297">
      <c r="A297" t="str">
        <f>'Data Panjang Balok'!A294</f>
        <v>Lantai Attic</v>
      </c>
      <c r="B297">
        <f>'Data Panjang Balok'!B294</f>
        <v>17</v>
      </c>
      <c r="C297" t="str">
        <f>'Data Panjang Balok'!D294</f>
        <v>B25-3</v>
      </c>
      <c r="D297">
        <f>IF(C297&gt;0,VLOOKUP(C297,'Detail Balok'!$C$11:$AU$110,2,FALSE),0)</f>
        <v>200</v>
      </c>
      <c r="E297" t="str">
        <v>x</v>
      </c>
      <c r="F297">
        <f>IF(C297&gt;0,VLOOKUP(C297,'Detail Balok'!$C$11:$AU$110,3,FALSE),0)</f>
        <v>500</v>
      </c>
      <c r="G297">
        <f>'Data Panjang Balok'!I294</f>
        <v>5835</v>
      </c>
      <c r="H297">
        <f>'Data Panjang Balok'!J294</f>
        <v>130</v>
      </c>
      <c r="J297">
        <f>I297-F297/1000</f>
        <v>-0.5</v>
      </c>
      <c r="K297">
        <f>'Data Panjang Balok'!E294</f>
        <v>1</v>
      </c>
      <c r="L297">
        <f>SUMIFS('Besi Balok'!$AA$23:$AA$12292,'Besi Balok'!$A$23:$A$12292,$A297,'Besi Balok'!$B$23:$B$12292,$B297,'Besi Balok'!$F$23:$F$12292,'REKAP Balok'!L$12)</f>
        <v>0</v>
      </c>
      <c r="M297">
        <f>SUMIFS('Besi Balok'!$AA$23:$AA$12292,'Besi Balok'!$A$23:$A$12292,$A297,'Besi Balok'!$B$23:$B$12292,$B297,'Besi Balok'!$F$23:$F$12292,'REKAP Balok'!M$12)</f>
        <v>0</v>
      </c>
      <c r="N297">
        <f>SUMIFS('Besi Balok'!$AA$23:$AA$12292,'Besi Balok'!$A$23:$A$12292,$A297,'Besi Balok'!$B$23:$B$12292,$B297,'Besi Balok'!$F$23:$F$12292,'REKAP Balok'!N$12)</f>
        <v>44.646930000000005</v>
      </c>
      <c r="O297">
        <f>SUMIFS('Besi Balok'!$AA$23:$AA$12292,'Besi Balok'!$A$23:$A$12292,$A297,'Besi Balok'!$B$23:$B$12292,$B297,'Besi Balok'!$F$23:$F$12292,'REKAP Balok'!O$12)</f>
        <v>0</v>
      </c>
      <c r="P297">
        <f>SUMIFS('Besi Balok'!$AA$23:$AA$12292,'Besi Balok'!$A$23:$A$12292,$A297,'Besi Balok'!$B$23:$B$12292,$B297,'Besi Balok'!$F$23:$F$12292,'REKAP Balok'!P$12)</f>
        <v>79.87235904</v>
      </c>
      <c r="Q297">
        <f>SUMIFS('Besi Balok'!$AA$23:$AA$12292,'Besi Balok'!$A$23:$A$12292,$A297,'Besi Balok'!$B$23:$B$12292,$B297,'Besi Balok'!$F$23:$F$12292,'REKAP Balok'!Q$12)</f>
        <v>0</v>
      </c>
      <c r="R297">
        <f>SUMIFS('Besi Balok'!$AA$23:$AA$12292,'Besi Balok'!$A$23:$A$12292,$A297,'Besi Balok'!$B$23:$B$12292,$B297,'Besi Balok'!$F$23:$F$12292,'REKAP Balok'!R$12)</f>
        <v>0</v>
      </c>
      <c r="S297">
        <f>SUMIFS('Besi Balok'!$AA$23:$AA$12292,'Besi Balok'!$A$23:$A$12292,$A297,'Besi Balok'!$B$23:$B$12292,$B297,'Besi Balok'!$F$23:$F$12292,'REKAP Balok'!S$12)</f>
        <v>0</v>
      </c>
      <c r="T297">
        <f>SUMIFS('Besi Balok'!$AA$23:$AA$12292,'Besi Balok'!$A$23:$A$12292,$A297,'Besi Balok'!$B$23:$B$12292,$B297,'Besi Balok'!$F$23:$F$12292,'REKAP Balok'!T$12)</f>
        <v>0</v>
      </c>
      <c r="U297">
        <f>SUM(L297:T297)</f>
        <v>124.51928904000002</v>
      </c>
      <c r="V297">
        <f>(D297*(F297-H297)*G297*K297)/1000000000</f>
        <v>0.43179</v>
      </c>
      <c r="W297">
        <f>(((F297-H297)*2+D297)*(G297)*K297)/1000000</f>
        <v>5.4849</v>
      </c>
      <c r="AC297">
        <f>(D297+2*$F$5)*F297*G297/1000000000</f>
        <v>1.167</v>
      </c>
    </row>
    <row r="298">
      <c r="A298" t="str">
        <f>'Data Panjang Balok'!A295</f>
        <v>Lantai Attic</v>
      </c>
      <c r="B298">
        <f>'Data Panjang Balok'!B295</f>
        <v>18</v>
      </c>
      <c r="C298" t="str">
        <f>'Data Panjang Balok'!D295</f>
        <v>B25-3</v>
      </c>
      <c r="D298">
        <f>IF(C298&gt;0,VLOOKUP(C298,'Detail Balok'!$C$11:$AU$110,2,FALSE),0)</f>
        <v>200</v>
      </c>
      <c r="E298" t="str">
        <v>x</v>
      </c>
      <c r="F298">
        <f>IF(C298&gt;0,VLOOKUP(C298,'Detail Balok'!$C$11:$AU$110,3,FALSE),0)</f>
        <v>500</v>
      </c>
      <c r="G298">
        <f>'Data Panjang Balok'!I295</f>
        <v>6750</v>
      </c>
      <c r="H298">
        <f>'Data Panjang Balok'!J295</f>
        <v>130</v>
      </c>
      <c r="J298">
        <f>I298-F298/1000</f>
        <v>-0.5</v>
      </c>
      <c r="K298">
        <f>'Data Panjang Balok'!E295</f>
        <v>1</v>
      </c>
      <c r="L298">
        <f>SUMIFS('Besi Balok'!$AA$23:$AA$12292,'Besi Balok'!$A$23:$A$12292,$A298,'Besi Balok'!$B$23:$B$12292,$B298,'Besi Balok'!$F$23:$F$12292,'REKAP Balok'!L$12)</f>
        <v>0</v>
      </c>
      <c r="M298">
        <f>SUMIFS('Besi Balok'!$AA$23:$AA$12292,'Besi Balok'!$A$23:$A$12292,$A298,'Besi Balok'!$B$23:$B$12292,$B298,'Besi Balok'!$F$23:$F$12292,'REKAP Balok'!M$12)</f>
        <v>0</v>
      </c>
      <c r="N298">
        <f>SUMIFS('Besi Balok'!$AA$23:$AA$12292,'Besi Balok'!$A$23:$A$12292,$A298,'Besi Balok'!$B$23:$B$12292,$B298,'Besi Balok'!$F$23:$F$12292,'REKAP Balok'!N$12)</f>
        <v>51.841485000000006</v>
      </c>
      <c r="O298">
        <f>SUMIFS('Besi Balok'!$AA$23:$AA$12292,'Besi Balok'!$A$23:$A$12292,$A298,'Besi Balok'!$B$23:$B$12292,$B298,'Besi Balok'!$F$23:$F$12292,'REKAP Balok'!O$12)</f>
        <v>0</v>
      </c>
      <c r="P298">
        <f>SUMIFS('Besi Balok'!$AA$23:$AA$12292,'Besi Balok'!$A$23:$A$12292,$A298,'Besi Balok'!$B$23:$B$12292,$B298,'Besi Balok'!$F$23:$F$12292,'REKAP Balok'!P$12)</f>
        <v>91.28066688000001</v>
      </c>
      <c r="Q298">
        <f>SUMIFS('Besi Balok'!$AA$23:$AA$12292,'Besi Balok'!$A$23:$A$12292,$A298,'Besi Balok'!$B$23:$B$12292,$B298,'Besi Balok'!$F$23:$F$12292,'REKAP Balok'!Q$12)</f>
        <v>0</v>
      </c>
      <c r="R298">
        <f>SUMIFS('Besi Balok'!$AA$23:$AA$12292,'Besi Balok'!$A$23:$A$12292,$A298,'Besi Balok'!$B$23:$B$12292,$B298,'Besi Balok'!$F$23:$F$12292,'REKAP Balok'!R$12)</f>
        <v>0</v>
      </c>
      <c r="S298">
        <f>SUMIFS('Besi Balok'!$AA$23:$AA$12292,'Besi Balok'!$A$23:$A$12292,$A298,'Besi Balok'!$B$23:$B$12292,$B298,'Besi Balok'!$F$23:$F$12292,'REKAP Balok'!S$12)</f>
        <v>0</v>
      </c>
      <c r="T298">
        <f>SUMIFS('Besi Balok'!$AA$23:$AA$12292,'Besi Balok'!$A$23:$A$12292,$A298,'Besi Balok'!$B$23:$B$12292,$B298,'Besi Balok'!$F$23:$F$12292,'REKAP Balok'!T$12)</f>
        <v>0</v>
      </c>
      <c r="U298">
        <f>SUM(L298:T298)</f>
        <v>143.12215188000002</v>
      </c>
      <c r="V298">
        <f>(D298*(F298-H298)*G298*K298)/1000000000</f>
        <v>0.4995</v>
      </c>
      <c r="W298">
        <f>(((F298-H298)*2+D298)*(G298)*K298)/1000000</f>
        <v>6.345</v>
      </c>
      <c r="AC298">
        <f>(D298+2*$F$5)*F298*G298/1000000000</f>
        <v>1.35</v>
      </c>
    </row>
    <row r="299">
      <c r="A299" t="str">
        <f>'Data Panjang Balok'!A296</f>
        <v>Lantai Attic</v>
      </c>
      <c r="B299">
        <f>'Data Panjang Balok'!B296</f>
        <v>19</v>
      </c>
      <c r="C299" t="str">
        <f>'Data Panjang Balok'!D296</f>
        <v>B36-1</v>
      </c>
      <c r="D299">
        <f>IF(C299&gt;0,VLOOKUP(C299,'Detail Balok'!$C$11:$AU$110,2,FALSE),0)</f>
        <v>300</v>
      </c>
      <c r="E299" t="str">
        <v>x</v>
      </c>
      <c r="F299">
        <f>IF(C299&gt;0,VLOOKUP(C299,'Detail Balok'!$C$11:$AU$110,3,FALSE),0)</f>
        <v>600</v>
      </c>
      <c r="G299">
        <f>'Data Panjang Balok'!I296</f>
        <v>5415</v>
      </c>
      <c r="H299">
        <f>'Data Panjang Balok'!J296</f>
        <v>130</v>
      </c>
      <c r="J299">
        <f>I299-F299/1000</f>
        <v>-0.6</v>
      </c>
      <c r="K299">
        <f>'Data Panjang Balok'!E296</f>
        <v>1</v>
      </c>
      <c r="L299">
        <f>SUMIFS('Besi Balok'!$AA$23:$AA$12292,'Besi Balok'!$A$23:$A$12292,$A299,'Besi Balok'!$B$23:$B$12292,$B299,'Besi Balok'!$F$23:$F$12292,'REKAP Balok'!L$12)</f>
        <v>0</v>
      </c>
      <c r="M299">
        <f>SUMIFS('Besi Balok'!$AA$23:$AA$12292,'Besi Balok'!$A$23:$A$12292,$A299,'Besi Balok'!$B$23:$B$12292,$B299,'Besi Balok'!$F$23:$F$12292,'REKAP Balok'!M$12)</f>
        <v>0</v>
      </c>
      <c r="N299">
        <f>SUMIFS('Besi Balok'!$AA$23:$AA$12292,'Besi Balok'!$A$23:$A$12292,$A299,'Besi Balok'!$B$23:$B$12292,$B299,'Besi Balok'!$F$23:$F$12292,'REKAP Balok'!N$12)</f>
        <v>74.92324500000001</v>
      </c>
      <c r="O299">
        <f>SUMIFS('Besi Balok'!$AA$23:$AA$12292,'Besi Balok'!$A$23:$A$12292,$A299,'Besi Balok'!$B$23:$B$12292,$B299,'Besi Balok'!$F$23:$F$12292,'REKAP Balok'!O$12)</f>
        <v>0</v>
      </c>
      <c r="P299">
        <f>SUMIFS('Besi Balok'!$AA$23:$AA$12292,'Besi Balok'!$A$23:$A$12292,$A299,'Besi Balok'!$B$23:$B$12292,$B299,'Besi Balok'!$F$23:$F$12292,'REKAP Balok'!P$12)</f>
        <v>84.13360704000002</v>
      </c>
      <c r="Q299">
        <f>SUMIFS('Besi Balok'!$AA$23:$AA$12292,'Besi Balok'!$A$23:$A$12292,$A299,'Besi Balok'!$B$23:$B$12292,$B299,'Besi Balok'!$F$23:$F$12292,'REKAP Balok'!Q$12)</f>
        <v>0</v>
      </c>
      <c r="R299">
        <f>SUMIFS('Besi Balok'!$AA$23:$AA$12292,'Besi Balok'!$A$23:$A$12292,$A299,'Besi Balok'!$B$23:$B$12292,$B299,'Besi Balok'!$F$23:$F$12292,'REKAP Balok'!R$12)</f>
        <v>0</v>
      </c>
      <c r="S299">
        <f>SUMIFS('Besi Balok'!$AA$23:$AA$12292,'Besi Balok'!$A$23:$A$12292,$A299,'Besi Balok'!$B$23:$B$12292,$B299,'Besi Balok'!$F$23:$F$12292,'REKAP Balok'!S$12)</f>
        <v>0</v>
      </c>
      <c r="T299">
        <f>SUMIFS('Besi Balok'!$AA$23:$AA$12292,'Besi Balok'!$A$23:$A$12292,$A299,'Besi Balok'!$B$23:$B$12292,$B299,'Besi Balok'!$F$23:$F$12292,'REKAP Balok'!T$12)</f>
        <v>0</v>
      </c>
      <c r="U299">
        <f>SUM(L299:T299)</f>
        <v>159.05685204000002</v>
      </c>
      <c r="V299">
        <f>(D299*(F299-H299)*G299*K299)/1000000000</f>
        <v>0.763515</v>
      </c>
      <c r="W299">
        <f>(((F299-H299)*2+D299)*(G299)*K299)/1000000</f>
        <v>6.7146</v>
      </c>
      <c r="AC299">
        <f>(D299+2*$F$5)*F299*G299/1000000000</f>
        <v>1.6245</v>
      </c>
    </row>
    <row r="300">
      <c r="A300" t="str">
        <f>'Data Panjang Balok'!A297</f>
        <v>Lantai Attic</v>
      </c>
      <c r="B300">
        <f>'Data Panjang Balok'!B297</f>
        <v>20</v>
      </c>
      <c r="C300" t="str">
        <f>'Data Panjang Balok'!D297</f>
        <v>B24-3</v>
      </c>
      <c r="D300">
        <f>IF(C300&gt;0,VLOOKUP(C300,'Detail Balok'!$C$11:$AU$110,2,FALSE),0)</f>
        <v>200</v>
      </c>
      <c r="E300" t="str">
        <v>x</v>
      </c>
      <c r="F300">
        <f>IF(C300&gt;0,VLOOKUP(C300,'Detail Balok'!$C$11:$AU$110,3,FALSE),0)</f>
        <v>400</v>
      </c>
      <c r="G300">
        <f>'Data Panjang Balok'!I297</f>
        <v>6400</v>
      </c>
      <c r="H300">
        <f>'Data Panjang Balok'!J297</f>
        <v>150</v>
      </c>
      <c r="J300">
        <f>I300-F300/1000</f>
        <v>-0.4</v>
      </c>
      <c r="K300">
        <f>'Data Panjang Balok'!E297</f>
        <v>1</v>
      </c>
      <c r="L300">
        <f>SUMIFS('Besi Balok'!$AA$23:$AA$12292,'Besi Balok'!$A$23:$A$12292,$A300,'Besi Balok'!$B$23:$B$12292,$B300,'Besi Balok'!$F$23:$F$12292,'REKAP Balok'!L$12)</f>
        <v>0</v>
      </c>
      <c r="M300">
        <f>SUMIFS('Besi Balok'!$AA$23:$AA$12292,'Besi Balok'!$A$23:$A$12292,$A300,'Besi Balok'!$B$23:$B$12292,$B300,'Besi Balok'!$F$23:$F$12292,'REKAP Balok'!M$12)</f>
        <v>0</v>
      </c>
      <c r="N300">
        <f>SUMIFS('Besi Balok'!$AA$23:$AA$12292,'Besi Balok'!$A$23:$A$12292,$A300,'Besi Balok'!$B$23:$B$12292,$B300,'Besi Balok'!$F$23:$F$12292,'REKAP Balok'!N$12)</f>
        <v>31.749750000000006</v>
      </c>
      <c r="O300">
        <f>SUMIFS('Besi Balok'!$AA$23:$AA$12292,'Besi Balok'!$A$23:$A$12292,$A300,'Besi Balok'!$B$23:$B$12292,$B300,'Besi Balok'!$F$23:$F$12292,'REKAP Balok'!O$12)</f>
        <v>0</v>
      </c>
      <c r="P300">
        <f>SUMIFS('Besi Balok'!$AA$23:$AA$12292,'Besi Balok'!$A$23:$A$12292,$A300,'Besi Balok'!$B$23:$B$12292,$B300,'Besi Balok'!$F$23:$F$12292,'REKAP Balok'!P$12)</f>
        <v>64.24068096</v>
      </c>
      <c r="Q300">
        <f>SUMIFS('Besi Balok'!$AA$23:$AA$12292,'Besi Balok'!$A$23:$A$12292,$A300,'Besi Balok'!$B$23:$B$12292,$B300,'Besi Balok'!$F$23:$F$12292,'REKAP Balok'!Q$12)</f>
        <v>0</v>
      </c>
      <c r="R300">
        <f>SUMIFS('Besi Balok'!$AA$23:$AA$12292,'Besi Balok'!$A$23:$A$12292,$A300,'Besi Balok'!$B$23:$B$12292,$B300,'Besi Balok'!$F$23:$F$12292,'REKAP Balok'!R$12)</f>
        <v>0</v>
      </c>
      <c r="S300">
        <f>SUMIFS('Besi Balok'!$AA$23:$AA$12292,'Besi Balok'!$A$23:$A$12292,$A300,'Besi Balok'!$B$23:$B$12292,$B300,'Besi Balok'!$F$23:$F$12292,'REKAP Balok'!S$12)</f>
        <v>0</v>
      </c>
      <c r="T300">
        <f>SUMIFS('Besi Balok'!$AA$23:$AA$12292,'Besi Balok'!$A$23:$A$12292,$A300,'Besi Balok'!$B$23:$B$12292,$B300,'Besi Balok'!$F$23:$F$12292,'REKAP Balok'!T$12)</f>
        <v>0</v>
      </c>
      <c r="U300">
        <f>SUM(L300:T300)</f>
        <v>95.99043096000001</v>
      </c>
      <c r="V300">
        <f>(D300*(F300-H300)*G300*K300)/1000000000</f>
        <v>0.32</v>
      </c>
      <c r="W300">
        <f>(((F300-H300)*2+D300)*(G300)*K300)/1000000</f>
        <v>4.48</v>
      </c>
      <c r="AC300">
        <f>(D300+2*$F$5)*F300*G300/1000000000</f>
        <v>1.024</v>
      </c>
    </row>
    <row r="301">
      <c r="A301" t="str">
        <f>'Data Panjang Balok'!A298</f>
        <v>Lantai Attic</v>
      </c>
      <c r="B301">
        <f>'Data Panjang Balok'!B298</f>
        <v>21</v>
      </c>
      <c r="C301" t="str">
        <f>'Data Panjang Balok'!D298</f>
        <v>Potongan J</v>
      </c>
      <c r="D301">
        <f>IF(C301&gt;0,VLOOKUP(C301,'Detail Balok'!$C$11:$AU$110,2,FALSE),0)</f>
        <v>200</v>
      </c>
      <c r="E301" t="str">
        <v>x</v>
      </c>
      <c r="F301">
        <f>IF(C301&gt;0,VLOOKUP(C301,'Detail Balok'!$C$11:$AU$110,3,FALSE),0)</f>
        <v>500</v>
      </c>
      <c r="G301">
        <f>'Data Panjang Balok'!I298</f>
        <v>700</v>
      </c>
      <c r="H301">
        <f>'Data Panjang Balok'!J298</f>
        <v>150</v>
      </c>
      <c r="J301">
        <f>I301-F301/1000</f>
        <v>-0.5</v>
      </c>
      <c r="K301">
        <f>'Data Panjang Balok'!E298</f>
        <v>1</v>
      </c>
      <c r="L301">
        <f>SUMIFS('Besi Balok'!$AA$23:$AA$12292,'Besi Balok'!$A$23:$A$12292,$A301,'Besi Balok'!$B$23:$B$12292,$B301,'Besi Balok'!$F$23:$F$12292,'REKAP Balok'!L$12)</f>
        <v>0</v>
      </c>
      <c r="M301">
        <f>SUMIFS('Besi Balok'!$AA$23:$AA$12292,'Besi Balok'!$A$23:$A$12292,$A301,'Besi Balok'!$B$23:$B$12292,$B301,'Besi Balok'!$F$23:$F$12292,'REKAP Balok'!M$12)</f>
        <v>0</v>
      </c>
      <c r="N301">
        <f>SUMIFS('Besi Balok'!$AA$23:$AA$12292,'Besi Balok'!$A$23:$A$12292,$A301,'Besi Balok'!$B$23:$B$12292,$B301,'Besi Balok'!$F$23:$F$12292,'REKAP Balok'!N$12)</f>
        <v>4.950495</v>
      </c>
      <c r="O301">
        <f>SUMIFS('Besi Balok'!$AA$23:$AA$12292,'Besi Balok'!$A$23:$A$12292,$A301,'Besi Balok'!$B$23:$B$12292,$B301,'Besi Balok'!$F$23:$F$12292,'REKAP Balok'!O$12)</f>
        <v>0</v>
      </c>
      <c r="P301">
        <f>SUMIFS('Besi Balok'!$AA$23:$AA$12292,'Besi Balok'!$A$23:$A$12292,$A301,'Besi Balok'!$B$23:$B$12292,$B301,'Besi Balok'!$F$23:$F$12292,'REKAP Balok'!P$12)</f>
        <v>0</v>
      </c>
      <c r="Q301">
        <f>SUMIFS('Besi Balok'!$AA$23:$AA$12292,'Besi Balok'!$A$23:$A$12292,$A301,'Besi Balok'!$B$23:$B$12292,$B301,'Besi Balok'!$F$23:$F$12292,'REKAP Balok'!Q$12)</f>
        <v>18.00927198</v>
      </c>
      <c r="R301">
        <f>SUMIFS('Besi Balok'!$AA$23:$AA$12292,'Besi Balok'!$A$23:$A$12292,$A301,'Besi Balok'!$B$23:$B$12292,$B301,'Besi Balok'!$F$23:$F$12292,'REKAP Balok'!R$12)</f>
        <v>0</v>
      </c>
      <c r="S301">
        <f>SUMIFS('Besi Balok'!$AA$23:$AA$12292,'Besi Balok'!$A$23:$A$12292,$A301,'Besi Balok'!$B$23:$B$12292,$B301,'Besi Balok'!$F$23:$F$12292,'REKAP Balok'!S$12)</f>
        <v>0</v>
      </c>
      <c r="T301">
        <f>SUMIFS('Besi Balok'!$AA$23:$AA$12292,'Besi Balok'!$A$23:$A$12292,$A301,'Besi Balok'!$B$23:$B$12292,$B301,'Besi Balok'!$F$23:$F$12292,'REKAP Balok'!T$12)</f>
        <v>0</v>
      </c>
      <c r="U301">
        <f>SUM(L301:T301)</f>
        <v>22.95976698</v>
      </c>
      <c r="V301">
        <f>(D301*(F301-H301)*G301*K301)/1000000000</f>
        <v>0.049</v>
      </c>
      <c r="W301">
        <f>(((F301-H301)*2+D301)*(G301)*K301)/1000000</f>
        <v>0.63</v>
      </c>
      <c r="AC301">
        <f>(D301+2*$F$5)*F301*G301/1000000000</f>
        <v>0.14</v>
      </c>
    </row>
    <row r="302">
      <c r="A302" t="str">
        <f>'Data Panjang Balok'!A299</f>
        <v>Lantai Attic</v>
      </c>
      <c r="B302">
        <f>'Data Panjang Balok'!B299</f>
        <v>22</v>
      </c>
      <c r="C302" t="str">
        <f>'Data Panjang Balok'!D299</f>
        <v>B2550-1</v>
      </c>
      <c r="D302">
        <f>IF(C302&gt;0,VLOOKUP(C302,'Detail Balok'!$C$11:$AU$110,2,FALSE),0)</f>
        <v>250</v>
      </c>
      <c r="E302" t="str">
        <v>x</v>
      </c>
      <c r="F302">
        <f>IF(C302&gt;0,VLOOKUP(C302,'Detail Balok'!$C$11:$AU$110,3,FALSE),0)</f>
        <v>500</v>
      </c>
      <c r="G302">
        <f>'Data Panjang Balok'!I299</f>
        <v>6100</v>
      </c>
      <c r="H302">
        <f>'Data Panjang Balok'!J299</f>
        <v>130</v>
      </c>
      <c r="J302">
        <f>I302-F302/1000</f>
        <v>-0.5</v>
      </c>
      <c r="K302">
        <f>'Data Panjang Balok'!E299</f>
        <v>1</v>
      </c>
      <c r="L302">
        <f>SUMIFS('Besi Balok'!$AA$23:$AA$12292,'Besi Balok'!$A$23:$A$12292,$A302,'Besi Balok'!$B$23:$B$12292,$B302,'Besi Balok'!$F$23:$F$12292,'REKAP Balok'!L$12)</f>
        <v>0</v>
      </c>
      <c r="M302">
        <f>SUMIFS('Besi Balok'!$AA$23:$AA$12292,'Besi Balok'!$A$23:$A$12292,$A302,'Besi Balok'!$B$23:$B$12292,$B302,'Besi Balok'!$F$23:$F$12292,'REKAP Balok'!M$12)</f>
        <v>0</v>
      </c>
      <c r="N302">
        <f>SUMIFS('Besi Balok'!$AA$23:$AA$12292,'Besi Balok'!$A$23:$A$12292,$A302,'Besi Balok'!$B$23:$B$12292,$B302,'Besi Balok'!$F$23:$F$12292,'REKAP Balok'!N$12)</f>
        <v>49.634415</v>
      </c>
      <c r="O302">
        <f>SUMIFS('Besi Balok'!$AA$23:$AA$12292,'Besi Balok'!$A$23:$A$12292,$A302,'Besi Balok'!$B$23:$B$12292,$B302,'Besi Balok'!$F$23:$F$12292,'REKAP Balok'!O$12)</f>
        <v>0</v>
      </c>
      <c r="P302">
        <f>SUMIFS('Besi Balok'!$AA$23:$AA$12292,'Besi Balok'!$A$23:$A$12292,$A302,'Besi Balok'!$B$23:$B$12292,$B302,'Besi Balok'!$F$23:$F$12292,'REKAP Balok'!P$12)</f>
        <v>0</v>
      </c>
      <c r="Q302">
        <f>SUMIFS('Besi Balok'!$AA$23:$AA$12292,'Besi Balok'!$A$23:$A$12292,$A302,'Besi Balok'!$B$23:$B$12292,$B302,'Besi Balok'!$F$23:$F$12292,'REKAP Balok'!Q$12)</f>
        <v>129.66141689999998</v>
      </c>
      <c r="R302">
        <f>SUMIFS('Besi Balok'!$AA$23:$AA$12292,'Besi Balok'!$A$23:$A$12292,$A302,'Besi Balok'!$B$23:$B$12292,$B302,'Besi Balok'!$F$23:$F$12292,'REKAP Balok'!R$12)</f>
        <v>0</v>
      </c>
      <c r="S302">
        <f>SUMIFS('Besi Balok'!$AA$23:$AA$12292,'Besi Balok'!$A$23:$A$12292,$A302,'Besi Balok'!$B$23:$B$12292,$B302,'Besi Balok'!$F$23:$F$12292,'REKAP Balok'!S$12)</f>
        <v>0</v>
      </c>
      <c r="T302">
        <f>SUMIFS('Besi Balok'!$AA$23:$AA$12292,'Besi Balok'!$A$23:$A$12292,$A302,'Besi Balok'!$B$23:$B$12292,$B302,'Besi Balok'!$F$23:$F$12292,'REKAP Balok'!T$12)</f>
        <v>0</v>
      </c>
      <c r="U302">
        <f>SUM(L302:T302)</f>
        <v>179.29583189999997</v>
      </c>
      <c r="V302">
        <f>(D302*(F302-H302)*G302*K302)/1000000000</f>
        <v>0.56425</v>
      </c>
      <c r="W302">
        <f>(((F302-H302)*2+D302)*(G302)*K302)/1000000</f>
        <v>6.039</v>
      </c>
      <c r="AC302">
        <f>(D302+2*$F$5)*F302*G302/1000000000</f>
        <v>1.3725</v>
      </c>
    </row>
    <row r="303">
      <c r="A303" t="str">
        <f>'Data Panjang Balok'!A300</f>
        <v>Lantai Attic</v>
      </c>
      <c r="B303">
        <f>'Data Panjang Balok'!B300</f>
        <v>23</v>
      </c>
      <c r="C303" t="str">
        <f>'Data Panjang Balok'!D300</f>
        <v>B2550-1</v>
      </c>
      <c r="D303">
        <f>IF(C303&gt;0,VLOOKUP(C303,'Detail Balok'!$C$11:$AU$110,2,FALSE),0)</f>
        <v>250</v>
      </c>
      <c r="E303" t="str">
        <v>x</v>
      </c>
      <c r="F303">
        <f>IF(C303&gt;0,VLOOKUP(C303,'Detail Balok'!$C$11:$AU$110,3,FALSE),0)</f>
        <v>500</v>
      </c>
      <c r="G303">
        <f>'Data Panjang Balok'!I300</f>
        <v>5000</v>
      </c>
      <c r="H303">
        <f>'Data Panjang Balok'!J300</f>
        <v>130</v>
      </c>
      <c r="J303">
        <f>I303-F303/1000</f>
        <v>-0.5</v>
      </c>
      <c r="K303">
        <f>'Data Panjang Balok'!E300</f>
        <v>1</v>
      </c>
      <c r="L303">
        <f>SUMIFS('Besi Balok'!$AA$23:$AA$12292,'Besi Balok'!$A$23:$A$12292,$A303,'Besi Balok'!$B$23:$B$12292,$B303,'Besi Balok'!$F$23:$F$12292,'REKAP Balok'!L$12)</f>
        <v>0</v>
      </c>
      <c r="M303">
        <f>SUMIFS('Besi Balok'!$AA$23:$AA$12292,'Besi Balok'!$A$23:$A$12292,$A303,'Besi Balok'!$B$23:$B$12292,$B303,'Besi Balok'!$F$23:$F$12292,'REKAP Balok'!M$12)</f>
        <v>0</v>
      </c>
      <c r="N303">
        <f>SUMIFS('Besi Balok'!$AA$23:$AA$12292,'Besi Balok'!$A$23:$A$12292,$A303,'Besi Balok'!$B$23:$B$12292,$B303,'Besi Balok'!$F$23:$F$12292,'REKAP Balok'!N$12)</f>
        <v>41.718554999999995</v>
      </c>
      <c r="O303">
        <f>SUMIFS('Besi Balok'!$AA$23:$AA$12292,'Besi Balok'!$A$23:$A$12292,$A303,'Besi Balok'!$B$23:$B$12292,$B303,'Besi Balok'!$F$23:$F$12292,'REKAP Balok'!O$12)</f>
        <v>0</v>
      </c>
      <c r="P303">
        <f>SUMIFS('Besi Balok'!$AA$23:$AA$12292,'Besi Balok'!$A$23:$A$12292,$A303,'Besi Balok'!$B$23:$B$12292,$B303,'Besi Balok'!$F$23:$F$12292,'REKAP Balok'!P$12)</f>
        <v>0</v>
      </c>
      <c r="Q303">
        <f>SUMIFS('Besi Balok'!$AA$23:$AA$12292,'Besi Balok'!$A$23:$A$12292,$A303,'Besi Balok'!$B$23:$B$12292,$B303,'Besi Balok'!$F$23:$F$12292,'REKAP Balok'!Q$12)</f>
        <v>107.995541625</v>
      </c>
      <c r="R303">
        <f>SUMIFS('Besi Balok'!$AA$23:$AA$12292,'Besi Balok'!$A$23:$A$12292,$A303,'Besi Balok'!$B$23:$B$12292,$B303,'Besi Balok'!$F$23:$F$12292,'REKAP Balok'!R$12)</f>
        <v>0</v>
      </c>
      <c r="S303">
        <f>SUMIFS('Besi Balok'!$AA$23:$AA$12292,'Besi Balok'!$A$23:$A$12292,$A303,'Besi Balok'!$B$23:$B$12292,$B303,'Besi Balok'!$F$23:$F$12292,'REKAP Balok'!S$12)</f>
        <v>0</v>
      </c>
      <c r="T303">
        <f>SUMIFS('Besi Balok'!$AA$23:$AA$12292,'Besi Balok'!$A$23:$A$12292,$A303,'Besi Balok'!$B$23:$B$12292,$B303,'Besi Balok'!$F$23:$F$12292,'REKAP Balok'!T$12)</f>
        <v>0</v>
      </c>
      <c r="U303">
        <f>SUM(L303:T303)</f>
        <v>149.714096625</v>
      </c>
      <c r="V303">
        <f>(D303*(F303-H303)*G303*K303)/1000000000</f>
        <v>0.4625</v>
      </c>
      <c r="W303">
        <f>(((F303-H303)*2+D303)*(G303)*K303)/1000000</f>
        <v>4.95</v>
      </c>
      <c r="AC303">
        <f>(D303+2*$F$5)*F303*G303/1000000000</f>
        <v>1.125</v>
      </c>
    </row>
    <row r="304">
      <c r="A304" t="str">
        <f>'Data Panjang Balok'!A301</f>
        <v>Lantai Attic</v>
      </c>
      <c r="B304">
        <f>'Data Panjang Balok'!B301</f>
        <v>24</v>
      </c>
      <c r="C304" t="str">
        <f>'Data Panjang Balok'!D301</f>
        <v>BB</v>
      </c>
      <c r="D304">
        <f>IF(C304&gt;0,VLOOKUP(C304,'Detail Balok'!$C$11:$AU$110,2,FALSE),0)</f>
        <v>200</v>
      </c>
      <c r="E304" t="str">
        <v>x</v>
      </c>
      <c r="F304">
        <f>IF(C304&gt;0,VLOOKUP(C304,'Detail Balok'!$C$11:$AU$110,3,FALSE),0)</f>
        <v>150</v>
      </c>
      <c r="G304">
        <f>'Data Panjang Balok'!I301</f>
        <v>900</v>
      </c>
      <c r="H304">
        <f>'Data Panjang Balok'!J301</f>
        <v>150</v>
      </c>
      <c r="J304">
        <f>I304-F304/1000</f>
        <v>-0.15</v>
      </c>
      <c r="K304">
        <f>'Data Panjang Balok'!E301</f>
        <v>1</v>
      </c>
      <c r="L304">
        <f>SUMIFS('Besi Balok'!$AA$23:$AA$12292,'Besi Balok'!$A$23:$A$12292,$A304,'Besi Balok'!$B$23:$B$12292,$B304,'Besi Balok'!$F$23:$F$12292,'REKAP Balok'!L$12)</f>
        <v>0</v>
      </c>
      <c r="M304">
        <f>SUMIFS('Besi Balok'!$AA$23:$AA$12292,'Besi Balok'!$A$23:$A$12292,$A304,'Besi Balok'!$B$23:$B$12292,$B304,'Besi Balok'!$F$23:$F$12292,'REKAP Balok'!M$12)</f>
        <v>2.3002848</v>
      </c>
      <c r="N304">
        <f>SUMIFS('Besi Balok'!$AA$23:$AA$12292,'Besi Balok'!$A$23:$A$12292,$A304,'Besi Balok'!$B$23:$B$12292,$B304,'Besi Balok'!$F$23:$F$12292,'REKAP Balok'!N$12)</f>
        <v>2.81124</v>
      </c>
      <c r="O304">
        <f>SUMIFS('Besi Balok'!$AA$23:$AA$12292,'Besi Balok'!$A$23:$A$12292,$A304,'Besi Balok'!$B$23:$B$12292,$B304,'Besi Balok'!$F$23:$F$12292,'REKAP Balok'!O$12)</f>
        <v>0</v>
      </c>
      <c r="P304">
        <f>SUMIFS('Besi Balok'!$AA$23:$AA$12292,'Besi Balok'!$A$23:$A$12292,$A304,'Besi Balok'!$B$23:$B$12292,$B304,'Besi Balok'!$F$23:$F$12292,'REKAP Balok'!P$12)</f>
        <v>0</v>
      </c>
      <c r="Q304">
        <f>SUMIFS('Besi Balok'!$AA$23:$AA$12292,'Besi Balok'!$A$23:$A$12292,$A304,'Besi Balok'!$B$23:$B$12292,$B304,'Besi Balok'!$F$23:$F$12292,'REKAP Balok'!Q$12)</f>
        <v>0</v>
      </c>
      <c r="R304">
        <f>SUMIFS('Besi Balok'!$AA$23:$AA$12292,'Besi Balok'!$A$23:$A$12292,$A304,'Besi Balok'!$B$23:$B$12292,$B304,'Besi Balok'!$F$23:$F$12292,'REKAP Balok'!R$12)</f>
        <v>0</v>
      </c>
      <c r="S304">
        <f>SUMIFS('Besi Balok'!$AA$23:$AA$12292,'Besi Balok'!$A$23:$A$12292,$A304,'Besi Balok'!$B$23:$B$12292,$B304,'Besi Balok'!$F$23:$F$12292,'REKAP Balok'!S$12)</f>
        <v>0</v>
      </c>
      <c r="T304">
        <f>SUMIFS('Besi Balok'!$AA$23:$AA$12292,'Besi Balok'!$A$23:$A$12292,$A304,'Besi Balok'!$B$23:$B$12292,$B304,'Besi Balok'!$F$23:$F$12292,'REKAP Balok'!T$12)</f>
        <v>0</v>
      </c>
      <c r="U304">
        <f>SUM(L304:T304)</f>
        <v>5.1115248</v>
      </c>
      <c r="V304">
        <f>(D304*(F304-H304)*G304*K304)/1000000000</f>
        <v>0</v>
      </c>
      <c r="W304">
        <f>(((F304-H304)*2+D304)*(G304)*K304)/1000000</f>
        <v>0.18</v>
      </c>
      <c r="AC304">
        <f>(D304+2*$F$5)*F304*G304/1000000000</f>
        <v>0.054</v>
      </c>
    </row>
    <row r="305">
      <c r="A305" t="str">
        <f>'Data Panjang Balok'!A302</f>
        <v>Lantai Attic</v>
      </c>
      <c r="B305">
        <f>'Data Panjang Balok'!B302</f>
        <v>25</v>
      </c>
      <c r="C305" t="str">
        <f>'Data Panjang Balok'!D302</f>
        <v>BB</v>
      </c>
      <c r="D305">
        <f>IF(C305&gt;0,VLOOKUP(C305,'Detail Balok'!$C$11:$AU$110,2,FALSE),0)</f>
        <v>200</v>
      </c>
      <c r="E305" t="str">
        <v>x</v>
      </c>
      <c r="F305">
        <f>IF(C305&gt;0,VLOOKUP(C305,'Detail Balok'!$C$11:$AU$110,3,FALSE),0)</f>
        <v>150</v>
      </c>
      <c r="G305">
        <f>'Data Panjang Balok'!I302</f>
        <v>900</v>
      </c>
      <c r="H305">
        <f>'Data Panjang Balok'!J302</f>
        <v>150</v>
      </c>
      <c r="J305">
        <f>I305-F305/1000</f>
        <v>-0.15</v>
      </c>
      <c r="K305">
        <f>'Data Panjang Balok'!E302</f>
        <v>1</v>
      </c>
      <c r="L305">
        <f>SUMIFS('Besi Balok'!$AA$23:$AA$12292,'Besi Balok'!$A$23:$A$12292,$A305,'Besi Balok'!$B$23:$B$12292,$B305,'Besi Balok'!$F$23:$F$12292,'REKAP Balok'!L$12)</f>
        <v>0</v>
      </c>
      <c r="M305">
        <f>SUMIFS('Besi Balok'!$AA$23:$AA$12292,'Besi Balok'!$A$23:$A$12292,$A305,'Besi Balok'!$B$23:$B$12292,$B305,'Besi Balok'!$F$23:$F$12292,'REKAP Balok'!M$12)</f>
        <v>2.3002848</v>
      </c>
      <c r="N305">
        <f>SUMIFS('Besi Balok'!$AA$23:$AA$12292,'Besi Balok'!$A$23:$A$12292,$A305,'Besi Balok'!$B$23:$B$12292,$B305,'Besi Balok'!$F$23:$F$12292,'REKAP Balok'!N$12)</f>
        <v>2.81124</v>
      </c>
      <c r="O305">
        <f>SUMIFS('Besi Balok'!$AA$23:$AA$12292,'Besi Balok'!$A$23:$A$12292,$A305,'Besi Balok'!$B$23:$B$12292,$B305,'Besi Balok'!$F$23:$F$12292,'REKAP Balok'!O$12)</f>
        <v>0</v>
      </c>
      <c r="P305">
        <f>SUMIFS('Besi Balok'!$AA$23:$AA$12292,'Besi Balok'!$A$23:$A$12292,$A305,'Besi Balok'!$B$23:$B$12292,$B305,'Besi Balok'!$F$23:$F$12292,'REKAP Balok'!P$12)</f>
        <v>0</v>
      </c>
      <c r="Q305">
        <f>SUMIFS('Besi Balok'!$AA$23:$AA$12292,'Besi Balok'!$A$23:$A$12292,$A305,'Besi Balok'!$B$23:$B$12292,$B305,'Besi Balok'!$F$23:$F$12292,'REKAP Balok'!Q$12)</f>
        <v>0</v>
      </c>
      <c r="R305">
        <f>SUMIFS('Besi Balok'!$AA$23:$AA$12292,'Besi Balok'!$A$23:$A$12292,$A305,'Besi Balok'!$B$23:$B$12292,$B305,'Besi Balok'!$F$23:$F$12292,'REKAP Balok'!R$12)</f>
        <v>0</v>
      </c>
      <c r="S305">
        <f>SUMIFS('Besi Balok'!$AA$23:$AA$12292,'Besi Balok'!$A$23:$A$12292,$A305,'Besi Balok'!$B$23:$B$12292,$B305,'Besi Balok'!$F$23:$F$12292,'REKAP Balok'!S$12)</f>
        <v>0</v>
      </c>
      <c r="T305">
        <f>SUMIFS('Besi Balok'!$AA$23:$AA$12292,'Besi Balok'!$A$23:$A$12292,$A305,'Besi Balok'!$B$23:$B$12292,$B305,'Besi Balok'!$F$23:$F$12292,'REKAP Balok'!T$12)</f>
        <v>0</v>
      </c>
      <c r="U305">
        <f>SUM(L305:T305)</f>
        <v>5.1115248</v>
      </c>
      <c r="V305">
        <f>(D305*(F305-H305)*G305*K305)/1000000000</f>
        <v>0</v>
      </c>
      <c r="W305">
        <f>(((F305-H305)*2+D305)*(G305)*K305)/1000000</f>
        <v>0.18</v>
      </c>
      <c r="AC305">
        <f>(D305+2*$F$5)*F305*G305/1000000000</f>
        <v>0.054</v>
      </c>
    </row>
    <row r="306">
      <c r="A306" t="str">
        <f>'Data Panjang Balok'!A303</f>
        <v>Lantai Attic</v>
      </c>
      <c r="B306">
        <f>'Data Panjang Balok'!B303</f>
        <v>26</v>
      </c>
      <c r="C306" t="str">
        <f>'Data Panjang Balok'!D303</f>
        <v>B25-2</v>
      </c>
      <c r="D306">
        <f>IF(C306&gt;0,VLOOKUP(C306,'Detail Balok'!$C$11:$AU$110,2,FALSE),0)</f>
        <v>200</v>
      </c>
      <c r="E306" t="str">
        <v>x</v>
      </c>
      <c r="F306">
        <f>IF(C306&gt;0,VLOOKUP(C306,'Detail Balok'!$C$11:$AU$110,3,FALSE),0)</f>
        <v>500</v>
      </c>
      <c r="G306">
        <f>'Data Panjang Balok'!I303</f>
        <v>8200</v>
      </c>
      <c r="H306">
        <f>'Data Panjang Balok'!J303</f>
        <v>130</v>
      </c>
      <c r="J306">
        <f>I306-F306/1000</f>
        <v>-0.5</v>
      </c>
      <c r="K306">
        <f>'Data Panjang Balok'!E303</f>
        <v>1</v>
      </c>
      <c r="L306">
        <f>SUMIFS('Besi Balok'!$AA$23:$AA$12292,'Besi Balok'!$A$23:$A$12292,$A306,'Besi Balok'!$B$23:$B$12292,$B306,'Besi Balok'!$F$23:$F$12292,'REKAP Balok'!L$12)</f>
        <v>0</v>
      </c>
      <c r="M306">
        <f>SUMIFS('Besi Balok'!$AA$23:$AA$12292,'Besi Balok'!$A$23:$A$12292,$A306,'Besi Balok'!$B$23:$B$12292,$B306,'Besi Balok'!$F$23:$F$12292,'REKAP Balok'!M$12)</f>
        <v>0</v>
      </c>
      <c r="N306">
        <f>SUMIFS('Besi Balok'!$AA$23:$AA$12292,'Besi Balok'!$A$23:$A$12292,$A306,'Besi Balok'!$B$23:$B$12292,$B306,'Besi Balok'!$F$23:$F$12292,'REKAP Balok'!N$12)</f>
        <v>77.894775</v>
      </c>
      <c r="O306">
        <f>SUMIFS('Besi Balok'!$AA$23:$AA$12292,'Besi Balok'!$A$23:$A$12292,$A306,'Besi Balok'!$B$23:$B$12292,$B306,'Besi Balok'!$F$23:$F$12292,'REKAP Balok'!O$12)</f>
        <v>0</v>
      </c>
      <c r="P306">
        <f>SUMIFS('Besi Balok'!$AA$23:$AA$12292,'Besi Balok'!$A$23:$A$12292,$A306,'Besi Balok'!$B$23:$B$12292,$B306,'Besi Balok'!$F$23:$F$12292,'REKAP Balok'!P$12)</f>
        <v>81.28567296</v>
      </c>
      <c r="Q306">
        <f>SUMIFS('Besi Balok'!$AA$23:$AA$12292,'Besi Balok'!$A$23:$A$12292,$A306,'Besi Balok'!$B$23:$B$12292,$B306,'Besi Balok'!$F$23:$F$12292,'REKAP Balok'!Q$12)</f>
        <v>0</v>
      </c>
      <c r="R306">
        <f>SUMIFS('Besi Balok'!$AA$23:$AA$12292,'Besi Balok'!$A$23:$A$12292,$A306,'Besi Balok'!$B$23:$B$12292,$B306,'Besi Balok'!$F$23:$F$12292,'REKAP Balok'!R$12)</f>
        <v>0</v>
      </c>
      <c r="S306">
        <f>SUMIFS('Besi Balok'!$AA$23:$AA$12292,'Besi Balok'!$A$23:$A$12292,$A306,'Besi Balok'!$B$23:$B$12292,$B306,'Besi Balok'!$F$23:$F$12292,'REKAP Balok'!S$12)</f>
        <v>0</v>
      </c>
      <c r="T306">
        <f>SUMIFS('Besi Balok'!$AA$23:$AA$12292,'Besi Balok'!$A$23:$A$12292,$A306,'Besi Balok'!$B$23:$B$12292,$B306,'Besi Balok'!$F$23:$F$12292,'REKAP Balok'!T$12)</f>
        <v>0</v>
      </c>
      <c r="U306">
        <f>SUM(L306:T306)</f>
        <v>159.18044795999998</v>
      </c>
      <c r="V306">
        <f>(D306*(F306-H306)*G306*K306)/1000000000</f>
        <v>0.6068</v>
      </c>
      <c r="W306">
        <f>(((F306-H306)*2+D306)*(G306)*K306)/1000000</f>
        <v>7.708</v>
      </c>
      <c r="AC306">
        <f>(D306+2*$F$5)*F306*G306/1000000000</f>
        <v>1.64</v>
      </c>
    </row>
    <row r="307">
      <c r="A307" t="str">
        <f>'Data Panjang Balok'!A304</f>
        <v>Lantai Attic</v>
      </c>
      <c r="B307">
        <f>'Data Panjang Balok'!B304</f>
        <v>27</v>
      </c>
      <c r="C307" t="str">
        <f>'Data Panjang Balok'!D304</f>
        <v>Potongan F</v>
      </c>
      <c r="D307">
        <f>IF(C307&gt;0,VLOOKUP(C307,'Detail Balok'!$C$11:$AU$110,2,FALSE),0)</f>
        <v>200</v>
      </c>
      <c r="E307" t="str">
        <v>x</v>
      </c>
      <c r="F307">
        <f>IF(C307&gt;0,VLOOKUP(C307,'Detail Balok'!$C$11:$AU$110,3,FALSE),0)</f>
        <v>450</v>
      </c>
      <c r="G307">
        <f>'Data Panjang Balok'!I304</f>
        <v>2100</v>
      </c>
      <c r="H307">
        <f>'Data Panjang Balok'!J304</f>
        <v>130</v>
      </c>
      <c r="J307">
        <f>I307-F307/1000</f>
        <v>-0.45</v>
      </c>
      <c r="K307">
        <f>'Data Panjang Balok'!E304</f>
        <v>1</v>
      </c>
      <c r="L307">
        <f>SUMIFS('Besi Balok'!$AA$23:$AA$12292,'Besi Balok'!$A$23:$A$12292,$A307,'Besi Balok'!$B$23:$B$12292,$B307,'Besi Balok'!$F$23:$F$12292,'REKAP Balok'!L$12)</f>
        <v>0</v>
      </c>
      <c r="M307">
        <f>SUMIFS('Besi Balok'!$AA$23:$AA$12292,'Besi Balok'!$A$23:$A$12292,$A307,'Besi Balok'!$B$23:$B$12292,$B307,'Besi Balok'!$F$23:$F$12292,'REKAP Balok'!M$12)</f>
        <v>0</v>
      </c>
      <c r="N307">
        <f>SUMIFS('Besi Balok'!$AA$23:$AA$12292,'Besi Balok'!$A$23:$A$12292,$A307,'Besi Balok'!$B$23:$B$12292,$B307,'Besi Balok'!$F$23:$F$12292,'REKAP Balok'!N$12)</f>
        <v>18.908054999999997</v>
      </c>
      <c r="O307">
        <f>SUMIFS('Besi Balok'!$AA$23:$AA$12292,'Besi Balok'!$A$23:$A$12292,$A307,'Besi Balok'!$B$23:$B$12292,$B307,'Besi Balok'!$F$23:$F$12292,'REKAP Balok'!O$12)</f>
        <v>0</v>
      </c>
      <c r="P307">
        <f>SUMIFS('Besi Balok'!$AA$23:$AA$12292,'Besi Balok'!$A$23:$A$12292,$A307,'Besi Balok'!$B$23:$B$12292,$B307,'Besi Balok'!$F$23:$F$12292,'REKAP Balok'!P$12)</f>
        <v>31.362785280000004</v>
      </c>
      <c r="Q307">
        <f>SUMIFS('Besi Balok'!$AA$23:$AA$12292,'Besi Balok'!$A$23:$A$12292,$A307,'Besi Balok'!$B$23:$B$12292,$B307,'Besi Balok'!$F$23:$F$12292,'REKAP Balok'!Q$12)</f>
        <v>0</v>
      </c>
      <c r="R307">
        <f>SUMIFS('Besi Balok'!$AA$23:$AA$12292,'Besi Balok'!$A$23:$A$12292,$A307,'Besi Balok'!$B$23:$B$12292,$B307,'Besi Balok'!$F$23:$F$12292,'REKAP Balok'!R$12)</f>
        <v>0</v>
      </c>
      <c r="S307">
        <f>SUMIFS('Besi Balok'!$AA$23:$AA$12292,'Besi Balok'!$A$23:$A$12292,$A307,'Besi Balok'!$B$23:$B$12292,$B307,'Besi Balok'!$F$23:$F$12292,'REKAP Balok'!S$12)</f>
        <v>0</v>
      </c>
      <c r="T307">
        <f>SUMIFS('Besi Balok'!$AA$23:$AA$12292,'Besi Balok'!$A$23:$A$12292,$A307,'Besi Balok'!$B$23:$B$12292,$B307,'Besi Balok'!$F$23:$F$12292,'REKAP Balok'!T$12)</f>
        <v>0</v>
      </c>
      <c r="U307">
        <f>SUM(L307:T307)</f>
        <v>50.27084028</v>
      </c>
      <c r="V307">
        <f>(D307*(F307-H307)*G307*K307)/1000000000</f>
        <v>0.1344</v>
      </c>
      <c r="W307">
        <f>(((F307-H307)*2+D307)*(G307)*K307)/1000000</f>
        <v>1.764</v>
      </c>
      <c r="AC307">
        <f>(D307+2*$F$5)*F307*G307/1000000000</f>
        <v>0.378</v>
      </c>
    </row>
    <row r="308">
      <c r="A308" t="str">
        <f>'Data Panjang Balok'!A305</f>
        <v>Lantai Attic</v>
      </c>
      <c r="B308">
        <f>'Data Panjang Balok'!B305</f>
        <v>28</v>
      </c>
      <c r="C308" t="str">
        <f>'Data Panjang Balok'!D305</f>
        <v>B2550-1</v>
      </c>
      <c r="D308">
        <f>IF(C308&gt;0,VLOOKUP(C308,'Detail Balok'!$C$11:$AU$110,2,FALSE),0)</f>
        <v>250</v>
      </c>
      <c r="E308" t="str">
        <v>x</v>
      </c>
      <c r="F308">
        <f>IF(C308&gt;0,VLOOKUP(C308,'Detail Balok'!$C$11:$AU$110,3,FALSE),0)</f>
        <v>500</v>
      </c>
      <c r="G308">
        <f>'Data Panjang Balok'!I305</f>
        <v>8100</v>
      </c>
      <c r="H308">
        <f>'Data Panjang Balok'!J305</f>
        <v>130</v>
      </c>
      <c r="J308">
        <f>I308-F308/1000</f>
        <v>-0.5</v>
      </c>
      <c r="K308">
        <f>'Data Panjang Balok'!E305</f>
        <v>1</v>
      </c>
      <c r="L308">
        <f>SUMIFS('Besi Balok'!$AA$23:$AA$12292,'Besi Balok'!$A$23:$A$12292,$A308,'Besi Balok'!$B$23:$B$12292,$B308,'Besi Balok'!$F$23:$F$12292,'REKAP Balok'!L$12)</f>
        <v>0</v>
      </c>
      <c r="M308">
        <f>SUMIFS('Besi Balok'!$AA$23:$AA$12292,'Besi Balok'!$A$23:$A$12292,$A308,'Besi Balok'!$B$23:$B$12292,$B308,'Besi Balok'!$F$23:$F$12292,'REKAP Balok'!M$12)</f>
        <v>0</v>
      </c>
      <c r="N308">
        <f>SUMIFS('Besi Balok'!$AA$23:$AA$12292,'Besi Balok'!$A$23:$A$12292,$A308,'Besi Balok'!$B$23:$B$12292,$B308,'Besi Balok'!$F$23:$F$12292,'REKAP Balok'!N$12)</f>
        <v>66.03948</v>
      </c>
      <c r="O308">
        <f>SUMIFS('Besi Balok'!$AA$23:$AA$12292,'Besi Balok'!$A$23:$A$12292,$A308,'Besi Balok'!$B$23:$B$12292,$B308,'Besi Balok'!$F$23:$F$12292,'REKAP Balok'!O$12)</f>
        <v>0</v>
      </c>
      <c r="P308">
        <f>SUMIFS('Besi Balok'!$AA$23:$AA$12292,'Besi Balok'!$A$23:$A$12292,$A308,'Besi Balok'!$B$23:$B$12292,$B308,'Besi Balok'!$F$23:$F$12292,'REKAP Balok'!P$12)</f>
        <v>0</v>
      </c>
      <c r="Q308">
        <f>SUMIFS('Besi Balok'!$AA$23:$AA$12292,'Besi Balok'!$A$23:$A$12292,$A308,'Besi Balok'!$B$23:$B$12292,$B308,'Besi Balok'!$F$23:$F$12292,'REKAP Balok'!Q$12)</f>
        <v>169.0539174</v>
      </c>
      <c r="R308">
        <f>SUMIFS('Besi Balok'!$AA$23:$AA$12292,'Besi Balok'!$A$23:$A$12292,$A308,'Besi Balok'!$B$23:$B$12292,$B308,'Besi Balok'!$F$23:$F$12292,'REKAP Balok'!R$12)</f>
        <v>0</v>
      </c>
      <c r="S308">
        <f>SUMIFS('Besi Balok'!$AA$23:$AA$12292,'Besi Balok'!$A$23:$A$12292,$A308,'Besi Balok'!$B$23:$B$12292,$B308,'Besi Balok'!$F$23:$F$12292,'REKAP Balok'!S$12)</f>
        <v>0</v>
      </c>
      <c r="T308">
        <f>SUMIFS('Besi Balok'!$AA$23:$AA$12292,'Besi Balok'!$A$23:$A$12292,$A308,'Besi Balok'!$B$23:$B$12292,$B308,'Besi Balok'!$F$23:$F$12292,'REKAP Balok'!T$12)</f>
        <v>0</v>
      </c>
      <c r="U308">
        <f>SUM(L308:T308)</f>
        <v>235.0933974</v>
      </c>
      <c r="V308">
        <f>(D308*(F308-H308)*G308*K308)/1000000000</f>
        <v>0.74925</v>
      </c>
      <c r="W308">
        <f>(((F308-H308)*2+D308)*(G308)*K308)/1000000</f>
        <v>8.019</v>
      </c>
      <c r="AC308">
        <f>(D308+2*$F$5)*F308*G308/1000000000</f>
        <v>1.8225</v>
      </c>
    </row>
    <row r="309">
      <c r="A309" t="str">
        <f>'Data Panjang Balok'!A306</f>
        <v>Lantai Attic</v>
      </c>
      <c r="B309">
        <f>'Data Panjang Balok'!B306</f>
        <v>29</v>
      </c>
      <c r="C309" t="str">
        <f>'Data Panjang Balok'!D306</f>
        <v>B24-1</v>
      </c>
      <c r="D309">
        <f>IF(C309&gt;0,VLOOKUP(C309,'Detail Balok'!$C$11:$AU$110,2,FALSE),0)</f>
        <v>200</v>
      </c>
      <c r="E309" t="str">
        <v>x</v>
      </c>
      <c r="F309">
        <f>IF(C309&gt;0,VLOOKUP(C309,'Detail Balok'!$C$11:$AU$110,3,FALSE),0)</f>
        <v>400</v>
      </c>
      <c r="G309">
        <f>'Data Panjang Balok'!I306</f>
        <v>1785</v>
      </c>
      <c r="H309">
        <f>'Data Panjang Balok'!J306</f>
        <v>130</v>
      </c>
      <c r="J309">
        <f>I309-F309/1000</f>
        <v>-0.4</v>
      </c>
      <c r="K309">
        <f>'Data Panjang Balok'!E306</f>
        <v>1</v>
      </c>
      <c r="L309">
        <f>SUMIFS('Besi Balok'!$AA$23:$AA$12292,'Besi Balok'!$A$23:$A$12292,$A309,'Besi Balok'!$B$23:$B$12292,$B309,'Besi Balok'!$F$23:$F$12292,'REKAP Balok'!L$12)</f>
        <v>0</v>
      </c>
      <c r="M309">
        <f>SUMIFS('Besi Balok'!$AA$23:$AA$12292,'Besi Balok'!$A$23:$A$12292,$A309,'Besi Balok'!$B$23:$B$12292,$B309,'Besi Balok'!$F$23:$F$12292,'REKAP Balok'!M$12)</f>
        <v>7.721539200000001</v>
      </c>
      <c r="N309">
        <f>SUMIFS('Besi Balok'!$AA$23:$AA$12292,'Besi Balok'!$A$23:$A$12292,$A309,'Besi Balok'!$B$23:$B$12292,$B309,'Besi Balok'!$F$23:$F$12292,'REKAP Balok'!N$12)</f>
        <v>0</v>
      </c>
      <c r="O309">
        <f>SUMIFS('Besi Balok'!$AA$23:$AA$12292,'Besi Balok'!$A$23:$A$12292,$A309,'Besi Balok'!$B$23:$B$12292,$B309,'Besi Balok'!$F$23:$F$12292,'REKAP Balok'!O$12)</f>
        <v>8.739331379999998</v>
      </c>
      <c r="P309">
        <f>SUMIFS('Besi Balok'!$AA$23:$AA$12292,'Besi Balok'!$A$23:$A$12292,$A309,'Besi Balok'!$B$23:$B$12292,$B309,'Besi Balok'!$F$23:$F$12292,'REKAP Balok'!P$12)</f>
        <v>0</v>
      </c>
      <c r="Q309">
        <f>SUMIFS('Besi Balok'!$AA$23:$AA$12292,'Besi Balok'!$A$23:$A$12292,$A309,'Besi Balok'!$B$23:$B$12292,$B309,'Besi Balok'!$F$23:$F$12292,'REKAP Balok'!Q$12)</f>
        <v>0</v>
      </c>
      <c r="R309">
        <f>SUMIFS('Besi Balok'!$AA$23:$AA$12292,'Besi Balok'!$A$23:$A$12292,$A309,'Besi Balok'!$B$23:$B$12292,$B309,'Besi Balok'!$F$23:$F$12292,'REKAP Balok'!R$12)</f>
        <v>0</v>
      </c>
      <c r="S309">
        <f>SUMIFS('Besi Balok'!$AA$23:$AA$12292,'Besi Balok'!$A$23:$A$12292,$A309,'Besi Balok'!$B$23:$B$12292,$B309,'Besi Balok'!$F$23:$F$12292,'REKAP Balok'!S$12)</f>
        <v>0</v>
      </c>
      <c r="T309">
        <f>SUMIFS('Besi Balok'!$AA$23:$AA$12292,'Besi Balok'!$A$23:$A$12292,$A309,'Besi Balok'!$B$23:$B$12292,$B309,'Besi Balok'!$F$23:$F$12292,'REKAP Balok'!T$12)</f>
        <v>0</v>
      </c>
      <c r="U309">
        <f>SUM(L309:T309)</f>
        <v>16.460870579999998</v>
      </c>
      <c r="V309">
        <f>(D309*(F309-H309)*G309*K309)/1000000000</f>
        <v>0.09639</v>
      </c>
      <c r="W309">
        <f>(((F309-H309)*2+D309)*(G309)*K309)/1000000</f>
        <v>1.3209</v>
      </c>
      <c r="AC309">
        <f>(D309+2*$F$5)*F309*G309/1000000000</f>
        <v>0.2856</v>
      </c>
    </row>
    <row r="310">
      <c r="A310" t="str">
        <f>'Data Panjang Balok'!A307</f>
        <v>Lantai Attic</v>
      </c>
      <c r="B310">
        <f>'Data Panjang Balok'!B307</f>
        <v>30</v>
      </c>
      <c r="C310" t="str">
        <f>'Data Panjang Balok'!D307</f>
        <v>B37-1</v>
      </c>
      <c r="D310">
        <f>IF(C310&gt;0,VLOOKUP(C310,'Detail Balok'!$C$11:$AU$110,2,FALSE),0)</f>
        <v>300</v>
      </c>
      <c r="E310" t="str">
        <v>x</v>
      </c>
      <c r="F310">
        <f>IF(C310&gt;0,VLOOKUP(C310,'Detail Balok'!$C$11:$AU$110,3,FALSE),0)</f>
        <v>700</v>
      </c>
      <c r="G310">
        <f>'Data Panjang Balok'!I307</f>
        <v>8415</v>
      </c>
      <c r="H310">
        <f>'Data Panjang Balok'!J307</f>
        <v>130</v>
      </c>
      <c r="J310">
        <f>I310-F310/1000</f>
        <v>-0.7</v>
      </c>
      <c r="K310">
        <f>'Data Panjang Balok'!E307</f>
        <v>1</v>
      </c>
      <c r="L310">
        <f>SUMIFS('Besi Balok'!$AA$23:$AA$12292,'Besi Balok'!$A$23:$A$12292,$A310,'Besi Balok'!$B$23:$B$12292,$B310,'Besi Balok'!$F$23:$F$12292,'REKAP Balok'!L$12)</f>
        <v>0</v>
      </c>
      <c r="M310">
        <f>SUMIFS('Besi Balok'!$AA$23:$AA$12292,'Besi Balok'!$A$23:$A$12292,$A310,'Besi Balok'!$B$23:$B$12292,$B310,'Besi Balok'!$F$23:$F$12292,'REKAP Balok'!M$12)</f>
        <v>0</v>
      </c>
      <c r="N310">
        <f>SUMIFS('Besi Balok'!$AA$23:$AA$12292,'Besi Balok'!$A$23:$A$12292,$A310,'Besi Balok'!$B$23:$B$12292,$B310,'Besi Balok'!$F$23:$F$12292,'REKAP Balok'!N$12)</f>
        <v>118.978335</v>
      </c>
      <c r="O310">
        <f>SUMIFS('Besi Balok'!$AA$23:$AA$12292,'Besi Balok'!$A$23:$A$12292,$A310,'Besi Balok'!$B$23:$B$12292,$B310,'Besi Balok'!$F$23:$F$12292,'REKAP Balok'!O$12)</f>
        <v>0</v>
      </c>
      <c r="P310">
        <f>SUMIFS('Besi Balok'!$AA$23:$AA$12292,'Besi Balok'!$A$23:$A$12292,$A310,'Besi Balok'!$B$23:$B$12292,$B310,'Besi Balok'!$F$23:$F$12292,'REKAP Balok'!P$12)</f>
        <v>0</v>
      </c>
      <c r="Q310">
        <f>SUMIFS('Besi Balok'!$AA$23:$AA$12292,'Besi Balok'!$A$23:$A$12292,$A310,'Besi Balok'!$B$23:$B$12292,$B310,'Besi Balok'!$F$23:$F$12292,'REKAP Balok'!Q$12)</f>
        <v>0</v>
      </c>
      <c r="R310">
        <f>SUMIFS('Besi Balok'!$AA$23:$AA$12292,'Besi Balok'!$A$23:$A$12292,$A310,'Besi Balok'!$B$23:$B$12292,$B310,'Besi Balok'!$F$23:$F$12292,'REKAP Balok'!R$12)</f>
        <v>275.75789768999994</v>
      </c>
      <c r="S310">
        <f>SUMIFS('Besi Balok'!$AA$23:$AA$12292,'Besi Balok'!$A$23:$A$12292,$A310,'Besi Balok'!$B$23:$B$12292,$B310,'Besi Balok'!$F$23:$F$12292,'REKAP Balok'!S$12)</f>
        <v>0</v>
      </c>
      <c r="T310">
        <f>SUMIFS('Besi Balok'!$AA$23:$AA$12292,'Besi Balok'!$A$23:$A$12292,$A310,'Besi Balok'!$B$23:$B$12292,$B310,'Besi Balok'!$F$23:$F$12292,'REKAP Balok'!T$12)</f>
        <v>0</v>
      </c>
      <c r="U310">
        <f>SUM(L310:T310)</f>
        <v>394.73623268999995</v>
      </c>
      <c r="V310">
        <f>(D310*(F310-H310)*G310*K310)/1000000000</f>
        <v>1.438965</v>
      </c>
      <c r="W310">
        <f>(((F310-H310)*2+D310)*(G310)*K310)/1000000</f>
        <v>12.1176</v>
      </c>
      <c r="AC310">
        <f>(D310+2*$F$5)*F310*G310/1000000000</f>
        <v>2.94525</v>
      </c>
    </row>
    <row r="311">
      <c r="A311" t="str">
        <f>'Data Panjang Balok'!A308</f>
        <v>Lantai Attic</v>
      </c>
      <c r="B311">
        <f>'Data Panjang Balok'!B308</f>
        <v>31</v>
      </c>
      <c r="C311" t="str">
        <f>'Data Panjang Balok'!D308</f>
        <v>B26-4</v>
      </c>
      <c r="D311">
        <f>IF(C311&gt;0,VLOOKUP(C311,'Detail Balok'!$C$11:$AU$110,2,FALSE),0)</f>
        <v>200</v>
      </c>
      <c r="E311" t="str">
        <v>x</v>
      </c>
      <c r="F311">
        <f>IF(C311&gt;0,VLOOKUP(C311,'Detail Balok'!$C$11:$AU$110,3,FALSE),0)</f>
        <v>600</v>
      </c>
      <c r="G311">
        <f>'Data Panjang Balok'!I308</f>
        <v>2900</v>
      </c>
      <c r="H311">
        <f>'Data Panjang Balok'!J308</f>
        <v>130</v>
      </c>
      <c r="J311">
        <f>I311-F311/1000</f>
        <v>-0.6</v>
      </c>
      <c r="K311">
        <f>'Data Panjang Balok'!E308</f>
        <v>1</v>
      </c>
      <c r="L311">
        <f>SUMIFS('Besi Balok'!$AA$23:$AA$12292,'Besi Balok'!$A$23:$A$12292,$A311,'Besi Balok'!$B$23:$B$12292,$B311,'Besi Balok'!$F$23:$F$12292,'REKAP Balok'!L$12)</f>
        <v>0</v>
      </c>
      <c r="M311">
        <f>SUMIFS('Besi Balok'!$AA$23:$AA$12292,'Besi Balok'!$A$23:$A$12292,$A311,'Besi Balok'!$B$23:$B$12292,$B311,'Besi Balok'!$F$23:$F$12292,'REKAP Balok'!M$12)</f>
        <v>0</v>
      </c>
      <c r="N311">
        <f>SUMIFS('Besi Balok'!$AA$23:$AA$12292,'Besi Balok'!$A$23:$A$12292,$A311,'Besi Balok'!$B$23:$B$12292,$B311,'Besi Balok'!$F$23:$F$12292,'REKAP Balok'!N$12)</f>
        <v>47.945205</v>
      </c>
      <c r="O311">
        <f>SUMIFS('Besi Balok'!$AA$23:$AA$12292,'Besi Balok'!$A$23:$A$12292,$A311,'Besi Balok'!$B$23:$B$12292,$B311,'Besi Balok'!$F$23:$F$12292,'REKAP Balok'!O$12)</f>
        <v>0</v>
      </c>
      <c r="P311">
        <f>SUMIFS('Besi Balok'!$AA$23:$AA$12292,'Besi Balok'!$A$23:$A$12292,$A311,'Besi Balok'!$B$23:$B$12292,$B311,'Besi Balok'!$F$23:$F$12292,'REKAP Balok'!P$12)</f>
        <v>0</v>
      </c>
      <c r="Q311">
        <f>SUMIFS('Besi Balok'!$AA$23:$AA$12292,'Besi Balok'!$A$23:$A$12292,$A311,'Besi Balok'!$B$23:$B$12292,$B311,'Besi Balok'!$F$23:$F$12292,'REKAP Balok'!Q$12)</f>
        <v>67.22096525999999</v>
      </c>
      <c r="R311">
        <f>SUMIFS('Besi Balok'!$AA$23:$AA$12292,'Besi Balok'!$A$23:$A$12292,$A311,'Besi Balok'!$B$23:$B$12292,$B311,'Besi Balok'!$F$23:$F$12292,'REKAP Balok'!R$12)</f>
        <v>0</v>
      </c>
      <c r="S311">
        <f>SUMIFS('Besi Balok'!$AA$23:$AA$12292,'Besi Balok'!$A$23:$A$12292,$A311,'Besi Balok'!$B$23:$B$12292,$B311,'Besi Balok'!$F$23:$F$12292,'REKAP Balok'!S$12)</f>
        <v>0</v>
      </c>
      <c r="T311">
        <f>SUMIFS('Besi Balok'!$AA$23:$AA$12292,'Besi Balok'!$A$23:$A$12292,$A311,'Besi Balok'!$B$23:$B$12292,$B311,'Besi Balok'!$F$23:$F$12292,'REKAP Balok'!T$12)</f>
        <v>0</v>
      </c>
      <c r="U311">
        <f>SUM(L311:T311)</f>
        <v>115.16617025999999</v>
      </c>
      <c r="V311">
        <f>(D311*(F311-H311)*G311*K311)/1000000000</f>
        <v>0.2726</v>
      </c>
      <c r="W311">
        <f>(((F311-H311)*2+D311)*(G311)*K311)/1000000</f>
        <v>3.306</v>
      </c>
      <c r="AC311">
        <f>(D311+2*$F$5)*F311*G311/1000000000</f>
        <v>0.696</v>
      </c>
    </row>
    <row r="312">
      <c r="A312" t="str">
        <f>'Data Panjang Balok'!A309</f>
        <v>Lantai Attic</v>
      </c>
      <c r="B312">
        <f>'Data Panjang Balok'!B309</f>
        <v>32</v>
      </c>
      <c r="C312" t="str">
        <f>'Data Panjang Balok'!D309</f>
        <v>Potongan D</v>
      </c>
      <c r="D312">
        <f>IF(C312&gt;0,VLOOKUP(C312,'Detail Balok'!$C$11:$AU$110,2,FALSE),0)</f>
        <v>300</v>
      </c>
      <c r="E312" t="str">
        <v>x</v>
      </c>
      <c r="F312">
        <f>IF(C312&gt;0,VLOOKUP(C312,'Detail Balok'!$C$11:$AU$110,3,FALSE),0)</f>
        <v>600</v>
      </c>
      <c r="G312">
        <f>'Data Panjang Balok'!I309</f>
        <v>1350</v>
      </c>
      <c r="H312">
        <f>'Data Panjang Balok'!J309</f>
        <v>150</v>
      </c>
      <c r="J312">
        <f>I312-F312/1000</f>
        <v>-0.6</v>
      </c>
      <c r="K312">
        <f>'Data Panjang Balok'!E309</f>
        <v>1</v>
      </c>
      <c r="L312">
        <f>SUMIFS('Besi Balok'!$AA$23:$AA$12292,'Besi Balok'!$A$23:$A$12292,$A312,'Besi Balok'!$B$23:$B$12292,$B312,'Besi Balok'!$F$23:$F$12292,'REKAP Balok'!L$12)</f>
        <v>0</v>
      </c>
      <c r="M312">
        <f>SUMIFS('Besi Balok'!$AA$23:$AA$12292,'Besi Balok'!$A$23:$A$12292,$A312,'Besi Balok'!$B$23:$B$12292,$B312,'Besi Balok'!$F$23:$F$12292,'REKAP Balok'!M$12)</f>
        <v>0</v>
      </c>
      <c r="N312">
        <f>SUMIFS('Besi Balok'!$AA$23:$AA$12292,'Besi Balok'!$A$23:$A$12292,$A312,'Besi Balok'!$B$23:$B$12292,$B312,'Besi Balok'!$F$23:$F$12292,'REKAP Balok'!N$12)</f>
        <v>24.64767</v>
      </c>
      <c r="O312">
        <f>SUMIFS('Besi Balok'!$AA$23:$AA$12292,'Besi Balok'!$A$23:$A$12292,$A312,'Besi Balok'!$B$23:$B$12292,$B312,'Besi Balok'!$F$23:$F$12292,'REKAP Balok'!O$12)</f>
        <v>0</v>
      </c>
      <c r="P312">
        <f>SUMIFS('Besi Balok'!$AA$23:$AA$12292,'Besi Balok'!$A$23:$A$12292,$A312,'Besi Balok'!$B$23:$B$12292,$B312,'Besi Balok'!$F$23:$F$12292,'REKAP Balok'!P$12)</f>
        <v>0</v>
      </c>
      <c r="Q312">
        <f>SUMIFS('Besi Balok'!$AA$23:$AA$12292,'Besi Balok'!$A$23:$A$12292,$A312,'Besi Balok'!$B$23:$B$12292,$B312,'Besi Balok'!$F$23:$F$12292,'REKAP Balok'!Q$12)</f>
        <v>48.23244468</v>
      </c>
      <c r="R312">
        <f>SUMIFS('Besi Balok'!$AA$23:$AA$12292,'Besi Balok'!$A$23:$A$12292,$A312,'Besi Balok'!$B$23:$B$12292,$B312,'Besi Balok'!$F$23:$F$12292,'REKAP Balok'!R$12)</f>
        <v>0</v>
      </c>
      <c r="S312">
        <f>SUMIFS('Besi Balok'!$AA$23:$AA$12292,'Besi Balok'!$A$23:$A$12292,$A312,'Besi Balok'!$B$23:$B$12292,$B312,'Besi Balok'!$F$23:$F$12292,'REKAP Balok'!S$12)</f>
        <v>0</v>
      </c>
      <c r="T312">
        <f>SUMIFS('Besi Balok'!$AA$23:$AA$12292,'Besi Balok'!$A$23:$A$12292,$A312,'Besi Balok'!$B$23:$B$12292,$B312,'Besi Balok'!$F$23:$F$12292,'REKAP Balok'!T$12)</f>
        <v>0</v>
      </c>
      <c r="U312">
        <f>SUM(L312:T312)</f>
        <v>72.88011468</v>
      </c>
      <c r="V312">
        <f>(D312*(F312-H312)*G312*K312)/1000000000</f>
        <v>0.18225</v>
      </c>
      <c r="W312">
        <f>(((F312-H312)*2+D312)*(G312)*K312)/1000000</f>
        <v>1.62</v>
      </c>
      <c r="AC312">
        <f>(D312+2*$F$5)*F312*G312/1000000000</f>
        <v>0.405</v>
      </c>
    </row>
    <row r="313">
      <c r="A313" t="str">
        <f>'Data Panjang Balok'!A310</f>
        <v>Lantai Attic</v>
      </c>
      <c r="B313">
        <f>'Data Panjang Balok'!B310</f>
        <v>33</v>
      </c>
      <c r="C313" t="str">
        <f>'Data Panjang Balok'!D310</f>
        <v>B25-5</v>
      </c>
      <c r="D313">
        <f>IF(C313&gt;0,VLOOKUP(C313,'Detail Balok'!$C$11:$AU$110,2,FALSE),0)</f>
        <v>200</v>
      </c>
      <c r="E313" t="str">
        <v>x</v>
      </c>
      <c r="F313">
        <f>IF(C313&gt;0,VLOOKUP(C313,'Detail Balok'!$C$11:$AU$110,3,FALSE),0)</f>
        <v>500</v>
      </c>
      <c r="G313">
        <f>'Data Panjang Balok'!I310</f>
        <v>9750</v>
      </c>
      <c r="H313">
        <f>'Data Panjang Balok'!J310</f>
        <v>150</v>
      </c>
      <c r="J313">
        <f>I313-F313/1000</f>
        <v>-0.5</v>
      </c>
      <c r="K313">
        <f>'Data Panjang Balok'!E310</f>
        <v>1</v>
      </c>
      <c r="L313">
        <f>SUMIFS('Besi Balok'!$AA$23:$AA$12292,'Besi Balok'!$A$23:$A$12292,$A313,'Besi Balok'!$B$23:$B$12292,$B313,'Besi Balok'!$F$23:$F$12292,'REKAP Balok'!L$12)</f>
        <v>0</v>
      </c>
      <c r="M313">
        <f>SUMIFS('Besi Balok'!$AA$23:$AA$12292,'Besi Balok'!$A$23:$A$12292,$A313,'Besi Balok'!$B$23:$B$12292,$B313,'Besi Balok'!$F$23:$F$12292,'REKAP Balok'!M$12)</f>
        <v>0</v>
      </c>
      <c r="N313">
        <f>SUMIFS('Besi Balok'!$AA$23:$AA$12292,'Besi Balok'!$A$23:$A$12292,$A313,'Besi Balok'!$B$23:$B$12292,$B313,'Besi Balok'!$F$23:$F$12292,'REKAP Balok'!N$12)</f>
        <v>68.43150000000001</v>
      </c>
      <c r="O313">
        <f>SUMIFS('Besi Balok'!$AA$23:$AA$12292,'Besi Balok'!$A$23:$A$12292,$A313,'Besi Balok'!$B$23:$B$12292,$B313,'Besi Balok'!$F$23:$F$12292,'REKAP Balok'!O$12)</f>
        <v>0</v>
      </c>
      <c r="P313">
        <f>SUMIFS('Besi Balok'!$AA$23:$AA$12292,'Besi Balok'!$A$23:$A$12292,$A313,'Besi Balok'!$B$23:$B$12292,$B313,'Besi Balok'!$F$23:$F$12292,'REKAP Balok'!P$12)</f>
        <v>0</v>
      </c>
      <c r="Q313">
        <f>SUMIFS('Besi Balok'!$AA$23:$AA$12292,'Besi Balok'!$A$23:$A$12292,$A313,'Besi Balok'!$B$23:$B$12292,$B313,'Besi Balok'!$F$23:$F$12292,'REKAP Balok'!Q$12)</f>
        <v>183.348721395</v>
      </c>
      <c r="R313">
        <f>SUMIFS('Besi Balok'!$AA$23:$AA$12292,'Besi Balok'!$A$23:$A$12292,$A313,'Besi Balok'!$B$23:$B$12292,$B313,'Besi Balok'!$F$23:$F$12292,'REKAP Balok'!R$12)</f>
        <v>0</v>
      </c>
      <c r="S313">
        <f>SUMIFS('Besi Balok'!$AA$23:$AA$12292,'Besi Balok'!$A$23:$A$12292,$A313,'Besi Balok'!$B$23:$B$12292,$B313,'Besi Balok'!$F$23:$F$12292,'REKAP Balok'!S$12)</f>
        <v>0</v>
      </c>
      <c r="T313">
        <f>SUMIFS('Besi Balok'!$AA$23:$AA$12292,'Besi Balok'!$A$23:$A$12292,$A313,'Besi Balok'!$B$23:$B$12292,$B313,'Besi Balok'!$F$23:$F$12292,'REKAP Balok'!T$12)</f>
        <v>0</v>
      </c>
      <c r="U313">
        <f>SUM(L313:T313)</f>
        <v>251.780221395</v>
      </c>
      <c r="V313">
        <f>(D313*(F313-H313)*G313*K313)/1000000000</f>
        <v>0.6825</v>
      </c>
      <c r="W313">
        <f>(((F313-H313)*2+D313)*(G313)*K313)/1000000</f>
        <v>8.775</v>
      </c>
      <c r="AC313">
        <f>(D313+2*$F$5)*F313*G313/1000000000</f>
        <v>1.95</v>
      </c>
    </row>
    <row r="314">
      <c r="A314" t="str">
        <f>'Data Panjang Balok'!A311</f>
        <v>Lantai Attic</v>
      </c>
      <c r="B314">
        <f>'Data Panjang Balok'!B311</f>
        <v>34</v>
      </c>
      <c r="C314" t="str">
        <f>'Data Panjang Balok'!D311</f>
        <v>B245-1</v>
      </c>
      <c r="D314">
        <f>IF(C314&gt;0,VLOOKUP(C314,'Detail Balok'!$C$11:$AU$110,2,FALSE),0)</f>
        <v>200</v>
      </c>
      <c r="E314" t="str">
        <v>x</v>
      </c>
      <c r="F314">
        <f>IF(C314&gt;0,VLOOKUP(C314,'Detail Balok'!$C$11:$AU$110,3,FALSE),0)</f>
        <v>450</v>
      </c>
      <c r="G314">
        <f>'Data Panjang Balok'!I311</f>
        <v>4915</v>
      </c>
      <c r="H314">
        <f>'Data Panjang Balok'!J311</f>
        <v>150</v>
      </c>
      <c r="J314">
        <f>I314-F314/1000</f>
        <v>-0.45</v>
      </c>
      <c r="K314">
        <f>'Data Panjang Balok'!E311</f>
        <v>1</v>
      </c>
      <c r="L314">
        <f>SUMIFS('Besi Balok'!$AA$23:$AA$12292,'Besi Balok'!$A$23:$A$12292,$A314,'Besi Balok'!$B$23:$B$12292,$B314,'Besi Balok'!$F$23:$F$12292,'REKAP Balok'!L$12)</f>
        <v>0</v>
      </c>
      <c r="M314">
        <f>SUMIFS('Besi Balok'!$AA$23:$AA$12292,'Besi Balok'!$A$23:$A$12292,$A314,'Besi Balok'!$B$23:$B$12292,$B314,'Besi Balok'!$F$23:$F$12292,'REKAP Balok'!M$12)</f>
        <v>20.97244224</v>
      </c>
      <c r="N314">
        <f>SUMIFS('Besi Balok'!$AA$23:$AA$12292,'Besi Balok'!$A$23:$A$12292,$A314,'Besi Balok'!$B$23:$B$12292,$B314,'Besi Balok'!$F$23:$F$12292,'REKAP Balok'!N$12)</f>
        <v>0</v>
      </c>
      <c r="O314">
        <f>SUMIFS('Besi Balok'!$AA$23:$AA$12292,'Besi Balok'!$A$23:$A$12292,$A314,'Besi Balok'!$B$23:$B$12292,$B314,'Besi Balok'!$F$23:$F$12292,'REKAP Balok'!O$12)</f>
        <v>21.78373158</v>
      </c>
      <c r="P314">
        <f>SUMIFS('Besi Balok'!$AA$23:$AA$12292,'Besi Balok'!$A$23:$A$12292,$A314,'Besi Balok'!$B$23:$B$12292,$B314,'Besi Balok'!$F$23:$F$12292,'REKAP Balok'!P$12)</f>
        <v>0</v>
      </c>
      <c r="Q314">
        <f>SUMIFS('Besi Balok'!$AA$23:$AA$12292,'Besi Balok'!$A$23:$A$12292,$A314,'Besi Balok'!$B$23:$B$12292,$B314,'Besi Balok'!$F$23:$F$12292,'REKAP Balok'!Q$12)</f>
        <v>0</v>
      </c>
      <c r="R314">
        <f>SUMIFS('Besi Balok'!$AA$23:$AA$12292,'Besi Balok'!$A$23:$A$12292,$A314,'Besi Balok'!$B$23:$B$12292,$B314,'Besi Balok'!$F$23:$F$12292,'REKAP Balok'!R$12)</f>
        <v>0</v>
      </c>
      <c r="S314">
        <f>SUMIFS('Besi Balok'!$AA$23:$AA$12292,'Besi Balok'!$A$23:$A$12292,$A314,'Besi Balok'!$B$23:$B$12292,$B314,'Besi Balok'!$F$23:$F$12292,'REKAP Balok'!S$12)</f>
        <v>0</v>
      </c>
      <c r="T314">
        <f>SUMIFS('Besi Balok'!$AA$23:$AA$12292,'Besi Balok'!$A$23:$A$12292,$A314,'Besi Balok'!$B$23:$B$12292,$B314,'Besi Balok'!$F$23:$F$12292,'REKAP Balok'!T$12)</f>
        <v>0</v>
      </c>
      <c r="U314">
        <f>SUM(L314:T314)</f>
        <v>42.75617382</v>
      </c>
      <c r="V314">
        <f>(D314*(F314-H314)*G314*K314)/1000000000</f>
        <v>0.2949</v>
      </c>
      <c r="W314">
        <f>(((F314-H314)*2+D314)*(G314)*K314)/1000000</f>
        <v>3.932</v>
      </c>
      <c r="AC314">
        <f>(D314+2*$F$5)*F314*G314/1000000000</f>
        <v>0.8847</v>
      </c>
    </row>
    <row r="315">
      <c r="A315" t="str">
        <f>'Data Panjang Balok'!A312</f>
        <v>Lantai Attic</v>
      </c>
      <c r="B315">
        <f>'Data Panjang Balok'!B312</f>
        <v>35</v>
      </c>
      <c r="C315" t="str">
        <f>'Data Panjang Balok'!D312</f>
        <v>B245-2</v>
      </c>
      <c r="D315">
        <f>IF(C315&gt;0,VLOOKUP(C315,'Detail Balok'!$C$11:$AU$110,2,FALSE),0)</f>
        <v>200</v>
      </c>
      <c r="E315" t="str">
        <v>x</v>
      </c>
      <c r="F315">
        <f>IF(C315&gt;0,VLOOKUP(C315,'Detail Balok'!$C$11:$AU$110,3,FALSE),0)</f>
        <v>450</v>
      </c>
      <c r="G315">
        <f>'Data Panjang Balok'!I312</f>
        <v>6200</v>
      </c>
      <c r="H315">
        <f>'Data Panjang Balok'!J312</f>
        <v>150</v>
      </c>
      <c r="J315">
        <f>I315-F315/1000</f>
        <v>-0.45</v>
      </c>
      <c r="K315">
        <f>'Data Panjang Balok'!E312</f>
        <v>1</v>
      </c>
      <c r="L315">
        <f>SUMIFS('Besi Balok'!$AA$23:$AA$12292,'Besi Balok'!$A$23:$A$12292,$A315,'Besi Balok'!$B$23:$B$12292,$B315,'Besi Balok'!$F$23:$F$12292,'REKAP Balok'!L$12)</f>
        <v>0</v>
      </c>
      <c r="M315">
        <f>SUMIFS('Besi Balok'!$AA$23:$AA$12292,'Besi Balok'!$A$23:$A$12292,$A315,'Besi Balok'!$B$23:$B$12292,$B315,'Besi Balok'!$F$23:$F$12292,'REKAP Balok'!M$12)</f>
        <v>27.33669504</v>
      </c>
      <c r="N315">
        <f>SUMIFS('Besi Balok'!$AA$23:$AA$12292,'Besi Balok'!$A$23:$A$12292,$A315,'Besi Balok'!$B$23:$B$12292,$B315,'Besi Balok'!$F$23:$F$12292,'REKAP Balok'!N$12)</f>
        <v>0</v>
      </c>
      <c r="O315">
        <f>SUMIFS('Besi Balok'!$AA$23:$AA$12292,'Besi Balok'!$A$23:$A$12292,$A315,'Besi Balok'!$B$23:$B$12292,$B315,'Besi Balok'!$F$23:$F$12292,'REKAP Balok'!O$12)</f>
        <v>40.70853072</v>
      </c>
      <c r="P315">
        <f>SUMIFS('Besi Balok'!$AA$23:$AA$12292,'Besi Balok'!$A$23:$A$12292,$A315,'Besi Balok'!$B$23:$B$12292,$B315,'Besi Balok'!$F$23:$F$12292,'REKAP Balok'!P$12)</f>
        <v>0</v>
      </c>
      <c r="Q315">
        <f>SUMIFS('Besi Balok'!$AA$23:$AA$12292,'Besi Balok'!$A$23:$A$12292,$A315,'Besi Balok'!$B$23:$B$12292,$B315,'Besi Balok'!$F$23:$F$12292,'REKAP Balok'!Q$12)</f>
        <v>0</v>
      </c>
      <c r="R315">
        <f>SUMIFS('Besi Balok'!$AA$23:$AA$12292,'Besi Balok'!$A$23:$A$12292,$A315,'Besi Balok'!$B$23:$B$12292,$B315,'Besi Balok'!$F$23:$F$12292,'REKAP Balok'!R$12)</f>
        <v>0</v>
      </c>
      <c r="S315">
        <f>SUMIFS('Besi Balok'!$AA$23:$AA$12292,'Besi Balok'!$A$23:$A$12292,$A315,'Besi Balok'!$B$23:$B$12292,$B315,'Besi Balok'!$F$23:$F$12292,'REKAP Balok'!S$12)</f>
        <v>0</v>
      </c>
      <c r="T315">
        <f>SUMIFS('Besi Balok'!$AA$23:$AA$12292,'Besi Balok'!$A$23:$A$12292,$A315,'Besi Balok'!$B$23:$B$12292,$B315,'Besi Balok'!$F$23:$F$12292,'REKAP Balok'!T$12)</f>
        <v>0</v>
      </c>
      <c r="U315">
        <f>SUM(L315:T315)</f>
        <v>68.04522576</v>
      </c>
      <c r="V315">
        <f>(D315*(F315-H315)*G315*K315)/1000000000</f>
        <v>0.372</v>
      </c>
      <c r="W315">
        <f>(((F315-H315)*2+D315)*(G315)*K315)/1000000</f>
        <v>4.96</v>
      </c>
      <c r="AC315">
        <f>(D315+2*$F$5)*F315*G315/1000000000</f>
        <v>1.116</v>
      </c>
    </row>
    <row r="316">
      <c r="A316" t="str">
        <f>'Data Panjang Balok'!A313</f>
        <v>Lantai Attic</v>
      </c>
      <c r="B316">
        <f>'Data Panjang Balok'!B313</f>
        <v>36</v>
      </c>
      <c r="C316" t="str">
        <f>'Data Panjang Balok'!D313</f>
        <v>B245-4</v>
      </c>
      <c r="D316">
        <f>IF(C316&gt;0,VLOOKUP(C316,'Detail Balok'!$C$11:$AU$110,2,FALSE),0)</f>
        <v>200</v>
      </c>
      <c r="E316" t="str">
        <v>x</v>
      </c>
      <c r="F316">
        <f>IF(C316&gt;0,VLOOKUP(C316,'Detail Balok'!$C$11:$AU$110,3,FALSE),0)</f>
        <v>450</v>
      </c>
      <c r="G316">
        <f>'Data Panjang Balok'!I313</f>
        <v>8200</v>
      </c>
      <c r="H316">
        <f>'Data Panjang Balok'!J313</f>
        <v>150</v>
      </c>
      <c r="J316">
        <f>I316-F316/1000</f>
        <v>-0.45</v>
      </c>
      <c r="K316">
        <f>'Data Panjang Balok'!E313</f>
        <v>1</v>
      </c>
      <c r="L316">
        <f>SUMIFS('Besi Balok'!$AA$23:$AA$12292,'Besi Balok'!$A$23:$A$12292,$A316,'Besi Balok'!$B$23:$B$12292,$B316,'Besi Balok'!$F$23:$F$12292,'REKAP Balok'!L$12)</f>
        <v>0</v>
      </c>
      <c r="M316">
        <f>SUMIFS('Besi Balok'!$AA$23:$AA$12292,'Besi Balok'!$A$23:$A$12292,$A316,'Besi Balok'!$B$23:$B$12292,$B316,'Besi Balok'!$F$23:$F$12292,'REKAP Balok'!M$12)</f>
        <v>35.602727040000005</v>
      </c>
      <c r="N316">
        <f>SUMIFS('Besi Balok'!$AA$23:$AA$12292,'Besi Balok'!$A$23:$A$12292,$A316,'Besi Balok'!$B$23:$B$12292,$B316,'Besi Balok'!$F$23:$F$12292,'REKAP Balok'!N$12)</f>
        <v>0</v>
      </c>
      <c r="O316">
        <f>SUMIFS('Besi Balok'!$AA$23:$AA$12292,'Besi Balok'!$A$23:$A$12292,$A316,'Besi Balok'!$B$23:$B$12292,$B316,'Besi Balok'!$F$23:$F$12292,'REKAP Balok'!O$12)</f>
        <v>0</v>
      </c>
      <c r="P316">
        <f>SUMIFS('Besi Balok'!$AA$23:$AA$12292,'Besi Balok'!$A$23:$A$12292,$A316,'Besi Balok'!$B$23:$B$12292,$B316,'Besi Balok'!$F$23:$F$12292,'REKAP Balok'!P$12)</f>
        <v>81.28567296</v>
      </c>
      <c r="Q316">
        <f>SUMIFS('Besi Balok'!$AA$23:$AA$12292,'Besi Balok'!$A$23:$A$12292,$A316,'Besi Balok'!$B$23:$B$12292,$B316,'Besi Balok'!$F$23:$F$12292,'REKAP Balok'!Q$12)</f>
        <v>0</v>
      </c>
      <c r="R316">
        <f>SUMIFS('Besi Balok'!$AA$23:$AA$12292,'Besi Balok'!$A$23:$A$12292,$A316,'Besi Balok'!$B$23:$B$12292,$B316,'Besi Balok'!$F$23:$F$12292,'REKAP Balok'!R$12)</f>
        <v>0</v>
      </c>
      <c r="S316">
        <f>SUMIFS('Besi Balok'!$AA$23:$AA$12292,'Besi Balok'!$A$23:$A$12292,$A316,'Besi Balok'!$B$23:$B$12292,$B316,'Besi Balok'!$F$23:$F$12292,'REKAP Balok'!S$12)</f>
        <v>0</v>
      </c>
      <c r="T316">
        <f>SUMIFS('Besi Balok'!$AA$23:$AA$12292,'Besi Balok'!$A$23:$A$12292,$A316,'Besi Balok'!$B$23:$B$12292,$B316,'Besi Balok'!$F$23:$F$12292,'REKAP Balok'!T$12)</f>
        <v>0</v>
      </c>
      <c r="U316">
        <f>SUM(L316:T316)</f>
        <v>116.8884</v>
      </c>
      <c r="V316">
        <f>(D316*(F316-H316)*G316*K316)/1000000000</f>
        <v>0.492</v>
      </c>
      <c r="W316">
        <f>(((F316-H316)*2+D316)*(G316)*K316)/1000000</f>
        <v>6.56</v>
      </c>
      <c r="AC316">
        <f>(D316+2*$F$5)*F316*G316/1000000000</f>
        <v>1.476</v>
      </c>
    </row>
    <row r="317">
      <c r="A317" t="str">
        <f>'Data Panjang Balok'!A314</f>
        <v>Lantai Attic</v>
      </c>
      <c r="B317">
        <f>'Data Panjang Balok'!B314</f>
        <v>37</v>
      </c>
      <c r="C317" t="str">
        <f>'Data Panjang Balok'!D314</f>
        <v>B174-1</v>
      </c>
      <c r="D317">
        <f>IF(C317&gt;0,VLOOKUP(C317,'Detail Balok'!$C$11:$AU$110,2,FALSE),0)</f>
        <v>170</v>
      </c>
      <c r="E317" t="str">
        <v>x</v>
      </c>
      <c r="F317">
        <f>IF(C317&gt;0,VLOOKUP(C317,'Detail Balok'!$C$11:$AU$110,3,FALSE),0)</f>
        <v>400</v>
      </c>
      <c r="G317">
        <f>'Data Panjang Balok'!I314</f>
        <v>5485</v>
      </c>
      <c r="H317">
        <f>'Data Panjang Balok'!J314</f>
        <v>130</v>
      </c>
      <c r="J317">
        <f>I317-F317/1000</f>
        <v>-0.4</v>
      </c>
      <c r="K317">
        <f>'Data Panjang Balok'!E314</f>
        <v>1</v>
      </c>
      <c r="L317">
        <f>SUMIFS('Besi Balok'!$AA$23:$AA$12292,'Besi Balok'!$A$23:$A$12292,$A317,'Besi Balok'!$B$23:$B$12292,$B317,'Besi Balok'!$F$23:$F$12292,'REKAP Balok'!L$12)</f>
        <v>0</v>
      </c>
      <c r="M317">
        <f>SUMIFS('Besi Balok'!$AA$23:$AA$12292,'Besi Balok'!$A$23:$A$12292,$A317,'Besi Balok'!$B$23:$B$12292,$B317,'Besi Balok'!$F$23:$F$12292,'REKAP Balok'!M$12)</f>
        <v>0</v>
      </c>
      <c r="N317">
        <f>SUMIFS('Besi Balok'!$AA$23:$AA$12292,'Besi Balok'!$A$23:$A$12292,$A317,'Besi Balok'!$B$23:$B$12292,$B317,'Besi Balok'!$F$23:$F$12292,'REKAP Balok'!N$12)</f>
        <v>26.312220000000003</v>
      </c>
      <c r="O317">
        <f>SUMIFS('Besi Balok'!$AA$23:$AA$12292,'Besi Balok'!$A$23:$A$12292,$A317,'Besi Balok'!$B$23:$B$12292,$B317,'Besi Balok'!$F$23:$F$12292,'REKAP Balok'!O$12)</f>
        <v>24.159229380000003</v>
      </c>
      <c r="P317">
        <f>SUMIFS('Besi Balok'!$AA$23:$AA$12292,'Besi Balok'!$A$23:$A$12292,$A317,'Besi Balok'!$B$23:$B$12292,$B317,'Besi Balok'!$F$23:$F$12292,'REKAP Balok'!P$12)</f>
        <v>0</v>
      </c>
      <c r="Q317">
        <f>SUMIFS('Besi Balok'!$AA$23:$AA$12292,'Besi Balok'!$A$23:$A$12292,$A317,'Besi Balok'!$B$23:$B$12292,$B317,'Besi Balok'!$F$23:$F$12292,'REKAP Balok'!Q$12)</f>
        <v>0</v>
      </c>
      <c r="R317">
        <f>SUMIFS('Besi Balok'!$AA$23:$AA$12292,'Besi Balok'!$A$23:$A$12292,$A317,'Besi Balok'!$B$23:$B$12292,$B317,'Besi Balok'!$F$23:$F$12292,'REKAP Balok'!R$12)</f>
        <v>0</v>
      </c>
      <c r="S317">
        <f>SUMIFS('Besi Balok'!$AA$23:$AA$12292,'Besi Balok'!$A$23:$A$12292,$A317,'Besi Balok'!$B$23:$B$12292,$B317,'Besi Balok'!$F$23:$F$12292,'REKAP Balok'!S$12)</f>
        <v>0</v>
      </c>
      <c r="T317">
        <f>SUMIFS('Besi Balok'!$AA$23:$AA$12292,'Besi Balok'!$A$23:$A$12292,$A317,'Besi Balok'!$B$23:$B$12292,$B317,'Besi Balok'!$F$23:$F$12292,'REKAP Balok'!T$12)</f>
        <v>0</v>
      </c>
      <c r="U317">
        <f>SUM(L317:T317)</f>
        <v>50.47144938000001</v>
      </c>
      <c r="V317">
        <f>(D317*(F317-H317)*G317*K317)/1000000000</f>
        <v>0.2517615</v>
      </c>
      <c r="W317">
        <f>(((F317-H317)*2+D317)*(G317)*K317)/1000000</f>
        <v>3.89435</v>
      </c>
      <c r="AC317">
        <f>(D317+2*$F$5)*F317*G317/1000000000</f>
        <v>0.81178</v>
      </c>
    </row>
    <row r="318">
      <c r="A318" t="str">
        <f>'Data Panjang Balok'!A315</f>
        <v>Lantai Attic</v>
      </c>
      <c r="B318">
        <f>'Data Panjang Balok'!B315</f>
        <v>38</v>
      </c>
      <c r="C318" t="str">
        <f>'Data Panjang Balok'!D315</f>
        <v>B175-1</v>
      </c>
      <c r="D318">
        <f>IF(C318&gt;0,VLOOKUP(C318,'Detail Balok'!$C$11:$AU$110,2,FALSE),0)</f>
        <v>170</v>
      </c>
      <c r="E318" t="str">
        <v>x</v>
      </c>
      <c r="F318">
        <f>IF(C318&gt;0,VLOOKUP(C318,'Detail Balok'!$C$11:$AU$110,3,FALSE),0)</f>
        <v>500</v>
      </c>
      <c r="G318">
        <f>'Data Panjang Balok'!I315</f>
        <v>2100</v>
      </c>
      <c r="H318">
        <f>'Data Panjang Balok'!J315</f>
        <v>130</v>
      </c>
      <c r="J318">
        <f>I318-F318/1000</f>
        <v>-0.5</v>
      </c>
      <c r="K318">
        <f>'Data Panjang Balok'!E315</f>
        <v>1</v>
      </c>
      <c r="L318">
        <f>SUMIFS('Besi Balok'!$AA$23:$AA$12292,'Besi Balok'!$A$23:$A$12292,$A318,'Besi Balok'!$B$23:$B$12292,$B318,'Besi Balok'!$F$23:$F$12292,'REKAP Balok'!L$12)</f>
        <v>0</v>
      </c>
      <c r="M318">
        <f>SUMIFS('Besi Balok'!$AA$23:$AA$12292,'Besi Balok'!$A$23:$A$12292,$A318,'Besi Balok'!$B$23:$B$12292,$B318,'Besi Balok'!$F$23:$F$12292,'REKAP Balok'!M$12)</f>
        <v>0</v>
      </c>
      <c r="N318">
        <f>SUMIFS('Besi Balok'!$AA$23:$AA$12292,'Besi Balok'!$A$23:$A$12292,$A318,'Besi Balok'!$B$23:$B$12292,$B318,'Besi Balok'!$F$23:$F$12292,'REKAP Balok'!N$12)</f>
        <v>23.803064999999997</v>
      </c>
      <c r="O318">
        <f>SUMIFS('Besi Balok'!$AA$23:$AA$12292,'Besi Balok'!$A$23:$A$12292,$A318,'Besi Balok'!$B$23:$B$12292,$B318,'Besi Balok'!$F$23:$F$12292,'REKAP Balok'!O$12)</f>
        <v>10.052106479999999</v>
      </c>
      <c r="P318">
        <f>SUMIFS('Besi Balok'!$AA$23:$AA$12292,'Besi Balok'!$A$23:$A$12292,$A318,'Besi Balok'!$B$23:$B$12292,$B318,'Besi Balok'!$F$23:$F$12292,'REKAP Balok'!P$12)</f>
        <v>0</v>
      </c>
      <c r="Q318">
        <f>SUMIFS('Besi Balok'!$AA$23:$AA$12292,'Besi Balok'!$A$23:$A$12292,$A318,'Besi Balok'!$B$23:$B$12292,$B318,'Besi Balok'!$F$23:$F$12292,'REKAP Balok'!Q$12)</f>
        <v>0</v>
      </c>
      <c r="R318">
        <f>SUMIFS('Besi Balok'!$AA$23:$AA$12292,'Besi Balok'!$A$23:$A$12292,$A318,'Besi Balok'!$B$23:$B$12292,$B318,'Besi Balok'!$F$23:$F$12292,'REKAP Balok'!R$12)</f>
        <v>0</v>
      </c>
      <c r="S318">
        <f>SUMIFS('Besi Balok'!$AA$23:$AA$12292,'Besi Balok'!$A$23:$A$12292,$A318,'Besi Balok'!$B$23:$B$12292,$B318,'Besi Balok'!$F$23:$F$12292,'REKAP Balok'!S$12)</f>
        <v>0</v>
      </c>
      <c r="T318">
        <f>SUMIFS('Besi Balok'!$AA$23:$AA$12292,'Besi Balok'!$A$23:$A$12292,$A318,'Besi Balok'!$B$23:$B$12292,$B318,'Besi Balok'!$F$23:$F$12292,'REKAP Balok'!T$12)</f>
        <v>0</v>
      </c>
      <c r="U318">
        <f>SUM(L318:T318)</f>
        <v>33.855171479999996</v>
      </c>
      <c r="V318">
        <f>(D318*(F318-H318)*G318*K318)/1000000000</f>
        <v>0.13209</v>
      </c>
      <c r="W318">
        <f>(((F318-H318)*2+D318)*(G318)*K318)/1000000</f>
        <v>1.911</v>
      </c>
      <c r="AC318">
        <f>(D318+2*$F$5)*F318*G318/1000000000</f>
        <v>0.3885</v>
      </c>
    </row>
    <row r="319">
      <c r="A319" t="str">
        <f>'Data Panjang Balok'!A316</f>
        <v>Lantai Attic</v>
      </c>
      <c r="B319">
        <f>'Data Panjang Balok'!B316</f>
        <v>39</v>
      </c>
      <c r="C319" t="str">
        <f>'Data Panjang Balok'!D316</f>
        <v>B175-1</v>
      </c>
      <c r="D319">
        <f>IF(C319&gt;0,VLOOKUP(C319,'Detail Balok'!$C$11:$AU$110,2,FALSE),0)</f>
        <v>170</v>
      </c>
      <c r="E319" t="str">
        <v>x</v>
      </c>
      <c r="F319">
        <f>IF(C319&gt;0,VLOOKUP(C319,'Detail Balok'!$C$11:$AU$110,3,FALSE),0)</f>
        <v>500</v>
      </c>
      <c r="G319">
        <f>'Data Panjang Balok'!I316</f>
        <v>2900</v>
      </c>
      <c r="H319">
        <f>'Data Panjang Balok'!J316</f>
        <v>0</v>
      </c>
      <c r="J319">
        <f>I319-F319/1000</f>
        <v>-0.5</v>
      </c>
      <c r="K319">
        <f>'Data Panjang Balok'!E316</f>
        <v>1</v>
      </c>
      <c r="L319">
        <f>SUMIFS('Besi Balok'!$AA$23:$AA$12292,'Besi Balok'!$A$23:$A$12292,$A319,'Besi Balok'!$B$23:$B$12292,$B319,'Besi Balok'!$F$23:$F$12292,'REKAP Balok'!L$12)</f>
        <v>0</v>
      </c>
      <c r="M319">
        <f>SUMIFS('Besi Balok'!$AA$23:$AA$12292,'Besi Balok'!$A$23:$A$12292,$A319,'Besi Balok'!$B$23:$B$12292,$B319,'Besi Balok'!$F$23:$F$12292,'REKAP Balok'!M$12)</f>
        <v>0</v>
      </c>
      <c r="N319">
        <f>SUMIFS('Besi Balok'!$AA$23:$AA$12292,'Besi Balok'!$A$23:$A$12292,$A319,'Besi Balok'!$B$23:$B$12292,$B319,'Besi Balok'!$F$23:$F$12292,'REKAP Balok'!N$12)</f>
        <v>27.674685</v>
      </c>
      <c r="O319">
        <f>SUMIFS('Besi Balok'!$AA$23:$AA$12292,'Besi Balok'!$A$23:$A$12292,$A319,'Besi Balok'!$B$23:$B$12292,$B319,'Besi Balok'!$F$23:$F$12292,'REKAP Balok'!O$12)</f>
        <v>13.386138479999998</v>
      </c>
      <c r="P319">
        <f>SUMIFS('Besi Balok'!$AA$23:$AA$12292,'Besi Balok'!$A$23:$A$12292,$A319,'Besi Balok'!$B$23:$B$12292,$B319,'Besi Balok'!$F$23:$F$12292,'REKAP Balok'!P$12)</f>
        <v>0</v>
      </c>
      <c r="Q319">
        <f>SUMIFS('Besi Balok'!$AA$23:$AA$12292,'Besi Balok'!$A$23:$A$12292,$A319,'Besi Balok'!$B$23:$B$12292,$B319,'Besi Balok'!$F$23:$F$12292,'REKAP Balok'!Q$12)</f>
        <v>0</v>
      </c>
      <c r="R319">
        <f>SUMIFS('Besi Balok'!$AA$23:$AA$12292,'Besi Balok'!$A$23:$A$12292,$A319,'Besi Balok'!$B$23:$B$12292,$B319,'Besi Balok'!$F$23:$F$12292,'REKAP Balok'!R$12)</f>
        <v>0</v>
      </c>
      <c r="S319">
        <f>SUMIFS('Besi Balok'!$AA$23:$AA$12292,'Besi Balok'!$A$23:$A$12292,$A319,'Besi Balok'!$B$23:$B$12292,$B319,'Besi Balok'!$F$23:$F$12292,'REKAP Balok'!S$12)</f>
        <v>0</v>
      </c>
      <c r="T319">
        <f>SUMIFS('Besi Balok'!$AA$23:$AA$12292,'Besi Balok'!$A$23:$A$12292,$A319,'Besi Balok'!$B$23:$B$12292,$B319,'Besi Balok'!$F$23:$F$12292,'REKAP Balok'!T$12)</f>
        <v>0</v>
      </c>
      <c r="U319">
        <f>SUM(L319:T319)</f>
        <v>41.060823479999996</v>
      </c>
      <c r="V319">
        <f>(D319*(F319-H319)*G319*K319)/1000000000</f>
        <v>0.2465</v>
      </c>
      <c r="W319">
        <f>(((F319-H319)*2+D319)*(G319)*K319)/1000000</f>
        <v>3.393</v>
      </c>
      <c r="AC319">
        <f>(D319+2*$F$5)*F319*G319/1000000000</f>
        <v>0.5365</v>
      </c>
    </row>
    <row r="320">
      <c r="A320" t="str">
        <f>'Data Panjang Balok'!A317</f>
        <v>Lantai Attic</v>
      </c>
      <c r="B320">
        <f>'Data Panjang Balok'!B317</f>
        <v>40</v>
      </c>
      <c r="C320" t="str">
        <f>'Data Panjang Balok'!D317</f>
        <v>BB</v>
      </c>
      <c r="D320">
        <f>IF(C320&gt;0,VLOOKUP(C320,'Detail Balok'!$C$11:$AU$110,2,FALSE),0)</f>
        <v>200</v>
      </c>
      <c r="E320" t="str">
        <v>x</v>
      </c>
      <c r="F320">
        <f>IF(C320&gt;0,VLOOKUP(C320,'Detail Balok'!$C$11:$AU$110,3,FALSE),0)</f>
        <v>150</v>
      </c>
      <c r="G320">
        <f>'Data Panjang Balok'!I317</f>
        <v>900</v>
      </c>
      <c r="H320">
        <f>'Data Panjang Balok'!J317</f>
        <v>130</v>
      </c>
      <c r="J320">
        <f>I320-F320/1000</f>
        <v>-0.15</v>
      </c>
      <c r="K320">
        <f>'Data Panjang Balok'!E317</f>
        <v>1</v>
      </c>
      <c r="L320">
        <f>SUMIFS('Besi Balok'!$AA$23:$AA$12292,'Besi Balok'!$A$23:$A$12292,$A320,'Besi Balok'!$B$23:$B$12292,$B320,'Besi Balok'!$F$23:$F$12292,'REKAP Balok'!L$12)</f>
        <v>0</v>
      </c>
      <c r="M320">
        <f>SUMIFS('Besi Balok'!$AA$23:$AA$12292,'Besi Balok'!$A$23:$A$12292,$A320,'Besi Balok'!$B$23:$B$12292,$B320,'Besi Balok'!$F$23:$F$12292,'REKAP Balok'!M$12)</f>
        <v>2.3002848</v>
      </c>
      <c r="N320">
        <f>SUMIFS('Besi Balok'!$AA$23:$AA$12292,'Besi Balok'!$A$23:$A$12292,$A320,'Besi Balok'!$B$23:$B$12292,$B320,'Besi Balok'!$F$23:$F$12292,'REKAP Balok'!N$12)</f>
        <v>2.81124</v>
      </c>
      <c r="O320">
        <f>SUMIFS('Besi Balok'!$AA$23:$AA$12292,'Besi Balok'!$A$23:$A$12292,$A320,'Besi Balok'!$B$23:$B$12292,$B320,'Besi Balok'!$F$23:$F$12292,'REKAP Balok'!O$12)</f>
        <v>0</v>
      </c>
      <c r="P320">
        <f>SUMIFS('Besi Balok'!$AA$23:$AA$12292,'Besi Balok'!$A$23:$A$12292,$A320,'Besi Balok'!$B$23:$B$12292,$B320,'Besi Balok'!$F$23:$F$12292,'REKAP Balok'!P$12)</f>
        <v>0</v>
      </c>
      <c r="Q320">
        <f>SUMIFS('Besi Balok'!$AA$23:$AA$12292,'Besi Balok'!$A$23:$A$12292,$A320,'Besi Balok'!$B$23:$B$12292,$B320,'Besi Balok'!$F$23:$F$12292,'REKAP Balok'!Q$12)</f>
        <v>0</v>
      </c>
      <c r="R320">
        <f>SUMIFS('Besi Balok'!$AA$23:$AA$12292,'Besi Balok'!$A$23:$A$12292,$A320,'Besi Balok'!$B$23:$B$12292,$B320,'Besi Balok'!$F$23:$F$12292,'REKAP Balok'!R$12)</f>
        <v>0</v>
      </c>
      <c r="S320">
        <f>SUMIFS('Besi Balok'!$AA$23:$AA$12292,'Besi Balok'!$A$23:$A$12292,$A320,'Besi Balok'!$B$23:$B$12292,$B320,'Besi Balok'!$F$23:$F$12292,'REKAP Balok'!S$12)</f>
        <v>0</v>
      </c>
      <c r="T320">
        <f>SUMIFS('Besi Balok'!$AA$23:$AA$12292,'Besi Balok'!$A$23:$A$12292,$A320,'Besi Balok'!$B$23:$B$12292,$B320,'Besi Balok'!$F$23:$F$12292,'REKAP Balok'!T$12)</f>
        <v>0</v>
      </c>
      <c r="U320">
        <f>SUM(L320:T320)</f>
        <v>5.1115248</v>
      </c>
      <c r="V320">
        <f>(D320*(F320-H320)*G320*K320)/1000000000</f>
        <v>0.0036</v>
      </c>
      <c r="W320">
        <f>(((F320-H320)*2+D320)*(G320)*K320)/1000000</f>
        <v>0.216</v>
      </c>
      <c r="AC320">
        <f>(D320+2*$F$5)*F320*G320/1000000000</f>
        <v>0.054</v>
      </c>
    </row>
    <row r="321">
      <c r="A321" t="str">
        <f>'Data Panjang Balok'!A318</f>
        <v>Lantai Attic</v>
      </c>
      <c r="B321">
        <f>'Data Panjang Balok'!B318</f>
        <v>41</v>
      </c>
      <c r="C321" t="str">
        <f>'Data Panjang Balok'!D318</f>
        <v>BB</v>
      </c>
      <c r="D321">
        <f>IF(C321&gt;0,VLOOKUP(C321,'Detail Balok'!$C$11:$AU$110,2,FALSE),0)</f>
        <v>200</v>
      </c>
      <c r="E321" t="str">
        <v>x</v>
      </c>
      <c r="F321">
        <f>IF(C321&gt;0,VLOOKUP(C321,'Detail Balok'!$C$11:$AU$110,3,FALSE),0)</f>
        <v>150</v>
      </c>
      <c r="G321">
        <f>'Data Panjang Balok'!I318</f>
        <v>900</v>
      </c>
      <c r="H321">
        <f>'Data Panjang Balok'!J318</f>
        <v>130</v>
      </c>
      <c r="J321">
        <f>I321-F321/1000</f>
        <v>-0.15</v>
      </c>
      <c r="K321">
        <f>'Data Panjang Balok'!E318</f>
        <v>1</v>
      </c>
      <c r="L321">
        <f>SUMIFS('Besi Balok'!$AA$23:$AA$12292,'Besi Balok'!$A$23:$A$12292,$A321,'Besi Balok'!$B$23:$B$12292,$B321,'Besi Balok'!$F$23:$F$12292,'REKAP Balok'!L$12)</f>
        <v>0</v>
      </c>
      <c r="M321">
        <f>SUMIFS('Besi Balok'!$AA$23:$AA$12292,'Besi Balok'!$A$23:$A$12292,$A321,'Besi Balok'!$B$23:$B$12292,$B321,'Besi Balok'!$F$23:$F$12292,'REKAP Balok'!M$12)</f>
        <v>2.3002848</v>
      </c>
      <c r="N321">
        <f>SUMIFS('Besi Balok'!$AA$23:$AA$12292,'Besi Balok'!$A$23:$A$12292,$A321,'Besi Balok'!$B$23:$B$12292,$B321,'Besi Balok'!$F$23:$F$12292,'REKAP Balok'!N$12)</f>
        <v>2.81124</v>
      </c>
      <c r="O321">
        <f>SUMIFS('Besi Balok'!$AA$23:$AA$12292,'Besi Balok'!$A$23:$A$12292,$A321,'Besi Balok'!$B$23:$B$12292,$B321,'Besi Balok'!$F$23:$F$12292,'REKAP Balok'!O$12)</f>
        <v>0</v>
      </c>
      <c r="P321">
        <f>SUMIFS('Besi Balok'!$AA$23:$AA$12292,'Besi Balok'!$A$23:$A$12292,$A321,'Besi Balok'!$B$23:$B$12292,$B321,'Besi Balok'!$F$23:$F$12292,'REKAP Balok'!P$12)</f>
        <v>0</v>
      </c>
      <c r="Q321">
        <f>SUMIFS('Besi Balok'!$AA$23:$AA$12292,'Besi Balok'!$A$23:$A$12292,$A321,'Besi Balok'!$B$23:$B$12292,$B321,'Besi Balok'!$F$23:$F$12292,'REKAP Balok'!Q$12)</f>
        <v>0</v>
      </c>
      <c r="R321">
        <f>SUMIFS('Besi Balok'!$AA$23:$AA$12292,'Besi Balok'!$A$23:$A$12292,$A321,'Besi Balok'!$B$23:$B$12292,$B321,'Besi Balok'!$F$23:$F$12292,'REKAP Balok'!R$12)</f>
        <v>0</v>
      </c>
      <c r="S321">
        <f>SUMIFS('Besi Balok'!$AA$23:$AA$12292,'Besi Balok'!$A$23:$A$12292,$A321,'Besi Balok'!$B$23:$B$12292,$B321,'Besi Balok'!$F$23:$F$12292,'REKAP Balok'!S$12)</f>
        <v>0</v>
      </c>
      <c r="T321">
        <f>SUMIFS('Besi Balok'!$AA$23:$AA$12292,'Besi Balok'!$A$23:$A$12292,$A321,'Besi Balok'!$B$23:$B$12292,$B321,'Besi Balok'!$F$23:$F$12292,'REKAP Balok'!T$12)</f>
        <v>0</v>
      </c>
      <c r="U321">
        <f>SUM(L321:T321)</f>
        <v>5.1115248</v>
      </c>
      <c r="V321">
        <f>(D321*(F321-H321)*G321*K321)/1000000000</f>
        <v>0.0036</v>
      </c>
      <c r="W321">
        <f>(((F321-H321)*2+D321)*(G321)*K321)/1000000</f>
        <v>0.216</v>
      </c>
      <c r="AC321">
        <f>(D321+2*$F$5)*F321*G321/1000000000</f>
        <v>0.054</v>
      </c>
    </row>
    <row r="322">
      <c r="A322" t="str">
        <f>'Data Panjang Balok'!A319</f>
        <v>Lantai Attic</v>
      </c>
      <c r="B322">
        <f>'Data Panjang Balok'!B319</f>
        <v>42</v>
      </c>
      <c r="C322" t="str">
        <f>'Data Panjang Balok'!D319</f>
        <v>B245-4</v>
      </c>
      <c r="D322">
        <f>IF(C322&gt;0,VLOOKUP(C322,'Detail Balok'!$C$11:$AU$110,2,FALSE),0)</f>
        <v>200</v>
      </c>
      <c r="E322" t="str">
        <v>x</v>
      </c>
      <c r="F322">
        <f>IF(C322&gt;0,VLOOKUP(C322,'Detail Balok'!$C$11:$AU$110,3,FALSE),0)</f>
        <v>450</v>
      </c>
      <c r="G322">
        <f>'Data Panjang Balok'!I319</f>
        <v>6200</v>
      </c>
      <c r="H322">
        <f>'Data Panjang Balok'!J319</f>
        <v>130</v>
      </c>
      <c r="J322">
        <f>I322-F322/1000</f>
        <v>-0.45</v>
      </c>
      <c r="K322">
        <f>'Data Panjang Balok'!E319</f>
        <v>1</v>
      </c>
      <c r="L322">
        <f>SUMIFS('Besi Balok'!$AA$23:$AA$12292,'Besi Balok'!$A$23:$A$12292,$A322,'Besi Balok'!$B$23:$B$12292,$B322,'Besi Balok'!$F$23:$F$12292,'REKAP Balok'!L$12)</f>
        <v>0</v>
      </c>
      <c r="M322">
        <f>SUMIFS('Besi Balok'!$AA$23:$AA$12292,'Besi Balok'!$A$23:$A$12292,$A322,'Besi Balok'!$B$23:$B$12292,$B322,'Besi Balok'!$F$23:$F$12292,'REKAP Balok'!M$12)</f>
        <v>27.33669504</v>
      </c>
      <c r="N322">
        <f>SUMIFS('Besi Balok'!$AA$23:$AA$12292,'Besi Balok'!$A$23:$A$12292,$A322,'Besi Balok'!$B$23:$B$12292,$B322,'Besi Balok'!$F$23:$F$12292,'REKAP Balok'!N$12)</f>
        <v>0</v>
      </c>
      <c r="O322">
        <f>SUMIFS('Besi Balok'!$AA$23:$AA$12292,'Besi Balok'!$A$23:$A$12292,$A322,'Besi Balok'!$B$23:$B$12292,$B322,'Besi Balok'!$F$23:$F$12292,'REKAP Balok'!O$12)</f>
        <v>0</v>
      </c>
      <c r="P322">
        <f>SUMIFS('Besi Balok'!$AA$23:$AA$12292,'Besi Balok'!$A$23:$A$12292,$A322,'Besi Balok'!$B$23:$B$12292,$B322,'Besi Balok'!$F$23:$F$12292,'REKAP Balok'!P$12)</f>
        <v>62.34679296000001</v>
      </c>
      <c r="Q322">
        <f>SUMIFS('Besi Balok'!$AA$23:$AA$12292,'Besi Balok'!$A$23:$A$12292,$A322,'Besi Balok'!$B$23:$B$12292,$B322,'Besi Balok'!$F$23:$F$12292,'REKAP Balok'!Q$12)</f>
        <v>0</v>
      </c>
      <c r="R322">
        <f>SUMIFS('Besi Balok'!$AA$23:$AA$12292,'Besi Balok'!$A$23:$A$12292,$A322,'Besi Balok'!$B$23:$B$12292,$B322,'Besi Balok'!$F$23:$F$12292,'REKAP Balok'!R$12)</f>
        <v>0</v>
      </c>
      <c r="S322">
        <f>SUMIFS('Besi Balok'!$AA$23:$AA$12292,'Besi Balok'!$A$23:$A$12292,$A322,'Besi Balok'!$B$23:$B$12292,$B322,'Besi Balok'!$F$23:$F$12292,'REKAP Balok'!S$12)</f>
        <v>0</v>
      </c>
      <c r="T322">
        <f>SUMIFS('Besi Balok'!$AA$23:$AA$12292,'Besi Balok'!$A$23:$A$12292,$A322,'Besi Balok'!$B$23:$B$12292,$B322,'Besi Balok'!$F$23:$F$12292,'REKAP Balok'!T$12)</f>
        <v>0</v>
      </c>
      <c r="U322">
        <f>SUM(L322:T322)</f>
        <v>89.68348800000001</v>
      </c>
      <c r="V322">
        <f>(D322*(F322-H322)*G322*K322)/1000000000</f>
        <v>0.3968</v>
      </c>
      <c r="W322">
        <f>(((F322-H322)*2+D322)*(G322)*K322)/1000000</f>
        <v>5.208</v>
      </c>
      <c r="AC322">
        <f>(D322+2*$F$5)*F322*G322/1000000000</f>
        <v>1.116</v>
      </c>
    </row>
    <row r="323">
      <c r="A323" t="str">
        <f>'Data Panjang Balok'!A320</f>
        <v>Lantai Attic</v>
      </c>
      <c r="B323">
        <f>'Data Panjang Balok'!B320</f>
        <v>43</v>
      </c>
      <c r="C323" t="str">
        <f>'Data Panjang Balok'!D320</f>
        <v>Potongan F</v>
      </c>
      <c r="D323">
        <f>IF(C323&gt;0,VLOOKUP(C323,'Detail Balok'!$C$11:$AU$110,2,FALSE),0)</f>
        <v>200</v>
      </c>
      <c r="E323" t="str">
        <v>x</v>
      </c>
      <c r="F323">
        <f>IF(C323&gt;0,VLOOKUP(C323,'Detail Balok'!$C$11:$AU$110,3,FALSE),0)</f>
        <v>450</v>
      </c>
      <c r="G323">
        <f>'Data Panjang Balok'!I320</f>
        <v>2700</v>
      </c>
      <c r="H323">
        <f>'Data Panjang Balok'!J320</f>
        <v>130</v>
      </c>
      <c r="J323">
        <f>I323-F323/1000</f>
        <v>-0.45</v>
      </c>
      <c r="K323">
        <f>'Data Panjang Balok'!E320</f>
        <v>1</v>
      </c>
      <c r="L323">
        <f>SUMIFS('Besi Balok'!$AA$23:$AA$12292,'Besi Balok'!$A$23:$A$12292,$A323,'Besi Balok'!$B$23:$B$12292,$B323,'Besi Balok'!$F$23:$F$12292,'REKAP Balok'!L$12)</f>
        <v>0</v>
      </c>
      <c r="M323">
        <f>SUMIFS('Besi Balok'!$AA$23:$AA$12292,'Besi Balok'!$A$23:$A$12292,$A323,'Besi Balok'!$B$23:$B$12292,$B323,'Besi Balok'!$F$23:$F$12292,'REKAP Balok'!M$12)</f>
        <v>0</v>
      </c>
      <c r="N323">
        <f>SUMIFS('Besi Balok'!$AA$23:$AA$12292,'Besi Balok'!$A$23:$A$12292,$A323,'Besi Balok'!$B$23:$B$12292,$B323,'Besi Balok'!$F$23:$F$12292,'REKAP Balok'!N$12)</f>
        <v>23.827725</v>
      </c>
      <c r="O323">
        <f>SUMIFS('Besi Balok'!$AA$23:$AA$12292,'Besi Balok'!$A$23:$A$12292,$A323,'Besi Balok'!$B$23:$B$12292,$B323,'Besi Balok'!$F$23:$F$12292,'REKAP Balok'!O$12)</f>
        <v>0</v>
      </c>
      <c r="P323">
        <f>SUMIFS('Besi Balok'!$AA$23:$AA$12292,'Besi Balok'!$A$23:$A$12292,$A323,'Besi Balok'!$B$23:$B$12292,$B323,'Besi Balok'!$F$23:$F$12292,'REKAP Balok'!P$12)</f>
        <v>38.938337280000006</v>
      </c>
      <c r="Q323">
        <f>SUMIFS('Besi Balok'!$AA$23:$AA$12292,'Besi Balok'!$A$23:$A$12292,$A323,'Besi Balok'!$B$23:$B$12292,$B323,'Besi Balok'!$F$23:$F$12292,'REKAP Balok'!Q$12)</f>
        <v>0</v>
      </c>
      <c r="R323">
        <f>SUMIFS('Besi Balok'!$AA$23:$AA$12292,'Besi Balok'!$A$23:$A$12292,$A323,'Besi Balok'!$B$23:$B$12292,$B323,'Besi Balok'!$F$23:$F$12292,'REKAP Balok'!R$12)</f>
        <v>0</v>
      </c>
      <c r="S323">
        <f>SUMIFS('Besi Balok'!$AA$23:$AA$12292,'Besi Balok'!$A$23:$A$12292,$A323,'Besi Balok'!$B$23:$B$12292,$B323,'Besi Balok'!$F$23:$F$12292,'REKAP Balok'!S$12)</f>
        <v>0</v>
      </c>
      <c r="T323">
        <f>SUMIFS('Besi Balok'!$AA$23:$AA$12292,'Besi Balok'!$A$23:$A$12292,$A323,'Besi Balok'!$B$23:$B$12292,$B323,'Besi Balok'!$F$23:$F$12292,'REKAP Balok'!T$12)</f>
        <v>0</v>
      </c>
      <c r="U323">
        <f>SUM(L323:T323)</f>
        <v>62.76606228000001</v>
      </c>
      <c r="V323">
        <f>(D323*(F323-H323)*G323*K323)/1000000000</f>
        <v>0.1728</v>
      </c>
      <c r="W323">
        <f>(((F323-H323)*2+D323)*(G323)*K323)/1000000</f>
        <v>2.268</v>
      </c>
      <c r="AC323">
        <f>(D323+2*$F$5)*F323*G323/1000000000</f>
        <v>0.486</v>
      </c>
    </row>
    <row r="324">
      <c r="A324" t="str">
        <f>'Data Panjang Balok'!A321</f>
        <v>Lantai Attic</v>
      </c>
      <c r="B324">
        <f>'Data Panjang Balok'!B321</f>
        <v>44</v>
      </c>
      <c r="C324" t="str">
        <f>'Data Panjang Balok'!D321</f>
        <v>B24-4</v>
      </c>
      <c r="D324">
        <f>IF(C324&gt;0,VLOOKUP(C324,'Detail Balok'!$C$11:$AU$110,2,FALSE),0)</f>
        <v>200</v>
      </c>
      <c r="E324" t="str">
        <v>x</v>
      </c>
      <c r="F324">
        <f>IF(C324&gt;0,VLOOKUP(C324,'Detail Balok'!$C$11:$AU$110,3,FALSE),0)</f>
        <v>400</v>
      </c>
      <c r="G324">
        <f>'Data Panjang Balok'!I321</f>
        <v>5600</v>
      </c>
      <c r="H324">
        <f>'Data Panjang Balok'!J321</f>
        <v>150</v>
      </c>
      <c r="J324">
        <f>I324-F324/1000</f>
        <v>-0.4</v>
      </c>
      <c r="K324">
        <f>'Data Panjang Balok'!E321</f>
        <v>1</v>
      </c>
      <c r="L324">
        <f>SUMIFS('Besi Balok'!$AA$23:$AA$12292,'Besi Balok'!$A$23:$A$12292,$A324,'Besi Balok'!$B$23:$B$12292,$B324,'Besi Balok'!$F$23:$F$12292,'REKAP Balok'!L$12)</f>
        <v>0</v>
      </c>
      <c r="M324">
        <f>SUMIFS('Besi Balok'!$AA$23:$AA$12292,'Besi Balok'!$A$23:$A$12292,$A324,'Besi Balok'!$B$23:$B$12292,$B324,'Besi Balok'!$F$23:$F$12292,'REKAP Balok'!M$12)</f>
        <v>21.132633600000005</v>
      </c>
      <c r="N324">
        <f>SUMIFS('Besi Balok'!$AA$23:$AA$12292,'Besi Balok'!$A$23:$A$12292,$A324,'Besi Balok'!$B$23:$B$12292,$B324,'Besi Balok'!$F$23:$F$12292,'REKAP Balok'!N$12)</f>
        <v>0</v>
      </c>
      <c r="O324">
        <f>SUMIFS('Besi Balok'!$AA$23:$AA$12292,'Besi Balok'!$A$23:$A$12292,$A324,'Besi Balok'!$B$23:$B$12292,$B324,'Besi Balok'!$F$23:$F$12292,'REKAP Balok'!O$12)</f>
        <v>0</v>
      </c>
      <c r="P324">
        <f>SUMIFS('Besi Balok'!$AA$23:$AA$12292,'Besi Balok'!$A$23:$A$12292,$A324,'Besi Balok'!$B$23:$B$12292,$B324,'Besi Balok'!$F$23:$F$12292,'REKAP Balok'!P$12)</f>
        <v>61.71549695999998</v>
      </c>
      <c r="Q324">
        <f>SUMIFS('Besi Balok'!$AA$23:$AA$12292,'Besi Balok'!$A$23:$A$12292,$A324,'Besi Balok'!$B$23:$B$12292,$B324,'Besi Balok'!$F$23:$F$12292,'REKAP Balok'!Q$12)</f>
        <v>0</v>
      </c>
      <c r="R324">
        <f>SUMIFS('Besi Balok'!$AA$23:$AA$12292,'Besi Balok'!$A$23:$A$12292,$A324,'Besi Balok'!$B$23:$B$12292,$B324,'Besi Balok'!$F$23:$F$12292,'REKAP Balok'!R$12)</f>
        <v>0</v>
      </c>
      <c r="S324">
        <f>SUMIFS('Besi Balok'!$AA$23:$AA$12292,'Besi Balok'!$A$23:$A$12292,$A324,'Besi Balok'!$B$23:$B$12292,$B324,'Besi Balok'!$F$23:$F$12292,'REKAP Balok'!S$12)</f>
        <v>0</v>
      </c>
      <c r="T324">
        <f>SUMIFS('Besi Balok'!$AA$23:$AA$12292,'Besi Balok'!$A$23:$A$12292,$A324,'Besi Balok'!$B$23:$B$12292,$B324,'Besi Balok'!$F$23:$F$12292,'REKAP Balok'!T$12)</f>
        <v>0</v>
      </c>
      <c r="U324">
        <f>SUM(L324:T324)</f>
        <v>82.84813055999999</v>
      </c>
      <c r="V324">
        <f>(D324*(F324-H324)*G324*K324)/1000000000</f>
        <v>0.28</v>
      </c>
      <c r="W324">
        <f>(((F324-H324)*2+D324)*(G324)*K324)/1000000</f>
        <v>3.92</v>
      </c>
      <c r="AC324">
        <f>(D324+2*$F$5)*F324*G324/1000000000</f>
        <v>0.896</v>
      </c>
    </row>
    <row r="325">
      <c r="A325" t="str">
        <f>'Data Panjang Balok'!A322</f>
        <v>Lantai Attic</v>
      </c>
      <c r="B325">
        <f>'Data Panjang Balok'!B322</f>
        <v>45</v>
      </c>
      <c r="C325" t="str">
        <f>'Data Panjang Balok'!D322</f>
        <v>B24-4</v>
      </c>
      <c r="D325">
        <f>IF(C325&gt;0,VLOOKUP(C325,'Detail Balok'!$C$11:$AU$110,2,FALSE),0)</f>
        <v>200</v>
      </c>
      <c r="E325" t="str">
        <v>x</v>
      </c>
      <c r="F325">
        <f>IF(C325&gt;0,VLOOKUP(C325,'Detail Balok'!$C$11:$AU$110,3,FALSE),0)</f>
        <v>400</v>
      </c>
      <c r="G325">
        <f>'Data Panjang Balok'!I322</f>
        <v>3100</v>
      </c>
      <c r="H325">
        <f>'Data Panjang Balok'!J322</f>
        <v>150</v>
      </c>
      <c r="J325">
        <f>I325-F325/1000</f>
        <v>-0.4</v>
      </c>
      <c r="K325">
        <f>'Data Panjang Balok'!E322</f>
        <v>1</v>
      </c>
      <c r="L325">
        <f>SUMIFS('Besi Balok'!$AA$23:$AA$12292,'Besi Balok'!$A$23:$A$12292,$A325,'Besi Balok'!$B$23:$B$12292,$B325,'Besi Balok'!$F$23:$F$12292,'REKAP Balok'!L$12)</f>
        <v>0</v>
      </c>
      <c r="M325">
        <f>SUMIFS('Besi Balok'!$AA$23:$AA$12292,'Besi Balok'!$A$23:$A$12292,$A325,'Besi Balok'!$B$23:$B$12292,$B325,'Besi Balok'!$F$23:$F$12292,'REKAP Balok'!M$12)</f>
        <v>12.191904000000001</v>
      </c>
      <c r="N325">
        <f>SUMIFS('Besi Balok'!$AA$23:$AA$12292,'Besi Balok'!$A$23:$A$12292,$A325,'Besi Balok'!$B$23:$B$12292,$B325,'Besi Balok'!$F$23:$F$12292,'REKAP Balok'!N$12)</f>
        <v>0</v>
      </c>
      <c r="O325">
        <f>SUMIFS('Besi Balok'!$AA$23:$AA$12292,'Besi Balok'!$A$23:$A$12292,$A325,'Besi Balok'!$B$23:$B$12292,$B325,'Besi Balok'!$F$23:$F$12292,'REKAP Balok'!O$12)</f>
        <v>0</v>
      </c>
      <c r="P325">
        <f>SUMIFS('Besi Balok'!$AA$23:$AA$12292,'Besi Balok'!$A$23:$A$12292,$A325,'Besi Balok'!$B$23:$B$12292,$B325,'Besi Balok'!$F$23:$F$12292,'REKAP Balok'!P$12)</f>
        <v>36.46365696000001</v>
      </c>
      <c r="Q325">
        <f>SUMIFS('Besi Balok'!$AA$23:$AA$12292,'Besi Balok'!$A$23:$A$12292,$A325,'Besi Balok'!$B$23:$B$12292,$B325,'Besi Balok'!$F$23:$F$12292,'REKAP Balok'!Q$12)</f>
        <v>0</v>
      </c>
      <c r="R325">
        <f>SUMIFS('Besi Balok'!$AA$23:$AA$12292,'Besi Balok'!$A$23:$A$12292,$A325,'Besi Balok'!$B$23:$B$12292,$B325,'Besi Balok'!$F$23:$F$12292,'REKAP Balok'!R$12)</f>
        <v>0</v>
      </c>
      <c r="S325">
        <f>SUMIFS('Besi Balok'!$AA$23:$AA$12292,'Besi Balok'!$A$23:$A$12292,$A325,'Besi Balok'!$B$23:$B$12292,$B325,'Besi Balok'!$F$23:$F$12292,'REKAP Balok'!S$12)</f>
        <v>0</v>
      </c>
      <c r="T325">
        <f>SUMIFS('Besi Balok'!$AA$23:$AA$12292,'Besi Balok'!$A$23:$A$12292,$A325,'Besi Balok'!$B$23:$B$12292,$B325,'Besi Balok'!$F$23:$F$12292,'REKAP Balok'!T$12)</f>
        <v>0</v>
      </c>
      <c r="U325">
        <f>SUM(L325:T325)</f>
        <v>48.65556096000001</v>
      </c>
      <c r="V325">
        <f>(D325*(F325-H325)*G325*K325)/1000000000</f>
        <v>0.155</v>
      </c>
      <c r="W325">
        <f>(((F325-H325)*2+D325)*(G325)*K325)/1000000</f>
        <v>2.17</v>
      </c>
      <c r="AC325">
        <f>(D325+2*$F$5)*F325*G325/1000000000</f>
        <v>0.496</v>
      </c>
    </row>
    <row r="326">
      <c r="A326" t="str">
        <f>'Data Panjang Balok'!A323</f>
        <v>Lantai Attic</v>
      </c>
      <c r="B326">
        <f>'Data Panjang Balok'!B323</f>
        <v>46</v>
      </c>
      <c r="C326" t="str">
        <f>'Data Panjang Balok'!D323</f>
        <v>Potongan J</v>
      </c>
      <c r="D326">
        <f>IF(C326&gt;0,VLOOKUP(C326,'Detail Balok'!$C$11:$AU$110,2,FALSE),0)</f>
        <v>200</v>
      </c>
      <c r="E326" t="str">
        <v>x</v>
      </c>
      <c r="F326">
        <f>IF(C326&gt;0,VLOOKUP(C326,'Detail Balok'!$C$11:$AU$110,3,FALSE),0)</f>
        <v>500</v>
      </c>
      <c r="G326">
        <f>'Data Panjang Balok'!I323</f>
        <v>2000</v>
      </c>
      <c r="H326">
        <f>'Data Panjang Balok'!J323</f>
        <v>130</v>
      </c>
      <c r="J326">
        <f>I326-F326/1000</f>
        <v>-0.5</v>
      </c>
      <c r="K326">
        <f>'Data Panjang Balok'!E323</f>
        <v>1</v>
      </c>
      <c r="L326">
        <f>SUMIFS('Besi Balok'!$AA$23:$AA$12292,'Besi Balok'!$A$23:$A$12292,$A326,'Besi Balok'!$B$23:$B$12292,$B326,'Besi Balok'!$F$23:$F$12292,'REKAP Balok'!L$12)</f>
        <v>0</v>
      </c>
      <c r="M326">
        <f>SUMIFS('Besi Balok'!$AA$23:$AA$12292,'Besi Balok'!$A$23:$A$12292,$A326,'Besi Balok'!$B$23:$B$12292,$B326,'Besi Balok'!$F$23:$F$12292,'REKAP Balok'!M$12)</f>
        <v>0</v>
      </c>
      <c r="N326">
        <f>SUMIFS('Besi Balok'!$AA$23:$AA$12292,'Besi Balok'!$A$23:$A$12292,$A326,'Besi Balok'!$B$23:$B$12292,$B326,'Besi Balok'!$F$23:$F$12292,'REKAP Balok'!N$12)</f>
        <v>11.103165</v>
      </c>
      <c r="O326">
        <f>SUMIFS('Besi Balok'!$AA$23:$AA$12292,'Besi Balok'!$A$23:$A$12292,$A326,'Besi Balok'!$B$23:$B$12292,$B326,'Besi Balok'!$F$23:$F$12292,'REKAP Balok'!O$12)</f>
        <v>0</v>
      </c>
      <c r="P326">
        <f>SUMIFS('Besi Balok'!$AA$23:$AA$12292,'Besi Balok'!$A$23:$A$12292,$A326,'Besi Balok'!$B$23:$B$12292,$B326,'Besi Balok'!$F$23:$F$12292,'REKAP Balok'!P$12)</f>
        <v>0</v>
      </c>
      <c r="Q326">
        <f>SUMIFS('Besi Balok'!$AA$23:$AA$12292,'Besi Balok'!$A$23:$A$12292,$A326,'Besi Balok'!$B$23:$B$12292,$B326,'Besi Balok'!$F$23:$F$12292,'REKAP Balok'!Q$12)</f>
        <v>38.261913480000004</v>
      </c>
      <c r="R326">
        <f>SUMIFS('Besi Balok'!$AA$23:$AA$12292,'Besi Balok'!$A$23:$A$12292,$A326,'Besi Balok'!$B$23:$B$12292,$B326,'Besi Balok'!$F$23:$F$12292,'REKAP Balok'!R$12)</f>
        <v>0</v>
      </c>
      <c r="S326">
        <f>SUMIFS('Besi Balok'!$AA$23:$AA$12292,'Besi Balok'!$A$23:$A$12292,$A326,'Besi Balok'!$B$23:$B$12292,$B326,'Besi Balok'!$F$23:$F$12292,'REKAP Balok'!S$12)</f>
        <v>0</v>
      </c>
      <c r="T326">
        <f>SUMIFS('Besi Balok'!$AA$23:$AA$12292,'Besi Balok'!$A$23:$A$12292,$A326,'Besi Balok'!$B$23:$B$12292,$B326,'Besi Balok'!$F$23:$F$12292,'REKAP Balok'!T$12)</f>
        <v>0</v>
      </c>
      <c r="U326">
        <f>SUM(L326:T326)</f>
        <v>49.36507848000001</v>
      </c>
      <c r="V326">
        <f>(D326*(F326-H326)*G326*K326)/1000000000</f>
        <v>0.148</v>
      </c>
      <c r="W326">
        <f>(((F326-H326)*2+D326)*(G326)*K326)/1000000</f>
        <v>1.88</v>
      </c>
      <c r="AC326">
        <f>(D326+2*$F$5)*F326*G326/1000000000</f>
        <v>0.4</v>
      </c>
    </row>
    <row r="327">
      <c r="A327" t="str">
        <f>'Data Panjang Balok'!A324</f>
        <v>Lantai Attic</v>
      </c>
      <c r="B327">
        <f>'Data Panjang Balok'!B324</f>
        <v>47</v>
      </c>
      <c r="C327" t="str">
        <f>'Data Panjang Balok'!D324</f>
        <v>B24-1</v>
      </c>
      <c r="D327">
        <f>IF(C327&gt;0,VLOOKUP(C327,'Detail Balok'!$C$11:$AU$110,2,FALSE),0)</f>
        <v>200</v>
      </c>
      <c r="E327" t="str">
        <v>x</v>
      </c>
      <c r="F327">
        <f>IF(C327&gt;0,VLOOKUP(C327,'Detail Balok'!$C$11:$AU$110,3,FALSE),0)</f>
        <v>400</v>
      </c>
      <c r="G327">
        <f>'Data Panjang Balok'!I324</f>
        <v>2000</v>
      </c>
      <c r="H327">
        <f>'Data Panjang Balok'!J324</f>
        <v>150</v>
      </c>
      <c r="J327">
        <f>I327-F327/1000</f>
        <v>-0.4</v>
      </c>
      <c r="K327">
        <f>'Data Panjang Balok'!E324</f>
        <v>1</v>
      </c>
      <c r="L327">
        <f>SUMIFS('Besi Balok'!$AA$23:$AA$12292,'Besi Balok'!$A$23:$A$12292,$A327,'Besi Balok'!$B$23:$B$12292,$B327,'Besi Balok'!$F$23:$F$12292,'REKAP Balok'!L$12)</f>
        <v>0</v>
      </c>
      <c r="M327">
        <f>SUMIFS('Besi Balok'!$AA$23:$AA$12292,'Besi Balok'!$A$23:$A$12292,$A327,'Besi Balok'!$B$23:$B$12292,$B327,'Besi Balok'!$F$23:$F$12292,'REKAP Balok'!M$12)</f>
        <v>8.127936000000002</v>
      </c>
      <c r="N327">
        <f>SUMIFS('Besi Balok'!$AA$23:$AA$12292,'Besi Balok'!$A$23:$A$12292,$A327,'Besi Balok'!$B$23:$B$12292,$B327,'Besi Balok'!$F$23:$F$12292,'REKAP Balok'!N$12)</f>
        <v>0</v>
      </c>
      <c r="O327">
        <f>SUMIFS('Besi Balok'!$AA$23:$AA$12292,'Besi Balok'!$A$23:$A$12292,$A327,'Besi Balok'!$B$23:$B$12292,$B327,'Besi Balok'!$F$23:$F$12292,'REKAP Balok'!O$12)</f>
        <v>9.63535248</v>
      </c>
      <c r="P327">
        <f>SUMIFS('Besi Balok'!$AA$23:$AA$12292,'Besi Balok'!$A$23:$A$12292,$A327,'Besi Balok'!$B$23:$B$12292,$B327,'Besi Balok'!$F$23:$F$12292,'REKAP Balok'!P$12)</f>
        <v>0</v>
      </c>
      <c r="Q327">
        <f>SUMIFS('Besi Balok'!$AA$23:$AA$12292,'Besi Balok'!$A$23:$A$12292,$A327,'Besi Balok'!$B$23:$B$12292,$B327,'Besi Balok'!$F$23:$F$12292,'REKAP Balok'!Q$12)</f>
        <v>0</v>
      </c>
      <c r="R327">
        <f>SUMIFS('Besi Balok'!$AA$23:$AA$12292,'Besi Balok'!$A$23:$A$12292,$A327,'Besi Balok'!$B$23:$B$12292,$B327,'Besi Balok'!$F$23:$F$12292,'REKAP Balok'!R$12)</f>
        <v>0</v>
      </c>
      <c r="S327">
        <f>SUMIFS('Besi Balok'!$AA$23:$AA$12292,'Besi Balok'!$A$23:$A$12292,$A327,'Besi Balok'!$B$23:$B$12292,$B327,'Besi Balok'!$F$23:$F$12292,'REKAP Balok'!S$12)</f>
        <v>0</v>
      </c>
      <c r="T327">
        <f>SUMIFS('Besi Balok'!$AA$23:$AA$12292,'Besi Balok'!$A$23:$A$12292,$A327,'Besi Balok'!$B$23:$B$12292,$B327,'Besi Balok'!$F$23:$F$12292,'REKAP Balok'!T$12)</f>
        <v>0</v>
      </c>
      <c r="U327">
        <f>SUM(L327:T327)</f>
        <v>17.76328848</v>
      </c>
      <c r="V327">
        <f>(D327*(F327-H327)*G327*K327)/1000000000</f>
        <v>0.1</v>
      </c>
      <c r="W327">
        <f>(((F327-H327)*2+D327)*(G327)*K327)/1000000</f>
        <v>1.4</v>
      </c>
      <c r="AC327">
        <f>(D327+2*$F$5)*F327*G327/1000000000</f>
        <v>0.32</v>
      </c>
    </row>
    <row r="328">
      <c r="A328" t="str">
        <f>'Data Panjang Balok'!A325</f>
        <v>Lantai Attic</v>
      </c>
      <c r="B328">
        <f>'Data Panjang Balok'!B325</f>
        <v>48</v>
      </c>
      <c r="C328" t="str">
        <f>'Data Panjang Balok'!D325</f>
        <v>B245-1</v>
      </c>
      <c r="D328">
        <f>IF(C328&gt;0,VLOOKUP(C328,'Detail Balok'!$C$11:$AU$110,2,FALSE),0)</f>
        <v>200</v>
      </c>
      <c r="E328" t="str">
        <v>x</v>
      </c>
      <c r="F328">
        <f>IF(C328&gt;0,VLOOKUP(C328,'Detail Balok'!$C$11:$AU$110,3,FALSE),0)</f>
        <v>450</v>
      </c>
      <c r="G328">
        <f>'Data Panjang Balok'!I325</f>
        <v>5100</v>
      </c>
      <c r="H328">
        <f>'Data Panjang Balok'!J325</f>
        <v>150</v>
      </c>
      <c r="J328">
        <f>I328-F328/1000</f>
        <v>-0.45</v>
      </c>
      <c r="K328">
        <f>'Data Panjang Balok'!E325</f>
        <v>1</v>
      </c>
      <c r="L328">
        <f>SUMIFS('Besi Balok'!$AA$23:$AA$12292,'Besi Balok'!$A$23:$A$12292,$A328,'Besi Balok'!$B$23:$B$12292,$B328,'Besi Balok'!$F$23:$F$12292,'REKAP Balok'!L$12)</f>
        <v>0</v>
      </c>
      <c r="M328">
        <f>SUMIFS('Besi Balok'!$AA$23:$AA$12292,'Besi Balok'!$A$23:$A$12292,$A328,'Besi Balok'!$B$23:$B$12292,$B328,'Besi Balok'!$F$23:$F$12292,'REKAP Balok'!M$12)</f>
        <v>22.455987840000002</v>
      </c>
      <c r="N328">
        <f>SUMIFS('Besi Balok'!$AA$23:$AA$12292,'Besi Balok'!$A$23:$A$12292,$A328,'Besi Balok'!$B$23:$B$12292,$B328,'Besi Balok'!$F$23:$F$12292,'REKAP Balok'!N$12)</f>
        <v>0</v>
      </c>
      <c r="O328">
        <f>SUMIFS('Besi Balok'!$AA$23:$AA$12292,'Besi Balok'!$A$23:$A$12292,$A328,'Besi Balok'!$B$23:$B$12292,$B328,'Besi Balok'!$F$23:$F$12292,'REKAP Balok'!O$12)</f>
        <v>22.55472648</v>
      </c>
      <c r="P328">
        <f>SUMIFS('Besi Balok'!$AA$23:$AA$12292,'Besi Balok'!$A$23:$A$12292,$A328,'Besi Balok'!$B$23:$B$12292,$B328,'Besi Balok'!$F$23:$F$12292,'REKAP Balok'!P$12)</f>
        <v>0</v>
      </c>
      <c r="Q328">
        <f>SUMIFS('Besi Balok'!$AA$23:$AA$12292,'Besi Balok'!$A$23:$A$12292,$A328,'Besi Balok'!$B$23:$B$12292,$B328,'Besi Balok'!$F$23:$F$12292,'REKAP Balok'!Q$12)</f>
        <v>0</v>
      </c>
      <c r="R328">
        <f>SUMIFS('Besi Balok'!$AA$23:$AA$12292,'Besi Balok'!$A$23:$A$12292,$A328,'Besi Balok'!$B$23:$B$12292,$B328,'Besi Balok'!$F$23:$F$12292,'REKAP Balok'!R$12)</f>
        <v>0</v>
      </c>
      <c r="S328">
        <f>SUMIFS('Besi Balok'!$AA$23:$AA$12292,'Besi Balok'!$A$23:$A$12292,$A328,'Besi Balok'!$B$23:$B$12292,$B328,'Besi Balok'!$F$23:$F$12292,'REKAP Balok'!S$12)</f>
        <v>0</v>
      </c>
      <c r="T328">
        <f>SUMIFS('Besi Balok'!$AA$23:$AA$12292,'Besi Balok'!$A$23:$A$12292,$A328,'Besi Balok'!$B$23:$B$12292,$B328,'Besi Balok'!$F$23:$F$12292,'REKAP Balok'!T$12)</f>
        <v>0</v>
      </c>
      <c r="U328">
        <f>SUM(L328:T328)</f>
        <v>45.010714320000005</v>
      </c>
      <c r="V328">
        <f>(D328*(F328-H328)*G328*K328)/1000000000</f>
        <v>0.306</v>
      </c>
      <c r="W328">
        <f>(((F328-H328)*2+D328)*(G328)*K328)/1000000</f>
        <v>4.08</v>
      </c>
      <c r="AC328">
        <f>(D328+2*$F$5)*F328*G328/1000000000</f>
        <v>0.918</v>
      </c>
    </row>
    <row r="329">
      <c r="A329" t="str">
        <f>'Data Panjang Balok'!A326</f>
        <v>Lantai Attic</v>
      </c>
      <c r="B329">
        <f>'Data Panjang Balok'!B326</f>
        <v>49</v>
      </c>
      <c r="C329" t="str">
        <f>'Data Panjang Balok'!D326</f>
        <v>B245-4</v>
      </c>
      <c r="D329">
        <f>IF(C329&gt;0,VLOOKUP(C329,'Detail Balok'!$C$11:$AU$110,2,FALSE),0)</f>
        <v>200</v>
      </c>
      <c r="E329" t="str">
        <v>x</v>
      </c>
      <c r="F329">
        <f>IF(C329&gt;0,VLOOKUP(C329,'Detail Balok'!$C$11:$AU$110,3,FALSE),0)</f>
        <v>450</v>
      </c>
      <c r="G329">
        <f>'Data Panjang Balok'!I326</f>
        <v>3300</v>
      </c>
      <c r="H329">
        <f>'Data Panjang Balok'!J326</f>
        <v>150</v>
      </c>
      <c r="J329">
        <f>I329-F329/1000</f>
        <v>-0.45</v>
      </c>
      <c r="K329">
        <f>'Data Panjang Balok'!E326</f>
        <v>1</v>
      </c>
      <c r="L329">
        <f>SUMIFS('Besi Balok'!$AA$23:$AA$12292,'Besi Balok'!$A$23:$A$12292,$A329,'Besi Balok'!$B$23:$B$12292,$B329,'Besi Balok'!$F$23:$F$12292,'REKAP Balok'!L$12)</f>
        <v>0</v>
      </c>
      <c r="M329">
        <f>SUMIFS('Besi Balok'!$AA$23:$AA$12292,'Besi Balok'!$A$23:$A$12292,$A329,'Besi Balok'!$B$23:$B$12292,$B329,'Besi Balok'!$F$23:$F$12292,'REKAP Balok'!M$12)</f>
        <v>15.23948544</v>
      </c>
      <c r="N329">
        <f>SUMIFS('Besi Balok'!$AA$23:$AA$12292,'Besi Balok'!$A$23:$A$12292,$A329,'Besi Balok'!$B$23:$B$12292,$B329,'Besi Balok'!$F$23:$F$12292,'REKAP Balok'!N$12)</f>
        <v>0</v>
      </c>
      <c r="O329">
        <f>SUMIFS('Besi Balok'!$AA$23:$AA$12292,'Besi Balok'!$A$23:$A$12292,$A329,'Besi Balok'!$B$23:$B$12292,$B329,'Besi Balok'!$F$23:$F$12292,'REKAP Balok'!O$12)</f>
        <v>0</v>
      </c>
      <c r="P329">
        <f>SUMIFS('Besi Balok'!$AA$23:$AA$12292,'Besi Balok'!$A$23:$A$12292,$A329,'Besi Balok'!$B$23:$B$12292,$B329,'Besi Balok'!$F$23:$F$12292,'REKAP Balok'!P$12)</f>
        <v>34.88541696</v>
      </c>
      <c r="Q329">
        <f>SUMIFS('Besi Balok'!$AA$23:$AA$12292,'Besi Balok'!$A$23:$A$12292,$A329,'Besi Balok'!$B$23:$B$12292,$B329,'Besi Balok'!$F$23:$F$12292,'REKAP Balok'!Q$12)</f>
        <v>0</v>
      </c>
      <c r="R329">
        <f>SUMIFS('Besi Balok'!$AA$23:$AA$12292,'Besi Balok'!$A$23:$A$12292,$A329,'Besi Balok'!$B$23:$B$12292,$B329,'Besi Balok'!$F$23:$F$12292,'REKAP Balok'!R$12)</f>
        <v>0</v>
      </c>
      <c r="S329">
        <f>SUMIFS('Besi Balok'!$AA$23:$AA$12292,'Besi Balok'!$A$23:$A$12292,$A329,'Besi Balok'!$B$23:$B$12292,$B329,'Besi Balok'!$F$23:$F$12292,'REKAP Balok'!S$12)</f>
        <v>0</v>
      </c>
      <c r="T329">
        <f>SUMIFS('Besi Balok'!$AA$23:$AA$12292,'Besi Balok'!$A$23:$A$12292,$A329,'Besi Balok'!$B$23:$B$12292,$B329,'Besi Balok'!$F$23:$F$12292,'REKAP Balok'!T$12)</f>
        <v>0</v>
      </c>
      <c r="U329">
        <f>SUM(L329:T329)</f>
        <v>50.124902399999996</v>
      </c>
      <c r="V329">
        <f>(D329*(F329-H329)*G329*K329)/1000000000</f>
        <v>0.198</v>
      </c>
      <c r="W329">
        <f>(((F329-H329)*2+D329)*(G329)*K329)/1000000</f>
        <v>2.64</v>
      </c>
      <c r="AC329">
        <f>(D329+2*$F$5)*F329*G329/1000000000</f>
        <v>0.594</v>
      </c>
    </row>
    <row r="330">
      <c r="A330" t="str">
        <f>'Data Panjang Balok'!A327</f>
        <v>Lantai Attic</v>
      </c>
      <c r="B330">
        <f>'Data Panjang Balok'!B327</f>
        <v>50</v>
      </c>
      <c r="C330" t="str">
        <f>'Data Panjang Balok'!D327</f>
        <v>B245-3</v>
      </c>
      <c r="D330">
        <f>IF(C330&gt;0,VLOOKUP(C330,'Detail Balok'!$C$11:$AU$110,2,FALSE),0)</f>
        <v>200</v>
      </c>
      <c r="E330" t="str">
        <v>x</v>
      </c>
      <c r="F330">
        <f>IF(C330&gt;0,VLOOKUP(C330,'Detail Balok'!$C$11:$AU$110,3,FALSE),0)</f>
        <v>450</v>
      </c>
      <c r="G330">
        <f>'Data Panjang Balok'!I327</f>
        <v>2000</v>
      </c>
      <c r="H330">
        <f>'Data Panjang Balok'!J327</f>
        <v>150</v>
      </c>
      <c r="J330">
        <f>I330-F330/1000</f>
        <v>-0.45</v>
      </c>
      <c r="K330">
        <f>'Data Panjang Balok'!E327</f>
        <v>1</v>
      </c>
      <c r="L330">
        <f>SUMIFS('Besi Balok'!$AA$23:$AA$12292,'Besi Balok'!$A$23:$A$12292,$A330,'Besi Balok'!$B$23:$B$12292,$B330,'Besi Balok'!$F$23:$F$12292,'REKAP Balok'!L$12)</f>
        <v>0</v>
      </c>
      <c r="M330">
        <f>SUMIFS('Besi Balok'!$AA$23:$AA$12292,'Besi Balok'!$A$23:$A$12292,$A330,'Besi Balok'!$B$23:$B$12292,$B330,'Besi Balok'!$F$23:$F$12292,'REKAP Balok'!M$12)</f>
        <v>0</v>
      </c>
      <c r="N330">
        <f>SUMIFS('Besi Balok'!$AA$23:$AA$12292,'Besi Balok'!$A$23:$A$12292,$A330,'Besi Balok'!$B$23:$B$12292,$B330,'Besi Balok'!$F$23:$F$12292,'REKAP Balok'!N$12)</f>
        <v>18.784755</v>
      </c>
      <c r="O330">
        <f>SUMIFS('Besi Balok'!$AA$23:$AA$12292,'Besi Balok'!$A$23:$A$12292,$A330,'Besi Balok'!$B$23:$B$12292,$B330,'Besi Balok'!$F$23:$F$12292,'REKAP Balok'!O$12)</f>
        <v>0</v>
      </c>
      <c r="P330">
        <f>SUMIFS('Besi Balok'!$AA$23:$AA$12292,'Besi Balok'!$A$23:$A$12292,$A330,'Besi Balok'!$B$23:$B$12292,$B330,'Besi Balok'!$F$23:$F$12292,'REKAP Balok'!P$12)</f>
        <v>15.05009664</v>
      </c>
      <c r="Q330">
        <f>SUMIFS('Besi Balok'!$AA$23:$AA$12292,'Besi Balok'!$A$23:$A$12292,$A330,'Besi Balok'!$B$23:$B$12292,$B330,'Besi Balok'!$F$23:$F$12292,'REKAP Balok'!Q$12)</f>
        <v>0</v>
      </c>
      <c r="R330">
        <f>SUMIFS('Besi Balok'!$AA$23:$AA$12292,'Besi Balok'!$A$23:$A$12292,$A330,'Besi Balok'!$B$23:$B$12292,$B330,'Besi Balok'!$F$23:$F$12292,'REKAP Balok'!R$12)</f>
        <v>0</v>
      </c>
      <c r="S330">
        <f>SUMIFS('Besi Balok'!$AA$23:$AA$12292,'Besi Balok'!$A$23:$A$12292,$A330,'Besi Balok'!$B$23:$B$12292,$B330,'Besi Balok'!$F$23:$F$12292,'REKAP Balok'!S$12)</f>
        <v>0</v>
      </c>
      <c r="T330">
        <f>SUMIFS('Besi Balok'!$AA$23:$AA$12292,'Besi Balok'!$A$23:$A$12292,$A330,'Besi Balok'!$B$23:$B$12292,$B330,'Besi Balok'!$F$23:$F$12292,'REKAP Balok'!T$12)</f>
        <v>0</v>
      </c>
      <c r="U330">
        <f>SUM(L330:T330)</f>
        <v>33.83485164</v>
      </c>
      <c r="V330">
        <f>(D330*(F330-H330)*G330*K330)/1000000000</f>
        <v>0.12</v>
      </c>
      <c r="W330">
        <f>(((F330-H330)*2+D330)*(G330)*K330)/1000000</f>
        <v>1.6</v>
      </c>
      <c r="AC330">
        <f>(D330+2*$F$5)*F330*G330/1000000000</f>
        <v>0.36</v>
      </c>
    </row>
    <row r="331">
      <c r="A331" t="str">
        <f>'Data Panjang Balok'!A328</f>
        <v>Lantai Attic</v>
      </c>
      <c r="B331">
        <f>'Data Panjang Balok'!B328</f>
        <v>51</v>
      </c>
      <c r="C331" t="str">
        <f>'Data Panjang Balok'!D328</f>
        <v>B245-1</v>
      </c>
      <c r="D331">
        <f>IF(C331&gt;0,VLOOKUP(C331,'Detail Balok'!$C$11:$AU$110,2,FALSE),0)</f>
        <v>200</v>
      </c>
      <c r="E331" t="str">
        <v>x</v>
      </c>
      <c r="F331">
        <f>IF(C331&gt;0,VLOOKUP(C331,'Detail Balok'!$C$11:$AU$110,3,FALSE),0)</f>
        <v>450</v>
      </c>
      <c r="G331">
        <f>'Data Panjang Balok'!I328</f>
        <v>5300</v>
      </c>
      <c r="H331">
        <f>'Data Panjang Balok'!J328</f>
        <v>150</v>
      </c>
      <c r="J331">
        <f>I331-F331/1000</f>
        <v>-0.45</v>
      </c>
      <c r="K331">
        <f>'Data Panjang Balok'!E328</f>
        <v>1</v>
      </c>
      <c r="L331">
        <f>SUMIFS('Besi Balok'!$AA$23:$AA$12292,'Besi Balok'!$A$23:$A$12292,$A331,'Besi Balok'!$B$23:$B$12292,$B331,'Besi Balok'!$F$23:$F$12292,'REKAP Balok'!L$12)</f>
        <v>0</v>
      </c>
      <c r="M331">
        <f>SUMIFS('Besi Balok'!$AA$23:$AA$12292,'Besi Balok'!$A$23:$A$12292,$A331,'Besi Balok'!$B$23:$B$12292,$B331,'Besi Balok'!$F$23:$F$12292,'REKAP Balok'!M$12)</f>
        <v>22.61381184</v>
      </c>
      <c r="N331">
        <f>SUMIFS('Besi Balok'!$AA$23:$AA$12292,'Besi Balok'!$A$23:$A$12292,$A331,'Besi Balok'!$B$23:$B$12292,$B331,'Besi Balok'!$F$23:$F$12292,'REKAP Balok'!N$12)</f>
        <v>0</v>
      </c>
      <c r="O331">
        <f>SUMIFS('Besi Balok'!$AA$23:$AA$12292,'Besi Balok'!$A$23:$A$12292,$A331,'Besi Balok'!$B$23:$B$12292,$B331,'Besi Balok'!$F$23:$F$12292,'REKAP Balok'!O$12)</f>
        <v>23.388234479999998</v>
      </c>
      <c r="P331">
        <f>SUMIFS('Besi Balok'!$AA$23:$AA$12292,'Besi Balok'!$A$23:$A$12292,$A331,'Besi Balok'!$B$23:$B$12292,$B331,'Besi Balok'!$F$23:$F$12292,'REKAP Balok'!P$12)</f>
        <v>0</v>
      </c>
      <c r="Q331">
        <f>SUMIFS('Besi Balok'!$AA$23:$AA$12292,'Besi Balok'!$A$23:$A$12292,$A331,'Besi Balok'!$B$23:$B$12292,$B331,'Besi Balok'!$F$23:$F$12292,'REKAP Balok'!Q$12)</f>
        <v>0</v>
      </c>
      <c r="R331">
        <f>SUMIFS('Besi Balok'!$AA$23:$AA$12292,'Besi Balok'!$A$23:$A$12292,$A331,'Besi Balok'!$B$23:$B$12292,$B331,'Besi Balok'!$F$23:$F$12292,'REKAP Balok'!R$12)</f>
        <v>0</v>
      </c>
      <c r="S331">
        <f>SUMIFS('Besi Balok'!$AA$23:$AA$12292,'Besi Balok'!$A$23:$A$12292,$A331,'Besi Balok'!$B$23:$B$12292,$B331,'Besi Balok'!$F$23:$F$12292,'REKAP Balok'!S$12)</f>
        <v>0</v>
      </c>
      <c r="T331">
        <f>SUMIFS('Besi Balok'!$AA$23:$AA$12292,'Besi Balok'!$A$23:$A$12292,$A331,'Besi Balok'!$B$23:$B$12292,$B331,'Besi Balok'!$F$23:$F$12292,'REKAP Balok'!T$12)</f>
        <v>0</v>
      </c>
      <c r="U331">
        <f>SUM(L331:T331)</f>
        <v>46.00204632</v>
      </c>
      <c r="V331">
        <f>(D331*(F331-H331)*G331*K331)/1000000000</f>
        <v>0.318</v>
      </c>
      <c r="W331">
        <f>(((F331-H331)*2+D331)*(G331)*K331)/1000000</f>
        <v>4.24</v>
      </c>
      <c r="AC331">
        <f>(D331+2*$F$5)*F331*G331/1000000000</f>
        <v>0.954</v>
      </c>
    </row>
    <row r="332">
      <c r="A332" t="str">
        <f>'Data Panjang Balok'!A329</f>
        <v>Lantai Attic</v>
      </c>
      <c r="B332">
        <f>'Data Panjang Balok'!B329</f>
        <v>52</v>
      </c>
      <c r="C332" t="str">
        <f>'Data Panjang Balok'!D329</f>
        <v>B245-5</v>
      </c>
      <c r="D332">
        <f>IF(C332&gt;0,VLOOKUP(C332,'Detail Balok'!$C$11:$AU$110,2,FALSE),0)</f>
        <v>200</v>
      </c>
      <c r="E332" t="str">
        <v>x</v>
      </c>
      <c r="F332">
        <f>IF(C332&gt;0,VLOOKUP(C332,'Detail Balok'!$C$11:$AU$110,3,FALSE),0)</f>
        <v>450</v>
      </c>
      <c r="G332">
        <f>'Data Panjang Balok'!I329</f>
        <v>5300</v>
      </c>
      <c r="H332">
        <f>'Data Panjang Balok'!J329</f>
        <v>150</v>
      </c>
      <c r="J332">
        <f>I332-F332/1000</f>
        <v>-0.45</v>
      </c>
      <c r="K332">
        <f>'Data Panjang Balok'!E329</f>
        <v>1</v>
      </c>
      <c r="L332">
        <f>SUMIFS('Besi Balok'!$AA$23:$AA$12292,'Besi Balok'!$A$23:$A$12292,$A332,'Besi Balok'!$B$23:$B$12292,$B332,'Besi Balok'!$F$23:$F$12292,'REKAP Balok'!L$12)</f>
        <v>0</v>
      </c>
      <c r="M332">
        <f>SUMIFS('Besi Balok'!$AA$23:$AA$12292,'Besi Balok'!$A$23:$A$12292,$A332,'Besi Balok'!$B$23:$B$12292,$B332,'Besi Balok'!$F$23:$F$12292,'REKAP Balok'!M$12)</f>
        <v>0</v>
      </c>
      <c r="N332">
        <f>SUMIFS('Besi Balok'!$AA$23:$AA$12292,'Besi Balok'!$A$23:$A$12292,$A332,'Besi Balok'!$B$23:$B$12292,$B332,'Besi Balok'!$F$23:$F$12292,'REKAP Balok'!N$12)</f>
        <v>40.966425</v>
      </c>
      <c r="O332">
        <f>SUMIFS('Besi Balok'!$AA$23:$AA$12292,'Besi Balok'!$A$23:$A$12292,$A332,'Besi Balok'!$B$23:$B$12292,$B332,'Besi Balok'!$F$23:$F$12292,'REKAP Balok'!O$12)</f>
        <v>0</v>
      </c>
      <c r="P332">
        <f>SUMIFS('Besi Balok'!$AA$23:$AA$12292,'Besi Balok'!$A$23:$A$12292,$A332,'Besi Balok'!$B$23:$B$12292,$B332,'Besi Balok'!$F$23:$F$12292,'REKAP Balok'!P$12)</f>
        <v>62.79501311999999</v>
      </c>
      <c r="Q332">
        <f>SUMIFS('Besi Balok'!$AA$23:$AA$12292,'Besi Balok'!$A$23:$A$12292,$A332,'Besi Balok'!$B$23:$B$12292,$B332,'Besi Balok'!$F$23:$F$12292,'REKAP Balok'!Q$12)</f>
        <v>0</v>
      </c>
      <c r="R332">
        <f>SUMIFS('Besi Balok'!$AA$23:$AA$12292,'Besi Balok'!$A$23:$A$12292,$A332,'Besi Balok'!$B$23:$B$12292,$B332,'Besi Balok'!$F$23:$F$12292,'REKAP Balok'!R$12)</f>
        <v>0</v>
      </c>
      <c r="S332">
        <f>SUMIFS('Besi Balok'!$AA$23:$AA$12292,'Besi Balok'!$A$23:$A$12292,$A332,'Besi Balok'!$B$23:$B$12292,$B332,'Besi Balok'!$F$23:$F$12292,'REKAP Balok'!S$12)</f>
        <v>0</v>
      </c>
      <c r="T332">
        <f>SUMIFS('Besi Balok'!$AA$23:$AA$12292,'Besi Balok'!$A$23:$A$12292,$A332,'Besi Balok'!$B$23:$B$12292,$B332,'Besi Balok'!$F$23:$F$12292,'REKAP Balok'!T$12)</f>
        <v>0</v>
      </c>
      <c r="U332">
        <f>SUM(L332:T332)</f>
        <v>103.76143812</v>
      </c>
      <c r="V332">
        <f>(D332*(F332-H332)*G332*K332)/1000000000</f>
        <v>0.318</v>
      </c>
      <c r="W332">
        <f>(((F332-H332)*2+D332)*(G332)*K332)/1000000</f>
        <v>4.24</v>
      </c>
      <c r="AC332">
        <f>(D332+2*$F$5)*F332*G332/1000000000</f>
        <v>0.954</v>
      </c>
    </row>
    <row r="333">
      <c r="A333" t="str">
        <f>'Data Panjang Balok'!A330</f>
        <v>Lantai Attic</v>
      </c>
      <c r="B333">
        <f>'Data Panjang Balok'!B330</f>
        <v>53</v>
      </c>
      <c r="C333" t="str">
        <f>'Data Panjang Balok'!D330</f>
        <v>B245-4</v>
      </c>
      <c r="D333">
        <f>IF(C333&gt;0,VLOOKUP(C333,'Detail Balok'!$C$11:$AU$110,2,FALSE),0)</f>
        <v>200</v>
      </c>
      <c r="E333" t="str">
        <v>x</v>
      </c>
      <c r="F333">
        <f>IF(C333&gt;0,VLOOKUP(C333,'Detail Balok'!$C$11:$AU$110,3,FALSE),0)</f>
        <v>450</v>
      </c>
      <c r="G333">
        <f>'Data Panjang Balok'!I330</f>
        <v>5300</v>
      </c>
      <c r="H333">
        <f>'Data Panjang Balok'!J330</f>
        <v>150</v>
      </c>
      <c r="J333">
        <f>I333-F333/1000</f>
        <v>-0.45</v>
      </c>
      <c r="K333">
        <f>'Data Panjang Balok'!E330</f>
        <v>1</v>
      </c>
      <c r="L333">
        <f>SUMIFS('Besi Balok'!$AA$23:$AA$12292,'Besi Balok'!$A$23:$A$12292,$A333,'Besi Balok'!$B$23:$B$12292,$B333,'Besi Balok'!$F$23:$F$12292,'REKAP Balok'!L$12)</f>
        <v>0</v>
      </c>
      <c r="M333">
        <f>SUMIFS('Besi Balok'!$AA$23:$AA$12292,'Besi Balok'!$A$23:$A$12292,$A333,'Besi Balok'!$B$23:$B$12292,$B333,'Besi Balok'!$F$23:$F$12292,'REKAP Balok'!M$12)</f>
        <v>22.61381184</v>
      </c>
      <c r="N333">
        <f>SUMIFS('Besi Balok'!$AA$23:$AA$12292,'Besi Balok'!$A$23:$A$12292,$A333,'Besi Balok'!$B$23:$B$12292,$B333,'Besi Balok'!$F$23:$F$12292,'REKAP Balok'!N$12)</f>
        <v>0</v>
      </c>
      <c r="O333">
        <f>SUMIFS('Besi Balok'!$AA$23:$AA$12292,'Besi Balok'!$A$23:$A$12292,$A333,'Besi Balok'!$B$23:$B$12292,$B333,'Besi Balok'!$F$23:$F$12292,'REKAP Balok'!O$12)</f>
        <v>0</v>
      </c>
      <c r="P333">
        <f>SUMIFS('Besi Balok'!$AA$23:$AA$12292,'Besi Balok'!$A$23:$A$12292,$A333,'Besi Balok'!$B$23:$B$12292,$B333,'Besi Balok'!$F$23:$F$12292,'REKAP Balok'!P$12)</f>
        <v>53.82429695999999</v>
      </c>
      <c r="Q333">
        <f>SUMIFS('Besi Balok'!$AA$23:$AA$12292,'Besi Balok'!$A$23:$A$12292,$A333,'Besi Balok'!$B$23:$B$12292,$B333,'Besi Balok'!$F$23:$F$12292,'REKAP Balok'!Q$12)</f>
        <v>0</v>
      </c>
      <c r="R333">
        <f>SUMIFS('Besi Balok'!$AA$23:$AA$12292,'Besi Balok'!$A$23:$A$12292,$A333,'Besi Balok'!$B$23:$B$12292,$B333,'Besi Balok'!$F$23:$F$12292,'REKAP Balok'!R$12)</f>
        <v>0</v>
      </c>
      <c r="S333">
        <f>SUMIFS('Besi Balok'!$AA$23:$AA$12292,'Besi Balok'!$A$23:$A$12292,$A333,'Besi Balok'!$B$23:$B$12292,$B333,'Besi Balok'!$F$23:$F$12292,'REKAP Balok'!S$12)</f>
        <v>0</v>
      </c>
      <c r="T333">
        <f>SUMIFS('Besi Balok'!$AA$23:$AA$12292,'Besi Balok'!$A$23:$A$12292,$A333,'Besi Balok'!$B$23:$B$12292,$B333,'Besi Balok'!$F$23:$F$12292,'REKAP Balok'!T$12)</f>
        <v>0</v>
      </c>
      <c r="U333">
        <f>SUM(L333:T333)</f>
        <v>76.4381088</v>
      </c>
      <c r="V333">
        <f>(D333*(F333-H333)*G333*K333)/1000000000</f>
        <v>0.318</v>
      </c>
      <c r="W333">
        <f>(((F333-H333)*2+D333)*(G333)*K333)/1000000</f>
        <v>4.24</v>
      </c>
      <c r="AC333">
        <f>(D333+2*$F$5)*F333*G333/1000000000</f>
        <v>0.954</v>
      </c>
    </row>
    <row r="334">
      <c r="A334" t="str">
        <f>'Data Panjang Balok'!A331</f>
        <v>Lantai Attic</v>
      </c>
      <c r="B334">
        <f>'Data Panjang Balok'!B331</f>
        <v>54</v>
      </c>
      <c r="C334" t="str">
        <f>'Data Panjang Balok'!D331</f>
        <v>B25-2</v>
      </c>
      <c r="D334">
        <f>IF(C334&gt;0,VLOOKUP(C334,'Detail Balok'!$C$11:$AU$110,2,FALSE),0)</f>
        <v>200</v>
      </c>
      <c r="E334" t="str">
        <v>x</v>
      </c>
      <c r="F334">
        <f>IF(C334&gt;0,VLOOKUP(C334,'Detail Balok'!$C$11:$AU$110,3,FALSE),0)</f>
        <v>500</v>
      </c>
      <c r="G334">
        <f>'Data Panjang Balok'!I331</f>
        <v>5100</v>
      </c>
      <c r="H334">
        <f>'Data Panjang Balok'!J331</f>
        <v>150</v>
      </c>
      <c r="J334">
        <f>I334-F334/1000</f>
        <v>-0.5</v>
      </c>
      <c r="K334">
        <f>'Data Panjang Balok'!E331</f>
        <v>1</v>
      </c>
      <c r="L334">
        <f>SUMIFS('Besi Balok'!$AA$23:$AA$12292,'Besi Balok'!$A$23:$A$12292,$A334,'Besi Balok'!$B$23:$B$12292,$B334,'Besi Balok'!$F$23:$F$12292,'REKAP Balok'!L$12)</f>
        <v>0</v>
      </c>
      <c r="M334">
        <f>SUMIFS('Besi Balok'!$AA$23:$AA$12292,'Besi Balok'!$A$23:$A$12292,$A334,'Besi Balok'!$B$23:$B$12292,$B334,'Besi Balok'!$F$23:$F$12292,'REKAP Balok'!M$12)</f>
        <v>0</v>
      </c>
      <c r="N334">
        <f>SUMIFS('Besi Balok'!$AA$23:$AA$12292,'Besi Balok'!$A$23:$A$12292,$A334,'Besi Balok'!$B$23:$B$12292,$B334,'Besi Balok'!$F$23:$F$12292,'REKAP Balok'!N$12)</f>
        <v>49.04874</v>
      </c>
      <c r="O334">
        <f>SUMIFS('Besi Balok'!$AA$23:$AA$12292,'Besi Balok'!$A$23:$A$12292,$A334,'Besi Balok'!$B$23:$B$12292,$B334,'Besi Balok'!$F$23:$F$12292,'REKAP Balok'!O$12)</f>
        <v>0</v>
      </c>
      <c r="P334">
        <f>SUMIFS('Besi Balok'!$AA$23:$AA$12292,'Besi Balok'!$A$23:$A$12292,$A334,'Besi Balok'!$B$23:$B$12292,$B334,'Besi Balok'!$F$23:$F$12292,'REKAP Balok'!P$12)</f>
        <v>51.930408959999994</v>
      </c>
      <c r="Q334">
        <f>SUMIFS('Besi Balok'!$AA$23:$AA$12292,'Besi Balok'!$A$23:$A$12292,$A334,'Besi Balok'!$B$23:$B$12292,$B334,'Besi Balok'!$F$23:$F$12292,'REKAP Balok'!Q$12)</f>
        <v>0</v>
      </c>
      <c r="R334">
        <f>SUMIFS('Besi Balok'!$AA$23:$AA$12292,'Besi Balok'!$A$23:$A$12292,$A334,'Besi Balok'!$B$23:$B$12292,$B334,'Besi Balok'!$F$23:$F$12292,'REKAP Balok'!R$12)</f>
        <v>0</v>
      </c>
      <c r="S334">
        <f>SUMIFS('Besi Balok'!$AA$23:$AA$12292,'Besi Balok'!$A$23:$A$12292,$A334,'Besi Balok'!$B$23:$B$12292,$B334,'Besi Balok'!$F$23:$F$12292,'REKAP Balok'!S$12)</f>
        <v>0</v>
      </c>
      <c r="T334">
        <f>SUMIFS('Besi Balok'!$AA$23:$AA$12292,'Besi Balok'!$A$23:$A$12292,$A334,'Besi Balok'!$B$23:$B$12292,$B334,'Besi Balok'!$F$23:$F$12292,'REKAP Balok'!T$12)</f>
        <v>0</v>
      </c>
      <c r="U334">
        <f>SUM(L334:T334)</f>
        <v>100.97914896</v>
      </c>
      <c r="V334">
        <f>(D334*(F334-H334)*G334*K334)/1000000000</f>
        <v>0.357</v>
      </c>
      <c r="W334">
        <f>(((F334-H334)*2+D334)*(G334)*K334)/1000000</f>
        <v>4.59</v>
      </c>
      <c r="AC334">
        <f>(D334+2*$F$5)*F334*G334/1000000000</f>
        <v>1.02</v>
      </c>
    </row>
    <row r="335">
      <c r="A335" t="str">
        <f>'Data Panjang Balok'!A332</f>
        <v>Lantai Attic</v>
      </c>
      <c r="B335">
        <f>'Data Panjang Balok'!B332</f>
        <v>55</v>
      </c>
      <c r="C335" t="str">
        <f>'Data Panjang Balok'!D332</f>
        <v>B23-1</v>
      </c>
      <c r="D335">
        <f>IF(C335&gt;0,VLOOKUP(C335,'Detail Balok'!$C$11:$AU$110,2,FALSE),0)</f>
        <v>200</v>
      </c>
      <c r="E335" t="str">
        <v>x</v>
      </c>
      <c r="F335">
        <f>IF(C335&gt;0,VLOOKUP(C335,'Detail Balok'!$C$11:$AU$110,3,FALSE),0)</f>
        <v>300</v>
      </c>
      <c r="G335">
        <f>'Data Panjang Balok'!I332</f>
        <v>2000</v>
      </c>
      <c r="H335">
        <f>'Data Panjang Balok'!J332</f>
        <v>150</v>
      </c>
      <c r="J335">
        <f>I335-F335/1000</f>
        <v>-0.3</v>
      </c>
      <c r="K335">
        <f>'Data Panjang Balok'!E332</f>
        <v>1</v>
      </c>
      <c r="L335">
        <f>SUMIFS('Besi Balok'!$AA$23:$AA$12292,'Besi Balok'!$A$23:$A$12292,$A335,'Besi Balok'!$B$23:$B$12292,$B335,'Besi Balok'!$F$23:$F$12292,'REKAP Balok'!L$12)</f>
        <v>0</v>
      </c>
      <c r="M335">
        <f>SUMIFS('Besi Balok'!$AA$23:$AA$12292,'Besi Balok'!$A$23:$A$12292,$A335,'Besi Balok'!$B$23:$B$12292,$B335,'Besi Balok'!$F$23:$F$12292,'REKAP Balok'!M$12)</f>
        <v>6.2222112</v>
      </c>
      <c r="N335">
        <f>SUMIFS('Besi Balok'!$AA$23:$AA$12292,'Besi Balok'!$A$23:$A$12292,$A335,'Besi Balok'!$B$23:$B$12292,$B335,'Besi Balok'!$F$23:$F$12292,'REKAP Balok'!N$12)</f>
        <v>0</v>
      </c>
      <c r="O335">
        <f>SUMIFS('Besi Balok'!$AA$23:$AA$12292,'Besi Balok'!$A$23:$A$12292,$A335,'Besi Balok'!$B$23:$B$12292,$B335,'Besi Balok'!$F$23:$F$12292,'REKAP Balok'!O$12)</f>
        <v>9.63535248</v>
      </c>
      <c r="P335">
        <f>SUMIFS('Besi Balok'!$AA$23:$AA$12292,'Besi Balok'!$A$23:$A$12292,$A335,'Besi Balok'!$B$23:$B$12292,$B335,'Besi Balok'!$F$23:$F$12292,'REKAP Balok'!P$12)</f>
        <v>0</v>
      </c>
      <c r="Q335">
        <f>SUMIFS('Besi Balok'!$AA$23:$AA$12292,'Besi Balok'!$A$23:$A$12292,$A335,'Besi Balok'!$B$23:$B$12292,$B335,'Besi Balok'!$F$23:$F$12292,'REKAP Balok'!Q$12)</f>
        <v>0</v>
      </c>
      <c r="R335">
        <f>SUMIFS('Besi Balok'!$AA$23:$AA$12292,'Besi Balok'!$A$23:$A$12292,$A335,'Besi Balok'!$B$23:$B$12292,$B335,'Besi Balok'!$F$23:$F$12292,'REKAP Balok'!R$12)</f>
        <v>0</v>
      </c>
      <c r="S335">
        <f>SUMIFS('Besi Balok'!$AA$23:$AA$12292,'Besi Balok'!$A$23:$A$12292,$A335,'Besi Balok'!$B$23:$B$12292,$B335,'Besi Balok'!$F$23:$F$12292,'REKAP Balok'!S$12)</f>
        <v>0</v>
      </c>
      <c r="T335">
        <f>SUMIFS('Besi Balok'!$AA$23:$AA$12292,'Besi Balok'!$A$23:$A$12292,$A335,'Besi Balok'!$B$23:$B$12292,$B335,'Besi Balok'!$F$23:$F$12292,'REKAP Balok'!T$12)</f>
        <v>0</v>
      </c>
      <c r="U335">
        <f>SUM(L335:T335)</f>
        <v>15.85756368</v>
      </c>
      <c r="V335">
        <f>(D335*(F335-H335)*G335*K335)/1000000000</f>
        <v>0.06</v>
      </c>
      <c r="W335">
        <f>(((F335-H335)*2+D335)*(G335)*K335)/1000000</f>
        <v>1</v>
      </c>
      <c r="AC335">
        <f>(D335+2*$F$5)*F335*G335/1000000000</f>
        <v>0.24</v>
      </c>
    </row>
    <row r="336">
      <c r="A336" t="str">
        <f>'Data Panjang Balok'!A333</f>
        <v>Lantai Attic</v>
      </c>
      <c r="B336">
        <f>'Data Panjang Balok'!B333</f>
        <v>56</v>
      </c>
      <c r="C336" t="str">
        <f>'Data Panjang Balok'!D333</f>
        <v>B25-1</v>
      </c>
      <c r="D336">
        <f>IF(C336&gt;0,VLOOKUP(C336,'Detail Balok'!$C$11:$AU$110,2,FALSE),0)</f>
        <v>200</v>
      </c>
      <c r="E336" t="str">
        <v>x</v>
      </c>
      <c r="F336">
        <f>IF(C336&gt;0,VLOOKUP(C336,'Detail Balok'!$C$11:$AU$110,3,FALSE),0)</f>
        <v>500</v>
      </c>
      <c r="G336">
        <f>'Data Panjang Balok'!I333</f>
        <v>2500</v>
      </c>
      <c r="H336">
        <f>'Data Panjang Balok'!J333</f>
        <v>130</v>
      </c>
      <c r="J336">
        <f>I336-F336/1000</f>
        <v>-0.5</v>
      </c>
      <c r="K336">
        <f>'Data Panjang Balok'!E333</f>
        <v>1</v>
      </c>
      <c r="L336">
        <f>SUMIFS('Besi Balok'!$AA$23:$AA$12292,'Besi Balok'!$A$23:$A$12292,$A336,'Besi Balok'!$B$23:$B$12292,$B336,'Besi Balok'!$F$23:$F$12292,'REKAP Balok'!L$12)</f>
        <v>0</v>
      </c>
      <c r="M336">
        <f>SUMIFS('Besi Balok'!$AA$23:$AA$12292,'Besi Balok'!$A$23:$A$12292,$A336,'Besi Balok'!$B$23:$B$12292,$B336,'Besi Balok'!$F$23:$F$12292,'REKAP Balok'!M$12)</f>
        <v>0</v>
      </c>
      <c r="N336">
        <f>SUMIFS('Besi Balok'!$AA$23:$AA$12292,'Besi Balok'!$A$23:$A$12292,$A336,'Besi Balok'!$B$23:$B$12292,$B336,'Besi Balok'!$F$23:$F$12292,'REKAP Balok'!N$12)</f>
        <v>22.335795</v>
      </c>
      <c r="O336">
        <f>SUMIFS('Besi Balok'!$AA$23:$AA$12292,'Besi Balok'!$A$23:$A$12292,$A336,'Besi Balok'!$B$23:$B$12292,$B336,'Besi Balok'!$F$23:$F$12292,'REKAP Balok'!O$12)</f>
        <v>0</v>
      </c>
      <c r="P336">
        <f>SUMIFS('Besi Balok'!$AA$23:$AA$12292,'Besi Balok'!$A$23:$A$12292,$A336,'Besi Balok'!$B$23:$B$12292,$B336,'Besi Balok'!$F$23:$F$12292,'REKAP Balok'!P$12)</f>
        <v>18.20657664</v>
      </c>
      <c r="Q336">
        <f>SUMIFS('Besi Balok'!$AA$23:$AA$12292,'Besi Balok'!$A$23:$A$12292,$A336,'Besi Balok'!$B$23:$B$12292,$B336,'Besi Balok'!$F$23:$F$12292,'REKAP Balok'!Q$12)</f>
        <v>0</v>
      </c>
      <c r="R336">
        <f>SUMIFS('Besi Balok'!$AA$23:$AA$12292,'Besi Balok'!$A$23:$A$12292,$A336,'Besi Balok'!$B$23:$B$12292,$B336,'Besi Balok'!$F$23:$F$12292,'REKAP Balok'!R$12)</f>
        <v>0</v>
      </c>
      <c r="S336">
        <f>SUMIFS('Besi Balok'!$AA$23:$AA$12292,'Besi Balok'!$A$23:$A$12292,$A336,'Besi Balok'!$B$23:$B$12292,$B336,'Besi Balok'!$F$23:$F$12292,'REKAP Balok'!S$12)</f>
        <v>0</v>
      </c>
      <c r="T336">
        <f>SUMIFS('Besi Balok'!$AA$23:$AA$12292,'Besi Balok'!$A$23:$A$12292,$A336,'Besi Balok'!$B$23:$B$12292,$B336,'Besi Balok'!$F$23:$F$12292,'REKAP Balok'!T$12)</f>
        <v>0</v>
      </c>
      <c r="U336">
        <f>SUM(L336:T336)</f>
        <v>40.54237164</v>
      </c>
      <c r="V336">
        <f>(D336*(F336-H336)*G336*K336)/1000000000</f>
        <v>0.185</v>
      </c>
      <c r="W336">
        <f>(((F336-H336)*2+D336)*(G336)*K336)/1000000</f>
        <v>2.35</v>
      </c>
      <c r="AC336">
        <f>(D336+2*$F$5)*F336*G336/1000000000</f>
        <v>0.5</v>
      </c>
    </row>
    <row r="337">
      <c r="A337" t="str">
        <f>'Data Panjang Balok'!A334</f>
        <v>Lantai Attic</v>
      </c>
      <c r="B337">
        <f>'Data Panjang Balok'!B334</f>
        <v>57</v>
      </c>
      <c r="C337" t="str">
        <f>'Data Panjang Balok'!D334</f>
        <v>B25-3</v>
      </c>
      <c r="D337">
        <f>IF(C337&gt;0,VLOOKUP(C337,'Detail Balok'!$C$11:$AU$110,2,FALSE),0)</f>
        <v>200</v>
      </c>
      <c r="E337" t="str">
        <v>x</v>
      </c>
      <c r="F337">
        <f>IF(C337&gt;0,VLOOKUP(C337,'Detail Balok'!$C$11:$AU$110,3,FALSE),0)</f>
        <v>500</v>
      </c>
      <c r="G337">
        <f>'Data Panjang Balok'!I334</f>
        <v>3885</v>
      </c>
      <c r="H337">
        <f>'Data Panjang Balok'!J334</f>
        <v>130</v>
      </c>
      <c r="J337">
        <f>I337-F337/1000</f>
        <v>-0.5</v>
      </c>
      <c r="K337">
        <f>'Data Panjang Balok'!E334</f>
        <v>1</v>
      </c>
      <c r="L337">
        <f>SUMIFS('Besi Balok'!$AA$23:$AA$12292,'Besi Balok'!$A$23:$A$12292,$A337,'Besi Balok'!$B$23:$B$12292,$B337,'Besi Balok'!$F$23:$F$12292,'REKAP Balok'!L$12)</f>
        <v>0</v>
      </c>
      <c r="M337">
        <f>SUMIFS('Besi Balok'!$AA$23:$AA$12292,'Besi Balok'!$A$23:$A$12292,$A337,'Besi Balok'!$B$23:$B$12292,$B337,'Besi Balok'!$F$23:$F$12292,'REKAP Balok'!M$12)</f>
        <v>0</v>
      </c>
      <c r="N337">
        <f>SUMIFS('Besi Balok'!$AA$23:$AA$12292,'Besi Balok'!$A$23:$A$12292,$A337,'Besi Balok'!$B$23:$B$12292,$B337,'Besi Balok'!$F$23:$F$12292,'REKAP Balok'!N$12)</f>
        <v>30.10986</v>
      </c>
      <c r="O337">
        <f>SUMIFS('Besi Balok'!$AA$23:$AA$12292,'Besi Balok'!$A$23:$A$12292,$A337,'Besi Balok'!$B$23:$B$12292,$B337,'Besi Balok'!$F$23:$F$12292,'REKAP Balok'!O$12)</f>
        <v>0</v>
      </c>
      <c r="P337">
        <f>SUMIFS('Besi Balok'!$AA$23:$AA$12292,'Besi Balok'!$A$23:$A$12292,$A337,'Besi Balok'!$B$23:$B$12292,$B337,'Besi Balok'!$F$23:$F$12292,'REKAP Balok'!P$12)</f>
        <v>55.55957183999999</v>
      </c>
      <c r="Q337">
        <f>SUMIFS('Besi Balok'!$AA$23:$AA$12292,'Besi Balok'!$A$23:$A$12292,$A337,'Besi Balok'!$B$23:$B$12292,$B337,'Besi Balok'!$F$23:$F$12292,'REKAP Balok'!Q$12)</f>
        <v>0</v>
      </c>
      <c r="R337">
        <f>SUMIFS('Besi Balok'!$AA$23:$AA$12292,'Besi Balok'!$A$23:$A$12292,$A337,'Besi Balok'!$B$23:$B$12292,$B337,'Besi Balok'!$F$23:$F$12292,'REKAP Balok'!R$12)</f>
        <v>0</v>
      </c>
      <c r="S337">
        <f>SUMIFS('Besi Balok'!$AA$23:$AA$12292,'Besi Balok'!$A$23:$A$12292,$A337,'Besi Balok'!$B$23:$B$12292,$B337,'Besi Balok'!$F$23:$F$12292,'REKAP Balok'!S$12)</f>
        <v>0</v>
      </c>
      <c r="T337">
        <f>SUMIFS('Besi Balok'!$AA$23:$AA$12292,'Besi Balok'!$A$23:$A$12292,$A337,'Besi Balok'!$B$23:$B$12292,$B337,'Besi Balok'!$F$23:$F$12292,'REKAP Balok'!T$12)</f>
        <v>0</v>
      </c>
      <c r="U337">
        <f>SUM(L337:T337)</f>
        <v>85.66943183999999</v>
      </c>
      <c r="V337">
        <f>(D337*(F337-H337)*G337*K337)/1000000000</f>
        <v>0.28749</v>
      </c>
      <c r="W337">
        <f>(((F337-H337)*2+D337)*(G337)*K337)/1000000</f>
        <v>3.6519</v>
      </c>
      <c r="AC337">
        <f>(D337+2*$F$5)*F337*G337/1000000000</f>
        <v>0.777</v>
      </c>
    </row>
    <row r="338">
      <c r="A338" t="str">
        <f>'Data Panjang Balok'!A335</f>
        <v>Lantai Attic</v>
      </c>
      <c r="B338">
        <f>'Data Panjang Balok'!B335</f>
        <v>58</v>
      </c>
      <c r="C338" t="str">
        <f>'Data Panjang Balok'!D335</f>
        <v>Potongan E</v>
      </c>
      <c r="D338">
        <f>IF(C338&gt;0,VLOOKUP(C338,'Detail Balok'!$C$11:$AU$110,2,FALSE),0)</f>
        <v>400</v>
      </c>
      <c r="E338" t="str">
        <v>x</v>
      </c>
      <c r="F338">
        <f>IF(C338&gt;0,VLOOKUP(C338,'Detail Balok'!$C$11:$AU$110,3,FALSE),0)</f>
        <v>600</v>
      </c>
      <c r="G338">
        <f>'Data Panjang Balok'!I335</f>
        <v>1765</v>
      </c>
      <c r="H338">
        <f>'Data Panjang Balok'!J335</f>
        <v>130</v>
      </c>
      <c r="J338">
        <f>I338-F338/1000</f>
        <v>-0.6</v>
      </c>
      <c r="K338">
        <f>'Data Panjang Balok'!E335</f>
        <v>1</v>
      </c>
      <c r="L338">
        <f>SUMIFS('Besi Balok'!$AA$23:$AA$12292,'Besi Balok'!$A$23:$A$12292,$A338,'Besi Balok'!$B$23:$B$12292,$B338,'Besi Balok'!$F$23:$F$12292,'REKAP Balok'!L$12)</f>
        <v>0</v>
      </c>
      <c r="M338">
        <f>SUMIFS('Besi Balok'!$AA$23:$AA$12292,'Besi Balok'!$A$23:$A$12292,$A338,'Besi Balok'!$B$23:$B$12292,$B338,'Besi Balok'!$F$23:$F$12292,'REKAP Balok'!M$12)</f>
        <v>0</v>
      </c>
      <c r="N338">
        <f>SUMIFS('Besi Balok'!$AA$23:$AA$12292,'Besi Balok'!$A$23:$A$12292,$A338,'Besi Balok'!$B$23:$B$12292,$B338,'Besi Balok'!$F$23:$F$12292,'REKAP Balok'!N$12)</f>
        <v>2.472165</v>
      </c>
      <c r="O338">
        <f>SUMIFS('Besi Balok'!$AA$23:$AA$12292,'Besi Balok'!$A$23:$A$12292,$A338,'Besi Balok'!$B$23:$B$12292,$B338,'Besi Balok'!$F$23:$F$12292,'REKAP Balok'!O$12)</f>
        <v>40.17091805999999</v>
      </c>
      <c r="P338">
        <f>SUMIFS('Besi Balok'!$AA$23:$AA$12292,'Besi Balok'!$A$23:$A$12292,$A338,'Besi Balok'!$B$23:$B$12292,$B338,'Besi Balok'!$F$23:$F$12292,'REKAP Balok'!P$12)</f>
        <v>0</v>
      </c>
      <c r="Q338">
        <f>SUMIFS('Besi Balok'!$AA$23:$AA$12292,'Besi Balok'!$A$23:$A$12292,$A338,'Besi Balok'!$B$23:$B$12292,$B338,'Besi Balok'!$F$23:$F$12292,'REKAP Balok'!Q$12)</f>
        <v>59.31575838</v>
      </c>
      <c r="R338">
        <f>SUMIFS('Besi Balok'!$AA$23:$AA$12292,'Besi Balok'!$A$23:$A$12292,$A338,'Besi Balok'!$B$23:$B$12292,$B338,'Besi Balok'!$F$23:$F$12292,'REKAP Balok'!R$12)</f>
        <v>0</v>
      </c>
      <c r="S338">
        <f>SUMIFS('Besi Balok'!$AA$23:$AA$12292,'Besi Balok'!$A$23:$A$12292,$A338,'Besi Balok'!$B$23:$B$12292,$B338,'Besi Balok'!$F$23:$F$12292,'REKAP Balok'!S$12)</f>
        <v>0</v>
      </c>
      <c r="T338">
        <f>SUMIFS('Besi Balok'!$AA$23:$AA$12292,'Besi Balok'!$A$23:$A$12292,$A338,'Besi Balok'!$B$23:$B$12292,$B338,'Besi Balok'!$F$23:$F$12292,'REKAP Balok'!T$12)</f>
        <v>0</v>
      </c>
      <c r="U338">
        <f>SUM(L338:T338)</f>
        <v>101.95884143999999</v>
      </c>
      <c r="V338">
        <f>(D338*(F338-H338)*G338*K338)/1000000000</f>
        <v>0.33182</v>
      </c>
      <c r="W338">
        <f>(((F338-H338)*2+D338)*(G338)*K338)/1000000</f>
        <v>2.3651</v>
      </c>
      <c r="AC338">
        <f>(D338+2*$F$5)*F338*G338/1000000000</f>
        <v>0.6354</v>
      </c>
    </row>
    <row r="339">
      <c r="A339" t="str">
        <f>'Data Panjang Balok'!A336</f>
        <v>Lantai Attic</v>
      </c>
      <c r="B339">
        <f>'Data Panjang Balok'!B336</f>
        <v>59</v>
      </c>
      <c r="C339" t="str">
        <f>'Data Panjang Balok'!D336</f>
        <v>B25-5</v>
      </c>
      <c r="D339">
        <f>IF(C339&gt;0,VLOOKUP(C339,'Detail Balok'!$C$11:$AU$110,2,FALSE),0)</f>
        <v>200</v>
      </c>
      <c r="E339" t="str">
        <v>x</v>
      </c>
      <c r="F339">
        <f>IF(C339&gt;0,VLOOKUP(C339,'Detail Balok'!$C$11:$AU$110,3,FALSE),0)</f>
        <v>500</v>
      </c>
      <c r="G339">
        <f>'Data Panjang Balok'!I336</f>
        <v>8850</v>
      </c>
      <c r="H339">
        <f>'Data Panjang Balok'!J336</f>
        <v>130</v>
      </c>
      <c r="J339">
        <f>I339-F339/1000</f>
        <v>-0.5</v>
      </c>
      <c r="K339">
        <f>'Data Panjang Balok'!E336</f>
        <v>1</v>
      </c>
      <c r="L339">
        <f>SUMIFS('Besi Balok'!$AA$23:$AA$12292,'Besi Balok'!$A$23:$A$12292,$A339,'Besi Balok'!$B$23:$B$12292,$B339,'Besi Balok'!$F$23:$F$12292,'REKAP Balok'!L$12)</f>
        <v>0</v>
      </c>
      <c r="M339">
        <f>SUMIFS('Besi Balok'!$AA$23:$AA$12292,'Besi Balok'!$A$23:$A$12292,$A339,'Besi Balok'!$B$23:$B$12292,$B339,'Besi Balok'!$F$23:$F$12292,'REKAP Balok'!M$12)</f>
        <v>0</v>
      </c>
      <c r="N339">
        <f>SUMIFS('Besi Balok'!$AA$23:$AA$12292,'Besi Balok'!$A$23:$A$12292,$A339,'Besi Balok'!$B$23:$B$12292,$B339,'Besi Balok'!$F$23:$F$12292,'REKAP Balok'!N$12)</f>
        <v>62.77203</v>
      </c>
      <c r="O339">
        <f>SUMIFS('Besi Balok'!$AA$23:$AA$12292,'Besi Balok'!$A$23:$A$12292,$A339,'Besi Balok'!$B$23:$B$12292,$B339,'Besi Balok'!$F$23:$F$12292,'REKAP Balok'!O$12)</f>
        <v>0</v>
      </c>
      <c r="P339">
        <f>SUMIFS('Besi Balok'!$AA$23:$AA$12292,'Besi Balok'!$A$23:$A$12292,$A339,'Besi Balok'!$B$23:$B$12292,$B339,'Besi Balok'!$F$23:$F$12292,'REKAP Balok'!P$12)</f>
        <v>0</v>
      </c>
      <c r="Q339">
        <f>SUMIFS('Besi Balok'!$AA$23:$AA$12292,'Besi Balok'!$A$23:$A$12292,$A339,'Besi Balok'!$B$23:$B$12292,$B339,'Besi Balok'!$F$23:$F$12292,'REKAP Balok'!Q$12)</f>
        <v>167.524954245</v>
      </c>
      <c r="R339">
        <f>SUMIFS('Besi Balok'!$AA$23:$AA$12292,'Besi Balok'!$A$23:$A$12292,$A339,'Besi Balok'!$B$23:$B$12292,$B339,'Besi Balok'!$F$23:$F$12292,'REKAP Balok'!R$12)</f>
        <v>0</v>
      </c>
      <c r="S339">
        <f>SUMIFS('Besi Balok'!$AA$23:$AA$12292,'Besi Balok'!$A$23:$A$12292,$A339,'Besi Balok'!$B$23:$B$12292,$B339,'Besi Balok'!$F$23:$F$12292,'REKAP Balok'!S$12)</f>
        <v>0</v>
      </c>
      <c r="T339">
        <f>SUMIFS('Besi Balok'!$AA$23:$AA$12292,'Besi Balok'!$A$23:$A$12292,$A339,'Besi Balok'!$B$23:$B$12292,$B339,'Besi Balok'!$F$23:$F$12292,'REKAP Balok'!T$12)</f>
        <v>0</v>
      </c>
      <c r="U339">
        <f>SUM(L339:T339)</f>
        <v>230.296984245</v>
      </c>
      <c r="V339">
        <f>(D339*(F339-H339)*G339*K339)/1000000000</f>
        <v>0.6549</v>
      </c>
      <c r="W339">
        <f>(((F339-H339)*2+D339)*(G339)*K339)/1000000</f>
        <v>8.319</v>
      </c>
      <c r="AC339">
        <f>(D339+2*$F$5)*F339*G339/1000000000</f>
        <v>1.77</v>
      </c>
    </row>
    <row r="340">
      <c r="A340" t="str">
        <f>'Data Panjang Balok'!A337</f>
        <v>Lantai Attic</v>
      </c>
      <c r="B340">
        <f>'Data Panjang Balok'!B337</f>
        <v>60</v>
      </c>
      <c r="C340" t="str">
        <f>'Data Panjang Balok'!D337</f>
        <v>B24-6</v>
      </c>
      <c r="D340">
        <f>IF(C340&gt;0,VLOOKUP(C340,'Detail Balok'!$C$11:$AU$110,2,FALSE),0)</f>
        <v>200</v>
      </c>
      <c r="E340" t="str">
        <v>x</v>
      </c>
      <c r="F340">
        <f>IF(C340&gt;0,VLOOKUP(C340,'Detail Balok'!$C$11:$AU$110,3,FALSE),0)</f>
        <v>400</v>
      </c>
      <c r="G340">
        <f>'Data Panjang Balok'!I337</f>
        <v>2000</v>
      </c>
      <c r="H340">
        <f>'Data Panjang Balok'!J337</f>
        <v>150</v>
      </c>
      <c r="J340">
        <f>I340-F340/1000</f>
        <v>-0.4</v>
      </c>
      <c r="K340">
        <f>'Data Panjang Balok'!E337</f>
        <v>1</v>
      </c>
      <c r="L340">
        <f>SUMIFS('Besi Balok'!$AA$23:$AA$12292,'Besi Balok'!$A$23:$A$12292,$A340,'Besi Balok'!$B$23:$B$12292,$B340,'Besi Balok'!$F$23:$F$12292,'REKAP Balok'!L$12)</f>
        <v>0</v>
      </c>
      <c r="M340">
        <f>SUMIFS('Besi Balok'!$AA$23:$AA$12292,'Besi Balok'!$A$23:$A$12292,$A340,'Besi Balok'!$B$23:$B$12292,$B340,'Besi Balok'!$F$23:$F$12292,'REKAP Balok'!M$12)</f>
        <v>0</v>
      </c>
      <c r="N340">
        <f>SUMIFS('Besi Balok'!$AA$23:$AA$12292,'Besi Balok'!$A$23:$A$12292,$A340,'Besi Balok'!$B$23:$B$12292,$B340,'Besi Balok'!$F$23:$F$12292,'REKAP Balok'!N$12)</f>
        <v>12.699900000000001</v>
      </c>
      <c r="O340">
        <f>SUMIFS('Besi Balok'!$AA$23:$AA$12292,'Besi Balok'!$A$23:$A$12292,$A340,'Besi Balok'!$B$23:$B$12292,$B340,'Besi Balok'!$F$23:$F$12292,'REKAP Balok'!O$12)</f>
        <v>0</v>
      </c>
      <c r="P340">
        <f>SUMIFS('Besi Balok'!$AA$23:$AA$12292,'Besi Balok'!$A$23:$A$12292,$A340,'Besi Balok'!$B$23:$B$12292,$B340,'Besi Balok'!$F$23:$F$12292,'REKAP Balok'!P$12)</f>
        <v>0</v>
      </c>
      <c r="Q340">
        <f>SUMIFS('Besi Balok'!$AA$23:$AA$12292,'Besi Balok'!$A$23:$A$12292,$A340,'Besi Balok'!$B$23:$B$12292,$B340,'Besi Balok'!$F$23:$F$12292,'REKAP Balok'!Q$12)</f>
        <v>27.329938199999997</v>
      </c>
      <c r="R340">
        <f>SUMIFS('Besi Balok'!$AA$23:$AA$12292,'Besi Balok'!$A$23:$A$12292,$A340,'Besi Balok'!$B$23:$B$12292,$B340,'Besi Balok'!$F$23:$F$12292,'REKAP Balok'!R$12)</f>
        <v>0</v>
      </c>
      <c r="S340">
        <f>SUMIFS('Besi Balok'!$AA$23:$AA$12292,'Besi Balok'!$A$23:$A$12292,$A340,'Besi Balok'!$B$23:$B$12292,$B340,'Besi Balok'!$F$23:$F$12292,'REKAP Balok'!S$12)</f>
        <v>0</v>
      </c>
      <c r="T340">
        <f>SUMIFS('Besi Balok'!$AA$23:$AA$12292,'Besi Balok'!$A$23:$A$12292,$A340,'Besi Balok'!$B$23:$B$12292,$B340,'Besi Balok'!$F$23:$F$12292,'REKAP Balok'!T$12)</f>
        <v>0</v>
      </c>
      <c r="U340">
        <f>SUM(L340:T340)</f>
        <v>40.0298382</v>
      </c>
      <c r="V340">
        <f>(D340*(F340-H340)*G340*K340)/1000000000</f>
        <v>0.1</v>
      </c>
      <c r="W340">
        <f>(((F340-H340)*2+D340)*(G340)*K340)/1000000</f>
        <v>1.4</v>
      </c>
      <c r="AC340">
        <f>(D340+2*$F$5)*F340*G340/1000000000</f>
        <v>0.32</v>
      </c>
    </row>
    <row r="341">
      <c r="A341" t="str">
        <f>'Data Panjang Balok'!A338</f>
        <v>Lantai Attic</v>
      </c>
      <c r="B341">
        <f>'Data Panjang Balok'!B338</f>
        <v>61</v>
      </c>
      <c r="C341" t="str">
        <f>'Data Panjang Balok'!D338</f>
        <v>B25-2</v>
      </c>
      <c r="D341">
        <f>IF(C341&gt;0,VLOOKUP(C341,'Detail Balok'!$C$11:$AU$110,2,FALSE),0)</f>
        <v>200</v>
      </c>
      <c r="E341" t="str">
        <v>x</v>
      </c>
      <c r="F341">
        <f>IF(C341&gt;0,VLOOKUP(C341,'Detail Balok'!$C$11:$AU$110,3,FALSE),0)</f>
        <v>500</v>
      </c>
      <c r="G341">
        <f>'Data Panjang Balok'!I338</f>
        <v>8100</v>
      </c>
      <c r="H341">
        <f>'Data Panjang Balok'!J338</f>
        <v>130</v>
      </c>
      <c r="J341">
        <f>I341-F341/1000</f>
        <v>-0.5</v>
      </c>
      <c r="K341">
        <f>'Data Panjang Balok'!E338</f>
        <v>1</v>
      </c>
      <c r="L341">
        <f>SUMIFS('Besi Balok'!$AA$23:$AA$12292,'Besi Balok'!$A$23:$A$12292,$A341,'Besi Balok'!$B$23:$B$12292,$B341,'Besi Balok'!$F$23:$F$12292,'REKAP Balok'!L$12)</f>
        <v>0</v>
      </c>
      <c r="M341">
        <f>SUMIFS('Besi Balok'!$AA$23:$AA$12292,'Besi Balok'!$A$23:$A$12292,$A341,'Besi Balok'!$B$23:$B$12292,$B341,'Besi Balok'!$F$23:$F$12292,'REKAP Balok'!M$12)</f>
        <v>0</v>
      </c>
      <c r="N341">
        <f>SUMIFS('Besi Balok'!$AA$23:$AA$12292,'Besi Balok'!$A$23:$A$12292,$A341,'Besi Balok'!$B$23:$B$12292,$B341,'Besi Balok'!$F$23:$F$12292,'REKAP Balok'!N$12)</f>
        <v>77.01318</v>
      </c>
      <c r="O341">
        <f>SUMIFS('Besi Balok'!$AA$23:$AA$12292,'Besi Balok'!$A$23:$A$12292,$A341,'Besi Balok'!$B$23:$B$12292,$B341,'Besi Balok'!$F$23:$F$12292,'REKAP Balok'!O$12)</f>
        <v>0</v>
      </c>
      <c r="P341">
        <f>SUMIFS('Besi Balok'!$AA$23:$AA$12292,'Besi Balok'!$A$23:$A$12292,$A341,'Besi Balok'!$B$23:$B$12292,$B341,'Besi Balok'!$F$23:$F$12292,'REKAP Balok'!P$12)</f>
        <v>80.33872896</v>
      </c>
      <c r="Q341">
        <f>SUMIFS('Besi Balok'!$AA$23:$AA$12292,'Besi Balok'!$A$23:$A$12292,$A341,'Besi Balok'!$B$23:$B$12292,$B341,'Besi Balok'!$F$23:$F$12292,'REKAP Balok'!Q$12)</f>
        <v>0</v>
      </c>
      <c r="R341">
        <f>SUMIFS('Besi Balok'!$AA$23:$AA$12292,'Besi Balok'!$A$23:$A$12292,$A341,'Besi Balok'!$B$23:$B$12292,$B341,'Besi Balok'!$F$23:$F$12292,'REKAP Balok'!R$12)</f>
        <v>0</v>
      </c>
      <c r="S341">
        <f>SUMIFS('Besi Balok'!$AA$23:$AA$12292,'Besi Balok'!$A$23:$A$12292,$A341,'Besi Balok'!$B$23:$B$12292,$B341,'Besi Balok'!$F$23:$F$12292,'REKAP Balok'!S$12)</f>
        <v>0</v>
      </c>
      <c r="T341">
        <f>SUMIFS('Besi Balok'!$AA$23:$AA$12292,'Besi Balok'!$A$23:$A$12292,$A341,'Besi Balok'!$B$23:$B$12292,$B341,'Besi Balok'!$F$23:$F$12292,'REKAP Balok'!T$12)</f>
        <v>0</v>
      </c>
      <c r="U341">
        <f>SUM(L341:T341)</f>
        <v>157.35190896</v>
      </c>
      <c r="V341">
        <f>(D341*(F341-H341)*G341*K341)/1000000000</f>
        <v>0.5994</v>
      </c>
      <c r="W341">
        <f>(((F341-H341)*2+D341)*(G341)*K341)/1000000</f>
        <v>7.614</v>
      </c>
      <c r="AC341">
        <f>(D341+2*$F$5)*F341*G341/1000000000</f>
        <v>1.62</v>
      </c>
    </row>
    <row r="342">
      <c r="A342" t="str">
        <f>'Data Panjang Balok'!A339</f>
        <v>Lantai Attic</v>
      </c>
      <c r="B342">
        <f>'Data Panjang Balok'!B339</f>
        <v>62</v>
      </c>
      <c r="C342" t="str">
        <f>'Data Panjang Balok'!D339</f>
        <v>B25-3</v>
      </c>
      <c r="D342">
        <f>IF(C342&gt;0,VLOOKUP(C342,'Detail Balok'!$C$11:$AU$110,2,FALSE),0)</f>
        <v>200</v>
      </c>
      <c r="E342" t="str">
        <v>x</v>
      </c>
      <c r="F342">
        <f>IF(C342&gt;0,VLOOKUP(C342,'Detail Balok'!$C$11:$AU$110,3,FALSE),0)</f>
        <v>500</v>
      </c>
      <c r="G342">
        <f>'Data Panjang Balok'!I339</f>
        <v>9000</v>
      </c>
      <c r="H342">
        <f>'Data Panjang Balok'!J339</f>
        <v>130</v>
      </c>
      <c r="J342">
        <f>I342-F342/1000</f>
        <v>-0.5</v>
      </c>
      <c r="K342">
        <f>'Data Panjang Balok'!E339</f>
        <v>1</v>
      </c>
      <c r="L342">
        <f>SUMIFS('Besi Balok'!$AA$23:$AA$12292,'Besi Balok'!$A$23:$A$12292,$A342,'Besi Balok'!$B$23:$B$12292,$B342,'Besi Balok'!$F$23:$F$12292,'REKAP Balok'!L$12)</f>
        <v>0</v>
      </c>
      <c r="M342">
        <f>SUMIFS('Besi Balok'!$AA$23:$AA$12292,'Besi Balok'!$A$23:$A$12292,$A342,'Besi Balok'!$B$23:$B$12292,$B342,'Besi Balok'!$F$23:$F$12292,'REKAP Balok'!M$12)</f>
        <v>0</v>
      </c>
      <c r="N342">
        <f>SUMIFS('Besi Balok'!$AA$23:$AA$12292,'Besi Balok'!$A$23:$A$12292,$A342,'Besi Balok'!$B$23:$B$12292,$B342,'Besi Balok'!$F$23:$F$12292,'REKAP Balok'!N$12)</f>
        <v>68.26504500000001</v>
      </c>
      <c r="O342">
        <f>SUMIFS('Besi Balok'!$AA$23:$AA$12292,'Besi Balok'!$A$23:$A$12292,$A342,'Besi Balok'!$B$23:$B$12292,$B342,'Besi Balok'!$F$23:$F$12292,'REKAP Balok'!O$12)</f>
        <v>0</v>
      </c>
      <c r="P342">
        <f>SUMIFS('Besi Balok'!$AA$23:$AA$12292,'Besi Balok'!$A$23:$A$12292,$A342,'Besi Balok'!$B$23:$B$12292,$B342,'Besi Balok'!$F$23:$F$12292,'REKAP Balok'!P$12)</f>
        <v>119.33388288000002</v>
      </c>
      <c r="Q342">
        <f>SUMIFS('Besi Balok'!$AA$23:$AA$12292,'Besi Balok'!$A$23:$A$12292,$A342,'Besi Balok'!$B$23:$B$12292,$B342,'Besi Balok'!$F$23:$F$12292,'REKAP Balok'!Q$12)</f>
        <v>0</v>
      </c>
      <c r="R342">
        <f>SUMIFS('Besi Balok'!$AA$23:$AA$12292,'Besi Balok'!$A$23:$A$12292,$A342,'Besi Balok'!$B$23:$B$12292,$B342,'Besi Balok'!$F$23:$F$12292,'REKAP Balok'!R$12)</f>
        <v>0</v>
      </c>
      <c r="S342">
        <f>SUMIFS('Besi Balok'!$AA$23:$AA$12292,'Besi Balok'!$A$23:$A$12292,$A342,'Besi Balok'!$B$23:$B$12292,$B342,'Besi Balok'!$F$23:$F$12292,'REKAP Balok'!S$12)</f>
        <v>0</v>
      </c>
      <c r="T342">
        <f>SUMIFS('Besi Balok'!$AA$23:$AA$12292,'Besi Balok'!$A$23:$A$12292,$A342,'Besi Balok'!$B$23:$B$12292,$B342,'Besi Balok'!$F$23:$F$12292,'REKAP Balok'!T$12)</f>
        <v>0</v>
      </c>
      <c r="U342">
        <f>SUM(L342:T342)</f>
        <v>187.59892788000002</v>
      </c>
      <c r="V342">
        <f>(D342*(F342-H342)*G342*K342)/1000000000</f>
        <v>0.666</v>
      </c>
      <c r="W342">
        <f>(((F342-H342)*2+D342)*(G342)*K342)/1000000</f>
        <v>8.46</v>
      </c>
      <c r="AC342">
        <f>(D342+2*$F$5)*F342*G342/1000000000</f>
        <v>1.8</v>
      </c>
    </row>
    <row r="343">
      <c r="A343" t="str">
        <f>'Data Panjang Balok'!A340</f>
        <v>Lantai Attic</v>
      </c>
      <c r="B343">
        <f>'Data Panjang Balok'!B340</f>
        <v>63</v>
      </c>
      <c r="C343" t="str">
        <f>'Data Panjang Balok'!D340</f>
        <v>B245-3</v>
      </c>
      <c r="D343">
        <f>IF(C343&gt;0,VLOOKUP(C343,'Detail Balok'!$C$11:$AU$110,2,FALSE),0)</f>
        <v>200</v>
      </c>
      <c r="E343" t="str">
        <v>x</v>
      </c>
      <c r="F343">
        <f>IF(C343&gt;0,VLOOKUP(C343,'Detail Balok'!$C$11:$AU$110,3,FALSE),0)</f>
        <v>450</v>
      </c>
      <c r="G343">
        <f>'Data Panjang Balok'!I340</f>
        <v>2000</v>
      </c>
      <c r="H343">
        <f>'Data Panjang Balok'!J340</f>
        <v>150</v>
      </c>
      <c r="J343">
        <f>I343-F343/1000</f>
        <v>-0.45</v>
      </c>
      <c r="K343">
        <f>'Data Panjang Balok'!E340</f>
        <v>1</v>
      </c>
      <c r="L343">
        <f>SUMIFS('Besi Balok'!$AA$23:$AA$12292,'Besi Balok'!$A$23:$A$12292,$A343,'Besi Balok'!$B$23:$B$12292,$B343,'Besi Balok'!$F$23:$F$12292,'REKAP Balok'!L$12)</f>
        <v>0</v>
      </c>
      <c r="M343">
        <f>SUMIFS('Besi Balok'!$AA$23:$AA$12292,'Besi Balok'!$A$23:$A$12292,$A343,'Besi Balok'!$B$23:$B$12292,$B343,'Besi Balok'!$F$23:$F$12292,'REKAP Balok'!M$12)</f>
        <v>0</v>
      </c>
      <c r="N343">
        <f>SUMIFS('Besi Balok'!$AA$23:$AA$12292,'Besi Balok'!$A$23:$A$12292,$A343,'Besi Balok'!$B$23:$B$12292,$B343,'Besi Balok'!$F$23:$F$12292,'REKAP Balok'!N$12)</f>
        <v>18.784755</v>
      </c>
      <c r="O343">
        <f>SUMIFS('Besi Balok'!$AA$23:$AA$12292,'Besi Balok'!$A$23:$A$12292,$A343,'Besi Balok'!$B$23:$B$12292,$B343,'Besi Balok'!$F$23:$F$12292,'REKAP Balok'!O$12)</f>
        <v>0</v>
      </c>
      <c r="P343">
        <f>SUMIFS('Besi Balok'!$AA$23:$AA$12292,'Besi Balok'!$A$23:$A$12292,$A343,'Besi Balok'!$B$23:$B$12292,$B343,'Besi Balok'!$F$23:$F$12292,'REKAP Balok'!P$12)</f>
        <v>15.05009664</v>
      </c>
      <c r="Q343">
        <f>SUMIFS('Besi Balok'!$AA$23:$AA$12292,'Besi Balok'!$A$23:$A$12292,$A343,'Besi Balok'!$B$23:$B$12292,$B343,'Besi Balok'!$F$23:$F$12292,'REKAP Balok'!Q$12)</f>
        <v>0</v>
      </c>
      <c r="R343">
        <f>SUMIFS('Besi Balok'!$AA$23:$AA$12292,'Besi Balok'!$A$23:$A$12292,$A343,'Besi Balok'!$B$23:$B$12292,$B343,'Besi Balok'!$F$23:$F$12292,'REKAP Balok'!R$12)</f>
        <v>0</v>
      </c>
      <c r="S343">
        <f>SUMIFS('Besi Balok'!$AA$23:$AA$12292,'Besi Balok'!$A$23:$A$12292,$A343,'Besi Balok'!$B$23:$B$12292,$B343,'Besi Balok'!$F$23:$F$12292,'REKAP Balok'!S$12)</f>
        <v>0</v>
      </c>
      <c r="T343">
        <f>SUMIFS('Besi Balok'!$AA$23:$AA$12292,'Besi Balok'!$A$23:$A$12292,$A343,'Besi Balok'!$B$23:$B$12292,$B343,'Besi Balok'!$F$23:$F$12292,'REKAP Balok'!T$12)</f>
        <v>0</v>
      </c>
      <c r="U343">
        <f>SUM(L343:T343)</f>
        <v>33.83485164</v>
      </c>
      <c r="V343">
        <f>(D343*(F343-H343)*G343*K343)/1000000000</f>
        <v>0.12</v>
      </c>
      <c r="W343">
        <f>(((F343-H343)*2+D343)*(G343)*K343)/1000000</f>
        <v>1.6</v>
      </c>
      <c r="AC343">
        <f>(D343+2*$F$5)*F343*G343/1000000000</f>
        <v>0.36</v>
      </c>
    </row>
    <row r="344">
      <c r="A344" t="str">
        <f>'Data Panjang Balok'!A341</f>
        <v>Lantai Attic</v>
      </c>
      <c r="B344">
        <f>'Data Panjang Balok'!B341</f>
        <v>64</v>
      </c>
      <c r="C344" t="str">
        <f>'Data Panjang Balok'!D341</f>
        <v>B25-2</v>
      </c>
      <c r="D344">
        <f>IF(C344&gt;0,VLOOKUP(C344,'Detail Balok'!$C$11:$AU$110,2,FALSE),0)</f>
        <v>200</v>
      </c>
      <c r="E344" t="str">
        <v>x</v>
      </c>
      <c r="F344">
        <f>IF(C344&gt;0,VLOOKUP(C344,'Detail Balok'!$C$11:$AU$110,3,FALSE),0)</f>
        <v>500</v>
      </c>
      <c r="G344">
        <f>'Data Panjang Balok'!I341</f>
        <v>8100</v>
      </c>
      <c r="H344">
        <f>'Data Panjang Balok'!J341</f>
        <v>130</v>
      </c>
      <c r="J344">
        <f>I344-F344/1000</f>
        <v>-0.5</v>
      </c>
      <c r="K344">
        <f>'Data Panjang Balok'!E341</f>
        <v>1</v>
      </c>
      <c r="L344">
        <f>SUMIFS('Besi Balok'!$AA$23:$AA$12292,'Besi Balok'!$A$23:$A$12292,$A344,'Besi Balok'!$B$23:$B$12292,$B344,'Besi Balok'!$F$23:$F$12292,'REKAP Balok'!L$12)</f>
        <v>0</v>
      </c>
      <c r="M344">
        <f>SUMIFS('Besi Balok'!$AA$23:$AA$12292,'Besi Balok'!$A$23:$A$12292,$A344,'Besi Balok'!$B$23:$B$12292,$B344,'Besi Balok'!$F$23:$F$12292,'REKAP Balok'!M$12)</f>
        <v>0</v>
      </c>
      <c r="N344">
        <f>SUMIFS('Besi Balok'!$AA$23:$AA$12292,'Besi Balok'!$A$23:$A$12292,$A344,'Besi Balok'!$B$23:$B$12292,$B344,'Besi Balok'!$F$23:$F$12292,'REKAP Balok'!N$12)</f>
        <v>77.01318</v>
      </c>
      <c r="O344">
        <f>SUMIFS('Besi Balok'!$AA$23:$AA$12292,'Besi Balok'!$A$23:$A$12292,$A344,'Besi Balok'!$B$23:$B$12292,$B344,'Besi Balok'!$F$23:$F$12292,'REKAP Balok'!O$12)</f>
        <v>0</v>
      </c>
      <c r="P344">
        <f>SUMIFS('Besi Balok'!$AA$23:$AA$12292,'Besi Balok'!$A$23:$A$12292,$A344,'Besi Balok'!$B$23:$B$12292,$B344,'Besi Balok'!$F$23:$F$12292,'REKAP Balok'!P$12)</f>
        <v>80.33872896</v>
      </c>
      <c r="Q344">
        <f>SUMIFS('Besi Balok'!$AA$23:$AA$12292,'Besi Balok'!$A$23:$A$12292,$A344,'Besi Balok'!$B$23:$B$12292,$B344,'Besi Balok'!$F$23:$F$12292,'REKAP Balok'!Q$12)</f>
        <v>0</v>
      </c>
      <c r="R344">
        <f>SUMIFS('Besi Balok'!$AA$23:$AA$12292,'Besi Balok'!$A$23:$A$12292,$A344,'Besi Balok'!$B$23:$B$12292,$B344,'Besi Balok'!$F$23:$F$12292,'REKAP Balok'!R$12)</f>
        <v>0</v>
      </c>
      <c r="S344">
        <f>SUMIFS('Besi Balok'!$AA$23:$AA$12292,'Besi Balok'!$A$23:$A$12292,$A344,'Besi Balok'!$B$23:$B$12292,$B344,'Besi Balok'!$F$23:$F$12292,'REKAP Balok'!S$12)</f>
        <v>0</v>
      </c>
      <c r="T344">
        <f>SUMIFS('Besi Balok'!$AA$23:$AA$12292,'Besi Balok'!$A$23:$A$12292,$A344,'Besi Balok'!$B$23:$B$12292,$B344,'Besi Balok'!$F$23:$F$12292,'REKAP Balok'!T$12)</f>
        <v>0</v>
      </c>
      <c r="U344">
        <f>SUM(L344:T344)</f>
        <v>157.35190896</v>
      </c>
      <c r="V344">
        <f>(D344*(F344-H344)*G344*K344)/1000000000</f>
        <v>0.5994</v>
      </c>
      <c r="W344">
        <f>(((F344-H344)*2+D344)*(G344)*K344)/1000000</f>
        <v>7.614</v>
      </c>
      <c r="AC344">
        <f>(D344+2*$F$5)*F344*G344/1000000000</f>
        <v>1.62</v>
      </c>
    </row>
    <row r="345">
      <c r="A345" t="str">
        <f>'Data Panjang Balok'!A342</f>
        <v>Lantai Attic</v>
      </c>
      <c r="B345">
        <f>'Data Panjang Balok'!B342</f>
        <v>65</v>
      </c>
      <c r="C345" t="str">
        <f>'Data Panjang Balok'!D342</f>
        <v>Potongan C</v>
      </c>
      <c r="D345">
        <f>IF(C345&gt;0,VLOOKUP(C345,'Detail Balok'!$C$11:$AU$110,2,FALSE),0)</f>
        <v>200</v>
      </c>
      <c r="E345" t="str">
        <v>x</v>
      </c>
      <c r="F345">
        <f>IF(C345&gt;0,VLOOKUP(C345,'Detail Balok'!$C$11:$AU$110,3,FALSE),0)</f>
        <v>500</v>
      </c>
      <c r="G345">
        <f>'Data Panjang Balok'!I342</f>
        <v>3000</v>
      </c>
      <c r="H345">
        <f>'Data Panjang Balok'!J342</f>
        <v>130</v>
      </c>
      <c r="J345">
        <f>I345-F345/1000</f>
        <v>-0.5</v>
      </c>
      <c r="K345">
        <f>'Data Panjang Balok'!E342</f>
        <v>1</v>
      </c>
      <c r="L345">
        <f>SUMIFS('Besi Balok'!$AA$23:$AA$12292,'Besi Balok'!$A$23:$A$12292,$A345,'Besi Balok'!$B$23:$B$12292,$B345,'Besi Balok'!$F$23:$F$12292,'REKAP Balok'!L$12)</f>
        <v>0</v>
      </c>
      <c r="M345">
        <f>SUMIFS('Besi Balok'!$AA$23:$AA$12292,'Besi Balok'!$A$23:$A$12292,$A345,'Besi Balok'!$B$23:$B$12292,$B345,'Besi Balok'!$F$23:$F$12292,'REKAP Balok'!M$12)</f>
        <v>0</v>
      </c>
      <c r="N345">
        <f>SUMIFS('Besi Balok'!$AA$23:$AA$12292,'Besi Balok'!$A$23:$A$12292,$A345,'Besi Balok'!$B$23:$B$12292,$B345,'Besi Balok'!$F$23:$F$12292,'REKAP Balok'!N$12)</f>
        <v>35.085015</v>
      </c>
      <c r="O345">
        <f>SUMIFS('Besi Balok'!$AA$23:$AA$12292,'Besi Balok'!$A$23:$A$12292,$A345,'Besi Balok'!$B$23:$B$12292,$B345,'Besi Balok'!$F$23:$F$12292,'REKAP Balok'!O$12)</f>
        <v>0</v>
      </c>
      <c r="P345">
        <f>SUMIFS('Besi Balok'!$AA$23:$AA$12292,'Besi Balok'!$A$23:$A$12292,$A345,'Besi Balok'!$B$23:$B$12292,$B345,'Besi Balok'!$F$23:$F$12292,'REKAP Balok'!P$12)</f>
        <v>0</v>
      </c>
      <c r="Q345">
        <f>SUMIFS('Besi Balok'!$AA$23:$AA$12292,'Besi Balok'!$A$23:$A$12292,$A345,'Besi Balok'!$B$23:$B$12292,$B345,'Besi Balok'!$F$23:$F$12292,'REKAP Balok'!Q$12)</f>
        <v>69.22397375999999</v>
      </c>
      <c r="R345">
        <f>SUMIFS('Besi Balok'!$AA$23:$AA$12292,'Besi Balok'!$A$23:$A$12292,$A345,'Besi Balok'!$B$23:$B$12292,$B345,'Besi Balok'!$F$23:$F$12292,'REKAP Balok'!R$12)</f>
        <v>0</v>
      </c>
      <c r="S345">
        <f>SUMIFS('Besi Balok'!$AA$23:$AA$12292,'Besi Balok'!$A$23:$A$12292,$A345,'Besi Balok'!$B$23:$B$12292,$B345,'Besi Balok'!$F$23:$F$12292,'REKAP Balok'!S$12)</f>
        <v>0</v>
      </c>
      <c r="T345">
        <f>SUMIFS('Besi Balok'!$AA$23:$AA$12292,'Besi Balok'!$A$23:$A$12292,$A345,'Besi Balok'!$B$23:$B$12292,$B345,'Besi Balok'!$F$23:$F$12292,'REKAP Balok'!T$12)</f>
        <v>0</v>
      </c>
      <c r="U345">
        <f>SUM(L345:T345)</f>
        <v>104.30898875999999</v>
      </c>
      <c r="V345">
        <f>(D345*(F345-H345)*G345*K345)/1000000000</f>
        <v>0.222</v>
      </c>
      <c r="W345">
        <f>(((F345-H345)*2+D345)*(G345)*K345)/1000000</f>
        <v>2.82</v>
      </c>
      <c r="AC345">
        <f>(D345+2*$F$5)*F345*G345/1000000000</f>
        <v>0.6</v>
      </c>
    </row>
    <row r="346">
      <c r="A346" t="str">
        <f>'Data Panjang Balok'!A343</f>
        <v>Lantai Attic</v>
      </c>
      <c r="B346">
        <f>'Data Panjang Balok'!B343</f>
        <v>66</v>
      </c>
      <c r="C346" t="str">
        <f>'Data Panjang Balok'!D343</f>
        <v>B35-2</v>
      </c>
      <c r="D346">
        <f>IF(C346&gt;0,VLOOKUP(C346,'Detail Balok'!$C$11:$AU$110,2,FALSE),0)</f>
        <v>300</v>
      </c>
      <c r="E346" t="str">
        <v>x</v>
      </c>
      <c r="F346">
        <f>IF(C346&gt;0,VLOOKUP(C346,'Detail Balok'!$C$11:$AU$110,3,FALSE),0)</f>
        <v>500</v>
      </c>
      <c r="G346">
        <f>'Data Panjang Balok'!I343</f>
        <v>8000</v>
      </c>
      <c r="H346">
        <f>'Data Panjang Balok'!J343</f>
        <v>130</v>
      </c>
      <c r="J346">
        <f>I346-F346/1000</f>
        <v>-0.5</v>
      </c>
      <c r="K346">
        <f>'Data Panjang Balok'!E343</f>
        <v>1</v>
      </c>
      <c r="L346">
        <f>SUMIFS('Besi Balok'!$AA$23:$AA$12292,'Besi Balok'!$A$23:$A$12292,$A346,'Besi Balok'!$B$23:$B$12292,$B346,'Besi Balok'!$F$23:$F$12292,'REKAP Balok'!L$12)</f>
        <v>0</v>
      </c>
      <c r="M346">
        <f>SUMIFS('Besi Balok'!$AA$23:$AA$12292,'Besi Balok'!$A$23:$A$12292,$A346,'Besi Balok'!$B$23:$B$12292,$B346,'Besi Balok'!$F$23:$F$12292,'REKAP Balok'!M$12)</f>
        <v>0</v>
      </c>
      <c r="N346">
        <f>SUMIFS('Besi Balok'!$AA$23:$AA$12292,'Besi Balok'!$A$23:$A$12292,$A346,'Besi Balok'!$B$23:$B$12292,$B346,'Besi Balok'!$F$23:$F$12292,'REKAP Balok'!N$12)</f>
        <v>68.34519</v>
      </c>
      <c r="O346">
        <f>SUMIFS('Besi Balok'!$AA$23:$AA$12292,'Besi Balok'!$A$23:$A$12292,$A346,'Besi Balok'!$B$23:$B$12292,$B346,'Besi Balok'!$F$23:$F$12292,'REKAP Balok'!O$12)</f>
        <v>0</v>
      </c>
      <c r="P346">
        <f>SUMIFS('Besi Balok'!$AA$23:$AA$12292,'Besi Balok'!$A$23:$A$12292,$A346,'Besi Balok'!$B$23:$B$12292,$B346,'Besi Balok'!$F$23:$F$12292,'REKAP Balok'!P$12)</f>
        <v>0</v>
      </c>
      <c r="Q346">
        <f>SUMIFS('Besi Balok'!$AA$23:$AA$12292,'Besi Balok'!$A$23:$A$12292,$A346,'Besi Balok'!$B$23:$B$12292,$B346,'Besi Balok'!$F$23:$F$12292,'REKAP Balok'!Q$12)</f>
        <v>176.47840224</v>
      </c>
      <c r="R346">
        <f>SUMIFS('Besi Balok'!$AA$23:$AA$12292,'Besi Balok'!$A$23:$A$12292,$A346,'Besi Balok'!$B$23:$B$12292,$B346,'Besi Balok'!$F$23:$F$12292,'REKAP Balok'!R$12)</f>
        <v>0</v>
      </c>
      <c r="S346">
        <f>SUMIFS('Besi Balok'!$AA$23:$AA$12292,'Besi Balok'!$A$23:$A$12292,$A346,'Besi Balok'!$B$23:$B$12292,$B346,'Besi Balok'!$F$23:$F$12292,'REKAP Balok'!S$12)</f>
        <v>0</v>
      </c>
      <c r="T346">
        <f>SUMIFS('Besi Balok'!$AA$23:$AA$12292,'Besi Balok'!$A$23:$A$12292,$A346,'Besi Balok'!$B$23:$B$12292,$B346,'Besi Balok'!$F$23:$F$12292,'REKAP Balok'!T$12)</f>
        <v>0</v>
      </c>
      <c r="U346">
        <f>SUM(L346:T346)</f>
        <v>244.82359224</v>
      </c>
      <c r="V346">
        <f>(D346*(F346-H346)*G346*K346)/1000000000</f>
        <v>0.888</v>
      </c>
      <c r="W346">
        <f>(((F346-H346)*2+D346)*(G346)*K346)/1000000</f>
        <v>8.32</v>
      </c>
      <c r="AC346">
        <f>(D346+2*$F$5)*F346*G346/1000000000</f>
        <v>2</v>
      </c>
    </row>
    <row r="347">
      <c r="A347" t="str">
        <f>'Data Panjang Balok'!A344</f>
        <v>Lantai Attic</v>
      </c>
      <c r="B347">
        <f>'Data Panjang Balok'!B344</f>
        <v>67</v>
      </c>
      <c r="C347" t="str">
        <f>'Data Panjang Balok'!D344</f>
        <v>B25-4</v>
      </c>
      <c r="D347">
        <f>IF(C347&gt;0,VLOOKUP(C347,'Detail Balok'!$C$11:$AU$110,2,FALSE),0)</f>
        <v>200</v>
      </c>
      <c r="E347" t="str">
        <v>x</v>
      </c>
      <c r="F347">
        <f>IF(C347&gt;0,VLOOKUP(C347,'Detail Balok'!$C$11:$AU$110,3,FALSE),0)</f>
        <v>500</v>
      </c>
      <c r="G347">
        <f>'Data Panjang Balok'!I344</f>
        <v>8150</v>
      </c>
      <c r="H347">
        <f>'Data Panjang Balok'!J344</f>
        <v>130</v>
      </c>
      <c r="J347">
        <f>I347-F347/1000</f>
        <v>-0.5</v>
      </c>
      <c r="K347">
        <f>'Data Panjang Balok'!E344</f>
        <v>1</v>
      </c>
      <c r="L347">
        <f>SUMIFS('Besi Balok'!$AA$23:$AA$12292,'Besi Balok'!$A$23:$A$12292,$A347,'Besi Balok'!$B$23:$B$12292,$B347,'Besi Balok'!$F$23:$F$12292,'REKAP Balok'!L$12)</f>
        <v>0</v>
      </c>
      <c r="M347">
        <f>SUMIFS('Besi Balok'!$AA$23:$AA$12292,'Besi Balok'!$A$23:$A$12292,$A347,'Besi Balok'!$B$23:$B$12292,$B347,'Besi Balok'!$F$23:$F$12292,'REKAP Balok'!M$12)</f>
        <v>0</v>
      </c>
      <c r="N347">
        <f>SUMIFS('Besi Balok'!$AA$23:$AA$12292,'Besi Balok'!$A$23:$A$12292,$A347,'Besi Balok'!$B$23:$B$12292,$B347,'Besi Balok'!$F$23:$F$12292,'REKAP Balok'!N$12)</f>
        <v>61.908930000000005</v>
      </c>
      <c r="O347">
        <f>SUMIFS('Besi Balok'!$AA$23:$AA$12292,'Besi Balok'!$A$23:$A$12292,$A347,'Besi Balok'!$B$23:$B$12292,$B347,'Besi Balok'!$F$23:$F$12292,'REKAP Balok'!O$12)</f>
        <v>0</v>
      </c>
      <c r="P347">
        <f>SUMIFS('Besi Balok'!$AA$23:$AA$12292,'Besi Balok'!$A$23:$A$12292,$A347,'Besi Balok'!$B$23:$B$12292,$B347,'Besi Balok'!$F$23:$F$12292,'REKAP Balok'!P$12)</f>
        <v>129.01322880000004</v>
      </c>
      <c r="Q347">
        <f>SUMIFS('Besi Balok'!$AA$23:$AA$12292,'Besi Balok'!$A$23:$A$12292,$A347,'Besi Balok'!$B$23:$B$12292,$B347,'Besi Balok'!$F$23:$F$12292,'REKAP Balok'!Q$12)</f>
        <v>0</v>
      </c>
      <c r="R347">
        <f>SUMIFS('Besi Balok'!$AA$23:$AA$12292,'Besi Balok'!$A$23:$A$12292,$A347,'Besi Balok'!$B$23:$B$12292,$B347,'Besi Balok'!$F$23:$F$12292,'REKAP Balok'!R$12)</f>
        <v>0</v>
      </c>
      <c r="S347">
        <f>SUMIFS('Besi Balok'!$AA$23:$AA$12292,'Besi Balok'!$A$23:$A$12292,$A347,'Besi Balok'!$B$23:$B$12292,$B347,'Besi Balok'!$F$23:$F$12292,'REKAP Balok'!S$12)</f>
        <v>0</v>
      </c>
      <c r="T347">
        <f>SUMIFS('Besi Balok'!$AA$23:$AA$12292,'Besi Balok'!$A$23:$A$12292,$A347,'Besi Balok'!$B$23:$B$12292,$B347,'Besi Balok'!$F$23:$F$12292,'REKAP Balok'!T$12)</f>
        <v>0</v>
      </c>
      <c r="U347">
        <f>SUM(L347:T347)</f>
        <v>190.92215880000003</v>
      </c>
      <c r="V347">
        <f>(D347*(F347-H347)*G347*K347)/1000000000</f>
        <v>0.6031</v>
      </c>
      <c r="W347">
        <f>(((F347-H347)*2+D347)*(G347)*K347)/1000000</f>
        <v>7.661</v>
      </c>
      <c r="AC347">
        <f>(D347+2*$F$5)*F347*G347/1000000000</f>
        <v>1.63</v>
      </c>
    </row>
    <row r="348">
      <c r="A348" t="str">
        <f>'Data Panjang Balok'!A345</f>
        <v>Lantai Attic</v>
      </c>
      <c r="B348">
        <f>'Data Panjang Balok'!B345</f>
        <v>68</v>
      </c>
      <c r="C348" t="str">
        <f>'Data Panjang Balok'!D345</f>
        <v>B23-2</v>
      </c>
      <c r="D348">
        <f>IF(C348&gt;0,VLOOKUP(C348,'Detail Balok'!$C$11:$AU$110,2,FALSE),0)</f>
        <v>200</v>
      </c>
      <c r="E348" t="str">
        <v>x</v>
      </c>
      <c r="F348">
        <f>IF(C348&gt;0,VLOOKUP(C348,'Detail Balok'!$C$11:$AU$110,3,FALSE),0)</f>
        <v>300</v>
      </c>
      <c r="G348">
        <f>'Data Panjang Balok'!I345</f>
        <v>3300</v>
      </c>
      <c r="H348">
        <f>'Data Panjang Balok'!J345</f>
        <v>130</v>
      </c>
      <c r="J348">
        <f>I348-F348/1000</f>
        <v>-0.3</v>
      </c>
      <c r="K348">
        <f>'Data Panjang Balok'!E345</f>
        <v>1</v>
      </c>
      <c r="L348">
        <f>SUMIFS('Besi Balok'!$AA$23:$AA$12292,'Besi Balok'!$A$23:$A$12292,$A348,'Besi Balok'!$B$23:$B$12292,$B348,'Besi Balok'!$F$23:$F$12292,'REKAP Balok'!L$12)</f>
        <v>0</v>
      </c>
      <c r="M348">
        <f>SUMIFS('Besi Balok'!$AA$23:$AA$12292,'Besi Balok'!$A$23:$A$12292,$A348,'Besi Balok'!$B$23:$B$12292,$B348,'Besi Balok'!$F$23:$F$12292,'REKAP Balok'!M$12)</f>
        <v>9.4970592</v>
      </c>
      <c r="N348">
        <f>SUMIFS('Besi Balok'!$AA$23:$AA$12292,'Besi Balok'!$A$23:$A$12292,$A348,'Besi Balok'!$B$23:$B$12292,$B348,'Besi Balok'!$F$23:$F$12292,'REKAP Balok'!N$12)</f>
        <v>0</v>
      </c>
      <c r="O348">
        <f>SUMIFS('Besi Balok'!$AA$23:$AA$12292,'Besi Balok'!$A$23:$A$12292,$A348,'Besi Balok'!$B$23:$B$12292,$B348,'Besi Balok'!$F$23:$F$12292,'REKAP Balok'!O$12)</f>
        <v>19.954181519999995</v>
      </c>
      <c r="P348">
        <f>SUMIFS('Besi Balok'!$AA$23:$AA$12292,'Besi Balok'!$A$23:$A$12292,$A348,'Besi Balok'!$B$23:$B$12292,$B348,'Besi Balok'!$F$23:$F$12292,'REKAP Balok'!P$12)</f>
        <v>0</v>
      </c>
      <c r="Q348">
        <f>SUMIFS('Besi Balok'!$AA$23:$AA$12292,'Besi Balok'!$A$23:$A$12292,$A348,'Besi Balok'!$B$23:$B$12292,$B348,'Besi Balok'!$F$23:$F$12292,'REKAP Balok'!Q$12)</f>
        <v>0</v>
      </c>
      <c r="R348">
        <f>SUMIFS('Besi Balok'!$AA$23:$AA$12292,'Besi Balok'!$A$23:$A$12292,$A348,'Besi Balok'!$B$23:$B$12292,$B348,'Besi Balok'!$F$23:$F$12292,'REKAP Balok'!R$12)</f>
        <v>0</v>
      </c>
      <c r="S348">
        <f>SUMIFS('Besi Balok'!$AA$23:$AA$12292,'Besi Balok'!$A$23:$A$12292,$A348,'Besi Balok'!$B$23:$B$12292,$B348,'Besi Balok'!$F$23:$F$12292,'REKAP Balok'!S$12)</f>
        <v>0</v>
      </c>
      <c r="T348">
        <f>SUMIFS('Besi Balok'!$AA$23:$AA$12292,'Besi Balok'!$A$23:$A$12292,$A348,'Besi Balok'!$B$23:$B$12292,$B348,'Besi Balok'!$F$23:$F$12292,'REKAP Balok'!T$12)</f>
        <v>0</v>
      </c>
      <c r="U348">
        <f>SUM(L348:T348)</f>
        <v>29.451240719999994</v>
      </c>
      <c r="V348">
        <f>(D348*(F348-H348)*G348*K348)/1000000000</f>
        <v>0.1122</v>
      </c>
      <c r="W348">
        <f>(((F348-H348)*2+D348)*(G348)*K348)/1000000</f>
        <v>1.782</v>
      </c>
      <c r="AC348">
        <f>(D348+2*$F$5)*F348*G348/1000000000</f>
        <v>0.396</v>
      </c>
    </row>
    <row r="349">
      <c r="A349" t="str">
        <f>'Data Panjang Balok'!A346</f>
        <v>Lantai Attic</v>
      </c>
      <c r="B349">
        <f>'Data Panjang Balok'!B346</f>
        <v>69</v>
      </c>
      <c r="C349" t="str">
        <f>'Data Panjang Balok'!D346</f>
        <v>CL26-1</v>
      </c>
      <c r="D349">
        <f>IF(C349&gt;0,VLOOKUP(C349,'Detail Balok'!$C$11:$AU$110,2,FALSE),0)</f>
        <v>200</v>
      </c>
      <c r="E349" t="str">
        <v>x</v>
      </c>
      <c r="F349">
        <f>IF(C349&gt;0,VLOOKUP(C349,'Detail Balok'!$C$11:$AU$110,3,FALSE),0)</f>
        <v>600</v>
      </c>
      <c r="G349">
        <f>'Data Panjang Balok'!I346</f>
        <v>1035</v>
      </c>
      <c r="H349">
        <f>'Data Panjang Balok'!J346</f>
        <v>130</v>
      </c>
      <c r="J349">
        <f>I349-F349/1000</f>
        <v>-0.6</v>
      </c>
      <c r="K349">
        <f>'Data Panjang Balok'!E346</f>
        <v>1</v>
      </c>
      <c r="L349">
        <f>SUMIFS('Besi Balok'!$AA$23:$AA$12292,'Besi Balok'!$A$23:$A$12292,$A349,'Besi Balok'!$B$23:$B$12292,$B349,'Besi Balok'!$F$23:$F$12292,'REKAP Balok'!L$12)</f>
        <v>0</v>
      </c>
      <c r="M349">
        <f>SUMIFS('Besi Balok'!$AA$23:$AA$12292,'Besi Balok'!$A$23:$A$12292,$A349,'Besi Balok'!$B$23:$B$12292,$B349,'Besi Balok'!$F$23:$F$12292,'REKAP Balok'!M$12)</f>
        <v>0</v>
      </c>
      <c r="N349">
        <f>SUMIFS('Besi Balok'!$AA$23:$AA$12292,'Besi Balok'!$A$23:$A$12292,$A349,'Besi Balok'!$B$23:$B$12292,$B349,'Besi Balok'!$F$23:$F$12292,'REKAP Balok'!N$12)</f>
        <v>8.624835000000001</v>
      </c>
      <c r="O349">
        <f>SUMIFS('Besi Balok'!$AA$23:$AA$12292,'Besi Balok'!$A$23:$A$12292,$A349,'Besi Balok'!$B$23:$B$12292,$B349,'Besi Balok'!$F$23:$F$12292,'REKAP Balok'!O$12)</f>
        <v>0</v>
      </c>
      <c r="P349">
        <f>SUMIFS('Besi Balok'!$AA$23:$AA$12292,'Besi Balok'!$A$23:$A$12292,$A349,'Besi Balok'!$B$23:$B$12292,$B349,'Besi Balok'!$F$23:$F$12292,'REKAP Balok'!P$12)</f>
        <v>17.79781248</v>
      </c>
      <c r="Q349">
        <f>SUMIFS('Besi Balok'!$AA$23:$AA$12292,'Besi Balok'!$A$23:$A$12292,$A349,'Besi Balok'!$B$23:$B$12292,$B349,'Besi Balok'!$F$23:$F$12292,'REKAP Balok'!Q$12)</f>
        <v>0</v>
      </c>
      <c r="R349">
        <f>SUMIFS('Besi Balok'!$AA$23:$AA$12292,'Besi Balok'!$A$23:$A$12292,$A349,'Besi Balok'!$B$23:$B$12292,$B349,'Besi Balok'!$F$23:$F$12292,'REKAP Balok'!R$12)</f>
        <v>0</v>
      </c>
      <c r="S349">
        <f>SUMIFS('Besi Balok'!$AA$23:$AA$12292,'Besi Balok'!$A$23:$A$12292,$A349,'Besi Balok'!$B$23:$B$12292,$B349,'Besi Balok'!$F$23:$F$12292,'REKAP Balok'!S$12)</f>
        <v>0</v>
      </c>
      <c r="T349">
        <f>SUMIFS('Besi Balok'!$AA$23:$AA$12292,'Besi Balok'!$A$23:$A$12292,$A349,'Besi Balok'!$B$23:$B$12292,$B349,'Besi Balok'!$F$23:$F$12292,'REKAP Balok'!T$12)</f>
        <v>0</v>
      </c>
      <c r="U349">
        <f>SUM(L349:T349)</f>
        <v>26.422647480000002</v>
      </c>
      <c r="V349">
        <f>(D349*(F349-H349)*G349*K349)/1000000000</f>
        <v>0.09729</v>
      </c>
      <c r="W349">
        <f>(((F349-H349)*2+D349)*(G349)*K349)/1000000</f>
        <v>1.1799</v>
      </c>
      <c r="AC349">
        <f>(D349+2*$F$5)*F349*G349/1000000000</f>
        <v>0.2484</v>
      </c>
    </row>
    <row r="350">
      <c r="A350" t="str">
        <f>'Data Panjang Balok'!A347</f>
        <v>Lantai Attic</v>
      </c>
      <c r="B350">
        <f>'Data Panjang Balok'!B347</f>
        <v>70</v>
      </c>
      <c r="C350" t="str">
        <f>'Data Panjang Balok'!D347</f>
        <v>B25-2</v>
      </c>
      <c r="D350">
        <f>IF(C350&gt;0,VLOOKUP(C350,'Detail Balok'!$C$11:$AU$110,2,FALSE),0)</f>
        <v>200</v>
      </c>
      <c r="E350" t="str">
        <v>x</v>
      </c>
      <c r="F350">
        <f>IF(C350&gt;0,VLOOKUP(C350,'Detail Balok'!$C$11:$AU$110,3,FALSE),0)</f>
        <v>500</v>
      </c>
      <c r="G350">
        <f>'Data Panjang Balok'!I347</f>
        <v>2765</v>
      </c>
      <c r="H350">
        <f>'Data Panjang Balok'!J347</f>
        <v>130</v>
      </c>
      <c r="J350">
        <f>I350-F350/1000</f>
        <v>-0.5</v>
      </c>
      <c r="K350">
        <f>'Data Panjang Balok'!E347</f>
        <v>1</v>
      </c>
      <c r="L350">
        <f>SUMIFS('Besi Balok'!$AA$23:$AA$12292,'Besi Balok'!$A$23:$A$12292,$A350,'Besi Balok'!$B$23:$B$12292,$B350,'Besi Balok'!$F$23:$F$12292,'REKAP Balok'!L$12)</f>
        <v>0</v>
      </c>
      <c r="M350">
        <f>SUMIFS('Besi Balok'!$AA$23:$AA$12292,'Besi Balok'!$A$23:$A$12292,$A350,'Besi Balok'!$B$23:$B$12292,$B350,'Besi Balok'!$F$23:$F$12292,'REKAP Balok'!M$12)</f>
        <v>0</v>
      </c>
      <c r="N350">
        <f>SUMIFS('Besi Balok'!$AA$23:$AA$12292,'Besi Balok'!$A$23:$A$12292,$A350,'Besi Balok'!$B$23:$B$12292,$B350,'Besi Balok'!$F$23:$F$12292,'REKAP Balok'!N$12)</f>
        <v>29.487195</v>
      </c>
      <c r="O350">
        <f>SUMIFS('Besi Balok'!$AA$23:$AA$12292,'Besi Balok'!$A$23:$A$12292,$A350,'Besi Balok'!$B$23:$B$12292,$B350,'Besi Balok'!$F$23:$F$12292,'REKAP Balok'!O$12)</f>
        <v>0</v>
      </c>
      <c r="P350">
        <f>SUMIFS('Besi Balok'!$AA$23:$AA$12292,'Besi Balok'!$A$23:$A$12292,$A350,'Besi Balok'!$B$23:$B$12292,$B350,'Besi Balok'!$F$23:$F$12292,'REKAP Balok'!P$12)</f>
        <v>29.819266560000003</v>
      </c>
      <c r="Q350">
        <f>SUMIFS('Besi Balok'!$AA$23:$AA$12292,'Besi Balok'!$A$23:$A$12292,$A350,'Besi Balok'!$B$23:$B$12292,$B350,'Besi Balok'!$F$23:$F$12292,'REKAP Balok'!Q$12)</f>
        <v>0</v>
      </c>
      <c r="R350">
        <f>SUMIFS('Besi Balok'!$AA$23:$AA$12292,'Besi Balok'!$A$23:$A$12292,$A350,'Besi Balok'!$B$23:$B$12292,$B350,'Besi Balok'!$F$23:$F$12292,'REKAP Balok'!R$12)</f>
        <v>0</v>
      </c>
      <c r="S350">
        <f>SUMIFS('Besi Balok'!$AA$23:$AA$12292,'Besi Balok'!$A$23:$A$12292,$A350,'Besi Balok'!$B$23:$B$12292,$B350,'Besi Balok'!$F$23:$F$12292,'REKAP Balok'!S$12)</f>
        <v>0</v>
      </c>
      <c r="T350">
        <f>SUMIFS('Besi Balok'!$AA$23:$AA$12292,'Besi Balok'!$A$23:$A$12292,$A350,'Besi Balok'!$B$23:$B$12292,$B350,'Besi Balok'!$F$23:$F$12292,'REKAP Balok'!T$12)</f>
        <v>0</v>
      </c>
      <c r="U350">
        <f>SUM(L350:T350)</f>
        <v>59.30646156</v>
      </c>
      <c r="V350">
        <f>(D350*(F350-H350)*G350*K350)/1000000000</f>
        <v>0.20461</v>
      </c>
      <c r="W350">
        <f>(((F350-H350)*2+D350)*(G350)*K350)/1000000</f>
        <v>2.5991</v>
      </c>
      <c r="AC350">
        <f>(D350+2*$F$5)*F350*G350/1000000000</f>
        <v>0.553</v>
      </c>
    </row>
    <row r="351">
      <c r="A351" t="str">
        <f>'Data Panjang Balok'!A348</f>
        <v>Lantai Attic</v>
      </c>
      <c r="B351">
        <f>'Data Panjang Balok'!B348</f>
        <v>71</v>
      </c>
      <c r="C351" t="str">
        <f>'Data Panjang Balok'!D348</f>
        <v>B245-3</v>
      </c>
      <c r="D351">
        <f>IF(C351&gt;0,VLOOKUP(C351,'Detail Balok'!$C$11:$AU$110,2,FALSE),0)</f>
        <v>200</v>
      </c>
      <c r="E351" t="str">
        <v>x</v>
      </c>
      <c r="F351">
        <f>IF(C351&gt;0,VLOOKUP(C351,'Detail Balok'!$C$11:$AU$110,3,FALSE),0)</f>
        <v>450</v>
      </c>
      <c r="G351">
        <f>'Data Panjang Balok'!I348</f>
        <v>2000</v>
      </c>
      <c r="H351">
        <f>'Data Panjang Balok'!J348</f>
        <v>130</v>
      </c>
      <c r="J351">
        <f>I351-F351/1000</f>
        <v>-0.45</v>
      </c>
      <c r="K351">
        <f>'Data Panjang Balok'!E348</f>
        <v>1</v>
      </c>
      <c r="L351">
        <f>SUMIFS('Besi Balok'!$AA$23:$AA$12292,'Besi Balok'!$A$23:$A$12292,$A351,'Besi Balok'!$B$23:$B$12292,$B351,'Besi Balok'!$F$23:$F$12292,'REKAP Balok'!L$12)</f>
        <v>0</v>
      </c>
      <c r="M351">
        <f>SUMIFS('Besi Balok'!$AA$23:$AA$12292,'Besi Balok'!$A$23:$A$12292,$A351,'Besi Balok'!$B$23:$B$12292,$B351,'Besi Balok'!$F$23:$F$12292,'REKAP Balok'!M$12)</f>
        <v>0</v>
      </c>
      <c r="N351">
        <f>SUMIFS('Besi Balok'!$AA$23:$AA$12292,'Besi Balok'!$A$23:$A$12292,$A351,'Besi Balok'!$B$23:$B$12292,$B351,'Besi Balok'!$F$23:$F$12292,'REKAP Balok'!N$12)</f>
        <v>18.784755</v>
      </c>
      <c r="O351">
        <f>SUMIFS('Besi Balok'!$AA$23:$AA$12292,'Besi Balok'!$A$23:$A$12292,$A351,'Besi Balok'!$B$23:$B$12292,$B351,'Besi Balok'!$F$23:$F$12292,'REKAP Balok'!O$12)</f>
        <v>0</v>
      </c>
      <c r="P351">
        <f>SUMIFS('Besi Balok'!$AA$23:$AA$12292,'Besi Balok'!$A$23:$A$12292,$A351,'Besi Balok'!$B$23:$B$12292,$B351,'Besi Balok'!$F$23:$F$12292,'REKAP Balok'!P$12)</f>
        <v>15.05009664</v>
      </c>
      <c r="Q351">
        <f>SUMIFS('Besi Balok'!$AA$23:$AA$12292,'Besi Balok'!$A$23:$A$12292,$A351,'Besi Balok'!$B$23:$B$12292,$B351,'Besi Balok'!$F$23:$F$12292,'REKAP Balok'!Q$12)</f>
        <v>0</v>
      </c>
      <c r="R351">
        <f>SUMIFS('Besi Balok'!$AA$23:$AA$12292,'Besi Balok'!$A$23:$A$12292,$A351,'Besi Balok'!$B$23:$B$12292,$B351,'Besi Balok'!$F$23:$F$12292,'REKAP Balok'!R$12)</f>
        <v>0</v>
      </c>
      <c r="S351">
        <f>SUMIFS('Besi Balok'!$AA$23:$AA$12292,'Besi Balok'!$A$23:$A$12292,$A351,'Besi Balok'!$B$23:$B$12292,$B351,'Besi Balok'!$F$23:$F$12292,'REKAP Balok'!S$12)</f>
        <v>0</v>
      </c>
      <c r="T351">
        <f>SUMIFS('Besi Balok'!$AA$23:$AA$12292,'Besi Balok'!$A$23:$A$12292,$A351,'Besi Balok'!$B$23:$B$12292,$B351,'Besi Balok'!$F$23:$F$12292,'REKAP Balok'!T$12)</f>
        <v>0</v>
      </c>
      <c r="U351">
        <f>SUM(L351:T351)</f>
        <v>33.83485164</v>
      </c>
      <c r="V351">
        <f>(D351*(F351-H351)*G351*K351)/1000000000</f>
        <v>0.128</v>
      </c>
      <c r="W351">
        <f>(((F351-H351)*2+D351)*(G351)*K351)/1000000</f>
        <v>1.68</v>
      </c>
      <c r="AC351">
        <f>(D351+2*$F$5)*F351*G351/1000000000</f>
        <v>0.36</v>
      </c>
    </row>
    <row r="352">
      <c r="A352" t="str">
        <f>'Data Panjang Balok'!A349</f>
        <v>Lantai Attic</v>
      </c>
      <c r="B352">
        <f>'Data Panjang Balok'!B349</f>
        <v>72</v>
      </c>
      <c r="C352" t="str">
        <f>'Data Panjang Balok'!D349</f>
        <v>B175-1</v>
      </c>
      <c r="D352">
        <f>IF(C352&gt;0,VLOOKUP(C352,'Detail Balok'!$C$11:$AU$110,2,FALSE),0)</f>
        <v>170</v>
      </c>
      <c r="E352" t="str">
        <v>x</v>
      </c>
      <c r="F352">
        <f>IF(C352&gt;0,VLOOKUP(C352,'Detail Balok'!$C$11:$AU$110,3,FALSE),0)</f>
        <v>500</v>
      </c>
      <c r="G352">
        <f>'Data Panjang Balok'!I349</f>
        <v>3650</v>
      </c>
      <c r="H352">
        <f>'Data Panjang Balok'!J349</f>
        <v>150</v>
      </c>
      <c r="J352">
        <f>I352-F352/1000</f>
        <v>-0.5</v>
      </c>
      <c r="K352">
        <f>'Data Panjang Balok'!E349</f>
        <v>1</v>
      </c>
      <c r="L352">
        <f>SUMIFS('Besi Balok'!$AA$23:$AA$12292,'Besi Balok'!$A$23:$A$12292,$A352,'Besi Balok'!$B$23:$B$12292,$B352,'Besi Balok'!$F$23:$F$12292,'REKAP Balok'!L$12)</f>
        <v>0</v>
      </c>
      <c r="M352">
        <f>SUMIFS('Besi Balok'!$AA$23:$AA$12292,'Besi Balok'!$A$23:$A$12292,$A352,'Besi Balok'!$B$23:$B$12292,$B352,'Besi Balok'!$F$23:$F$12292,'REKAP Balok'!M$12)</f>
        <v>0</v>
      </c>
      <c r="N352">
        <f>SUMIFS('Besi Balok'!$AA$23:$AA$12292,'Besi Balok'!$A$23:$A$12292,$A352,'Besi Balok'!$B$23:$B$12292,$B352,'Besi Balok'!$F$23:$F$12292,'REKAP Balok'!N$12)</f>
        <v>30.76335</v>
      </c>
      <c r="O352">
        <f>SUMIFS('Besi Balok'!$AA$23:$AA$12292,'Besi Balok'!$A$23:$A$12292,$A352,'Besi Balok'!$B$23:$B$12292,$B352,'Besi Balok'!$F$23:$F$12292,'REKAP Balok'!O$12)</f>
        <v>16.511793479999998</v>
      </c>
      <c r="P352">
        <f>SUMIFS('Besi Balok'!$AA$23:$AA$12292,'Besi Balok'!$A$23:$A$12292,$A352,'Besi Balok'!$B$23:$B$12292,$B352,'Besi Balok'!$F$23:$F$12292,'REKAP Balok'!P$12)</f>
        <v>0</v>
      </c>
      <c r="Q352">
        <f>SUMIFS('Besi Balok'!$AA$23:$AA$12292,'Besi Balok'!$A$23:$A$12292,$A352,'Besi Balok'!$B$23:$B$12292,$B352,'Besi Balok'!$F$23:$F$12292,'REKAP Balok'!Q$12)</f>
        <v>0</v>
      </c>
      <c r="R352">
        <f>SUMIFS('Besi Balok'!$AA$23:$AA$12292,'Besi Balok'!$A$23:$A$12292,$A352,'Besi Balok'!$B$23:$B$12292,$B352,'Besi Balok'!$F$23:$F$12292,'REKAP Balok'!R$12)</f>
        <v>0</v>
      </c>
      <c r="S352">
        <f>SUMIFS('Besi Balok'!$AA$23:$AA$12292,'Besi Balok'!$A$23:$A$12292,$A352,'Besi Balok'!$B$23:$B$12292,$B352,'Besi Balok'!$F$23:$F$12292,'REKAP Balok'!S$12)</f>
        <v>0</v>
      </c>
      <c r="T352">
        <f>SUMIFS('Besi Balok'!$AA$23:$AA$12292,'Besi Balok'!$A$23:$A$12292,$A352,'Besi Balok'!$B$23:$B$12292,$B352,'Besi Balok'!$F$23:$F$12292,'REKAP Balok'!T$12)</f>
        <v>0</v>
      </c>
      <c r="U352">
        <f>SUM(L352:T352)</f>
        <v>47.27514348</v>
      </c>
      <c r="V352">
        <f>(D352*(F352-H352)*G352*K352)/1000000000</f>
        <v>0.217175</v>
      </c>
      <c r="W352">
        <f>(((F352-H352)*2+D352)*(G352)*K352)/1000000</f>
        <v>3.1755</v>
      </c>
      <c r="AC352">
        <f>(D352+2*$F$5)*F352*G352/1000000000</f>
        <v>0.67525</v>
      </c>
    </row>
    <row r="353">
      <c r="A353" t="str">
        <f>'Data Panjang Balok'!A350</f>
        <v>Lantai Attic</v>
      </c>
      <c r="B353">
        <f>'Data Panjang Balok'!B350</f>
        <v>73</v>
      </c>
      <c r="C353" t="str">
        <f>'Data Panjang Balok'!D350</f>
        <v>B175-2</v>
      </c>
      <c r="D353">
        <f>IF(C353&gt;0,VLOOKUP(C353,'Detail Balok'!$C$11:$AU$110,2,FALSE),0)</f>
        <v>170</v>
      </c>
      <c r="E353" t="str">
        <v>x</v>
      </c>
      <c r="F353">
        <f>IF(C353&gt;0,VLOOKUP(C353,'Detail Balok'!$C$11:$AU$110,3,FALSE),0)</f>
        <v>500</v>
      </c>
      <c r="G353">
        <f>'Data Panjang Balok'!I350</f>
        <v>4300</v>
      </c>
      <c r="H353">
        <f>'Data Panjang Balok'!J350</f>
        <v>0</v>
      </c>
      <c r="J353">
        <f>I353-F353/1000</f>
        <v>-0.5</v>
      </c>
      <c r="K353">
        <f>'Data Panjang Balok'!E350</f>
        <v>1</v>
      </c>
      <c r="L353">
        <f>SUMIFS('Besi Balok'!$AA$23:$AA$12292,'Besi Balok'!$A$23:$A$12292,$A353,'Besi Balok'!$B$23:$B$12292,$B353,'Besi Balok'!$F$23:$F$12292,'REKAP Balok'!L$12)</f>
        <v>0</v>
      </c>
      <c r="M353">
        <f>SUMIFS('Besi Balok'!$AA$23:$AA$12292,'Besi Balok'!$A$23:$A$12292,$A353,'Besi Balok'!$B$23:$B$12292,$B353,'Besi Balok'!$F$23:$F$12292,'REKAP Balok'!M$12)</f>
        <v>0</v>
      </c>
      <c r="N353">
        <f>SUMIFS('Besi Balok'!$AA$23:$AA$12292,'Besi Balok'!$A$23:$A$12292,$A353,'Besi Balok'!$B$23:$B$12292,$B353,'Besi Balok'!$F$23:$F$12292,'REKAP Balok'!N$12)</f>
        <v>33.728715</v>
      </c>
      <c r="O353">
        <f>SUMIFS('Besi Balok'!$AA$23:$AA$12292,'Besi Balok'!$A$23:$A$12292,$A353,'Besi Balok'!$B$23:$B$12292,$B353,'Besi Balok'!$F$23:$F$12292,'REKAP Balok'!O$12)</f>
        <v>34.571828069999995</v>
      </c>
      <c r="P353">
        <f>SUMIFS('Besi Balok'!$AA$23:$AA$12292,'Besi Balok'!$A$23:$A$12292,$A353,'Besi Balok'!$B$23:$B$12292,$B353,'Besi Balok'!$F$23:$F$12292,'REKAP Balok'!P$12)</f>
        <v>0</v>
      </c>
      <c r="Q353">
        <f>SUMIFS('Besi Balok'!$AA$23:$AA$12292,'Besi Balok'!$A$23:$A$12292,$A353,'Besi Balok'!$B$23:$B$12292,$B353,'Besi Balok'!$F$23:$F$12292,'REKAP Balok'!Q$12)</f>
        <v>0</v>
      </c>
      <c r="R353">
        <f>SUMIFS('Besi Balok'!$AA$23:$AA$12292,'Besi Balok'!$A$23:$A$12292,$A353,'Besi Balok'!$B$23:$B$12292,$B353,'Besi Balok'!$F$23:$F$12292,'REKAP Balok'!R$12)</f>
        <v>0</v>
      </c>
      <c r="S353">
        <f>SUMIFS('Besi Balok'!$AA$23:$AA$12292,'Besi Balok'!$A$23:$A$12292,$A353,'Besi Balok'!$B$23:$B$12292,$B353,'Besi Balok'!$F$23:$F$12292,'REKAP Balok'!S$12)</f>
        <v>0</v>
      </c>
      <c r="T353">
        <f>SUMIFS('Besi Balok'!$AA$23:$AA$12292,'Besi Balok'!$A$23:$A$12292,$A353,'Besi Balok'!$B$23:$B$12292,$B353,'Besi Balok'!$F$23:$F$12292,'REKAP Balok'!T$12)</f>
        <v>0</v>
      </c>
      <c r="U353">
        <f>SUM(L353:T353)</f>
        <v>68.30054307</v>
      </c>
      <c r="V353">
        <f>(D353*(F353-H353)*G353*K353)/1000000000</f>
        <v>0.3655</v>
      </c>
      <c r="W353">
        <f>(((F353-H353)*2+D353)*(G353)*K353)/1000000</f>
        <v>5.031</v>
      </c>
      <c r="AC353">
        <f>(D353+2*$F$5)*F353*G353/1000000000</f>
        <v>0.7955</v>
      </c>
    </row>
    <row r="354">
      <c r="A354" t="str">
        <f>'Data Panjang Balok'!A351</f>
        <v>Lantai Attic</v>
      </c>
      <c r="B354">
        <f>'Data Panjang Balok'!B351</f>
        <v>74</v>
      </c>
      <c r="C354" t="str">
        <f>'Data Panjang Balok'!D351</f>
        <v>B175-1</v>
      </c>
      <c r="D354">
        <f>IF(C354&gt;0,VLOOKUP(C354,'Detail Balok'!$C$11:$AU$110,2,FALSE),0)</f>
        <v>170</v>
      </c>
      <c r="E354" t="str">
        <v>x</v>
      </c>
      <c r="F354">
        <f>IF(C354&gt;0,VLOOKUP(C354,'Detail Balok'!$C$11:$AU$110,3,FALSE),0)</f>
        <v>500</v>
      </c>
      <c r="G354">
        <f>'Data Panjang Balok'!I351</f>
        <v>5500</v>
      </c>
      <c r="H354">
        <f>'Data Panjang Balok'!J351</f>
        <v>0</v>
      </c>
      <c r="J354">
        <f>I354-F354/1000</f>
        <v>-0.5</v>
      </c>
      <c r="K354">
        <f>'Data Panjang Balok'!E351</f>
        <v>1</v>
      </c>
      <c r="L354">
        <f>SUMIFS('Besi Balok'!$AA$23:$AA$12292,'Besi Balok'!$A$23:$A$12292,$A354,'Besi Balok'!$B$23:$B$12292,$B354,'Besi Balok'!$F$23:$F$12292,'REKAP Balok'!L$12)</f>
        <v>0</v>
      </c>
      <c r="M354">
        <f>SUMIFS('Besi Balok'!$AA$23:$AA$12292,'Besi Balok'!$A$23:$A$12292,$A354,'Besi Balok'!$B$23:$B$12292,$B354,'Besi Balok'!$F$23:$F$12292,'REKAP Balok'!M$12)</f>
        <v>0</v>
      </c>
      <c r="N354">
        <f>SUMIFS('Besi Balok'!$AA$23:$AA$12292,'Besi Balok'!$A$23:$A$12292,$A354,'Besi Balok'!$B$23:$B$12292,$B354,'Besi Balok'!$F$23:$F$12292,'REKAP Balok'!N$12)</f>
        <v>43.142669999999995</v>
      </c>
      <c r="O354">
        <f>SUMIFS('Besi Balok'!$AA$23:$AA$12292,'Besi Balok'!$A$23:$A$12292,$A354,'Besi Balok'!$B$23:$B$12292,$B354,'Besi Balok'!$F$23:$F$12292,'REKAP Balok'!O$12)</f>
        <v>24.221742479999996</v>
      </c>
      <c r="P354">
        <f>SUMIFS('Besi Balok'!$AA$23:$AA$12292,'Besi Balok'!$A$23:$A$12292,$A354,'Besi Balok'!$B$23:$B$12292,$B354,'Besi Balok'!$F$23:$F$12292,'REKAP Balok'!P$12)</f>
        <v>0</v>
      </c>
      <c r="Q354">
        <f>SUMIFS('Besi Balok'!$AA$23:$AA$12292,'Besi Balok'!$A$23:$A$12292,$A354,'Besi Balok'!$B$23:$B$12292,$B354,'Besi Balok'!$F$23:$F$12292,'REKAP Balok'!Q$12)</f>
        <v>0</v>
      </c>
      <c r="R354">
        <f>SUMIFS('Besi Balok'!$AA$23:$AA$12292,'Besi Balok'!$A$23:$A$12292,$A354,'Besi Balok'!$B$23:$B$12292,$B354,'Besi Balok'!$F$23:$F$12292,'REKAP Balok'!R$12)</f>
        <v>0</v>
      </c>
      <c r="S354">
        <f>SUMIFS('Besi Balok'!$AA$23:$AA$12292,'Besi Balok'!$A$23:$A$12292,$A354,'Besi Balok'!$B$23:$B$12292,$B354,'Besi Balok'!$F$23:$F$12292,'REKAP Balok'!S$12)</f>
        <v>0</v>
      </c>
      <c r="T354">
        <f>SUMIFS('Besi Balok'!$AA$23:$AA$12292,'Besi Balok'!$A$23:$A$12292,$A354,'Besi Balok'!$B$23:$B$12292,$B354,'Besi Balok'!$F$23:$F$12292,'REKAP Balok'!T$12)</f>
        <v>0</v>
      </c>
      <c r="U354">
        <f>SUM(L354:T354)</f>
        <v>67.36441248</v>
      </c>
      <c r="V354">
        <f>(D354*(F354-H354)*G354*K354)/1000000000</f>
        <v>0.4675</v>
      </c>
      <c r="W354">
        <f>(((F354-H354)*2+D354)*(G354)*K354)/1000000</f>
        <v>6.435</v>
      </c>
      <c r="AC354">
        <f>(D354+2*$F$5)*F354*G354/1000000000</f>
        <v>1.0175</v>
      </c>
    </row>
    <row r="355">
      <c r="A355" t="str">
        <f>'Data Panjang Balok'!A352</f>
        <v>Lantai Attic</v>
      </c>
      <c r="B355">
        <f>'Data Panjang Balok'!B352</f>
        <v>75</v>
      </c>
      <c r="C355" t="str">
        <f>'Data Panjang Balok'!D352</f>
        <v>B173-1</v>
      </c>
      <c r="D355">
        <f>IF(C355&gt;0,VLOOKUP(C355,'Detail Balok'!$C$11:$AU$110,2,FALSE),0)</f>
        <v>170</v>
      </c>
      <c r="E355" t="str">
        <v>x</v>
      </c>
      <c r="F355">
        <f>IF(C355&gt;0,VLOOKUP(C355,'Detail Balok'!$C$11:$AU$110,3,FALSE),0)</f>
        <v>300</v>
      </c>
      <c r="G355">
        <f>'Data Panjang Balok'!I352</f>
        <v>3000</v>
      </c>
      <c r="H355">
        <f>'Data Panjang Balok'!J352</f>
        <v>0</v>
      </c>
      <c r="J355">
        <f>I355-F355/1000</f>
        <v>-0.3</v>
      </c>
      <c r="K355">
        <f>'Data Panjang Balok'!E352</f>
        <v>1</v>
      </c>
      <c r="L355">
        <f>SUMIFS('Besi Balok'!$AA$23:$AA$12292,'Besi Balok'!$A$23:$A$12292,$A355,'Besi Balok'!$B$23:$B$12292,$B355,'Besi Balok'!$F$23:$F$12292,'REKAP Balok'!L$12)</f>
        <v>0</v>
      </c>
      <c r="M355">
        <f>SUMIFS('Besi Balok'!$AA$23:$AA$12292,'Besi Balok'!$A$23:$A$12292,$A355,'Besi Balok'!$B$23:$B$12292,$B355,'Besi Balok'!$F$23:$F$12292,'REKAP Balok'!M$12)</f>
        <v>8.5067136</v>
      </c>
      <c r="N355">
        <f>SUMIFS('Besi Balok'!$AA$23:$AA$12292,'Besi Balok'!$A$23:$A$12292,$A355,'Besi Balok'!$B$23:$B$12292,$B355,'Besi Balok'!$F$23:$F$12292,'REKAP Balok'!N$12)</f>
        <v>0</v>
      </c>
      <c r="O355">
        <f>SUMIFS('Besi Balok'!$AA$23:$AA$12292,'Besi Balok'!$A$23:$A$12292,$A355,'Besi Balok'!$B$23:$B$12292,$B355,'Besi Balok'!$F$23:$F$12292,'REKAP Balok'!O$12)</f>
        <v>13.80289248</v>
      </c>
      <c r="P355">
        <f>SUMIFS('Besi Balok'!$AA$23:$AA$12292,'Besi Balok'!$A$23:$A$12292,$A355,'Besi Balok'!$B$23:$B$12292,$B355,'Besi Balok'!$F$23:$F$12292,'REKAP Balok'!P$12)</f>
        <v>0</v>
      </c>
      <c r="Q355">
        <f>SUMIFS('Besi Balok'!$AA$23:$AA$12292,'Besi Balok'!$A$23:$A$12292,$A355,'Besi Balok'!$B$23:$B$12292,$B355,'Besi Balok'!$F$23:$F$12292,'REKAP Balok'!Q$12)</f>
        <v>0</v>
      </c>
      <c r="R355">
        <f>SUMIFS('Besi Balok'!$AA$23:$AA$12292,'Besi Balok'!$A$23:$A$12292,$A355,'Besi Balok'!$B$23:$B$12292,$B355,'Besi Balok'!$F$23:$F$12292,'REKAP Balok'!R$12)</f>
        <v>0</v>
      </c>
      <c r="S355">
        <f>SUMIFS('Besi Balok'!$AA$23:$AA$12292,'Besi Balok'!$A$23:$A$12292,$A355,'Besi Balok'!$B$23:$B$12292,$B355,'Besi Balok'!$F$23:$F$12292,'REKAP Balok'!S$12)</f>
        <v>0</v>
      </c>
      <c r="T355">
        <f>SUMIFS('Besi Balok'!$AA$23:$AA$12292,'Besi Balok'!$A$23:$A$12292,$A355,'Besi Balok'!$B$23:$B$12292,$B355,'Besi Balok'!$F$23:$F$12292,'REKAP Balok'!T$12)</f>
        <v>0</v>
      </c>
      <c r="U355">
        <f>SUM(L355:T355)</f>
        <v>22.309606080000002</v>
      </c>
      <c r="V355">
        <f>(D355*(F355-H355)*G355*K355)/1000000000</f>
        <v>0.153</v>
      </c>
      <c r="W355">
        <f>(((F355-H355)*2+D355)*(G355)*K355)/1000000</f>
        <v>2.31</v>
      </c>
      <c r="AC355">
        <f>(D355+2*$F$5)*F355*G355/1000000000</f>
        <v>0.333</v>
      </c>
    </row>
    <row r="356">
      <c r="A356" t="str">
        <f>'Data Panjang Balok'!A353</f>
        <v>Lantai Attic</v>
      </c>
      <c r="B356">
        <f>'Data Panjang Balok'!B353</f>
        <v>76</v>
      </c>
      <c r="C356" t="str">
        <f>'Data Panjang Balok'!D353</f>
        <v>B173-1</v>
      </c>
      <c r="D356">
        <f>IF(C356&gt;0,VLOOKUP(C356,'Detail Balok'!$C$11:$AU$110,2,FALSE),0)</f>
        <v>170</v>
      </c>
      <c r="E356" t="str">
        <v>x</v>
      </c>
      <c r="F356">
        <f>IF(C356&gt;0,VLOOKUP(C356,'Detail Balok'!$C$11:$AU$110,3,FALSE),0)</f>
        <v>300</v>
      </c>
      <c r="G356">
        <f>'Data Panjang Balok'!I353</f>
        <v>2300</v>
      </c>
      <c r="H356">
        <f>'Data Panjang Balok'!J353</f>
        <v>130</v>
      </c>
      <c r="J356">
        <f>I356-F356/1000</f>
        <v>-0.3</v>
      </c>
      <c r="K356">
        <f>'Data Panjang Balok'!E353</f>
        <v>1</v>
      </c>
      <c r="L356">
        <f>SUMIFS('Besi Balok'!$AA$23:$AA$12292,'Besi Balok'!$A$23:$A$12292,$A356,'Besi Balok'!$B$23:$B$12292,$B356,'Besi Balok'!$F$23:$F$12292,'REKAP Balok'!L$12)</f>
        <v>0</v>
      </c>
      <c r="M356">
        <f>SUMIFS('Besi Balok'!$AA$23:$AA$12292,'Besi Balok'!$A$23:$A$12292,$A356,'Besi Balok'!$B$23:$B$12292,$B356,'Besi Balok'!$F$23:$F$12292,'REKAP Balok'!M$12)</f>
        <v>6.3800352</v>
      </c>
      <c r="N356">
        <f>SUMIFS('Besi Balok'!$AA$23:$AA$12292,'Besi Balok'!$A$23:$A$12292,$A356,'Besi Balok'!$B$23:$B$12292,$B356,'Besi Balok'!$F$23:$F$12292,'REKAP Balok'!N$12)</f>
        <v>0</v>
      </c>
      <c r="O356">
        <f>SUMIFS('Besi Balok'!$AA$23:$AA$12292,'Besi Balok'!$A$23:$A$12292,$A356,'Besi Balok'!$B$23:$B$12292,$B356,'Besi Balok'!$F$23:$F$12292,'REKAP Balok'!O$12)</f>
        <v>10.885614479999997</v>
      </c>
      <c r="P356">
        <f>SUMIFS('Besi Balok'!$AA$23:$AA$12292,'Besi Balok'!$A$23:$A$12292,$A356,'Besi Balok'!$B$23:$B$12292,$B356,'Besi Balok'!$F$23:$F$12292,'REKAP Balok'!P$12)</f>
        <v>0</v>
      </c>
      <c r="Q356">
        <f>SUMIFS('Besi Balok'!$AA$23:$AA$12292,'Besi Balok'!$A$23:$A$12292,$A356,'Besi Balok'!$B$23:$B$12292,$B356,'Besi Balok'!$F$23:$F$12292,'REKAP Balok'!Q$12)</f>
        <v>0</v>
      </c>
      <c r="R356">
        <f>SUMIFS('Besi Balok'!$AA$23:$AA$12292,'Besi Balok'!$A$23:$A$12292,$A356,'Besi Balok'!$B$23:$B$12292,$B356,'Besi Balok'!$F$23:$F$12292,'REKAP Balok'!R$12)</f>
        <v>0</v>
      </c>
      <c r="S356">
        <f>SUMIFS('Besi Balok'!$AA$23:$AA$12292,'Besi Balok'!$A$23:$A$12292,$A356,'Besi Balok'!$B$23:$B$12292,$B356,'Besi Balok'!$F$23:$F$12292,'REKAP Balok'!S$12)</f>
        <v>0</v>
      </c>
      <c r="T356">
        <f>SUMIFS('Besi Balok'!$AA$23:$AA$12292,'Besi Balok'!$A$23:$A$12292,$A356,'Besi Balok'!$B$23:$B$12292,$B356,'Besi Balok'!$F$23:$F$12292,'REKAP Balok'!T$12)</f>
        <v>0</v>
      </c>
      <c r="U356">
        <f>SUM(L356:T356)</f>
        <v>17.265649679999996</v>
      </c>
      <c r="V356">
        <f>(D356*(F356-H356)*G356*K356)/1000000000</f>
        <v>0.06647</v>
      </c>
      <c r="W356">
        <f>(((F356-H356)*2+D356)*(G356)*K356)/1000000</f>
        <v>1.173</v>
      </c>
      <c r="AC356">
        <f>(D356+2*$F$5)*F356*G356/1000000000</f>
        <v>0.2553</v>
      </c>
    </row>
    <row r="357">
      <c r="A357" t="str">
        <f>'Data Panjang Balok'!A354</f>
        <v>Lantai Attic</v>
      </c>
      <c r="B357">
        <f>'Data Panjang Balok'!B354</f>
        <v>77</v>
      </c>
      <c r="C357" t="str">
        <f>'Data Panjang Balok'!D354</f>
        <v>B175-1</v>
      </c>
      <c r="D357">
        <f>IF(C357&gt;0,VLOOKUP(C357,'Detail Balok'!$C$11:$AU$110,2,FALSE),0)</f>
        <v>170</v>
      </c>
      <c r="E357" t="str">
        <v>x</v>
      </c>
      <c r="F357">
        <f>IF(C357&gt;0,VLOOKUP(C357,'Detail Balok'!$C$11:$AU$110,3,FALSE),0)</f>
        <v>500</v>
      </c>
      <c r="G357">
        <f>'Data Panjang Balok'!I354</f>
        <v>5700</v>
      </c>
      <c r="H357">
        <f>'Data Panjang Balok'!J354</f>
        <v>0</v>
      </c>
      <c r="J357">
        <f>I357-F357/1000</f>
        <v>-0.5</v>
      </c>
      <c r="K357">
        <f>'Data Panjang Balok'!E354</f>
        <v>1</v>
      </c>
      <c r="L357">
        <f>SUMIFS('Besi Balok'!$AA$23:$AA$12292,'Besi Balok'!$A$23:$A$12292,$A357,'Besi Balok'!$B$23:$B$12292,$B357,'Besi Balok'!$F$23:$F$12292,'REKAP Balok'!L$12)</f>
        <v>0</v>
      </c>
      <c r="M357">
        <f>SUMIFS('Besi Balok'!$AA$23:$AA$12292,'Besi Balok'!$A$23:$A$12292,$A357,'Besi Balok'!$B$23:$B$12292,$B357,'Besi Balok'!$F$23:$F$12292,'REKAP Balok'!M$12)</f>
        <v>0</v>
      </c>
      <c r="N357">
        <f>SUMIFS('Besi Balok'!$AA$23:$AA$12292,'Besi Balok'!$A$23:$A$12292,$A357,'Besi Balok'!$B$23:$B$12292,$B357,'Besi Balok'!$F$23:$F$12292,'REKAP Balok'!N$12)</f>
        <v>44.83188</v>
      </c>
      <c r="O357">
        <f>SUMIFS('Besi Balok'!$AA$23:$AA$12292,'Besi Balok'!$A$23:$A$12292,$A357,'Besi Balok'!$B$23:$B$12292,$B357,'Besi Balok'!$F$23:$F$12292,'REKAP Balok'!O$12)</f>
        <v>25.05525048</v>
      </c>
      <c r="P357">
        <f>SUMIFS('Besi Balok'!$AA$23:$AA$12292,'Besi Balok'!$A$23:$A$12292,$A357,'Besi Balok'!$B$23:$B$12292,$B357,'Besi Balok'!$F$23:$F$12292,'REKAP Balok'!P$12)</f>
        <v>0</v>
      </c>
      <c r="Q357">
        <f>SUMIFS('Besi Balok'!$AA$23:$AA$12292,'Besi Balok'!$A$23:$A$12292,$A357,'Besi Balok'!$B$23:$B$12292,$B357,'Besi Balok'!$F$23:$F$12292,'REKAP Balok'!Q$12)</f>
        <v>0</v>
      </c>
      <c r="R357">
        <f>SUMIFS('Besi Balok'!$AA$23:$AA$12292,'Besi Balok'!$A$23:$A$12292,$A357,'Besi Balok'!$B$23:$B$12292,$B357,'Besi Balok'!$F$23:$F$12292,'REKAP Balok'!R$12)</f>
        <v>0</v>
      </c>
      <c r="S357">
        <f>SUMIFS('Besi Balok'!$AA$23:$AA$12292,'Besi Balok'!$A$23:$A$12292,$A357,'Besi Balok'!$B$23:$B$12292,$B357,'Besi Balok'!$F$23:$F$12292,'REKAP Balok'!S$12)</f>
        <v>0</v>
      </c>
      <c r="T357">
        <f>SUMIFS('Besi Balok'!$AA$23:$AA$12292,'Besi Balok'!$A$23:$A$12292,$A357,'Besi Balok'!$B$23:$B$12292,$B357,'Besi Balok'!$F$23:$F$12292,'REKAP Balok'!T$12)</f>
        <v>0</v>
      </c>
      <c r="U357">
        <f>SUM(L357:T357)</f>
        <v>69.88713048</v>
      </c>
      <c r="V357">
        <f>(D357*(F357-H357)*G357*K357)/1000000000</f>
        <v>0.4845</v>
      </c>
      <c r="W357">
        <f>(((F357-H357)*2+D357)*(G357)*K357)/1000000</f>
        <v>6.669</v>
      </c>
      <c r="AC357">
        <f>(D357+2*$F$5)*F357*G357/1000000000</f>
        <v>1.0545</v>
      </c>
    </row>
    <row r="359">
      <c r="A359" t="str">
        <f>'Data Panjang Balok'!A356</f>
        <v>Lantai Atap</v>
      </c>
      <c r="B359">
        <f>'Data Panjang Balok'!B356</f>
        <v>1</v>
      </c>
      <c r="C359" t="str">
        <f>'Data Panjang Balok'!D356</f>
        <v>B174-1</v>
      </c>
      <c r="D359">
        <f>IF(C359&gt;0,VLOOKUP(C359,'Detail Balok'!$C$11:$AU$110,2,FALSE),0)</f>
        <v>170</v>
      </c>
      <c r="E359" t="str">
        <v>x</v>
      </c>
      <c r="F359">
        <f>IF(C359&gt;0,VLOOKUP(C359,'Detail Balok'!$C$11:$AU$110,3,FALSE),0)</f>
        <v>400</v>
      </c>
      <c r="G359">
        <f>'Data Panjang Balok'!I356</f>
        <v>3500</v>
      </c>
      <c r="H359">
        <f>'Data Panjang Balok'!J356</f>
        <v>0</v>
      </c>
      <c r="J359">
        <f>I359-F359/1000</f>
        <v>-0.4</v>
      </c>
      <c r="K359">
        <f>'Data Panjang Balok'!E356</f>
        <v>1</v>
      </c>
      <c r="L359">
        <f>SUMIFS('Besi Balok'!$AA$23:$AA$12292,'Besi Balok'!$A$23:$A$12292,$A359,'Besi Balok'!$B$23:$B$12292,$B359,'Besi Balok'!$F$23:$F$12292,'REKAP Balok'!L$12)</f>
        <v>0</v>
      </c>
      <c r="M359">
        <f>SUMIFS('Besi Balok'!$AA$23:$AA$12292,'Besi Balok'!$A$23:$A$12292,$A359,'Besi Balok'!$B$23:$B$12292,$B359,'Besi Balok'!$F$23:$F$12292,'REKAP Balok'!M$12)</f>
        <v>0</v>
      </c>
      <c r="N359">
        <f>SUMIFS('Besi Balok'!$AA$23:$AA$12292,'Besi Balok'!$A$23:$A$12292,$A359,'Besi Balok'!$B$23:$B$12292,$B359,'Besi Balok'!$F$23:$F$12292,'REKAP Balok'!N$12)</f>
        <v>17.342145000000002</v>
      </c>
      <c r="O359">
        <f>SUMIFS('Besi Balok'!$AA$23:$AA$12292,'Besi Balok'!$A$23:$A$12292,$A359,'Besi Balok'!$B$23:$B$12292,$B359,'Besi Balok'!$F$23:$F$12292,'REKAP Balok'!O$12)</f>
        <v>15.886662479999996</v>
      </c>
      <c r="P359">
        <f>SUMIFS('Besi Balok'!$AA$23:$AA$12292,'Besi Balok'!$A$23:$A$12292,$A359,'Besi Balok'!$B$23:$B$12292,$B359,'Besi Balok'!$F$23:$F$12292,'REKAP Balok'!P$12)</f>
        <v>0</v>
      </c>
      <c r="Q359">
        <f>SUMIFS('Besi Balok'!$AA$23:$AA$12292,'Besi Balok'!$A$23:$A$12292,$A359,'Besi Balok'!$B$23:$B$12292,$B359,'Besi Balok'!$F$23:$F$12292,'REKAP Balok'!Q$12)</f>
        <v>0</v>
      </c>
      <c r="R359">
        <f>SUMIFS('Besi Balok'!$AA$23:$AA$12292,'Besi Balok'!$A$23:$A$12292,$A359,'Besi Balok'!$B$23:$B$12292,$B359,'Besi Balok'!$F$23:$F$12292,'REKAP Balok'!R$12)</f>
        <v>0</v>
      </c>
      <c r="S359">
        <f>SUMIFS('Besi Balok'!$AA$23:$AA$12292,'Besi Balok'!$A$23:$A$12292,$A359,'Besi Balok'!$B$23:$B$12292,$B359,'Besi Balok'!$F$23:$F$12292,'REKAP Balok'!S$12)</f>
        <v>0</v>
      </c>
      <c r="T359">
        <f>SUMIFS('Besi Balok'!$AA$23:$AA$12292,'Besi Balok'!$A$23:$A$12292,$A359,'Besi Balok'!$B$23:$B$12292,$B359,'Besi Balok'!$F$23:$F$12292,'REKAP Balok'!T$12)</f>
        <v>0</v>
      </c>
      <c r="U359">
        <f>SUM(L359:T359)</f>
        <v>33.22880748</v>
      </c>
      <c r="V359">
        <f>(D359*(F359-H359)*G359*K359)/1000000000</f>
        <v>0.238</v>
      </c>
      <c r="W359">
        <f>(((F359-H359)*2+D359)*(G359)*K359)/1000000</f>
        <v>3.395</v>
      </c>
      <c r="AC359">
        <f>(D359+2*$F$5)*F359*G359/1000000000</f>
        <v>0.518</v>
      </c>
    </row>
    <row r="360">
      <c r="A360" t="str">
        <f>'Data Panjang Balok'!A357</f>
        <v>Lantai Atap</v>
      </c>
      <c r="B360">
        <f>'Data Panjang Balok'!B357</f>
        <v>2</v>
      </c>
      <c r="C360" t="str">
        <f>'Data Panjang Balok'!D357</f>
        <v>B174-1</v>
      </c>
      <c r="D360">
        <f>IF(C360&gt;0,VLOOKUP(C360,'Detail Balok'!$C$11:$AU$110,2,FALSE),0)</f>
        <v>170</v>
      </c>
      <c r="E360" t="str">
        <v>x</v>
      </c>
      <c r="F360">
        <f>IF(C360&gt;0,VLOOKUP(C360,'Detail Balok'!$C$11:$AU$110,3,FALSE),0)</f>
        <v>400</v>
      </c>
      <c r="G360">
        <f>'Data Panjang Balok'!I357</f>
        <v>3500</v>
      </c>
      <c r="H360">
        <f>'Data Panjang Balok'!J357</f>
        <v>0</v>
      </c>
      <c r="J360">
        <f>I360-F360/1000</f>
        <v>-0.4</v>
      </c>
      <c r="K360">
        <f>'Data Panjang Balok'!E357</f>
        <v>1</v>
      </c>
      <c r="L360">
        <f>SUMIFS('Besi Balok'!$AA$23:$AA$12292,'Besi Balok'!$A$23:$A$12292,$A360,'Besi Balok'!$B$23:$B$12292,$B360,'Besi Balok'!$F$23:$F$12292,'REKAP Balok'!L$12)</f>
        <v>0</v>
      </c>
      <c r="M360">
        <f>SUMIFS('Besi Balok'!$AA$23:$AA$12292,'Besi Balok'!$A$23:$A$12292,$A360,'Besi Balok'!$B$23:$B$12292,$B360,'Besi Balok'!$F$23:$F$12292,'REKAP Balok'!M$12)</f>
        <v>0</v>
      </c>
      <c r="N360">
        <f>SUMIFS('Besi Balok'!$AA$23:$AA$12292,'Besi Balok'!$A$23:$A$12292,$A360,'Besi Balok'!$B$23:$B$12292,$B360,'Besi Balok'!$F$23:$F$12292,'REKAP Balok'!N$12)</f>
        <v>17.342145000000002</v>
      </c>
      <c r="O360">
        <f>SUMIFS('Besi Balok'!$AA$23:$AA$12292,'Besi Balok'!$A$23:$A$12292,$A360,'Besi Balok'!$B$23:$B$12292,$B360,'Besi Balok'!$F$23:$F$12292,'REKAP Balok'!O$12)</f>
        <v>15.886662479999996</v>
      </c>
      <c r="P360">
        <f>SUMIFS('Besi Balok'!$AA$23:$AA$12292,'Besi Balok'!$A$23:$A$12292,$A360,'Besi Balok'!$B$23:$B$12292,$B360,'Besi Balok'!$F$23:$F$12292,'REKAP Balok'!P$12)</f>
        <v>0</v>
      </c>
      <c r="Q360">
        <f>SUMIFS('Besi Balok'!$AA$23:$AA$12292,'Besi Balok'!$A$23:$A$12292,$A360,'Besi Balok'!$B$23:$B$12292,$B360,'Besi Balok'!$F$23:$F$12292,'REKAP Balok'!Q$12)</f>
        <v>0</v>
      </c>
      <c r="R360">
        <f>SUMIFS('Besi Balok'!$AA$23:$AA$12292,'Besi Balok'!$A$23:$A$12292,$A360,'Besi Balok'!$B$23:$B$12292,$B360,'Besi Balok'!$F$23:$F$12292,'REKAP Balok'!R$12)</f>
        <v>0</v>
      </c>
      <c r="S360">
        <f>SUMIFS('Besi Balok'!$AA$23:$AA$12292,'Besi Balok'!$A$23:$A$12292,$A360,'Besi Balok'!$B$23:$B$12292,$B360,'Besi Balok'!$F$23:$F$12292,'REKAP Balok'!S$12)</f>
        <v>0</v>
      </c>
      <c r="T360">
        <f>SUMIFS('Besi Balok'!$AA$23:$AA$12292,'Besi Balok'!$A$23:$A$12292,$A360,'Besi Balok'!$B$23:$B$12292,$B360,'Besi Balok'!$F$23:$F$12292,'REKAP Balok'!T$12)</f>
        <v>0</v>
      </c>
      <c r="U360">
        <f>SUM(L360:T360)</f>
        <v>33.22880748</v>
      </c>
      <c r="V360">
        <f>(D360*(F360-H360)*G360*K360)/1000000000</f>
        <v>0.238</v>
      </c>
      <c r="W360">
        <f>(((F360-H360)*2+D360)*(G360)*K360)/1000000</f>
        <v>3.395</v>
      </c>
      <c r="AC360">
        <f>(D360+2*$F$5)*F360*G360/1000000000</f>
        <v>0.518</v>
      </c>
    </row>
    <row r="361">
      <c r="A361" t="str">
        <f>'Data Panjang Balok'!A358</f>
        <v>Lantai Atap</v>
      </c>
      <c r="B361">
        <f>'Data Panjang Balok'!B358</f>
        <v>3</v>
      </c>
      <c r="C361" t="str">
        <f>'Data Panjang Balok'!D358</f>
        <v>B245-1</v>
      </c>
      <c r="D361">
        <f>IF(C361&gt;0,VLOOKUP(C361,'Detail Balok'!$C$11:$AU$110,2,FALSE),0)</f>
        <v>200</v>
      </c>
      <c r="E361" t="str">
        <v>x</v>
      </c>
      <c r="F361">
        <f>IF(C361&gt;0,VLOOKUP(C361,'Detail Balok'!$C$11:$AU$110,3,FALSE),0)</f>
        <v>450</v>
      </c>
      <c r="G361">
        <f>'Data Panjang Balok'!I358</f>
        <v>6000</v>
      </c>
      <c r="H361">
        <f>'Data Panjang Balok'!J358</f>
        <v>0</v>
      </c>
      <c r="J361">
        <f>I361-F361/1000</f>
        <v>-0.45</v>
      </c>
      <c r="K361">
        <f>'Data Panjang Balok'!E358</f>
        <v>1</v>
      </c>
      <c r="L361">
        <f>SUMIFS('Besi Balok'!$AA$23:$AA$12292,'Besi Balok'!$A$23:$A$12292,$A361,'Besi Balok'!$B$23:$B$12292,$B361,'Besi Balok'!$F$23:$F$12292,'REKAP Balok'!L$12)</f>
        <v>0</v>
      </c>
      <c r="M361">
        <f>SUMIFS('Besi Balok'!$AA$23:$AA$12292,'Besi Balok'!$A$23:$A$12292,$A361,'Besi Balok'!$B$23:$B$12292,$B361,'Besi Balok'!$F$23:$F$12292,'REKAP Balok'!M$12)</f>
        <v>25.841312639999998</v>
      </c>
      <c r="N361">
        <f>SUMIFS('Besi Balok'!$AA$23:$AA$12292,'Besi Balok'!$A$23:$A$12292,$A361,'Besi Balok'!$B$23:$B$12292,$B361,'Besi Balok'!$F$23:$F$12292,'REKAP Balok'!N$12)</f>
        <v>0</v>
      </c>
      <c r="O361">
        <f>SUMIFS('Besi Balok'!$AA$23:$AA$12292,'Besi Balok'!$A$23:$A$12292,$A361,'Besi Balok'!$B$23:$B$12292,$B361,'Besi Balok'!$F$23:$F$12292,'REKAP Balok'!O$12)</f>
        <v>26.305512479999997</v>
      </c>
      <c r="P361">
        <f>SUMIFS('Besi Balok'!$AA$23:$AA$12292,'Besi Balok'!$A$23:$A$12292,$A361,'Besi Balok'!$B$23:$B$12292,$B361,'Besi Balok'!$F$23:$F$12292,'REKAP Balok'!P$12)</f>
        <v>0</v>
      </c>
      <c r="Q361">
        <f>SUMIFS('Besi Balok'!$AA$23:$AA$12292,'Besi Balok'!$A$23:$A$12292,$A361,'Besi Balok'!$B$23:$B$12292,$B361,'Besi Balok'!$F$23:$F$12292,'REKAP Balok'!Q$12)</f>
        <v>0</v>
      </c>
      <c r="R361">
        <f>SUMIFS('Besi Balok'!$AA$23:$AA$12292,'Besi Balok'!$A$23:$A$12292,$A361,'Besi Balok'!$B$23:$B$12292,$B361,'Besi Balok'!$F$23:$F$12292,'REKAP Balok'!R$12)</f>
        <v>0</v>
      </c>
      <c r="S361">
        <f>SUMIFS('Besi Balok'!$AA$23:$AA$12292,'Besi Balok'!$A$23:$A$12292,$A361,'Besi Balok'!$B$23:$B$12292,$B361,'Besi Balok'!$F$23:$F$12292,'REKAP Balok'!S$12)</f>
        <v>0</v>
      </c>
      <c r="T361">
        <f>SUMIFS('Besi Balok'!$AA$23:$AA$12292,'Besi Balok'!$A$23:$A$12292,$A361,'Besi Balok'!$B$23:$B$12292,$B361,'Besi Balok'!$F$23:$F$12292,'REKAP Balok'!T$12)</f>
        <v>0</v>
      </c>
      <c r="U361">
        <f>SUM(L361:T361)</f>
        <v>52.146825119999995</v>
      </c>
      <c r="V361">
        <f>(D361*(F361-H361)*G361*K361)/1000000000</f>
        <v>0.54</v>
      </c>
      <c r="W361">
        <f>(((F361-H361)*2+D361)*(G361)*K361)/1000000</f>
        <v>6.6</v>
      </c>
      <c r="AC361">
        <f>(D361+2*$F$5)*F361*G361/1000000000</f>
        <v>1.08</v>
      </c>
    </row>
    <row r="362">
      <c r="A362" t="str">
        <f>'Data Panjang Balok'!A359</f>
        <v>Lantai Atap</v>
      </c>
      <c r="B362">
        <f>'Data Panjang Balok'!B359</f>
        <v>4</v>
      </c>
      <c r="C362" t="str">
        <f>'Data Panjang Balok'!D359</f>
        <v>B24-1</v>
      </c>
      <c r="D362">
        <f>IF(C362&gt;0,VLOOKUP(C362,'Detail Balok'!$C$11:$AU$110,2,FALSE),0)</f>
        <v>200</v>
      </c>
      <c r="E362" t="str">
        <v>x</v>
      </c>
      <c r="F362">
        <f>IF(C362&gt;0,VLOOKUP(C362,'Detail Balok'!$C$11:$AU$110,3,FALSE),0)</f>
        <v>400</v>
      </c>
      <c r="G362">
        <f>'Data Panjang Balok'!I359</f>
        <v>2200</v>
      </c>
      <c r="H362">
        <f>'Data Panjang Balok'!J359</f>
        <v>150</v>
      </c>
      <c r="J362">
        <f>I362-F362/1000</f>
        <v>-0.4</v>
      </c>
      <c r="K362">
        <f>'Data Panjang Balok'!E359</f>
        <v>1</v>
      </c>
      <c r="L362">
        <f>SUMIFS('Besi Balok'!$AA$23:$AA$12292,'Besi Balok'!$A$23:$A$12292,$A362,'Besi Balok'!$B$23:$B$12292,$B362,'Besi Balok'!$F$23:$F$12292,'REKAP Balok'!L$12)</f>
        <v>0</v>
      </c>
      <c r="M362">
        <f>SUMIFS('Besi Balok'!$AA$23:$AA$12292,'Besi Balok'!$A$23:$A$12292,$A362,'Besi Balok'!$B$23:$B$12292,$B362,'Besi Balok'!$F$23:$F$12292,'REKAP Balok'!M$12)</f>
        <v>8.534332800000001</v>
      </c>
      <c r="N362">
        <f>SUMIFS('Besi Balok'!$AA$23:$AA$12292,'Besi Balok'!$A$23:$A$12292,$A362,'Besi Balok'!$B$23:$B$12292,$B362,'Besi Balok'!$F$23:$F$12292,'REKAP Balok'!N$12)</f>
        <v>0</v>
      </c>
      <c r="O362">
        <f>SUMIFS('Besi Balok'!$AA$23:$AA$12292,'Besi Balok'!$A$23:$A$12292,$A362,'Besi Balok'!$B$23:$B$12292,$B362,'Besi Balok'!$F$23:$F$12292,'REKAP Balok'!O$12)</f>
        <v>10.46886048</v>
      </c>
      <c r="P362">
        <f>SUMIFS('Besi Balok'!$AA$23:$AA$12292,'Besi Balok'!$A$23:$A$12292,$A362,'Besi Balok'!$B$23:$B$12292,$B362,'Besi Balok'!$F$23:$F$12292,'REKAP Balok'!P$12)</f>
        <v>0</v>
      </c>
      <c r="Q362">
        <f>SUMIFS('Besi Balok'!$AA$23:$AA$12292,'Besi Balok'!$A$23:$A$12292,$A362,'Besi Balok'!$B$23:$B$12292,$B362,'Besi Balok'!$F$23:$F$12292,'REKAP Balok'!Q$12)</f>
        <v>0</v>
      </c>
      <c r="R362">
        <f>SUMIFS('Besi Balok'!$AA$23:$AA$12292,'Besi Balok'!$A$23:$A$12292,$A362,'Besi Balok'!$B$23:$B$12292,$B362,'Besi Balok'!$F$23:$F$12292,'REKAP Balok'!R$12)</f>
        <v>0</v>
      </c>
      <c r="S362">
        <f>SUMIFS('Besi Balok'!$AA$23:$AA$12292,'Besi Balok'!$A$23:$A$12292,$A362,'Besi Balok'!$B$23:$B$12292,$B362,'Besi Balok'!$F$23:$F$12292,'REKAP Balok'!S$12)</f>
        <v>0</v>
      </c>
      <c r="T362">
        <f>SUMIFS('Besi Balok'!$AA$23:$AA$12292,'Besi Balok'!$A$23:$A$12292,$A362,'Besi Balok'!$B$23:$B$12292,$B362,'Besi Balok'!$F$23:$F$12292,'REKAP Balok'!T$12)</f>
        <v>0</v>
      </c>
      <c r="U362">
        <f>SUM(L362:T362)</f>
        <v>19.00319328</v>
      </c>
      <c r="V362">
        <f>(D362*(F362-H362)*G362*K362)/1000000000</f>
        <v>0.11</v>
      </c>
      <c r="W362">
        <f>(((F362-H362)*2+D362)*(G362)*K362)/1000000</f>
        <v>1.54</v>
      </c>
      <c r="AC362">
        <f>(D362+2*$F$5)*F362*G362/1000000000</f>
        <v>0.352</v>
      </c>
    </row>
    <row r="363">
      <c r="A363" t="str">
        <f>'Data Panjang Balok'!A360</f>
        <v>Lantai Atap</v>
      </c>
      <c r="B363">
        <f>'Data Panjang Balok'!B360</f>
        <v>5</v>
      </c>
      <c r="C363" t="str">
        <f>'Data Panjang Balok'!D360</f>
        <v>B1745-1</v>
      </c>
      <c r="D363">
        <f>IF(C363&gt;0,VLOOKUP(C363,'Detail Balok'!$C$11:$AU$110,2,FALSE),0)</f>
        <v>170</v>
      </c>
      <c r="E363" t="str">
        <v>x</v>
      </c>
      <c r="F363">
        <f>IF(C363&gt;0,VLOOKUP(C363,'Detail Balok'!$C$11:$AU$110,3,FALSE),0)</f>
        <v>450</v>
      </c>
      <c r="G363">
        <f>'Data Panjang Balok'!I360</f>
        <v>2800</v>
      </c>
      <c r="H363">
        <f>'Data Panjang Balok'!J360</f>
        <v>150</v>
      </c>
      <c r="J363">
        <f>I363-F363/1000</f>
        <v>-0.45</v>
      </c>
      <c r="K363">
        <f>'Data Panjang Balok'!E360</f>
        <v>1</v>
      </c>
      <c r="L363">
        <f>SUMIFS('Besi Balok'!$AA$23:$AA$12292,'Besi Balok'!$A$23:$A$12292,$A363,'Besi Balok'!$B$23:$B$12292,$B363,'Besi Balok'!$F$23:$F$12292,'REKAP Balok'!L$12)</f>
        <v>0</v>
      </c>
      <c r="M363">
        <f>SUMIFS('Besi Balok'!$AA$23:$AA$12292,'Besi Balok'!$A$23:$A$12292,$A363,'Besi Balok'!$B$23:$B$12292,$B363,'Besi Balok'!$F$23:$F$12292,'REKAP Balok'!M$12)</f>
        <v>18.826035840000003</v>
      </c>
      <c r="N363">
        <f>SUMIFS('Besi Balok'!$AA$23:$AA$12292,'Besi Balok'!$A$23:$A$12292,$A363,'Besi Balok'!$B$23:$B$12292,$B363,'Besi Balok'!$F$23:$F$12292,'REKAP Balok'!N$12)</f>
        <v>0</v>
      </c>
      <c r="O363">
        <f>SUMIFS('Besi Balok'!$AA$23:$AA$12292,'Besi Balok'!$A$23:$A$12292,$A363,'Besi Balok'!$B$23:$B$12292,$B363,'Besi Balok'!$F$23:$F$12292,'REKAP Balok'!O$12)</f>
        <v>12.969384479999999</v>
      </c>
      <c r="P363">
        <f>SUMIFS('Besi Balok'!$AA$23:$AA$12292,'Besi Balok'!$A$23:$A$12292,$A363,'Besi Balok'!$B$23:$B$12292,$B363,'Besi Balok'!$F$23:$F$12292,'REKAP Balok'!P$12)</f>
        <v>0</v>
      </c>
      <c r="Q363">
        <f>SUMIFS('Besi Balok'!$AA$23:$AA$12292,'Besi Balok'!$A$23:$A$12292,$A363,'Besi Balok'!$B$23:$B$12292,$B363,'Besi Balok'!$F$23:$F$12292,'REKAP Balok'!Q$12)</f>
        <v>0</v>
      </c>
      <c r="R363">
        <f>SUMIFS('Besi Balok'!$AA$23:$AA$12292,'Besi Balok'!$A$23:$A$12292,$A363,'Besi Balok'!$B$23:$B$12292,$B363,'Besi Balok'!$F$23:$F$12292,'REKAP Balok'!R$12)</f>
        <v>0</v>
      </c>
      <c r="S363">
        <f>SUMIFS('Besi Balok'!$AA$23:$AA$12292,'Besi Balok'!$A$23:$A$12292,$A363,'Besi Balok'!$B$23:$B$12292,$B363,'Besi Balok'!$F$23:$F$12292,'REKAP Balok'!S$12)</f>
        <v>0</v>
      </c>
      <c r="T363">
        <f>SUMIFS('Besi Balok'!$AA$23:$AA$12292,'Besi Balok'!$A$23:$A$12292,$A363,'Besi Balok'!$B$23:$B$12292,$B363,'Besi Balok'!$F$23:$F$12292,'REKAP Balok'!T$12)</f>
        <v>0</v>
      </c>
      <c r="U363">
        <f>SUM(L363:T363)</f>
        <v>31.79542032</v>
      </c>
      <c r="V363">
        <f>(D363*(F363-H363)*G363*K363)/1000000000</f>
        <v>0.1428</v>
      </c>
      <c r="W363">
        <f>(((F363-H363)*2+D363)*(G363)*K363)/1000000</f>
        <v>2.156</v>
      </c>
      <c r="AC363">
        <f>(D363+2*$F$5)*F363*G363/1000000000</f>
        <v>0.4662</v>
      </c>
    </row>
    <row r="364">
      <c r="A364" t="str">
        <f>'Data Panjang Balok'!A361</f>
        <v>Lantai Atap</v>
      </c>
      <c r="B364">
        <f>'Data Panjang Balok'!B361</f>
        <v>6</v>
      </c>
      <c r="C364" t="str">
        <f>'Data Panjang Balok'!D361</f>
        <v>B245-1</v>
      </c>
      <c r="D364">
        <f>IF(C364&gt;0,VLOOKUP(C364,'Detail Balok'!$C$11:$AU$110,2,FALSE),0)</f>
        <v>200</v>
      </c>
      <c r="E364" t="str">
        <v>x</v>
      </c>
      <c r="F364">
        <f>IF(C364&gt;0,VLOOKUP(C364,'Detail Balok'!$C$11:$AU$110,3,FALSE),0)</f>
        <v>450</v>
      </c>
      <c r="G364">
        <f>'Data Panjang Balok'!I361</f>
        <v>5835</v>
      </c>
      <c r="H364">
        <f>'Data Panjang Balok'!J361</f>
        <v>150</v>
      </c>
      <c r="J364">
        <f>I364-F364/1000</f>
        <v>-0.45</v>
      </c>
      <c r="K364">
        <f>'Data Panjang Balok'!E361</f>
        <v>1</v>
      </c>
      <c r="L364">
        <f>SUMIFS('Besi Balok'!$AA$23:$AA$12292,'Besi Balok'!$A$23:$A$12292,$A364,'Besi Balok'!$B$23:$B$12292,$B364,'Besi Balok'!$F$23:$F$12292,'REKAP Balok'!L$12)</f>
        <v>0</v>
      </c>
      <c r="M364">
        <f>SUMIFS('Besi Balok'!$AA$23:$AA$12292,'Besi Balok'!$A$23:$A$12292,$A364,'Besi Balok'!$B$23:$B$12292,$B364,'Besi Balok'!$F$23:$F$12292,'REKAP Balok'!M$12)</f>
        <v>25.711107839999997</v>
      </c>
      <c r="N364">
        <f>SUMIFS('Besi Balok'!$AA$23:$AA$12292,'Besi Balok'!$A$23:$A$12292,$A364,'Besi Balok'!$B$23:$B$12292,$B364,'Besi Balok'!$F$23:$F$12292,'REKAP Balok'!N$12)</f>
        <v>0</v>
      </c>
      <c r="O364">
        <f>SUMIFS('Besi Balok'!$AA$23:$AA$12292,'Besi Balok'!$A$23:$A$12292,$A364,'Besi Balok'!$B$23:$B$12292,$B364,'Besi Balok'!$F$23:$F$12292,'REKAP Balok'!O$12)</f>
        <v>25.617868379999997</v>
      </c>
      <c r="P364">
        <f>SUMIFS('Besi Balok'!$AA$23:$AA$12292,'Besi Balok'!$A$23:$A$12292,$A364,'Besi Balok'!$B$23:$B$12292,$B364,'Besi Balok'!$F$23:$F$12292,'REKAP Balok'!P$12)</f>
        <v>0</v>
      </c>
      <c r="Q364">
        <f>SUMIFS('Besi Balok'!$AA$23:$AA$12292,'Besi Balok'!$A$23:$A$12292,$A364,'Besi Balok'!$B$23:$B$12292,$B364,'Besi Balok'!$F$23:$F$12292,'REKAP Balok'!Q$12)</f>
        <v>0</v>
      </c>
      <c r="R364">
        <f>SUMIFS('Besi Balok'!$AA$23:$AA$12292,'Besi Balok'!$A$23:$A$12292,$A364,'Besi Balok'!$B$23:$B$12292,$B364,'Besi Balok'!$F$23:$F$12292,'REKAP Balok'!R$12)</f>
        <v>0</v>
      </c>
      <c r="S364">
        <f>SUMIFS('Besi Balok'!$AA$23:$AA$12292,'Besi Balok'!$A$23:$A$12292,$A364,'Besi Balok'!$B$23:$B$12292,$B364,'Besi Balok'!$F$23:$F$12292,'REKAP Balok'!S$12)</f>
        <v>0</v>
      </c>
      <c r="T364">
        <f>SUMIFS('Besi Balok'!$AA$23:$AA$12292,'Besi Balok'!$A$23:$A$12292,$A364,'Besi Balok'!$B$23:$B$12292,$B364,'Besi Balok'!$F$23:$F$12292,'REKAP Balok'!T$12)</f>
        <v>0</v>
      </c>
      <c r="U364">
        <f>SUM(L364:T364)</f>
        <v>51.328976219999994</v>
      </c>
      <c r="V364">
        <f>(D364*(F364-H364)*G364*K364)/1000000000</f>
        <v>0.3501</v>
      </c>
      <c r="W364">
        <f>(((F364-H364)*2+D364)*(G364)*K364)/1000000</f>
        <v>4.668</v>
      </c>
      <c r="AC364">
        <f>(D364+2*$F$5)*F364*G364/1000000000</f>
        <v>1.0503</v>
      </c>
    </row>
    <row r="365">
      <c r="A365" t="str">
        <f>'Data Panjang Balok'!A362</f>
        <v>Lantai Atap</v>
      </c>
      <c r="B365">
        <f>'Data Panjang Balok'!B362</f>
        <v>7</v>
      </c>
      <c r="C365" t="str">
        <f>'Data Panjang Balok'!D362</f>
        <v>Potongan L</v>
      </c>
      <c r="D365">
        <f>IF(C365&gt;0,VLOOKUP(C365,'Detail Balok'!$C$11:$AU$110,2,FALSE),0)</f>
        <v>200</v>
      </c>
      <c r="E365" t="str">
        <v>x</v>
      </c>
      <c r="F365">
        <f>IF(C365&gt;0,VLOOKUP(C365,'Detail Balok'!$C$11:$AU$110,3,FALSE),0)</f>
        <v>450</v>
      </c>
      <c r="G365">
        <f>'Data Panjang Balok'!I362</f>
        <v>1265</v>
      </c>
      <c r="H365">
        <f>'Data Panjang Balok'!J362</f>
        <v>150</v>
      </c>
      <c r="J365">
        <f>I365-F365/1000</f>
        <v>-0.45</v>
      </c>
      <c r="K365">
        <f>'Data Panjang Balok'!E362</f>
        <v>1</v>
      </c>
      <c r="L365">
        <f>SUMIFS('Besi Balok'!$AA$23:$AA$12292,'Besi Balok'!$A$23:$A$12292,$A365,'Besi Balok'!$B$23:$B$12292,$B365,'Besi Balok'!$F$23:$F$12292,'REKAP Balok'!L$12)</f>
        <v>0</v>
      </c>
      <c r="M365">
        <f>SUMIFS('Besi Balok'!$AA$23:$AA$12292,'Besi Balok'!$A$23:$A$12292,$A365,'Besi Balok'!$B$23:$B$12292,$B365,'Besi Balok'!$F$23:$F$12292,'REKAP Balok'!M$12)</f>
        <v>4.716570239999999</v>
      </c>
      <c r="N365">
        <f>SUMIFS('Besi Balok'!$AA$23:$AA$12292,'Besi Balok'!$A$23:$A$12292,$A365,'Besi Balok'!$B$23:$B$12292,$B365,'Besi Balok'!$F$23:$F$12292,'REKAP Balok'!N$12)</f>
        <v>0</v>
      </c>
      <c r="O365">
        <f>SUMIFS('Besi Balok'!$AA$23:$AA$12292,'Besi Balok'!$A$23:$A$12292,$A365,'Besi Balok'!$B$23:$B$12292,$B365,'Besi Balok'!$F$23:$F$12292,'REKAP Balok'!O$12)</f>
        <v>8.215263225</v>
      </c>
      <c r="P365">
        <f>SUMIFS('Besi Balok'!$AA$23:$AA$12292,'Besi Balok'!$A$23:$A$12292,$A365,'Besi Balok'!$B$23:$B$12292,$B365,'Besi Balok'!$F$23:$F$12292,'REKAP Balok'!P$12)</f>
        <v>0</v>
      </c>
      <c r="Q365">
        <f>SUMIFS('Besi Balok'!$AA$23:$AA$12292,'Besi Balok'!$A$23:$A$12292,$A365,'Besi Balok'!$B$23:$B$12292,$B365,'Besi Balok'!$F$23:$F$12292,'REKAP Balok'!Q$12)</f>
        <v>0</v>
      </c>
      <c r="R365">
        <f>SUMIFS('Besi Balok'!$AA$23:$AA$12292,'Besi Balok'!$A$23:$A$12292,$A365,'Besi Balok'!$B$23:$B$12292,$B365,'Besi Balok'!$F$23:$F$12292,'REKAP Balok'!R$12)</f>
        <v>0</v>
      </c>
      <c r="S365">
        <f>SUMIFS('Besi Balok'!$AA$23:$AA$12292,'Besi Balok'!$A$23:$A$12292,$A365,'Besi Balok'!$B$23:$B$12292,$B365,'Besi Balok'!$F$23:$F$12292,'REKAP Balok'!S$12)</f>
        <v>0</v>
      </c>
      <c r="T365">
        <f>SUMIFS('Besi Balok'!$AA$23:$AA$12292,'Besi Balok'!$A$23:$A$12292,$A365,'Besi Balok'!$B$23:$B$12292,$B365,'Besi Balok'!$F$23:$F$12292,'REKAP Balok'!T$12)</f>
        <v>0</v>
      </c>
      <c r="U365">
        <f>SUM(L365:T365)</f>
        <v>12.931833464999999</v>
      </c>
      <c r="V365">
        <f>(D365*(F365-H365)*G365*K365)/1000000000</f>
        <v>0.0759</v>
      </c>
      <c r="W365">
        <f>(((F365-H365)*2+D365)*(G365)*K365)/1000000</f>
        <v>1.012</v>
      </c>
      <c r="AC365">
        <f>(D365+2*$F$5)*F365*G365/1000000000</f>
        <v>0.2277</v>
      </c>
    </row>
    <row r="366">
      <c r="A366" t="str">
        <f>'Data Panjang Balok'!A363</f>
        <v>Lantai Atap</v>
      </c>
      <c r="B366">
        <f>'Data Panjang Balok'!B363</f>
        <v>8</v>
      </c>
      <c r="C366" t="str">
        <f>'Data Panjang Balok'!D363</f>
        <v>B245-2</v>
      </c>
      <c r="D366">
        <f>IF(C366&gt;0,VLOOKUP(C366,'Detail Balok'!$C$11:$AU$110,2,FALSE),0)</f>
        <v>200</v>
      </c>
      <c r="E366" t="str">
        <v>x</v>
      </c>
      <c r="F366">
        <f>IF(C366&gt;0,VLOOKUP(C366,'Detail Balok'!$C$11:$AU$110,3,FALSE),0)</f>
        <v>450</v>
      </c>
      <c r="G366">
        <f>'Data Panjang Balok'!I363</f>
        <v>6300</v>
      </c>
      <c r="H366">
        <f>'Data Panjang Balok'!J363</f>
        <v>150</v>
      </c>
      <c r="J366">
        <f>I366-F366/1000</f>
        <v>-0.45</v>
      </c>
      <c r="K366">
        <f>'Data Panjang Balok'!E363</f>
        <v>1</v>
      </c>
      <c r="L366">
        <f>SUMIFS('Besi Balok'!$AA$23:$AA$12292,'Besi Balok'!$A$23:$A$12292,$A366,'Besi Balok'!$B$23:$B$12292,$B366,'Besi Balok'!$F$23:$F$12292,'REKAP Balok'!L$12)</f>
        <v>0</v>
      </c>
      <c r="M366">
        <f>SUMIFS('Besi Balok'!$AA$23:$AA$12292,'Besi Balok'!$A$23:$A$12292,$A366,'Besi Balok'!$B$23:$B$12292,$B366,'Besi Balok'!$F$23:$F$12292,'REKAP Balok'!M$12)</f>
        <v>27.41560704</v>
      </c>
      <c r="N366">
        <f>SUMIFS('Besi Balok'!$AA$23:$AA$12292,'Besi Balok'!$A$23:$A$12292,$A366,'Besi Balok'!$B$23:$B$12292,$B366,'Besi Balok'!$F$23:$F$12292,'REKAP Balok'!N$12)</f>
        <v>0</v>
      </c>
      <c r="O366">
        <f>SUMIFS('Besi Balok'!$AA$23:$AA$12292,'Besi Balok'!$A$23:$A$12292,$A366,'Besi Balok'!$B$23:$B$12292,$B366,'Besi Balok'!$F$23:$F$12292,'REKAP Balok'!O$12)</f>
        <v>41.33366172</v>
      </c>
      <c r="P366">
        <f>SUMIFS('Besi Balok'!$AA$23:$AA$12292,'Besi Balok'!$A$23:$A$12292,$A366,'Besi Balok'!$B$23:$B$12292,$B366,'Besi Balok'!$F$23:$F$12292,'REKAP Balok'!P$12)</f>
        <v>0</v>
      </c>
      <c r="Q366">
        <f>SUMIFS('Besi Balok'!$AA$23:$AA$12292,'Besi Balok'!$A$23:$A$12292,$A366,'Besi Balok'!$B$23:$B$12292,$B366,'Besi Balok'!$F$23:$F$12292,'REKAP Balok'!Q$12)</f>
        <v>0</v>
      </c>
      <c r="R366">
        <f>SUMIFS('Besi Balok'!$AA$23:$AA$12292,'Besi Balok'!$A$23:$A$12292,$A366,'Besi Balok'!$B$23:$B$12292,$B366,'Besi Balok'!$F$23:$F$12292,'REKAP Balok'!R$12)</f>
        <v>0</v>
      </c>
      <c r="S366">
        <f>SUMIFS('Besi Balok'!$AA$23:$AA$12292,'Besi Balok'!$A$23:$A$12292,$A366,'Besi Balok'!$B$23:$B$12292,$B366,'Besi Balok'!$F$23:$F$12292,'REKAP Balok'!S$12)</f>
        <v>0</v>
      </c>
      <c r="T366">
        <f>SUMIFS('Besi Balok'!$AA$23:$AA$12292,'Besi Balok'!$A$23:$A$12292,$A366,'Besi Balok'!$B$23:$B$12292,$B366,'Besi Balok'!$F$23:$F$12292,'REKAP Balok'!T$12)</f>
        <v>0</v>
      </c>
      <c r="U366">
        <f>SUM(L366:T366)</f>
        <v>68.74926876</v>
      </c>
      <c r="V366">
        <f>(D366*(F366-H366)*G366*K366)/1000000000</f>
        <v>0.378</v>
      </c>
      <c r="W366">
        <f>(((F366-H366)*2+D366)*(G366)*K366)/1000000</f>
        <v>5.04</v>
      </c>
      <c r="AC366">
        <f>(D366+2*$F$5)*F366*G366/1000000000</f>
        <v>1.134</v>
      </c>
    </row>
    <row r="367">
      <c r="A367" t="str">
        <f>'Data Panjang Balok'!A364</f>
        <v>Lantai Atap</v>
      </c>
      <c r="B367">
        <f>'Data Panjang Balok'!B364</f>
        <v>9</v>
      </c>
      <c r="C367" t="str">
        <f>'Data Panjang Balok'!D364</f>
        <v>B245-2</v>
      </c>
      <c r="D367">
        <f>IF(C367&gt;0,VLOOKUP(C367,'Detail Balok'!$C$11:$AU$110,2,FALSE),0)</f>
        <v>200</v>
      </c>
      <c r="E367" t="str">
        <v>x</v>
      </c>
      <c r="F367">
        <f>IF(C367&gt;0,VLOOKUP(C367,'Detail Balok'!$C$11:$AU$110,3,FALSE),0)</f>
        <v>450</v>
      </c>
      <c r="G367">
        <f>'Data Panjang Balok'!I364</f>
        <v>6300</v>
      </c>
      <c r="H367">
        <f>'Data Panjang Balok'!J364</f>
        <v>150</v>
      </c>
      <c r="J367">
        <f>I367-F367/1000</f>
        <v>-0.45</v>
      </c>
      <c r="K367">
        <f>'Data Panjang Balok'!E364</f>
        <v>1</v>
      </c>
      <c r="L367">
        <f>SUMIFS('Besi Balok'!$AA$23:$AA$12292,'Besi Balok'!$A$23:$A$12292,$A367,'Besi Balok'!$B$23:$B$12292,$B367,'Besi Balok'!$F$23:$F$12292,'REKAP Balok'!L$12)</f>
        <v>0</v>
      </c>
      <c r="M367">
        <f>SUMIFS('Besi Balok'!$AA$23:$AA$12292,'Besi Balok'!$A$23:$A$12292,$A367,'Besi Balok'!$B$23:$B$12292,$B367,'Besi Balok'!$F$23:$F$12292,'REKAP Balok'!M$12)</f>
        <v>27.41560704</v>
      </c>
      <c r="N367">
        <f>SUMIFS('Besi Balok'!$AA$23:$AA$12292,'Besi Balok'!$A$23:$A$12292,$A367,'Besi Balok'!$B$23:$B$12292,$B367,'Besi Balok'!$F$23:$F$12292,'REKAP Balok'!N$12)</f>
        <v>0</v>
      </c>
      <c r="O367">
        <f>SUMIFS('Besi Balok'!$AA$23:$AA$12292,'Besi Balok'!$A$23:$A$12292,$A367,'Besi Balok'!$B$23:$B$12292,$B367,'Besi Balok'!$F$23:$F$12292,'REKAP Balok'!O$12)</f>
        <v>41.33366172</v>
      </c>
      <c r="P367">
        <f>SUMIFS('Besi Balok'!$AA$23:$AA$12292,'Besi Balok'!$A$23:$A$12292,$A367,'Besi Balok'!$B$23:$B$12292,$B367,'Besi Balok'!$F$23:$F$12292,'REKAP Balok'!P$12)</f>
        <v>0</v>
      </c>
      <c r="Q367">
        <f>SUMIFS('Besi Balok'!$AA$23:$AA$12292,'Besi Balok'!$A$23:$A$12292,$A367,'Besi Balok'!$B$23:$B$12292,$B367,'Besi Balok'!$F$23:$F$12292,'REKAP Balok'!Q$12)</f>
        <v>0</v>
      </c>
      <c r="R367">
        <f>SUMIFS('Besi Balok'!$AA$23:$AA$12292,'Besi Balok'!$A$23:$A$12292,$A367,'Besi Balok'!$B$23:$B$12292,$B367,'Besi Balok'!$F$23:$F$12292,'REKAP Balok'!R$12)</f>
        <v>0</v>
      </c>
      <c r="S367">
        <f>SUMIFS('Besi Balok'!$AA$23:$AA$12292,'Besi Balok'!$A$23:$A$12292,$A367,'Besi Balok'!$B$23:$B$12292,$B367,'Besi Balok'!$F$23:$F$12292,'REKAP Balok'!S$12)</f>
        <v>0</v>
      </c>
      <c r="T367">
        <f>SUMIFS('Besi Balok'!$AA$23:$AA$12292,'Besi Balok'!$A$23:$A$12292,$A367,'Besi Balok'!$B$23:$B$12292,$B367,'Besi Balok'!$F$23:$F$12292,'REKAP Balok'!T$12)</f>
        <v>0</v>
      </c>
      <c r="U367">
        <f>SUM(L367:T367)</f>
        <v>68.74926876</v>
      </c>
      <c r="V367">
        <f>(D367*(F367-H367)*G367*K367)/1000000000</f>
        <v>0.378</v>
      </c>
      <c r="W367">
        <f>(((F367-H367)*2+D367)*(G367)*K367)/1000000</f>
        <v>5.04</v>
      </c>
      <c r="AC367">
        <f>(D367+2*$F$5)*F367*G367/1000000000</f>
        <v>1.134</v>
      </c>
    </row>
    <row r="368">
      <c r="A368" t="str">
        <f>'Data Panjang Balok'!A365</f>
        <v>Lantai Atap</v>
      </c>
      <c r="B368">
        <f>'Data Panjang Balok'!B365</f>
        <v>10</v>
      </c>
      <c r="C368" t="str">
        <f>'Data Panjang Balok'!D365</f>
        <v>B24-1</v>
      </c>
      <c r="D368">
        <f>IF(C368&gt;0,VLOOKUP(C368,'Detail Balok'!$C$11:$AU$110,2,FALSE),0)</f>
        <v>200</v>
      </c>
      <c r="E368" t="str">
        <v>x</v>
      </c>
      <c r="F368">
        <f>IF(C368&gt;0,VLOOKUP(C368,'Detail Balok'!$C$11:$AU$110,3,FALSE),0)</f>
        <v>400</v>
      </c>
      <c r="G368">
        <f>'Data Panjang Balok'!I365</f>
        <v>4800</v>
      </c>
      <c r="H368">
        <f>'Data Panjang Balok'!J365</f>
        <v>150</v>
      </c>
      <c r="J368">
        <f>I368-F368/1000</f>
        <v>-0.4</v>
      </c>
      <c r="K368">
        <f>'Data Panjang Balok'!E365</f>
        <v>1</v>
      </c>
      <c r="L368">
        <f>SUMIFS('Besi Balok'!$AA$23:$AA$12292,'Besi Balok'!$A$23:$A$12292,$A368,'Besi Balok'!$B$23:$B$12292,$B368,'Besi Balok'!$F$23:$F$12292,'REKAP Balok'!L$12)</f>
        <v>0</v>
      </c>
      <c r="M368">
        <f>SUMIFS('Besi Balok'!$AA$23:$AA$12292,'Besi Balok'!$A$23:$A$12292,$A368,'Besi Balok'!$B$23:$B$12292,$B368,'Besi Balok'!$F$23:$F$12292,'REKAP Balok'!M$12)</f>
        <v>15.443078400000001</v>
      </c>
      <c r="N368">
        <f>SUMIFS('Besi Balok'!$AA$23:$AA$12292,'Besi Balok'!$A$23:$A$12292,$A368,'Besi Balok'!$B$23:$B$12292,$B368,'Besi Balok'!$F$23:$F$12292,'REKAP Balok'!N$12)</f>
        <v>0</v>
      </c>
      <c r="O368">
        <f>SUMIFS('Besi Balok'!$AA$23:$AA$12292,'Besi Balok'!$A$23:$A$12292,$A368,'Besi Balok'!$B$23:$B$12292,$B368,'Besi Balok'!$F$23:$F$12292,'REKAP Balok'!O$12)</f>
        <v>21.30446448</v>
      </c>
      <c r="P368">
        <f>SUMIFS('Besi Balok'!$AA$23:$AA$12292,'Besi Balok'!$A$23:$A$12292,$A368,'Besi Balok'!$B$23:$B$12292,$B368,'Besi Balok'!$F$23:$F$12292,'REKAP Balok'!P$12)</f>
        <v>0</v>
      </c>
      <c r="Q368">
        <f>SUMIFS('Besi Balok'!$AA$23:$AA$12292,'Besi Balok'!$A$23:$A$12292,$A368,'Besi Balok'!$B$23:$B$12292,$B368,'Besi Balok'!$F$23:$F$12292,'REKAP Balok'!Q$12)</f>
        <v>0</v>
      </c>
      <c r="R368">
        <f>SUMIFS('Besi Balok'!$AA$23:$AA$12292,'Besi Balok'!$A$23:$A$12292,$A368,'Besi Balok'!$B$23:$B$12292,$B368,'Besi Balok'!$F$23:$F$12292,'REKAP Balok'!R$12)</f>
        <v>0</v>
      </c>
      <c r="S368">
        <f>SUMIFS('Besi Balok'!$AA$23:$AA$12292,'Besi Balok'!$A$23:$A$12292,$A368,'Besi Balok'!$B$23:$B$12292,$B368,'Besi Balok'!$F$23:$F$12292,'REKAP Balok'!S$12)</f>
        <v>0</v>
      </c>
      <c r="T368">
        <f>SUMIFS('Besi Balok'!$AA$23:$AA$12292,'Besi Balok'!$A$23:$A$12292,$A368,'Besi Balok'!$B$23:$B$12292,$B368,'Besi Balok'!$F$23:$F$12292,'REKAP Balok'!T$12)</f>
        <v>0</v>
      </c>
      <c r="U368">
        <f>SUM(L368:T368)</f>
        <v>36.74754288</v>
      </c>
      <c r="V368">
        <f>(D368*(F368-H368)*G368*K368)/1000000000</f>
        <v>0.24</v>
      </c>
      <c r="W368">
        <f>(((F368-H368)*2+D368)*(G368)*K368)/1000000</f>
        <v>3.36</v>
      </c>
      <c r="AC368">
        <f>(D368+2*$F$5)*F368*G368/1000000000</f>
        <v>0.768</v>
      </c>
    </row>
    <row r="369">
      <c r="A369" t="str">
        <f>'Data Panjang Balok'!A366</f>
        <v>Lantai Atap</v>
      </c>
      <c r="B369">
        <f>'Data Panjang Balok'!B366</f>
        <v>11</v>
      </c>
      <c r="C369" t="str">
        <f>'Data Panjang Balok'!D366</f>
        <v>B245-5</v>
      </c>
      <c r="D369">
        <f>IF(C369&gt;0,VLOOKUP(C369,'Detail Balok'!$C$11:$AU$110,2,FALSE),0)</f>
        <v>200</v>
      </c>
      <c r="E369" t="str">
        <v>x</v>
      </c>
      <c r="F369">
        <f>IF(C369&gt;0,VLOOKUP(C369,'Detail Balok'!$C$11:$AU$110,3,FALSE),0)</f>
        <v>450</v>
      </c>
      <c r="G369">
        <f>'Data Panjang Balok'!I366</f>
        <v>6200</v>
      </c>
      <c r="H369">
        <f>'Data Panjang Balok'!J366</f>
        <v>150</v>
      </c>
      <c r="J369">
        <f>I369-F369/1000</f>
        <v>-0.45</v>
      </c>
      <c r="K369">
        <f>'Data Panjang Balok'!E366</f>
        <v>1</v>
      </c>
      <c r="L369">
        <f>SUMIFS('Besi Balok'!$AA$23:$AA$12292,'Besi Balok'!$A$23:$A$12292,$A369,'Besi Balok'!$B$23:$B$12292,$B369,'Besi Balok'!$F$23:$F$12292,'REKAP Balok'!L$12)</f>
        <v>0</v>
      </c>
      <c r="M369">
        <f>SUMIFS('Besi Balok'!$AA$23:$AA$12292,'Besi Balok'!$A$23:$A$12292,$A369,'Besi Balok'!$B$23:$B$12292,$B369,'Besi Balok'!$F$23:$F$12292,'REKAP Balok'!M$12)</f>
        <v>0</v>
      </c>
      <c r="N369">
        <f>SUMIFS('Besi Balok'!$AA$23:$AA$12292,'Besi Balok'!$A$23:$A$12292,$A369,'Besi Balok'!$B$23:$B$12292,$B369,'Besi Balok'!$F$23:$F$12292,'REKAP Balok'!N$12)</f>
        <v>46.95264</v>
      </c>
      <c r="O369">
        <f>SUMIFS('Besi Balok'!$AA$23:$AA$12292,'Besi Balok'!$A$23:$A$12292,$A369,'Besi Balok'!$B$23:$B$12292,$B369,'Besi Balok'!$F$23:$F$12292,'REKAP Balok'!O$12)</f>
        <v>0</v>
      </c>
      <c r="P369">
        <f>SUMIFS('Besi Balok'!$AA$23:$AA$12292,'Besi Balok'!$A$23:$A$12292,$A369,'Besi Balok'!$B$23:$B$12292,$B369,'Besi Balok'!$F$23:$F$12292,'REKAP Balok'!P$12)</f>
        <v>72.73792512000001</v>
      </c>
      <c r="Q369">
        <f>SUMIFS('Besi Balok'!$AA$23:$AA$12292,'Besi Balok'!$A$23:$A$12292,$A369,'Besi Balok'!$B$23:$B$12292,$B369,'Besi Balok'!$F$23:$F$12292,'REKAP Balok'!Q$12)</f>
        <v>0</v>
      </c>
      <c r="R369">
        <f>SUMIFS('Besi Balok'!$AA$23:$AA$12292,'Besi Balok'!$A$23:$A$12292,$A369,'Besi Balok'!$B$23:$B$12292,$B369,'Besi Balok'!$F$23:$F$12292,'REKAP Balok'!R$12)</f>
        <v>0</v>
      </c>
      <c r="S369">
        <f>SUMIFS('Besi Balok'!$AA$23:$AA$12292,'Besi Balok'!$A$23:$A$12292,$A369,'Besi Balok'!$B$23:$B$12292,$B369,'Besi Balok'!$F$23:$F$12292,'REKAP Balok'!S$12)</f>
        <v>0</v>
      </c>
      <c r="T369">
        <f>SUMIFS('Besi Balok'!$AA$23:$AA$12292,'Besi Balok'!$A$23:$A$12292,$A369,'Besi Balok'!$B$23:$B$12292,$B369,'Besi Balok'!$F$23:$F$12292,'REKAP Balok'!T$12)</f>
        <v>0</v>
      </c>
      <c r="U369">
        <f>SUM(L369:T369)</f>
        <v>119.69056512000002</v>
      </c>
      <c r="V369">
        <f>(D369*(F369-H369)*G369*K369)/1000000000</f>
        <v>0.372</v>
      </c>
      <c r="W369">
        <f>(((F369-H369)*2+D369)*(G369)*K369)/1000000</f>
        <v>4.96</v>
      </c>
      <c r="AC369">
        <f>(D369+2*$F$5)*F369*G369/1000000000</f>
        <v>1.116</v>
      </c>
    </row>
    <row r="370">
      <c r="A370" t="str">
        <f>'Data Panjang Balok'!A367</f>
        <v>Lantai Atap</v>
      </c>
      <c r="B370">
        <f>'Data Panjang Balok'!B367</f>
        <v>12</v>
      </c>
      <c r="C370" t="str">
        <f>'Data Panjang Balok'!D367</f>
        <v>B245-1</v>
      </c>
      <c r="D370">
        <f>IF(C370&gt;0,VLOOKUP(C370,'Detail Balok'!$C$11:$AU$110,2,FALSE),0)</f>
        <v>200</v>
      </c>
      <c r="E370" t="str">
        <v>x</v>
      </c>
      <c r="F370">
        <f>IF(C370&gt;0,VLOOKUP(C370,'Detail Balok'!$C$11:$AU$110,3,FALSE),0)</f>
        <v>450</v>
      </c>
      <c r="G370">
        <f>'Data Panjang Balok'!I367</f>
        <v>900</v>
      </c>
      <c r="H370">
        <f>'Data Panjang Balok'!J367</f>
        <v>150</v>
      </c>
      <c r="J370">
        <f>I370-F370/1000</f>
        <v>-0.45</v>
      </c>
      <c r="K370">
        <f>'Data Panjang Balok'!E367</f>
        <v>1</v>
      </c>
      <c r="L370">
        <f>SUMIFS('Besi Balok'!$AA$23:$AA$12292,'Besi Balok'!$A$23:$A$12292,$A370,'Besi Balok'!$B$23:$B$12292,$B370,'Besi Balok'!$F$23:$F$12292,'REKAP Balok'!L$12)</f>
        <v>0</v>
      </c>
      <c r="M370">
        <f>SUMIFS('Besi Balok'!$AA$23:$AA$12292,'Besi Balok'!$A$23:$A$12292,$A370,'Besi Balok'!$B$23:$B$12292,$B370,'Besi Balok'!$F$23:$F$12292,'REKAP Balok'!M$12)</f>
        <v>5.32024704</v>
      </c>
      <c r="N370">
        <f>SUMIFS('Besi Balok'!$AA$23:$AA$12292,'Besi Balok'!$A$23:$A$12292,$A370,'Besi Balok'!$B$23:$B$12292,$B370,'Besi Balok'!$F$23:$F$12292,'REKAP Balok'!N$12)</f>
        <v>0</v>
      </c>
      <c r="O370">
        <f>SUMIFS('Besi Balok'!$AA$23:$AA$12292,'Besi Balok'!$A$23:$A$12292,$A370,'Besi Balok'!$B$23:$B$12292,$B370,'Besi Balok'!$F$23:$F$12292,'REKAP Balok'!O$12)</f>
        <v>5.05105848</v>
      </c>
      <c r="P370">
        <f>SUMIFS('Besi Balok'!$AA$23:$AA$12292,'Besi Balok'!$A$23:$A$12292,$A370,'Besi Balok'!$B$23:$B$12292,$B370,'Besi Balok'!$F$23:$F$12292,'REKAP Balok'!P$12)</f>
        <v>0</v>
      </c>
      <c r="Q370">
        <f>SUMIFS('Besi Balok'!$AA$23:$AA$12292,'Besi Balok'!$A$23:$A$12292,$A370,'Besi Balok'!$B$23:$B$12292,$B370,'Besi Balok'!$F$23:$F$12292,'REKAP Balok'!Q$12)</f>
        <v>0</v>
      </c>
      <c r="R370">
        <f>SUMIFS('Besi Balok'!$AA$23:$AA$12292,'Besi Balok'!$A$23:$A$12292,$A370,'Besi Balok'!$B$23:$B$12292,$B370,'Besi Balok'!$F$23:$F$12292,'REKAP Balok'!R$12)</f>
        <v>0</v>
      </c>
      <c r="S370">
        <f>SUMIFS('Besi Balok'!$AA$23:$AA$12292,'Besi Balok'!$A$23:$A$12292,$A370,'Besi Balok'!$B$23:$B$12292,$B370,'Besi Balok'!$F$23:$F$12292,'REKAP Balok'!S$12)</f>
        <v>0</v>
      </c>
      <c r="T370">
        <f>SUMIFS('Besi Balok'!$AA$23:$AA$12292,'Besi Balok'!$A$23:$A$12292,$A370,'Besi Balok'!$B$23:$B$12292,$B370,'Besi Balok'!$F$23:$F$12292,'REKAP Balok'!T$12)</f>
        <v>0</v>
      </c>
      <c r="U370">
        <f>SUM(L370:T370)</f>
        <v>10.37130552</v>
      </c>
      <c r="V370">
        <f>(D370*(F370-H370)*G370*K370)/1000000000</f>
        <v>0.054</v>
      </c>
      <c r="W370">
        <f>(((F370-H370)*2+D370)*(G370)*K370)/1000000</f>
        <v>0.72</v>
      </c>
      <c r="AC370">
        <f>(D370+2*$F$5)*F370*G370/1000000000</f>
        <v>0.162</v>
      </c>
    </row>
    <row r="371">
      <c r="A371" t="str">
        <f>'Data Panjang Balok'!A368</f>
        <v>Lantai Atap</v>
      </c>
      <c r="B371">
        <f>'Data Panjang Balok'!B368</f>
        <v>13</v>
      </c>
      <c r="C371" t="str">
        <f>'Data Panjang Balok'!D368</f>
        <v>B245-3</v>
      </c>
      <c r="D371">
        <f>IF(C371&gt;0,VLOOKUP(C371,'Detail Balok'!$C$11:$AU$110,2,FALSE),0)</f>
        <v>200</v>
      </c>
      <c r="E371" t="str">
        <v>x</v>
      </c>
      <c r="F371">
        <f>IF(C371&gt;0,VLOOKUP(C371,'Detail Balok'!$C$11:$AU$110,3,FALSE),0)</f>
        <v>450</v>
      </c>
      <c r="G371">
        <f>'Data Panjang Balok'!I368</f>
        <v>6000</v>
      </c>
      <c r="H371">
        <f>'Data Panjang Balok'!J368</f>
        <v>150</v>
      </c>
      <c r="J371">
        <f>I371-F371/1000</f>
        <v>-0.45</v>
      </c>
      <c r="K371">
        <f>'Data Panjang Balok'!E368</f>
        <v>1</v>
      </c>
      <c r="L371">
        <f>SUMIFS('Besi Balok'!$AA$23:$AA$12292,'Besi Balok'!$A$23:$A$12292,$A371,'Besi Balok'!$B$23:$B$12292,$B371,'Besi Balok'!$F$23:$F$12292,'REKAP Balok'!L$12)</f>
        <v>0</v>
      </c>
      <c r="M371">
        <f>SUMIFS('Besi Balok'!$AA$23:$AA$12292,'Besi Balok'!$A$23:$A$12292,$A371,'Besi Balok'!$B$23:$B$12292,$B371,'Besi Balok'!$F$23:$F$12292,'REKAP Balok'!M$12)</f>
        <v>0</v>
      </c>
      <c r="N371">
        <f>SUMIFS('Besi Balok'!$AA$23:$AA$12292,'Besi Balok'!$A$23:$A$12292,$A371,'Besi Balok'!$B$23:$B$12292,$B371,'Besi Balok'!$F$23:$F$12292,'REKAP Balok'!N$12)</f>
        <v>44.616105000000005</v>
      </c>
      <c r="O371">
        <f>SUMIFS('Besi Balok'!$AA$23:$AA$12292,'Besi Balok'!$A$23:$A$12292,$A371,'Besi Balok'!$B$23:$B$12292,$B371,'Besi Balok'!$F$23:$F$12292,'REKAP Balok'!O$12)</f>
        <v>0</v>
      </c>
      <c r="P371">
        <f>SUMIFS('Besi Balok'!$AA$23:$AA$12292,'Besi Balok'!$A$23:$A$12292,$A371,'Besi Balok'!$B$23:$B$12292,$B371,'Besi Balok'!$F$23:$F$12292,'REKAP Balok'!P$12)</f>
        <v>40.30193664</v>
      </c>
      <c r="Q371">
        <f>SUMIFS('Besi Balok'!$AA$23:$AA$12292,'Besi Balok'!$A$23:$A$12292,$A371,'Besi Balok'!$B$23:$B$12292,$B371,'Besi Balok'!$F$23:$F$12292,'REKAP Balok'!Q$12)</f>
        <v>0</v>
      </c>
      <c r="R371">
        <f>SUMIFS('Besi Balok'!$AA$23:$AA$12292,'Besi Balok'!$A$23:$A$12292,$A371,'Besi Balok'!$B$23:$B$12292,$B371,'Besi Balok'!$F$23:$F$12292,'REKAP Balok'!R$12)</f>
        <v>0</v>
      </c>
      <c r="S371">
        <f>SUMIFS('Besi Balok'!$AA$23:$AA$12292,'Besi Balok'!$A$23:$A$12292,$A371,'Besi Balok'!$B$23:$B$12292,$B371,'Besi Balok'!$F$23:$F$12292,'REKAP Balok'!S$12)</f>
        <v>0</v>
      </c>
      <c r="T371">
        <f>SUMIFS('Besi Balok'!$AA$23:$AA$12292,'Besi Balok'!$A$23:$A$12292,$A371,'Besi Balok'!$B$23:$B$12292,$B371,'Besi Balok'!$F$23:$F$12292,'REKAP Balok'!T$12)</f>
        <v>0</v>
      </c>
      <c r="U371">
        <f>SUM(L371:T371)</f>
        <v>84.91804164000001</v>
      </c>
      <c r="V371">
        <f>(D371*(F371-H371)*G371*K371)/1000000000</f>
        <v>0.36</v>
      </c>
      <c r="W371">
        <f>(((F371-H371)*2+D371)*(G371)*K371)/1000000</f>
        <v>4.8</v>
      </c>
      <c r="AC371">
        <f>(D371+2*$F$5)*F371*G371/1000000000</f>
        <v>1.08</v>
      </c>
    </row>
    <row r="372">
      <c r="A372" t="str">
        <f>'Data Panjang Balok'!A369</f>
        <v>Lantai Atap</v>
      </c>
      <c r="B372">
        <f>'Data Panjang Balok'!B369</f>
        <v>14</v>
      </c>
      <c r="C372" t="str">
        <f>'Data Panjang Balok'!D369</f>
        <v>B25-1</v>
      </c>
      <c r="D372">
        <f>IF(C372&gt;0,VLOOKUP(C372,'Detail Balok'!$C$11:$AU$110,2,FALSE),0)</f>
        <v>200</v>
      </c>
      <c r="E372" t="str">
        <v>x</v>
      </c>
      <c r="F372">
        <f>IF(C372&gt;0,VLOOKUP(C372,'Detail Balok'!$C$11:$AU$110,3,FALSE),0)</f>
        <v>500</v>
      </c>
      <c r="G372">
        <f>'Data Panjang Balok'!I369</f>
        <v>1900</v>
      </c>
      <c r="H372">
        <f>'Data Panjang Balok'!J369</f>
        <v>150</v>
      </c>
      <c r="J372">
        <f>I372-F372/1000</f>
        <v>-0.5</v>
      </c>
      <c r="K372">
        <f>'Data Panjang Balok'!E369</f>
        <v>1</v>
      </c>
      <c r="L372">
        <f>SUMIFS('Besi Balok'!$AA$23:$AA$12292,'Besi Balok'!$A$23:$A$12292,$A372,'Besi Balok'!$B$23:$B$12292,$B372,'Besi Balok'!$F$23:$F$12292,'REKAP Balok'!L$12)</f>
        <v>0</v>
      </c>
      <c r="M372">
        <f>SUMIFS('Besi Balok'!$AA$23:$AA$12292,'Besi Balok'!$A$23:$A$12292,$A372,'Besi Balok'!$B$23:$B$12292,$B372,'Besi Balok'!$F$23:$F$12292,'REKAP Balok'!M$12)</f>
        <v>0</v>
      </c>
      <c r="N372">
        <f>SUMIFS('Besi Balok'!$AA$23:$AA$12292,'Besi Balok'!$A$23:$A$12292,$A372,'Besi Balok'!$B$23:$B$12292,$B372,'Besi Balok'!$F$23:$F$12292,'REKAP Balok'!N$12)</f>
        <v>17.80452</v>
      </c>
      <c r="O372">
        <f>SUMIFS('Besi Balok'!$AA$23:$AA$12292,'Besi Balok'!$A$23:$A$12292,$A372,'Besi Balok'!$B$23:$B$12292,$B372,'Besi Balok'!$F$23:$F$12292,'REKAP Balok'!O$12)</f>
        <v>0</v>
      </c>
      <c r="P372">
        <f>SUMIFS('Besi Balok'!$AA$23:$AA$12292,'Besi Balok'!$A$23:$A$12292,$A372,'Besi Balok'!$B$23:$B$12292,$B372,'Besi Balok'!$F$23:$F$12292,'REKAP Balok'!P$12)</f>
        <v>14.418800639999999</v>
      </c>
      <c r="Q372">
        <f>SUMIFS('Besi Balok'!$AA$23:$AA$12292,'Besi Balok'!$A$23:$A$12292,$A372,'Besi Balok'!$B$23:$B$12292,$B372,'Besi Balok'!$F$23:$F$12292,'REKAP Balok'!Q$12)</f>
        <v>0</v>
      </c>
      <c r="R372">
        <f>SUMIFS('Besi Balok'!$AA$23:$AA$12292,'Besi Balok'!$A$23:$A$12292,$A372,'Besi Balok'!$B$23:$B$12292,$B372,'Besi Balok'!$F$23:$F$12292,'REKAP Balok'!R$12)</f>
        <v>0</v>
      </c>
      <c r="S372">
        <f>SUMIFS('Besi Balok'!$AA$23:$AA$12292,'Besi Balok'!$A$23:$A$12292,$A372,'Besi Balok'!$B$23:$B$12292,$B372,'Besi Balok'!$F$23:$F$12292,'REKAP Balok'!S$12)</f>
        <v>0</v>
      </c>
      <c r="T372">
        <f>SUMIFS('Besi Balok'!$AA$23:$AA$12292,'Besi Balok'!$A$23:$A$12292,$A372,'Besi Balok'!$B$23:$B$12292,$B372,'Besi Balok'!$F$23:$F$12292,'REKAP Balok'!T$12)</f>
        <v>0</v>
      </c>
      <c r="U372">
        <f>SUM(L372:T372)</f>
        <v>32.22332064</v>
      </c>
      <c r="V372">
        <f>(D372*(F372-H372)*G372*K372)/1000000000</f>
        <v>0.133</v>
      </c>
      <c r="W372">
        <f>(((F372-H372)*2+D372)*(G372)*K372)/1000000</f>
        <v>1.71</v>
      </c>
      <c r="AC372">
        <f>(D372+2*$F$5)*F372*G372/1000000000</f>
        <v>0.38</v>
      </c>
    </row>
    <row r="373">
      <c r="A373" t="str">
        <f>'Data Panjang Balok'!A370</f>
        <v>Lantai Atap</v>
      </c>
      <c r="B373">
        <f>'Data Panjang Balok'!B370</f>
        <v>15</v>
      </c>
      <c r="C373" t="str">
        <f>'Data Panjang Balok'!D370</f>
        <v>B24-3</v>
      </c>
      <c r="D373">
        <f>IF(C373&gt;0,VLOOKUP(C373,'Detail Balok'!$C$11:$AU$110,2,FALSE),0)</f>
        <v>200</v>
      </c>
      <c r="E373" t="str">
        <v>x</v>
      </c>
      <c r="F373">
        <f>IF(C373&gt;0,VLOOKUP(C373,'Detail Balok'!$C$11:$AU$110,3,FALSE),0)</f>
        <v>400</v>
      </c>
      <c r="G373">
        <f>'Data Panjang Balok'!I370</f>
        <v>3100</v>
      </c>
      <c r="H373">
        <f>'Data Panjang Balok'!J370</f>
        <v>150</v>
      </c>
      <c r="J373">
        <f>I373-F373/1000</f>
        <v>-0.4</v>
      </c>
      <c r="K373">
        <f>'Data Panjang Balok'!E370</f>
        <v>1</v>
      </c>
      <c r="L373">
        <f>SUMIFS('Besi Balok'!$AA$23:$AA$12292,'Besi Balok'!$A$23:$A$12292,$A373,'Besi Balok'!$B$23:$B$12292,$B373,'Besi Balok'!$F$23:$F$12292,'REKAP Balok'!L$12)</f>
        <v>0</v>
      </c>
      <c r="M373">
        <f>SUMIFS('Besi Balok'!$AA$23:$AA$12292,'Besi Balok'!$A$23:$A$12292,$A373,'Besi Balok'!$B$23:$B$12292,$B373,'Besi Balok'!$F$23:$F$12292,'REKAP Balok'!M$12)</f>
        <v>0</v>
      </c>
      <c r="N373">
        <f>SUMIFS('Besi Balok'!$AA$23:$AA$12292,'Besi Balok'!$A$23:$A$12292,$A373,'Besi Balok'!$B$23:$B$12292,$B373,'Besi Balok'!$F$23:$F$12292,'REKAP Balok'!N$12)</f>
        <v>16.509870000000003</v>
      </c>
      <c r="O373">
        <f>SUMIFS('Besi Balok'!$AA$23:$AA$12292,'Besi Balok'!$A$23:$A$12292,$A373,'Besi Balok'!$B$23:$B$12292,$B373,'Besi Balok'!$F$23:$F$12292,'REKAP Balok'!O$12)</f>
        <v>0</v>
      </c>
      <c r="P373">
        <f>SUMIFS('Besi Balok'!$AA$23:$AA$12292,'Besi Balok'!$A$23:$A$12292,$A373,'Besi Balok'!$B$23:$B$12292,$B373,'Besi Balok'!$F$23:$F$12292,'REKAP Balok'!P$12)</f>
        <v>32.991528960000004</v>
      </c>
      <c r="Q373">
        <f>SUMIFS('Besi Balok'!$AA$23:$AA$12292,'Besi Balok'!$A$23:$A$12292,$A373,'Besi Balok'!$B$23:$B$12292,$B373,'Besi Balok'!$F$23:$F$12292,'REKAP Balok'!Q$12)</f>
        <v>0</v>
      </c>
      <c r="R373">
        <f>SUMIFS('Besi Balok'!$AA$23:$AA$12292,'Besi Balok'!$A$23:$A$12292,$A373,'Besi Balok'!$B$23:$B$12292,$B373,'Besi Balok'!$F$23:$F$12292,'REKAP Balok'!R$12)</f>
        <v>0</v>
      </c>
      <c r="S373">
        <f>SUMIFS('Besi Balok'!$AA$23:$AA$12292,'Besi Balok'!$A$23:$A$12292,$A373,'Besi Balok'!$B$23:$B$12292,$B373,'Besi Balok'!$F$23:$F$12292,'REKAP Balok'!S$12)</f>
        <v>0</v>
      </c>
      <c r="T373">
        <f>SUMIFS('Besi Balok'!$AA$23:$AA$12292,'Besi Balok'!$A$23:$A$12292,$A373,'Besi Balok'!$B$23:$B$12292,$B373,'Besi Balok'!$F$23:$F$12292,'REKAP Balok'!T$12)</f>
        <v>0</v>
      </c>
      <c r="U373">
        <f>SUM(L373:T373)</f>
        <v>49.50139896</v>
      </c>
      <c r="V373">
        <f>(D373*(F373-H373)*G373*K373)/1000000000</f>
        <v>0.155</v>
      </c>
      <c r="W373">
        <f>(((F373-H373)*2+D373)*(G373)*K373)/1000000</f>
        <v>2.17</v>
      </c>
      <c r="AC373">
        <f>(D373+2*$F$5)*F373*G373/1000000000</f>
        <v>0.496</v>
      </c>
    </row>
    <row r="374">
      <c r="A374" t="str">
        <f>'Data Panjang Balok'!A371</f>
        <v>Lantai Atap</v>
      </c>
      <c r="B374">
        <f>'Data Panjang Balok'!B371</f>
        <v>16</v>
      </c>
      <c r="C374" t="str">
        <f>'Data Panjang Balok'!D371</f>
        <v>CL24-1</v>
      </c>
      <c r="D374">
        <f>IF(C374&gt;0,VLOOKUP(C374,'Detail Balok'!$C$11:$AU$110,2,FALSE),0)</f>
        <v>200</v>
      </c>
      <c r="E374" t="str">
        <v>x</v>
      </c>
      <c r="F374">
        <f>IF(C374&gt;0,VLOOKUP(C374,'Detail Balok'!$C$11:$AU$110,3,FALSE),0)</f>
        <v>400</v>
      </c>
      <c r="G374">
        <f>'Data Panjang Balok'!I371</f>
        <v>2000</v>
      </c>
      <c r="H374">
        <f>'Data Panjang Balok'!J371</f>
        <v>150</v>
      </c>
      <c r="J374">
        <f>I374-F374/1000</f>
        <v>-0.4</v>
      </c>
      <c r="K374">
        <f>'Data Panjang Balok'!E371</f>
        <v>1</v>
      </c>
      <c r="L374">
        <f>SUMIFS('Besi Balok'!$AA$23:$AA$12292,'Besi Balok'!$A$23:$A$12292,$A374,'Besi Balok'!$B$23:$B$12292,$B374,'Besi Balok'!$F$23:$F$12292,'REKAP Balok'!L$12)</f>
        <v>0</v>
      </c>
      <c r="M374">
        <f>SUMIFS('Besi Balok'!$AA$23:$AA$12292,'Besi Balok'!$A$23:$A$12292,$A374,'Besi Balok'!$B$23:$B$12292,$B374,'Besi Balok'!$F$23:$F$12292,'REKAP Balok'!M$12)</f>
        <v>4.876761600000001</v>
      </c>
      <c r="N374">
        <f>SUMIFS('Besi Balok'!$AA$23:$AA$12292,'Besi Balok'!$A$23:$A$12292,$A374,'Besi Balok'!$B$23:$B$12292,$B374,'Besi Balok'!$F$23:$F$12292,'REKAP Balok'!N$12)</f>
        <v>0</v>
      </c>
      <c r="O374">
        <f>SUMIFS('Besi Balok'!$AA$23:$AA$12292,'Besi Balok'!$A$23:$A$12292,$A374,'Besi Balok'!$B$23:$B$12292,$B374,'Besi Balok'!$F$23:$F$12292,'REKAP Balok'!O$12)</f>
        <v>0</v>
      </c>
      <c r="P374">
        <f>SUMIFS('Besi Balok'!$AA$23:$AA$12292,'Besi Balok'!$A$23:$A$12292,$A374,'Besi Balok'!$B$23:$B$12292,$B374,'Besi Balok'!$F$23:$F$12292,'REKAP Balok'!P$12)</f>
        <v>18.812620799999998</v>
      </c>
      <c r="Q374">
        <f>SUMIFS('Besi Balok'!$AA$23:$AA$12292,'Besi Balok'!$A$23:$A$12292,$A374,'Besi Balok'!$B$23:$B$12292,$B374,'Besi Balok'!$F$23:$F$12292,'REKAP Balok'!Q$12)</f>
        <v>0</v>
      </c>
      <c r="R374">
        <f>SUMIFS('Besi Balok'!$AA$23:$AA$12292,'Besi Balok'!$A$23:$A$12292,$A374,'Besi Balok'!$B$23:$B$12292,$B374,'Besi Balok'!$F$23:$F$12292,'REKAP Balok'!R$12)</f>
        <v>0</v>
      </c>
      <c r="S374">
        <f>SUMIFS('Besi Balok'!$AA$23:$AA$12292,'Besi Balok'!$A$23:$A$12292,$A374,'Besi Balok'!$B$23:$B$12292,$B374,'Besi Balok'!$F$23:$F$12292,'REKAP Balok'!S$12)</f>
        <v>0</v>
      </c>
      <c r="T374">
        <f>SUMIFS('Besi Balok'!$AA$23:$AA$12292,'Besi Balok'!$A$23:$A$12292,$A374,'Besi Balok'!$B$23:$B$12292,$B374,'Besi Balok'!$F$23:$F$12292,'REKAP Balok'!T$12)</f>
        <v>0</v>
      </c>
      <c r="U374">
        <f>SUM(L374:T374)</f>
        <v>23.6893824</v>
      </c>
      <c r="V374">
        <f>(D374*(F374-H374)*G374*K374)/1000000000</f>
        <v>0.1</v>
      </c>
      <c r="W374">
        <f>(((F374-H374)*2+D374)*(G374)*K374)/1000000</f>
        <v>1.4</v>
      </c>
      <c r="AC374">
        <f>(D374+2*$F$5)*F374*G374/1000000000</f>
        <v>0.32</v>
      </c>
    </row>
    <row r="375">
      <c r="A375" t="str">
        <f>'Data Panjang Balok'!A372</f>
        <v>Lantai Atap</v>
      </c>
      <c r="B375">
        <f>'Data Panjang Balok'!B372</f>
        <v>17</v>
      </c>
      <c r="C375" t="str">
        <f>'Data Panjang Balok'!D372</f>
        <v>B245-2</v>
      </c>
      <c r="D375">
        <f>IF(C375&gt;0,VLOOKUP(C375,'Detail Balok'!$C$11:$AU$110,2,FALSE),0)</f>
        <v>200</v>
      </c>
      <c r="E375" t="str">
        <v>x</v>
      </c>
      <c r="F375">
        <f>IF(C375&gt;0,VLOOKUP(C375,'Detail Balok'!$C$11:$AU$110,3,FALSE),0)</f>
        <v>450</v>
      </c>
      <c r="G375">
        <f>'Data Panjang Balok'!I372</f>
        <v>6000</v>
      </c>
      <c r="H375">
        <f>'Data Panjang Balok'!J372</f>
        <v>150</v>
      </c>
      <c r="J375">
        <f>I375-F375/1000</f>
        <v>-0.45</v>
      </c>
      <c r="K375">
        <f>'Data Panjang Balok'!E372</f>
        <v>1</v>
      </c>
      <c r="L375">
        <f>SUMIFS('Besi Balok'!$AA$23:$AA$12292,'Besi Balok'!$A$23:$A$12292,$A375,'Besi Balok'!$B$23:$B$12292,$B375,'Besi Balok'!$F$23:$F$12292,'REKAP Balok'!L$12)</f>
        <v>0</v>
      </c>
      <c r="M375">
        <f>SUMIFS('Besi Balok'!$AA$23:$AA$12292,'Besi Balok'!$A$23:$A$12292,$A375,'Besi Balok'!$B$23:$B$12292,$B375,'Besi Balok'!$F$23:$F$12292,'REKAP Balok'!M$12)</f>
        <v>25.841312639999998</v>
      </c>
      <c r="N375">
        <f>SUMIFS('Besi Balok'!$AA$23:$AA$12292,'Besi Balok'!$A$23:$A$12292,$A375,'Besi Balok'!$B$23:$B$12292,$B375,'Besi Balok'!$F$23:$F$12292,'REKAP Balok'!N$12)</f>
        <v>0</v>
      </c>
      <c r="O375">
        <f>SUMIFS('Besi Balok'!$AA$23:$AA$12292,'Besi Balok'!$A$23:$A$12292,$A375,'Besi Balok'!$B$23:$B$12292,$B375,'Besi Balok'!$F$23:$F$12292,'REKAP Balok'!O$12)</f>
        <v>39.45826871999999</v>
      </c>
      <c r="P375">
        <f>SUMIFS('Besi Balok'!$AA$23:$AA$12292,'Besi Balok'!$A$23:$A$12292,$A375,'Besi Balok'!$B$23:$B$12292,$B375,'Besi Balok'!$F$23:$F$12292,'REKAP Balok'!P$12)</f>
        <v>0</v>
      </c>
      <c r="Q375">
        <f>SUMIFS('Besi Balok'!$AA$23:$AA$12292,'Besi Balok'!$A$23:$A$12292,$A375,'Besi Balok'!$B$23:$B$12292,$B375,'Besi Balok'!$F$23:$F$12292,'REKAP Balok'!Q$12)</f>
        <v>0</v>
      </c>
      <c r="R375">
        <f>SUMIFS('Besi Balok'!$AA$23:$AA$12292,'Besi Balok'!$A$23:$A$12292,$A375,'Besi Balok'!$B$23:$B$12292,$B375,'Besi Balok'!$F$23:$F$12292,'REKAP Balok'!R$12)</f>
        <v>0</v>
      </c>
      <c r="S375">
        <f>SUMIFS('Besi Balok'!$AA$23:$AA$12292,'Besi Balok'!$A$23:$A$12292,$A375,'Besi Balok'!$B$23:$B$12292,$B375,'Besi Balok'!$F$23:$F$12292,'REKAP Balok'!S$12)</f>
        <v>0</v>
      </c>
      <c r="T375">
        <f>SUMIFS('Besi Balok'!$AA$23:$AA$12292,'Besi Balok'!$A$23:$A$12292,$A375,'Besi Balok'!$B$23:$B$12292,$B375,'Besi Balok'!$F$23:$F$12292,'REKAP Balok'!T$12)</f>
        <v>0</v>
      </c>
      <c r="U375">
        <f>SUM(L375:T375)</f>
        <v>65.29958135999999</v>
      </c>
      <c r="V375">
        <f>(D375*(F375-H375)*G375*K375)/1000000000</f>
        <v>0.36</v>
      </c>
      <c r="W375">
        <f>(((F375-H375)*2+D375)*(G375)*K375)/1000000</f>
        <v>4.8</v>
      </c>
      <c r="AC375">
        <f>(D375+2*$F$5)*F375*G375/1000000000</f>
        <v>1.08</v>
      </c>
    </row>
    <row r="376">
      <c r="A376" t="str">
        <f>'Data Panjang Balok'!A373</f>
        <v>Lantai Atap</v>
      </c>
      <c r="B376">
        <f>'Data Panjang Balok'!B373</f>
        <v>18</v>
      </c>
      <c r="C376" t="str">
        <f>'Data Panjang Balok'!D373</f>
        <v>B245-2</v>
      </c>
      <c r="D376">
        <f>IF(C376&gt;0,VLOOKUP(C376,'Detail Balok'!$C$11:$AU$110,2,FALSE),0)</f>
        <v>200</v>
      </c>
      <c r="E376" t="str">
        <v>x</v>
      </c>
      <c r="F376">
        <f>IF(C376&gt;0,VLOOKUP(C376,'Detail Balok'!$C$11:$AU$110,3,FALSE),0)</f>
        <v>450</v>
      </c>
      <c r="G376">
        <f>'Data Panjang Balok'!I373</f>
        <v>5000</v>
      </c>
      <c r="H376">
        <f>'Data Panjang Balok'!J373</f>
        <v>150</v>
      </c>
      <c r="J376">
        <f>I376-F376/1000</f>
        <v>-0.45</v>
      </c>
      <c r="K376">
        <f>'Data Panjang Balok'!E373</f>
        <v>1</v>
      </c>
      <c r="L376">
        <f>SUMIFS('Besi Balok'!$AA$23:$AA$12292,'Besi Balok'!$A$23:$A$12292,$A376,'Besi Balok'!$B$23:$B$12292,$B376,'Besi Balok'!$F$23:$F$12292,'REKAP Balok'!L$12)</f>
        <v>0</v>
      </c>
      <c r="M376">
        <f>SUMIFS('Besi Balok'!$AA$23:$AA$12292,'Besi Balok'!$A$23:$A$12292,$A376,'Besi Balok'!$B$23:$B$12292,$B376,'Besi Balok'!$F$23:$F$12292,'REKAP Balok'!M$12)</f>
        <v>22.37707584</v>
      </c>
      <c r="N376">
        <f>SUMIFS('Besi Balok'!$AA$23:$AA$12292,'Besi Balok'!$A$23:$A$12292,$A376,'Besi Balok'!$B$23:$B$12292,$B376,'Besi Balok'!$F$23:$F$12292,'REKAP Balok'!N$12)</f>
        <v>0</v>
      </c>
      <c r="O376">
        <f>SUMIFS('Besi Balok'!$AA$23:$AA$12292,'Besi Balok'!$A$23:$A$12292,$A376,'Besi Balok'!$B$23:$B$12292,$B376,'Besi Balok'!$F$23:$F$12292,'REKAP Balok'!O$12)</f>
        <v>33.20695871999999</v>
      </c>
      <c r="P376">
        <f>SUMIFS('Besi Balok'!$AA$23:$AA$12292,'Besi Balok'!$A$23:$A$12292,$A376,'Besi Balok'!$B$23:$B$12292,$B376,'Besi Balok'!$F$23:$F$12292,'REKAP Balok'!P$12)</f>
        <v>0</v>
      </c>
      <c r="Q376">
        <f>SUMIFS('Besi Balok'!$AA$23:$AA$12292,'Besi Balok'!$A$23:$A$12292,$A376,'Besi Balok'!$B$23:$B$12292,$B376,'Besi Balok'!$F$23:$F$12292,'REKAP Balok'!Q$12)</f>
        <v>0</v>
      </c>
      <c r="R376">
        <f>SUMIFS('Besi Balok'!$AA$23:$AA$12292,'Besi Balok'!$A$23:$A$12292,$A376,'Besi Balok'!$B$23:$B$12292,$B376,'Besi Balok'!$F$23:$F$12292,'REKAP Balok'!R$12)</f>
        <v>0</v>
      </c>
      <c r="S376">
        <f>SUMIFS('Besi Balok'!$AA$23:$AA$12292,'Besi Balok'!$A$23:$A$12292,$A376,'Besi Balok'!$B$23:$B$12292,$B376,'Besi Balok'!$F$23:$F$12292,'REKAP Balok'!S$12)</f>
        <v>0</v>
      </c>
      <c r="T376">
        <f>SUMIFS('Besi Balok'!$AA$23:$AA$12292,'Besi Balok'!$A$23:$A$12292,$A376,'Besi Balok'!$B$23:$B$12292,$B376,'Besi Balok'!$F$23:$F$12292,'REKAP Balok'!T$12)</f>
        <v>0</v>
      </c>
      <c r="U376">
        <f>SUM(L376:T376)</f>
        <v>55.58403455999999</v>
      </c>
      <c r="V376">
        <f>(D376*(F376-H376)*G376*K376)/1000000000</f>
        <v>0.3</v>
      </c>
      <c r="W376">
        <f>(((F376-H376)*2+D376)*(G376)*K376)/1000000</f>
        <v>4</v>
      </c>
      <c r="AC376">
        <f>(D376+2*$F$5)*F376*G376/1000000000</f>
        <v>0.9</v>
      </c>
    </row>
    <row r="377">
      <c r="A377" t="str">
        <f>'Data Panjang Balok'!A374</f>
        <v>Lantai Atap</v>
      </c>
      <c r="B377">
        <f>'Data Panjang Balok'!B374</f>
        <v>19</v>
      </c>
      <c r="C377" t="str">
        <f>'Data Panjang Balok'!D374</f>
        <v>B24-1</v>
      </c>
      <c r="D377">
        <f>IF(C377&gt;0,VLOOKUP(C377,'Detail Balok'!$C$11:$AU$110,2,FALSE),0)</f>
        <v>200</v>
      </c>
      <c r="E377" t="str">
        <v>x</v>
      </c>
      <c r="F377">
        <f>IF(C377&gt;0,VLOOKUP(C377,'Detail Balok'!$C$11:$AU$110,3,FALSE),0)</f>
        <v>400</v>
      </c>
      <c r="G377">
        <f>'Data Panjang Balok'!I374</f>
        <v>7400</v>
      </c>
      <c r="H377">
        <f>'Data Panjang Balok'!J374</f>
        <v>150</v>
      </c>
      <c r="J377">
        <f>I377-F377/1000</f>
        <v>-0.4</v>
      </c>
      <c r="K377">
        <f>'Data Panjang Balok'!E374</f>
        <v>1</v>
      </c>
      <c r="L377">
        <f>SUMIFS('Besi Balok'!$AA$23:$AA$12292,'Besi Balok'!$A$23:$A$12292,$A377,'Besi Balok'!$B$23:$B$12292,$B377,'Besi Balok'!$F$23:$F$12292,'REKAP Balok'!L$12)</f>
        <v>0</v>
      </c>
      <c r="M377">
        <f>SUMIFS('Besi Balok'!$AA$23:$AA$12292,'Besi Balok'!$A$23:$A$12292,$A377,'Besi Balok'!$B$23:$B$12292,$B377,'Besi Balok'!$F$23:$F$12292,'REKAP Balok'!M$12)</f>
        <v>23.977411200000006</v>
      </c>
      <c r="N377">
        <f>SUMIFS('Besi Balok'!$AA$23:$AA$12292,'Besi Balok'!$A$23:$A$12292,$A377,'Besi Balok'!$B$23:$B$12292,$B377,'Besi Balok'!$F$23:$F$12292,'REKAP Balok'!N$12)</f>
        <v>0</v>
      </c>
      <c r="O377">
        <f>SUMIFS('Besi Balok'!$AA$23:$AA$12292,'Besi Balok'!$A$23:$A$12292,$A377,'Besi Balok'!$B$23:$B$12292,$B377,'Besi Balok'!$F$23:$F$12292,'REKAP Balok'!O$12)</f>
        <v>32.140068480000004</v>
      </c>
      <c r="P377">
        <f>SUMIFS('Besi Balok'!$AA$23:$AA$12292,'Besi Balok'!$A$23:$A$12292,$A377,'Besi Balok'!$B$23:$B$12292,$B377,'Besi Balok'!$F$23:$F$12292,'REKAP Balok'!P$12)</f>
        <v>0</v>
      </c>
      <c r="Q377">
        <f>SUMIFS('Besi Balok'!$AA$23:$AA$12292,'Besi Balok'!$A$23:$A$12292,$A377,'Besi Balok'!$B$23:$B$12292,$B377,'Besi Balok'!$F$23:$F$12292,'REKAP Balok'!Q$12)</f>
        <v>0</v>
      </c>
      <c r="R377">
        <f>SUMIFS('Besi Balok'!$AA$23:$AA$12292,'Besi Balok'!$A$23:$A$12292,$A377,'Besi Balok'!$B$23:$B$12292,$B377,'Besi Balok'!$F$23:$F$12292,'REKAP Balok'!R$12)</f>
        <v>0</v>
      </c>
      <c r="S377">
        <f>SUMIFS('Besi Balok'!$AA$23:$AA$12292,'Besi Balok'!$A$23:$A$12292,$A377,'Besi Balok'!$B$23:$B$12292,$B377,'Besi Balok'!$F$23:$F$12292,'REKAP Balok'!S$12)</f>
        <v>0</v>
      </c>
      <c r="T377">
        <f>SUMIFS('Besi Balok'!$AA$23:$AA$12292,'Besi Balok'!$A$23:$A$12292,$A377,'Besi Balok'!$B$23:$B$12292,$B377,'Besi Balok'!$F$23:$F$12292,'REKAP Balok'!T$12)</f>
        <v>0</v>
      </c>
      <c r="U377">
        <f>SUM(L377:T377)</f>
        <v>56.11747968000001</v>
      </c>
      <c r="V377">
        <f>(D377*(F377-H377)*G377*K377)/1000000000</f>
        <v>0.37</v>
      </c>
      <c r="W377">
        <f>(((F377-H377)*2+D377)*(G377)*K377)/1000000</f>
        <v>5.18</v>
      </c>
      <c r="AC377">
        <f>(D377+2*$F$5)*F377*G377/1000000000</f>
        <v>1.184</v>
      </c>
    </row>
    <row r="378">
      <c r="A378" t="str">
        <f>'Data Panjang Balok'!A375</f>
        <v>Lantai Atap</v>
      </c>
      <c r="B378">
        <f>'Data Panjang Balok'!B375</f>
        <v>20</v>
      </c>
      <c r="C378" t="str">
        <f>'Data Panjang Balok'!D375</f>
        <v>CL24-1</v>
      </c>
      <c r="D378">
        <f>IF(C378&gt;0,VLOOKUP(C378,'Detail Balok'!$C$11:$AU$110,2,FALSE),0)</f>
        <v>200</v>
      </c>
      <c r="E378" t="str">
        <v>x</v>
      </c>
      <c r="F378">
        <f>IF(C378&gt;0,VLOOKUP(C378,'Detail Balok'!$C$11:$AU$110,3,FALSE),0)</f>
        <v>400</v>
      </c>
      <c r="G378">
        <f>'Data Panjang Balok'!I375</f>
        <v>1900</v>
      </c>
      <c r="H378">
        <f>'Data Panjang Balok'!J375</f>
        <v>150</v>
      </c>
      <c r="J378">
        <f>I378-F378/1000</f>
        <v>-0.4</v>
      </c>
      <c r="K378">
        <f>'Data Panjang Balok'!E375</f>
        <v>1</v>
      </c>
      <c r="L378">
        <f>SUMIFS('Besi Balok'!$AA$23:$AA$12292,'Besi Balok'!$A$23:$A$12292,$A378,'Besi Balok'!$B$23:$B$12292,$B378,'Besi Balok'!$F$23:$F$12292,'REKAP Balok'!L$12)</f>
        <v>0</v>
      </c>
      <c r="M378">
        <f>SUMIFS('Besi Balok'!$AA$23:$AA$12292,'Besi Balok'!$A$23:$A$12292,$A378,'Besi Balok'!$B$23:$B$12292,$B378,'Besi Balok'!$F$23:$F$12292,'REKAP Balok'!M$12)</f>
        <v>4.876761600000001</v>
      </c>
      <c r="N378">
        <f>SUMIFS('Besi Balok'!$AA$23:$AA$12292,'Besi Balok'!$A$23:$A$12292,$A378,'Besi Balok'!$B$23:$B$12292,$B378,'Besi Balok'!$F$23:$F$12292,'REKAP Balok'!N$12)</f>
        <v>0</v>
      </c>
      <c r="O378">
        <f>SUMIFS('Besi Balok'!$AA$23:$AA$12292,'Besi Balok'!$A$23:$A$12292,$A378,'Besi Balok'!$B$23:$B$12292,$B378,'Besi Balok'!$F$23:$F$12292,'REKAP Balok'!O$12)</f>
        <v>0</v>
      </c>
      <c r="P378">
        <f>SUMIFS('Besi Balok'!$AA$23:$AA$12292,'Besi Balok'!$A$23:$A$12292,$A378,'Besi Balok'!$B$23:$B$12292,$B378,'Besi Balok'!$F$23:$F$12292,'REKAP Balok'!P$12)</f>
        <v>18.023500799999997</v>
      </c>
      <c r="Q378">
        <f>SUMIFS('Besi Balok'!$AA$23:$AA$12292,'Besi Balok'!$A$23:$A$12292,$A378,'Besi Balok'!$B$23:$B$12292,$B378,'Besi Balok'!$F$23:$F$12292,'REKAP Balok'!Q$12)</f>
        <v>0</v>
      </c>
      <c r="R378">
        <f>SUMIFS('Besi Balok'!$AA$23:$AA$12292,'Besi Balok'!$A$23:$A$12292,$A378,'Besi Balok'!$B$23:$B$12292,$B378,'Besi Balok'!$F$23:$F$12292,'REKAP Balok'!R$12)</f>
        <v>0</v>
      </c>
      <c r="S378">
        <f>SUMIFS('Besi Balok'!$AA$23:$AA$12292,'Besi Balok'!$A$23:$A$12292,$A378,'Besi Balok'!$B$23:$B$12292,$B378,'Besi Balok'!$F$23:$F$12292,'REKAP Balok'!S$12)</f>
        <v>0</v>
      </c>
      <c r="T378">
        <f>SUMIFS('Besi Balok'!$AA$23:$AA$12292,'Besi Balok'!$A$23:$A$12292,$A378,'Besi Balok'!$B$23:$B$12292,$B378,'Besi Balok'!$F$23:$F$12292,'REKAP Balok'!T$12)</f>
        <v>0</v>
      </c>
      <c r="U378">
        <f>SUM(L378:T378)</f>
        <v>22.9002624</v>
      </c>
      <c r="V378">
        <f>(D378*(F378-H378)*G378*K378)/1000000000</f>
        <v>0.095</v>
      </c>
      <c r="W378">
        <f>(((F378-H378)*2+D378)*(G378)*K378)/1000000</f>
        <v>1.33</v>
      </c>
      <c r="AC378">
        <f>(D378+2*$F$5)*F378*G378/1000000000</f>
        <v>0.304</v>
      </c>
    </row>
    <row r="379">
      <c r="A379" t="str">
        <f>'Data Panjang Balok'!A376</f>
        <v>Lantai Atap</v>
      </c>
      <c r="B379">
        <f>'Data Panjang Balok'!B376</f>
        <v>21</v>
      </c>
      <c r="C379" t="str">
        <f>'Data Panjang Balok'!D376</f>
        <v>B24-3</v>
      </c>
      <c r="D379">
        <f>IF(C379&gt;0,VLOOKUP(C379,'Detail Balok'!$C$11:$AU$110,2,FALSE),0)</f>
        <v>200</v>
      </c>
      <c r="E379" t="str">
        <v>x</v>
      </c>
      <c r="F379">
        <f>IF(C379&gt;0,VLOOKUP(C379,'Detail Balok'!$C$11:$AU$110,3,FALSE),0)</f>
        <v>400</v>
      </c>
      <c r="G379">
        <f>'Data Panjang Balok'!I376</f>
        <v>2000</v>
      </c>
      <c r="H379">
        <f>'Data Panjang Balok'!J376</f>
        <v>150</v>
      </c>
      <c r="J379">
        <f>I379-F379/1000</f>
        <v>-0.4</v>
      </c>
      <c r="K379">
        <f>'Data Panjang Balok'!E376</f>
        <v>1</v>
      </c>
      <c r="L379">
        <f>SUMIFS('Besi Balok'!$AA$23:$AA$12292,'Besi Balok'!$A$23:$A$12292,$A379,'Besi Balok'!$B$23:$B$12292,$B379,'Besi Balok'!$F$23:$F$12292,'REKAP Balok'!L$12)</f>
        <v>0</v>
      </c>
      <c r="M379">
        <f>SUMIFS('Besi Balok'!$AA$23:$AA$12292,'Besi Balok'!$A$23:$A$12292,$A379,'Besi Balok'!$B$23:$B$12292,$B379,'Besi Balok'!$F$23:$F$12292,'REKAP Balok'!M$12)</f>
        <v>0</v>
      </c>
      <c r="N379">
        <f>SUMIFS('Besi Balok'!$AA$23:$AA$12292,'Besi Balok'!$A$23:$A$12292,$A379,'Besi Balok'!$B$23:$B$12292,$B379,'Besi Balok'!$F$23:$F$12292,'REKAP Balok'!N$12)</f>
        <v>12.699900000000001</v>
      </c>
      <c r="O379">
        <f>SUMIFS('Besi Balok'!$AA$23:$AA$12292,'Besi Balok'!$A$23:$A$12292,$A379,'Besi Balok'!$B$23:$B$12292,$B379,'Besi Balok'!$F$23:$F$12292,'REKAP Balok'!O$12)</f>
        <v>0</v>
      </c>
      <c r="P379">
        <f>SUMIFS('Besi Balok'!$AA$23:$AA$12292,'Besi Balok'!$A$23:$A$12292,$A379,'Besi Balok'!$B$23:$B$12292,$B379,'Besi Balok'!$F$23:$F$12292,'REKAP Balok'!P$12)</f>
        <v>22.57514496</v>
      </c>
      <c r="Q379">
        <f>SUMIFS('Besi Balok'!$AA$23:$AA$12292,'Besi Balok'!$A$23:$A$12292,$A379,'Besi Balok'!$B$23:$B$12292,$B379,'Besi Balok'!$F$23:$F$12292,'REKAP Balok'!Q$12)</f>
        <v>0</v>
      </c>
      <c r="R379">
        <f>SUMIFS('Besi Balok'!$AA$23:$AA$12292,'Besi Balok'!$A$23:$A$12292,$A379,'Besi Balok'!$B$23:$B$12292,$B379,'Besi Balok'!$F$23:$F$12292,'REKAP Balok'!R$12)</f>
        <v>0</v>
      </c>
      <c r="S379">
        <f>SUMIFS('Besi Balok'!$AA$23:$AA$12292,'Besi Balok'!$A$23:$A$12292,$A379,'Besi Balok'!$B$23:$B$12292,$B379,'Besi Balok'!$F$23:$F$12292,'REKAP Balok'!S$12)</f>
        <v>0</v>
      </c>
      <c r="T379">
        <f>SUMIFS('Besi Balok'!$AA$23:$AA$12292,'Besi Balok'!$A$23:$A$12292,$A379,'Besi Balok'!$B$23:$B$12292,$B379,'Besi Balok'!$F$23:$F$12292,'REKAP Balok'!T$12)</f>
        <v>0</v>
      </c>
      <c r="U379">
        <f>SUM(L379:T379)</f>
        <v>35.27504496</v>
      </c>
      <c r="V379">
        <f>(D379*(F379-H379)*G379*K379)/1000000000</f>
        <v>0.1</v>
      </c>
      <c r="W379">
        <f>(((F379-H379)*2+D379)*(G379)*K379)/1000000</f>
        <v>1.4</v>
      </c>
      <c r="AC379">
        <f>(D379+2*$F$5)*F379*G379/1000000000</f>
        <v>0.32</v>
      </c>
    </row>
    <row r="380">
      <c r="A380" t="str">
        <f>'Data Panjang Balok'!A377</f>
        <v>Lantai Atap</v>
      </c>
      <c r="B380">
        <f>'Data Panjang Balok'!B377</f>
        <v>22</v>
      </c>
      <c r="C380" t="str">
        <f>'Data Panjang Balok'!D377</f>
        <v>B25-6</v>
      </c>
      <c r="D380">
        <f>IF(C380&gt;0,VLOOKUP(C380,'Detail Balok'!$C$11:$AU$110,2,FALSE),0)</f>
        <v>200</v>
      </c>
      <c r="E380" t="str">
        <v>x</v>
      </c>
      <c r="F380">
        <f>IF(C380&gt;0,VLOOKUP(C380,'Detail Balok'!$C$11:$AU$110,3,FALSE),0)</f>
        <v>500</v>
      </c>
      <c r="G380">
        <f>'Data Panjang Balok'!I377</f>
        <v>11100</v>
      </c>
      <c r="H380">
        <f>'Data Panjang Balok'!J377</f>
        <v>0</v>
      </c>
      <c r="J380">
        <f>I380-F380/1000</f>
        <v>-0.5</v>
      </c>
      <c r="K380">
        <f>'Data Panjang Balok'!E377</f>
        <v>1</v>
      </c>
      <c r="L380">
        <f>SUMIFS('Besi Balok'!$AA$23:$AA$12292,'Besi Balok'!$A$23:$A$12292,$A380,'Besi Balok'!$B$23:$B$12292,$B380,'Besi Balok'!$F$23:$F$12292,'REKAP Balok'!L$12)</f>
        <v>0</v>
      </c>
      <c r="M380">
        <f>SUMIFS('Besi Balok'!$AA$23:$AA$12292,'Besi Balok'!$A$23:$A$12292,$A380,'Besi Balok'!$B$23:$B$12292,$B380,'Besi Balok'!$F$23:$F$12292,'REKAP Balok'!M$12)</f>
        <v>0</v>
      </c>
      <c r="N380">
        <f>SUMIFS('Besi Balok'!$AA$23:$AA$12292,'Besi Balok'!$A$23:$A$12292,$A380,'Besi Balok'!$B$23:$B$12292,$B380,'Besi Balok'!$F$23:$F$12292,'REKAP Balok'!N$12)</f>
        <v>79.19559</v>
      </c>
      <c r="O380">
        <f>SUMIFS('Besi Balok'!$AA$23:$AA$12292,'Besi Balok'!$A$23:$A$12292,$A380,'Besi Balok'!$B$23:$B$12292,$B380,'Besi Balok'!$F$23:$F$12292,'REKAP Balok'!O$12)</f>
        <v>0</v>
      </c>
      <c r="P380">
        <f>SUMIFS('Besi Balok'!$AA$23:$AA$12292,'Besi Balok'!$A$23:$A$12292,$A380,'Besi Balok'!$B$23:$B$12292,$B380,'Besi Balok'!$F$23:$F$12292,'REKAP Balok'!P$12)</f>
        <v>126.63482112000001</v>
      </c>
      <c r="Q380">
        <f>SUMIFS('Besi Balok'!$AA$23:$AA$12292,'Besi Balok'!$A$23:$A$12292,$A380,'Besi Balok'!$B$23:$B$12292,$B380,'Besi Balok'!$F$23:$F$12292,'REKAP Balok'!Q$12)</f>
        <v>0</v>
      </c>
      <c r="R380">
        <f>SUMIFS('Besi Balok'!$AA$23:$AA$12292,'Besi Balok'!$A$23:$A$12292,$A380,'Besi Balok'!$B$23:$B$12292,$B380,'Besi Balok'!$F$23:$F$12292,'REKAP Balok'!R$12)</f>
        <v>0</v>
      </c>
      <c r="S380">
        <f>SUMIFS('Besi Balok'!$AA$23:$AA$12292,'Besi Balok'!$A$23:$A$12292,$A380,'Besi Balok'!$B$23:$B$12292,$B380,'Besi Balok'!$F$23:$F$12292,'REKAP Balok'!S$12)</f>
        <v>0</v>
      </c>
      <c r="T380">
        <f>SUMIFS('Besi Balok'!$AA$23:$AA$12292,'Besi Balok'!$A$23:$A$12292,$A380,'Besi Balok'!$B$23:$B$12292,$B380,'Besi Balok'!$F$23:$F$12292,'REKAP Balok'!T$12)</f>
        <v>0</v>
      </c>
      <c r="U380">
        <f>SUM(L380:T380)</f>
        <v>205.83041112</v>
      </c>
      <c r="V380">
        <f>(D380*(F380-H380)*G380*K380)/1000000000</f>
        <v>1.11</v>
      </c>
      <c r="W380">
        <f>(((F380-H380)*2+D380)*(G380)*K380)/1000000</f>
        <v>13.32</v>
      </c>
      <c r="AC380">
        <f>(D380+2*$F$5)*F380*G380/1000000000</f>
        <v>2.22</v>
      </c>
    </row>
    <row r="381">
      <c r="A381" t="str">
        <f>'Data Panjang Balok'!A378</f>
        <v>Lantai Atap</v>
      </c>
      <c r="B381">
        <f>'Data Panjang Balok'!B378</f>
        <v>23</v>
      </c>
      <c r="C381" t="str">
        <f>'Data Panjang Balok'!D378</f>
        <v>B245-2</v>
      </c>
      <c r="D381">
        <f>IF(C381&gt;0,VLOOKUP(C381,'Detail Balok'!$C$11:$AU$110,2,FALSE),0)</f>
        <v>200</v>
      </c>
      <c r="E381" t="str">
        <v>x</v>
      </c>
      <c r="F381">
        <f>IF(C381&gt;0,VLOOKUP(C381,'Detail Balok'!$C$11:$AU$110,3,FALSE),0)</f>
        <v>450</v>
      </c>
      <c r="G381">
        <f>'Data Panjang Balok'!I378</f>
        <v>900</v>
      </c>
      <c r="H381">
        <f>'Data Panjang Balok'!J378</f>
        <v>150</v>
      </c>
      <c r="J381">
        <f>I381-F381/1000</f>
        <v>-0.45</v>
      </c>
      <c r="K381">
        <f>'Data Panjang Balok'!E378</f>
        <v>1</v>
      </c>
      <c r="L381">
        <f>SUMIFS('Besi Balok'!$AA$23:$AA$12292,'Besi Balok'!$A$23:$A$12292,$A381,'Besi Balok'!$B$23:$B$12292,$B381,'Besi Balok'!$F$23:$F$12292,'REKAP Balok'!L$12)</f>
        <v>0</v>
      </c>
      <c r="M381">
        <f>SUMIFS('Besi Balok'!$AA$23:$AA$12292,'Besi Balok'!$A$23:$A$12292,$A381,'Besi Balok'!$B$23:$B$12292,$B381,'Besi Balok'!$F$23:$F$12292,'REKAP Balok'!M$12)</f>
        <v>5.32024704</v>
      </c>
      <c r="N381">
        <f>SUMIFS('Besi Balok'!$AA$23:$AA$12292,'Besi Balok'!$A$23:$A$12292,$A381,'Besi Balok'!$B$23:$B$12292,$B381,'Besi Balok'!$F$23:$F$12292,'REKAP Balok'!N$12)</f>
        <v>0</v>
      </c>
      <c r="O381">
        <f>SUMIFS('Besi Balok'!$AA$23:$AA$12292,'Besi Balok'!$A$23:$A$12292,$A381,'Besi Balok'!$B$23:$B$12292,$B381,'Besi Balok'!$F$23:$F$12292,'REKAP Balok'!O$12)</f>
        <v>7.57658772</v>
      </c>
      <c r="P381">
        <f>SUMIFS('Besi Balok'!$AA$23:$AA$12292,'Besi Balok'!$A$23:$A$12292,$A381,'Besi Balok'!$B$23:$B$12292,$B381,'Besi Balok'!$F$23:$F$12292,'REKAP Balok'!P$12)</f>
        <v>0</v>
      </c>
      <c r="Q381">
        <f>SUMIFS('Besi Balok'!$AA$23:$AA$12292,'Besi Balok'!$A$23:$A$12292,$A381,'Besi Balok'!$B$23:$B$12292,$B381,'Besi Balok'!$F$23:$F$12292,'REKAP Balok'!Q$12)</f>
        <v>0</v>
      </c>
      <c r="R381">
        <f>SUMIFS('Besi Balok'!$AA$23:$AA$12292,'Besi Balok'!$A$23:$A$12292,$A381,'Besi Balok'!$B$23:$B$12292,$B381,'Besi Balok'!$F$23:$F$12292,'REKAP Balok'!R$12)</f>
        <v>0</v>
      </c>
      <c r="S381">
        <f>SUMIFS('Besi Balok'!$AA$23:$AA$12292,'Besi Balok'!$A$23:$A$12292,$A381,'Besi Balok'!$B$23:$B$12292,$B381,'Besi Balok'!$F$23:$F$12292,'REKAP Balok'!S$12)</f>
        <v>0</v>
      </c>
      <c r="T381">
        <f>SUMIFS('Besi Balok'!$AA$23:$AA$12292,'Besi Balok'!$A$23:$A$12292,$A381,'Besi Balok'!$B$23:$B$12292,$B381,'Besi Balok'!$F$23:$F$12292,'REKAP Balok'!T$12)</f>
        <v>0</v>
      </c>
      <c r="U381">
        <f>SUM(L381:T381)</f>
        <v>12.89683476</v>
      </c>
      <c r="V381">
        <f>(D381*(F381-H381)*G381*K381)/1000000000</f>
        <v>0.054</v>
      </c>
      <c r="W381">
        <f>(((F381-H381)*2+D381)*(G381)*K381)/1000000</f>
        <v>0.72</v>
      </c>
      <c r="AC381">
        <f>(D381+2*$F$5)*F381*G381/1000000000</f>
        <v>0.162</v>
      </c>
    </row>
    <row r="382">
      <c r="A382" t="str">
        <f>'Data Panjang Balok'!A379</f>
        <v>Lantai Atap</v>
      </c>
      <c r="B382">
        <f>'Data Panjang Balok'!B379</f>
        <v>24</v>
      </c>
      <c r="C382" t="str">
        <f>'Data Panjang Balok'!D379</f>
        <v>B24-1</v>
      </c>
      <c r="D382">
        <f>IF(C382&gt;0,VLOOKUP(C382,'Detail Balok'!$C$11:$AU$110,2,FALSE),0)</f>
        <v>200</v>
      </c>
      <c r="E382" t="str">
        <v>x</v>
      </c>
      <c r="F382">
        <f>IF(C382&gt;0,VLOOKUP(C382,'Detail Balok'!$C$11:$AU$110,3,FALSE),0)</f>
        <v>400</v>
      </c>
      <c r="G382">
        <f>'Data Panjang Balok'!I379</f>
        <v>1500</v>
      </c>
      <c r="H382">
        <f>'Data Panjang Balok'!J379</f>
        <v>150</v>
      </c>
      <c r="J382">
        <f>I382-F382/1000</f>
        <v>-0.4</v>
      </c>
      <c r="K382">
        <f>'Data Panjang Balok'!E379</f>
        <v>1</v>
      </c>
      <c r="L382">
        <f>SUMIFS('Besi Balok'!$AA$23:$AA$12292,'Besi Balok'!$A$23:$A$12292,$A382,'Besi Balok'!$B$23:$B$12292,$B382,'Besi Balok'!$F$23:$F$12292,'REKAP Balok'!L$12)</f>
        <v>0</v>
      </c>
      <c r="M382">
        <f>SUMIFS('Besi Balok'!$AA$23:$AA$12292,'Besi Balok'!$A$23:$A$12292,$A382,'Besi Balok'!$B$23:$B$12292,$B382,'Besi Balok'!$F$23:$F$12292,'REKAP Balok'!M$12)</f>
        <v>6.502348800000001</v>
      </c>
      <c r="N382">
        <f>SUMIFS('Besi Balok'!$AA$23:$AA$12292,'Besi Balok'!$A$23:$A$12292,$A382,'Besi Balok'!$B$23:$B$12292,$B382,'Besi Balok'!$F$23:$F$12292,'REKAP Balok'!N$12)</f>
        <v>0</v>
      </c>
      <c r="O382">
        <f>SUMIFS('Besi Balok'!$AA$23:$AA$12292,'Besi Balok'!$A$23:$A$12292,$A382,'Besi Balok'!$B$23:$B$12292,$B382,'Besi Balok'!$F$23:$F$12292,'REKAP Balok'!O$12)</f>
        <v>7.55158248</v>
      </c>
      <c r="P382">
        <f>SUMIFS('Besi Balok'!$AA$23:$AA$12292,'Besi Balok'!$A$23:$A$12292,$A382,'Besi Balok'!$B$23:$B$12292,$B382,'Besi Balok'!$F$23:$F$12292,'REKAP Balok'!P$12)</f>
        <v>0</v>
      </c>
      <c r="Q382">
        <f>SUMIFS('Besi Balok'!$AA$23:$AA$12292,'Besi Balok'!$A$23:$A$12292,$A382,'Besi Balok'!$B$23:$B$12292,$B382,'Besi Balok'!$F$23:$F$12292,'REKAP Balok'!Q$12)</f>
        <v>0</v>
      </c>
      <c r="R382">
        <f>SUMIFS('Besi Balok'!$AA$23:$AA$12292,'Besi Balok'!$A$23:$A$12292,$A382,'Besi Balok'!$B$23:$B$12292,$B382,'Besi Balok'!$F$23:$F$12292,'REKAP Balok'!R$12)</f>
        <v>0</v>
      </c>
      <c r="S382">
        <f>SUMIFS('Besi Balok'!$AA$23:$AA$12292,'Besi Balok'!$A$23:$A$12292,$A382,'Besi Balok'!$B$23:$B$12292,$B382,'Besi Balok'!$F$23:$F$12292,'REKAP Balok'!S$12)</f>
        <v>0</v>
      </c>
      <c r="T382">
        <f>SUMIFS('Besi Balok'!$AA$23:$AA$12292,'Besi Balok'!$A$23:$A$12292,$A382,'Besi Balok'!$B$23:$B$12292,$B382,'Besi Balok'!$F$23:$F$12292,'REKAP Balok'!T$12)</f>
        <v>0</v>
      </c>
      <c r="U382">
        <f>SUM(L382:T382)</f>
        <v>14.05393128</v>
      </c>
      <c r="V382">
        <f>(D382*(F382-H382)*G382*K382)/1000000000</f>
        <v>0.075</v>
      </c>
      <c r="W382">
        <f>(((F382-H382)*2+D382)*(G382)*K382)/1000000</f>
        <v>1.05</v>
      </c>
      <c r="AC382">
        <f>(D382+2*$F$5)*F382*G382/1000000000</f>
        <v>0.24</v>
      </c>
    </row>
    <row r="383">
      <c r="A383" t="str">
        <f>'Data Panjang Balok'!A380</f>
        <v>Lantai Atap</v>
      </c>
      <c r="B383">
        <f>'Data Panjang Balok'!B380</f>
        <v>25</v>
      </c>
      <c r="C383" t="str">
        <f>'Data Panjang Balok'!D380</f>
        <v>Potongan A</v>
      </c>
      <c r="D383">
        <f>IF(C383&gt;0,VLOOKUP(C383,'Detail Balok'!$C$11:$AU$110,2,FALSE),0)</f>
        <v>250</v>
      </c>
      <c r="E383" t="str">
        <v>x</v>
      </c>
      <c r="F383">
        <f>IF(C383&gt;0,VLOOKUP(C383,'Detail Balok'!$C$11:$AU$110,3,FALSE),0)</f>
        <v>500</v>
      </c>
      <c r="G383">
        <f>'Data Panjang Balok'!I380</f>
        <v>1335</v>
      </c>
      <c r="H383">
        <f>'Data Panjang Balok'!J380</f>
        <v>150</v>
      </c>
      <c r="J383">
        <f>I383-F383/1000</f>
        <v>-0.5</v>
      </c>
      <c r="K383">
        <f>'Data Panjang Balok'!E380</f>
        <v>1</v>
      </c>
      <c r="L383">
        <f>SUMIFS('Besi Balok'!$AA$23:$AA$12292,'Besi Balok'!$A$23:$A$12292,$A383,'Besi Balok'!$B$23:$B$12292,$B383,'Besi Balok'!$F$23:$F$12292,'REKAP Balok'!L$12)</f>
        <v>0</v>
      </c>
      <c r="M383">
        <f>SUMIFS('Besi Balok'!$AA$23:$AA$12292,'Besi Balok'!$A$23:$A$12292,$A383,'Besi Balok'!$B$23:$B$12292,$B383,'Besi Balok'!$F$23:$F$12292,'REKAP Balok'!M$12)</f>
        <v>0</v>
      </c>
      <c r="N383">
        <f>SUMIFS('Besi Balok'!$AA$23:$AA$12292,'Besi Balok'!$A$23:$A$12292,$A383,'Besi Balok'!$B$23:$B$12292,$B383,'Besi Balok'!$F$23:$F$12292,'REKAP Balok'!N$12)</f>
        <v>13.421204999999999</v>
      </c>
      <c r="O383">
        <f>SUMIFS('Besi Balok'!$AA$23:$AA$12292,'Besi Balok'!$A$23:$A$12292,$A383,'Besi Balok'!$B$23:$B$12292,$B383,'Besi Balok'!$F$23:$F$12292,'REKAP Balok'!O$12)</f>
        <v>0</v>
      </c>
      <c r="P383">
        <f>SUMIFS('Besi Balok'!$AA$23:$AA$12292,'Besi Balok'!$A$23:$A$12292,$A383,'Besi Balok'!$B$23:$B$12292,$B383,'Besi Balok'!$F$23:$F$12292,'REKAP Balok'!P$12)</f>
        <v>0</v>
      </c>
      <c r="Q383">
        <f>SUMIFS('Besi Balok'!$AA$23:$AA$12292,'Besi Balok'!$A$23:$A$12292,$A383,'Besi Balok'!$B$23:$B$12292,$B383,'Besi Balok'!$F$23:$F$12292,'REKAP Balok'!Q$12)</f>
        <v>35.873882234999996</v>
      </c>
      <c r="R383">
        <f>SUMIFS('Besi Balok'!$AA$23:$AA$12292,'Besi Balok'!$A$23:$A$12292,$A383,'Besi Balok'!$B$23:$B$12292,$B383,'Besi Balok'!$F$23:$F$12292,'REKAP Balok'!R$12)</f>
        <v>0</v>
      </c>
      <c r="S383">
        <f>SUMIFS('Besi Balok'!$AA$23:$AA$12292,'Besi Balok'!$A$23:$A$12292,$A383,'Besi Balok'!$B$23:$B$12292,$B383,'Besi Balok'!$F$23:$F$12292,'REKAP Balok'!S$12)</f>
        <v>0</v>
      </c>
      <c r="T383">
        <f>SUMIFS('Besi Balok'!$AA$23:$AA$12292,'Besi Balok'!$A$23:$A$12292,$A383,'Besi Balok'!$B$23:$B$12292,$B383,'Besi Balok'!$F$23:$F$12292,'REKAP Balok'!T$12)</f>
        <v>0</v>
      </c>
      <c r="U383">
        <f>SUM(L383:T383)</f>
        <v>49.295087235</v>
      </c>
      <c r="V383">
        <f>(D383*(F383-H383)*G383*K383)/1000000000</f>
        <v>0.1168125</v>
      </c>
      <c r="W383">
        <f>(((F383-H383)*2+D383)*(G383)*K383)/1000000</f>
        <v>1.26825</v>
      </c>
      <c r="AC383">
        <f>(D383+2*$F$5)*F383*G383/1000000000</f>
        <v>0.300375</v>
      </c>
    </row>
    <row r="384">
      <c r="A384" t="str">
        <f>'Data Panjang Balok'!A381</f>
        <v>Lantai Atap</v>
      </c>
      <c r="B384">
        <f>'Data Panjang Balok'!B381</f>
        <v>26</v>
      </c>
      <c r="C384" t="str">
        <f>'Data Panjang Balok'!D381</f>
        <v>B245-3</v>
      </c>
      <c r="D384">
        <f>IF(C384&gt;0,VLOOKUP(C384,'Detail Balok'!$C$11:$AU$110,2,FALSE),0)</f>
        <v>200</v>
      </c>
      <c r="E384" t="str">
        <v>x</v>
      </c>
      <c r="F384">
        <f>IF(C384&gt;0,VLOOKUP(C384,'Detail Balok'!$C$11:$AU$110,3,FALSE),0)</f>
        <v>450</v>
      </c>
      <c r="G384">
        <f>'Data Panjang Balok'!I381</f>
        <v>7025</v>
      </c>
      <c r="H384">
        <f>'Data Panjang Balok'!J381</f>
        <v>0</v>
      </c>
      <c r="J384">
        <f>I384-F384/1000</f>
        <v>-0.45</v>
      </c>
      <c r="K384">
        <f>'Data Panjang Balok'!E381</f>
        <v>1</v>
      </c>
      <c r="L384">
        <f>SUMIFS('Besi Balok'!$AA$23:$AA$12292,'Besi Balok'!$A$23:$A$12292,$A384,'Besi Balok'!$B$23:$B$12292,$B384,'Besi Balok'!$F$23:$F$12292,'REKAP Balok'!L$12)</f>
        <v>0</v>
      </c>
      <c r="M384">
        <f>SUMIFS('Besi Balok'!$AA$23:$AA$12292,'Besi Balok'!$A$23:$A$12292,$A384,'Besi Balok'!$B$23:$B$12292,$B384,'Besi Balok'!$F$23:$F$12292,'REKAP Balok'!M$12)</f>
        <v>0</v>
      </c>
      <c r="N384">
        <f>SUMIFS('Besi Balok'!$AA$23:$AA$12292,'Besi Balok'!$A$23:$A$12292,$A384,'Besi Balok'!$B$23:$B$12292,$B384,'Besi Balok'!$F$23:$F$12292,'REKAP Balok'!N$12)</f>
        <v>52.149735</v>
      </c>
      <c r="O384">
        <f>SUMIFS('Besi Balok'!$AA$23:$AA$12292,'Besi Balok'!$A$23:$A$12292,$A384,'Besi Balok'!$B$23:$B$12292,$B384,'Besi Balok'!$F$23:$F$12292,'REKAP Balok'!O$12)</f>
        <v>0</v>
      </c>
      <c r="P384">
        <f>SUMIFS('Besi Balok'!$AA$23:$AA$12292,'Besi Balok'!$A$23:$A$12292,$A384,'Besi Balok'!$B$23:$B$12292,$B384,'Besi Balok'!$F$23:$F$12292,'REKAP Balok'!P$12)</f>
        <v>46.77272064</v>
      </c>
      <c r="Q384">
        <f>SUMIFS('Besi Balok'!$AA$23:$AA$12292,'Besi Balok'!$A$23:$A$12292,$A384,'Besi Balok'!$B$23:$B$12292,$B384,'Besi Balok'!$F$23:$F$12292,'REKAP Balok'!Q$12)</f>
        <v>0</v>
      </c>
      <c r="R384">
        <f>SUMIFS('Besi Balok'!$AA$23:$AA$12292,'Besi Balok'!$A$23:$A$12292,$A384,'Besi Balok'!$B$23:$B$12292,$B384,'Besi Balok'!$F$23:$F$12292,'REKAP Balok'!R$12)</f>
        <v>0</v>
      </c>
      <c r="S384">
        <f>SUMIFS('Besi Balok'!$AA$23:$AA$12292,'Besi Balok'!$A$23:$A$12292,$A384,'Besi Balok'!$B$23:$B$12292,$B384,'Besi Balok'!$F$23:$F$12292,'REKAP Balok'!S$12)</f>
        <v>0</v>
      </c>
      <c r="T384">
        <f>SUMIFS('Besi Balok'!$AA$23:$AA$12292,'Besi Balok'!$A$23:$A$12292,$A384,'Besi Balok'!$B$23:$B$12292,$B384,'Besi Balok'!$F$23:$F$12292,'REKAP Balok'!T$12)</f>
        <v>0</v>
      </c>
      <c r="U384">
        <f>SUM(L384:T384)</f>
        <v>98.92245564000001</v>
      </c>
      <c r="V384">
        <f>(D384*(F384-H384)*G384*K384)/1000000000</f>
        <v>0.63225</v>
      </c>
      <c r="W384">
        <f>(((F384-H384)*2+D384)*(G384)*K384)/1000000</f>
        <v>7.7275</v>
      </c>
      <c r="AC384">
        <f>(D384+2*$F$5)*F384*G384/1000000000</f>
        <v>1.2645</v>
      </c>
    </row>
    <row r="385">
      <c r="A385" t="str">
        <f>'Data Panjang Balok'!A382</f>
        <v>Lantai Atap</v>
      </c>
      <c r="B385">
        <f>'Data Panjang Balok'!B382</f>
        <v>27</v>
      </c>
      <c r="C385" t="str">
        <f>'Data Panjang Balok'!D382</f>
        <v>B24-5</v>
      </c>
      <c r="D385">
        <f>IF(C385&gt;0,VLOOKUP(C385,'Detail Balok'!$C$11:$AU$110,2,FALSE),0)</f>
        <v>200</v>
      </c>
      <c r="E385" t="str">
        <v>x</v>
      </c>
      <c r="F385">
        <f>IF(C385&gt;0,VLOOKUP(C385,'Detail Balok'!$C$11:$AU$110,3,FALSE),0)</f>
        <v>400</v>
      </c>
      <c r="G385">
        <f>'Data Panjang Balok'!I382</f>
        <v>2725</v>
      </c>
      <c r="H385">
        <f>'Data Panjang Balok'!J382</f>
        <v>150</v>
      </c>
      <c r="J385">
        <f>I385-F385/1000</f>
        <v>-0.4</v>
      </c>
      <c r="K385">
        <f>'Data Panjang Balok'!E382</f>
        <v>1</v>
      </c>
      <c r="L385">
        <f>SUMIFS('Besi Balok'!$AA$23:$AA$12292,'Besi Balok'!$A$23:$A$12292,$A385,'Besi Balok'!$B$23:$B$12292,$B385,'Besi Balok'!$F$23:$F$12292,'REKAP Balok'!L$12)</f>
        <v>0</v>
      </c>
      <c r="M385">
        <f>SUMIFS('Besi Balok'!$AA$23:$AA$12292,'Besi Balok'!$A$23:$A$12292,$A385,'Besi Balok'!$B$23:$B$12292,$B385,'Besi Balok'!$F$23:$F$12292,'REKAP Balok'!M$12)</f>
        <v>0</v>
      </c>
      <c r="N385">
        <f>SUMIFS('Besi Balok'!$AA$23:$AA$12292,'Besi Balok'!$A$23:$A$12292,$A385,'Besi Balok'!$B$23:$B$12292,$B385,'Besi Balok'!$F$23:$F$12292,'REKAP Balok'!N$12)</f>
        <v>17.779860000000003</v>
      </c>
      <c r="O385">
        <f>SUMIFS('Besi Balok'!$AA$23:$AA$12292,'Besi Balok'!$A$23:$A$12292,$A385,'Besi Balok'!$B$23:$B$12292,$B385,'Besi Balok'!$F$23:$F$12292,'REKAP Balok'!O$12)</f>
        <v>0</v>
      </c>
      <c r="P385">
        <f>SUMIFS('Besi Balok'!$AA$23:$AA$12292,'Besi Balok'!$A$23:$A$12292,$A385,'Besi Balok'!$B$23:$B$12292,$B385,'Besi Balok'!$F$23:$F$12292,'REKAP Balok'!P$12)</f>
        <v>39.98234304</v>
      </c>
      <c r="Q385">
        <f>SUMIFS('Besi Balok'!$AA$23:$AA$12292,'Besi Balok'!$A$23:$A$12292,$A385,'Besi Balok'!$B$23:$B$12292,$B385,'Besi Balok'!$F$23:$F$12292,'REKAP Balok'!Q$12)</f>
        <v>0</v>
      </c>
      <c r="R385">
        <f>SUMIFS('Besi Balok'!$AA$23:$AA$12292,'Besi Balok'!$A$23:$A$12292,$A385,'Besi Balok'!$B$23:$B$12292,$B385,'Besi Balok'!$F$23:$F$12292,'REKAP Balok'!R$12)</f>
        <v>0</v>
      </c>
      <c r="S385">
        <f>SUMIFS('Besi Balok'!$AA$23:$AA$12292,'Besi Balok'!$A$23:$A$12292,$A385,'Besi Balok'!$B$23:$B$12292,$B385,'Besi Balok'!$F$23:$F$12292,'REKAP Balok'!S$12)</f>
        <v>0</v>
      </c>
      <c r="T385">
        <f>SUMIFS('Besi Balok'!$AA$23:$AA$12292,'Besi Balok'!$A$23:$A$12292,$A385,'Besi Balok'!$B$23:$B$12292,$B385,'Besi Balok'!$F$23:$F$12292,'REKAP Balok'!T$12)</f>
        <v>0</v>
      </c>
      <c r="U385">
        <f>SUM(L385:T385)</f>
        <v>57.76220304</v>
      </c>
      <c r="V385">
        <f>(D385*(F385-H385)*G385*K385)/1000000000</f>
        <v>0.13625</v>
      </c>
      <c r="W385">
        <f>(((F385-H385)*2+D385)*(G385)*K385)/1000000</f>
        <v>1.9075</v>
      </c>
      <c r="AC385">
        <f>(D385+2*$F$5)*F385*G385/1000000000</f>
        <v>0.436</v>
      </c>
    </row>
    <row r="386">
      <c r="A386" t="str">
        <f>'Data Panjang Balok'!A383</f>
        <v>Lantai Atap</v>
      </c>
      <c r="B386">
        <f>'Data Panjang Balok'!B383</f>
        <v>28</v>
      </c>
      <c r="C386" t="str">
        <f>'Data Panjang Balok'!D383</f>
        <v>Potongan B</v>
      </c>
      <c r="D386">
        <f>IF(C386&gt;0,VLOOKUP(C386,'Detail Balok'!$C$11:$AU$110,2,FALSE),0)</f>
        <v>200</v>
      </c>
      <c r="E386" t="str">
        <v>x</v>
      </c>
      <c r="F386">
        <f>IF(C386&gt;0,VLOOKUP(C386,'Detail Balok'!$C$11:$AU$110,3,FALSE),0)</f>
        <v>500</v>
      </c>
      <c r="G386">
        <f>'Data Panjang Balok'!I383</f>
        <v>1335</v>
      </c>
      <c r="H386">
        <f>'Data Panjang Balok'!J383</f>
        <v>150</v>
      </c>
      <c r="J386">
        <f>I386-F386/1000</f>
        <v>-0.5</v>
      </c>
      <c r="K386">
        <f>'Data Panjang Balok'!E383</f>
        <v>1</v>
      </c>
      <c r="L386">
        <f>SUMIFS('Besi Balok'!$AA$23:$AA$12292,'Besi Balok'!$A$23:$A$12292,$A386,'Besi Balok'!$B$23:$B$12292,$B386,'Besi Balok'!$F$23:$F$12292,'REKAP Balok'!L$12)</f>
        <v>0</v>
      </c>
      <c r="M386">
        <f>SUMIFS('Besi Balok'!$AA$23:$AA$12292,'Besi Balok'!$A$23:$A$12292,$A386,'Besi Balok'!$B$23:$B$12292,$B386,'Besi Balok'!$F$23:$F$12292,'REKAP Balok'!M$12)</f>
        <v>0</v>
      </c>
      <c r="N386">
        <f>SUMIFS('Besi Balok'!$AA$23:$AA$12292,'Besi Balok'!$A$23:$A$12292,$A386,'Besi Balok'!$B$23:$B$12292,$B386,'Besi Balok'!$F$23:$F$12292,'REKAP Balok'!N$12)</f>
        <v>21.916575</v>
      </c>
      <c r="O386">
        <f>SUMIFS('Besi Balok'!$AA$23:$AA$12292,'Besi Balok'!$A$23:$A$12292,$A386,'Besi Balok'!$B$23:$B$12292,$B386,'Besi Balok'!$F$23:$F$12292,'REKAP Balok'!O$12)</f>
        <v>0</v>
      </c>
      <c r="P386">
        <f>SUMIFS('Besi Balok'!$AA$23:$AA$12292,'Besi Balok'!$A$23:$A$12292,$A386,'Besi Balok'!$B$23:$B$12292,$B386,'Besi Balok'!$F$23:$F$12292,'REKAP Balok'!P$12)</f>
        <v>24.416951039999997</v>
      </c>
      <c r="Q386">
        <f>SUMIFS('Besi Balok'!$AA$23:$AA$12292,'Besi Balok'!$A$23:$A$12292,$A386,'Besi Balok'!$B$23:$B$12292,$B386,'Besi Balok'!$F$23:$F$12292,'REKAP Balok'!Q$12)</f>
        <v>0</v>
      </c>
      <c r="R386">
        <f>SUMIFS('Besi Balok'!$AA$23:$AA$12292,'Besi Balok'!$A$23:$A$12292,$A386,'Besi Balok'!$B$23:$B$12292,$B386,'Besi Balok'!$F$23:$F$12292,'REKAP Balok'!R$12)</f>
        <v>0</v>
      </c>
      <c r="S386">
        <f>SUMIFS('Besi Balok'!$AA$23:$AA$12292,'Besi Balok'!$A$23:$A$12292,$A386,'Besi Balok'!$B$23:$B$12292,$B386,'Besi Balok'!$F$23:$F$12292,'REKAP Balok'!S$12)</f>
        <v>0</v>
      </c>
      <c r="T386">
        <f>SUMIFS('Besi Balok'!$AA$23:$AA$12292,'Besi Balok'!$A$23:$A$12292,$A386,'Besi Balok'!$B$23:$B$12292,$B386,'Besi Balok'!$F$23:$F$12292,'REKAP Balok'!T$12)</f>
        <v>0</v>
      </c>
      <c r="U386">
        <f>SUM(L386:T386)</f>
        <v>46.333526039999995</v>
      </c>
      <c r="V386">
        <f>(D386*(F386-H386)*G386*K386)/1000000000</f>
        <v>0.09345</v>
      </c>
      <c r="W386">
        <f>(((F386-H386)*2+D386)*(G386)*K386)/1000000</f>
        <v>1.2015</v>
      </c>
      <c r="AC386">
        <f>(D386+2*$F$5)*F386*G386/1000000000</f>
        <v>0.267</v>
      </c>
    </row>
    <row r="387">
      <c r="A387" t="str">
        <f>'Data Panjang Balok'!A384</f>
        <v>Lantai Atap</v>
      </c>
      <c r="B387">
        <f>'Data Panjang Balok'!B384</f>
        <v>29</v>
      </c>
      <c r="C387" t="str">
        <f>'Data Panjang Balok'!D384</f>
        <v>B245-3</v>
      </c>
      <c r="D387">
        <f>IF(C387&gt;0,VLOOKUP(C387,'Detail Balok'!$C$11:$AU$110,2,FALSE),0)</f>
        <v>200</v>
      </c>
      <c r="E387" t="str">
        <v>x</v>
      </c>
      <c r="F387">
        <f>IF(C387&gt;0,VLOOKUP(C387,'Detail Balok'!$C$11:$AU$110,3,FALSE),0)</f>
        <v>450</v>
      </c>
      <c r="G387">
        <f>'Data Panjang Balok'!I384</f>
        <v>5615</v>
      </c>
      <c r="H387">
        <f>'Data Panjang Balok'!J384</f>
        <v>0</v>
      </c>
      <c r="J387">
        <f>I387-F387/1000</f>
        <v>-0.45</v>
      </c>
      <c r="K387">
        <f>'Data Panjang Balok'!E384</f>
        <v>1</v>
      </c>
      <c r="L387">
        <f>SUMIFS('Besi Balok'!$AA$23:$AA$12292,'Besi Balok'!$A$23:$A$12292,$A387,'Besi Balok'!$B$23:$B$12292,$B387,'Besi Balok'!$F$23:$F$12292,'REKAP Balok'!L$12)</f>
        <v>0</v>
      </c>
      <c r="M387">
        <f>SUMIFS('Besi Balok'!$AA$23:$AA$12292,'Besi Balok'!$A$23:$A$12292,$A387,'Besi Balok'!$B$23:$B$12292,$B387,'Besi Balok'!$F$23:$F$12292,'REKAP Balok'!M$12)</f>
        <v>0</v>
      </c>
      <c r="N387">
        <f>SUMIFS('Besi Balok'!$AA$23:$AA$12292,'Besi Balok'!$A$23:$A$12292,$A387,'Besi Balok'!$B$23:$B$12292,$B387,'Besi Balok'!$F$23:$F$12292,'REKAP Balok'!N$12)</f>
        <v>42.051465</v>
      </c>
      <c r="O387">
        <f>SUMIFS('Besi Balok'!$AA$23:$AA$12292,'Besi Balok'!$A$23:$A$12292,$A387,'Besi Balok'!$B$23:$B$12292,$B387,'Besi Balok'!$F$23:$F$12292,'REKAP Balok'!O$12)</f>
        <v>0</v>
      </c>
      <c r="P387">
        <f>SUMIFS('Besi Balok'!$AA$23:$AA$12292,'Besi Balok'!$A$23:$A$12292,$A387,'Besi Balok'!$B$23:$B$12292,$B387,'Besi Balok'!$F$23:$F$12292,'REKAP Balok'!P$12)</f>
        <v>37.87144704</v>
      </c>
      <c r="Q387">
        <f>SUMIFS('Besi Balok'!$AA$23:$AA$12292,'Besi Balok'!$A$23:$A$12292,$A387,'Besi Balok'!$B$23:$B$12292,$B387,'Besi Balok'!$F$23:$F$12292,'REKAP Balok'!Q$12)</f>
        <v>0</v>
      </c>
      <c r="R387">
        <f>SUMIFS('Besi Balok'!$AA$23:$AA$12292,'Besi Balok'!$A$23:$A$12292,$A387,'Besi Balok'!$B$23:$B$12292,$B387,'Besi Balok'!$F$23:$F$12292,'REKAP Balok'!R$12)</f>
        <v>0</v>
      </c>
      <c r="S387">
        <f>SUMIFS('Besi Balok'!$AA$23:$AA$12292,'Besi Balok'!$A$23:$A$12292,$A387,'Besi Balok'!$B$23:$B$12292,$B387,'Besi Balok'!$F$23:$F$12292,'REKAP Balok'!S$12)</f>
        <v>0</v>
      </c>
      <c r="T387">
        <f>SUMIFS('Besi Balok'!$AA$23:$AA$12292,'Besi Balok'!$A$23:$A$12292,$A387,'Besi Balok'!$B$23:$B$12292,$B387,'Besi Balok'!$F$23:$F$12292,'REKAP Balok'!T$12)</f>
        <v>0</v>
      </c>
      <c r="U387">
        <f>SUM(L387:T387)</f>
        <v>79.92291204</v>
      </c>
      <c r="V387">
        <f>(D387*(F387-H387)*G387*K387)/1000000000</f>
        <v>0.50535</v>
      </c>
      <c r="W387">
        <f>(((F387-H387)*2+D387)*(G387)*K387)/1000000</f>
        <v>6.1765</v>
      </c>
      <c r="AC387">
        <f>(D387+2*$F$5)*F387*G387/1000000000</f>
        <v>1.0107</v>
      </c>
    </row>
    <row r="388">
      <c r="A388" t="str">
        <f>'Data Panjang Balok'!A385</f>
        <v>Lantai Atap</v>
      </c>
      <c r="B388">
        <f>'Data Panjang Balok'!B385</f>
        <v>30</v>
      </c>
      <c r="C388" t="str">
        <f>'Data Panjang Balok'!D385</f>
        <v>B24-7</v>
      </c>
      <c r="D388">
        <f>IF(C388&gt;0,VLOOKUP(C388,'Detail Balok'!$C$11:$AU$110,2,FALSE),0)</f>
        <v>200</v>
      </c>
      <c r="E388" t="str">
        <v>x</v>
      </c>
      <c r="F388">
        <f>IF(C388&gt;0,VLOOKUP(C388,'Detail Balok'!$C$11:$AU$110,3,FALSE),0)</f>
        <v>400</v>
      </c>
      <c r="G388">
        <f>'Data Panjang Balok'!I385</f>
        <v>3235</v>
      </c>
      <c r="H388">
        <f>'Data Panjang Balok'!J385</f>
        <v>150</v>
      </c>
      <c r="J388">
        <f>I388-F388/1000</f>
        <v>-0.4</v>
      </c>
      <c r="K388">
        <f>'Data Panjang Balok'!E385</f>
        <v>1</v>
      </c>
      <c r="L388">
        <f>SUMIFS('Besi Balok'!$AA$23:$AA$12292,'Besi Balok'!$A$23:$A$12292,$A388,'Besi Balok'!$B$23:$B$12292,$B388,'Besi Balok'!$F$23:$F$12292,'REKAP Balok'!L$12)</f>
        <v>0</v>
      </c>
      <c r="M388">
        <f>SUMIFS('Besi Balok'!$AA$23:$AA$12292,'Besi Balok'!$A$23:$A$12292,$A388,'Besi Balok'!$B$23:$B$12292,$B388,'Besi Balok'!$F$23:$F$12292,'REKAP Balok'!M$12)</f>
        <v>12.191904000000001</v>
      </c>
      <c r="N388">
        <f>SUMIFS('Besi Balok'!$AA$23:$AA$12292,'Besi Balok'!$A$23:$A$12292,$A388,'Besi Balok'!$B$23:$B$12292,$B388,'Besi Balok'!$F$23:$F$12292,'REKAP Balok'!N$12)</f>
        <v>0</v>
      </c>
      <c r="O388">
        <f>SUMIFS('Besi Balok'!$AA$23:$AA$12292,'Besi Balok'!$A$23:$A$12292,$A388,'Besi Balok'!$B$23:$B$12292,$B388,'Besi Balok'!$F$23:$F$12292,'REKAP Balok'!O$12)</f>
        <v>18.477830474999998</v>
      </c>
      <c r="P388">
        <f>SUMIFS('Besi Balok'!$AA$23:$AA$12292,'Besi Balok'!$A$23:$A$12292,$A388,'Besi Balok'!$B$23:$B$12292,$B388,'Besi Balok'!$F$23:$F$12292,'REKAP Balok'!P$12)</f>
        <v>0</v>
      </c>
      <c r="Q388">
        <f>SUMIFS('Besi Balok'!$AA$23:$AA$12292,'Besi Balok'!$A$23:$A$12292,$A388,'Besi Balok'!$B$23:$B$12292,$B388,'Besi Balok'!$F$23:$F$12292,'REKAP Balok'!Q$12)</f>
        <v>0</v>
      </c>
      <c r="R388">
        <f>SUMIFS('Besi Balok'!$AA$23:$AA$12292,'Besi Balok'!$A$23:$A$12292,$A388,'Besi Balok'!$B$23:$B$12292,$B388,'Besi Balok'!$F$23:$F$12292,'REKAP Balok'!R$12)</f>
        <v>0</v>
      </c>
      <c r="S388">
        <f>SUMIFS('Besi Balok'!$AA$23:$AA$12292,'Besi Balok'!$A$23:$A$12292,$A388,'Besi Balok'!$B$23:$B$12292,$B388,'Besi Balok'!$F$23:$F$12292,'REKAP Balok'!S$12)</f>
        <v>0</v>
      </c>
      <c r="T388">
        <f>SUMIFS('Besi Balok'!$AA$23:$AA$12292,'Besi Balok'!$A$23:$A$12292,$A388,'Besi Balok'!$B$23:$B$12292,$B388,'Besi Balok'!$F$23:$F$12292,'REKAP Balok'!T$12)</f>
        <v>0</v>
      </c>
      <c r="U388">
        <f>SUM(L388:T388)</f>
        <v>30.669734475</v>
      </c>
      <c r="V388">
        <f>(D388*(F388-H388)*G388*K388)/1000000000</f>
        <v>0.16175</v>
      </c>
      <c r="W388">
        <f>(((F388-H388)*2+D388)*(G388)*K388)/1000000</f>
        <v>2.2645</v>
      </c>
      <c r="AC388">
        <f>(D388+2*$F$5)*F388*G388/1000000000</f>
        <v>0.5176</v>
      </c>
    </row>
    <row r="389">
      <c r="A389" t="str">
        <f>'Data Panjang Balok'!A386</f>
        <v>Lantai Atap</v>
      </c>
      <c r="B389">
        <f>'Data Panjang Balok'!B386</f>
        <v>31</v>
      </c>
      <c r="C389" t="str">
        <f>'Data Panjang Balok'!D386</f>
        <v>B245-1</v>
      </c>
      <c r="D389">
        <f>IF(C389&gt;0,VLOOKUP(C389,'Detail Balok'!$C$11:$AU$110,2,FALSE),0)</f>
        <v>200</v>
      </c>
      <c r="E389" t="str">
        <v>x</v>
      </c>
      <c r="F389">
        <f>IF(C389&gt;0,VLOOKUP(C389,'Detail Balok'!$C$11:$AU$110,3,FALSE),0)</f>
        <v>450</v>
      </c>
      <c r="G389">
        <f>'Data Panjang Balok'!I386</f>
        <v>5700</v>
      </c>
      <c r="H389">
        <f>'Data Panjang Balok'!J386</f>
        <v>0</v>
      </c>
      <c r="J389">
        <f>I389-F389/1000</f>
        <v>-0.45</v>
      </c>
      <c r="K389">
        <f>'Data Panjang Balok'!E386</f>
        <v>1</v>
      </c>
      <c r="L389">
        <f>SUMIFS('Besi Balok'!$AA$23:$AA$12292,'Besi Balok'!$A$23:$A$12292,$A389,'Besi Balok'!$B$23:$B$12292,$B389,'Besi Balok'!$F$23:$F$12292,'REKAP Balok'!L$12)</f>
        <v>0</v>
      </c>
      <c r="M389">
        <f>SUMIFS('Besi Balok'!$AA$23:$AA$12292,'Besi Balok'!$A$23:$A$12292,$A389,'Besi Balok'!$B$23:$B$12292,$B389,'Besi Balok'!$F$23:$F$12292,'REKAP Balok'!M$12)</f>
        <v>24.26701824</v>
      </c>
      <c r="N389">
        <f>SUMIFS('Besi Balok'!$AA$23:$AA$12292,'Besi Balok'!$A$23:$A$12292,$A389,'Besi Balok'!$B$23:$B$12292,$B389,'Besi Balok'!$F$23:$F$12292,'REKAP Balok'!N$12)</f>
        <v>0</v>
      </c>
      <c r="O389">
        <f>SUMIFS('Besi Balok'!$AA$23:$AA$12292,'Besi Balok'!$A$23:$A$12292,$A389,'Besi Balok'!$B$23:$B$12292,$B389,'Besi Balok'!$F$23:$F$12292,'REKAP Balok'!O$12)</f>
        <v>25.05525048</v>
      </c>
      <c r="P389">
        <f>SUMIFS('Besi Balok'!$AA$23:$AA$12292,'Besi Balok'!$A$23:$A$12292,$A389,'Besi Balok'!$B$23:$B$12292,$B389,'Besi Balok'!$F$23:$F$12292,'REKAP Balok'!P$12)</f>
        <v>0</v>
      </c>
      <c r="Q389">
        <f>SUMIFS('Besi Balok'!$AA$23:$AA$12292,'Besi Balok'!$A$23:$A$12292,$A389,'Besi Balok'!$B$23:$B$12292,$B389,'Besi Balok'!$F$23:$F$12292,'REKAP Balok'!Q$12)</f>
        <v>0</v>
      </c>
      <c r="R389">
        <f>SUMIFS('Besi Balok'!$AA$23:$AA$12292,'Besi Balok'!$A$23:$A$12292,$A389,'Besi Balok'!$B$23:$B$12292,$B389,'Besi Balok'!$F$23:$F$12292,'REKAP Balok'!R$12)</f>
        <v>0</v>
      </c>
      <c r="S389">
        <f>SUMIFS('Besi Balok'!$AA$23:$AA$12292,'Besi Balok'!$A$23:$A$12292,$A389,'Besi Balok'!$B$23:$B$12292,$B389,'Besi Balok'!$F$23:$F$12292,'REKAP Balok'!S$12)</f>
        <v>0</v>
      </c>
      <c r="T389">
        <f>SUMIFS('Besi Balok'!$AA$23:$AA$12292,'Besi Balok'!$A$23:$A$12292,$A389,'Besi Balok'!$B$23:$B$12292,$B389,'Besi Balok'!$F$23:$F$12292,'REKAP Balok'!T$12)</f>
        <v>0</v>
      </c>
      <c r="U389">
        <f>SUM(L389:T389)</f>
        <v>49.32226872</v>
      </c>
      <c r="V389">
        <f>(D389*(F389-H389)*G389*K389)/1000000000</f>
        <v>0.513</v>
      </c>
      <c r="W389">
        <f>(((F389-H389)*2+D389)*(G389)*K389)/1000000</f>
        <v>6.27</v>
      </c>
      <c r="AC389">
        <f>(D389+2*$F$5)*F389*G389/1000000000</f>
        <v>1.026</v>
      </c>
    </row>
    <row r="390">
      <c r="A390" t="str">
        <f>'Data Panjang Balok'!A387</f>
        <v>Lantai Atap</v>
      </c>
      <c r="B390">
        <f>'Data Panjang Balok'!B387</f>
        <v>32</v>
      </c>
      <c r="C390" t="str">
        <f>'Data Panjang Balok'!D387</f>
        <v>B173-1</v>
      </c>
      <c r="D390">
        <f>IF(C390&gt;0,VLOOKUP(C390,'Detail Balok'!$C$11:$AU$110,2,FALSE),0)</f>
        <v>170</v>
      </c>
      <c r="E390" t="str">
        <v>x</v>
      </c>
      <c r="F390">
        <f>IF(C390&gt;0,VLOOKUP(C390,'Detail Balok'!$C$11:$AU$110,3,FALSE),0)</f>
        <v>300</v>
      </c>
      <c r="G390">
        <f>'Data Panjang Balok'!I387</f>
        <v>2485</v>
      </c>
      <c r="H390">
        <f>'Data Panjang Balok'!J387</f>
        <v>0</v>
      </c>
      <c r="J390">
        <f>I390-F390/1000</f>
        <v>-0.3</v>
      </c>
      <c r="K390">
        <f>'Data Panjang Balok'!E387</f>
        <v>1</v>
      </c>
      <c r="L390">
        <f>SUMIFS('Besi Balok'!$AA$23:$AA$12292,'Besi Balok'!$A$23:$A$12292,$A390,'Besi Balok'!$B$23:$B$12292,$B390,'Besi Balok'!$F$23:$F$12292,'REKAP Balok'!L$12)</f>
        <v>0</v>
      </c>
      <c r="M390">
        <f>SUMIFS('Besi Balok'!$AA$23:$AA$12292,'Besi Balok'!$A$23:$A$12292,$A390,'Besi Balok'!$B$23:$B$12292,$B390,'Besi Balok'!$F$23:$F$12292,'REKAP Balok'!M$12)</f>
        <v>6.6838464</v>
      </c>
      <c r="N390">
        <f>SUMIFS('Besi Balok'!$AA$23:$AA$12292,'Besi Balok'!$A$23:$A$12292,$A390,'Besi Balok'!$B$23:$B$12292,$B390,'Besi Balok'!$F$23:$F$12292,'REKAP Balok'!N$12)</f>
        <v>0</v>
      </c>
      <c r="O390">
        <f>SUMIFS('Besi Balok'!$AA$23:$AA$12292,'Besi Balok'!$A$23:$A$12292,$A390,'Besi Balok'!$B$23:$B$12292,$B390,'Besi Balok'!$F$23:$F$12292,'REKAP Balok'!O$12)</f>
        <v>11.65660938</v>
      </c>
      <c r="P390">
        <f>SUMIFS('Besi Balok'!$AA$23:$AA$12292,'Besi Balok'!$A$23:$A$12292,$A390,'Besi Balok'!$B$23:$B$12292,$B390,'Besi Balok'!$F$23:$F$12292,'REKAP Balok'!P$12)</f>
        <v>0</v>
      </c>
      <c r="Q390">
        <f>SUMIFS('Besi Balok'!$AA$23:$AA$12292,'Besi Balok'!$A$23:$A$12292,$A390,'Besi Balok'!$B$23:$B$12292,$B390,'Besi Balok'!$F$23:$F$12292,'REKAP Balok'!Q$12)</f>
        <v>0</v>
      </c>
      <c r="R390">
        <f>SUMIFS('Besi Balok'!$AA$23:$AA$12292,'Besi Balok'!$A$23:$A$12292,$A390,'Besi Balok'!$B$23:$B$12292,$B390,'Besi Balok'!$F$23:$F$12292,'REKAP Balok'!R$12)</f>
        <v>0</v>
      </c>
      <c r="S390">
        <f>SUMIFS('Besi Balok'!$AA$23:$AA$12292,'Besi Balok'!$A$23:$A$12292,$A390,'Besi Balok'!$B$23:$B$12292,$B390,'Besi Balok'!$F$23:$F$12292,'REKAP Balok'!S$12)</f>
        <v>0</v>
      </c>
      <c r="T390">
        <f>SUMIFS('Besi Balok'!$AA$23:$AA$12292,'Besi Balok'!$A$23:$A$12292,$A390,'Besi Balok'!$B$23:$B$12292,$B390,'Besi Balok'!$F$23:$F$12292,'REKAP Balok'!T$12)</f>
        <v>0</v>
      </c>
      <c r="U390">
        <f>SUM(L390:T390)</f>
        <v>18.34045578</v>
      </c>
      <c r="V390">
        <f>(D390*(F390-H390)*G390*K390)/1000000000</f>
        <v>0.126735</v>
      </c>
      <c r="W390">
        <f>(((F390-H390)*2+D390)*(G390)*K390)/1000000</f>
        <v>1.91345</v>
      </c>
      <c r="AC390">
        <f>(D390+2*$F$5)*F390*G390/1000000000</f>
        <v>0.275835</v>
      </c>
    </row>
    <row r="391">
      <c r="A391" t="str">
        <f>'Data Panjang Balok'!A388</f>
        <v>Lantai Atap</v>
      </c>
      <c r="B391">
        <f>'Data Panjang Balok'!B388</f>
        <v>33</v>
      </c>
      <c r="C391" t="str">
        <f>'Data Panjang Balok'!D388</f>
        <v>B245-1</v>
      </c>
      <c r="D391">
        <f>IF(C391&gt;0,VLOOKUP(C391,'Detail Balok'!$C$11:$AU$110,2,FALSE),0)</f>
        <v>200</v>
      </c>
      <c r="E391" t="str">
        <v>x</v>
      </c>
      <c r="F391">
        <f>IF(C391&gt;0,VLOOKUP(C391,'Detail Balok'!$C$11:$AU$110,3,FALSE),0)</f>
        <v>450</v>
      </c>
      <c r="G391">
        <f>'Data Panjang Balok'!I388</f>
        <v>5100</v>
      </c>
      <c r="H391">
        <f>'Data Panjang Balok'!J388</f>
        <v>150</v>
      </c>
      <c r="J391">
        <f>I391-F391/1000</f>
        <v>-0.45</v>
      </c>
      <c r="K391">
        <f>'Data Panjang Balok'!E388</f>
        <v>1</v>
      </c>
      <c r="L391">
        <f>SUMIFS('Besi Balok'!$AA$23:$AA$12292,'Besi Balok'!$A$23:$A$12292,$A391,'Besi Balok'!$B$23:$B$12292,$B391,'Besi Balok'!$F$23:$F$12292,'REKAP Balok'!L$12)</f>
        <v>0</v>
      </c>
      <c r="M391">
        <f>SUMIFS('Besi Balok'!$AA$23:$AA$12292,'Besi Balok'!$A$23:$A$12292,$A391,'Besi Balok'!$B$23:$B$12292,$B391,'Besi Balok'!$F$23:$F$12292,'REKAP Balok'!M$12)</f>
        <v>22.455987840000002</v>
      </c>
      <c r="N391">
        <f>SUMIFS('Besi Balok'!$AA$23:$AA$12292,'Besi Balok'!$A$23:$A$12292,$A391,'Besi Balok'!$B$23:$B$12292,$B391,'Besi Balok'!$F$23:$F$12292,'REKAP Balok'!N$12)</f>
        <v>0</v>
      </c>
      <c r="O391">
        <f>SUMIFS('Besi Balok'!$AA$23:$AA$12292,'Besi Balok'!$A$23:$A$12292,$A391,'Besi Balok'!$B$23:$B$12292,$B391,'Besi Balok'!$F$23:$F$12292,'REKAP Balok'!O$12)</f>
        <v>22.55472648</v>
      </c>
      <c r="P391">
        <f>SUMIFS('Besi Balok'!$AA$23:$AA$12292,'Besi Balok'!$A$23:$A$12292,$A391,'Besi Balok'!$B$23:$B$12292,$B391,'Besi Balok'!$F$23:$F$12292,'REKAP Balok'!P$12)</f>
        <v>0</v>
      </c>
      <c r="Q391">
        <f>SUMIFS('Besi Balok'!$AA$23:$AA$12292,'Besi Balok'!$A$23:$A$12292,$A391,'Besi Balok'!$B$23:$B$12292,$B391,'Besi Balok'!$F$23:$F$12292,'REKAP Balok'!Q$12)</f>
        <v>0</v>
      </c>
      <c r="R391">
        <f>SUMIFS('Besi Balok'!$AA$23:$AA$12292,'Besi Balok'!$A$23:$A$12292,$A391,'Besi Balok'!$B$23:$B$12292,$B391,'Besi Balok'!$F$23:$F$12292,'REKAP Balok'!R$12)</f>
        <v>0</v>
      </c>
      <c r="S391">
        <f>SUMIFS('Besi Balok'!$AA$23:$AA$12292,'Besi Balok'!$A$23:$A$12292,$A391,'Besi Balok'!$B$23:$B$12292,$B391,'Besi Balok'!$F$23:$F$12292,'REKAP Balok'!S$12)</f>
        <v>0</v>
      </c>
      <c r="T391">
        <f>SUMIFS('Besi Balok'!$AA$23:$AA$12292,'Besi Balok'!$A$23:$A$12292,$A391,'Besi Balok'!$B$23:$B$12292,$B391,'Besi Balok'!$F$23:$F$12292,'REKAP Balok'!T$12)</f>
        <v>0</v>
      </c>
      <c r="U391">
        <f>SUM(L391:T391)</f>
        <v>45.010714320000005</v>
      </c>
      <c r="V391">
        <f>(D391*(F391-H391)*G391*K391)/1000000000</f>
        <v>0.306</v>
      </c>
      <c r="W391">
        <f>(((F391-H391)*2+D391)*(G391)*K391)/1000000</f>
        <v>4.08</v>
      </c>
      <c r="AC391">
        <f>(D391+2*$F$5)*F391*G391/1000000000</f>
        <v>0.918</v>
      </c>
    </row>
    <row r="392">
      <c r="A392" t="str">
        <f>'Data Panjang Balok'!A389</f>
        <v>Lantai Atap</v>
      </c>
      <c r="B392">
        <f>'Data Panjang Balok'!B389</f>
        <v>34</v>
      </c>
      <c r="C392" t="str">
        <f>'Data Panjang Balok'!D389</f>
        <v>B1745-1</v>
      </c>
      <c r="D392">
        <f>IF(C392&gt;0,VLOOKUP(C392,'Detail Balok'!$C$11:$AU$110,2,FALSE),0)</f>
        <v>170</v>
      </c>
      <c r="E392" t="str">
        <v>x</v>
      </c>
      <c r="F392">
        <f>IF(C392&gt;0,VLOOKUP(C392,'Detail Balok'!$C$11:$AU$110,3,FALSE),0)</f>
        <v>450</v>
      </c>
      <c r="G392">
        <f>'Data Panjang Balok'!I389</f>
        <v>2900</v>
      </c>
      <c r="H392">
        <f>'Data Panjang Balok'!J389</f>
        <v>0</v>
      </c>
      <c r="J392">
        <f>I392-F392/1000</f>
        <v>-0.45</v>
      </c>
      <c r="K392">
        <f>'Data Panjang Balok'!E389</f>
        <v>1</v>
      </c>
      <c r="L392">
        <f>SUMIFS('Besi Balok'!$AA$23:$AA$12292,'Besi Balok'!$A$23:$A$12292,$A392,'Besi Balok'!$B$23:$B$12292,$B392,'Besi Balok'!$F$23:$F$12292,'REKAP Balok'!L$12)</f>
        <v>0</v>
      </c>
      <c r="M392">
        <f>SUMIFS('Besi Balok'!$AA$23:$AA$12292,'Besi Balok'!$A$23:$A$12292,$A392,'Besi Balok'!$B$23:$B$12292,$B392,'Besi Balok'!$F$23:$F$12292,'REKAP Balok'!M$12)</f>
        <v>19.74930624</v>
      </c>
      <c r="N392">
        <f>SUMIFS('Besi Balok'!$AA$23:$AA$12292,'Besi Balok'!$A$23:$A$12292,$A392,'Besi Balok'!$B$23:$B$12292,$B392,'Besi Balok'!$F$23:$F$12292,'REKAP Balok'!N$12)</f>
        <v>0</v>
      </c>
      <c r="O392">
        <f>SUMIFS('Besi Balok'!$AA$23:$AA$12292,'Besi Balok'!$A$23:$A$12292,$A392,'Besi Balok'!$B$23:$B$12292,$B392,'Besi Balok'!$F$23:$F$12292,'REKAP Balok'!O$12)</f>
        <v>13.386138479999998</v>
      </c>
      <c r="P392">
        <f>SUMIFS('Besi Balok'!$AA$23:$AA$12292,'Besi Balok'!$A$23:$A$12292,$A392,'Besi Balok'!$B$23:$B$12292,$B392,'Besi Balok'!$F$23:$F$12292,'REKAP Balok'!P$12)</f>
        <v>0</v>
      </c>
      <c r="Q392">
        <f>SUMIFS('Besi Balok'!$AA$23:$AA$12292,'Besi Balok'!$A$23:$A$12292,$A392,'Besi Balok'!$B$23:$B$12292,$B392,'Besi Balok'!$F$23:$F$12292,'REKAP Balok'!Q$12)</f>
        <v>0</v>
      </c>
      <c r="R392">
        <f>SUMIFS('Besi Balok'!$AA$23:$AA$12292,'Besi Balok'!$A$23:$A$12292,$A392,'Besi Balok'!$B$23:$B$12292,$B392,'Besi Balok'!$F$23:$F$12292,'REKAP Balok'!R$12)</f>
        <v>0</v>
      </c>
      <c r="S392">
        <f>SUMIFS('Besi Balok'!$AA$23:$AA$12292,'Besi Balok'!$A$23:$A$12292,$A392,'Besi Balok'!$B$23:$B$12292,$B392,'Besi Balok'!$F$23:$F$12292,'REKAP Balok'!S$12)</f>
        <v>0</v>
      </c>
      <c r="T392">
        <f>SUMIFS('Besi Balok'!$AA$23:$AA$12292,'Besi Balok'!$A$23:$A$12292,$A392,'Besi Balok'!$B$23:$B$12292,$B392,'Besi Balok'!$F$23:$F$12292,'REKAP Balok'!T$12)</f>
        <v>0</v>
      </c>
      <c r="U392">
        <f>SUM(L392:T392)</f>
        <v>33.135444719999995</v>
      </c>
      <c r="V392">
        <f>(D392*(F392-H392)*G392*K392)/1000000000</f>
        <v>0.22185</v>
      </c>
      <c r="W392">
        <f>(((F392-H392)*2+D392)*(G392)*K392)/1000000</f>
        <v>3.103</v>
      </c>
      <c r="AC392">
        <f>(D392+2*$F$5)*F392*G392/1000000000</f>
        <v>0.48285</v>
      </c>
    </row>
    <row r="393">
      <c r="A393" t="str">
        <f>'Data Panjang Balok'!A390</f>
        <v>Lantai Atap</v>
      </c>
      <c r="B393">
        <f>'Data Panjang Balok'!B390</f>
        <v>35</v>
      </c>
      <c r="C393" t="str">
        <f>'Data Panjang Balok'!D390</f>
        <v>Potongan F</v>
      </c>
      <c r="D393">
        <f>IF(C393&gt;0,VLOOKUP(C393,'Detail Balok'!$C$11:$AU$110,2,FALSE),0)</f>
        <v>200</v>
      </c>
      <c r="E393" t="str">
        <v>x</v>
      </c>
      <c r="F393">
        <f>IF(C393&gt;0,VLOOKUP(C393,'Detail Balok'!$C$11:$AU$110,3,FALSE),0)</f>
        <v>450</v>
      </c>
      <c r="G393">
        <f>'Data Panjang Balok'!I390</f>
        <v>2700</v>
      </c>
      <c r="H393">
        <f>'Data Panjang Balok'!J390</f>
        <v>0</v>
      </c>
      <c r="J393">
        <f>I393-F393/1000</f>
        <v>-0.45</v>
      </c>
      <c r="K393">
        <f>'Data Panjang Balok'!E390</f>
        <v>1</v>
      </c>
      <c r="L393">
        <f>SUMIFS('Besi Balok'!$AA$23:$AA$12292,'Besi Balok'!$A$23:$A$12292,$A393,'Besi Balok'!$B$23:$B$12292,$B393,'Besi Balok'!$F$23:$F$12292,'REKAP Balok'!L$12)</f>
        <v>0</v>
      </c>
      <c r="M393">
        <f>SUMIFS('Besi Balok'!$AA$23:$AA$12292,'Besi Balok'!$A$23:$A$12292,$A393,'Besi Balok'!$B$23:$B$12292,$B393,'Besi Balok'!$F$23:$F$12292,'REKAP Balok'!M$12)</f>
        <v>0</v>
      </c>
      <c r="N393">
        <f>SUMIFS('Besi Balok'!$AA$23:$AA$12292,'Besi Balok'!$A$23:$A$12292,$A393,'Besi Balok'!$B$23:$B$12292,$B393,'Besi Balok'!$F$23:$F$12292,'REKAP Balok'!N$12)</f>
        <v>23.827725</v>
      </c>
      <c r="O393">
        <f>SUMIFS('Besi Balok'!$AA$23:$AA$12292,'Besi Balok'!$A$23:$A$12292,$A393,'Besi Balok'!$B$23:$B$12292,$B393,'Besi Balok'!$F$23:$F$12292,'REKAP Balok'!O$12)</f>
        <v>0</v>
      </c>
      <c r="P393">
        <f>SUMIFS('Besi Balok'!$AA$23:$AA$12292,'Besi Balok'!$A$23:$A$12292,$A393,'Besi Balok'!$B$23:$B$12292,$B393,'Besi Balok'!$F$23:$F$12292,'REKAP Balok'!P$12)</f>
        <v>38.938337280000006</v>
      </c>
      <c r="Q393">
        <f>SUMIFS('Besi Balok'!$AA$23:$AA$12292,'Besi Balok'!$A$23:$A$12292,$A393,'Besi Balok'!$B$23:$B$12292,$B393,'Besi Balok'!$F$23:$F$12292,'REKAP Balok'!Q$12)</f>
        <v>0</v>
      </c>
      <c r="R393">
        <f>SUMIFS('Besi Balok'!$AA$23:$AA$12292,'Besi Balok'!$A$23:$A$12292,$A393,'Besi Balok'!$B$23:$B$12292,$B393,'Besi Balok'!$F$23:$F$12292,'REKAP Balok'!R$12)</f>
        <v>0</v>
      </c>
      <c r="S393">
        <f>SUMIFS('Besi Balok'!$AA$23:$AA$12292,'Besi Balok'!$A$23:$A$12292,$A393,'Besi Balok'!$B$23:$B$12292,$B393,'Besi Balok'!$F$23:$F$12292,'REKAP Balok'!S$12)</f>
        <v>0</v>
      </c>
      <c r="T393">
        <f>SUMIFS('Besi Balok'!$AA$23:$AA$12292,'Besi Balok'!$A$23:$A$12292,$A393,'Besi Balok'!$B$23:$B$12292,$B393,'Besi Balok'!$F$23:$F$12292,'REKAP Balok'!T$12)</f>
        <v>0</v>
      </c>
      <c r="U393">
        <f>SUM(L393:T393)</f>
        <v>62.76606228000001</v>
      </c>
      <c r="V393">
        <f>(D393*(F393-H393)*G393*K393)/1000000000</f>
        <v>0.243</v>
      </c>
      <c r="W393">
        <f>(((F393-H393)*2+D393)*(G393)*K393)/1000000</f>
        <v>2.97</v>
      </c>
      <c r="AC393">
        <f>(D393+2*$F$5)*F393*G393/1000000000</f>
        <v>0.486</v>
      </c>
    </row>
    <row r="394">
      <c r="A394" t="str">
        <f>'Data Panjang Balok'!A391</f>
        <v>Lantai Atap</v>
      </c>
      <c r="B394">
        <f>'Data Panjang Balok'!B391</f>
        <v>36</v>
      </c>
      <c r="C394" t="str">
        <f>'Data Panjang Balok'!D391</f>
        <v>B245-1</v>
      </c>
      <c r="D394">
        <f>IF(C394&gt;0,VLOOKUP(C394,'Detail Balok'!$C$11:$AU$110,2,FALSE),0)</f>
        <v>200</v>
      </c>
      <c r="E394" t="str">
        <v>x</v>
      </c>
      <c r="F394">
        <f>IF(C394&gt;0,VLOOKUP(C394,'Detail Balok'!$C$11:$AU$110,3,FALSE),0)</f>
        <v>450</v>
      </c>
      <c r="G394">
        <f>'Data Panjang Balok'!I391</f>
        <v>2100</v>
      </c>
      <c r="H394">
        <f>'Data Panjang Balok'!J391</f>
        <v>0</v>
      </c>
      <c r="J394">
        <f>I394-F394/1000</f>
        <v>-0.45</v>
      </c>
      <c r="K394">
        <f>'Data Panjang Balok'!E391</f>
        <v>1</v>
      </c>
      <c r="L394">
        <f>SUMIFS('Besi Balok'!$AA$23:$AA$12292,'Besi Balok'!$A$23:$A$12292,$A394,'Besi Balok'!$B$23:$B$12292,$B394,'Besi Balok'!$F$23:$F$12292,'REKAP Balok'!L$12)</f>
        <v>0</v>
      </c>
      <c r="M394">
        <f>SUMIFS('Besi Balok'!$AA$23:$AA$12292,'Besi Balok'!$A$23:$A$12292,$A394,'Besi Balok'!$B$23:$B$12292,$B394,'Besi Balok'!$F$23:$F$12292,'REKAP Balok'!M$12)</f>
        <v>11.61742464</v>
      </c>
      <c r="N394">
        <f>SUMIFS('Besi Balok'!$AA$23:$AA$12292,'Besi Balok'!$A$23:$A$12292,$A394,'Besi Balok'!$B$23:$B$12292,$B394,'Besi Balok'!$F$23:$F$12292,'REKAP Balok'!N$12)</f>
        <v>0</v>
      </c>
      <c r="O394">
        <f>SUMIFS('Besi Balok'!$AA$23:$AA$12292,'Besi Balok'!$A$23:$A$12292,$A394,'Besi Balok'!$B$23:$B$12292,$B394,'Besi Balok'!$F$23:$F$12292,'REKAP Balok'!O$12)</f>
        <v>10.052106479999999</v>
      </c>
      <c r="P394">
        <f>SUMIFS('Besi Balok'!$AA$23:$AA$12292,'Besi Balok'!$A$23:$A$12292,$A394,'Besi Balok'!$B$23:$B$12292,$B394,'Besi Balok'!$F$23:$F$12292,'REKAP Balok'!P$12)</f>
        <v>0</v>
      </c>
      <c r="Q394">
        <f>SUMIFS('Besi Balok'!$AA$23:$AA$12292,'Besi Balok'!$A$23:$A$12292,$A394,'Besi Balok'!$B$23:$B$12292,$B394,'Besi Balok'!$F$23:$F$12292,'REKAP Balok'!Q$12)</f>
        <v>0</v>
      </c>
      <c r="R394">
        <f>SUMIFS('Besi Balok'!$AA$23:$AA$12292,'Besi Balok'!$A$23:$A$12292,$A394,'Besi Balok'!$B$23:$B$12292,$B394,'Besi Balok'!$F$23:$F$12292,'REKAP Balok'!R$12)</f>
        <v>0</v>
      </c>
      <c r="S394">
        <f>SUMIFS('Besi Balok'!$AA$23:$AA$12292,'Besi Balok'!$A$23:$A$12292,$A394,'Besi Balok'!$B$23:$B$12292,$B394,'Besi Balok'!$F$23:$F$12292,'REKAP Balok'!S$12)</f>
        <v>0</v>
      </c>
      <c r="T394">
        <f>SUMIFS('Besi Balok'!$AA$23:$AA$12292,'Besi Balok'!$A$23:$A$12292,$A394,'Besi Balok'!$B$23:$B$12292,$B394,'Besi Balok'!$F$23:$F$12292,'REKAP Balok'!T$12)</f>
        <v>0</v>
      </c>
      <c r="U394">
        <f>SUM(L394:T394)</f>
        <v>21.66953112</v>
      </c>
      <c r="V394">
        <f>(D394*(F394-H394)*G394*K394)/1000000000</f>
        <v>0.189</v>
      </c>
      <c r="W394">
        <f>(((F394-H394)*2+D394)*(G394)*K394)/1000000</f>
        <v>2.31</v>
      </c>
      <c r="AC394">
        <f>(D394+2*$F$5)*F394*G394/1000000000</f>
        <v>0.378</v>
      </c>
    </row>
    <row r="395">
      <c r="A395" t="str">
        <f>'Data Panjang Balok'!A392</f>
        <v>Lantai Atap</v>
      </c>
      <c r="B395">
        <f>'Data Panjang Balok'!B392</f>
        <v>37</v>
      </c>
      <c r="C395" t="str">
        <f>'Data Panjang Balok'!D392</f>
        <v>B245-1</v>
      </c>
      <c r="D395">
        <f>IF(C395&gt;0,VLOOKUP(C395,'Detail Balok'!$C$11:$AU$110,2,FALSE),0)</f>
        <v>200</v>
      </c>
      <c r="E395" t="str">
        <v>x</v>
      </c>
      <c r="F395">
        <f>IF(C395&gt;0,VLOOKUP(C395,'Detail Balok'!$C$11:$AU$110,3,FALSE),0)</f>
        <v>450</v>
      </c>
      <c r="G395">
        <f>'Data Panjang Balok'!I392</f>
        <v>2700</v>
      </c>
      <c r="H395">
        <f>'Data Panjang Balok'!J392</f>
        <v>0</v>
      </c>
      <c r="J395">
        <f>I395-F395/1000</f>
        <v>-0.45</v>
      </c>
      <c r="K395">
        <f>'Data Panjang Balok'!E392</f>
        <v>1</v>
      </c>
      <c r="L395">
        <f>SUMIFS('Besi Balok'!$AA$23:$AA$12292,'Besi Balok'!$A$23:$A$12292,$A395,'Besi Balok'!$B$23:$B$12292,$B395,'Besi Balok'!$F$23:$F$12292,'REKAP Balok'!L$12)</f>
        <v>0</v>
      </c>
      <c r="M395">
        <f>SUMIFS('Besi Balok'!$AA$23:$AA$12292,'Besi Balok'!$A$23:$A$12292,$A395,'Besi Balok'!$B$23:$B$12292,$B395,'Besi Balok'!$F$23:$F$12292,'REKAP Balok'!M$12)</f>
        <v>13.428455040000003</v>
      </c>
      <c r="N395">
        <f>SUMIFS('Besi Balok'!$AA$23:$AA$12292,'Besi Balok'!$A$23:$A$12292,$A395,'Besi Balok'!$B$23:$B$12292,$B395,'Besi Balok'!$F$23:$F$12292,'REKAP Balok'!N$12)</f>
        <v>0</v>
      </c>
      <c r="O395">
        <f>SUMIFS('Besi Balok'!$AA$23:$AA$12292,'Besi Balok'!$A$23:$A$12292,$A395,'Besi Balok'!$B$23:$B$12292,$B395,'Besi Balok'!$F$23:$F$12292,'REKAP Balok'!O$12)</f>
        <v>12.55263048</v>
      </c>
      <c r="P395">
        <f>SUMIFS('Besi Balok'!$AA$23:$AA$12292,'Besi Balok'!$A$23:$A$12292,$A395,'Besi Balok'!$B$23:$B$12292,$B395,'Besi Balok'!$F$23:$F$12292,'REKAP Balok'!P$12)</f>
        <v>0</v>
      </c>
      <c r="Q395">
        <f>SUMIFS('Besi Balok'!$AA$23:$AA$12292,'Besi Balok'!$A$23:$A$12292,$A395,'Besi Balok'!$B$23:$B$12292,$B395,'Besi Balok'!$F$23:$F$12292,'REKAP Balok'!Q$12)</f>
        <v>0</v>
      </c>
      <c r="R395">
        <f>SUMIFS('Besi Balok'!$AA$23:$AA$12292,'Besi Balok'!$A$23:$A$12292,$A395,'Besi Balok'!$B$23:$B$12292,$B395,'Besi Balok'!$F$23:$F$12292,'REKAP Balok'!R$12)</f>
        <v>0</v>
      </c>
      <c r="S395">
        <f>SUMIFS('Besi Balok'!$AA$23:$AA$12292,'Besi Balok'!$A$23:$A$12292,$A395,'Besi Balok'!$B$23:$B$12292,$B395,'Besi Balok'!$F$23:$F$12292,'REKAP Balok'!S$12)</f>
        <v>0</v>
      </c>
      <c r="T395">
        <f>SUMIFS('Besi Balok'!$AA$23:$AA$12292,'Besi Balok'!$A$23:$A$12292,$A395,'Besi Balok'!$B$23:$B$12292,$B395,'Besi Balok'!$F$23:$F$12292,'REKAP Balok'!T$12)</f>
        <v>0</v>
      </c>
      <c r="U395">
        <f>SUM(L395:T395)</f>
        <v>25.98108552</v>
      </c>
      <c r="V395">
        <f>(D395*(F395-H395)*G395*K395)/1000000000</f>
        <v>0.243</v>
      </c>
      <c r="W395">
        <f>(((F395-H395)*2+D395)*(G395)*K395)/1000000</f>
        <v>2.97</v>
      </c>
      <c r="AC395">
        <f>(D395+2*$F$5)*F395*G395/1000000000</f>
        <v>0.486</v>
      </c>
    </row>
    <row r="396">
      <c r="A396" t="str">
        <f>'Data Panjang Balok'!A393</f>
        <v>Lantai Atap</v>
      </c>
      <c r="B396">
        <f>'Data Panjang Balok'!B393</f>
        <v>38</v>
      </c>
      <c r="C396" t="str">
        <f>'Data Panjang Balok'!D393</f>
        <v>B24-1</v>
      </c>
      <c r="D396">
        <f>IF(C396&gt;0,VLOOKUP(C396,'Detail Balok'!$C$11:$AU$110,2,FALSE),0)</f>
        <v>200</v>
      </c>
      <c r="E396" t="str">
        <v>x</v>
      </c>
      <c r="F396">
        <f>IF(C396&gt;0,VLOOKUP(C396,'Detail Balok'!$C$11:$AU$110,3,FALSE),0)</f>
        <v>400</v>
      </c>
      <c r="G396">
        <f>'Data Panjang Balok'!I393</f>
        <v>2100</v>
      </c>
      <c r="H396">
        <f>'Data Panjang Balok'!J393</f>
        <v>0</v>
      </c>
      <c r="J396">
        <f>I396-F396/1000</f>
        <v>-0.4</v>
      </c>
      <c r="K396">
        <f>'Data Panjang Balok'!E393</f>
        <v>1</v>
      </c>
      <c r="L396">
        <f>SUMIFS('Besi Balok'!$AA$23:$AA$12292,'Besi Balok'!$A$23:$A$12292,$A396,'Besi Balok'!$B$23:$B$12292,$B396,'Besi Balok'!$F$23:$F$12292,'REKAP Balok'!L$12)</f>
        <v>0</v>
      </c>
      <c r="M396">
        <f>SUMIFS('Besi Balok'!$AA$23:$AA$12292,'Besi Balok'!$A$23:$A$12292,$A396,'Besi Balok'!$B$23:$B$12292,$B396,'Besi Balok'!$F$23:$F$12292,'REKAP Balok'!M$12)</f>
        <v>8.534332800000001</v>
      </c>
      <c r="N396">
        <f>SUMIFS('Besi Balok'!$AA$23:$AA$12292,'Besi Balok'!$A$23:$A$12292,$A396,'Besi Balok'!$B$23:$B$12292,$B396,'Besi Balok'!$F$23:$F$12292,'REKAP Balok'!N$12)</f>
        <v>0</v>
      </c>
      <c r="O396">
        <f>SUMIFS('Besi Balok'!$AA$23:$AA$12292,'Besi Balok'!$A$23:$A$12292,$A396,'Besi Balok'!$B$23:$B$12292,$B396,'Besi Balok'!$F$23:$F$12292,'REKAP Balok'!O$12)</f>
        <v>10.052106479999999</v>
      </c>
      <c r="P396">
        <f>SUMIFS('Besi Balok'!$AA$23:$AA$12292,'Besi Balok'!$A$23:$A$12292,$A396,'Besi Balok'!$B$23:$B$12292,$B396,'Besi Balok'!$F$23:$F$12292,'REKAP Balok'!P$12)</f>
        <v>0</v>
      </c>
      <c r="Q396">
        <f>SUMIFS('Besi Balok'!$AA$23:$AA$12292,'Besi Balok'!$A$23:$A$12292,$A396,'Besi Balok'!$B$23:$B$12292,$B396,'Besi Balok'!$F$23:$F$12292,'REKAP Balok'!Q$12)</f>
        <v>0</v>
      </c>
      <c r="R396">
        <f>SUMIFS('Besi Balok'!$AA$23:$AA$12292,'Besi Balok'!$A$23:$A$12292,$A396,'Besi Balok'!$B$23:$B$12292,$B396,'Besi Balok'!$F$23:$F$12292,'REKAP Balok'!R$12)</f>
        <v>0</v>
      </c>
      <c r="S396">
        <f>SUMIFS('Besi Balok'!$AA$23:$AA$12292,'Besi Balok'!$A$23:$A$12292,$A396,'Besi Balok'!$B$23:$B$12292,$B396,'Besi Balok'!$F$23:$F$12292,'REKAP Balok'!S$12)</f>
        <v>0</v>
      </c>
      <c r="T396">
        <f>SUMIFS('Besi Balok'!$AA$23:$AA$12292,'Besi Balok'!$A$23:$A$12292,$A396,'Besi Balok'!$B$23:$B$12292,$B396,'Besi Balok'!$F$23:$F$12292,'REKAP Balok'!T$12)</f>
        <v>0</v>
      </c>
      <c r="U396">
        <f>SUM(L396:T396)</f>
        <v>18.58643928</v>
      </c>
      <c r="V396">
        <f>(D396*(F396-H396)*G396*K396)/1000000000</f>
        <v>0.168</v>
      </c>
      <c r="W396">
        <f>(((F396-H396)*2+D396)*(G396)*K396)/1000000</f>
        <v>2.1</v>
      </c>
      <c r="AC396">
        <f>(D396+2*$F$5)*F396*G396/1000000000</f>
        <v>0.336</v>
      </c>
    </row>
    <row r="397">
      <c r="A397" t="str">
        <f>'Data Panjang Balok'!A394</f>
        <v>Lantai Atap</v>
      </c>
      <c r="B397">
        <f>'Data Panjang Balok'!B394</f>
        <v>39</v>
      </c>
      <c r="C397" t="str">
        <f>'Data Panjang Balok'!D394</f>
        <v>B25-1</v>
      </c>
      <c r="D397">
        <f>IF(C397&gt;0,VLOOKUP(C397,'Detail Balok'!$C$11:$AU$110,2,FALSE),0)</f>
        <v>200</v>
      </c>
      <c r="E397" t="str">
        <v>x</v>
      </c>
      <c r="F397">
        <f>IF(C397&gt;0,VLOOKUP(C397,'Detail Balok'!$C$11:$AU$110,3,FALSE),0)</f>
        <v>500</v>
      </c>
      <c r="G397">
        <f>'Data Panjang Balok'!I394</f>
        <v>4325</v>
      </c>
      <c r="H397">
        <f>'Data Panjang Balok'!J394</f>
        <v>150</v>
      </c>
      <c r="J397">
        <f>I397-F397/1000</f>
        <v>-0.5</v>
      </c>
      <c r="K397">
        <f>'Data Panjang Balok'!E394</f>
        <v>1</v>
      </c>
      <c r="L397">
        <f>SUMIFS('Besi Balok'!$AA$23:$AA$12292,'Besi Balok'!$A$23:$A$12292,$A397,'Besi Balok'!$B$23:$B$12292,$B397,'Besi Balok'!$F$23:$F$12292,'REKAP Balok'!L$12)</f>
        <v>0</v>
      </c>
      <c r="M397">
        <f>SUMIFS('Besi Balok'!$AA$23:$AA$12292,'Besi Balok'!$A$23:$A$12292,$A397,'Besi Balok'!$B$23:$B$12292,$B397,'Besi Balok'!$F$23:$F$12292,'REKAP Balok'!M$12)</f>
        <v>0</v>
      </c>
      <c r="N397">
        <f>SUMIFS('Besi Balok'!$AA$23:$AA$12292,'Besi Balok'!$A$23:$A$12292,$A397,'Besi Balok'!$B$23:$B$12292,$B397,'Besi Balok'!$F$23:$F$12292,'REKAP Balok'!N$12)</f>
        <v>32.16897</v>
      </c>
      <c r="O397">
        <f>SUMIFS('Besi Balok'!$AA$23:$AA$12292,'Besi Balok'!$A$23:$A$12292,$A397,'Besi Balok'!$B$23:$B$12292,$B397,'Besi Balok'!$F$23:$F$12292,'REKAP Balok'!O$12)</f>
        <v>0</v>
      </c>
      <c r="P397">
        <f>SUMIFS('Besi Balok'!$AA$23:$AA$12292,'Besi Balok'!$A$23:$A$12292,$A397,'Besi Balok'!$B$23:$B$12292,$B397,'Besi Balok'!$F$23:$F$12292,'REKAP Balok'!P$12)</f>
        <v>29.72772864</v>
      </c>
      <c r="Q397">
        <f>SUMIFS('Besi Balok'!$AA$23:$AA$12292,'Besi Balok'!$A$23:$A$12292,$A397,'Besi Balok'!$B$23:$B$12292,$B397,'Besi Balok'!$F$23:$F$12292,'REKAP Balok'!Q$12)</f>
        <v>0</v>
      </c>
      <c r="R397">
        <f>SUMIFS('Besi Balok'!$AA$23:$AA$12292,'Besi Balok'!$A$23:$A$12292,$A397,'Besi Balok'!$B$23:$B$12292,$B397,'Besi Balok'!$F$23:$F$12292,'REKAP Balok'!R$12)</f>
        <v>0</v>
      </c>
      <c r="S397">
        <f>SUMIFS('Besi Balok'!$AA$23:$AA$12292,'Besi Balok'!$A$23:$A$12292,$A397,'Besi Balok'!$B$23:$B$12292,$B397,'Besi Balok'!$F$23:$F$12292,'REKAP Balok'!S$12)</f>
        <v>0</v>
      </c>
      <c r="T397">
        <f>SUMIFS('Besi Balok'!$AA$23:$AA$12292,'Besi Balok'!$A$23:$A$12292,$A397,'Besi Balok'!$B$23:$B$12292,$B397,'Besi Balok'!$F$23:$F$12292,'REKAP Balok'!T$12)</f>
        <v>0</v>
      </c>
      <c r="U397">
        <f>SUM(L397:T397)</f>
        <v>61.89669864</v>
      </c>
      <c r="V397">
        <f>(D397*(F397-H397)*G397*K397)/1000000000</f>
        <v>0.30275</v>
      </c>
      <c r="W397">
        <f>(((F397-H397)*2+D397)*(G397)*K397)/1000000</f>
        <v>3.8925</v>
      </c>
      <c r="AC397">
        <f>(D397+2*$F$5)*F397*G397/1000000000</f>
        <v>0.865</v>
      </c>
    </row>
    <row r="398">
      <c r="A398" t="str">
        <f>'Data Panjang Balok'!A395</f>
        <v>Lantai Atap</v>
      </c>
      <c r="B398">
        <f>'Data Panjang Balok'!B395</f>
        <v>40</v>
      </c>
      <c r="C398" t="str">
        <f>'Data Panjang Balok'!D395</f>
        <v>B25-4</v>
      </c>
      <c r="D398">
        <f>IF(C398&gt;0,VLOOKUP(C398,'Detail Balok'!$C$11:$AU$110,2,FALSE),0)</f>
        <v>200</v>
      </c>
      <c r="E398" t="str">
        <v>x</v>
      </c>
      <c r="F398">
        <f>IF(C398&gt;0,VLOOKUP(C398,'Detail Balok'!$C$11:$AU$110,3,FALSE),0)</f>
        <v>500</v>
      </c>
      <c r="G398">
        <f>'Data Panjang Balok'!I395</f>
        <v>6565</v>
      </c>
      <c r="H398">
        <f>'Data Panjang Balok'!J395</f>
        <v>150</v>
      </c>
      <c r="J398">
        <f>I398-F398/1000</f>
        <v>-0.5</v>
      </c>
      <c r="K398">
        <f>'Data Panjang Balok'!E395</f>
        <v>1</v>
      </c>
      <c r="L398">
        <f>SUMIFS('Besi Balok'!$AA$23:$AA$12292,'Besi Balok'!$A$23:$A$12292,$A398,'Besi Balok'!$B$23:$B$12292,$B398,'Besi Balok'!$F$23:$F$12292,'REKAP Balok'!L$12)</f>
        <v>0</v>
      </c>
      <c r="M398">
        <f>SUMIFS('Besi Balok'!$AA$23:$AA$12292,'Besi Balok'!$A$23:$A$12292,$A398,'Besi Balok'!$B$23:$B$12292,$B398,'Besi Balok'!$F$23:$F$12292,'REKAP Balok'!M$12)</f>
        <v>0</v>
      </c>
      <c r="N398">
        <f>SUMIFS('Besi Balok'!$AA$23:$AA$12292,'Besi Balok'!$A$23:$A$12292,$A398,'Besi Balok'!$B$23:$B$12292,$B398,'Besi Balok'!$F$23:$F$12292,'REKAP Balok'!N$12)</f>
        <v>49.33849500000001</v>
      </c>
      <c r="O398">
        <f>SUMIFS('Besi Balok'!$AA$23:$AA$12292,'Besi Balok'!$A$23:$A$12292,$A398,'Besi Balok'!$B$23:$B$12292,$B398,'Besi Balok'!$F$23:$F$12292,'REKAP Balok'!O$12)</f>
        <v>0</v>
      </c>
      <c r="P398">
        <f>SUMIFS('Besi Balok'!$AA$23:$AA$12292,'Besi Balok'!$A$23:$A$12292,$A398,'Besi Balok'!$B$23:$B$12292,$B398,'Besi Balok'!$F$23:$F$12292,'REKAP Balok'!P$12)</f>
        <v>105.24888</v>
      </c>
      <c r="Q398">
        <f>SUMIFS('Besi Balok'!$AA$23:$AA$12292,'Besi Balok'!$A$23:$A$12292,$A398,'Besi Balok'!$B$23:$B$12292,$B398,'Besi Balok'!$F$23:$F$12292,'REKAP Balok'!Q$12)</f>
        <v>0</v>
      </c>
      <c r="R398">
        <f>SUMIFS('Besi Balok'!$AA$23:$AA$12292,'Besi Balok'!$A$23:$A$12292,$A398,'Besi Balok'!$B$23:$B$12292,$B398,'Besi Balok'!$F$23:$F$12292,'REKAP Balok'!R$12)</f>
        <v>0</v>
      </c>
      <c r="S398">
        <f>SUMIFS('Besi Balok'!$AA$23:$AA$12292,'Besi Balok'!$A$23:$A$12292,$A398,'Besi Balok'!$B$23:$B$12292,$B398,'Besi Balok'!$F$23:$F$12292,'REKAP Balok'!S$12)</f>
        <v>0</v>
      </c>
      <c r="T398">
        <f>SUMIFS('Besi Balok'!$AA$23:$AA$12292,'Besi Balok'!$A$23:$A$12292,$A398,'Besi Balok'!$B$23:$B$12292,$B398,'Besi Balok'!$F$23:$F$12292,'REKAP Balok'!T$12)</f>
        <v>0</v>
      </c>
      <c r="U398">
        <f>SUM(L398:T398)</f>
        <v>154.587375</v>
      </c>
      <c r="V398">
        <f>(D398*(F398-H398)*G398*K398)/1000000000</f>
        <v>0.45955</v>
      </c>
      <c r="W398">
        <f>(((F398-H398)*2+D398)*(G398)*K398)/1000000</f>
        <v>5.9085</v>
      </c>
      <c r="AC398">
        <f>(D398+2*$F$5)*F398*G398/1000000000</f>
        <v>1.313</v>
      </c>
    </row>
    <row r="399">
      <c r="A399" t="str">
        <f>'Data Panjang Balok'!A396</f>
        <v>Lantai Atap</v>
      </c>
      <c r="B399">
        <f>'Data Panjang Balok'!B396</f>
        <v>41</v>
      </c>
      <c r="C399" t="str">
        <f>'Data Panjang Balok'!D396</f>
        <v>B245-5</v>
      </c>
      <c r="D399">
        <f>IF(C399&gt;0,VLOOKUP(C399,'Detail Balok'!$C$11:$AU$110,2,FALSE),0)</f>
        <v>200</v>
      </c>
      <c r="E399" t="str">
        <v>x</v>
      </c>
      <c r="F399">
        <f>IF(C399&gt;0,VLOOKUP(C399,'Detail Balok'!$C$11:$AU$110,3,FALSE),0)</f>
        <v>450</v>
      </c>
      <c r="G399">
        <f>'Data Panjang Balok'!I396</f>
        <v>3700</v>
      </c>
      <c r="H399">
        <f>'Data Panjang Balok'!J396</f>
        <v>150</v>
      </c>
      <c r="J399">
        <f>I399-F399/1000</f>
        <v>-0.45</v>
      </c>
      <c r="K399">
        <f>'Data Panjang Balok'!E396</f>
        <v>1</v>
      </c>
      <c r="L399">
        <f>SUMIFS('Besi Balok'!$AA$23:$AA$12292,'Besi Balok'!$A$23:$A$12292,$A399,'Besi Balok'!$B$23:$B$12292,$B399,'Besi Balok'!$F$23:$F$12292,'REKAP Balok'!L$12)</f>
        <v>0</v>
      </c>
      <c r="M399">
        <f>SUMIFS('Besi Balok'!$AA$23:$AA$12292,'Besi Balok'!$A$23:$A$12292,$A399,'Besi Balok'!$B$23:$B$12292,$B399,'Besi Balok'!$F$23:$F$12292,'REKAP Balok'!M$12)</f>
        <v>0</v>
      </c>
      <c r="N399">
        <f>SUMIFS('Besi Balok'!$AA$23:$AA$12292,'Besi Balok'!$A$23:$A$12292,$A399,'Besi Balok'!$B$23:$B$12292,$B399,'Besi Balok'!$F$23:$F$12292,'REKAP Balok'!N$12)</f>
        <v>29.240595</v>
      </c>
      <c r="O399">
        <f>SUMIFS('Besi Balok'!$AA$23:$AA$12292,'Besi Balok'!$A$23:$A$12292,$A399,'Besi Balok'!$B$23:$B$12292,$B399,'Besi Balok'!$F$23:$F$12292,'REKAP Balok'!O$12)</f>
        <v>0</v>
      </c>
      <c r="P399">
        <f>SUMIFS('Besi Balok'!$AA$23:$AA$12292,'Besi Balok'!$A$23:$A$12292,$A399,'Besi Balok'!$B$23:$B$12292,$B399,'Besi Balok'!$F$23:$F$12292,'REKAP Balok'!P$12)</f>
        <v>45.11872512</v>
      </c>
      <c r="Q399">
        <f>SUMIFS('Besi Balok'!$AA$23:$AA$12292,'Besi Balok'!$A$23:$A$12292,$A399,'Besi Balok'!$B$23:$B$12292,$B399,'Besi Balok'!$F$23:$F$12292,'REKAP Balok'!Q$12)</f>
        <v>0</v>
      </c>
      <c r="R399">
        <f>SUMIFS('Besi Balok'!$AA$23:$AA$12292,'Besi Balok'!$A$23:$A$12292,$A399,'Besi Balok'!$B$23:$B$12292,$B399,'Besi Balok'!$F$23:$F$12292,'REKAP Balok'!R$12)</f>
        <v>0</v>
      </c>
      <c r="S399">
        <f>SUMIFS('Besi Balok'!$AA$23:$AA$12292,'Besi Balok'!$A$23:$A$12292,$A399,'Besi Balok'!$B$23:$B$12292,$B399,'Besi Balok'!$F$23:$F$12292,'REKAP Balok'!S$12)</f>
        <v>0</v>
      </c>
      <c r="T399">
        <f>SUMIFS('Besi Balok'!$AA$23:$AA$12292,'Besi Balok'!$A$23:$A$12292,$A399,'Besi Balok'!$B$23:$B$12292,$B399,'Besi Balok'!$F$23:$F$12292,'REKAP Balok'!T$12)</f>
        <v>0</v>
      </c>
      <c r="U399">
        <f>SUM(L399:T399)</f>
        <v>74.35932012</v>
      </c>
      <c r="V399">
        <f>(D399*(F399-H399)*G399*K399)/1000000000</f>
        <v>0.222</v>
      </c>
      <c r="W399">
        <f>(((F399-H399)*2+D399)*(G399)*K399)/1000000</f>
        <v>2.96</v>
      </c>
      <c r="AC399">
        <f>(D399+2*$F$5)*F399*G399/1000000000</f>
        <v>0.666</v>
      </c>
    </row>
    <row r="400">
      <c r="A400" t="str">
        <f>'Data Panjang Balok'!A397</f>
        <v>Lantai Atap</v>
      </c>
      <c r="B400">
        <f>'Data Panjang Balok'!B397</f>
        <v>42</v>
      </c>
      <c r="C400" t="str">
        <f>'Data Panjang Balok'!D397</f>
        <v>B245-4</v>
      </c>
      <c r="D400">
        <f>IF(C400&gt;0,VLOOKUP(C400,'Detail Balok'!$C$11:$AU$110,2,FALSE),0)</f>
        <v>200</v>
      </c>
      <c r="E400" t="str">
        <v>x</v>
      </c>
      <c r="F400">
        <f>IF(C400&gt;0,VLOOKUP(C400,'Detail Balok'!$C$11:$AU$110,3,FALSE),0)</f>
        <v>450</v>
      </c>
      <c r="G400">
        <f>'Data Panjang Balok'!I397</f>
        <v>2000</v>
      </c>
      <c r="H400">
        <f>'Data Panjang Balok'!J397</f>
        <v>150</v>
      </c>
      <c r="J400">
        <f>I400-F400/1000</f>
        <v>-0.45</v>
      </c>
      <c r="K400">
        <f>'Data Panjang Balok'!E397</f>
        <v>1</v>
      </c>
      <c r="L400">
        <f>SUMIFS('Besi Balok'!$AA$23:$AA$12292,'Besi Balok'!$A$23:$A$12292,$A400,'Besi Balok'!$B$23:$B$12292,$B400,'Besi Balok'!$F$23:$F$12292,'REKAP Balok'!L$12)</f>
        <v>0</v>
      </c>
      <c r="M400">
        <f>SUMIFS('Besi Balok'!$AA$23:$AA$12292,'Besi Balok'!$A$23:$A$12292,$A400,'Besi Balok'!$B$23:$B$12292,$B400,'Besi Balok'!$F$23:$F$12292,'REKAP Balok'!M$12)</f>
        <v>11.09265984</v>
      </c>
      <c r="N400">
        <f>SUMIFS('Besi Balok'!$AA$23:$AA$12292,'Besi Balok'!$A$23:$A$12292,$A400,'Besi Balok'!$B$23:$B$12292,$B400,'Besi Balok'!$F$23:$F$12292,'REKAP Balok'!N$12)</f>
        <v>0</v>
      </c>
      <c r="O400">
        <f>SUMIFS('Besi Balok'!$AA$23:$AA$12292,'Besi Balok'!$A$23:$A$12292,$A400,'Besi Balok'!$B$23:$B$12292,$B400,'Besi Balok'!$F$23:$F$12292,'REKAP Balok'!O$12)</f>
        <v>0</v>
      </c>
      <c r="P400">
        <f>SUMIFS('Besi Balok'!$AA$23:$AA$12292,'Besi Balok'!$A$23:$A$12292,$A400,'Besi Balok'!$B$23:$B$12292,$B400,'Besi Balok'!$F$23:$F$12292,'REKAP Balok'!P$12)</f>
        <v>22.57514496</v>
      </c>
      <c r="Q400">
        <f>SUMIFS('Besi Balok'!$AA$23:$AA$12292,'Besi Balok'!$A$23:$A$12292,$A400,'Besi Balok'!$B$23:$B$12292,$B400,'Besi Balok'!$F$23:$F$12292,'REKAP Balok'!Q$12)</f>
        <v>0</v>
      </c>
      <c r="R400">
        <f>SUMIFS('Besi Balok'!$AA$23:$AA$12292,'Besi Balok'!$A$23:$A$12292,$A400,'Besi Balok'!$B$23:$B$12292,$B400,'Besi Balok'!$F$23:$F$12292,'REKAP Balok'!R$12)</f>
        <v>0</v>
      </c>
      <c r="S400">
        <f>SUMIFS('Besi Balok'!$AA$23:$AA$12292,'Besi Balok'!$A$23:$A$12292,$A400,'Besi Balok'!$B$23:$B$12292,$B400,'Besi Balok'!$F$23:$F$12292,'REKAP Balok'!S$12)</f>
        <v>0</v>
      </c>
      <c r="T400">
        <f>SUMIFS('Besi Balok'!$AA$23:$AA$12292,'Besi Balok'!$A$23:$A$12292,$A400,'Besi Balok'!$B$23:$B$12292,$B400,'Besi Balok'!$F$23:$F$12292,'REKAP Balok'!T$12)</f>
        <v>0</v>
      </c>
      <c r="U400">
        <f>SUM(L400:T400)</f>
        <v>33.6678048</v>
      </c>
      <c r="V400">
        <f>(D400*(F400-H400)*G400*K400)/1000000000</f>
        <v>0.12</v>
      </c>
      <c r="W400">
        <f>(((F400-H400)*2+D400)*(G400)*K400)/1000000</f>
        <v>1.6</v>
      </c>
      <c r="AC400">
        <f>(D400+2*$F$5)*F400*G400/1000000000</f>
        <v>0.36</v>
      </c>
    </row>
    <row r="401">
      <c r="A401" t="str">
        <f>'Data Panjang Balok'!A398</f>
        <v>Lantai Atap</v>
      </c>
      <c r="B401">
        <f>'Data Panjang Balok'!B398</f>
        <v>43</v>
      </c>
      <c r="C401" t="str">
        <f>'Data Panjang Balok'!D398</f>
        <v>B245-3</v>
      </c>
      <c r="D401">
        <f>IF(C401&gt;0,VLOOKUP(C401,'Detail Balok'!$C$11:$AU$110,2,FALSE),0)</f>
        <v>200</v>
      </c>
      <c r="E401" t="str">
        <v>x</v>
      </c>
      <c r="F401">
        <f>IF(C401&gt;0,VLOOKUP(C401,'Detail Balok'!$C$11:$AU$110,3,FALSE),0)</f>
        <v>450</v>
      </c>
      <c r="G401">
        <f>'Data Panjang Balok'!I398</f>
        <v>4400</v>
      </c>
      <c r="H401">
        <f>'Data Panjang Balok'!J398</f>
        <v>150</v>
      </c>
      <c r="J401">
        <f>I401-F401/1000</f>
        <v>-0.45</v>
      </c>
      <c r="K401">
        <f>'Data Panjang Balok'!E398</f>
        <v>1</v>
      </c>
      <c r="L401">
        <f>SUMIFS('Besi Balok'!$AA$23:$AA$12292,'Besi Balok'!$A$23:$A$12292,$A401,'Besi Balok'!$B$23:$B$12292,$B401,'Besi Balok'!$F$23:$F$12292,'REKAP Balok'!L$12)</f>
        <v>0</v>
      </c>
      <c r="M401">
        <f>SUMIFS('Besi Balok'!$AA$23:$AA$12292,'Besi Balok'!$A$23:$A$12292,$A401,'Besi Balok'!$B$23:$B$12292,$B401,'Besi Balok'!$F$23:$F$12292,'REKAP Balok'!M$12)</f>
        <v>0</v>
      </c>
      <c r="N401">
        <f>SUMIFS('Besi Balok'!$AA$23:$AA$12292,'Besi Balok'!$A$23:$A$12292,$A401,'Besi Balok'!$B$23:$B$12292,$B401,'Besi Balok'!$F$23:$F$12292,'REKAP Balok'!N$12)</f>
        <v>32.890274999999995</v>
      </c>
      <c r="O401">
        <f>SUMIFS('Besi Balok'!$AA$23:$AA$12292,'Besi Balok'!$A$23:$A$12292,$A401,'Besi Balok'!$B$23:$B$12292,$B401,'Besi Balok'!$F$23:$F$12292,'REKAP Balok'!O$12)</f>
        <v>0</v>
      </c>
      <c r="P401">
        <f>SUMIFS('Besi Balok'!$AA$23:$AA$12292,'Besi Balok'!$A$23:$A$12292,$A401,'Besi Balok'!$B$23:$B$12292,$B401,'Besi Balok'!$F$23:$F$12292,'REKAP Balok'!P$12)</f>
        <v>30.20120064</v>
      </c>
      <c r="Q401">
        <f>SUMIFS('Besi Balok'!$AA$23:$AA$12292,'Besi Balok'!$A$23:$A$12292,$A401,'Besi Balok'!$B$23:$B$12292,$B401,'Besi Balok'!$F$23:$F$12292,'REKAP Balok'!Q$12)</f>
        <v>0</v>
      </c>
      <c r="R401">
        <f>SUMIFS('Besi Balok'!$AA$23:$AA$12292,'Besi Balok'!$A$23:$A$12292,$A401,'Besi Balok'!$B$23:$B$12292,$B401,'Besi Balok'!$F$23:$F$12292,'REKAP Balok'!R$12)</f>
        <v>0</v>
      </c>
      <c r="S401">
        <f>SUMIFS('Besi Balok'!$AA$23:$AA$12292,'Besi Balok'!$A$23:$A$12292,$A401,'Besi Balok'!$B$23:$B$12292,$B401,'Besi Balok'!$F$23:$F$12292,'REKAP Balok'!S$12)</f>
        <v>0</v>
      </c>
      <c r="T401">
        <f>SUMIFS('Besi Balok'!$AA$23:$AA$12292,'Besi Balok'!$A$23:$A$12292,$A401,'Besi Balok'!$B$23:$B$12292,$B401,'Besi Balok'!$F$23:$F$12292,'REKAP Balok'!T$12)</f>
        <v>0</v>
      </c>
      <c r="U401">
        <f>SUM(L401:T401)</f>
        <v>63.09147564</v>
      </c>
      <c r="V401">
        <f>(D401*(F401-H401)*G401*K401)/1000000000</f>
        <v>0.264</v>
      </c>
      <c r="W401">
        <f>(((F401-H401)*2+D401)*(G401)*K401)/1000000</f>
        <v>3.52</v>
      </c>
      <c r="AC401">
        <f>(D401+2*$F$5)*F401*G401/1000000000</f>
        <v>0.792</v>
      </c>
    </row>
    <row r="402">
      <c r="A402" t="str">
        <f>'Data Panjang Balok'!A399</f>
        <v>Lantai Atap</v>
      </c>
      <c r="B402">
        <f>'Data Panjang Balok'!B399</f>
        <v>44</v>
      </c>
      <c r="C402" t="str">
        <f>'Data Panjang Balok'!D399</f>
        <v>B245-4</v>
      </c>
      <c r="D402">
        <f>IF(C402&gt;0,VLOOKUP(C402,'Detail Balok'!$C$11:$AU$110,2,FALSE),0)</f>
        <v>200</v>
      </c>
      <c r="E402" t="str">
        <v>x</v>
      </c>
      <c r="F402">
        <f>IF(C402&gt;0,VLOOKUP(C402,'Detail Balok'!$C$11:$AU$110,3,FALSE),0)</f>
        <v>450</v>
      </c>
      <c r="G402">
        <f>'Data Panjang Balok'!I399</f>
        <v>5500</v>
      </c>
      <c r="H402">
        <f>'Data Panjang Balok'!J399</f>
        <v>150</v>
      </c>
      <c r="J402">
        <f>I402-F402/1000</f>
        <v>-0.45</v>
      </c>
      <c r="K402">
        <f>'Data Panjang Balok'!E399</f>
        <v>1</v>
      </c>
      <c r="L402">
        <f>SUMIFS('Besi Balok'!$AA$23:$AA$12292,'Besi Balok'!$A$23:$A$12292,$A402,'Besi Balok'!$B$23:$B$12292,$B402,'Besi Balok'!$F$23:$F$12292,'REKAP Balok'!L$12)</f>
        <v>0</v>
      </c>
      <c r="M402">
        <f>SUMIFS('Besi Balok'!$AA$23:$AA$12292,'Besi Balok'!$A$23:$A$12292,$A402,'Besi Balok'!$B$23:$B$12292,$B402,'Besi Balok'!$F$23:$F$12292,'REKAP Balok'!M$12)</f>
        <v>24.10919424</v>
      </c>
      <c r="N402">
        <f>SUMIFS('Besi Balok'!$AA$23:$AA$12292,'Besi Balok'!$A$23:$A$12292,$A402,'Besi Balok'!$B$23:$B$12292,$B402,'Besi Balok'!$F$23:$F$12292,'REKAP Balok'!N$12)</f>
        <v>0</v>
      </c>
      <c r="O402">
        <f>SUMIFS('Besi Balok'!$AA$23:$AA$12292,'Besi Balok'!$A$23:$A$12292,$A402,'Besi Balok'!$B$23:$B$12292,$B402,'Besi Balok'!$F$23:$F$12292,'REKAP Balok'!O$12)</f>
        <v>0</v>
      </c>
      <c r="P402">
        <f>SUMIFS('Besi Balok'!$AA$23:$AA$12292,'Besi Balok'!$A$23:$A$12292,$A402,'Besi Balok'!$B$23:$B$12292,$B402,'Besi Balok'!$F$23:$F$12292,'REKAP Balok'!P$12)</f>
        <v>55.71818496000001</v>
      </c>
      <c r="Q402">
        <f>SUMIFS('Besi Balok'!$AA$23:$AA$12292,'Besi Balok'!$A$23:$A$12292,$A402,'Besi Balok'!$B$23:$B$12292,$B402,'Besi Balok'!$F$23:$F$12292,'REKAP Balok'!Q$12)</f>
        <v>0</v>
      </c>
      <c r="R402">
        <f>SUMIFS('Besi Balok'!$AA$23:$AA$12292,'Besi Balok'!$A$23:$A$12292,$A402,'Besi Balok'!$B$23:$B$12292,$B402,'Besi Balok'!$F$23:$F$12292,'REKAP Balok'!R$12)</f>
        <v>0</v>
      </c>
      <c r="S402">
        <f>SUMIFS('Besi Balok'!$AA$23:$AA$12292,'Besi Balok'!$A$23:$A$12292,$A402,'Besi Balok'!$B$23:$B$12292,$B402,'Besi Balok'!$F$23:$F$12292,'REKAP Balok'!S$12)</f>
        <v>0</v>
      </c>
      <c r="T402">
        <f>SUMIFS('Besi Balok'!$AA$23:$AA$12292,'Besi Balok'!$A$23:$A$12292,$A402,'Besi Balok'!$B$23:$B$12292,$B402,'Besi Balok'!$F$23:$F$12292,'REKAP Balok'!T$12)</f>
        <v>0</v>
      </c>
      <c r="U402">
        <f>SUM(L402:T402)</f>
        <v>79.82737920000001</v>
      </c>
      <c r="V402">
        <f>(D402*(F402-H402)*G402*K402)/1000000000</f>
        <v>0.33</v>
      </c>
      <c r="W402">
        <f>(((F402-H402)*2+D402)*(G402)*K402)/1000000</f>
        <v>4.4</v>
      </c>
      <c r="AC402">
        <f>(D402+2*$F$5)*F402*G402/1000000000</f>
        <v>0.99</v>
      </c>
    </row>
    <row r="403">
      <c r="A403" t="str">
        <f>'Data Panjang Balok'!A400</f>
        <v>Lantai Atap</v>
      </c>
      <c r="B403">
        <f>'Data Panjang Balok'!B400</f>
        <v>45</v>
      </c>
      <c r="C403" t="str">
        <f>'Data Panjang Balok'!D400</f>
        <v>B245-3</v>
      </c>
      <c r="D403">
        <f>IF(C403&gt;0,VLOOKUP(C403,'Detail Balok'!$C$11:$AU$110,2,FALSE),0)</f>
        <v>200</v>
      </c>
      <c r="E403" t="str">
        <v>x</v>
      </c>
      <c r="F403">
        <f>IF(C403&gt;0,VLOOKUP(C403,'Detail Balok'!$C$11:$AU$110,3,FALSE),0)</f>
        <v>450</v>
      </c>
      <c r="G403">
        <f>'Data Panjang Balok'!I400</f>
        <v>4600</v>
      </c>
      <c r="H403">
        <f>'Data Panjang Balok'!J400</f>
        <v>150</v>
      </c>
      <c r="J403">
        <f>I403-F403/1000</f>
        <v>-0.45</v>
      </c>
      <c r="K403">
        <f>'Data Panjang Balok'!E400</f>
        <v>1</v>
      </c>
      <c r="L403">
        <f>SUMIFS('Besi Balok'!$AA$23:$AA$12292,'Besi Balok'!$A$23:$A$12292,$A403,'Besi Balok'!$B$23:$B$12292,$B403,'Besi Balok'!$F$23:$F$12292,'REKAP Balok'!L$12)</f>
        <v>0</v>
      </c>
      <c r="M403">
        <f>SUMIFS('Besi Balok'!$AA$23:$AA$12292,'Besi Balok'!$A$23:$A$12292,$A403,'Besi Balok'!$B$23:$B$12292,$B403,'Besi Balok'!$F$23:$F$12292,'REKAP Balok'!M$12)</f>
        <v>0</v>
      </c>
      <c r="N403">
        <f>SUMIFS('Besi Balok'!$AA$23:$AA$12292,'Besi Balok'!$A$23:$A$12292,$A403,'Besi Balok'!$B$23:$B$12292,$B403,'Besi Balok'!$F$23:$F$12292,'REKAP Balok'!N$12)</f>
        <v>34.530165</v>
      </c>
      <c r="O403">
        <f>SUMIFS('Besi Balok'!$AA$23:$AA$12292,'Besi Balok'!$A$23:$A$12292,$A403,'Besi Balok'!$B$23:$B$12292,$B403,'Besi Balok'!$F$23:$F$12292,'REKAP Balok'!O$12)</f>
        <v>0</v>
      </c>
      <c r="P403">
        <f>SUMIFS('Besi Balok'!$AA$23:$AA$12292,'Besi Balok'!$A$23:$A$12292,$A403,'Besi Balok'!$B$23:$B$12292,$B403,'Besi Balok'!$F$23:$F$12292,'REKAP Balok'!P$12)</f>
        <v>31.463792639999998</v>
      </c>
      <c r="Q403">
        <f>SUMIFS('Besi Balok'!$AA$23:$AA$12292,'Besi Balok'!$A$23:$A$12292,$A403,'Besi Balok'!$B$23:$B$12292,$B403,'Besi Balok'!$F$23:$F$12292,'REKAP Balok'!Q$12)</f>
        <v>0</v>
      </c>
      <c r="R403">
        <f>SUMIFS('Besi Balok'!$AA$23:$AA$12292,'Besi Balok'!$A$23:$A$12292,$A403,'Besi Balok'!$B$23:$B$12292,$B403,'Besi Balok'!$F$23:$F$12292,'REKAP Balok'!R$12)</f>
        <v>0</v>
      </c>
      <c r="S403">
        <f>SUMIFS('Besi Balok'!$AA$23:$AA$12292,'Besi Balok'!$A$23:$A$12292,$A403,'Besi Balok'!$B$23:$B$12292,$B403,'Besi Balok'!$F$23:$F$12292,'REKAP Balok'!S$12)</f>
        <v>0</v>
      </c>
      <c r="T403">
        <f>SUMIFS('Besi Balok'!$AA$23:$AA$12292,'Besi Balok'!$A$23:$A$12292,$A403,'Besi Balok'!$B$23:$B$12292,$B403,'Besi Balok'!$F$23:$F$12292,'REKAP Balok'!T$12)</f>
        <v>0</v>
      </c>
      <c r="U403">
        <f>SUM(L403:T403)</f>
        <v>65.99395763999999</v>
      </c>
      <c r="V403">
        <f>(D403*(F403-H403)*G403*K403)/1000000000</f>
        <v>0.276</v>
      </c>
      <c r="W403">
        <f>(((F403-H403)*2+D403)*(G403)*K403)/1000000</f>
        <v>3.68</v>
      </c>
      <c r="AC403">
        <f>(D403+2*$F$5)*F403*G403/1000000000</f>
        <v>0.828</v>
      </c>
    </row>
    <row r="404">
      <c r="A404" t="str">
        <f>'Data Panjang Balok'!A401</f>
        <v>Lantai Atap</v>
      </c>
      <c r="B404">
        <f>'Data Panjang Balok'!B401</f>
        <v>46</v>
      </c>
      <c r="C404" t="str">
        <f>'Data Panjang Balok'!D401</f>
        <v>B245-1</v>
      </c>
      <c r="D404">
        <f>IF(C404&gt;0,VLOOKUP(C404,'Detail Balok'!$C$11:$AU$110,2,FALSE),0)</f>
        <v>200</v>
      </c>
      <c r="E404" t="str">
        <v>x</v>
      </c>
      <c r="F404">
        <f>IF(C404&gt;0,VLOOKUP(C404,'Detail Balok'!$C$11:$AU$110,3,FALSE),0)</f>
        <v>450</v>
      </c>
      <c r="G404">
        <f>'Data Panjang Balok'!I401</f>
        <v>2700</v>
      </c>
      <c r="H404">
        <f>'Data Panjang Balok'!J401</f>
        <v>0</v>
      </c>
      <c r="J404">
        <f>I404-F404/1000</f>
        <v>-0.45</v>
      </c>
      <c r="K404">
        <f>'Data Panjang Balok'!E401</f>
        <v>1</v>
      </c>
      <c r="L404">
        <f>SUMIFS('Besi Balok'!$AA$23:$AA$12292,'Besi Balok'!$A$23:$A$12292,$A404,'Besi Balok'!$B$23:$B$12292,$B404,'Besi Balok'!$F$23:$F$12292,'REKAP Balok'!L$12)</f>
        <v>0</v>
      </c>
      <c r="M404">
        <f>SUMIFS('Besi Balok'!$AA$23:$AA$12292,'Besi Balok'!$A$23:$A$12292,$A404,'Besi Balok'!$B$23:$B$12292,$B404,'Besi Balok'!$F$23:$F$12292,'REKAP Balok'!M$12)</f>
        <v>13.428455040000003</v>
      </c>
      <c r="N404">
        <f>SUMIFS('Besi Balok'!$AA$23:$AA$12292,'Besi Balok'!$A$23:$A$12292,$A404,'Besi Balok'!$B$23:$B$12292,$B404,'Besi Balok'!$F$23:$F$12292,'REKAP Balok'!N$12)</f>
        <v>0</v>
      </c>
      <c r="O404">
        <f>SUMIFS('Besi Balok'!$AA$23:$AA$12292,'Besi Balok'!$A$23:$A$12292,$A404,'Besi Balok'!$B$23:$B$12292,$B404,'Besi Balok'!$F$23:$F$12292,'REKAP Balok'!O$12)</f>
        <v>12.55263048</v>
      </c>
      <c r="P404">
        <f>SUMIFS('Besi Balok'!$AA$23:$AA$12292,'Besi Balok'!$A$23:$A$12292,$A404,'Besi Balok'!$B$23:$B$12292,$B404,'Besi Balok'!$F$23:$F$12292,'REKAP Balok'!P$12)</f>
        <v>0</v>
      </c>
      <c r="Q404">
        <f>SUMIFS('Besi Balok'!$AA$23:$AA$12292,'Besi Balok'!$A$23:$A$12292,$A404,'Besi Balok'!$B$23:$B$12292,$B404,'Besi Balok'!$F$23:$F$12292,'REKAP Balok'!Q$12)</f>
        <v>0</v>
      </c>
      <c r="R404">
        <f>SUMIFS('Besi Balok'!$AA$23:$AA$12292,'Besi Balok'!$A$23:$A$12292,$A404,'Besi Balok'!$B$23:$B$12292,$B404,'Besi Balok'!$F$23:$F$12292,'REKAP Balok'!R$12)</f>
        <v>0</v>
      </c>
      <c r="S404">
        <f>SUMIFS('Besi Balok'!$AA$23:$AA$12292,'Besi Balok'!$A$23:$A$12292,$A404,'Besi Balok'!$B$23:$B$12292,$B404,'Besi Balok'!$F$23:$F$12292,'REKAP Balok'!S$12)</f>
        <v>0</v>
      </c>
      <c r="T404">
        <f>SUMIFS('Besi Balok'!$AA$23:$AA$12292,'Besi Balok'!$A$23:$A$12292,$A404,'Besi Balok'!$B$23:$B$12292,$B404,'Besi Balok'!$F$23:$F$12292,'REKAP Balok'!T$12)</f>
        <v>0</v>
      </c>
      <c r="U404">
        <f>SUM(L404:T404)</f>
        <v>25.98108552</v>
      </c>
      <c r="V404">
        <f>(D404*(F404-H404)*G404*K404)/1000000000</f>
        <v>0.243</v>
      </c>
      <c r="W404">
        <f>(((F404-H404)*2+D404)*(G404)*K404)/1000000</f>
        <v>2.97</v>
      </c>
      <c r="AC404">
        <f>(D404+2*$F$5)*F404*G404/1000000000</f>
        <v>0.486</v>
      </c>
    </row>
    <row r="405">
      <c r="A405" t="str">
        <f>'Data Panjang Balok'!A402</f>
        <v>Lantai Atap</v>
      </c>
      <c r="B405">
        <f>'Data Panjang Balok'!B402</f>
        <v>47</v>
      </c>
      <c r="C405" t="str">
        <f>'Data Panjang Balok'!D402</f>
        <v>B245-1</v>
      </c>
      <c r="D405">
        <f>IF(C405&gt;0,VLOOKUP(C405,'Detail Balok'!$C$11:$AU$110,2,FALSE),0)</f>
        <v>200</v>
      </c>
      <c r="E405" t="str">
        <v>x</v>
      </c>
      <c r="F405">
        <f>IF(C405&gt;0,VLOOKUP(C405,'Detail Balok'!$C$11:$AU$110,3,FALSE),0)</f>
        <v>450</v>
      </c>
      <c r="G405">
        <f>'Data Panjang Balok'!I402</f>
        <v>2700</v>
      </c>
      <c r="H405">
        <f>'Data Panjang Balok'!J402</f>
        <v>0</v>
      </c>
      <c r="J405">
        <f>I405-F405/1000</f>
        <v>-0.45</v>
      </c>
      <c r="K405">
        <f>'Data Panjang Balok'!E402</f>
        <v>1</v>
      </c>
      <c r="L405">
        <f>SUMIFS('Besi Balok'!$AA$23:$AA$12292,'Besi Balok'!$A$23:$A$12292,$A405,'Besi Balok'!$B$23:$B$12292,$B405,'Besi Balok'!$F$23:$F$12292,'REKAP Balok'!L$12)</f>
        <v>0</v>
      </c>
      <c r="M405">
        <f>SUMIFS('Besi Balok'!$AA$23:$AA$12292,'Besi Balok'!$A$23:$A$12292,$A405,'Besi Balok'!$B$23:$B$12292,$B405,'Besi Balok'!$F$23:$F$12292,'REKAP Balok'!M$12)</f>
        <v>13.428455040000003</v>
      </c>
      <c r="N405">
        <f>SUMIFS('Besi Balok'!$AA$23:$AA$12292,'Besi Balok'!$A$23:$A$12292,$A405,'Besi Balok'!$B$23:$B$12292,$B405,'Besi Balok'!$F$23:$F$12292,'REKAP Balok'!N$12)</f>
        <v>0</v>
      </c>
      <c r="O405">
        <f>SUMIFS('Besi Balok'!$AA$23:$AA$12292,'Besi Balok'!$A$23:$A$12292,$A405,'Besi Balok'!$B$23:$B$12292,$B405,'Besi Balok'!$F$23:$F$12292,'REKAP Balok'!O$12)</f>
        <v>12.55263048</v>
      </c>
      <c r="P405">
        <f>SUMIFS('Besi Balok'!$AA$23:$AA$12292,'Besi Balok'!$A$23:$A$12292,$A405,'Besi Balok'!$B$23:$B$12292,$B405,'Besi Balok'!$F$23:$F$12292,'REKAP Balok'!P$12)</f>
        <v>0</v>
      </c>
      <c r="Q405">
        <f>SUMIFS('Besi Balok'!$AA$23:$AA$12292,'Besi Balok'!$A$23:$A$12292,$A405,'Besi Balok'!$B$23:$B$12292,$B405,'Besi Balok'!$F$23:$F$12292,'REKAP Balok'!Q$12)</f>
        <v>0</v>
      </c>
      <c r="R405">
        <f>SUMIFS('Besi Balok'!$AA$23:$AA$12292,'Besi Balok'!$A$23:$A$12292,$A405,'Besi Balok'!$B$23:$B$12292,$B405,'Besi Balok'!$F$23:$F$12292,'REKAP Balok'!R$12)</f>
        <v>0</v>
      </c>
      <c r="S405">
        <f>SUMIFS('Besi Balok'!$AA$23:$AA$12292,'Besi Balok'!$A$23:$A$12292,$A405,'Besi Balok'!$B$23:$B$12292,$B405,'Besi Balok'!$F$23:$F$12292,'REKAP Balok'!S$12)</f>
        <v>0</v>
      </c>
      <c r="T405">
        <f>SUMIFS('Besi Balok'!$AA$23:$AA$12292,'Besi Balok'!$A$23:$A$12292,$A405,'Besi Balok'!$B$23:$B$12292,$B405,'Besi Balok'!$F$23:$F$12292,'REKAP Balok'!T$12)</f>
        <v>0</v>
      </c>
      <c r="U405">
        <f>SUM(L405:T405)</f>
        <v>25.98108552</v>
      </c>
      <c r="V405">
        <f>(D405*(F405-H405)*G405*K405)/1000000000</f>
        <v>0.243</v>
      </c>
      <c r="W405">
        <f>(((F405-H405)*2+D405)*(G405)*K405)/1000000</f>
        <v>2.97</v>
      </c>
      <c r="AC405">
        <f>(D405+2*$F$5)*F405*G405/1000000000</f>
        <v>0.486</v>
      </c>
    </row>
    <row r="406">
      <c r="A406" t="str">
        <f>'Data Panjang Balok'!A403</f>
        <v>Lantai Atap</v>
      </c>
      <c r="B406">
        <f>'Data Panjang Balok'!B403</f>
        <v>48</v>
      </c>
      <c r="C406" t="str">
        <f>'Data Panjang Balok'!D403</f>
        <v>B24-1</v>
      </c>
      <c r="D406">
        <f>IF(C406&gt;0,VLOOKUP(C406,'Detail Balok'!$C$11:$AU$110,2,FALSE),0)</f>
        <v>200</v>
      </c>
      <c r="E406" t="str">
        <v>x</v>
      </c>
      <c r="F406">
        <f>IF(C406&gt;0,VLOOKUP(C406,'Detail Balok'!$C$11:$AU$110,3,FALSE),0)</f>
        <v>400</v>
      </c>
      <c r="G406">
        <f>'Data Panjang Balok'!I403</f>
        <v>2000</v>
      </c>
      <c r="H406">
        <f>'Data Panjang Balok'!J403</f>
        <v>0</v>
      </c>
      <c r="J406">
        <f>I406-F406/1000</f>
        <v>-0.4</v>
      </c>
      <c r="K406">
        <f>'Data Panjang Balok'!E403</f>
        <v>1</v>
      </c>
      <c r="L406">
        <f>SUMIFS('Besi Balok'!$AA$23:$AA$12292,'Besi Balok'!$A$23:$A$12292,$A406,'Besi Balok'!$B$23:$B$12292,$B406,'Besi Balok'!$F$23:$F$12292,'REKAP Balok'!L$12)</f>
        <v>0</v>
      </c>
      <c r="M406">
        <f>SUMIFS('Besi Balok'!$AA$23:$AA$12292,'Besi Balok'!$A$23:$A$12292,$A406,'Besi Balok'!$B$23:$B$12292,$B406,'Besi Balok'!$F$23:$F$12292,'REKAP Balok'!M$12)</f>
        <v>8.127936000000002</v>
      </c>
      <c r="N406">
        <f>SUMIFS('Besi Balok'!$AA$23:$AA$12292,'Besi Balok'!$A$23:$A$12292,$A406,'Besi Balok'!$B$23:$B$12292,$B406,'Besi Balok'!$F$23:$F$12292,'REKAP Balok'!N$12)</f>
        <v>0</v>
      </c>
      <c r="O406">
        <f>SUMIFS('Besi Balok'!$AA$23:$AA$12292,'Besi Balok'!$A$23:$A$12292,$A406,'Besi Balok'!$B$23:$B$12292,$B406,'Besi Balok'!$F$23:$F$12292,'REKAP Balok'!O$12)</f>
        <v>9.63535248</v>
      </c>
      <c r="P406">
        <f>SUMIFS('Besi Balok'!$AA$23:$AA$12292,'Besi Balok'!$A$23:$A$12292,$A406,'Besi Balok'!$B$23:$B$12292,$B406,'Besi Balok'!$F$23:$F$12292,'REKAP Balok'!P$12)</f>
        <v>0</v>
      </c>
      <c r="Q406">
        <f>SUMIFS('Besi Balok'!$AA$23:$AA$12292,'Besi Balok'!$A$23:$A$12292,$A406,'Besi Balok'!$B$23:$B$12292,$B406,'Besi Balok'!$F$23:$F$12292,'REKAP Balok'!Q$12)</f>
        <v>0</v>
      </c>
      <c r="R406">
        <f>SUMIFS('Besi Balok'!$AA$23:$AA$12292,'Besi Balok'!$A$23:$A$12292,$A406,'Besi Balok'!$B$23:$B$12292,$B406,'Besi Balok'!$F$23:$F$12292,'REKAP Balok'!R$12)</f>
        <v>0</v>
      </c>
      <c r="S406">
        <f>SUMIFS('Besi Balok'!$AA$23:$AA$12292,'Besi Balok'!$A$23:$A$12292,$A406,'Besi Balok'!$B$23:$B$12292,$B406,'Besi Balok'!$F$23:$F$12292,'REKAP Balok'!S$12)</f>
        <v>0</v>
      </c>
      <c r="T406">
        <f>SUMIFS('Besi Balok'!$AA$23:$AA$12292,'Besi Balok'!$A$23:$A$12292,$A406,'Besi Balok'!$B$23:$B$12292,$B406,'Besi Balok'!$F$23:$F$12292,'REKAP Balok'!T$12)</f>
        <v>0</v>
      </c>
      <c r="U406">
        <f>SUM(L406:T406)</f>
        <v>17.76328848</v>
      </c>
      <c r="V406">
        <f>(D406*(F406-H406)*G406*K406)/1000000000</f>
        <v>0.16</v>
      </c>
      <c r="W406">
        <f>(((F406-H406)*2+D406)*(G406)*K406)/1000000</f>
        <v>2</v>
      </c>
      <c r="AC406">
        <f>(D406+2*$F$5)*F406*G406/1000000000</f>
        <v>0.32</v>
      </c>
    </row>
    <row r="407">
      <c r="A407" t="str">
        <f>'Data Panjang Balok'!A404</f>
        <v>Lantai Atap</v>
      </c>
      <c r="B407">
        <f>'Data Panjang Balok'!B404</f>
        <v>49</v>
      </c>
      <c r="C407" t="str">
        <f>'Data Panjang Balok'!D404</f>
        <v>B24-1</v>
      </c>
      <c r="D407">
        <f>IF(C407&gt;0,VLOOKUP(C407,'Detail Balok'!$C$11:$AU$110,2,FALSE),0)</f>
        <v>200</v>
      </c>
      <c r="E407" t="str">
        <v>x</v>
      </c>
      <c r="F407">
        <f>IF(C407&gt;0,VLOOKUP(C407,'Detail Balok'!$C$11:$AU$110,3,FALSE),0)</f>
        <v>400</v>
      </c>
      <c r="G407">
        <f>'Data Panjang Balok'!I404</f>
        <v>900</v>
      </c>
      <c r="H407">
        <f>'Data Panjang Balok'!J404</f>
        <v>150</v>
      </c>
      <c r="J407">
        <f>I407-F407/1000</f>
        <v>-0.4</v>
      </c>
      <c r="K407">
        <f>'Data Panjang Balok'!E404</f>
        <v>1</v>
      </c>
      <c r="L407">
        <f>SUMIFS('Besi Balok'!$AA$23:$AA$12292,'Besi Balok'!$A$23:$A$12292,$A407,'Besi Balok'!$B$23:$B$12292,$B407,'Besi Balok'!$F$23:$F$12292,'REKAP Balok'!L$12)</f>
        <v>0</v>
      </c>
      <c r="M407">
        <f>SUMIFS('Besi Balok'!$AA$23:$AA$12292,'Besi Balok'!$A$23:$A$12292,$A407,'Besi Balok'!$B$23:$B$12292,$B407,'Besi Balok'!$F$23:$F$12292,'REKAP Balok'!M$12)</f>
        <v>4.063968000000001</v>
      </c>
      <c r="N407">
        <f>SUMIFS('Besi Balok'!$AA$23:$AA$12292,'Besi Balok'!$A$23:$A$12292,$A407,'Besi Balok'!$B$23:$B$12292,$B407,'Besi Balok'!$F$23:$F$12292,'REKAP Balok'!N$12)</f>
        <v>0</v>
      </c>
      <c r="O407">
        <f>SUMIFS('Besi Balok'!$AA$23:$AA$12292,'Besi Balok'!$A$23:$A$12292,$A407,'Besi Balok'!$B$23:$B$12292,$B407,'Besi Balok'!$F$23:$F$12292,'REKAP Balok'!O$12)</f>
        <v>5.05105848</v>
      </c>
      <c r="P407">
        <f>SUMIFS('Besi Balok'!$AA$23:$AA$12292,'Besi Balok'!$A$23:$A$12292,$A407,'Besi Balok'!$B$23:$B$12292,$B407,'Besi Balok'!$F$23:$F$12292,'REKAP Balok'!P$12)</f>
        <v>0</v>
      </c>
      <c r="Q407">
        <f>SUMIFS('Besi Balok'!$AA$23:$AA$12292,'Besi Balok'!$A$23:$A$12292,$A407,'Besi Balok'!$B$23:$B$12292,$B407,'Besi Balok'!$F$23:$F$12292,'REKAP Balok'!Q$12)</f>
        <v>0</v>
      </c>
      <c r="R407">
        <f>SUMIFS('Besi Balok'!$AA$23:$AA$12292,'Besi Balok'!$A$23:$A$12292,$A407,'Besi Balok'!$B$23:$B$12292,$B407,'Besi Balok'!$F$23:$F$12292,'REKAP Balok'!R$12)</f>
        <v>0</v>
      </c>
      <c r="S407">
        <f>SUMIFS('Besi Balok'!$AA$23:$AA$12292,'Besi Balok'!$A$23:$A$12292,$A407,'Besi Balok'!$B$23:$B$12292,$B407,'Besi Balok'!$F$23:$F$12292,'REKAP Balok'!S$12)</f>
        <v>0</v>
      </c>
      <c r="T407">
        <f>SUMIFS('Besi Balok'!$AA$23:$AA$12292,'Besi Balok'!$A$23:$A$12292,$A407,'Besi Balok'!$B$23:$B$12292,$B407,'Besi Balok'!$F$23:$F$12292,'REKAP Balok'!T$12)</f>
        <v>0</v>
      </c>
      <c r="U407">
        <f>SUM(L407:T407)</f>
        <v>9.115026480000001</v>
      </c>
      <c r="V407">
        <f>(D407*(F407-H407)*G407*K407)/1000000000</f>
        <v>0.045</v>
      </c>
      <c r="W407">
        <f>(((F407-H407)*2+D407)*(G407)*K407)/1000000</f>
        <v>0.63</v>
      </c>
      <c r="AC407">
        <f>(D407+2*$F$5)*F407*G407/1000000000</f>
        <v>0.144</v>
      </c>
    </row>
    <row r="408">
      <c r="A408" t="str">
        <f>'Data Panjang Balok'!A405</f>
        <v>Lantai Atap</v>
      </c>
      <c r="B408">
        <f>'Data Panjang Balok'!B405</f>
        <v>50</v>
      </c>
      <c r="C408" t="str">
        <f>'Data Panjang Balok'!D405</f>
        <v>B245-1</v>
      </c>
      <c r="D408">
        <f>IF(C408&gt;0,VLOOKUP(C408,'Detail Balok'!$C$11:$AU$110,2,FALSE),0)</f>
        <v>200</v>
      </c>
      <c r="E408" t="str">
        <v>x</v>
      </c>
      <c r="F408">
        <f>IF(C408&gt;0,VLOOKUP(C408,'Detail Balok'!$C$11:$AU$110,3,FALSE),0)</f>
        <v>450</v>
      </c>
      <c r="G408">
        <f>'Data Panjang Balok'!I405</f>
        <v>5700</v>
      </c>
      <c r="H408">
        <f>'Data Panjang Balok'!J405</f>
        <v>0</v>
      </c>
      <c r="J408">
        <f>I408-F408/1000</f>
        <v>-0.45</v>
      </c>
      <c r="K408">
        <f>'Data Panjang Balok'!E405</f>
        <v>1</v>
      </c>
      <c r="L408">
        <f>SUMIFS('Besi Balok'!$AA$23:$AA$12292,'Besi Balok'!$A$23:$A$12292,$A408,'Besi Balok'!$B$23:$B$12292,$B408,'Besi Balok'!$F$23:$F$12292,'REKAP Balok'!L$12)</f>
        <v>0</v>
      </c>
      <c r="M408">
        <f>SUMIFS('Besi Balok'!$AA$23:$AA$12292,'Besi Balok'!$A$23:$A$12292,$A408,'Besi Balok'!$B$23:$B$12292,$B408,'Besi Balok'!$F$23:$F$12292,'REKAP Balok'!M$12)</f>
        <v>24.26701824</v>
      </c>
      <c r="N408">
        <f>SUMIFS('Besi Balok'!$AA$23:$AA$12292,'Besi Balok'!$A$23:$A$12292,$A408,'Besi Balok'!$B$23:$B$12292,$B408,'Besi Balok'!$F$23:$F$12292,'REKAP Balok'!N$12)</f>
        <v>0</v>
      </c>
      <c r="O408">
        <f>SUMIFS('Besi Balok'!$AA$23:$AA$12292,'Besi Balok'!$A$23:$A$12292,$A408,'Besi Balok'!$B$23:$B$12292,$B408,'Besi Balok'!$F$23:$F$12292,'REKAP Balok'!O$12)</f>
        <v>25.05525048</v>
      </c>
      <c r="P408">
        <f>SUMIFS('Besi Balok'!$AA$23:$AA$12292,'Besi Balok'!$A$23:$A$12292,$A408,'Besi Balok'!$B$23:$B$12292,$B408,'Besi Balok'!$F$23:$F$12292,'REKAP Balok'!P$12)</f>
        <v>0</v>
      </c>
      <c r="Q408">
        <f>SUMIFS('Besi Balok'!$AA$23:$AA$12292,'Besi Balok'!$A$23:$A$12292,$A408,'Besi Balok'!$B$23:$B$12292,$B408,'Besi Balok'!$F$23:$F$12292,'REKAP Balok'!Q$12)</f>
        <v>0</v>
      </c>
      <c r="R408">
        <f>SUMIFS('Besi Balok'!$AA$23:$AA$12292,'Besi Balok'!$A$23:$A$12292,$A408,'Besi Balok'!$B$23:$B$12292,$B408,'Besi Balok'!$F$23:$F$12292,'REKAP Balok'!R$12)</f>
        <v>0</v>
      </c>
      <c r="S408">
        <f>SUMIFS('Besi Balok'!$AA$23:$AA$12292,'Besi Balok'!$A$23:$A$12292,$A408,'Besi Balok'!$B$23:$B$12292,$B408,'Besi Balok'!$F$23:$F$12292,'REKAP Balok'!S$12)</f>
        <v>0</v>
      </c>
      <c r="T408">
        <f>SUMIFS('Besi Balok'!$AA$23:$AA$12292,'Besi Balok'!$A$23:$A$12292,$A408,'Besi Balok'!$B$23:$B$12292,$B408,'Besi Balok'!$F$23:$F$12292,'REKAP Balok'!T$12)</f>
        <v>0</v>
      </c>
      <c r="U408">
        <f>SUM(L408:T408)</f>
        <v>49.32226872</v>
      </c>
      <c r="V408">
        <f>(D408*(F408-H408)*G408*K408)/1000000000</f>
        <v>0.513</v>
      </c>
      <c r="W408">
        <f>(((F408-H408)*2+D408)*(G408)*K408)/1000000</f>
        <v>6.27</v>
      </c>
      <c r="AC408">
        <f>(D408+2*$F$5)*F408*G408/1000000000</f>
        <v>1.026</v>
      </c>
    </row>
    <row r="409">
      <c r="A409" t="str">
        <f>'Data Panjang Balok'!A406</f>
        <v>Lantai Atap</v>
      </c>
      <c r="B409">
        <f>'Data Panjang Balok'!B406</f>
        <v>51</v>
      </c>
      <c r="C409" t="str">
        <f>'Data Panjang Balok'!D406</f>
        <v>B24-2</v>
      </c>
      <c r="D409">
        <f>IF(C409&gt;0,VLOOKUP(C409,'Detail Balok'!$C$11:$AU$110,2,FALSE),0)</f>
        <v>200</v>
      </c>
      <c r="E409" t="str">
        <v>x</v>
      </c>
      <c r="F409">
        <f>IF(C409&gt;0,VLOOKUP(C409,'Detail Balok'!$C$11:$AU$110,3,FALSE),0)</f>
        <v>400</v>
      </c>
      <c r="G409">
        <f>'Data Panjang Balok'!I406</f>
        <v>900</v>
      </c>
      <c r="H409">
        <f>'Data Panjang Balok'!J406</f>
        <v>150</v>
      </c>
      <c r="J409">
        <f>I409-F409/1000</f>
        <v>-0.4</v>
      </c>
      <c r="K409">
        <f>'Data Panjang Balok'!E406</f>
        <v>1</v>
      </c>
      <c r="L409">
        <f>SUMIFS('Besi Balok'!$AA$23:$AA$12292,'Besi Balok'!$A$23:$A$12292,$A409,'Besi Balok'!$B$23:$B$12292,$B409,'Besi Balok'!$F$23:$F$12292,'REKAP Balok'!L$12)</f>
        <v>0</v>
      </c>
      <c r="M409">
        <f>SUMIFS('Besi Balok'!$AA$23:$AA$12292,'Besi Balok'!$A$23:$A$12292,$A409,'Besi Balok'!$B$23:$B$12292,$B409,'Besi Balok'!$F$23:$F$12292,'REKAP Balok'!M$12)</f>
        <v>4.063968000000001</v>
      </c>
      <c r="N409">
        <f>SUMIFS('Besi Balok'!$AA$23:$AA$12292,'Besi Balok'!$A$23:$A$12292,$A409,'Besi Balok'!$B$23:$B$12292,$B409,'Besi Balok'!$F$23:$F$12292,'REKAP Balok'!N$12)</f>
        <v>0</v>
      </c>
      <c r="O409">
        <f>SUMIFS('Besi Balok'!$AA$23:$AA$12292,'Besi Balok'!$A$23:$A$12292,$A409,'Besi Balok'!$B$23:$B$12292,$B409,'Besi Balok'!$F$23:$F$12292,'REKAP Balok'!O$12)</f>
        <v>0</v>
      </c>
      <c r="P409">
        <f>SUMIFS('Besi Balok'!$AA$23:$AA$12292,'Besi Balok'!$A$23:$A$12292,$A409,'Besi Balok'!$B$23:$B$12292,$B409,'Besi Balok'!$F$23:$F$12292,'REKAP Balok'!P$12)</f>
        <v>8.10584064</v>
      </c>
      <c r="Q409">
        <f>SUMIFS('Besi Balok'!$AA$23:$AA$12292,'Besi Balok'!$A$23:$A$12292,$A409,'Besi Balok'!$B$23:$B$12292,$B409,'Besi Balok'!$F$23:$F$12292,'REKAP Balok'!Q$12)</f>
        <v>0</v>
      </c>
      <c r="R409">
        <f>SUMIFS('Besi Balok'!$AA$23:$AA$12292,'Besi Balok'!$A$23:$A$12292,$A409,'Besi Balok'!$B$23:$B$12292,$B409,'Besi Balok'!$F$23:$F$12292,'REKAP Balok'!R$12)</f>
        <v>0</v>
      </c>
      <c r="S409">
        <f>SUMIFS('Besi Balok'!$AA$23:$AA$12292,'Besi Balok'!$A$23:$A$12292,$A409,'Besi Balok'!$B$23:$B$12292,$B409,'Besi Balok'!$F$23:$F$12292,'REKAP Balok'!S$12)</f>
        <v>0</v>
      </c>
      <c r="T409">
        <f>SUMIFS('Besi Balok'!$AA$23:$AA$12292,'Besi Balok'!$A$23:$A$12292,$A409,'Besi Balok'!$B$23:$B$12292,$B409,'Besi Balok'!$F$23:$F$12292,'REKAP Balok'!T$12)</f>
        <v>0</v>
      </c>
      <c r="U409">
        <f>SUM(L409:T409)</f>
        <v>12.169808640000001</v>
      </c>
      <c r="V409">
        <f>(D409*(F409-H409)*G409*K409)/1000000000</f>
        <v>0.045</v>
      </c>
      <c r="W409">
        <f>(((F409-H409)*2+D409)*(G409)*K409)/1000000</f>
        <v>0.63</v>
      </c>
      <c r="AC409">
        <f>(D409+2*$F$5)*F409*G409/1000000000</f>
        <v>0.144</v>
      </c>
    </row>
    <row r="410">
      <c r="A410" t="str">
        <f>'Data Panjang Balok'!A407</f>
        <v>Lantai Atap</v>
      </c>
      <c r="B410">
        <f>'Data Panjang Balok'!B407</f>
        <v>52</v>
      </c>
      <c r="C410" t="str">
        <f>'Data Panjang Balok'!D407</f>
        <v>B24-3</v>
      </c>
      <c r="D410">
        <f>IF(C410&gt;0,VLOOKUP(C410,'Detail Balok'!$C$11:$AU$110,2,FALSE),0)</f>
        <v>200</v>
      </c>
      <c r="E410" t="str">
        <v>x</v>
      </c>
      <c r="F410">
        <f>IF(C410&gt;0,VLOOKUP(C410,'Detail Balok'!$C$11:$AU$110,3,FALSE),0)</f>
        <v>400</v>
      </c>
      <c r="G410">
        <f>'Data Panjang Balok'!I407</f>
        <v>5700</v>
      </c>
      <c r="H410">
        <f>'Data Panjang Balok'!J407</f>
        <v>150</v>
      </c>
      <c r="J410">
        <f>I410-F410/1000</f>
        <v>-0.4</v>
      </c>
      <c r="K410">
        <f>'Data Panjang Balok'!E407</f>
        <v>1</v>
      </c>
      <c r="L410">
        <f>SUMIFS('Besi Balok'!$AA$23:$AA$12292,'Besi Balok'!$A$23:$A$12292,$A410,'Besi Balok'!$B$23:$B$12292,$B410,'Besi Balok'!$F$23:$F$12292,'REKAP Balok'!L$12)</f>
        <v>0</v>
      </c>
      <c r="M410">
        <f>SUMIFS('Besi Balok'!$AA$23:$AA$12292,'Besi Balok'!$A$23:$A$12292,$A410,'Besi Balok'!$B$23:$B$12292,$B410,'Besi Balok'!$F$23:$F$12292,'REKAP Balok'!M$12)</f>
        <v>0</v>
      </c>
      <c r="N410">
        <f>SUMIFS('Besi Balok'!$AA$23:$AA$12292,'Besi Balok'!$A$23:$A$12292,$A410,'Besi Balok'!$B$23:$B$12292,$B410,'Besi Balok'!$F$23:$F$12292,'REKAP Balok'!N$12)</f>
        <v>27.939780000000006</v>
      </c>
      <c r="O410">
        <f>SUMIFS('Besi Balok'!$AA$23:$AA$12292,'Besi Balok'!$A$23:$A$12292,$A410,'Besi Balok'!$B$23:$B$12292,$B410,'Besi Balok'!$F$23:$F$12292,'REKAP Balok'!O$12)</f>
        <v>0</v>
      </c>
      <c r="P410">
        <f>SUMIFS('Besi Balok'!$AA$23:$AA$12292,'Besi Balok'!$A$23:$A$12292,$A410,'Besi Balok'!$B$23:$B$12292,$B410,'Besi Balok'!$F$23:$F$12292,'REKAP Balok'!P$12)</f>
        <v>57.612072960000006</v>
      </c>
      <c r="Q410">
        <f>SUMIFS('Besi Balok'!$AA$23:$AA$12292,'Besi Balok'!$A$23:$A$12292,$A410,'Besi Balok'!$B$23:$B$12292,$B410,'Besi Balok'!$F$23:$F$12292,'REKAP Balok'!Q$12)</f>
        <v>0</v>
      </c>
      <c r="R410">
        <f>SUMIFS('Besi Balok'!$AA$23:$AA$12292,'Besi Balok'!$A$23:$A$12292,$A410,'Besi Balok'!$B$23:$B$12292,$B410,'Besi Balok'!$F$23:$F$12292,'REKAP Balok'!R$12)</f>
        <v>0</v>
      </c>
      <c r="S410">
        <f>SUMIFS('Besi Balok'!$AA$23:$AA$12292,'Besi Balok'!$A$23:$A$12292,$A410,'Besi Balok'!$B$23:$B$12292,$B410,'Besi Balok'!$F$23:$F$12292,'REKAP Balok'!S$12)</f>
        <v>0</v>
      </c>
      <c r="T410">
        <f>SUMIFS('Besi Balok'!$AA$23:$AA$12292,'Besi Balok'!$A$23:$A$12292,$A410,'Besi Balok'!$B$23:$B$12292,$B410,'Besi Balok'!$F$23:$F$12292,'REKAP Balok'!T$12)</f>
        <v>0</v>
      </c>
      <c r="U410">
        <f>SUM(L410:T410)</f>
        <v>85.55185296000002</v>
      </c>
      <c r="V410">
        <f>(D410*(F410-H410)*G410*K410)/1000000000</f>
        <v>0.285</v>
      </c>
      <c r="W410">
        <f>(((F410-H410)*2+D410)*(G410)*K410)/1000000</f>
        <v>3.99</v>
      </c>
      <c r="AC410">
        <f>(D410+2*$F$5)*F410*G410/1000000000</f>
        <v>0.912</v>
      </c>
    </row>
    <row r="411">
      <c r="A411" t="str">
        <f>'Data Panjang Balok'!A408</f>
        <v>Lantai Atap</v>
      </c>
      <c r="B411">
        <f>'Data Panjang Balok'!B408</f>
        <v>53</v>
      </c>
      <c r="C411" t="str">
        <f>'Data Panjang Balok'!D408</f>
        <v>B24-3</v>
      </c>
      <c r="D411">
        <f>IF(C411&gt;0,VLOOKUP(C411,'Detail Balok'!$C$11:$AU$110,2,FALSE),0)</f>
        <v>200</v>
      </c>
      <c r="E411" t="str">
        <v>x</v>
      </c>
      <c r="F411">
        <f>IF(C411&gt;0,VLOOKUP(C411,'Detail Balok'!$C$11:$AU$110,3,FALSE),0)</f>
        <v>400</v>
      </c>
      <c r="G411">
        <f>'Data Panjang Balok'!I408</f>
        <v>1900</v>
      </c>
      <c r="H411">
        <f>'Data Panjang Balok'!J408</f>
        <v>150</v>
      </c>
      <c r="J411">
        <f>I411-F411/1000</f>
        <v>-0.4</v>
      </c>
      <c r="K411">
        <f>'Data Panjang Balok'!E408</f>
        <v>1</v>
      </c>
      <c r="L411">
        <f>SUMIFS('Besi Balok'!$AA$23:$AA$12292,'Besi Balok'!$A$23:$A$12292,$A411,'Besi Balok'!$B$23:$B$12292,$B411,'Besi Balok'!$F$23:$F$12292,'REKAP Balok'!L$12)</f>
        <v>0</v>
      </c>
      <c r="M411">
        <f>SUMIFS('Besi Balok'!$AA$23:$AA$12292,'Besi Balok'!$A$23:$A$12292,$A411,'Besi Balok'!$B$23:$B$12292,$B411,'Besi Balok'!$F$23:$F$12292,'REKAP Balok'!M$12)</f>
        <v>0</v>
      </c>
      <c r="N411">
        <f>SUMIFS('Besi Balok'!$AA$23:$AA$12292,'Besi Balok'!$A$23:$A$12292,$A411,'Besi Balok'!$B$23:$B$12292,$B411,'Besi Balok'!$F$23:$F$12292,'REKAP Balok'!N$12)</f>
        <v>12.699900000000001</v>
      </c>
      <c r="O411">
        <f>SUMIFS('Besi Balok'!$AA$23:$AA$12292,'Besi Balok'!$A$23:$A$12292,$A411,'Besi Balok'!$B$23:$B$12292,$B411,'Besi Balok'!$F$23:$F$12292,'REKAP Balok'!O$12)</f>
        <v>0</v>
      </c>
      <c r="P411">
        <f>SUMIFS('Besi Balok'!$AA$23:$AA$12292,'Besi Balok'!$A$23:$A$12292,$A411,'Besi Balok'!$B$23:$B$12292,$B411,'Besi Balok'!$F$23:$F$12292,'REKAP Balok'!P$12)</f>
        <v>21.628200959999997</v>
      </c>
      <c r="Q411">
        <f>SUMIFS('Besi Balok'!$AA$23:$AA$12292,'Besi Balok'!$A$23:$A$12292,$A411,'Besi Balok'!$B$23:$B$12292,$B411,'Besi Balok'!$F$23:$F$12292,'REKAP Balok'!Q$12)</f>
        <v>0</v>
      </c>
      <c r="R411">
        <f>SUMIFS('Besi Balok'!$AA$23:$AA$12292,'Besi Balok'!$A$23:$A$12292,$A411,'Besi Balok'!$B$23:$B$12292,$B411,'Besi Balok'!$F$23:$F$12292,'REKAP Balok'!R$12)</f>
        <v>0</v>
      </c>
      <c r="S411">
        <f>SUMIFS('Besi Balok'!$AA$23:$AA$12292,'Besi Balok'!$A$23:$A$12292,$A411,'Besi Balok'!$B$23:$B$12292,$B411,'Besi Balok'!$F$23:$F$12292,'REKAP Balok'!S$12)</f>
        <v>0</v>
      </c>
      <c r="T411">
        <f>SUMIFS('Besi Balok'!$AA$23:$AA$12292,'Besi Balok'!$A$23:$A$12292,$A411,'Besi Balok'!$B$23:$B$12292,$B411,'Besi Balok'!$F$23:$F$12292,'REKAP Balok'!T$12)</f>
        <v>0</v>
      </c>
      <c r="U411">
        <f>SUM(L411:T411)</f>
        <v>34.32810096</v>
      </c>
      <c r="V411">
        <f>(D411*(F411-H411)*G411*K411)/1000000000</f>
        <v>0.095</v>
      </c>
      <c r="W411">
        <f>(((F411-H411)*2+D411)*(G411)*K411)/1000000</f>
        <v>1.33</v>
      </c>
      <c r="AC411">
        <f>(D411+2*$F$5)*F411*G411/1000000000</f>
        <v>0.304</v>
      </c>
    </row>
    <row r="412">
      <c r="A412" t="str">
        <f>'Data Panjang Balok'!A409</f>
        <v>Lantai Atap</v>
      </c>
      <c r="B412">
        <f>'Data Panjang Balok'!B409</f>
        <v>54</v>
      </c>
      <c r="C412" t="str">
        <f>'Data Panjang Balok'!D409</f>
        <v>B24-3</v>
      </c>
      <c r="D412">
        <f>IF(C412&gt;0,VLOOKUP(C412,'Detail Balok'!$C$11:$AU$110,2,FALSE),0)</f>
        <v>200</v>
      </c>
      <c r="E412" t="str">
        <v>x</v>
      </c>
      <c r="F412">
        <f>IF(C412&gt;0,VLOOKUP(C412,'Detail Balok'!$C$11:$AU$110,3,FALSE),0)</f>
        <v>400</v>
      </c>
      <c r="G412">
        <f>'Data Panjang Balok'!I409</f>
        <v>8000</v>
      </c>
      <c r="H412">
        <f>'Data Panjang Balok'!J409</f>
        <v>150</v>
      </c>
      <c r="J412">
        <f>I412-F412/1000</f>
        <v>-0.4</v>
      </c>
      <c r="K412">
        <f>'Data Panjang Balok'!E409</f>
        <v>1</v>
      </c>
      <c r="L412">
        <f>SUMIFS('Besi Balok'!$AA$23:$AA$12292,'Besi Balok'!$A$23:$A$12292,$A412,'Besi Balok'!$B$23:$B$12292,$B412,'Besi Balok'!$F$23:$F$12292,'REKAP Balok'!L$12)</f>
        <v>0</v>
      </c>
      <c r="M412">
        <f>SUMIFS('Besi Balok'!$AA$23:$AA$12292,'Besi Balok'!$A$23:$A$12292,$A412,'Besi Balok'!$B$23:$B$12292,$B412,'Besi Balok'!$F$23:$F$12292,'REKAP Balok'!M$12)</f>
        <v>0</v>
      </c>
      <c r="N412">
        <f>SUMIFS('Besi Balok'!$AA$23:$AA$12292,'Besi Balok'!$A$23:$A$12292,$A412,'Besi Balok'!$B$23:$B$12292,$B412,'Besi Balok'!$F$23:$F$12292,'REKAP Balok'!N$12)</f>
        <v>39.369690000000006</v>
      </c>
      <c r="O412">
        <f>SUMIFS('Besi Balok'!$AA$23:$AA$12292,'Besi Balok'!$A$23:$A$12292,$A412,'Besi Balok'!$B$23:$B$12292,$B412,'Besi Balok'!$F$23:$F$12292,'REKAP Balok'!O$12)</f>
        <v>0</v>
      </c>
      <c r="P412">
        <f>SUMIFS('Besi Balok'!$AA$23:$AA$12292,'Besi Balok'!$A$23:$A$12292,$A412,'Besi Balok'!$B$23:$B$12292,$B412,'Besi Balok'!$F$23:$F$12292,'REKAP Balok'!P$12)</f>
        <v>79.39178496</v>
      </c>
      <c r="Q412">
        <f>SUMIFS('Besi Balok'!$AA$23:$AA$12292,'Besi Balok'!$A$23:$A$12292,$A412,'Besi Balok'!$B$23:$B$12292,$B412,'Besi Balok'!$F$23:$F$12292,'REKAP Balok'!Q$12)</f>
        <v>0</v>
      </c>
      <c r="R412">
        <f>SUMIFS('Besi Balok'!$AA$23:$AA$12292,'Besi Balok'!$A$23:$A$12292,$A412,'Besi Balok'!$B$23:$B$12292,$B412,'Besi Balok'!$F$23:$F$12292,'REKAP Balok'!R$12)</f>
        <v>0</v>
      </c>
      <c r="S412">
        <f>SUMIFS('Besi Balok'!$AA$23:$AA$12292,'Besi Balok'!$A$23:$A$12292,$A412,'Besi Balok'!$B$23:$B$12292,$B412,'Besi Balok'!$F$23:$F$12292,'REKAP Balok'!S$12)</f>
        <v>0</v>
      </c>
      <c r="T412">
        <f>SUMIFS('Besi Balok'!$AA$23:$AA$12292,'Besi Balok'!$A$23:$A$12292,$A412,'Besi Balok'!$B$23:$B$12292,$B412,'Besi Balok'!$F$23:$F$12292,'REKAP Balok'!T$12)</f>
        <v>0</v>
      </c>
      <c r="U412">
        <f>SUM(L412:T412)</f>
        <v>118.76147496</v>
      </c>
      <c r="V412">
        <f>(D412*(F412-H412)*G412*K412)/1000000000</f>
        <v>0.4</v>
      </c>
      <c r="W412">
        <f>(((F412-H412)*2+D412)*(G412)*K412)/1000000</f>
        <v>5.6</v>
      </c>
      <c r="AC412">
        <f>(D412+2*$F$5)*F412*G412/1000000000</f>
        <v>1.28</v>
      </c>
    </row>
    <row r="413">
      <c r="A413" t="str">
        <f>'Data Panjang Balok'!A410</f>
        <v>Lantai Atap</v>
      </c>
      <c r="B413">
        <f>'Data Panjang Balok'!B410</f>
        <v>55</v>
      </c>
      <c r="C413" t="str">
        <f>'Data Panjang Balok'!D410</f>
        <v>B24-2</v>
      </c>
      <c r="D413">
        <f>IF(C413&gt;0,VLOOKUP(C413,'Detail Balok'!$C$11:$AU$110,2,FALSE),0)</f>
        <v>200</v>
      </c>
      <c r="E413" t="str">
        <v>x</v>
      </c>
      <c r="F413">
        <f>IF(C413&gt;0,VLOOKUP(C413,'Detail Balok'!$C$11:$AU$110,3,FALSE),0)</f>
        <v>400</v>
      </c>
      <c r="G413">
        <f>'Data Panjang Balok'!I410</f>
        <v>5400</v>
      </c>
      <c r="H413">
        <f>'Data Panjang Balok'!J410</f>
        <v>150</v>
      </c>
      <c r="J413">
        <f>I413-F413/1000</f>
        <v>-0.4</v>
      </c>
      <c r="K413">
        <f>'Data Panjang Balok'!E410</f>
        <v>1</v>
      </c>
      <c r="L413">
        <f>SUMIFS('Besi Balok'!$AA$23:$AA$12292,'Besi Balok'!$A$23:$A$12292,$A413,'Besi Balok'!$B$23:$B$12292,$B413,'Besi Balok'!$F$23:$F$12292,'REKAP Balok'!L$12)</f>
        <v>0</v>
      </c>
      <c r="M413">
        <f>SUMIFS('Besi Balok'!$AA$23:$AA$12292,'Besi Balok'!$A$23:$A$12292,$A413,'Besi Balok'!$B$23:$B$12292,$B413,'Besi Balok'!$F$23:$F$12292,'REKAP Balok'!M$12)</f>
        <v>17.881459200000002</v>
      </c>
      <c r="N413">
        <f>SUMIFS('Besi Balok'!$AA$23:$AA$12292,'Besi Balok'!$A$23:$A$12292,$A413,'Besi Balok'!$B$23:$B$12292,$B413,'Besi Balok'!$F$23:$F$12292,'REKAP Balok'!N$12)</f>
        <v>0</v>
      </c>
      <c r="O413">
        <f>SUMIFS('Besi Balok'!$AA$23:$AA$12292,'Besi Balok'!$A$23:$A$12292,$A413,'Besi Balok'!$B$23:$B$12292,$B413,'Besi Balok'!$F$23:$F$12292,'REKAP Balok'!O$12)</f>
        <v>0</v>
      </c>
      <c r="P413">
        <f>SUMIFS('Besi Balok'!$AA$23:$AA$12292,'Besi Balok'!$A$23:$A$12292,$A413,'Besi Balok'!$B$23:$B$12292,$B413,'Besi Balok'!$F$23:$F$12292,'REKAP Balok'!P$12)</f>
        <v>36.51416064</v>
      </c>
      <c r="Q413">
        <f>SUMIFS('Besi Balok'!$AA$23:$AA$12292,'Besi Balok'!$A$23:$A$12292,$A413,'Besi Balok'!$B$23:$B$12292,$B413,'Besi Balok'!$F$23:$F$12292,'REKAP Balok'!Q$12)</f>
        <v>0</v>
      </c>
      <c r="R413">
        <f>SUMIFS('Besi Balok'!$AA$23:$AA$12292,'Besi Balok'!$A$23:$A$12292,$A413,'Besi Balok'!$B$23:$B$12292,$B413,'Besi Balok'!$F$23:$F$12292,'REKAP Balok'!R$12)</f>
        <v>0</v>
      </c>
      <c r="S413">
        <f>SUMIFS('Besi Balok'!$AA$23:$AA$12292,'Besi Balok'!$A$23:$A$12292,$A413,'Besi Balok'!$B$23:$B$12292,$B413,'Besi Balok'!$F$23:$F$12292,'REKAP Balok'!S$12)</f>
        <v>0</v>
      </c>
      <c r="T413">
        <f>SUMIFS('Besi Balok'!$AA$23:$AA$12292,'Besi Balok'!$A$23:$A$12292,$A413,'Besi Balok'!$B$23:$B$12292,$B413,'Besi Balok'!$F$23:$F$12292,'REKAP Balok'!T$12)</f>
        <v>0</v>
      </c>
      <c r="U413">
        <f>SUM(L413:T413)</f>
        <v>54.39561984</v>
      </c>
      <c r="V413">
        <f>(D413*(F413-H413)*G413*K413)/1000000000</f>
        <v>0.27</v>
      </c>
      <c r="W413">
        <f>(((F413-H413)*2+D413)*(G413)*K413)/1000000</f>
        <v>3.78</v>
      </c>
      <c r="AC413">
        <f>(D413+2*$F$5)*F413*G413/1000000000</f>
        <v>0.864</v>
      </c>
    </row>
    <row r="414">
      <c r="A414" t="str">
        <f>'Data Panjang Balok'!A411</f>
        <v>Lantai Atap</v>
      </c>
      <c r="B414">
        <f>'Data Panjang Balok'!B411</f>
        <v>56</v>
      </c>
      <c r="C414" t="str">
        <f>'Data Panjang Balok'!D411</f>
        <v>CL24-1</v>
      </c>
      <c r="D414">
        <f>IF(C414&gt;0,VLOOKUP(C414,'Detail Balok'!$C$11:$AU$110,2,FALSE),0)</f>
        <v>200</v>
      </c>
      <c r="E414" t="str">
        <v>x</v>
      </c>
      <c r="F414">
        <f>IF(C414&gt;0,VLOOKUP(C414,'Detail Balok'!$C$11:$AU$110,3,FALSE),0)</f>
        <v>400</v>
      </c>
      <c r="G414">
        <f>'Data Panjang Balok'!I411</f>
        <v>1900</v>
      </c>
      <c r="H414">
        <f>'Data Panjang Balok'!J411</f>
        <v>150</v>
      </c>
      <c r="J414">
        <f>I414-F414/1000</f>
        <v>-0.4</v>
      </c>
      <c r="K414">
        <f>'Data Panjang Balok'!E411</f>
        <v>1</v>
      </c>
      <c r="L414">
        <f>SUMIFS('Besi Balok'!$AA$23:$AA$12292,'Besi Balok'!$A$23:$A$12292,$A414,'Besi Balok'!$B$23:$B$12292,$B414,'Besi Balok'!$F$23:$F$12292,'REKAP Balok'!L$12)</f>
        <v>0</v>
      </c>
      <c r="M414">
        <f>SUMIFS('Besi Balok'!$AA$23:$AA$12292,'Besi Balok'!$A$23:$A$12292,$A414,'Besi Balok'!$B$23:$B$12292,$B414,'Besi Balok'!$F$23:$F$12292,'REKAP Balok'!M$12)</f>
        <v>4.876761600000001</v>
      </c>
      <c r="N414">
        <f>SUMIFS('Besi Balok'!$AA$23:$AA$12292,'Besi Balok'!$A$23:$A$12292,$A414,'Besi Balok'!$B$23:$B$12292,$B414,'Besi Balok'!$F$23:$F$12292,'REKAP Balok'!N$12)</f>
        <v>0</v>
      </c>
      <c r="O414">
        <f>SUMIFS('Besi Balok'!$AA$23:$AA$12292,'Besi Balok'!$A$23:$A$12292,$A414,'Besi Balok'!$B$23:$B$12292,$B414,'Besi Balok'!$F$23:$F$12292,'REKAP Balok'!O$12)</f>
        <v>0</v>
      </c>
      <c r="P414">
        <f>SUMIFS('Besi Balok'!$AA$23:$AA$12292,'Besi Balok'!$A$23:$A$12292,$A414,'Besi Balok'!$B$23:$B$12292,$B414,'Besi Balok'!$F$23:$F$12292,'REKAP Balok'!P$12)</f>
        <v>18.023500799999997</v>
      </c>
      <c r="Q414">
        <f>SUMIFS('Besi Balok'!$AA$23:$AA$12292,'Besi Balok'!$A$23:$A$12292,$A414,'Besi Balok'!$B$23:$B$12292,$B414,'Besi Balok'!$F$23:$F$12292,'REKAP Balok'!Q$12)</f>
        <v>0</v>
      </c>
      <c r="R414">
        <f>SUMIFS('Besi Balok'!$AA$23:$AA$12292,'Besi Balok'!$A$23:$A$12292,$A414,'Besi Balok'!$B$23:$B$12292,$B414,'Besi Balok'!$F$23:$F$12292,'REKAP Balok'!R$12)</f>
        <v>0</v>
      </c>
      <c r="S414">
        <f>SUMIFS('Besi Balok'!$AA$23:$AA$12292,'Besi Balok'!$A$23:$A$12292,$A414,'Besi Balok'!$B$23:$B$12292,$B414,'Besi Balok'!$F$23:$F$12292,'REKAP Balok'!S$12)</f>
        <v>0</v>
      </c>
      <c r="T414">
        <f>SUMIFS('Besi Balok'!$AA$23:$AA$12292,'Besi Balok'!$A$23:$A$12292,$A414,'Besi Balok'!$B$23:$B$12292,$B414,'Besi Balok'!$F$23:$F$12292,'REKAP Balok'!T$12)</f>
        <v>0</v>
      </c>
      <c r="U414">
        <f>SUM(L414:T414)</f>
        <v>22.9002624</v>
      </c>
      <c r="V414">
        <f>(D414*(F414-H414)*G414*K414)/1000000000</f>
        <v>0.095</v>
      </c>
      <c r="W414">
        <f>(((F414-H414)*2+D414)*(G414)*K414)/1000000</f>
        <v>1.33</v>
      </c>
      <c r="AC414">
        <f>(D414+2*$F$5)*F414*G414/1000000000</f>
        <v>0.304</v>
      </c>
    </row>
    <row r="415">
      <c r="A415" t="str">
        <f>'Data Panjang Balok'!A412</f>
        <v>Lantai Atap</v>
      </c>
      <c r="B415">
        <f>'Data Panjang Balok'!B412</f>
        <v>57</v>
      </c>
      <c r="C415" t="str">
        <f>'Data Panjang Balok'!D412</f>
        <v>B24-4</v>
      </c>
      <c r="D415">
        <f>IF(C415&gt;0,VLOOKUP(C415,'Detail Balok'!$C$11:$AU$110,2,FALSE),0)</f>
        <v>200</v>
      </c>
      <c r="E415" t="str">
        <v>x</v>
      </c>
      <c r="F415">
        <f>IF(C415&gt;0,VLOOKUP(C415,'Detail Balok'!$C$11:$AU$110,3,FALSE),0)</f>
        <v>400</v>
      </c>
      <c r="G415">
        <f>'Data Panjang Balok'!I412</f>
        <v>8100</v>
      </c>
      <c r="H415">
        <f>'Data Panjang Balok'!J412</f>
        <v>150</v>
      </c>
      <c r="J415">
        <f>I415-F415/1000</f>
        <v>-0.4</v>
      </c>
      <c r="K415">
        <f>'Data Panjang Balok'!E412</f>
        <v>1</v>
      </c>
      <c r="L415">
        <f>SUMIFS('Besi Balok'!$AA$23:$AA$12292,'Besi Balok'!$A$23:$A$12292,$A415,'Besi Balok'!$B$23:$B$12292,$B415,'Besi Balok'!$F$23:$F$12292,'REKAP Balok'!L$12)</f>
        <v>0</v>
      </c>
      <c r="M415">
        <f>SUMIFS('Besi Balok'!$AA$23:$AA$12292,'Besi Balok'!$A$23:$A$12292,$A415,'Besi Balok'!$B$23:$B$12292,$B415,'Besi Balok'!$F$23:$F$12292,'REKAP Balok'!M$12)</f>
        <v>29.260569600000004</v>
      </c>
      <c r="N415">
        <f>SUMIFS('Besi Balok'!$AA$23:$AA$12292,'Besi Balok'!$A$23:$A$12292,$A415,'Besi Balok'!$B$23:$B$12292,$B415,'Besi Balok'!$F$23:$F$12292,'REKAP Balok'!N$12)</f>
        <v>0</v>
      </c>
      <c r="O415">
        <f>SUMIFS('Besi Balok'!$AA$23:$AA$12292,'Besi Balok'!$A$23:$A$12292,$A415,'Besi Balok'!$B$23:$B$12292,$B415,'Besi Balok'!$F$23:$F$12292,'REKAP Balok'!O$12)</f>
        <v>0</v>
      </c>
      <c r="P415">
        <f>SUMIFS('Besi Balok'!$AA$23:$AA$12292,'Besi Balok'!$A$23:$A$12292,$A415,'Besi Balok'!$B$23:$B$12292,$B415,'Besi Balok'!$F$23:$F$12292,'REKAP Balok'!P$12)</f>
        <v>86.96733696000001</v>
      </c>
      <c r="Q415">
        <f>SUMIFS('Besi Balok'!$AA$23:$AA$12292,'Besi Balok'!$A$23:$A$12292,$A415,'Besi Balok'!$B$23:$B$12292,$B415,'Besi Balok'!$F$23:$F$12292,'REKAP Balok'!Q$12)</f>
        <v>0</v>
      </c>
      <c r="R415">
        <f>SUMIFS('Besi Balok'!$AA$23:$AA$12292,'Besi Balok'!$A$23:$A$12292,$A415,'Besi Balok'!$B$23:$B$12292,$B415,'Besi Balok'!$F$23:$F$12292,'REKAP Balok'!R$12)</f>
        <v>0</v>
      </c>
      <c r="S415">
        <f>SUMIFS('Besi Balok'!$AA$23:$AA$12292,'Besi Balok'!$A$23:$A$12292,$A415,'Besi Balok'!$B$23:$B$12292,$B415,'Besi Balok'!$F$23:$F$12292,'REKAP Balok'!S$12)</f>
        <v>0</v>
      </c>
      <c r="T415">
        <f>SUMIFS('Besi Balok'!$AA$23:$AA$12292,'Besi Balok'!$A$23:$A$12292,$A415,'Besi Balok'!$B$23:$B$12292,$B415,'Besi Balok'!$F$23:$F$12292,'REKAP Balok'!T$12)</f>
        <v>0</v>
      </c>
      <c r="U415">
        <f>SUM(L415:T415)</f>
        <v>116.22790656000001</v>
      </c>
      <c r="V415">
        <f>(D415*(F415-H415)*G415*K415)/1000000000</f>
        <v>0.405</v>
      </c>
      <c r="W415">
        <f>(((F415-H415)*2+D415)*(G415)*K415)/1000000</f>
        <v>5.67</v>
      </c>
      <c r="AC415">
        <f>(D415+2*$F$5)*F415*G415/1000000000</f>
        <v>1.296</v>
      </c>
    </row>
    <row r="416">
      <c r="A416" t="str">
        <f>'Data Panjang Balok'!A413</f>
        <v>Lantai Atap</v>
      </c>
      <c r="B416">
        <f>'Data Panjang Balok'!B413</f>
        <v>58</v>
      </c>
      <c r="C416" t="str">
        <f>'Data Panjang Balok'!D413</f>
        <v>B24-2</v>
      </c>
      <c r="D416">
        <f>IF(C416&gt;0,VLOOKUP(C416,'Detail Balok'!$C$11:$AU$110,2,FALSE),0)</f>
        <v>200</v>
      </c>
      <c r="E416" t="str">
        <v>x</v>
      </c>
      <c r="F416">
        <f>IF(C416&gt;0,VLOOKUP(C416,'Detail Balok'!$C$11:$AU$110,3,FALSE),0)</f>
        <v>400</v>
      </c>
      <c r="G416">
        <f>'Data Panjang Balok'!I413</f>
        <v>8200</v>
      </c>
      <c r="H416">
        <f>'Data Panjang Balok'!J413</f>
        <v>150</v>
      </c>
      <c r="J416">
        <f>I416-F416/1000</f>
        <v>-0.4</v>
      </c>
      <c r="K416">
        <f>'Data Panjang Balok'!E413</f>
        <v>1</v>
      </c>
      <c r="L416">
        <f>SUMIFS('Besi Balok'!$AA$23:$AA$12292,'Besi Balok'!$A$23:$A$12292,$A416,'Besi Balok'!$B$23:$B$12292,$B416,'Besi Balok'!$F$23:$F$12292,'REKAP Balok'!L$12)</f>
        <v>0</v>
      </c>
      <c r="M416">
        <f>SUMIFS('Besi Balok'!$AA$23:$AA$12292,'Besi Balok'!$A$23:$A$12292,$A416,'Besi Balok'!$B$23:$B$12292,$B416,'Besi Balok'!$F$23:$F$12292,'REKAP Balok'!M$12)</f>
        <v>26.415792000000003</v>
      </c>
      <c r="N416">
        <f>SUMIFS('Besi Balok'!$AA$23:$AA$12292,'Besi Balok'!$A$23:$A$12292,$A416,'Besi Balok'!$B$23:$B$12292,$B416,'Besi Balok'!$F$23:$F$12292,'REKAP Balok'!N$12)</f>
        <v>0</v>
      </c>
      <c r="O416">
        <f>SUMIFS('Besi Balok'!$AA$23:$AA$12292,'Besi Balok'!$A$23:$A$12292,$A416,'Besi Balok'!$B$23:$B$12292,$B416,'Besi Balok'!$F$23:$F$12292,'REKAP Balok'!O$12)</f>
        <v>0</v>
      </c>
      <c r="P416">
        <f>SUMIFS('Besi Balok'!$AA$23:$AA$12292,'Besi Balok'!$A$23:$A$12292,$A416,'Besi Balok'!$B$23:$B$12292,$B416,'Besi Balok'!$F$23:$F$12292,'REKAP Balok'!P$12)</f>
        <v>54.19044864</v>
      </c>
      <c r="Q416">
        <f>SUMIFS('Besi Balok'!$AA$23:$AA$12292,'Besi Balok'!$A$23:$A$12292,$A416,'Besi Balok'!$B$23:$B$12292,$B416,'Besi Balok'!$F$23:$F$12292,'REKAP Balok'!Q$12)</f>
        <v>0</v>
      </c>
      <c r="R416">
        <f>SUMIFS('Besi Balok'!$AA$23:$AA$12292,'Besi Balok'!$A$23:$A$12292,$A416,'Besi Balok'!$B$23:$B$12292,$B416,'Besi Balok'!$F$23:$F$12292,'REKAP Balok'!R$12)</f>
        <v>0</v>
      </c>
      <c r="S416">
        <f>SUMIFS('Besi Balok'!$AA$23:$AA$12292,'Besi Balok'!$A$23:$A$12292,$A416,'Besi Balok'!$B$23:$B$12292,$B416,'Besi Balok'!$F$23:$F$12292,'REKAP Balok'!S$12)</f>
        <v>0</v>
      </c>
      <c r="T416">
        <f>SUMIFS('Besi Balok'!$AA$23:$AA$12292,'Besi Balok'!$A$23:$A$12292,$A416,'Besi Balok'!$B$23:$B$12292,$B416,'Besi Balok'!$F$23:$F$12292,'REKAP Balok'!T$12)</f>
        <v>0</v>
      </c>
      <c r="U416">
        <f>SUM(L416:T416)</f>
        <v>80.60624064000001</v>
      </c>
      <c r="V416">
        <f>(D416*(F416-H416)*G416*K416)/1000000000</f>
        <v>0.41</v>
      </c>
      <c r="W416">
        <f>(((F416-H416)*2+D416)*(G416)*K416)/1000000</f>
        <v>5.74</v>
      </c>
      <c r="AC416">
        <f>(D416+2*$F$5)*F416*G416/1000000000</f>
        <v>1.312</v>
      </c>
    </row>
    <row r="417">
      <c r="A417" t="str">
        <f>'Data Panjang Balok'!A414</f>
        <v>Lantai Atap</v>
      </c>
      <c r="B417">
        <f>'Data Panjang Balok'!B414</f>
        <v>59</v>
      </c>
      <c r="C417" t="str">
        <f>'Data Panjang Balok'!D414</f>
        <v>B245-3</v>
      </c>
      <c r="D417">
        <f>IF(C417&gt;0,VLOOKUP(C417,'Detail Balok'!$C$11:$AU$110,2,FALSE),0)</f>
        <v>200</v>
      </c>
      <c r="E417" t="str">
        <v>x</v>
      </c>
      <c r="F417">
        <f>IF(C417&gt;0,VLOOKUP(C417,'Detail Balok'!$C$11:$AU$110,3,FALSE),0)</f>
        <v>450</v>
      </c>
      <c r="G417">
        <f>'Data Panjang Balok'!I414</f>
        <v>3100</v>
      </c>
      <c r="H417">
        <f>'Data Panjang Balok'!J414</f>
        <v>150</v>
      </c>
      <c r="J417">
        <f>I417-F417/1000</f>
        <v>-0.45</v>
      </c>
      <c r="K417">
        <f>'Data Panjang Balok'!E414</f>
        <v>1</v>
      </c>
      <c r="L417">
        <f>SUMIFS('Besi Balok'!$AA$23:$AA$12292,'Besi Balok'!$A$23:$A$12292,$A417,'Besi Balok'!$B$23:$B$12292,$B417,'Besi Balok'!$F$23:$F$12292,'REKAP Balok'!L$12)</f>
        <v>0</v>
      </c>
      <c r="M417">
        <f>SUMIFS('Besi Balok'!$AA$23:$AA$12292,'Besi Balok'!$A$23:$A$12292,$A417,'Besi Balok'!$B$23:$B$12292,$B417,'Besi Balok'!$F$23:$F$12292,'REKAP Balok'!M$12)</f>
        <v>0</v>
      </c>
      <c r="N417">
        <f>SUMIFS('Besi Balok'!$AA$23:$AA$12292,'Besi Balok'!$A$23:$A$12292,$A417,'Besi Balok'!$B$23:$B$12292,$B417,'Besi Balok'!$F$23:$F$12292,'REKAP Balok'!N$12)</f>
        <v>24.320924999999995</v>
      </c>
      <c r="O417">
        <f>SUMIFS('Besi Balok'!$AA$23:$AA$12292,'Besi Balok'!$A$23:$A$12292,$A417,'Besi Balok'!$B$23:$B$12292,$B417,'Besi Balok'!$F$23:$F$12292,'REKAP Balok'!O$12)</f>
        <v>0</v>
      </c>
      <c r="P417">
        <f>SUMIFS('Besi Balok'!$AA$23:$AA$12292,'Besi Balok'!$A$23:$A$12292,$A417,'Besi Balok'!$B$23:$B$12292,$B417,'Besi Balok'!$F$23:$F$12292,'REKAP Balok'!P$12)</f>
        <v>21.994352640000002</v>
      </c>
      <c r="Q417">
        <f>SUMIFS('Besi Balok'!$AA$23:$AA$12292,'Besi Balok'!$A$23:$A$12292,$A417,'Besi Balok'!$B$23:$B$12292,$B417,'Besi Balok'!$F$23:$F$12292,'REKAP Balok'!Q$12)</f>
        <v>0</v>
      </c>
      <c r="R417">
        <f>SUMIFS('Besi Balok'!$AA$23:$AA$12292,'Besi Balok'!$A$23:$A$12292,$A417,'Besi Balok'!$B$23:$B$12292,$B417,'Besi Balok'!$F$23:$F$12292,'REKAP Balok'!R$12)</f>
        <v>0</v>
      </c>
      <c r="S417">
        <f>SUMIFS('Besi Balok'!$AA$23:$AA$12292,'Besi Balok'!$A$23:$A$12292,$A417,'Besi Balok'!$B$23:$B$12292,$B417,'Besi Balok'!$F$23:$F$12292,'REKAP Balok'!S$12)</f>
        <v>0</v>
      </c>
      <c r="T417">
        <f>SUMIFS('Besi Balok'!$AA$23:$AA$12292,'Besi Balok'!$A$23:$A$12292,$A417,'Besi Balok'!$B$23:$B$12292,$B417,'Besi Balok'!$F$23:$F$12292,'REKAP Balok'!T$12)</f>
        <v>0</v>
      </c>
      <c r="U417">
        <f>SUM(L417:T417)</f>
        <v>46.31527764</v>
      </c>
      <c r="V417">
        <f>(D417*(F417-H417)*G417*K417)/1000000000</f>
        <v>0.186</v>
      </c>
      <c r="W417">
        <f>(((F417-H417)*2+D417)*(G417)*K417)/1000000</f>
        <v>2.48</v>
      </c>
      <c r="AC417">
        <f>(D417+2*$F$5)*F417*G417/1000000000</f>
        <v>0.558</v>
      </c>
    </row>
    <row r="418">
      <c r="A418" t="str">
        <f>'Data Panjang Balok'!A415</f>
        <v>Lantai Atap</v>
      </c>
      <c r="B418">
        <f>'Data Panjang Balok'!B415</f>
        <v>60</v>
      </c>
      <c r="C418" t="str">
        <f>'Data Panjang Balok'!D415</f>
        <v>B24-4</v>
      </c>
      <c r="D418">
        <f>IF(C418&gt;0,VLOOKUP(C418,'Detail Balok'!$C$11:$AU$110,2,FALSE),0)</f>
        <v>200</v>
      </c>
      <c r="E418" t="str">
        <v>x</v>
      </c>
      <c r="F418">
        <f>IF(C418&gt;0,VLOOKUP(C418,'Detail Balok'!$C$11:$AU$110,3,FALSE),0)</f>
        <v>400</v>
      </c>
      <c r="G418">
        <f>'Data Panjang Balok'!I415</f>
        <v>6000</v>
      </c>
      <c r="H418">
        <f>'Data Panjang Balok'!J415</f>
        <v>150</v>
      </c>
      <c r="J418">
        <f>I418-F418/1000</f>
        <v>-0.4</v>
      </c>
      <c r="K418">
        <f>'Data Panjang Balok'!E415</f>
        <v>1</v>
      </c>
      <c r="L418">
        <f>SUMIFS('Besi Balok'!$AA$23:$AA$12292,'Besi Balok'!$A$23:$A$12292,$A418,'Besi Balok'!$B$23:$B$12292,$B418,'Besi Balok'!$F$23:$F$12292,'REKAP Balok'!L$12)</f>
        <v>0</v>
      </c>
      <c r="M418">
        <f>SUMIFS('Besi Balok'!$AA$23:$AA$12292,'Besi Balok'!$A$23:$A$12292,$A418,'Besi Balok'!$B$23:$B$12292,$B418,'Besi Balok'!$F$23:$F$12292,'REKAP Balok'!M$12)</f>
        <v>22.351824000000004</v>
      </c>
      <c r="N418">
        <f>SUMIFS('Besi Balok'!$AA$23:$AA$12292,'Besi Balok'!$A$23:$A$12292,$A418,'Besi Balok'!$B$23:$B$12292,$B418,'Besi Balok'!$F$23:$F$12292,'REKAP Balok'!N$12)</f>
        <v>0</v>
      </c>
      <c r="O418">
        <f>SUMIFS('Besi Balok'!$AA$23:$AA$12292,'Besi Balok'!$A$23:$A$12292,$A418,'Besi Balok'!$B$23:$B$12292,$B418,'Besi Balok'!$F$23:$F$12292,'REKAP Balok'!O$12)</f>
        <v>0</v>
      </c>
      <c r="P418">
        <f>SUMIFS('Besi Balok'!$AA$23:$AA$12292,'Besi Balok'!$A$23:$A$12292,$A418,'Besi Balok'!$B$23:$B$12292,$B418,'Besi Balok'!$F$23:$F$12292,'REKAP Balok'!P$12)</f>
        <v>65.75579136</v>
      </c>
      <c r="Q418">
        <f>SUMIFS('Besi Balok'!$AA$23:$AA$12292,'Besi Balok'!$A$23:$A$12292,$A418,'Besi Balok'!$B$23:$B$12292,$B418,'Besi Balok'!$F$23:$F$12292,'REKAP Balok'!Q$12)</f>
        <v>0</v>
      </c>
      <c r="R418">
        <f>SUMIFS('Besi Balok'!$AA$23:$AA$12292,'Besi Balok'!$A$23:$A$12292,$A418,'Besi Balok'!$B$23:$B$12292,$B418,'Besi Balok'!$F$23:$F$12292,'REKAP Balok'!R$12)</f>
        <v>0</v>
      </c>
      <c r="S418">
        <f>SUMIFS('Besi Balok'!$AA$23:$AA$12292,'Besi Balok'!$A$23:$A$12292,$A418,'Besi Balok'!$B$23:$B$12292,$B418,'Besi Balok'!$F$23:$F$12292,'REKAP Balok'!S$12)</f>
        <v>0</v>
      </c>
      <c r="T418">
        <f>SUMIFS('Besi Balok'!$AA$23:$AA$12292,'Besi Balok'!$A$23:$A$12292,$A418,'Besi Balok'!$B$23:$B$12292,$B418,'Besi Balok'!$F$23:$F$12292,'REKAP Balok'!T$12)</f>
        <v>0</v>
      </c>
      <c r="U418">
        <f>SUM(L418:T418)</f>
        <v>88.10761536000001</v>
      </c>
      <c r="V418">
        <f>(D418*(F418-H418)*G418*K418)/1000000000</f>
        <v>0.3</v>
      </c>
      <c r="W418">
        <f>(((F418-H418)*2+D418)*(G418)*K418)/1000000</f>
        <v>4.2</v>
      </c>
      <c r="AC418">
        <f>(D418+2*$F$5)*F418*G418/1000000000</f>
        <v>0.96</v>
      </c>
    </row>
    <row r="419">
      <c r="A419" t="str">
        <f>'Data Panjang Balok'!A416</f>
        <v>Lantai Atap</v>
      </c>
      <c r="B419">
        <f>'Data Panjang Balok'!B416</f>
        <v>61</v>
      </c>
      <c r="C419" t="str">
        <f>'Data Panjang Balok'!D416</f>
        <v>B245-1</v>
      </c>
      <c r="D419">
        <f>IF(C419&gt;0,VLOOKUP(C419,'Detail Balok'!$C$11:$AU$110,2,FALSE),0)</f>
        <v>200</v>
      </c>
      <c r="E419" t="str">
        <v>x</v>
      </c>
      <c r="F419">
        <f>IF(C419&gt;0,VLOOKUP(C419,'Detail Balok'!$C$11:$AU$110,3,FALSE),0)</f>
        <v>450</v>
      </c>
      <c r="G419">
        <f>'Data Panjang Balok'!I416</f>
        <v>2000</v>
      </c>
      <c r="H419">
        <f>'Data Panjang Balok'!J416</f>
        <v>150</v>
      </c>
      <c r="J419">
        <f>I419-F419/1000</f>
        <v>-0.45</v>
      </c>
      <c r="K419">
        <f>'Data Panjang Balok'!E416</f>
        <v>1</v>
      </c>
      <c r="L419">
        <f>SUMIFS('Besi Balok'!$AA$23:$AA$12292,'Besi Balok'!$A$23:$A$12292,$A419,'Besi Balok'!$B$23:$B$12292,$B419,'Besi Balok'!$F$23:$F$12292,'REKAP Balok'!L$12)</f>
        <v>0</v>
      </c>
      <c r="M419">
        <f>SUMIFS('Besi Balok'!$AA$23:$AA$12292,'Besi Balok'!$A$23:$A$12292,$A419,'Besi Balok'!$B$23:$B$12292,$B419,'Besi Balok'!$F$23:$F$12292,'REKAP Balok'!M$12)</f>
        <v>11.09265984</v>
      </c>
      <c r="N419">
        <f>SUMIFS('Besi Balok'!$AA$23:$AA$12292,'Besi Balok'!$A$23:$A$12292,$A419,'Besi Balok'!$B$23:$B$12292,$B419,'Besi Balok'!$F$23:$F$12292,'REKAP Balok'!N$12)</f>
        <v>0</v>
      </c>
      <c r="O419">
        <f>SUMIFS('Besi Balok'!$AA$23:$AA$12292,'Besi Balok'!$A$23:$A$12292,$A419,'Besi Balok'!$B$23:$B$12292,$B419,'Besi Balok'!$F$23:$F$12292,'REKAP Balok'!O$12)</f>
        <v>9.63535248</v>
      </c>
      <c r="P419">
        <f>SUMIFS('Besi Balok'!$AA$23:$AA$12292,'Besi Balok'!$A$23:$A$12292,$A419,'Besi Balok'!$B$23:$B$12292,$B419,'Besi Balok'!$F$23:$F$12292,'REKAP Balok'!P$12)</f>
        <v>0</v>
      </c>
      <c r="Q419">
        <f>SUMIFS('Besi Balok'!$AA$23:$AA$12292,'Besi Balok'!$A$23:$A$12292,$A419,'Besi Balok'!$B$23:$B$12292,$B419,'Besi Balok'!$F$23:$F$12292,'REKAP Balok'!Q$12)</f>
        <v>0</v>
      </c>
      <c r="R419">
        <f>SUMIFS('Besi Balok'!$AA$23:$AA$12292,'Besi Balok'!$A$23:$A$12292,$A419,'Besi Balok'!$B$23:$B$12292,$B419,'Besi Balok'!$F$23:$F$12292,'REKAP Balok'!R$12)</f>
        <v>0</v>
      </c>
      <c r="S419">
        <f>SUMIFS('Besi Balok'!$AA$23:$AA$12292,'Besi Balok'!$A$23:$A$12292,$A419,'Besi Balok'!$B$23:$B$12292,$B419,'Besi Balok'!$F$23:$F$12292,'REKAP Balok'!S$12)</f>
        <v>0</v>
      </c>
      <c r="T419">
        <f>SUMIFS('Besi Balok'!$AA$23:$AA$12292,'Besi Balok'!$A$23:$A$12292,$A419,'Besi Balok'!$B$23:$B$12292,$B419,'Besi Balok'!$F$23:$F$12292,'REKAP Balok'!T$12)</f>
        <v>0</v>
      </c>
      <c r="U419">
        <f>SUM(L419:T419)</f>
        <v>20.728012319999998</v>
      </c>
      <c r="V419">
        <f>(D419*(F419-H419)*G419*K419)/1000000000</f>
        <v>0.12</v>
      </c>
      <c r="W419">
        <f>(((F419-H419)*2+D419)*(G419)*K419)/1000000</f>
        <v>1.6</v>
      </c>
      <c r="AC419">
        <f>(D419+2*$F$5)*F419*G419/1000000000</f>
        <v>0.36</v>
      </c>
    </row>
    <row r="420">
      <c r="A420" t="str">
        <f>'Data Panjang Balok'!A417</f>
        <v>Lantai Atap</v>
      </c>
      <c r="B420">
        <f>'Data Panjang Balok'!B417</f>
        <v>62</v>
      </c>
      <c r="C420" t="str">
        <f>'Data Panjang Balok'!D417</f>
        <v>B24-1</v>
      </c>
      <c r="D420">
        <f>IF(C420&gt;0,VLOOKUP(C420,'Detail Balok'!$C$11:$AU$110,2,FALSE),0)</f>
        <v>200</v>
      </c>
      <c r="E420" t="str">
        <v>x</v>
      </c>
      <c r="F420">
        <f>IF(C420&gt;0,VLOOKUP(C420,'Detail Balok'!$C$11:$AU$110,3,FALSE),0)</f>
        <v>400</v>
      </c>
      <c r="G420">
        <f>'Data Panjang Balok'!I417</f>
        <v>2000</v>
      </c>
      <c r="H420">
        <f>'Data Panjang Balok'!J417</f>
        <v>150</v>
      </c>
      <c r="J420">
        <f>I420-F420/1000</f>
        <v>-0.4</v>
      </c>
      <c r="K420">
        <f>'Data Panjang Balok'!E417</f>
        <v>1</v>
      </c>
      <c r="L420">
        <f>SUMIFS('Besi Balok'!$AA$23:$AA$12292,'Besi Balok'!$A$23:$A$12292,$A420,'Besi Balok'!$B$23:$B$12292,$B420,'Besi Balok'!$F$23:$F$12292,'REKAP Balok'!L$12)</f>
        <v>0</v>
      </c>
      <c r="M420">
        <f>SUMIFS('Besi Balok'!$AA$23:$AA$12292,'Besi Balok'!$A$23:$A$12292,$A420,'Besi Balok'!$B$23:$B$12292,$B420,'Besi Balok'!$F$23:$F$12292,'REKAP Balok'!M$12)</f>
        <v>8.127936000000002</v>
      </c>
      <c r="N420">
        <f>SUMIFS('Besi Balok'!$AA$23:$AA$12292,'Besi Balok'!$A$23:$A$12292,$A420,'Besi Balok'!$B$23:$B$12292,$B420,'Besi Balok'!$F$23:$F$12292,'REKAP Balok'!N$12)</f>
        <v>0</v>
      </c>
      <c r="O420">
        <f>SUMIFS('Besi Balok'!$AA$23:$AA$12292,'Besi Balok'!$A$23:$A$12292,$A420,'Besi Balok'!$B$23:$B$12292,$B420,'Besi Balok'!$F$23:$F$12292,'REKAP Balok'!O$12)</f>
        <v>9.63535248</v>
      </c>
      <c r="P420">
        <f>SUMIFS('Besi Balok'!$AA$23:$AA$12292,'Besi Balok'!$A$23:$A$12292,$A420,'Besi Balok'!$B$23:$B$12292,$B420,'Besi Balok'!$F$23:$F$12292,'REKAP Balok'!P$12)</f>
        <v>0</v>
      </c>
      <c r="Q420">
        <f>SUMIFS('Besi Balok'!$AA$23:$AA$12292,'Besi Balok'!$A$23:$A$12292,$A420,'Besi Balok'!$B$23:$B$12292,$B420,'Besi Balok'!$F$23:$F$12292,'REKAP Balok'!Q$12)</f>
        <v>0</v>
      </c>
      <c r="R420">
        <f>SUMIFS('Besi Balok'!$AA$23:$AA$12292,'Besi Balok'!$A$23:$A$12292,$A420,'Besi Balok'!$B$23:$B$12292,$B420,'Besi Balok'!$F$23:$F$12292,'REKAP Balok'!R$12)</f>
        <v>0</v>
      </c>
      <c r="S420">
        <f>SUMIFS('Besi Balok'!$AA$23:$AA$12292,'Besi Balok'!$A$23:$A$12292,$A420,'Besi Balok'!$B$23:$B$12292,$B420,'Besi Balok'!$F$23:$F$12292,'REKAP Balok'!S$12)</f>
        <v>0</v>
      </c>
      <c r="T420">
        <f>SUMIFS('Besi Balok'!$AA$23:$AA$12292,'Besi Balok'!$A$23:$A$12292,$A420,'Besi Balok'!$B$23:$B$12292,$B420,'Besi Balok'!$F$23:$F$12292,'REKAP Balok'!T$12)</f>
        <v>0</v>
      </c>
      <c r="U420">
        <f>SUM(L420:T420)</f>
        <v>17.76328848</v>
      </c>
      <c r="V420">
        <f>(D420*(F420-H420)*G420*K420)/1000000000</f>
        <v>0.1</v>
      </c>
      <c r="W420">
        <f>(((F420-H420)*2+D420)*(G420)*K420)/1000000</f>
        <v>1.4</v>
      </c>
      <c r="AC420">
        <f>(D420+2*$F$5)*F420*G420/1000000000</f>
        <v>0.32</v>
      </c>
    </row>
    <row r="421">
      <c r="A421" t="str">
        <f>'Data Panjang Balok'!A418</f>
        <v>Lantai Atap</v>
      </c>
      <c r="B421">
        <f>'Data Panjang Balok'!B418</f>
        <v>63</v>
      </c>
      <c r="C421" t="str">
        <f>'Data Panjang Balok'!D418</f>
        <v>B173-1</v>
      </c>
      <c r="D421">
        <f>IF(C421&gt;0,VLOOKUP(C421,'Detail Balok'!$C$11:$AU$110,2,FALSE),0)</f>
        <v>170</v>
      </c>
      <c r="E421" t="str">
        <v>x</v>
      </c>
      <c r="F421">
        <f>IF(C421&gt;0,VLOOKUP(C421,'Detail Balok'!$C$11:$AU$110,3,FALSE),0)</f>
        <v>300</v>
      </c>
      <c r="G421">
        <f>'Data Panjang Balok'!I418</f>
        <v>2300</v>
      </c>
      <c r="H421">
        <f>'Data Panjang Balok'!J418</f>
        <v>0</v>
      </c>
      <c r="J421">
        <f>I421-F421/1000</f>
        <v>-0.3</v>
      </c>
      <c r="K421">
        <f>'Data Panjang Balok'!E418</f>
        <v>1</v>
      </c>
      <c r="L421">
        <f>SUMIFS('Besi Balok'!$AA$23:$AA$12292,'Besi Balok'!$A$23:$A$12292,$A421,'Besi Balok'!$B$23:$B$12292,$B421,'Besi Balok'!$F$23:$F$12292,'REKAP Balok'!L$12)</f>
        <v>0</v>
      </c>
      <c r="M421">
        <f>SUMIFS('Besi Balok'!$AA$23:$AA$12292,'Besi Balok'!$A$23:$A$12292,$A421,'Besi Balok'!$B$23:$B$12292,$B421,'Besi Balok'!$F$23:$F$12292,'REKAP Balok'!M$12)</f>
        <v>6.3800352</v>
      </c>
      <c r="N421">
        <f>SUMIFS('Besi Balok'!$AA$23:$AA$12292,'Besi Balok'!$A$23:$A$12292,$A421,'Besi Balok'!$B$23:$B$12292,$B421,'Besi Balok'!$F$23:$F$12292,'REKAP Balok'!N$12)</f>
        <v>0</v>
      </c>
      <c r="O421">
        <f>SUMIFS('Besi Balok'!$AA$23:$AA$12292,'Besi Balok'!$A$23:$A$12292,$A421,'Besi Balok'!$B$23:$B$12292,$B421,'Besi Balok'!$F$23:$F$12292,'REKAP Balok'!O$12)</f>
        <v>10.885614479999997</v>
      </c>
      <c r="P421">
        <f>SUMIFS('Besi Balok'!$AA$23:$AA$12292,'Besi Balok'!$A$23:$A$12292,$A421,'Besi Balok'!$B$23:$B$12292,$B421,'Besi Balok'!$F$23:$F$12292,'REKAP Balok'!P$12)</f>
        <v>0</v>
      </c>
      <c r="Q421">
        <f>SUMIFS('Besi Balok'!$AA$23:$AA$12292,'Besi Balok'!$A$23:$A$12292,$A421,'Besi Balok'!$B$23:$B$12292,$B421,'Besi Balok'!$F$23:$F$12292,'REKAP Balok'!Q$12)</f>
        <v>0</v>
      </c>
      <c r="R421">
        <f>SUMIFS('Besi Balok'!$AA$23:$AA$12292,'Besi Balok'!$A$23:$A$12292,$A421,'Besi Balok'!$B$23:$B$12292,$B421,'Besi Balok'!$F$23:$F$12292,'REKAP Balok'!R$12)</f>
        <v>0</v>
      </c>
      <c r="S421">
        <f>SUMIFS('Besi Balok'!$AA$23:$AA$12292,'Besi Balok'!$A$23:$A$12292,$A421,'Besi Balok'!$B$23:$B$12292,$B421,'Besi Balok'!$F$23:$F$12292,'REKAP Balok'!S$12)</f>
        <v>0</v>
      </c>
      <c r="T421">
        <f>SUMIFS('Besi Balok'!$AA$23:$AA$12292,'Besi Balok'!$A$23:$A$12292,$A421,'Besi Balok'!$B$23:$B$12292,$B421,'Besi Balok'!$F$23:$F$12292,'REKAP Balok'!T$12)</f>
        <v>0</v>
      </c>
      <c r="U421">
        <f>SUM(L421:T421)</f>
        <v>17.265649679999996</v>
      </c>
      <c r="V421">
        <f>(D421*(F421-H421)*G421*K421)/1000000000</f>
        <v>0.1173</v>
      </c>
      <c r="W421">
        <f>(((F421-H421)*2+D421)*(G421)*K421)/1000000</f>
        <v>1.771</v>
      </c>
      <c r="AC421">
        <f>(D421+2*$F$5)*F421*G421/1000000000</f>
        <v>0.2553</v>
      </c>
    </row>
    <row r="422">
      <c r="A422" t="str">
        <f>'Data Panjang Balok'!A419</f>
        <v>Lantai Atap</v>
      </c>
      <c r="B422">
        <f>'Data Panjang Balok'!B419</f>
        <v>64</v>
      </c>
      <c r="C422" t="str">
        <f>'Data Panjang Balok'!D419</f>
        <v>B175-1</v>
      </c>
      <c r="D422">
        <f>IF(C422&gt;0,VLOOKUP(C422,'Detail Balok'!$C$11:$AU$110,2,FALSE),0)</f>
        <v>170</v>
      </c>
      <c r="E422" t="str">
        <v>x</v>
      </c>
      <c r="F422">
        <f>IF(C422&gt;0,VLOOKUP(C422,'Detail Balok'!$C$11:$AU$110,3,FALSE),0)</f>
        <v>500</v>
      </c>
      <c r="G422">
        <f>'Data Panjang Balok'!I419</f>
        <v>8000</v>
      </c>
      <c r="H422">
        <f>'Data Panjang Balok'!J419</f>
        <v>0</v>
      </c>
      <c r="J422">
        <f>I422-F422/1000</f>
        <v>-0.5</v>
      </c>
      <c r="K422">
        <f>'Data Panjang Balok'!E419</f>
        <v>1</v>
      </c>
      <c r="L422">
        <f>SUMIFS('Besi Balok'!$AA$23:$AA$12292,'Besi Balok'!$A$23:$A$12292,$A422,'Besi Balok'!$B$23:$B$12292,$B422,'Besi Balok'!$F$23:$F$12292,'REKAP Balok'!L$12)</f>
        <v>0</v>
      </c>
      <c r="M422">
        <f>SUMIFS('Besi Balok'!$AA$23:$AA$12292,'Besi Balok'!$A$23:$A$12292,$A422,'Besi Balok'!$B$23:$B$12292,$B422,'Besi Balok'!$F$23:$F$12292,'REKAP Balok'!M$12)</f>
        <v>0</v>
      </c>
      <c r="N422">
        <f>SUMIFS('Besi Balok'!$AA$23:$AA$12292,'Besi Balok'!$A$23:$A$12292,$A422,'Besi Balok'!$B$23:$B$12292,$B422,'Besi Balok'!$F$23:$F$12292,'REKAP Balok'!N$12)</f>
        <v>62.09388</v>
      </c>
      <c r="O422">
        <f>SUMIFS('Besi Balok'!$AA$23:$AA$12292,'Besi Balok'!$A$23:$A$12292,$A422,'Besi Balok'!$B$23:$B$12292,$B422,'Besi Balok'!$F$23:$F$12292,'REKAP Balok'!O$12)</f>
        <v>34.64059248</v>
      </c>
      <c r="P422">
        <f>SUMIFS('Besi Balok'!$AA$23:$AA$12292,'Besi Balok'!$A$23:$A$12292,$A422,'Besi Balok'!$B$23:$B$12292,$B422,'Besi Balok'!$F$23:$F$12292,'REKAP Balok'!P$12)</f>
        <v>0</v>
      </c>
      <c r="Q422">
        <f>SUMIFS('Besi Balok'!$AA$23:$AA$12292,'Besi Balok'!$A$23:$A$12292,$A422,'Besi Balok'!$B$23:$B$12292,$B422,'Besi Balok'!$F$23:$F$12292,'REKAP Balok'!Q$12)</f>
        <v>0</v>
      </c>
      <c r="R422">
        <f>SUMIFS('Besi Balok'!$AA$23:$AA$12292,'Besi Balok'!$A$23:$A$12292,$A422,'Besi Balok'!$B$23:$B$12292,$B422,'Besi Balok'!$F$23:$F$12292,'REKAP Balok'!R$12)</f>
        <v>0</v>
      </c>
      <c r="S422">
        <f>SUMIFS('Besi Balok'!$AA$23:$AA$12292,'Besi Balok'!$A$23:$A$12292,$A422,'Besi Balok'!$B$23:$B$12292,$B422,'Besi Balok'!$F$23:$F$12292,'REKAP Balok'!S$12)</f>
        <v>0</v>
      </c>
      <c r="T422">
        <f>SUMIFS('Besi Balok'!$AA$23:$AA$12292,'Besi Balok'!$A$23:$A$12292,$A422,'Besi Balok'!$B$23:$B$12292,$B422,'Besi Balok'!$F$23:$F$12292,'REKAP Balok'!T$12)</f>
        <v>0</v>
      </c>
      <c r="U422">
        <f>SUM(L422:T422)</f>
        <v>96.73447248</v>
      </c>
      <c r="V422">
        <f>(D422*(F422-H422)*G422*K422)/1000000000</f>
        <v>0.68</v>
      </c>
      <c r="W422">
        <f>(((F422-H422)*2+D422)*(G422)*K422)/1000000</f>
        <v>9.36</v>
      </c>
      <c r="AC422">
        <f>(D422+2*$F$5)*F422*G422/1000000000</f>
        <v>1.48</v>
      </c>
    </row>
    <row r="423">
      <c r="A423" t="str">
        <f>'Data Panjang Balok'!A420</f>
        <v>Lantai Atap</v>
      </c>
      <c r="B423">
        <f>'Data Panjang Balok'!B420</f>
        <v>65</v>
      </c>
      <c r="C423" t="str">
        <f>'Data Panjang Balok'!D420</f>
        <v>B173-1</v>
      </c>
      <c r="D423">
        <f>IF(C423&gt;0,VLOOKUP(C423,'Detail Balok'!$C$11:$AU$110,2,FALSE),0)</f>
        <v>170</v>
      </c>
      <c r="E423" t="str">
        <v>x</v>
      </c>
      <c r="F423">
        <f>IF(C423&gt;0,VLOOKUP(C423,'Detail Balok'!$C$11:$AU$110,3,FALSE),0)</f>
        <v>300</v>
      </c>
      <c r="G423">
        <f>'Data Panjang Balok'!I420</f>
        <v>3000</v>
      </c>
      <c r="H423">
        <f>'Data Panjang Balok'!J420</f>
        <v>0</v>
      </c>
      <c r="J423">
        <f>I423-F423/1000</f>
        <v>-0.3</v>
      </c>
      <c r="K423">
        <f>'Data Panjang Balok'!E420</f>
        <v>1</v>
      </c>
      <c r="L423">
        <f>SUMIFS('Besi Balok'!$AA$23:$AA$12292,'Besi Balok'!$A$23:$A$12292,$A423,'Besi Balok'!$B$23:$B$12292,$B423,'Besi Balok'!$F$23:$F$12292,'REKAP Balok'!L$12)</f>
        <v>0</v>
      </c>
      <c r="M423">
        <f>SUMIFS('Besi Balok'!$AA$23:$AA$12292,'Besi Balok'!$A$23:$A$12292,$A423,'Besi Balok'!$B$23:$B$12292,$B423,'Besi Balok'!$F$23:$F$12292,'REKAP Balok'!M$12)</f>
        <v>8.5067136</v>
      </c>
      <c r="N423">
        <f>SUMIFS('Besi Balok'!$AA$23:$AA$12292,'Besi Balok'!$A$23:$A$12292,$A423,'Besi Balok'!$B$23:$B$12292,$B423,'Besi Balok'!$F$23:$F$12292,'REKAP Balok'!N$12)</f>
        <v>0</v>
      </c>
      <c r="O423">
        <f>SUMIFS('Besi Balok'!$AA$23:$AA$12292,'Besi Balok'!$A$23:$A$12292,$A423,'Besi Balok'!$B$23:$B$12292,$B423,'Besi Balok'!$F$23:$F$12292,'REKAP Balok'!O$12)</f>
        <v>13.80289248</v>
      </c>
      <c r="P423">
        <f>SUMIFS('Besi Balok'!$AA$23:$AA$12292,'Besi Balok'!$A$23:$A$12292,$A423,'Besi Balok'!$B$23:$B$12292,$B423,'Besi Balok'!$F$23:$F$12292,'REKAP Balok'!P$12)</f>
        <v>0</v>
      </c>
      <c r="Q423">
        <f>SUMIFS('Besi Balok'!$AA$23:$AA$12292,'Besi Balok'!$A$23:$A$12292,$A423,'Besi Balok'!$B$23:$B$12292,$B423,'Besi Balok'!$F$23:$F$12292,'REKAP Balok'!Q$12)</f>
        <v>0</v>
      </c>
      <c r="R423">
        <f>SUMIFS('Besi Balok'!$AA$23:$AA$12292,'Besi Balok'!$A$23:$A$12292,$A423,'Besi Balok'!$B$23:$B$12292,$B423,'Besi Balok'!$F$23:$F$12292,'REKAP Balok'!R$12)</f>
        <v>0</v>
      </c>
      <c r="S423">
        <f>SUMIFS('Besi Balok'!$AA$23:$AA$12292,'Besi Balok'!$A$23:$A$12292,$A423,'Besi Balok'!$B$23:$B$12292,$B423,'Besi Balok'!$F$23:$F$12292,'REKAP Balok'!S$12)</f>
        <v>0</v>
      </c>
      <c r="T423">
        <f>SUMIFS('Besi Balok'!$AA$23:$AA$12292,'Besi Balok'!$A$23:$A$12292,$A423,'Besi Balok'!$B$23:$B$12292,$B423,'Besi Balok'!$F$23:$F$12292,'REKAP Balok'!T$12)</f>
        <v>0</v>
      </c>
      <c r="U423">
        <f>SUM(L423:T423)</f>
        <v>22.309606080000002</v>
      </c>
      <c r="V423">
        <f>(D423*(F423-H423)*G423*K423)/1000000000</f>
        <v>0.153</v>
      </c>
      <c r="W423">
        <f>(((F423-H423)*2+D423)*(G423)*K423)/1000000</f>
        <v>2.31</v>
      </c>
      <c r="AC423">
        <f>(D423+2*$F$5)*F423*G423/1000000000</f>
        <v>0.333</v>
      </c>
    </row>
    <row r="424">
      <c r="A424" t="str">
        <f>'Data Panjang Balok'!A421</f>
        <v>Lantai Atap</v>
      </c>
      <c r="B424">
        <f>'Data Panjang Balok'!B421</f>
        <v>66</v>
      </c>
      <c r="C424" t="str">
        <f>'Data Panjang Balok'!D421</f>
        <v>B23-1</v>
      </c>
      <c r="D424">
        <f>IF(C424&gt;0,VLOOKUP(C424,'Detail Balok'!$C$11:$AU$110,2,FALSE),0)</f>
        <v>200</v>
      </c>
      <c r="E424" t="str">
        <v>x</v>
      </c>
      <c r="F424">
        <f>IF(C424&gt;0,VLOOKUP(C424,'Detail Balok'!$C$11:$AU$110,3,FALSE),0)</f>
        <v>300</v>
      </c>
      <c r="G424">
        <f>'Data Panjang Balok'!I421</f>
        <v>4800</v>
      </c>
      <c r="H424">
        <f>'Data Panjang Balok'!J421</f>
        <v>150</v>
      </c>
      <c r="J424">
        <f>I424-F424/1000</f>
        <v>-0.3</v>
      </c>
      <c r="K424">
        <f>'Data Panjang Balok'!E421</f>
        <v>1</v>
      </c>
      <c r="L424">
        <f>SUMIFS('Besi Balok'!$AA$23:$AA$12292,'Besi Balok'!$A$23:$A$12292,$A424,'Besi Balok'!$B$23:$B$12292,$B424,'Besi Balok'!$F$23:$F$12292,'REKAP Balok'!L$12)</f>
        <v>0</v>
      </c>
      <c r="M424">
        <f>SUMIFS('Besi Balok'!$AA$23:$AA$12292,'Besi Balok'!$A$23:$A$12292,$A424,'Besi Balok'!$B$23:$B$12292,$B424,'Besi Balok'!$F$23:$F$12292,'REKAP Balok'!M$12)</f>
        <v>13.754361600000001</v>
      </c>
      <c r="N424">
        <f>SUMIFS('Besi Balok'!$AA$23:$AA$12292,'Besi Balok'!$A$23:$A$12292,$A424,'Besi Balok'!$B$23:$B$12292,$B424,'Besi Balok'!$F$23:$F$12292,'REKAP Balok'!N$12)</f>
        <v>0</v>
      </c>
      <c r="O424">
        <f>SUMIFS('Besi Balok'!$AA$23:$AA$12292,'Besi Balok'!$A$23:$A$12292,$A424,'Besi Balok'!$B$23:$B$12292,$B424,'Besi Balok'!$F$23:$F$12292,'REKAP Balok'!O$12)</f>
        <v>21.30446448</v>
      </c>
      <c r="P424">
        <f>SUMIFS('Besi Balok'!$AA$23:$AA$12292,'Besi Balok'!$A$23:$A$12292,$A424,'Besi Balok'!$B$23:$B$12292,$B424,'Besi Balok'!$F$23:$F$12292,'REKAP Balok'!P$12)</f>
        <v>0</v>
      </c>
      <c r="Q424">
        <f>SUMIFS('Besi Balok'!$AA$23:$AA$12292,'Besi Balok'!$A$23:$A$12292,$A424,'Besi Balok'!$B$23:$B$12292,$B424,'Besi Balok'!$F$23:$F$12292,'REKAP Balok'!Q$12)</f>
        <v>0</v>
      </c>
      <c r="R424">
        <f>SUMIFS('Besi Balok'!$AA$23:$AA$12292,'Besi Balok'!$A$23:$A$12292,$A424,'Besi Balok'!$B$23:$B$12292,$B424,'Besi Balok'!$F$23:$F$12292,'REKAP Balok'!R$12)</f>
        <v>0</v>
      </c>
      <c r="S424">
        <f>SUMIFS('Besi Balok'!$AA$23:$AA$12292,'Besi Balok'!$A$23:$A$12292,$A424,'Besi Balok'!$B$23:$B$12292,$B424,'Besi Balok'!$F$23:$F$12292,'REKAP Balok'!S$12)</f>
        <v>0</v>
      </c>
      <c r="T424">
        <f>SUMIFS('Besi Balok'!$AA$23:$AA$12292,'Besi Balok'!$A$23:$A$12292,$A424,'Besi Balok'!$B$23:$B$12292,$B424,'Besi Balok'!$F$23:$F$12292,'REKAP Balok'!T$12)</f>
        <v>0</v>
      </c>
      <c r="U424">
        <f>SUM(L424:T424)</f>
        <v>35.05882608</v>
      </c>
      <c r="V424">
        <f>(D424*(F424-H424)*G424*K424)/1000000000</f>
        <v>0.144</v>
      </c>
      <c r="W424">
        <f>(((F424-H424)*2+D424)*(G424)*K424)/1000000</f>
        <v>2.4</v>
      </c>
      <c r="AC424">
        <f>(D424+2*$F$5)*F424*G424/1000000000</f>
        <v>0.576</v>
      </c>
    </row>
    <row r="425">
      <c r="A425" t="str">
        <f>'Data Panjang Balok'!A422</f>
        <v>Lantai Atap</v>
      </c>
      <c r="B425">
        <f>'Data Panjang Balok'!B422</f>
        <v>67</v>
      </c>
      <c r="C425" t="str">
        <f>'Data Panjang Balok'!D422</f>
        <v>B174-1</v>
      </c>
      <c r="D425">
        <f>IF(C425&gt;0,VLOOKUP(C425,'Detail Balok'!$C$11:$AU$110,2,FALSE),0)</f>
        <v>170</v>
      </c>
      <c r="E425" t="str">
        <v>x</v>
      </c>
      <c r="F425">
        <f>IF(C425&gt;0,VLOOKUP(C425,'Detail Balok'!$C$11:$AU$110,3,FALSE),0)</f>
        <v>400</v>
      </c>
      <c r="G425">
        <f>'Data Panjang Balok'!I422</f>
        <v>3200</v>
      </c>
      <c r="H425">
        <f>'Data Panjang Balok'!J422</f>
        <v>150</v>
      </c>
      <c r="J425">
        <f>I425-F425/1000</f>
        <v>-0.4</v>
      </c>
      <c r="K425">
        <f>'Data Panjang Balok'!E422</f>
        <v>1</v>
      </c>
      <c r="L425">
        <f>SUMIFS('Besi Balok'!$AA$23:$AA$12292,'Besi Balok'!$A$23:$A$12292,$A425,'Besi Balok'!$B$23:$B$12292,$B425,'Besi Balok'!$F$23:$F$12292,'REKAP Balok'!L$12)</f>
        <v>0</v>
      </c>
      <c r="M425">
        <f>SUMIFS('Besi Balok'!$AA$23:$AA$12292,'Besi Balok'!$A$23:$A$12292,$A425,'Besi Balok'!$B$23:$B$12292,$B425,'Besi Balok'!$F$23:$F$12292,'REKAP Balok'!M$12)</f>
        <v>0</v>
      </c>
      <c r="N425">
        <f>SUMIFS('Besi Balok'!$AA$23:$AA$12292,'Besi Balok'!$A$23:$A$12292,$A425,'Besi Balok'!$B$23:$B$12292,$B425,'Besi Balok'!$F$23:$F$12292,'REKAP Balok'!N$12)</f>
        <v>15.548129999999999</v>
      </c>
      <c r="O425">
        <f>SUMIFS('Besi Balok'!$AA$23:$AA$12292,'Besi Balok'!$A$23:$A$12292,$A425,'Besi Balok'!$B$23:$B$12292,$B425,'Besi Balok'!$F$23:$F$12292,'REKAP Balok'!O$12)</f>
        <v>14.636400479999999</v>
      </c>
      <c r="P425">
        <f>SUMIFS('Besi Balok'!$AA$23:$AA$12292,'Besi Balok'!$A$23:$A$12292,$A425,'Besi Balok'!$B$23:$B$12292,$B425,'Besi Balok'!$F$23:$F$12292,'REKAP Balok'!P$12)</f>
        <v>0</v>
      </c>
      <c r="Q425">
        <f>SUMIFS('Besi Balok'!$AA$23:$AA$12292,'Besi Balok'!$A$23:$A$12292,$A425,'Besi Balok'!$B$23:$B$12292,$B425,'Besi Balok'!$F$23:$F$12292,'REKAP Balok'!Q$12)</f>
        <v>0</v>
      </c>
      <c r="R425">
        <f>SUMIFS('Besi Balok'!$AA$23:$AA$12292,'Besi Balok'!$A$23:$A$12292,$A425,'Besi Balok'!$B$23:$B$12292,$B425,'Besi Balok'!$F$23:$F$12292,'REKAP Balok'!R$12)</f>
        <v>0</v>
      </c>
      <c r="S425">
        <f>SUMIFS('Besi Balok'!$AA$23:$AA$12292,'Besi Balok'!$A$23:$A$12292,$A425,'Besi Balok'!$B$23:$B$12292,$B425,'Besi Balok'!$F$23:$F$12292,'REKAP Balok'!S$12)</f>
        <v>0</v>
      </c>
      <c r="T425">
        <f>SUMIFS('Besi Balok'!$AA$23:$AA$12292,'Besi Balok'!$A$23:$A$12292,$A425,'Besi Balok'!$B$23:$B$12292,$B425,'Besi Balok'!$F$23:$F$12292,'REKAP Balok'!T$12)</f>
        <v>0</v>
      </c>
      <c r="U425">
        <f>SUM(L425:T425)</f>
        <v>30.18453048</v>
      </c>
      <c r="V425">
        <f>(D425*(F425-H425)*G425*K425)/1000000000</f>
        <v>0.136</v>
      </c>
      <c r="W425">
        <f>(((F425-H425)*2+D425)*(G425)*K425)/1000000</f>
        <v>2.144</v>
      </c>
      <c r="AC425">
        <f>(D425+2*$F$5)*F425*G425/1000000000</f>
        <v>0.4736</v>
      </c>
    </row>
    <row r="426">
      <c r="A426" t="str">
        <f>'Data Panjang Balok'!A423</f>
        <v>Lantai Atap</v>
      </c>
      <c r="B426">
        <f>'Data Panjang Balok'!B423</f>
        <v>68</v>
      </c>
      <c r="C426" t="str">
        <f>'Data Panjang Balok'!D423</f>
        <v>B24-1</v>
      </c>
      <c r="D426">
        <f>IF(C426&gt;0,VLOOKUP(C426,'Detail Balok'!$C$11:$AU$110,2,FALSE),0)</f>
        <v>200</v>
      </c>
      <c r="E426" t="str">
        <v>x</v>
      </c>
      <c r="F426">
        <f>IF(C426&gt;0,VLOOKUP(C426,'Detail Balok'!$C$11:$AU$110,3,FALSE),0)</f>
        <v>400</v>
      </c>
      <c r="G426">
        <f>'Data Panjang Balok'!I423</f>
        <v>2170</v>
      </c>
      <c r="H426">
        <f>'Data Panjang Balok'!J423</f>
        <v>150</v>
      </c>
      <c r="J426">
        <f>I426-F426/1000</f>
        <v>-0.4</v>
      </c>
      <c r="K426">
        <f>'Data Panjang Balok'!E423</f>
        <v>1</v>
      </c>
      <c r="L426">
        <f>SUMIFS('Besi Balok'!$AA$23:$AA$12292,'Besi Balok'!$A$23:$A$12292,$A426,'Besi Balok'!$B$23:$B$12292,$B426,'Besi Balok'!$F$23:$F$12292,'REKAP Balok'!L$12)</f>
        <v>0</v>
      </c>
      <c r="M426">
        <f>SUMIFS('Besi Balok'!$AA$23:$AA$12292,'Besi Balok'!$A$23:$A$12292,$A426,'Besi Balok'!$B$23:$B$12292,$B426,'Besi Balok'!$F$23:$F$12292,'REKAP Balok'!M$12)</f>
        <v>8.534332800000001</v>
      </c>
      <c r="N426">
        <f>SUMIFS('Besi Balok'!$AA$23:$AA$12292,'Besi Balok'!$A$23:$A$12292,$A426,'Besi Balok'!$B$23:$B$12292,$B426,'Besi Balok'!$F$23:$F$12292,'REKAP Balok'!N$12)</f>
        <v>0</v>
      </c>
      <c r="O426">
        <f>SUMIFS('Besi Balok'!$AA$23:$AA$12292,'Besi Balok'!$A$23:$A$12292,$A426,'Besi Balok'!$B$23:$B$12292,$B426,'Besi Balok'!$F$23:$F$12292,'REKAP Balok'!O$12)</f>
        <v>10.343834280000001</v>
      </c>
      <c r="P426">
        <f>SUMIFS('Besi Balok'!$AA$23:$AA$12292,'Besi Balok'!$A$23:$A$12292,$A426,'Besi Balok'!$B$23:$B$12292,$B426,'Besi Balok'!$F$23:$F$12292,'REKAP Balok'!P$12)</f>
        <v>0</v>
      </c>
      <c r="Q426">
        <f>SUMIFS('Besi Balok'!$AA$23:$AA$12292,'Besi Balok'!$A$23:$A$12292,$A426,'Besi Balok'!$B$23:$B$12292,$B426,'Besi Balok'!$F$23:$F$12292,'REKAP Balok'!Q$12)</f>
        <v>0</v>
      </c>
      <c r="R426">
        <f>SUMIFS('Besi Balok'!$AA$23:$AA$12292,'Besi Balok'!$A$23:$A$12292,$A426,'Besi Balok'!$B$23:$B$12292,$B426,'Besi Balok'!$F$23:$F$12292,'REKAP Balok'!R$12)</f>
        <v>0</v>
      </c>
      <c r="S426">
        <f>SUMIFS('Besi Balok'!$AA$23:$AA$12292,'Besi Balok'!$A$23:$A$12292,$A426,'Besi Balok'!$B$23:$B$12292,$B426,'Besi Balok'!$F$23:$F$12292,'REKAP Balok'!S$12)</f>
        <v>0</v>
      </c>
      <c r="T426">
        <f>SUMIFS('Besi Balok'!$AA$23:$AA$12292,'Besi Balok'!$A$23:$A$12292,$A426,'Besi Balok'!$B$23:$B$12292,$B426,'Besi Balok'!$F$23:$F$12292,'REKAP Balok'!T$12)</f>
        <v>0</v>
      </c>
      <c r="U426">
        <f>SUM(L426:T426)</f>
        <v>18.878167080000004</v>
      </c>
      <c r="V426">
        <f>(D426*(F426-H426)*G426*K426)/1000000000</f>
        <v>0.1085</v>
      </c>
      <c r="W426">
        <f>(((F426-H426)*2+D426)*(G426)*K426)/1000000</f>
        <v>1.519</v>
      </c>
      <c r="AC426">
        <f>(D426+2*$F$5)*F426*G426/1000000000</f>
        <v>0.3472</v>
      </c>
    </row>
    <row r="428">
      <c r="L428">
        <f>SUM(L14:L426)</f>
        <v>0</v>
      </c>
      <c r="M428">
        <f>SUM(M14:M426)</f>
        <v>3157.1898923519993</v>
      </c>
      <c r="N428">
        <f>SUM(N14:N426)</f>
        <v>7348.901939999998</v>
      </c>
      <c r="O428">
        <f>SUM(O14:O426)</f>
        <v>7018.912105686003</v>
      </c>
      <c r="P428">
        <f>SUM(P14:P426)</f>
        <v>8619.975204480003</v>
      </c>
      <c r="Q428">
        <f>SUM(Q14:Q426)</f>
        <v>3210.9327909675003</v>
      </c>
      <c r="R428">
        <f>SUM(R14:R426)</f>
        <v>6781.5081377999995</v>
      </c>
      <c r="S428">
        <f>SUM(S14:S426)</f>
        <v>0</v>
      </c>
      <c r="T428">
        <f>SUM(T14:T426)</f>
        <v>0</v>
      </c>
      <c r="U428">
        <f>SUM(L428:T428)</f>
        <v>36137.4200712855</v>
      </c>
      <c r="V428">
        <f>SUM(V13:V426)</f>
        <v>166.4647440000002</v>
      </c>
      <c r="W428">
        <f>SUM(W13:W426)</f>
        <v>1323.4377</v>
      </c>
      <c r="X428">
        <f>SUM(X13:X426)</f>
        <v>333.15500000000003</v>
      </c>
      <c r="Y428">
        <f>SUM(Y13:Y426)</f>
        <v>9.487299999999998</v>
      </c>
      <c r="Z428">
        <f>SUM(Z13:Z426)</f>
        <v>240.40039999999996</v>
      </c>
    </row>
    <row r="429">
      <c r="K429" t="str">
        <v>CEK</v>
      </c>
      <c r="L429">
        <f>L428-SUM('Besi Balok'!H12303:J12303)</f>
        <v>0</v>
      </c>
      <c r="M429">
        <f>M428-SUM('Besi Balok'!H12304:J12304)</f>
        <v>0</v>
      </c>
      <c r="N429">
        <f>N428-SUM('Besi Balok'!H12305:J12305)</f>
        <v>0</v>
      </c>
      <c r="O429">
        <f>O428-SUM('Besi Balok'!H12307:J12307)</f>
        <v>1.9099388737231493e-11</v>
      </c>
      <c r="P429">
        <f>P428-SUM('Besi Balok'!H12308:J12308)</f>
        <v>0</v>
      </c>
      <c r="Q429">
        <f>Q428-SUM('Besi Balok'!H12309:J12309)</f>
        <v>0</v>
      </c>
      <c r="R429">
        <f>R428-SUM('Besi Balok'!H12310:J12310)</f>
        <v>0</v>
      </c>
      <c r="S429">
        <f>S428-SUM('Besi Balok'!H12311:J12311)</f>
        <v>0</v>
      </c>
      <c r="T429">
        <f>T428-SUM('Besi Balok'!H12312:J12312)</f>
        <v>0</v>
      </c>
      <c r="U429">
        <f>U428-SUM(U13:U426)</f>
        <v>0</v>
      </c>
    </row>
    <row r="430">
      <c r="T430" t="str">
        <v>rasio</v>
      </c>
      <c r="U430">
        <f>U428/V428</f>
        <v>217.0875297851986</v>
      </c>
      <c r="V430">
        <f>U428-SUM('Besi Balok'!H12314:J12314)</f>
        <v>0</v>
      </c>
    </row>
    <row r="431">
      <c r="C431" t="str">
        <v>REKAP BERDASARKAN TIPE BALOK</v>
      </c>
    </row>
    <row r="432">
      <c r="G432" t="str">
        <v>Beton</v>
      </c>
      <c r="H432" t="str">
        <v>Bekisting Kayu</v>
      </c>
      <c r="I432" t="str">
        <v>Bekisting Batako</v>
      </c>
      <c r="J432" t="str">
        <v>Lantai Kerja</v>
      </c>
      <c r="K432" t="str">
        <v>Galian</v>
      </c>
      <c r="L432" t="str">
        <v>Besi</v>
      </c>
      <c r="U432" t="str">
        <v>TOTAL BESI</v>
      </c>
      <c r="W432" t="str">
        <v>RASIO (TOTAL)</v>
      </c>
    </row>
    <row r="433">
      <c r="L433">
        <v>6</v>
      </c>
      <c r="M433">
        <v>8</v>
      </c>
      <c r="N433">
        <v>10</v>
      </c>
      <c r="O433">
        <v>13</v>
      </c>
      <c r="P433">
        <v>16</v>
      </c>
      <c r="Q433">
        <v>19</v>
      </c>
      <c r="R433">
        <v>22</v>
      </c>
      <c r="S433">
        <v>25</v>
      </c>
      <c r="T433">
        <v>29</v>
      </c>
      <c r="W433" t="str">
        <v>BEKISTING</v>
      </c>
      <c r="X433" t="str">
        <v>BESI</v>
      </c>
    </row>
    <row r="435">
      <c r="C435" t="str">
        <v>Sloof</v>
      </c>
      <c r="D435" t="str">
        <v>TB23-1</v>
      </c>
      <c r="G435">
        <f>SUMIFS($V$13:$V$429,$A$13:$A$429,$C435,$C$13:$C$429,$D435)</f>
        <v>0.7185000000000001</v>
      </c>
      <c r="H435">
        <f>SUMIFS($W$13:$W$429,$A$13:$A$429,$C435,$C$13:$C$429,$D435)</f>
        <v>0</v>
      </c>
      <c r="I435">
        <f>SUMIFS($X$13:$X$429,$A$13:$A$429,$C435,$C$13:$C$429,$D435)</f>
        <v>7.185</v>
      </c>
      <c r="J435">
        <f>SUMIFS($Y$13:$Y$429,$A$13:$A$429,$C435,$C$13:$C$429,$D435)</f>
        <v>0.2998</v>
      </c>
      <c r="K435">
        <f>SUMIFS($Z$13:$Z$429,$A$13:$A$429,$C435,$C$13:$C$429,$D435)</f>
        <v>5.2465</v>
      </c>
      <c r="L435">
        <f>SUMIFS(L$13:L$429,$A$13:$A$429,$C435,$C$13:$C$429,$D435)</f>
        <v>0</v>
      </c>
      <c r="M435">
        <f>SUMIFS(M$13:M$429,$A$13:$A$429,$C435,$C$13:$C$429,$D435)</f>
        <v>35.368358400000005</v>
      </c>
      <c r="N435">
        <f>SUMIFS(N$13:N$429,$A$13:$A$429,$C435,$C$13:$C$429,$D435)</f>
        <v>0</v>
      </c>
      <c r="O435">
        <f>SUMIFS(O$13:O$429,$A$13:$A$429,$C435,$C$13:$C$429,$D435)</f>
        <v>67.67251452</v>
      </c>
      <c r="P435">
        <f>SUMIFS(P$13:P$429,$A$13:$A$429,$C435,$C$13:$C$429,$D435)</f>
        <v>0</v>
      </c>
      <c r="Q435">
        <f>SUMIFS(Q$13:Q$429,$A$13:$A$429,$C435,$C$13:$C$429,$D435)</f>
        <v>0</v>
      </c>
      <c r="R435">
        <f>SUMIFS(R$13:R$429,$A$13:$A$429,$C435,$C$13:$C$429,$D435)</f>
        <v>0</v>
      </c>
      <c r="S435">
        <f>SUMIFS(S$13:S$429,$A$13:$A$429,$C435,$C$13:$C$429,$D435)</f>
        <v>0</v>
      </c>
      <c r="T435">
        <f>SUMIFS(T$13:T$429,$A$13:$A$429,$C435,$C$13:$C$429,$D435)</f>
        <v>0</v>
      </c>
      <c r="U435">
        <f>SUM(L435:T435)</f>
        <v>103.04087292</v>
      </c>
      <c r="W435">
        <f>IF(SUM(H435:I435)&gt;0,SUM(H435:I435)/G435,0)</f>
        <v>9.999999999999998</v>
      </c>
      <c r="X435">
        <f>IF(G435&gt;0,U435/G435,0)</f>
        <v>143.41109661795403</v>
      </c>
    </row>
    <row r="436">
      <c r="C436" t="str">
        <v>Sloof</v>
      </c>
      <c r="D436" t="str">
        <v>TB24-1</v>
      </c>
      <c r="G436">
        <f>SUMIFS($V$13:$V$429,$A$13:$A$429,$C436,$C$13:$C$429,$D436)</f>
        <v>1.13005</v>
      </c>
      <c r="H436">
        <f>SUMIFS($W$13:$W$429,$A$13:$A$429,$C436,$C$13:$C$429,$D436)</f>
        <v>0</v>
      </c>
      <c r="I436">
        <f>SUMIFS($X$13:$X$429,$A$13:$A$429,$C436,$C$13:$C$429,$D436)</f>
        <v>11.3005</v>
      </c>
      <c r="J436">
        <f>SUMIFS($Y$13:$Y$429,$A$13:$A$429,$C436,$C$13:$C$429,$D436)</f>
        <v>0.3139</v>
      </c>
      <c r="K436">
        <f>SUMIFS($Z$13:$Z$429,$A$13:$A$429,$C436,$C$13:$C$429,$D436)</f>
        <v>7.062749999999999</v>
      </c>
      <c r="L436">
        <f>SUMIFS(L$13:L$429,$A$13:$A$429,$C436,$C$13:$C$429,$D436)</f>
        <v>0</v>
      </c>
      <c r="M436">
        <f>SUMIFS(M$13:M$429,$A$13:$A$429,$C436,$C$13:$C$429,$D436)</f>
        <v>36.16931520000001</v>
      </c>
      <c r="N436">
        <f>SUMIFS(N$13:N$429,$A$13:$A$429,$C436,$C$13:$C$429,$D436)</f>
        <v>0</v>
      </c>
      <c r="O436">
        <f>SUMIFS(O$13:O$429,$A$13:$A$429,$C436,$C$13:$C$429,$D436)</f>
        <v>71.9109027</v>
      </c>
      <c r="P436">
        <f>SUMIFS(P$13:P$429,$A$13:$A$429,$C436,$C$13:$C$429,$D436)</f>
        <v>0</v>
      </c>
      <c r="Q436">
        <f>SUMIFS(Q$13:Q$429,$A$13:$A$429,$C436,$C$13:$C$429,$D436)</f>
        <v>0</v>
      </c>
      <c r="R436">
        <f>SUMIFS(R$13:R$429,$A$13:$A$429,$C436,$C$13:$C$429,$D436)</f>
        <v>0</v>
      </c>
      <c r="S436">
        <f>SUMIFS(S$13:S$429,$A$13:$A$429,$C436,$C$13:$C$429,$D436)</f>
        <v>0</v>
      </c>
      <c r="T436">
        <f>SUMIFS(T$13:T$429,$A$13:$A$429,$C436,$C$13:$C$429,$D436)</f>
        <v>0</v>
      </c>
      <c r="U436">
        <f>SUM(L436:T436)</f>
        <v>108.08021790000001</v>
      </c>
      <c r="W436">
        <f>IF(SUM(H436:I436)&gt;0,SUM(H436:I436)/G436,0)</f>
        <v>10</v>
      </c>
      <c r="X436">
        <f>IF(G436&gt;0,U436/G436,0)</f>
        <v>95.64197858501836</v>
      </c>
    </row>
    <row r="437">
      <c r="C437" t="str">
        <v>Sloof</v>
      </c>
      <c r="D437" t="str">
        <v>TB24-2</v>
      </c>
      <c r="G437">
        <f>SUMIFS($V$13:$V$429,$A$13:$A$429,$C437,$C$13:$C$429,$D437)</f>
        <v>1.3669499999999999</v>
      </c>
      <c r="H437">
        <f>SUMIFS($W$13:$W$429,$A$13:$A$429,$C437,$C$13:$C$429,$D437)</f>
        <v>0</v>
      </c>
      <c r="I437">
        <f>SUMIFS($X$13:$X$429,$A$13:$A$429,$C437,$C$13:$C$429,$D437)</f>
        <v>13.6695</v>
      </c>
      <c r="J437">
        <f>SUMIFS($Y$13:$Y$429,$A$13:$A$429,$C437,$C$13:$C$429,$D437)</f>
        <v>0.43139999999999995</v>
      </c>
      <c r="K437">
        <f>SUMIFS($Z$13:$Z$429,$A$13:$A$429,$C437,$C$13:$C$429,$D437)</f>
        <v>9.7065</v>
      </c>
      <c r="L437">
        <f>SUMIFS(L$13:L$429,$A$13:$A$429,$C437,$C$13:$C$429,$D437)</f>
        <v>0</v>
      </c>
      <c r="M437">
        <f>SUMIFS(M$13:M$429,$A$13:$A$429,$C437,$C$13:$C$429,$D437)</f>
        <v>54.457171200000005</v>
      </c>
      <c r="N437">
        <f>SUMIFS(N$13:N$429,$A$13:$A$429,$C437,$C$13:$C$429,$D437)</f>
        <v>0</v>
      </c>
      <c r="O437">
        <f>SUMIFS(O$13:O$429,$A$13:$A$429,$C437,$C$13:$C$429,$D437)</f>
        <v>150.2814924</v>
      </c>
      <c r="P437">
        <f>SUMIFS(P$13:P$429,$A$13:$A$429,$C437,$C$13:$C$429,$D437)</f>
        <v>0</v>
      </c>
      <c r="Q437">
        <f>SUMIFS(Q$13:Q$429,$A$13:$A$429,$C437,$C$13:$C$429,$D437)</f>
        <v>0</v>
      </c>
      <c r="R437">
        <f>SUMIFS(R$13:R$429,$A$13:$A$429,$C437,$C$13:$C$429,$D437)</f>
        <v>0</v>
      </c>
      <c r="S437">
        <f>SUMIFS(S$13:S$429,$A$13:$A$429,$C437,$C$13:$C$429,$D437)</f>
        <v>0</v>
      </c>
      <c r="T437">
        <f>SUMIFS(T$13:T$429,$A$13:$A$429,$C437,$C$13:$C$429,$D437)</f>
        <v>0</v>
      </c>
      <c r="U437">
        <f>SUM(L437:T437)</f>
        <v>204.7386636</v>
      </c>
      <c r="W437">
        <f>IF(SUM(H437:I437)&gt;0,SUM(H437:I437)/G437,0)</f>
        <v>10</v>
      </c>
      <c r="X437">
        <f>IF(G437&gt;0,U437/G437,0)</f>
        <v>149.77772676396359</v>
      </c>
    </row>
    <row r="438">
      <c r="C438" t="str">
        <v>Sloof</v>
      </c>
      <c r="D438" t="str">
        <v>TB245-1</v>
      </c>
      <c r="G438">
        <f>SUMIFS($V$13:$V$429,$A$13:$A$429,$C438,$C$13:$C$429,$D438)</f>
        <v>7.9925999999999995</v>
      </c>
      <c r="H438">
        <f>SUMIFS($W$13:$W$429,$A$13:$A$429,$C438,$C$13:$C$429,$D438)</f>
        <v>0</v>
      </c>
      <c r="I438">
        <f>SUMIFS($X$13:$X$429,$A$13:$A$429,$C438,$C$13:$C$429,$D438)</f>
        <v>79.926</v>
      </c>
      <c r="J438">
        <f>SUMIFS($Y$13:$Y$429,$A$13:$A$429,$C438,$C$13:$C$429,$D438)</f>
        <v>2.1860999999999997</v>
      </c>
      <c r="K438">
        <f>SUMIFS($Z$13:$Z$429,$A$13:$A$429,$C438,$C$13:$C$429,$D438)</f>
        <v>54.6525</v>
      </c>
      <c r="L438">
        <f>SUMIFS(L$13:L$429,$A$13:$A$429,$C438,$C$13:$C$429,$D438)</f>
        <v>0</v>
      </c>
      <c r="M438">
        <f>SUMIFS(M$13:M$429,$A$13:$A$429,$C438,$C$13:$C$429,$D438)</f>
        <v>359.7748012800001</v>
      </c>
      <c r="N438">
        <f>SUMIFS(N$13:N$429,$A$13:$A$429,$C438,$C$13:$C$429,$D438)</f>
        <v>0</v>
      </c>
      <c r="O438">
        <f>SUMIFS(O$13:O$429,$A$13:$A$429,$C438,$C$13:$C$429,$D438)</f>
        <v>726.20843139</v>
      </c>
      <c r="P438">
        <f>SUMIFS(P$13:P$429,$A$13:$A$429,$C438,$C$13:$C$429,$D438)</f>
        <v>0</v>
      </c>
      <c r="Q438">
        <f>SUMIFS(Q$13:Q$429,$A$13:$A$429,$C438,$C$13:$C$429,$D438)</f>
        <v>0</v>
      </c>
      <c r="R438">
        <f>SUMIFS(R$13:R$429,$A$13:$A$429,$C438,$C$13:$C$429,$D438)</f>
        <v>0</v>
      </c>
      <c r="S438">
        <f>SUMIFS(S$13:S$429,$A$13:$A$429,$C438,$C$13:$C$429,$D438)</f>
        <v>0</v>
      </c>
      <c r="T438">
        <f>SUMIFS(T$13:T$429,$A$13:$A$429,$C438,$C$13:$C$429,$D438)</f>
        <v>0</v>
      </c>
      <c r="U438">
        <f>SUM(L438:T438)</f>
        <v>1085.98323267</v>
      </c>
      <c r="W438">
        <f>IF(SUM(H438:I438)&gt;0,SUM(H438:I438)/G438,0)</f>
        <v>10.000000000000002</v>
      </c>
      <c r="X438">
        <f>IF(G438&gt;0,U438/G438,0)</f>
        <v>135.87358715186548</v>
      </c>
    </row>
    <row r="439">
      <c r="C439" t="str">
        <v>Sloof</v>
      </c>
      <c r="D439" t="str">
        <v>TB245-2</v>
      </c>
      <c r="G439">
        <f>SUMIFS($V$13:$V$429,$A$13:$A$429,$C439,$C$13:$C$429,$D439)</f>
        <v>6.395099999999999</v>
      </c>
      <c r="H439">
        <f>SUMIFS($W$13:$W$429,$A$13:$A$429,$C439,$C$13:$C$429,$D439)</f>
        <v>0</v>
      </c>
      <c r="I439">
        <f>SUMIFS($X$13:$X$429,$A$13:$A$429,$C439,$C$13:$C$429,$D439)</f>
        <v>63.951</v>
      </c>
      <c r="J439">
        <f>SUMIFS($Y$13:$Y$429,$A$13:$A$429,$C439,$C$13:$C$429,$D439)</f>
        <v>1.7768</v>
      </c>
      <c r="K439">
        <f>SUMIFS($Z$13:$Z$429,$A$13:$A$429,$C439,$C$13:$C$429,$D439)</f>
        <v>44.42</v>
      </c>
      <c r="L439">
        <f>SUMIFS(L$13:L$429,$A$13:$A$429,$C439,$C$13:$C$429,$D439)</f>
        <v>0</v>
      </c>
      <c r="M439">
        <f>SUMIFS(M$13:M$429,$A$13:$A$429,$C439,$C$13:$C$429,$D439)</f>
        <v>375.11261107199994</v>
      </c>
      <c r="N439">
        <f>SUMIFS(N$13:N$429,$A$13:$A$429,$C439,$C$13:$C$429,$D439)</f>
        <v>0</v>
      </c>
      <c r="O439">
        <f>SUMIFS(O$13:O$429,$A$13:$A$429,$C439,$C$13:$C$429,$D439)</f>
        <v>699.128381601</v>
      </c>
      <c r="P439">
        <f>SUMIFS(P$13:P$429,$A$13:$A$429,$C439,$C$13:$C$429,$D439)</f>
        <v>0</v>
      </c>
      <c r="Q439">
        <f>SUMIFS(Q$13:Q$429,$A$13:$A$429,$C439,$C$13:$C$429,$D439)</f>
        <v>0</v>
      </c>
      <c r="R439">
        <f>SUMIFS(R$13:R$429,$A$13:$A$429,$C439,$C$13:$C$429,$D439)</f>
        <v>0</v>
      </c>
      <c r="S439">
        <f>SUMIFS(S$13:S$429,$A$13:$A$429,$C439,$C$13:$C$429,$D439)</f>
        <v>0</v>
      </c>
      <c r="T439">
        <f>SUMIFS(T$13:T$429,$A$13:$A$429,$C439,$C$13:$C$429,$D439)</f>
        <v>0</v>
      </c>
      <c r="U439">
        <f>SUM(L439:T439)</f>
        <v>1074.240992673</v>
      </c>
      <c r="W439">
        <f>IF(SUM(H439:I439)&gt;0,SUM(H439:I439)/G439,0)</f>
        <v>10.000000000000002</v>
      </c>
      <c r="X439">
        <f>IF(G439&gt;0,U439/G439,0)</f>
        <v>167.97876384622603</v>
      </c>
    </row>
    <row r="440">
      <c r="C440" t="str">
        <v>Sloof</v>
      </c>
      <c r="D440" t="str">
        <v>TB25-1</v>
      </c>
      <c r="G440">
        <f>SUMIFS($V$13:$V$429,$A$13:$A$429,$C440,$C$13:$C$429,$D440)</f>
        <v>4.9119</v>
      </c>
      <c r="H440">
        <f>SUMIFS($W$13:$W$429,$A$13:$A$429,$C440,$C$13:$C$429,$D440)</f>
        <v>0</v>
      </c>
      <c r="I440">
        <f>SUMIFS($X$13:$X$429,$A$13:$A$429,$C440,$C$13:$C$429,$D440)</f>
        <v>49.119</v>
      </c>
      <c r="J440">
        <f>SUMIFS($Y$13:$Y$429,$A$13:$A$429,$C440,$C$13:$C$429,$D440)</f>
        <v>1.2086999999999999</v>
      </c>
      <c r="K440">
        <f>SUMIFS($Z$13:$Z$429,$A$13:$A$429,$C440,$C$13:$C$429,$D440)</f>
        <v>33.23925</v>
      </c>
      <c r="L440">
        <f>SUMIFS(L$13:L$429,$A$13:$A$429,$C440,$C$13:$C$429,$D440)</f>
        <v>0</v>
      </c>
      <c r="M440">
        <f>SUMIFS(M$13:M$429,$A$13:$A$429,$C440,$C$13:$C$429,$D440)</f>
        <v>0</v>
      </c>
      <c r="N440">
        <f>SUMIFS(N$13:N$429,$A$13:$A$429,$C440,$C$13:$C$429,$D440)</f>
        <v>327.5464500000001</v>
      </c>
      <c r="O440">
        <f>SUMIFS(O$13:O$429,$A$13:$A$429,$C440,$C$13:$C$429,$D440)</f>
        <v>0</v>
      </c>
      <c r="P440">
        <f>SUMIFS(P$13:P$429,$A$13:$A$429,$C440,$C$13:$C$429,$D440)</f>
        <v>615.9207859200001</v>
      </c>
      <c r="Q440">
        <f>SUMIFS(Q$13:Q$429,$A$13:$A$429,$C440,$C$13:$C$429,$D440)</f>
        <v>0</v>
      </c>
      <c r="R440">
        <f>SUMIFS(R$13:R$429,$A$13:$A$429,$C440,$C$13:$C$429,$D440)</f>
        <v>0</v>
      </c>
      <c r="S440">
        <f>SUMIFS(S$13:S$429,$A$13:$A$429,$C440,$C$13:$C$429,$D440)</f>
        <v>0</v>
      </c>
      <c r="T440">
        <f>SUMIFS(T$13:T$429,$A$13:$A$429,$C440,$C$13:$C$429,$D440)</f>
        <v>0</v>
      </c>
      <c r="U440">
        <f>SUM(L440:T440)</f>
        <v>943.4672359200001</v>
      </c>
      <c r="W440">
        <f>IF(SUM(H440:I440)&gt;0,SUM(H440:I440)/G440,0)</f>
        <v>10</v>
      </c>
      <c r="X440">
        <f>IF(G440&gt;0,U440/G440,0)</f>
        <v>192.07785906064865</v>
      </c>
    </row>
    <row r="441">
      <c r="C441" t="str">
        <v>Sloof</v>
      </c>
      <c r="D441" t="str">
        <v>TB25-2</v>
      </c>
      <c r="G441">
        <f>SUMIFS($V$13:$V$429,$A$13:$A$429,$C441,$C$13:$C$429,$D441)</f>
        <v>2.2841</v>
      </c>
      <c r="H441">
        <f>SUMIFS($W$13:$W$429,$A$13:$A$429,$C441,$C$13:$C$429,$D441)</f>
        <v>0</v>
      </c>
      <c r="I441">
        <f>SUMIFS($X$13:$X$429,$A$13:$A$429,$C441,$C$13:$C$429,$D441)</f>
        <v>22.841</v>
      </c>
      <c r="J441">
        <f>SUMIFS($Y$13:$Y$429,$A$13:$A$429,$C441,$C$13:$C$429,$D441)</f>
        <v>0.6226</v>
      </c>
      <c r="K441">
        <f>SUMIFS($Z$13:$Z$429,$A$13:$A$429,$C441,$C$13:$C$429,$D441)</f>
        <v>17.121499999999997</v>
      </c>
      <c r="L441">
        <f>SUMIFS(L$13:L$429,$A$13:$A$429,$C441,$C$13:$C$429,$D441)</f>
        <v>0</v>
      </c>
      <c r="M441">
        <f>SUMIFS(M$13:M$429,$A$13:$A$429,$C441,$C$13:$C$429,$D441)</f>
        <v>0</v>
      </c>
      <c r="N441">
        <f>SUMIFS(N$13:N$429,$A$13:$A$429,$C441,$C$13:$C$429,$D441)</f>
        <v>166.498155</v>
      </c>
      <c r="O441">
        <f>SUMIFS(O$13:O$429,$A$13:$A$429,$C441,$C$13:$C$429,$D441)</f>
        <v>0</v>
      </c>
      <c r="P441">
        <f>SUMIFS(P$13:P$429,$A$13:$A$429,$C441,$C$13:$C$429,$D441)</f>
        <v>375.7315968</v>
      </c>
      <c r="Q441">
        <f>SUMIFS(Q$13:Q$429,$A$13:$A$429,$C441,$C$13:$C$429,$D441)</f>
        <v>0</v>
      </c>
      <c r="R441">
        <f>SUMIFS(R$13:R$429,$A$13:$A$429,$C441,$C$13:$C$429,$D441)</f>
        <v>0</v>
      </c>
      <c r="S441">
        <f>SUMIFS(S$13:S$429,$A$13:$A$429,$C441,$C$13:$C$429,$D441)</f>
        <v>0</v>
      </c>
      <c r="T441">
        <f>SUMIFS(T$13:T$429,$A$13:$A$429,$C441,$C$13:$C$429,$D441)</f>
        <v>0</v>
      </c>
      <c r="U441">
        <f>SUM(L441:T441)</f>
        <v>542.2297518</v>
      </c>
      <c r="W441">
        <f>IF(SUM(H441:I441)&gt;0,SUM(H441:I441)/G441,0)</f>
        <v>10</v>
      </c>
      <c r="X441">
        <f>IF(G441&gt;0,U441/G441,0)</f>
        <v>237.39317534258572</v>
      </c>
    </row>
    <row r="442">
      <c r="C442" t="str">
        <v>Sloof</v>
      </c>
      <c r="D442" t="str">
        <v>TB25-3</v>
      </c>
      <c r="G442">
        <f>SUMIFS($V$13:$V$429,$A$13:$A$429,$C442,$C$13:$C$429,$D442)</f>
        <v>0.9086000000000001</v>
      </c>
      <c r="H442">
        <f>SUMIFS($W$13:$W$429,$A$13:$A$429,$C442,$C$13:$C$429,$D442)</f>
        <v>0</v>
      </c>
      <c r="I442">
        <f>SUMIFS($X$13:$X$429,$A$13:$A$429,$C442,$C$13:$C$429,$D442)</f>
        <v>9.085999999999999</v>
      </c>
      <c r="J442">
        <f>SUMIFS($Y$13:$Y$429,$A$13:$A$429,$C442,$C$13:$C$429,$D442)</f>
        <v>0.2596</v>
      </c>
      <c r="K442">
        <f>SUMIFS($Z$13:$Z$429,$A$13:$A$429,$C442,$C$13:$C$429,$D442)</f>
        <v>7.138999999999999</v>
      </c>
      <c r="L442">
        <f>SUMIFS(L$13:L$429,$A$13:$A$429,$C442,$C$13:$C$429,$D442)</f>
        <v>0</v>
      </c>
      <c r="M442">
        <f>SUMIFS(M$13:M$429,$A$13:$A$429,$C442,$C$13:$C$429,$D442)</f>
        <v>0</v>
      </c>
      <c r="N442">
        <f>SUMIFS(N$13:N$429,$A$13:$A$429,$C442,$C$13:$C$429,$D442)</f>
        <v>70.731045</v>
      </c>
      <c r="O442">
        <f>SUMIFS(O$13:O$429,$A$13:$A$429,$C442,$C$13:$C$429,$D442)</f>
        <v>0</v>
      </c>
      <c r="P442">
        <f>SUMIFS(P$13:P$429,$A$13:$A$429,$C442,$C$13:$C$429,$D442)</f>
        <v>176.82285312000002</v>
      </c>
      <c r="Q442">
        <f>SUMIFS(Q$13:Q$429,$A$13:$A$429,$C442,$C$13:$C$429,$D442)</f>
        <v>0</v>
      </c>
      <c r="R442">
        <f>SUMIFS(R$13:R$429,$A$13:$A$429,$C442,$C$13:$C$429,$D442)</f>
        <v>0</v>
      </c>
      <c r="S442">
        <f>SUMIFS(S$13:S$429,$A$13:$A$429,$C442,$C$13:$C$429,$D442)</f>
        <v>0</v>
      </c>
      <c r="T442">
        <f>SUMIFS(T$13:T$429,$A$13:$A$429,$C442,$C$13:$C$429,$D442)</f>
        <v>0</v>
      </c>
      <c r="U442">
        <f>SUM(L442:T442)</f>
        <v>247.55389812</v>
      </c>
      <c r="W442">
        <f>IF(SUM(H442:I442)&gt;0,SUM(H442:I442)/G442,0)</f>
        <v>9.999999999999998</v>
      </c>
      <c r="X442">
        <f>IF(G442&gt;0,U442/G442,0)</f>
        <v>272.4564143957737</v>
      </c>
    </row>
    <row r="443">
      <c r="C443" t="str">
        <v>Sloof</v>
      </c>
      <c r="D443" t="str">
        <v>TB35-1</v>
      </c>
      <c r="G443">
        <f>SUMIFS($V$13:$V$429,$A$13:$A$429,$C443,$C$13:$C$429,$D443)</f>
        <v>2.606175</v>
      </c>
      <c r="H443">
        <f>SUMIFS($W$13:$W$429,$A$13:$A$429,$C443,$C$13:$C$429,$D443)</f>
        <v>0</v>
      </c>
      <c r="I443">
        <f>SUMIFS($X$13:$X$429,$A$13:$A$429,$C443,$C$13:$C$429,$D443)</f>
        <v>17.3745</v>
      </c>
      <c r="J443">
        <f>SUMIFS($Y$13:$Y$429,$A$13:$A$429,$C443,$C$13:$C$429,$D443)</f>
        <v>0.5467500000000001</v>
      </c>
      <c r="K443">
        <f>SUMIFS($Z$13:$Z$429,$A$13:$A$429,$C443,$C$13:$C$429,$D443)</f>
        <v>13.231349999999999</v>
      </c>
      <c r="L443">
        <f>SUMIFS(L$13:L$429,$A$13:$A$429,$C443,$C$13:$C$429,$D443)</f>
        <v>0</v>
      </c>
      <c r="M443">
        <f>SUMIFS(M$13:M$429,$A$13:$A$429,$C443,$C$13:$C$429,$D443)</f>
        <v>0</v>
      </c>
      <c r="N443">
        <f>SUMIFS(N$13:N$429,$A$13:$A$429,$C443,$C$13:$C$429,$D443)</f>
        <v>133.059195</v>
      </c>
      <c r="O443">
        <f>SUMIFS(O$13:O$429,$A$13:$A$429,$C443,$C$13:$C$429,$D443)</f>
        <v>0</v>
      </c>
      <c r="P443">
        <f>SUMIFS(P$13:P$429,$A$13:$A$429,$C443,$C$13:$C$429,$D443)</f>
        <v>338.10162048</v>
      </c>
      <c r="Q443">
        <f>SUMIFS(Q$13:Q$429,$A$13:$A$429,$C443,$C$13:$C$429,$D443)</f>
        <v>0</v>
      </c>
      <c r="R443">
        <f>SUMIFS(R$13:R$429,$A$13:$A$429,$C443,$C$13:$C$429,$D443)</f>
        <v>0</v>
      </c>
      <c r="S443">
        <f>SUMIFS(S$13:S$429,$A$13:$A$429,$C443,$C$13:$C$429,$D443)</f>
        <v>0</v>
      </c>
      <c r="T443">
        <f>SUMIFS(T$13:T$429,$A$13:$A$429,$C443,$C$13:$C$429,$D443)</f>
        <v>0</v>
      </c>
      <c r="U443">
        <f>SUM(L443:T443)</f>
        <v>471.16081548</v>
      </c>
      <c r="W443">
        <f>IF(SUM(H443:I443)&gt;0,SUM(H443:I443)/G443,0)</f>
        <v>6.666666666666667</v>
      </c>
      <c r="X443">
        <f>IF(G443&gt;0,U443/G443,0)</f>
        <v>180.78633072606405</v>
      </c>
    </row>
    <row r="444">
      <c r="C444" t="str">
        <v>Sloof</v>
      </c>
      <c r="D444" t="str">
        <v>TB35-2</v>
      </c>
      <c r="G444">
        <f>SUMIFS($V$13:$V$429,$A$13:$A$429,$C444,$C$13:$C$429,$D444)</f>
        <v>0.609</v>
      </c>
      <c r="H444">
        <f>SUMIFS($W$13:$W$429,$A$13:$A$429,$C444,$C$13:$C$429,$D444)</f>
        <v>0</v>
      </c>
      <c r="I444">
        <f>SUMIFS($X$13:$X$429,$A$13:$A$429,$C444,$C$13:$C$429,$D444)</f>
        <v>4.06</v>
      </c>
      <c r="J444">
        <f>SUMIFS($Y$13:$Y$429,$A$13:$A$429,$C444,$C$13:$C$429,$D444)</f>
        <v>0.145</v>
      </c>
      <c r="K444">
        <f>SUMIFS($Z$13:$Z$429,$A$13:$A$429,$C444,$C$13:$C$429,$D444)</f>
        <v>3.509</v>
      </c>
      <c r="L444">
        <f>SUMIFS(L$13:L$429,$A$13:$A$429,$C444,$C$13:$C$429,$D444)</f>
        <v>0</v>
      </c>
      <c r="M444">
        <f>SUMIFS(M$13:M$429,$A$13:$A$429,$C444,$C$13:$C$429,$D444)</f>
        <v>0</v>
      </c>
      <c r="N444">
        <f>SUMIFS(N$13:N$429,$A$13:$A$429,$C444,$C$13:$C$429,$D444)</f>
        <v>43.592715</v>
      </c>
      <c r="O444">
        <f>SUMIFS(O$13:O$429,$A$13:$A$429,$C444,$C$13:$C$429,$D444)</f>
        <v>0</v>
      </c>
      <c r="P444">
        <f>SUMIFS(P$13:P$429,$A$13:$A$429,$C444,$C$13:$C$429,$D444)</f>
        <v>115.12313856000002</v>
      </c>
      <c r="Q444">
        <f>SUMIFS(Q$13:Q$429,$A$13:$A$429,$C444,$C$13:$C$429,$D444)</f>
        <v>0</v>
      </c>
      <c r="R444">
        <f>SUMIFS(R$13:R$429,$A$13:$A$429,$C444,$C$13:$C$429,$D444)</f>
        <v>0</v>
      </c>
      <c r="S444">
        <f>SUMIFS(S$13:S$429,$A$13:$A$429,$C444,$C$13:$C$429,$D444)</f>
        <v>0</v>
      </c>
      <c r="T444">
        <f>SUMIFS(T$13:T$429,$A$13:$A$429,$C444,$C$13:$C$429,$D444)</f>
        <v>0</v>
      </c>
      <c r="U444">
        <f>SUM(L444:T444)</f>
        <v>158.71585356000003</v>
      </c>
      <c r="W444">
        <f>IF(SUM(H444:I444)&gt;0,SUM(H444:I444)/G444,0)</f>
        <v>6.666666666666666</v>
      </c>
      <c r="X444">
        <f>IF(G444&gt;0,U444/G444,0)</f>
        <v>260.61716512315274</v>
      </c>
    </row>
    <row r="445">
      <c r="C445" t="str">
        <v>Sloof</v>
      </c>
      <c r="D445" t="str">
        <v>TB36-1</v>
      </c>
      <c r="G445">
        <f>SUMIFS($V$13:$V$429,$A$13:$A$429,$C445,$C$13:$C$429,$D445)</f>
        <v>1.53225</v>
      </c>
      <c r="H445">
        <f>SUMIFS($W$13:$W$429,$A$13:$A$429,$C445,$C$13:$C$429,$D445)</f>
        <v>0</v>
      </c>
      <c r="I445">
        <f>SUMIFS($X$13:$X$429,$A$13:$A$429,$C445,$C$13:$C$429,$D445)</f>
        <v>10.215</v>
      </c>
      <c r="J445">
        <f>SUMIFS($Y$13:$Y$429,$A$13:$A$429,$C445,$C$13:$C$429,$D445)</f>
        <v>0.28375</v>
      </c>
      <c r="K445">
        <f>SUMIFS($Z$13:$Z$429,$A$13:$A$429,$C445,$C$13:$C$429,$D445)</f>
        <v>8.11525</v>
      </c>
      <c r="L445">
        <f>SUMIFS(L$13:L$429,$A$13:$A$429,$C445,$C$13:$C$429,$D445)</f>
        <v>0</v>
      </c>
      <c r="M445">
        <f>SUMIFS(M$13:M$429,$A$13:$A$429,$C445,$C$13:$C$429,$D445)</f>
        <v>0</v>
      </c>
      <c r="N445">
        <f>SUMIFS(N$13:N$429,$A$13:$A$429,$C445,$C$13:$C$429,$D445)</f>
        <v>78.89967000000001</v>
      </c>
      <c r="O445">
        <f>SUMIFS(O$13:O$429,$A$13:$A$429,$C445,$C$13:$C$429,$D445)</f>
        <v>0</v>
      </c>
      <c r="P445">
        <f>SUMIFS(P$13:P$429,$A$13:$A$429,$C445,$C$13:$C$429,$D445)</f>
        <v>0</v>
      </c>
      <c r="Q445">
        <f>SUMIFS(Q$13:Q$429,$A$13:$A$429,$C445,$C$13:$C$429,$D445)</f>
        <v>244.1144353725</v>
      </c>
      <c r="R445">
        <f>SUMIFS(R$13:R$429,$A$13:$A$429,$C445,$C$13:$C$429,$D445)</f>
        <v>0</v>
      </c>
      <c r="S445">
        <f>SUMIFS(S$13:S$429,$A$13:$A$429,$C445,$C$13:$C$429,$D445)</f>
        <v>0</v>
      </c>
      <c r="T445">
        <f>SUMIFS(T$13:T$429,$A$13:$A$429,$C445,$C$13:$C$429,$D445)</f>
        <v>0</v>
      </c>
      <c r="U445">
        <f>SUM(L445:T445)</f>
        <v>323.0141053725</v>
      </c>
      <c r="W445">
        <f>IF(SUM(H445:I445)&gt;0,SUM(H445:I445)/G445,0)</f>
        <v>6.666666666666667</v>
      </c>
      <c r="X445">
        <f>IF(G445&gt;0,U445/G445,0)</f>
        <v>210.81031513950074</v>
      </c>
    </row>
    <row r="446">
      <c r="C446" t="str">
        <v>Sloof</v>
      </c>
      <c r="D446" t="str">
        <v>TB46-1</v>
      </c>
      <c r="G446">
        <f>SUMIFS($V$13:$V$429,$A$13:$A$429,$C446,$C$13:$C$429,$D446)</f>
        <v>1.2483</v>
      </c>
      <c r="H446">
        <f>SUMIFS($W$13:$W$429,$A$13:$A$429,$C446,$C$13:$C$429,$D446)</f>
        <v>0</v>
      </c>
      <c r="I446">
        <f>SUMIFS($X$13:$X$429,$A$13:$A$429,$C446,$C$13:$C$429,$D446)</f>
        <v>6.2415</v>
      </c>
      <c r="J446">
        <f>SUMIFS($Y$13:$Y$429,$A$13:$A$429,$C446,$C$13:$C$429,$D446)</f>
        <v>0.20805</v>
      </c>
      <c r="K446">
        <f>SUMIFS($Z$13:$Z$429,$A$13:$A$429,$C446,$C$13:$C$429,$D446)</f>
        <v>5.4093</v>
      </c>
      <c r="L446">
        <f>SUMIFS(L$13:L$429,$A$13:$A$429,$C446,$C$13:$C$429,$D446)</f>
        <v>0</v>
      </c>
      <c r="M446">
        <f>SUMIFS(M$13:M$429,$A$13:$A$429,$C446,$C$13:$C$429,$D446)</f>
        <v>0</v>
      </c>
      <c r="N446">
        <f>SUMIFS(N$13:N$429,$A$13:$A$429,$C446,$C$13:$C$429,$D446)</f>
        <v>53.142300000000006</v>
      </c>
      <c r="O446">
        <f>SUMIFS(O$13:O$429,$A$13:$A$429,$C446,$C$13:$C$429,$D446)</f>
        <v>0</v>
      </c>
      <c r="P446">
        <f>SUMIFS(P$13:P$429,$A$13:$A$429,$C446,$C$13:$C$429,$D446)</f>
        <v>0</v>
      </c>
      <c r="Q446">
        <f>SUMIFS(Q$13:Q$429,$A$13:$A$429,$C446,$C$13:$C$429,$D446)</f>
        <v>244.49611977</v>
      </c>
      <c r="R446">
        <f>SUMIFS(R$13:R$429,$A$13:$A$429,$C446,$C$13:$C$429,$D446)</f>
        <v>0</v>
      </c>
      <c r="S446">
        <f>SUMIFS(S$13:S$429,$A$13:$A$429,$C446,$C$13:$C$429,$D446)</f>
        <v>0</v>
      </c>
      <c r="T446">
        <f>SUMIFS(T$13:T$429,$A$13:$A$429,$C446,$C$13:$C$429,$D446)</f>
        <v>0</v>
      </c>
      <c r="U446">
        <f>SUM(L446:T446)</f>
        <v>297.63841977000004</v>
      </c>
      <c r="W446">
        <f>IF(SUM(H446:I446)&gt;0,SUM(H446:I446)/G446,0)</f>
        <v>5</v>
      </c>
      <c r="X446">
        <f>IF(G446&gt;0,U446/G446,0)</f>
        <v>238.43500742609953</v>
      </c>
    </row>
    <row r="447">
      <c r="C447" t="str">
        <v>Sloof</v>
      </c>
      <c r="D447" t="str">
        <v>TB47-1</v>
      </c>
      <c r="G447">
        <f>SUMIFS($V$13:$V$429,$A$13:$A$429,$C447,$C$13:$C$429,$D447)</f>
        <v>2.4739</v>
      </c>
      <c r="H447">
        <f>SUMIFS($W$13:$W$429,$A$13:$A$429,$C447,$C$13:$C$429,$D447)</f>
        <v>0</v>
      </c>
      <c r="I447">
        <f>SUMIFS($X$13:$X$429,$A$13:$A$429,$C447,$C$13:$C$429,$D447)</f>
        <v>12.3695</v>
      </c>
      <c r="J447">
        <f>SUMIFS($Y$13:$Y$429,$A$13:$A$429,$C447,$C$13:$C$429,$D447)</f>
        <v>0.33735000000000004</v>
      </c>
      <c r="K447">
        <f>SUMIFS($Z$13:$Z$429,$A$13:$A$429,$C447,$C$13:$C$429,$D447)</f>
        <v>10.1205</v>
      </c>
      <c r="L447">
        <f>SUMIFS(L$13:L$429,$A$13:$A$429,$C447,$C$13:$C$429,$D447)</f>
        <v>0</v>
      </c>
      <c r="M447">
        <f>SUMIFS(M$13:M$429,$A$13:$A$429,$C447,$C$13:$C$429,$D447)</f>
        <v>0</v>
      </c>
      <c r="N447">
        <f>SUMIFS(N$13:N$429,$A$13:$A$429,$C447,$C$13:$C$429,$D447)</f>
        <v>92.34553500000001</v>
      </c>
      <c r="O447">
        <f>SUMIFS(O$13:O$429,$A$13:$A$429,$C447,$C$13:$C$429,$D447)</f>
        <v>0</v>
      </c>
      <c r="P447">
        <f>SUMIFS(P$13:P$429,$A$13:$A$429,$C447,$C$13:$C$429,$D447)</f>
        <v>0</v>
      </c>
      <c r="Q447">
        <f>SUMIFS(Q$13:Q$429,$A$13:$A$429,$C447,$C$13:$C$429,$D447)</f>
        <v>0</v>
      </c>
      <c r="R447">
        <f>SUMIFS(R$13:R$429,$A$13:$A$429,$C447,$C$13:$C$429,$D447)</f>
        <v>535.9191591599999</v>
      </c>
      <c r="S447">
        <f>SUMIFS(S$13:S$429,$A$13:$A$429,$C447,$C$13:$C$429,$D447)</f>
        <v>0</v>
      </c>
      <c r="T447">
        <f>SUMIFS(T$13:T$429,$A$13:$A$429,$C447,$C$13:$C$429,$D447)</f>
        <v>0</v>
      </c>
      <c r="U447">
        <f>SUM(L447:T447)</f>
        <v>628.26469416</v>
      </c>
      <c r="W447">
        <f>IF(SUM(H447:I447)&gt;0,SUM(H447:I447)/G447,0)</f>
        <v>5</v>
      </c>
      <c r="X447">
        <f>IF(G447&gt;0,U447/G447,0)</f>
        <v>253.95719073527627</v>
      </c>
    </row>
    <row r="448">
      <c r="C448" t="str">
        <v>Sloof</v>
      </c>
      <c r="D448" t="str">
        <v>TB47-2</v>
      </c>
      <c r="G448">
        <f>SUMIFS($V$13:$V$429,$A$13:$A$429,$C448,$C$13:$C$429,$D448)</f>
        <v>1.617</v>
      </c>
      <c r="H448">
        <f>SUMIFS($W$13:$W$429,$A$13:$A$429,$C448,$C$13:$C$429,$D448)</f>
        <v>0</v>
      </c>
      <c r="I448">
        <f>SUMIFS($X$13:$X$429,$A$13:$A$429,$C448,$C$13:$C$429,$D448)</f>
        <v>8.085</v>
      </c>
      <c r="J448">
        <f>SUMIFS($Y$13:$Y$429,$A$13:$A$429,$C448,$C$13:$C$429,$D448)</f>
        <v>0.2205</v>
      </c>
      <c r="K448">
        <f>SUMIFS($Z$13:$Z$429,$A$13:$A$429,$C448,$C$13:$C$429,$D448)</f>
        <v>6.615</v>
      </c>
      <c r="L448">
        <f>SUMIFS(L$13:L$429,$A$13:$A$429,$C448,$C$13:$C$429,$D448)</f>
        <v>0</v>
      </c>
      <c r="M448">
        <f>SUMIFS(M$13:M$429,$A$13:$A$429,$C448,$C$13:$C$429,$D448)</f>
        <v>0</v>
      </c>
      <c r="N448">
        <f>SUMIFS(N$13:N$429,$A$13:$A$429,$C448,$C$13:$C$429,$D448)</f>
        <v>56.91528</v>
      </c>
      <c r="O448">
        <f>SUMIFS(O$13:O$429,$A$13:$A$429,$C448,$C$13:$C$429,$D448)</f>
        <v>0</v>
      </c>
      <c r="P448">
        <f>SUMIFS(P$13:P$429,$A$13:$A$429,$C448,$C$13:$C$429,$D448)</f>
        <v>0</v>
      </c>
      <c r="Q448">
        <f>SUMIFS(Q$13:Q$429,$A$13:$A$429,$C448,$C$13:$C$429,$D448)</f>
        <v>0</v>
      </c>
      <c r="R448">
        <f>SUMIFS(R$13:R$429,$A$13:$A$429,$C448,$C$13:$C$429,$D448)</f>
        <v>233.32740848999998</v>
      </c>
      <c r="S448">
        <f>SUMIFS(S$13:S$429,$A$13:$A$429,$C448,$C$13:$C$429,$D448)</f>
        <v>0</v>
      </c>
      <c r="T448">
        <f>SUMIFS(T$13:T$429,$A$13:$A$429,$C448,$C$13:$C$429,$D448)</f>
        <v>0</v>
      </c>
      <c r="U448">
        <f>SUM(L448:T448)</f>
        <v>290.24268849</v>
      </c>
      <c r="W448">
        <f>IF(SUM(H448:I448)&gt;0,SUM(H448:I448)/G448,0)</f>
        <v>5.000000000000001</v>
      </c>
      <c r="X448">
        <f>IF(G448&gt;0,U448/G448,0)</f>
        <v>179.49455070500926</v>
      </c>
    </row>
    <row r="449">
      <c r="C449" t="str">
        <v>Sloof</v>
      </c>
      <c r="D449" t="str">
        <v>TB57-1</v>
      </c>
      <c r="G449">
        <f>SUMIFS($V$13:$V$429,$A$13:$A$429,$C449,$C$13:$C$429,$D449)</f>
        <v>0</v>
      </c>
      <c r="H449">
        <f>SUMIFS($W$13:$W$429,$A$13:$A$429,$C449,$C$13:$C$429,$D449)</f>
        <v>0</v>
      </c>
      <c r="I449">
        <f>SUMIFS($X$13:$X$429,$A$13:$A$429,$C449,$C$13:$C$429,$D449)</f>
        <v>0</v>
      </c>
      <c r="J449">
        <f>SUMIFS($Y$13:$Y$429,$A$13:$A$429,$C449,$C$13:$C$429,$D449)</f>
        <v>0</v>
      </c>
      <c r="K449">
        <f>SUMIFS($Z$13:$Z$429,$A$13:$A$429,$C449,$C$13:$C$429,$D449)</f>
        <v>0</v>
      </c>
      <c r="L449">
        <f>SUMIFS(L$13:L$429,$A$13:$A$429,$C449,$C$13:$C$429,$D449)</f>
        <v>0</v>
      </c>
      <c r="M449">
        <f>SUMIFS(M$13:M$429,$A$13:$A$429,$C449,$C$13:$C$429,$D449)</f>
        <v>0</v>
      </c>
      <c r="N449">
        <f>SUMIFS(N$13:N$429,$A$13:$A$429,$C449,$C$13:$C$429,$D449)</f>
        <v>0</v>
      </c>
      <c r="O449">
        <f>SUMIFS(O$13:O$429,$A$13:$A$429,$C449,$C$13:$C$429,$D449)</f>
        <v>0</v>
      </c>
      <c r="P449">
        <f>SUMIFS(P$13:P$429,$A$13:$A$429,$C449,$C$13:$C$429,$D449)</f>
        <v>0</v>
      </c>
      <c r="Q449">
        <f>SUMIFS(Q$13:Q$429,$A$13:$A$429,$C449,$C$13:$C$429,$D449)</f>
        <v>0</v>
      </c>
      <c r="R449">
        <f>SUMIFS(R$13:R$429,$A$13:$A$429,$C449,$C$13:$C$429,$D449)</f>
        <v>0</v>
      </c>
      <c r="S449">
        <f>SUMIFS(S$13:S$429,$A$13:$A$429,$C449,$C$13:$C$429,$D449)</f>
        <v>0</v>
      </c>
      <c r="T449">
        <f>SUMIFS(T$13:T$429,$A$13:$A$429,$C449,$C$13:$C$429,$D449)</f>
        <v>0</v>
      </c>
      <c r="U449">
        <f>SUM(L449:T449)</f>
        <v>0</v>
      </c>
      <c r="W449">
        <f>IF(SUM(H449:I449)&gt;0,SUM(H449:I449)/G449,0)</f>
        <v>0</v>
      </c>
      <c r="X449">
        <f>IF(G449&gt;0,U449/G449,0)</f>
        <v>0</v>
      </c>
    </row>
    <row r="450">
      <c r="C450" t="str">
        <v>Sloof</v>
      </c>
      <c r="D450" t="str">
        <v>TBK25-1</v>
      </c>
      <c r="G450">
        <f>SUMIFS($V$13:$V$429,$A$13:$A$429,$C450,$C$13:$C$429,$D450)</f>
        <v>0.29</v>
      </c>
      <c r="H450">
        <f>SUMIFS($W$13:$W$429,$A$13:$A$429,$C450,$C$13:$C$429,$D450)</f>
        <v>0</v>
      </c>
      <c r="I450">
        <f>SUMIFS($X$13:$X$429,$A$13:$A$429,$C450,$C$13:$C$429,$D450)</f>
        <v>2.9</v>
      </c>
      <c r="J450">
        <f>SUMIFS($Y$13:$Y$429,$A$13:$A$429,$C450,$C$13:$C$429,$D450)</f>
        <v>0.058</v>
      </c>
      <c r="K450">
        <f>SUMIFS($Z$13:$Z$429,$A$13:$A$429,$C450,$C$13:$C$429,$D450)</f>
        <v>1.595</v>
      </c>
      <c r="L450">
        <f>SUMIFS(L$13:L$429,$A$13:$A$429,$C450,$C$13:$C$429,$D450)</f>
        <v>0</v>
      </c>
      <c r="M450">
        <f>SUMIFS(M$13:M$429,$A$13:$A$429,$C450,$C$13:$C$429,$D450)</f>
        <v>0</v>
      </c>
      <c r="N450">
        <f>SUMIFS(N$13:N$429,$A$13:$A$429,$C450,$C$13:$C$429,$D450)</f>
        <v>20.55411</v>
      </c>
      <c r="O450">
        <f>SUMIFS(O$13:O$429,$A$13:$A$429,$C450,$C$13:$C$429,$D450)</f>
        <v>0</v>
      </c>
      <c r="P450">
        <f>SUMIFS(P$13:P$429,$A$13:$A$429,$C450,$C$13:$C$429,$D450)</f>
        <v>36.28058112</v>
      </c>
      <c r="Q450">
        <f>SUMIFS(Q$13:Q$429,$A$13:$A$429,$C450,$C$13:$C$429,$D450)</f>
        <v>0</v>
      </c>
      <c r="R450">
        <f>SUMIFS(R$13:R$429,$A$13:$A$429,$C450,$C$13:$C$429,$D450)</f>
        <v>0</v>
      </c>
      <c r="S450">
        <f>SUMIFS(S$13:S$429,$A$13:$A$429,$C450,$C$13:$C$429,$D450)</f>
        <v>0</v>
      </c>
      <c r="T450">
        <f>SUMIFS(T$13:T$429,$A$13:$A$429,$C450,$C$13:$C$429,$D450)</f>
        <v>0</v>
      </c>
      <c r="U450">
        <f>SUM(L450:T450)</f>
        <v>56.83469112</v>
      </c>
      <c r="W450">
        <f>IF(SUM(H450:I450)&gt;0,SUM(H450:I450)/G450,0)</f>
        <v>10</v>
      </c>
      <c r="X450">
        <f>IF(G450&gt;0,U450/G450,0)</f>
        <v>195.9816935172414</v>
      </c>
    </row>
    <row r="451">
      <c r="C451" t="str">
        <v>Sloof</v>
      </c>
      <c r="D451" t="str">
        <v>Potongan S1</v>
      </c>
      <c r="G451">
        <f>SUMIFS($V$13:$V$429,$A$13:$A$429,$C451,$C$13:$C$429,$D451)</f>
        <v>0.22575</v>
      </c>
      <c r="H451">
        <f>SUMIFS($W$13:$W$429,$A$13:$A$429,$C451,$C$13:$C$429,$D451)</f>
        <v>0</v>
      </c>
      <c r="I451">
        <f>SUMIFS($X$13:$X$429,$A$13:$A$429,$C451,$C$13:$C$429,$D451)</f>
        <v>1.505</v>
      </c>
      <c r="J451">
        <f>SUMIFS($Y$13:$Y$429,$A$13:$A$429,$C451,$C$13:$C$429,$D451)</f>
        <v>0.037625</v>
      </c>
      <c r="K451">
        <f>SUMIFS($Z$13:$Z$429,$A$13:$A$429,$C451,$C$13:$C$429,$D451)</f>
        <v>0.910525</v>
      </c>
      <c r="L451">
        <f>SUMIFS(L$13:L$429,$A$13:$A$429,$C451,$C$13:$C$429,$D451)</f>
        <v>0</v>
      </c>
      <c r="M451">
        <f>SUMIFS(M$13:M$429,$A$13:$A$429,$C451,$C$13:$C$429,$D451)</f>
        <v>0</v>
      </c>
      <c r="N451">
        <f>SUMIFS(N$13:N$429,$A$13:$A$429,$C451,$C$13:$C$429,$D451)</f>
        <v>10.08594</v>
      </c>
      <c r="O451">
        <f>SUMIFS(O$13:O$429,$A$13:$A$429,$C451,$C$13:$C$429,$D451)</f>
        <v>0</v>
      </c>
      <c r="P451">
        <f>SUMIFS(P$13:P$429,$A$13:$A$429,$C451,$C$13:$C$429,$D451)</f>
        <v>32.79424896</v>
      </c>
      <c r="Q451">
        <f>SUMIFS(Q$13:Q$429,$A$13:$A$429,$C451,$C$13:$C$429,$D451)</f>
        <v>0</v>
      </c>
      <c r="R451">
        <f>SUMIFS(R$13:R$429,$A$13:$A$429,$C451,$C$13:$C$429,$D451)</f>
        <v>0</v>
      </c>
      <c r="S451">
        <f>SUMIFS(S$13:S$429,$A$13:$A$429,$C451,$C$13:$C$429,$D451)</f>
        <v>0</v>
      </c>
      <c r="T451">
        <f>SUMIFS(T$13:T$429,$A$13:$A$429,$C451,$C$13:$C$429,$D451)</f>
        <v>0</v>
      </c>
      <c r="U451">
        <f>SUM(L451:T451)</f>
        <v>42.88018896</v>
      </c>
      <c r="W451">
        <f>IF(SUM(H451:I451)&gt;0,SUM(H451:I451)/G451,0)</f>
        <v>6.666666666666666</v>
      </c>
      <c r="X451">
        <f>IF(G451&gt;0,U451/G451,0)</f>
        <v>189.94546604651163</v>
      </c>
    </row>
    <row r="452">
      <c r="C452" t="str">
        <v>Sloof</v>
      </c>
      <c r="D452" t="str">
        <v>Potongan S2</v>
      </c>
      <c r="G452">
        <f>SUMIFS($V$13:$V$429,$A$13:$A$429,$C452,$C$13:$C$429,$D452)</f>
        <v>0.54</v>
      </c>
      <c r="H452">
        <f>SUMIFS($W$13:$W$429,$A$13:$A$429,$C452,$C$13:$C$429,$D452)</f>
        <v>0</v>
      </c>
      <c r="I452">
        <f>SUMIFS($X$13:$X$429,$A$13:$A$429,$C452,$C$13:$C$429,$D452)</f>
        <v>3.6</v>
      </c>
      <c r="J452">
        <f>SUMIFS($Y$13:$Y$429,$A$13:$A$429,$C452,$C$13:$C$429,$D452)</f>
        <v>0.1</v>
      </c>
      <c r="K452">
        <f>SUMIFS($Z$13:$Z$429,$A$13:$A$429,$C452,$C$13:$C$429,$D452)</f>
        <v>2.86</v>
      </c>
      <c r="L452">
        <f>SUMIFS(L$13:L$429,$A$13:$A$429,$C452,$C$13:$C$429,$D452)</f>
        <v>0</v>
      </c>
      <c r="M452">
        <f>SUMIFS(M$13:M$429,$A$13:$A$429,$C452,$C$13:$C$429,$D452)</f>
        <v>0</v>
      </c>
      <c r="N452">
        <f>SUMIFS(N$13:N$429,$A$13:$A$429,$C452,$C$13:$C$429,$D452)</f>
        <v>27.335610000000006</v>
      </c>
      <c r="O452">
        <f>SUMIFS(O$13:O$429,$A$13:$A$429,$C452,$C$13:$C$429,$D452)</f>
        <v>0</v>
      </c>
      <c r="P452">
        <f>SUMIFS(P$13:P$429,$A$13:$A$429,$C452,$C$13:$C$429,$D452)</f>
        <v>0</v>
      </c>
      <c r="Q452">
        <f>SUMIFS(Q$13:Q$429,$A$13:$A$429,$C452,$C$13:$C$429,$D452)</f>
        <v>109.08829404</v>
      </c>
      <c r="R452">
        <f>SUMIFS(R$13:R$429,$A$13:$A$429,$C452,$C$13:$C$429,$D452)</f>
        <v>0</v>
      </c>
      <c r="S452">
        <f>SUMIFS(S$13:S$429,$A$13:$A$429,$C452,$C$13:$C$429,$D452)</f>
        <v>0</v>
      </c>
      <c r="T452">
        <f>SUMIFS(T$13:T$429,$A$13:$A$429,$C452,$C$13:$C$429,$D452)</f>
        <v>0</v>
      </c>
      <c r="U452">
        <f>SUM(L452:T452)</f>
        <v>136.42390404</v>
      </c>
      <c r="W452">
        <f>IF(SUM(H452:I452)&gt;0,SUM(H452:I452)/G452,0)</f>
        <v>6.666666666666666</v>
      </c>
      <c r="X452">
        <f>IF(G452&gt;0,U452/G452,0)</f>
        <v>252.63685933333332</v>
      </c>
    </row>
    <row r="453">
      <c r="C453" t="str">
        <v>Sloof</v>
      </c>
      <c r="D453" t="str">
        <v>Potongan S3</v>
      </c>
      <c r="G453">
        <f>SUMIFS($V$13:$V$429,$A$13:$A$429,$C453,$C$13:$C$429,$D453)</f>
        <v>0</v>
      </c>
      <c r="H453">
        <f>SUMIFS($W$13:$W$429,$A$13:$A$429,$C453,$C$13:$C$429,$D453)</f>
        <v>0</v>
      </c>
      <c r="I453">
        <f>SUMIFS($X$13:$X$429,$A$13:$A$429,$C453,$C$13:$C$429,$D453)</f>
        <v>0</v>
      </c>
      <c r="J453">
        <f>SUMIFS($Y$13:$Y$429,$A$13:$A$429,$C453,$C$13:$C$429,$D453)</f>
        <v>0</v>
      </c>
      <c r="K453">
        <f>SUMIFS($Z$13:$Z$429,$A$13:$A$429,$C453,$C$13:$C$429,$D453)</f>
        <v>0</v>
      </c>
      <c r="L453">
        <f>SUMIFS(L$13:L$429,$A$13:$A$429,$C453,$C$13:$C$429,$D453)</f>
        <v>0</v>
      </c>
      <c r="M453">
        <f>SUMIFS(M$13:M$429,$A$13:$A$429,$C453,$C$13:$C$429,$D453)</f>
        <v>0</v>
      </c>
      <c r="N453">
        <f>SUMIFS(N$13:N$429,$A$13:$A$429,$C453,$C$13:$C$429,$D453)</f>
        <v>0</v>
      </c>
      <c r="O453">
        <f>SUMIFS(O$13:O$429,$A$13:$A$429,$C453,$C$13:$C$429,$D453)</f>
        <v>0</v>
      </c>
      <c r="P453">
        <f>SUMIFS(P$13:P$429,$A$13:$A$429,$C453,$C$13:$C$429,$D453)</f>
        <v>0</v>
      </c>
      <c r="Q453">
        <f>SUMIFS(Q$13:Q$429,$A$13:$A$429,$C453,$C$13:$C$429,$D453)</f>
        <v>0</v>
      </c>
      <c r="R453">
        <f>SUMIFS(R$13:R$429,$A$13:$A$429,$C453,$C$13:$C$429,$D453)</f>
        <v>0</v>
      </c>
      <c r="S453">
        <f>SUMIFS(S$13:S$429,$A$13:$A$429,$C453,$C$13:$C$429,$D453)</f>
        <v>0</v>
      </c>
      <c r="T453">
        <f>SUMIFS(T$13:T$429,$A$13:$A$429,$C453,$C$13:$C$429,$D453)</f>
        <v>0</v>
      </c>
      <c r="U453">
        <f>SUM(L453:T453)</f>
        <v>0</v>
      </c>
      <c r="W453">
        <f>IF(SUM(H453:I453)&gt;0,SUM(H453:I453)/G453,0)</f>
        <v>0</v>
      </c>
      <c r="X453">
        <f>IF(G453&gt;0,U453/G453,0)</f>
        <v>0</v>
      </c>
    </row>
    <row r="454">
      <c r="C454" t="str">
        <v>Sloof</v>
      </c>
      <c r="D454" t="str">
        <v>Potongan S4</v>
      </c>
      <c r="G454">
        <f>SUMIFS($V$13:$V$429,$A$13:$A$429,$C454,$C$13:$C$429,$D454)</f>
        <v>1.458975</v>
      </c>
      <c r="H454">
        <f>SUMIFS($W$13:$W$429,$A$13:$A$429,$C454,$C$13:$C$429,$D454)</f>
        <v>0</v>
      </c>
      <c r="I454">
        <f>SUMIFS($X$13:$X$429,$A$13:$A$429,$C454,$C$13:$C$429,$D454)</f>
        <v>9.7265</v>
      </c>
      <c r="J454">
        <f>SUMIFS($Y$13:$Y$429,$A$13:$A$429,$C454,$C$13:$C$429,$D454)</f>
        <v>0.347375</v>
      </c>
      <c r="K454">
        <f>SUMIFS($Z$13:$Z$429,$A$13:$A$429,$C454,$C$13:$C$429,$D454)</f>
        <v>8.406475</v>
      </c>
      <c r="L454">
        <f>SUMIFS(L$13:L$429,$A$13:$A$429,$C454,$C$13:$C$429,$D454)</f>
        <v>0</v>
      </c>
      <c r="M454">
        <f>SUMIFS(M$13:M$429,$A$13:$A$429,$C454,$C$13:$C$429,$D454)</f>
        <v>0</v>
      </c>
      <c r="N454">
        <f>SUMIFS(N$13:N$429,$A$13:$A$429,$C454,$C$13:$C$429,$D454)</f>
        <v>92.96203500000001</v>
      </c>
      <c r="O454">
        <f>SUMIFS(O$13:O$429,$A$13:$A$429,$C454,$C$13:$C$429,$D454)</f>
        <v>0</v>
      </c>
      <c r="P454">
        <f>SUMIFS(P$13:P$429,$A$13:$A$429,$C454,$C$13:$C$429,$D454)</f>
        <v>204.52727808</v>
      </c>
      <c r="Q454">
        <f>SUMIFS(Q$13:Q$429,$A$13:$A$429,$C454,$C$13:$C$429,$D454)</f>
        <v>0</v>
      </c>
      <c r="R454">
        <f>SUMIFS(R$13:R$429,$A$13:$A$429,$C454,$C$13:$C$429,$D454)</f>
        <v>0</v>
      </c>
      <c r="S454">
        <f>SUMIFS(S$13:S$429,$A$13:$A$429,$C454,$C$13:$C$429,$D454)</f>
        <v>0</v>
      </c>
      <c r="T454">
        <f>SUMIFS(T$13:T$429,$A$13:$A$429,$C454,$C$13:$C$429,$D454)</f>
        <v>0</v>
      </c>
      <c r="U454">
        <f>SUM(L454:T454)</f>
        <v>297.48931308</v>
      </c>
      <c r="W454">
        <f>IF(SUM(H454:I454)&gt;0,SUM(H454:I454)/G454,0)</f>
        <v>6.666666666666667</v>
      </c>
      <c r="X454">
        <f>IF(G454&gt;0,U454/G454,0)</f>
        <v>203.90295452629414</v>
      </c>
    </row>
    <row r="455">
      <c r="C455" t="str">
        <v>Sloof</v>
      </c>
      <c r="D455" t="str">
        <v>BB</v>
      </c>
      <c r="G455">
        <f>SUMIFS($V$13:$V$429,$A$13:$A$429,$C455,$C$13:$C$429,$D455)</f>
        <v>0</v>
      </c>
      <c r="H455">
        <f>SUMIFS($W$13:$W$429,$A$13:$A$429,$C455,$C$13:$C$429,$D455)</f>
        <v>0</v>
      </c>
      <c r="I455">
        <f>SUMIFS($X$13:$X$429,$A$13:$A$429,$C455,$C$13:$C$429,$D455)</f>
        <v>0</v>
      </c>
      <c r="J455">
        <f>SUMIFS($Y$13:$Y$429,$A$13:$A$429,$C455,$C$13:$C$429,$D455)</f>
        <v>0.104</v>
      </c>
      <c r="K455">
        <f>SUMIFS($Z$13:$Z$429,$A$13:$A$429,$C455,$C$13:$C$429,$D455)</f>
        <v>1.04</v>
      </c>
      <c r="L455">
        <f>SUMIFS(L$13:L$429,$A$13:$A$429,$C455,$C$13:$C$429,$D455)</f>
        <v>0</v>
      </c>
      <c r="M455">
        <f>SUMIFS(M$13:M$429,$A$13:$A$429,$C455,$C$13:$C$429,$D455)</f>
        <v>11.2923072</v>
      </c>
      <c r="N455">
        <f>SUMIFS(N$13:N$429,$A$13:$A$429,$C455,$C$13:$C$429,$D455)</f>
        <v>13.41504</v>
      </c>
      <c r="O455">
        <f>SUMIFS(O$13:O$429,$A$13:$A$429,$C455,$C$13:$C$429,$D455)</f>
        <v>0</v>
      </c>
      <c r="P455">
        <f>SUMIFS(P$13:P$429,$A$13:$A$429,$C455,$C$13:$C$429,$D455)</f>
        <v>0</v>
      </c>
      <c r="Q455">
        <f>SUMIFS(Q$13:Q$429,$A$13:$A$429,$C455,$C$13:$C$429,$D455)</f>
        <v>0</v>
      </c>
      <c r="R455">
        <f>SUMIFS(R$13:R$429,$A$13:$A$429,$C455,$C$13:$C$429,$D455)</f>
        <v>0</v>
      </c>
      <c r="S455">
        <f>SUMIFS(S$13:S$429,$A$13:$A$429,$C455,$C$13:$C$429,$D455)</f>
        <v>0</v>
      </c>
      <c r="T455">
        <f>SUMIFS(T$13:T$429,$A$13:$A$429,$C455,$C$13:$C$429,$D455)</f>
        <v>0</v>
      </c>
      <c r="U455">
        <f>SUM(L455:T455)</f>
        <v>24.7073472</v>
      </c>
      <c r="W455">
        <f>IF(SUM(H455:I455)&gt;0,SUM(H455:I455)/G455,0)</f>
        <v>0</v>
      </c>
      <c r="X455">
        <f>IF(G455&gt;0,U455/G455,0)</f>
        <v>0</v>
      </c>
    </row>
    <row r="457">
      <c r="C457" t="str">
        <v>Subtotal (Sloof)</v>
      </c>
      <c r="G457">
        <f>SUM(G434:G456)</f>
        <v>38.309149999999995</v>
      </c>
      <c r="H457">
        <f>SUM(H434:H456)</f>
        <v>0</v>
      </c>
      <c r="I457">
        <f>SUM(I434:I456)</f>
        <v>333.155</v>
      </c>
      <c r="J457">
        <f>SUM(J434:J456)</f>
        <v>9.487299999999998</v>
      </c>
      <c r="K457">
        <f>SUM(K434:K456)</f>
        <v>240.4004</v>
      </c>
      <c r="L457">
        <f>SUM(L434:L456)</f>
        <v>0</v>
      </c>
      <c r="M457">
        <f>SUM(M434:M456)</f>
        <v>872.174564352</v>
      </c>
      <c r="N457">
        <f>SUM(N434:N456)</f>
        <v>1187.0830800000003</v>
      </c>
      <c r="O457">
        <f>SUM(O434:O456)</f>
        <v>1715.201722611</v>
      </c>
      <c r="P457">
        <f>SUM(P434:P456)</f>
        <v>1895.3021030400002</v>
      </c>
      <c r="Q457">
        <f>SUM(Q434:Q456)</f>
        <v>597.6988491825</v>
      </c>
      <c r="R457">
        <f>SUM(R434:R456)</f>
        <v>769.2465676499999</v>
      </c>
      <c r="S457">
        <f>SUM(S434:S456)</f>
        <v>0</v>
      </c>
      <c r="T457">
        <f>SUM(T434:T456)</f>
        <v>0</v>
      </c>
      <c r="U457">
        <f>SUM(U434:U456)</f>
        <v>7036.706886835499</v>
      </c>
    </row>
    <row r="459">
      <c r="C459" t="str">
        <v>Lantai 1</v>
      </c>
      <c r="D459" t="str">
        <v>B173-1</v>
      </c>
      <c r="G459">
        <f>SUMIFS($V$13:$V$429,$A$13:$A$429,$C459,$C$13:$C$429,$D459)</f>
        <v>0</v>
      </c>
      <c r="H459">
        <f>SUMIFS($W$13:$W$429,$A$13:$A$429,$C459,$C$13:$C$429,$D459)</f>
        <v>0</v>
      </c>
      <c r="I459">
        <f>SUMIFS($X$13:$X$429,$A$13:$A$429,$C459,$C$13:$C$429,$D459)</f>
        <v>0</v>
      </c>
      <c r="J459">
        <f>SUMIFS($Y$13:$Y$429,$A$13:$A$429,$C459,$C$13:$C$429,$D459)</f>
        <v>0</v>
      </c>
      <c r="K459">
        <f>SUMIFS($Z$13:$Z$429,$A$13:$A$429,$C459,$C$13:$C$429,$D459)</f>
        <v>0</v>
      </c>
      <c r="L459">
        <f>SUMIFS(L$13:L$429,$A$13:$A$429,$C459,$C$13:$C$429,$D459)</f>
        <v>0</v>
      </c>
      <c r="M459">
        <f>SUMIFS(M$13:M$429,$A$13:$A$429,$C459,$C$13:$C$429,$D459)</f>
        <v>0</v>
      </c>
      <c r="N459">
        <f>SUMIFS(N$13:N$429,$A$13:$A$429,$C459,$C$13:$C$429,$D459)</f>
        <v>0</v>
      </c>
      <c r="O459">
        <f>SUMIFS(O$13:O$429,$A$13:$A$429,$C459,$C$13:$C$429,$D459)</f>
        <v>0</v>
      </c>
      <c r="P459">
        <f>SUMIFS(P$13:P$429,$A$13:$A$429,$C459,$C$13:$C$429,$D459)</f>
        <v>0</v>
      </c>
      <c r="Q459">
        <f>SUMIFS(Q$13:Q$429,$A$13:$A$429,$C459,$C$13:$C$429,$D459)</f>
        <v>0</v>
      </c>
      <c r="R459">
        <f>SUMIFS(R$13:R$429,$A$13:$A$429,$C459,$C$13:$C$429,$D459)</f>
        <v>0</v>
      </c>
      <c r="S459">
        <f>SUMIFS(S$13:S$429,$A$13:$A$429,$C459,$C$13:$C$429,$D459)</f>
        <v>0</v>
      </c>
      <c r="T459">
        <f>SUMIFS(T$13:T$429,$A$13:$A$429,$C459,$C$13:$C$429,$D459)</f>
        <v>0</v>
      </c>
      <c r="U459">
        <f>SUM(L459:T459)</f>
        <v>0</v>
      </c>
      <c r="W459">
        <f>IF(SUM(H459:I459)&gt;0,SUM(H459:I459)/G459,0)</f>
        <v>0</v>
      </c>
      <c r="X459">
        <f>IF(G459&gt;0,U459/G459,0)</f>
        <v>0</v>
      </c>
    </row>
    <row r="460">
      <c r="C460" t="str">
        <v>Lantai 1</v>
      </c>
      <c r="D460" t="str">
        <v>B174-1</v>
      </c>
      <c r="G460">
        <f>SUMIFS($V$13:$V$429,$A$13:$A$429,$C460,$C$13:$C$429,$D460)</f>
        <v>1.2888975</v>
      </c>
      <c r="H460">
        <f>SUMIFS($W$13:$W$429,$A$13:$A$429,$C460,$C$13:$C$429,$D460)</f>
        <v>18.80235</v>
      </c>
      <c r="I460">
        <f>SUMIFS($X$13:$X$429,$A$13:$A$429,$C460,$C$13:$C$429,$D460)</f>
        <v>0</v>
      </c>
      <c r="J460">
        <f>SUMIFS($Y$13:$Y$429,$A$13:$A$429,$C460,$C$13:$C$429,$D460)</f>
        <v>0</v>
      </c>
      <c r="K460">
        <f>SUMIFS($Z$13:$Z$429,$A$13:$A$429,$C460,$C$13:$C$429,$D460)</f>
        <v>0</v>
      </c>
      <c r="L460">
        <f>SUMIFS(L$13:L$429,$A$13:$A$429,$C460,$C$13:$C$429,$D460)</f>
        <v>0</v>
      </c>
      <c r="M460">
        <f>SUMIFS(M$13:M$429,$A$13:$A$429,$C460,$C$13:$C$429,$D460)</f>
        <v>0</v>
      </c>
      <c r="N460">
        <f>SUMIFS(N$13:N$429,$A$13:$A$429,$C460,$C$13:$C$429,$D460)</f>
        <v>102.85686000000001</v>
      </c>
      <c r="O460">
        <f>SUMIFS(O$13:O$429,$A$13:$A$429,$C460,$C$13:$C$429,$D460)</f>
        <v>95.70755609999999</v>
      </c>
      <c r="P460">
        <f>SUMIFS(P$13:P$429,$A$13:$A$429,$C460,$C$13:$C$429,$D460)</f>
        <v>0</v>
      </c>
      <c r="Q460">
        <f>SUMIFS(Q$13:Q$429,$A$13:$A$429,$C460,$C$13:$C$429,$D460)</f>
        <v>0</v>
      </c>
      <c r="R460">
        <f>SUMIFS(R$13:R$429,$A$13:$A$429,$C460,$C$13:$C$429,$D460)</f>
        <v>0</v>
      </c>
      <c r="S460">
        <f>SUMIFS(S$13:S$429,$A$13:$A$429,$C460,$C$13:$C$429,$D460)</f>
        <v>0</v>
      </c>
      <c r="T460">
        <f>SUMIFS(T$13:T$429,$A$13:$A$429,$C460,$C$13:$C$429,$D460)</f>
        <v>0</v>
      </c>
      <c r="U460">
        <f>SUM(L460:T460)</f>
        <v>198.56441610000002</v>
      </c>
      <c r="W460">
        <f>IF(SUM(H460:I460)&gt;0,SUM(H460:I460)/G460,0)</f>
        <v>14.587932709932327</v>
      </c>
      <c r="X460">
        <f>IF(G460&gt;0,U460/G460,0)</f>
        <v>154.05756943434216</v>
      </c>
    </row>
    <row r="461">
      <c r="C461" t="str">
        <v>Lantai 1</v>
      </c>
      <c r="D461" t="str">
        <v>B174-2</v>
      </c>
      <c r="G461">
        <f>SUMIFS($V$13:$V$429,$A$13:$A$429,$C461,$C$13:$C$429,$D461)</f>
        <v>0.3385125</v>
      </c>
      <c r="H461">
        <f>SUMIFS($W$13:$W$429,$A$13:$A$429,$C461,$C$13:$C$429,$D461)</f>
        <v>5.08155</v>
      </c>
      <c r="I461">
        <f>SUMIFS($X$13:$X$429,$A$13:$A$429,$C461,$C$13:$C$429,$D461)</f>
        <v>0</v>
      </c>
      <c r="J461">
        <f>SUMIFS($Y$13:$Y$429,$A$13:$A$429,$C461,$C$13:$C$429,$D461)</f>
        <v>0</v>
      </c>
      <c r="K461">
        <f>SUMIFS($Z$13:$Z$429,$A$13:$A$429,$C461,$C$13:$C$429,$D461)</f>
        <v>0</v>
      </c>
      <c r="L461">
        <f>SUMIFS(L$13:L$429,$A$13:$A$429,$C461,$C$13:$C$429,$D461)</f>
        <v>0</v>
      </c>
      <c r="M461">
        <f>SUMIFS(M$13:M$429,$A$13:$A$429,$C461,$C$13:$C$429,$D461)</f>
        <v>0</v>
      </c>
      <c r="N461">
        <f>SUMIFS(N$13:N$429,$A$13:$A$429,$C461,$C$13:$C$429,$D461)</f>
        <v>37.674315</v>
      </c>
      <c r="O461">
        <f>SUMIFS(O$13:O$429,$A$13:$A$429,$C461,$C$13:$C$429,$D461)</f>
        <v>48.6351918</v>
      </c>
      <c r="P461">
        <f>SUMIFS(P$13:P$429,$A$13:$A$429,$C461,$C$13:$C$429,$D461)</f>
        <v>0</v>
      </c>
      <c r="Q461">
        <f>SUMIFS(Q$13:Q$429,$A$13:$A$429,$C461,$C$13:$C$429,$D461)</f>
        <v>0</v>
      </c>
      <c r="R461">
        <f>SUMIFS(R$13:R$429,$A$13:$A$429,$C461,$C$13:$C$429,$D461)</f>
        <v>0</v>
      </c>
      <c r="S461">
        <f>SUMIFS(S$13:S$429,$A$13:$A$429,$C461,$C$13:$C$429,$D461)</f>
        <v>0</v>
      </c>
      <c r="T461">
        <f>SUMIFS(T$13:T$429,$A$13:$A$429,$C461,$C$13:$C$429,$D461)</f>
        <v>0</v>
      </c>
      <c r="U461">
        <f>SUM(L461:T461)</f>
        <v>86.30950680000001</v>
      </c>
      <c r="W461">
        <f>IF(SUM(H461:I461)&gt;0,SUM(H461:I461)/G461,0)</f>
        <v>15.011410213803035</v>
      </c>
      <c r="X461">
        <f>IF(G461&gt;0,U461/G461,0)</f>
        <v>254.96697108673982</v>
      </c>
    </row>
    <row r="462">
      <c r="C462" t="str">
        <v>Lantai 1</v>
      </c>
      <c r="D462" t="str">
        <v>B175-1</v>
      </c>
      <c r="G462">
        <f>SUMIFS($V$13:$V$429,$A$13:$A$429,$C462,$C$13:$C$429,$D462)</f>
        <v>0</v>
      </c>
      <c r="H462">
        <f>SUMIFS($W$13:$W$429,$A$13:$A$429,$C462,$C$13:$C$429,$D462)</f>
        <v>0</v>
      </c>
      <c r="I462">
        <f>SUMIFS($X$13:$X$429,$A$13:$A$429,$C462,$C$13:$C$429,$D462)</f>
        <v>0</v>
      </c>
      <c r="J462">
        <f>SUMIFS($Y$13:$Y$429,$A$13:$A$429,$C462,$C$13:$C$429,$D462)</f>
        <v>0</v>
      </c>
      <c r="K462">
        <f>SUMIFS($Z$13:$Z$429,$A$13:$A$429,$C462,$C$13:$C$429,$D462)</f>
        <v>0</v>
      </c>
      <c r="L462">
        <f>SUMIFS(L$13:L$429,$A$13:$A$429,$C462,$C$13:$C$429,$D462)</f>
        <v>0</v>
      </c>
      <c r="M462">
        <f>SUMIFS(M$13:M$429,$A$13:$A$429,$C462,$C$13:$C$429,$D462)</f>
        <v>0</v>
      </c>
      <c r="N462">
        <f>SUMIFS(N$13:N$429,$A$13:$A$429,$C462,$C$13:$C$429,$D462)</f>
        <v>0</v>
      </c>
      <c r="O462">
        <f>SUMIFS(O$13:O$429,$A$13:$A$429,$C462,$C$13:$C$429,$D462)</f>
        <v>0</v>
      </c>
      <c r="P462">
        <f>SUMIFS(P$13:P$429,$A$13:$A$429,$C462,$C$13:$C$429,$D462)</f>
        <v>0</v>
      </c>
      <c r="Q462">
        <f>SUMIFS(Q$13:Q$429,$A$13:$A$429,$C462,$C$13:$C$429,$D462)</f>
        <v>0</v>
      </c>
      <c r="R462">
        <f>SUMIFS(R$13:R$429,$A$13:$A$429,$C462,$C$13:$C$429,$D462)</f>
        <v>0</v>
      </c>
      <c r="S462">
        <f>SUMIFS(S$13:S$429,$A$13:$A$429,$C462,$C$13:$C$429,$D462)</f>
        <v>0</v>
      </c>
      <c r="T462">
        <f>SUMIFS(T$13:T$429,$A$13:$A$429,$C462,$C$13:$C$429,$D462)</f>
        <v>0</v>
      </c>
      <c r="U462">
        <f>SUM(L462:T462)</f>
        <v>0</v>
      </c>
      <c r="W462">
        <f>IF(SUM(H462:I462)&gt;0,SUM(H462:I462)/G462,0)</f>
        <v>0</v>
      </c>
      <c r="X462">
        <f>IF(G462&gt;0,U462/G462,0)</f>
        <v>0</v>
      </c>
    </row>
    <row r="463">
      <c r="C463" t="str">
        <v>Lantai 1</v>
      </c>
      <c r="D463" t="str">
        <v>B175-2</v>
      </c>
      <c r="G463">
        <f>SUMIFS($V$13:$V$429,$A$13:$A$429,$C463,$C$13:$C$429,$D463)</f>
        <v>0</v>
      </c>
      <c r="H463">
        <f>SUMIFS($W$13:$W$429,$A$13:$A$429,$C463,$C$13:$C$429,$D463)</f>
        <v>0</v>
      </c>
      <c r="I463">
        <f>SUMIFS($X$13:$X$429,$A$13:$A$429,$C463,$C$13:$C$429,$D463)</f>
        <v>0</v>
      </c>
      <c r="J463">
        <f>SUMIFS($Y$13:$Y$429,$A$13:$A$429,$C463,$C$13:$C$429,$D463)</f>
        <v>0</v>
      </c>
      <c r="K463">
        <f>SUMIFS($Z$13:$Z$429,$A$13:$A$429,$C463,$C$13:$C$429,$D463)</f>
        <v>0</v>
      </c>
      <c r="L463">
        <f>SUMIFS(L$13:L$429,$A$13:$A$429,$C463,$C$13:$C$429,$D463)</f>
        <v>0</v>
      </c>
      <c r="M463">
        <f>SUMIFS(M$13:M$429,$A$13:$A$429,$C463,$C$13:$C$429,$D463)</f>
        <v>0</v>
      </c>
      <c r="N463">
        <f>SUMIFS(N$13:N$429,$A$13:$A$429,$C463,$C$13:$C$429,$D463)</f>
        <v>0</v>
      </c>
      <c r="O463">
        <f>SUMIFS(O$13:O$429,$A$13:$A$429,$C463,$C$13:$C$429,$D463)</f>
        <v>0</v>
      </c>
      <c r="P463">
        <f>SUMIFS(P$13:P$429,$A$13:$A$429,$C463,$C$13:$C$429,$D463)</f>
        <v>0</v>
      </c>
      <c r="Q463">
        <f>SUMIFS(Q$13:Q$429,$A$13:$A$429,$C463,$C$13:$C$429,$D463)</f>
        <v>0</v>
      </c>
      <c r="R463">
        <f>SUMIFS(R$13:R$429,$A$13:$A$429,$C463,$C$13:$C$429,$D463)</f>
        <v>0</v>
      </c>
      <c r="S463">
        <f>SUMIFS(S$13:S$429,$A$13:$A$429,$C463,$C$13:$C$429,$D463)</f>
        <v>0</v>
      </c>
      <c r="T463">
        <f>SUMIFS(T$13:T$429,$A$13:$A$429,$C463,$C$13:$C$429,$D463)</f>
        <v>0</v>
      </c>
      <c r="U463">
        <f>SUM(L463:T463)</f>
        <v>0</v>
      </c>
      <c r="W463">
        <f>IF(SUM(H463:I463)&gt;0,SUM(H463:I463)/G463,0)</f>
        <v>0</v>
      </c>
      <c r="X463">
        <f>IF(G463&gt;0,U463/G463,0)</f>
        <v>0</v>
      </c>
    </row>
    <row r="464">
      <c r="C464" t="str">
        <v>Lantai 1</v>
      </c>
      <c r="D464" t="str">
        <v>B176-1</v>
      </c>
      <c r="G464">
        <f>SUMIFS($V$13:$V$429,$A$13:$A$429,$C464,$C$13:$C$429,$D464)</f>
        <v>0.39151</v>
      </c>
      <c r="H464">
        <f>SUMIFS($W$13:$W$429,$A$13:$A$429,$C464,$C$13:$C$429,$D464)</f>
        <v>5.439</v>
      </c>
      <c r="I464">
        <f>SUMIFS($X$13:$X$429,$A$13:$A$429,$C464,$C$13:$C$429,$D464)</f>
        <v>0</v>
      </c>
      <c r="J464">
        <f>SUMIFS($Y$13:$Y$429,$A$13:$A$429,$C464,$C$13:$C$429,$D464)</f>
        <v>0</v>
      </c>
      <c r="K464">
        <f>SUMIFS($Z$13:$Z$429,$A$13:$A$429,$C464,$C$13:$C$429,$D464)</f>
        <v>0</v>
      </c>
      <c r="L464">
        <f>SUMIFS(L$13:L$429,$A$13:$A$429,$C464,$C$13:$C$429,$D464)</f>
        <v>0</v>
      </c>
      <c r="M464">
        <f>SUMIFS(M$13:M$429,$A$13:$A$429,$C464,$C$13:$C$429,$D464)</f>
        <v>0</v>
      </c>
      <c r="N464">
        <f>SUMIFS(N$13:N$429,$A$13:$A$429,$C464,$C$13:$C$429,$D464)</f>
        <v>38.43261</v>
      </c>
      <c r="O464">
        <f>SUMIFS(O$13:O$429,$A$13:$A$429,$C464,$C$13:$C$429,$D464)</f>
        <v>32.58182772</v>
      </c>
      <c r="P464">
        <f>SUMIFS(P$13:P$429,$A$13:$A$429,$C464,$C$13:$C$429,$D464)</f>
        <v>0</v>
      </c>
      <c r="Q464">
        <f>SUMIFS(Q$13:Q$429,$A$13:$A$429,$C464,$C$13:$C$429,$D464)</f>
        <v>0</v>
      </c>
      <c r="R464">
        <f>SUMIFS(R$13:R$429,$A$13:$A$429,$C464,$C$13:$C$429,$D464)</f>
        <v>0</v>
      </c>
      <c r="S464">
        <f>SUMIFS(S$13:S$429,$A$13:$A$429,$C464,$C$13:$C$429,$D464)</f>
        <v>0</v>
      </c>
      <c r="T464">
        <f>SUMIFS(T$13:T$429,$A$13:$A$429,$C464,$C$13:$C$429,$D464)</f>
        <v>0</v>
      </c>
      <c r="U464">
        <f>SUM(L464:T464)</f>
        <v>71.01443771999999</v>
      </c>
      <c r="W464">
        <f>IF(SUM(H464:I464)&gt;0,SUM(H464:I464)/G464,0)</f>
        <v>13.892365456821025</v>
      </c>
      <c r="X464">
        <f>IF(G464&gt;0,U464/G464,0)</f>
        <v>181.38601241347598</v>
      </c>
    </row>
    <row r="465">
      <c r="C465" t="str">
        <v>Lantai 1</v>
      </c>
      <c r="D465" t="str">
        <v>CL176-1</v>
      </c>
      <c r="G465">
        <f>SUMIFS($V$13:$V$429,$A$13:$A$429,$C465,$C$13:$C$429,$D465)</f>
        <v>0</v>
      </c>
      <c r="H465">
        <f>SUMIFS($W$13:$W$429,$A$13:$A$429,$C465,$C$13:$C$429,$D465)</f>
        <v>0</v>
      </c>
      <c r="I465">
        <f>SUMIFS($X$13:$X$429,$A$13:$A$429,$C465,$C$13:$C$429,$D465)</f>
        <v>0</v>
      </c>
      <c r="J465">
        <f>SUMIFS($Y$13:$Y$429,$A$13:$A$429,$C465,$C$13:$C$429,$D465)</f>
        <v>0</v>
      </c>
      <c r="K465">
        <f>SUMIFS($Z$13:$Z$429,$A$13:$A$429,$C465,$C$13:$C$429,$D465)</f>
        <v>0</v>
      </c>
      <c r="L465">
        <f>SUMIFS(L$13:L$429,$A$13:$A$429,$C465,$C$13:$C$429,$D465)</f>
        <v>0</v>
      </c>
      <c r="M465">
        <f>SUMIFS(M$13:M$429,$A$13:$A$429,$C465,$C$13:$C$429,$D465)</f>
        <v>0</v>
      </c>
      <c r="N465">
        <f>SUMIFS(N$13:N$429,$A$13:$A$429,$C465,$C$13:$C$429,$D465)</f>
        <v>0</v>
      </c>
      <c r="O465">
        <f>SUMIFS(O$13:O$429,$A$13:$A$429,$C465,$C$13:$C$429,$D465)</f>
        <v>0</v>
      </c>
      <c r="P465">
        <f>SUMIFS(P$13:P$429,$A$13:$A$429,$C465,$C$13:$C$429,$D465)</f>
        <v>0</v>
      </c>
      <c r="Q465">
        <f>SUMIFS(Q$13:Q$429,$A$13:$A$429,$C465,$C$13:$C$429,$D465)</f>
        <v>0</v>
      </c>
      <c r="R465">
        <f>SUMIFS(R$13:R$429,$A$13:$A$429,$C465,$C$13:$C$429,$D465)</f>
        <v>0</v>
      </c>
      <c r="S465">
        <f>SUMIFS(S$13:S$429,$A$13:$A$429,$C465,$C$13:$C$429,$D465)</f>
        <v>0</v>
      </c>
      <c r="T465">
        <f>SUMIFS(T$13:T$429,$A$13:$A$429,$C465,$C$13:$C$429,$D465)</f>
        <v>0</v>
      </c>
      <c r="U465">
        <f>SUM(L465:T465)</f>
        <v>0</v>
      </c>
      <c r="W465">
        <f>IF(SUM(H465:I465)&gt;0,SUM(H465:I465)/G465,0)</f>
        <v>0</v>
      </c>
      <c r="X465">
        <f>IF(G465&gt;0,U465/G465,0)</f>
        <v>0</v>
      </c>
    </row>
    <row r="466">
      <c r="C466" t="str">
        <v>Lantai 1</v>
      </c>
      <c r="D466" t="str">
        <v>B23-1</v>
      </c>
      <c r="G466">
        <f>SUMIFS($V$13:$V$429,$A$13:$A$429,$C466,$C$13:$C$429,$D466)</f>
        <v>0.23910000000000003</v>
      </c>
      <c r="H466">
        <f>SUMIFS($W$13:$W$429,$A$13:$A$429,$C466,$C$13:$C$429,$D466)</f>
        <v>3.8810000000000002</v>
      </c>
      <c r="I466">
        <f>SUMIFS($X$13:$X$429,$A$13:$A$429,$C466,$C$13:$C$429,$D466)</f>
        <v>0</v>
      </c>
      <c r="J466">
        <f>SUMIFS($Y$13:$Y$429,$A$13:$A$429,$C466,$C$13:$C$429,$D466)</f>
        <v>0</v>
      </c>
      <c r="K466">
        <f>SUMIFS($Z$13:$Z$429,$A$13:$A$429,$C466,$C$13:$C$429,$D466)</f>
        <v>0</v>
      </c>
      <c r="L466">
        <f>SUMIFS(L$13:L$429,$A$13:$A$429,$C466,$C$13:$C$429,$D466)</f>
        <v>0</v>
      </c>
      <c r="M466">
        <f>SUMIFS(M$13:M$429,$A$13:$A$429,$C466,$C$13:$C$429,$D466)</f>
        <v>25.2163296</v>
      </c>
      <c r="N466">
        <f>SUMIFS(N$13:N$429,$A$13:$A$429,$C466,$C$13:$C$429,$D466)</f>
        <v>0</v>
      </c>
      <c r="O466">
        <f>SUMIFS(O$13:O$429,$A$13:$A$429,$C466,$C$13:$C$429,$D466)</f>
        <v>37.5495354</v>
      </c>
      <c r="P466">
        <f>SUMIFS(P$13:P$429,$A$13:$A$429,$C466,$C$13:$C$429,$D466)</f>
        <v>0</v>
      </c>
      <c r="Q466">
        <f>SUMIFS(Q$13:Q$429,$A$13:$A$429,$C466,$C$13:$C$429,$D466)</f>
        <v>0</v>
      </c>
      <c r="R466">
        <f>SUMIFS(R$13:R$429,$A$13:$A$429,$C466,$C$13:$C$429,$D466)</f>
        <v>0</v>
      </c>
      <c r="S466">
        <f>SUMIFS(S$13:S$429,$A$13:$A$429,$C466,$C$13:$C$429,$D466)</f>
        <v>0</v>
      </c>
      <c r="T466">
        <f>SUMIFS(T$13:T$429,$A$13:$A$429,$C466,$C$13:$C$429,$D466)</f>
        <v>0</v>
      </c>
      <c r="U466">
        <f>SUM(L466:T466)</f>
        <v>62.765865000000005</v>
      </c>
      <c r="W466">
        <f>IF(SUM(H466:I466)&gt;0,SUM(H466:I466)/G466,0)</f>
        <v>16.231702216645754</v>
      </c>
      <c r="X466">
        <f>IF(G466&gt;0,U466/G466,0)</f>
        <v>262.50884567126724</v>
      </c>
    </row>
    <row r="467">
      <c r="C467" t="str">
        <v>Lantai 1</v>
      </c>
      <c r="D467" t="str">
        <v>B23-2</v>
      </c>
      <c r="G467">
        <f>SUMIFS($V$13:$V$429,$A$13:$A$429,$C467,$C$13:$C$429,$D467)</f>
        <v>0.11339</v>
      </c>
      <c r="H467">
        <f>SUMIFS($W$13:$W$429,$A$13:$A$429,$C467,$C$13:$C$429,$D467)</f>
        <v>1.8009</v>
      </c>
      <c r="I467">
        <f>SUMIFS($X$13:$X$429,$A$13:$A$429,$C467,$C$13:$C$429,$D467)</f>
        <v>0</v>
      </c>
      <c r="J467">
        <f>SUMIFS($Y$13:$Y$429,$A$13:$A$429,$C467,$C$13:$C$429,$D467)</f>
        <v>0</v>
      </c>
      <c r="K467">
        <f>SUMIFS($Z$13:$Z$429,$A$13:$A$429,$C467,$C$13:$C$429,$D467)</f>
        <v>0</v>
      </c>
      <c r="L467">
        <f>SUMIFS(L$13:L$429,$A$13:$A$429,$C467,$C$13:$C$429,$D467)</f>
        <v>0</v>
      </c>
      <c r="M467">
        <f>SUMIFS(M$13:M$429,$A$13:$A$429,$C467,$C$13:$C$429,$D467)</f>
        <v>9.4970592</v>
      </c>
      <c r="N467">
        <f>SUMIFS(N$13:N$429,$A$13:$A$429,$C467,$C$13:$C$429,$D467)</f>
        <v>0</v>
      </c>
      <c r="O467">
        <f>SUMIFS(O$13:O$429,$A$13:$A$429,$C467,$C$13:$C$429,$D467)</f>
        <v>20.136511395</v>
      </c>
      <c r="P467">
        <f>SUMIFS(P$13:P$429,$A$13:$A$429,$C467,$C$13:$C$429,$D467)</f>
        <v>0</v>
      </c>
      <c r="Q467">
        <f>SUMIFS(Q$13:Q$429,$A$13:$A$429,$C467,$C$13:$C$429,$D467)</f>
        <v>0</v>
      </c>
      <c r="R467">
        <f>SUMIFS(R$13:R$429,$A$13:$A$429,$C467,$C$13:$C$429,$D467)</f>
        <v>0</v>
      </c>
      <c r="S467">
        <f>SUMIFS(S$13:S$429,$A$13:$A$429,$C467,$C$13:$C$429,$D467)</f>
        <v>0</v>
      </c>
      <c r="T467">
        <f>SUMIFS(T$13:T$429,$A$13:$A$429,$C467,$C$13:$C$429,$D467)</f>
        <v>0</v>
      </c>
      <c r="U467">
        <f>SUM(L467:T467)</f>
        <v>29.633570595000002</v>
      </c>
      <c r="W467">
        <f>IF(SUM(H467:I467)&gt;0,SUM(H467:I467)/G467,0)</f>
        <v>15.88235294117647</v>
      </c>
      <c r="X467">
        <f>IF(G467&gt;0,U467/G467,0)</f>
        <v>261.34201071523063</v>
      </c>
    </row>
    <row r="468">
      <c r="C468" t="str">
        <v>Lantai 1</v>
      </c>
      <c r="D468" t="str">
        <v>B24-1</v>
      </c>
      <c r="G468">
        <f>SUMIFS($V$13:$V$429,$A$13:$A$429,$C468,$C$13:$C$429,$D468)</f>
        <v>1.73119</v>
      </c>
      <c r="H468">
        <f>SUMIFS($W$13:$W$429,$A$13:$A$429,$C468,$C$13:$C$429,$D468)</f>
        <v>22.932899999999997</v>
      </c>
      <c r="I468">
        <f>SUMIFS($X$13:$X$429,$A$13:$A$429,$C468,$C$13:$C$429,$D468)</f>
        <v>0</v>
      </c>
      <c r="J468">
        <f>SUMIFS($Y$13:$Y$429,$A$13:$A$429,$C468,$C$13:$C$429,$D468)</f>
        <v>0</v>
      </c>
      <c r="K468">
        <f>SUMIFS($Z$13:$Z$429,$A$13:$A$429,$C468,$C$13:$C$429,$D468)</f>
        <v>0</v>
      </c>
      <c r="L468">
        <f>SUMIFS(L$13:L$429,$A$13:$A$429,$C468,$C$13:$C$429,$D468)</f>
        <v>0</v>
      </c>
      <c r="M468">
        <f>SUMIFS(M$13:M$429,$A$13:$A$429,$C468,$C$13:$C$429,$D468)</f>
        <v>93.47126400000002</v>
      </c>
      <c r="N468">
        <f>SUMIFS(N$13:N$429,$A$13:$A$429,$C468,$C$13:$C$429,$D468)</f>
        <v>0</v>
      </c>
      <c r="O468">
        <f>SUMIFS(O$13:O$429,$A$13:$A$429,$C468,$C$13:$C$429,$D468)</f>
        <v>126.23061905999998</v>
      </c>
      <c r="P468">
        <f>SUMIFS(P$13:P$429,$A$13:$A$429,$C468,$C$13:$C$429,$D468)</f>
        <v>0</v>
      </c>
      <c r="Q468">
        <f>SUMIFS(Q$13:Q$429,$A$13:$A$429,$C468,$C$13:$C$429,$D468)</f>
        <v>0</v>
      </c>
      <c r="R468">
        <f>SUMIFS(R$13:R$429,$A$13:$A$429,$C468,$C$13:$C$429,$D468)</f>
        <v>0</v>
      </c>
      <c r="S468">
        <f>SUMIFS(S$13:S$429,$A$13:$A$429,$C468,$C$13:$C$429,$D468)</f>
        <v>0</v>
      </c>
      <c r="T468">
        <f>SUMIFS(T$13:T$429,$A$13:$A$429,$C468,$C$13:$C$429,$D468)</f>
        <v>0</v>
      </c>
      <c r="U468">
        <f>SUM(L468:T468)</f>
        <v>219.70188306</v>
      </c>
      <c r="W468">
        <f>IF(SUM(H468:I468)&gt;0,SUM(H468:I468)/G468,0)</f>
        <v>13.246899531536108</v>
      </c>
      <c r="X468">
        <f>IF(G468&gt;0,U468/G468,0)</f>
        <v>126.90801301994581</v>
      </c>
    </row>
    <row r="469">
      <c r="C469" t="str">
        <v>Lantai 1</v>
      </c>
      <c r="D469" t="str">
        <v>B24-2</v>
      </c>
      <c r="G469">
        <f>SUMIFS($V$13:$V$429,$A$13:$A$429,$C469,$C$13:$C$429,$D469)</f>
        <v>1.4598900000000001</v>
      </c>
      <c r="H469">
        <f>SUMIFS($W$13:$W$429,$A$13:$A$429,$C469,$C$13:$C$429,$D469)</f>
        <v>18.9399</v>
      </c>
      <c r="I469">
        <f>SUMIFS($X$13:$X$429,$A$13:$A$429,$C469,$C$13:$C$429,$D469)</f>
        <v>0</v>
      </c>
      <c r="J469">
        <f>SUMIFS($Y$13:$Y$429,$A$13:$A$429,$C469,$C$13:$C$429,$D469)</f>
        <v>0</v>
      </c>
      <c r="K469">
        <f>SUMIFS($Z$13:$Z$429,$A$13:$A$429,$C469,$C$13:$C$429,$D469)</f>
        <v>0</v>
      </c>
      <c r="L469">
        <f>SUMIFS(L$13:L$429,$A$13:$A$429,$C469,$C$13:$C$429,$D469)</f>
        <v>0</v>
      </c>
      <c r="M469">
        <f>SUMIFS(M$13:M$429,$A$13:$A$429,$C469,$C$13:$C$429,$D469)</f>
        <v>70.3066464</v>
      </c>
      <c r="N469">
        <f>SUMIFS(N$13:N$429,$A$13:$A$429,$C469,$C$13:$C$429,$D469)</f>
        <v>0</v>
      </c>
      <c r="O469">
        <f>SUMIFS(O$13:O$429,$A$13:$A$429,$C469,$C$13:$C$429,$D469)</f>
        <v>0</v>
      </c>
      <c r="P469">
        <f>SUMIFS(P$13:P$429,$A$13:$A$429,$C469,$C$13:$C$429,$D469)</f>
        <v>146.71950336</v>
      </c>
      <c r="Q469">
        <f>SUMIFS(Q$13:Q$429,$A$13:$A$429,$C469,$C$13:$C$429,$D469)</f>
        <v>0</v>
      </c>
      <c r="R469">
        <f>SUMIFS(R$13:R$429,$A$13:$A$429,$C469,$C$13:$C$429,$D469)</f>
        <v>0</v>
      </c>
      <c r="S469">
        <f>SUMIFS(S$13:S$429,$A$13:$A$429,$C469,$C$13:$C$429,$D469)</f>
        <v>0</v>
      </c>
      <c r="T469">
        <f>SUMIFS(T$13:T$429,$A$13:$A$429,$C469,$C$13:$C$429,$D469)</f>
        <v>0</v>
      </c>
      <c r="U469">
        <f>SUM(L469:T469)</f>
        <v>217.02614976</v>
      </c>
      <c r="W469">
        <f>IF(SUM(H469:I469)&gt;0,SUM(H469:I469)/G469,0)</f>
        <v>12.973511702936522</v>
      </c>
      <c r="X469">
        <f>IF(G469&gt;0,U469/G469,0)</f>
        <v>148.65924813513345</v>
      </c>
    </row>
    <row r="470">
      <c r="C470" t="str">
        <v>Lantai 1</v>
      </c>
      <c r="D470" t="str">
        <v>B24-3</v>
      </c>
      <c r="G470">
        <f>SUMIFS($V$13:$V$429,$A$13:$A$429,$C470,$C$13:$C$429,$D470)</f>
        <v>0.23031</v>
      </c>
      <c r="H470">
        <f>SUMIFS($W$13:$W$429,$A$13:$A$429,$C470,$C$13:$C$429,$D470)</f>
        <v>3.1561</v>
      </c>
      <c r="I470">
        <f>SUMIFS($X$13:$X$429,$A$13:$A$429,$C470,$C$13:$C$429,$D470)</f>
        <v>0</v>
      </c>
      <c r="J470">
        <f>SUMIFS($Y$13:$Y$429,$A$13:$A$429,$C470,$C$13:$C$429,$D470)</f>
        <v>0</v>
      </c>
      <c r="K470">
        <f>SUMIFS($Z$13:$Z$429,$A$13:$A$429,$C470,$C$13:$C$429,$D470)</f>
        <v>0</v>
      </c>
      <c r="L470">
        <f>SUMIFS(L$13:L$429,$A$13:$A$429,$C470,$C$13:$C$429,$D470)</f>
        <v>0</v>
      </c>
      <c r="M470">
        <f>SUMIFS(M$13:M$429,$A$13:$A$429,$C470,$C$13:$C$429,$D470)</f>
        <v>0</v>
      </c>
      <c r="N470">
        <f>SUMIFS(N$13:N$429,$A$13:$A$429,$C470,$C$13:$C$429,$D470)</f>
        <v>22.224825000000003</v>
      </c>
      <c r="O470">
        <f>SUMIFS(O$13:O$429,$A$13:$A$429,$C470,$C$13:$C$429,$D470)</f>
        <v>0</v>
      </c>
      <c r="P470">
        <f>SUMIFS(P$13:P$429,$A$13:$A$429,$C470,$C$13:$C$429,$D470)</f>
        <v>44.02342655999999</v>
      </c>
      <c r="Q470">
        <f>SUMIFS(Q$13:Q$429,$A$13:$A$429,$C470,$C$13:$C$429,$D470)</f>
        <v>0</v>
      </c>
      <c r="R470">
        <f>SUMIFS(R$13:R$429,$A$13:$A$429,$C470,$C$13:$C$429,$D470)</f>
        <v>0</v>
      </c>
      <c r="S470">
        <f>SUMIFS(S$13:S$429,$A$13:$A$429,$C470,$C$13:$C$429,$D470)</f>
        <v>0</v>
      </c>
      <c r="T470">
        <f>SUMIFS(T$13:T$429,$A$13:$A$429,$C470,$C$13:$C$429,$D470)</f>
        <v>0</v>
      </c>
      <c r="U470">
        <f>SUM(L470:T470)</f>
        <v>66.24825156</v>
      </c>
      <c r="W470">
        <f>IF(SUM(H470:I470)&gt;0,SUM(H470:I470)/G470,0)</f>
        <v>13.703703703703704</v>
      </c>
      <c r="X470">
        <f>IF(G470&gt;0,U470/G470,0)</f>
        <v>287.6481766314967</v>
      </c>
    </row>
    <row r="471">
      <c r="C471" t="str">
        <v>Lantai 1</v>
      </c>
      <c r="D471" t="str">
        <v>B24-4</v>
      </c>
      <c r="G471">
        <f>SUMIFS($V$13:$V$429,$A$13:$A$429,$C471,$C$13:$C$429,$D471)</f>
        <v>0</v>
      </c>
      <c r="H471">
        <f>SUMIFS($W$13:$W$429,$A$13:$A$429,$C471,$C$13:$C$429,$D471)</f>
        <v>0</v>
      </c>
      <c r="I471">
        <f>SUMIFS($X$13:$X$429,$A$13:$A$429,$C471,$C$13:$C$429,$D471)</f>
        <v>0</v>
      </c>
      <c r="J471">
        <f>SUMIFS($Y$13:$Y$429,$A$13:$A$429,$C471,$C$13:$C$429,$D471)</f>
        <v>0</v>
      </c>
      <c r="K471">
        <f>SUMIFS($Z$13:$Z$429,$A$13:$A$429,$C471,$C$13:$C$429,$D471)</f>
        <v>0</v>
      </c>
      <c r="L471">
        <f>SUMIFS(L$13:L$429,$A$13:$A$429,$C471,$C$13:$C$429,$D471)</f>
        <v>0</v>
      </c>
      <c r="M471">
        <f>SUMIFS(M$13:M$429,$A$13:$A$429,$C471,$C$13:$C$429,$D471)</f>
        <v>0</v>
      </c>
      <c r="N471">
        <f>SUMIFS(N$13:N$429,$A$13:$A$429,$C471,$C$13:$C$429,$D471)</f>
        <v>0</v>
      </c>
      <c r="O471">
        <f>SUMIFS(O$13:O$429,$A$13:$A$429,$C471,$C$13:$C$429,$D471)</f>
        <v>0</v>
      </c>
      <c r="P471">
        <f>SUMIFS(P$13:P$429,$A$13:$A$429,$C471,$C$13:$C$429,$D471)</f>
        <v>0</v>
      </c>
      <c r="Q471">
        <f>SUMIFS(Q$13:Q$429,$A$13:$A$429,$C471,$C$13:$C$429,$D471)</f>
        <v>0</v>
      </c>
      <c r="R471">
        <f>SUMIFS(R$13:R$429,$A$13:$A$429,$C471,$C$13:$C$429,$D471)</f>
        <v>0</v>
      </c>
      <c r="S471">
        <f>SUMIFS(S$13:S$429,$A$13:$A$429,$C471,$C$13:$C$429,$D471)</f>
        <v>0</v>
      </c>
      <c r="T471">
        <f>SUMIFS(T$13:T$429,$A$13:$A$429,$C471,$C$13:$C$429,$D471)</f>
        <v>0</v>
      </c>
      <c r="U471">
        <f>SUM(L471:T471)</f>
        <v>0</v>
      </c>
      <c r="W471">
        <f>IF(SUM(H471:I471)&gt;0,SUM(H471:I471)/G471,0)</f>
        <v>0</v>
      </c>
      <c r="X471">
        <f>IF(G471&gt;0,U471/G471,0)</f>
        <v>0</v>
      </c>
    </row>
    <row r="472">
      <c r="C472" t="str">
        <v>Lantai 1</v>
      </c>
      <c r="D472" t="str">
        <v>B24-5</v>
      </c>
      <c r="G472">
        <f>SUMIFS($V$13:$V$429,$A$13:$A$429,$C472,$C$13:$C$429,$D472)</f>
        <v>0</v>
      </c>
      <c r="H472">
        <f>SUMIFS($W$13:$W$429,$A$13:$A$429,$C472,$C$13:$C$429,$D472)</f>
        <v>0</v>
      </c>
      <c r="I472">
        <f>SUMIFS($X$13:$X$429,$A$13:$A$429,$C472,$C$13:$C$429,$D472)</f>
        <v>0</v>
      </c>
      <c r="J472">
        <f>SUMIFS($Y$13:$Y$429,$A$13:$A$429,$C472,$C$13:$C$429,$D472)</f>
        <v>0</v>
      </c>
      <c r="K472">
        <f>SUMIFS($Z$13:$Z$429,$A$13:$A$429,$C472,$C$13:$C$429,$D472)</f>
        <v>0</v>
      </c>
      <c r="L472">
        <f>SUMIFS(L$13:L$429,$A$13:$A$429,$C472,$C$13:$C$429,$D472)</f>
        <v>0</v>
      </c>
      <c r="M472">
        <f>SUMIFS(M$13:M$429,$A$13:$A$429,$C472,$C$13:$C$429,$D472)</f>
        <v>0</v>
      </c>
      <c r="N472">
        <f>SUMIFS(N$13:N$429,$A$13:$A$429,$C472,$C$13:$C$429,$D472)</f>
        <v>0</v>
      </c>
      <c r="O472">
        <f>SUMIFS(O$13:O$429,$A$13:$A$429,$C472,$C$13:$C$429,$D472)</f>
        <v>0</v>
      </c>
      <c r="P472">
        <f>SUMIFS(P$13:P$429,$A$13:$A$429,$C472,$C$13:$C$429,$D472)</f>
        <v>0</v>
      </c>
      <c r="Q472">
        <f>SUMIFS(Q$13:Q$429,$A$13:$A$429,$C472,$C$13:$C$429,$D472)</f>
        <v>0</v>
      </c>
      <c r="R472">
        <f>SUMIFS(R$13:R$429,$A$13:$A$429,$C472,$C$13:$C$429,$D472)</f>
        <v>0</v>
      </c>
      <c r="S472">
        <f>SUMIFS(S$13:S$429,$A$13:$A$429,$C472,$C$13:$C$429,$D472)</f>
        <v>0</v>
      </c>
      <c r="T472">
        <f>SUMIFS(T$13:T$429,$A$13:$A$429,$C472,$C$13:$C$429,$D472)</f>
        <v>0</v>
      </c>
      <c r="U472">
        <f>SUM(L472:T472)</f>
        <v>0</v>
      </c>
      <c r="W472">
        <f>IF(SUM(H472:I472)&gt;0,SUM(H472:I472)/G472,0)</f>
        <v>0</v>
      </c>
      <c r="X472">
        <f>IF(G472&gt;0,U472/G472,0)</f>
        <v>0</v>
      </c>
    </row>
    <row r="473">
      <c r="C473" t="str">
        <v>Lantai 1</v>
      </c>
      <c r="D473" t="str">
        <v>B24-6</v>
      </c>
      <c r="G473">
        <f>SUMIFS($V$13:$V$429,$A$13:$A$429,$C473,$C$13:$C$429,$D473)</f>
        <v>0</v>
      </c>
      <c r="H473">
        <f>SUMIFS($W$13:$W$429,$A$13:$A$429,$C473,$C$13:$C$429,$D473)</f>
        <v>0</v>
      </c>
      <c r="I473">
        <f>SUMIFS($X$13:$X$429,$A$13:$A$429,$C473,$C$13:$C$429,$D473)</f>
        <v>0</v>
      </c>
      <c r="J473">
        <f>SUMIFS($Y$13:$Y$429,$A$13:$A$429,$C473,$C$13:$C$429,$D473)</f>
        <v>0</v>
      </c>
      <c r="K473">
        <f>SUMIFS($Z$13:$Z$429,$A$13:$A$429,$C473,$C$13:$C$429,$D473)</f>
        <v>0</v>
      </c>
      <c r="L473">
        <f>SUMIFS(L$13:L$429,$A$13:$A$429,$C473,$C$13:$C$429,$D473)</f>
        <v>0</v>
      </c>
      <c r="M473">
        <f>SUMIFS(M$13:M$429,$A$13:$A$429,$C473,$C$13:$C$429,$D473)</f>
        <v>0</v>
      </c>
      <c r="N473">
        <f>SUMIFS(N$13:N$429,$A$13:$A$429,$C473,$C$13:$C$429,$D473)</f>
        <v>0</v>
      </c>
      <c r="O473">
        <f>SUMIFS(O$13:O$429,$A$13:$A$429,$C473,$C$13:$C$429,$D473)</f>
        <v>0</v>
      </c>
      <c r="P473">
        <f>SUMIFS(P$13:P$429,$A$13:$A$429,$C473,$C$13:$C$429,$D473)</f>
        <v>0</v>
      </c>
      <c r="Q473">
        <f>SUMIFS(Q$13:Q$429,$A$13:$A$429,$C473,$C$13:$C$429,$D473)</f>
        <v>0</v>
      </c>
      <c r="R473">
        <f>SUMIFS(R$13:R$429,$A$13:$A$429,$C473,$C$13:$C$429,$D473)</f>
        <v>0</v>
      </c>
      <c r="S473">
        <f>SUMIFS(S$13:S$429,$A$13:$A$429,$C473,$C$13:$C$429,$D473)</f>
        <v>0</v>
      </c>
      <c r="T473">
        <f>SUMIFS(T$13:T$429,$A$13:$A$429,$C473,$C$13:$C$429,$D473)</f>
        <v>0</v>
      </c>
      <c r="U473">
        <f>SUM(L473:T473)</f>
        <v>0</v>
      </c>
      <c r="W473">
        <f>IF(SUM(H473:I473)&gt;0,SUM(H473:I473)/G473,0)</f>
        <v>0</v>
      </c>
      <c r="X473">
        <f>IF(G473&gt;0,U473/G473,0)</f>
        <v>0</v>
      </c>
    </row>
    <row r="474">
      <c r="C474" t="str">
        <v>Lantai 1</v>
      </c>
      <c r="D474" t="str">
        <v>B24-7</v>
      </c>
      <c r="G474">
        <f>SUMIFS($V$13:$V$429,$A$13:$A$429,$C474,$C$13:$C$429,$D474)</f>
        <v>0</v>
      </c>
      <c r="H474">
        <f>SUMIFS($W$13:$W$429,$A$13:$A$429,$C474,$C$13:$C$429,$D474)</f>
        <v>0</v>
      </c>
      <c r="I474">
        <f>SUMIFS($X$13:$X$429,$A$13:$A$429,$C474,$C$13:$C$429,$D474)</f>
        <v>0</v>
      </c>
      <c r="J474">
        <f>SUMIFS($Y$13:$Y$429,$A$13:$A$429,$C474,$C$13:$C$429,$D474)</f>
        <v>0</v>
      </c>
      <c r="K474">
        <f>SUMIFS($Z$13:$Z$429,$A$13:$A$429,$C474,$C$13:$C$429,$D474)</f>
        <v>0</v>
      </c>
      <c r="L474">
        <f>SUMIFS(L$13:L$429,$A$13:$A$429,$C474,$C$13:$C$429,$D474)</f>
        <v>0</v>
      </c>
      <c r="M474">
        <f>SUMIFS(M$13:M$429,$A$13:$A$429,$C474,$C$13:$C$429,$D474)</f>
        <v>0</v>
      </c>
      <c r="N474">
        <f>SUMIFS(N$13:N$429,$A$13:$A$429,$C474,$C$13:$C$429,$D474)</f>
        <v>0</v>
      </c>
      <c r="O474">
        <f>SUMIFS(O$13:O$429,$A$13:$A$429,$C474,$C$13:$C$429,$D474)</f>
        <v>0</v>
      </c>
      <c r="P474">
        <f>SUMIFS(P$13:P$429,$A$13:$A$429,$C474,$C$13:$C$429,$D474)</f>
        <v>0</v>
      </c>
      <c r="Q474">
        <f>SUMIFS(Q$13:Q$429,$A$13:$A$429,$C474,$C$13:$C$429,$D474)</f>
        <v>0</v>
      </c>
      <c r="R474">
        <f>SUMIFS(R$13:R$429,$A$13:$A$429,$C474,$C$13:$C$429,$D474)</f>
        <v>0</v>
      </c>
      <c r="S474">
        <f>SUMIFS(S$13:S$429,$A$13:$A$429,$C474,$C$13:$C$429,$D474)</f>
        <v>0</v>
      </c>
      <c r="T474">
        <f>SUMIFS(T$13:T$429,$A$13:$A$429,$C474,$C$13:$C$429,$D474)</f>
        <v>0</v>
      </c>
      <c r="U474">
        <f>SUM(L474:T474)</f>
        <v>0</v>
      </c>
      <c r="W474">
        <f>IF(SUM(H474:I474)&gt;0,SUM(H474:I474)/G474,0)</f>
        <v>0</v>
      </c>
      <c r="X474">
        <f>IF(G474&gt;0,U474/G474,0)</f>
        <v>0</v>
      </c>
    </row>
    <row r="475">
      <c r="C475" t="str">
        <v>Lantai 1</v>
      </c>
      <c r="D475" t="str">
        <v>CL24-1</v>
      </c>
      <c r="G475">
        <f>SUMIFS($V$13:$V$429,$A$13:$A$429,$C475,$C$13:$C$429,$D475)</f>
        <v>0</v>
      </c>
      <c r="H475">
        <f>SUMIFS($W$13:$W$429,$A$13:$A$429,$C475,$C$13:$C$429,$D475)</f>
        <v>0</v>
      </c>
      <c r="I475">
        <f>SUMIFS($X$13:$X$429,$A$13:$A$429,$C475,$C$13:$C$429,$D475)</f>
        <v>0</v>
      </c>
      <c r="J475">
        <f>SUMIFS($Y$13:$Y$429,$A$13:$A$429,$C475,$C$13:$C$429,$D475)</f>
        <v>0</v>
      </c>
      <c r="K475">
        <f>SUMIFS($Z$13:$Z$429,$A$13:$A$429,$C475,$C$13:$C$429,$D475)</f>
        <v>0</v>
      </c>
      <c r="L475">
        <f>SUMIFS(L$13:L$429,$A$13:$A$429,$C475,$C$13:$C$429,$D475)</f>
        <v>0</v>
      </c>
      <c r="M475">
        <f>SUMIFS(M$13:M$429,$A$13:$A$429,$C475,$C$13:$C$429,$D475)</f>
        <v>0</v>
      </c>
      <c r="N475">
        <f>SUMIFS(N$13:N$429,$A$13:$A$429,$C475,$C$13:$C$429,$D475)</f>
        <v>0</v>
      </c>
      <c r="O475">
        <f>SUMIFS(O$13:O$429,$A$13:$A$429,$C475,$C$13:$C$429,$D475)</f>
        <v>0</v>
      </c>
      <c r="P475">
        <f>SUMIFS(P$13:P$429,$A$13:$A$429,$C475,$C$13:$C$429,$D475)</f>
        <v>0</v>
      </c>
      <c r="Q475">
        <f>SUMIFS(Q$13:Q$429,$A$13:$A$429,$C475,$C$13:$C$429,$D475)</f>
        <v>0</v>
      </c>
      <c r="R475">
        <f>SUMIFS(R$13:R$429,$A$13:$A$429,$C475,$C$13:$C$429,$D475)</f>
        <v>0</v>
      </c>
      <c r="S475">
        <f>SUMIFS(S$13:S$429,$A$13:$A$429,$C475,$C$13:$C$429,$D475)</f>
        <v>0</v>
      </c>
      <c r="T475">
        <f>SUMIFS(T$13:T$429,$A$13:$A$429,$C475,$C$13:$C$429,$D475)</f>
        <v>0</v>
      </c>
      <c r="U475">
        <f>SUM(L475:T475)</f>
        <v>0</v>
      </c>
      <c r="W475">
        <f>IF(SUM(H475:I475)&gt;0,SUM(H475:I475)/G475,0)</f>
        <v>0</v>
      </c>
      <c r="X475">
        <f>IF(G475&gt;0,U475/G475,0)</f>
        <v>0</v>
      </c>
    </row>
    <row r="476">
      <c r="C476" t="str">
        <v>Lantai 1</v>
      </c>
      <c r="D476" t="str">
        <v>B245-1</v>
      </c>
      <c r="G476">
        <f>SUMIFS($V$13:$V$429,$A$13:$A$429,$C476,$C$13:$C$429,$D476)</f>
        <v>3.1130600000000004</v>
      </c>
      <c r="H476">
        <f>SUMIFS($W$13:$W$429,$A$13:$A$429,$C476,$C$13:$C$429,$D476)</f>
        <v>40.11559999999999</v>
      </c>
      <c r="I476">
        <f>SUMIFS($X$13:$X$429,$A$13:$A$429,$C476,$C$13:$C$429,$D476)</f>
        <v>0</v>
      </c>
      <c r="J476">
        <f>SUMIFS($Y$13:$Y$429,$A$13:$A$429,$C476,$C$13:$C$429,$D476)</f>
        <v>0</v>
      </c>
      <c r="K476">
        <f>SUMIFS($Z$13:$Z$429,$A$13:$A$429,$C476,$C$13:$C$429,$D476)</f>
        <v>0</v>
      </c>
      <c r="L476">
        <f>SUMIFS(L$13:L$429,$A$13:$A$429,$C476,$C$13:$C$429,$D476)</f>
        <v>0</v>
      </c>
      <c r="M476">
        <f>SUMIFS(M$13:M$429,$A$13:$A$429,$C476,$C$13:$C$429,$D476)</f>
        <v>207.13926528000002</v>
      </c>
      <c r="N476">
        <f>SUMIFS(N$13:N$429,$A$13:$A$429,$C476,$C$13:$C$429,$D476)</f>
        <v>0</v>
      </c>
      <c r="O476">
        <f>SUMIFS(O$13:O$429,$A$13:$A$429,$C476,$C$13:$C$429,$D476)</f>
        <v>202.83000425999995</v>
      </c>
      <c r="P476">
        <f>SUMIFS(P$13:P$429,$A$13:$A$429,$C476,$C$13:$C$429,$D476)</f>
        <v>0</v>
      </c>
      <c r="Q476">
        <f>SUMIFS(Q$13:Q$429,$A$13:$A$429,$C476,$C$13:$C$429,$D476)</f>
        <v>0</v>
      </c>
      <c r="R476">
        <f>SUMIFS(R$13:R$429,$A$13:$A$429,$C476,$C$13:$C$429,$D476)</f>
        <v>0</v>
      </c>
      <c r="S476">
        <f>SUMIFS(S$13:S$429,$A$13:$A$429,$C476,$C$13:$C$429,$D476)</f>
        <v>0</v>
      </c>
      <c r="T476">
        <f>SUMIFS(T$13:T$429,$A$13:$A$429,$C476,$C$13:$C$429,$D476)</f>
        <v>0</v>
      </c>
      <c r="U476">
        <f>SUM(L476:T476)</f>
        <v>409.96926953999997</v>
      </c>
      <c r="W476">
        <f>IF(SUM(H476:I476)&gt;0,SUM(H476:I476)/G476,0)</f>
        <v>12.886227698791538</v>
      </c>
      <c r="X476">
        <f>IF(G476&gt;0,U476/G476,0)</f>
        <v>131.6933401669097</v>
      </c>
    </row>
    <row r="477">
      <c r="C477" t="str">
        <v>Lantai 1</v>
      </c>
      <c r="D477" t="str">
        <v>CL245-1</v>
      </c>
      <c r="G477">
        <f>SUMIFS($V$13:$V$429,$A$13:$A$429,$C477,$C$13:$C$429,$D477)</f>
        <v>0</v>
      </c>
      <c r="H477">
        <f>SUMIFS($W$13:$W$429,$A$13:$A$429,$C477,$C$13:$C$429,$D477)</f>
        <v>0</v>
      </c>
      <c r="I477">
        <f>SUMIFS($X$13:$X$429,$A$13:$A$429,$C477,$C$13:$C$429,$D477)</f>
        <v>0</v>
      </c>
      <c r="J477">
        <f>SUMIFS($Y$13:$Y$429,$A$13:$A$429,$C477,$C$13:$C$429,$D477)</f>
        <v>0</v>
      </c>
      <c r="K477">
        <f>SUMIFS($Z$13:$Z$429,$A$13:$A$429,$C477,$C$13:$C$429,$D477)</f>
        <v>0</v>
      </c>
      <c r="L477">
        <f>SUMIFS(L$13:L$429,$A$13:$A$429,$C477,$C$13:$C$429,$D477)</f>
        <v>0</v>
      </c>
      <c r="M477">
        <f>SUMIFS(M$13:M$429,$A$13:$A$429,$C477,$C$13:$C$429,$D477)</f>
        <v>0</v>
      </c>
      <c r="N477">
        <f>SUMIFS(N$13:N$429,$A$13:$A$429,$C477,$C$13:$C$429,$D477)</f>
        <v>0</v>
      </c>
      <c r="O477">
        <f>SUMIFS(O$13:O$429,$A$13:$A$429,$C477,$C$13:$C$429,$D477)</f>
        <v>0</v>
      </c>
      <c r="P477">
        <f>SUMIFS(P$13:P$429,$A$13:$A$429,$C477,$C$13:$C$429,$D477)</f>
        <v>0</v>
      </c>
      <c r="Q477">
        <f>SUMIFS(Q$13:Q$429,$A$13:$A$429,$C477,$C$13:$C$429,$D477)</f>
        <v>0</v>
      </c>
      <c r="R477">
        <f>SUMIFS(R$13:R$429,$A$13:$A$429,$C477,$C$13:$C$429,$D477)</f>
        <v>0</v>
      </c>
      <c r="S477">
        <f>SUMIFS(S$13:S$429,$A$13:$A$429,$C477,$C$13:$C$429,$D477)</f>
        <v>0</v>
      </c>
      <c r="T477">
        <f>SUMIFS(T$13:T$429,$A$13:$A$429,$C477,$C$13:$C$429,$D477)</f>
        <v>0</v>
      </c>
      <c r="U477">
        <f>SUM(L477:T477)</f>
        <v>0</v>
      </c>
      <c r="W477">
        <f>IF(SUM(H477:I477)&gt;0,SUM(H477:I477)/G477,0)</f>
        <v>0</v>
      </c>
      <c r="X477">
        <f>IF(G477&gt;0,U477/G477,0)</f>
        <v>0</v>
      </c>
    </row>
    <row r="478">
      <c r="C478" t="str">
        <v>Lantai 1</v>
      </c>
      <c r="D478" t="str">
        <v>B245-1A</v>
      </c>
      <c r="G478">
        <f>SUMIFS($V$13:$V$429,$A$13:$A$429,$C478,$C$13:$C$429,$D478)</f>
        <v>0</v>
      </c>
      <c r="H478">
        <f>SUMIFS($W$13:$W$429,$A$13:$A$429,$C478,$C$13:$C$429,$D478)</f>
        <v>0</v>
      </c>
      <c r="I478">
        <f>SUMIFS($X$13:$X$429,$A$13:$A$429,$C478,$C$13:$C$429,$D478)</f>
        <v>0</v>
      </c>
      <c r="J478">
        <f>SUMIFS($Y$13:$Y$429,$A$13:$A$429,$C478,$C$13:$C$429,$D478)</f>
        <v>0</v>
      </c>
      <c r="K478">
        <f>SUMIFS($Z$13:$Z$429,$A$13:$A$429,$C478,$C$13:$C$429,$D478)</f>
        <v>0</v>
      </c>
      <c r="L478">
        <f>SUMIFS(L$13:L$429,$A$13:$A$429,$C478,$C$13:$C$429,$D478)</f>
        <v>0</v>
      </c>
      <c r="M478">
        <f>SUMIFS(M$13:M$429,$A$13:$A$429,$C478,$C$13:$C$429,$D478)</f>
        <v>0</v>
      </c>
      <c r="N478">
        <f>SUMIFS(N$13:N$429,$A$13:$A$429,$C478,$C$13:$C$429,$D478)</f>
        <v>0</v>
      </c>
      <c r="O478">
        <f>SUMIFS(O$13:O$429,$A$13:$A$429,$C478,$C$13:$C$429,$D478)</f>
        <v>0</v>
      </c>
      <c r="P478">
        <f>SUMIFS(P$13:P$429,$A$13:$A$429,$C478,$C$13:$C$429,$D478)</f>
        <v>0</v>
      </c>
      <c r="Q478">
        <f>SUMIFS(Q$13:Q$429,$A$13:$A$429,$C478,$C$13:$C$429,$D478)</f>
        <v>0</v>
      </c>
      <c r="R478">
        <f>SUMIFS(R$13:R$429,$A$13:$A$429,$C478,$C$13:$C$429,$D478)</f>
        <v>0</v>
      </c>
      <c r="S478">
        <f>SUMIFS(S$13:S$429,$A$13:$A$429,$C478,$C$13:$C$429,$D478)</f>
        <v>0</v>
      </c>
      <c r="T478">
        <f>SUMIFS(T$13:T$429,$A$13:$A$429,$C478,$C$13:$C$429,$D478)</f>
        <v>0</v>
      </c>
      <c r="U478">
        <f>SUM(L478:T478)</f>
        <v>0</v>
      </c>
      <c r="W478">
        <f>IF(SUM(H478:I478)&gt;0,SUM(H478:I478)/G478,0)</f>
        <v>0</v>
      </c>
      <c r="X478">
        <f>IF(G478&gt;0,U478/G478,0)</f>
        <v>0</v>
      </c>
    </row>
    <row r="479">
      <c r="C479" t="str">
        <v>Lantai 1</v>
      </c>
      <c r="D479" t="str">
        <v>B245-2</v>
      </c>
      <c r="G479">
        <f>SUMIFS($V$13:$V$429,$A$13:$A$429,$C479,$C$13:$C$429,$D479)</f>
        <v>1.85892</v>
      </c>
      <c r="H479">
        <f>SUMIFS($W$13:$W$429,$A$13:$A$429,$C479,$C$13:$C$429,$D479)</f>
        <v>24.5692</v>
      </c>
      <c r="I479">
        <f>SUMIFS($X$13:$X$429,$A$13:$A$429,$C479,$C$13:$C$429,$D479)</f>
        <v>0</v>
      </c>
      <c r="J479">
        <f>SUMIFS($Y$13:$Y$429,$A$13:$A$429,$C479,$C$13:$C$429,$D479)</f>
        <v>0</v>
      </c>
      <c r="K479">
        <f>SUMIFS($Z$13:$Z$429,$A$13:$A$429,$C479,$C$13:$C$429,$D479)</f>
        <v>0</v>
      </c>
      <c r="L479">
        <f>SUMIFS(L$13:L$429,$A$13:$A$429,$C479,$C$13:$C$429,$D479)</f>
        <v>0</v>
      </c>
      <c r="M479">
        <f>SUMIFS(M$13:M$429,$A$13:$A$429,$C479,$C$13:$C$429,$D479)</f>
        <v>127.79009280000002</v>
      </c>
      <c r="N479">
        <f>SUMIFS(N$13:N$429,$A$13:$A$429,$C479,$C$13:$C$429,$D479)</f>
        <v>0</v>
      </c>
      <c r="O479">
        <f>SUMIFS(O$13:O$429,$A$13:$A$429,$C479,$C$13:$C$429,$D479)</f>
        <v>196.6662126</v>
      </c>
      <c r="P479">
        <f>SUMIFS(P$13:P$429,$A$13:$A$429,$C479,$C$13:$C$429,$D479)</f>
        <v>0</v>
      </c>
      <c r="Q479">
        <f>SUMIFS(Q$13:Q$429,$A$13:$A$429,$C479,$C$13:$C$429,$D479)</f>
        <v>0</v>
      </c>
      <c r="R479">
        <f>SUMIFS(R$13:R$429,$A$13:$A$429,$C479,$C$13:$C$429,$D479)</f>
        <v>0</v>
      </c>
      <c r="S479">
        <f>SUMIFS(S$13:S$429,$A$13:$A$429,$C479,$C$13:$C$429,$D479)</f>
        <v>0</v>
      </c>
      <c r="T479">
        <f>SUMIFS(T$13:T$429,$A$13:$A$429,$C479,$C$13:$C$429,$D479)</f>
        <v>0</v>
      </c>
      <c r="U479">
        <f>SUM(L479:T479)</f>
        <v>324.4563054</v>
      </c>
      <c r="W479">
        <f>IF(SUM(H479:I479)&gt;0,SUM(H479:I479)/G479,0)</f>
        <v>13.216921653433177</v>
      </c>
      <c r="X479">
        <f>IF(G479&gt;0,U479/G479,0)</f>
        <v>174.5402198050481</v>
      </c>
    </row>
    <row r="480">
      <c r="C480" t="str">
        <v>Lantai 1</v>
      </c>
      <c r="D480" t="str">
        <v>B245-3</v>
      </c>
      <c r="G480">
        <f>SUMIFS($V$13:$V$429,$A$13:$A$429,$C480,$C$13:$C$429,$D480)</f>
        <v>1.0048</v>
      </c>
      <c r="H480">
        <f>SUMIFS($W$13:$W$429,$A$13:$A$429,$C480,$C$13:$C$429,$D480)</f>
        <v>13.187999999999999</v>
      </c>
      <c r="I480">
        <f>SUMIFS($X$13:$X$429,$A$13:$A$429,$C480,$C$13:$C$429,$D480)</f>
        <v>0</v>
      </c>
      <c r="J480">
        <f>SUMIFS($Y$13:$Y$429,$A$13:$A$429,$C480,$C$13:$C$429,$D480)</f>
        <v>0</v>
      </c>
      <c r="K480">
        <f>SUMIFS($Z$13:$Z$429,$A$13:$A$429,$C480,$C$13:$C$429,$D480)</f>
        <v>0</v>
      </c>
      <c r="L480">
        <f>SUMIFS(L$13:L$429,$A$13:$A$429,$C480,$C$13:$C$429,$D480)</f>
        <v>0</v>
      </c>
      <c r="M480">
        <f>SUMIFS(M$13:M$429,$A$13:$A$429,$C480,$C$13:$C$429,$D480)</f>
        <v>0</v>
      </c>
      <c r="N480">
        <f>SUMIFS(N$13:N$429,$A$13:$A$429,$C480,$C$13:$C$429,$D480)</f>
        <v>118.472805</v>
      </c>
      <c r="O480">
        <f>SUMIFS(O$13:O$429,$A$13:$A$429,$C480,$C$13:$C$429,$D480)</f>
        <v>0</v>
      </c>
      <c r="P480">
        <f>SUMIFS(P$13:P$429,$A$13:$A$429,$C480,$C$13:$C$429,$D480)</f>
        <v>106.38600192000001</v>
      </c>
      <c r="Q480">
        <f>SUMIFS(Q$13:Q$429,$A$13:$A$429,$C480,$C$13:$C$429,$D480)</f>
        <v>0</v>
      </c>
      <c r="R480">
        <f>SUMIFS(R$13:R$429,$A$13:$A$429,$C480,$C$13:$C$429,$D480)</f>
        <v>0</v>
      </c>
      <c r="S480">
        <f>SUMIFS(S$13:S$429,$A$13:$A$429,$C480,$C$13:$C$429,$D480)</f>
        <v>0</v>
      </c>
      <c r="T480">
        <f>SUMIFS(T$13:T$429,$A$13:$A$429,$C480,$C$13:$C$429,$D480)</f>
        <v>0</v>
      </c>
      <c r="U480">
        <f>SUM(L480:T480)</f>
        <v>224.85880692</v>
      </c>
      <c r="W480">
        <f>IF(SUM(H480:I480)&gt;0,SUM(H480:I480)/G480,0)</f>
        <v>13.125</v>
      </c>
      <c r="X480">
        <f>IF(G480&gt;0,U480/G480,0)</f>
        <v>223.78464064490447</v>
      </c>
    </row>
    <row r="481">
      <c r="C481" t="str">
        <v>Lantai 1</v>
      </c>
      <c r="D481" t="str">
        <v>B245-4</v>
      </c>
      <c r="G481">
        <f>SUMIFS($V$13:$V$429,$A$13:$A$429,$C481,$C$13:$C$429,$D481)</f>
        <v>3.38676</v>
      </c>
      <c r="H481">
        <f>SUMIFS($W$13:$W$429,$A$13:$A$429,$C481,$C$13:$C$429,$D481)</f>
        <v>44.4286</v>
      </c>
      <c r="I481">
        <f>SUMIFS($X$13:$X$429,$A$13:$A$429,$C481,$C$13:$C$429,$D481)</f>
        <v>0</v>
      </c>
      <c r="J481">
        <f>SUMIFS($Y$13:$Y$429,$A$13:$A$429,$C481,$C$13:$C$429,$D481)</f>
        <v>0</v>
      </c>
      <c r="K481">
        <f>SUMIFS($Z$13:$Z$429,$A$13:$A$429,$C481,$C$13:$C$429,$D481)</f>
        <v>0</v>
      </c>
      <c r="L481">
        <f>SUMIFS(L$13:L$429,$A$13:$A$429,$C481,$C$13:$C$429,$D481)</f>
        <v>0</v>
      </c>
      <c r="M481">
        <f>SUMIFS(M$13:M$429,$A$13:$A$429,$C481,$C$13:$C$429,$D481)</f>
        <v>229.99691520000002</v>
      </c>
      <c r="N481">
        <f>SUMIFS(N$13:N$429,$A$13:$A$429,$C481,$C$13:$C$429,$D481)</f>
        <v>0</v>
      </c>
      <c r="O481">
        <f>SUMIFS(O$13:O$429,$A$13:$A$429,$C481,$C$13:$C$429,$D481)</f>
        <v>0</v>
      </c>
      <c r="P481">
        <f>SUMIFS(P$13:P$429,$A$13:$A$429,$C481,$C$13:$C$429,$D481)</f>
        <v>536.3964288</v>
      </c>
      <c r="Q481">
        <f>SUMIFS(Q$13:Q$429,$A$13:$A$429,$C481,$C$13:$C$429,$D481)</f>
        <v>0</v>
      </c>
      <c r="R481">
        <f>SUMIFS(R$13:R$429,$A$13:$A$429,$C481,$C$13:$C$429,$D481)</f>
        <v>0</v>
      </c>
      <c r="S481">
        <f>SUMIFS(S$13:S$429,$A$13:$A$429,$C481,$C$13:$C$429,$D481)</f>
        <v>0</v>
      </c>
      <c r="T481">
        <f>SUMIFS(T$13:T$429,$A$13:$A$429,$C481,$C$13:$C$429,$D481)</f>
        <v>0</v>
      </c>
      <c r="U481">
        <f>SUM(L481:T481)</f>
        <v>766.393344</v>
      </c>
      <c r="W481">
        <f>IF(SUM(H481:I481)&gt;0,SUM(H481:I481)/G481,0)</f>
        <v>13.11831957387001</v>
      </c>
      <c r="X481">
        <f>IF(G481&gt;0,U481/G481,0)</f>
        <v>226.29101087765295</v>
      </c>
    </row>
    <row r="482">
      <c r="C482" t="str">
        <v>Lantai 1</v>
      </c>
      <c r="D482" t="str">
        <v>B245-5</v>
      </c>
      <c r="G482">
        <f>SUMIFS($V$13:$V$429,$A$13:$A$429,$C482,$C$13:$C$429,$D482)</f>
        <v>0.52316</v>
      </c>
      <c r="H482">
        <f>SUMIFS($W$13:$W$429,$A$13:$A$429,$C482,$C$13:$C$429,$D482)</f>
        <v>6.640599999999999</v>
      </c>
      <c r="I482">
        <f>SUMIFS($X$13:$X$429,$A$13:$A$429,$C482,$C$13:$C$429,$D482)</f>
        <v>0</v>
      </c>
      <c r="J482">
        <f>SUMIFS($Y$13:$Y$429,$A$13:$A$429,$C482,$C$13:$C$429,$D482)</f>
        <v>0</v>
      </c>
      <c r="K482">
        <f>SUMIFS($Z$13:$Z$429,$A$13:$A$429,$C482,$C$13:$C$429,$D482)</f>
        <v>0</v>
      </c>
      <c r="L482">
        <f>SUMIFS(L$13:L$429,$A$13:$A$429,$C482,$C$13:$C$429,$D482)</f>
        <v>0</v>
      </c>
      <c r="M482">
        <f>SUMIFS(M$13:M$429,$A$13:$A$429,$C482,$C$13:$C$429,$D482)</f>
        <v>0</v>
      </c>
      <c r="N482">
        <f>SUMIFS(N$13:N$429,$A$13:$A$429,$C482,$C$13:$C$429,$D482)</f>
        <v>56.65018499999999</v>
      </c>
      <c r="O482">
        <f>SUMIFS(O$13:O$429,$A$13:$A$429,$C482,$C$13:$C$429,$D482)</f>
        <v>0</v>
      </c>
      <c r="P482">
        <f>SUMIFS(P$13:P$429,$A$13:$A$429,$C482,$C$13:$C$429,$D482)</f>
        <v>86.31552384</v>
      </c>
      <c r="Q482">
        <f>SUMIFS(Q$13:Q$429,$A$13:$A$429,$C482,$C$13:$C$429,$D482)</f>
        <v>0</v>
      </c>
      <c r="R482">
        <f>SUMIFS(R$13:R$429,$A$13:$A$429,$C482,$C$13:$C$429,$D482)</f>
        <v>0</v>
      </c>
      <c r="S482">
        <f>SUMIFS(S$13:S$429,$A$13:$A$429,$C482,$C$13:$C$429,$D482)</f>
        <v>0</v>
      </c>
      <c r="T482">
        <f>SUMIFS(T$13:T$429,$A$13:$A$429,$C482,$C$13:$C$429,$D482)</f>
        <v>0</v>
      </c>
      <c r="U482">
        <f>SUM(L482:T482)</f>
        <v>142.96570884</v>
      </c>
      <c r="W482">
        <f>IF(SUM(H482:I482)&gt;0,SUM(H482:I482)/G482,0)</f>
        <v>12.693248719321048</v>
      </c>
      <c r="X482">
        <f>IF(G482&gt;0,U482/G482,0)</f>
        <v>273.27339406682466</v>
      </c>
    </row>
    <row r="483">
      <c r="C483" t="str">
        <v>Lantai 1</v>
      </c>
      <c r="D483" t="str">
        <v>B245-6</v>
      </c>
      <c r="G483">
        <f>SUMIFS($V$13:$V$429,$A$13:$A$429,$C483,$C$13:$C$429,$D483)</f>
        <v>0.47831</v>
      </c>
      <c r="H483">
        <f>SUMIFS($W$13:$W$429,$A$13:$A$429,$C483,$C$13:$C$429,$D483)</f>
        <v>6.0231</v>
      </c>
      <c r="I483">
        <f>SUMIFS($X$13:$X$429,$A$13:$A$429,$C483,$C$13:$C$429,$D483)</f>
        <v>0</v>
      </c>
      <c r="J483">
        <f>SUMIFS($Y$13:$Y$429,$A$13:$A$429,$C483,$C$13:$C$429,$D483)</f>
        <v>0</v>
      </c>
      <c r="K483">
        <f>SUMIFS($Z$13:$Z$429,$A$13:$A$429,$C483,$C$13:$C$429,$D483)</f>
        <v>0</v>
      </c>
      <c r="L483">
        <f>SUMIFS(L$13:L$429,$A$13:$A$429,$C483,$C$13:$C$429,$D483)</f>
        <v>0</v>
      </c>
      <c r="M483">
        <f>SUMIFS(M$13:M$429,$A$13:$A$429,$C483,$C$13:$C$429,$D483)</f>
        <v>34.17599808</v>
      </c>
      <c r="N483">
        <f>SUMIFS(N$13:N$429,$A$13:$A$429,$C483,$C$13:$C$429,$D483)</f>
        <v>0</v>
      </c>
      <c r="O483">
        <f>SUMIFS(O$13:O$429,$A$13:$A$429,$C483,$C$13:$C$429,$D483)</f>
        <v>0</v>
      </c>
      <c r="P483">
        <f>SUMIFS(P$13:P$429,$A$13:$A$429,$C483,$C$13:$C$429,$D483)</f>
        <v>70.22536704000001</v>
      </c>
      <c r="Q483">
        <f>SUMIFS(Q$13:Q$429,$A$13:$A$429,$C483,$C$13:$C$429,$D483)</f>
        <v>0</v>
      </c>
      <c r="R483">
        <f>SUMIFS(R$13:R$429,$A$13:$A$429,$C483,$C$13:$C$429,$D483)</f>
        <v>0</v>
      </c>
      <c r="S483">
        <f>SUMIFS(S$13:S$429,$A$13:$A$429,$C483,$C$13:$C$429,$D483)</f>
        <v>0</v>
      </c>
      <c r="T483">
        <f>SUMIFS(T$13:T$429,$A$13:$A$429,$C483,$C$13:$C$429,$D483)</f>
        <v>0</v>
      </c>
      <c r="U483">
        <f>SUM(L483:T483)</f>
        <v>104.40136512000001</v>
      </c>
      <c r="W483">
        <f>IF(SUM(H483:I483)&gt;0,SUM(H483:I483)/G483,0)</f>
        <v>12.592460956283583</v>
      </c>
      <c r="X483">
        <f>IF(G483&gt;0,U483/G483,0)</f>
        <v>218.27134101315048</v>
      </c>
    </row>
    <row r="484">
      <c r="C484" t="str">
        <v>Lantai 1</v>
      </c>
      <c r="D484" t="str">
        <v>B245-7</v>
      </c>
      <c r="G484">
        <f>SUMIFS($V$13:$V$429,$A$13:$A$429,$C484,$C$13:$C$429,$D484)</f>
        <v>0</v>
      </c>
      <c r="H484">
        <f>SUMIFS($W$13:$W$429,$A$13:$A$429,$C484,$C$13:$C$429,$D484)</f>
        <v>0</v>
      </c>
      <c r="I484">
        <f>SUMIFS($X$13:$X$429,$A$13:$A$429,$C484,$C$13:$C$429,$D484)</f>
        <v>0</v>
      </c>
      <c r="J484">
        <f>SUMIFS($Y$13:$Y$429,$A$13:$A$429,$C484,$C$13:$C$429,$D484)</f>
        <v>0</v>
      </c>
      <c r="K484">
        <f>SUMIFS($Z$13:$Z$429,$A$13:$A$429,$C484,$C$13:$C$429,$D484)</f>
        <v>0</v>
      </c>
      <c r="L484">
        <f>SUMIFS(L$13:L$429,$A$13:$A$429,$C484,$C$13:$C$429,$D484)</f>
        <v>0</v>
      </c>
      <c r="M484">
        <f>SUMIFS(M$13:M$429,$A$13:$A$429,$C484,$C$13:$C$429,$D484)</f>
        <v>0</v>
      </c>
      <c r="N484">
        <f>SUMIFS(N$13:N$429,$A$13:$A$429,$C484,$C$13:$C$429,$D484)</f>
        <v>0</v>
      </c>
      <c r="O484">
        <f>SUMIFS(O$13:O$429,$A$13:$A$429,$C484,$C$13:$C$429,$D484)</f>
        <v>0</v>
      </c>
      <c r="P484">
        <f>SUMIFS(P$13:P$429,$A$13:$A$429,$C484,$C$13:$C$429,$D484)</f>
        <v>0</v>
      </c>
      <c r="Q484">
        <f>SUMIFS(Q$13:Q$429,$A$13:$A$429,$C484,$C$13:$C$429,$D484)</f>
        <v>0</v>
      </c>
      <c r="R484">
        <f>SUMIFS(R$13:R$429,$A$13:$A$429,$C484,$C$13:$C$429,$D484)</f>
        <v>0</v>
      </c>
      <c r="S484">
        <f>SUMIFS(S$13:S$429,$A$13:$A$429,$C484,$C$13:$C$429,$D484)</f>
        <v>0</v>
      </c>
      <c r="T484">
        <f>SUMIFS(T$13:T$429,$A$13:$A$429,$C484,$C$13:$C$429,$D484)</f>
        <v>0</v>
      </c>
      <c r="U484">
        <f>SUM(L484:T484)</f>
        <v>0</v>
      </c>
      <c r="W484">
        <f>IF(SUM(H484:I484)&gt;0,SUM(H484:I484)/G484,0)</f>
        <v>0</v>
      </c>
      <c r="X484">
        <f>IF(G484&gt;0,U484/G484,0)</f>
        <v>0</v>
      </c>
    </row>
    <row r="485">
      <c r="C485" t="str">
        <v>Lantai 1</v>
      </c>
      <c r="D485" t="str">
        <v>B25-1</v>
      </c>
      <c r="G485">
        <f>SUMIFS($V$13:$V$429,$A$13:$A$429,$C485,$C$13:$C$429,$D485)</f>
        <v>0.9990000000000001</v>
      </c>
      <c r="H485">
        <f>SUMIFS($W$13:$W$429,$A$13:$A$429,$C485,$C$13:$C$429,$D485)</f>
        <v>12.690000000000001</v>
      </c>
      <c r="I485">
        <f>SUMIFS($X$13:$X$429,$A$13:$A$429,$C485,$C$13:$C$429,$D485)</f>
        <v>0</v>
      </c>
      <c r="J485">
        <f>SUMIFS($Y$13:$Y$429,$A$13:$A$429,$C485,$C$13:$C$429,$D485)</f>
        <v>0</v>
      </c>
      <c r="K485">
        <f>SUMIFS($Z$13:$Z$429,$A$13:$A$429,$C485,$C$13:$C$429,$D485)</f>
        <v>0</v>
      </c>
      <c r="L485">
        <f>SUMIFS(L$13:L$429,$A$13:$A$429,$C485,$C$13:$C$429,$D485)</f>
        <v>0</v>
      </c>
      <c r="M485">
        <f>SUMIFS(M$13:M$429,$A$13:$A$429,$C485,$C$13:$C$429,$D485)</f>
        <v>0</v>
      </c>
      <c r="N485">
        <f>SUMIFS(N$13:N$429,$A$13:$A$429,$C485,$C$13:$C$429,$D485)</f>
        <v>103.220595</v>
      </c>
      <c r="O485">
        <f>SUMIFS(O$13:O$429,$A$13:$A$429,$C485,$C$13:$C$429,$D485)</f>
        <v>0</v>
      </c>
      <c r="P485">
        <f>SUMIFS(P$13:P$429,$A$13:$A$429,$C485,$C$13:$C$429,$D485)</f>
        <v>92.49748992</v>
      </c>
      <c r="Q485">
        <f>SUMIFS(Q$13:Q$429,$A$13:$A$429,$C485,$C$13:$C$429,$D485)</f>
        <v>0</v>
      </c>
      <c r="R485">
        <f>SUMIFS(R$13:R$429,$A$13:$A$429,$C485,$C$13:$C$429,$D485)</f>
        <v>0</v>
      </c>
      <c r="S485">
        <f>SUMIFS(S$13:S$429,$A$13:$A$429,$C485,$C$13:$C$429,$D485)</f>
        <v>0</v>
      </c>
      <c r="T485">
        <f>SUMIFS(T$13:T$429,$A$13:$A$429,$C485,$C$13:$C$429,$D485)</f>
        <v>0</v>
      </c>
      <c r="U485">
        <f>SUM(L485:T485)</f>
        <v>195.71808492000002</v>
      </c>
      <c r="W485">
        <f>IF(SUM(H485:I485)&gt;0,SUM(H485:I485)/G485,0)</f>
        <v>12.702702702702702</v>
      </c>
      <c r="X485">
        <f>IF(G485&gt;0,U485/G485,0)</f>
        <v>195.91399891891894</v>
      </c>
    </row>
    <row r="486">
      <c r="C486" t="str">
        <v>Lantai 1</v>
      </c>
      <c r="D486" t="str">
        <v>B25-2</v>
      </c>
      <c r="G486">
        <f>SUMIFS($V$13:$V$429,$A$13:$A$429,$C486,$C$13:$C$429,$D486)</f>
        <v>0</v>
      </c>
      <c r="H486">
        <f>SUMIFS($W$13:$W$429,$A$13:$A$429,$C486,$C$13:$C$429,$D486)</f>
        <v>0</v>
      </c>
      <c r="I486">
        <f>SUMIFS($X$13:$X$429,$A$13:$A$429,$C486,$C$13:$C$429,$D486)</f>
        <v>0</v>
      </c>
      <c r="J486">
        <f>SUMIFS($Y$13:$Y$429,$A$13:$A$429,$C486,$C$13:$C$429,$D486)</f>
        <v>0</v>
      </c>
      <c r="K486">
        <f>SUMIFS($Z$13:$Z$429,$A$13:$A$429,$C486,$C$13:$C$429,$D486)</f>
        <v>0</v>
      </c>
      <c r="L486">
        <f>SUMIFS(L$13:L$429,$A$13:$A$429,$C486,$C$13:$C$429,$D486)</f>
        <v>0</v>
      </c>
      <c r="M486">
        <f>SUMIFS(M$13:M$429,$A$13:$A$429,$C486,$C$13:$C$429,$D486)</f>
        <v>0</v>
      </c>
      <c r="N486">
        <f>SUMIFS(N$13:N$429,$A$13:$A$429,$C486,$C$13:$C$429,$D486)</f>
        <v>0</v>
      </c>
      <c r="O486">
        <f>SUMIFS(O$13:O$429,$A$13:$A$429,$C486,$C$13:$C$429,$D486)</f>
        <v>0</v>
      </c>
      <c r="P486">
        <f>SUMIFS(P$13:P$429,$A$13:$A$429,$C486,$C$13:$C$429,$D486)</f>
        <v>0</v>
      </c>
      <c r="Q486">
        <f>SUMIFS(Q$13:Q$429,$A$13:$A$429,$C486,$C$13:$C$429,$D486)</f>
        <v>0</v>
      </c>
      <c r="R486">
        <f>SUMIFS(R$13:R$429,$A$13:$A$429,$C486,$C$13:$C$429,$D486)</f>
        <v>0</v>
      </c>
      <c r="S486">
        <f>SUMIFS(S$13:S$429,$A$13:$A$429,$C486,$C$13:$C$429,$D486)</f>
        <v>0</v>
      </c>
      <c r="T486">
        <f>SUMIFS(T$13:T$429,$A$13:$A$429,$C486,$C$13:$C$429,$D486)</f>
        <v>0</v>
      </c>
      <c r="U486">
        <f>SUM(L486:T486)</f>
        <v>0</v>
      </c>
      <c r="W486">
        <f>IF(SUM(H486:I486)&gt;0,SUM(H486:I486)/G486,0)</f>
        <v>0</v>
      </c>
      <c r="X486">
        <f>IF(G486&gt;0,U486/G486,0)</f>
        <v>0</v>
      </c>
    </row>
    <row r="487">
      <c r="C487" t="str">
        <v>Lantai 1</v>
      </c>
      <c r="D487" t="str">
        <v>B25-3</v>
      </c>
      <c r="G487">
        <f>SUMIFS($V$13:$V$429,$A$13:$A$429,$C487,$C$13:$C$429,$D487)</f>
        <v>0</v>
      </c>
      <c r="H487">
        <f>SUMIFS($W$13:$W$429,$A$13:$A$429,$C487,$C$13:$C$429,$D487)</f>
        <v>0</v>
      </c>
      <c r="I487">
        <f>SUMIFS($X$13:$X$429,$A$13:$A$429,$C487,$C$13:$C$429,$D487)</f>
        <v>0</v>
      </c>
      <c r="J487">
        <f>SUMIFS($Y$13:$Y$429,$A$13:$A$429,$C487,$C$13:$C$429,$D487)</f>
        <v>0</v>
      </c>
      <c r="K487">
        <f>SUMIFS($Z$13:$Z$429,$A$13:$A$429,$C487,$C$13:$C$429,$D487)</f>
        <v>0</v>
      </c>
      <c r="L487">
        <f>SUMIFS(L$13:L$429,$A$13:$A$429,$C487,$C$13:$C$429,$D487)</f>
        <v>0</v>
      </c>
      <c r="M487">
        <f>SUMIFS(M$13:M$429,$A$13:$A$429,$C487,$C$13:$C$429,$D487)</f>
        <v>0</v>
      </c>
      <c r="N487">
        <f>SUMIFS(N$13:N$429,$A$13:$A$429,$C487,$C$13:$C$429,$D487)</f>
        <v>0</v>
      </c>
      <c r="O487">
        <f>SUMIFS(O$13:O$429,$A$13:$A$429,$C487,$C$13:$C$429,$D487)</f>
        <v>0</v>
      </c>
      <c r="P487">
        <f>SUMIFS(P$13:P$429,$A$13:$A$429,$C487,$C$13:$C$429,$D487)</f>
        <v>0</v>
      </c>
      <c r="Q487">
        <f>SUMIFS(Q$13:Q$429,$A$13:$A$429,$C487,$C$13:$C$429,$D487)</f>
        <v>0</v>
      </c>
      <c r="R487">
        <f>SUMIFS(R$13:R$429,$A$13:$A$429,$C487,$C$13:$C$429,$D487)</f>
        <v>0</v>
      </c>
      <c r="S487">
        <f>SUMIFS(S$13:S$429,$A$13:$A$429,$C487,$C$13:$C$429,$D487)</f>
        <v>0</v>
      </c>
      <c r="T487">
        <f>SUMIFS(T$13:T$429,$A$13:$A$429,$C487,$C$13:$C$429,$D487)</f>
        <v>0</v>
      </c>
      <c r="U487">
        <f>SUM(L487:T487)</f>
        <v>0</v>
      </c>
      <c r="W487">
        <f>IF(SUM(H487:I487)&gt;0,SUM(H487:I487)/G487,0)</f>
        <v>0</v>
      </c>
      <c r="X487">
        <f>IF(G487&gt;0,U487/G487,0)</f>
        <v>0</v>
      </c>
    </row>
    <row r="488">
      <c r="C488" t="str">
        <v>Lantai 1</v>
      </c>
      <c r="D488" t="str">
        <v>B25-4</v>
      </c>
      <c r="G488">
        <f>SUMIFS($V$13:$V$429,$A$13:$A$429,$C488,$C$13:$C$429,$D488)</f>
        <v>0</v>
      </c>
      <c r="H488">
        <f>SUMIFS($W$13:$W$429,$A$13:$A$429,$C488,$C$13:$C$429,$D488)</f>
        <v>0</v>
      </c>
      <c r="I488">
        <f>SUMIFS($X$13:$X$429,$A$13:$A$429,$C488,$C$13:$C$429,$D488)</f>
        <v>0</v>
      </c>
      <c r="J488">
        <f>SUMIFS($Y$13:$Y$429,$A$13:$A$429,$C488,$C$13:$C$429,$D488)</f>
        <v>0</v>
      </c>
      <c r="K488">
        <f>SUMIFS($Z$13:$Z$429,$A$13:$A$429,$C488,$C$13:$C$429,$D488)</f>
        <v>0</v>
      </c>
      <c r="L488">
        <f>SUMIFS(L$13:L$429,$A$13:$A$429,$C488,$C$13:$C$429,$D488)</f>
        <v>0</v>
      </c>
      <c r="M488">
        <f>SUMIFS(M$13:M$429,$A$13:$A$429,$C488,$C$13:$C$429,$D488)</f>
        <v>0</v>
      </c>
      <c r="N488">
        <f>SUMIFS(N$13:N$429,$A$13:$A$429,$C488,$C$13:$C$429,$D488)</f>
        <v>0</v>
      </c>
      <c r="O488">
        <f>SUMIFS(O$13:O$429,$A$13:$A$429,$C488,$C$13:$C$429,$D488)</f>
        <v>0</v>
      </c>
      <c r="P488">
        <f>SUMIFS(P$13:P$429,$A$13:$A$429,$C488,$C$13:$C$429,$D488)</f>
        <v>0</v>
      </c>
      <c r="Q488">
        <f>SUMIFS(Q$13:Q$429,$A$13:$A$429,$C488,$C$13:$C$429,$D488)</f>
        <v>0</v>
      </c>
      <c r="R488">
        <f>SUMIFS(R$13:R$429,$A$13:$A$429,$C488,$C$13:$C$429,$D488)</f>
        <v>0</v>
      </c>
      <c r="S488">
        <f>SUMIFS(S$13:S$429,$A$13:$A$429,$C488,$C$13:$C$429,$D488)</f>
        <v>0</v>
      </c>
      <c r="T488">
        <f>SUMIFS(T$13:T$429,$A$13:$A$429,$C488,$C$13:$C$429,$D488)</f>
        <v>0</v>
      </c>
      <c r="U488">
        <f>SUM(L488:T488)</f>
        <v>0</v>
      </c>
      <c r="W488">
        <f>IF(SUM(H488:I488)&gt;0,SUM(H488:I488)/G488,0)</f>
        <v>0</v>
      </c>
      <c r="X488">
        <f>IF(G488&gt;0,U488/G488,0)</f>
        <v>0</v>
      </c>
    </row>
    <row r="489">
      <c r="C489" t="str">
        <v>Lantai 1</v>
      </c>
      <c r="D489" t="str">
        <v>B25-5</v>
      </c>
      <c r="G489">
        <f>SUMIFS($V$13:$V$429,$A$13:$A$429,$C489,$C$13:$C$429,$D489)</f>
        <v>0</v>
      </c>
      <c r="H489">
        <f>SUMIFS($W$13:$W$429,$A$13:$A$429,$C489,$C$13:$C$429,$D489)</f>
        <v>0</v>
      </c>
      <c r="I489">
        <f>SUMIFS($X$13:$X$429,$A$13:$A$429,$C489,$C$13:$C$429,$D489)</f>
        <v>0</v>
      </c>
      <c r="J489">
        <f>SUMIFS($Y$13:$Y$429,$A$13:$A$429,$C489,$C$13:$C$429,$D489)</f>
        <v>0</v>
      </c>
      <c r="K489">
        <f>SUMIFS($Z$13:$Z$429,$A$13:$A$429,$C489,$C$13:$C$429,$D489)</f>
        <v>0</v>
      </c>
      <c r="L489">
        <f>SUMIFS(L$13:L$429,$A$13:$A$429,$C489,$C$13:$C$429,$D489)</f>
        <v>0</v>
      </c>
      <c r="M489">
        <f>SUMIFS(M$13:M$429,$A$13:$A$429,$C489,$C$13:$C$429,$D489)</f>
        <v>0</v>
      </c>
      <c r="N489">
        <f>SUMIFS(N$13:N$429,$A$13:$A$429,$C489,$C$13:$C$429,$D489)</f>
        <v>0</v>
      </c>
      <c r="O489">
        <f>SUMIFS(O$13:O$429,$A$13:$A$429,$C489,$C$13:$C$429,$D489)</f>
        <v>0</v>
      </c>
      <c r="P489">
        <f>SUMIFS(P$13:P$429,$A$13:$A$429,$C489,$C$13:$C$429,$D489)</f>
        <v>0</v>
      </c>
      <c r="Q489">
        <f>SUMIFS(Q$13:Q$429,$A$13:$A$429,$C489,$C$13:$C$429,$D489)</f>
        <v>0</v>
      </c>
      <c r="R489">
        <f>SUMIFS(R$13:R$429,$A$13:$A$429,$C489,$C$13:$C$429,$D489)</f>
        <v>0</v>
      </c>
      <c r="S489">
        <f>SUMIFS(S$13:S$429,$A$13:$A$429,$C489,$C$13:$C$429,$D489)</f>
        <v>0</v>
      </c>
      <c r="T489">
        <f>SUMIFS(T$13:T$429,$A$13:$A$429,$C489,$C$13:$C$429,$D489)</f>
        <v>0</v>
      </c>
      <c r="U489">
        <f>SUM(L489:T489)</f>
        <v>0</v>
      </c>
      <c r="W489">
        <f>IF(SUM(H489:I489)&gt;0,SUM(H489:I489)/G489,0)</f>
        <v>0</v>
      </c>
      <c r="X489">
        <f>IF(G489&gt;0,U489/G489,0)</f>
        <v>0</v>
      </c>
    </row>
    <row r="490">
      <c r="C490" t="str">
        <v>Lantai 1</v>
      </c>
      <c r="D490" t="str">
        <v>B25-6</v>
      </c>
      <c r="G490">
        <f>SUMIFS($V$13:$V$429,$A$13:$A$429,$C490,$C$13:$C$429,$D490)</f>
        <v>0.9239999999999999</v>
      </c>
      <c r="H490">
        <f>SUMIFS($W$13:$W$429,$A$13:$A$429,$C490,$C$13:$C$429,$D490)</f>
        <v>11.879999999999999</v>
      </c>
      <c r="I490">
        <f>SUMIFS($X$13:$X$429,$A$13:$A$429,$C490,$C$13:$C$429,$D490)</f>
        <v>0</v>
      </c>
      <c r="J490">
        <f>SUMIFS($Y$13:$Y$429,$A$13:$A$429,$C490,$C$13:$C$429,$D490)</f>
        <v>0</v>
      </c>
      <c r="K490">
        <f>SUMIFS($Z$13:$Z$429,$A$13:$A$429,$C490,$C$13:$C$429,$D490)</f>
        <v>0</v>
      </c>
      <c r="L490">
        <f>SUMIFS(L$13:L$429,$A$13:$A$429,$C490,$C$13:$C$429,$D490)</f>
        <v>0</v>
      </c>
      <c r="M490">
        <f>SUMIFS(M$13:M$429,$A$13:$A$429,$C490,$C$13:$C$429,$D490)</f>
        <v>0</v>
      </c>
      <c r="N490">
        <f>SUMIFS(N$13:N$429,$A$13:$A$429,$C490,$C$13:$C$429,$D490)</f>
        <v>94.971825</v>
      </c>
      <c r="O490">
        <f>SUMIFS(O$13:O$429,$A$13:$A$429,$C490,$C$13:$C$429,$D490)</f>
        <v>0</v>
      </c>
      <c r="P490">
        <f>SUMIFS(P$13:P$429,$A$13:$A$429,$C490,$C$13:$C$429,$D490)</f>
        <v>155.26093823999997</v>
      </c>
      <c r="Q490">
        <f>SUMIFS(Q$13:Q$429,$A$13:$A$429,$C490,$C$13:$C$429,$D490)</f>
        <v>0</v>
      </c>
      <c r="R490">
        <f>SUMIFS(R$13:R$429,$A$13:$A$429,$C490,$C$13:$C$429,$D490)</f>
        <v>0</v>
      </c>
      <c r="S490">
        <f>SUMIFS(S$13:S$429,$A$13:$A$429,$C490,$C$13:$C$429,$D490)</f>
        <v>0</v>
      </c>
      <c r="T490">
        <f>SUMIFS(T$13:T$429,$A$13:$A$429,$C490,$C$13:$C$429,$D490)</f>
        <v>0</v>
      </c>
      <c r="U490">
        <f>SUM(L490:T490)</f>
        <v>250.23276323999997</v>
      </c>
      <c r="W490">
        <f>IF(SUM(H490:I490)&gt;0,SUM(H490:I490)/G490,0)</f>
        <v>12.857142857142858</v>
      </c>
      <c r="X490">
        <f>IF(G490&gt;0,U490/G490,0)</f>
        <v>270.8146788311688</v>
      </c>
    </row>
    <row r="491">
      <c r="C491" t="str">
        <v>Lantai 1</v>
      </c>
      <c r="D491" t="str">
        <v>CL25-1</v>
      </c>
      <c r="G491">
        <f>SUMIFS($V$13:$V$429,$A$13:$A$429,$C491,$C$13:$C$429,$D491)</f>
        <v>0.55759</v>
      </c>
      <c r="H491">
        <f>SUMIFS($W$13:$W$429,$A$13:$A$429,$C491,$C$13:$C$429,$D491)</f>
        <v>7.0829</v>
      </c>
      <c r="I491">
        <f>SUMIFS($X$13:$X$429,$A$13:$A$429,$C491,$C$13:$C$429,$D491)</f>
        <v>0</v>
      </c>
      <c r="J491">
        <f>SUMIFS($Y$13:$Y$429,$A$13:$A$429,$C491,$C$13:$C$429,$D491)</f>
        <v>0</v>
      </c>
      <c r="K491">
        <f>SUMIFS($Z$13:$Z$429,$A$13:$A$429,$C491,$C$13:$C$429,$D491)</f>
        <v>0</v>
      </c>
      <c r="L491">
        <f>SUMIFS(L$13:L$429,$A$13:$A$429,$C491,$C$13:$C$429,$D491)</f>
        <v>0</v>
      </c>
      <c r="M491">
        <f>SUMIFS(M$13:M$429,$A$13:$A$429,$C491,$C$13:$C$429,$D491)</f>
        <v>0</v>
      </c>
      <c r="N491">
        <f>SUMIFS(N$13:N$429,$A$13:$A$429,$C491,$C$13:$C$429,$D491)</f>
        <v>40.97259000000001</v>
      </c>
      <c r="O491">
        <f>SUMIFS(O$13:O$429,$A$13:$A$429,$C491,$C$13:$C$429,$D491)</f>
        <v>0</v>
      </c>
      <c r="P491">
        <f>SUMIFS(P$13:P$429,$A$13:$A$429,$C491,$C$13:$C$429,$D491)</f>
        <v>95.97119616</v>
      </c>
      <c r="Q491">
        <f>SUMIFS(Q$13:Q$429,$A$13:$A$429,$C491,$C$13:$C$429,$D491)</f>
        <v>0</v>
      </c>
      <c r="R491">
        <f>SUMIFS(R$13:R$429,$A$13:$A$429,$C491,$C$13:$C$429,$D491)</f>
        <v>0</v>
      </c>
      <c r="S491">
        <f>SUMIFS(S$13:S$429,$A$13:$A$429,$C491,$C$13:$C$429,$D491)</f>
        <v>0</v>
      </c>
      <c r="T491">
        <f>SUMIFS(T$13:T$429,$A$13:$A$429,$C491,$C$13:$C$429,$D491)</f>
        <v>0</v>
      </c>
      <c r="U491">
        <f>SUM(L491:T491)</f>
        <v>136.94378616</v>
      </c>
      <c r="W491">
        <f>IF(SUM(H491:I491)&gt;0,SUM(H491:I491)/G491,0)</f>
        <v>12.702702702702704</v>
      </c>
      <c r="X491">
        <f>IF(G491&gt;0,U491/G491,0)</f>
        <v>245.59942997542996</v>
      </c>
    </row>
    <row r="492">
      <c r="C492" t="str">
        <v>Lantai 1</v>
      </c>
      <c r="D492" t="str">
        <v>B26-1</v>
      </c>
      <c r="G492">
        <f>SUMIFS($V$13:$V$429,$A$13:$A$429,$C492,$C$13:$C$429,$D492)</f>
        <v>0</v>
      </c>
      <c r="H492">
        <f>SUMIFS($W$13:$W$429,$A$13:$A$429,$C492,$C$13:$C$429,$D492)</f>
        <v>0</v>
      </c>
      <c r="I492">
        <f>SUMIFS($X$13:$X$429,$A$13:$A$429,$C492,$C$13:$C$429,$D492)</f>
        <v>0</v>
      </c>
      <c r="J492">
        <f>SUMIFS($Y$13:$Y$429,$A$13:$A$429,$C492,$C$13:$C$429,$D492)</f>
        <v>0</v>
      </c>
      <c r="K492">
        <f>SUMIFS($Z$13:$Z$429,$A$13:$A$429,$C492,$C$13:$C$429,$D492)</f>
        <v>0</v>
      </c>
      <c r="L492">
        <f>SUMIFS(L$13:L$429,$A$13:$A$429,$C492,$C$13:$C$429,$D492)</f>
        <v>0</v>
      </c>
      <c r="M492">
        <f>SUMIFS(M$13:M$429,$A$13:$A$429,$C492,$C$13:$C$429,$D492)</f>
        <v>0</v>
      </c>
      <c r="N492">
        <f>SUMIFS(N$13:N$429,$A$13:$A$429,$C492,$C$13:$C$429,$D492)</f>
        <v>0</v>
      </c>
      <c r="O492">
        <f>SUMIFS(O$13:O$429,$A$13:$A$429,$C492,$C$13:$C$429,$D492)</f>
        <v>0</v>
      </c>
      <c r="P492">
        <f>SUMIFS(P$13:P$429,$A$13:$A$429,$C492,$C$13:$C$429,$D492)</f>
        <v>0</v>
      </c>
      <c r="Q492">
        <f>SUMIFS(Q$13:Q$429,$A$13:$A$429,$C492,$C$13:$C$429,$D492)</f>
        <v>0</v>
      </c>
      <c r="R492">
        <f>SUMIFS(R$13:R$429,$A$13:$A$429,$C492,$C$13:$C$429,$D492)</f>
        <v>0</v>
      </c>
      <c r="S492">
        <f>SUMIFS(S$13:S$429,$A$13:$A$429,$C492,$C$13:$C$429,$D492)</f>
        <v>0</v>
      </c>
      <c r="T492">
        <f>SUMIFS(T$13:T$429,$A$13:$A$429,$C492,$C$13:$C$429,$D492)</f>
        <v>0</v>
      </c>
      <c r="U492">
        <f>SUM(L492:T492)</f>
        <v>0</v>
      </c>
      <c r="W492">
        <f>IF(SUM(H492:I492)&gt;0,SUM(H492:I492)/G492,0)</f>
        <v>0</v>
      </c>
      <c r="X492">
        <f>IF(G492&gt;0,U492/G492,0)</f>
        <v>0</v>
      </c>
    </row>
    <row r="493">
      <c r="C493" t="str">
        <v>Lantai 1</v>
      </c>
      <c r="D493" t="str">
        <v>B26-2</v>
      </c>
      <c r="G493">
        <f>SUMIFS($V$13:$V$429,$A$13:$A$429,$C493,$C$13:$C$429,$D493)</f>
        <v>0</v>
      </c>
      <c r="H493">
        <f>SUMIFS($W$13:$W$429,$A$13:$A$429,$C493,$C$13:$C$429,$D493)</f>
        <v>0</v>
      </c>
      <c r="I493">
        <f>SUMIFS($X$13:$X$429,$A$13:$A$429,$C493,$C$13:$C$429,$D493)</f>
        <v>0</v>
      </c>
      <c r="J493">
        <f>SUMIFS($Y$13:$Y$429,$A$13:$A$429,$C493,$C$13:$C$429,$D493)</f>
        <v>0</v>
      </c>
      <c r="K493">
        <f>SUMIFS($Z$13:$Z$429,$A$13:$A$429,$C493,$C$13:$C$429,$D493)</f>
        <v>0</v>
      </c>
      <c r="L493">
        <f>SUMIFS(L$13:L$429,$A$13:$A$429,$C493,$C$13:$C$429,$D493)</f>
        <v>0</v>
      </c>
      <c r="M493">
        <f>SUMIFS(M$13:M$429,$A$13:$A$429,$C493,$C$13:$C$429,$D493)</f>
        <v>0</v>
      </c>
      <c r="N493">
        <f>SUMIFS(N$13:N$429,$A$13:$A$429,$C493,$C$13:$C$429,$D493)</f>
        <v>0</v>
      </c>
      <c r="O493">
        <f>SUMIFS(O$13:O$429,$A$13:$A$429,$C493,$C$13:$C$429,$D493)</f>
        <v>0</v>
      </c>
      <c r="P493">
        <f>SUMIFS(P$13:P$429,$A$13:$A$429,$C493,$C$13:$C$429,$D493)</f>
        <v>0</v>
      </c>
      <c r="Q493">
        <f>SUMIFS(Q$13:Q$429,$A$13:$A$429,$C493,$C$13:$C$429,$D493)</f>
        <v>0</v>
      </c>
      <c r="R493">
        <f>SUMIFS(R$13:R$429,$A$13:$A$429,$C493,$C$13:$C$429,$D493)</f>
        <v>0</v>
      </c>
      <c r="S493">
        <f>SUMIFS(S$13:S$429,$A$13:$A$429,$C493,$C$13:$C$429,$D493)</f>
        <v>0</v>
      </c>
      <c r="T493">
        <f>SUMIFS(T$13:T$429,$A$13:$A$429,$C493,$C$13:$C$429,$D493)</f>
        <v>0</v>
      </c>
      <c r="U493">
        <f>SUM(L493:T493)</f>
        <v>0</v>
      </c>
      <c r="W493">
        <f>IF(SUM(H493:I493)&gt;0,SUM(H493:I493)/G493,0)</f>
        <v>0</v>
      </c>
      <c r="X493">
        <f>IF(G493&gt;0,U493/G493,0)</f>
        <v>0</v>
      </c>
    </row>
    <row r="494">
      <c r="C494" t="str">
        <v>Lantai 1</v>
      </c>
      <c r="D494" t="str">
        <v>B26-3</v>
      </c>
      <c r="G494">
        <f>SUMIFS($V$13:$V$429,$A$13:$A$429,$C494,$C$13:$C$429,$D494)</f>
        <v>0</v>
      </c>
      <c r="H494">
        <f>SUMIFS($W$13:$W$429,$A$13:$A$429,$C494,$C$13:$C$429,$D494)</f>
        <v>0</v>
      </c>
      <c r="I494">
        <f>SUMIFS($X$13:$X$429,$A$13:$A$429,$C494,$C$13:$C$429,$D494)</f>
        <v>0</v>
      </c>
      <c r="J494">
        <f>SUMIFS($Y$13:$Y$429,$A$13:$A$429,$C494,$C$13:$C$429,$D494)</f>
        <v>0</v>
      </c>
      <c r="K494">
        <f>SUMIFS($Z$13:$Z$429,$A$13:$A$429,$C494,$C$13:$C$429,$D494)</f>
        <v>0</v>
      </c>
      <c r="L494">
        <f>SUMIFS(L$13:L$429,$A$13:$A$429,$C494,$C$13:$C$429,$D494)</f>
        <v>0</v>
      </c>
      <c r="M494">
        <f>SUMIFS(M$13:M$429,$A$13:$A$429,$C494,$C$13:$C$429,$D494)</f>
        <v>0</v>
      </c>
      <c r="N494">
        <f>SUMIFS(N$13:N$429,$A$13:$A$429,$C494,$C$13:$C$429,$D494)</f>
        <v>0</v>
      </c>
      <c r="O494">
        <f>SUMIFS(O$13:O$429,$A$13:$A$429,$C494,$C$13:$C$429,$D494)</f>
        <v>0</v>
      </c>
      <c r="P494">
        <f>SUMIFS(P$13:P$429,$A$13:$A$429,$C494,$C$13:$C$429,$D494)</f>
        <v>0</v>
      </c>
      <c r="Q494">
        <f>SUMIFS(Q$13:Q$429,$A$13:$A$429,$C494,$C$13:$C$429,$D494)</f>
        <v>0</v>
      </c>
      <c r="R494">
        <f>SUMIFS(R$13:R$429,$A$13:$A$429,$C494,$C$13:$C$429,$D494)</f>
        <v>0</v>
      </c>
      <c r="S494">
        <f>SUMIFS(S$13:S$429,$A$13:$A$429,$C494,$C$13:$C$429,$D494)</f>
        <v>0</v>
      </c>
      <c r="T494">
        <f>SUMIFS(T$13:T$429,$A$13:$A$429,$C494,$C$13:$C$429,$D494)</f>
        <v>0</v>
      </c>
      <c r="U494">
        <f>SUM(L494:T494)</f>
        <v>0</v>
      </c>
      <c r="W494">
        <f>IF(SUM(H494:I494)&gt;0,SUM(H494:I494)/G494,0)</f>
        <v>0</v>
      </c>
      <c r="X494">
        <f>IF(G494&gt;0,U494/G494,0)</f>
        <v>0</v>
      </c>
    </row>
    <row r="495">
      <c r="C495" t="str">
        <v>Lantai 1</v>
      </c>
      <c r="D495" t="str">
        <v>B26-4</v>
      </c>
      <c r="G495">
        <f>SUMIFS($V$13:$V$429,$A$13:$A$429,$C495,$C$13:$C$429,$D495)</f>
        <v>0</v>
      </c>
      <c r="H495">
        <f>SUMIFS($W$13:$W$429,$A$13:$A$429,$C495,$C$13:$C$429,$D495)</f>
        <v>0</v>
      </c>
      <c r="I495">
        <f>SUMIFS($X$13:$X$429,$A$13:$A$429,$C495,$C$13:$C$429,$D495)</f>
        <v>0</v>
      </c>
      <c r="J495">
        <f>SUMIFS($Y$13:$Y$429,$A$13:$A$429,$C495,$C$13:$C$429,$D495)</f>
        <v>0</v>
      </c>
      <c r="K495">
        <f>SUMIFS($Z$13:$Z$429,$A$13:$A$429,$C495,$C$13:$C$429,$D495)</f>
        <v>0</v>
      </c>
      <c r="L495">
        <f>SUMIFS(L$13:L$429,$A$13:$A$429,$C495,$C$13:$C$429,$D495)</f>
        <v>0</v>
      </c>
      <c r="M495">
        <f>SUMIFS(M$13:M$429,$A$13:$A$429,$C495,$C$13:$C$429,$D495)</f>
        <v>0</v>
      </c>
      <c r="N495">
        <f>SUMIFS(N$13:N$429,$A$13:$A$429,$C495,$C$13:$C$429,$D495)</f>
        <v>0</v>
      </c>
      <c r="O495">
        <f>SUMIFS(O$13:O$429,$A$13:$A$429,$C495,$C$13:$C$429,$D495)</f>
        <v>0</v>
      </c>
      <c r="P495">
        <f>SUMIFS(P$13:P$429,$A$13:$A$429,$C495,$C$13:$C$429,$D495)</f>
        <v>0</v>
      </c>
      <c r="Q495">
        <f>SUMIFS(Q$13:Q$429,$A$13:$A$429,$C495,$C$13:$C$429,$D495)</f>
        <v>0</v>
      </c>
      <c r="R495">
        <f>SUMIFS(R$13:R$429,$A$13:$A$429,$C495,$C$13:$C$429,$D495)</f>
        <v>0</v>
      </c>
      <c r="S495">
        <f>SUMIFS(S$13:S$429,$A$13:$A$429,$C495,$C$13:$C$429,$D495)</f>
        <v>0</v>
      </c>
      <c r="T495">
        <f>SUMIFS(T$13:T$429,$A$13:$A$429,$C495,$C$13:$C$429,$D495)</f>
        <v>0</v>
      </c>
      <c r="U495">
        <f>SUM(L495:T495)</f>
        <v>0</v>
      </c>
      <c r="W495">
        <f>IF(SUM(H495:I495)&gt;0,SUM(H495:I495)/G495,0)</f>
        <v>0</v>
      </c>
      <c r="X495">
        <f>IF(G495&gt;0,U495/G495,0)</f>
        <v>0</v>
      </c>
    </row>
    <row r="496">
      <c r="C496" t="str">
        <v>Lantai 1</v>
      </c>
      <c r="D496" t="str">
        <v>B26-5</v>
      </c>
      <c r="G496">
        <f>SUMIFS($V$13:$V$429,$A$13:$A$429,$C496,$C$13:$C$429,$D496)</f>
        <v>0</v>
      </c>
      <c r="H496">
        <f>SUMIFS($W$13:$W$429,$A$13:$A$429,$C496,$C$13:$C$429,$D496)</f>
        <v>0</v>
      </c>
      <c r="I496">
        <f>SUMIFS($X$13:$X$429,$A$13:$A$429,$C496,$C$13:$C$429,$D496)</f>
        <v>0</v>
      </c>
      <c r="J496">
        <f>SUMIFS($Y$13:$Y$429,$A$13:$A$429,$C496,$C$13:$C$429,$D496)</f>
        <v>0</v>
      </c>
      <c r="K496">
        <f>SUMIFS($Z$13:$Z$429,$A$13:$A$429,$C496,$C$13:$C$429,$D496)</f>
        <v>0</v>
      </c>
      <c r="L496">
        <f>SUMIFS(L$13:L$429,$A$13:$A$429,$C496,$C$13:$C$429,$D496)</f>
        <v>0</v>
      </c>
      <c r="M496">
        <f>SUMIFS(M$13:M$429,$A$13:$A$429,$C496,$C$13:$C$429,$D496)</f>
        <v>0</v>
      </c>
      <c r="N496">
        <f>SUMIFS(N$13:N$429,$A$13:$A$429,$C496,$C$13:$C$429,$D496)</f>
        <v>0</v>
      </c>
      <c r="O496">
        <f>SUMIFS(O$13:O$429,$A$13:$A$429,$C496,$C$13:$C$429,$D496)</f>
        <v>0</v>
      </c>
      <c r="P496">
        <f>SUMIFS(P$13:P$429,$A$13:$A$429,$C496,$C$13:$C$429,$D496)</f>
        <v>0</v>
      </c>
      <c r="Q496">
        <f>SUMIFS(Q$13:Q$429,$A$13:$A$429,$C496,$C$13:$C$429,$D496)</f>
        <v>0</v>
      </c>
      <c r="R496">
        <f>SUMIFS(R$13:R$429,$A$13:$A$429,$C496,$C$13:$C$429,$D496)</f>
        <v>0</v>
      </c>
      <c r="S496">
        <f>SUMIFS(S$13:S$429,$A$13:$A$429,$C496,$C$13:$C$429,$D496)</f>
        <v>0</v>
      </c>
      <c r="T496">
        <f>SUMIFS(T$13:T$429,$A$13:$A$429,$C496,$C$13:$C$429,$D496)</f>
        <v>0</v>
      </c>
      <c r="U496">
        <f>SUM(L496:T496)</f>
        <v>0</v>
      </c>
      <c r="W496">
        <f>IF(SUM(H496:I496)&gt;0,SUM(H496:I496)/G496,0)</f>
        <v>0</v>
      </c>
      <c r="X496">
        <f>IF(G496&gt;0,U496/G496,0)</f>
        <v>0</v>
      </c>
    </row>
    <row r="497">
      <c r="C497" t="str">
        <v>Lantai 1</v>
      </c>
      <c r="D497" t="str">
        <v>CL26-1</v>
      </c>
      <c r="G497">
        <f>SUMIFS($V$13:$V$429,$A$13:$A$429,$C497,$C$13:$C$429,$D497)</f>
        <v>0</v>
      </c>
      <c r="H497">
        <f>SUMIFS($W$13:$W$429,$A$13:$A$429,$C497,$C$13:$C$429,$D497)</f>
        <v>0</v>
      </c>
      <c r="I497">
        <f>SUMIFS($X$13:$X$429,$A$13:$A$429,$C497,$C$13:$C$429,$D497)</f>
        <v>0</v>
      </c>
      <c r="J497">
        <f>SUMIFS($Y$13:$Y$429,$A$13:$A$429,$C497,$C$13:$C$429,$D497)</f>
        <v>0</v>
      </c>
      <c r="K497">
        <f>SUMIFS($Z$13:$Z$429,$A$13:$A$429,$C497,$C$13:$C$429,$D497)</f>
        <v>0</v>
      </c>
      <c r="L497">
        <f>SUMIFS(L$13:L$429,$A$13:$A$429,$C497,$C$13:$C$429,$D497)</f>
        <v>0</v>
      </c>
      <c r="M497">
        <f>SUMIFS(M$13:M$429,$A$13:$A$429,$C497,$C$13:$C$429,$D497)</f>
        <v>0</v>
      </c>
      <c r="N497">
        <f>SUMIFS(N$13:N$429,$A$13:$A$429,$C497,$C$13:$C$429,$D497)</f>
        <v>0</v>
      </c>
      <c r="O497">
        <f>SUMIFS(O$13:O$429,$A$13:$A$429,$C497,$C$13:$C$429,$D497)</f>
        <v>0</v>
      </c>
      <c r="P497">
        <f>SUMIFS(P$13:P$429,$A$13:$A$429,$C497,$C$13:$C$429,$D497)</f>
        <v>0</v>
      </c>
      <c r="Q497">
        <f>SUMIFS(Q$13:Q$429,$A$13:$A$429,$C497,$C$13:$C$429,$D497)</f>
        <v>0</v>
      </c>
      <c r="R497">
        <f>SUMIFS(R$13:R$429,$A$13:$A$429,$C497,$C$13:$C$429,$D497)</f>
        <v>0</v>
      </c>
      <c r="S497">
        <f>SUMIFS(S$13:S$429,$A$13:$A$429,$C497,$C$13:$C$429,$D497)</f>
        <v>0</v>
      </c>
      <c r="T497">
        <f>SUMIFS(T$13:T$429,$A$13:$A$429,$C497,$C$13:$C$429,$D497)</f>
        <v>0</v>
      </c>
      <c r="U497">
        <f>SUM(L497:T497)</f>
        <v>0</v>
      </c>
      <c r="W497">
        <f>IF(SUM(H497:I497)&gt;0,SUM(H497:I497)/G497,0)</f>
        <v>0</v>
      </c>
      <c r="X497">
        <f>IF(G497&gt;0,U497/G497,0)</f>
        <v>0</v>
      </c>
    </row>
    <row r="498">
      <c r="C498" t="str">
        <v>Lantai 1</v>
      </c>
      <c r="D498" t="str">
        <v>B2550-1</v>
      </c>
      <c r="G498">
        <f>SUMIFS($V$13:$V$429,$A$13:$A$429,$C498,$C$13:$C$429,$D498)</f>
        <v>0</v>
      </c>
      <c r="H498">
        <f>SUMIFS($W$13:$W$429,$A$13:$A$429,$C498,$C$13:$C$429,$D498)</f>
        <v>0</v>
      </c>
      <c r="I498">
        <f>SUMIFS($X$13:$X$429,$A$13:$A$429,$C498,$C$13:$C$429,$D498)</f>
        <v>0</v>
      </c>
      <c r="J498">
        <f>SUMIFS($Y$13:$Y$429,$A$13:$A$429,$C498,$C$13:$C$429,$D498)</f>
        <v>0</v>
      </c>
      <c r="K498">
        <f>SUMIFS($Z$13:$Z$429,$A$13:$A$429,$C498,$C$13:$C$429,$D498)</f>
        <v>0</v>
      </c>
      <c r="L498">
        <f>SUMIFS(L$13:L$429,$A$13:$A$429,$C498,$C$13:$C$429,$D498)</f>
        <v>0</v>
      </c>
      <c r="M498">
        <f>SUMIFS(M$13:M$429,$A$13:$A$429,$C498,$C$13:$C$429,$D498)</f>
        <v>0</v>
      </c>
      <c r="N498">
        <f>SUMIFS(N$13:N$429,$A$13:$A$429,$C498,$C$13:$C$429,$D498)</f>
        <v>0</v>
      </c>
      <c r="O498">
        <f>SUMIFS(O$13:O$429,$A$13:$A$429,$C498,$C$13:$C$429,$D498)</f>
        <v>0</v>
      </c>
      <c r="P498">
        <f>SUMIFS(P$13:P$429,$A$13:$A$429,$C498,$C$13:$C$429,$D498)</f>
        <v>0</v>
      </c>
      <c r="Q498">
        <f>SUMIFS(Q$13:Q$429,$A$13:$A$429,$C498,$C$13:$C$429,$D498)</f>
        <v>0</v>
      </c>
      <c r="R498">
        <f>SUMIFS(R$13:R$429,$A$13:$A$429,$C498,$C$13:$C$429,$D498)</f>
        <v>0</v>
      </c>
      <c r="S498">
        <f>SUMIFS(S$13:S$429,$A$13:$A$429,$C498,$C$13:$C$429,$D498)</f>
        <v>0</v>
      </c>
      <c r="T498">
        <f>SUMIFS(T$13:T$429,$A$13:$A$429,$C498,$C$13:$C$429,$D498)</f>
        <v>0</v>
      </c>
      <c r="U498">
        <f>SUM(L498:T498)</f>
        <v>0</v>
      </c>
      <c r="W498">
        <f>IF(SUM(H498:I498)&gt;0,SUM(H498:I498)/G498,0)</f>
        <v>0</v>
      </c>
      <c r="X498">
        <f>IF(G498&gt;0,U498/G498,0)</f>
        <v>0</v>
      </c>
    </row>
    <row r="499">
      <c r="C499" t="str">
        <v>Lantai 1</v>
      </c>
      <c r="D499" t="str">
        <v>B257-1</v>
      </c>
      <c r="G499">
        <f>SUMIFS($V$13:$V$429,$A$13:$A$429,$C499,$C$13:$C$429,$D499)</f>
        <v>0</v>
      </c>
      <c r="H499">
        <f>SUMIFS($W$13:$W$429,$A$13:$A$429,$C499,$C$13:$C$429,$D499)</f>
        <v>0</v>
      </c>
      <c r="I499">
        <f>SUMIFS($X$13:$X$429,$A$13:$A$429,$C499,$C$13:$C$429,$D499)</f>
        <v>0</v>
      </c>
      <c r="J499">
        <f>SUMIFS($Y$13:$Y$429,$A$13:$A$429,$C499,$C$13:$C$429,$D499)</f>
        <v>0</v>
      </c>
      <c r="K499">
        <f>SUMIFS($Z$13:$Z$429,$A$13:$A$429,$C499,$C$13:$C$429,$D499)</f>
        <v>0</v>
      </c>
      <c r="L499">
        <f>SUMIFS(L$13:L$429,$A$13:$A$429,$C499,$C$13:$C$429,$D499)</f>
        <v>0</v>
      </c>
      <c r="M499">
        <f>SUMIFS(M$13:M$429,$A$13:$A$429,$C499,$C$13:$C$429,$D499)</f>
        <v>0</v>
      </c>
      <c r="N499">
        <f>SUMIFS(N$13:N$429,$A$13:$A$429,$C499,$C$13:$C$429,$D499)</f>
        <v>0</v>
      </c>
      <c r="O499">
        <f>SUMIFS(O$13:O$429,$A$13:$A$429,$C499,$C$13:$C$429,$D499)</f>
        <v>0</v>
      </c>
      <c r="P499">
        <f>SUMIFS(P$13:P$429,$A$13:$A$429,$C499,$C$13:$C$429,$D499)</f>
        <v>0</v>
      </c>
      <c r="Q499">
        <f>SUMIFS(Q$13:Q$429,$A$13:$A$429,$C499,$C$13:$C$429,$D499)</f>
        <v>0</v>
      </c>
      <c r="R499">
        <f>SUMIFS(R$13:R$429,$A$13:$A$429,$C499,$C$13:$C$429,$D499)</f>
        <v>0</v>
      </c>
      <c r="S499">
        <f>SUMIFS(S$13:S$429,$A$13:$A$429,$C499,$C$13:$C$429,$D499)</f>
        <v>0</v>
      </c>
      <c r="T499">
        <f>SUMIFS(T$13:T$429,$A$13:$A$429,$C499,$C$13:$C$429,$D499)</f>
        <v>0</v>
      </c>
      <c r="U499">
        <f>SUM(L499:T499)</f>
        <v>0</v>
      </c>
      <c r="W499">
        <f>IF(SUM(H499:I499)&gt;0,SUM(H499:I499)/G499,0)</f>
        <v>0</v>
      </c>
      <c r="X499">
        <f>IF(G499&gt;0,U499/G499,0)</f>
        <v>0</v>
      </c>
    </row>
    <row r="500">
      <c r="C500" t="str">
        <v>Lantai 1</v>
      </c>
      <c r="D500" t="str">
        <v>B257-2</v>
      </c>
      <c r="G500">
        <f>SUMIFS($V$13:$V$429,$A$13:$A$429,$C500,$C$13:$C$429,$D500)</f>
        <v>0</v>
      </c>
      <c r="H500">
        <f>SUMIFS($W$13:$W$429,$A$13:$A$429,$C500,$C$13:$C$429,$D500)</f>
        <v>0</v>
      </c>
      <c r="I500">
        <f>SUMIFS($X$13:$X$429,$A$13:$A$429,$C500,$C$13:$C$429,$D500)</f>
        <v>0</v>
      </c>
      <c r="J500">
        <f>SUMIFS($Y$13:$Y$429,$A$13:$A$429,$C500,$C$13:$C$429,$D500)</f>
        <v>0</v>
      </c>
      <c r="K500">
        <f>SUMIFS($Z$13:$Z$429,$A$13:$A$429,$C500,$C$13:$C$429,$D500)</f>
        <v>0</v>
      </c>
      <c r="L500">
        <f>SUMIFS(L$13:L$429,$A$13:$A$429,$C500,$C$13:$C$429,$D500)</f>
        <v>0</v>
      </c>
      <c r="M500">
        <f>SUMIFS(M$13:M$429,$A$13:$A$429,$C500,$C$13:$C$429,$D500)</f>
        <v>0</v>
      </c>
      <c r="N500">
        <f>SUMIFS(N$13:N$429,$A$13:$A$429,$C500,$C$13:$C$429,$D500)</f>
        <v>0</v>
      </c>
      <c r="O500">
        <f>SUMIFS(O$13:O$429,$A$13:$A$429,$C500,$C$13:$C$429,$D500)</f>
        <v>0</v>
      </c>
      <c r="P500">
        <f>SUMIFS(P$13:P$429,$A$13:$A$429,$C500,$C$13:$C$429,$D500)</f>
        <v>0</v>
      </c>
      <c r="Q500">
        <f>SUMIFS(Q$13:Q$429,$A$13:$A$429,$C500,$C$13:$C$429,$D500)</f>
        <v>0</v>
      </c>
      <c r="R500">
        <f>SUMIFS(R$13:R$429,$A$13:$A$429,$C500,$C$13:$C$429,$D500)</f>
        <v>0</v>
      </c>
      <c r="S500">
        <f>SUMIFS(S$13:S$429,$A$13:$A$429,$C500,$C$13:$C$429,$D500)</f>
        <v>0</v>
      </c>
      <c r="T500">
        <f>SUMIFS(T$13:T$429,$A$13:$A$429,$C500,$C$13:$C$429,$D500)</f>
        <v>0</v>
      </c>
      <c r="U500">
        <f>SUM(L500:T500)</f>
        <v>0</v>
      </c>
      <c r="W500">
        <f>IF(SUM(H500:I500)&gt;0,SUM(H500:I500)/G500,0)</f>
        <v>0</v>
      </c>
      <c r="X500">
        <f>IF(G500&gt;0,U500/G500,0)</f>
        <v>0</v>
      </c>
    </row>
    <row r="501">
      <c r="C501" t="str">
        <v>Lantai 1</v>
      </c>
      <c r="D501" t="str">
        <v>B345-1</v>
      </c>
      <c r="G501">
        <f>SUMIFS($V$13:$V$429,$A$13:$A$429,$C501,$C$13:$C$429,$D501)</f>
        <v>0.3552</v>
      </c>
      <c r="H501">
        <f>SUMIFS($W$13:$W$429,$A$13:$A$429,$C501,$C$13:$C$429,$D501)</f>
        <v>3.478</v>
      </c>
      <c r="I501">
        <f>SUMIFS($X$13:$X$429,$A$13:$A$429,$C501,$C$13:$C$429,$D501)</f>
        <v>0</v>
      </c>
      <c r="J501">
        <f>SUMIFS($Y$13:$Y$429,$A$13:$A$429,$C501,$C$13:$C$429,$D501)</f>
        <v>0</v>
      </c>
      <c r="K501">
        <f>SUMIFS($Z$13:$Z$429,$A$13:$A$429,$C501,$C$13:$C$429,$D501)</f>
        <v>0</v>
      </c>
      <c r="L501">
        <f>SUMIFS(L$13:L$429,$A$13:$A$429,$C501,$C$13:$C$429,$D501)</f>
        <v>0</v>
      </c>
      <c r="M501">
        <f>SUMIFS(M$13:M$429,$A$13:$A$429,$C501,$C$13:$C$429,$D501)</f>
        <v>18.289434239999995</v>
      </c>
      <c r="N501">
        <f>SUMIFS(N$13:N$429,$A$13:$A$429,$C501,$C$13:$C$429,$D501)</f>
        <v>0</v>
      </c>
      <c r="O501">
        <f>SUMIFS(O$13:O$429,$A$13:$A$429,$C501,$C$13:$C$429,$D501)</f>
        <v>0</v>
      </c>
      <c r="P501">
        <f>SUMIFS(P$13:P$429,$A$13:$A$429,$C501,$C$13:$C$429,$D501)</f>
        <v>40.79434752</v>
      </c>
      <c r="Q501">
        <f>SUMIFS(Q$13:Q$429,$A$13:$A$429,$C501,$C$13:$C$429,$D501)</f>
        <v>0</v>
      </c>
      <c r="R501">
        <f>SUMIFS(R$13:R$429,$A$13:$A$429,$C501,$C$13:$C$429,$D501)</f>
        <v>0</v>
      </c>
      <c r="S501">
        <f>SUMIFS(S$13:S$429,$A$13:$A$429,$C501,$C$13:$C$429,$D501)</f>
        <v>0</v>
      </c>
      <c r="T501">
        <f>SUMIFS(T$13:T$429,$A$13:$A$429,$C501,$C$13:$C$429,$D501)</f>
        <v>0</v>
      </c>
      <c r="U501">
        <f>SUM(L501:T501)</f>
        <v>59.083781759999994</v>
      </c>
      <c r="W501">
        <f>IF(SUM(H501:I501)&gt;0,SUM(H501:I501)/G501,0)</f>
        <v>9.791666666666666</v>
      </c>
      <c r="X501">
        <f>IF(G501&gt;0,U501/G501,0)</f>
        <v>166.33947567567566</v>
      </c>
    </row>
    <row r="502">
      <c r="C502" t="str">
        <v>Lantai 1</v>
      </c>
      <c r="D502" t="str">
        <v>B35-1</v>
      </c>
      <c r="G502">
        <f>SUMIFS($V$13:$V$429,$A$13:$A$429,$C502,$C$13:$C$429,$D502)</f>
        <v>0.742035</v>
      </c>
      <c r="H502">
        <f>SUMIFS($W$13:$W$429,$A$13:$A$429,$C502,$C$13:$C$429,$D502)</f>
        <v>6.9524</v>
      </c>
      <c r="I502">
        <f>SUMIFS($X$13:$X$429,$A$13:$A$429,$C502,$C$13:$C$429,$D502)</f>
        <v>0</v>
      </c>
      <c r="J502">
        <f>SUMIFS($Y$13:$Y$429,$A$13:$A$429,$C502,$C$13:$C$429,$D502)</f>
        <v>0</v>
      </c>
      <c r="K502">
        <f>SUMIFS($Z$13:$Z$429,$A$13:$A$429,$C502,$C$13:$C$429,$D502)</f>
        <v>0</v>
      </c>
      <c r="L502">
        <f>SUMIFS(L$13:L$429,$A$13:$A$429,$C502,$C$13:$C$429,$D502)</f>
        <v>0</v>
      </c>
      <c r="M502">
        <f>SUMIFS(M$13:M$429,$A$13:$A$429,$C502,$C$13:$C$429,$D502)</f>
        <v>0</v>
      </c>
      <c r="N502">
        <f>SUMIFS(N$13:N$429,$A$13:$A$429,$C502,$C$13:$C$429,$D502)</f>
        <v>39.39435</v>
      </c>
      <c r="O502">
        <f>SUMIFS(O$13:O$429,$A$13:$A$429,$C502,$C$13:$C$429,$D502)</f>
        <v>0</v>
      </c>
      <c r="P502">
        <f>SUMIFS(P$13:P$429,$A$13:$A$429,$C502,$C$13:$C$429,$D502)</f>
        <v>78.09604992</v>
      </c>
      <c r="Q502">
        <f>SUMIFS(Q$13:Q$429,$A$13:$A$429,$C502,$C$13:$C$429,$D502)</f>
        <v>0</v>
      </c>
      <c r="R502">
        <f>SUMIFS(R$13:R$429,$A$13:$A$429,$C502,$C$13:$C$429,$D502)</f>
        <v>0</v>
      </c>
      <c r="S502">
        <f>SUMIFS(S$13:S$429,$A$13:$A$429,$C502,$C$13:$C$429,$D502)</f>
        <v>0</v>
      </c>
      <c r="T502">
        <f>SUMIFS(T$13:T$429,$A$13:$A$429,$C502,$C$13:$C$429,$D502)</f>
        <v>0</v>
      </c>
      <c r="U502">
        <f>SUM(L502:T502)</f>
        <v>117.49039992</v>
      </c>
      <c r="W502">
        <f>IF(SUM(H502:I502)&gt;0,SUM(H502:I502)/G502,0)</f>
        <v>9.36936936936937</v>
      </c>
      <c r="X502">
        <f>IF(G502&gt;0,U502/G502,0)</f>
        <v>158.33538838464494</v>
      </c>
    </row>
    <row r="503">
      <c r="C503" t="str">
        <v>Lantai 1</v>
      </c>
      <c r="D503" t="str">
        <v>B35-2</v>
      </c>
      <c r="G503">
        <f>SUMIFS($V$13:$V$429,$A$13:$A$429,$C503,$C$13:$C$429,$D503)</f>
        <v>0</v>
      </c>
      <c r="H503">
        <f>SUMIFS($W$13:$W$429,$A$13:$A$429,$C503,$C$13:$C$429,$D503)</f>
        <v>0</v>
      </c>
      <c r="I503">
        <f>SUMIFS($X$13:$X$429,$A$13:$A$429,$C503,$C$13:$C$429,$D503)</f>
        <v>0</v>
      </c>
      <c r="J503">
        <f>SUMIFS($Y$13:$Y$429,$A$13:$A$429,$C503,$C$13:$C$429,$D503)</f>
        <v>0</v>
      </c>
      <c r="K503">
        <f>SUMIFS($Z$13:$Z$429,$A$13:$A$429,$C503,$C$13:$C$429,$D503)</f>
        <v>0</v>
      </c>
      <c r="L503">
        <f>SUMIFS(L$13:L$429,$A$13:$A$429,$C503,$C$13:$C$429,$D503)</f>
        <v>0</v>
      </c>
      <c r="M503">
        <f>SUMIFS(M$13:M$429,$A$13:$A$429,$C503,$C$13:$C$429,$D503)</f>
        <v>0</v>
      </c>
      <c r="N503">
        <f>SUMIFS(N$13:N$429,$A$13:$A$429,$C503,$C$13:$C$429,$D503)</f>
        <v>0</v>
      </c>
      <c r="O503">
        <f>SUMIFS(O$13:O$429,$A$13:$A$429,$C503,$C$13:$C$429,$D503)</f>
        <v>0</v>
      </c>
      <c r="P503">
        <f>SUMIFS(P$13:P$429,$A$13:$A$429,$C503,$C$13:$C$429,$D503)</f>
        <v>0</v>
      </c>
      <c r="Q503">
        <f>SUMIFS(Q$13:Q$429,$A$13:$A$429,$C503,$C$13:$C$429,$D503)</f>
        <v>0</v>
      </c>
      <c r="R503">
        <f>SUMIFS(R$13:R$429,$A$13:$A$429,$C503,$C$13:$C$429,$D503)</f>
        <v>0</v>
      </c>
      <c r="S503">
        <f>SUMIFS(S$13:S$429,$A$13:$A$429,$C503,$C$13:$C$429,$D503)</f>
        <v>0</v>
      </c>
      <c r="T503">
        <f>SUMIFS(T$13:T$429,$A$13:$A$429,$C503,$C$13:$C$429,$D503)</f>
        <v>0</v>
      </c>
      <c r="U503">
        <f>SUM(L503:T503)</f>
        <v>0</v>
      </c>
      <c r="W503">
        <f>IF(SUM(H503:I503)&gt;0,SUM(H503:I503)/G503,0)</f>
        <v>0</v>
      </c>
      <c r="X503">
        <f>IF(G503&gt;0,U503/G503,0)</f>
        <v>0</v>
      </c>
    </row>
    <row r="504">
      <c r="C504" t="str">
        <v>Lantai 1</v>
      </c>
      <c r="D504" t="str">
        <v>B36-1</v>
      </c>
      <c r="G504">
        <f>SUMIFS($V$13:$V$429,$A$13:$A$429,$C504,$C$13:$C$429,$D504)</f>
        <v>0</v>
      </c>
      <c r="H504">
        <f>SUMIFS($W$13:$W$429,$A$13:$A$429,$C504,$C$13:$C$429,$D504)</f>
        <v>0</v>
      </c>
      <c r="I504">
        <f>SUMIFS($X$13:$X$429,$A$13:$A$429,$C504,$C$13:$C$429,$D504)</f>
        <v>0</v>
      </c>
      <c r="J504">
        <f>SUMIFS($Y$13:$Y$429,$A$13:$A$429,$C504,$C$13:$C$429,$D504)</f>
        <v>0</v>
      </c>
      <c r="K504">
        <f>SUMIFS($Z$13:$Z$429,$A$13:$A$429,$C504,$C$13:$C$429,$D504)</f>
        <v>0</v>
      </c>
      <c r="L504">
        <f>SUMIFS(L$13:L$429,$A$13:$A$429,$C504,$C$13:$C$429,$D504)</f>
        <v>0</v>
      </c>
      <c r="M504">
        <f>SUMIFS(M$13:M$429,$A$13:$A$429,$C504,$C$13:$C$429,$D504)</f>
        <v>0</v>
      </c>
      <c r="N504">
        <f>SUMIFS(N$13:N$429,$A$13:$A$429,$C504,$C$13:$C$429,$D504)</f>
        <v>0</v>
      </c>
      <c r="O504">
        <f>SUMIFS(O$13:O$429,$A$13:$A$429,$C504,$C$13:$C$429,$D504)</f>
        <v>0</v>
      </c>
      <c r="P504">
        <f>SUMIFS(P$13:P$429,$A$13:$A$429,$C504,$C$13:$C$429,$D504)</f>
        <v>0</v>
      </c>
      <c r="Q504">
        <f>SUMIFS(Q$13:Q$429,$A$13:$A$429,$C504,$C$13:$C$429,$D504)</f>
        <v>0</v>
      </c>
      <c r="R504">
        <f>SUMIFS(R$13:R$429,$A$13:$A$429,$C504,$C$13:$C$429,$D504)</f>
        <v>0</v>
      </c>
      <c r="S504">
        <f>SUMIFS(S$13:S$429,$A$13:$A$429,$C504,$C$13:$C$429,$D504)</f>
        <v>0</v>
      </c>
      <c r="T504">
        <f>SUMIFS(T$13:T$429,$A$13:$A$429,$C504,$C$13:$C$429,$D504)</f>
        <v>0</v>
      </c>
      <c r="U504">
        <f>SUM(L504:T504)</f>
        <v>0</v>
      </c>
      <c r="W504">
        <f>IF(SUM(H504:I504)&gt;0,SUM(H504:I504)/G504,0)</f>
        <v>0</v>
      </c>
      <c r="X504">
        <f>IF(G504&gt;0,U504/G504,0)</f>
        <v>0</v>
      </c>
    </row>
    <row r="505">
      <c r="C505" t="str">
        <v>Lantai 1</v>
      </c>
      <c r="D505" t="str">
        <v>B36-2</v>
      </c>
      <c r="G505">
        <f>SUMIFS($V$13:$V$429,$A$13:$A$429,$C505,$C$13:$C$429,$D505)</f>
        <v>0</v>
      </c>
      <c r="H505">
        <f>SUMIFS($W$13:$W$429,$A$13:$A$429,$C505,$C$13:$C$429,$D505)</f>
        <v>0</v>
      </c>
      <c r="I505">
        <f>SUMIFS($X$13:$X$429,$A$13:$A$429,$C505,$C$13:$C$429,$D505)</f>
        <v>0</v>
      </c>
      <c r="J505">
        <f>SUMIFS($Y$13:$Y$429,$A$13:$A$429,$C505,$C$13:$C$429,$D505)</f>
        <v>0</v>
      </c>
      <c r="K505">
        <f>SUMIFS($Z$13:$Z$429,$A$13:$A$429,$C505,$C$13:$C$429,$D505)</f>
        <v>0</v>
      </c>
      <c r="L505">
        <f>SUMIFS(L$13:L$429,$A$13:$A$429,$C505,$C$13:$C$429,$D505)</f>
        <v>0</v>
      </c>
      <c r="M505">
        <f>SUMIFS(M$13:M$429,$A$13:$A$429,$C505,$C$13:$C$429,$D505)</f>
        <v>0</v>
      </c>
      <c r="N505">
        <f>SUMIFS(N$13:N$429,$A$13:$A$429,$C505,$C$13:$C$429,$D505)</f>
        <v>0</v>
      </c>
      <c r="O505">
        <f>SUMIFS(O$13:O$429,$A$13:$A$429,$C505,$C$13:$C$429,$D505)</f>
        <v>0</v>
      </c>
      <c r="P505">
        <f>SUMIFS(P$13:P$429,$A$13:$A$429,$C505,$C$13:$C$429,$D505)</f>
        <v>0</v>
      </c>
      <c r="Q505">
        <f>SUMIFS(Q$13:Q$429,$A$13:$A$429,$C505,$C$13:$C$429,$D505)</f>
        <v>0</v>
      </c>
      <c r="R505">
        <f>SUMIFS(R$13:R$429,$A$13:$A$429,$C505,$C$13:$C$429,$D505)</f>
        <v>0</v>
      </c>
      <c r="S505">
        <f>SUMIFS(S$13:S$429,$A$13:$A$429,$C505,$C$13:$C$429,$D505)</f>
        <v>0</v>
      </c>
      <c r="T505">
        <f>SUMIFS(T$13:T$429,$A$13:$A$429,$C505,$C$13:$C$429,$D505)</f>
        <v>0</v>
      </c>
      <c r="U505">
        <f>SUM(L505:T505)</f>
        <v>0</v>
      </c>
      <c r="W505">
        <f>IF(SUM(H505:I505)&gt;0,SUM(H505:I505)/G505,0)</f>
        <v>0</v>
      </c>
      <c r="X505">
        <f>IF(G505&gt;0,U505/G505,0)</f>
        <v>0</v>
      </c>
    </row>
    <row r="506">
      <c r="C506" t="str">
        <v>Lantai 1</v>
      </c>
      <c r="D506" t="str">
        <v>B36-3</v>
      </c>
      <c r="G506">
        <f>SUMIFS($V$13:$V$429,$A$13:$A$429,$C506,$C$13:$C$429,$D506)</f>
        <v>0</v>
      </c>
      <c r="H506">
        <f>SUMIFS($W$13:$W$429,$A$13:$A$429,$C506,$C$13:$C$429,$D506)</f>
        <v>0</v>
      </c>
      <c r="I506">
        <f>SUMIFS($X$13:$X$429,$A$13:$A$429,$C506,$C$13:$C$429,$D506)</f>
        <v>0</v>
      </c>
      <c r="J506">
        <f>SUMIFS($Y$13:$Y$429,$A$13:$A$429,$C506,$C$13:$C$429,$D506)</f>
        <v>0</v>
      </c>
      <c r="K506">
        <f>SUMIFS($Z$13:$Z$429,$A$13:$A$429,$C506,$C$13:$C$429,$D506)</f>
        <v>0</v>
      </c>
      <c r="L506">
        <f>SUMIFS(L$13:L$429,$A$13:$A$429,$C506,$C$13:$C$429,$D506)</f>
        <v>0</v>
      </c>
      <c r="M506">
        <f>SUMIFS(M$13:M$429,$A$13:$A$429,$C506,$C$13:$C$429,$D506)</f>
        <v>0</v>
      </c>
      <c r="N506">
        <f>SUMIFS(N$13:N$429,$A$13:$A$429,$C506,$C$13:$C$429,$D506)</f>
        <v>0</v>
      </c>
      <c r="O506">
        <f>SUMIFS(O$13:O$429,$A$13:$A$429,$C506,$C$13:$C$429,$D506)</f>
        <v>0</v>
      </c>
      <c r="P506">
        <f>SUMIFS(P$13:P$429,$A$13:$A$429,$C506,$C$13:$C$429,$D506)</f>
        <v>0</v>
      </c>
      <c r="Q506">
        <f>SUMIFS(Q$13:Q$429,$A$13:$A$429,$C506,$C$13:$C$429,$D506)</f>
        <v>0</v>
      </c>
      <c r="R506">
        <f>SUMIFS(R$13:R$429,$A$13:$A$429,$C506,$C$13:$C$429,$D506)</f>
        <v>0</v>
      </c>
      <c r="S506">
        <f>SUMIFS(S$13:S$429,$A$13:$A$429,$C506,$C$13:$C$429,$D506)</f>
        <v>0</v>
      </c>
      <c r="T506">
        <f>SUMIFS(T$13:T$429,$A$13:$A$429,$C506,$C$13:$C$429,$D506)</f>
        <v>0</v>
      </c>
      <c r="U506">
        <f>SUM(L506:T506)</f>
        <v>0</v>
      </c>
      <c r="W506">
        <f>IF(SUM(H506:I506)&gt;0,SUM(H506:I506)/G506,0)</f>
        <v>0</v>
      </c>
      <c r="X506">
        <f>IF(G506&gt;0,U506/G506,0)</f>
        <v>0</v>
      </c>
    </row>
    <row r="507">
      <c r="C507" t="str">
        <v>Lantai 1</v>
      </c>
      <c r="D507" t="str">
        <v>B37-1</v>
      </c>
      <c r="G507">
        <f>SUMIFS($V$13:$V$429,$A$13:$A$429,$C507,$C$13:$C$429,$D507)</f>
        <v>5.081265</v>
      </c>
      <c r="H507">
        <f>SUMIFS($W$13:$W$429,$A$13:$A$429,$C507,$C$13:$C$429,$D507)</f>
        <v>42.7896</v>
      </c>
      <c r="I507">
        <f>SUMIFS($X$13:$X$429,$A$13:$A$429,$C507,$C$13:$C$429,$D507)</f>
        <v>0</v>
      </c>
      <c r="J507">
        <f>SUMIFS($Y$13:$Y$429,$A$13:$A$429,$C507,$C$13:$C$429,$D507)</f>
        <v>0</v>
      </c>
      <c r="K507">
        <f>SUMIFS($Z$13:$Z$429,$A$13:$A$429,$C507,$C$13:$C$429,$D507)</f>
        <v>0</v>
      </c>
      <c r="L507">
        <f>SUMIFS(L$13:L$429,$A$13:$A$429,$C507,$C$13:$C$429,$D507)</f>
        <v>0</v>
      </c>
      <c r="M507">
        <f>SUMIFS(M$13:M$429,$A$13:$A$429,$C507,$C$13:$C$429,$D507)</f>
        <v>0</v>
      </c>
      <c r="N507">
        <f>SUMIFS(N$13:N$429,$A$13:$A$429,$C507,$C$13:$C$429,$D507)</f>
        <v>443.43612</v>
      </c>
      <c r="O507">
        <f>SUMIFS(O$13:O$429,$A$13:$A$429,$C507,$C$13:$C$429,$D507)</f>
        <v>0</v>
      </c>
      <c r="P507">
        <f>SUMIFS(P$13:P$429,$A$13:$A$429,$C507,$C$13:$C$429,$D507)</f>
        <v>0</v>
      </c>
      <c r="Q507">
        <f>SUMIFS(Q$13:Q$429,$A$13:$A$429,$C507,$C$13:$C$429,$D507)</f>
        <v>0</v>
      </c>
      <c r="R507">
        <f>SUMIFS(R$13:R$429,$A$13:$A$429,$C507,$C$13:$C$429,$D507)</f>
        <v>1040.84944029</v>
      </c>
      <c r="S507">
        <f>SUMIFS(S$13:S$429,$A$13:$A$429,$C507,$C$13:$C$429,$D507)</f>
        <v>0</v>
      </c>
      <c r="T507">
        <f>SUMIFS(T$13:T$429,$A$13:$A$429,$C507,$C$13:$C$429,$D507)</f>
        <v>0</v>
      </c>
      <c r="U507">
        <f>SUM(L507:T507)</f>
        <v>1484.2855602900001</v>
      </c>
      <c r="W507">
        <f>IF(SUM(H507:I507)&gt;0,SUM(H507:I507)/G507,0)</f>
        <v>8.421052631578947</v>
      </c>
      <c r="X507">
        <f>IF(G507&gt;0,U507/G507,0)</f>
        <v>292.10945705252533</v>
      </c>
    </row>
    <row r="508">
      <c r="C508" t="str">
        <v>Lantai 1</v>
      </c>
      <c r="D508" t="str">
        <v>B47-1</v>
      </c>
      <c r="G508">
        <f>SUMIFS($V$13:$V$429,$A$13:$A$429,$C508,$C$13:$C$429,$D508)</f>
        <v>2.52738</v>
      </c>
      <c r="H508">
        <f>SUMIFS($W$13:$W$429,$A$13:$A$429,$C508,$C$13:$C$429,$D508)</f>
        <v>17.0709</v>
      </c>
      <c r="I508">
        <f>SUMIFS($X$13:$X$429,$A$13:$A$429,$C508,$C$13:$C$429,$D508)</f>
        <v>0</v>
      </c>
      <c r="J508">
        <f>SUMIFS($Y$13:$Y$429,$A$13:$A$429,$C508,$C$13:$C$429,$D508)</f>
        <v>0</v>
      </c>
      <c r="K508">
        <f>SUMIFS($Z$13:$Z$429,$A$13:$A$429,$C508,$C$13:$C$429,$D508)</f>
        <v>0</v>
      </c>
      <c r="L508">
        <f>SUMIFS(L$13:L$429,$A$13:$A$429,$C508,$C$13:$C$429,$D508)</f>
        <v>0</v>
      </c>
      <c r="M508">
        <f>SUMIFS(M$13:M$429,$A$13:$A$429,$C508,$C$13:$C$429,$D508)</f>
        <v>0</v>
      </c>
      <c r="N508">
        <f>SUMIFS(N$13:N$429,$A$13:$A$429,$C508,$C$13:$C$429,$D508)</f>
        <v>14.259645000000003</v>
      </c>
      <c r="O508">
        <f>SUMIFS(O$13:O$429,$A$13:$A$429,$C508,$C$13:$C$429,$D508)</f>
        <v>235.46184245999996</v>
      </c>
      <c r="P508">
        <f>SUMIFS(P$13:P$429,$A$13:$A$429,$C508,$C$13:$C$429,$D508)</f>
        <v>266.23567296000004</v>
      </c>
      <c r="Q508">
        <f>SUMIFS(Q$13:Q$429,$A$13:$A$429,$C508,$C$13:$C$429,$D508)</f>
        <v>0</v>
      </c>
      <c r="R508">
        <f>SUMIFS(R$13:R$429,$A$13:$A$429,$C508,$C$13:$C$429,$D508)</f>
        <v>0</v>
      </c>
      <c r="S508">
        <f>SUMIFS(S$13:S$429,$A$13:$A$429,$C508,$C$13:$C$429,$D508)</f>
        <v>0</v>
      </c>
      <c r="T508">
        <f>SUMIFS(T$13:T$429,$A$13:$A$429,$C508,$C$13:$C$429,$D508)</f>
        <v>0</v>
      </c>
      <c r="U508">
        <f>SUM(L508:T508)</f>
        <v>515.95716042</v>
      </c>
      <c r="W508">
        <f>IF(SUM(H508:I508)&gt;0,SUM(H508:I508)/G508,0)</f>
        <v>6.754385964912282</v>
      </c>
      <c r="X508">
        <f>IF(G508&gt;0,U508/G508,0)</f>
        <v>204.1470457232391</v>
      </c>
    </row>
    <row r="509">
      <c r="C509" t="str">
        <v>Lantai 1</v>
      </c>
      <c r="D509" t="str">
        <v>B475-1</v>
      </c>
      <c r="G509">
        <f>SUMIFS($V$13:$V$429,$A$13:$A$429,$C509,$C$13:$C$429,$D509)</f>
        <v>0</v>
      </c>
      <c r="H509">
        <f>SUMIFS($W$13:$W$429,$A$13:$A$429,$C509,$C$13:$C$429,$D509)</f>
        <v>0</v>
      </c>
      <c r="I509">
        <f>SUMIFS($X$13:$X$429,$A$13:$A$429,$C509,$C$13:$C$429,$D509)</f>
        <v>0</v>
      </c>
      <c r="J509">
        <f>SUMIFS($Y$13:$Y$429,$A$13:$A$429,$C509,$C$13:$C$429,$D509)</f>
        <v>0</v>
      </c>
      <c r="K509">
        <f>SUMIFS($Z$13:$Z$429,$A$13:$A$429,$C509,$C$13:$C$429,$D509)</f>
        <v>0</v>
      </c>
      <c r="L509">
        <f>SUMIFS(L$13:L$429,$A$13:$A$429,$C509,$C$13:$C$429,$D509)</f>
        <v>0</v>
      </c>
      <c r="M509">
        <f>SUMIFS(M$13:M$429,$A$13:$A$429,$C509,$C$13:$C$429,$D509)</f>
        <v>0</v>
      </c>
      <c r="N509">
        <f>SUMIFS(N$13:N$429,$A$13:$A$429,$C509,$C$13:$C$429,$D509)</f>
        <v>0</v>
      </c>
      <c r="O509">
        <f>SUMIFS(O$13:O$429,$A$13:$A$429,$C509,$C$13:$C$429,$D509)</f>
        <v>0</v>
      </c>
      <c r="P509">
        <f>SUMIFS(P$13:P$429,$A$13:$A$429,$C509,$C$13:$C$429,$D509)</f>
        <v>0</v>
      </c>
      <c r="Q509">
        <f>SUMIFS(Q$13:Q$429,$A$13:$A$429,$C509,$C$13:$C$429,$D509)</f>
        <v>0</v>
      </c>
      <c r="R509">
        <f>SUMIFS(R$13:R$429,$A$13:$A$429,$C509,$C$13:$C$429,$D509)</f>
        <v>0</v>
      </c>
      <c r="S509">
        <f>SUMIFS(S$13:S$429,$A$13:$A$429,$C509,$C$13:$C$429,$D509)</f>
        <v>0</v>
      </c>
      <c r="T509">
        <f>SUMIFS(T$13:T$429,$A$13:$A$429,$C509,$C$13:$C$429,$D509)</f>
        <v>0</v>
      </c>
      <c r="U509">
        <f>SUM(L509:T509)</f>
        <v>0</v>
      </c>
      <c r="W509">
        <f>IF(SUM(H509:I509)&gt;0,SUM(H509:I509)/G509,0)</f>
        <v>0</v>
      </c>
      <c r="X509">
        <f>IF(G509&gt;0,U509/G509,0)</f>
        <v>0</v>
      </c>
    </row>
    <row r="510">
      <c r="C510" t="str">
        <v>Lantai 1</v>
      </c>
      <c r="D510" t="str">
        <v>B57-1</v>
      </c>
      <c r="G510">
        <f>SUMIFS($V$13:$V$429,$A$13:$A$429,$C510,$C$13:$C$429,$D510)</f>
        <v>14.197274999999998</v>
      </c>
      <c r="H510">
        <f>SUMIFS($W$13:$W$429,$A$13:$A$429,$C510,$C$13:$C$429,$D510)</f>
        <v>81.6966</v>
      </c>
      <c r="I510">
        <f>SUMIFS($X$13:$X$429,$A$13:$A$429,$C510,$C$13:$C$429,$D510)</f>
        <v>0</v>
      </c>
      <c r="J510">
        <f>SUMIFS($Y$13:$Y$429,$A$13:$A$429,$C510,$C$13:$C$429,$D510)</f>
        <v>0</v>
      </c>
      <c r="K510">
        <f>SUMIFS($Z$13:$Z$429,$A$13:$A$429,$C510,$C$13:$C$429,$D510)</f>
        <v>0</v>
      </c>
      <c r="L510">
        <f>SUMIFS(L$13:L$429,$A$13:$A$429,$C510,$C$13:$C$429,$D510)</f>
        <v>0</v>
      </c>
      <c r="M510">
        <f>SUMIFS(M$13:M$429,$A$13:$A$429,$C510,$C$13:$C$429,$D510)</f>
        <v>0</v>
      </c>
      <c r="N510">
        <f>SUMIFS(N$13:N$429,$A$13:$A$429,$C510,$C$13:$C$429,$D510)</f>
        <v>0</v>
      </c>
      <c r="O510">
        <f>SUMIFS(O$13:O$429,$A$13:$A$429,$C510,$C$13:$C$429,$D510)</f>
        <v>1650.9522170699997</v>
      </c>
      <c r="P510">
        <f>SUMIFS(P$13:P$429,$A$13:$A$429,$C510,$C$13:$C$429,$D510)</f>
        <v>0</v>
      </c>
      <c r="Q510">
        <f>SUMIFS(Q$13:Q$429,$A$13:$A$429,$C510,$C$13:$C$429,$D510)</f>
        <v>0</v>
      </c>
      <c r="R510">
        <f>SUMIFS(R$13:R$429,$A$13:$A$429,$C510,$C$13:$C$429,$D510)</f>
        <v>2132.6915560499997</v>
      </c>
      <c r="S510">
        <f>SUMIFS(S$13:S$429,$A$13:$A$429,$C510,$C$13:$C$429,$D510)</f>
        <v>0</v>
      </c>
      <c r="T510">
        <f>SUMIFS(T$13:T$429,$A$13:$A$429,$C510,$C$13:$C$429,$D510)</f>
        <v>0</v>
      </c>
      <c r="U510">
        <f>SUM(L510:T510)</f>
        <v>3783.6437731199994</v>
      </c>
      <c r="W510">
        <f>IF(SUM(H510:I510)&gt;0,SUM(H510:I510)/G510,0)</f>
        <v>5.754385964912282</v>
      </c>
      <c r="X510">
        <f>IF(G510&gt;0,U510/G510,0)</f>
        <v>266.5049295107688</v>
      </c>
    </row>
    <row r="511">
      <c r="C511" t="str">
        <v>Lantai 1</v>
      </c>
      <c r="D511" t="str">
        <v>B57-4</v>
      </c>
      <c r="G511">
        <f>SUMIFS($V$13:$V$429,$A$13:$A$429,$C511,$C$13:$C$429,$D511)</f>
        <v>6.327</v>
      </c>
      <c r="H511">
        <f>SUMIFS($W$13:$W$429,$A$13:$A$429,$C511,$C$13:$C$429,$D511)</f>
        <v>36.408</v>
      </c>
      <c r="I511">
        <f>SUMIFS($X$13:$X$429,$A$13:$A$429,$C511,$C$13:$C$429,$D511)</f>
        <v>0</v>
      </c>
      <c r="J511">
        <f>SUMIFS($Y$13:$Y$429,$A$13:$A$429,$C511,$C$13:$C$429,$D511)</f>
        <v>0</v>
      </c>
      <c r="K511">
        <f>SUMIFS($Z$13:$Z$429,$A$13:$A$429,$C511,$C$13:$C$429,$D511)</f>
        <v>0</v>
      </c>
      <c r="L511">
        <f>SUMIFS(L$13:L$429,$A$13:$A$429,$C511,$C$13:$C$429,$D511)</f>
        <v>0</v>
      </c>
      <c r="M511">
        <f>SUMIFS(M$13:M$429,$A$13:$A$429,$C511,$C$13:$C$429,$D511)</f>
        <v>0</v>
      </c>
      <c r="N511">
        <f>SUMIFS(N$13:N$429,$A$13:$A$429,$C511,$C$13:$C$429,$D511)</f>
        <v>396.02727000000004</v>
      </c>
      <c r="O511">
        <f>SUMIFS(O$13:O$429,$A$13:$A$429,$C511,$C$13:$C$429,$D511)</f>
        <v>0</v>
      </c>
      <c r="P511">
        <f>SUMIFS(P$13:P$429,$A$13:$A$429,$C511,$C$13:$C$429,$D511)</f>
        <v>0</v>
      </c>
      <c r="Q511">
        <f>SUMIFS(Q$13:Q$429,$A$13:$A$429,$C511,$C$13:$C$429,$D511)</f>
        <v>0</v>
      </c>
      <c r="R511">
        <f>SUMIFS(R$13:R$429,$A$13:$A$429,$C511,$C$13:$C$429,$D511)</f>
        <v>1017.2217448800001</v>
      </c>
      <c r="S511">
        <f>SUMIFS(S$13:S$429,$A$13:$A$429,$C511,$C$13:$C$429,$D511)</f>
        <v>0</v>
      </c>
      <c r="T511">
        <f>SUMIFS(T$13:T$429,$A$13:$A$429,$C511,$C$13:$C$429,$D511)</f>
        <v>0</v>
      </c>
      <c r="U511">
        <f>SUM(L511:T511)</f>
        <v>1413.2490148800002</v>
      </c>
      <c r="W511">
        <f>IF(SUM(H511:I511)&gt;0,SUM(H511:I511)/G511,0)</f>
        <v>5.754385964912281</v>
      </c>
      <c r="X511">
        <f>IF(G511&gt;0,U511/G511,0)</f>
        <v>223.36794924608824</v>
      </c>
    </row>
    <row r="512">
      <c r="C512" t="str">
        <v>Lantai 1</v>
      </c>
      <c r="D512" t="str">
        <v>B67-1</v>
      </c>
      <c r="G512">
        <f>SUMIFS($V$13:$V$429,$A$13:$A$429,$C512,$C$13:$C$429,$D512)</f>
        <v>2.394</v>
      </c>
      <c r="H512">
        <f>SUMIFS($W$13:$W$429,$A$13:$A$429,$C512,$C$13:$C$429,$D512)</f>
        <v>12.18</v>
      </c>
      <c r="I512">
        <f>SUMIFS($X$13:$X$429,$A$13:$A$429,$C512,$C$13:$C$429,$D512)</f>
        <v>0</v>
      </c>
      <c r="J512">
        <f>SUMIFS($Y$13:$Y$429,$A$13:$A$429,$C512,$C$13:$C$429,$D512)</f>
        <v>0</v>
      </c>
      <c r="K512">
        <f>SUMIFS($Z$13:$Z$429,$A$13:$A$429,$C512,$C$13:$C$429,$D512)</f>
        <v>0</v>
      </c>
      <c r="L512">
        <f>SUMIFS(L$13:L$429,$A$13:$A$429,$C512,$C$13:$C$429,$D512)</f>
        <v>0</v>
      </c>
      <c r="M512">
        <f>SUMIFS(M$13:M$429,$A$13:$A$429,$C512,$C$13:$C$429,$D512)</f>
        <v>0</v>
      </c>
      <c r="N512">
        <f>SUMIFS(N$13:N$429,$A$13:$A$429,$C512,$C$13:$C$429,$D512)</f>
        <v>8.92692</v>
      </c>
      <c r="O512">
        <f>SUMIFS(O$13:O$429,$A$13:$A$429,$C512,$C$13:$C$429,$D512)</f>
        <v>212.31532529999998</v>
      </c>
      <c r="P512">
        <f>SUMIFS(P$13:P$429,$A$13:$A$429,$C512,$C$13:$C$429,$D512)</f>
        <v>0</v>
      </c>
      <c r="Q512">
        <f>SUMIFS(Q$13:Q$429,$A$13:$A$429,$C512,$C$13:$C$429,$D512)</f>
        <v>0</v>
      </c>
      <c r="R512">
        <f>SUMIFS(R$13:R$429,$A$13:$A$429,$C512,$C$13:$C$429,$D512)</f>
        <v>274.63447440000004</v>
      </c>
      <c r="S512">
        <f>SUMIFS(S$13:S$429,$A$13:$A$429,$C512,$C$13:$C$429,$D512)</f>
        <v>0</v>
      </c>
      <c r="T512">
        <f>SUMIFS(T$13:T$429,$A$13:$A$429,$C512,$C$13:$C$429,$D512)</f>
        <v>0</v>
      </c>
      <c r="U512">
        <f>SUM(L512:T512)</f>
        <v>495.8767197</v>
      </c>
      <c r="W512">
        <f>IF(SUM(H512:I512)&gt;0,SUM(H512:I512)/G512,0)</f>
        <v>5.087719298245614</v>
      </c>
      <c r="X512">
        <f>IF(G512&gt;0,U512/G512,0)</f>
        <v>207.13313270676693</v>
      </c>
    </row>
    <row r="513">
      <c r="C513" t="str">
        <v>Lantai 1</v>
      </c>
      <c r="D513" t="str">
        <v>CL68-1</v>
      </c>
      <c r="G513">
        <f>SUMIFS($V$13:$V$429,$A$13:$A$429,$C513,$C$13:$C$429,$D513)</f>
        <v>0</v>
      </c>
      <c r="H513">
        <f>SUMIFS($W$13:$W$429,$A$13:$A$429,$C513,$C$13:$C$429,$D513)</f>
        <v>0</v>
      </c>
      <c r="I513">
        <f>SUMIFS($X$13:$X$429,$A$13:$A$429,$C513,$C$13:$C$429,$D513)</f>
        <v>0</v>
      </c>
      <c r="J513">
        <f>SUMIFS($Y$13:$Y$429,$A$13:$A$429,$C513,$C$13:$C$429,$D513)</f>
        <v>0</v>
      </c>
      <c r="K513">
        <f>SUMIFS($Z$13:$Z$429,$A$13:$A$429,$C513,$C$13:$C$429,$D513)</f>
        <v>0</v>
      </c>
      <c r="L513">
        <f>SUMIFS(L$13:L$429,$A$13:$A$429,$C513,$C$13:$C$429,$D513)</f>
        <v>0</v>
      </c>
      <c r="M513">
        <f>SUMIFS(M$13:M$429,$A$13:$A$429,$C513,$C$13:$C$429,$D513)</f>
        <v>0</v>
      </c>
      <c r="N513">
        <f>SUMIFS(N$13:N$429,$A$13:$A$429,$C513,$C$13:$C$429,$D513)</f>
        <v>0</v>
      </c>
      <c r="O513">
        <f>SUMIFS(O$13:O$429,$A$13:$A$429,$C513,$C$13:$C$429,$D513)</f>
        <v>0</v>
      </c>
      <c r="P513">
        <f>SUMIFS(P$13:P$429,$A$13:$A$429,$C513,$C$13:$C$429,$D513)</f>
        <v>0</v>
      </c>
      <c r="Q513">
        <f>SUMIFS(Q$13:Q$429,$A$13:$A$429,$C513,$C$13:$C$429,$D513)</f>
        <v>0</v>
      </c>
      <c r="R513">
        <f>SUMIFS(R$13:R$429,$A$13:$A$429,$C513,$C$13:$C$429,$D513)</f>
        <v>0</v>
      </c>
      <c r="S513">
        <f>SUMIFS(S$13:S$429,$A$13:$A$429,$C513,$C$13:$C$429,$D513)</f>
        <v>0</v>
      </c>
      <c r="T513">
        <f>SUMIFS(T$13:T$429,$A$13:$A$429,$C513,$C$13:$C$429,$D513)</f>
        <v>0</v>
      </c>
      <c r="U513">
        <f>SUM(L513:T513)</f>
        <v>0</v>
      </c>
      <c r="W513">
        <f>IF(SUM(H513:I513)&gt;0,SUM(H513:I513)/G513,0)</f>
        <v>0</v>
      </c>
      <c r="X513">
        <f>IF(G513&gt;0,U513/G513,0)</f>
        <v>0</v>
      </c>
    </row>
    <row r="514">
      <c r="C514" t="str">
        <v>Lantai 1</v>
      </c>
      <c r="D514" t="str">
        <v>B77-1</v>
      </c>
      <c r="G514">
        <f>SUMIFS($V$13:$V$429,$A$13:$A$429,$C514,$C$13:$C$429,$D514)</f>
        <v>3.09225</v>
      </c>
      <c r="H514">
        <f>SUMIFS($W$13:$W$429,$A$13:$A$429,$C514,$C$13:$C$429,$D514)</f>
        <v>14.26</v>
      </c>
      <c r="I514">
        <f>SUMIFS($X$13:$X$429,$A$13:$A$429,$C514,$C$13:$C$429,$D514)</f>
        <v>0</v>
      </c>
      <c r="J514">
        <f>SUMIFS($Y$13:$Y$429,$A$13:$A$429,$C514,$C$13:$C$429,$D514)</f>
        <v>0</v>
      </c>
      <c r="K514">
        <f>SUMIFS($Z$13:$Z$429,$A$13:$A$429,$C514,$C$13:$C$429,$D514)</f>
        <v>0</v>
      </c>
      <c r="L514">
        <f>SUMIFS(L$13:L$429,$A$13:$A$429,$C514,$C$13:$C$429,$D514)</f>
        <v>0</v>
      </c>
      <c r="M514">
        <f>SUMIFS(M$13:M$429,$A$13:$A$429,$C514,$C$13:$C$429,$D514)</f>
        <v>0</v>
      </c>
      <c r="N514">
        <f>SUMIFS(N$13:N$429,$A$13:$A$429,$C514,$C$13:$C$429,$D514)</f>
        <v>9.85167</v>
      </c>
      <c r="O514">
        <f>SUMIFS(O$13:O$429,$A$13:$A$429,$C514,$C$13:$C$429,$D514)</f>
        <v>318.82514507999997</v>
      </c>
      <c r="P514">
        <f>SUMIFS(P$13:P$429,$A$13:$A$429,$C514,$C$13:$C$429,$D514)</f>
        <v>0</v>
      </c>
      <c r="Q514">
        <f>SUMIFS(Q$13:Q$429,$A$13:$A$429,$C514,$C$13:$C$429,$D514)</f>
        <v>0</v>
      </c>
      <c r="R514">
        <f>SUMIFS(R$13:R$429,$A$13:$A$429,$C514,$C$13:$C$429,$D514)</f>
        <v>496.75898052</v>
      </c>
      <c r="S514">
        <f>SUMIFS(S$13:S$429,$A$13:$A$429,$C514,$C$13:$C$429,$D514)</f>
        <v>0</v>
      </c>
      <c r="T514">
        <f>SUMIFS(T$13:T$429,$A$13:$A$429,$C514,$C$13:$C$429,$D514)</f>
        <v>0</v>
      </c>
      <c r="U514">
        <f>SUM(L514:T514)</f>
        <v>825.4357956</v>
      </c>
      <c r="W514">
        <f>IF(SUM(H514:I514)&gt;0,SUM(H514:I514)/G514,0)</f>
        <v>4.611528822055138</v>
      </c>
      <c r="X514">
        <f>IF(G514&gt;0,U514/G514,0)</f>
        <v>266.93695386854233</v>
      </c>
    </row>
    <row r="515">
      <c r="C515" t="str">
        <v>Lantai 1</v>
      </c>
      <c r="D515" t="str">
        <v>B78-1</v>
      </c>
      <c r="G515">
        <f>SUMIFS($V$13:$V$429,$A$13:$A$429,$C515,$C$13:$C$429,$D515)</f>
        <v>0</v>
      </c>
      <c r="H515">
        <f>SUMIFS($W$13:$W$429,$A$13:$A$429,$C515,$C$13:$C$429,$D515)</f>
        <v>0</v>
      </c>
      <c r="I515">
        <f>SUMIFS($X$13:$X$429,$A$13:$A$429,$C515,$C$13:$C$429,$D515)</f>
        <v>0</v>
      </c>
      <c r="J515">
        <f>SUMIFS($Y$13:$Y$429,$A$13:$A$429,$C515,$C$13:$C$429,$D515)</f>
        <v>0</v>
      </c>
      <c r="K515">
        <f>SUMIFS($Z$13:$Z$429,$A$13:$A$429,$C515,$C$13:$C$429,$D515)</f>
        <v>0</v>
      </c>
      <c r="L515">
        <f>SUMIFS(L$13:L$429,$A$13:$A$429,$C515,$C$13:$C$429,$D515)</f>
        <v>0</v>
      </c>
      <c r="M515">
        <f>SUMIFS(M$13:M$429,$A$13:$A$429,$C515,$C$13:$C$429,$D515)</f>
        <v>0</v>
      </c>
      <c r="N515">
        <f>SUMIFS(N$13:N$429,$A$13:$A$429,$C515,$C$13:$C$429,$D515)</f>
        <v>0</v>
      </c>
      <c r="O515">
        <f>SUMIFS(O$13:O$429,$A$13:$A$429,$C515,$C$13:$C$429,$D515)</f>
        <v>0</v>
      </c>
      <c r="P515">
        <f>SUMIFS(P$13:P$429,$A$13:$A$429,$C515,$C$13:$C$429,$D515)</f>
        <v>0</v>
      </c>
      <c r="Q515">
        <f>SUMIFS(Q$13:Q$429,$A$13:$A$429,$C515,$C$13:$C$429,$D515)</f>
        <v>0</v>
      </c>
      <c r="R515">
        <f>SUMIFS(R$13:R$429,$A$13:$A$429,$C515,$C$13:$C$429,$D515)</f>
        <v>0</v>
      </c>
      <c r="S515">
        <f>SUMIFS(S$13:S$429,$A$13:$A$429,$C515,$C$13:$C$429,$D515)</f>
        <v>0</v>
      </c>
      <c r="T515">
        <f>SUMIFS(T$13:T$429,$A$13:$A$429,$C515,$C$13:$C$429,$D515)</f>
        <v>0</v>
      </c>
      <c r="U515">
        <f>SUM(L515:T515)</f>
        <v>0</v>
      </c>
      <c r="W515">
        <f>IF(SUM(H515:I515)&gt;0,SUM(H515:I515)/G515,0)</f>
        <v>0</v>
      </c>
      <c r="X515">
        <f>IF(G515&gt;0,U515/G515,0)</f>
        <v>0</v>
      </c>
    </row>
    <row r="516">
      <c r="C516" t="str">
        <v>Lantai 1</v>
      </c>
      <c r="D516" t="str">
        <v>B1745-1</v>
      </c>
      <c r="G516">
        <f>SUMIFS($V$13:$V$429,$A$13:$A$429,$C516,$C$13:$C$429,$D516)</f>
        <v>0</v>
      </c>
      <c r="H516">
        <f>SUMIFS($W$13:$W$429,$A$13:$A$429,$C516,$C$13:$C$429,$D516)</f>
        <v>0</v>
      </c>
      <c r="I516">
        <f>SUMIFS($X$13:$X$429,$A$13:$A$429,$C516,$C$13:$C$429,$D516)</f>
        <v>0</v>
      </c>
      <c r="J516">
        <f>SUMIFS($Y$13:$Y$429,$A$13:$A$429,$C516,$C$13:$C$429,$D516)</f>
        <v>0</v>
      </c>
      <c r="K516">
        <f>SUMIFS($Z$13:$Z$429,$A$13:$A$429,$C516,$C$13:$C$429,$D516)</f>
        <v>0</v>
      </c>
      <c r="L516">
        <f>SUMIFS(L$13:L$429,$A$13:$A$429,$C516,$C$13:$C$429,$D516)</f>
        <v>0</v>
      </c>
      <c r="M516">
        <f>SUMIFS(M$13:M$429,$A$13:$A$429,$C516,$C$13:$C$429,$D516)</f>
        <v>0</v>
      </c>
      <c r="N516">
        <f>SUMIFS(N$13:N$429,$A$13:$A$429,$C516,$C$13:$C$429,$D516)</f>
        <v>0</v>
      </c>
      <c r="O516">
        <f>SUMIFS(O$13:O$429,$A$13:$A$429,$C516,$C$13:$C$429,$D516)</f>
        <v>0</v>
      </c>
      <c r="P516">
        <f>SUMIFS(P$13:P$429,$A$13:$A$429,$C516,$C$13:$C$429,$D516)</f>
        <v>0</v>
      </c>
      <c r="Q516">
        <f>SUMIFS(Q$13:Q$429,$A$13:$A$429,$C516,$C$13:$C$429,$D516)</f>
        <v>0</v>
      </c>
      <c r="R516">
        <f>SUMIFS(R$13:R$429,$A$13:$A$429,$C516,$C$13:$C$429,$D516)</f>
        <v>0</v>
      </c>
      <c r="S516">
        <f>SUMIFS(S$13:S$429,$A$13:$A$429,$C516,$C$13:$C$429,$D516)</f>
        <v>0</v>
      </c>
      <c r="T516">
        <f>SUMIFS(T$13:T$429,$A$13:$A$429,$C516,$C$13:$C$429,$D516)</f>
        <v>0</v>
      </c>
      <c r="U516">
        <f>SUM(L516:T516)</f>
        <v>0</v>
      </c>
      <c r="W516">
        <f>IF(SUM(H516:I516)&gt;0,SUM(H516:I516)/G516,0)</f>
        <v>0</v>
      </c>
      <c r="X516">
        <f>IF(G516&gt;0,U516/G516,0)</f>
        <v>0</v>
      </c>
    </row>
    <row r="517">
      <c r="C517" t="str">
        <v>Lantai 1</v>
      </c>
      <c r="D517" t="str">
        <v>B26-6</v>
      </c>
      <c r="G517">
        <f>SUMIFS($V$13:$V$429,$A$13:$A$429,$C517,$C$13:$C$429,$D517)</f>
        <v>0</v>
      </c>
      <c r="H517">
        <f>SUMIFS($W$13:$W$429,$A$13:$A$429,$C517,$C$13:$C$429,$D517)</f>
        <v>0</v>
      </c>
      <c r="I517">
        <f>SUMIFS($X$13:$X$429,$A$13:$A$429,$C517,$C$13:$C$429,$D517)</f>
        <v>0</v>
      </c>
      <c r="J517">
        <f>SUMIFS($Y$13:$Y$429,$A$13:$A$429,$C517,$C$13:$C$429,$D517)</f>
        <v>0</v>
      </c>
      <c r="K517">
        <f>SUMIFS($Z$13:$Z$429,$A$13:$A$429,$C517,$C$13:$C$429,$D517)</f>
        <v>0</v>
      </c>
      <c r="L517">
        <f>SUMIFS(L$13:L$429,$A$13:$A$429,$C517,$C$13:$C$429,$D517)</f>
        <v>0</v>
      </c>
      <c r="M517">
        <f>SUMIFS(M$13:M$429,$A$13:$A$429,$C517,$C$13:$C$429,$D517)</f>
        <v>0</v>
      </c>
      <c r="N517">
        <f>SUMIFS(N$13:N$429,$A$13:$A$429,$C517,$C$13:$C$429,$D517)</f>
        <v>0</v>
      </c>
      <c r="O517">
        <f>SUMIFS(O$13:O$429,$A$13:$A$429,$C517,$C$13:$C$429,$D517)</f>
        <v>0</v>
      </c>
      <c r="P517">
        <f>SUMIFS(P$13:P$429,$A$13:$A$429,$C517,$C$13:$C$429,$D517)</f>
        <v>0</v>
      </c>
      <c r="Q517">
        <f>SUMIFS(Q$13:Q$429,$A$13:$A$429,$C517,$C$13:$C$429,$D517)</f>
        <v>0</v>
      </c>
      <c r="R517">
        <f>SUMIFS(R$13:R$429,$A$13:$A$429,$C517,$C$13:$C$429,$D517)</f>
        <v>0</v>
      </c>
      <c r="S517">
        <f>SUMIFS(S$13:S$429,$A$13:$A$429,$C517,$C$13:$C$429,$D517)</f>
        <v>0</v>
      </c>
      <c r="T517">
        <f>SUMIFS(T$13:T$429,$A$13:$A$429,$C517,$C$13:$C$429,$D517)</f>
        <v>0</v>
      </c>
      <c r="U517">
        <f>SUM(L517:T517)</f>
        <v>0</v>
      </c>
      <c r="W517">
        <f>IF(SUM(H517:I517)&gt;0,SUM(H517:I517)/G517,0)</f>
        <v>0</v>
      </c>
      <c r="X517">
        <f>IF(G517&gt;0,U517/G517,0)</f>
        <v>0</v>
      </c>
    </row>
    <row r="518">
      <c r="C518" t="str">
        <v>Lantai 1</v>
      </c>
      <c r="D518" t="str">
        <v>Potongan A</v>
      </c>
      <c r="G518">
        <f>SUMIFS($V$13:$V$429,$A$13:$A$429,$C518,$C$13:$C$429,$D518)</f>
        <v>0</v>
      </c>
      <c r="H518">
        <f>SUMIFS($W$13:$W$429,$A$13:$A$429,$C518,$C$13:$C$429,$D518)</f>
        <v>0</v>
      </c>
      <c r="I518">
        <f>SUMIFS($X$13:$X$429,$A$13:$A$429,$C518,$C$13:$C$429,$D518)</f>
        <v>0</v>
      </c>
      <c r="J518">
        <f>SUMIFS($Y$13:$Y$429,$A$13:$A$429,$C518,$C$13:$C$429,$D518)</f>
        <v>0</v>
      </c>
      <c r="K518">
        <f>SUMIFS($Z$13:$Z$429,$A$13:$A$429,$C518,$C$13:$C$429,$D518)</f>
        <v>0</v>
      </c>
      <c r="L518">
        <f>SUMIFS(L$13:L$429,$A$13:$A$429,$C518,$C$13:$C$429,$D518)</f>
        <v>0</v>
      </c>
      <c r="M518">
        <f>SUMIFS(M$13:M$429,$A$13:$A$429,$C518,$C$13:$C$429,$D518)</f>
        <v>0</v>
      </c>
      <c r="N518">
        <f>SUMIFS(N$13:N$429,$A$13:$A$429,$C518,$C$13:$C$429,$D518)</f>
        <v>0</v>
      </c>
      <c r="O518">
        <f>SUMIFS(O$13:O$429,$A$13:$A$429,$C518,$C$13:$C$429,$D518)</f>
        <v>0</v>
      </c>
      <c r="P518">
        <f>SUMIFS(P$13:P$429,$A$13:$A$429,$C518,$C$13:$C$429,$D518)</f>
        <v>0</v>
      </c>
      <c r="Q518">
        <f>SUMIFS(Q$13:Q$429,$A$13:$A$429,$C518,$C$13:$C$429,$D518)</f>
        <v>0</v>
      </c>
      <c r="R518">
        <f>SUMIFS(R$13:R$429,$A$13:$A$429,$C518,$C$13:$C$429,$D518)</f>
        <v>0</v>
      </c>
      <c r="S518">
        <f>SUMIFS(S$13:S$429,$A$13:$A$429,$C518,$C$13:$C$429,$D518)</f>
        <v>0</v>
      </c>
      <c r="T518">
        <f>SUMIFS(T$13:T$429,$A$13:$A$429,$C518,$C$13:$C$429,$D518)</f>
        <v>0</v>
      </c>
      <c r="U518">
        <f>SUM(L518:T518)</f>
        <v>0</v>
      </c>
      <c r="W518">
        <f>IF(SUM(H518:I518)&gt;0,SUM(H518:I518)/G518,0)</f>
        <v>0</v>
      </c>
      <c r="X518">
        <f>IF(G518&gt;0,U518/G518,0)</f>
        <v>0</v>
      </c>
    </row>
    <row r="519">
      <c r="C519" t="str">
        <v>Lantai 1</v>
      </c>
      <c r="D519" t="str">
        <v>Potongan B</v>
      </c>
      <c r="G519">
        <f>SUMIFS($V$13:$V$429,$A$13:$A$429,$C519,$C$13:$C$429,$D519)</f>
        <v>0</v>
      </c>
      <c r="H519">
        <f>SUMIFS($W$13:$W$429,$A$13:$A$429,$C519,$C$13:$C$429,$D519)</f>
        <v>0</v>
      </c>
      <c r="I519">
        <f>SUMIFS($X$13:$X$429,$A$13:$A$429,$C519,$C$13:$C$429,$D519)</f>
        <v>0</v>
      </c>
      <c r="J519">
        <f>SUMIFS($Y$13:$Y$429,$A$13:$A$429,$C519,$C$13:$C$429,$D519)</f>
        <v>0</v>
      </c>
      <c r="K519">
        <f>SUMIFS($Z$13:$Z$429,$A$13:$A$429,$C519,$C$13:$C$429,$D519)</f>
        <v>0</v>
      </c>
      <c r="L519">
        <f>SUMIFS(L$13:L$429,$A$13:$A$429,$C519,$C$13:$C$429,$D519)</f>
        <v>0</v>
      </c>
      <c r="M519">
        <f>SUMIFS(M$13:M$429,$A$13:$A$429,$C519,$C$13:$C$429,$D519)</f>
        <v>0</v>
      </c>
      <c r="N519">
        <f>SUMIFS(N$13:N$429,$A$13:$A$429,$C519,$C$13:$C$429,$D519)</f>
        <v>0</v>
      </c>
      <c r="O519">
        <f>SUMIFS(O$13:O$429,$A$13:$A$429,$C519,$C$13:$C$429,$D519)</f>
        <v>0</v>
      </c>
      <c r="P519">
        <f>SUMIFS(P$13:P$429,$A$13:$A$429,$C519,$C$13:$C$429,$D519)</f>
        <v>0</v>
      </c>
      <c r="Q519">
        <f>SUMIFS(Q$13:Q$429,$A$13:$A$429,$C519,$C$13:$C$429,$D519)</f>
        <v>0</v>
      </c>
      <c r="R519">
        <f>SUMIFS(R$13:R$429,$A$13:$A$429,$C519,$C$13:$C$429,$D519)</f>
        <v>0</v>
      </c>
      <c r="S519">
        <f>SUMIFS(S$13:S$429,$A$13:$A$429,$C519,$C$13:$C$429,$D519)</f>
        <v>0</v>
      </c>
      <c r="T519">
        <f>SUMIFS(T$13:T$429,$A$13:$A$429,$C519,$C$13:$C$429,$D519)</f>
        <v>0</v>
      </c>
      <c r="U519">
        <f>SUM(L519:T519)</f>
        <v>0</v>
      </c>
      <c r="W519">
        <f>IF(SUM(H519:I519)&gt;0,SUM(H519:I519)/G519,0)</f>
        <v>0</v>
      </c>
      <c r="X519">
        <f>IF(G519&gt;0,U519/G519,0)</f>
        <v>0</v>
      </c>
    </row>
    <row r="520">
      <c r="C520" t="str">
        <v>Lantai 1</v>
      </c>
      <c r="D520" t="str">
        <v>Potongan C</v>
      </c>
      <c r="G520">
        <f>SUMIFS($V$13:$V$429,$A$13:$A$429,$C520,$C$13:$C$429,$D520)</f>
        <v>0</v>
      </c>
      <c r="H520">
        <f>SUMIFS($W$13:$W$429,$A$13:$A$429,$C520,$C$13:$C$429,$D520)</f>
        <v>0</v>
      </c>
      <c r="I520">
        <f>SUMIFS($X$13:$X$429,$A$13:$A$429,$C520,$C$13:$C$429,$D520)</f>
        <v>0</v>
      </c>
      <c r="J520">
        <f>SUMIFS($Y$13:$Y$429,$A$13:$A$429,$C520,$C$13:$C$429,$D520)</f>
        <v>0</v>
      </c>
      <c r="K520">
        <f>SUMIFS($Z$13:$Z$429,$A$13:$A$429,$C520,$C$13:$C$429,$D520)</f>
        <v>0</v>
      </c>
      <c r="L520">
        <f>SUMIFS(L$13:L$429,$A$13:$A$429,$C520,$C$13:$C$429,$D520)</f>
        <v>0</v>
      </c>
      <c r="M520">
        <f>SUMIFS(M$13:M$429,$A$13:$A$429,$C520,$C$13:$C$429,$D520)</f>
        <v>0</v>
      </c>
      <c r="N520">
        <f>SUMIFS(N$13:N$429,$A$13:$A$429,$C520,$C$13:$C$429,$D520)</f>
        <v>0</v>
      </c>
      <c r="O520">
        <f>SUMIFS(O$13:O$429,$A$13:$A$429,$C520,$C$13:$C$429,$D520)</f>
        <v>0</v>
      </c>
      <c r="P520">
        <f>SUMIFS(P$13:P$429,$A$13:$A$429,$C520,$C$13:$C$429,$D520)</f>
        <v>0</v>
      </c>
      <c r="Q520">
        <f>SUMIFS(Q$13:Q$429,$A$13:$A$429,$C520,$C$13:$C$429,$D520)</f>
        <v>0</v>
      </c>
      <c r="R520">
        <f>SUMIFS(R$13:R$429,$A$13:$A$429,$C520,$C$13:$C$429,$D520)</f>
        <v>0</v>
      </c>
      <c r="S520">
        <f>SUMIFS(S$13:S$429,$A$13:$A$429,$C520,$C$13:$C$429,$D520)</f>
        <v>0</v>
      </c>
      <c r="T520">
        <f>SUMIFS(T$13:T$429,$A$13:$A$429,$C520,$C$13:$C$429,$D520)</f>
        <v>0</v>
      </c>
      <c r="U520">
        <f>SUM(L520:T520)</f>
        <v>0</v>
      </c>
      <c r="W520">
        <f>IF(SUM(H520:I520)&gt;0,SUM(H520:I520)/G520,0)</f>
        <v>0</v>
      </c>
      <c r="X520">
        <f>IF(G520&gt;0,U520/G520,0)</f>
        <v>0</v>
      </c>
    </row>
    <row r="521">
      <c r="C521" t="str">
        <v>Lantai 1</v>
      </c>
      <c r="D521" t="str">
        <v>Potongan D</v>
      </c>
      <c r="G521">
        <f>SUMIFS($V$13:$V$429,$A$13:$A$429,$C521,$C$13:$C$429,$D521)</f>
        <v>0</v>
      </c>
      <c r="H521">
        <f>SUMIFS($W$13:$W$429,$A$13:$A$429,$C521,$C$13:$C$429,$D521)</f>
        <v>0</v>
      </c>
      <c r="I521">
        <f>SUMIFS($X$13:$X$429,$A$13:$A$429,$C521,$C$13:$C$429,$D521)</f>
        <v>0</v>
      </c>
      <c r="J521">
        <f>SUMIFS($Y$13:$Y$429,$A$13:$A$429,$C521,$C$13:$C$429,$D521)</f>
        <v>0</v>
      </c>
      <c r="K521">
        <f>SUMIFS($Z$13:$Z$429,$A$13:$A$429,$C521,$C$13:$C$429,$D521)</f>
        <v>0</v>
      </c>
      <c r="L521">
        <f>SUMIFS(L$13:L$429,$A$13:$A$429,$C521,$C$13:$C$429,$D521)</f>
        <v>0</v>
      </c>
      <c r="M521">
        <f>SUMIFS(M$13:M$429,$A$13:$A$429,$C521,$C$13:$C$429,$D521)</f>
        <v>0</v>
      </c>
      <c r="N521">
        <f>SUMIFS(N$13:N$429,$A$13:$A$429,$C521,$C$13:$C$429,$D521)</f>
        <v>0</v>
      </c>
      <c r="O521">
        <f>SUMIFS(O$13:O$429,$A$13:$A$429,$C521,$C$13:$C$429,$D521)</f>
        <v>0</v>
      </c>
      <c r="P521">
        <f>SUMIFS(P$13:P$429,$A$13:$A$429,$C521,$C$13:$C$429,$D521)</f>
        <v>0</v>
      </c>
      <c r="Q521">
        <f>SUMIFS(Q$13:Q$429,$A$13:$A$429,$C521,$C$13:$C$429,$D521)</f>
        <v>0</v>
      </c>
      <c r="R521">
        <f>SUMIFS(R$13:R$429,$A$13:$A$429,$C521,$C$13:$C$429,$D521)</f>
        <v>0</v>
      </c>
      <c r="S521">
        <f>SUMIFS(S$13:S$429,$A$13:$A$429,$C521,$C$13:$C$429,$D521)</f>
        <v>0</v>
      </c>
      <c r="T521">
        <f>SUMIFS(T$13:T$429,$A$13:$A$429,$C521,$C$13:$C$429,$D521)</f>
        <v>0</v>
      </c>
      <c r="U521">
        <f>SUM(L521:T521)</f>
        <v>0</v>
      </c>
      <c r="W521">
        <f>IF(SUM(H521:I521)&gt;0,SUM(H521:I521)/G521,0)</f>
        <v>0</v>
      </c>
      <c r="X521">
        <f>IF(G521&gt;0,U521/G521,0)</f>
        <v>0</v>
      </c>
    </row>
    <row r="522">
      <c r="C522" t="str">
        <v>Lantai 1</v>
      </c>
      <c r="D522" t="str">
        <v>Potongan E</v>
      </c>
      <c r="G522">
        <f>SUMIFS($V$13:$V$429,$A$13:$A$429,$C522,$C$13:$C$429,$D522)</f>
        <v>0</v>
      </c>
      <c r="H522">
        <f>SUMIFS($W$13:$W$429,$A$13:$A$429,$C522,$C$13:$C$429,$D522)</f>
        <v>0</v>
      </c>
      <c r="I522">
        <f>SUMIFS($X$13:$X$429,$A$13:$A$429,$C522,$C$13:$C$429,$D522)</f>
        <v>0</v>
      </c>
      <c r="J522">
        <f>SUMIFS($Y$13:$Y$429,$A$13:$A$429,$C522,$C$13:$C$429,$D522)</f>
        <v>0</v>
      </c>
      <c r="K522">
        <f>SUMIFS($Z$13:$Z$429,$A$13:$A$429,$C522,$C$13:$C$429,$D522)</f>
        <v>0</v>
      </c>
      <c r="L522">
        <f>SUMIFS(L$13:L$429,$A$13:$A$429,$C522,$C$13:$C$429,$D522)</f>
        <v>0</v>
      </c>
      <c r="M522">
        <f>SUMIFS(M$13:M$429,$A$13:$A$429,$C522,$C$13:$C$429,$D522)</f>
        <v>0</v>
      </c>
      <c r="N522">
        <f>SUMIFS(N$13:N$429,$A$13:$A$429,$C522,$C$13:$C$429,$D522)</f>
        <v>0</v>
      </c>
      <c r="O522">
        <f>SUMIFS(O$13:O$429,$A$13:$A$429,$C522,$C$13:$C$429,$D522)</f>
        <v>0</v>
      </c>
      <c r="P522">
        <f>SUMIFS(P$13:P$429,$A$13:$A$429,$C522,$C$13:$C$429,$D522)</f>
        <v>0</v>
      </c>
      <c r="Q522">
        <f>SUMIFS(Q$13:Q$429,$A$13:$A$429,$C522,$C$13:$C$429,$D522)</f>
        <v>0</v>
      </c>
      <c r="R522">
        <f>SUMIFS(R$13:R$429,$A$13:$A$429,$C522,$C$13:$C$429,$D522)</f>
        <v>0</v>
      </c>
      <c r="S522">
        <f>SUMIFS(S$13:S$429,$A$13:$A$429,$C522,$C$13:$C$429,$D522)</f>
        <v>0</v>
      </c>
      <c r="T522">
        <f>SUMIFS(T$13:T$429,$A$13:$A$429,$C522,$C$13:$C$429,$D522)</f>
        <v>0</v>
      </c>
      <c r="U522">
        <f>SUM(L522:T522)</f>
        <v>0</v>
      </c>
      <c r="W522">
        <f>IF(SUM(H522:I522)&gt;0,SUM(H522:I522)/G522,0)</f>
        <v>0</v>
      </c>
      <c r="X522">
        <f>IF(G522&gt;0,U522/G522,0)</f>
        <v>0</v>
      </c>
    </row>
    <row r="523">
      <c r="C523" t="str">
        <v>Lantai 1</v>
      </c>
      <c r="D523" t="str">
        <v>Potongan F</v>
      </c>
      <c r="G523">
        <f>SUMIFS($V$13:$V$429,$A$13:$A$429,$C523,$C$13:$C$429,$D523)</f>
        <v>0</v>
      </c>
      <c r="H523">
        <f>SUMIFS($W$13:$W$429,$A$13:$A$429,$C523,$C$13:$C$429,$D523)</f>
        <v>0</v>
      </c>
      <c r="I523">
        <f>SUMIFS($X$13:$X$429,$A$13:$A$429,$C523,$C$13:$C$429,$D523)</f>
        <v>0</v>
      </c>
      <c r="J523">
        <f>SUMIFS($Y$13:$Y$429,$A$13:$A$429,$C523,$C$13:$C$429,$D523)</f>
        <v>0</v>
      </c>
      <c r="K523">
        <f>SUMIFS($Z$13:$Z$429,$A$13:$A$429,$C523,$C$13:$C$429,$D523)</f>
        <v>0</v>
      </c>
      <c r="L523">
        <f>SUMIFS(L$13:L$429,$A$13:$A$429,$C523,$C$13:$C$429,$D523)</f>
        <v>0</v>
      </c>
      <c r="M523">
        <f>SUMIFS(M$13:M$429,$A$13:$A$429,$C523,$C$13:$C$429,$D523)</f>
        <v>0</v>
      </c>
      <c r="N523">
        <f>SUMIFS(N$13:N$429,$A$13:$A$429,$C523,$C$13:$C$429,$D523)</f>
        <v>0</v>
      </c>
      <c r="O523">
        <f>SUMIFS(O$13:O$429,$A$13:$A$429,$C523,$C$13:$C$429,$D523)</f>
        <v>0</v>
      </c>
      <c r="P523">
        <f>SUMIFS(P$13:P$429,$A$13:$A$429,$C523,$C$13:$C$429,$D523)</f>
        <v>0</v>
      </c>
      <c r="Q523">
        <f>SUMIFS(Q$13:Q$429,$A$13:$A$429,$C523,$C$13:$C$429,$D523)</f>
        <v>0</v>
      </c>
      <c r="R523">
        <f>SUMIFS(R$13:R$429,$A$13:$A$429,$C523,$C$13:$C$429,$D523)</f>
        <v>0</v>
      </c>
      <c r="S523">
        <f>SUMIFS(S$13:S$429,$A$13:$A$429,$C523,$C$13:$C$429,$D523)</f>
        <v>0</v>
      </c>
      <c r="T523">
        <f>SUMIFS(T$13:T$429,$A$13:$A$429,$C523,$C$13:$C$429,$D523)</f>
        <v>0</v>
      </c>
      <c r="U523">
        <f>SUM(L523:T523)</f>
        <v>0</v>
      </c>
      <c r="W523">
        <f>IF(SUM(H523:I523)&gt;0,SUM(H523:I523)/G523,0)</f>
        <v>0</v>
      </c>
      <c r="X523">
        <f>IF(G523&gt;0,U523/G523,0)</f>
        <v>0</v>
      </c>
    </row>
    <row r="524">
      <c r="C524" t="str">
        <v>Lantai 1</v>
      </c>
      <c r="D524" t="str">
        <v>Potongan G</v>
      </c>
      <c r="G524">
        <f>SUMIFS($V$13:$V$429,$A$13:$A$429,$C524,$C$13:$C$429,$D524)</f>
        <v>0</v>
      </c>
      <c r="H524">
        <f>SUMIFS($W$13:$W$429,$A$13:$A$429,$C524,$C$13:$C$429,$D524)</f>
        <v>0</v>
      </c>
      <c r="I524">
        <f>SUMIFS($X$13:$X$429,$A$13:$A$429,$C524,$C$13:$C$429,$D524)</f>
        <v>0</v>
      </c>
      <c r="J524">
        <f>SUMIFS($Y$13:$Y$429,$A$13:$A$429,$C524,$C$13:$C$429,$D524)</f>
        <v>0</v>
      </c>
      <c r="K524">
        <f>SUMIFS($Z$13:$Z$429,$A$13:$A$429,$C524,$C$13:$C$429,$D524)</f>
        <v>0</v>
      </c>
      <c r="L524">
        <f>SUMIFS(L$13:L$429,$A$13:$A$429,$C524,$C$13:$C$429,$D524)</f>
        <v>0</v>
      </c>
      <c r="M524">
        <f>SUMIFS(M$13:M$429,$A$13:$A$429,$C524,$C$13:$C$429,$D524)</f>
        <v>0</v>
      </c>
      <c r="N524">
        <f>SUMIFS(N$13:N$429,$A$13:$A$429,$C524,$C$13:$C$429,$D524)</f>
        <v>0</v>
      </c>
      <c r="O524">
        <f>SUMIFS(O$13:O$429,$A$13:$A$429,$C524,$C$13:$C$429,$D524)</f>
        <v>0</v>
      </c>
      <c r="P524">
        <f>SUMIFS(P$13:P$429,$A$13:$A$429,$C524,$C$13:$C$429,$D524)</f>
        <v>0</v>
      </c>
      <c r="Q524">
        <f>SUMIFS(Q$13:Q$429,$A$13:$A$429,$C524,$C$13:$C$429,$D524)</f>
        <v>0</v>
      </c>
      <c r="R524">
        <f>SUMIFS(R$13:R$429,$A$13:$A$429,$C524,$C$13:$C$429,$D524)</f>
        <v>0</v>
      </c>
      <c r="S524">
        <f>SUMIFS(S$13:S$429,$A$13:$A$429,$C524,$C$13:$C$429,$D524)</f>
        <v>0</v>
      </c>
      <c r="T524">
        <f>SUMIFS(T$13:T$429,$A$13:$A$429,$C524,$C$13:$C$429,$D524)</f>
        <v>0</v>
      </c>
      <c r="U524">
        <f>SUM(L524:T524)</f>
        <v>0</v>
      </c>
      <c r="W524">
        <f>IF(SUM(H524:I524)&gt;0,SUM(H524:I524)/G524,0)</f>
        <v>0</v>
      </c>
      <c r="X524">
        <f>IF(G524&gt;0,U524/G524,0)</f>
        <v>0</v>
      </c>
    </row>
    <row r="525">
      <c r="C525" t="str">
        <v>Lantai 1</v>
      </c>
      <c r="D525" t="str">
        <v>Potongan H</v>
      </c>
      <c r="G525">
        <f>SUMIFS($V$13:$V$429,$A$13:$A$429,$C525,$C$13:$C$429,$D525)</f>
        <v>0</v>
      </c>
      <c r="H525">
        <f>SUMIFS($W$13:$W$429,$A$13:$A$429,$C525,$C$13:$C$429,$D525)</f>
        <v>0</v>
      </c>
      <c r="I525">
        <f>SUMIFS($X$13:$X$429,$A$13:$A$429,$C525,$C$13:$C$429,$D525)</f>
        <v>0</v>
      </c>
      <c r="J525">
        <f>SUMIFS($Y$13:$Y$429,$A$13:$A$429,$C525,$C$13:$C$429,$D525)</f>
        <v>0</v>
      </c>
      <c r="K525">
        <f>SUMIFS($Z$13:$Z$429,$A$13:$A$429,$C525,$C$13:$C$429,$D525)</f>
        <v>0</v>
      </c>
      <c r="L525">
        <f>SUMIFS(L$13:L$429,$A$13:$A$429,$C525,$C$13:$C$429,$D525)</f>
        <v>0</v>
      </c>
      <c r="M525">
        <f>SUMIFS(M$13:M$429,$A$13:$A$429,$C525,$C$13:$C$429,$D525)</f>
        <v>0</v>
      </c>
      <c r="N525">
        <f>SUMIFS(N$13:N$429,$A$13:$A$429,$C525,$C$13:$C$429,$D525)</f>
        <v>0</v>
      </c>
      <c r="O525">
        <f>SUMIFS(O$13:O$429,$A$13:$A$429,$C525,$C$13:$C$429,$D525)</f>
        <v>0</v>
      </c>
      <c r="P525">
        <f>SUMIFS(P$13:P$429,$A$13:$A$429,$C525,$C$13:$C$429,$D525)</f>
        <v>0</v>
      </c>
      <c r="Q525">
        <f>SUMIFS(Q$13:Q$429,$A$13:$A$429,$C525,$C$13:$C$429,$D525)</f>
        <v>0</v>
      </c>
      <c r="R525">
        <f>SUMIFS(R$13:R$429,$A$13:$A$429,$C525,$C$13:$C$429,$D525)</f>
        <v>0</v>
      </c>
      <c r="S525">
        <f>SUMIFS(S$13:S$429,$A$13:$A$429,$C525,$C$13:$C$429,$D525)</f>
        <v>0</v>
      </c>
      <c r="T525">
        <f>SUMIFS(T$13:T$429,$A$13:$A$429,$C525,$C$13:$C$429,$D525)</f>
        <v>0</v>
      </c>
      <c r="U525">
        <f>SUM(L525:T525)</f>
        <v>0</v>
      </c>
      <c r="W525">
        <f>IF(SUM(H525:I525)&gt;0,SUM(H525:I525)/G525,0)</f>
        <v>0</v>
      </c>
      <c r="X525">
        <f>IF(G525&gt;0,U525/G525,0)</f>
        <v>0</v>
      </c>
    </row>
    <row r="526">
      <c r="C526" t="str">
        <v>Lantai 1</v>
      </c>
      <c r="D526" t="str">
        <v>Potongan I</v>
      </c>
      <c r="G526">
        <f>SUMIFS($V$13:$V$429,$A$13:$A$429,$C526,$C$13:$C$429,$D526)</f>
        <v>0.112</v>
      </c>
      <c r="H526">
        <f>SUMIFS($W$13:$W$429,$A$13:$A$429,$C526,$C$13:$C$429,$D526)</f>
        <v>1.47</v>
      </c>
      <c r="I526">
        <f>SUMIFS($X$13:$X$429,$A$13:$A$429,$C526,$C$13:$C$429,$D526)</f>
        <v>0</v>
      </c>
      <c r="J526">
        <f>SUMIFS($Y$13:$Y$429,$A$13:$A$429,$C526,$C$13:$C$429,$D526)</f>
        <v>0</v>
      </c>
      <c r="K526">
        <f>SUMIFS($Z$13:$Z$429,$A$13:$A$429,$C526,$C$13:$C$429,$D526)</f>
        <v>0</v>
      </c>
      <c r="L526">
        <f>SUMIFS(L$13:L$429,$A$13:$A$429,$C526,$C$13:$C$429,$D526)</f>
        <v>0</v>
      </c>
      <c r="M526">
        <f>SUMIFS(M$13:M$429,$A$13:$A$429,$C526,$C$13:$C$429,$D526)</f>
        <v>0</v>
      </c>
      <c r="N526">
        <f>SUMIFS(N$13:N$429,$A$13:$A$429,$C526,$C$13:$C$429,$D526)</f>
        <v>19.173149999999996</v>
      </c>
      <c r="O526">
        <f>SUMIFS(O$13:O$429,$A$13:$A$429,$C526,$C$13:$C$429,$D526)</f>
        <v>0</v>
      </c>
      <c r="P526">
        <f>SUMIFS(P$13:P$429,$A$13:$A$429,$C526,$C$13:$C$429,$D526)</f>
        <v>23.57574912</v>
      </c>
      <c r="Q526">
        <f>SUMIFS(Q$13:Q$429,$A$13:$A$429,$C526,$C$13:$C$429,$D526)</f>
        <v>0</v>
      </c>
      <c r="R526">
        <f>SUMIFS(R$13:R$429,$A$13:$A$429,$C526,$C$13:$C$429,$D526)</f>
        <v>0</v>
      </c>
      <c r="S526">
        <f>SUMIFS(S$13:S$429,$A$13:$A$429,$C526,$C$13:$C$429,$D526)</f>
        <v>0</v>
      </c>
      <c r="T526">
        <f>SUMIFS(T$13:T$429,$A$13:$A$429,$C526,$C$13:$C$429,$D526)</f>
        <v>0</v>
      </c>
      <c r="U526">
        <f>SUM(L526:T526)</f>
        <v>42.74889912</v>
      </c>
      <c r="W526">
        <f>IF(SUM(H526:I526)&gt;0,SUM(H526:I526)/G526,0)</f>
        <v>13.125</v>
      </c>
      <c r="X526">
        <f>IF(G526&gt;0,U526/G526,0)</f>
        <v>381.68659928571424</v>
      </c>
    </row>
    <row r="527">
      <c r="C527" t="str">
        <v>Lantai 1</v>
      </c>
      <c r="D527" t="str">
        <v>Potongan J</v>
      </c>
      <c r="G527">
        <f>SUMIFS($V$13:$V$429,$A$13:$A$429,$C527,$C$13:$C$429,$D527)</f>
        <v>0</v>
      </c>
      <c r="H527">
        <f>SUMIFS($W$13:$W$429,$A$13:$A$429,$C527,$C$13:$C$429,$D527)</f>
        <v>0</v>
      </c>
      <c r="I527">
        <f>SUMIFS($X$13:$X$429,$A$13:$A$429,$C527,$C$13:$C$429,$D527)</f>
        <v>0</v>
      </c>
      <c r="J527">
        <f>SUMIFS($Y$13:$Y$429,$A$13:$A$429,$C527,$C$13:$C$429,$D527)</f>
        <v>0</v>
      </c>
      <c r="K527">
        <f>SUMIFS($Z$13:$Z$429,$A$13:$A$429,$C527,$C$13:$C$429,$D527)</f>
        <v>0</v>
      </c>
      <c r="L527">
        <f>SUMIFS(L$13:L$429,$A$13:$A$429,$C527,$C$13:$C$429,$D527)</f>
        <v>0</v>
      </c>
      <c r="M527">
        <f>SUMIFS(M$13:M$429,$A$13:$A$429,$C527,$C$13:$C$429,$D527)</f>
        <v>0</v>
      </c>
      <c r="N527">
        <f>SUMIFS(N$13:N$429,$A$13:$A$429,$C527,$C$13:$C$429,$D527)</f>
        <v>0</v>
      </c>
      <c r="O527">
        <f>SUMIFS(O$13:O$429,$A$13:$A$429,$C527,$C$13:$C$429,$D527)</f>
        <v>0</v>
      </c>
      <c r="P527">
        <f>SUMIFS(P$13:P$429,$A$13:$A$429,$C527,$C$13:$C$429,$D527)</f>
        <v>0</v>
      </c>
      <c r="Q527">
        <f>SUMIFS(Q$13:Q$429,$A$13:$A$429,$C527,$C$13:$C$429,$D527)</f>
        <v>0</v>
      </c>
      <c r="R527">
        <f>SUMIFS(R$13:R$429,$A$13:$A$429,$C527,$C$13:$C$429,$D527)</f>
        <v>0</v>
      </c>
      <c r="S527">
        <f>SUMIFS(S$13:S$429,$A$13:$A$429,$C527,$C$13:$C$429,$D527)</f>
        <v>0</v>
      </c>
      <c r="T527">
        <f>SUMIFS(T$13:T$429,$A$13:$A$429,$C527,$C$13:$C$429,$D527)</f>
        <v>0</v>
      </c>
      <c r="U527">
        <f>SUM(L527:T527)</f>
        <v>0</v>
      </c>
      <c r="W527">
        <f>IF(SUM(H527:I527)&gt;0,SUM(H527:I527)/G527,0)</f>
        <v>0</v>
      </c>
      <c r="X527">
        <f>IF(G527&gt;0,U527/G527,0)</f>
        <v>0</v>
      </c>
    </row>
    <row r="528">
      <c r="C528" t="str">
        <v>Lantai 1</v>
      </c>
      <c r="D528" t="str">
        <v>Potongan K</v>
      </c>
      <c r="G528">
        <f>SUMIFS($V$13:$V$429,$A$13:$A$429,$C528,$C$13:$C$429,$D528)</f>
        <v>0</v>
      </c>
      <c r="H528">
        <f>SUMIFS($W$13:$W$429,$A$13:$A$429,$C528,$C$13:$C$429,$D528)</f>
        <v>0</v>
      </c>
      <c r="I528">
        <f>SUMIFS($X$13:$X$429,$A$13:$A$429,$C528,$C$13:$C$429,$D528)</f>
        <v>0</v>
      </c>
      <c r="J528">
        <f>SUMIFS($Y$13:$Y$429,$A$13:$A$429,$C528,$C$13:$C$429,$D528)</f>
        <v>0</v>
      </c>
      <c r="K528">
        <f>SUMIFS($Z$13:$Z$429,$A$13:$A$429,$C528,$C$13:$C$429,$D528)</f>
        <v>0</v>
      </c>
      <c r="L528">
        <f>SUMIFS(L$13:L$429,$A$13:$A$429,$C528,$C$13:$C$429,$D528)</f>
        <v>0</v>
      </c>
      <c r="M528">
        <f>SUMIFS(M$13:M$429,$A$13:$A$429,$C528,$C$13:$C$429,$D528)</f>
        <v>0</v>
      </c>
      <c r="N528">
        <f>SUMIFS(N$13:N$429,$A$13:$A$429,$C528,$C$13:$C$429,$D528)</f>
        <v>0</v>
      </c>
      <c r="O528">
        <f>SUMIFS(O$13:O$429,$A$13:$A$429,$C528,$C$13:$C$429,$D528)</f>
        <v>0</v>
      </c>
      <c r="P528">
        <f>SUMIFS(P$13:P$429,$A$13:$A$429,$C528,$C$13:$C$429,$D528)</f>
        <v>0</v>
      </c>
      <c r="Q528">
        <f>SUMIFS(Q$13:Q$429,$A$13:$A$429,$C528,$C$13:$C$429,$D528)</f>
        <v>0</v>
      </c>
      <c r="R528">
        <f>SUMIFS(R$13:R$429,$A$13:$A$429,$C528,$C$13:$C$429,$D528)</f>
        <v>0</v>
      </c>
      <c r="S528">
        <f>SUMIFS(S$13:S$429,$A$13:$A$429,$C528,$C$13:$C$429,$D528)</f>
        <v>0</v>
      </c>
      <c r="T528">
        <f>SUMIFS(T$13:T$429,$A$13:$A$429,$C528,$C$13:$C$429,$D528)</f>
        <v>0</v>
      </c>
      <c r="U528">
        <f>SUM(L528:T528)</f>
        <v>0</v>
      </c>
      <c r="W528">
        <f>IF(SUM(H528:I528)&gt;0,SUM(H528:I528)/G528,0)</f>
        <v>0</v>
      </c>
      <c r="X528">
        <f>IF(G528&gt;0,U528/G528,0)</f>
        <v>0</v>
      </c>
    </row>
    <row r="529">
      <c r="C529" t="str">
        <v>Lantai 1</v>
      </c>
      <c r="D529" t="str">
        <v>Potongan L</v>
      </c>
      <c r="G529">
        <f>SUMIFS($V$13:$V$429,$A$13:$A$429,$C529,$C$13:$C$429,$D529)</f>
        <v>0</v>
      </c>
      <c r="H529">
        <f>SUMIFS($W$13:$W$429,$A$13:$A$429,$C529,$C$13:$C$429,$D529)</f>
        <v>0</v>
      </c>
      <c r="I529">
        <f>SUMIFS($X$13:$X$429,$A$13:$A$429,$C529,$C$13:$C$429,$D529)</f>
        <v>0</v>
      </c>
      <c r="J529">
        <f>SUMIFS($Y$13:$Y$429,$A$13:$A$429,$C529,$C$13:$C$429,$D529)</f>
        <v>0</v>
      </c>
      <c r="K529">
        <f>SUMIFS($Z$13:$Z$429,$A$13:$A$429,$C529,$C$13:$C$429,$D529)</f>
        <v>0</v>
      </c>
      <c r="L529">
        <f>SUMIFS(L$13:L$429,$A$13:$A$429,$C529,$C$13:$C$429,$D529)</f>
        <v>0</v>
      </c>
      <c r="M529">
        <f>SUMIFS(M$13:M$429,$A$13:$A$429,$C529,$C$13:$C$429,$D529)</f>
        <v>0</v>
      </c>
      <c r="N529">
        <f>SUMIFS(N$13:N$429,$A$13:$A$429,$C529,$C$13:$C$429,$D529)</f>
        <v>0</v>
      </c>
      <c r="O529">
        <f>SUMIFS(O$13:O$429,$A$13:$A$429,$C529,$C$13:$C$429,$D529)</f>
        <v>0</v>
      </c>
      <c r="P529">
        <f>SUMIFS(P$13:P$429,$A$13:$A$429,$C529,$C$13:$C$429,$D529)</f>
        <v>0</v>
      </c>
      <c r="Q529">
        <f>SUMIFS(Q$13:Q$429,$A$13:$A$429,$C529,$C$13:$C$429,$D529)</f>
        <v>0</v>
      </c>
      <c r="R529">
        <f>SUMIFS(R$13:R$429,$A$13:$A$429,$C529,$C$13:$C$429,$D529)</f>
        <v>0</v>
      </c>
      <c r="S529">
        <f>SUMIFS(S$13:S$429,$A$13:$A$429,$C529,$C$13:$C$429,$D529)</f>
        <v>0</v>
      </c>
      <c r="T529">
        <f>SUMIFS(T$13:T$429,$A$13:$A$429,$C529,$C$13:$C$429,$D529)</f>
        <v>0</v>
      </c>
      <c r="U529">
        <f>SUM(L529:T529)</f>
        <v>0</v>
      </c>
      <c r="W529">
        <f>IF(SUM(H529:I529)&gt;0,SUM(H529:I529)/G529,0)</f>
        <v>0</v>
      </c>
      <c r="X529">
        <f>IF(G529&gt;0,U529/G529,0)</f>
        <v>0</v>
      </c>
    </row>
    <row r="530">
      <c r="C530" t="str">
        <v>Lantai 1</v>
      </c>
      <c r="D530" t="str">
        <v>Potongan M</v>
      </c>
      <c r="G530">
        <f>SUMIFS($V$13:$V$429,$A$13:$A$429,$C530,$C$13:$C$429,$D530)</f>
        <v>1.1685</v>
      </c>
      <c r="H530">
        <f>SUMIFS($W$13:$W$429,$A$13:$A$429,$C530,$C$13:$C$429,$D530)</f>
        <v>6.724</v>
      </c>
      <c r="I530">
        <f>SUMIFS($X$13:$X$429,$A$13:$A$429,$C530,$C$13:$C$429,$D530)</f>
        <v>0</v>
      </c>
      <c r="J530">
        <f>SUMIFS($Y$13:$Y$429,$A$13:$A$429,$C530,$C$13:$C$429,$D530)</f>
        <v>0</v>
      </c>
      <c r="K530">
        <f>SUMIFS($Z$13:$Z$429,$A$13:$A$429,$C530,$C$13:$C$429,$D530)</f>
        <v>0</v>
      </c>
      <c r="L530">
        <f>SUMIFS(L$13:L$429,$A$13:$A$429,$C530,$C$13:$C$429,$D530)</f>
        <v>0</v>
      </c>
      <c r="M530">
        <f>SUMIFS(M$13:M$429,$A$13:$A$429,$C530,$C$13:$C$429,$D530)</f>
        <v>0</v>
      </c>
      <c r="N530">
        <f>SUMIFS(N$13:N$429,$A$13:$A$429,$C530,$C$13:$C$429,$D530)</f>
        <v>105.22422</v>
      </c>
      <c r="O530">
        <f>SUMIFS(O$13:O$429,$A$13:$A$429,$C530,$C$13:$C$429,$D530)</f>
        <v>0</v>
      </c>
      <c r="P530">
        <f>SUMIFS(P$13:P$429,$A$13:$A$429,$C530,$C$13:$C$429,$D530)</f>
        <v>0</v>
      </c>
      <c r="Q530">
        <f>SUMIFS(Q$13:Q$429,$A$13:$A$429,$C530,$C$13:$C$429,$D530)</f>
        <v>0</v>
      </c>
      <c r="R530">
        <f>SUMIFS(R$13:R$429,$A$13:$A$429,$C530,$C$13:$C$429,$D530)</f>
        <v>151.90234488</v>
      </c>
      <c r="S530">
        <f>SUMIFS(S$13:S$429,$A$13:$A$429,$C530,$C$13:$C$429,$D530)</f>
        <v>0</v>
      </c>
      <c r="T530">
        <f>SUMIFS(T$13:T$429,$A$13:$A$429,$C530,$C$13:$C$429,$D530)</f>
        <v>0</v>
      </c>
      <c r="U530">
        <f>SUM(L530:T530)</f>
        <v>257.12656488</v>
      </c>
      <c r="W530">
        <f>IF(SUM(H530:I530)&gt;0,SUM(H530:I530)/G530,0)</f>
        <v>5.754385964912281</v>
      </c>
      <c r="X530">
        <f>IF(G530&gt;0,U530/G530,0)</f>
        <v>220.04840811296532</v>
      </c>
    </row>
    <row r="531">
      <c r="C531" t="str">
        <v>Lantai 1</v>
      </c>
      <c r="D531" t="str">
        <v>Potongan N</v>
      </c>
      <c r="G531">
        <f>SUMIFS($V$13:$V$429,$A$13:$A$429,$C531,$C$13:$C$429,$D531)</f>
        <v>0</v>
      </c>
      <c r="H531">
        <f>SUMIFS($W$13:$W$429,$A$13:$A$429,$C531,$C$13:$C$429,$D531)</f>
        <v>0</v>
      </c>
      <c r="I531">
        <f>SUMIFS($X$13:$X$429,$A$13:$A$429,$C531,$C$13:$C$429,$D531)</f>
        <v>0</v>
      </c>
      <c r="J531">
        <f>SUMIFS($Y$13:$Y$429,$A$13:$A$429,$C531,$C$13:$C$429,$D531)</f>
        <v>0</v>
      </c>
      <c r="K531">
        <f>SUMIFS($Z$13:$Z$429,$A$13:$A$429,$C531,$C$13:$C$429,$D531)</f>
        <v>0</v>
      </c>
      <c r="L531">
        <f>SUMIFS(L$13:L$429,$A$13:$A$429,$C531,$C$13:$C$429,$D531)</f>
        <v>0</v>
      </c>
      <c r="M531">
        <f>SUMIFS(M$13:M$429,$A$13:$A$429,$C531,$C$13:$C$429,$D531)</f>
        <v>0</v>
      </c>
      <c r="N531">
        <f>SUMIFS(N$13:N$429,$A$13:$A$429,$C531,$C$13:$C$429,$D531)</f>
        <v>0</v>
      </c>
      <c r="O531">
        <f>SUMIFS(O$13:O$429,$A$13:$A$429,$C531,$C$13:$C$429,$D531)</f>
        <v>0</v>
      </c>
      <c r="P531">
        <f>SUMIFS(P$13:P$429,$A$13:$A$429,$C531,$C$13:$C$429,$D531)</f>
        <v>0</v>
      </c>
      <c r="Q531">
        <f>SUMIFS(Q$13:Q$429,$A$13:$A$429,$C531,$C$13:$C$429,$D531)</f>
        <v>0</v>
      </c>
      <c r="R531">
        <f>SUMIFS(R$13:R$429,$A$13:$A$429,$C531,$C$13:$C$429,$D531)</f>
        <v>0</v>
      </c>
      <c r="S531">
        <f>SUMIFS(S$13:S$429,$A$13:$A$429,$C531,$C$13:$C$429,$D531)</f>
        <v>0</v>
      </c>
      <c r="T531">
        <f>SUMIFS(T$13:T$429,$A$13:$A$429,$C531,$C$13:$C$429,$D531)</f>
        <v>0</v>
      </c>
      <c r="U531">
        <f>SUM(L531:T531)</f>
        <v>0</v>
      </c>
      <c r="W531">
        <f>IF(SUM(H531:I531)&gt;0,SUM(H531:I531)/G531,0)</f>
        <v>0</v>
      </c>
      <c r="X531">
        <f>IF(G531&gt;0,U531/G531,0)</f>
        <v>0</v>
      </c>
    </row>
    <row r="532">
      <c r="C532" t="str">
        <v>Lantai 1</v>
      </c>
      <c r="D532" t="str">
        <v>Potongan O</v>
      </c>
      <c r="G532">
        <f>SUMIFS($V$13:$V$429,$A$13:$A$429,$C532,$C$13:$C$429,$D532)</f>
        <v>0</v>
      </c>
      <c r="H532">
        <f>SUMIFS($W$13:$W$429,$A$13:$A$429,$C532,$C$13:$C$429,$D532)</f>
        <v>0</v>
      </c>
      <c r="I532">
        <f>SUMIFS($X$13:$X$429,$A$13:$A$429,$C532,$C$13:$C$429,$D532)</f>
        <v>0</v>
      </c>
      <c r="J532">
        <f>SUMIFS($Y$13:$Y$429,$A$13:$A$429,$C532,$C$13:$C$429,$D532)</f>
        <v>0</v>
      </c>
      <c r="K532">
        <f>SUMIFS($Z$13:$Z$429,$A$13:$A$429,$C532,$C$13:$C$429,$D532)</f>
        <v>0</v>
      </c>
      <c r="L532">
        <f>SUMIFS(L$13:L$429,$A$13:$A$429,$C532,$C$13:$C$429,$D532)</f>
        <v>0</v>
      </c>
      <c r="M532">
        <f>SUMIFS(M$13:M$429,$A$13:$A$429,$C532,$C$13:$C$429,$D532)</f>
        <v>0</v>
      </c>
      <c r="N532">
        <f>SUMIFS(N$13:N$429,$A$13:$A$429,$C532,$C$13:$C$429,$D532)</f>
        <v>0</v>
      </c>
      <c r="O532">
        <f>SUMIFS(O$13:O$429,$A$13:$A$429,$C532,$C$13:$C$429,$D532)</f>
        <v>0</v>
      </c>
      <c r="P532">
        <f>SUMIFS(P$13:P$429,$A$13:$A$429,$C532,$C$13:$C$429,$D532)</f>
        <v>0</v>
      </c>
      <c r="Q532">
        <f>SUMIFS(Q$13:Q$429,$A$13:$A$429,$C532,$C$13:$C$429,$D532)</f>
        <v>0</v>
      </c>
      <c r="R532">
        <f>SUMIFS(R$13:R$429,$A$13:$A$429,$C532,$C$13:$C$429,$D532)</f>
        <v>0</v>
      </c>
      <c r="S532">
        <f>SUMIFS(S$13:S$429,$A$13:$A$429,$C532,$C$13:$C$429,$D532)</f>
        <v>0</v>
      </c>
      <c r="T532">
        <f>SUMIFS(T$13:T$429,$A$13:$A$429,$C532,$C$13:$C$429,$D532)</f>
        <v>0</v>
      </c>
      <c r="U532">
        <f>SUM(L532:T532)</f>
        <v>0</v>
      </c>
      <c r="W532">
        <f>IF(SUM(H532:I532)&gt;0,SUM(H532:I532)/G532,0)</f>
        <v>0</v>
      </c>
      <c r="X532">
        <f>IF(G532&gt;0,U532/G532,0)</f>
        <v>0</v>
      </c>
    </row>
    <row r="533">
      <c r="C533" t="str">
        <v>Lantai 1</v>
      </c>
      <c r="D533" t="str">
        <v>BB</v>
      </c>
      <c r="G533">
        <f>SUMIFS($V$13:$V$429,$A$13:$A$429,$C533,$C$13:$C$429,$D533)</f>
        <v>0.0128</v>
      </c>
      <c r="H533">
        <f>SUMIFS($W$13:$W$429,$A$13:$A$429,$C533,$C$13:$C$429,$D533)</f>
        <v>0.768</v>
      </c>
      <c r="I533">
        <f>SUMIFS($X$13:$X$429,$A$13:$A$429,$C533,$C$13:$C$429,$D533)</f>
        <v>0</v>
      </c>
      <c r="J533">
        <f>SUMIFS($Y$13:$Y$429,$A$13:$A$429,$C533,$C$13:$C$429,$D533)</f>
        <v>0</v>
      </c>
      <c r="K533">
        <f>SUMIFS($Z$13:$Z$429,$A$13:$A$429,$C533,$C$13:$C$429,$D533)</f>
        <v>0</v>
      </c>
      <c r="L533">
        <f>SUMIFS(L$13:L$429,$A$13:$A$429,$C533,$C$13:$C$429,$D533)</f>
        <v>0</v>
      </c>
      <c r="M533">
        <f>SUMIFS(M$13:M$429,$A$13:$A$429,$C533,$C$13:$C$429,$D533)</f>
        <v>7.109971200000001</v>
      </c>
      <c r="N533">
        <f>SUMIFS(N$13:N$429,$A$13:$A$429,$C533,$C$13:$C$429,$D533)</f>
        <v>8.48304</v>
      </c>
      <c r="O533">
        <f>SUMIFS(O$13:O$429,$A$13:$A$429,$C533,$C$13:$C$429,$D533)</f>
        <v>0</v>
      </c>
      <c r="P533">
        <f>SUMIFS(P$13:P$429,$A$13:$A$429,$C533,$C$13:$C$429,$D533)</f>
        <v>0</v>
      </c>
      <c r="Q533">
        <f>SUMIFS(Q$13:Q$429,$A$13:$A$429,$C533,$C$13:$C$429,$D533)</f>
        <v>0</v>
      </c>
      <c r="R533">
        <f>SUMIFS(R$13:R$429,$A$13:$A$429,$C533,$C$13:$C$429,$D533)</f>
        <v>0</v>
      </c>
      <c r="S533">
        <f>SUMIFS(S$13:S$429,$A$13:$A$429,$C533,$C$13:$C$429,$D533)</f>
        <v>0</v>
      </c>
      <c r="T533">
        <f>SUMIFS(T$13:T$429,$A$13:$A$429,$C533,$C$13:$C$429,$D533)</f>
        <v>0</v>
      </c>
      <c r="U533">
        <f>SUM(L533:T533)</f>
        <v>15.593011200000003</v>
      </c>
      <c r="W533">
        <f>IF(SUM(H533:I533)&gt;0,SUM(H533:I533)/G533,0)</f>
        <v>60</v>
      </c>
      <c r="X533">
        <f>IF(G533&gt;0,U533/G533,0)</f>
        <v>1218.2040000000002</v>
      </c>
    </row>
    <row r="535">
      <c r="C535" t="str">
        <v>Subtotal Lantai 1</v>
      </c>
      <c r="G535">
        <f>SUM(G458:G534)</f>
        <v>54.648105</v>
      </c>
      <c r="H535">
        <f>SUM(H458:H534)</f>
        <v>470.44919999999996</v>
      </c>
      <c r="I535">
        <f>SUM(I458:I534)</f>
        <v>0</v>
      </c>
      <c r="J535">
        <f>SUM(J458:J534)</f>
        <v>0</v>
      </c>
      <c r="K535">
        <f>SUM(K458:K534)</f>
        <v>0</v>
      </c>
      <c r="L535">
        <f>SUM(L458:L534)</f>
        <v>0</v>
      </c>
      <c r="M535">
        <f>SUM(M458:M534)</f>
        <v>822.9929760000001</v>
      </c>
      <c r="N535">
        <f>SUM(N458:N534)</f>
        <v>1660.2529950000005</v>
      </c>
      <c r="O535">
        <f>SUM(O458:O534)</f>
        <v>3177.8919882449995</v>
      </c>
      <c r="P535">
        <f>SUM(P458:P534)</f>
        <v>1742.49769536</v>
      </c>
      <c r="Q535">
        <f>SUM(Q458:Q534)</f>
        <v>0</v>
      </c>
      <c r="R535">
        <f>SUM(R458:R534)</f>
        <v>5114.05854102</v>
      </c>
      <c r="S535">
        <f>SUM(S458:S534)</f>
        <v>0</v>
      </c>
      <c r="T535">
        <f>SUM(T458:T534)</f>
        <v>0</v>
      </c>
      <c r="U535">
        <f>SUM(U458:U534)</f>
        <v>12517.694195625001</v>
      </c>
    </row>
    <row r="537">
      <c r="C537" t="str">
        <v>Lantai 2</v>
      </c>
      <c r="D537" t="str">
        <v>B173-1</v>
      </c>
      <c r="G537">
        <f>SUMIFS($V$13:$V$429,$A$13:$A$429,$C537,$C$13:$C$429,$D537)</f>
        <v>0.14968499999999998</v>
      </c>
      <c r="H537">
        <f>SUMIFS($W$13:$W$429,$A$13:$A$429,$C537,$C$13:$C$429,$D537)</f>
        <v>2.25995</v>
      </c>
      <c r="I537">
        <f>SUMIFS($X$13:$X$429,$A$13:$A$429,$C537,$C$13:$C$429,$D537)</f>
        <v>0</v>
      </c>
      <c r="J537">
        <f>SUMIFS($Y$13:$Y$429,$A$13:$A$429,$C537,$C$13:$C$429,$D537)</f>
        <v>0</v>
      </c>
      <c r="K537">
        <f>SUMIFS($Z$13:$Z$429,$A$13:$A$429,$C537,$C$13:$C$429,$D537)</f>
        <v>0</v>
      </c>
      <c r="L537">
        <f>SUMIFS(L$13:L$429,$A$13:$A$429,$C537,$C$13:$C$429,$D537)</f>
        <v>0</v>
      </c>
      <c r="M537">
        <f>SUMIFS(M$13:M$429,$A$13:$A$429,$C537,$C$13:$C$429,$D537)</f>
        <v>8.506713600000001</v>
      </c>
      <c r="N537">
        <f>SUMIFS(N$13:N$429,$A$13:$A$429,$C537,$C$13:$C$429,$D537)</f>
        <v>0</v>
      </c>
      <c r="O537">
        <f>SUMIFS(O$13:O$429,$A$13:$A$429,$C537,$C$13:$C$429,$D537)</f>
        <v>14.83227486</v>
      </c>
      <c r="P537">
        <f>SUMIFS(P$13:P$429,$A$13:$A$429,$C537,$C$13:$C$429,$D537)</f>
        <v>0</v>
      </c>
      <c r="Q537">
        <f>SUMIFS(Q$13:Q$429,$A$13:$A$429,$C537,$C$13:$C$429,$D537)</f>
        <v>0</v>
      </c>
      <c r="R537">
        <f>SUMIFS(R$13:R$429,$A$13:$A$429,$C537,$C$13:$C$429,$D537)</f>
        <v>0</v>
      </c>
      <c r="S537">
        <f>SUMIFS(S$13:S$429,$A$13:$A$429,$C537,$C$13:$C$429,$D537)</f>
        <v>0</v>
      </c>
      <c r="T537">
        <f>SUMIFS(T$13:T$429,$A$13:$A$429,$C537,$C$13:$C$429,$D537)</f>
        <v>0</v>
      </c>
      <c r="U537">
        <f>SUM(L537:T537)</f>
        <v>23.338988460000003</v>
      </c>
      <c r="W537">
        <f>IF(SUM(H537:I537)&gt;0,SUM(H537:I537)/G537,0)</f>
        <v>15.098039215686276</v>
      </c>
      <c r="X537">
        <f>IF(G537&gt;0,U537/G537,0)</f>
        <v>155.92068984868226</v>
      </c>
    </row>
    <row r="538">
      <c r="C538" t="str">
        <v>Lantai 2</v>
      </c>
      <c r="D538" t="str">
        <v>B174-1</v>
      </c>
      <c r="G538">
        <f>SUMIFS($V$13:$V$429,$A$13:$A$429,$C538,$C$13:$C$429,$D538)</f>
        <v>0</v>
      </c>
      <c r="H538">
        <f>SUMIFS($W$13:$W$429,$A$13:$A$429,$C538,$C$13:$C$429,$D538)</f>
        <v>0</v>
      </c>
      <c r="I538">
        <f>SUMIFS($X$13:$X$429,$A$13:$A$429,$C538,$C$13:$C$429,$D538)</f>
        <v>0</v>
      </c>
      <c r="J538">
        <f>SUMIFS($Y$13:$Y$429,$A$13:$A$429,$C538,$C$13:$C$429,$D538)</f>
        <v>0</v>
      </c>
      <c r="K538">
        <f>SUMIFS($Z$13:$Z$429,$A$13:$A$429,$C538,$C$13:$C$429,$D538)</f>
        <v>0</v>
      </c>
      <c r="L538">
        <f>SUMIFS(L$13:L$429,$A$13:$A$429,$C538,$C$13:$C$429,$D538)</f>
        <v>0</v>
      </c>
      <c r="M538">
        <f>SUMIFS(M$13:M$429,$A$13:$A$429,$C538,$C$13:$C$429,$D538)</f>
        <v>0</v>
      </c>
      <c r="N538">
        <f>SUMIFS(N$13:N$429,$A$13:$A$429,$C538,$C$13:$C$429,$D538)</f>
        <v>0</v>
      </c>
      <c r="O538">
        <f>SUMIFS(O$13:O$429,$A$13:$A$429,$C538,$C$13:$C$429,$D538)</f>
        <v>0</v>
      </c>
      <c r="P538">
        <f>SUMIFS(P$13:P$429,$A$13:$A$429,$C538,$C$13:$C$429,$D538)</f>
        <v>0</v>
      </c>
      <c r="Q538">
        <f>SUMIFS(Q$13:Q$429,$A$13:$A$429,$C538,$C$13:$C$429,$D538)</f>
        <v>0</v>
      </c>
      <c r="R538">
        <f>SUMIFS(R$13:R$429,$A$13:$A$429,$C538,$C$13:$C$429,$D538)</f>
        <v>0</v>
      </c>
      <c r="S538">
        <f>SUMIFS(S$13:S$429,$A$13:$A$429,$C538,$C$13:$C$429,$D538)</f>
        <v>0</v>
      </c>
      <c r="T538">
        <f>SUMIFS(T$13:T$429,$A$13:$A$429,$C538,$C$13:$C$429,$D538)</f>
        <v>0</v>
      </c>
      <c r="U538">
        <f>SUM(L538:T538)</f>
        <v>0</v>
      </c>
      <c r="W538">
        <f>IF(SUM(H538:I538)&gt;0,SUM(H538:I538)/G538,0)</f>
        <v>0</v>
      </c>
      <c r="X538">
        <f>IF(G538&gt;0,U538/G538,0)</f>
        <v>0</v>
      </c>
    </row>
    <row r="539">
      <c r="C539" t="str">
        <v>Lantai 2</v>
      </c>
      <c r="D539" t="str">
        <v>B174-2</v>
      </c>
      <c r="G539">
        <f>SUMIFS($V$13:$V$429,$A$13:$A$429,$C539,$C$13:$C$429,$D539)</f>
        <v>0</v>
      </c>
      <c r="H539">
        <f>SUMIFS($W$13:$W$429,$A$13:$A$429,$C539,$C$13:$C$429,$D539)</f>
        <v>0</v>
      </c>
      <c r="I539">
        <f>SUMIFS($X$13:$X$429,$A$13:$A$429,$C539,$C$13:$C$429,$D539)</f>
        <v>0</v>
      </c>
      <c r="J539">
        <f>SUMIFS($Y$13:$Y$429,$A$13:$A$429,$C539,$C$13:$C$429,$D539)</f>
        <v>0</v>
      </c>
      <c r="K539">
        <f>SUMIFS($Z$13:$Z$429,$A$13:$A$429,$C539,$C$13:$C$429,$D539)</f>
        <v>0</v>
      </c>
      <c r="L539">
        <f>SUMIFS(L$13:L$429,$A$13:$A$429,$C539,$C$13:$C$429,$D539)</f>
        <v>0</v>
      </c>
      <c r="M539">
        <f>SUMIFS(M$13:M$429,$A$13:$A$429,$C539,$C$13:$C$429,$D539)</f>
        <v>0</v>
      </c>
      <c r="N539">
        <f>SUMIFS(N$13:N$429,$A$13:$A$429,$C539,$C$13:$C$429,$D539)</f>
        <v>0</v>
      </c>
      <c r="O539">
        <f>SUMIFS(O$13:O$429,$A$13:$A$429,$C539,$C$13:$C$429,$D539)</f>
        <v>0</v>
      </c>
      <c r="P539">
        <f>SUMIFS(P$13:P$429,$A$13:$A$429,$C539,$C$13:$C$429,$D539)</f>
        <v>0</v>
      </c>
      <c r="Q539">
        <f>SUMIFS(Q$13:Q$429,$A$13:$A$429,$C539,$C$13:$C$429,$D539)</f>
        <v>0</v>
      </c>
      <c r="R539">
        <f>SUMIFS(R$13:R$429,$A$13:$A$429,$C539,$C$13:$C$429,$D539)</f>
        <v>0</v>
      </c>
      <c r="S539">
        <f>SUMIFS(S$13:S$429,$A$13:$A$429,$C539,$C$13:$C$429,$D539)</f>
        <v>0</v>
      </c>
      <c r="T539">
        <f>SUMIFS(T$13:T$429,$A$13:$A$429,$C539,$C$13:$C$429,$D539)</f>
        <v>0</v>
      </c>
      <c r="U539">
        <f>SUM(L539:T539)</f>
        <v>0</v>
      </c>
      <c r="W539">
        <f>IF(SUM(H539:I539)&gt;0,SUM(H539:I539)/G539,0)</f>
        <v>0</v>
      </c>
      <c r="X539">
        <f>IF(G539&gt;0,U539/G539,0)</f>
        <v>0</v>
      </c>
    </row>
    <row r="540">
      <c r="C540" t="str">
        <v>Lantai 2</v>
      </c>
      <c r="D540" t="str">
        <v>B175-1</v>
      </c>
      <c r="G540">
        <f>SUMIFS($V$13:$V$429,$A$13:$A$429,$C540,$C$13:$C$429,$D540)</f>
        <v>0.4505</v>
      </c>
      <c r="H540">
        <f>SUMIFS($W$13:$W$429,$A$13:$A$429,$C540,$C$13:$C$429,$D540)</f>
        <v>6.201</v>
      </c>
      <c r="I540">
        <f>SUMIFS($X$13:$X$429,$A$13:$A$429,$C540,$C$13:$C$429,$D540)</f>
        <v>0</v>
      </c>
      <c r="J540">
        <f>SUMIFS($Y$13:$Y$429,$A$13:$A$429,$C540,$C$13:$C$429,$D540)</f>
        <v>0</v>
      </c>
      <c r="K540">
        <f>SUMIFS($Z$13:$Z$429,$A$13:$A$429,$C540,$C$13:$C$429,$D540)</f>
        <v>0</v>
      </c>
      <c r="L540">
        <f>SUMIFS(L$13:L$429,$A$13:$A$429,$C540,$C$13:$C$429,$D540)</f>
        <v>0</v>
      </c>
      <c r="M540">
        <f>SUMIFS(M$13:M$429,$A$13:$A$429,$C540,$C$13:$C$429,$D540)</f>
        <v>0</v>
      </c>
      <c r="N540">
        <f>SUMIFS(N$13:N$429,$A$13:$A$429,$C540,$C$13:$C$429,$D540)</f>
        <v>42.174764999999994</v>
      </c>
      <c r="O540">
        <f>SUMIFS(O$13:O$429,$A$13:$A$429,$C540,$C$13:$C$429,$D540)</f>
        <v>23.388234479999998</v>
      </c>
      <c r="P540">
        <f>SUMIFS(P$13:P$429,$A$13:$A$429,$C540,$C$13:$C$429,$D540)</f>
        <v>0</v>
      </c>
      <c r="Q540">
        <f>SUMIFS(Q$13:Q$429,$A$13:$A$429,$C540,$C$13:$C$429,$D540)</f>
        <v>0</v>
      </c>
      <c r="R540">
        <f>SUMIFS(R$13:R$429,$A$13:$A$429,$C540,$C$13:$C$429,$D540)</f>
        <v>0</v>
      </c>
      <c r="S540">
        <f>SUMIFS(S$13:S$429,$A$13:$A$429,$C540,$C$13:$C$429,$D540)</f>
        <v>0</v>
      </c>
      <c r="T540">
        <f>SUMIFS(T$13:T$429,$A$13:$A$429,$C540,$C$13:$C$429,$D540)</f>
        <v>0</v>
      </c>
      <c r="U540">
        <f>SUM(L540:T540)</f>
        <v>65.56299947999999</v>
      </c>
      <c r="W540">
        <f>IF(SUM(H540:I540)&gt;0,SUM(H540:I540)/G540,0)</f>
        <v>13.76470588235294</v>
      </c>
      <c r="X540">
        <f>IF(G540&gt;0,U540/G540,0)</f>
        <v>145.53385012208653</v>
      </c>
    </row>
    <row r="541">
      <c r="C541" t="str">
        <v>Lantai 2</v>
      </c>
      <c r="D541" t="str">
        <v>B175-2</v>
      </c>
      <c r="G541">
        <f>SUMIFS($V$13:$V$429,$A$13:$A$429,$C541,$C$13:$C$429,$D541)</f>
        <v>0.85</v>
      </c>
      <c r="H541">
        <f>SUMIFS($W$13:$W$429,$A$13:$A$429,$C541,$C$13:$C$429,$D541)</f>
        <v>11.7</v>
      </c>
      <c r="I541">
        <f>SUMIFS($X$13:$X$429,$A$13:$A$429,$C541,$C$13:$C$429,$D541)</f>
        <v>0</v>
      </c>
      <c r="J541">
        <f>SUMIFS($Y$13:$Y$429,$A$13:$A$429,$C541,$C$13:$C$429,$D541)</f>
        <v>0</v>
      </c>
      <c r="K541">
        <f>SUMIFS($Z$13:$Z$429,$A$13:$A$429,$C541,$C$13:$C$429,$D541)</f>
        <v>0</v>
      </c>
      <c r="L541">
        <f>SUMIFS(L$13:L$429,$A$13:$A$429,$C541,$C$13:$C$429,$D541)</f>
        <v>0</v>
      </c>
      <c r="M541">
        <f>SUMIFS(M$13:M$429,$A$13:$A$429,$C541,$C$13:$C$429,$D541)</f>
        <v>0</v>
      </c>
      <c r="N541">
        <f>SUMIFS(N$13:N$429,$A$13:$A$429,$C541,$C$13:$C$429,$D541)</f>
        <v>80.00320500000001</v>
      </c>
      <c r="O541">
        <f>SUMIFS(O$13:O$429,$A$13:$A$429,$C541,$C$13:$C$429,$D541)</f>
        <v>79.49999303999999</v>
      </c>
      <c r="P541">
        <f>SUMIFS(P$13:P$429,$A$13:$A$429,$C541,$C$13:$C$429,$D541)</f>
        <v>0</v>
      </c>
      <c r="Q541">
        <f>SUMIFS(Q$13:Q$429,$A$13:$A$429,$C541,$C$13:$C$429,$D541)</f>
        <v>0</v>
      </c>
      <c r="R541">
        <f>SUMIFS(R$13:R$429,$A$13:$A$429,$C541,$C$13:$C$429,$D541)</f>
        <v>0</v>
      </c>
      <c r="S541">
        <f>SUMIFS(S$13:S$429,$A$13:$A$429,$C541,$C$13:$C$429,$D541)</f>
        <v>0</v>
      </c>
      <c r="T541">
        <f>SUMIFS(T$13:T$429,$A$13:$A$429,$C541,$C$13:$C$429,$D541)</f>
        <v>0</v>
      </c>
      <c r="U541">
        <f>SUM(L541:T541)</f>
        <v>159.50319804</v>
      </c>
      <c r="W541">
        <f>IF(SUM(H541:I541)&gt;0,SUM(H541:I541)/G541,0)</f>
        <v>13.76470588235294</v>
      </c>
      <c r="X541">
        <f>IF(G541&gt;0,U541/G541,0)</f>
        <v>187.65082122352942</v>
      </c>
    </row>
    <row r="542">
      <c r="C542" t="str">
        <v>Lantai 2</v>
      </c>
      <c r="D542" t="str">
        <v>B176-1</v>
      </c>
      <c r="G542">
        <f>SUMIFS($V$13:$V$429,$A$13:$A$429,$C542,$C$13:$C$429,$D542)</f>
        <v>0</v>
      </c>
      <c r="H542">
        <f>SUMIFS($W$13:$W$429,$A$13:$A$429,$C542,$C$13:$C$429,$D542)</f>
        <v>0</v>
      </c>
      <c r="I542">
        <f>SUMIFS($X$13:$X$429,$A$13:$A$429,$C542,$C$13:$C$429,$D542)</f>
        <v>0</v>
      </c>
      <c r="J542">
        <f>SUMIFS($Y$13:$Y$429,$A$13:$A$429,$C542,$C$13:$C$429,$D542)</f>
        <v>0</v>
      </c>
      <c r="K542">
        <f>SUMIFS($Z$13:$Z$429,$A$13:$A$429,$C542,$C$13:$C$429,$D542)</f>
        <v>0</v>
      </c>
      <c r="L542">
        <f>SUMIFS(L$13:L$429,$A$13:$A$429,$C542,$C$13:$C$429,$D542)</f>
        <v>0</v>
      </c>
      <c r="M542">
        <f>SUMIFS(M$13:M$429,$A$13:$A$429,$C542,$C$13:$C$429,$D542)</f>
        <v>0</v>
      </c>
      <c r="N542">
        <f>SUMIFS(N$13:N$429,$A$13:$A$429,$C542,$C$13:$C$429,$D542)</f>
        <v>0</v>
      </c>
      <c r="O542">
        <f>SUMIFS(O$13:O$429,$A$13:$A$429,$C542,$C$13:$C$429,$D542)</f>
        <v>0</v>
      </c>
      <c r="P542">
        <f>SUMIFS(P$13:P$429,$A$13:$A$429,$C542,$C$13:$C$429,$D542)</f>
        <v>0</v>
      </c>
      <c r="Q542">
        <f>SUMIFS(Q$13:Q$429,$A$13:$A$429,$C542,$C$13:$C$429,$D542)</f>
        <v>0</v>
      </c>
      <c r="R542">
        <f>SUMIFS(R$13:R$429,$A$13:$A$429,$C542,$C$13:$C$429,$D542)</f>
        <v>0</v>
      </c>
      <c r="S542">
        <f>SUMIFS(S$13:S$429,$A$13:$A$429,$C542,$C$13:$C$429,$D542)</f>
        <v>0</v>
      </c>
      <c r="T542">
        <f>SUMIFS(T$13:T$429,$A$13:$A$429,$C542,$C$13:$C$429,$D542)</f>
        <v>0</v>
      </c>
      <c r="U542">
        <f>SUM(L542:T542)</f>
        <v>0</v>
      </c>
      <c r="W542">
        <f>IF(SUM(H542:I542)&gt;0,SUM(H542:I542)/G542,0)</f>
        <v>0</v>
      </c>
      <c r="X542">
        <f>IF(G542&gt;0,U542/G542,0)</f>
        <v>0</v>
      </c>
    </row>
    <row r="543">
      <c r="C543" t="str">
        <v>Lantai 2</v>
      </c>
      <c r="D543" t="str">
        <v>CL176-1</v>
      </c>
      <c r="G543">
        <f>SUMIFS($V$13:$V$429,$A$13:$A$429,$C543,$C$13:$C$429,$D543)</f>
        <v>0</v>
      </c>
      <c r="H543">
        <f>SUMIFS($W$13:$W$429,$A$13:$A$429,$C543,$C$13:$C$429,$D543)</f>
        <v>0</v>
      </c>
      <c r="I543">
        <f>SUMIFS($X$13:$X$429,$A$13:$A$429,$C543,$C$13:$C$429,$D543)</f>
        <v>0</v>
      </c>
      <c r="J543">
        <f>SUMIFS($Y$13:$Y$429,$A$13:$A$429,$C543,$C$13:$C$429,$D543)</f>
        <v>0</v>
      </c>
      <c r="K543">
        <f>SUMIFS($Z$13:$Z$429,$A$13:$A$429,$C543,$C$13:$C$429,$D543)</f>
        <v>0</v>
      </c>
      <c r="L543">
        <f>SUMIFS(L$13:L$429,$A$13:$A$429,$C543,$C$13:$C$429,$D543)</f>
        <v>0</v>
      </c>
      <c r="M543">
        <f>SUMIFS(M$13:M$429,$A$13:$A$429,$C543,$C$13:$C$429,$D543)</f>
        <v>0</v>
      </c>
      <c r="N543">
        <f>SUMIFS(N$13:N$429,$A$13:$A$429,$C543,$C$13:$C$429,$D543)</f>
        <v>0</v>
      </c>
      <c r="O543">
        <f>SUMIFS(O$13:O$429,$A$13:$A$429,$C543,$C$13:$C$429,$D543)</f>
        <v>0</v>
      </c>
      <c r="P543">
        <f>SUMIFS(P$13:P$429,$A$13:$A$429,$C543,$C$13:$C$429,$D543)</f>
        <v>0</v>
      </c>
      <c r="Q543">
        <f>SUMIFS(Q$13:Q$429,$A$13:$A$429,$C543,$C$13:$C$429,$D543)</f>
        <v>0</v>
      </c>
      <c r="R543">
        <f>SUMIFS(R$13:R$429,$A$13:$A$429,$C543,$C$13:$C$429,$D543)</f>
        <v>0</v>
      </c>
      <c r="S543">
        <f>SUMIFS(S$13:S$429,$A$13:$A$429,$C543,$C$13:$C$429,$D543)</f>
        <v>0</v>
      </c>
      <c r="T543">
        <f>SUMIFS(T$13:T$429,$A$13:$A$429,$C543,$C$13:$C$429,$D543)</f>
        <v>0</v>
      </c>
      <c r="U543">
        <f>SUM(L543:T543)</f>
        <v>0</v>
      </c>
      <c r="W543">
        <f>IF(SUM(H543:I543)&gt;0,SUM(H543:I543)/G543,0)</f>
        <v>0</v>
      </c>
      <c r="X543">
        <f>IF(G543&gt;0,U543/G543,0)</f>
        <v>0</v>
      </c>
    </row>
    <row r="544">
      <c r="C544" t="str">
        <v>Lantai 2</v>
      </c>
      <c r="D544" t="str">
        <v>B23-1</v>
      </c>
      <c r="G544">
        <f>SUMIFS($V$13:$V$429,$A$13:$A$429,$C544,$C$13:$C$429,$D544)</f>
        <v>0.2938</v>
      </c>
      <c r="H544">
        <f>SUMIFS($W$13:$W$429,$A$13:$A$429,$C544,$C$13:$C$429,$D544)</f>
        <v>4.718</v>
      </c>
      <c r="I544">
        <f>SUMIFS($X$13:$X$429,$A$13:$A$429,$C544,$C$13:$C$429,$D544)</f>
        <v>0</v>
      </c>
      <c r="J544">
        <f>SUMIFS($Y$13:$Y$429,$A$13:$A$429,$C544,$C$13:$C$429,$D544)</f>
        <v>0</v>
      </c>
      <c r="K544">
        <f>SUMIFS($Z$13:$Z$429,$A$13:$A$429,$C544,$C$13:$C$429,$D544)</f>
        <v>0</v>
      </c>
      <c r="L544">
        <f>SUMIFS(L$13:L$429,$A$13:$A$429,$C544,$C$13:$C$429,$D544)</f>
        <v>0</v>
      </c>
      <c r="M544">
        <f>SUMIFS(M$13:M$429,$A$13:$A$429,$C544,$C$13:$C$429,$D544)</f>
        <v>26.526268799999997</v>
      </c>
      <c r="N544">
        <f>SUMIFS(N$13:N$429,$A$13:$A$429,$C544,$C$13:$C$429,$D544)</f>
        <v>0</v>
      </c>
      <c r="O544">
        <f>SUMIFS(O$13:O$429,$A$13:$A$429,$C544,$C$13:$C$429,$D544)</f>
        <v>40.991923439999994</v>
      </c>
      <c r="P544">
        <f>SUMIFS(P$13:P$429,$A$13:$A$429,$C544,$C$13:$C$429,$D544)</f>
        <v>0</v>
      </c>
      <c r="Q544">
        <f>SUMIFS(Q$13:Q$429,$A$13:$A$429,$C544,$C$13:$C$429,$D544)</f>
        <v>0</v>
      </c>
      <c r="R544">
        <f>SUMIFS(R$13:R$429,$A$13:$A$429,$C544,$C$13:$C$429,$D544)</f>
        <v>0</v>
      </c>
      <c r="S544">
        <f>SUMIFS(S$13:S$429,$A$13:$A$429,$C544,$C$13:$C$429,$D544)</f>
        <v>0</v>
      </c>
      <c r="T544">
        <f>SUMIFS(T$13:T$429,$A$13:$A$429,$C544,$C$13:$C$429,$D544)</f>
        <v>0</v>
      </c>
      <c r="U544">
        <f>SUM(L544:T544)</f>
        <v>67.51819223999999</v>
      </c>
      <c r="W544">
        <f>IF(SUM(H544:I544)&gt;0,SUM(H544:I544)/G544,0)</f>
        <v>16.05854322668482</v>
      </c>
      <c r="X544">
        <f>IF(G544&gt;0,U544/G544,0)</f>
        <v>229.81004846834577</v>
      </c>
    </row>
    <row r="545">
      <c r="C545" t="str">
        <v>Lantai 2</v>
      </c>
      <c r="D545" t="str">
        <v>B23-2</v>
      </c>
      <c r="G545">
        <f>SUMIFS($V$13:$V$429,$A$13:$A$429,$C545,$C$13:$C$429,$D545)</f>
        <v>0</v>
      </c>
      <c r="H545">
        <f>SUMIFS($W$13:$W$429,$A$13:$A$429,$C545,$C$13:$C$429,$D545)</f>
        <v>0</v>
      </c>
      <c r="I545">
        <f>SUMIFS($X$13:$X$429,$A$13:$A$429,$C545,$C$13:$C$429,$D545)</f>
        <v>0</v>
      </c>
      <c r="J545">
        <f>SUMIFS($Y$13:$Y$429,$A$13:$A$429,$C545,$C$13:$C$429,$D545)</f>
        <v>0</v>
      </c>
      <c r="K545">
        <f>SUMIFS($Z$13:$Z$429,$A$13:$A$429,$C545,$C$13:$C$429,$D545)</f>
        <v>0</v>
      </c>
      <c r="L545">
        <f>SUMIFS(L$13:L$429,$A$13:$A$429,$C545,$C$13:$C$429,$D545)</f>
        <v>0</v>
      </c>
      <c r="M545">
        <f>SUMIFS(M$13:M$429,$A$13:$A$429,$C545,$C$13:$C$429,$D545)</f>
        <v>0</v>
      </c>
      <c r="N545">
        <f>SUMIFS(N$13:N$429,$A$13:$A$429,$C545,$C$13:$C$429,$D545)</f>
        <v>0</v>
      </c>
      <c r="O545">
        <f>SUMIFS(O$13:O$429,$A$13:$A$429,$C545,$C$13:$C$429,$D545)</f>
        <v>0</v>
      </c>
      <c r="P545">
        <f>SUMIFS(P$13:P$429,$A$13:$A$429,$C545,$C$13:$C$429,$D545)</f>
        <v>0</v>
      </c>
      <c r="Q545">
        <f>SUMIFS(Q$13:Q$429,$A$13:$A$429,$C545,$C$13:$C$429,$D545)</f>
        <v>0</v>
      </c>
      <c r="R545">
        <f>SUMIFS(R$13:R$429,$A$13:$A$429,$C545,$C$13:$C$429,$D545)</f>
        <v>0</v>
      </c>
      <c r="S545">
        <f>SUMIFS(S$13:S$429,$A$13:$A$429,$C545,$C$13:$C$429,$D545)</f>
        <v>0</v>
      </c>
      <c r="T545">
        <f>SUMIFS(T$13:T$429,$A$13:$A$429,$C545,$C$13:$C$429,$D545)</f>
        <v>0</v>
      </c>
      <c r="U545">
        <f>SUM(L545:T545)</f>
        <v>0</v>
      </c>
      <c r="W545">
        <f>IF(SUM(H545:I545)&gt;0,SUM(H545:I545)/G545,0)</f>
        <v>0</v>
      </c>
      <c r="X545">
        <f>IF(G545&gt;0,U545/G545,0)</f>
        <v>0</v>
      </c>
    </row>
    <row r="546">
      <c r="C546" t="str">
        <v>Lantai 2</v>
      </c>
      <c r="D546" t="str">
        <v>B24-1</v>
      </c>
      <c r="G546">
        <f>SUMIFS($V$13:$V$429,$A$13:$A$429,$C546,$C$13:$C$429,$D546)</f>
        <v>0.7371</v>
      </c>
      <c r="H546">
        <f>SUMIFS($W$13:$W$429,$A$13:$A$429,$C546,$C$13:$C$429,$D546)</f>
        <v>10.100999999999999</v>
      </c>
      <c r="I546">
        <f>SUMIFS($X$13:$X$429,$A$13:$A$429,$C546,$C$13:$C$429,$D546)</f>
        <v>0</v>
      </c>
      <c r="J546">
        <f>SUMIFS($Y$13:$Y$429,$A$13:$A$429,$C546,$C$13:$C$429,$D546)</f>
        <v>0</v>
      </c>
      <c r="K546">
        <f>SUMIFS($Z$13:$Z$429,$A$13:$A$429,$C546,$C$13:$C$429,$D546)</f>
        <v>0</v>
      </c>
      <c r="L546">
        <f>SUMIFS(L$13:L$429,$A$13:$A$429,$C546,$C$13:$C$429,$D546)</f>
        <v>0</v>
      </c>
      <c r="M546">
        <f>SUMIFS(M$13:M$429,$A$13:$A$429,$C546,$C$13:$C$429,$D546)</f>
        <v>49.1740128</v>
      </c>
      <c r="N546">
        <f>SUMIFS(N$13:N$429,$A$13:$A$429,$C546,$C$13:$C$429,$D546)</f>
        <v>0</v>
      </c>
      <c r="O546">
        <f>SUMIFS(O$13:O$429,$A$13:$A$429,$C546,$C$13:$C$429,$D546)</f>
        <v>63.3882834</v>
      </c>
      <c r="P546">
        <f>SUMIFS(P$13:P$429,$A$13:$A$429,$C546,$C$13:$C$429,$D546)</f>
        <v>0</v>
      </c>
      <c r="Q546">
        <f>SUMIFS(Q$13:Q$429,$A$13:$A$429,$C546,$C$13:$C$429,$D546)</f>
        <v>0</v>
      </c>
      <c r="R546">
        <f>SUMIFS(R$13:R$429,$A$13:$A$429,$C546,$C$13:$C$429,$D546)</f>
        <v>0</v>
      </c>
      <c r="S546">
        <f>SUMIFS(S$13:S$429,$A$13:$A$429,$C546,$C$13:$C$429,$D546)</f>
        <v>0</v>
      </c>
      <c r="T546">
        <f>SUMIFS(T$13:T$429,$A$13:$A$429,$C546,$C$13:$C$429,$D546)</f>
        <v>0</v>
      </c>
      <c r="U546">
        <f>SUM(L546:T546)</f>
        <v>112.56229619999999</v>
      </c>
      <c r="W546">
        <f>IF(SUM(H546:I546)&gt;0,SUM(H546:I546)/G546,0)</f>
        <v>13.703703703703702</v>
      </c>
      <c r="X546">
        <f>IF(G546&gt;0,U546/G546,0)</f>
        <v>152.70966788766788</v>
      </c>
    </row>
    <row r="547">
      <c r="C547" t="str">
        <v>Lantai 2</v>
      </c>
      <c r="D547" t="str">
        <v>B24-2</v>
      </c>
      <c r="G547">
        <f>SUMIFS($V$13:$V$429,$A$13:$A$429,$C547,$C$13:$C$429,$D547)</f>
        <v>0</v>
      </c>
      <c r="H547">
        <f>SUMIFS($W$13:$W$429,$A$13:$A$429,$C547,$C$13:$C$429,$D547)</f>
        <v>0</v>
      </c>
      <c r="I547">
        <f>SUMIFS($X$13:$X$429,$A$13:$A$429,$C547,$C$13:$C$429,$D547)</f>
        <v>0</v>
      </c>
      <c r="J547">
        <f>SUMIFS($Y$13:$Y$429,$A$13:$A$429,$C547,$C$13:$C$429,$D547)</f>
        <v>0</v>
      </c>
      <c r="K547">
        <f>SUMIFS($Z$13:$Z$429,$A$13:$A$429,$C547,$C$13:$C$429,$D547)</f>
        <v>0</v>
      </c>
      <c r="L547">
        <f>SUMIFS(L$13:L$429,$A$13:$A$429,$C547,$C$13:$C$429,$D547)</f>
        <v>0</v>
      </c>
      <c r="M547">
        <f>SUMIFS(M$13:M$429,$A$13:$A$429,$C547,$C$13:$C$429,$D547)</f>
        <v>0</v>
      </c>
      <c r="N547">
        <f>SUMIFS(N$13:N$429,$A$13:$A$429,$C547,$C$13:$C$429,$D547)</f>
        <v>0</v>
      </c>
      <c r="O547">
        <f>SUMIFS(O$13:O$429,$A$13:$A$429,$C547,$C$13:$C$429,$D547)</f>
        <v>0</v>
      </c>
      <c r="P547">
        <f>SUMIFS(P$13:P$429,$A$13:$A$429,$C547,$C$13:$C$429,$D547)</f>
        <v>0</v>
      </c>
      <c r="Q547">
        <f>SUMIFS(Q$13:Q$429,$A$13:$A$429,$C547,$C$13:$C$429,$D547)</f>
        <v>0</v>
      </c>
      <c r="R547">
        <f>SUMIFS(R$13:R$429,$A$13:$A$429,$C547,$C$13:$C$429,$D547)</f>
        <v>0</v>
      </c>
      <c r="S547">
        <f>SUMIFS(S$13:S$429,$A$13:$A$429,$C547,$C$13:$C$429,$D547)</f>
        <v>0</v>
      </c>
      <c r="T547">
        <f>SUMIFS(T$13:T$429,$A$13:$A$429,$C547,$C$13:$C$429,$D547)</f>
        <v>0</v>
      </c>
      <c r="U547">
        <f>SUM(L547:T547)</f>
        <v>0</v>
      </c>
      <c r="W547">
        <f>IF(SUM(H547:I547)&gt;0,SUM(H547:I547)/G547,0)</f>
        <v>0</v>
      </c>
      <c r="X547">
        <f>IF(G547&gt;0,U547/G547,0)</f>
        <v>0</v>
      </c>
    </row>
    <row r="548">
      <c r="C548" t="str">
        <v>Lantai 2</v>
      </c>
      <c r="D548" t="str">
        <v>B24-3</v>
      </c>
      <c r="G548">
        <f>SUMIFS($V$13:$V$429,$A$13:$A$429,$C548,$C$13:$C$429,$D548)</f>
        <v>0</v>
      </c>
      <c r="H548">
        <f>SUMIFS($W$13:$W$429,$A$13:$A$429,$C548,$C$13:$C$429,$D548)</f>
        <v>0</v>
      </c>
      <c r="I548">
        <f>SUMIFS($X$13:$X$429,$A$13:$A$429,$C548,$C$13:$C$429,$D548)</f>
        <v>0</v>
      </c>
      <c r="J548">
        <f>SUMIFS($Y$13:$Y$429,$A$13:$A$429,$C548,$C$13:$C$429,$D548)</f>
        <v>0</v>
      </c>
      <c r="K548">
        <f>SUMIFS($Z$13:$Z$429,$A$13:$A$429,$C548,$C$13:$C$429,$D548)</f>
        <v>0</v>
      </c>
      <c r="L548">
        <f>SUMIFS(L$13:L$429,$A$13:$A$429,$C548,$C$13:$C$429,$D548)</f>
        <v>0</v>
      </c>
      <c r="M548">
        <f>SUMIFS(M$13:M$429,$A$13:$A$429,$C548,$C$13:$C$429,$D548)</f>
        <v>0</v>
      </c>
      <c r="N548">
        <f>SUMIFS(N$13:N$429,$A$13:$A$429,$C548,$C$13:$C$429,$D548)</f>
        <v>0</v>
      </c>
      <c r="O548">
        <f>SUMIFS(O$13:O$429,$A$13:$A$429,$C548,$C$13:$C$429,$D548)</f>
        <v>0</v>
      </c>
      <c r="P548">
        <f>SUMIFS(P$13:P$429,$A$13:$A$429,$C548,$C$13:$C$429,$D548)</f>
        <v>0</v>
      </c>
      <c r="Q548">
        <f>SUMIFS(Q$13:Q$429,$A$13:$A$429,$C548,$C$13:$C$429,$D548)</f>
        <v>0</v>
      </c>
      <c r="R548">
        <f>SUMIFS(R$13:R$429,$A$13:$A$429,$C548,$C$13:$C$429,$D548)</f>
        <v>0</v>
      </c>
      <c r="S548">
        <f>SUMIFS(S$13:S$429,$A$13:$A$429,$C548,$C$13:$C$429,$D548)</f>
        <v>0</v>
      </c>
      <c r="T548">
        <f>SUMIFS(T$13:T$429,$A$13:$A$429,$C548,$C$13:$C$429,$D548)</f>
        <v>0</v>
      </c>
      <c r="U548">
        <f>SUM(L548:T548)</f>
        <v>0</v>
      </c>
      <c r="W548">
        <f>IF(SUM(H548:I548)&gt;0,SUM(H548:I548)/G548,0)</f>
        <v>0</v>
      </c>
      <c r="X548">
        <f>IF(G548&gt;0,U548/G548,0)</f>
        <v>0</v>
      </c>
    </row>
    <row r="549">
      <c r="C549" t="str">
        <v>Lantai 2</v>
      </c>
      <c r="D549" t="str">
        <v>B24-4</v>
      </c>
      <c r="G549">
        <f>SUMIFS($V$13:$V$429,$A$13:$A$429,$C549,$C$13:$C$429,$D549)</f>
        <v>0</v>
      </c>
      <c r="H549">
        <f>SUMIFS($W$13:$W$429,$A$13:$A$429,$C549,$C$13:$C$429,$D549)</f>
        <v>0</v>
      </c>
      <c r="I549">
        <f>SUMIFS($X$13:$X$429,$A$13:$A$429,$C549,$C$13:$C$429,$D549)</f>
        <v>0</v>
      </c>
      <c r="J549">
        <f>SUMIFS($Y$13:$Y$429,$A$13:$A$429,$C549,$C$13:$C$429,$D549)</f>
        <v>0</v>
      </c>
      <c r="K549">
        <f>SUMIFS($Z$13:$Z$429,$A$13:$A$429,$C549,$C$13:$C$429,$D549)</f>
        <v>0</v>
      </c>
      <c r="L549">
        <f>SUMIFS(L$13:L$429,$A$13:$A$429,$C549,$C$13:$C$429,$D549)</f>
        <v>0</v>
      </c>
      <c r="M549">
        <f>SUMIFS(M$13:M$429,$A$13:$A$429,$C549,$C$13:$C$429,$D549)</f>
        <v>0</v>
      </c>
      <c r="N549">
        <f>SUMIFS(N$13:N$429,$A$13:$A$429,$C549,$C$13:$C$429,$D549)</f>
        <v>0</v>
      </c>
      <c r="O549">
        <f>SUMIFS(O$13:O$429,$A$13:$A$429,$C549,$C$13:$C$429,$D549)</f>
        <v>0</v>
      </c>
      <c r="P549">
        <f>SUMIFS(P$13:P$429,$A$13:$A$429,$C549,$C$13:$C$429,$D549)</f>
        <v>0</v>
      </c>
      <c r="Q549">
        <f>SUMIFS(Q$13:Q$429,$A$13:$A$429,$C549,$C$13:$C$429,$D549)</f>
        <v>0</v>
      </c>
      <c r="R549">
        <f>SUMIFS(R$13:R$429,$A$13:$A$429,$C549,$C$13:$C$429,$D549)</f>
        <v>0</v>
      </c>
      <c r="S549">
        <f>SUMIFS(S$13:S$429,$A$13:$A$429,$C549,$C$13:$C$429,$D549)</f>
        <v>0</v>
      </c>
      <c r="T549">
        <f>SUMIFS(T$13:T$429,$A$13:$A$429,$C549,$C$13:$C$429,$D549)</f>
        <v>0</v>
      </c>
      <c r="U549">
        <f>SUM(L549:T549)</f>
        <v>0</v>
      </c>
      <c r="W549">
        <f>IF(SUM(H549:I549)&gt;0,SUM(H549:I549)/G549,0)</f>
        <v>0</v>
      </c>
      <c r="X549">
        <f>IF(G549&gt;0,U549/G549,0)</f>
        <v>0</v>
      </c>
    </row>
    <row r="550">
      <c r="C550" t="str">
        <v>Lantai 2</v>
      </c>
      <c r="D550" t="str">
        <v>B24-5</v>
      </c>
      <c r="G550">
        <f>SUMIFS($V$13:$V$429,$A$13:$A$429,$C550,$C$13:$C$429,$D550)</f>
        <v>0</v>
      </c>
      <c r="H550">
        <f>SUMIFS($W$13:$W$429,$A$13:$A$429,$C550,$C$13:$C$429,$D550)</f>
        <v>0</v>
      </c>
      <c r="I550">
        <f>SUMIFS($X$13:$X$429,$A$13:$A$429,$C550,$C$13:$C$429,$D550)</f>
        <v>0</v>
      </c>
      <c r="J550">
        <f>SUMIFS($Y$13:$Y$429,$A$13:$A$429,$C550,$C$13:$C$429,$D550)</f>
        <v>0</v>
      </c>
      <c r="K550">
        <f>SUMIFS($Z$13:$Z$429,$A$13:$A$429,$C550,$C$13:$C$429,$D550)</f>
        <v>0</v>
      </c>
      <c r="L550">
        <f>SUMIFS(L$13:L$429,$A$13:$A$429,$C550,$C$13:$C$429,$D550)</f>
        <v>0</v>
      </c>
      <c r="M550">
        <f>SUMIFS(M$13:M$429,$A$13:$A$429,$C550,$C$13:$C$429,$D550)</f>
        <v>0</v>
      </c>
      <c r="N550">
        <f>SUMIFS(N$13:N$429,$A$13:$A$429,$C550,$C$13:$C$429,$D550)</f>
        <v>0</v>
      </c>
      <c r="O550">
        <f>SUMIFS(O$13:O$429,$A$13:$A$429,$C550,$C$13:$C$429,$D550)</f>
        <v>0</v>
      </c>
      <c r="P550">
        <f>SUMIFS(P$13:P$429,$A$13:$A$429,$C550,$C$13:$C$429,$D550)</f>
        <v>0</v>
      </c>
      <c r="Q550">
        <f>SUMIFS(Q$13:Q$429,$A$13:$A$429,$C550,$C$13:$C$429,$D550)</f>
        <v>0</v>
      </c>
      <c r="R550">
        <f>SUMIFS(R$13:R$429,$A$13:$A$429,$C550,$C$13:$C$429,$D550)</f>
        <v>0</v>
      </c>
      <c r="S550">
        <f>SUMIFS(S$13:S$429,$A$13:$A$429,$C550,$C$13:$C$429,$D550)</f>
        <v>0</v>
      </c>
      <c r="T550">
        <f>SUMIFS(T$13:T$429,$A$13:$A$429,$C550,$C$13:$C$429,$D550)</f>
        <v>0</v>
      </c>
      <c r="U550">
        <f>SUM(L550:T550)</f>
        <v>0</v>
      </c>
      <c r="W550">
        <f>IF(SUM(H550:I550)&gt;0,SUM(H550:I550)/G550,0)</f>
        <v>0</v>
      </c>
      <c r="X550">
        <f>IF(G550&gt;0,U550/G550,0)</f>
        <v>0</v>
      </c>
    </row>
    <row r="551">
      <c r="C551" t="str">
        <v>Lantai 2</v>
      </c>
      <c r="D551" t="str">
        <v>B24-6</v>
      </c>
      <c r="G551">
        <f>SUMIFS($V$13:$V$429,$A$13:$A$429,$C551,$C$13:$C$429,$D551)</f>
        <v>0</v>
      </c>
      <c r="H551">
        <f>SUMIFS($W$13:$W$429,$A$13:$A$429,$C551,$C$13:$C$429,$D551)</f>
        <v>0</v>
      </c>
      <c r="I551">
        <f>SUMIFS($X$13:$X$429,$A$13:$A$429,$C551,$C$13:$C$429,$D551)</f>
        <v>0</v>
      </c>
      <c r="J551">
        <f>SUMIFS($Y$13:$Y$429,$A$13:$A$429,$C551,$C$13:$C$429,$D551)</f>
        <v>0</v>
      </c>
      <c r="K551">
        <f>SUMIFS($Z$13:$Z$429,$A$13:$A$429,$C551,$C$13:$C$429,$D551)</f>
        <v>0</v>
      </c>
      <c r="L551">
        <f>SUMIFS(L$13:L$429,$A$13:$A$429,$C551,$C$13:$C$429,$D551)</f>
        <v>0</v>
      </c>
      <c r="M551">
        <f>SUMIFS(M$13:M$429,$A$13:$A$429,$C551,$C$13:$C$429,$D551)</f>
        <v>0</v>
      </c>
      <c r="N551">
        <f>SUMIFS(N$13:N$429,$A$13:$A$429,$C551,$C$13:$C$429,$D551)</f>
        <v>0</v>
      </c>
      <c r="O551">
        <f>SUMIFS(O$13:O$429,$A$13:$A$429,$C551,$C$13:$C$429,$D551)</f>
        <v>0</v>
      </c>
      <c r="P551">
        <f>SUMIFS(P$13:P$429,$A$13:$A$429,$C551,$C$13:$C$429,$D551)</f>
        <v>0</v>
      </c>
      <c r="Q551">
        <f>SUMIFS(Q$13:Q$429,$A$13:$A$429,$C551,$C$13:$C$429,$D551)</f>
        <v>0</v>
      </c>
      <c r="R551">
        <f>SUMIFS(R$13:R$429,$A$13:$A$429,$C551,$C$13:$C$429,$D551)</f>
        <v>0</v>
      </c>
      <c r="S551">
        <f>SUMIFS(S$13:S$429,$A$13:$A$429,$C551,$C$13:$C$429,$D551)</f>
        <v>0</v>
      </c>
      <c r="T551">
        <f>SUMIFS(T$13:T$429,$A$13:$A$429,$C551,$C$13:$C$429,$D551)</f>
        <v>0</v>
      </c>
      <c r="U551">
        <f>SUM(L551:T551)</f>
        <v>0</v>
      </c>
      <c r="W551">
        <f>IF(SUM(H551:I551)&gt;0,SUM(H551:I551)/G551,0)</f>
        <v>0</v>
      </c>
      <c r="X551">
        <f>IF(G551&gt;0,U551/G551,0)</f>
        <v>0</v>
      </c>
    </row>
    <row r="552">
      <c r="C552" t="str">
        <v>Lantai 2</v>
      </c>
      <c r="D552" t="str">
        <v>B24-7</v>
      </c>
      <c r="G552">
        <f>SUMIFS($V$13:$V$429,$A$13:$A$429,$C552,$C$13:$C$429,$D552)</f>
        <v>0</v>
      </c>
      <c r="H552">
        <f>SUMIFS($W$13:$W$429,$A$13:$A$429,$C552,$C$13:$C$429,$D552)</f>
        <v>0</v>
      </c>
      <c r="I552">
        <f>SUMIFS($X$13:$X$429,$A$13:$A$429,$C552,$C$13:$C$429,$D552)</f>
        <v>0</v>
      </c>
      <c r="J552">
        <f>SUMIFS($Y$13:$Y$429,$A$13:$A$429,$C552,$C$13:$C$429,$D552)</f>
        <v>0</v>
      </c>
      <c r="K552">
        <f>SUMIFS($Z$13:$Z$429,$A$13:$A$429,$C552,$C$13:$C$429,$D552)</f>
        <v>0</v>
      </c>
      <c r="L552">
        <f>SUMIFS(L$13:L$429,$A$13:$A$429,$C552,$C$13:$C$429,$D552)</f>
        <v>0</v>
      </c>
      <c r="M552">
        <f>SUMIFS(M$13:M$429,$A$13:$A$429,$C552,$C$13:$C$429,$D552)</f>
        <v>0</v>
      </c>
      <c r="N552">
        <f>SUMIFS(N$13:N$429,$A$13:$A$429,$C552,$C$13:$C$429,$D552)</f>
        <v>0</v>
      </c>
      <c r="O552">
        <f>SUMIFS(O$13:O$429,$A$13:$A$429,$C552,$C$13:$C$429,$D552)</f>
        <v>0</v>
      </c>
      <c r="P552">
        <f>SUMIFS(P$13:P$429,$A$13:$A$429,$C552,$C$13:$C$429,$D552)</f>
        <v>0</v>
      </c>
      <c r="Q552">
        <f>SUMIFS(Q$13:Q$429,$A$13:$A$429,$C552,$C$13:$C$429,$D552)</f>
        <v>0</v>
      </c>
      <c r="R552">
        <f>SUMIFS(R$13:R$429,$A$13:$A$429,$C552,$C$13:$C$429,$D552)</f>
        <v>0</v>
      </c>
      <c r="S552">
        <f>SUMIFS(S$13:S$429,$A$13:$A$429,$C552,$C$13:$C$429,$D552)</f>
        <v>0</v>
      </c>
      <c r="T552">
        <f>SUMIFS(T$13:T$429,$A$13:$A$429,$C552,$C$13:$C$429,$D552)</f>
        <v>0</v>
      </c>
      <c r="U552">
        <f>SUM(L552:T552)</f>
        <v>0</v>
      </c>
      <c r="W552">
        <f>IF(SUM(H552:I552)&gt;0,SUM(H552:I552)/G552,0)</f>
        <v>0</v>
      </c>
      <c r="X552">
        <f>IF(G552&gt;0,U552/G552,0)</f>
        <v>0</v>
      </c>
    </row>
    <row r="553">
      <c r="C553" t="str">
        <v>Lantai 2</v>
      </c>
      <c r="D553" t="str">
        <v>CL24-1</v>
      </c>
      <c r="G553">
        <f>SUMIFS($V$13:$V$429,$A$13:$A$429,$C553,$C$13:$C$429,$D553)</f>
        <v>0.1458</v>
      </c>
      <c r="H553">
        <f>SUMIFS($W$13:$W$429,$A$13:$A$429,$C553,$C$13:$C$429,$D553)</f>
        <v>1.998</v>
      </c>
      <c r="I553">
        <f>SUMIFS($X$13:$X$429,$A$13:$A$429,$C553,$C$13:$C$429,$D553)</f>
        <v>0</v>
      </c>
      <c r="J553">
        <f>SUMIFS($Y$13:$Y$429,$A$13:$A$429,$C553,$C$13:$C$429,$D553)</f>
        <v>0</v>
      </c>
      <c r="K553">
        <f>SUMIFS($Z$13:$Z$429,$A$13:$A$429,$C553,$C$13:$C$429,$D553)</f>
        <v>0</v>
      </c>
      <c r="L553">
        <f>SUMIFS(L$13:L$429,$A$13:$A$429,$C553,$C$13:$C$429,$D553)</f>
        <v>0</v>
      </c>
      <c r="M553">
        <f>SUMIFS(M$13:M$429,$A$13:$A$429,$C553,$C$13:$C$429,$D553)</f>
        <v>6.502348800000001</v>
      </c>
      <c r="N553">
        <f>SUMIFS(N$13:N$429,$A$13:$A$429,$C553,$C$13:$C$429,$D553)</f>
        <v>0</v>
      </c>
      <c r="O553">
        <f>SUMIFS(O$13:O$429,$A$13:$A$429,$C553,$C$13:$C$429,$D553)</f>
        <v>0</v>
      </c>
      <c r="P553">
        <f>SUMIFS(P$13:P$429,$A$13:$A$429,$C553,$C$13:$C$429,$D553)</f>
        <v>24.336460800000005</v>
      </c>
      <c r="Q553">
        <f>SUMIFS(Q$13:Q$429,$A$13:$A$429,$C553,$C$13:$C$429,$D553)</f>
        <v>0</v>
      </c>
      <c r="R553">
        <f>SUMIFS(R$13:R$429,$A$13:$A$429,$C553,$C$13:$C$429,$D553)</f>
        <v>0</v>
      </c>
      <c r="S553">
        <f>SUMIFS(S$13:S$429,$A$13:$A$429,$C553,$C$13:$C$429,$D553)</f>
        <v>0</v>
      </c>
      <c r="T553">
        <f>SUMIFS(T$13:T$429,$A$13:$A$429,$C553,$C$13:$C$429,$D553)</f>
        <v>0</v>
      </c>
      <c r="U553">
        <f>SUM(L553:T553)</f>
        <v>30.838809600000005</v>
      </c>
      <c r="W553">
        <f>IF(SUM(H553:I553)&gt;0,SUM(H553:I553)/G553,0)</f>
        <v>13.703703703703702</v>
      </c>
      <c r="X553">
        <f>IF(G553&gt;0,U553/G553,0)</f>
        <v>211.51446913580247</v>
      </c>
    </row>
    <row r="554">
      <c r="C554" t="str">
        <v>Lantai 2</v>
      </c>
      <c r="D554" t="str">
        <v>B245-1</v>
      </c>
      <c r="G554">
        <f>SUMIFS($V$13:$V$429,$A$13:$A$429,$C554,$C$13:$C$429,$D554)</f>
        <v>3.09731</v>
      </c>
      <c r="H554">
        <f>SUMIFS($W$13:$W$429,$A$13:$A$429,$C554,$C$13:$C$429,$D554)</f>
        <v>38.839099999999995</v>
      </c>
      <c r="I554">
        <f>SUMIFS($X$13:$X$429,$A$13:$A$429,$C554,$C$13:$C$429,$D554)</f>
        <v>0</v>
      </c>
      <c r="J554">
        <f>SUMIFS($Y$13:$Y$429,$A$13:$A$429,$C554,$C$13:$C$429,$D554)</f>
        <v>0</v>
      </c>
      <c r="K554">
        <f>SUMIFS($Z$13:$Z$429,$A$13:$A$429,$C554,$C$13:$C$429,$D554)</f>
        <v>0</v>
      </c>
      <c r="L554">
        <f>SUMIFS(L$13:L$429,$A$13:$A$429,$C554,$C$13:$C$429,$D554)</f>
        <v>0</v>
      </c>
      <c r="M554">
        <f>SUMIFS(M$13:M$429,$A$13:$A$429,$C554,$C$13:$C$429,$D554)</f>
        <v>172.54029888000002</v>
      </c>
      <c r="N554">
        <f>SUMIFS(N$13:N$429,$A$13:$A$429,$C554,$C$13:$C$429,$D554)</f>
        <v>0</v>
      </c>
      <c r="O554">
        <f>SUMIFS(O$13:O$429,$A$13:$A$429,$C554,$C$13:$C$429,$D554)</f>
        <v>173.01125556</v>
      </c>
      <c r="P554">
        <f>SUMIFS(P$13:P$429,$A$13:$A$429,$C554,$C$13:$C$429,$D554)</f>
        <v>0</v>
      </c>
      <c r="Q554">
        <f>SUMIFS(Q$13:Q$429,$A$13:$A$429,$C554,$C$13:$C$429,$D554)</f>
        <v>0</v>
      </c>
      <c r="R554">
        <f>SUMIFS(R$13:R$429,$A$13:$A$429,$C554,$C$13:$C$429,$D554)</f>
        <v>0</v>
      </c>
      <c r="S554">
        <f>SUMIFS(S$13:S$429,$A$13:$A$429,$C554,$C$13:$C$429,$D554)</f>
        <v>0</v>
      </c>
      <c r="T554">
        <f>SUMIFS(T$13:T$429,$A$13:$A$429,$C554,$C$13:$C$429,$D554)</f>
        <v>0</v>
      </c>
      <c r="U554">
        <f>SUM(L554:T554)</f>
        <v>345.55155444</v>
      </c>
      <c r="W554">
        <f>IF(SUM(H554:I554)&gt;0,SUM(H554:I554)/G554,0)</f>
        <v>12.539623092296218</v>
      </c>
      <c r="X554">
        <f>IF(G554&gt;0,U554/G554,0)</f>
        <v>111.56505304280167</v>
      </c>
    </row>
    <row r="555">
      <c r="C555" t="str">
        <v>Lantai 2</v>
      </c>
      <c r="D555" t="str">
        <v>CL245-1</v>
      </c>
      <c r="G555">
        <f>SUMIFS($V$13:$V$429,$A$13:$A$429,$C555,$C$13:$C$429,$D555)</f>
        <v>0</v>
      </c>
      <c r="H555">
        <f>SUMIFS($W$13:$W$429,$A$13:$A$429,$C555,$C$13:$C$429,$D555)</f>
        <v>0</v>
      </c>
      <c r="I555">
        <f>SUMIFS($X$13:$X$429,$A$13:$A$429,$C555,$C$13:$C$429,$D555)</f>
        <v>0</v>
      </c>
      <c r="J555">
        <f>SUMIFS($Y$13:$Y$429,$A$13:$A$429,$C555,$C$13:$C$429,$D555)</f>
        <v>0</v>
      </c>
      <c r="K555">
        <f>SUMIFS($Z$13:$Z$429,$A$13:$A$429,$C555,$C$13:$C$429,$D555)</f>
        <v>0</v>
      </c>
      <c r="L555">
        <f>SUMIFS(L$13:L$429,$A$13:$A$429,$C555,$C$13:$C$429,$D555)</f>
        <v>0</v>
      </c>
      <c r="M555">
        <f>SUMIFS(M$13:M$429,$A$13:$A$429,$C555,$C$13:$C$429,$D555)</f>
        <v>0</v>
      </c>
      <c r="N555">
        <f>SUMIFS(N$13:N$429,$A$13:$A$429,$C555,$C$13:$C$429,$D555)</f>
        <v>0</v>
      </c>
      <c r="O555">
        <f>SUMIFS(O$13:O$429,$A$13:$A$429,$C555,$C$13:$C$429,$D555)</f>
        <v>0</v>
      </c>
      <c r="P555">
        <f>SUMIFS(P$13:P$429,$A$13:$A$429,$C555,$C$13:$C$429,$D555)</f>
        <v>0</v>
      </c>
      <c r="Q555">
        <f>SUMIFS(Q$13:Q$429,$A$13:$A$429,$C555,$C$13:$C$429,$D555)</f>
        <v>0</v>
      </c>
      <c r="R555">
        <f>SUMIFS(R$13:R$429,$A$13:$A$429,$C555,$C$13:$C$429,$D555)</f>
        <v>0</v>
      </c>
      <c r="S555">
        <f>SUMIFS(S$13:S$429,$A$13:$A$429,$C555,$C$13:$C$429,$D555)</f>
        <v>0</v>
      </c>
      <c r="T555">
        <f>SUMIFS(T$13:T$429,$A$13:$A$429,$C555,$C$13:$C$429,$D555)</f>
        <v>0</v>
      </c>
      <c r="U555">
        <f>SUM(L555:T555)</f>
        <v>0</v>
      </c>
      <c r="W555">
        <f>IF(SUM(H555:I555)&gt;0,SUM(H555:I555)/G555,0)</f>
        <v>0</v>
      </c>
      <c r="X555">
        <f>IF(G555&gt;0,U555/G555,0)</f>
        <v>0</v>
      </c>
    </row>
    <row r="556">
      <c r="C556" t="str">
        <v>Lantai 2</v>
      </c>
      <c r="D556" t="str">
        <v>B245-1A</v>
      </c>
      <c r="G556">
        <f>SUMIFS($V$13:$V$429,$A$13:$A$429,$C556,$C$13:$C$429,$D556)</f>
        <v>0</v>
      </c>
      <c r="H556">
        <f>SUMIFS($W$13:$W$429,$A$13:$A$429,$C556,$C$13:$C$429,$D556)</f>
        <v>0</v>
      </c>
      <c r="I556">
        <f>SUMIFS($X$13:$X$429,$A$13:$A$429,$C556,$C$13:$C$429,$D556)</f>
        <v>0</v>
      </c>
      <c r="J556">
        <f>SUMIFS($Y$13:$Y$429,$A$13:$A$429,$C556,$C$13:$C$429,$D556)</f>
        <v>0</v>
      </c>
      <c r="K556">
        <f>SUMIFS($Z$13:$Z$429,$A$13:$A$429,$C556,$C$13:$C$429,$D556)</f>
        <v>0</v>
      </c>
      <c r="L556">
        <f>SUMIFS(L$13:L$429,$A$13:$A$429,$C556,$C$13:$C$429,$D556)</f>
        <v>0</v>
      </c>
      <c r="M556">
        <f>SUMIFS(M$13:M$429,$A$13:$A$429,$C556,$C$13:$C$429,$D556)</f>
        <v>0</v>
      </c>
      <c r="N556">
        <f>SUMIFS(N$13:N$429,$A$13:$A$429,$C556,$C$13:$C$429,$D556)</f>
        <v>0</v>
      </c>
      <c r="O556">
        <f>SUMIFS(O$13:O$429,$A$13:$A$429,$C556,$C$13:$C$429,$D556)</f>
        <v>0</v>
      </c>
      <c r="P556">
        <f>SUMIFS(P$13:P$429,$A$13:$A$429,$C556,$C$13:$C$429,$D556)</f>
        <v>0</v>
      </c>
      <c r="Q556">
        <f>SUMIFS(Q$13:Q$429,$A$13:$A$429,$C556,$C$13:$C$429,$D556)</f>
        <v>0</v>
      </c>
      <c r="R556">
        <f>SUMIFS(R$13:R$429,$A$13:$A$429,$C556,$C$13:$C$429,$D556)</f>
        <v>0</v>
      </c>
      <c r="S556">
        <f>SUMIFS(S$13:S$429,$A$13:$A$429,$C556,$C$13:$C$429,$D556)</f>
        <v>0</v>
      </c>
      <c r="T556">
        <f>SUMIFS(T$13:T$429,$A$13:$A$429,$C556,$C$13:$C$429,$D556)</f>
        <v>0</v>
      </c>
      <c r="U556">
        <f>SUM(L556:T556)</f>
        <v>0</v>
      </c>
      <c r="W556">
        <f>IF(SUM(H556:I556)&gt;0,SUM(H556:I556)/G556,0)</f>
        <v>0</v>
      </c>
      <c r="X556">
        <f>IF(G556&gt;0,U556/G556,0)</f>
        <v>0</v>
      </c>
    </row>
    <row r="557">
      <c r="C557" t="str">
        <v>Lantai 2</v>
      </c>
      <c r="D557" t="str">
        <v>B245-2</v>
      </c>
      <c r="G557">
        <f>SUMIFS($V$13:$V$429,$A$13:$A$429,$C557,$C$13:$C$429,$D557)</f>
        <v>0</v>
      </c>
      <c r="H557">
        <f>SUMIFS($W$13:$W$429,$A$13:$A$429,$C557,$C$13:$C$429,$D557)</f>
        <v>0</v>
      </c>
      <c r="I557">
        <f>SUMIFS($X$13:$X$429,$A$13:$A$429,$C557,$C$13:$C$429,$D557)</f>
        <v>0</v>
      </c>
      <c r="J557">
        <f>SUMIFS($Y$13:$Y$429,$A$13:$A$429,$C557,$C$13:$C$429,$D557)</f>
        <v>0</v>
      </c>
      <c r="K557">
        <f>SUMIFS($Z$13:$Z$429,$A$13:$A$429,$C557,$C$13:$C$429,$D557)</f>
        <v>0</v>
      </c>
      <c r="L557">
        <f>SUMIFS(L$13:L$429,$A$13:$A$429,$C557,$C$13:$C$429,$D557)</f>
        <v>0</v>
      </c>
      <c r="M557">
        <f>SUMIFS(M$13:M$429,$A$13:$A$429,$C557,$C$13:$C$429,$D557)</f>
        <v>0</v>
      </c>
      <c r="N557">
        <f>SUMIFS(N$13:N$429,$A$13:$A$429,$C557,$C$13:$C$429,$D557)</f>
        <v>0</v>
      </c>
      <c r="O557">
        <f>SUMIFS(O$13:O$429,$A$13:$A$429,$C557,$C$13:$C$429,$D557)</f>
        <v>0</v>
      </c>
      <c r="P557">
        <f>SUMIFS(P$13:P$429,$A$13:$A$429,$C557,$C$13:$C$429,$D557)</f>
        <v>0</v>
      </c>
      <c r="Q557">
        <f>SUMIFS(Q$13:Q$429,$A$13:$A$429,$C557,$C$13:$C$429,$D557)</f>
        <v>0</v>
      </c>
      <c r="R557">
        <f>SUMIFS(R$13:R$429,$A$13:$A$429,$C557,$C$13:$C$429,$D557)</f>
        <v>0</v>
      </c>
      <c r="S557">
        <f>SUMIFS(S$13:S$429,$A$13:$A$429,$C557,$C$13:$C$429,$D557)</f>
        <v>0</v>
      </c>
      <c r="T557">
        <f>SUMIFS(T$13:T$429,$A$13:$A$429,$C557,$C$13:$C$429,$D557)</f>
        <v>0</v>
      </c>
      <c r="U557">
        <f>SUM(L557:T557)</f>
        <v>0</v>
      </c>
      <c r="W557">
        <f>IF(SUM(H557:I557)&gt;0,SUM(H557:I557)/G557,0)</f>
        <v>0</v>
      </c>
      <c r="X557">
        <f>IF(G557&gt;0,U557/G557,0)</f>
        <v>0</v>
      </c>
    </row>
    <row r="558">
      <c r="C558" t="str">
        <v>Lantai 2</v>
      </c>
      <c r="D558" t="str">
        <v>B245-3</v>
      </c>
      <c r="G558">
        <f>SUMIFS($V$13:$V$429,$A$13:$A$429,$C558,$C$13:$C$429,$D558)</f>
        <v>0.6488</v>
      </c>
      <c r="H558">
        <f>SUMIFS($W$13:$W$429,$A$13:$A$429,$C558,$C$13:$C$429,$D558)</f>
        <v>8.288</v>
      </c>
      <c r="I558">
        <f>SUMIFS($X$13:$X$429,$A$13:$A$429,$C558,$C$13:$C$429,$D558)</f>
        <v>0</v>
      </c>
      <c r="J558">
        <f>SUMIFS($Y$13:$Y$429,$A$13:$A$429,$C558,$C$13:$C$429,$D558)</f>
        <v>0</v>
      </c>
      <c r="K558">
        <f>SUMIFS($Z$13:$Z$429,$A$13:$A$429,$C558,$C$13:$C$429,$D558)</f>
        <v>0</v>
      </c>
      <c r="L558">
        <f>SUMIFS(L$13:L$429,$A$13:$A$429,$C558,$C$13:$C$429,$D558)</f>
        <v>0</v>
      </c>
      <c r="M558">
        <f>SUMIFS(M$13:M$429,$A$13:$A$429,$C558,$C$13:$C$429,$D558)</f>
        <v>0</v>
      </c>
      <c r="N558">
        <f>SUMIFS(N$13:N$429,$A$13:$A$429,$C558,$C$13:$C$429,$D558)</f>
        <v>77.068665</v>
      </c>
      <c r="O558">
        <f>SUMIFS(O$13:O$429,$A$13:$A$429,$C558,$C$13:$C$429,$D558)</f>
        <v>0</v>
      </c>
      <c r="P558">
        <f>SUMIFS(P$13:P$429,$A$13:$A$429,$C558,$C$13:$C$429,$D558)</f>
        <v>66.51334656</v>
      </c>
      <c r="Q558">
        <f>SUMIFS(Q$13:Q$429,$A$13:$A$429,$C558,$C$13:$C$429,$D558)</f>
        <v>0</v>
      </c>
      <c r="R558">
        <f>SUMIFS(R$13:R$429,$A$13:$A$429,$C558,$C$13:$C$429,$D558)</f>
        <v>0</v>
      </c>
      <c r="S558">
        <f>SUMIFS(S$13:S$429,$A$13:$A$429,$C558,$C$13:$C$429,$D558)</f>
        <v>0</v>
      </c>
      <c r="T558">
        <f>SUMIFS(T$13:T$429,$A$13:$A$429,$C558,$C$13:$C$429,$D558)</f>
        <v>0</v>
      </c>
      <c r="U558">
        <f>SUM(L558:T558)</f>
        <v>143.58201156</v>
      </c>
      <c r="W558">
        <f>IF(SUM(H558:I558)&gt;0,SUM(H558:I558)/G558,0)</f>
        <v>12.774352651048089</v>
      </c>
      <c r="X558">
        <f>IF(G558&gt;0,U558/G558,0)</f>
        <v>221.30396356350187</v>
      </c>
    </row>
    <row r="559">
      <c r="C559" t="str">
        <v>Lantai 2</v>
      </c>
      <c r="D559" t="str">
        <v>B245-4</v>
      </c>
      <c r="G559">
        <f>SUMIFS($V$13:$V$429,$A$13:$A$429,$C559,$C$13:$C$429,$D559)</f>
        <v>1.03574</v>
      </c>
      <c r="H559">
        <f>SUMIFS($W$13:$W$429,$A$13:$A$429,$C559,$C$13:$C$429,$D559)</f>
        <v>13.4064</v>
      </c>
      <c r="I559">
        <f>SUMIFS($X$13:$X$429,$A$13:$A$429,$C559,$C$13:$C$429,$D559)</f>
        <v>0</v>
      </c>
      <c r="J559">
        <f>SUMIFS($Y$13:$Y$429,$A$13:$A$429,$C559,$C$13:$C$429,$D559)</f>
        <v>0</v>
      </c>
      <c r="K559">
        <f>SUMIFS($Z$13:$Z$429,$A$13:$A$429,$C559,$C$13:$C$429,$D559)</f>
        <v>0</v>
      </c>
      <c r="L559">
        <f>SUMIFS(L$13:L$429,$A$13:$A$429,$C559,$C$13:$C$429,$D559)</f>
        <v>0</v>
      </c>
      <c r="M559">
        <f>SUMIFS(M$13:M$429,$A$13:$A$429,$C559,$C$13:$C$429,$D559)</f>
        <v>70.15118976000001</v>
      </c>
      <c r="N559">
        <f>SUMIFS(N$13:N$429,$A$13:$A$429,$C559,$C$13:$C$429,$D559)</f>
        <v>0</v>
      </c>
      <c r="O559">
        <f>SUMIFS(O$13:O$429,$A$13:$A$429,$C559,$C$13:$C$429,$D559)</f>
        <v>0</v>
      </c>
      <c r="P559">
        <f>SUMIFS(P$13:P$429,$A$13:$A$429,$C559,$C$13:$C$429,$D559)</f>
        <v>158.90667264</v>
      </c>
      <c r="Q559">
        <f>SUMIFS(Q$13:Q$429,$A$13:$A$429,$C559,$C$13:$C$429,$D559)</f>
        <v>0</v>
      </c>
      <c r="R559">
        <f>SUMIFS(R$13:R$429,$A$13:$A$429,$C559,$C$13:$C$429,$D559)</f>
        <v>0</v>
      </c>
      <c r="S559">
        <f>SUMIFS(S$13:S$429,$A$13:$A$429,$C559,$C$13:$C$429,$D559)</f>
        <v>0</v>
      </c>
      <c r="T559">
        <f>SUMIFS(T$13:T$429,$A$13:$A$429,$C559,$C$13:$C$429,$D559)</f>
        <v>0</v>
      </c>
      <c r="U559">
        <f>SUM(L559:T559)</f>
        <v>229.05786240000003</v>
      </c>
      <c r="W559">
        <f>IF(SUM(H559:I559)&gt;0,SUM(H559:I559)/G559,0)</f>
        <v>12.943788981790796</v>
      </c>
      <c r="X559">
        <f>IF(G559&gt;0,U559/G559,0)</f>
        <v>221.1538247050418</v>
      </c>
    </row>
    <row r="560">
      <c r="C560" t="str">
        <v>Lantai 2</v>
      </c>
      <c r="D560" t="str">
        <v>B245-5</v>
      </c>
      <c r="G560">
        <f>SUMIFS($V$13:$V$429,$A$13:$A$429,$C560,$C$13:$C$429,$D560)</f>
        <v>0</v>
      </c>
      <c r="H560">
        <f>SUMIFS($W$13:$W$429,$A$13:$A$429,$C560,$C$13:$C$429,$D560)</f>
        <v>0</v>
      </c>
      <c r="I560">
        <f>SUMIFS($X$13:$X$429,$A$13:$A$429,$C560,$C$13:$C$429,$D560)</f>
        <v>0</v>
      </c>
      <c r="J560">
        <f>SUMIFS($Y$13:$Y$429,$A$13:$A$429,$C560,$C$13:$C$429,$D560)</f>
        <v>0</v>
      </c>
      <c r="K560">
        <f>SUMIFS($Z$13:$Z$429,$A$13:$A$429,$C560,$C$13:$C$429,$D560)</f>
        <v>0</v>
      </c>
      <c r="L560">
        <f>SUMIFS(L$13:L$429,$A$13:$A$429,$C560,$C$13:$C$429,$D560)</f>
        <v>0</v>
      </c>
      <c r="M560">
        <f>SUMIFS(M$13:M$429,$A$13:$A$429,$C560,$C$13:$C$429,$D560)</f>
        <v>0</v>
      </c>
      <c r="N560">
        <f>SUMIFS(N$13:N$429,$A$13:$A$429,$C560,$C$13:$C$429,$D560)</f>
        <v>0</v>
      </c>
      <c r="O560">
        <f>SUMIFS(O$13:O$429,$A$13:$A$429,$C560,$C$13:$C$429,$D560)</f>
        <v>0</v>
      </c>
      <c r="P560">
        <f>SUMIFS(P$13:P$429,$A$13:$A$429,$C560,$C$13:$C$429,$D560)</f>
        <v>0</v>
      </c>
      <c r="Q560">
        <f>SUMIFS(Q$13:Q$429,$A$13:$A$429,$C560,$C$13:$C$429,$D560)</f>
        <v>0</v>
      </c>
      <c r="R560">
        <f>SUMIFS(R$13:R$429,$A$13:$A$429,$C560,$C$13:$C$429,$D560)</f>
        <v>0</v>
      </c>
      <c r="S560">
        <f>SUMIFS(S$13:S$429,$A$13:$A$429,$C560,$C$13:$C$429,$D560)</f>
        <v>0</v>
      </c>
      <c r="T560">
        <f>SUMIFS(T$13:T$429,$A$13:$A$429,$C560,$C$13:$C$429,$D560)</f>
        <v>0</v>
      </c>
      <c r="U560">
        <f>SUM(L560:T560)</f>
        <v>0</v>
      </c>
      <c r="W560">
        <f>IF(SUM(H560:I560)&gt;0,SUM(H560:I560)/G560,0)</f>
        <v>0</v>
      </c>
      <c r="X560">
        <f>IF(G560&gt;0,U560/G560,0)</f>
        <v>0</v>
      </c>
    </row>
    <row r="561">
      <c r="C561" t="str">
        <v>Lantai 2</v>
      </c>
      <c r="D561" t="str">
        <v>B245-6</v>
      </c>
      <c r="G561">
        <f>SUMIFS($V$13:$V$429,$A$13:$A$429,$C561,$C$13:$C$429,$D561)</f>
        <v>0.6592</v>
      </c>
      <c r="H561">
        <f>SUMIFS($W$13:$W$429,$A$13:$A$429,$C561,$C$13:$C$429,$D561)</f>
        <v>8.652000000000001</v>
      </c>
      <c r="I561">
        <f>SUMIFS($X$13:$X$429,$A$13:$A$429,$C561,$C$13:$C$429,$D561)</f>
        <v>0</v>
      </c>
      <c r="J561">
        <f>SUMIFS($Y$13:$Y$429,$A$13:$A$429,$C561,$C$13:$C$429,$D561)</f>
        <v>0</v>
      </c>
      <c r="K561">
        <f>SUMIFS($Z$13:$Z$429,$A$13:$A$429,$C561,$C$13:$C$429,$D561)</f>
        <v>0</v>
      </c>
      <c r="L561">
        <f>SUMIFS(L$13:L$429,$A$13:$A$429,$C561,$C$13:$C$429,$D561)</f>
        <v>0</v>
      </c>
      <c r="M561">
        <f>SUMIFS(M$13:M$429,$A$13:$A$429,$C561,$C$13:$C$429,$D561)</f>
        <v>52.12453248</v>
      </c>
      <c r="N561">
        <f>SUMIFS(N$13:N$429,$A$13:$A$429,$C561,$C$13:$C$429,$D561)</f>
        <v>0</v>
      </c>
      <c r="O561">
        <f>SUMIFS(O$13:O$429,$A$13:$A$429,$C561,$C$13:$C$429,$D561)</f>
        <v>0</v>
      </c>
      <c r="P561">
        <f>SUMIFS(P$13:P$429,$A$13:$A$429,$C561,$C$13:$C$429,$D561)</f>
        <v>109.05007104</v>
      </c>
      <c r="Q561">
        <f>SUMIFS(Q$13:Q$429,$A$13:$A$429,$C561,$C$13:$C$429,$D561)</f>
        <v>0</v>
      </c>
      <c r="R561">
        <f>SUMIFS(R$13:R$429,$A$13:$A$429,$C561,$C$13:$C$429,$D561)</f>
        <v>0</v>
      </c>
      <c r="S561">
        <f>SUMIFS(S$13:S$429,$A$13:$A$429,$C561,$C$13:$C$429,$D561)</f>
        <v>0</v>
      </c>
      <c r="T561">
        <f>SUMIFS(T$13:T$429,$A$13:$A$429,$C561,$C$13:$C$429,$D561)</f>
        <v>0</v>
      </c>
      <c r="U561">
        <f>SUM(L561:T561)</f>
        <v>161.17460352</v>
      </c>
      <c r="W561">
        <f>IF(SUM(H561:I561)&gt;0,SUM(H561:I561)/G561,0)</f>
        <v>13.125000000000002</v>
      </c>
      <c r="X561">
        <f>IF(G561&gt;0,U561/G561,0)</f>
        <v>244.5003087378641</v>
      </c>
    </row>
    <row r="562">
      <c r="C562" t="str">
        <v>Lantai 2</v>
      </c>
      <c r="D562" t="str">
        <v>B245-7</v>
      </c>
      <c r="G562">
        <f>SUMIFS($V$13:$V$429,$A$13:$A$429,$C562,$C$13:$C$429,$D562)</f>
        <v>0.6528</v>
      </c>
      <c r="H562">
        <f>SUMIFS($W$13:$W$429,$A$13:$A$429,$C562,$C$13:$C$429,$D562)</f>
        <v>8.568</v>
      </c>
      <c r="I562">
        <f>SUMIFS($X$13:$X$429,$A$13:$A$429,$C562,$C$13:$C$429,$D562)</f>
        <v>0</v>
      </c>
      <c r="J562">
        <f>SUMIFS($Y$13:$Y$429,$A$13:$A$429,$C562,$C$13:$C$429,$D562)</f>
        <v>0</v>
      </c>
      <c r="K562">
        <f>SUMIFS($Z$13:$Z$429,$A$13:$A$429,$C562,$C$13:$C$429,$D562)</f>
        <v>0</v>
      </c>
      <c r="L562">
        <f>SUMIFS(L$13:L$429,$A$13:$A$429,$C562,$C$13:$C$429,$D562)</f>
        <v>0</v>
      </c>
      <c r="M562">
        <f>SUMIFS(M$13:M$429,$A$13:$A$429,$C562,$C$13:$C$429,$D562)</f>
        <v>36.44077248</v>
      </c>
      <c r="N562">
        <f>SUMIFS(N$13:N$429,$A$13:$A$429,$C562,$C$13:$C$429,$D562)</f>
        <v>0</v>
      </c>
      <c r="O562">
        <f>SUMIFS(O$13:O$429,$A$13:$A$429,$C562,$C$13:$C$429,$D562)</f>
        <v>0</v>
      </c>
      <c r="P562">
        <f>SUMIFS(P$13:P$429,$A$13:$A$429,$C562,$C$13:$C$429,$D562)</f>
        <v>0</v>
      </c>
      <c r="Q562">
        <f>SUMIFS(Q$13:Q$429,$A$13:$A$429,$C562,$C$13:$C$429,$D562)</f>
        <v>155.48687316000002</v>
      </c>
      <c r="R562">
        <f>SUMIFS(R$13:R$429,$A$13:$A$429,$C562,$C$13:$C$429,$D562)</f>
        <v>0</v>
      </c>
      <c r="S562">
        <f>SUMIFS(S$13:S$429,$A$13:$A$429,$C562,$C$13:$C$429,$D562)</f>
        <v>0</v>
      </c>
      <c r="T562">
        <f>SUMIFS(T$13:T$429,$A$13:$A$429,$C562,$C$13:$C$429,$D562)</f>
        <v>0</v>
      </c>
      <c r="U562">
        <f>SUM(L562:T562)</f>
        <v>191.92764564</v>
      </c>
      <c r="W562">
        <f>IF(SUM(H562:I562)&gt;0,SUM(H562:I562)/G562,0)</f>
        <v>13.124999999999998</v>
      </c>
      <c r="X562">
        <f>IF(G562&gt;0,U562/G562,0)</f>
        <v>294.0068101102941</v>
      </c>
    </row>
    <row r="563">
      <c r="C563" t="str">
        <v>Lantai 2</v>
      </c>
      <c r="D563" t="str">
        <v>B25-1</v>
      </c>
      <c r="G563">
        <f>SUMIFS($V$13:$V$429,$A$13:$A$429,$C563,$C$13:$C$429,$D563)</f>
        <v>0.7992</v>
      </c>
      <c r="H563">
        <f>SUMIFS($W$13:$W$429,$A$13:$A$429,$C563,$C$13:$C$429,$D563)</f>
        <v>10.152</v>
      </c>
      <c r="I563">
        <f>SUMIFS($X$13:$X$429,$A$13:$A$429,$C563,$C$13:$C$429,$D563)</f>
        <v>0</v>
      </c>
      <c r="J563">
        <f>SUMIFS($Y$13:$Y$429,$A$13:$A$429,$C563,$C$13:$C$429,$D563)</f>
        <v>0</v>
      </c>
      <c r="K563">
        <f>SUMIFS($Z$13:$Z$429,$A$13:$A$429,$C563,$C$13:$C$429,$D563)</f>
        <v>0</v>
      </c>
      <c r="L563">
        <f>SUMIFS(L$13:L$429,$A$13:$A$429,$C563,$C$13:$C$429,$D563)</f>
        <v>0</v>
      </c>
      <c r="M563">
        <f>SUMIFS(M$13:M$429,$A$13:$A$429,$C563,$C$13:$C$429,$D563)</f>
        <v>0</v>
      </c>
      <c r="N563">
        <f>SUMIFS(N$13:N$429,$A$13:$A$429,$C563,$C$13:$C$429,$D563)</f>
        <v>85.48389</v>
      </c>
      <c r="O563">
        <f>SUMIFS(O$13:O$429,$A$13:$A$429,$C563,$C$13:$C$429,$D563)</f>
        <v>0</v>
      </c>
      <c r="P563">
        <f>SUMIFS(P$13:P$429,$A$13:$A$429,$C563,$C$13:$C$429,$D563)</f>
        <v>75.45249792</v>
      </c>
      <c r="Q563">
        <f>SUMIFS(Q$13:Q$429,$A$13:$A$429,$C563,$C$13:$C$429,$D563)</f>
        <v>0</v>
      </c>
      <c r="R563">
        <f>SUMIFS(R$13:R$429,$A$13:$A$429,$C563,$C$13:$C$429,$D563)</f>
        <v>0</v>
      </c>
      <c r="S563">
        <f>SUMIFS(S$13:S$429,$A$13:$A$429,$C563,$C$13:$C$429,$D563)</f>
        <v>0</v>
      </c>
      <c r="T563">
        <f>SUMIFS(T$13:T$429,$A$13:$A$429,$C563,$C$13:$C$429,$D563)</f>
        <v>0</v>
      </c>
      <c r="U563">
        <f>SUM(L563:T563)</f>
        <v>160.93638792000002</v>
      </c>
      <c r="W563">
        <f>IF(SUM(H563:I563)&gt;0,SUM(H563:I563)/G563,0)</f>
        <v>12.702702702702702</v>
      </c>
      <c r="X563">
        <f>IF(G563&gt;0,U563/G563,0)</f>
        <v>201.37185675675678</v>
      </c>
    </row>
    <row r="564">
      <c r="C564" t="str">
        <v>Lantai 2</v>
      </c>
      <c r="D564" t="str">
        <v>B25-2</v>
      </c>
      <c r="G564">
        <f>SUMIFS($V$13:$V$429,$A$13:$A$429,$C564,$C$13:$C$429,$D564)</f>
        <v>0.962</v>
      </c>
      <c r="H564">
        <f>SUMIFS($W$13:$W$429,$A$13:$A$429,$C564,$C$13:$C$429,$D564)</f>
        <v>12.219999999999999</v>
      </c>
      <c r="I564">
        <f>SUMIFS($X$13:$X$429,$A$13:$A$429,$C564,$C$13:$C$429,$D564)</f>
        <v>0</v>
      </c>
      <c r="J564">
        <f>SUMIFS($Y$13:$Y$429,$A$13:$A$429,$C564,$C$13:$C$429,$D564)</f>
        <v>0</v>
      </c>
      <c r="K564">
        <f>SUMIFS($Z$13:$Z$429,$A$13:$A$429,$C564,$C$13:$C$429,$D564)</f>
        <v>0</v>
      </c>
      <c r="L564">
        <f>SUMIFS(L$13:L$429,$A$13:$A$429,$C564,$C$13:$C$429,$D564)</f>
        <v>0</v>
      </c>
      <c r="M564">
        <f>SUMIFS(M$13:M$429,$A$13:$A$429,$C564,$C$13:$C$429,$D564)</f>
        <v>0</v>
      </c>
      <c r="N564">
        <f>SUMIFS(N$13:N$429,$A$13:$A$429,$C564,$C$13:$C$429,$D564)</f>
        <v>124.29873000000002</v>
      </c>
      <c r="O564">
        <f>SUMIFS(O$13:O$429,$A$13:$A$429,$C564,$C$13:$C$429,$D564)</f>
        <v>0</v>
      </c>
      <c r="P564">
        <f>SUMIFS(P$13:P$429,$A$13:$A$429,$C564,$C$13:$C$429,$D564)</f>
        <v>130.37524992</v>
      </c>
      <c r="Q564">
        <f>SUMIFS(Q$13:Q$429,$A$13:$A$429,$C564,$C$13:$C$429,$D564)</f>
        <v>0</v>
      </c>
      <c r="R564">
        <f>SUMIFS(R$13:R$429,$A$13:$A$429,$C564,$C$13:$C$429,$D564)</f>
        <v>0</v>
      </c>
      <c r="S564">
        <f>SUMIFS(S$13:S$429,$A$13:$A$429,$C564,$C$13:$C$429,$D564)</f>
        <v>0</v>
      </c>
      <c r="T564">
        <f>SUMIFS(T$13:T$429,$A$13:$A$429,$C564,$C$13:$C$429,$D564)</f>
        <v>0</v>
      </c>
      <c r="U564">
        <f>SUM(L564:T564)</f>
        <v>254.67397992000002</v>
      </c>
      <c r="W564">
        <f>IF(SUM(H564:I564)&gt;0,SUM(H564:I564)/G564,0)</f>
        <v>12.702702702702702</v>
      </c>
      <c r="X564">
        <f>IF(G564&gt;0,U564/G564,0)</f>
        <v>264.7338668607069</v>
      </c>
    </row>
    <row r="565">
      <c r="C565" t="str">
        <v>Lantai 2</v>
      </c>
      <c r="D565" t="str">
        <v>B25-3</v>
      </c>
      <c r="G565">
        <f>SUMIFS($V$13:$V$429,$A$13:$A$429,$C565,$C$13:$C$429,$D565)</f>
        <v>0</v>
      </c>
      <c r="H565">
        <f>SUMIFS($W$13:$W$429,$A$13:$A$429,$C565,$C$13:$C$429,$D565)</f>
        <v>0</v>
      </c>
      <c r="I565">
        <f>SUMIFS($X$13:$X$429,$A$13:$A$429,$C565,$C$13:$C$429,$D565)</f>
        <v>0</v>
      </c>
      <c r="J565">
        <f>SUMIFS($Y$13:$Y$429,$A$13:$A$429,$C565,$C$13:$C$429,$D565)</f>
        <v>0</v>
      </c>
      <c r="K565">
        <f>SUMIFS($Z$13:$Z$429,$A$13:$A$429,$C565,$C$13:$C$429,$D565)</f>
        <v>0</v>
      </c>
      <c r="L565">
        <f>SUMIFS(L$13:L$429,$A$13:$A$429,$C565,$C$13:$C$429,$D565)</f>
        <v>0</v>
      </c>
      <c r="M565">
        <f>SUMIFS(M$13:M$429,$A$13:$A$429,$C565,$C$13:$C$429,$D565)</f>
        <v>0</v>
      </c>
      <c r="N565">
        <f>SUMIFS(N$13:N$429,$A$13:$A$429,$C565,$C$13:$C$429,$D565)</f>
        <v>0</v>
      </c>
      <c r="O565">
        <f>SUMIFS(O$13:O$429,$A$13:$A$429,$C565,$C$13:$C$429,$D565)</f>
        <v>0</v>
      </c>
      <c r="P565">
        <f>SUMIFS(P$13:P$429,$A$13:$A$429,$C565,$C$13:$C$429,$D565)</f>
        <v>0</v>
      </c>
      <c r="Q565">
        <f>SUMIFS(Q$13:Q$429,$A$13:$A$429,$C565,$C$13:$C$429,$D565)</f>
        <v>0</v>
      </c>
      <c r="R565">
        <f>SUMIFS(R$13:R$429,$A$13:$A$429,$C565,$C$13:$C$429,$D565)</f>
        <v>0</v>
      </c>
      <c r="S565">
        <f>SUMIFS(S$13:S$429,$A$13:$A$429,$C565,$C$13:$C$429,$D565)</f>
        <v>0</v>
      </c>
      <c r="T565">
        <f>SUMIFS(T$13:T$429,$A$13:$A$429,$C565,$C$13:$C$429,$D565)</f>
        <v>0</v>
      </c>
      <c r="U565">
        <f>SUM(L565:T565)</f>
        <v>0</v>
      </c>
      <c r="W565">
        <f>IF(SUM(H565:I565)&gt;0,SUM(H565:I565)/G565,0)</f>
        <v>0</v>
      </c>
      <c r="X565">
        <f>IF(G565&gt;0,U565/G565,0)</f>
        <v>0</v>
      </c>
    </row>
    <row r="566">
      <c r="C566" t="str">
        <v>Lantai 2</v>
      </c>
      <c r="D566" t="str">
        <v>B25-4</v>
      </c>
      <c r="G566">
        <f>SUMIFS($V$13:$V$429,$A$13:$A$429,$C566,$C$13:$C$429,$D566)</f>
        <v>0</v>
      </c>
      <c r="H566">
        <f>SUMIFS($W$13:$W$429,$A$13:$A$429,$C566,$C$13:$C$429,$D566)</f>
        <v>0</v>
      </c>
      <c r="I566">
        <f>SUMIFS($X$13:$X$429,$A$13:$A$429,$C566,$C$13:$C$429,$D566)</f>
        <v>0</v>
      </c>
      <c r="J566">
        <f>SUMIFS($Y$13:$Y$429,$A$13:$A$429,$C566,$C$13:$C$429,$D566)</f>
        <v>0</v>
      </c>
      <c r="K566">
        <f>SUMIFS($Z$13:$Z$429,$A$13:$A$429,$C566,$C$13:$C$429,$D566)</f>
        <v>0</v>
      </c>
      <c r="L566">
        <f>SUMIFS(L$13:L$429,$A$13:$A$429,$C566,$C$13:$C$429,$D566)</f>
        <v>0</v>
      </c>
      <c r="M566">
        <f>SUMIFS(M$13:M$429,$A$13:$A$429,$C566,$C$13:$C$429,$D566)</f>
        <v>0</v>
      </c>
      <c r="N566">
        <f>SUMIFS(N$13:N$429,$A$13:$A$429,$C566,$C$13:$C$429,$D566)</f>
        <v>0</v>
      </c>
      <c r="O566">
        <f>SUMIFS(O$13:O$429,$A$13:$A$429,$C566,$C$13:$C$429,$D566)</f>
        <v>0</v>
      </c>
      <c r="P566">
        <f>SUMIFS(P$13:P$429,$A$13:$A$429,$C566,$C$13:$C$429,$D566)</f>
        <v>0</v>
      </c>
      <c r="Q566">
        <f>SUMIFS(Q$13:Q$429,$A$13:$A$429,$C566,$C$13:$C$429,$D566)</f>
        <v>0</v>
      </c>
      <c r="R566">
        <f>SUMIFS(R$13:R$429,$A$13:$A$429,$C566,$C$13:$C$429,$D566)</f>
        <v>0</v>
      </c>
      <c r="S566">
        <f>SUMIFS(S$13:S$429,$A$13:$A$429,$C566,$C$13:$C$429,$D566)</f>
        <v>0</v>
      </c>
      <c r="T566">
        <f>SUMIFS(T$13:T$429,$A$13:$A$429,$C566,$C$13:$C$429,$D566)</f>
        <v>0</v>
      </c>
      <c r="U566">
        <f>SUM(L566:T566)</f>
        <v>0</v>
      </c>
      <c r="W566">
        <f>IF(SUM(H566:I566)&gt;0,SUM(H566:I566)/G566,0)</f>
        <v>0</v>
      </c>
      <c r="X566">
        <f>IF(G566&gt;0,U566/G566,0)</f>
        <v>0</v>
      </c>
    </row>
    <row r="567">
      <c r="C567" t="str">
        <v>Lantai 2</v>
      </c>
      <c r="D567" t="str">
        <v>B25-5</v>
      </c>
      <c r="G567">
        <f>SUMIFS($V$13:$V$429,$A$13:$A$429,$C567,$C$13:$C$429,$D567)</f>
        <v>0</v>
      </c>
      <c r="H567">
        <f>SUMIFS($W$13:$W$429,$A$13:$A$429,$C567,$C$13:$C$429,$D567)</f>
        <v>0</v>
      </c>
      <c r="I567">
        <f>SUMIFS($X$13:$X$429,$A$13:$A$429,$C567,$C$13:$C$429,$D567)</f>
        <v>0</v>
      </c>
      <c r="J567">
        <f>SUMIFS($Y$13:$Y$429,$A$13:$A$429,$C567,$C$13:$C$429,$D567)</f>
        <v>0</v>
      </c>
      <c r="K567">
        <f>SUMIFS($Z$13:$Z$429,$A$13:$A$429,$C567,$C$13:$C$429,$D567)</f>
        <v>0</v>
      </c>
      <c r="L567">
        <f>SUMIFS(L$13:L$429,$A$13:$A$429,$C567,$C$13:$C$429,$D567)</f>
        <v>0</v>
      </c>
      <c r="M567">
        <f>SUMIFS(M$13:M$429,$A$13:$A$429,$C567,$C$13:$C$429,$D567)</f>
        <v>0</v>
      </c>
      <c r="N567">
        <f>SUMIFS(N$13:N$429,$A$13:$A$429,$C567,$C$13:$C$429,$D567)</f>
        <v>0</v>
      </c>
      <c r="O567">
        <f>SUMIFS(O$13:O$429,$A$13:$A$429,$C567,$C$13:$C$429,$D567)</f>
        <v>0</v>
      </c>
      <c r="P567">
        <f>SUMIFS(P$13:P$429,$A$13:$A$429,$C567,$C$13:$C$429,$D567)</f>
        <v>0</v>
      </c>
      <c r="Q567">
        <f>SUMIFS(Q$13:Q$429,$A$13:$A$429,$C567,$C$13:$C$429,$D567)</f>
        <v>0</v>
      </c>
      <c r="R567">
        <f>SUMIFS(R$13:R$429,$A$13:$A$429,$C567,$C$13:$C$429,$D567)</f>
        <v>0</v>
      </c>
      <c r="S567">
        <f>SUMIFS(S$13:S$429,$A$13:$A$429,$C567,$C$13:$C$429,$D567)</f>
        <v>0</v>
      </c>
      <c r="T567">
        <f>SUMIFS(T$13:T$429,$A$13:$A$429,$C567,$C$13:$C$429,$D567)</f>
        <v>0</v>
      </c>
      <c r="U567">
        <f>SUM(L567:T567)</f>
        <v>0</v>
      </c>
      <c r="W567">
        <f>IF(SUM(H567:I567)&gt;0,SUM(H567:I567)/G567,0)</f>
        <v>0</v>
      </c>
      <c r="X567">
        <f>IF(G567&gt;0,U567/G567,0)</f>
        <v>0</v>
      </c>
    </row>
    <row r="568">
      <c r="C568" t="str">
        <v>Lantai 2</v>
      </c>
      <c r="D568" t="str">
        <v>B25-6</v>
      </c>
      <c r="G568">
        <f>SUMIFS($V$13:$V$429,$A$13:$A$429,$C568,$C$13:$C$429,$D568)</f>
        <v>0</v>
      </c>
      <c r="H568">
        <f>SUMIFS($W$13:$W$429,$A$13:$A$429,$C568,$C$13:$C$429,$D568)</f>
        <v>0</v>
      </c>
      <c r="I568">
        <f>SUMIFS($X$13:$X$429,$A$13:$A$429,$C568,$C$13:$C$429,$D568)</f>
        <v>0</v>
      </c>
      <c r="J568">
        <f>SUMIFS($Y$13:$Y$429,$A$13:$A$429,$C568,$C$13:$C$429,$D568)</f>
        <v>0</v>
      </c>
      <c r="K568">
        <f>SUMIFS($Z$13:$Z$429,$A$13:$A$429,$C568,$C$13:$C$429,$D568)</f>
        <v>0</v>
      </c>
      <c r="L568">
        <f>SUMIFS(L$13:L$429,$A$13:$A$429,$C568,$C$13:$C$429,$D568)</f>
        <v>0</v>
      </c>
      <c r="M568">
        <f>SUMIFS(M$13:M$429,$A$13:$A$429,$C568,$C$13:$C$429,$D568)</f>
        <v>0</v>
      </c>
      <c r="N568">
        <f>SUMIFS(N$13:N$429,$A$13:$A$429,$C568,$C$13:$C$429,$D568)</f>
        <v>0</v>
      </c>
      <c r="O568">
        <f>SUMIFS(O$13:O$429,$A$13:$A$429,$C568,$C$13:$C$429,$D568)</f>
        <v>0</v>
      </c>
      <c r="P568">
        <f>SUMIFS(P$13:P$429,$A$13:$A$429,$C568,$C$13:$C$429,$D568)</f>
        <v>0</v>
      </c>
      <c r="Q568">
        <f>SUMIFS(Q$13:Q$429,$A$13:$A$429,$C568,$C$13:$C$429,$D568)</f>
        <v>0</v>
      </c>
      <c r="R568">
        <f>SUMIFS(R$13:R$429,$A$13:$A$429,$C568,$C$13:$C$429,$D568)</f>
        <v>0</v>
      </c>
      <c r="S568">
        <f>SUMIFS(S$13:S$429,$A$13:$A$429,$C568,$C$13:$C$429,$D568)</f>
        <v>0</v>
      </c>
      <c r="T568">
        <f>SUMIFS(T$13:T$429,$A$13:$A$429,$C568,$C$13:$C$429,$D568)</f>
        <v>0</v>
      </c>
      <c r="U568">
        <f>SUM(L568:T568)</f>
        <v>0</v>
      </c>
      <c r="W568">
        <f>IF(SUM(H568:I568)&gt;0,SUM(H568:I568)/G568,0)</f>
        <v>0</v>
      </c>
      <c r="X568">
        <f>IF(G568&gt;0,U568/G568,0)</f>
        <v>0</v>
      </c>
    </row>
    <row r="569">
      <c r="C569" t="str">
        <v>Lantai 2</v>
      </c>
      <c r="D569" t="str">
        <v>CL25-1</v>
      </c>
      <c r="G569">
        <f>SUMIFS($V$13:$V$429,$A$13:$A$429,$C569,$C$13:$C$429,$D569)</f>
        <v>0</v>
      </c>
      <c r="H569">
        <f>SUMIFS($W$13:$W$429,$A$13:$A$429,$C569,$C$13:$C$429,$D569)</f>
        <v>0</v>
      </c>
      <c r="I569">
        <f>SUMIFS($X$13:$X$429,$A$13:$A$429,$C569,$C$13:$C$429,$D569)</f>
        <v>0</v>
      </c>
      <c r="J569">
        <f>SUMIFS($Y$13:$Y$429,$A$13:$A$429,$C569,$C$13:$C$429,$D569)</f>
        <v>0</v>
      </c>
      <c r="K569">
        <f>SUMIFS($Z$13:$Z$429,$A$13:$A$429,$C569,$C$13:$C$429,$D569)</f>
        <v>0</v>
      </c>
      <c r="L569">
        <f>SUMIFS(L$13:L$429,$A$13:$A$429,$C569,$C$13:$C$429,$D569)</f>
        <v>0</v>
      </c>
      <c r="M569">
        <f>SUMIFS(M$13:M$429,$A$13:$A$429,$C569,$C$13:$C$429,$D569)</f>
        <v>0</v>
      </c>
      <c r="N569">
        <f>SUMIFS(N$13:N$429,$A$13:$A$429,$C569,$C$13:$C$429,$D569)</f>
        <v>0</v>
      </c>
      <c r="O569">
        <f>SUMIFS(O$13:O$429,$A$13:$A$429,$C569,$C$13:$C$429,$D569)</f>
        <v>0</v>
      </c>
      <c r="P569">
        <f>SUMIFS(P$13:P$429,$A$13:$A$429,$C569,$C$13:$C$429,$D569)</f>
        <v>0</v>
      </c>
      <c r="Q569">
        <f>SUMIFS(Q$13:Q$429,$A$13:$A$429,$C569,$C$13:$C$429,$D569)</f>
        <v>0</v>
      </c>
      <c r="R569">
        <f>SUMIFS(R$13:R$429,$A$13:$A$429,$C569,$C$13:$C$429,$D569)</f>
        <v>0</v>
      </c>
      <c r="S569">
        <f>SUMIFS(S$13:S$429,$A$13:$A$429,$C569,$C$13:$C$429,$D569)</f>
        <v>0</v>
      </c>
      <c r="T569">
        <f>SUMIFS(T$13:T$429,$A$13:$A$429,$C569,$C$13:$C$429,$D569)</f>
        <v>0</v>
      </c>
      <c r="U569">
        <f>SUM(L569:T569)</f>
        <v>0</v>
      </c>
      <c r="W569">
        <f>IF(SUM(H569:I569)&gt;0,SUM(H569:I569)/G569,0)</f>
        <v>0</v>
      </c>
      <c r="X569">
        <f>IF(G569&gt;0,U569/G569,0)</f>
        <v>0</v>
      </c>
    </row>
    <row r="570">
      <c r="C570" t="str">
        <v>Lantai 2</v>
      </c>
      <c r="D570" t="str">
        <v>B26-1</v>
      </c>
      <c r="G570">
        <f>SUMIFS($V$13:$V$429,$A$13:$A$429,$C570,$C$13:$C$429,$D570)</f>
        <v>2.8388</v>
      </c>
      <c r="H570">
        <f>SUMIFS($W$13:$W$429,$A$13:$A$429,$C570,$C$13:$C$429,$D570)</f>
        <v>34.428</v>
      </c>
      <c r="I570">
        <f>SUMIFS($X$13:$X$429,$A$13:$A$429,$C570,$C$13:$C$429,$D570)</f>
        <v>0</v>
      </c>
      <c r="J570">
        <f>SUMIFS($Y$13:$Y$429,$A$13:$A$429,$C570,$C$13:$C$429,$D570)</f>
        <v>0</v>
      </c>
      <c r="K570">
        <f>SUMIFS($Z$13:$Z$429,$A$13:$A$429,$C570,$C$13:$C$429,$D570)</f>
        <v>0</v>
      </c>
      <c r="L570">
        <f>SUMIFS(L$13:L$429,$A$13:$A$429,$C570,$C$13:$C$429,$D570)</f>
        <v>0</v>
      </c>
      <c r="M570">
        <f>SUMIFS(M$13:M$429,$A$13:$A$429,$C570,$C$13:$C$429,$D570)</f>
        <v>0</v>
      </c>
      <c r="N570">
        <f>SUMIFS(N$13:N$429,$A$13:$A$429,$C570,$C$13:$C$429,$D570)</f>
        <v>243.831915</v>
      </c>
      <c r="O570">
        <f>SUMIFS(O$13:O$429,$A$13:$A$429,$C570,$C$13:$C$429,$D570)</f>
        <v>0</v>
      </c>
      <c r="P570">
        <f>SUMIFS(P$13:P$429,$A$13:$A$429,$C570,$C$13:$C$429,$D570)</f>
        <v>361.09184256000003</v>
      </c>
      <c r="Q570">
        <f>SUMIFS(Q$13:Q$429,$A$13:$A$429,$C570,$C$13:$C$429,$D570)</f>
        <v>0</v>
      </c>
      <c r="R570">
        <f>SUMIFS(R$13:R$429,$A$13:$A$429,$C570,$C$13:$C$429,$D570)</f>
        <v>0</v>
      </c>
      <c r="S570">
        <f>SUMIFS(S$13:S$429,$A$13:$A$429,$C570,$C$13:$C$429,$D570)</f>
        <v>0</v>
      </c>
      <c r="T570">
        <f>SUMIFS(T$13:T$429,$A$13:$A$429,$C570,$C$13:$C$429,$D570)</f>
        <v>0</v>
      </c>
      <c r="U570">
        <f>SUM(L570:T570)</f>
        <v>604.92375756</v>
      </c>
      <c r="W570">
        <f>IF(SUM(H570:I570)&gt;0,SUM(H570:I570)/G570,0)</f>
        <v>12.127659574468085</v>
      </c>
      <c r="X570">
        <f>IF(G570&gt;0,U570/G570,0)</f>
        <v>213.0913616880372</v>
      </c>
    </row>
    <row r="571">
      <c r="C571" t="str">
        <v>Lantai 2</v>
      </c>
      <c r="D571" t="str">
        <v>B26-2</v>
      </c>
      <c r="G571">
        <f>SUMIFS($V$13:$V$429,$A$13:$A$429,$C571,$C$13:$C$429,$D571)</f>
        <v>0.7661</v>
      </c>
      <c r="H571">
        <f>SUMIFS($W$13:$W$429,$A$13:$A$429,$C571,$C$13:$C$429,$D571)</f>
        <v>9.291</v>
      </c>
      <c r="I571">
        <f>SUMIFS($X$13:$X$429,$A$13:$A$429,$C571,$C$13:$C$429,$D571)</f>
        <v>0</v>
      </c>
      <c r="J571">
        <f>SUMIFS($Y$13:$Y$429,$A$13:$A$429,$C571,$C$13:$C$429,$D571)</f>
        <v>0</v>
      </c>
      <c r="K571">
        <f>SUMIFS($Z$13:$Z$429,$A$13:$A$429,$C571,$C$13:$C$429,$D571)</f>
        <v>0</v>
      </c>
      <c r="L571">
        <f>SUMIFS(L$13:L$429,$A$13:$A$429,$C571,$C$13:$C$429,$D571)</f>
        <v>0</v>
      </c>
      <c r="M571">
        <f>SUMIFS(M$13:M$429,$A$13:$A$429,$C571,$C$13:$C$429,$D571)</f>
        <v>0</v>
      </c>
      <c r="N571">
        <f>SUMIFS(N$13:N$429,$A$13:$A$429,$C571,$C$13:$C$429,$D571)</f>
        <v>65.00376</v>
      </c>
      <c r="O571">
        <f>SUMIFS(O$13:O$429,$A$13:$A$429,$C571,$C$13:$C$429,$D571)</f>
        <v>0</v>
      </c>
      <c r="P571">
        <f>SUMIFS(P$13:P$429,$A$13:$A$429,$C571,$C$13:$C$429,$D571)</f>
        <v>116.53092864000001</v>
      </c>
      <c r="Q571">
        <f>SUMIFS(Q$13:Q$429,$A$13:$A$429,$C571,$C$13:$C$429,$D571)</f>
        <v>0</v>
      </c>
      <c r="R571">
        <f>SUMIFS(R$13:R$429,$A$13:$A$429,$C571,$C$13:$C$429,$D571)</f>
        <v>0</v>
      </c>
      <c r="S571">
        <f>SUMIFS(S$13:S$429,$A$13:$A$429,$C571,$C$13:$C$429,$D571)</f>
        <v>0</v>
      </c>
      <c r="T571">
        <f>SUMIFS(T$13:T$429,$A$13:$A$429,$C571,$C$13:$C$429,$D571)</f>
        <v>0</v>
      </c>
      <c r="U571">
        <f>SUM(L571:T571)</f>
        <v>181.53468864</v>
      </c>
      <c r="W571">
        <f>IF(SUM(H571:I571)&gt;0,SUM(H571:I571)/G571,0)</f>
        <v>12.127659574468085</v>
      </c>
      <c r="X571">
        <f>IF(G571&gt;0,U571/G571,0)</f>
        <v>236.95952048035505</v>
      </c>
    </row>
    <row r="572">
      <c r="C572" t="str">
        <v>Lantai 2</v>
      </c>
      <c r="D572" t="str">
        <v>B26-3</v>
      </c>
      <c r="G572">
        <f>SUMIFS($V$13:$V$429,$A$13:$A$429,$C572,$C$13:$C$429,$D572)</f>
        <v>0.40185</v>
      </c>
      <c r="H572">
        <f>SUMIFS($W$13:$W$429,$A$13:$A$429,$C572,$C$13:$C$429,$D572)</f>
        <v>4.8735</v>
      </c>
      <c r="I572">
        <f>SUMIFS($X$13:$X$429,$A$13:$A$429,$C572,$C$13:$C$429,$D572)</f>
        <v>0</v>
      </c>
      <c r="J572">
        <f>SUMIFS($Y$13:$Y$429,$A$13:$A$429,$C572,$C$13:$C$429,$D572)</f>
        <v>0</v>
      </c>
      <c r="K572">
        <f>SUMIFS($Z$13:$Z$429,$A$13:$A$429,$C572,$C$13:$C$429,$D572)</f>
        <v>0</v>
      </c>
      <c r="L572">
        <f>SUMIFS(L$13:L$429,$A$13:$A$429,$C572,$C$13:$C$429,$D572)</f>
        <v>0</v>
      </c>
      <c r="M572">
        <f>SUMIFS(M$13:M$429,$A$13:$A$429,$C572,$C$13:$C$429,$D572)</f>
        <v>0</v>
      </c>
      <c r="N572">
        <f>SUMIFS(N$13:N$429,$A$13:$A$429,$C572,$C$13:$C$429,$D572)</f>
        <v>36.42282</v>
      </c>
      <c r="O572">
        <f>SUMIFS(O$13:O$429,$A$13:$A$429,$C572,$C$13:$C$429,$D572)</f>
        <v>0</v>
      </c>
      <c r="P572">
        <f>SUMIFS(P$13:P$429,$A$13:$A$429,$C572,$C$13:$C$429,$D572)</f>
        <v>0</v>
      </c>
      <c r="Q572">
        <f>SUMIFS(Q$13:Q$429,$A$13:$A$429,$C572,$C$13:$C$429,$D572)</f>
        <v>63.17488809000001</v>
      </c>
      <c r="R572">
        <f>SUMIFS(R$13:R$429,$A$13:$A$429,$C572,$C$13:$C$429,$D572)</f>
        <v>0</v>
      </c>
      <c r="S572">
        <f>SUMIFS(S$13:S$429,$A$13:$A$429,$C572,$C$13:$C$429,$D572)</f>
        <v>0</v>
      </c>
      <c r="T572">
        <f>SUMIFS(T$13:T$429,$A$13:$A$429,$C572,$C$13:$C$429,$D572)</f>
        <v>0</v>
      </c>
      <c r="U572">
        <f>SUM(L572:T572)</f>
        <v>99.59770809000001</v>
      </c>
      <c r="W572">
        <f>IF(SUM(H572:I572)&gt;0,SUM(H572:I572)/G572,0)</f>
        <v>12.127659574468085</v>
      </c>
      <c r="X572">
        <f>IF(G572&gt;0,U572/G572,0)</f>
        <v>247.8479733482643</v>
      </c>
    </row>
    <row r="573">
      <c r="C573" t="str">
        <v>Lantai 2</v>
      </c>
      <c r="D573" t="str">
        <v>B26-4</v>
      </c>
      <c r="G573">
        <f>SUMIFS($V$13:$V$429,$A$13:$A$429,$C573,$C$13:$C$429,$D573)</f>
        <v>0.25615</v>
      </c>
      <c r="H573">
        <f>SUMIFS($W$13:$W$429,$A$13:$A$429,$C573,$C$13:$C$429,$D573)</f>
        <v>3.1065</v>
      </c>
      <c r="I573">
        <f>SUMIFS($X$13:$X$429,$A$13:$A$429,$C573,$C$13:$C$429,$D573)</f>
        <v>0</v>
      </c>
      <c r="J573">
        <f>SUMIFS($Y$13:$Y$429,$A$13:$A$429,$C573,$C$13:$C$429,$D573)</f>
        <v>0</v>
      </c>
      <c r="K573">
        <f>SUMIFS($Z$13:$Z$429,$A$13:$A$429,$C573,$C$13:$C$429,$D573)</f>
        <v>0</v>
      </c>
      <c r="L573">
        <f>SUMIFS(L$13:L$429,$A$13:$A$429,$C573,$C$13:$C$429,$D573)</f>
        <v>0</v>
      </c>
      <c r="M573">
        <f>SUMIFS(M$13:M$429,$A$13:$A$429,$C573,$C$13:$C$429,$D573)</f>
        <v>0</v>
      </c>
      <c r="N573">
        <f>SUMIFS(N$13:N$429,$A$13:$A$429,$C573,$C$13:$C$429,$D573)</f>
        <v>46.847835</v>
      </c>
      <c r="O573">
        <f>SUMIFS(O$13:O$429,$A$13:$A$429,$C573,$C$13:$C$429,$D573)</f>
        <v>0</v>
      </c>
      <c r="P573">
        <f>SUMIFS(P$13:P$429,$A$13:$A$429,$C573,$C$13:$C$429,$D573)</f>
        <v>0</v>
      </c>
      <c r="Q573">
        <f>SUMIFS(Q$13:Q$429,$A$13:$A$429,$C573,$C$13:$C$429,$D573)</f>
        <v>63.715700385000005</v>
      </c>
      <c r="R573">
        <f>SUMIFS(R$13:R$429,$A$13:$A$429,$C573,$C$13:$C$429,$D573)</f>
        <v>0</v>
      </c>
      <c r="S573">
        <f>SUMIFS(S$13:S$429,$A$13:$A$429,$C573,$C$13:$C$429,$D573)</f>
        <v>0</v>
      </c>
      <c r="T573">
        <f>SUMIFS(T$13:T$429,$A$13:$A$429,$C573,$C$13:$C$429,$D573)</f>
        <v>0</v>
      </c>
      <c r="U573">
        <f>SUM(L573:T573)</f>
        <v>110.56353538500001</v>
      </c>
      <c r="W573">
        <f>IF(SUM(H573:I573)&gt;0,SUM(H573:I573)/G573,0)</f>
        <v>12.127659574468085</v>
      </c>
      <c r="X573">
        <f>IF(G573&gt;0,U573/G573,0)</f>
        <v>431.63589843841504</v>
      </c>
    </row>
    <row r="574">
      <c r="C574" t="str">
        <v>Lantai 2</v>
      </c>
      <c r="D574" t="str">
        <v>B26-5</v>
      </c>
      <c r="G574">
        <f>SUMIFS($V$13:$V$429,$A$13:$A$429,$C574,$C$13:$C$429,$D574)</f>
        <v>0.9494</v>
      </c>
      <c r="H574">
        <f>SUMIFS($W$13:$W$429,$A$13:$A$429,$C574,$C$13:$C$429,$D574)</f>
        <v>11.514</v>
      </c>
      <c r="I574">
        <f>SUMIFS($X$13:$X$429,$A$13:$A$429,$C574,$C$13:$C$429,$D574)</f>
        <v>0</v>
      </c>
      <c r="J574">
        <f>SUMIFS($Y$13:$Y$429,$A$13:$A$429,$C574,$C$13:$C$429,$D574)</f>
        <v>0</v>
      </c>
      <c r="K574">
        <f>SUMIFS($Z$13:$Z$429,$A$13:$A$429,$C574,$C$13:$C$429,$D574)</f>
        <v>0</v>
      </c>
      <c r="L574">
        <f>SUMIFS(L$13:L$429,$A$13:$A$429,$C574,$C$13:$C$429,$D574)</f>
        <v>0</v>
      </c>
      <c r="M574">
        <f>SUMIFS(M$13:M$429,$A$13:$A$429,$C574,$C$13:$C$429,$D574)</f>
        <v>0</v>
      </c>
      <c r="N574">
        <f>SUMIFS(N$13:N$429,$A$13:$A$429,$C574,$C$13:$C$429,$D574)</f>
        <v>96.796665</v>
      </c>
      <c r="O574">
        <f>SUMIFS(O$13:O$429,$A$13:$A$429,$C574,$C$13:$C$429,$D574)</f>
        <v>0</v>
      </c>
      <c r="P574">
        <f>SUMIFS(P$13:P$429,$A$13:$A$429,$C574,$C$13:$C$429,$D574)</f>
        <v>0</v>
      </c>
      <c r="Q574">
        <f>SUMIFS(Q$13:Q$429,$A$13:$A$429,$C574,$C$13:$C$429,$D574)</f>
        <v>250.37161136999998</v>
      </c>
      <c r="R574">
        <f>SUMIFS(R$13:R$429,$A$13:$A$429,$C574,$C$13:$C$429,$D574)</f>
        <v>0</v>
      </c>
      <c r="S574">
        <f>SUMIFS(S$13:S$429,$A$13:$A$429,$C574,$C$13:$C$429,$D574)</f>
        <v>0</v>
      </c>
      <c r="T574">
        <f>SUMIFS(T$13:T$429,$A$13:$A$429,$C574,$C$13:$C$429,$D574)</f>
        <v>0</v>
      </c>
      <c r="U574">
        <f>SUM(L574:T574)</f>
        <v>347.16827637</v>
      </c>
      <c r="W574">
        <f>IF(SUM(H574:I574)&gt;0,SUM(H574:I574)/G574,0)</f>
        <v>12.127659574468083</v>
      </c>
      <c r="X574">
        <f>IF(G574&gt;0,U574/G574,0)</f>
        <v>365.67124117337266</v>
      </c>
    </row>
    <row r="575">
      <c r="C575" t="str">
        <v>Lantai 2</v>
      </c>
      <c r="D575" t="str">
        <v>CL26-1</v>
      </c>
      <c r="G575">
        <f>SUMIFS($V$13:$V$429,$A$13:$A$429,$C575,$C$13:$C$429,$D575)</f>
        <v>0.4982</v>
      </c>
      <c r="H575">
        <f>SUMIFS($W$13:$W$429,$A$13:$A$429,$C575,$C$13:$C$429,$D575)</f>
        <v>6.042</v>
      </c>
      <c r="I575">
        <f>SUMIFS($X$13:$X$429,$A$13:$A$429,$C575,$C$13:$C$429,$D575)</f>
        <v>0</v>
      </c>
      <c r="J575">
        <f>SUMIFS($Y$13:$Y$429,$A$13:$A$429,$C575,$C$13:$C$429,$D575)</f>
        <v>0</v>
      </c>
      <c r="K575">
        <f>SUMIFS($Z$13:$Z$429,$A$13:$A$429,$C575,$C$13:$C$429,$D575)</f>
        <v>0</v>
      </c>
      <c r="L575">
        <f>SUMIFS(L$13:L$429,$A$13:$A$429,$C575,$C$13:$C$429,$D575)</f>
        <v>0</v>
      </c>
      <c r="M575">
        <f>SUMIFS(M$13:M$429,$A$13:$A$429,$C575,$C$13:$C$429,$D575)</f>
        <v>0</v>
      </c>
      <c r="N575">
        <f>SUMIFS(N$13:N$429,$A$13:$A$429,$C575,$C$13:$C$429,$D575)</f>
        <v>40.62735000000001</v>
      </c>
      <c r="O575">
        <f>SUMIFS(O$13:O$429,$A$13:$A$429,$C575,$C$13:$C$429,$D575)</f>
        <v>0</v>
      </c>
      <c r="P575">
        <f>SUMIFS(P$13:P$429,$A$13:$A$429,$C575,$C$13:$C$429,$D575)</f>
        <v>71.27963136</v>
      </c>
      <c r="Q575">
        <f>SUMIFS(Q$13:Q$429,$A$13:$A$429,$C575,$C$13:$C$429,$D575)</f>
        <v>0</v>
      </c>
      <c r="R575">
        <f>SUMIFS(R$13:R$429,$A$13:$A$429,$C575,$C$13:$C$429,$D575)</f>
        <v>0</v>
      </c>
      <c r="S575">
        <f>SUMIFS(S$13:S$429,$A$13:$A$429,$C575,$C$13:$C$429,$D575)</f>
        <v>0</v>
      </c>
      <c r="T575">
        <f>SUMIFS(T$13:T$429,$A$13:$A$429,$C575,$C$13:$C$429,$D575)</f>
        <v>0</v>
      </c>
      <c r="U575">
        <f>SUM(L575:T575)</f>
        <v>111.90698136</v>
      </c>
      <c r="W575">
        <f>IF(SUM(H575:I575)&gt;0,SUM(H575:I575)/G575,0)</f>
        <v>12.127659574468085</v>
      </c>
      <c r="X575">
        <f>IF(G575&gt;0,U575/G575,0)</f>
        <v>224.6226040947411</v>
      </c>
    </row>
    <row r="576">
      <c r="C576" t="str">
        <v>Lantai 2</v>
      </c>
      <c r="D576" t="str">
        <v>B2550-1</v>
      </c>
      <c r="G576">
        <f>SUMIFS($V$13:$V$429,$A$13:$A$429,$C576,$C$13:$C$429,$D576)</f>
        <v>0</v>
      </c>
      <c r="H576">
        <f>SUMIFS($W$13:$W$429,$A$13:$A$429,$C576,$C$13:$C$429,$D576)</f>
        <v>0</v>
      </c>
      <c r="I576">
        <f>SUMIFS($X$13:$X$429,$A$13:$A$429,$C576,$C$13:$C$429,$D576)</f>
        <v>0</v>
      </c>
      <c r="J576">
        <f>SUMIFS($Y$13:$Y$429,$A$13:$A$429,$C576,$C$13:$C$429,$D576)</f>
        <v>0</v>
      </c>
      <c r="K576">
        <f>SUMIFS($Z$13:$Z$429,$A$13:$A$429,$C576,$C$13:$C$429,$D576)</f>
        <v>0</v>
      </c>
      <c r="L576">
        <f>SUMIFS(L$13:L$429,$A$13:$A$429,$C576,$C$13:$C$429,$D576)</f>
        <v>0</v>
      </c>
      <c r="M576">
        <f>SUMIFS(M$13:M$429,$A$13:$A$429,$C576,$C$13:$C$429,$D576)</f>
        <v>0</v>
      </c>
      <c r="N576">
        <f>SUMIFS(N$13:N$429,$A$13:$A$429,$C576,$C$13:$C$429,$D576)</f>
        <v>0</v>
      </c>
      <c r="O576">
        <f>SUMIFS(O$13:O$429,$A$13:$A$429,$C576,$C$13:$C$429,$D576)</f>
        <v>0</v>
      </c>
      <c r="P576">
        <f>SUMIFS(P$13:P$429,$A$13:$A$429,$C576,$C$13:$C$429,$D576)</f>
        <v>0</v>
      </c>
      <c r="Q576">
        <f>SUMIFS(Q$13:Q$429,$A$13:$A$429,$C576,$C$13:$C$429,$D576)</f>
        <v>0</v>
      </c>
      <c r="R576">
        <f>SUMIFS(R$13:R$429,$A$13:$A$429,$C576,$C$13:$C$429,$D576)</f>
        <v>0</v>
      </c>
      <c r="S576">
        <f>SUMIFS(S$13:S$429,$A$13:$A$429,$C576,$C$13:$C$429,$D576)</f>
        <v>0</v>
      </c>
      <c r="T576">
        <f>SUMIFS(T$13:T$429,$A$13:$A$429,$C576,$C$13:$C$429,$D576)</f>
        <v>0</v>
      </c>
      <c r="U576">
        <f>SUM(L576:T576)</f>
        <v>0</v>
      </c>
      <c r="W576">
        <f>IF(SUM(H576:I576)&gt;0,SUM(H576:I576)/G576,0)</f>
        <v>0</v>
      </c>
      <c r="X576">
        <f>IF(G576&gt;0,U576/G576,0)</f>
        <v>0</v>
      </c>
    </row>
    <row r="577">
      <c r="C577" t="str">
        <v>Lantai 2</v>
      </c>
      <c r="D577" t="str">
        <v>B257-1</v>
      </c>
      <c r="G577">
        <f>SUMIFS($V$13:$V$429,$A$13:$A$429,$C577,$C$13:$C$429,$D577)</f>
        <v>0.7125</v>
      </c>
      <c r="H577">
        <f>SUMIFS($W$13:$W$429,$A$13:$A$429,$C577,$C$13:$C$429,$D577)</f>
        <v>6.95</v>
      </c>
      <c r="I577">
        <f>SUMIFS($X$13:$X$429,$A$13:$A$429,$C577,$C$13:$C$429,$D577)</f>
        <v>0</v>
      </c>
      <c r="J577">
        <f>SUMIFS($Y$13:$Y$429,$A$13:$A$429,$C577,$C$13:$C$429,$D577)</f>
        <v>0</v>
      </c>
      <c r="K577">
        <f>SUMIFS($Z$13:$Z$429,$A$13:$A$429,$C577,$C$13:$C$429,$D577)</f>
        <v>0</v>
      </c>
      <c r="L577">
        <f>SUMIFS(L$13:L$429,$A$13:$A$429,$C577,$C$13:$C$429,$D577)</f>
        <v>0</v>
      </c>
      <c r="M577">
        <f>SUMIFS(M$13:M$429,$A$13:$A$429,$C577,$C$13:$C$429,$D577)</f>
        <v>0</v>
      </c>
      <c r="N577">
        <f>SUMIFS(N$13:N$429,$A$13:$A$429,$C577,$C$13:$C$429,$D577)</f>
        <v>50.189265000000006</v>
      </c>
      <c r="O577">
        <f>SUMIFS(O$13:O$429,$A$13:$A$429,$C577,$C$13:$C$429,$D577)</f>
        <v>0</v>
      </c>
      <c r="P577">
        <f>SUMIFS(P$13:P$429,$A$13:$A$429,$C577,$C$13:$C$429,$D577)</f>
        <v>50.983464960000006</v>
      </c>
      <c r="Q577">
        <f>SUMIFS(Q$13:Q$429,$A$13:$A$429,$C577,$C$13:$C$429,$D577)</f>
        <v>0</v>
      </c>
      <c r="R577">
        <f>SUMIFS(R$13:R$429,$A$13:$A$429,$C577,$C$13:$C$429,$D577)</f>
        <v>0</v>
      </c>
      <c r="S577">
        <f>SUMIFS(S$13:S$429,$A$13:$A$429,$C577,$C$13:$C$429,$D577)</f>
        <v>0</v>
      </c>
      <c r="T577">
        <f>SUMIFS(T$13:T$429,$A$13:$A$429,$C577,$C$13:$C$429,$D577)</f>
        <v>0</v>
      </c>
      <c r="U577">
        <f>SUM(L577:T577)</f>
        <v>101.17272996000001</v>
      </c>
      <c r="W577">
        <f>IF(SUM(H577:I577)&gt;0,SUM(H577:I577)/G577,0)</f>
        <v>9.75438596491228</v>
      </c>
      <c r="X577">
        <f>IF(G577&gt;0,U577/G577,0)</f>
        <v>141.9968139789474</v>
      </c>
    </row>
    <row r="578">
      <c r="C578" t="str">
        <v>Lantai 2</v>
      </c>
      <c r="D578" t="str">
        <v>B257-2</v>
      </c>
      <c r="G578">
        <f>SUMIFS($V$13:$V$429,$A$13:$A$429,$C578,$C$13:$C$429,$D578)</f>
        <v>1.5675</v>
      </c>
      <c r="H578">
        <f>SUMIFS($W$13:$W$429,$A$13:$A$429,$C578,$C$13:$C$429,$D578)</f>
        <v>15.29</v>
      </c>
      <c r="I578">
        <f>SUMIFS($X$13:$X$429,$A$13:$A$429,$C578,$C$13:$C$429,$D578)</f>
        <v>0</v>
      </c>
      <c r="J578">
        <f>SUMIFS($Y$13:$Y$429,$A$13:$A$429,$C578,$C$13:$C$429,$D578)</f>
        <v>0</v>
      </c>
      <c r="K578">
        <f>SUMIFS($Z$13:$Z$429,$A$13:$A$429,$C578,$C$13:$C$429,$D578)</f>
        <v>0</v>
      </c>
      <c r="L578">
        <f>SUMIFS(L$13:L$429,$A$13:$A$429,$C578,$C$13:$C$429,$D578)</f>
        <v>0</v>
      </c>
      <c r="M578">
        <f>SUMIFS(M$13:M$429,$A$13:$A$429,$C578,$C$13:$C$429,$D578)</f>
        <v>0</v>
      </c>
      <c r="N578">
        <f>SUMIFS(N$13:N$429,$A$13:$A$429,$C578,$C$13:$C$429,$D578)</f>
        <v>118.38033</v>
      </c>
      <c r="O578">
        <f>SUMIFS(O$13:O$429,$A$13:$A$429,$C578,$C$13:$C$429,$D578)</f>
        <v>0</v>
      </c>
      <c r="P578">
        <f>SUMIFS(P$13:P$429,$A$13:$A$429,$C578,$C$13:$C$429,$D578)</f>
        <v>0</v>
      </c>
      <c r="Q578">
        <f>SUMIFS(Q$13:Q$429,$A$13:$A$429,$C578,$C$13:$C$429,$D578)</f>
        <v>0</v>
      </c>
      <c r="R578">
        <f>SUMIFS(R$13:R$429,$A$13:$A$429,$C578,$C$13:$C$429,$D578)</f>
        <v>266.25579552</v>
      </c>
      <c r="S578">
        <f>SUMIFS(S$13:S$429,$A$13:$A$429,$C578,$C$13:$C$429,$D578)</f>
        <v>0</v>
      </c>
      <c r="T578">
        <f>SUMIFS(T$13:T$429,$A$13:$A$429,$C578,$C$13:$C$429,$D578)</f>
        <v>0</v>
      </c>
      <c r="U578">
        <f>SUM(L578:T578)</f>
        <v>384.63612552</v>
      </c>
      <c r="W578">
        <f>IF(SUM(H578:I578)&gt;0,SUM(H578:I578)/G578,0)</f>
        <v>9.75438596491228</v>
      </c>
      <c r="X578">
        <f>IF(G578&gt;0,U578/G578,0)</f>
        <v>245.38189825837324</v>
      </c>
    </row>
    <row r="579">
      <c r="C579" t="str">
        <v>Lantai 2</v>
      </c>
      <c r="D579" t="str">
        <v>B345-1</v>
      </c>
      <c r="G579">
        <f>SUMIFS($V$13:$V$429,$A$13:$A$429,$C579,$C$13:$C$429,$D579)</f>
        <v>0</v>
      </c>
      <c r="H579">
        <f>SUMIFS($W$13:$W$429,$A$13:$A$429,$C579,$C$13:$C$429,$D579)</f>
        <v>0</v>
      </c>
      <c r="I579">
        <f>SUMIFS($X$13:$X$429,$A$13:$A$429,$C579,$C$13:$C$429,$D579)</f>
        <v>0</v>
      </c>
      <c r="J579">
        <f>SUMIFS($Y$13:$Y$429,$A$13:$A$429,$C579,$C$13:$C$429,$D579)</f>
        <v>0</v>
      </c>
      <c r="K579">
        <f>SUMIFS($Z$13:$Z$429,$A$13:$A$429,$C579,$C$13:$C$429,$D579)</f>
        <v>0</v>
      </c>
      <c r="L579">
        <f>SUMIFS(L$13:L$429,$A$13:$A$429,$C579,$C$13:$C$429,$D579)</f>
        <v>0</v>
      </c>
      <c r="M579">
        <f>SUMIFS(M$13:M$429,$A$13:$A$429,$C579,$C$13:$C$429,$D579)</f>
        <v>0</v>
      </c>
      <c r="N579">
        <f>SUMIFS(N$13:N$429,$A$13:$A$429,$C579,$C$13:$C$429,$D579)</f>
        <v>0</v>
      </c>
      <c r="O579">
        <f>SUMIFS(O$13:O$429,$A$13:$A$429,$C579,$C$13:$C$429,$D579)</f>
        <v>0</v>
      </c>
      <c r="P579">
        <f>SUMIFS(P$13:P$429,$A$13:$A$429,$C579,$C$13:$C$429,$D579)</f>
        <v>0</v>
      </c>
      <c r="Q579">
        <f>SUMIFS(Q$13:Q$429,$A$13:$A$429,$C579,$C$13:$C$429,$D579)</f>
        <v>0</v>
      </c>
      <c r="R579">
        <f>SUMIFS(R$13:R$429,$A$13:$A$429,$C579,$C$13:$C$429,$D579)</f>
        <v>0</v>
      </c>
      <c r="S579">
        <f>SUMIFS(S$13:S$429,$A$13:$A$429,$C579,$C$13:$C$429,$D579)</f>
        <v>0</v>
      </c>
      <c r="T579">
        <f>SUMIFS(T$13:T$429,$A$13:$A$429,$C579,$C$13:$C$429,$D579)</f>
        <v>0</v>
      </c>
      <c r="U579">
        <f>SUM(L579:T579)</f>
        <v>0</v>
      </c>
      <c r="W579">
        <f>IF(SUM(H579:I579)&gt;0,SUM(H579:I579)/G579,0)</f>
        <v>0</v>
      </c>
      <c r="X579">
        <f>IF(G579&gt;0,U579/G579,0)</f>
        <v>0</v>
      </c>
    </row>
    <row r="580">
      <c r="C580" t="str">
        <v>Lantai 2</v>
      </c>
      <c r="D580" t="str">
        <v>B35-1</v>
      </c>
      <c r="G580">
        <f>SUMIFS($V$13:$V$429,$A$13:$A$429,$C580,$C$13:$C$429,$D580)</f>
        <v>0</v>
      </c>
      <c r="H580">
        <f>SUMIFS($W$13:$W$429,$A$13:$A$429,$C580,$C$13:$C$429,$D580)</f>
        <v>0</v>
      </c>
      <c r="I580">
        <f>SUMIFS($X$13:$X$429,$A$13:$A$429,$C580,$C$13:$C$429,$D580)</f>
        <v>0</v>
      </c>
      <c r="J580">
        <f>SUMIFS($Y$13:$Y$429,$A$13:$A$429,$C580,$C$13:$C$429,$D580)</f>
        <v>0</v>
      </c>
      <c r="K580">
        <f>SUMIFS($Z$13:$Z$429,$A$13:$A$429,$C580,$C$13:$C$429,$D580)</f>
        <v>0</v>
      </c>
      <c r="L580">
        <f>SUMIFS(L$13:L$429,$A$13:$A$429,$C580,$C$13:$C$429,$D580)</f>
        <v>0</v>
      </c>
      <c r="M580">
        <f>SUMIFS(M$13:M$429,$A$13:$A$429,$C580,$C$13:$C$429,$D580)</f>
        <v>0</v>
      </c>
      <c r="N580">
        <f>SUMIFS(N$13:N$429,$A$13:$A$429,$C580,$C$13:$C$429,$D580)</f>
        <v>0</v>
      </c>
      <c r="O580">
        <f>SUMIFS(O$13:O$429,$A$13:$A$429,$C580,$C$13:$C$429,$D580)</f>
        <v>0</v>
      </c>
      <c r="P580">
        <f>SUMIFS(P$13:P$429,$A$13:$A$429,$C580,$C$13:$C$429,$D580)</f>
        <v>0</v>
      </c>
      <c r="Q580">
        <f>SUMIFS(Q$13:Q$429,$A$13:$A$429,$C580,$C$13:$C$429,$D580)</f>
        <v>0</v>
      </c>
      <c r="R580">
        <f>SUMIFS(R$13:R$429,$A$13:$A$429,$C580,$C$13:$C$429,$D580)</f>
        <v>0</v>
      </c>
      <c r="S580">
        <f>SUMIFS(S$13:S$429,$A$13:$A$429,$C580,$C$13:$C$429,$D580)</f>
        <v>0</v>
      </c>
      <c r="T580">
        <f>SUMIFS(T$13:T$429,$A$13:$A$429,$C580,$C$13:$C$429,$D580)</f>
        <v>0</v>
      </c>
      <c r="U580">
        <f>SUM(L580:T580)</f>
        <v>0</v>
      </c>
      <c r="W580">
        <f>IF(SUM(H580:I580)&gt;0,SUM(H580:I580)/G580,0)</f>
        <v>0</v>
      </c>
      <c r="X580">
        <f>IF(G580&gt;0,U580/G580,0)</f>
        <v>0</v>
      </c>
    </row>
    <row r="581">
      <c r="C581" t="str">
        <v>Lantai 2</v>
      </c>
      <c r="D581" t="str">
        <v>B35-2</v>
      </c>
      <c r="G581">
        <f>SUMIFS($V$13:$V$429,$A$13:$A$429,$C581,$C$13:$C$429,$D581)</f>
        <v>0</v>
      </c>
      <c r="H581">
        <f>SUMIFS($W$13:$W$429,$A$13:$A$429,$C581,$C$13:$C$429,$D581)</f>
        <v>0</v>
      </c>
      <c r="I581">
        <f>SUMIFS($X$13:$X$429,$A$13:$A$429,$C581,$C$13:$C$429,$D581)</f>
        <v>0</v>
      </c>
      <c r="J581">
        <f>SUMIFS($Y$13:$Y$429,$A$13:$A$429,$C581,$C$13:$C$429,$D581)</f>
        <v>0</v>
      </c>
      <c r="K581">
        <f>SUMIFS($Z$13:$Z$429,$A$13:$A$429,$C581,$C$13:$C$429,$D581)</f>
        <v>0</v>
      </c>
      <c r="L581">
        <f>SUMIFS(L$13:L$429,$A$13:$A$429,$C581,$C$13:$C$429,$D581)</f>
        <v>0</v>
      </c>
      <c r="M581">
        <f>SUMIFS(M$13:M$429,$A$13:$A$429,$C581,$C$13:$C$429,$D581)</f>
        <v>0</v>
      </c>
      <c r="N581">
        <f>SUMIFS(N$13:N$429,$A$13:$A$429,$C581,$C$13:$C$429,$D581)</f>
        <v>0</v>
      </c>
      <c r="O581">
        <f>SUMIFS(O$13:O$429,$A$13:$A$429,$C581,$C$13:$C$429,$D581)</f>
        <v>0</v>
      </c>
      <c r="P581">
        <f>SUMIFS(P$13:P$429,$A$13:$A$429,$C581,$C$13:$C$429,$D581)</f>
        <v>0</v>
      </c>
      <c r="Q581">
        <f>SUMIFS(Q$13:Q$429,$A$13:$A$429,$C581,$C$13:$C$429,$D581)</f>
        <v>0</v>
      </c>
      <c r="R581">
        <f>SUMIFS(R$13:R$429,$A$13:$A$429,$C581,$C$13:$C$429,$D581)</f>
        <v>0</v>
      </c>
      <c r="S581">
        <f>SUMIFS(S$13:S$429,$A$13:$A$429,$C581,$C$13:$C$429,$D581)</f>
        <v>0</v>
      </c>
      <c r="T581">
        <f>SUMIFS(T$13:T$429,$A$13:$A$429,$C581,$C$13:$C$429,$D581)</f>
        <v>0</v>
      </c>
      <c r="U581">
        <f>SUM(L581:T581)</f>
        <v>0</v>
      </c>
      <c r="W581">
        <f>IF(SUM(H581:I581)&gt;0,SUM(H581:I581)/G581,0)</f>
        <v>0</v>
      </c>
      <c r="X581">
        <f>IF(G581&gt;0,U581/G581,0)</f>
        <v>0</v>
      </c>
    </row>
    <row r="582">
      <c r="C582" t="str">
        <v>Lantai 2</v>
      </c>
      <c r="D582" t="str">
        <v>B36-1</v>
      </c>
      <c r="G582">
        <f>SUMIFS($V$13:$V$429,$A$13:$A$429,$C582,$C$13:$C$429,$D582)</f>
        <v>1.3888500000000001</v>
      </c>
      <c r="H582">
        <f>SUMIFS($W$13:$W$429,$A$13:$A$429,$C582,$C$13:$C$429,$D582)</f>
        <v>12.213999999999999</v>
      </c>
      <c r="I582">
        <f>SUMIFS($X$13:$X$429,$A$13:$A$429,$C582,$C$13:$C$429,$D582)</f>
        <v>0</v>
      </c>
      <c r="J582">
        <f>SUMIFS($Y$13:$Y$429,$A$13:$A$429,$C582,$C$13:$C$429,$D582)</f>
        <v>0</v>
      </c>
      <c r="K582">
        <f>SUMIFS($Z$13:$Z$429,$A$13:$A$429,$C582,$C$13:$C$429,$D582)</f>
        <v>0</v>
      </c>
      <c r="L582">
        <f>SUMIFS(L$13:L$429,$A$13:$A$429,$C582,$C$13:$C$429,$D582)</f>
        <v>0</v>
      </c>
      <c r="M582">
        <f>SUMIFS(M$13:M$429,$A$13:$A$429,$C582,$C$13:$C$429,$D582)</f>
        <v>0</v>
      </c>
      <c r="N582">
        <f>SUMIFS(N$13:N$429,$A$13:$A$429,$C582,$C$13:$C$429,$D582)</f>
        <v>140.77777500000002</v>
      </c>
      <c r="O582">
        <f>SUMIFS(O$13:O$429,$A$13:$A$429,$C582,$C$13:$C$429,$D582)</f>
        <v>0</v>
      </c>
      <c r="P582">
        <f>SUMIFS(P$13:P$429,$A$13:$A$429,$C582,$C$13:$C$429,$D582)</f>
        <v>154.19246976</v>
      </c>
      <c r="Q582">
        <f>SUMIFS(Q$13:Q$429,$A$13:$A$429,$C582,$C$13:$C$429,$D582)</f>
        <v>0</v>
      </c>
      <c r="R582">
        <f>SUMIFS(R$13:R$429,$A$13:$A$429,$C582,$C$13:$C$429,$D582)</f>
        <v>0</v>
      </c>
      <c r="S582">
        <f>SUMIFS(S$13:S$429,$A$13:$A$429,$C582,$C$13:$C$429,$D582)</f>
        <v>0</v>
      </c>
      <c r="T582">
        <f>SUMIFS(T$13:T$429,$A$13:$A$429,$C582,$C$13:$C$429,$D582)</f>
        <v>0</v>
      </c>
      <c r="U582">
        <f>SUM(L582:T582)</f>
        <v>294.97024476</v>
      </c>
      <c r="W582">
        <f>IF(SUM(H582:I582)&gt;0,SUM(H582:I582)/G582,0)</f>
        <v>8.79432624113475</v>
      </c>
      <c r="X582">
        <f>IF(G582&gt;0,U582/G582,0)</f>
        <v>212.3845229938438</v>
      </c>
    </row>
    <row r="583">
      <c r="C583" t="str">
        <v>Lantai 2</v>
      </c>
      <c r="D583" t="str">
        <v>B36-2</v>
      </c>
      <c r="G583">
        <f>SUMIFS($V$13:$V$429,$A$13:$A$429,$C583,$C$13:$C$429,$D583)</f>
        <v>0.540735</v>
      </c>
      <c r="H583">
        <f>SUMIFS($W$13:$W$429,$A$13:$A$429,$C583,$C$13:$C$429,$D583)</f>
        <v>4.7554</v>
      </c>
      <c r="I583">
        <f>SUMIFS($X$13:$X$429,$A$13:$A$429,$C583,$C$13:$C$429,$D583)</f>
        <v>0</v>
      </c>
      <c r="J583">
        <f>SUMIFS($Y$13:$Y$429,$A$13:$A$429,$C583,$C$13:$C$429,$D583)</f>
        <v>0</v>
      </c>
      <c r="K583">
        <f>SUMIFS($Z$13:$Z$429,$A$13:$A$429,$C583,$C$13:$C$429,$D583)</f>
        <v>0</v>
      </c>
      <c r="L583">
        <f>SUMIFS(L$13:L$429,$A$13:$A$429,$C583,$C$13:$C$429,$D583)</f>
        <v>0</v>
      </c>
      <c r="M583">
        <f>SUMIFS(M$13:M$429,$A$13:$A$429,$C583,$C$13:$C$429,$D583)</f>
        <v>0</v>
      </c>
      <c r="N583">
        <f>SUMIFS(N$13:N$429,$A$13:$A$429,$C583,$C$13:$C$429,$D583)</f>
        <v>60.269040000000004</v>
      </c>
      <c r="O583">
        <f>SUMIFS(O$13:O$429,$A$13:$A$429,$C583,$C$13:$C$429,$D583)</f>
        <v>0</v>
      </c>
      <c r="P583">
        <f>SUMIFS(P$13:P$429,$A$13:$A$429,$C583,$C$13:$C$429,$D583)</f>
        <v>77.03310527999999</v>
      </c>
      <c r="Q583">
        <f>SUMIFS(Q$13:Q$429,$A$13:$A$429,$C583,$C$13:$C$429,$D583)</f>
        <v>0</v>
      </c>
      <c r="R583">
        <f>SUMIFS(R$13:R$429,$A$13:$A$429,$C583,$C$13:$C$429,$D583)</f>
        <v>0</v>
      </c>
      <c r="S583">
        <f>SUMIFS(S$13:S$429,$A$13:$A$429,$C583,$C$13:$C$429,$D583)</f>
        <v>0</v>
      </c>
      <c r="T583">
        <f>SUMIFS(T$13:T$429,$A$13:$A$429,$C583,$C$13:$C$429,$D583)</f>
        <v>0</v>
      </c>
      <c r="U583">
        <f>SUM(L583:T583)</f>
        <v>137.30214528</v>
      </c>
      <c r="W583">
        <f>IF(SUM(H583:I583)&gt;0,SUM(H583:I583)/G583,0)</f>
        <v>8.794326241134753</v>
      </c>
      <c r="X583">
        <f>IF(G583&gt;0,U583/G583,0)</f>
        <v>253.9176219035202</v>
      </c>
    </row>
    <row r="584">
      <c r="C584" t="str">
        <v>Lantai 2</v>
      </c>
      <c r="D584" t="str">
        <v>B36-3</v>
      </c>
      <c r="G584">
        <f>SUMIFS($V$13:$V$429,$A$13:$A$429,$C584,$C$13:$C$429,$D584)</f>
        <v>1.9880999999999998</v>
      </c>
      <c r="H584">
        <f>SUMIFS($W$13:$W$429,$A$13:$A$429,$C584,$C$13:$C$429,$D584)</f>
        <v>17.484</v>
      </c>
      <c r="I584">
        <f>SUMIFS($X$13:$X$429,$A$13:$A$429,$C584,$C$13:$C$429,$D584)</f>
        <v>0</v>
      </c>
      <c r="J584">
        <f>SUMIFS($Y$13:$Y$429,$A$13:$A$429,$C584,$C$13:$C$429,$D584)</f>
        <v>0</v>
      </c>
      <c r="K584">
        <f>SUMIFS($Z$13:$Z$429,$A$13:$A$429,$C584,$C$13:$C$429,$D584)</f>
        <v>0</v>
      </c>
      <c r="L584">
        <f>SUMIFS(L$13:L$429,$A$13:$A$429,$C584,$C$13:$C$429,$D584)</f>
        <v>0</v>
      </c>
      <c r="M584">
        <f>SUMIFS(M$13:M$429,$A$13:$A$429,$C584,$C$13:$C$429,$D584)</f>
        <v>0</v>
      </c>
      <c r="N584">
        <f>SUMIFS(N$13:N$429,$A$13:$A$429,$C584,$C$13:$C$429,$D584)</f>
        <v>170.13550500000002</v>
      </c>
      <c r="O584">
        <f>SUMIFS(O$13:O$429,$A$13:$A$429,$C584,$C$13:$C$429,$D584)</f>
        <v>0</v>
      </c>
      <c r="P584">
        <f>SUMIFS(P$13:P$429,$A$13:$A$429,$C584,$C$13:$C$429,$D584)</f>
        <v>0</v>
      </c>
      <c r="Q584">
        <f>SUMIFS(Q$13:Q$429,$A$13:$A$429,$C584,$C$13:$C$429,$D584)</f>
        <v>407.81920729499996</v>
      </c>
      <c r="R584">
        <f>SUMIFS(R$13:R$429,$A$13:$A$429,$C584,$C$13:$C$429,$D584)</f>
        <v>0</v>
      </c>
      <c r="S584">
        <f>SUMIFS(S$13:S$429,$A$13:$A$429,$C584,$C$13:$C$429,$D584)</f>
        <v>0</v>
      </c>
      <c r="T584">
        <f>SUMIFS(T$13:T$429,$A$13:$A$429,$C584,$C$13:$C$429,$D584)</f>
        <v>0</v>
      </c>
      <c r="U584">
        <f>SUM(L584:T584)</f>
        <v>577.954712295</v>
      </c>
      <c r="W584">
        <f>IF(SUM(H584:I584)&gt;0,SUM(H584:I584)/G584,0)</f>
        <v>8.794326241134753</v>
      </c>
      <c r="X584">
        <f>IF(G584&gt;0,U584/G584,0)</f>
        <v>290.7070631733817</v>
      </c>
    </row>
    <row r="585">
      <c r="C585" t="str">
        <v>Lantai 2</v>
      </c>
      <c r="D585" t="str">
        <v>B37-1</v>
      </c>
      <c r="G585">
        <f>SUMIFS($V$13:$V$429,$A$13:$A$429,$C585,$C$13:$C$429,$D585)</f>
        <v>0</v>
      </c>
      <c r="H585">
        <f>SUMIFS($W$13:$W$429,$A$13:$A$429,$C585,$C$13:$C$429,$D585)</f>
        <v>0</v>
      </c>
      <c r="I585">
        <f>SUMIFS($X$13:$X$429,$A$13:$A$429,$C585,$C$13:$C$429,$D585)</f>
        <v>0</v>
      </c>
      <c r="J585">
        <f>SUMIFS($Y$13:$Y$429,$A$13:$A$429,$C585,$C$13:$C$429,$D585)</f>
        <v>0</v>
      </c>
      <c r="K585">
        <f>SUMIFS($Z$13:$Z$429,$A$13:$A$429,$C585,$C$13:$C$429,$D585)</f>
        <v>0</v>
      </c>
      <c r="L585">
        <f>SUMIFS(L$13:L$429,$A$13:$A$429,$C585,$C$13:$C$429,$D585)</f>
        <v>0</v>
      </c>
      <c r="M585">
        <f>SUMIFS(M$13:M$429,$A$13:$A$429,$C585,$C$13:$C$429,$D585)</f>
        <v>0</v>
      </c>
      <c r="N585">
        <f>SUMIFS(N$13:N$429,$A$13:$A$429,$C585,$C$13:$C$429,$D585)</f>
        <v>0</v>
      </c>
      <c r="O585">
        <f>SUMIFS(O$13:O$429,$A$13:$A$429,$C585,$C$13:$C$429,$D585)</f>
        <v>0</v>
      </c>
      <c r="P585">
        <f>SUMIFS(P$13:P$429,$A$13:$A$429,$C585,$C$13:$C$429,$D585)</f>
        <v>0</v>
      </c>
      <c r="Q585">
        <f>SUMIFS(Q$13:Q$429,$A$13:$A$429,$C585,$C$13:$C$429,$D585)</f>
        <v>0</v>
      </c>
      <c r="R585">
        <f>SUMIFS(R$13:R$429,$A$13:$A$429,$C585,$C$13:$C$429,$D585)</f>
        <v>0</v>
      </c>
      <c r="S585">
        <f>SUMIFS(S$13:S$429,$A$13:$A$429,$C585,$C$13:$C$429,$D585)</f>
        <v>0</v>
      </c>
      <c r="T585">
        <f>SUMIFS(T$13:T$429,$A$13:$A$429,$C585,$C$13:$C$429,$D585)</f>
        <v>0</v>
      </c>
      <c r="U585">
        <f>SUM(L585:T585)</f>
        <v>0</v>
      </c>
      <c r="W585">
        <f>IF(SUM(H585:I585)&gt;0,SUM(H585:I585)/G585,0)</f>
        <v>0</v>
      </c>
      <c r="X585">
        <f>IF(G585&gt;0,U585/G585,0)</f>
        <v>0</v>
      </c>
    </row>
    <row r="586">
      <c r="C586" t="str">
        <v>Lantai 2</v>
      </c>
      <c r="D586" t="str">
        <v>B47-1</v>
      </c>
      <c r="G586">
        <f>SUMIFS($V$13:$V$429,$A$13:$A$429,$C586,$C$13:$C$429,$D586)</f>
        <v>1.368</v>
      </c>
      <c r="H586">
        <f>SUMIFS($W$13:$W$429,$A$13:$A$429,$C586,$C$13:$C$429,$D586)</f>
        <v>9.24</v>
      </c>
      <c r="I586">
        <f>SUMIFS($X$13:$X$429,$A$13:$A$429,$C586,$C$13:$C$429,$D586)</f>
        <v>0</v>
      </c>
      <c r="J586">
        <f>SUMIFS($Y$13:$Y$429,$A$13:$A$429,$C586,$C$13:$C$429,$D586)</f>
        <v>0</v>
      </c>
      <c r="K586">
        <f>SUMIFS($Z$13:$Z$429,$A$13:$A$429,$C586,$C$13:$C$429,$D586)</f>
        <v>0</v>
      </c>
      <c r="L586">
        <f>SUMIFS(L$13:L$429,$A$13:$A$429,$C586,$C$13:$C$429,$D586)</f>
        <v>0</v>
      </c>
      <c r="M586">
        <f>SUMIFS(M$13:M$429,$A$13:$A$429,$C586,$C$13:$C$429,$D586)</f>
        <v>0</v>
      </c>
      <c r="N586">
        <f>SUMIFS(N$13:N$429,$A$13:$A$429,$C586,$C$13:$C$429,$D586)</f>
        <v>7.693920000000001</v>
      </c>
      <c r="O586">
        <f>SUMIFS(O$13:O$429,$A$13:$A$429,$C586,$C$13:$C$429,$D586)</f>
        <v>120.91283801999998</v>
      </c>
      <c r="P586">
        <f>SUMIFS(P$13:P$429,$A$13:$A$429,$C586,$C$13:$C$429,$D586)</f>
        <v>143.44307712</v>
      </c>
      <c r="Q586">
        <f>SUMIFS(Q$13:Q$429,$A$13:$A$429,$C586,$C$13:$C$429,$D586)</f>
        <v>0</v>
      </c>
      <c r="R586">
        <f>SUMIFS(R$13:R$429,$A$13:$A$429,$C586,$C$13:$C$429,$D586)</f>
        <v>0</v>
      </c>
      <c r="S586">
        <f>SUMIFS(S$13:S$429,$A$13:$A$429,$C586,$C$13:$C$429,$D586)</f>
        <v>0</v>
      </c>
      <c r="T586">
        <f>SUMIFS(T$13:T$429,$A$13:$A$429,$C586,$C$13:$C$429,$D586)</f>
        <v>0</v>
      </c>
      <c r="U586">
        <f>SUM(L586:T586)</f>
        <v>272.04983513999997</v>
      </c>
      <c r="W586">
        <f>IF(SUM(H586:I586)&gt;0,SUM(H586:I586)/G586,0)</f>
        <v>6.75438596491228</v>
      </c>
      <c r="X586">
        <f>IF(G586&gt;0,U586/G586,0)</f>
        <v>198.86683855263155</v>
      </c>
    </row>
    <row r="587">
      <c r="C587" t="str">
        <v>Lantai 2</v>
      </c>
      <c r="D587" t="str">
        <v>B475-1</v>
      </c>
      <c r="G587">
        <f>SUMIFS($V$13:$V$429,$A$13:$A$429,$C587,$C$13:$C$429,$D587)</f>
        <v>1.736</v>
      </c>
      <c r="H587">
        <f>SUMIFS($W$13:$W$429,$A$13:$A$429,$C587,$C$13:$C$429,$D587)</f>
        <v>11.48</v>
      </c>
      <c r="I587">
        <f>SUMIFS($X$13:$X$429,$A$13:$A$429,$C587,$C$13:$C$429,$D587)</f>
        <v>0</v>
      </c>
      <c r="J587">
        <f>SUMIFS($Y$13:$Y$429,$A$13:$A$429,$C587,$C$13:$C$429,$D587)</f>
        <v>0</v>
      </c>
      <c r="K587">
        <f>SUMIFS($Z$13:$Z$429,$A$13:$A$429,$C587,$C$13:$C$429,$D587)</f>
        <v>0</v>
      </c>
      <c r="L587">
        <f>SUMIFS(L$13:L$429,$A$13:$A$429,$C587,$C$13:$C$429,$D587)</f>
        <v>0</v>
      </c>
      <c r="M587">
        <f>SUMIFS(M$13:M$429,$A$13:$A$429,$C587,$C$13:$C$429,$D587)</f>
        <v>0</v>
      </c>
      <c r="N587">
        <f>SUMIFS(N$13:N$429,$A$13:$A$429,$C587,$C$13:$C$429,$D587)</f>
        <v>17.85384</v>
      </c>
      <c r="O587">
        <f>SUMIFS(O$13:O$429,$A$13:$A$429,$C587,$C$13:$C$429,$D587)</f>
        <v>146.88077976</v>
      </c>
      <c r="P587">
        <f>SUMIFS(P$13:P$429,$A$13:$A$429,$C587,$C$13:$C$429,$D587)</f>
        <v>128.19096576</v>
      </c>
      <c r="Q587">
        <f>SUMIFS(Q$13:Q$429,$A$13:$A$429,$C587,$C$13:$C$429,$D587)</f>
        <v>0</v>
      </c>
      <c r="R587">
        <f>SUMIFS(R$13:R$429,$A$13:$A$429,$C587,$C$13:$C$429,$D587)</f>
        <v>0</v>
      </c>
      <c r="S587">
        <f>SUMIFS(S$13:S$429,$A$13:$A$429,$C587,$C$13:$C$429,$D587)</f>
        <v>0</v>
      </c>
      <c r="T587">
        <f>SUMIFS(T$13:T$429,$A$13:$A$429,$C587,$C$13:$C$429,$D587)</f>
        <v>0</v>
      </c>
      <c r="U587">
        <f>SUM(L587:T587)</f>
        <v>292.92558552</v>
      </c>
      <c r="W587">
        <f>IF(SUM(H587:I587)&gt;0,SUM(H587:I587)/G587,0)</f>
        <v>6.612903225806452</v>
      </c>
      <c r="X587">
        <f>IF(G587&gt;0,U587/G587,0)</f>
        <v>168.735936359447</v>
      </c>
    </row>
    <row r="588">
      <c r="C588" t="str">
        <v>Lantai 2</v>
      </c>
      <c r="D588" t="str">
        <v>B57-1</v>
      </c>
      <c r="G588">
        <f>SUMIFS($V$13:$V$429,$A$13:$A$429,$C588,$C$13:$C$429,$D588)</f>
        <v>0</v>
      </c>
      <c r="H588">
        <f>SUMIFS($W$13:$W$429,$A$13:$A$429,$C588,$C$13:$C$429,$D588)</f>
        <v>0</v>
      </c>
      <c r="I588">
        <f>SUMIFS($X$13:$X$429,$A$13:$A$429,$C588,$C$13:$C$429,$D588)</f>
        <v>0</v>
      </c>
      <c r="J588">
        <f>SUMIFS($Y$13:$Y$429,$A$13:$A$429,$C588,$C$13:$C$429,$D588)</f>
        <v>0</v>
      </c>
      <c r="K588">
        <f>SUMIFS($Z$13:$Z$429,$A$13:$A$429,$C588,$C$13:$C$429,$D588)</f>
        <v>0</v>
      </c>
      <c r="L588">
        <f>SUMIFS(L$13:L$429,$A$13:$A$429,$C588,$C$13:$C$429,$D588)</f>
        <v>0</v>
      </c>
      <c r="M588">
        <f>SUMIFS(M$13:M$429,$A$13:$A$429,$C588,$C$13:$C$429,$D588)</f>
        <v>0</v>
      </c>
      <c r="N588">
        <f>SUMIFS(N$13:N$429,$A$13:$A$429,$C588,$C$13:$C$429,$D588)</f>
        <v>0</v>
      </c>
      <c r="O588">
        <f>SUMIFS(O$13:O$429,$A$13:$A$429,$C588,$C$13:$C$429,$D588)</f>
        <v>0</v>
      </c>
      <c r="P588">
        <f>SUMIFS(P$13:P$429,$A$13:$A$429,$C588,$C$13:$C$429,$D588)</f>
        <v>0</v>
      </c>
      <c r="Q588">
        <f>SUMIFS(Q$13:Q$429,$A$13:$A$429,$C588,$C$13:$C$429,$D588)</f>
        <v>0</v>
      </c>
      <c r="R588">
        <f>SUMIFS(R$13:R$429,$A$13:$A$429,$C588,$C$13:$C$429,$D588)</f>
        <v>0</v>
      </c>
      <c r="S588">
        <f>SUMIFS(S$13:S$429,$A$13:$A$429,$C588,$C$13:$C$429,$D588)</f>
        <v>0</v>
      </c>
      <c r="T588">
        <f>SUMIFS(T$13:T$429,$A$13:$A$429,$C588,$C$13:$C$429,$D588)</f>
        <v>0</v>
      </c>
      <c r="U588">
        <f>SUM(L588:T588)</f>
        <v>0</v>
      </c>
      <c r="W588">
        <f>IF(SUM(H588:I588)&gt;0,SUM(H588:I588)/G588,0)</f>
        <v>0</v>
      </c>
      <c r="X588">
        <f>IF(G588&gt;0,U588/G588,0)</f>
        <v>0</v>
      </c>
    </row>
    <row r="589">
      <c r="C589" t="str">
        <v>Lantai 2</v>
      </c>
      <c r="D589" t="str">
        <v>B57-4</v>
      </c>
      <c r="G589">
        <f>SUMIFS($V$13:$V$429,$A$13:$A$429,$C589,$C$13:$C$429,$D589)</f>
        <v>0</v>
      </c>
      <c r="H589">
        <f>SUMIFS($W$13:$W$429,$A$13:$A$429,$C589,$C$13:$C$429,$D589)</f>
        <v>0</v>
      </c>
      <c r="I589">
        <f>SUMIFS($X$13:$X$429,$A$13:$A$429,$C589,$C$13:$C$429,$D589)</f>
        <v>0</v>
      </c>
      <c r="J589">
        <f>SUMIFS($Y$13:$Y$429,$A$13:$A$429,$C589,$C$13:$C$429,$D589)</f>
        <v>0</v>
      </c>
      <c r="K589">
        <f>SUMIFS($Z$13:$Z$429,$A$13:$A$429,$C589,$C$13:$C$429,$D589)</f>
        <v>0</v>
      </c>
      <c r="L589">
        <f>SUMIFS(L$13:L$429,$A$13:$A$429,$C589,$C$13:$C$429,$D589)</f>
        <v>0</v>
      </c>
      <c r="M589">
        <f>SUMIFS(M$13:M$429,$A$13:$A$429,$C589,$C$13:$C$429,$D589)</f>
        <v>0</v>
      </c>
      <c r="N589">
        <f>SUMIFS(N$13:N$429,$A$13:$A$429,$C589,$C$13:$C$429,$D589)</f>
        <v>0</v>
      </c>
      <c r="O589">
        <f>SUMIFS(O$13:O$429,$A$13:$A$429,$C589,$C$13:$C$429,$D589)</f>
        <v>0</v>
      </c>
      <c r="P589">
        <f>SUMIFS(P$13:P$429,$A$13:$A$429,$C589,$C$13:$C$429,$D589)</f>
        <v>0</v>
      </c>
      <c r="Q589">
        <f>SUMIFS(Q$13:Q$429,$A$13:$A$429,$C589,$C$13:$C$429,$D589)</f>
        <v>0</v>
      </c>
      <c r="R589">
        <f>SUMIFS(R$13:R$429,$A$13:$A$429,$C589,$C$13:$C$429,$D589)</f>
        <v>0</v>
      </c>
      <c r="S589">
        <f>SUMIFS(S$13:S$429,$A$13:$A$429,$C589,$C$13:$C$429,$D589)</f>
        <v>0</v>
      </c>
      <c r="T589">
        <f>SUMIFS(T$13:T$429,$A$13:$A$429,$C589,$C$13:$C$429,$D589)</f>
        <v>0</v>
      </c>
      <c r="U589">
        <f>SUM(L589:T589)</f>
        <v>0</v>
      </c>
      <c r="W589">
        <f>IF(SUM(H589:I589)&gt;0,SUM(H589:I589)/G589,0)</f>
        <v>0</v>
      </c>
      <c r="X589">
        <f>IF(G589&gt;0,U589/G589,0)</f>
        <v>0</v>
      </c>
    </row>
    <row r="590">
      <c r="C590" t="str">
        <v>Lantai 2</v>
      </c>
      <c r="D590" t="str">
        <v>B67-1</v>
      </c>
      <c r="G590">
        <f>SUMIFS($V$13:$V$429,$A$13:$A$429,$C590,$C$13:$C$429,$D590)</f>
        <v>0</v>
      </c>
      <c r="H590">
        <f>SUMIFS($W$13:$W$429,$A$13:$A$429,$C590,$C$13:$C$429,$D590)</f>
        <v>0</v>
      </c>
      <c r="I590">
        <f>SUMIFS($X$13:$X$429,$A$13:$A$429,$C590,$C$13:$C$429,$D590)</f>
        <v>0</v>
      </c>
      <c r="J590">
        <f>SUMIFS($Y$13:$Y$429,$A$13:$A$429,$C590,$C$13:$C$429,$D590)</f>
        <v>0</v>
      </c>
      <c r="K590">
        <f>SUMIFS($Z$13:$Z$429,$A$13:$A$429,$C590,$C$13:$C$429,$D590)</f>
        <v>0</v>
      </c>
      <c r="L590">
        <f>SUMIFS(L$13:L$429,$A$13:$A$429,$C590,$C$13:$C$429,$D590)</f>
        <v>0</v>
      </c>
      <c r="M590">
        <f>SUMIFS(M$13:M$429,$A$13:$A$429,$C590,$C$13:$C$429,$D590)</f>
        <v>0</v>
      </c>
      <c r="N590">
        <f>SUMIFS(N$13:N$429,$A$13:$A$429,$C590,$C$13:$C$429,$D590)</f>
        <v>0</v>
      </c>
      <c r="O590">
        <f>SUMIFS(O$13:O$429,$A$13:$A$429,$C590,$C$13:$C$429,$D590)</f>
        <v>0</v>
      </c>
      <c r="P590">
        <f>SUMIFS(P$13:P$429,$A$13:$A$429,$C590,$C$13:$C$429,$D590)</f>
        <v>0</v>
      </c>
      <c r="Q590">
        <f>SUMIFS(Q$13:Q$429,$A$13:$A$429,$C590,$C$13:$C$429,$D590)</f>
        <v>0</v>
      </c>
      <c r="R590">
        <f>SUMIFS(R$13:R$429,$A$13:$A$429,$C590,$C$13:$C$429,$D590)</f>
        <v>0</v>
      </c>
      <c r="S590">
        <f>SUMIFS(S$13:S$429,$A$13:$A$429,$C590,$C$13:$C$429,$D590)</f>
        <v>0</v>
      </c>
      <c r="T590">
        <f>SUMIFS(T$13:T$429,$A$13:$A$429,$C590,$C$13:$C$429,$D590)</f>
        <v>0</v>
      </c>
      <c r="U590">
        <f>SUM(L590:T590)</f>
        <v>0</v>
      </c>
      <c r="W590">
        <f>IF(SUM(H590:I590)&gt;0,SUM(H590:I590)/G590,0)</f>
        <v>0</v>
      </c>
      <c r="X590">
        <f>IF(G590&gt;0,U590/G590,0)</f>
        <v>0</v>
      </c>
    </row>
    <row r="591">
      <c r="C591" t="str">
        <v>Lantai 2</v>
      </c>
      <c r="D591" t="str">
        <v>CL68-1</v>
      </c>
      <c r="G591">
        <f>SUMIFS($V$13:$V$429,$A$13:$A$429,$C591,$C$13:$C$429,$D591)</f>
        <v>0</v>
      </c>
      <c r="H591">
        <f>SUMIFS($W$13:$W$429,$A$13:$A$429,$C591,$C$13:$C$429,$D591)</f>
        <v>0</v>
      </c>
      <c r="I591">
        <f>SUMIFS($X$13:$X$429,$A$13:$A$429,$C591,$C$13:$C$429,$D591)</f>
        <v>0</v>
      </c>
      <c r="J591">
        <f>SUMIFS($Y$13:$Y$429,$A$13:$A$429,$C591,$C$13:$C$429,$D591)</f>
        <v>0</v>
      </c>
      <c r="K591">
        <f>SUMIFS($Z$13:$Z$429,$A$13:$A$429,$C591,$C$13:$C$429,$D591)</f>
        <v>0</v>
      </c>
      <c r="L591">
        <f>SUMIFS(L$13:L$429,$A$13:$A$429,$C591,$C$13:$C$429,$D591)</f>
        <v>0</v>
      </c>
      <c r="M591">
        <f>SUMIFS(M$13:M$429,$A$13:$A$429,$C591,$C$13:$C$429,$D591)</f>
        <v>0</v>
      </c>
      <c r="N591">
        <f>SUMIFS(N$13:N$429,$A$13:$A$429,$C591,$C$13:$C$429,$D591)</f>
        <v>0</v>
      </c>
      <c r="O591">
        <f>SUMIFS(O$13:O$429,$A$13:$A$429,$C591,$C$13:$C$429,$D591)</f>
        <v>0</v>
      </c>
      <c r="P591">
        <f>SUMIFS(P$13:P$429,$A$13:$A$429,$C591,$C$13:$C$429,$D591)</f>
        <v>0</v>
      </c>
      <c r="Q591">
        <f>SUMIFS(Q$13:Q$429,$A$13:$A$429,$C591,$C$13:$C$429,$D591)</f>
        <v>0</v>
      </c>
      <c r="R591">
        <f>SUMIFS(R$13:R$429,$A$13:$A$429,$C591,$C$13:$C$429,$D591)</f>
        <v>0</v>
      </c>
      <c r="S591">
        <f>SUMIFS(S$13:S$429,$A$13:$A$429,$C591,$C$13:$C$429,$D591)</f>
        <v>0</v>
      </c>
      <c r="T591">
        <f>SUMIFS(T$13:T$429,$A$13:$A$429,$C591,$C$13:$C$429,$D591)</f>
        <v>0</v>
      </c>
      <c r="U591">
        <f>SUM(L591:T591)</f>
        <v>0</v>
      </c>
      <c r="W591">
        <f>IF(SUM(H591:I591)&gt;0,SUM(H591:I591)/G591,0)</f>
        <v>0</v>
      </c>
      <c r="X591">
        <f>IF(G591&gt;0,U591/G591,0)</f>
        <v>0</v>
      </c>
    </row>
    <row r="592">
      <c r="C592" t="str">
        <v>Lantai 2</v>
      </c>
      <c r="D592" t="str">
        <v>B77-1</v>
      </c>
      <c r="G592">
        <f>SUMIFS($V$13:$V$429,$A$13:$A$429,$C592,$C$13:$C$429,$D592)</f>
        <v>0</v>
      </c>
      <c r="H592">
        <f>SUMIFS($W$13:$W$429,$A$13:$A$429,$C592,$C$13:$C$429,$D592)</f>
        <v>0</v>
      </c>
      <c r="I592">
        <f>SUMIFS($X$13:$X$429,$A$13:$A$429,$C592,$C$13:$C$429,$D592)</f>
        <v>0</v>
      </c>
      <c r="J592">
        <f>SUMIFS($Y$13:$Y$429,$A$13:$A$429,$C592,$C$13:$C$429,$D592)</f>
        <v>0</v>
      </c>
      <c r="K592">
        <f>SUMIFS($Z$13:$Z$429,$A$13:$A$429,$C592,$C$13:$C$429,$D592)</f>
        <v>0</v>
      </c>
      <c r="L592">
        <f>SUMIFS(L$13:L$429,$A$13:$A$429,$C592,$C$13:$C$429,$D592)</f>
        <v>0</v>
      </c>
      <c r="M592">
        <f>SUMIFS(M$13:M$429,$A$13:$A$429,$C592,$C$13:$C$429,$D592)</f>
        <v>0</v>
      </c>
      <c r="N592">
        <f>SUMIFS(N$13:N$429,$A$13:$A$429,$C592,$C$13:$C$429,$D592)</f>
        <v>0</v>
      </c>
      <c r="O592">
        <f>SUMIFS(O$13:O$429,$A$13:$A$429,$C592,$C$13:$C$429,$D592)</f>
        <v>0</v>
      </c>
      <c r="P592">
        <f>SUMIFS(P$13:P$429,$A$13:$A$429,$C592,$C$13:$C$429,$D592)</f>
        <v>0</v>
      </c>
      <c r="Q592">
        <f>SUMIFS(Q$13:Q$429,$A$13:$A$429,$C592,$C$13:$C$429,$D592)</f>
        <v>0</v>
      </c>
      <c r="R592">
        <f>SUMIFS(R$13:R$429,$A$13:$A$429,$C592,$C$13:$C$429,$D592)</f>
        <v>0</v>
      </c>
      <c r="S592">
        <f>SUMIFS(S$13:S$429,$A$13:$A$429,$C592,$C$13:$C$429,$D592)</f>
        <v>0</v>
      </c>
      <c r="T592">
        <f>SUMIFS(T$13:T$429,$A$13:$A$429,$C592,$C$13:$C$429,$D592)</f>
        <v>0</v>
      </c>
      <c r="U592">
        <f>SUM(L592:T592)</f>
        <v>0</v>
      </c>
      <c r="W592">
        <f>IF(SUM(H592:I592)&gt;0,SUM(H592:I592)/G592,0)</f>
        <v>0</v>
      </c>
      <c r="X592">
        <f>IF(G592&gt;0,U592/G592,0)</f>
        <v>0</v>
      </c>
    </row>
    <row r="593">
      <c r="C593" t="str">
        <v>Lantai 2</v>
      </c>
      <c r="D593" t="str">
        <v>B78-1</v>
      </c>
      <c r="G593">
        <f>SUMIFS($V$13:$V$429,$A$13:$A$429,$C593,$C$13:$C$429,$D593)</f>
        <v>4.1272</v>
      </c>
      <c r="H593">
        <f>SUMIFS($W$13:$W$429,$A$13:$A$429,$C593,$C$13:$C$429,$D593)</f>
        <v>17.952</v>
      </c>
      <c r="I593">
        <f>SUMIFS($X$13:$X$429,$A$13:$A$429,$C593,$C$13:$C$429,$D593)</f>
        <v>0</v>
      </c>
      <c r="J593">
        <f>SUMIFS($Y$13:$Y$429,$A$13:$A$429,$C593,$C$13:$C$429,$D593)</f>
        <v>0</v>
      </c>
      <c r="K593">
        <f>SUMIFS($Z$13:$Z$429,$A$13:$A$429,$C593,$C$13:$C$429,$D593)</f>
        <v>0</v>
      </c>
      <c r="L593">
        <f>SUMIFS(L$13:L$429,$A$13:$A$429,$C593,$C$13:$C$429,$D593)</f>
        <v>0</v>
      </c>
      <c r="M593">
        <f>SUMIFS(M$13:M$429,$A$13:$A$429,$C593,$C$13:$C$429,$D593)</f>
        <v>0</v>
      </c>
      <c r="N593">
        <f>SUMIFS(N$13:N$429,$A$13:$A$429,$C593,$C$13:$C$429,$D593)</f>
        <v>22.292640000000006</v>
      </c>
      <c r="O593">
        <f>SUMIFS(O$13:O$429,$A$13:$A$429,$C593,$C$13:$C$429,$D593)</f>
        <v>269.11472796000004</v>
      </c>
      <c r="P593">
        <f>SUMIFS(P$13:P$429,$A$13:$A$429,$C593,$C$13:$C$429,$D593)</f>
        <v>0</v>
      </c>
      <c r="Q593">
        <f>SUMIFS(Q$13:Q$429,$A$13:$A$429,$C593,$C$13:$C$429,$D593)</f>
        <v>0</v>
      </c>
      <c r="R593">
        <f>SUMIFS(R$13:R$429,$A$13:$A$429,$C593,$C$13:$C$429,$D593)</f>
        <v>356.1893359200001</v>
      </c>
      <c r="S593">
        <f>SUMIFS(S$13:S$429,$A$13:$A$429,$C593,$C$13:$C$429,$D593)</f>
        <v>0</v>
      </c>
      <c r="T593">
        <f>SUMIFS(T$13:T$429,$A$13:$A$429,$C593,$C$13:$C$429,$D593)</f>
        <v>0</v>
      </c>
      <c r="U593">
        <f>SUM(L593:T593)</f>
        <v>647.5967038800002</v>
      </c>
      <c r="W593">
        <f>IF(SUM(H593:I593)&gt;0,SUM(H593:I593)/G593,0)</f>
        <v>4.349680170575693</v>
      </c>
      <c r="X593">
        <f>IF(G593&gt;0,U593/G593,0)</f>
        <v>156.90945529172325</v>
      </c>
    </row>
    <row r="594">
      <c r="C594" t="str">
        <v>Lantai 2</v>
      </c>
      <c r="D594" t="str">
        <v>B1745-1</v>
      </c>
      <c r="G594">
        <f>SUMIFS($V$13:$V$429,$A$13:$A$429,$C594,$C$13:$C$429,$D594)</f>
        <v>0.60163</v>
      </c>
      <c r="H594">
        <f>SUMIFS($W$13:$W$429,$A$13:$A$429,$C594,$C$13:$C$429,$D594)</f>
        <v>8.523</v>
      </c>
      <c r="I594">
        <f>SUMIFS($X$13:$X$429,$A$13:$A$429,$C594,$C$13:$C$429,$D594)</f>
        <v>0</v>
      </c>
      <c r="J594">
        <f>SUMIFS($Y$13:$Y$429,$A$13:$A$429,$C594,$C$13:$C$429,$D594)</f>
        <v>0</v>
      </c>
      <c r="K594">
        <f>SUMIFS($Z$13:$Z$429,$A$13:$A$429,$C594,$C$13:$C$429,$D594)</f>
        <v>0</v>
      </c>
      <c r="L594">
        <f>SUMIFS(L$13:L$429,$A$13:$A$429,$C594,$C$13:$C$429,$D594)</f>
        <v>0</v>
      </c>
      <c r="M594">
        <f>SUMIFS(M$13:M$429,$A$13:$A$429,$C594,$C$13:$C$429,$D594)</f>
        <v>57.40137792</v>
      </c>
      <c r="N594">
        <f>SUMIFS(N$13:N$429,$A$13:$A$429,$C594,$C$13:$C$429,$D594)</f>
        <v>0</v>
      </c>
      <c r="O594">
        <f>SUMIFS(O$13:O$429,$A$13:$A$429,$C594,$C$13:$C$429,$D594)</f>
        <v>39.32490744</v>
      </c>
      <c r="P594">
        <f>SUMIFS(P$13:P$429,$A$13:$A$429,$C594,$C$13:$C$429,$D594)</f>
        <v>0</v>
      </c>
      <c r="Q594">
        <f>SUMIFS(Q$13:Q$429,$A$13:$A$429,$C594,$C$13:$C$429,$D594)</f>
        <v>0</v>
      </c>
      <c r="R594">
        <f>SUMIFS(R$13:R$429,$A$13:$A$429,$C594,$C$13:$C$429,$D594)</f>
        <v>0</v>
      </c>
      <c r="S594">
        <f>SUMIFS(S$13:S$429,$A$13:$A$429,$C594,$C$13:$C$429,$D594)</f>
        <v>0</v>
      </c>
      <c r="T594">
        <f>SUMIFS(T$13:T$429,$A$13:$A$429,$C594,$C$13:$C$429,$D594)</f>
        <v>0</v>
      </c>
      <c r="U594">
        <f>SUM(L594:T594)</f>
        <v>96.72628535999999</v>
      </c>
      <c r="W594">
        <f>IF(SUM(H594:I594)&gt;0,SUM(H594:I594)/G594,0)</f>
        <v>14.166514302810697</v>
      </c>
      <c r="X594">
        <f>IF(G594&gt;0,U594/G594,0)</f>
        <v>160.77370702923722</v>
      </c>
    </row>
    <row r="595">
      <c r="C595" t="str">
        <v>Lantai 2</v>
      </c>
      <c r="D595" t="str">
        <v>B26-6</v>
      </c>
      <c r="G595">
        <f>SUMIFS($V$13:$V$429,$A$13:$A$429,$C595,$C$13:$C$429,$D595)</f>
        <v>0.5760000000000001</v>
      </c>
      <c r="H595">
        <f>SUMIFS($W$13:$W$429,$A$13:$A$429,$C595,$C$13:$C$429,$D595)</f>
        <v>7.04</v>
      </c>
      <c r="I595">
        <f>SUMIFS($X$13:$X$429,$A$13:$A$429,$C595,$C$13:$C$429,$D595)</f>
        <v>0</v>
      </c>
      <c r="J595">
        <f>SUMIFS($Y$13:$Y$429,$A$13:$A$429,$C595,$C$13:$C$429,$D595)</f>
        <v>0</v>
      </c>
      <c r="K595">
        <f>SUMIFS($Z$13:$Z$429,$A$13:$A$429,$C595,$C$13:$C$429,$D595)</f>
        <v>0</v>
      </c>
      <c r="L595">
        <f>SUMIFS(L$13:L$429,$A$13:$A$429,$C595,$C$13:$C$429,$D595)</f>
        <v>0</v>
      </c>
      <c r="M595">
        <f>SUMIFS(M$13:M$429,$A$13:$A$429,$C595,$C$13:$C$429,$D595)</f>
        <v>0</v>
      </c>
      <c r="N595">
        <f>SUMIFS(N$13:N$429,$A$13:$A$429,$C595,$C$13:$C$429,$D595)</f>
        <v>62.260335000000005</v>
      </c>
      <c r="O595">
        <f>SUMIFS(O$13:O$429,$A$13:$A$429,$C595,$C$13:$C$429,$D595)</f>
        <v>0</v>
      </c>
      <c r="P595">
        <f>SUMIFS(P$13:P$429,$A$13:$A$429,$C595,$C$13:$C$429,$D595)</f>
        <v>45.25129728</v>
      </c>
      <c r="Q595">
        <f>SUMIFS(Q$13:Q$429,$A$13:$A$429,$C595,$C$13:$C$429,$D595)</f>
        <v>0</v>
      </c>
      <c r="R595">
        <f>SUMIFS(R$13:R$429,$A$13:$A$429,$C595,$C$13:$C$429,$D595)</f>
        <v>0</v>
      </c>
      <c r="S595">
        <f>SUMIFS(S$13:S$429,$A$13:$A$429,$C595,$C$13:$C$429,$D595)</f>
        <v>0</v>
      </c>
      <c r="T595">
        <f>SUMIFS(T$13:T$429,$A$13:$A$429,$C595,$C$13:$C$429,$D595)</f>
        <v>0</v>
      </c>
      <c r="U595">
        <f>SUM(L595:T595)</f>
        <v>107.51163228000001</v>
      </c>
      <c r="W595">
        <f>IF(SUM(H595:I595)&gt;0,SUM(H595:I595)/G595,0)</f>
        <v>12.222222222222221</v>
      </c>
      <c r="X595">
        <f>IF(G595&gt;0,U595/G595,0)</f>
        <v>186.652139375</v>
      </c>
    </row>
    <row r="596">
      <c r="C596" t="str">
        <v>Lantai 2</v>
      </c>
      <c r="D596" t="str">
        <v>Potongan A</v>
      </c>
      <c r="G596">
        <f>SUMIFS($V$13:$V$429,$A$13:$A$429,$C596,$C$13:$C$429,$D596)</f>
        <v>0</v>
      </c>
      <c r="H596">
        <f>SUMIFS($W$13:$W$429,$A$13:$A$429,$C596,$C$13:$C$429,$D596)</f>
        <v>0</v>
      </c>
      <c r="I596">
        <f>SUMIFS($X$13:$X$429,$A$13:$A$429,$C596,$C$13:$C$429,$D596)</f>
        <v>0</v>
      </c>
      <c r="J596">
        <f>SUMIFS($Y$13:$Y$429,$A$13:$A$429,$C596,$C$13:$C$429,$D596)</f>
        <v>0</v>
      </c>
      <c r="K596">
        <f>SUMIFS($Z$13:$Z$429,$A$13:$A$429,$C596,$C$13:$C$429,$D596)</f>
        <v>0</v>
      </c>
      <c r="L596">
        <f>SUMIFS(L$13:L$429,$A$13:$A$429,$C596,$C$13:$C$429,$D596)</f>
        <v>0</v>
      </c>
      <c r="M596">
        <f>SUMIFS(M$13:M$429,$A$13:$A$429,$C596,$C$13:$C$429,$D596)</f>
        <v>0</v>
      </c>
      <c r="N596">
        <f>SUMIFS(N$13:N$429,$A$13:$A$429,$C596,$C$13:$C$429,$D596)</f>
        <v>0</v>
      </c>
      <c r="O596">
        <f>SUMIFS(O$13:O$429,$A$13:$A$429,$C596,$C$13:$C$429,$D596)</f>
        <v>0</v>
      </c>
      <c r="P596">
        <f>SUMIFS(P$13:P$429,$A$13:$A$429,$C596,$C$13:$C$429,$D596)</f>
        <v>0</v>
      </c>
      <c r="Q596">
        <f>SUMIFS(Q$13:Q$429,$A$13:$A$429,$C596,$C$13:$C$429,$D596)</f>
        <v>0</v>
      </c>
      <c r="R596">
        <f>SUMIFS(R$13:R$429,$A$13:$A$429,$C596,$C$13:$C$429,$D596)</f>
        <v>0</v>
      </c>
      <c r="S596">
        <f>SUMIFS(S$13:S$429,$A$13:$A$429,$C596,$C$13:$C$429,$D596)</f>
        <v>0</v>
      </c>
      <c r="T596">
        <f>SUMIFS(T$13:T$429,$A$13:$A$429,$C596,$C$13:$C$429,$D596)</f>
        <v>0</v>
      </c>
      <c r="U596">
        <f>SUM(L596:T596)</f>
        <v>0</v>
      </c>
      <c r="W596">
        <f>IF(SUM(H596:I596)&gt;0,SUM(H596:I596)/G596,0)</f>
        <v>0</v>
      </c>
      <c r="X596">
        <f>IF(G596&gt;0,U596/G596,0)</f>
        <v>0</v>
      </c>
    </row>
    <row r="597">
      <c r="C597" t="str">
        <v>Lantai 2</v>
      </c>
      <c r="D597" t="str">
        <v>Potongan B</v>
      </c>
      <c r="G597">
        <f>SUMIFS($V$13:$V$429,$A$13:$A$429,$C597,$C$13:$C$429,$D597)</f>
        <v>0</v>
      </c>
      <c r="H597">
        <f>SUMIFS($W$13:$W$429,$A$13:$A$429,$C597,$C$13:$C$429,$D597)</f>
        <v>0</v>
      </c>
      <c r="I597">
        <f>SUMIFS($X$13:$X$429,$A$13:$A$429,$C597,$C$13:$C$429,$D597)</f>
        <v>0</v>
      </c>
      <c r="J597">
        <f>SUMIFS($Y$13:$Y$429,$A$13:$A$429,$C597,$C$13:$C$429,$D597)</f>
        <v>0</v>
      </c>
      <c r="K597">
        <f>SUMIFS($Z$13:$Z$429,$A$13:$A$429,$C597,$C$13:$C$429,$D597)</f>
        <v>0</v>
      </c>
      <c r="L597">
        <f>SUMIFS(L$13:L$429,$A$13:$A$429,$C597,$C$13:$C$429,$D597)</f>
        <v>0</v>
      </c>
      <c r="M597">
        <f>SUMIFS(M$13:M$429,$A$13:$A$429,$C597,$C$13:$C$429,$D597)</f>
        <v>0</v>
      </c>
      <c r="N597">
        <f>SUMIFS(N$13:N$429,$A$13:$A$429,$C597,$C$13:$C$429,$D597)</f>
        <v>0</v>
      </c>
      <c r="O597">
        <f>SUMIFS(O$13:O$429,$A$13:$A$429,$C597,$C$13:$C$429,$D597)</f>
        <v>0</v>
      </c>
      <c r="P597">
        <f>SUMIFS(P$13:P$429,$A$13:$A$429,$C597,$C$13:$C$429,$D597)</f>
        <v>0</v>
      </c>
      <c r="Q597">
        <f>SUMIFS(Q$13:Q$429,$A$13:$A$429,$C597,$C$13:$C$429,$D597)</f>
        <v>0</v>
      </c>
      <c r="R597">
        <f>SUMIFS(R$13:R$429,$A$13:$A$429,$C597,$C$13:$C$429,$D597)</f>
        <v>0</v>
      </c>
      <c r="S597">
        <f>SUMIFS(S$13:S$429,$A$13:$A$429,$C597,$C$13:$C$429,$D597)</f>
        <v>0</v>
      </c>
      <c r="T597">
        <f>SUMIFS(T$13:T$429,$A$13:$A$429,$C597,$C$13:$C$429,$D597)</f>
        <v>0</v>
      </c>
      <c r="U597">
        <f>SUM(L597:T597)</f>
        <v>0</v>
      </c>
      <c r="W597">
        <f>IF(SUM(H597:I597)&gt;0,SUM(H597:I597)/G597,0)</f>
        <v>0</v>
      </c>
      <c r="X597">
        <f>IF(G597&gt;0,U597/G597,0)</f>
        <v>0</v>
      </c>
    </row>
    <row r="598">
      <c r="C598" t="str">
        <v>Lantai 2</v>
      </c>
      <c r="D598" t="str">
        <v>Potongan C</v>
      </c>
      <c r="G598">
        <f>SUMIFS($V$13:$V$429,$A$13:$A$429,$C598,$C$13:$C$429,$D598)</f>
        <v>0</v>
      </c>
      <c r="H598">
        <f>SUMIFS($W$13:$W$429,$A$13:$A$429,$C598,$C$13:$C$429,$D598)</f>
        <v>0</v>
      </c>
      <c r="I598">
        <f>SUMIFS($X$13:$X$429,$A$13:$A$429,$C598,$C$13:$C$429,$D598)</f>
        <v>0</v>
      </c>
      <c r="J598">
        <f>SUMIFS($Y$13:$Y$429,$A$13:$A$429,$C598,$C$13:$C$429,$D598)</f>
        <v>0</v>
      </c>
      <c r="K598">
        <f>SUMIFS($Z$13:$Z$429,$A$13:$A$429,$C598,$C$13:$C$429,$D598)</f>
        <v>0</v>
      </c>
      <c r="L598">
        <f>SUMIFS(L$13:L$429,$A$13:$A$429,$C598,$C$13:$C$429,$D598)</f>
        <v>0</v>
      </c>
      <c r="M598">
        <f>SUMIFS(M$13:M$429,$A$13:$A$429,$C598,$C$13:$C$429,$D598)</f>
        <v>0</v>
      </c>
      <c r="N598">
        <f>SUMIFS(N$13:N$429,$A$13:$A$429,$C598,$C$13:$C$429,$D598)</f>
        <v>0</v>
      </c>
      <c r="O598">
        <f>SUMIFS(O$13:O$429,$A$13:$A$429,$C598,$C$13:$C$429,$D598)</f>
        <v>0</v>
      </c>
      <c r="P598">
        <f>SUMIFS(P$13:P$429,$A$13:$A$429,$C598,$C$13:$C$429,$D598)</f>
        <v>0</v>
      </c>
      <c r="Q598">
        <f>SUMIFS(Q$13:Q$429,$A$13:$A$429,$C598,$C$13:$C$429,$D598)</f>
        <v>0</v>
      </c>
      <c r="R598">
        <f>SUMIFS(R$13:R$429,$A$13:$A$429,$C598,$C$13:$C$429,$D598)</f>
        <v>0</v>
      </c>
      <c r="S598">
        <f>SUMIFS(S$13:S$429,$A$13:$A$429,$C598,$C$13:$C$429,$D598)</f>
        <v>0</v>
      </c>
      <c r="T598">
        <f>SUMIFS(T$13:T$429,$A$13:$A$429,$C598,$C$13:$C$429,$D598)</f>
        <v>0</v>
      </c>
      <c r="U598">
        <f>SUM(L598:T598)</f>
        <v>0</v>
      </c>
      <c r="W598">
        <f>IF(SUM(H598:I598)&gt;0,SUM(H598:I598)/G598,0)</f>
        <v>0</v>
      </c>
      <c r="X598">
        <f>IF(G598&gt;0,U598/G598,0)</f>
        <v>0</v>
      </c>
    </row>
    <row r="599">
      <c r="C599" t="str">
        <v>Lantai 2</v>
      </c>
      <c r="D599" t="str">
        <v>Potongan D</v>
      </c>
      <c r="G599">
        <f>SUMIFS($V$13:$V$429,$A$13:$A$429,$C599,$C$13:$C$429,$D599)</f>
        <v>0</v>
      </c>
      <c r="H599">
        <f>SUMIFS($W$13:$W$429,$A$13:$A$429,$C599,$C$13:$C$429,$D599)</f>
        <v>0</v>
      </c>
      <c r="I599">
        <f>SUMIFS($X$13:$X$429,$A$13:$A$429,$C599,$C$13:$C$429,$D599)</f>
        <v>0</v>
      </c>
      <c r="J599">
        <f>SUMIFS($Y$13:$Y$429,$A$13:$A$429,$C599,$C$13:$C$429,$D599)</f>
        <v>0</v>
      </c>
      <c r="K599">
        <f>SUMIFS($Z$13:$Z$429,$A$13:$A$429,$C599,$C$13:$C$429,$D599)</f>
        <v>0</v>
      </c>
      <c r="L599">
        <f>SUMIFS(L$13:L$429,$A$13:$A$429,$C599,$C$13:$C$429,$D599)</f>
        <v>0</v>
      </c>
      <c r="M599">
        <f>SUMIFS(M$13:M$429,$A$13:$A$429,$C599,$C$13:$C$429,$D599)</f>
        <v>0</v>
      </c>
      <c r="N599">
        <f>SUMIFS(N$13:N$429,$A$13:$A$429,$C599,$C$13:$C$429,$D599)</f>
        <v>0</v>
      </c>
      <c r="O599">
        <f>SUMIFS(O$13:O$429,$A$13:$A$429,$C599,$C$13:$C$429,$D599)</f>
        <v>0</v>
      </c>
      <c r="P599">
        <f>SUMIFS(P$13:P$429,$A$13:$A$429,$C599,$C$13:$C$429,$D599)</f>
        <v>0</v>
      </c>
      <c r="Q599">
        <f>SUMIFS(Q$13:Q$429,$A$13:$A$429,$C599,$C$13:$C$429,$D599)</f>
        <v>0</v>
      </c>
      <c r="R599">
        <f>SUMIFS(R$13:R$429,$A$13:$A$429,$C599,$C$13:$C$429,$D599)</f>
        <v>0</v>
      </c>
      <c r="S599">
        <f>SUMIFS(S$13:S$429,$A$13:$A$429,$C599,$C$13:$C$429,$D599)</f>
        <v>0</v>
      </c>
      <c r="T599">
        <f>SUMIFS(T$13:T$429,$A$13:$A$429,$C599,$C$13:$C$429,$D599)</f>
        <v>0</v>
      </c>
      <c r="U599">
        <f>SUM(L599:T599)</f>
        <v>0</v>
      </c>
      <c r="W599">
        <f>IF(SUM(H599:I599)&gt;0,SUM(H599:I599)/G599,0)</f>
        <v>0</v>
      </c>
      <c r="X599">
        <f>IF(G599&gt;0,U599/G599,0)</f>
        <v>0</v>
      </c>
    </row>
    <row r="600">
      <c r="C600" t="str">
        <v>Lantai 2</v>
      </c>
      <c r="D600" t="str">
        <v>Potongan E</v>
      </c>
      <c r="G600">
        <f>SUMIFS($V$13:$V$429,$A$13:$A$429,$C600,$C$13:$C$429,$D600)</f>
        <v>0</v>
      </c>
      <c r="H600">
        <f>SUMIFS($W$13:$W$429,$A$13:$A$429,$C600,$C$13:$C$429,$D600)</f>
        <v>0</v>
      </c>
      <c r="I600">
        <f>SUMIFS($X$13:$X$429,$A$13:$A$429,$C600,$C$13:$C$429,$D600)</f>
        <v>0</v>
      </c>
      <c r="J600">
        <f>SUMIFS($Y$13:$Y$429,$A$13:$A$429,$C600,$C$13:$C$429,$D600)</f>
        <v>0</v>
      </c>
      <c r="K600">
        <f>SUMIFS($Z$13:$Z$429,$A$13:$A$429,$C600,$C$13:$C$429,$D600)</f>
        <v>0</v>
      </c>
      <c r="L600">
        <f>SUMIFS(L$13:L$429,$A$13:$A$429,$C600,$C$13:$C$429,$D600)</f>
        <v>0</v>
      </c>
      <c r="M600">
        <f>SUMIFS(M$13:M$429,$A$13:$A$429,$C600,$C$13:$C$429,$D600)</f>
        <v>0</v>
      </c>
      <c r="N600">
        <f>SUMIFS(N$13:N$429,$A$13:$A$429,$C600,$C$13:$C$429,$D600)</f>
        <v>0</v>
      </c>
      <c r="O600">
        <f>SUMIFS(O$13:O$429,$A$13:$A$429,$C600,$C$13:$C$429,$D600)</f>
        <v>0</v>
      </c>
      <c r="P600">
        <f>SUMIFS(P$13:P$429,$A$13:$A$429,$C600,$C$13:$C$429,$D600)</f>
        <v>0</v>
      </c>
      <c r="Q600">
        <f>SUMIFS(Q$13:Q$429,$A$13:$A$429,$C600,$C$13:$C$429,$D600)</f>
        <v>0</v>
      </c>
      <c r="R600">
        <f>SUMIFS(R$13:R$429,$A$13:$A$429,$C600,$C$13:$C$429,$D600)</f>
        <v>0</v>
      </c>
      <c r="S600">
        <f>SUMIFS(S$13:S$429,$A$13:$A$429,$C600,$C$13:$C$429,$D600)</f>
        <v>0</v>
      </c>
      <c r="T600">
        <f>SUMIFS(T$13:T$429,$A$13:$A$429,$C600,$C$13:$C$429,$D600)</f>
        <v>0</v>
      </c>
      <c r="U600">
        <f>SUM(L600:T600)</f>
        <v>0</v>
      </c>
      <c r="W600">
        <f>IF(SUM(H600:I600)&gt;0,SUM(H600:I600)/G600,0)</f>
        <v>0</v>
      </c>
      <c r="X600">
        <f>IF(G600&gt;0,U600/G600,0)</f>
        <v>0</v>
      </c>
    </row>
    <row r="601">
      <c r="C601" t="str">
        <v>Lantai 2</v>
      </c>
      <c r="D601" t="str">
        <v>Potongan F</v>
      </c>
      <c r="G601">
        <f>SUMIFS($V$13:$V$429,$A$13:$A$429,$C601,$C$13:$C$429,$D601)</f>
        <v>0.0704</v>
      </c>
      <c r="H601">
        <f>SUMIFS($W$13:$W$429,$A$13:$A$429,$C601,$C$13:$C$429,$D601)</f>
        <v>0.924</v>
      </c>
      <c r="I601">
        <f>SUMIFS($X$13:$X$429,$A$13:$A$429,$C601,$C$13:$C$429,$D601)</f>
        <v>0</v>
      </c>
      <c r="J601">
        <f>SUMIFS($Y$13:$Y$429,$A$13:$A$429,$C601,$C$13:$C$429,$D601)</f>
        <v>0</v>
      </c>
      <c r="K601">
        <f>SUMIFS($Z$13:$Z$429,$A$13:$A$429,$C601,$C$13:$C$429,$D601)</f>
        <v>0</v>
      </c>
      <c r="L601">
        <f>SUMIFS(L$13:L$429,$A$13:$A$429,$C601,$C$13:$C$429,$D601)</f>
        <v>0</v>
      </c>
      <c r="M601">
        <f>SUMIFS(M$13:M$429,$A$13:$A$429,$C601,$C$13:$C$429,$D601)</f>
        <v>0</v>
      </c>
      <c r="N601">
        <f>SUMIFS(N$13:N$429,$A$13:$A$429,$C601,$C$13:$C$429,$D601)</f>
        <v>10.011959999999998</v>
      </c>
      <c r="O601">
        <f>SUMIFS(O$13:O$429,$A$13:$A$429,$C601,$C$13:$C$429,$D601)</f>
        <v>0</v>
      </c>
      <c r="P601">
        <f>SUMIFS(P$13:P$429,$A$13:$A$429,$C601,$C$13:$C$429,$D601)</f>
        <v>18.736865280000004</v>
      </c>
      <c r="Q601">
        <f>SUMIFS(Q$13:Q$429,$A$13:$A$429,$C601,$C$13:$C$429,$D601)</f>
        <v>0</v>
      </c>
      <c r="R601">
        <f>SUMIFS(R$13:R$429,$A$13:$A$429,$C601,$C$13:$C$429,$D601)</f>
        <v>0</v>
      </c>
      <c r="S601">
        <f>SUMIFS(S$13:S$429,$A$13:$A$429,$C601,$C$13:$C$429,$D601)</f>
        <v>0</v>
      </c>
      <c r="T601">
        <f>SUMIFS(T$13:T$429,$A$13:$A$429,$C601,$C$13:$C$429,$D601)</f>
        <v>0</v>
      </c>
      <c r="U601">
        <f>SUM(L601:T601)</f>
        <v>28.748825280000002</v>
      </c>
      <c r="W601">
        <f>IF(SUM(H601:I601)&gt;0,SUM(H601:I601)/G601,0)</f>
        <v>13.125</v>
      </c>
      <c r="X601">
        <f>IF(G601&gt;0,U601/G601,0)</f>
        <v>408.36399545454543</v>
      </c>
    </row>
    <row r="602">
      <c r="C602" t="str">
        <v>Lantai 2</v>
      </c>
      <c r="D602" t="str">
        <v>Potongan G</v>
      </c>
      <c r="G602">
        <f>SUMIFS($V$13:$V$429,$A$13:$A$429,$C602,$C$13:$C$429,$D602)</f>
        <v>0.282</v>
      </c>
      <c r="H602">
        <f>SUMIFS($W$13:$W$429,$A$13:$A$429,$C602,$C$13:$C$429,$D602)</f>
        <v>3.42</v>
      </c>
      <c r="I602">
        <f>SUMIFS($X$13:$X$429,$A$13:$A$429,$C602,$C$13:$C$429,$D602)</f>
        <v>0</v>
      </c>
      <c r="J602">
        <f>SUMIFS($Y$13:$Y$429,$A$13:$A$429,$C602,$C$13:$C$429,$D602)</f>
        <v>0</v>
      </c>
      <c r="K602">
        <f>SUMIFS($Z$13:$Z$429,$A$13:$A$429,$C602,$C$13:$C$429,$D602)</f>
        <v>0</v>
      </c>
      <c r="L602">
        <f>SUMIFS(L$13:L$429,$A$13:$A$429,$C602,$C$13:$C$429,$D602)</f>
        <v>0</v>
      </c>
      <c r="M602">
        <f>SUMIFS(M$13:M$429,$A$13:$A$429,$C602,$C$13:$C$429,$D602)</f>
        <v>0</v>
      </c>
      <c r="N602">
        <f>SUMIFS(N$13:N$429,$A$13:$A$429,$C602,$C$13:$C$429,$D602)</f>
        <v>39.25872</v>
      </c>
      <c r="O602">
        <f>SUMIFS(O$13:O$429,$A$13:$A$429,$C602,$C$13:$C$429,$D602)</f>
        <v>0</v>
      </c>
      <c r="P602">
        <f>SUMIFS(P$13:P$429,$A$13:$A$429,$C602,$C$13:$C$429,$D602)</f>
        <v>48.06687744000001</v>
      </c>
      <c r="Q602">
        <f>SUMIFS(Q$13:Q$429,$A$13:$A$429,$C602,$C$13:$C$429,$D602)</f>
        <v>0</v>
      </c>
      <c r="R602">
        <f>SUMIFS(R$13:R$429,$A$13:$A$429,$C602,$C$13:$C$429,$D602)</f>
        <v>0</v>
      </c>
      <c r="S602">
        <f>SUMIFS(S$13:S$429,$A$13:$A$429,$C602,$C$13:$C$429,$D602)</f>
        <v>0</v>
      </c>
      <c r="T602">
        <f>SUMIFS(T$13:T$429,$A$13:$A$429,$C602,$C$13:$C$429,$D602)</f>
        <v>0</v>
      </c>
      <c r="U602">
        <f>SUM(L602:T602)</f>
        <v>87.32559744000001</v>
      </c>
      <c r="W602">
        <f>IF(SUM(H602:I602)&gt;0,SUM(H602:I602)/G602,0)</f>
        <v>12.127659574468087</v>
      </c>
      <c r="X602">
        <f>IF(G602&gt;0,U602/G602,0)</f>
        <v>309.6652391489362</v>
      </c>
    </row>
    <row r="603">
      <c r="C603" t="str">
        <v>Lantai 2</v>
      </c>
      <c r="D603" t="str">
        <v>Potongan H</v>
      </c>
      <c r="G603">
        <f>SUMIFS($V$13:$V$429,$A$13:$A$429,$C603,$C$13:$C$429,$D603)</f>
        <v>0.64722</v>
      </c>
      <c r="H603">
        <f>SUMIFS($W$13:$W$429,$A$13:$A$429,$C603,$C$13:$C$429,$D603)</f>
        <v>4.2021</v>
      </c>
      <c r="I603">
        <f>SUMIFS($X$13:$X$429,$A$13:$A$429,$C603,$C$13:$C$429,$D603)</f>
        <v>0</v>
      </c>
      <c r="J603">
        <f>SUMIFS($Y$13:$Y$429,$A$13:$A$429,$C603,$C$13:$C$429,$D603)</f>
        <v>0</v>
      </c>
      <c r="K603">
        <f>SUMIFS($Z$13:$Z$429,$A$13:$A$429,$C603,$C$13:$C$429,$D603)</f>
        <v>0</v>
      </c>
      <c r="L603">
        <f>SUMIFS(L$13:L$429,$A$13:$A$429,$C603,$C$13:$C$429,$D603)</f>
        <v>0</v>
      </c>
      <c r="M603">
        <f>SUMIFS(M$13:M$429,$A$13:$A$429,$C603,$C$13:$C$429,$D603)</f>
        <v>0</v>
      </c>
      <c r="N603">
        <f>SUMIFS(N$13:N$429,$A$13:$A$429,$C603,$C$13:$C$429,$D603)</f>
        <v>6.547230000000001</v>
      </c>
      <c r="O603">
        <f>SUMIFS(O$13:O$429,$A$13:$A$429,$C603,$C$13:$C$429,$D603)</f>
        <v>72.21930066</v>
      </c>
      <c r="P603">
        <f>SUMIFS(P$13:P$429,$A$13:$A$429,$C603,$C$13:$C$429,$D603)</f>
        <v>53.009925120000005</v>
      </c>
      <c r="Q603">
        <f>SUMIFS(Q$13:Q$429,$A$13:$A$429,$C603,$C$13:$C$429,$D603)</f>
        <v>0</v>
      </c>
      <c r="R603">
        <f>SUMIFS(R$13:R$429,$A$13:$A$429,$C603,$C$13:$C$429,$D603)</f>
        <v>0</v>
      </c>
      <c r="S603">
        <f>SUMIFS(S$13:S$429,$A$13:$A$429,$C603,$C$13:$C$429,$D603)</f>
        <v>0</v>
      </c>
      <c r="T603">
        <f>SUMIFS(T$13:T$429,$A$13:$A$429,$C603,$C$13:$C$429,$D603)</f>
        <v>0</v>
      </c>
      <c r="U603">
        <f>SUM(L603:T603)</f>
        <v>131.77645578</v>
      </c>
      <c r="W603">
        <f>IF(SUM(H603:I603)&gt;0,SUM(H603:I603)/G603,0)</f>
        <v>6.492537313432835</v>
      </c>
      <c r="X603">
        <f>IF(G603&gt;0,U603/G603,0)</f>
        <v>203.60380671178268</v>
      </c>
    </row>
    <row r="604">
      <c r="C604" t="str">
        <v>Lantai 2</v>
      </c>
      <c r="D604" t="str">
        <v>Potongan I</v>
      </c>
      <c r="G604">
        <f>SUMIFS($V$13:$V$429,$A$13:$A$429,$C604,$C$13:$C$429,$D604)</f>
        <v>0</v>
      </c>
      <c r="H604">
        <f>SUMIFS($W$13:$W$429,$A$13:$A$429,$C604,$C$13:$C$429,$D604)</f>
        <v>0</v>
      </c>
      <c r="I604">
        <f>SUMIFS($X$13:$X$429,$A$13:$A$429,$C604,$C$13:$C$429,$D604)</f>
        <v>0</v>
      </c>
      <c r="J604">
        <f>SUMIFS($Y$13:$Y$429,$A$13:$A$429,$C604,$C$13:$C$429,$D604)</f>
        <v>0</v>
      </c>
      <c r="K604">
        <f>SUMIFS($Z$13:$Z$429,$A$13:$A$429,$C604,$C$13:$C$429,$D604)</f>
        <v>0</v>
      </c>
      <c r="L604">
        <f>SUMIFS(L$13:L$429,$A$13:$A$429,$C604,$C$13:$C$429,$D604)</f>
        <v>0</v>
      </c>
      <c r="M604">
        <f>SUMIFS(M$13:M$429,$A$13:$A$429,$C604,$C$13:$C$429,$D604)</f>
        <v>0</v>
      </c>
      <c r="N604">
        <f>SUMIFS(N$13:N$429,$A$13:$A$429,$C604,$C$13:$C$429,$D604)</f>
        <v>0</v>
      </c>
      <c r="O604">
        <f>SUMIFS(O$13:O$429,$A$13:$A$429,$C604,$C$13:$C$429,$D604)</f>
        <v>0</v>
      </c>
      <c r="P604">
        <f>SUMIFS(P$13:P$429,$A$13:$A$429,$C604,$C$13:$C$429,$D604)</f>
        <v>0</v>
      </c>
      <c r="Q604">
        <f>SUMIFS(Q$13:Q$429,$A$13:$A$429,$C604,$C$13:$C$429,$D604)</f>
        <v>0</v>
      </c>
      <c r="R604">
        <f>SUMIFS(R$13:R$429,$A$13:$A$429,$C604,$C$13:$C$429,$D604)</f>
        <v>0</v>
      </c>
      <c r="S604">
        <f>SUMIFS(S$13:S$429,$A$13:$A$429,$C604,$C$13:$C$429,$D604)</f>
        <v>0</v>
      </c>
      <c r="T604">
        <f>SUMIFS(T$13:T$429,$A$13:$A$429,$C604,$C$13:$C$429,$D604)</f>
        <v>0</v>
      </c>
      <c r="U604">
        <f>SUM(L604:T604)</f>
        <v>0</v>
      </c>
      <c r="W604">
        <f>IF(SUM(H604:I604)&gt;0,SUM(H604:I604)/G604,0)</f>
        <v>0</v>
      </c>
      <c r="X604">
        <f>IF(G604&gt;0,U604/G604,0)</f>
        <v>0</v>
      </c>
    </row>
    <row r="605">
      <c r="C605" t="str">
        <v>Lantai 2</v>
      </c>
      <c r="D605" t="str">
        <v>Potongan J</v>
      </c>
      <c r="G605">
        <f>SUMIFS($V$13:$V$429,$A$13:$A$429,$C605,$C$13:$C$429,$D605)</f>
        <v>0</v>
      </c>
      <c r="H605">
        <f>SUMIFS($W$13:$W$429,$A$13:$A$429,$C605,$C$13:$C$429,$D605)</f>
        <v>0</v>
      </c>
      <c r="I605">
        <f>SUMIFS($X$13:$X$429,$A$13:$A$429,$C605,$C$13:$C$429,$D605)</f>
        <v>0</v>
      </c>
      <c r="J605">
        <f>SUMIFS($Y$13:$Y$429,$A$13:$A$429,$C605,$C$13:$C$429,$D605)</f>
        <v>0</v>
      </c>
      <c r="K605">
        <f>SUMIFS($Z$13:$Z$429,$A$13:$A$429,$C605,$C$13:$C$429,$D605)</f>
        <v>0</v>
      </c>
      <c r="L605">
        <f>SUMIFS(L$13:L$429,$A$13:$A$429,$C605,$C$13:$C$429,$D605)</f>
        <v>0</v>
      </c>
      <c r="M605">
        <f>SUMIFS(M$13:M$429,$A$13:$A$429,$C605,$C$13:$C$429,$D605)</f>
        <v>0</v>
      </c>
      <c r="N605">
        <f>SUMIFS(N$13:N$429,$A$13:$A$429,$C605,$C$13:$C$429,$D605)</f>
        <v>0</v>
      </c>
      <c r="O605">
        <f>SUMIFS(O$13:O$429,$A$13:$A$429,$C605,$C$13:$C$429,$D605)</f>
        <v>0</v>
      </c>
      <c r="P605">
        <f>SUMIFS(P$13:P$429,$A$13:$A$429,$C605,$C$13:$C$429,$D605)</f>
        <v>0</v>
      </c>
      <c r="Q605">
        <f>SUMIFS(Q$13:Q$429,$A$13:$A$429,$C605,$C$13:$C$429,$D605)</f>
        <v>0</v>
      </c>
      <c r="R605">
        <f>SUMIFS(R$13:R$429,$A$13:$A$429,$C605,$C$13:$C$429,$D605)</f>
        <v>0</v>
      </c>
      <c r="S605">
        <f>SUMIFS(S$13:S$429,$A$13:$A$429,$C605,$C$13:$C$429,$D605)</f>
        <v>0</v>
      </c>
      <c r="T605">
        <f>SUMIFS(T$13:T$429,$A$13:$A$429,$C605,$C$13:$C$429,$D605)</f>
        <v>0</v>
      </c>
      <c r="U605">
        <f>SUM(L605:T605)</f>
        <v>0</v>
      </c>
      <c r="W605">
        <f>IF(SUM(H605:I605)&gt;0,SUM(H605:I605)/G605,0)</f>
        <v>0</v>
      </c>
      <c r="X605">
        <f>IF(G605&gt;0,U605/G605,0)</f>
        <v>0</v>
      </c>
    </row>
    <row r="606">
      <c r="C606" t="str">
        <v>Lantai 2</v>
      </c>
      <c r="D606" t="str">
        <v>Potongan K</v>
      </c>
      <c r="G606">
        <f>SUMIFS($V$13:$V$429,$A$13:$A$429,$C606,$C$13:$C$429,$D606)</f>
        <v>0</v>
      </c>
      <c r="H606">
        <f>SUMIFS($W$13:$W$429,$A$13:$A$429,$C606,$C$13:$C$429,$D606)</f>
        <v>0</v>
      </c>
      <c r="I606">
        <f>SUMIFS($X$13:$X$429,$A$13:$A$429,$C606,$C$13:$C$429,$D606)</f>
        <v>0</v>
      </c>
      <c r="J606">
        <f>SUMIFS($Y$13:$Y$429,$A$13:$A$429,$C606,$C$13:$C$429,$D606)</f>
        <v>0</v>
      </c>
      <c r="K606">
        <f>SUMIFS($Z$13:$Z$429,$A$13:$A$429,$C606,$C$13:$C$429,$D606)</f>
        <v>0</v>
      </c>
      <c r="L606">
        <f>SUMIFS(L$13:L$429,$A$13:$A$429,$C606,$C$13:$C$429,$D606)</f>
        <v>0</v>
      </c>
      <c r="M606">
        <f>SUMIFS(M$13:M$429,$A$13:$A$429,$C606,$C$13:$C$429,$D606)</f>
        <v>0</v>
      </c>
      <c r="N606">
        <f>SUMIFS(N$13:N$429,$A$13:$A$429,$C606,$C$13:$C$429,$D606)</f>
        <v>0</v>
      </c>
      <c r="O606">
        <f>SUMIFS(O$13:O$429,$A$13:$A$429,$C606,$C$13:$C$429,$D606)</f>
        <v>0</v>
      </c>
      <c r="P606">
        <f>SUMIFS(P$13:P$429,$A$13:$A$429,$C606,$C$13:$C$429,$D606)</f>
        <v>0</v>
      </c>
      <c r="Q606">
        <f>SUMIFS(Q$13:Q$429,$A$13:$A$429,$C606,$C$13:$C$429,$D606)</f>
        <v>0</v>
      </c>
      <c r="R606">
        <f>SUMIFS(R$13:R$429,$A$13:$A$429,$C606,$C$13:$C$429,$D606)</f>
        <v>0</v>
      </c>
      <c r="S606">
        <f>SUMIFS(S$13:S$429,$A$13:$A$429,$C606,$C$13:$C$429,$D606)</f>
        <v>0</v>
      </c>
      <c r="T606">
        <f>SUMIFS(T$13:T$429,$A$13:$A$429,$C606,$C$13:$C$429,$D606)</f>
        <v>0</v>
      </c>
      <c r="U606">
        <f>SUM(L606:T606)</f>
        <v>0</v>
      </c>
      <c r="W606">
        <f>IF(SUM(H606:I606)&gt;0,SUM(H606:I606)/G606,0)</f>
        <v>0</v>
      </c>
      <c r="X606">
        <f>IF(G606&gt;0,U606/G606,0)</f>
        <v>0</v>
      </c>
    </row>
    <row r="607">
      <c r="C607" t="str">
        <v>Lantai 2</v>
      </c>
      <c r="D607" t="str">
        <v>Potongan L</v>
      </c>
      <c r="G607">
        <f>SUMIFS($V$13:$V$429,$A$13:$A$429,$C607,$C$13:$C$429,$D607)</f>
        <v>0</v>
      </c>
      <c r="H607">
        <f>SUMIFS($W$13:$W$429,$A$13:$A$429,$C607,$C$13:$C$429,$D607)</f>
        <v>0</v>
      </c>
      <c r="I607">
        <f>SUMIFS($X$13:$X$429,$A$13:$A$429,$C607,$C$13:$C$429,$D607)</f>
        <v>0</v>
      </c>
      <c r="J607">
        <f>SUMIFS($Y$13:$Y$429,$A$13:$A$429,$C607,$C$13:$C$429,$D607)</f>
        <v>0</v>
      </c>
      <c r="K607">
        <f>SUMIFS($Z$13:$Z$429,$A$13:$A$429,$C607,$C$13:$C$429,$D607)</f>
        <v>0</v>
      </c>
      <c r="L607">
        <f>SUMIFS(L$13:L$429,$A$13:$A$429,$C607,$C$13:$C$429,$D607)</f>
        <v>0</v>
      </c>
      <c r="M607">
        <f>SUMIFS(M$13:M$429,$A$13:$A$429,$C607,$C$13:$C$429,$D607)</f>
        <v>0</v>
      </c>
      <c r="N607">
        <f>SUMIFS(N$13:N$429,$A$13:$A$429,$C607,$C$13:$C$429,$D607)</f>
        <v>0</v>
      </c>
      <c r="O607">
        <f>SUMIFS(O$13:O$429,$A$13:$A$429,$C607,$C$13:$C$429,$D607)</f>
        <v>0</v>
      </c>
      <c r="P607">
        <f>SUMIFS(P$13:P$429,$A$13:$A$429,$C607,$C$13:$C$429,$D607)</f>
        <v>0</v>
      </c>
      <c r="Q607">
        <f>SUMIFS(Q$13:Q$429,$A$13:$A$429,$C607,$C$13:$C$429,$D607)</f>
        <v>0</v>
      </c>
      <c r="R607">
        <f>SUMIFS(R$13:R$429,$A$13:$A$429,$C607,$C$13:$C$429,$D607)</f>
        <v>0</v>
      </c>
      <c r="S607">
        <f>SUMIFS(S$13:S$429,$A$13:$A$429,$C607,$C$13:$C$429,$D607)</f>
        <v>0</v>
      </c>
      <c r="T607">
        <f>SUMIFS(T$13:T$429,$A$13:$A$429,$C607,$C$13:$C$429,$D607)</f>
        <v>0</v>
      </c>
      <c r="U607">
        <f>SUM(L607:T607)</f>
        <v>0</v>
      </c>
      <c r="W607">
        <f>IF(SUM(H607:I607)&gt;0,SUM(H607:I607)/G607,0)</f>
        <v>0</v>
      </c>
      <c r="X607">
        <f>IF(G607&gt;0,U607/G607,0)</f>
        <v>0</v>
      </c>
    </row>
    <row r="608">
      <c r="C608" t="str">
        <v>Lantai 2</v>
      </c>
      <c r="D608" t="str">
        <v>Potongan M</v>
      </c>
      <c r="G608">
        <f>SUMIFS($V$13:$V$429,$A$13:$A$429,$C608,$C$13:$C$429,$D608)</f>
        <v>0</v>
      </c>
      <c r="H608">
        <f>SUMIFS($W$13:$W$429,$A$13:$A$429,$C608,$C$13:$C$429,$D608)</f>
        <v>0</v>
      </c>
      <c r="I608">
        <f>SUMIFS($X$13:$X$429,$A$13:$A$429,$C608,$C$13:$C$429,$D608)</f>
        <v>0</v>
      </c>
      <c r="J608">
        <f>SUMIFS($Y$13:$Y$429,$A$13:$A$429,$C608,$C$13:$C$429,$D608)</f>
        <v>0</v>
      </c>
      <c r="K608">
        <f>SUMIFS($Z$13:$Z$429,$A$13:$A$429,$C608,$C$13:$C$429,$D608)</f>
        <v>0</v>
      </c>
      <c r="L608">
        <f>SUMIFS(L$13:L$429,$A$13:$A$429,$C608,$C$13:$C$429,$D608)</f>
        <v>0</v>
      </c>
      <c r="M608">
        <f>SUMIFS(M$13:M$429,$A$13:$A$429,$C608,$C$13:$C$429,$D608)</f>
        <v>0</v>
      </c>
      <c r="N608">
        <f>SUMIFS(N$13:N$429,$A$13:$A$429,$C608,$C$13:$C$429,$D608)</f>
        <v>0</v>
      </c>
      <c r="O608">
        <f>SUMIFS(O$13:O$429,$A$13:$A$429,$C608,$C$13:$C$429,$D608)</f>
        <v>0</v>
      </c>
      <c r="P608">
        <f>SUMIFS(P$13:P$429,$A$13:$A$429,$C608,$C$13:$C$429,$D608)</f>
        <v>0</v>
      </c>
      <c r="Q608">
        <f>SUMIFS(Q$13:Q$429,$A$13:$A$429,$C608,$C$13:$C$429,$D608)</f>
        <v>0</v>
      </c>
      <c r="R608">
        <f>SUMIFS(R$13:R$429,$A$13:$A$429,$C608,$C$13:$C$429,$D608)</f>
        <v>0</v>
      </c>
      <c r="S608">
        <f>SUMIFS(S$13:S$429,$A$13:$A$429,$C608,$C$13:$C$429,$D608)</f>
        <v>0</v>
      </c>
      <c r="T608">
        <f>SUMIFS(T$13:T$429,$A$13:$A$429,$C608,$C$13:$C$429,$D608)</f>
        <v>0</v>
      </c>
      <c r="U608">
        <f>SUM(L608:T608)</f>
        <v>0</v>
      </c>
      <c r="W608">
        <f>IF(SUM(H608:I608)&gt;0,SUM(H608:I608)/G608,0)</f>
        <v>0</v>
      </c>
      <c r="X608">
        <f>IF(G608&gt;0,U608/G608,0)</f>
        <v>0</v>
      </c>
    </row>
    <row r="609">
      <c r="C609" t="str">
        <v>Lantai 2</v>
      </c>
      <c r="D609" t="str">
        <v>Potongan N</v>
      </c>
      <c r="G609">
        <f>SUMIFS($V$13:$V$429,$A$13:$A$429,$C609,$C$13:$C$429,$D609)</f>
        <v>0.36</v>
      </c>
      <c r="H609">
        <f>SUMIFS($W$13:$W$429,$A$13:$A$429,$C609,$C$13:$C$429,$D609)</f>
        <v>4.4</v>
      </c>
      <c r="I609">
        <f>SUMIFS($X$13:$X$429,$A$13:$A$429,$C609,$C$13:$C$429,$D609)</f>
        <v>0</v>
      </c>
      <c r="J609">
        <f>SUMIFS($Y$13:$Y$429,$A$13:$A$429,$C609,$C$13:$C$429,$D609)</f>
        <v>0</v>
      </c>
      <c r="K609">
        <f>SUMIFS($Z$13:$Z$429,$A$13:$A$429,$C609,$C$13:$C$429,$D609)</f>
        <v>0</v>
      </c>
      <c r="L609">
        <f>SUMIFS(L$13:L$429,$A$13:$A$429,$C609,$C$13:$C$429,$D609)</f>
        <v>0</v>
      </c>
      <c r="M609">
        <f>SUMIFS(M$13:M$429,$A$13:$A$429,$C609,$C$13:$C$429,$D609)</f>
        <v>0</v>
      </c>
      <c r="N609">
        <f>SUMIFS(N$13:N$429,$A$13:$A$429,$C609,$C$13:$C$429,$D609)</f>
        <v>24.91893</v>
      </c>
      <c r="O609">
        <f>SUMIFS(O$13:O$429,$A$13:$A$429,$C609,$C$13:$C$429,$D609)</f>
        <v>0</v>
      </c>
      <c r="P609">
        <f>SUMIFS(P$13:P$429,$A$13:$A$429,$C609,$C$13:$C$429,$D609)</f>
        <v>0</v>
      </c>
      <c r="Q609">
        <f>SUMIFS(Q$13:Q$429,$A$13:$A$429,$C609,$C$13:$C$429,$D609)</f>
        <v>76.52382696000001</v>
      </c>
      <c r="R609">
        <f>SUMIFS(R$13:R$429,$A$13:$A$429,$C609,$C$13:$C$429,$D609)</f>
        <v>0</v>
      </c>
      <c r="S609">
        <f>SUMIFS(S$13:S$429,$A$13:$A$429,$C609,$C$13:$C$429,$D609)</f>
        <v>0</v>
      </c>
      <c r="T609">
        <f>SUMIFS(T$13:T$429,$A$13:$A$429,$C609,$C$13:$C$429,$D609)</f>
        <v>0</v>
      </c>
      <c r="U609">
        <f>SUM(L609:T609)</f>
        <v>101.44275696000001</v>
      </c>
      <c r="W609">
        <f>IF(SUM(H609:I609)&gt;0,SUM(H609:I609)/G609,0)</f>
        <v>12.222222222222223</v>
      </c>
      <c r="X609">
        <f>IF(G609&gt;0,U609/G609,0)</f>
        <v>281.78543600000006</v>
      </c>
    </row>
    <row r="610">
      <c r="C610" t="str">
        <v>Lantai 2</v>
      </c>
      <c r="D610" t="str">
        <v>Potongan O</v>
      </c>
      <c r="G610">
        <f>SUMIFS($V$13:$V$429,$A$13:$A$429,$C610,$C$13:$C$429,$D610)</f>
        <v>0</v>
      </c>
      <c r="H610">
        <f>SUMIFS($W$13:$W$429,$A$13:$A$429,$C610,$C$13:$C$429,$D610)</f>
        <v>0</v>
      </c>
      <c r="I610">
        <f>SUMIFS($X$13:$X$429,$A$13:$A$429,$C610,$C$13:$C$429,$D610)</f>
        <v>0</v>
      </c>
      <c r="J610">
        <f>SUMIFS($Y$13:$Y$429,$A$13:$A$429,$C610,$C$13:$C$429,$D610)</f>
        <v>0</v>
      </c>
      <c r="K610">
        <f>SUMIFS($Z$13:$Z$429,$A$13:$A$429,$C610,$C$13:$C$429,$D610)</f>
        <v>0</v>
      </c>
      <c r="L610">
        <f>SUMIFS(L$13:L$429,$A$13:$A$429,$C610,$C$13:$C$429,$D610)</f>
        <v>0</v>
      </c>
      <c r="M610">
        <f>SUMIFS(M$13:M$429,$A$13:$A$429,$C610,$C$13:$C$429,$D610)</f>
        <v>0</v>
      </c>
      <c r="N610">
        <f>SUMIFS(N$13:N$429,$A$13:$A$429,$C610,$C$13:$C$429,$D610)</f>
        <v>0</v>
      </c>
      <c r="O610">
        <f>SUMIFS(O$13:O$429,$A$13:$A$429,$C610,$C$13:$C$429,$D610)</f>
        <v>0</v>
      </c>
      <c r="P610">
        <f>SUMIFS(P$13:P$429,$A$13:$A$429,$C610,$C$13:$C$429,$D610)</f>
        <v>0</v>
      </c>
      <c r="Q610">
        <f>SUMIFS(Q$13:Q$429,$A$13:$A$429,$C610,$C$13:$C$429,$D610)</f>
        <v>0</v>
      </c>
      <c r="R610">
        <f>SUMIFS(R$13:R$429,$A$13:$A$429,$C610,$C$13:$C$429,$D610)</f>
        <v>0</v>
      </c>
      <c r="S610">
        <f>SUMIFS(S$13:S$429,$A$13:$A$429,$C610,$C$13:$C$429,$D610)</f>
        <v>0</v>
      </c>
      <c r="T610">
        <f>SUMIFS(T$13:T$429,$A$13:$A$429,$C610,$C$13:$C$429,$D610)</f>
        <v>0</v>
      </c>
      <c r="U610">
        <f>SUM(L610:T610)</f>
        <v>0</v>
      </c>
      <c r="W610">
        <f>IF(SUM(H610:I610)&gt;0,SUM(H610:I610)/G610,0)</f>
        <v>0</v>
      </c>
      <c r="X610">
        <f>IF(G610&gt;0,U610/G610,0)</f>
        <v>0</v>
      </c>
    </row>
    <row r="611">
      <c r="C611" t="str">
        <v>Lantai 2</v>
      </c>
      <c r="D611" t="str">
        <v>BB</v>
      </c>
      <c r="G611">
        <f>SUMIFS($V$13:$V$429,$A$13:$A$429,$C611,$C$13:$C$429,$D611)</f>
        <v>0</v>
      </c>
      <c r="H611">
        <f>SUMIFS($W$13:$W$429,$A$13:$A$429,$C611,$C$13:$C$429,$D611)</f>
        <v>0</v>
      </c>
      <c r="I611">
        <f>SUMIFS($X$13:$X$429,$A$13:$A$429,$C611,$C$13:$C$429,$D611)</f>
        <v>0</v>
      </c>
      <c r="J611">
        <f>SUMIFS($Y$13:$Y$429,$A$13:$A$429,$C611,$C$13:$C$429,$D611)</f>
        <v>0</v>
      </c>
      <c r="K611">
        <f>SUMIFS($Z$13:$Z$429,$A$13:$A$429,$C611,$C$13:$C$429,$D611)</f>
        <v>0</v>
      </c>
      <c r="L611">
        <f>SUMIFS(L$13:L$429,$A$13:$A$429,$C611,$C$13:$C$429,$D611)</f>
        <v>0</v>
      </c>
      <c r="M611">
        <f>SUMIFS(M$13:M$429,$A$13:$A$429,$C611,$C$13:$C$429,$D611)</f>
        <v>0</v>
      </c>
      <c r="N611">
        <f>SUMIFS(N$13:N$429,$A$13:$A$429,$C611,$C$13:$C$429,$D611)</f>
        <v>0</v>
      </c>
      <c r="O611">
        <f>SUMIFS(O$13:O$429,$A$13:$A$429,$C611,$C$13:$C$429,$D611)</f>
        <v>0</v>
      </c>
      <c r="P611">
        <f>SUMIFS(P$13:P$429,$A$13:$A$429,$C611,$C$13:$C$429,$D611)</f>
        <v>0</v>
      </c>
      <c r="Q611">
        <f>SUMIFS(Q$13:Q$429,$A$13:$A$429,$C611,$C$13:$C$429,$D611)</f>
        <v>0</v>
      </c>
      <c r="R611">
        <f>SUMIFS(R$13:R$429,$A$13:$A$429,$C611,$C$13:$C$429,$D611)</f>
        <v>0</v>
      </c>
      <c r="S611">
        <f>SUMIFS(S$13:S$429,$A$13:$A$429,$C611,$C$13:$C$429,$D611)</f>
        <v>0</v>
      </c>
      <c r="T611">
        <f>SUMIFS(T$13:T$429,$A$13:$A$429,$C611,$C$13:$C$429,$D611)</f>
        <v>0</v>
      </c>
      <c r="U611">
        <f>SUM(L611:T611)</f>
        <v>0</v>
      </c>
      <c r="W611">
        <f>IF(SUM(H611:I611)&gt;0,SUM(H611:I611)/G611,0)</f>
        <v>0</v>
      </c>
      <c r="X611">
        <f>IF(G611&gt;0,U611/G611,0)</f>
        <v>0</v>
      </c>
    </row>
    <row r="613">
      <c r="C613" t="str">
        <v>Subtotal Lantai 2</v>
      </c>
      <c r="G613">
        <f>SUM(G536:G612)</f>
        <v>32.158570000000005</v>
      </c>
      <c r="H613">
        <f>SUM(H536:H612)</f>
        <v>330.23295</v>
      </c>
      <c r="I613">
        <f>SUM(I536:I612)</f>
        <v>0</v>
      </c>
      <c r="J613">
        <f>SUM(J536:J612)</f>
        <v>0</v>
      </c>
      <c r="K613">
        <f>SUM(K536:K612)</f>
        <v>0</v>
      </c>
      <c r="L613">
        <f>SUM(L536:L612)</f>
        <v>0</v>
      </c>
      <c r="M613">
        <f>SUM(M536:M612)</f>
        <v>479.3675155200001</v>
      </c>
      <c r="N613">
        <f>SUM(N536:N612)</f>
        <v>1669.14909</v>
      </c>
      <c r="O613">
        <f>SUM(O536:O612)</f>
        <v>1043.56451862</v>
      </c>
      <c r="P613">
        <f>SUM(P536:P612)</f>
        <v>1832.44474944</v>
      </c>
      <c r="Q613">
        <f>SUM(Q536:Q612)</f>
        <v>1017.0921072599999</v>
      </c>
      <c r="R613">
        <f>SUM(R536:R612)</f>
        <v>622.4451314400001</v>
      </c>
      <c r="S613">
        <f>SUM(S536:S612)</f>
        <v>0</v>
      </c>
      <c r="T613">
        <f>SUM(T536:T612)</f>
        <v>0</v>
      </c>
      <c r="U613">
        <f>SUM(U536:U612)</f>
        <v>6664.063112280001</v>
      </c>
    </row>
    <row r="615">
      <c r="C615" t="str">
        <v>Lantai Attic</v>
      </c>
      <c r="D615" t="str">
        <v>B173-1</v>
      </c>
      <c r="G615">
        <f>SUMIFS($V$13:$V$429,$A$13:$A$429,$C615,$C$13:$C$429,$D615)</f>
        <v>0.21947</v>
      </c>
      <c r="H615">
        <f>SUMIFS($W$13:$W$429,$A$13:$A$429,$C615,$C$13:$C$429,$D615)</f>
        <v>3.483</v>
      </c>
      <c r="I615">
        <f>SUMIFS($X$13:$X$429,$A$13:$A$429,$C615,$C$13:$C$429,$D615)</f>
        <v>0</v>
      </c>
      <c r="J615">
        <f>SUMIFS($Y$13:$Y$429,$A$13:$A$429,$C615,$C$13:$C$429,$D615)</f>
        <v>0</v>
      </c>
      <c r="K615">
        <f>SUMIFS($Z$13:$Z$429,$A$13:$A$429,$C615,$C$13:$C$429,$D615)</f>
        <v>0</v>
      </c>
      <c r="L615">
        <f>SUMIFS(L$13:L$429,$A$13:$A$429,$C615,$C$13:$C$429,$D615)</f>
        <v>0</v>
      </c>
      <c r="M615">
        <f>SUMIFS(M$13:M$429,$A$13:$A$429,$C615,$C$13:$C$429,$D615)</f>
        <v>14.8867488</v>
      </c>
      <c r="N615">
        <f>SUMIFS(N$13:N$429,$A$13:$A$429,$C615,$C$13:$C$429,$D615)</f>
        <v>0</v>
      </c>
      <c r="O615">
        <f>SUMIFS(O$13:O$429,$A$13:$A$429,$C615,$C$13:$C$429,$D615)</f>
        <v>24.688506959999998</v>
      </c>
      <c r="P615">
        <f>SUMIFS(P$13:P$429,$A$13:$A$429,$C615,$C$13:$C$429,$D615)</f>
        <v>0</v>
      </c>
      <c r="Q615">
        <f>SUMIFS(Q$13:Q$429,$A$13:$A$429,$C615,$C$13:$C$429,$D615)</f>
        <v>0</v>
      </c>
      <c r="R615">
        <f>SUMIFS(R$13:R$429,$A$13:$A$429,$C615,$C$13:$C$429,$D615)</f>
        <v>0</v>
      </c>
      <c r="S615">
        <f>SUMIFS(S$13:S$429,$A$13:$A$429,$C615,$C$13:$C$429,$D615)</f>
        <v>0</v>
      </c>
      <c r="T615">
        <f>SUMIFS(T$13:T$429,$A$13:$A$429,$C615,$C$13:$C$429,$D615)</f>
        <v>0</v>
      </c>
      <c r="U615">
        <f>SUM(L615:T615)</f>
        <v>39.57525576</v>
      </c>
      <c r="W615">
        <f>IF(SUM(H615:I615)&gt;0,SUM(H615:I615)/G615,0)</f>
        <v>15.870050576388573</v>
      </c>
      <c r="X615">
        <f>IF(G615&gt;0,U615/G615,0)</f>
        <v>180.32193812366154</v>
      </c>
    </row>
    <row r="616">
      <c r="C616" t="str">
        <v>Lantai Attic</v>
      </c>
      <c r="D616" t="str">
        <v>B174-1</v>
      </c>
      <c r="G616">
        <f>SUMIFS($V$13:$V$429,$A$13:$A$429,$C616,$C$13:$C$429,$D616)</f>
        <v>0.4897615</v>
      </c>
      <c r="H616">
        <f>SUMIFS($W$13:$W$429,$A$13:$A$429,$C616,$C$13:$C$429,$D616)</f>
        <v>7.289350000000001</v>
      </c>
      <c r="I616">
        <f>SUMIFS($X$13:$X$429,$A$13:$A$429,$C616,$C$13:$C$429,$D616)</f>
        <v>0</v>
      </c>
      <c r="J616">
        <f>SUMIFS($Y$13:$Y$429,$A$13:$A$429,$C616,$C$13:$C$429,$D616)</f>
        <v>0</v>
      </c>
      <c r="K616">
        <f>SUMIFS($Z$13:$Z$429,$A$13:$A$429,$C616,$C$13:$C$429,$D616)</f>
        <v>0</v>
      </c>
      <c r="L616">
        <f>SUMIFS(L$13:L$429,$A$13:$A$429,$C616,$C$13:$C$429,$D616)</f>
        <v>0</v>
      </c>
      <c r="M616">
        <f>SUMIFS(M$13:M$429,$A$13:$A$429,$C616,$C$13:$C$429,$D616)</f>
        <v>0</v>
      </c>
      <c r="N616">
        <f>SUMIFS(N$13:N$429,$A$13:$A$429,$C616,$C$13:$C$429,$D616)</f>
        <v>43.654365000000006</v>
      </c>
      <c r="O616">
        <f>SUMIFS(O$13:O$429,$A$13:$A$429,$C616,$C$13:$C$429,$D616)</f>
        <v>40.04589186</v>
      </c>
      <c r="P616">
        <f>SUMIFS(P$13:P$429,$A$13:$A$429,$C616,$C$13:$C$429,$D616)</f>
        <v>0</v>
      </c>
      <c r="Q616">
        <f>SUMIFS(Q$13:Q$429,$A$13:$A$429,$C616,$C$13:$C$429,$D616)</f>
        <v>0</v>
      </c>
      <c r="R616">
        <f>SUMIFS(R$13:R$429,$A$13:$A$429,$C616,$C$13:$C$429,$D616)</f>
        <v>0</v>
      </c>
      <c r="S616">
        <f>SUMIFS(S$13:S$429,$A$13:$A$429,$C616,$C$13:$C$429,$D616)</f>
        <v>0</v>
      </c>
      <c r="T616">
        <f>SUMIFS(T$13:T$429,$A$13:$A$429,$C616,$C$13:$C$429,$D616)</f>
        <v>0</v>
      </c>
      <c r="U616">
        <f>SUM(L616:T616)</f>
        <v>83.70025686</v>
      </c>
      <c r="W616">
        <f>IF(SUM(H616:I616)&gt;0,SUM(H616:I616)/G616,0)</f>
        <v>14.88346879042146</v>
      </c>
      <c r="X616">
        <f>IF(G616&gt;0,U616/G616,0)</f>
        <v>170.9000337102855</v>
      </c>
    </row>
    <row r="617">
      <c r="C617" t="str">
        <v>Lantai Attic</v>
      </c>
      <c r="D617" t="str">
        <v>B174-2</v>
      </c>
      <c r="G617">
        <f>SUMIFS($V$13:$V$429,$A$13:$A$429,$C617,$C$13:$C$429,$D617)</f>
        <v>0</v>
      </c>
      <c r="H617">
        <f>SUMIFS($W$13:$W$429,$A$13:$A$429,$C617,$C$13:$C$429,$D617)</f>
        <v>0</v>
      </c>
      <c r="I617">
        <f>SUMIFS($X$13:$X$429,$A$13:$A$429,$C617,$C$13:$C$429,$D617)</f>
        <v>0</v>
      </c>
      <c r="J617">
        <f>SUMIFS($Y$13:$Y$429,$A$13:$A$429,$C617,$C$13:$C$429,$D617)</f>
        <v>0</v>
      </c>
      <c r="K617">
        <f>SUMIFS($Z$13:$Z$429,$A$13:$A$429,$C617,$C$13:$C$429,$D617)</f>
        <v>0</v>
      </c>
      <c r="L617">
        <f>SUMIFS(L$13:L$429,$A$13:$A$429,$C617,$C$13:$C$429,$D617)</f>
        <v>0</v>
      </c>
      <c r="M617">
        <f>SUMIFS(M$13:M$429,$A$13:$A$429,$C617,$C$13:$C$429,$D617)</f>
        <v>0</v>
      </c>
      <c r="N617">
        <f>SUMIFS(N$13:N$429,$A$13:$A$429,$C617,$C$13:$C$429,$D617)</f>
        <v>0</v>
      </c>
      <c r="O617">
        <f>SUMIFS(O$13:O$429,$A$13:$A$429,$C617,$C$13:$C$429,$D617)</f>
        <v>0</v>
      </c>
      <c r="P617">
        <f>SUMIFS(P$13:P$429,$A$13:$A$429,$C617,$C$13:$C$429,$D617)</f>
        <v>0</v>
      </c>
      <c r="Q617">
        <f>SUMIFS(Q$13:Q$429,$A$13:$A$429,$C617,$C$13:$C$429,$D617)</f>
        <v>0</v>
      </c>
      <c r="R617">
        <f>SUMIFS(R$13:R$429,$A$13:$A$429,$C617,$C$13:$C$429,$D617)</f>
        <v>0</v>
      </c>
      <c r="S617">
        <f>SUMIFS(S$13:S$429,$A$13:$A$429,$C617,$C$13:$C$429,$D617)</f>
        <v>0</v>
      </c>
      <c r="T617">
        <f>SUMIFS(T$13:T$429,$A$13:$A$429,$C617,$C$13:$C$429,$D617)</f>
        <v>0</v>
      </c>
      <c r="U617">
        <f>SUM(L617:T617)</f>
        <v>0</v>
      </c>
      <c r="W617">
        <f>IF(SUM(H617:I617)&gt;0,SUM(H617:I617)/G617,0)</f>
        <v>0</v>
      </c>
      <c r="X617">
        <f>IF(G617&gt;0,U617/G617,0)</f>
        <v>0</v>
      </c>
    </row>
    <row r="618">
      <c r="C618" t="str">
        <v>Lantai Attic</v>
      </c>
      <c r="D618" t="str">
        <v>B175-1</v>
      </c>
      <c r="G618">
        <f>SUMIFS($V$13:$V$429,$A$13:$A$429,$C618,$C$13:$C$429,$D618)</f>
        <v>1.5477649999999998</v>
      </c>
      <c r="H618">
        <f>SUMIFS($W$13:$W$429,$A$13:$A$429,$C618,$C$13:$C$429,$D618)</f>
        <v>21.5835</v>
      </c>
      <c r="I618">
        <f>SUMIFS($X$13:$X$429,$A$13:$A$429,$C618,$C$13:$C$429,$D618)</f>
        <v>0</v>
      </c>
      <c r="J618">
        <f>SUMIFS($Y$13:$Y$429,$A$13:$A$429,$C618,$C$13:$C$429,$D618)</f>
        <v>0</v>
      </c>
      <c r="K618">
        <f>SUMIFS($Z$13:$Z$429,$A$13:$A$429,$C618,$C$13:$C$429,$D618)</f>
        <v>0</v>
      </c>
      <c r="L618">
        <f>SUMIFS(L$13:L$429,$A$13:$A$429,$C618,$C$13:$C$429,$D618)</f>
        <v>0</v>
      </c>
      <c r="M618">
        <f>SUMIFS(M$13:M$429,$A$13:$A$429,$C618,$C$13:$C$429,$D618)</f>
        <v>0</v>
      </c>
      <c r="N618">
        <f>SUMIFS(N$13:N$429,$A$13:$A$429,$C618,$C$13:$C$429,$D618)</f>
        <v>170.21564999999998</v>
      </c>
      <c r="O618">
        <f>SUMIFS(O$13:O$429,$A$13:$A$429,$C618,$C$13:$C$429,$D618)</f>
        <v>89.2270314</v>
      </c>
      <c r="P618">
        <f>SUMIFS(P$13:P$429,$A$13:$A$429,$C618,$C$13:$C$429,$D618)</f>
        <v>0</v>
      </c>
      <c r="Q618">
        <f>SUMIFS(Q$13:Q$429,$A$13:$A$429,$C618,$C$13:$C$429,$D618)</f>
        <v>0</v>
      </c>
      <c r="R618">
        <f>SUMIFS(R$13:R$429,$A$13:$A$429,$C618,$C$13:$C$429,$D618)</f>
        <v>0</v>
      </c>
      <c r="S618">
        <f>SUMIFS(S$13:S$429,$A$13:$A$429,$C618,$C$13:$C$429,$D618)</f>
        <v>0</v>
      </c>
      <c r="T618">
        <f>SUMIFS(T$13:T$429,$A$13:$A$429,$C618,$C$13:$C$429,$D618)</f>
        <v>0</v>
      </c>
      <c r="U618">
        <f>SUM(L618:T618)</f>
        <v>259.44268139999997</v>
      </c>
      <c r="W618">
        <f>IF(SUM(H618:I618)&gt;0,SUM(H618:I618)/G618,0)</f>
        <v>13.944946422745057</v>
      </c>
      <c r="X618">
        <f>IF(G618&gt;0,U618/G618,0)</f>
        <v>167.62407820308638</v>
      </c>
    </row>
    <row r="619">
      <c r="C619" t="str">
        <v>Lantai Attic</v>
      </c>
      <c r="D619" t="str">
        <v>B175-2</v>
      </c>
      <c r="G619">
        <f>SUMIFS($V$13:$V$429,$A$13:$A$429,$C619,$C$13:$C$429,$D619)</f>
        <v>0.3655</v>
      </c>
      <c r="H619">
        <f>SUMIFS($W$13:$W$429,$A$13:$A$429,$C619,$C$13:$C$429,$D619)</f>
        <v>5.031</v>
      </c>
      <c r="I619">
        <f>SUMIFS($X$13:$X$429,$A$13:$A$429,$C619,$C$13:$C$429,$D619)</f>
        <v>0</v>
      </c>
      <c r="J619">
        <f>SUMIFS($Y$13:$Y$429,$A$13:$A$429,$C619,$C$13:$C$429,$D619)</f>
        <v>0</v>
      </c>
      <c r="K619">
        <f>SUMIFS($Z$13:$Z$429,$A$13:$A$429,$C619,$C$13:$C$429,$D619)</f>
        <v>0</v>
      </c>
      <c r="L619">
        <f>SUMIFS(L$13:L$429,$A$13:$A$429,$C619,$C$13:$C$429,$D619)</f>
        <v>0</v>
      </c>
      <c r="M619">
        <f>SUMIFS(M$13:M$429,$A$13:$A$429,$C619,$C$13:$C$429,$D619)</f>
        <v>0</v>
      </c>
      <c r="N619">
        <f>SUMIFS(N$13:N$429,$A$13:$A$429,$C619,$C$13:$C$429,$D619)</f>
        <v>33.728715</v>
      </c>
      <c r="O619">
        <f>SUMIFS(O$13:O$429,$A$13:$A$429,$C619,$C$13:$C$429,$D619)</f>
        <v>34.571828069999995</v>
      </c>
      <c r="P619">
        <f>SUMIFS(P$13:P$429,$A$13:$A$429,$C619,$C$13:$C$429,$D619)</f>
        <v>0</v>
      </c>
      <c r="Q619">
        <f>SUMIFS(Q$13:Q$429,$A$13:$A$429,$C619,$C$13:$C$429,$D619)</f>
        <v>0</v>
      </c>
      <c r="R619">
        <f>SUMIFS(R$13:R$429,$A$13:$A$429,$C619,$C$13:$C$429,$D619)</f>
        <v>0</v>
      </c>
      <c r="S619">
        <f>SUMIFS(S$13:S$429,$A$13:$A$429,$C619,$C$13:$C$429,$D619)</f>
        <v>0</v>
      </c>
      <c r="T619">
        <f>SUMIFS(T$13:T$429,$A$13:$A$429,$C619,$C$13:$C$429,$D619)</f>
        <v>0</v>
      </c>
      <c r="U619">
        <f>SUM(L619:T619)</f>
        <v>68.30054307</v>
      </c>
      <c r="W619">
        <f>IF(SUM(H619:I619)&gt;0,SUM(H619:I619)/G619,0)</f>
        <v>13.76470588235294</v>
      </c>
      <c r="X619">
        <f>IF(G619&gt;0,U619/G619,0)</f>
        <v>186.8687908891929</v>
      </c>
    </row>
    <row r="620">
      <c r="C620" t="str">
        <v>Lantai Attic</v>
      </c>
      <c r="D620" t="str">
        <v>B176-1</v>
      </c>
      <c r="G620">
        <f>SUMIFS($V$13:$V$429,$A$13:$A$429,$C620,$C$13:$C$429,$D620)</f>
        <v>0</v>
      </c>
      <c r="H620">
        <f>SUMIFS($W$13:$W$429,$A$13:$A$429,$C620,$C$13:$C$429,$D620)</f>
        <v>0</v>
      </c>
      <c r="I620">
        <f>SUMIFS($X$13:$X$429,$A$13:$A$429,$C620,$C$13:$C$429,$D620)</f>
        <v>0</v>
      </c>
      <c r="J620">
        <f>SUMIFS($Y$13:$Y$429,$A$13:$A$429,$C620,$C$13:$C$429,$D620)</f>
        <v>0</v>
      </c>
      <c r="K620">
        <f>SUMIFS($Z$13:$Z$429,$A$13:$A$429,$C620,$C$13:$C$429,$D620)</f>
        <v>0</v>
      </c>
      <c r="L620">
        <f>SUMIFS(L$13:L$429,$A$13:$A$429,$C620,$C$13:$C$429,$D620)</f>
        <v>0</v>
      </c>
      <c r="M620">
        <f>SUMIFS(M$13:M$429,$A$13:$A$429,$C620,$C$13:$C$429,$D620)</f>
        <v>0</v>
      </c>
      <c r="N620">
        <f>SUMIFS(N$13:N$429,$A$13:$A$429,$C620,$C$13:$C$429,$D620)</f>
        <v>0</v>
      </c>
      <c r="O620">
        <f>SUMIFS(O$13:O$429,$A$13:$A$429,$C620,$C$13:$C$429,$D620)</f>
        <v>0</v>
      </c>
      <c r="P620">
        <f>SUMIFS(P$13:P$429,$A$13:$A$429,$C620,$C$13:$C$429,$D620)</f>
        <v>0</v>
      </c>
      <c r="Q620">
        <f>SUMIFS(Q$13:Q$429,$A$13:$A$429,$C620,$C$13:$C$429,$D620)</f>
        <v>0</v>
      </c>
      <c r="R620">
        <f>SUMIFS(R$13:R$429,$A$13:$A$429,$C620,$C$13:$C$429,$D620)</f>
        <v>0</v>
      </c>
      <c r="S620">
        <f>SUMIFS(S$13:S$429,$A$13:$A$429,$C620,$C$13:$C$429,$D620)</f>
        <v>0</v>
      </c>
      <c r="T620">
        <f>SUMIFS(T$13:T$429,$A$13:$A$429,$C620,$C$13:$C$429,$D620)</f>
        <v>0</v>
      </c>
      <c r="U620">
        <f>SUM(L620:T620)</f>
        <v>0</v>
      </c>
      <c r="W620">
        <f>IF(SUM(H620:I620)&gt;0,SUM(H620:I620)/G620,0)</f>
        <v>0</v>
      </c>
      <c r="X620">
        <f>IF(G620&gt;0,U620/G620,0)</f>
        <v>0</v>
      </c>
    </row>
    <row r="621">
      <c r="C621" t="str">
        <v>Lantai Attic</v>
      </c>
      <c r="D621" t="str">
        <v>CL176-1</v>
      </c>
      <c r="G621">
        <f>SUMIFS($V$13:$V$429,$A$13:$A$429,$C621,$C$13:$C$429,$D621)</f>
        <v>0</v>
      </c>
      <c r="H621">
        <f>SUMIFS($W$13:$W$429,$A$13:$A$429,$C621,$C$13:$C$429,$D621)</f>
        <v>0</v>
      </c>
      <c r="I621">
        <f>SUMIFS($X$13:$X$429,$A$13:$A$429,$C621,$C$13:$C$429,$D621)</f>
        <v>0</v>
      </c>
      <c r="J621">
        <f>SUMIFS($Y$13:$Y$429,$A$13:$A$429,$C621,$C$13:$C$429,$D621)</f>
        <v>0</v>
      </c>
      <c r="K621">
        <f>SUMIFS($Z$13:$Z$429,$A$13:$A$429,$C621,$C$13:$C$429,$D621)</f>
        <v>0</v>
      </c>
      <c r="L621">
        <f>SUMIFS(L$13:L$429,$A$13:$A$429,$C621,$C$13:$C$429,$D621)</f>
        <v>0</v>
      </c>
      <c r="M621">
        <f>SUMIFS(M$13:M$429,$A$13:$A$429,$C621,$C$13:$C$429,$D621)</f>
        <v>0</v>
      </c>
      <c r="N621">
        <f>SUMIFS(N$13:N$429,$A$13:$A$429,$C621,$C$13:$C$429,$D621)</f>
        <v>0</v>
      </c>
      <c r="O621">
        <f>SUMIFS(O$13:O$429,$A$13:$A$429,$C621,$C$13:$C$429,$D621)</f>
        <v>0</v>
      </c>
      <c r="P621">
        <f>SUMIFS(P$13:P$429,$A$13:$A$429,$C621,$C$13:$C$429,$D621)</f>
        <v>0</v>
      </c>
      <c r="Q621">
        <f>SUMIFS(Q$13:Q$429,$A$13:$A$429,$C621,$C$13:$C$429,$D621)</f>
        <v>0</v>
      </c>
      <c r="R621">
        <f>SUMIFS(R$13:R$429,$A$13:$A$429,$C621,$C$13:$C$429,$D621)</f>
        <v>0</v>
      </c>
      <c r="S621">
        <f>SUMIFS(S$13:S$429,$A$13:$A$429,$C621,$C$13:$C$429,$D621)</f>
        <v>0</v>
      </c>
      <c r="T621">
        <f>SUMIFS(T$13:T$429,$A$13:$A$429,$C621,$C$13:$C$429,$D621)</f>
        <v>0</v>
      </c>
      <c r="U621">
        <f>SUM(L621:T621)</f>
        <v>0</v>
      </c>
      <c r="W621">
        <f>IF(SUM(H621:I621)&gt;0,SUM(H621:I621)/G621,0)</f>
        <v>0</v>
      </c>
      <c r="X621">
        <f>IF(G621&gt;0,U621/G621,0)</f>
        <v>0</v>
      </c>
    </row>
    <row r="622">
      <c r="C622" t="str">
        <v>Lantai Attic</v>
      </c>
      <c r="D622" t="str">
        <v>B23-1</v>
      </c>
      <c r="G622">
        <f>SUMIFS($V$13:$V$429,$A$13:$A$429,$C622,$C$13:$C$429,$D622)</f>
        <v>0.06</v>
      </c>
      <c r="H622">
        <f>SUMIFS($W$13:$W$429,$A$13:$A$429,$C622,$C$13:$C$429,$D622)</f>
        <v>1</v>
      </c>
      <c r="I622">
        <f>SUMIFS($X$13:$X$429,$A$13:$A$429,$C622,$C$13:$C$429,$D622)</f>
        <v>0</v>
      </c>
      <c r="J622">
        <f>SUMIFS($Y$13:$Y$429,$A$13:$A$429,$C622,$C$13:$C$429,$D622)</f>
        <v>0</v>
      </c>
      <c r="K622">
        <f>SUMIFS($Z$13:$Z$429,$A$13:$A$429,$C622,$C$13:$C$429,$D622)</f>
        <v>0</v>
      </c>
      <c r="L622">
        <f>SUMIFS(L$13:L$429,$A$13:$A$429,$C622,$C$13:$C$429,$D622)</f>
        <v>0</v>
      </c>
      <c r="M622">
        <f>SUMIFS(M$13:M$429,$A$13:$A$429,$C622,$C$13:$C$429,$D622)</f>
        <v>6.2222112</v>
      </c>
      <c r="N622">
        <f>SUMIFS(N$13:N$429,$A$13:$A$429,$C622,$C$13:$C$429,$D622)</f>
        <v>0</v>
      </c>
      <c r="O622">
        <f>SUMIFS(O$13:O$429,$A$13:$A$429,$C622,$C$13:$C$429,$D622)</f>
        <v>9.63535248</v>
      </c>
      <c r="P622">
        <f>SUMIFS(P$13:P$429,$A$13:$A$429,$C622,$C$13:$C$429,$D622)</f>
        <v>0</v>
      </c>
      <c r="Q622">
        <f>SUMIFS(Q$13:Q$429,$A$13:$A$429,$C622,$C$13:$C$429,$D622)</f>
        <v>0</v>
      </c>
      <c r="R622">
        <f>SUMIFS(R$13:R$429,$A$13:$A$429,$C622,$C$13:$C$429,$D622)</f>
        <v>0</v>
      </c>
      <c r="S622">
        <f>SUMIFS(S$13:S$429,$A$13:$A$429,$C622,$C$13:$C$429,$D622)</f>
        <v>0</v>
      </c>
      <c r="T622">
        <f>SUMIFS(T$13:T$429,$A$13:$A$429,$C622,$C$13:$C$429,$D622)</f>
        <v>0</v>
      </c>
      <c r="U622">
        <f>SUM(L622:T622)</f>
        <v>15.85756368</v>
      </c>
      <c r="W622">
        <f>IF(SUM(H622:I622)&gt;0,SUM(H622:I622)/G622,0)</f>
        <v>16.666666666666668</v>
      </c>
      <c r="X622">
        <f>IF(G622&gt;0,U622/G622,0)</f>
        <v>264.292728</v>
      </c>
    </row>
    <row r="623">
      <c r="C623" t="str">
        <v>Lantai Attic</v>
      </c>
      <c r="D623" t="str">
        <v>B23-2</v>
      </c>
      <c r="G623">
        <f>SUMIFS($V$13:$V$429,$A$13:$A$429,$C623,$C$13:$C$429,$D623)</f>
        <v>0.1122</v>
      </c>
      <c r="H623">
        <f>SUMIFS($W$13:$W$429,$A$13:$A$429,$C623,$C$13:$C$429,$D623)</f>
        <v>1.782</v>
      </c>
      <c r="I623">
        <f>SUMIFS($X$13:$X$429,$A$13:$A$429,$C623,$C$13:$C$429,$D623)</f>
        <v>0</v>
      </c>
      <c r="J623">
        <f>SUMIFS($Y$13:$Y$429,$A$13:$A$429,$C623,$C$13:$C$429,$D623)</f>
        <v>0</v>
      </c>
      <c r="K623">
        <f>SUMIFS($Z$13:$Z$429,$A$13:$A$429,$C623,$C$13:$C$429,$D623)</f>
        <v>0</v>
      </c>
      <c r="L623">
        <f>SUMIFS(L$13:L$429,$A$13:$A$429,$C623,$C$13:$C$429,$D623)</f>
        <v>0</v>
      </c>
      <c r="M623">
        <f>SUMIFS(M$13:M$429,$A$13:$A$429,$C623,$C$13:$C$429,$D623)</f>
        <v>9.4970592</v>
      </c>
      <c r="N623">
        <f>SUMIFS(N$13:N$429,$A$13:$A$429,$C623,$C$13:$C$429,$D623)</f>
        <v>0</v>
      </c>
      <c r="O623">
        <f>SUMIFS(O$13:O$429,$A$13:$A$429,$C623,$C$13:$C$429,$D623)</f>
        <v>19.954181519999995</v>
      </c>
      <c r="P623">
        <f>SUMIFS(P$13:P$429,$A$13:$A$429,$C623,$C$13:$C$429,$D623)</f>
        <v>0</v>
      </c>
      <c r="Q623">
        <f>SUMIFS(Q$13:Q$429,$A$13:$A$429,$C623,$C$13:$C$429,$D623)</f>
        <v>0</v>
      </c>
      <c r="R623">
        <f>SUMIFS(R$13:R$429,$A$13:$A$429,$C623,$C$13:$C$429,$D623)</f>
        <v>0</v>
      </c>
      <c r="S623">
        <f>SUMIFS(S$13:S$429,$A$13:$A$429,$C623,$C$13:$C$429,$D623)</f>
        <v>0</v>
      </c>
      <c r="T623">
        <f>SUMIFS(T$13:T$429,$A$13:$A$429,$C623,$C$13:$C$429,$D623)</f>
        <v>0</v>
      </c>
      <c r="U623">
        <f>SUM(L623:T623)</f>
        <v>29.451240719999994</v>
      </c>
      <c r="W623">
        <f>IF(SUM(H623:I623)&gt;0,SUM(H623:I623)/G623,0)</f>
        <v>15.882352941176471</v>
      </c>
      <c r="X623">
        <f>IF(G623&gt;0,U623/G623,0)</f>
        <v>262.4887764705882</v>
      </c>
    </row>
    <row r="624">
      <c r="C624" t="str">
        <v>Lantai Attic</v>
      </c>
      <c r="D624" t="str">
        <v>B24-1</v>
      </c>
      <c r="G624">
        <f>SUMIFS($V$13:$V$429,$A$13:$A$429,$C624,$C$13:$C$429,$D624)</f>
        <v>0.59519</v>
      </c>
      <c r="H624">
        <f>SUMIFS($W$13:$W$429,$A$13:$A$429,$C624,$C$13:$C$429,$D624)</f>
        <v>7.8489</v>
      </c>
      <c r="I624">
        <f>SUMIFS($X$13:$X$429,$A$13:$A$429,$C624,$C$13:$C$429,$D624)</f>
        <v>0</v>
      </c>
      <c r="J624">
        <f>SUMIFS($Y$13:$Y$429,$A$13:$A$429,$C624,$C$13:$C$429,$D624)</f>
        <v>0</v>
      </c>
      <c r="K624">
        <f>SUMIFS($Z$13:$Z$429,$A$13:$A$429,$C624,$C$13:$C$429,$D624)</f>
        <v>0</v>
      </c>
      <c r="L624">
        <f>SUMIFS(L$13:L$429,$A$13:$A$429,$C624,$C$13:$C$429,$D624)</f>
        <v>0</v>
      </c>
      <c r="M624">
        <f>SUMIFS(M$13:M$429,$A$13:$A$429,$C624,$C$13:$C$429,$D624)</f>
        <v>36.16931520000001</v>
      </c>
      <c r="N624">
        <f>SUMIFS(N$13:N$429,$A$13:$A$429,$C624,$C$13:$C$429,$D624)</f>
        <v>0</v>
      </c>
      <c r="O624">
        <f>SUMIFS(O$13:O$429,$A$13:$A$429,$C624,$C$13:$C$429,$D624)</f>
        <v>44.73020681999999</v>
      </c>
      <c r="P624">
        <f>SUMIFS(P$13:P$429,$A$13:$A$429,$C624,$C$13:$C$429,$D624)</f>
        <v>0</v>
      </c>
      <c r="Q624">
        <f>SUMIFS(Q$13:Q$429,$A$13:$A$429,$C624,$C$13:$C$429,$D624)</f>
        <v>0</v>
      </c>
      <c r="R624">
        <f>SUMIFS(R$13:R$429,$A$13:$A$429,$C624,$C$13:$C$429,$D624)</f>
        <v>0</v>
      </c>
      <c r="S624">
        <f>SUMIFS(S$13:S$429,$A$13:$A$429,$C624,$C$13:$C$429,$D624)</f>
        <v>0</v>
      </c>
      <c r="T624">
        <f>SUMIFS(T$13:T$429,$A$13:$A$429,$C624,$C$13:$C$429,$D624)</f>
        <v>0</v>
      </c>
      <c r="U624">
        <f>SUM(L624:T624)</f>
        <v>80.89952202</v>
      </c>
      <c r="W624">
        <f>IF(SUM(H624:I624)&gt;0,SUM(H624:I624)/G624,0)</f>
        <v>13.187217527176196</v>
      </c>
      <c r="X624">
        <f>IF(G624&gt;0,U624/G624,0)</f>
        <v>135.92217950570407</v>
      </c>
    </row>
    <row r="625">
      <c r="C625" t="str">
        <v>Lantai Attic</v>
      </c>
      <c r="D625" t="str">
        <v>B24-2</v>
      </c>
      <c r="G625">
        <f>SUMIFS($V$13:$V$429,$A$13:$A$429,$C625,$C$13:$C$429,$D625)</f>
        <v>0</v>
      </c>
      <c r="H625">
        <f>SUMIFS($W$13:$W$429,$A$13:$A$429,$C625,$C$13:$C$429,$D625)</f>
        <v>0</v>
      </c>
      <c r="I625">
        <f>SUMIFS($X$13:$X$429,$A$13:$A$429,$C625,$C$13:$C$429,$D625)</f>
        <v>0</v>
      </c>
      <c r="J625">
        <f>SUMIFS($Y$13:$Y$429,$A$13:$A$429,$C625,$C$13:$C$429,$D625)</f>
        <v>0</v>
      </c>
      <c r="K625">
        <f>SUMIFS($Z$13:$Z$429,$A$13:$A$429,$C625,$C$13:$C$429,$D625)</f>
        <v>0</v>
      </c>
      <c r="L625">
        <f>SUMIFS(L$13:L$429,$A$13:$A$429,$C625,$C$13:$C$429,$D625)</f>
        <v>0</v>
      </c>
      <c r="M625">
        <f>SUMIFS(M$13:M$429,$A$13:$A$429,$C625,$C$13:$C$429,$D625)</f>
        <v>0</v>
      </c>
      <c r="N625">
        <f>SUMIFS(N$13:N$429,$A$13:$A$429,$C625,$C$13:$C$429,$D625)</f>
        <v>0</v>
      </c>
      <c r="O625">
        <f>SUMIFS(O$13:O$429,$A$13:$A$429,$C625,$C$13:$C$429,$D625)</f>
        <v>0</v>
      </c>
      <c r="P625">
        <f>SUMIFS(P$13:P$429,$A$13:$A$429,$C625,$C$13:$C$429,$D625)</f>
        <v>0</v>
      </c>
      <c r="Q625">
        <f>SUMIFS(Q$13:Q$429,$A$13:$A$429,$C625,$C$13:$C$429,$D625)</f>
        <v>0</v>
      </c>
      <c r="R625">
        <f>SUMIFS(R$13:R$429,$A$13:$A$429,$C625,$C$13:$C$429,$D625)</f>
        <v>0</v>
      </c>
      <c r="S625">
        <f>SUMIFS(S$13:S$429,$A$13:$A$429,$C625,$C$13:$C$429,$D625)</f>
        <v>0</v>
      </c>
      <c r="T625">
        <f>SUMIFS(T$13:T$429,$A$13:$A$429,$C625,$C$13:$C$429,$D625)</f>
        <v>0</v>
      </c>
      <c r="U625">
        <f>SUM(L625:T625)</f>
        <v>0</v>
      </c>
      <c r="W625">
        <f>IF(SUM(H625:I625)&gt;0,SUM(H625:I625)/G625,0)</f>
        <v>0</v>
      </c>
      <c r="X625">
        <f>IF(G625&gt;0,U625/G625,0)</f>
        <v>0</v>
      </c>
    </row>
    <row r="626">
      <c r="C626" t="str">
        <v>Lantai Attic</v>
      </c>
      <c r="D626" t="str">
        <v>B24-3</v>
      </c>
      <c r="G626">
        <f>SUMIFS($V$13:$V$429,$A$13:$A$429,$C626,$C$13:$C$429,$D626)</f>
        <v>0.32</v>
      </c>
      <c r="H626">
        <f>SUMIFS($W$13:$W$429,$A$13:$A$429,$C626,$C$13:$C$429,$D626)</f>
        <v>4.48</v>
      </c>
      <c r="I626">
        <f>SUMIFS($X$13:$X$429,$A$13:$A$429,$C626,$C$13:$C$429,$D626)</f>
        <v>0</v>
      </c>
      <c r="J626">
        <f>SUMIFS($Y$13:$Y$429,$A$13:$A$429,$C626,$C$13:$C$429,$D626)</f>
        <v>0</v>
      </c>
      <c r="K626">
        <f>SUMIFS($Z$13:$Z$429,$A$13:$A$429,$C626,$C$13:$C$429,$D626)</f>
        <v>0</v>
      </c>
      <c r="L626">
        <f>SUMIFS(L$13:L$429,$A$13:$A$429,$C626,$C$13:$C$429,$D626)</f>
        <v>0</v>
      </c>
      <c r="M626">
        <f>SUMIFS(M$13:M$429,$A$13:$A$429,$C626,$C$13:$C$429,$D626)</f>
        <v>0</v>
      </c>
      <c r="N626">
        <f>SUMIFS(N$13:N$429,$A$13:$A$429,$C626,$C$13:$C$429,$D626)</f>
        <v>31.749750000000006</v>
      </c>
      <c r="O626">
        <f>SUMIFS(O$13:O$429,$A$13:$A$429,$C626,$C$13:$C$429,$D626)</f>
        <v>0</v>
      </c>
      <c r="P626">
        <f>SUMIFS(P$13:P$429,$A$13:$A$429,$C626,$C$13:$C$429,$D626)</f>
        <v>64.24068096</v>
      </c>
      <c r="Q626">
        <f>SUMIFS(Q$13:Q$429,$A$13:$A$429,$C626,$C$13:$C$429,$D626)</f>
        <v>0</v>
      </c>
      <c r="R626">
        <f>SUMIFS(R$13:R$429,$A$13:$A$429,$C626,$C$13:$C$429,$D626)</f>
        <v>0</v>
      </c>
      <c r="S626">
        <f>SUMIFS(S$13:S$429,$A$13:$A$429,$C626,$C$13:$C$429,$D626)</f>
        <v>0</v>
      </c>
      <c r="T626">
        <f>SUMIFS(T$13:T$429,$A$13:$A$429,$C626,$C$13:$C$429,$D626)</f>
        <v>0</v>
      </c>
      <c r="U626">
        <f>SUM(L626:T626)</f>
        <v>95.99043096000001</v>
      </c>
      <c r="W626">
        <f>IF(SUM(H626:I626)&gt;0,SUM(H626:I626)/G626,0)</f>
        <v>14.000000000000002</v>
      </c>
      <c r="X626">
        <f>IF(G626&gt;0,U626/G626,0)</f>
        <v>299.97009675000004</v>
      </c>
    </row>
    <row r="627">
      <c r="C627" t="str">
        <v>Lantai Attic</v>
      </c>
      <c r="D627" t="str">
        <v>B24-4</v>
      </c>
      <c r="G627">
        <f>SUMIFS($V$13:$V$429,$A$13:$A$429,$C627,$C$13:$C$429,$D627)</f>
        <v>0.43500000000000005</v>
      </c>
      <c r="H627">
        <f>SUMIFS($W$13:$W$429,$A$13:$A$429,$C627,$C$13:$C$429,$D627)</f>
        <v>6.09</v>
      </c>
      <c r="I627">
        <f>SUMIFS($X$13:$X$429,$A$13:$A$429,$C627,$C$13:$C$429,$D627)</f>
        <v>0</v>
      </c>
      <c r="J627">
        <f>SUMIFS($Y$13:$Y$429,$A$13:$A$429,$C627,$C$13:$C$429,$D627)</f>
        <v>0</v>
      </c>
      <c r="K627">
        <f>SUMIFS($Z$13:$Z$429,$A$13:$A$429,$C627,$C$13:$C$429,$D627)</f>
        <v>0</v>
      </c>
      <c r="L627">
        <f>SUMIFS(L$13:L$429,$A$13:$A$429,$C627,$C$13:$C$429,$D627)</f>
        <v>0</v>
      </c>
      <c r="M627">
        <f>SUMIFS(M$13:M$429,$A$13:$A$429,$C627,$C$13:$C$429,$D627)</f>
        <v>33.324537600000006</v>
      </c>
      <c r="N627">
        <f>SUMIFS(N$13:N$429,$A$13:$A$429,$C627,$C$13:$C$429,$D627)</f>
        <v>0</v>
      </c>
      <c r="O627">
        <f>SUMIFS(O$13:O$429,$A$13:$A$429,$C627,$C$13:$C$429,$D627)</f>
        <v>0</v>
      </c>
      <c r="P627">
        <f>SUMIFS(P$13:P$429,$A$13:$A$429,$C627,$C$13:$C$429,$D627)</f>
        <v>98.17915391999999</v>
      </c>
      <c r="Q627">
        <f>SUMIFS(Q$13:Q$429,$A$13:$A$429,$C627,$C$13:$C$429,$D627)</f>
        <v>0</v>
      </c>
      <c r="R627">
        <f>SUMIFS(R$13:R$429,$A$13:$A$429,$C627,$C$13:$C$429,$D627)</f>
        <v>0</v>
      </c>
      <c r="S627">
        <f>SUMIFS(S$13:S$429,$A$13:$A$429,$C627,$C$13:$C$429,$D627)</f>
        <v>0</v>
      </c>
      <c r="T627">
        <f>SUMIFS(T$13:T$429,$A$13:$A$429,$C627,$C$13:$C$429,$D627)</f>
        <v>0</v>
      </c>
      <c r="U627">
        <f>SUM(L627:T627)</f>
        <v>131.50369152</v>
      </c>
      <c r="W627">
        <f>IF(SUM(H627:I627)&gt;0,SUM(H627:I627)/G627,0)</f>
        <v>13.999999999999998</v>
      </c>
      <c r="X627">
        <f>IF(G627&gt;0,U627/G627,0)</f>
        <v>302.30733682758614</v>
      </c>
    </row>
    <row r="628">
      <c r="C628" t="str">
        <v>Lantai Attic</v>
      </c>
      <c r="D628" t="str">
        <v>B24-5</v>
      </c>
      <c r="G628">
        <f>SUMIFS($V$13:$V$429,$A$13:$A$429,$C628,$C$13:$C$429,$D628)</f>
        <v>0</v>
      </c>
      <c r="H628">
        <f>SUMIFS($W$13:$W$429,$A$13:$A$429,$C628,$C$13:$C$429,$D628)</f>
        <v>0</v>
      </c>
      <c r="I628">
        <f>SUMIFS($X$13:$X$429,$A$13:$A$429,$C628,$C$13:$C$429,$D628)</f>
        <v>0</v>
      </c>
      <c r="J628">
        <f>SUMIFS($Y$13:$Y$429,$A$13:$A$429,$C628,$C$13:$C$429,$D628)</f>
        <v>0</v>
      </c>
      <c r="K628">
        <f>SUMIFS($Z$13:$Z$429,$A$13:$A$429,$C628,$C$13:$C$429,$D628)</f>
        <v>0</v>
      </c>
      <c r="L628">
        <f>SUMIFS(L$13:L$429,$A$13:$A$429,$C628,$C$13:$C$429,$D628)</f>
        <v>0</v>
      </c>
      <c r="M628">
        <f>SUMIFS(M$13:M$429,$A$13:$A$429,$C628,$C$13:$C$429,$D628)</f>
        <v>0</v>
      </c>
      <c r="N628">
        <f>SUMIFS(N$13:N$429,$A$13:$A$429,$C628,$C$13:$C$429,$D628)</f>
        <v>0</v>
      </c>
      <c r="O628">
        <f>SUMIFS(O$13:O$429,$A$13:$A$429,$C628,$C$13:$C$429,$D628)</f>
        <v>0</v>
      </c>
      <c r="P628">
        <f>SUMIFS(P$13:P$429,$A$13:$A$429,$C628,$C$13:$C$429,$D628)</f>
        <v>0</v>
      </c>
      <c r="Q628">
        <f>SUMIFS(Q$13:Q$429,$A$13:$A$429,$C628,$C$13:$C$429,$D628)</f>
        <v>0</v>
      </c>
      <c r="R628">
        <f>SUMIFS(R$13:R$429,$A$13:$A$429,$C628,$C$13:$C$429,$D628)</f>
        <v>0</v>
      </c>
      <c r="S628">
        <f>SUMIFS(S$13:S$429,$A$13:$A$429,$C628,$C$13:$C$429,$D628)</f>
        <v>0</v>
      </c>
      <c r="T628">
        <f>SUMIFS(T$13:T$429,$A$13:$A$429,$C628,$C$13:$C$429,$D628)</f>
        <v>0</v>
      </c>
      <c r="U628">
        <f>SUM(L628:T628)</f>
        <v>0</v>
      </c>
      <c r="W628">
        <f>IF(SUM(H628:I628)&gt;0,SUM(H628:I628)/G628,0)</f>
        <v>0</v>
      </c>
      <c r="X628">
        <f>IF(G628&gt;0,U628/G628,0)</f>
        <v>0</v>
      </c>
    </row>
    <row r="629">
      <c r="C629" t="str">
        <v>Lantai Attic</v>
      </c>
      <c r="D629" t="str">
        <v>B24-6</v>
      </c>
      <c r="G629">
        <f>SUMIFS($V$13:$V$429,$A$13:$A$429,$C629,$C$13:$C$429,$D629)</f>
        <v>0.1</v>
      </c>
      <c r="H629">
        <f>SUMIFS($W$13:$W$429,$A$13:$A$429,$C629,$C$13:$C$429,$D629)</f>
        <v>1.4</v>
      </c>
      <c r="I629">
        <f>SUMIFS($X$13:$X$429,$A$13:$A$429,$C629,$C$13:$C$429,$D629)</f>
        <v>0</v>
      </c>
      <c r="J629">
        <f>SUMIFS($Y$13:$Y$429,$A$13:$A$429,$C629,$C$13:$C$429,$D629)</f>
        <v>0</v>
      </c>
      <c r="K629">
        <f>SUMIFS($Z$13:$Z$429,$A$13:$A$429,$C629,$C$13:$C$429,$D629)</f>
        <v>0</v>
      </c>
      <c r="L629">
        <f>SUMIFS(L$13:L$429,$A$13:$A$429,$C629,$C$13:$C$429,$D629)</f>
        <v>0</v>
      </c>
      <c r="M629">
        <f>SUMIFS(M$13:M$429,$A$13:$A$429,$C629,$C$13:$C$429,$D629)</f>
        <v>0</v>
      </c>
      <c r="N629">
        <f>SUMIFS(N$13:N$429,$A$13:$A$429,$C629,$C$13:$C$429,$D629)</f>
        <v>12.699900000000001</v>
      </c>
      <c r="O629">
        <f>SUMIFS(O$13:O$429,$A$13:$A$429,$C629,$C$13:$C$429,$D629)</f>
        <v>0</v>
      </c>
      <c r="P629">
        <f>SUMIFS(P$13:P$429,$A$13:$A$429,$C629,$C$13:$C$429,$D629)</f>
        <v>0</v>
      </c>
      <c r="Q629">
        <f>SUMIFS(Q$13:Q$429,$A$13:$A$429,$C629,$C$13:$C$429,$D629)</f>
        <v>27.329938199999997</v>
      </c>
      <c r="R629">
        <f>SUMIFS(R$13:R$429,$A$13:$A$429,$C629,$C$13:$C$429,$D629)</f>
        <v>0</v>
      </c>
      <c r="S629">
        <f>SUMIFS(S$13:S$429,$A$13:$A$429,$C629,$C$13:$C$429,$D629)</f>
        <v>0</v>
      </c>
      <c r="T629">
        <f>SUMIFS(T$13:T$429,$A$13:$A$429,$C629,$C$13:$C$429,$D629)</f>
        <v>0</v>
      </c>
      <c r="U629">
        <f>SUM(L629:T629)</f>
        <v>40.0298382</v>
      </c>
      <c r="W629">
        <f>IF(SUM(H629:I629)&gt;0,SUM(H629:I629)/G629,0)</f>
        <v>13.999999999999998</v>
      </c>
      <c r="X629">
        <f>IF(G629&gt;0,U629/G629,0)</f>
        <v>400.298382</v>
      </c>
    </row>
    <row r="630">
      <c r="C630" t="str">
        <v>Lantai Attic</v>
      </c>
      <c r="D630" t="str">
        <v>B24-7</v>
      </c>
      <c r="G630">
        <f>SUMIFS($V$13:$V$429,$A$13:$A$429,$C630,$C$13:$C$429,$D630)</f>
        <v>0</v>
      </c>
      <c r="H630">
        <f>SUMIFS($W$13:$W$429,$A$13:$A$429,$C630,$C$13:$C$429,$D630)</f>
        <v>0</v>
      </c>
      <c r="I630">
        <f>SUMIFS($X$13:$X$429,$A$13:$A$429,$C630,$C$13:$C$429,$D630)</f>
        <v>0</v>
      </c>
      <c r="J630">
        <f>SUMIFS($Y$13:$Y$429,$A$13:$A$429,$C630,$C$13:$C$429,$D630)</f>
        <v>0</v>
      </c>
      <c r="K630">
        <f>SUMIFS($Z$13:$Z$429,$A$13:$A$429,$C630,$C$13:$C$429,$D630)</f>
        <v>0</v>
      </c>
      <c r="L630">
        <f>SUMIFS(L$13:L$429,$A$13:$A$429,$C630,$C$13:$C$429,$D630)</f>
        <v>0</v>
      </c>
      <c r="M630">
        <f>SUMIFS(M$13:M$429,$A$13:$A$429,$C630,$C$13:$C$429,$D630)</f>
        <v>0</v>
      </c>
      <c r="N630">
        <f>SUMIFS(N$13:N$429,$A$13:$A$429,$C630,$C$13:$C$429,$D630)</f>
        <v>0</v>
      </c>
      <c r="O630">
        <f>SUMIFS(O$13:O$429,$A$13:$A$429,$C630,$C$13:$C$429,$D630)</f>
        <v>0</v>
      </c>
      <c r="P630">
        <f>SUMIFS(P$13:P$429,$A$13:$A$429,$C630,$C$13:$C$429,$D630)</f>
        <v>0</v>
      </c>
      <c r="Q630">
        <f>SUMIFS(Q$13:Q$429,$A$13:$A$429,$C630,$C$13:$C$429,$D630)</f>
        <v>0</v>
      </c>
      <c r="R630">
        <f>SUMIFS(R$13:R$429,$A$13:$A$429,$C630,$C$13:$C$429,$D630)</f>
        <v>0</v>
      </c>
      <c r="S630">
        <f>SUMIFS(S$13:S$429,$A$13:$A$429,$C630,$C$13:$C$429,$D630)</f>
        <v>0</v>
      </c>
      <c r="T630">
        <f>SUMIFS(T$13:T$429,$A$13:$A$429,$C630,$C$13:$C$429,$D630)</f>
        <v>0</v>
      </c>
      <c r="U630">
        <f>SUM(L630:T630)</f>
        <v>0</v>
      </c>
      <c r="W630">
        <f>IF(SUM(H630:I630)&gt;0,SUM(H630:I630)/G630,0)</f>
        <v>0</v>
      </c>
      <c r="X630">
        <f>IF(G630&gt;0,U630/G630,0)</f>
        <v>0</v>
      </c>
    </row>
    <row r="631">
      <c r="C631" t="str">
        <v>Lantai Attic</v>
      </c>
      <c r="D631" t="str">
        <v>CL24-1</v>
      </c>
      <c r="G631">
        <f>SUMIFS($V$13:$V$429,$A$13:$A$429,$C631,$C$13:$C$429,$D631)</f>
        <v>0</v>
      </c>
      <c r="H631">
        <f>SUMIFS($W$13:$W$429,$A$13:$A$429,$C631,$C$13:$C$429,$D631)</f>
        <v>0</v>
      </c>
      <c r="I631">
        <f>SUMIFS($X$13:$X$429,$A$13:$A$429,$C631,$C$13:$C$429,$D631)</f>
        <v>0</v>
      </c>
      <c r="J631">
        <f>SUMIFS($Y$13:$Y$429,$A$13:$A$429,$C631,$C$13:$C$429,$D631)</f>
        <v>0</v>
      </c>
      <c r="K631">
        <f>SUMIFS($Z$13:$Z$429,$A$13:$A$429,$C631,$C$13:$C$429,$D631)</f>
        <v>0</v>
      </c>
      <c r="L631">
        <f>SUMIFS(L$13:L$429,$A$13:$A$429,$C631,$C$13:$C$429,$D631)</f>
        <v>0</v>
      </c>
      <c r="M631">
        <f>SUMIFS(M$13:M$429,$A$13:$A$429,$C631,$C$13:$C$429,$D631)</f>
        <v>0</v>
      </c>
      <c r="N631">
        <f>SUMIFS(N$13:N$429,$A$13:$A$429,$C631,$C$13:$C$429,$D631)</f>
        <v>0</v>
      </c>
      <c r="O631">
        <f>SUMIFS(O$13:O$429,$A$13:$A$429,$C631,$C$13:$C$429,$D631)</f>
        <v>0</v>
      </c>
      <c r="P631">
        <f>SUMIFS(P$13:P$429,$A$13:$A$429,$C631,$C$13:$C$429,$D631)</f>
        <v>0</v>
      </c>
      <c r="Q631">
        <f>SUMIFS(Q$13:Q$429,$A$13:$A$429,$C631,$C$13:$C$429,$D631)</f>
        <v>0</v>
      </c>
      <c r="R631">
        <f>SUMIFS(R$13:R$429,$A$13:$A$429,$C631,$C$13:$C$429,$D631)</f>
        <v>0</v>
      </c>
      <c r="S631">
        <f>SUMIFS(S$13:S$429,$A$13:$A$429,$C631,$C$13:$C$429,$D631)</f>
        <v>0</v>
      </c>
      <c r="T631">
        <f>SUMIFS(T$13:T$429,$A$13:$A$429,$C631,$C$13:$C$429,$D631)</f>
        <v>0</v>
      </c>
      <c r="U631">
        <f>SUM(L631:T631)</f>
        <v>0</v>
      </c>
      <c r="W631">
        <f>IF(SUM(H631:I631)&gt;0,SUM(H631:I631)/G631,0)</f>
        <v>0</v>
      </c>
      <c r="X631">
        <f>IF(G631&gt;0,U631/G631,0)</f>
        <v>0</v>
      </c>
    </row>
    <row r="632">
      <c r="C632" t="str">
        <v>Lantai Attic</v>
      </c>
      <c r="D632" t="str">
        <v>B245-1</v>
      </c>
      <c r="G632">
        <f>SUMIFS($V$13:$V$429,$A$13:$A$429,$C632,$C$13:$C$429,$D632)</f>
        <v>0.9189</v>
      </c>
      <c r="H632">
        <f>SUMIFS($W$13:$W$429,$A$13:$A$429,$C632,$C$13:$C$429,$D632)</f>
        <v>12.252</v>
      </c>
      <c r="I632">
        <f>SUMIFS($X$13:$X$429,$A$13:$A$429,$C632,$C$13:$C$429,$D632)</f>
        <v>0</v>
      </c>
      <c r="J632">
        <f>SUMIFS($Y$13:$Y$429,$A$13:$A$429,$C632,$C$13:$C$429,$D632)</f>
        <v>0</v>
      </c>
      <c r="K632">
        <f>SUMIFS($Z$13:$Z$429,$A$13:$A$429,$C632,$C$13:$C$429,$D632)</f>
        <v>0</v>
      </c>
      <c r="L632">
        <f>SUMIFS(L$13:L$429,$A$13:$A$429,$C632,$C$13:$C$429,$D632)</f>
        <v>0</v>
      </c>
      <c r="M632">
        <f>SUMIFS(M$13:M$429,$A$13:$A$429,$C632,$C$13:$C$429,$D632)</f>
        <v>66.04224192</v>
      </c>
      <c r="N632">
        <f>SUMIFS(N$13:N$429,$A$13:$A$429,$C632,$C$13:$C$429,$D632)</f>
        <v>0</v>
      </c>
      <c r="O632">
        <f>SUMIFS(O$13:O$429,$A$13:$A$429,$C632,$C$13:$C$429,$D632)</f>
        <v>67.72669254</v>
      </c>
      <c r="P632">
        <f>SUMIFS(P$13:P$429,$A$13:$A$429,$C632,$C$13:$C$429,$D632)</f>
        <v>0</v>
      </c>
      <c r="Q632">
        <f>SUMIFS(Q$13:Q$429,$A$13:$A$429,$C632,$C$13:$C$429,$D632)</f>
        <v>0</v>
      </c>
      <c r="R632">
        <f>SUMIFS(R$13:R$429,$A$13:$A$429,$C632,$C$13:$C$429,$D632)</f>
        <v>0</v>
      </c>
      <c r="S632">
        <f>SUMIFS(S$13:S$429,$A$13:$A$429,$C632,$C$13:$C$429,$D632)</f>
        <v>0</v>
      </c>
      <c r="T632">
        <f>SUMIFS(T$13:T$429,$A$13:$A$429,$C632,$C$13:$C$429,$D632)</f>
        <v>0</v>
      </c>
      <c r="U632">
        <f>SUM(L632:T632)</f>
        <v>133.76893446</v>
      </c>
      <c r="W632">
        <f>IF(SUM(H632:I632)&gt;0,SUM(H632:I632)/G632,0)</f>
        <v>13.333333333333334</v>
      </c>
      <c r="X632">
        <f>IF(G632&gt;0,U632/G632,0)</f>
        <v>145.57507286973555</v>
      </c>
    </row>
    <row r="633">
      <c r="C633" t="str">
        <v>Lantai Attic</v>
      </c>
      <c r="D633" t="str">
        <v>CL245-1</v>
      </c>
      <c r="G633">
        <f>SUMIFS($V$13:$V$429,$A$13:$A$429,$C633,$C$13:$C$429,$D633)</f>
        <v>0</v>
      </c>
      <c r="H633">
        <f>SUMIFS($W$13:$W$429,$A$13:$A$429,$C633,$C$13:$C$429,$D633)</f>
        <v>0</v>
      </c>
      <c r="I633">
        <f>SUMIFS($X$13:$X$429,$A$13:$A$429,$C633,$C$13:$C$429,$D633)</f>
        <v>0</v>
      </c>
      <c r="J633">
        <f>SUMIFS($Y$13:$Y$429,$A$13:$A$429,$C633,$C$13:$C$429,$D633)</f>
        <v>0</v>
      </c>
      <c r="K633">
        <f>SUMIFS($Z$13:$Z$429,$A$13:$A$429,$C633,$C$13:$C$429,$D633)</f>
        <v>0</v>
      </c>
      <c r="L633">
        <f>SUMIFS(L$13:L$429,$A$13:$A$429,$C633,$C$13:$C$429,$D633)</f>
        <v>0</v>
      </c>
      <c r="M633">
        <f>SUMIFS(M$13:M$429,$A$13:$A$429,$C633,$C$13:$C$429,$D633)</f>
        <v>0</v>
      </c>
      <c r="N633">
        <f>SUMIFS(N$13:N$429,$A$13:$A$429,$C633,$C$13:$C$429,$D633)</f>
        <v>0</v>
      </c>
      <c r="O633">
        <f>SUMIFS(O$13:O$429,$A$13:$A$429,$C633,$C$13:$C$429,$D633)</f>
        <v>0</v>
      </c>
      <c r="P633">
        <f>SUMIFS(P$13:P$429,$A$13:$A$429,$C633,$C$13:$C$429,$D633)</f>
        <v>0</v>
      </c>
      <c r="Q633">
        <f>SUMIFS(Q$13:Q$429,$A$13:$A$429,$C633,$C$13:$C$429,$D633)</f>
        <v>0</v>
      </c>
      <c r="R633">
        <f>SUMIFS(R$13:R$429,$A$13:$A$429,$C633,$C$13:$C$429,$D633)</f>
        <v>0</v>
      </c>
      <c r="S633">
        <f>SUMIFS(S$13:S$429,$A$13:$A$429,$C633,$C$13:$C$429,$D633)</f>
        <v>0</v>
      </c>
      <c r="T633">
        <f>SUMIFS(T$13:T$429,$A$13:$A$429,$C633,$C$13:$C$429,$D633)</f>
        <v>0</v>
      </c>
      <c r="U633">
        <f>SUM(L633:T633)</f>
        <v>0</v>
      </c>
      <c r="W633">
        <f>IF(SUM(H633:I633)&gt;0,SUM(H633:I633)/G633,0)</f>
        <v>0</v>
      </c>
      <c r="X633">
        <f>IF(G633&gt;0,U633/G633,0)</f>
        <v>0</v>
      </c>
    </row>
    <row r="634">
      <c r="C634" t="str">
        <v>Lantai Attic</v>
      </c>
      <c r="D634" t="str">
        <v>B245-1A</v>
      </c>
      <c r="G634">
        <f>SUMIFS($V$13:$V$429,$A$13:$A$429,$C634,$C$13:$C$429,$D634)</f>
        <v>0</v>
      </c>
      <c r="H634">
        <f>SUMIFS($W$13:$W$429,$A$13:$A$429,$C634,$C$13:$C$429,$D634)</f>
        <v>0</v>
      </c>
      <c r="I634">
        <f>SUMIFS($X$13:$X$429,$A$13:$A$429,$C634,$C$13:$C$429,$D634)</f>
        <v>0</v>
      </c>
      <c r="J634">
        <f>SUMIFS($Y$13:$Y$429,$A$13:$A$429,$C634,$C$13:$C$429,$D634)</f>
        <v>0</v>
      </c>
      <c r="K634">
        <f>SUMIFS($Z$13:$Z$429,$A$13:$A$429,$C634,$C$13:$C$429,$D634)</f>
        <v>0</v>
      </c>
      <c r="L634">
        <f>SUMIFS(L$13:L$429,$A$13:$A$429,$C634,$C$13:$C$429,$D634)</f>
        <v>0</v>
      </c>
      <c r="M634">
        <f>SUMIFS(M$13:M$429,$A$13:$A$429,$C634,$C$13:$C$429,$D634)</f>
        <v>0</v>
      </c>
      <c r="N634">
        <f>SUMIFS(N$13:N$429,$A$13:$A$429,$C634,$C$13:$C$429,$D634)</f>
        <v>0</v>
      </c>
      <c r="O634">
        <f>SUMIFS(O$13:O$429,$A$13:$A$429,$C634,$C$13:$C$429,$D634)</f>
        <v>0</v>
      </c>
      <c r="P634">
        <f>SUMIFS(P$13:P$429,$A$13:$A$429,$C634,$C$13:$C$429,$D634)</f>
        <v>0</v>
      </c>
      <c r="Q634">
        <f>SUMIFS(Q$13:Q$429,$A$13:$A$429,$C634,$C$13:$C$429,$D634)</f>
        <v>0</v>
      </c>
      <c r="R634">
        <f>SUMIFS(R$13:R$429,$A$13:$A$429,$C634,$C$13:$C$429,$D634)</f>
        <v>0</v>
      </c>
      <c r="S634">
        <f>SUMIFS(S$13:S$429,$A$13:$A$429,$C634,$C$13:$C$429,$D634)</f>
        <v>0</v>
      </c>
      <c r="T634">
        <f>SUMIFS(T$13:T$429,$A$13:$A$429,$C634,$C$13:$C$429,$D634)</f>
        <v>0</v>
      </c>
      <c r="U634">
        <f>SUM(L634:T634)</f>
        <v>0</v>
      </c>
      <c r="W634">
        <f>IF(SUM(H634:I634)&gt;0,SUM(H634:I634)/G634,0)</f>
        <v>0</v>
      </c>
      <c r="X634">
        <f>IF(G634&gt;0,U634/G634,0)</f>
        <v>0</v>
      </c>
    </row>
    <row r="635">
      <c r="C635" t="str">
        <v>Lantai Attic</v>
      </c>
      <c r="D635" t="str">
        <v>B245-2</v>
      </c>
      <c r="G635">
        <f>SUMIFS($V$13:$V$429,$A$13:$A$429,$C635,$C$13:$C$429,$D635)</f>
        <v>0.372</v>
      </c>
      <c r="H635">
        <f>SUMIFS($W$13:$W$429,$A$13:$A$429,$C635,$C$13:$C$429,$D635)</f>
        <v>4.96</v>
      </c>
      <c r="I635">
        <f>SUMIFS($X$13:$X$429,$A$13:$A$429,$C635,$C$13:$C$429,$D635)</f>
        <v>0</v>
      </c>
      <c r="J635">
        <f>SUMIFS($Y$13:$Y$429,$A$13:$A$429,$C635,$C$13:$C$429,$D635)</f>
        <v>0</v>
      </c>
      <c r="K635">
        <f>SUMIFS($Z$13:$Z$429,$A$13:$A$429,$C635,$C$13:$C$429,$D635)</f>
        <v>0</v>
      </c>
      <c r="L635">
        <f>SUMIFS(L$13:L$429,$A$13:$A$429,$C635,$C$13:$C$429,$D635)</f>
        <v>0</v>
      </c>
      <c r="M635">
        <f>SUMIFS(M$13:M$429,$A$13:$A$429,$C635,$C$13:$C$429,$D635)</f>
        <v>27.33669504</v>
      </c>
      <c r="N635">
        <f>SUMIFS(N$13:N$429,$A$13:$A$429,$C635,$C$13:$C$429,$D635)</f>
        <v>0</v>
      </c>
      <c r="O635">
        <f>SUMIFS(O$13:O$429,$A$13:$A$429,$C635,$C$13:$C$429,$D635)</f>
        <v>40.70853072</v>
      </c>
      <c r="P635">
        <f>SUMIFS(P$13:P$429,$A$13:$A$429,$C635,$C$13:$C$429,$D635)</f>
        <v>0</v>
      </c>
      <c r="Q635">
        <f>SUMIFS(Q$13:Q$429,$A$13:$A$429,$C635,$C$13:$C$429,$D635)</f>
        <v>0</v>
      </c>
      <c r="R635">
        <f>SUMIFS(R$13:R$429,$A$13:$A$429,$C635,$C$13:$C$429,$D635)</f>
        <v>0</v>
      </c>
      <c r="S635">
        <f>SUMIFS(S$13:S$429,$A$13:$A$429,$C635,$C$13:$C$429,$D635)</f>
        <v>0</v>
      </c>
      <c r="T635">
        <f>SUMIFS(T$13:T$429,$A$13:$A$429,$C635,$C$13:$C$429,$D635)</f>
        <v>0</v>
      </c>
      <c r="U635">
        <f>SUM(L635:T635)</f>
        <v>68.04522576</v>
      </c>
      <c r="W635">
        <f>IF(SUM(H635:I635)&gt;0,SUM(H635:I635)/G635,0)</f>
        <v>13.333333333333334</v>
      </c>
      <c r="X635">
        <f>IF(G635&gt;0,U635/G635,0)</f>
        <v>182.91727354838707</v>
      </c>
    </row>
    <row r="636">
      <c r="C636" t="str">
        <v>Lantai Attic</v>
      </c>
      <c r="D636" t="str">
        <v>B245-3</v>
      </c>
      <c r="G636">
        <f>SUMIFS($V$13:$V$429,$A$13:$A$429,$C636,$C$13:$C$429,$D636)</f>
        <v>0.368</v>
      </c>
      <c r="H636">
        <f>SUMIFS($W$13:$W$429,$A$13:$A$429,$C636,$C$13:$C$429,$D636)</f>
        <v>4.88</v>
      </c>
      <c r="I636">
        <f>SUMIFS($X$13:$X$429,$A$13:$A$429,$C636,$C$13:$C$429,$D636)</f>
        <v>0</v>
      </c>
      <c r="J636">
        <f>SUMIFS($Y$13:$Y$429,$A$13:$A$429,$C636,$C$13:$C$429,$D636)</f>
        <v>0</v>
      </c>
      <c r="K636">
        <f>SUMIFS($Z$13:$Z$429,$A$13:$A$429,$C636,$C$13:$C$429,$D636)</f>
        <v>0</v>
      </c>
      <c r="L636">
        <f>SUMIFS(L$13:L$429,$A$13:$A$429,$C636,$C$13:$C$429,$D636)</f>
        <v>0</v>
      </c>
      <c r="M636">
        <f>SUMIFS(M$13:M$429,$A$13:$A$429,$C636,$C$13:$C$429,$D636)</f>
        <v>0</v>
      </c>
      <c r="N636">
        <f>SUMIFS(N$13:N$429,$A$13:$A$429,$C636,$C$13:$C$429,$D636)</f>
        <v>56.354265</v>
      </c>
      <c r="O636">
        <f>SUMIFS(O$13:O$429,$A$13:$A$429,$C636,$C$13:$C$429,$D636)</f>
        <v>0</v>
      </c>
      <c r="P636">
        <f>SUMIFS(P$13:P$429,$A$13:$A$429,$C636,$C$13:$C$429,$D636)</f>
        <v>45.15028992</v>
      </c>
      <c r="Q636">
        <f>SUMIFS(Q$13:Q$429,$A$13:$A$429,$C636,$C$13:$C$429,$D636)</f>
        <v>0</v>
      </c>
      <c r="R636">
        <f>SUMIFS(R$13:R$429,$A$13:$A$429,$C636,$C$13:$C$429,$D636)</f>
        <v>0</v>
      </c>
      <c r="S636">
        <f>SUMIFS(S$13:S$429,$A$13:$A$429,$C636,$C$13:$C$429,$D636)</f>
        <v>0</v>
      </c>
      <c r="T636">
        <f>SUMIFS(T$13:T$429,$A$13:$A$429,$C636,$C$13:$C$429,$D636)</f>
        <v>0</v>
      </c>
      <c r="U636">
        <f>SUM(L636:T636)</f>
        <v>101.50455492</v>
      </c>
      <c r="W636">
        <f>IF(SUM(H636:I636)&gt;0,SUM(H636:I636)/G636,0)</f>
        <v>13.26086956521739</v>
      </c>
      <c r="X636">
        <f>IF(G636&gt;0,U636/G636,0)</f>
        <v>275.8275948913044</v>
      </c>
    </row>
    <row r="637">
      <c r="C637" t="str">
        <v>Lantai Attic</v>
      </c>
      <c r="D637" t="str">
        <v>B245-4</v>
      </c>
      <c r="G637">
        <f>SUMIFS($V$13:$V$429,$A$13:$A$429,$C637,$C$13:$C$429,$D637)</f>
        <v>1.8518000000000001</v>
      </c>
      <c r="H637">
        <f>SUMIFS($W$13:$W$429,$A$13:$A$429,$C637,$C$13:$C$429,$D637)</f>
        <v>24.318000000000005</v>
      </c>
      <c r="I637">
        <f>SUMIFS($X$13:$X$429,$A$13:$A$429,$C637,$C$13:$C$429,$D637)</f>
        <v>0</v>
      </c>
      <c r="J637">
        <f>SUMIFS($Y$13:$Y$429,$A$13:$A$429,$C637,$C$13:$C$429,$D637)</f>
        <v>0</v>
      </c>
      <c r="K637">
        <f>SUMIFS($Z$13:$Z$429,$A$13:$A$429,$C637,$C$13:$C$429,$D637)</f>
        <v>0</v>
      </c>
      <c r="L637">
        <f>SUMIFS(L$13:L$429,$A$13:$A$429,$C637,$C$13:$C$429,$D637)</f>
        <v>0</v>
      </c>
      <c r="M637">
        <f>SUMIFS(M$13:M$429,$A$13:$A$429,$C637,$C$13:$C$429,$D637)</f>
        <v>129.46065984</v>
      </c>
      <c r="N637">
        <f>SUMIFS(N$13:N$429,$A$13:$A$429,$C637,$C$13:$C$429,$D637)</f>
        <v>0</v>
      </c>
      <c r="O637">
        <f>SUMIFS(O$13:O$429,$A$13:$A$429,$C637,$C$13:$C$429,$D637)</f>
        <v>0</v>
      </c>
      <c r="P637">
        <f>SUMIFS(P$13:P$429,$A$13:$A$429,$C637,$C$13:$C$429,$D637)</f>
        <v>296.43134976</v>
      </c>
      <c r="Q637">
        <f>SUMIFS(Q$13:Q$429,$A$13:$A$429,$C637,$C$13:$C$429,$D637)</f>
        <v>0</v>
      </c>
      <c r="R637">
        <f>SUMIFS(R$13:R$429,$A$13:$A$429,$C637,$C$13:$C$429,$D637)</f>
        <v>0</v>
      </c>
      <c r="S637">
        <f>SUMIFS(S$13:S$429,$A$13:$A$429,$C637,$C$13:$C$429,$D637)</f>
        <v>0</v>
      </c>
      <c r="T637">
        <f>SUMIFS(T$13:T$429,$A$13:$A$429,$C637,$C$13:$C$429,$D637)</f>
        <v>0</v>
      </c>
      <c r="U637">
        <f>SUM(L637:T637)</f>
        <v>425.8920096</v>
      </c>
      <c r="W637">
        <f>IF(SUM(H637:I637)&gt;0,SUM(H637:I637)/G637,0)</f>
        <v>13.132087698455559</v>
      </c>
      <c r="X637">
        <f>IF(G637&gt;0,U637/G637,0)</f>
        <v>229.98812485149583</v>
      </c>
    </row>
    <row r="638">
      <c r="C638" t="str">
        <v>Lantai Attic</v>
      </c>
      <c r="D638" t="str">
        <v>B245-5</v>
      </c>
      <c r="G638">
        <f>SUMIFS($V$13:$V$429,$A$13:$A$429,$C638,$C$13:$C$429,$D638)</f>
        <v>0.318</v>
      </c>
      <c r="H638">
        <f>SUMIFS($W$13:$W$429,$A$13:$A$429,$C638,$C$13:$C$429,$D638)</f>
        <v>4.24</v>
      </c>
      <c r="I638">
        <f>SUMIFS($X$13:$X$429,$A$13:$A$429,$C638,$C$13:$C$429,$D638)</f>
        <v>0</v>
      </c>
      <c r="J638">
        <f>SUMIFS($Y$13:$Y$429,$A$13:$A$429,$C638,$C$13:$C$429,$D638)</f>
        <v>0</v>
      </c>
      <c r="K638">
        <f>SUMIFS($Z$13:$Z$429,$A$13:$A$429,$C638,$C$13:$C$429,$D638)</f>
        <v>0</v>
      </c>
      <c r="L638">
        <f>SUMIFS(L$13:L$429,$A$13:$A$429,$C638,$C$13:$C$429,$D638)</f>
        <v>0</v>
      </c>
      <c r="M638">
        <f>SUMIFS(M$13:M$429,$A$13:$A$429,$C638,$C$13:$C$429,$D638)</f>
        <v>0</v>
      </c>
      <c r="N638">
        <f>SUMIFS(N$13:N$429,$A$13:$A$429,$C638,$C$13:$C$429,$D638)</f>
        <v>40.966425</v>
      </c>
      <c r="O638">
        <f>SUMIFS(O$13:O$429,$A$13:$A$429,$C638,$C$13:$C$429,$D638)</f>
        <v>0</v>
      </c>
      <c r="P638">
        <f>SUMIFS(P$13:P$429,$A$13:$A$429,$C638,$C$13:$C$429,$D638)</f>
        <v>62.79501311999999</v>
      </c>
      <c r="Q638">
        <f>SUMIFS(Q$13:Q$429,$A$13:$A$429,$C638,$C$13:$C$429,$D638)</f>
        <v>0</v>
      </c>
      <c r="R638">
        <f>SUMIFS(R$13:R$429,$A$13:$A$429,$C638,$C$13:$C$429,$D638)</f>
        <v>0</v>
      </c>
      <c r="S638">
        <f>SUMIFS(S$13:S$429,$A$13:$A$429,$C638,$C$13:$C$429,$D638)</f>
        <v>0</v>
      </c>
      <c r="T638">
        <f>SUMIFS(T$13:T$429,$A$13:$A$429,$C638,$C$13:$C$429,$D638)</f>
        <v>0</v>
      </c>
      <c r="U638">
        <f>SUM(L638:T638)</f>
        <v>103.76143812</v>
      </c>
      <c r="W638">
        <f>IF(SUM(H638:I638)&gt;0,SUM(H638:I638)/G638,0)</f>
        <v>13.333333333333334</v>
      </c>
      <c r="X638">
        <f>IF(G638&gt;0,U638/G638,0)</f>
        <v>326.2938305660377</v>
      </c>
    </row>
    <row r="639">
      <c r="C639" t="str">
        <v>Lantai Attic</v>
      </c>
      <c r="D639" t="str">
        <v>B245-6</v>
      </c>
      <c r="G639">
        <f>SUMIFS($V$13:$V$429,$A$13:$A$429,$C639,$C$13:$C$429,$D639)</f>
        <v>0</v>
      </c>
      <c r="H639">
        <f>SUMIFS($W$13:$W$429,$A$13:$A$429,$C639,$C$13:$C$429,$D639)</f>
        <v>0</v>
      </c>
      <c r="I639">
        <f>SUMIFS($X$13:$X$429,$A$13:$A$429,$C639,$C$13:$C$429,$D639)</f>
        <v>0</v>
      </c>
      <c r="J639">
        <f>SUMIFS($Y$13:$Y$429,$A$13:$A$429,$C639,$C$13:$C$429,$D639)</f>
        <v>0</v>
      </c>
      <c r="K639">
        <f>SUMIFS($Z$13:$Z$429,$A$13:$A$429,$C639,$C$13:$C$429,$D639)</f>
        <v>0</v>
      </c>
      <c r="L639">
        <f>SUMIFS(L$13:L$429,$A$13:$A$429,$C639,$C$13:$C$429,$D639)</f>
        <v>0</v>
      </c>
      <c r="M639">
        <f>SUMIFS(M$13:M$429,$A$13:$A$429,$C639,$C$13:$C$429,$D639)</f>
        <v>0</v>
      </c>
      <c r="N639">
        <f>SUMIFS(N$13:N$429,$A$13:$A$429,$C639,$C$13:$C$429,$D639)</f>
        <v>0</v>
      </c>
      <c r="O639">
        <f>SUMIFS(O$13:O$429,$A$13:$A$429,$C639,$C$13:$C$429,$D639)</f>
        <v>0</v>
      </c>
      <c r="P639">
        <f>SUMIFS(P$13:P$429,$A$13:$A$429,$C639,$C$13:$C$429,$D639)</f>
        <v>0</v>
      </c>
      <c r="Q639">
        <f>SUMIFS(Q$13:Q$429,$A$13:$A$429,$C639,$C$13:$C$429,$D639)</f>
        <v>0</v>
      </c>
      <c r="R639">
        <f>SUMIFS(R$13:R$429,$A$13:$A$429,$C639,$C$13:$C$429,$D639)</f>
        <v>0</v>
      </c>
      <c r="S639">
        <f>SUMIFS(S$13:S$429,$A$13:$A$429,$C639,$C$13:$C$429,$D639)</f>
        <v>0</v>
      </c>
      <c r="T639">
        <f>SUMIFS(T$13:T$429,$A$13:$A$429,$C639,$C$13:$C$429,$D639)</f>
        <v>0</v>
      </c>
      <c r="U639">
        <f>SUM(L639:T639)</f>
        <v>0</v>
      </c>
      <c r="W639">
        <f>IF(SUM(H639:I639)&gt;0,SUM(H639:I639)/G639,0)</f>
        <v>0</v>
      </c>
      <c r="X639">
        <f>IF(G639&gt;0,U639/G639,0)</f>
        <v>0</v>
      </c>
    </row>
    <row r="640">
      <c r="C640" t="str">
        <v>Lantai Attic</v>
      </c>
      <c r="D640" t="str">
        <v>B245-7</v>
      </c>
      <c r="G640">
        <f>SUMIFS($V$13:$V$429,$A$13:$A$429,$C640,$C$13:$C$429,$D640)</f>
        <v>0</v>
      </c>
      <c r="H640">
        <f>SUMIFS($W$13:$W$429,$A$13:$A$429,$C640,$C$13:$C$429,$D640)</f>
        <v>0</v>
      </c>
      <c r="I640">
        <f>SUMIFS($X$13:$X$429,$A$13:$A$429,$C640,$C$13:$C$429,$D640)</f>
        <v>0</v>
      </c>
      <c r="J640">
        <f>SUMIFS($Y$13:$Y$429,$A$13:$A$429,$C640,$C$13:$C$429,$D640)</f>
        <v>0</v>
      </c>
      <c r="K640">
        <f>SUMIFS($Z$13:$Z$429,$A$13:$A$429,$C640,$C$13:$C$429,$D640)</f>
        <v>0</v>
      </c>
      <c r="L640">
        <f>SUMIFS(L$13:L$429,$A$13:$A$429,$C640,$C$13:$C$429,$D640)</f>
        <v>0</v>
      </c>
      <c r="M640">
        <f>SUMIFS(M$13:M$429,$A$13:$A$429,$C640,$C$13:$C$429,$D640)</f>
        <v>0</v>
      </c>
      <c r="N640">
        <f>SUMIFS(N$13:N$429,$A$13:$A$429,$C640,$C$13:$C$429,$D640)</f>
        <v>0</v>
      </c>
      <c r="O640">
        <f>SUMIFS(O$13:O$429,$A$13:$A$429,$C640,$C$13:$C$429,$D640)</f>
        <v>0</v>
      </c>
      <c r="P640">
        <f>SUMIFS(P$13:P$429,$A$13:$A$429,$C640,$C$13:$C$429,$D640)</f>
        <v>0</v>
      </c>
      <c r="Q640">
        <f>SUMIFS(Q$13:Q$429,$A$13:$A$429,$C640,$C$13:$C$429,$D640)</f>
        <v>0</v>
      </c>
      <c r="R640">
        <f>SUMIFS(R$13:R$429,$A$13:$A$429,$C640,$C$13:$C$429,$D640)</f>
        <v>0</v>
      </c>
      <c r="S640">
        <f>SUMIFS(S$13:S$429,$A$13:$A$429,$C640,$C$13:$C$429,$D640)</f>
        <v>0</v>
      </c>
      <c r="T640">
        <f>SUMIFS(T$13:T$429,$A$13:$A$429,$C640,$C$13:$C$429,$D640)</f>
        <v>0</v>
      </c>
      <c r="U640">
        <f>SUM(L640:T640)</f>
        <v>0</v>
      </c>
      <c r="W640">
        <f>IF(SUM(H640:I640)&gt;0,SUM(H640:I640)/G640,0)</f>
        <v>0</v>
      </c>
      <c r="X640">
        <f>IF(G640&gt;0,U640/G640,0)</f>
        <v>0</v>
      </c>
    </row>
    <row r="641">
      <c r="C641" t="str">
        <v>Lantai Attic</v>
      </c>
      <c r="D641" t="str">
        <v>B25-1</v>
      </c>
      <c r="G641">
        <f>SUMIFS($V$13:$V$429,$A$13:$A$429,$C641,$C$13:$C$429,$D641)</f>
        <v>0.4144</v>
      </c>
      <c r="H641">
        <f>SUMIFS($W$13:$W$429,$A$13:$A$429,$C641,$C$13:$C$429,$D641)</f>
        <v>5.264</v>
      </c>
      <c r="I641">
        <f>SUMIFS($X$13:$X$429,$A$13:$A$429,$C641,$C$13:$C$429,$D641)</f>
        <v>0</v>
      </c>
      <c r="J641">
        <f>SUMIFS($Y$13:$Y$429,$A$13:$A$429,$C641,$C$13:$C$429,$D641)</f>
        <v>0</v>
      </c>
      <c r="K641">
        <f>SUMIFS($Z$13:$Z$429,$A$13:$A$429,$C641,$C$13:$C$429,$D641)</f>
        <v>0</v>
      </c>
      <c r="L641">
        <f>SUMIFS(L$13:L$429,$A$13:$A$429,$C641,$C$13:$C$429,$D641)</f>
        <v>0</v>
      </c>
      <c r="M641">
        <f>SUMIFS(M$13:M$429,$A$13:$A$429,$C641,$C$13:$C$429,$D641)</f>
        <v>0</v>
      </c>
      <c r="N641">
        <f>SUMIFS(N$13:N$429,$A$13:$A$429,$C641,$C$13:$C$429,$D641)</f>
        <v>47.68627500000001</v>
      </c>
      <c r="O641">
        <f>SUMIFS(O$13:O$429,$A$13:$A$429,$C641,$C$13:$C$429,$D641)</f>
        <v>0</v>
      </c>
      <c r="P641">
        <f>SUMIFS(P$13:P$429,$A$13:$A$429,$C641,$C$13:$C$429,$D641)</f>
        <v>40.200929280000004</v>
      </c>
      <c r="Q641">
        <f>SUMIFS(Q$13:Q$429,$A$13:$A$429,$C641,$C$13:$C$429,$D641)</f>
        <v>0</v>
      </c>
      <c r="R641">
        <f>SUMIFS(R$13:R$429,$A$13:$A$429,$C641,$C$13:$C$429,$D641)</f>
        <v>0</v>
      </c>
      <c r="S641">
        <f>SUMIFS(S$13:S$429,$A$13:$A$429,$C641,$C$13:$C$429,$D641)</f>
        <v>0</v>
      </c>
      <c r="T641">
        <f>SUMIFS(T$13:T$429,$A$13:$A$429,$C641,$C$13:$C$429,$D641)</f>
        <v>0</v>
      </c>
      <c r="U641">
        <f>SUM(L641:T641)</f>
        <v>87.88720428000002</v>
      </c>
      <c r="W641">
        <f>IF(SUM(H641:I641)&gt;0,SUM(H641:I641)/G641,0)</f>
        <v>12.702702702702704</v>
      </c>
      <c r="X641">
        <f>IF(G641&gt;0,U641/G641,0)</f>
        <v>212.08302191119697</v>
      </c>
    </row>
    <row r="642">
      <c r="C642" t="str">
        <v>Lantai Attic</v>
      </c>
      <c r="D642" t="str">
        <v>B25-2</v>
      </c>
      <c r="G642">
        <f>SUMIFS($V$13:$V$429,$A$13:$A$429,$C642,$C$13:$C$429,$D642)</f>
        <v>2.7731000000000003</v>
      </c>
      <c r="H642">
        <f>SUMIFS($W$13:$W$429,$A$13:$A$429,$C642,$C$13:$C$429,$D642)</f>
        <v>35.281</v>
      </c>
      <c r="I642">
        <f>SUMIFS($X$13:$X$429,$A$13:$A$429,$C642,$C$13:$C$429,$D642)</f>
        <v>0</v>
      </c>
      <c r="J642">
        <f>SUMIFS($Y$13:$Y$429,$A$13:$A$429,$C642,$C$13:$C$429,$D642)</f>
        <v>0</v>
      </c>
      <c r="K642">
        <f>SUMIFS($Z$13:$Z$429,$A$13:$A$429,$C642,$C$13:$C$429,$D642)</f>
        <v>0</v>
      </c>
      <c r="L642">
        <f>SUMIFS(L$13:L$429,$A$13:$A$429,$C642,$C$13:$C$429,$D642)</f>
        <v>0</v>
      </c>
      <c r="M642">
        <f>SUMIFS(M$13:M$429,$A$13:$A$429,$C642,$C$13:$C$429,$D642)</f>
        <v>0</v>
      </c>
      <c r="N642">
        <f>SUMIFS(N$13:N$429,$A$13:$A$429,$C642,$C$13:$C$429,$D642)</f>
        <v>363.01369500000004</v>
      </c>
      <c r="O642">
        <f>SUMIFS(O$13:O$429,$A$13:$A$429,$C642,$C$13:$C$429,$D642)</f>
        <v>0</v>
      </c>
      <c r="P642">
        <f>SUMIFS(P$13:P$429,$A$13:$A$429,$C642,$C$13:$C$429,$D642)</f>
        <v>379.28894976</v>
      </c>
      <c r="Q642">
        <f>SUMIFS(Q$13:Q$429,$A$13:$A$429,$C642,$C$13:$C$429,$D642)</f>
        <v>0</v>
      </c>
      <c r="R642">
        <f>SUMIFS(R$13:R$429,$A$13:$A$429,$C642,$C$13:$C$429,$D642)</f>
        <v>0</v>
      </c>
      <c r="S642">
        <f>SUMIFS(S$13:S$429,$A$13:$A$429,$C642,$C$13:$C$429,$D642)</f>
        <v>0</v>
      </c>
      <c r="T642">
        <f>SUMIFS(T$13:T$429,$A$13:$A$429,$C642,$C$13:$C$429,$D642)</f>
        <v>0</v>
      </c>
      <c r="U642">
        <f>SUM(L642:T642)</f>
        <v>742.30264476</v>
      </c>
      <c r="W642">
        <f>IF(SUM(H642:I642)&gt;0,SUM(H642:I642)/G642,0)</f>
        <v>12.722584832858532</v>
      </c>
      <c r="X642">
        <f>IF(G642&gt;0,U642/G642,0)</f>
        <v>267.67972477011284</v>
      </c>
    </row>
    <row r="643">
      <c r="C643" t="str">
        <v>Lantai Attic</v>
      </c>
      <c r="D643" t="str">
        <v>B25-3</v>
      </c>
      <c r="G643">
        <f>SUMIFS($V$13:$V$429,$A$13:$A$429,$C643,$C$13:$C$429,$D643)</f>
        <v>2.85418</v>
      </c>
      <c r="H643">
        <f>SUMIFS($W$13:$W$429,$A$13:$A$429,$C643,$C$13:$C$429,$D643)</f>
        <v>36.2558</v>
      </c>
      <c r="I643">
        <f>SUMIFS($X$13:$X$429,$A$13:$A$429,$C643,$C$13:$C$429,$D643)</f>
        <v>0</v>
      </c>
      <c r="J643">
        <f>SUMIFS($Y$13:$Y$429,$A$13:$A$429,$C643,$C$13:$C$429,$D643)</f>
        <v>0</v>
      </c>
      <c r="K643">
        <f>SUMIFS($Z$13:$Z$429,$A$13:$A$429,$C643,$C$13:$C$429,$D643)</f>
        <v>0</v>
      </c>
      <c r="L643">
        <f>SUMIFS(L$13:L$429,$A$13:$A$429,$C643,$C$13:$C$429,$D643)</f>
        <v>0</v>
      </c>
      <c r="M643">
        <f>SUMIFS(M$13:M$429,$A$13:$A$429,$C643,$C$13:$C$429,$D643)</f>
        <v>0</v>
      </c>
      <c r="N643">
        <f>SUMIFS(N$13:N$429,$A$13:$A$429,$C643,$C$13:$C$429,$D643)</f>
        <v>295.778205</v>
      </c>
      <c r="O643">
        <f>SUMIFS(O$13:O$429,$A$13:$A$429,$C643,$C$13:$C$429,$D643)</f>
        <v>0</v>
      </c>
      <c r="P643">
        <f>SUMIFS(P$13:P$429,$A$13:$A$429,$C643,$C$13:$C$429,$D643)</f>
        <v>523.620576</v>
      </c>
      <c r="Q643">
        <f>SUMIFS(Q$13:Q$429,$A$13:$A$429,$C643,$C$13:$C$429,$D643)</f>
        <v>0</v>
      </c>
      <c r="R643">
        <f>SUMIFS(R$13:R$429,$A$13:$A$429,$C643,$C$13:$C$429,$D643)</f>
        <v>0</v>
      </c>
      <c r="S643">
        <f>SUMIFS(S$13:S$429,$A$13:$A$429,$C643,$C$13:$C$429,$D643)</f>
        <v>0</v>
      </c>
      <c r="T643">
        <f>SUMIFS(T$13:T$429,$A$13:$A$429,$C643,$C$13:$C$429,$D643)</f>
        <v>0</v>
      </c>
      <c r="U643">
        <f>SUM(L643:T643)</f>
        <v>819.3987810000001</v>
      </c>
      <c r="W643">
        <f>IF(SUM(H643:I643)&gt;0,SUM(H643:I643)/G643,0)</f>
        <v>12.702702702702704</v>
      </c>
      <c r="X643">
        <f>IF(G643&gt;0,U643/G643,0)</f>
        <v>287.08728286232827</v>
      </c>
    </row>
    <row r="644">
      <c r="C644" t="str">
        <v>Lantai Attic</v>
      </c>
      <c r="D644" t="str">
        <v>B25-4</v>
      </c>
      <c r="G644">
        <f>SUMIFS($V$13:$V$429,$A$13:$A$429,$C644,$C$13:$C$429,$D644)</f>
        <v>0.6031</v>
      </c>
      <c r="H644">
        <f>SUMIFS($W$13:$W$429,$A$13:$A$429,$C644,$C$13:$C$429,$D644)</f>
        <v>7.661</v>
      </c>
      <c r="I644">
        <f>SUMIFS($X$13:$X$429,$A$13:$A$429,$C644,$C$13:$C$429,$D644)</f>
        <v>0</v>
      </c>
      <c r="J644">
        <f>SUMIFS($Y$13:$Y$429,$A$13:$A$429,$C644,$C$13:$C$429,$D644)</f>
        <v>0</v>
      </c>
      <c r="K644">
        <f>SUMIFS($Z$13:$Z$429,$A$13:$A$429,$C644,$C$13:$C$429,$D644)</f>
        <v>0</v>
      </c>
      <c r="L644">
        <f>SUMIFS(L$13:L$429,$A$13:$A$429,$C644,$C$13:$C$429,$D644)</f>
        <v>0</v>
      </c>
      <c r="M644">
        <f>SUMIFS(M$13:M$429,$A$13:$A$429,$C644,$C$13:$C$429,$D644)</f>
        <v>0</v>
      </c>
      <c r="N644">
        <f>SUMIFS(N$13:N$429,$A$13:$A$429,$C644,$C$13:$C$429,$D644)</f>
        <v>61.908930000000005</v>
      </c>
      <c r="O644">
        <f>SUMIFS(O$13:O$429,$A$13:$A$429,$C644,$C$13:$C$429,$D644)</f>
        <v>0</v>
      </c>
      <c r="P644">
        <f>SUMIFS(P$13:P$429,$A$13:$A$429,$C644,$C$13:$C$429,$D644)</f>
        <v>129.01322880000004</v>
      </c>
      <c r="Q644">
        <f>SUMIFS(Q$13:Q$429,$A$13:$A$429,$C644,$C$13:$C$429,$D644)</f>
        <v>0</v>
      </c>
      <c r="R644">
        <f>SUMIFS(R$13:R$429,$A$13:$A$429,$C644,$C$13:$C$429,$D644)</f>
        <v>0</v>
      </c>
      <c r="S644">
        <f>SUMIFS(S$13:S$429,$A$13:$A$429,$C644,$C$13:$C$429,$D644)</f>
        <v>0</v>
      </c>
      <c r="T644">
        <f>SUMIFS(T$13:T$429,$A$13:$A$429,$C644,$C$13:$C$429,$D644)</f>
        <v>0</v>
      </c>
      <c r="U644">
        <f>SUM(L644:T644)</f>
        <v>190.92215880000003</v>
      </c>
      <c r="W644">
        <f>IF(SUM(H644:I644)&gt;0,SUM(H644:I644)/G644,0)</f>
        <v>12.702702702702704</v>
      </c>
      <c r="X644">
        <f>IF(G644&gt;0,U644/G644,0)</f>
        <v>316.56799668380046</v>
      </c>
    </row>
    <row r="645">
      <c r="C645" t="str">
        <v>Lantai Attic</v>
      </c>
      <c r="D645" t="str">
        <v>B25-5</v>
      </c>
      <c r="G645">
        <f>SUMIFS($V$13:$V$429,$A$13:$A$429,$C645,$C$13:$C$429,$D645)</f>
        <v>1.3374000000000001</v>
      </c>
      <c r="H645">
        <f>SUMIFS($W$13:$W$429,$A$13:$A$429,$C645,$C$13:$C$429,$D645)</f>
        <v>17.094</v>
      </c>
      <c r="I645">
        <f>SUMIFS($X$13:$X$429,$A$13:$A$429,$C645,$C$13:$C$429,$D645)</f>
        <v>0</v>
      </c>
      <c r="J645">
        <f>SUMIFS($Y$13:$Y$429,$A$13:$A$429,$C645,$C$13:$C$429,$D645)</f>
        <v>0</v>
      </c>
      <c r="K645">
        <f>SUMIFS($Z$13:$Z$429,$A$13:$A$429,$C645,$C$13:$C$429,$D645)</f>
        <v>0</v>
      </c>
      <c r="L645">
        <f>SUMIFS(L$13:L$429,$A$13:$A$429,$C645,$C$13:$C$429,$D645)</f>
        <v>0</v>
      </c>
      <c r="M645">
        <f>SUMIFS(M$13:M$429,$A$13:$A$429,$C645,$C$13:$C$429,$D645)</f>
        <v>0</v>
      </c>
      <c r="N645">
        <f>SUMIFS(N$13:N$429,$A$13:$A$429,$C645,$C$13:$C$429,$D645)</f>
        <v>131.20353</v>
      </c>
      <c r="O645">
        <f>SUMIFS(O$13:O$429,$A$13:$A$429,$C645,$C$13:$C$429,$D645)</f>
        <v>0</v>
      </c>
      <c r="P645">
        <f>SUMIFS(P$13:P$429,$A$13:$A$429,$C645,$C$13:$C$429,$D645)</f>
        <v>0</v>
      </c>
      <c r="Q645">
        <f>SUMIFS(Q$13:Q$429,$A$13:$A$429,$C645,$C$13:$C$429,$D645)</f>
        <v>350.87367564</v>
      </c>
      <c r="R645">
        <f>SUMIFS(R$13:R$429,$A$13:$A$429,$C645,$C$13:$C$429,$D645)</f>
        <v>0</v>
      </c>
      <c r="S645">
        <f>SUMIFS(S$13:S$429,$A$13:$A$429,$C645,$C$13:$C$429,$D645)</f>
        <v>0</v>
      </c>
      <c r="T645">
        <f>SUMIFS(T$13:T$429,$A$13:$A$429,$C645,$C$13:$C$429,$D645)</f>
        <v>0</v>
      </c>
      <c r="U645">
        <f>SUM(L645:T645)</f>
        <v>482.07720564</v>
      </c>
      <c r="W645">
        <f>IF(SUM(H645:I645)&gt;0,SUM(H645:I645)/G645,0)</f>
        <v>12.781516375056079</v>
      </c>
      <c r="X645">
        <f>IF(G645&gt;0,U645/G645,0)</f>
        <v>360.45850578734854</v>
      </c>
    </row>
    <row r="646">
      <c r="C646" t="str">
        <v>Lantai Attic</v>
      </c>
      <c r="D646" t="str">
        <v>B25-6</v>
      </c>
      <c r="G646">
        <f>SUMIFS($V$13:$V$429,$A$13:$A$429,$C646,$C$13:$C$429,$D646)</f>
        <v>0</v>
      </c>
      <c r="H646">
        <f>SUMIFS($W$13:$W$429,$A$13:$A$429,$C646,$C$13:$C$429,$D646)</f>
        <v>0</v>
      </c>
      <c r="I646">
        <f>SUMIFS($X$13:$X$429,$A$13:$A$429,$C646,$C$13:$C$429,$D646)</f>
        <v>0</v>
      </c>
      <c r="J646">
        <f>SUMIFS($Y$13:$Y$429,$A$13:$A$429,$C646,$C$13:$C$429,$D646)</f>
        <v>0</v>
      </c>
      <c r="K646">
        <f>SUMIFS($Z$13:$Z$429,$A$13:$A$429,$C646,$C$13:$C$429,$D646)</f>
        <v>0</v>
      </c>
      <c r="L646">
        <f>SUMIFS(L$13:L$429,$A$13:$A$429,$C646,$C$13:$C$429,$D646)</f>
        <v>0</v>
      </c>
      <c r="M646">
        <f>SUMIFS(M$13:M$429,$A$13:$A$429,$C646,$C$13:$C$429,$D646)</f>
        <v>0</v>
      </c>
      <c r="N646">
        <f>SUMIFS(N$13:N$429,$A$13:$A$429,$C646,$C$13:$C$429,$D646)</f>
        <v>0</v>
      </c>
      <c r="O646">
        <f>SUMIFS(O$13:O$429,$A$13:$A$429,$C646,$C$13:$C$429,$D646)</f>
        <v>0</v>
      </c>
      <c r="P646">
        <f>SUMIFS(P$13:P$429,$A$13:$A$429,$C646,$C$13:$C$429,$D646)</f>
        <v>0</v>
      </c>
      <c r="Q646">
        <f>SUMIFS(Q$13:Q$429,$A$13:$A$429,$C646,$C$13:$C$429,$D646)</f>
        <v>0</v>
      </c>
      <c r="R646">
        <f>SUMIFS(R$13:R$429,$A$13:$A$429,$C646,$C$13:$C$429,$D646)</f>
        <v>0</v>
      </c>
      <c r="S646">
        <f>SUMIFS(S$13:S$429,$A$13:$A$429,$C646,$C$13:$C$429,$D646)</f>
        <v>0</v>
      </c>
      <c r="T646">
        <f>SUMIFS(T$13:T$429,$A$13:$A$429,$C646,$C$13:$C$429,$D646)</f>
        <v>0</v>
      </c>
      <c r="U646">
        <f>SUM(L646:T646)</f>
        <v>0</v>
      </c>
      <c r="W646">
        <f>IF(SUM(H646:I646)&gt;0,SUM(H646:I646)/G646,0)</f>
        <v>0</v>
      </c>
      <c r="X646">
        <f>IF(G646&gt;0,U646/G646,0)</f>
        <v>0</v>
      </c>
    </row>
    <row r="647">
      <c r="C647" t="str">
        <v>Lantai Attic</v>
      </c>
      <c r="D647" t="str">
        <v>CL25-1</v>
      </c>
      <c r="G647">
        <f>SUMIFS($V$13:$V$429,$A$13:$A$429,$C647,$C$13:$C$429,$D647)</f>
        <v>0</v>
      </c>
      <c r="H647">
        <f>SUMIFS($W$13:$W$429,$A$13:$A$429,$C647,$C$13:$C$429,$D647)</f>
        <v>0</v>
      </c>
      <c r="I647">
        <f>SUMIFS($X$13:$X$429,$A$13:$A$429,$C647,$C$13:$C$429,$D647)</f>
        <v>0</v>
      </c>
      <c r="J647">
        <f>SUMIFS($Y$13:$Y$429,$A$13:$A$429,$C647,$C$13:$C$429,$D647)</f>
        <v>0</v>
      </c>
      <c r="K647">
        <f>SUMIFS($Z$13:$Z$429,$A$13:$A$429,$C647,$C$13:$C$429,$D647)</f>
        <v>0</v>
      </c>
      <c r="L647">
        <f>SUMIFS(L$13:L$429,$A$13:$A$429,$C647,$C$13:$C$429,$D647)</f>
        <v>0</v>
      </c>
      <c r="M647">
        <f>SUMIFS(M$13:M$429,$A$13:$A$429,$C647,$C$13:$C$429,$D647)</f>
        <v>0</v>
      </c>
      <c r="N647">
        <f>SUMIFS(N$13:N$429,$A$13:$A$429,$C647,$C$13:$C$429,$D647)</f>
        <v>0</v>
      </c>
      <c r="O647">
        <f>SUMIFS(O$13:O$429,$A$13:$A$429,$C647,$C$13:$C$429,$D647)</f>
        <v>0</v>
      </c>
      <c r="P647">
        <f>SUMIFS(P$13:P$429,$A$13:$A$429,$C647,$C$13:$C$429,$D647)</f>
        <v>0</v>
      </c>
      <c r="Q647">
        <f>SUMIFS(Q$13:Q$429,$A$13:$A$429,$C647,$C$13:$C$429,$D647)</f>
        <v>0</v>
      </c>
      <c r="R647">
        <f>SUMIFS(R$13:R$429,$A$13:$A$429,$C647,$C$13:$C$429,$D647)</f>
        <v>0</v>
      </c>
      <c r="S647">
        <f>SUMIFS(S$13:S$429,$A$13:$A$429,$C647,$C$13:$C$429,$D647)</f>
        <v>0</v>
      </c>
      <c r="T647">
        <f>SUMIFS(T$13:T$429,$A$13:$A$429,$C647,$C$13:$C$429,$D647)</f>
        <v>0</v>
      </c>
      <c r="U647">
        <f>SUM(L647:T647)</f>
        <v>0</v>
      </c>
      <c r="W647">
        <f>IF(SUM(H647:I647)&gt;0,SUM(H647:I647)/G647,0)</f>
        <v>0</v>
      </c>
      <c r="X647">
        <f>IF(G647&gt;0,U647/G647,0)</f>
        <v>0</v>
      </c>
    </row>
    <row r="648">
      <c r="C648" t="str">
        <v>Lantai Attic</v>
      </c>
      <c r="D648" t="str">
        <v>B26-1</v>
      </c>
      <c r="G648">
        <f>SUMIFS($V$13:$V$429,$A$13:$A$429,$C648,$C$13:$C$429,$D648)</f>
        <v>0</v>
      </c>
      <c r="H648">
        <f>SUMIFS($W$13:$W$429,$A$13:$A$429,$C648,$C$13:$C$429,$D648)</f>
        <v>0</v>
      </c>
      <c r="I648">
        <f>SUMIFS($X$13:$X$429,$A$13:$A$429,$C648,$C$13:$C$429,$D648)</f>
        <v>0</v>
      </c>
      <c r="J648">
        <f>SUMIFS($Y$13:$Y$429,$A$13:$A$429,$C648,$C$13:$C$429,$D648)</f>
        <v>0</v>
      </c>
      <c r="K648">
        <f>SUMIFS($Z$13:$Z$429,$A$13:$A$429,$C648,$C$13:$C$429,$D648)</f>
        <v>0</v>
      </c>
      <c r="L648">
        <f>SUMIFS(L$13:L$429,$A$13:$A$429,$C648,$C$13:$C$429,$D648)</f>
        <v>0</v>
      </c>
      <c r="M648">
        <f>SUMIFS(M$13:M$429,$A$13:$A$429,$C648,$C$13:$C$429,$D648)</f>
        <v>0</v>
      </c>
      <c r="N648">
        <f>SUMIFS(N$13:N$429,$A$13:$A$429,$C648,$C$13:$C$429,$D648)</f>
        <v>0</v>
      </c>
      <c r="O648">
        <f>SUMIFS(O$13:O$429,$A$13:$A$429,$C648,$C$13:$C$429,$D648)</f>
        <v>0</v>
      </c>
      <c r="P648">
        <f>SUMIFS(P$13:P$429,$A$13:$A$429,$C648,$C$13:$C$429,$D648)</f>
        <v>0</v>
      </c>
      <c r="Q648">
        <f>SUMIFS(Q$13:Q$429,$A$13:$A$429,$C648,$C$13:$C$429,$D648)</f>
        <v>0</v>
      </c>
      <c r="R648">
        <f>SUMIFS(R$13:R$429,$A$13:$A$429,$C648,$C$13:$C$429,$D648)</f>
        <v>0</v>
      </c>
      <c r="S648">
        <f>SUMIFS(S$13:S$429,$A$13:$A$429,$C648,$C$13:$C$429,$D648)</f>
        <v>0</v>
      </c>
      <c r="T648">
        <f>SUMIFS(T$13:T$429,$A$13:$A$429,$C648,$C$13:$C$429,$D648)</f>
        <v>0</v>
      </c>
      <c r="U648">
        <f>SUM(L648:T648)</f>
        <v>0</v>
      </c>
      <c r="W648">
        <f>IF(SUM(H648:I648)&gt;0,SUM(H648:I648)/G648,0)</f>
        <v>0</v>
      </c>
      <c r="X648">
        <f>IF(G648&gt;0,U648/G648,0)</f>
        <v>0</v>
      </c>
    </row>
    <row r="649">
      <c r="C649" t="str">
        <v>Lantai Attic</v>
      </c>
      <c r="D649" t="str">
        <v>B26-2</v>
      </c>
      <c r="G649">
        <f>SUMIFS($V$13:$V$429,$A$13:$A$429,$C649,$C$13:$C$429,$D649)</f>
        <v>0</v>
      </c>
      <c r="H649">
        <f>SUMIFS($W$13:$W$429,$A$13:$A$429,$C649,$C$13:$C$429,$D649)</f>
        <v>0</v>
      </c>
      <c r="I649">
        <f>SUMIFS($X$13:$X$429,$A$13:$A$429,$C649,$C$13:$C$429,$D649)</f>
        <v>0</v>
      </c>
      <c r="J649">
        <f>SUMIFS($Y$13:$Y$429,$A$13:$A$429,$C649,$C$13:$C$429,$D649)</f>
        <v>0</v>
      </c>
      <c r="K649">
        <f>SUMIFS($Z$13:$Z$429,$A$13:$A$429,$C649,$C$13:$C$429,$D649)</f>
        <v>0</v>
      </c>
      <c r="L649">
        <f>SUMIFS(L$13:L$429,$A$13:$A$429,$C649,$C$13:$C$429,$D649)</f>
        <v>0</v>
      </c>
      <c r="M649">
        <f>SUMIFS(M$13:M$429,$A$13:$A$429,$C649,$C$13:$C$429,$D649)</f>
        <v>0</v>
      </c>
      <c r="N649">
        <f>SUMIFS(N$13:N$429,$A$13:$A$429,$C649,$C$13:$C$429,$D649)</f>
        <v>0</v>
      </c>
      <c r="O649">
        <f>SUMIFS(O$13:O$429,$A$13:$A$429,$C649,$C$13:$C$429,$D649)</f>
        <v>0</v>
      </c>
      <c r="P649">
        <f>SUMIFS(P$13:P$429,$A$13:$A$429,$C649,$C$13:$C$429,$D649)</f>
        <v>0</v>
      </c>
      <c r="Q649">
        <f>SUMIFS(Q$13:Q$429,$A$13:$A$429,$C649,$C$13:$C$429,$D649)</f>
        <v>0</v>
      </c>
      <c r="R649">
        <f>SUMIFS(R$13:R$429,$A$13:$A$429,$C649,$C$13:$C$429,$D649)</f>
        <v>0</v>
      </c>
      <c r="S649">
        <f>SUMIFS(S$13:S$429,$A$13:$A$429,$C649,$C$13:$C$429,$D649)</f>
        <v>0</v>
      </c>
      <c r="T649">
        <f>SUMIFS(T$13:T$429,$A$13:$A$429,$C649,$C$13:$C$429,$D649)</f>
        <v>0</v>
      </c>
      <c r="U649">
        <f>SUM(L649:T649)</f>
        <v>0</v>
      </c>
      <c r="W649">
        <f>IF(SUM(H649:I649)&gt;0,SUM(H649:I649)/G649,0)</f>
        <v>0</v>
      </c>
      <c r="X649">
        <f>IF(G649&gt;0,U649/G649,0)</f>
        <v>0</v>
      </c>
    </row>
    <row r="650">
      <c r="C650" t="str">
        <v>Lantai Attic</v>
      </c>
      <c r="D650" t="str">
        <v>B26-3</v>
      </c>
      <c r="G650">
        <f>SUMIFS($V$13:$V$429,$A$13:$A$429,$C650,$C$13:$C$429,$D650)</f>
        <v>0</v>
      </c>
      <c r="H650">
        <f>SUMIFS($W$13:$W$429,$A$13:$A$429,$C650,$C$13:$C$429,$D650)</f>
        <v>0</v>
      </c>
      <c r="I650">
        <f>SUMIFS($X$13:$X$429,$A$13:$A$429,$C650,$C$13:$C$429,$D650)</f>
        <v>0</v>
      </c>
      <c r="J650">
        <f>SUMIFS($Y$13:$Y$429,$A$13:$A$429,$C650,$C$13:$C$429,$D650)</f>
        <v>0</v>
      </c>
      <c r="K650">
        <f>SUMIFS($Z$13:$Z$429,$A$13:$A$429,$C650,$C$13:$C$429,$D650)</f>
        <v>0</v>
      </c>
      <c r="L650">
        <f>SUMIFS(L$13:L$429,$A$13:$A$429,$C650,$C$13:$C$429,$D650)</f>
        <v>0</v>
      </c>
      <c r="M650">
        <f>SUMIFS(M$13:M$429,$A$13:$A$429,$C650,$C$13:$C$429,$D650)</f>
        <v>0</v>
      </c>
      <c r="N650">
        <f>SUMIFS(N$13:N$429,$A$13:$A$429,$C650,$C$13:$C$429,$D650)</f>
        <v>0</v>
      </c>
      <c r="O650">
        <f>SUMIFS(O$13:O$429,$A$13:$A$429,$C650,$C$13:$C$429,$D650)</f>
        <v>0</v>
      </c>
      <c r="P650">
        <f>SUMIFS(P$13:P$429,$A$13:$A$429,$C650,$C$13:$C$429,$D650)</f>
        <v>0</v>
      </c>
      <c r="Q650">
        <f>SUMIFS(Q$13:Q$429,$A$13:$A$429,$C650,$C$13:$C$429,$D650)</f>
        <v>0</v>
      </c>
      <c r="R650">
        <f>SUMIFS(R$13:R$429,$A$13:$A$429,$C650,$C$13:$C$429,$D650)</f>
        <v>0</v>
      </c>
      <c r="S650">
        <f>SUMIFS(S$13:S$429,$A$13:$A$429,$C650,$C$13:$C$429,$D650)</f>
        <v>0</v>
      </c>
      <c r="T650">
        <f>SUMIFS(T$13:T$429,$A$13:$A$429,$C650,$C$13:$C$429,$D650)</f>
        <v>0</v>
      </c>
      <c r="U650">
        <f>SUM(L650:T650)</f>
        <v>0</v>
      </c>
      <c r="W650">
        <f>IF(SUM(H650:I650)&gt;0,SUM(H650:I650)/G650,0)</f>
        <v>0</v>
      </c>
      <c r="X650">
        <f>IF(G650&gt;0,U650/G650,0)</f>
        <v>0</v>
      </c>
    </row>
    <row r="651">
      <c r="C651" t="str">
        <v>Lantai Attic</v>
      </c>
      <c r="D651" t="str">
        <v>B26-4</v>
      </c>
      <c r="G651">
        <f>SUMIFS($V$13:$V$429,$A$13:$A$429,$C651,$C$13:$C$429,$D651)</f>
        <v>0.2726</v>
      </c>
      <c r="H651">
        <f>SUMIFS($W$13:$W$429,$A$13:$A$429,$C651,$C$13:$C$429,$D651)</f>
        <v>3.306</v>
      </c>
      <c r="I651">
        <f>SUMIFS($X$13:$X$429,$A$13:$A$429,$C651,$C$13:$C$429,$D651)</f>
        <v>0</v>
      </c>
      <c r="J651">
        <f>SUMIFS($Y$13:$Y$429,$A$13:$A$429,$C651,$C$13:$C$429,$D651)</f>
        <v>0</v>
      </c>
      <c r="K651">
        <f>SUMIFS($Z$13:$Z$429,$A$13:$A$429,$C651,$C$13:$C$429,$D651)</f>
        <v>0</v>
      </c>
      <c r="L651">
        <f>SUMIFS(L$13:L$429,$A$13:$A$429,$C651,$C$13:$C$429,$D651)</f>
        <v>0</v>
      </c>
      <c r="M651">
        <f>SUMIFS(M$13:M$429,$A$13:$A$429,$C651,$C$13:$C$429,$D651)</f>
        <v>0</v>
      </c>
      <c r="N651">
        <f>SUMIFS(N$13:N$429,$A$13:$A$429,$C651,$C$13:$C$429,$D651)</f>
        <v>47.945205</v>
      </c>
      <c r="O651">
        <f>SUMIFS(O$13:O$429,$A$13:$A$429,$C651,$C$13:$C$429,$D651)</f>
        <v>0</v>
      </c>
      <c r="P651">
        <f>SUMIFS(P$13:P$429,$A$13:$A$429,$C651,$C$13:$C$429,$D651)</f>
        <v>0</v>
      </c>
      <c r="Q651">
        <f>SUMIFS(Q$13:Q$429,$A$13:$A$429,$C651,$C$13:$C$429,$D651)</f>
        <v>67.22096525999999</v>
      </c>
      <c r="R651">
        <f>SUMIFS(R$13:R$429,$A$13:$A$429,$C651,$C$13:$C$429,$D651)</f>
        <v>0</v>
      </c>
      <c r="S651">
        <f>SUMIFS(S$13:S$429,$A$13:$A$429,$C651,$C$13:$C$429,$D651)</f>
        <v>0</v>
      </c>
      <c r="T651">
        <f>SUMIFS(T$13:T$429,$A$13:$A$429,$C651,$C$13:$C$429,$D651)</f>
        <v>0</v>
      </c>
      <c r="U651">
        <f>SUM(L651:T651)</f>
        <v>115.16617025999999</v>
      </c>
      <c r="W651">
        <f>IF(SUM(H651:I651)&gt;0,SUM(H651:I651)/G651,0)</f>
        <v>12.127659574468085</v>
      </c>
      <c r="X651">
        <f>IF(G651&gt;0,U651/G651,0)</f>
        <v>422.4731117388114</v>
      </c>
    </row>
    <row r="652">
      <c r="C652" t="str">
        <v>Lantai Attic</v>
      </c>
      <c r="D652" t="str">
        <v>B26-5</v>
      </c>
      <c r="G652">
        <f>SUMIFS($V$13:$V$429,$A$13:$A$429,$C652,$C$13:$C$429,$D652)</f>
        <v>0</v>
      </c>
      <c r="H652">
        <f>SUMIFS($W$13:$W$429,$A$13:$A$429,$C652,$C$13:$C$429,$D652)</f>
        <v>0</v>
      </c>
      <c r="I652">
        <f>SUMIFS($X$13:$X$429,$A$13:$A$429,$C652,$C$13:$C$429,$D652)</f>
        <v>0</v>
      </c>
      <c r="J652">
        <f>SUMIFS($Y$13:$Y$429,$A$13:$A$429,$C652,$C$13:$C$429,$D652)</f>
        <v>0</v>
      </c>
      <c r="K652">
        <f>SUMIFS($Z$13:$Z$429,$A$13:$A$429,$C652,$C$13:$C$429,$D652)</f>
        <v>0</v>
      </c>
      <c r="L652">
        <f>SUMIFS(L$13:L$429,$A$13:$A$429,$C652,$C$13:$C$429,$D652)</f>
        <v>0</v>
      </c>
      <c r="M652">
        <f>SUMIFS(M$13:M$429,$A$13:$A$429,$C652,$C$13:$C$429,$D652)</f>
        <v>0</v>
      </c>
      <c r="N652">
        <f>SUMIFS(N$13:N$429,$A$13:$A$429,$C652,$C$13:$C$429,$D652)</f>
        <v>0</v>
      </c>
      <c r="O652">
        <f>SUMIFS(O$13:O$429,$A$13:$A$429,$C652,$C$13:$C$429,$D652)</f>
        <v>0</v>
      </c>
      <c r="P652">
        <f>SUMIFS(P$13:P$429,$A$13:$A$429,$C652,$C$13:$C$429,$D652)</f>
        <v>0</v>
      </c>
      <c r="Q652">
        <f>SUMIFS(Q$13:Q$429,$A$13:$A$429,$C652,$C$13:$C$429,$D652)</f>
        <v>0</v>
      </c>
      <c r="R652">
        <f>SUMIFS(R$13:R$429,$A$13:$A$429,$C652,$C$13:$C$429,$D652)</f>
        <v>0</v>
      </c>
      <c r="S652">
        <f>SUMIFS(S$13:S$429,$A$13:$A$429,$C652,$C$13:$C$429,$D652)</f>
        <v>0</v>
      </c>
      <c r="T652">
        <f>SUMIFS(T$13:T$429,$A$13:$A$429,$C652,$C$13:$C$429,$D652)</f>
        <v>0</v>
      </c>
      <c r="U652">
        <f>SUM(L652:T652)</f>
        <v>0</v>
      </c>
      <c r="W652">
        <f>IF(SUM(H652:I652)&gt;0,SUM(H652:I652)/G652,0)</f>
        <v>0</v>
      </c>
      <c r="X652">
        <f>IF(G652&gt;0,U652/G652,0)</f>
        <v>0</v>
      </c>
    </row>
    <row r="653">
      <c r="C653" t="str">
        <v>Lantai Attic</v>
      </c>
      <c r="D653" t="str">
        <v>CL26-1</v>
      </c>
      <c r="G653">
        <f>SUMIFS($V$13:$V$429,$A$13:$A$429,$C653,$C$13:$C$429,$D653)</f>
        <v>0.09729</v>
      </c>
      <c r="H653">
        <f>SUMIFS($W$13:$W$429,$A$13:$A$429,$C653,$C$13:$C$429,$D653)</f>
        <v>1.1799</v>
      </c>
      <c r="I653">
        <f>SUMIFS($X$13:$X$429,$A$13:$A$429,$C653,$C$13:$C$429,$D653)</f>
        <v>0</v>
      </c>
      <c r="J653">
        <f>SUMIFS($Y$13:$Y$429,$A$13:$A$429,$C653,$C$13:$C$429,$D653)</f>
        <v>0</v>
      </c>
      <c r="K653">
        <f>SUMIFS($Z$13:$Z$429,$A$13:$A$429,$C653,$C$13:$C$429,$D653)</f>
        <v>0</v>
      </c>
      <c r="L653">
        <f>SUMIFS(L$13:L$429,$A$13:$A$429,$C653,$C$13:$C$429,$D653)</f>
        <v>0</v>
      </c>
      <c r="M653">
        <f>SUMIFS(M$13:M$429,$A$13:$A$429,$C653,$C$13:$C$429,$D653)</f>
        <v>0</v>
      </c>
      <c r="N653">
        <f>SUMIFS(N$13:N$429,$A$13:$A$429,$C653,$C$13:$C$429,$D653)</f>
        <v>8.624835000000001</v>
      </c>
      <c r="O653">
        <f>SUMIFS(O$13:O$429,$A$13:$A$429,$C653,$C$13:$C$429,$D653)</f>
        <v>0</v>
      </c>
      <c r="P653">
        <f>SUMIFS(P$13:P$429,$A$13:$A$429,$C653,$C$13:$C$429,$D653)</f>
        <v>17.79781248</v>
      </c>
      <c r="Q653">
        <f>SUMIFS(Q$13:Q$429,$A$13:$A$429,$C653,$C$13:$C$429,$D653)</f>
        <v>0</v>
      </c>
      <c r="R653">
        <f>SUMIFS(R$13:R$429,$A$13:$A$429,$C653,$C$13:$C$429,$D653)</f>
        <v>0</v>
      </c>
      <c r="S653">
        <f>SUMIFS(S$13:S$429,$A$13:$A$429,$C653,$C$13:$C$429,$D653)</f>
        <v>0</v>
      </c>
      <c r="T653">
        <f>SUMIFS(T$13:T$429,$A$13:$A$429,$C653,$C$13:$C$429,$D653)</f>
        <v>0</v>
      </c>
      <c r="U653">
        <f>SUM(L653:T653)</f>
        <v>26.422647480000002</v>
      </c>
      <c r="W653">
        <f>IF(SUM(H653:I653)&gt;0,SUM(H653:I653)/G653,0)</f>
        <v>12.127659574468085</v>
      </c>
      <c r="X653">
        <f>IF(G653&gt;0,U653/G653,0)</f>
        <v>271.5864680851064</v>
      </c>
    </row>
    <row r="654">
      <c r="C654" t="str">
        <v>Lantai Attic</v>
      </c>
      <c r="D654" t="str">
        <v>B2550-1</v>
      </c>
      <c r="G654">
        <f>SUMIFS($V$13:$V$429,$A$13:$A$429,$C654,$C$13:$C$429,$D654)</f>
        <v>1.776</v>
      </c>
      <c r="H654">
        <f>SUMIFS($W$13:$W$429,$A$13:$A$429,$C654,$C$13:$C$429,$D654)</f>
        <v>19.008000000000003</v>
      </c>
      <c r="I654">
        <f>SUMIFS($X$13:$X$429,$A$13:$A$429,$C654,$C$13:$C$429,$D654)</f>
        <v>0</v>
      </c>
      <c r="J654">
        <f>SUMIFS($Y$13:$Y$429,$A$13:$A$429,$C654,$C$13:$C$429,$D654)</f>
        <v>0</v>
      </c>
      <c r="K654">
        <f>SUMIFS($Z$13:$Z$429,$A$13:$A$429,$C654,$C$13:$C$429,$D654)</f>
        <v>0</v>
      </c>
      <c r="L654">
        <f>SUMIFS(L$13:L$429,$A$13:$A$429,$C654,$C$13:$C$429,$D654)</f>
        <v>0</v>
      </c>
      <c r="M654">
        <f>SUMIFS(M$13:M$429,$A$13:$A$429,$C654,$C$13:$C$429,$D654)</f>
        <v>0</v>
      </c>
      <c r="N654">
        <f>SUMIFS(N$13:N$429,$A$13:$A$429,$C654,$C$13:$C$429,$D654)</f>
        <v>157.39245</v>
      </c>
      <c r="O654">
        <f>SUMIFS(O$13:O$429,$A$13:$A$429,$C654,$C$13:$C$429,$D654)</f>
        <v>0</v>
      </c>
      <c r="P654">
        <f>SUMIFS(P$13:P$429,$A$13:$A$429,$C654,$C$13:$C$429,$D654)</f>
        <v>0</v>
      </c>
      <c r="Q654">
        <f>SUMIFS(Q$13:Q$429,$A$13:$A$429,$C654,$C$13:$C$429,$D654)</f>
        <v>406.710875925</v>
      </c>
      <c r="R654">
        <f>SUMIFS(R$13:R$429,$A$13:$A$429,$C654,$C$13:$C$429,$D654)</f>
        <v>0</v>
      </c>
      <c r="S654">
        <f>SUMIFS(S$13:S$429,$A$13:$A$429,$C654,$C$13:$C$429,$D654)</f>
        <v>0</v>
      </c>
      <c r="T654">
        <f>SUMIFS(T$13:T$429,$A$13:$A$429,$C654,$C$13:$C$429,$D654)</f>
        <v>0</v>
      </c>
      <c r="U654">
        <f>SUM(L654:T654)</f>
        <v>564.103325925</v>
      </c>
      <c r="W654">
        <f>IF(SUM(H654:I654)&gt;0,SUM(H654:I654)/G654,0)</f>
        <v>10.702702702702704</v>
      </c>
      <c r="X654">
        <f>IF(G654&gt;0,U654/G654,0)</f>
        <v>317.6257465793919</v>
      </c>
    </row>
    <row r="655">
      <c r="C655" t="str">
        <v>Lantai Attic</v>
      </c>
      <c r="D655" t="str">
        <v>B257-1</v>
      </c>
      <c r="G655">
        <f>SUMIFS($V$13:$V$429,$A$13:$A$429,$C655,$C$13:$C$429,$D655)</f>
        <v>0</v>
      </c>
      <c r="H655">
        <f>SUMIFS($W$13:$W$429,$A$13:$A$429,$C655,$C$13:$C$429,$D655)</f>
        <v>0</v>
      </c>
      <c r="I655">
        <f>SUMIFS($X$13:$X$429,$A$13:$A$429,$C655,$C$13:$C$429,$D655)</f>
        <v>0</v>
      </c>
      <c r="J655">
        <f>SUMIFS($Y$13:$Y$429,$A$13:$A$429,$C655,$C$13:$C$429,$D655)</f>
        <v>0</v>
      </c>
      <c r="K655">
        <f>SUMIFS($Z$13:$Z$429,$A$13:$A$429,$C655,$C$13:$C$429,$D655)</f>
        <v>0</v>
      </c>
      <c r="L655">
        <f>SUMIFS(L$13:L$429,$A$13:$A$429,$C655,$C$13:$C$429,$D655)</f>
        <v>0</v>
      </c>
      <c r="M655">
        <f>SUMIFS(M$13:M$429,$A$13:$A$429,$C655,$C$13:$C$429,$D655)</f>
        <v>0</v>
      </c>
      <c r="N655">
        <f>SUMIFS(N$13:N$429,$A$13:$A$429,$C655,$C$13:$C$429,$D655)</f>
        <v>0</v>
      </c>
      <c r="O655">
        <f>SUMIFS(O$13:O$429,$A$13:$A$429,$C655,$C$13:$C$429,$D655)</f>
        <v>0</v>
      </c>
      <c r="P655">
        <f>SUMIFS(P$13:P$429,$A$13:$A$429,$C655,$C$13:$C$429,$D655)</f>
        <v>0</v>
      </c>
      <c r="Q655">
        <f>SUMIFS(Q$13:Q$429,$A$13:$A$429,$C655,$C$13:$C$429,$D655)</f>
        <v>0</v>
      </c>
      <c r="R655">
        <f>SUMIFS(R$13:R$429,$A$13:$A$429,$C655,$C$13:$C$429,$D655)</f>
        <v>0</v>
      </c>
      <c r="S655">
        <f>SUMIFS(S$13:S$429,$A$13:$A$429,$C655,$C$13:$C$429,$D655)</f>
        <v>0</v>
      </c>
      <c r="T655">
        <f>SUMIFS(T$13:T$429,$A$13:$A$429,$C655,$C$13:$C$429,$D655)</f>
        <v>0</v>
      </c>
      <c r="U655">
        <f>SUM(L655:T655)</f>
        <v>0</v>
      </c>
      <c r="W655">
        <f>IF(SUM(H655:I655)&gt;0,SUM(H655:I655)/G655,0)</f>
        <v>0</v>
      </c>
      <c r="X655">
        <f>IF(G655&gt;0,U655/G655,0)</f>
        <v>0</v>
      </c>
    </row>
    <row r="656">
      <c r="C656" t="str">
        <v>Lantai Attic</v>
      </c>
      <c r="D656" t="str">
        <v>B257-2</v>
      </c>
      <c r="G656">
        <f>SUMIFS($V$13:$V$429,$A$13:$A$429,$C656,$C$13:$C$429,$D656)</f>
        <v>0</v>
      </c>
      <c r="H656">
        <f>SUMIFS($W$13:$W$429,$A$13:$A$429,$C656,$C$13:$C$429,$D656)</f>
        <v>0</v>
      </c>
      <c r="I656">
        <f>SUMIFS($X$13:$X$429,$A$13:$A$429,$C656,$C$13:$C$429,$D656)</f>
        <v>0</v>
      </c>
      <c r="J656">
        <f>SUMIFS($Y$13:$Y$429,$A$13:$A$429,$C656,$C$13:$C$429,$D656)</f>
        <v>0</v>
      </c>
      <c r="K656">
        <f>SUMIFS($Z$13:$Z$429,$A$13:$A$429,$C656,$C$13:$C$429,$D656)</f>
        <v>0</v>
      </c>
      <c r="L656">
        <f>SUMIFS(L$13:L$429,$A$13:$A$429,$C656,$C$13:$C$429,$D656)</f>
        <v>0</v>
      </c>
      <c r="M656">
        <f>SUMIFS(M$13:M$429,$A$13:$A$429,$C656,$C$13:$C$429,$D656)</f>
        <v>0</v>
      </c>
      <c r="N656">
        <f>SUMIFS(N$13:N$429,$A$13:$A$429,$C656,$C$13:$C$429,$D656)</f>
        <v>0</v>
      </c>
      <c r="O656">
        <f>SUMIFS(O$13:O$429,$A$13:$A$429,$C656,$C$13:$C$429,$D656)</f>
        <v>0</v>
      </c>
      <c r="P656">
        <f>SUMIFS(P$13:P$429,$A$13:$A$429,$C656,$C$13:$C$429,$D656)</f>
        <v>0</v>
      </c>
      <c r="Q656">
        <f>SUMIFS(Q$13:Q$429,$A$13:$A$429,$C656,$C$13:$C$429,$D656)</f>
        <v>0</v>
      </c>
      <c r="R656">
        <f>SUMIFS(R$13:R$429,$A$13:$A$429,$C656,$C$13:$C$429,$D656)</f>
        <v>0</v>
      </c>
      <c r="S656">
        <f>SUMIFS(S$13:S$429,$A$13:$A$429,$C656,$C$13:$C$429,$D656)</f>
        <v>0</v>
      </c>
      <c r="T656">
        <f>SUMIFS(T$13:T$429,$A$13:$A$429,$C656,$C$13:$C$429,$D656)</f>
        <v>0</v>
      </c>
      <c r="U656">
        <f>SUM(L656:T656)</f>
        <v>0</v>
      </c>
      <c r="W656">
        <f>IF(SUM(H656:I656)&gt;0,SUM(H656:I656)/G656,0)</f>
        <v>0</v>
      </c>
      <c r="X656">
        <f>IF(G656&gt;0,U656/G656,0)</f>
        <v>0</v>
      </c>
    </row>
    <row r="657">
      <c r="C657" t="str">
        <v>Lantai Attic</v>
      </c>
      <c r="D657" t="str">
        <v>B345-1</v>
      </c>
      <c r="G657">
        <f>SUMIFS($V$13:$V$429,$A$13:$A$429,$C657,$C$13:$C$429,$D657)</f>
        <v>0</v>
      </c>
      <c r="H657">
        <f>SUMIFS($W$13:$W$429,$A$13:$A$429,$C657,$C$13:$C$429,$D657)</f>
        <v>0</v>
      </c>
      <c r="I657">
        <f>SUMIFS($X$13:$X$429,$A$13:$A$429,$C657,$C$13:$C$429,$D657)</f>
        <v>0</v>
      </c>
      <c r="J657">
        <f>SUMIFS($Y$13:$Y$429,$A$13:$A$429,$C657,$C$13:$C$429,$D657)</f>
        <v>0</v>
      </c>
      <c r="K657">
        <f>SUMIFS($Z$13:$Z$429,$A$13:$A$429,$C657,$C$13:$C$429,$D657)</f>
        <v>0</v>
      </c>
      <c r="L657">
        <f>SUMIFS(L$13:L$429,$A$13:$A$429,$C657,$C$13:$C$429,$D657)</f>
        <v>0</v>
      </c>
      <c r="M657">
        <f>SUMIFS(M$13:M$429,$A$13:$A$429,$C657,$C$13:$C$429,$D657)</f>
        <v>0</v>
      </c>
      <c r="N657">
        <f>SUMIFS(N$13:N$429,$A$13:$A$429,$C657,$C$13:$C$429,$D657)</f>
        <v>0</v>
      </c>
      <c r="O657">
        <f>SUMIFS(O$13:O$429,$A$13:$A$429,$C657,$C$13:$C$429,$D657)</f>
        <v>0</v>
      </c>
      <c r="P657">
        <f>SUMIFS(P$13:P$429,$A$13:$A$429,$C657,$C$13:$C$429,$D657)</f>
        <v>0</v>
      </c>
      <c r="Q657">
        <f>SUMIFS(Q$13:Q$429,$A$13:$A$429,$C657,$C$13:$C$429,$D657)</f>
        <v>0</v>
      </c>
      <c r="R657">
        <f>SUMIFS(R$13:R$429,$A$13:$A$429,$C657,$C$13:$C$429,$D657)</f>
        <v>0</v>
      </c>
      <c r="S657">
        <f>SUMIFS(S$13:S$429,$A$13:$A$429,$C657,$C$13:$C$429,$D657)</f>
        <v>0</v>
      </c>
      <c r="T657">
        <f>SUMIFS(T$13:T$429,$A$13:$A$429,$C657,$C$13:$C$429,$D657)</f>
        <v>0</v>
      </c>
      <c r="U657">
        <f>SUM(L657:T657)</f>
        <v>0</v>
      </c>
      <c r="W657">
        <f>IF(SUM(H657:I657)&gt;0,SUM(H657:I657)/G657,0)</f>
        <v>0</v>
      </c>
      <c r="X657">
        <f>IF(G657&gt;0,U657/G657,0)</f>
        <v>0</v>
      </c>
    </row>
    <row r="658">
      <c r="C658" t="str">
        <v>Lantai Attic</v>
      </c>
      <c r="D658" t="str">
        <v>B35-1</v>
      </c>
      <c r="G658">
        <f>SUMIFS($V$13:$V$429,$A$13:$A$429,$C658,$C$13:$C$429,$D658)</f>
        <v>0</v>
      </c>
      <c r="H658">
        <f>SUMIFS($W$13:$W$429,$A$13:$A$429,$C658,$C$13:$C$429,$D658)</f>
        <v>0</v>
      </c>
      <c r="I658">
        <f>SUMIFS($X$13:$X$429,$A$13:$A$429,$C658,$C$13:$C$429,$D658)</f>
        <v>0</v>
      </c>
      <c r="J658">
        <f>SUMIFS($Y$13:$Y$429,$A$13:$A$429,$C658,$C$13:$C$429,$D658)</f>
        <v>0</v>
      </c>
      <c r="K658">
        <f>SUMIFS($Z$13:$Z$429,$A$13:$A$429,$C658,$C$13:$C$429,$D658)</f>
        <v>0</v>
      </c>
      <c r="L658">
        <f>SUMIFS(L$13:L$429,$A$13:$A$429,$C658,$C$13:$C$429,$D658)</f>
        <v>0</v>
      </c>
      <c r="M658">
        <f>SUMIFS(M$13:M$429,$A$13:$A$429,$C658,$C$13:$C$429,$D658)</f>
        <v>0</v>
      </c>
      <c r="N658">
        <f>SUMIFS(N$13:N$429,$A$13:$A$429,$C658,$C$13:$C$429,$D658)</f>
        <v>0</v>
      </c>
      <c r="O658">
        <f>SUMIFS(O$13:O$429,$A$13:$A$429,$C658,$C$13:$C$429,$D658)</f>
        <v>0</v>
      </c>
      <c r="P658">
        <f>SUMIFS(P$13:P$429,$A$13:$A$429,$C658,$C$13:$C$429,$D658)</f>
        <v>0</v>
      </c>
      <c r="Q658">
        <f>SUMIFS(Q$13:Q$429,$A$13:$A$429,$C658,$C$13:$C$429,$D658)</f>
        <v>0</v>
      </c>
      <c r="R658">
        <f>SUMIFS(R$13:R$429,$A$13:$A$429,$C658,$C$13:$C$429,$D658)</f>
        <v>0</v>
      </c>
      <c r="S658">
        <f>SUMIFS(S$13:S$429,$A$13:$A$429,$C658,$C$13:$C$429,$D658)</f>
        <v>0</v>
      </c>
      <c r="T658">
        <f>SUMIFS(T$13:T$429,$A$13:$A$429,$C658,$C$13:$C$429,$D658)</f>
        <v>0</v>
      </c>
      <c r="U658">
        <f>SUM(L658:T658)</f>
        <v>0</v>
      </c>
      <c r="W658">
        <f>IF(SUM(H658:I658)&gt;0,SUM(H658:I658)/G658,0)</f>
        <v>0</v>
      </c>
      <c r="X658">
        <f>IF(G658&gt;0,U658/G658,0)</f>
        <v>0</v>
      </c>
    </row>
    <row r="659">
      <c r="C659" t="str">
        <v>Lantai Attic</v>
      </c>
      <c r="D659" t="str">
        <v>B35-2</v>
      </c>
      <c r="G659">
        <f>SUMIFS($V$13:$V$429,$A$13:$A$429,$C659,$C$13:$C$429,$D659)</f>
        <v>1.5651000000000002</v>
      </c>
      <c r="H659">
        <f>SUMIFS($W$13:$W$429,$A$13:$A$429,$C659,$C$13:$C$429,$D659)</f>
        <v>14.664000000000001</v>
      </c>
      <c r="I659">
        <f>SUMIFS($X$13:$X$429,$A$13:$A$429,$C659,$C$13:$C$429,$D659)</f>
        <v>0</v>
      </c>
      <c r="J659">
        <f>SUMIFS($Y$13:$Y$429,$A$13:$A$429,$C659,$C$13:$C$429,$D659)</f>
        <v>0</v>
      </c>
      <c r="K659">
        <f>SUMIFS($Z$13:$Z$429,$A$13:$A$429,$C659,$C$13:$C$429,$D659)</f>
        <v>0</v>
      </c>
      <c r="L659">
        <f>SUMIFS(L$13:L$429,$A$13:$A$429,$C659,$C$13:$C$429,$D659)</f>
        <v>0</v>
      </c>
      <c r="M659">
        <f>SUMIFS(M$13:M$429,$A$13:$A$429,$C659,$C$13:$C$429,$D659)</f>
        <v>0</v>
      </c>
      <c r="N659">
        <f>SUMIFS(N$13:N$429,$A$13:$A$429,$C659,$C$13:$C$429,$D659)</f>
        <v>121.123755</v>
      </c>
      <c r="O659">
        <f>SUMIFS(O$13:O$429,$A$13:$A$429,$C659,$C$13:$C$429,$D659)</f>
        <v>0</v>
      </c>
      <c r="P659">
        <f>SUMIFS(P$13:P$429,$A$13:$A$429,$C659,$C$13:$C$429,$D659)</f>
        <v>0</v>
      </c>
      <c r="Q659">
        <f>SUMIFS(Q$13:Q$429,$A$13:$A$429,$C659,$C$13:$C$429,$D659)</f>
        <v>314.89964298</v>
      </c>
      <c r="R659">
        <f>SUMIFS(R$13:R$429,$A$13:$A$429,$C659,$C$13:$C$429,$D659)</f>
        <v>0</v>
      </c>
      <c r="S659">
        <f>SUMIFS(S$13:S$429,$A$13:$A$429,$C659,$C$13:$C$429,$D659)</f>
        <v>0</v>
      </c>
      <c r="T659">
        <f>SUMIFS(T$13:T$429,$A$13:$A$429,$C659,$C$13:$C$429,$D659)</f>
        <v>0</v>
      </c>
      <c r="U659">
        <f>SUM(L659:T659)</f>
        <v>436.02339798</v>
      </c>
      <c r="W659">
        <f>IF(SUM(H659:I659)&gt;0,SUM(H659:I659)/G659,0)</f>
        <v>9.36936936936937</v>
      </c>
      <c r="X659">
        <f>IF(G659&gt;0,U659/G659,0)</f>
        <v>278.5913986198965</v>
      </c>
    </row>
    <row r="660">
      <c r="C660" t="str">
        <v>Lantai Attic</v>
      </c>
      <c r="D660" t="str">
        <v>B36-1</v>
      </c>
      <c r="G660">
        <f>SUMIFS($V$13:$V$429,$A$13:$A$429,$C660,$C$13:$C$429,$D660)</f>
        <v>0.763515</v>
      </c>
      <c r="H660">
        <f>SUMIFS($W$13:$W$429,$A$13:$A$429,$C660,$C$13:$C$429,$D660)</f>
        <v>6.7146</v>
      </c>
      <c r="I660">
        <f>SUMIFS($X$13:$X$429,$A$13:$A$429,$C660,$C$13:$C$429,$D660)</f>
        <v>0</v>
      </c>
      <c r="J660">
        <f>SUMIFS($Y$13:$Y$429,$A$13:$A$429,$C660,$C$13:$C$429,$D660)</f>
        <v>0</v>
      </c>
      <c r="K660">
        <f>SUMIFS($Z$13:$Z$429,$A$13:$A$429,$C660,$C$13:$C$429,$D660)</f>
        <v>0</v>
      </c>
      <c r="L660">
        <f>SUMIFS(L$13:L$429,$A$13:$A$429,$C660,$C$13:$C$429,$D660)</f>
        <v>0</v>
      </c>
      <c r="M660">
        <f>SUMIFS(M$13:M$429,$A$13:$A$429,$C660,$C$13:$C$429,$D660)</f>
        <v>0</v>
      </c>
      <c r="N660">
        <f>SUMIFS(N$13:N$429,$A$13:$A$429,$C660,$C$13:$C$429,$D660)</f>
        <v>74.92324500000001</v>
      </c>
      <c r="O660">
        <f>SUMIFS(O$13:O$429,$A$13:$A$429,$C660,$C$13:$C$429,$D660)</f>
        <v>0</v>
      </c>
      <c r="P660">
        <f>SUMIFS(P$13:P$429,$A$13:$A$429,$C660,$C$13:$C$429,$D660)</f>
        <v>84.13360704000002</v>
      </c>
      <c r="Q660">
        <f>SUMIFS(Q$13:Q$429,$A$13:$A$429,$C660,$C$13:$C$429,$D660)</f>
        <v>0</v>
      </c>
      <c r="R660">
        <f>SUMIFS(R$13:R$429,$A$13:$A$429,$C660,$C$13:$C$429,$D660)</f>
        <v>0</v>
      </c>
      <c r="S660">
        <f>SUMIFS(S$13:S$429,$A$13:$A$429,$C660,$C$13:$C$429,$D660)</f>
        <v>0</v>
      </c>
      <c r="T660">
        <f>SUMIFS(T$13:T$429,$A$13:$A$429,$C660,$C$13:$C$429,$D660)</f>
        <v>0</v>
      </c>
      <c r="U660">
        <f>SUM(L660:T660)</f>
        <v>159.05685204000002</v>
      </c>
      <c r="W660">
        <f>IF(SUM(H660:I660)&gt;0,SUM(H660:I660)/G660,0)</f>
        <v>8.794326241134751</v>
      </c>
      <c r="X660">
        <f>IF(G660&gt;0,U660/G660,0)</f>
        <v>208.32184310720814</v>
      </c>
    </row>
    <row r="661">
      <c r="C661" t="str">
        <v>Lantai Attic</v>
      </c>
      <c r="D661" t="str">
        <v>B36-2</v>
      </c>
      <c r="G661">
        <f>SUMIFS($V$13:$V$429,$A$13:$A$429,$C661,$C$13:$C$429,$D661)</f>
        <v>0</v>
      </c>
      <c r="H661">
        <f>SUMIFS($W$13:$W$429,$A$13:$A$429,$C661,$C$13:$C$429,$D661)</f>
        <v>0</v>
      </c>
      <c r="I661">
        <f>SUMIFS($X$13:$X$429,$A$13:$A$429,$C661,$C$13:$C$429,$D661)</f>
        <v>0</v>
      </c>
      <c r="J661">
        <f>SUMIFS($Y$13:$Y$429,$A$13:$A$429,$C661,$C$13:$C$429,$D661)</f>
        <v>0</v>
      </c>
      <c r="K661">
        <f>SUMIFS($Z$13:$Z$429,$A$13:$A$429,$C661,$C$13:$C$429,$D661)</f>
        <v>0</v>
      </c>
      <c r="L661">
        <f>SUMIFS(L$13:L$429,$A$13:$A$429,$C661,$C$13:$C$429,$D661)</f>
        <v>0</v>
      </c>
      <c r="M661">
        <f>SUMIFS(M$13:M$429,$A$13:$A$429,$C661,$C$13:$C$429,$D661)</f>
        <v>0</v>
      </c>
      <c r="N661">
        <f>SUMIFS(N$13:N$429,$A$13:$A$429,$C661,$C$13:$C$429,$D661)</f>
        <v>0</v>
      </c>
      <c r="O661">
        <f>SUMIFS(O$13:O$429,$A$13:$A$429,$C661,$C$13:$C$429,$D661)</f>
        <v>0</v>
      </c>
      <c r="P661">
        <f>SUMIFS(P$13:P$429,$A$13:$A$429,$C661,$C$13:$C$429,$D661)</f>
        <v>0</v>
      </c>
      <c r="Q661">
        <f>SUMIFS(Q$13:Q$429,$A$13:$A$429,$C661,$C$13:$C$429,$D661)</f>
        <v>0</v>
      </c>
      <c r="R661">
        <f>SUMIFS(R$13:R$429,$A$13:$A$429,$C661,$C$13:$C$429,$D661)</f>
        <v>0</v>
      </c>
      <c r="S661">
        <f>SUMIFS(S$13:S$429,$A$13:$A$429,$C661,$C$13:$C$429,$D661)</f>
        <v>0</v>
      </c>
      <c r="T661">
        <f>SUMIFS(T$13:T$429,$A$13:$A$429,$C661,$C$13:$C$429,$D661)</f>
        <v>0</v>
      </c>
      <c r="U661">
        <f>SUM(L661:T661)</f>
        <v>0</v>
      </c>
      <c r="W661">
        <f>IF(SUM(H661:I661)&gt;0,SUM(H661:I661)/G661,0)</f>
        <v>0</v>
      </c>
      <c r="X661">
        <f>IF(G661&gt;0,U661/G661,0)</f>
        <v>0</v>
      </c>
    </row>
    <row r="662">
      <c r="C662" t="str">
        <v>Lantai Attic</v>
      </c>
      <c r="D662" t="str">
        <v>B36-3</v>
      </c>
      <c r="G662">
        <f>SUMIFS($V$13:$V$429,$A$13:$A$429,$C662,$C$13:$C$429,$D662)</f>
        <v>0</v>
      </c>
      <c r="H662">
        <f>SUMIFS($W$13:$W$429,$A$13:$A$429,$C662,$C$13:$C$429,$D662)</f>
        <v>0</v>
      </c>
      <c r="I662">
        <f>SUMIFS($X$13:$X$429,$A$13:$A$429,$C662,$C$13:$C$429,$D662)</f>
        <v>0</v>
      </c>
      <c r="J662">
        <f>SUMIFS($Y$13:$Y$429,$A$13:$A$429,$C662,$C$13:$C$429,$D662)</f>
        <v>0</v>
      </c>
      <c r="K662">
        <f>SUMIFS($Z$13:$Z$429,$A$13:$A$429,$C662,$C$13:$C$429,$D662)</f>
        <v>0</v>
      </c>
      <c r="L662">
        <f>SUMIFS(L$13:L$429,$A$13:$A$429,$C662,$C$13:$C$429,$D662)</f>
        <v>0</v>
      </c>
      <c r="M662">
        <f>SUMIFS(M$13:M$429,$A$13:$A$429,$C662,$C$13:$C$429,$D662)</f>
        <v>0</v>
      </c>
      <c r="N662">
        <f>SUMIFS(N$13:N$429,$A$13:$A$429,$C662,$C$13:$C$429,$D662)</f>
        <v>0</v>
      </c>
      <c r="O662">
        <f>SUMIFS(O$13:O$429,$A$13:$A$429,$C662,$C$13:$C$429,$D662)</f>
        <v>0</v>
      </c>
      <c r="P662">
        <f>SUMIFS(P$13:P$429,$A$13:$A$429,$C662,$C$13:$C$429,$D662)</f>
        <v>0</v>
      </c>
      <c r="Q662">
        <f>SUMIFS(Q$13:Q$429,$A$13:$A$429,$C662,$C$13:$C$429,$D662)</f>
        <v>0</v>
      </c>
      <c r="R662">
        <f>SUMIFS(R$13:R$429,$A$13:$A$429,$C662,$C$13:$C$429,$D662)</f>
        <v>0</v>
      </c>
      <c r="S662">
        <f>SUMIFS(S$13:S$429,$A$13:$A$429,$C662,$C$13:$C$429,$D662)</f>
        <v>0</v>
      </c>
      <c r="T662">
        <f>SUMIFS(T$13:T$429,$A$13:$A$429,$C662,$C$13:$C$429,$D662)</f>
        <v>0</v>
      </c>
      <c r="U662">
        <f>SUM(L662:T662)</f>
        <v>0</v>
      </c>
      <c r="W662">
        <f>IF(SUM(H662:I662)&gt;0,SUM(H662:I662)/G662,0)</f>
        <v>0</v>
      </c>
      <c r="X662">
        <f>IF(G662&gt;0,U662/G662,0)</f>
        <v>0</v>
      </c>
    </row>
    <row r="663">
      <c r="C663" t="str">
        <v>Lantai Attic</v>
      </c>
      <c r="D663" t="str">
        <v>B37-1</v>
      </c>
      <c r="G663">
        <f>SUMIFS($V$13:$V$429,$A$13:$A$429,$C663,$C$13:$C$429,$D663)</f>
        <v>1.438965</v>
      </c>
      <c r="H663">
        <f>SUMIFS($W$13:$W$429,$A$13:$A$429,$C663,$C$13:$C$429,$D663)</f>
        <v>12.1176</v>
      </c>
      <c r="I663">
        <f>SUMIFS($X$13:$X$429,$A$13:$A$429,$C663,$C$13:$C$429,$D663)</f>
        <v>0</v>
      </c>
      <c r="J663">
        <f>SUMIFS($Y$13:$Y$429,$A$13:$A$429,$C663,$C$13:$C$429,$D663)</f>
        <v>0</v>
      </c>
      <c r="K663">
        <f>SUMIFS($Z$13:$Z$429,$A$13:$A$429,$C663,$C$13:$C$429,$D663)</f>
        <v>0</v>
      </c>
      <c r="L663">
        <f>SUMIFS(L$13:L$429,$A$13:$A$429,$C663,$C$13:$C$429,$D663)</f>
        <v>0</v>
      </c>
      <c r="M663">
        <f>SUMIFS(M$13:M$429,$A$13:$A$429,$C663,$C$13:$C$429,$D663)</f>
        <v>0</v>
      </c>
      <c r="N663">
        <f>SUMIFS(N$13:N$429,$A$13:$A$429,$C663,$C$13:$C$429,$D663)</f>
        <v>118.978335</v>
      </c>
      <c r="O663">
        <f>SUMIFS(O$13:O$429,$A$13:$A$429,$C663,$C$13:$C$429,$D663)</f>
        <v>0</v>
      </c>
      <c r="P663">
        <f>SUMIFS(P$13:P$429,$A$13:$A$429,$C663,$C$13:$C$429,$D663)</f>
        <v>0</v>
      </c>
      <c r="Q663">
        <f>SUMIFS(Q$13:Q$429,$A$13:$A$429,$C663,$C$13:$C$429,$D663)</f>
        <v>0</v>
      </c>
      <c r="R663">
        <f>SUMIFS(R$13:R$429,$A$13:$A$429,$C663,$C$13:$C$429,$D663)</f>
        <v>275.75789768999994</v>
      </c>
      <c r="S663">
        <f>SUMIFS(S$13:S$429,$A$13:$A$429,$C663,$C$13:$C$429,$D663)</f>
        <v>0</v>
      </c>
      <c r="T663">
        <f>SUMIFS(T$13:T$429,$A$13:$A$429,$C663,$C$13:$C$429,$D663)</f>
        <v>0</v>
      </c>
      <c r="U663">
        <f>SUM(L663:T663)</f>
        <v>394.73623268999995</v>
      </c>
      <c r="W663">
        <f>IF(SUM(H663:I663)&gt;0,SUM(H663:I663)/G663,0)</f>
        <v>8.421052631578947</v>
      </c>
      <c r="X663">
        <f>IF(G663&gt;0,U663/G663,0)</f>
        <v>274.31955098977386</v>
      </c>
    </row>
    <row r="664">
      <c r="C664" t="str">
        <v>Lantai Attic</v>
      </c>
      <c r="D664" t="str">
        <v>B47-1</v>
      </c>
      <c r="G664">
        <f>SUMIFS($V$13:$V$429,$A$13:$A$429,$C664,$C$13:$C$429,$D664)</f>
        <v>0</v>
      </c>
      <c r="H664">
        <f>SUMIFS($W$13:$W$429,$A$13:$A$429,$C664,$C$13:$C$429,$D664)</f>
        <v>0</v>
      </c>
      <c r="I664">
        <f>SUMIFS($X$13:$X$429,$A$13:$A$429,$C664,$C$13:$C$429,$D664)</f>
        <v>0</v>
      </c>
      <c r="J664">
        <f>SUMIFS($Y$13:$Y$429,$A$13:$A$429,$C664,$C$13:$C$429,$D664)</f>
        <v>0</v>
      </c>
      <c r="K664">
        <f>SUMIFS($Z$13:$Z$429,$A$13:$A$429,$C664,$C$13:$C$429,$D664)</f>
        <v>0</v>
      </c>
      <c r="L664">
        <f>SUMIFS(L$13:L$429,$A$13:$A$429,$C664,$C$13:$C$429,$D664)</f>
        <v>0</v>
      </c>
      <c r="M664">
        <f>SUMIFS(M$13:M$429,$A$13:$A$429,$C664,$C$13:$C$429,$D664)</f>
        <v>0</v>
      </c>
      <c r="N664">
        <f>SUMIFS(N$13:N$429,$A$13:$A$429,$C664,$C$13:$C$429,$D664)</f>
        <v>0</v>
      </c>
      <c r="O664">
        <f>SUMIFS(O$13:O$429,$A$13:$A$429,$C664,$C$13:$C$429,$D664)</f>
        <v>0</v>
      </c>
      <c r="P664">
        <f>SUMIFS(P$13:P$429,$A$13:$A$429,$C664,$C$13:$C$429,$D664)</f>
        <v>0</v>
      </c>
      <c r="Q664">
        <f>SUMIFS(Q$13:Q$429,$A$13:$A$429,$C664,$C$13:$C$429,$D664)</f>
        <v>0</v>
      </c>
      <c r="R664">
        <f>SUMIFS(R$13:R$429,$A$13:$A$429,$C664,$C$13:$C$429,$D664)</f>
        <v>0</v>
      </c>
      <c r="S664">
        <f>SUMIFS(S$13:S$429,$A$13:$A$429,$C664,$C$13:$C$429,$D664)</f>
        <v>0</v>
      </c>
      <c r="T664">
        <f>SUMIFS(T$13:T$429,$A$13:$A$429,$C664,$C$13:$C$429,$D664)</f>
        <v>0</v>
      </c>
      <c r="U664">
        <f>SUM(L664:T664)</f>
        <v>0</v>
      </c>
      <c r="W664">
        <f>IF(SUM(H664:I664)&gt;0,SUM(H664:I664)/G664,0)</f>
        <v>0</v>
      </c>
      <c r="X664">
        <f>IF(G664&gt;0,U664/G664,0)</f>
        <v>0</v>
      </c>
    </row>
    <row r="665">
      <c r="C665" t="str">
        <v>Lantai Attic</v>
      </c>
      <c r="D665" t="str">
        <v>B475-1</v>
      </c>
      <c r="G665">
        <f>SUMIFS($V$13:$V$429,$A$13:$A$429,$C665,$C$13:$C$429,$D665)</f>
        <v>0</v>
      </c>
      <c r="H665">
        <f>SUMIFS($W$13:$W$429,$A$13:$A$429,$C665,$C$13:$C$429,$D665)</f>
        <v>0</v>
      </c>
      <c r="I665">
        <f>SUMIFS($X$13:$X$429,$A$13:$A$429,$C665,$C$13:$C$429,$D665)</f>
        <v>0</v>
      </c>
      <c r="J665">
        <f>SUMIFS($Y$13:$Y$429,$A$13:$A$429,$C665,$C$13:$C$429,$D665)</f>
        <v>0</v>
      </c>
      <c r="K665">
        <f>SUMIFS($Z$13:$Z$429,$A$13:$A$429,$C665,$C$13:$C$429,$D665)</f>
        <v>0</v>
      </c>
      <c r="L665">
        <f>SUMIFS(L$13:L$429,$A$13:$A$429,$C665,$C$13:$C$429,$D665)</f>
        <v>0</v>
      </c>
      <c r="M665">
        <f>SUMIFS(M$13:M$429,$A$13:$A$429,$C665,$C$13:$C$429,$D665)</f>
        <v>0</v>
      </c>
      <c r="N665">
        <f>SUMIFS(N$13:N$429,$A$13:$A$429,$C665,$C$13:$C$429,$D665)</f>
        <v>0</v>
      </c>
      <c r="O665">
        <f>SUMIFS(O$13:O$429,$A$13:$A$429,$C665,$C$13:$C$429,$D665)</f>
        <v>0</v>
      </c>
      <c r="P665">
        <f>SUMIFS(P$13:P$429,$A$13:$A$429,$C665,$C$13:$C$429,$D665)</f>
        <v>0</v>
      </c>
      <c r="Q665">
        <f>SUMIFS(Q$13:Q$429,$A$13:$A$429,$C665,$C$13:$C$429,$D665)</f>
        <v>0</v>
      </c>
      <c r="R665">
        <f>SUMIFS(R$13:R$429,$A$13:$A$429,$C665,$C$13:$C$429,$D665)</f>
        <v>0</v>
      </c>
      <c r="S665">
        <f>SUMIFS(S$13:S$429,$A$13:$A$429,$C665,$C$13:$C$429,$D665)</f>
        <v>0</v>
      </c>
      <c r="T665">
        <f>SUMIFS(T$13:T$429,$A$13:$A$429,$C665,$C$13:$C$429,$D665)</f>
        <v>0</v>
      </c>
      <c r="U665">
        <f>SUM(L665:T665)</f>
        <v>0</v>
      </c>
      <c r="W665">
        <f>IF(SUM(H665:I665)&gt;0,SUM(H665:I665)/G665,0)</f>
        <v>0</v>
      </c>
      <c r="X665">
        <f>IF(G665&gt;0,U665/G665,0)</f>
        <v>0</v>
      </c>
    </row>
    <row r="666">
      <c r="C666" t="str">
        <v>Lantai Attic</v>
      </c>
      <c r="D666" t="str">
        <v>B57-1</v>
      </c>
      <c r="G666">
        <f>SUMIFS($V$13:$V$429,$A$13:$A$429,$C666,$C$13:$C$429,$D666)</f>
        <v>0</v>
      </c>
      <c r="H666">
        <f>SUMIFS($W$13:$W$429,$A$13:$A$429,$C666,$C$13:$C$429,$D666)</f>
        <v>0</v>
      </c>
      <c r="I666">
        <f>SUMIFS($X$13:$X$429,$A$13:$A$429,$C666,$C$13:$C$429,$D666)</f>
        <v>0</v>
      </c>
      <c r="J666">
        <f>SUMIFS($Y$13:$Y$429,$A$13:$A$429,$C666,$C$13:$C$429,$D666)</f>
        <v>0</v>
      </c>
      <c r="K666">
        <f>SUMIFS($Z$13:$Z$429,$A$13:$A$429,$C666,$C$13:$C$429,$D666)</f>
        <v>0</v>
      </c>
      <c r="L666">
        <f>SUMIFS(L$13:L$429,$A$13:$A$429,$C666,$C$13:$C$429,$D666)</f>
        <v>0</v>
      </c>
      <c r="M666">
        <f>SUMIFS(M$13:M$429,$A$13:$A$429,$C666,$C$13:$C$429,$D666)</f>
        <v>0</v>
      </c>
      <c r="N666">
        <f>SUMIFS(N$13:N$429,$A$13:$A$429,$C666,$C$13:$C$429,$D666)</f>
        <v>0</v>
      </c>
      <c r="O666">
        <f>SUMIFS(O$13:O$429,$A$13:$A$429,$C666,$C$13:$C$429,$D666)</f>
        <v>0</v>
      </c>
      <c r="P666">
        <f>SUMIFS(P$13:P$429,$A$13:$A$429,$C666,$C$13:$C$429,$D666)</f>
        <v>0</v>
      </c>
      <c r="Q666">
        <f>SUMIFS(Q$13:Q$429,$A$13:$A$429,$C666,$C$13:$C$429,$D666)</f>
        <v>0</v>
      </c>
      <c r="R666">
        <f>SUMIFS(R$13:R$429,$A$13:$A$429,$C666,$C$13:$C$429,$D666)</f>
        <v>0</v>
      </c>
      <c r="S666">
        <f>SUMIFS(S$13:S$429,$A$13:$A$429,$C666,$C$13:$C$429,$D666)</f>
        <v>0</v>
      </c>
      <c r="T666">
        <f>SUMIFS(T$13:T$429,$A$13:$A$429,$C666,$C$13:$C$429,$D666)</f>
        <v>0</v>
      </c>
      <c r="U666">
        <f>SUM(L666:T666)</f>
        <v>0</v>
      </c>
      <c r="W666">
        <f>IF(SUM(H666:I666)&gt;0,SUM(H666:I666)/G666,0)</f>
        <v>0</v>
      </c>
      <c r="X666">
        <f>IF(G666&gt;0,U666/G666,0)</f>
        <v>0</v>
      </c>
    </row>
    <row r="667">
      <c r="C667" t="str">
        <v>Lantai Attic</v>
      </c>
      <c r="D667" t="str">
        <v>B57-4</v>
      </c>
      <c r="G667">
        <f>SUMIFS($V$13:$V$429,$A$13:$A$429,$C667,$C$13:$C$429,$D667)</f>
        <v>0</v>
      </c>
      <c r="H667">
        <f>SUMIFS($W$13:$W$429,$A$13:$A$429,$C667,$C$13:$C$429,$D667)</f>
        <v>0</v>
      </c>
      <c r="I667">
        <f>SUMIFS($X$13:$X$429,$A$13:$A$429,$C667,$C$13:$C$429,$D667)</f>
        <v>0</v>
      </c>
      <c r="J667">
        <f>SUMIFS($Y$13:$Y$429,$A$13:$A$429,$C667,$C$13:$C$429,$D667)</f>
        <v>0</v>
      </c>
      <c r="K667">
        <f>SUMIFS($Z$13:$Z$429,$A$13:$A$429,$C667,$C$13:$C$429,$D667)</f>
        <v>0</v>
      </c>
      <c r="L667">
        <f>SUMIFS(L$13:L$429,$A$13:$A$429,$C667,$C$13:$C$429,$D667)</f>
        <v>0</v>
      </c>
      <c r="M667">
        <f>SUMIFS(M$13:M$429,$A$13:$A$429,$C667,$C$13:$C$429,$D667)</f>
        <v>0</v>
      </c>
      <c r="N667">
        <f>SUMIFS(N$13:N$429,$A$13:$A$429,$C667,$C$13:$C$429,$D667)</f>
        <v>0</v>
      </c>
      <c r="O667">
        <f>SUMIFS(O$13:O$429,$A$13:$A$429,$C667,$C$13:$C$429,$D667)</f>
        <v>0</v>
      </c>
      <c r="P667">
        <f>SUMIFS(P$13:P$429,$A$13:$A$429,$C667,$C$13:$C$429,$D667)</f>
        <v>0</v>
      </c>
      <c r="Q667">
        <f>SUMIFS(Q$13:Q$429,$A$13:$A$429,$C667,$C$13:$C$429,$D667)</f>
        <v>0</v>
      </c>
      <c r="R667">
        <f>SUMIFS(R$13:R$429,$A$13:$A$429,$C667,$C$13:$C$429,$D667)</f>
        <v>0</v>
      </c>
      <c r="S667">
        <f>SUMIFS(S$13:S$429,$A$13:$A$429,$C667,$C$13:$C$429,$D667)</f>
        <v>0</v>
      </c>
      <c r="T667">
        <f>SUMIFS(T$13:T$429,$A$13:$A$429,$C667,$C$13:$C$429,$D667)</f>
        <v>0</v>
      </c>
      <c r="U667">
        <f>SUM(L667:T667)</f>
        <v>0</v>
      </c>
      <c r="W667">
        <f>IF(SUM(H667:I667)&gt;0,SUM(H667:I667)/G667,0)</f>
        <v>0</v>
      </c>
      <c r="X667">
        <f>IF(G667&gt;0,U667/G667,0)</f>
        <v>0</v>
      </c>
    </row>
    <row r="668">
      <c r="C668" t="str">
        <v>Lantai Attic</v>
      </c>
      <c r="D668" t="str">
        <v>B67-1</v>
      </c>
      <c r="G668">
        <f>SUMIFS($V$13:$V$429,$A$13:$A$429,$C668,$C$13:$C$429,$D668)</f>
        <v>0</v>
      </c>
      <c r="H668">
        <f>SUMIFS($W$13:$W$429,$A$13:$A$429,$C668,$C$13:$C$429,$D668)</f>
        <v>0</v>
      </c>
      <c r="I668">
        <f>SUMIFS($X$13:$X$429,$A$13:$A$429,$C668,$C$13:$C$429,$D668)</f>
        <v>0</v>
      </c>
      <c r="J668">
        <f>SUMIFS($Y$13:$Y$429,$A$13:$A$429,$C668,$C$13:$C$429,$D668)</f>
        <v>0</v>
      </c>
      <c r="K668">
        <f>SUMIFS($Z$13:$Z$429,$A$13:$A$429,$C668,$C$13:$C$429,$D668)</f>
        <v>0</v>
      </c>
      <c r="L668">
        <f>SUMIFS(L$13:L$429,$A$13:$A$429,$C668,$C$13:$C$429,$D668)</f>
        <v>0</v>
      </c>
      <c r="M668">
        <f>SUMIFS(M$13:M$429,$A$13:$A$429,$C668,$C$13:$C$429,$D668)</f>
        <v>0</v>
      </c>
      <c r="N668">
        <f>SUMIFS(N$13:N$429,$A$13:$A$429,$C668,$C$13:$C$429,$D668)</f>
        <v>0</v>
      </c>
      <c r="O668">
        <f>SUMIFS(O$13:O$429,$A$13:$A$429,$C668,$C$13:$C$429,$D668)</f>
        <v>0</v>
      </c>
      <c r="P668">
        <f>SUMIFS(P$13:P$429,$A$13:$A$429,$C668,$C$13:$C$429,$D668)</f>
        <v>0</v>
      </c>
      <c r="Q668">
        <f>SUMIFS(Q$13:Q$429,$A$13:$A$429,$C668,$C$13:$C$429,$D668)</f>
        <v>0</v>
      </c>
      <c r="R668">
        <f>SUMIFS(R$13:R$429,$A$13:$A$429,$C668,$C$13:$C$429,$D668)</f>
        <v>0</v>
      </c>
      <c r="S668">
        <f>SUMIFS(S$13:S$429,$A$13:$A$429,$C668,$C$13:$C$429,$D668)</f>
        <v>0</v>
      </c>
      <c r="T668">
        <f>SUMIFS(T$13:T$429,$A$13:$A$429,$C668,$C$13:$C$429,$D668)</f>
        <v>0</v>
      </c>
      <c r="U668">
        <f>SUM(L668:T668)</f>
        <v>0</v>
      </c>
      <c r="W668">
        <f>IF(SUM(H668:I668)&gt;0,SUM(H668:I668)/G668,0)</f>
        <v>0</v>
      </c>
      <c r="X668">
        <f>IF(G668&gt;0,U668/G668,0)</f>
        <v>0</v>
      </c>
    </row>
    <row r="669">
      <c r="C669" t="str">
        <v>Lantai Attic</v>
      </c>
      <c r="D669" t="str">
        <v>CL68-1</v>
      </c>
      <c r="G669">
        <f>SUMIFS($V$13:$V$429,$A$13:$A$429,$C669,$C$13:$C$429,$D669)</f>
        <v>0</v>
      </c>
      <c r="H669">
        <f>SUMIFS($W$13:$W$429,$A$13:$A$429,$C669,$C$13:$C$429,$D669)</f>
        <v>0</v>
      </c>
      <c r="I669">
        <f>SUMIFS($X$13:$X$429,$A$13:$A$429,$C669,$C$13:$C$429,$D669)</f>
        <v>0</v>
      </c>
      <c r="J669">
        <f>SUMIFS($Y$13:$Y$429,$A$13:$A$429,$C669,$C$13:$C$429,$D669)</f>
        <v>0</v>
      </c>
      <c r="K669">
        <f>SUMIFS($Z$13:$Z$429,$A$13:$A$429,$C669,$C$13:$C$429,$D669)</f>
        <v>0</v>
      </c>
      <c r="L669">
        <f>SUMIFS(L$13:L$429,$A$13:$A$429,$C669,$C$13:$C$429,$D669)</f>
        <v>0</v>
      </c>
      <c r="M669">
        <f>SUMIFS(M$13:M$429,$A$13:$A$429,$C669,$C$13:$C$429,$D669)</f>
        <v>0</v>
      </c>
      <c r="N669">
        <f>SUMIFS(N$13:N$429,$A$13:$A$429,$C669,$C$13:$C$429,$D669)</f>
        <v>0</v>
      </c>
      <c r="O669">
        <f>SUMIFS(O$13:O$429,$A$13:$A$429,$C669,$C$13:$C$429,$D669)</f>
        <v>0</v>
      </c>
      <c r="P669">
        <f>SUMIFS(P$13:P$429,$A$13:$A$429,$C669,$C$13:$C$429,$D669)</f>
        <v>0</v>
      </c>
      <c r="Q669">
        <f>SUMIFS(Q$13:Q$429,$A$13:$A$429,$C669,$C$13:$C$429,$D669)</f>
        <v>0</v>
      </c>
      <c r="R669">
        <f>SUMIFS(R$13:R$429,$A$13:$A$429,$C669,$C$13:$C$429,$D669)</f>
        <v>0</v>
      </c>
      <c r="S669">
        <f>SUMIFS(S$13:S$429,$A$13:$A$429,$C669,$C$13:$C$429,$D669)</f>
        <v>0</v>
      </c>
      <c r="T669">
        <f>SUMIFS(T$13:T$429,$A$13:$A$429,$C669,$C$13:$C$429,$D669)</f>
        <v>0</v>
      </c>
      <c r="U669">
        <f>SUM(L669:T669)</f>
        <v>0</v>
      </c>
      <c r="W669">
        <f>IF(SUM(H669:I669)&gt;0,SUM(H669:I669)/G669,0)</f>
        <v>0</v>
      </c>
      <c r="X669">
        <f>IF(G669&gt;0,U669/G669,0)</f>
        <v>0</v>
      </c>
    </row>
    <row r="670">
      <c r="C670" t="str">
        <v>Lantai Attic</v>
      </c>
      <c r="D670" t="str">
        <v>B77-1</v>
      </c>
      <c r="G670">
        <f>SUMIFS($V$13:$V$429,$A$13:$A$429,$C670,$C$13:$C$429,$D670)</f>
        <v>0</v>
      </c>
      <c r="H670">
        <f>SUMIFS($W$13:$W$429,$A$13:$A$429,$C670,$C$13:$C$429,$D670)</f>
        <v>0</v>
      </c>
      <c r="I670">
        <f>SUMIFS($X$13:$X$429,$A$13:$A$429,$C670,$C$13:$C$429,$D670)</f>
        <v>0</v>
      </c>
      <c r="J670">
        <f>SUMIFS($Y$13:$Y$429,$A$13:$A$429,$C670,$C$13:$C$429,$D670)</f>
        <v>0</v>
      </c>
      <c r="K670">
        <f>SUMIFS($Z$13:$Z$429,$A$13:$A$429,$C670,$C$13:$C$429,$D670)</f>
        <v>0</v>
      </c>
      <c r="L670">
        <f>SUMIFS(L$13:L$429,$A$13:$A$429,$C670,$C$13:$C$429,$D670)</f>
        <v>0</v>
      </c>
      <c r="M670">
        <f>SUMIFS(M$13:M$429,$A$13:$A$429,$C670,$C$13:$C$429,$D670)</f>
        <v>0</v>
      </c>
      <c r="N670">
        <f>SUMIFS(N$13:N$429,$A$13:$A$429,$C670,$C$13:$C$429,$D670)</f>
        <v>0</v>
      </c>
      <c r="O670">
        <f>SUMIFS(O$13:O$429,$A$13:$A$429,$C670,$C$13:$C$429,$D670)</f>
        <v>0</v>
      </c>
      <c r="P670">
        <f>SUMIFS(P$13:P$429,$A$13:$A$429,$C670,$C$13:$C$429,$D670)</f>
        <v>0</v>
      </c>
      <c r="Q670">
        <f>SUMIFS(Q$13:Q$429,$A$13:$A$429,$C670,$C$13:$C$429,$D670)</f>
        <v>0</v>
      </c>
      <c r="R670">
        <f>SUMIFS(R$13:R$429,$A$13:$A$429,$C670,$C$13:$C$429,$D670)</f>
        <v>0</v>
      </c>
      <c r="S670">
        <f>SUMIFS(S$13:S$429,$A$13:$A$429,$C670,$C$13:$C$429,$D670)</f>
        <v>0</v>
      </c>
      <c r="T670">
        <f>SUMIFS(T$13:T$429,$A$13:$A$429,$C670,$C$13:$C$429,$D670)</f>
        <v>0</v>
      </c>
      <c r="U670">
        <f>SUM(L670:T670)</f>
        <v>0</v>
      </c>
      <c r="W670">
        <f>IF(SUM(H670:I670)&gt;0,SUM(H670:I670)/G670,0)</f>
        <v>0</v>
      </c>
      <c r="X670">
        <f>IF(G670&gt;0,U670/G670,0)</f>
        <v>0</v>
      </c>
    </row>
    <row r="671">
      <c r="C671" t="str">
        <v>Lantai Attic</v>
      </c>
      <c r="D671" t="str">
        <v>B78-1</v>
      </c>
      <c r="G671">
        <f>SUMIFS($V$13:$V$429,$A$13:$A$429,$C671,$C$13:$C$429,$D671)</f>
        <v>0</v>
      </c>
      <c r="H671">
        <f>SUMIFS($W$13:$W$429,$A$13:$A$429,$C671,$C$13:$C$429,$D671)</f>
        <v>0</v>
      </c>
      <c r="I671">
        <f>SUMIFS($X$13:$X$429,$A$13:$A$429,$C671,$C$13:$C$429,$D671)</f>
        <v>0</v>
      </c>
      <c r="J671">
        <f>SUMIFS($Y$13:$Y$429,$A$13:$A$429,$C671,$C$13:$C$429,$D671)</f>
        <v>0</v>
      </c>
      <c r="K671">
        <f>SUMIFS($Z$13:$Z$429,$A$13:$A$429,$C671,$C$13:$C$429,$D671)</f>
        <v>0</v>
      </c>
      <c r="L671">
        <f>SUMIFS(L$13:L$429,$A$13:$A$429,$C671,$C$13:$C$429,$D671)</f>
        <v>0</v>
      </c>
      <c r="M671">
        <f>SUMIFS(M$13:M$429,$A$13:$A$429,$C671,$C$13:$C$429,$D671)</f>
        <v>0</v>
      </c>
      <c r="N671">
        <f>SUMIFS(N$13:N$429,$A$13:$A$429,$C671,$C$13:$C$429,$D671)</f>
        <v>0</v>
      </c>
      <c r="O671">
        <f>SUMIFS(O$13:O$429,$A$13:$A$429,$C671,$C$13:$C$429,$D671)</f>
        <v>0</v>
      </c>
      <c r="P671">
        <f>SUMIFS(P$13:P$429,$A$13:$A$429,$C671,$C$13:$C$429,$D671)</f>
        <v>0</v>
      </c>
      <c r="Q671">
        <f>SUMIFS(Q$13:Q$429,$A$13:$A$429,$C671,$C$13:$C$429,$D671)</f>
        <v>0</v>
      </c>
      <c r="R671">
        <f>SUMIFS(R$13:R$429,$A$13:$A$429,$C671,$C$13:$C$429,$D671)</f>
        <v>0</v>
      </c>
      <c r="S671">
        <f>SUMIFS(S$13:S$429,$A$13:$A$429,$C671,$C$13:$C$429,$D671)</f>
        <v>0</v>
      </c>
      <c r="T671">
        <f>SUMIFS(T$13:T$429,$A$13:$A$429,$C671,$C$13:$C$429,$D671)</f>
        <v>0</v>
      </c>
      <c r="U671">
        <f>SUM(L671:T671)</f>
        <v>0</v>
      </c>
      <c r="W671">
        <f>IF(SUM(H671:I671)&gt;0,SUM(H671:I671)/G671,0)</f>
        <v>0</v>
      </c>
      <c r="X671">
        <f>IF(G671&gt;0,U671/G671,0)</f>
        <v>0</v>
      </c>
    </row>
    <row r="672">
      <c r="C672" t="str">
        <v>Lantai Attic</v>
      </c>
      <c r="D672" t="str">
        <v>B1745-1</v>
      </c>
      <c r="G672">
        <f>SUMIFS($V$13:$V$429,$A$13:$A$429,$C672,$C$13:$C$429,$D672)</f>
        <v>0.2142</v>
      </c>
      <c r="H672">
        <f>SUMIFS($W$13:$W$429,$A$13:$A$429,$C672,$C$13:$C$429,$D672)</f>
        <v>2.996</v>
      </c>
      <c r="I672">
        <f>SUMIFS($X$13:$X$429,$A$13:$A$429,$C672,$C$13:$C$429,$D672)</f>
        <v>0</v>
      </c>
      <c r="J672">
        <f>SUMIFS($Y$13:$Y$429,$A$13:$A$429,$C672,$C$13:$C$429,$D672)</f>
        <v>0</v>
      </c>
      <c r="K672">
        <f>SUMIFS($Z$13:$Z$429,$A$13:$A$429,$C672,$C$13:$C$429,$D672)</f>
        <v>0</v>
      </c>
      <c r="L672">
        <f>SUMIFS(L$13:L$429,$A$13:$A$429,$C672,$C$13:$C$429,$D672)</f>
        <v>0</v>
      </c>
      <c r="M672">
        <f>SUMIFS(M$13:M$429,$A$13:$A$429,$C672,$C$13:$C$429,$D672)</f>
        <v>18.826035840000003</v>
      </c>
      <c r="N672">
        <f>SUMIFS(N$13:N$429,$A$13:$A$429,$C672,$C$13:$C$429,$D672)</f>
        <v>0</v>
      </c>
      <c r="O672">
        <f>SUMIFS(O$13:O$429,$A$13:$A$429,$C672,$C$13:$C$429,$D672)</f>
        <v>12.969384479999999</v>
      </c>
      <c r="P672">
        <f>SUMIFS(P$13:P$429,$A$13:$A$429,$C672,$C$13:$C$429,$D672)</f>
        <v>0</v>
      </c>
      <c r="Q672">
        <f>SUMIFS(Q$13:Q$429,$A$13:$A$429,$C672,$C$13:$C$429,$D672)</f>
        <v>0</v>
      </c>
      <c r="R672">
        <f>SUMIFS(R$13:R$429,$A$13:$A$429,$C672,$C$13:$C$429,$D672)</f>
        <v>0</v>
      </c>
      <c r="S672">
        <f>SUMIFS(S$13:S$429,$A$13:$A$429,$C672,$C$13:$C$429,$D672)</f>
        <v>0</v>
      </c>
      <c r="T672">
        <f>SUMIFS(T$13:T$429,$A$13:$A$429,$C672,$C$13:$C$429,$D672)</f>
        <v>0</v>
      </c>
      <c r="U672">
        <f>SUM(L672:T672)</f>
        <v>31.79542032</v>
      </c>
      <c r="W672">
        <f>IF(SUM(H672:I672)&gt;0,SUM(H672:I672)/G672,0)</f>
        <v>13.986928104575163</v>
      </c>
      <c r="X672">
        <f>IF(G672&gt;0,U672/G672,0)</f>
        <v>148.43800336134456</v>
      </c>
    </row>
    <row r="673">
      <c r="C673" t="str">
        <v>Lantai Attic</v>
      </c>
      <c r="D673" t="str">
        <v>B26-6</v>
      </c>
      <c r="G673">
        <f>SUMIFS($V$13:$V$429,$A$13:$A$429,$C673,$C$13:$C$429,$D673)</f>
        <v>0</v>
      </c>
      <c r="H673">
        <f>SUMIFS($W$13:$W$429,$A$13:$A$429,$C673,$C$13:$C$429,$D673)</f>
        <v>0</v>
      </c>
      <c r="I673">
        <f>SUMIFS($X$13:$X$429,$A$13:$A$429,$C673,$C$13:$C$429,$D673)</f>
        <v>0</v>
      </c>
      <c r="J673">
        <f>SUMIFS($Y$13:$Y$429,$A$13:$A$429,$C673,$C$13:$C$429,$D673)</f>
        <v>0</v>
      </c>
      <c r="K673">
        <f>SUMIFS($Z$13:$Z$429,$A$13:$A$429,$C673,$C$13:$C$429,$D673)</f>
        <v>0</v>
      </c>
      <c r="L673">
        <f>SUMIFS(L$13:L$429,$A$13:$A$429,$C673,$C$13:$C$429,$D673)</f>
        <v>0</v>
      </c>
      <c r="M673">
        <f>SUMIFS(M$13:M$429,$A$13:$A$429,$C673,$C$13:$C$429,$D673)</f>
        <v>0</v>
      </c>
      <c r="N673">
        <f>SUMIFS(N$13:N$429,$A$13:$A$429,$C673,$C$13:$C$429,$D673)</f>
        <v>0</v>
      </c>
      <c r="O673">
        <f>SUMIFS(O$13:O$429,$A$13:$A$429,$C673,$C$13:$C$429,$D673)</f>
        <v>0</v>
      </c>
      <c r="P673">
        <f>SUMIFS(P$13:P$429,$A$13:$A$429,$C673,$C$13:$C$429,$D673)</f>
        <v>0</v>
      </c>
      <c r="Q673">
        <f>SUMIFS(Q$13:Q$429,$A$13:$A$429,$C673,$C$13:$C$429,$D673)</f>
        <v>0</v>
      </c>
      <c r="R673">
        <f>SUMIFS(R$13:R$429,$A$13:$A$429,$C673,$C$13:$C$429,$D673)</f>
        <v>0</v>
      </c>
      <c r="S673">
        <f>SUMIFS(S$13:S$429,$A$13:$A$429,$C673,$C$13:$C$429,$D673)</f>
        <v>0</v>
      </c>
      <c r="T673">
        <f>SUMIFS(T$13:T$429,$A$13:$A$429,$C673,$C$13:$C$429,$D673)</f>
        <v>0</v>
      </c>
      <c r="U673">
        <f>SUM(L673:T673)</f>
        <v>0</v>
      </c>
      <c r="W673">
        <f>IF(SUM(H673:I673)&gt;0,SUM(H673:I673)/G673,0)</f>
        <v>0</v>
      </c>
      <c r="X673">
        <f>IF(G673&gt;0,U673/G673,0)</f>
        <v>0</v>
      </c>
    </row>
    <row r="674">
      <c r="C674" t="str">
        <v>Lantai Attic</v>
      </c>
      <c r="D674" t="str">
        <v>Potongan A</v>
      </c>
      <c r="G674">
        <f>SUMIFS($V$13:$V$429,$A$13:$A$429,$C674,$C$13:$C$429,$D674)</f>
        <v>0</v>
      </c>
      <c r="H674">
        <f>SUMIFS($W$13:$W$429,$A$13:$A$429,$C674,$C$13:$C$429,$D674)</f>
        <v>0</v>
      </c>
      <c r="I674">
        <f>SUMIFS($X$13:$X$429,$A$13:$A$429,$C674,$C$13:$C$429,$D674)</f>
        <v>0</v>
      </c>
      <c r="J674">
        <f>SUMIFS($Y$13:$Y$429,$A$13:$A$429,$C674,$C$13:$C$429,$D674)</f>
        <v>0</v>
      </c>
      <c r="K674">
        <f>SUMIFS($Z$13:$Z$429,$A$13:$A$429,$C674,$C$13:$C$429,$D674)</f>
        <v>0</v>
      </c>
      <c r="L674">
        <f>SUMIFS(L$13:L$429,$A$13:$A$429,$C674,$C$13:$C$429,$D674)</f>
        <v>0</v>
      </c>
      <c r="M674">
        <f>SUMIFS(M$13:M$429,$A$13:$A$429,$C674,$C$13:$C$429,$D674)</f>
        <v>0</v>
      </c>
      <c r="N674">
        <f>SUMIFS(N$13:N$429,$A$13:$A$429,$C674,$C$13:$C$429,$D674)</f>
        <v>0</v>
      </c>
      <c r="O674">
        <f>SUMIFS(O$13:O$429,$A$13:$A$429,$C674,$C$13:$C$429,$D674)</f>
        <v>0</v>
      </c>
      <c r="P674">
        <f>SUMIFS(P$13:P$429,$A$13:$A$429,$C674,$C$13:$C$429,$D674)</f>
        <v>0</v>
      </c>
      <c r="Q674">
        <f>SUMIFS(Q$13:Q$429,$A$13:$A$429,$C674,$C$13:$C$429,$D674)</f>
        <v>0</v>
      </c>
      <c r="R674">
        <f>SUMIFS(R$13:R$429,$A$13:$A$429,$C674,$C$13:$C$429,$D674)</f>
        <v>0</v>
      </c>
      <c r="S674">
        <f>SUMIFS(S$13:S$429,$A$13:$A$429,$C674,$C$13:$C$429,$D674)</f>
        <v>0</v>
      </c>
      <c r="T674">
        <f>SUMIFS(T$13:T$429,$A$13:$A$429,$C674,$C$13:$C$429,$D674)</f>
        <v>0</v>
      </c>
      <c r="U674">
        <f>SUM(L674:T674)</f>
        <v>0</v>
      </c>
      <c r="W674">
        <f>IF(SUM(H674:I674)&gt;0,SUM(H674:I674)/G674,0)</f>
        <v>0</v>
      </c>
      <c r="X674">
        <f>IF(G674&gt;0,U674/G674,0)</f>
        <v>0</v>
      </c>
    </row>
    <row r="675">
      <c r="C675" t="str">
        <v>Lantai Attic</v>
      </c>
      <c r="D675" t="str">
        <v>Potongan B</v>
      </c>
      <c r="G675">
        <f>SUMIFS($V$13:$V$429,$A$13:$A$429,$C675,$C$13:$C$429,$D675)</f>
        <v>0.148</v>
      </c>
      <c r="H675">
        <f>SUMIFS($W$13:$W$429,$A$13:$A$429,$C675,$C$13:$C$429,$D675)</f>
        <v>1.88</v>
      </c>
      <c r="I675">
        <f>SUMIFS($X$13:$X$429,$A$13:$A$429,$C675,$C$13:$C$429,$D675)</f>
        <v>0</v>
      </c>
      <c r="J675">
        <f>SUMIFS($Y$13:$Y$429,$A$13:$A$429,$C675,$C$13:$C$429,$D675)</f>
        <v>0</v>
      </c>
      <c r="K675">
        <f>SUMIFS($Z$13:$Z$429,$A$13:$A$429,$C675,$C$13:$C$429,$D675)</f>
        <v>0</v>
      </c>
      <c r="L675">
        <f>SUMIFS(L$13:L$429,$A$13:$A$429,$C675,$C$13:$C$429,$D675)</f>
        <v>0</v>
      </c>
      <c r="M675">
        <f>SUMIFS(M$13:M$429,$A$13:$A$429,$C675,$C$13:$C$429,$D675)</f>
        <v>0</v>
      </c>
      <c r="N675">
        <f>SUMIFS(N$13:N$429,$A$13:$A$429,$C675,$C$13:$C$429,$D675)</f>
        <v>31.614120000000003</v>
      </c>
      <c r="O675">
        <f>SUMIFS(O$13:O$429,$A$13:$A$429,$C675,$C$13:$C$429,$D675)</f>
        <v>0</v>
      </c>
      <c r="P675">
        <f>SUMIFS(P$13:P$429,$A$13:$A$429,$C675,$C$13:$C$429,$D675)</f>
        <v>33.86271744</v>
      </c>
      <c r="Q675">
        <f>SUMIFS(Q$13:Q$429,$A$13:$A$429,$C675,$C$13:$C$429,$D675)</f>
        <v>0</v>
      </c>
      <c r="R675">
        <f>SUMIFS(R$13:R$429,$A$13:$A$429,$C675,$C$13:$C$429,$D675)</f>
        <v>0</v>
      </c>
      <c r="S675">
        <f>SUMIFS(S$13:S$429,$A$13:$A$429,$C675,$C$13:$C$429,$D675)</f>
        <v>0</v>
      </c>
      <c r="T675">
        <f>SUMIFS(T$13:T$429,$A$13:$A$429,$C675,$C$13:$C$429,$D675)</f>
        <v>0</v>
      </c>
      <c r="U675">
        <f>SUM(L675:T675)</f>
        <v>65.47683744</v>
      </c>
      <c r="W675">
        <f>IF(SUM(H675:I675)&gt;0,SUM(H675:I675)/G675,0)</f>
        <v>12.702702702702702</v>
      </c>
      <c r="X675">
        <f>IF(G675&gt;0,U675/G675,0)</f>
        <v>442.4110637837838</v>
      </c>
    </row>
    <row r="676">
      <c r="C676" t="str">
        <v>Lantai Attic</v>
      </c>
      <c r="D676" t="str">
        <v>Potongan C</v>
      </c>
      <c r="G676">
        <f>SUMIFS($V$13:$V$429,$A$13:$A$429,$C676,$C$13:$C$429,$D676)</f>
        <v>0.4514</v>
      </c>
      <c r="H676">
        <f>SUMIFS($W$13:$W$429,$A$13:$A$429,$C676,$C$13:$C$429,$D676)</f>
        <v>5.734</v>
      </c>
      <c r="I676">
        <f>SUMIFS($X$13:$X$429,$A$13:$A$429,$C676,$C$13:$C$429,$D676)</f>
        <v>0</v>
      </c>
      <c r="J676">
        <f>SUMIFS($Y$13:$Y$429,$A$13:$A$429,$C676,$C$13:$C$429,$D676)</f>
        <v>0</v>
      </c>
      <c r="K676">
        <f>SUMIFS($Z$13:$Z$429,$A$13:$A$429,$C676,$C$13:$C$429,$D676)</f>
        <v>0</v>
      </c>
      <c r="L676">
        <f>SUMIFS(L$13:L$429,$A$13:$A$429,$C676,$C$13:$C$429,$D676)</f>
        <v>0</v>
      </c>
      <c r="M676">
        <f>SUMIFS(M$13:M$429,$A$13:$A$429,$C676,$C$13:$C$429,$D676)</f>
        <v>0</v>
      </c>
      <c r="N676">
        <f>SUMIFS(N$13:N$429,$A$13:$A$429,$C676,$C$13:$C$429,$D676)</f>
        <v>71.80992</v>
      </c>
      <c r="O676">
        <f>SUMIFS(O$13:O$429,$A$13:$A$429,$C676,$C$13:$C$429,$D676)</f>
        <v>0</v>
      </c>
      <c r="P676">
        <f>SUMIFS(P$13:P$429,$A$13:$A$429,$C676,$C$13:$C$429,$D676)</f>
        <v>0</v>
      </c>
      <c r="Q676">
        <f>SUMIFS(Q$13:Q$429,$A$13:$A$429,$C676,$C$13:$C$429,$D676)</f>
        <v>140.45095601999998</v>
      </c>
      <c r="R676">
        <f>SUMIFS(R$13:R$429,$A$13:$A$429,$C676,$C$13:$C$429,$D676)</f>
        <v>0</v>
      </c>
      <c r="S676">
        <f>SUMIFS(S$13:S$429,$A$13:$A$429,$C676,$C$13:$C$429,$D676)</f>
        <v>0</v>
      </c>
      <c r="T676">
        <f>SUMIFS(T$13:T$429,$A$13:$A$429,$C676,$C$13:$C$429,$D676)</f>
        <v>0</v>
      </c>
      <c r="U676">
        <f>SUM(L676:T676)</f>
        <v>212.26087601999998</v>
      </c>
      <c r="W676">
        <f>IF(SUM(H676:I676)&gt;0,SUM(H676:I676)/G676,0)</f>
        <v>12.702702702702702</v>
      </c>
      <c r="X676">
        <f>IF(G676&gt;0,U676/G676,0)</f>
        <v>470.2279043420469</v>
      </c>
    </row>
    <row r="677">
      <c r="C677" t="str">
        <v>Lantai Attic</v>
      </c>
      <c r="D677" t="str">
        <v>Potongan D</v>
      </c>
      <c r="G677">
        <f>SUMIFS($V$13:$V$429,$A$13:$A$429,$C677,$C$13:$C$429,$D677)</f>
        <v>0.18225</v>
      </c>
      <c r="H677">
        <f>SUMIFS($W$13:$W$429,$A$13:$A$429,$C677,$C$13:$C$429,$D677)</f>
        <v>1.62</v>
      </c>
      <c r="I677">
        <f>SUMIFS($X$13:$X$429,$A$13:$A$429,$C677,$C$13:$C$429,$D677)</f>
        <v>0</v>
      </c>
      <c r="J677">
        <f>SUMIFS($Y$13:$Y$429,$A$13:$A$429,$C677,$C$13:$C$429,$D677)</f>
        <v>0</v>
      </c>
      <c r="K677">
        <f>SUMIFS($Z$13:$Z$429,$A$13:$A$429,$C677,$C$13:$C$429,$D677)</f>
        <v>0</v>
      </c>
      <c r="L677">
        <f>SUMIFS(L$13:L$429,$A$13:$A$429,$C677,$C$13:$C$429,$D677)</f>
        <v>0</v>
      </c>
      <c r="M677">
        <f>SUMIFS(M$13:M$429,$A$13:$A$429,$C677,$C$13:$C$429,$D677)</f>
        <v>0</v>
      </c>
      <c r="N677">
        <f>SUMIFS(N$13:N$429,$A$13:$A$429,$C677,$C$13:$C$429,$D677)</f>
        <v>24.64767</v>
      </c>
      <c r="O677">
        <f>SUMIFS(O$13:O$429,$A$13:$A$429,$C677,$C$13:$C$429,$D677)</f>
        <v>0</v>
      </c>
      <c r="P677">
        <f>SUMIFS(P$13:P$429,$A$13:$A$429,$C677,$C$13:$C$429,$D677)</f>
        <v>0</v>
      </c>
      <c r="Q677">
        <f>SUMIFS(Q$13:Q$429,$A$13:$A$429,$C677,$C$13:$C$429,$D677)</f>
        <v>48.23244468</v>
      </c>
      <c r="R677">
        <f>SUMIFS(R$13:R$429,$A$13:$A$429,$C677,$C$13:$C$429,$D677)</f>
        <v>0</v>
      </c>
      <c r="S677">
        <f>SUMIFS(S$13:S$429,$A$13:$A$429,$C677,$C$13:$C$429,$D677)</f>
        <v>0</v>
      </c>
      <c r="T677">
        <f>SUMIFS(T$13:T$429,$A$13:$A$429,$C677,$C$13:$C$429,$D677)</f>
        <v>0</v>
      </c>
      <c r="U677">
        <f>SUM(L677:T677)</f>
        <v>72.88011468</v>
      </c>
      <c r="W677">
        <f>IF(SUM(H677:I677)&gt;0,SUM(H677:I677)/G677,0)</f>
        <v>8.88888888888889</v>
      </c>
      <c r="X677">
        <f>IF(G677&gt;0,U677/G677,0)</f>
        <v>399.89088987654327</v>
      </c>
    </row>
    <row r="678">
      <c r="C678" t="str">
        <v>Lantai Attic</v>
      </c>
      <c r="D678" t="str">
        <v>Potongan E</v>
      </c>
      <c r="G678">
        <f>SUMIFS($V$13:$V$429,$A$13:$A$429,$C678,$C$13:$C$429,$D678)</f>
        <v>0.33182</v>
      </c>
      <c r="H678">
        <f>SUMIFS($W$13:$W$429,$A$13:$A$429,$C678,$C$13:$C$429,$D678)</f>
        <v>2.3651</v>
      </c>
      <c r="I678">
        <f>SUMIFS($X$13:$X$429,$A$13:$A$429,$C678,$C$13:$C$429,$D678)</f>
        <v>0</v>
      </c>
      <c r="J678">
        <f>SUMIFS($Y$13:$Y$429,$A$13:$A$429,$C678,$C$13:$C$429,$D678)</f>
        <v>0</v>
      </c>
      <c r="K678">
        <f>SUMIFS($Z$13:$Z$429,$A$13:$A$429,$C678,$C$13:$C$429,$D678)</f>
        <v>0</v>
      </c>
      <c r="L678">
        <f>SUMIFS(L$13:L$429,$A$13:$A$429,$C678,$C$13:$C$429,$D678)</f>
        <v>0</v>
      </c>
      <c r="M678">
        <f>SUMIFS(M$13:M$429,$A$13:$A$429,$C678,$C$13:$C$429,$D678)</f>
        <v>0</v>
      </c>
      <c r="N678">
        <f>SUMIFS(N$13:N$429,$A$13:$A$429,$C678,$C$13:$C$429,$D678)</f>
        <v>2.472165</v>
      </c>
      <c r="O678">
        <f>SUMIFS(O$13:O$429,$A$13:$A$429,$C678,$C$13:$C$429,$D678)</f>
        <v>40.17091805999999</v>
      </c>
      <c r="P678">
        <f>SUMIFS(P$13:P$429,$A$13:$A$429,$C678,$C$13:$C$429,$D678)</f>
        <v>0</v>
      </c>
      <c r="Q678">
        <f>SUMIFS(Q$13:Q$429,$A$13:$A$429,$C678,$C$13:$C$429,$D678)</f>
        <v>59.31575838</v>
      </c>
      <c r="R678">
        <f>SUMIFS(R$13:R$429,$A$13:$A$429,$C678,$C$13:$C$429,$D678)</f>
        <v>0</v>
      </c>
      <c r="S678">
        <f>SUMIFS(S$13:S$429,$A$13:$A$429,$C678,$C$13:$C$429,$D678)</f>
        <v>0</v>
      </c>
      <c r="T678">
        <f>SUMIFS(T$13:T$429,$A$13:$A$429,$C678,$C$13:$C$429,$D678)</f>
        <v>0</v>
      </c>
      <c r="U678">
        <f>SUM(L678:T678)</f>
        <v>101.95884143999999</v>
      </c>
      <c r="W678">
        <f>IF(SUM(H678:I678)&gt;0,SUM(H678:I678)/G678,0)</f>
        <v>7.127659574468085</v>
      </c>
      <c r="X678">
        <f>IF(G678&gt;0,U678/G678,0)</f>
        <v>307.2715370984268</v>
      </c>
    </row>
    <row r="679">
      <c r="C679" t="str">
        <v>Lantai Attic</v>
      </c>
      <c r="D679" t="str">
        <v>Potongan F</v>
      </c>
      <c r="G679">
        <f>SUMIFS($V$13:$V$429,$A$13:$A$429,$C679,$C$13:$C$429,$D679)</f>
        <v>0.30720000000000003</v>
      </c>
      <c r="H679">
        <f>SUMIFS($W$13:$W$429,$A$13:$A$429,$C679,$C$13:$C$429,$D679)</f>
        <v>4.032</v>
      </c>
      <c r="I679">
        <f>SUMIFS($X$13:$X$429,$A$13:$A$429,$C679,$C$13:$C$429,$D679)</f>
        <v>0</v>
      </c>
      <c r="J679">
        <f>SUMIFS($Y$13:$Y$429,$A$13:$A$429,$C679,$C$13:$C$429,$D679)</f>
        <v>0</v>
      </c>
      <c r="K679">
        <f>SUMIFS($Z$13:$Z$429,$A$13:$A$429,$C679,$C$13:$C$429,$D679)</f>
        <v>0</v>
      </c>
      <c r="L679">
        <f>SUMIFS(L$13:L$429,$A$13:$A$429,$C679,$C$13:$C$429,$D679)</f>
        <v>0</v>
      </c>
      <c r="M679">
        <f>SUMIFS(M$13:M$429,$A$13:$A$429,$C679,$C$13:$C$429,$D679)</f>
        <v>0</v>
      </c>
      <c r="N679">
        <f>SUMIFS(N$13:N$429,$A$13:$A$429,$C679,$C$13:$C$429,$D679)</f>
        <v>42.73578</v>
      </c>
      <c r="O679">
        <f>SUMIFS(O$13:O$429,$A$13:$A$429,$C679,$C$13:$C$429,$D679)</f>
        <v>0</v>
      </c>
      <c r="P679">
        <f>SUMIFS(P$13:P$429,$A$13:$A$429,$C679,$C$13:$C$429,$D679)</f>
        <v>70.30112256000001</v>
      </c>
      <c r="Q679">
        <f>SUMIFS(Q$13:Q$429,$A$13:$A$429,$C679,$C$13:$C$429,$D679)</f>
        <v>0</v>
      </c>
      <c r="R679">
        <f>SUMIFS(R$13:R$429,$A$13:$A$429,$C679,$C$13:$C$429,$D679)</f>
        <v>0</v>
      </c>
      <c r="S679">
        <f>SUMIFS(S$13:S$429,$A$13:$A$429,$C679,$C$13:$C$429,$D679)</f>
        <v>0</v>
      </c>
      <c r="T679">
        <f>SUMIFS(T$13:T$429,$A$13:$A$429,$C679,$C$13:$C$429,$D679)</f>
        <v>0</v>
      </c>
      <c r="U679">
        <f>SUM(L679:T679)</f>
        <v>113.03690256000002</v>
      </c>
      <c r="W679">
        <f>IF(SUM(H679:I679)&gt;0,SUM(H679:I679)/G679,0)</f>
        <v>13.124999999999998</v>
      </c>
      <c r="X679">
        <f>IF(G679&gt;0,U679/G679,0)</f>
        <v>367.9586671875</v>
      </c>
    </row>
    <row r="680">
      <c r="C680" t="str">
        <v>Lantai Attic</v>
      </c>
      <c r="D680" t="str">
        <v>Potongan G</v>
      </c>
      <c r="G680">
        <f>SUMIFS($V$13:$V$429,$A$13:$A$429,$C680,$C$13:$C$429,$D680)</f>
        <v>0</v>
      </c>
      <c r="H680">
        <f>SUMIFS($W$13:$W$429,$A$13:$A$429,$C680,$C$13:$C$429,$D680)</f>
        <v>0</v>
      </c>
      <c r="I680">
        <f>SUMIFS($X$13:$X$429,$A$13:$A$429,$C680,$C$13:$C$429,$D680)</f>
        <v>0</v>
      </c>
      <c r="J680">
        <f>SUMIFS($Y$13:$Y$429,$A$13:$A$429,$C680,$C$13:$C$429,$D680)</f>
        <v>0</v>
      </c>
      <c r="K680">
        <f>SUMIFS($Z$13:$Z$429,$A$13:$A$429,$C680,$C$13:$C$429,$D680)</f>
        <v>0</v>
      </c>
      <c r="L680">
        <f>SUMIFS(L$13:L$429,$A$13:$A$429,$C680,$C$13:$C$429,$D680)</f>
        <v>0</v>
      </c>
      <c r="M680">
        <f>SUMIFS(M$13:M$429,$A$13:$A$429,$C680,$C$13:$C$429,$D680)</f>
        <v>0</v>
      </c>
      <c r="N680">
        <f>SUMIFS(N$13:N$429,$A$13:$A$429,$C680,$C$13:$C$429,$D680)</f>
        <v>0</v>
      </c>
      <c r="O680">
        <f>SUMIFS(O$13:O$429,$A$13:$A$429,$C680,$C$13:$C$429,$D680)</f>
        <v>0</v>
      </c>
      <c r="P680">
        <f>SUMIFS(P$13:P$429,$A$13:$A$429,$C680,$C$13:$C$429,$D680)</f>
        <v>0</v>
      </c>
      <c r="Q680">
        <f>SUMIFS(Q$13:Q$429,$A$13:$A$429,$C680,$C$13:$C$429,$D680)</f>
        <v>0</v>
      </c>
      <c r="R680">
        <f>SUMIFS(R$13:R$429,$A$13:$A$429,$C680,$C$13:$C$429,$D680)</f>
        <v>0</v>
      </c>
      <c r="S680">
        <f>SUMIFS(S$13:S$429,$A$13:$A$429,$C680,$C$13:$C$429,$D680)</f>
        <v>0</v>
      </c>
      <c r="T680">
        <f>SUMIFS(T$13:T$429,$A$13:$A$429,$C680,$C$13:$C$429,$D680)</f>
        <v>0</v>
      </c>
      <c r="U680">
        <f>SUM(L680:T680)</f>
        <v>0</v>
      </c>
      <c r="W680">
        <f>IF(SUM(H680:I680)&gt;0,SUM(H680:I680)/G680,0)</f>
        <v>0</v>
      </c>
      <c r="X680">
        <f>IF(G680&gt;0,U680/G680,0)</f>
        <v>0</v>
      </c>
    </row>
    <row r="681">
      <c r="C681" t="str">
        <v>Lantai Attic</v>
      </c>
      <c r="D681" t="str">
        <v>Potongan H</v>
      </c>
      <c r="G681">
        <f>SUMIFS($V$13:$V$429,$A$13:$A$429,$C681,$C$13:$C$429,$D681)</f>
        <v>0</v>
      </c>
      <c r="H681">
        <f>SUMIFS($W$13:$W$429,$A$13:$A$429,$C681,$C$13:$C$429,$D681)</f>
        <v>0</v>
      </c>
      <c r="I681">
        <f>SUMIFS($X$13:$X$429,$A$13:$A$429,$C681,$C$13:$C$429,$D681)</f>
        <v>0</v>
      </c>
      <c r="J681">
        <f>SUMIFS($Y$13:$Y$429,$A$13:$A$429,$C681,$C$13:$C$429,$D681)</f>
        <v>0</v>
      </c>
      <c r="K681">
        <f>SUMIFS($Z$13:$Z$429,$A$13:$A$429,$C681,$C$13:$C$429,$D681)</f>
        <v>0</v>
      </c>
      <c r="L681">
        <f>SUMIFS(L$13:L$429,$A$13:$A$429,$C681,$C$13:$C$429,$D681)</f>
        <v>0</v>
      </c>
      <c r="M681">
        <f>SUMIFS(M$13:M$429,$A$13:$A$429,$C681,$C$13:$C$429,$D681)</f>
        <v>0</v>
      </c>
      <c r="N681">
        <f>SUMIFS(N$13:N$429,$A$13:$A$429,$C681,$C$13:$C$429,$D681)</f>
        <v>0</v>
      </c>
      <c r="O681">
        <f>SUMIFS(O$13:O$429,$A$13:$A$429,$C681,$C$13:$C$429,$D681)</f>
        <v>0</v>
      </c>
      <c r="P681">
        <f>SUMIFS(P$13:P$429,$A$13:$A$429,$C681,$C$13:$C$429,$D681)</f>
        <v>0</v>
      </c>
      <c r="Q681">
        <f>SUMIFS(Q$13:Q$429,$A$13:$A$429,$C681,$C$13:$C$429,$D681)</f>
        <v>0</v>
      </c>
      <c r="R681">
        <f>SUMIFS(R$13:R$429,$A$13:$A$429,$C681,$C$13:$C$429,$D681)</f>
        <v>0</v>
      </c>
      <c r="S681">
        <f>SUMIFS(S$13:S$429,$A$13:$A$429,$C681,$C$13:$C$429,$D681)</f>
        <v>0</v>
      </c>
      <c r="T681">
        <f>SUMIFS(T$13:T$429,$A$13:$A$429,$C681,$C$13:$C$429,$D681)</f>
        <v>0</v>
      </c>
      <c r="U681">
        <f>SUM(L681:T681)</f>
        <v>0</v>
      </c>
      <c r="W681">
        <f>IF(SUM(H681:I681)&gt;0,SUM(H681:I681)/G681,0)</f>
        <v>0</v>
      </c>
      <c r="X681">
        <f>IF(G681&gt;0,U681/G681,0)</f>
        <v>0</v>
      </c>
    </row>
    <row r="682">
      <c r="C682" t="str">
        <v>Lantai Attic</v>
      </c>
      <c r="D682" t="str">
        <v>Potongan I</v>
      </c>
      <c r="G682">
        <f>SUMIFS($V$13:$V$429,$A$13:$A$429,$C682,$C$13:$C$429,$D682)</f>
        <v>0</v>
      </c>
      <c r="H682">
        <f>SUMIFS($W$13:$W$429,$A$13:$A$429,$C682,$C$13:$C$429,$D682)</f>
        <v>0</v>
      </c>
      <c r="I682">
        <f>SUMIFS($X$13:$X$429,$A$13:$A$429,$C682,$C$13:$C$429,$D682)</f>
        <v>0</v>
      </c>
      <c r="J682">
        <f>SUMIFS($Y$13:$Y$429,$A$13:$A$429,$C682,$C$13:$C$429,$D682)</f>
        <v>0</v>
      </c>
      <c r="K682">
        <f>SUMIFS($Z$13:$Z$429,$A$13:$A$429,$C682,$C$13:$C$429,$D682)</f>
        <v>0</v>
      </c>
      <c r="L682">
        <f>SUMIFS(L$13:L$429,$A$13:$A$429,$C682,$C$13:$C$429,$D682)</f>
        <v>0</v>
      </c>
      <c r="M682">
        <f>SUMIFS(M$13:M$429,$A$13:$A$429,$C682,$C$13:$C$429,$D682)</f>
        <v>0</v>
      </c>
      <c r="N682">
        <f>SUMIFS(N$13:N$429,$A$13:$A$429,$C682,$C$13:$C$429,$D682)</f>
        <v>0</v>
      </c>
      <c r="O682">
        <f>SUMIFS(O$13:O$429,$A$13:$A$429,$C682,$C$13:$C$429,$D682)</f>
        <v>0</v>
      </c>
      <c r="P682">
        <f>SUMIFS(P$13:P$429,$A$13:$A$429,$C682,$C$13:$C$429,$D682)</f>
        <v>0</v>
      </c>
      <c r="Q682">
        <f>SUMIFS(Q$13:Q$429,$A$13:$A$429,$C682,$C$13:$C$429,$D682)</f>
        <v>0</v>
      </c>
      <c r="R682">
        <f>SUMIFS(R$13:R$429,$A$13:$A$429,$C682,$C$13:$C$429,$D682)</f>
        <v>0</v>
      </c>
      <c r="S682">
        <f>SUMIFS(S$13:S$429,$A$13:$A$429,$C682,$C$13:$C$429,$D682)</f>
        <v>0</v>
      </c>
      <c r="T682">
        <f>SUMIFS(T$13:T$429,$A$13:$A$429,$C682,$C$13:$C$429,$D682)</f>
        <v>0</v>
      </c>
      <c r="U682">
        <f>SUM(L682:T682)</f>
        <v>0</v>
      </c>
      <c r="W682">
        <f>IF(SUM(H682:I682)&gt;0,SUM(H682:I682)/G682,0)</f>
        <v>0</v>
      </c>
      <c r="X682">
        <f>IF(G682&gt;0,U682/G682,0)</f>
        <v>0</v>
      </c>
    </row>
    <row r="683">
      <c r="C683" t="str">
        <v>Lantai Attic</v>
      </c>
      <c r="D683" t="str">
        <v>Potongan J</v>
      </c>
      <c r="G683">
        <f>SUMIFS($V$13:$V$429,$A$13:$A$429,$C683,$C$13:$C$429,$D683)</f>
        <v>0.345</v>
      </c>
      <c r="H683">
        <f>SUMIFS($W$13:$W$429,$A$13:$A$429,$C683,$C$13:$C$429,$D683)</f>
        <v>4.39</v>
      </c>
      <c r="I683">
        <f>SUMIFS($X$13:$X$429,$A$13:$A$429,$C683,$C$13:$C$429,$D683)</f>
        <v>0</v>
      </c>
      <c r="J683">
        <f>SUMIFS($Y$13:$Y$429,$A$13:$A$429,$C683,$C$13:$C$429,$D683)</f>
        <v>0</v>
      </c>
      <c r="K683">
        <f>SUMIFS($Z$13:$Z$429,$A$13:$A$429,$C683,$C$13:$C$429,$D683)</f>
        <v>0</v>
      </c>
      <c r="L683">
        <f>SUMIFS(L$13:L$429,$A$13:$A$429,$C683,$C$13:$C$429,$D683)</f>
        <v>0</v>
      </c>
      <c r="M683">
        <f>SUMIFS(M$13:M$429,$A$13:$A$429,$C683,$C$13:$C$429,$D683)</f>
        <v>0</v>
      </c>
      <c r="N683">
        <f>SUMIFS(N$13:N$429,$A$13:$A$429,$C683,$C$13:$C$429,$D683)</f>
        <v>27.156825</v>
      </c>
      <c r="O683">
        <f>SUMIFS(O$13:O$429,$A$13:$A$429,$C683,$C$13:$C$429,$D683)</f>
        <v>0</v>
      </c>
      <c r="P683">
        <f>SUMIFS(P$13:P$429,$A$13:$A$429,$C683,$C$13:$C$429,$D683)</f>
        <v>0</v>
      </c>
      <c r="Q683">
        <f>SUMIFS(Q$13:Q$429,$A$13:$A$429,$C683,$C$13:$C$429,$D683)</f>
        <v>94.53309894</v>
      </c>
      <c r="R683">
        <f>SUMIFS(R$13:R$429,$A$13:$A$429,$C683,$C$13:$C$429,$D683)</f>
        <v>0</v>
      </c>
      <c r="S683">
        <f>SUMIFS(S$13:S$429,$A$13:$A$429,$C683,$C$13:$C$429,$D683)</f>
        <v>0</v>
      </c>
      <c r="T683">
        <f>SUMIFS(T$13:T$429,$A$13:$A$429,$C683,$C$13:$C$429,$D683)</f>
        <v>0</v>
      </c>
      <c r="U683">
        <f>SUM(L683:T683)</f>
        <v>121.68992394</v>
      </c>
      <c r="W683">
        <f>IF(SUM(H683:I683)&gt;0,SUM(H683:I683)/G683,0)</f>
        <v>12.72463768115942</v>
      </c>
      <c r="X683">
        <f>IF(G683&gt;0,U683/G683,0)</f>
        <v>352.7244172173913</v>
      </c>
    </row>
    <row r="684">
      <c r="C684" t="str">
        <v>Lantai Attic</v>
      </c>
      <c r="D684" t="str">
        <v>Potongan K</v>
      </c>
      <c r="G684">
        <f>SUMIFS($V$13:$V$429,$A$13:$A$429,$C684,$C$13:$C$429,$D684)</f>
        <v>0</v>
      </c>
      <c r="H684">
        <f>SUMIFS($W$13:$W$429,$A$13:$A$429,$C684,$C$13:$C$429,$D684)</f>
        <v>0</v>
      </c>
      <c r="I684">
        <f>SUMIFS($X$13:$X$429,$A$13:$A$429,$C684,$C$13:$C$429,$D684)</f>
        <v>0</v>
      </c>
      <c r="J684">
        <f>SUMIFS($Y$13:$Y$429,$A$13:$A$429,$C684,$C$13:$C$429,$D684)</f>
        <v>0</v>
      </c>
      <c r="K684">
        <f>SUMIFS($Z$13:$Z$429,$A$13:$A$429,$C684,$C$13:$C$429,$D684)</f>
        <v>0</v>
      </c>
      <c r="L684">
        <f>SUMIFS(L$13:L$429,$A$13:$A$429,$C684,$C$13:$C$429,$D684)</f>
        <v>0</v>
      </c>
      <c r="M684">
        <f>SUMIFS(M$13:M$429,$A$13:$A$429,$C684,$C$13:$C$429,$D684)</f>
        <v>0</v>
      </c>
      <c r="N684">
        <f>SUMIFS(N$13:N$429,$A$13:$A$429,$C684,$C$13:$C$429,$D684)</f>
        <v>0</v>
      </c>
      <c r="O684">
        <f>SUMIFS(O$13:O$429,$A$13:$A$429,$C684,$C$13:$C$429,$D684)</f>
        <v>0</v>
      </c>
      <c r="P684">
        <f>SUMIFS(P$13:P$429,$A$13:$A$429,$C684,$C$13:$C$429,$D684)</f>
        <v>0</v>
      </c>
      <c r="Q684">
        <f>SUMIFS(Q$13:Q$429,$A$13:$A$429,$C684,$C$13:$C$429,$D684)</f>
        <v>0</v>
      </c>
      <c r="R684">
        <f>SUMIFS(R$13:R$429,$A$13:$A$429,$C684,$C$13:$C$429,$D684)</f>
        <v>0</v>
      </c>
      <c r="S684">
        <f>SUMIFS(S$13:S$429,$A$13:$A$429,$C684,$C$13:$C$429,$D684)</f>
        <v>0</v>
      </c>
      <c r="T684">
        <f>SUMIFS(T$13:T$429,$A$13:$A$429,$C684,$C$13:$C$429,$D684)</f>
        <v>0</v>
      </c>
      <c r="U684">
        <f>SUM(L684:T684)</f>
        <v>0</v>
      </c>
      <c r="W684">
        <f>IF(SUM(H684:I684)&gt;0,SUM(H684:I684)/G684,0)</f>
        <v>0</v>
      </c>
      <c r="X684">
        <f>IF(G684&gt;0,U684/G684,0)</f>
        <v>0</v>
      </c>
    </row>
    <row r="685">
      <c r="C685" t="str">
        <v>Lantai Attic</v>
      </c>
      <c r="D685" t="str">
        <v>Potongan L</v>
      </c>
      <c r="G685">
        <f>SUMIFS($V$13:$V$429,$A$13:$A$429,$C685,$C$13:$C$429,$D685)</f>
        <v>0</v>
      </c>
      <c r="H685">
        <f>SUMIFS($W$13:$W$429,$A$13:$A$429,$C685,$C$13:$C$429,$D685)</f>
        <v>0</v>
      </c>
      <c r="I685">
        <f>SUMIFS($X$13:$X$429,$A$13:$A$429,$C685,$C$13:$C$429,$D685)</f>
        <v>0</v>
      </c>
      <c r="J685">
        <f>SUMIFS($Y$13:$Y$429,$A$13:$A$429,$C685,$C$13:$C$429,$D685)</f>
        <v>0</v>
      </c>
      <c r="K685">
        <f>SUMIFS($Z$13:$Z$429,$A$13:$A$429,$C685,$C$13:$C$429,$D685)</f>
        <v>0</v>
      </c>
      <c r="L685">
        <f>SUMIFS(L$13:L$429,$A$13:$A$429,$C685,$C$13:$C$429,$D685)</f>
        <v>0</v>
      </c>
      <c r="M685">
        <f>SUMIFS(M$13:M$429,$A$13:$A$429,$C685,$C$13:$C$429,$D685)</f>
        <v>0</v>
      </c>
      <c r="N685">
        <f>SUMIFS(N$13:N$429,$A$13:$A$429,$C685,$C$13:$C$429,$D685)</f>
        <v>0</v>
      </c>
      <c r="O685">
        <f>SUMIFS(O$13:O$429,$A$13:$A$429,$C685,$C$13:$C$429,$D685)</f>
        <v>0</v>
      </c>
      <c r="P685">
        <f>SUMIFS(P$13:P$429,$A$13:$A$429,$C685,$C$13:$C$429,$D685)</f>
        <v>0</v>
      </c>
      <c r="Q685">
        <f>SUMIFS(Q$13:Q$429,$A$13:$A$429,$C685,$C$13:$C$429,$D685)</f>
        <v>0</v>
      </c>
      <c r="R685">
        <f>SUMIFS(R$13:R$429,$A$13:$A$429,$C685,$C$13:$C$429,$D685)</f>
        <v>0</v>
      </c>
      <c r="S685">
        <f>SUMIFS(S$13:S$429,$A$13:$A$429,$C685,$C$13:$C$429,$D685)</f>
        <v>0</v>
      </c>
      <c r="T685">
        <f>SUMIFS(T$13:T$429,$A$13:$A$429,$C685,$C$13:$C$429,$D685)</f>
        <v>0</v>
      </c>
      <c r="U685">
        <f>SUM(L685:T685)</f>
        <v>0</v>
      </c>
      <c r="W685">
        <f>IF(SUM(H685:I685)&gt;0,SUM(H685:I685)/G685,0)</f>
        <v>0</v>
      </c>
      <c r="X685">
        <f>IF(G685&gt;0,U685/G685,0)</f>
        <v>0</v>
      </c>
    </row>
    <row r="686">
      <c r="C686" t="str">
        <v>Lantai Attic</v>
      </c>
      <c r="D686" t="str">
        <v>Potongan M</v>
      </c>
      <c r="G686">
        <f>SUMIFS($V$13:$V$429,$A$13:$A$429,$C686,$C$13:$C$429,$D686)</f>
        <v>0</v>
      </c>
      <c r="H686">
        <f>SUMIFS($W$13:$W$429,$A$13:$A$429,$C686,$C$13:$C$429,$D686)</f>
        <v>0</v>
      </c>
      <c r="I686">
        <f>SUMIFS($X$13:$X$429,$A$13:$A$429,$C686,$C$13:$C$429,$D686)</f>
        <v>0</v>
      </c>
      <c r="J686">
        <f>SUMIFS($Y$13:$Y$429,$A$13:$A$429,$C686,$C$13:$C$429,$D686)</f>
        <v>0</v>
      </c>
      <c r="K686">
        <f>SUMIFS($Z$13:$Z$429,$A$13:$A$429,$C686,$C$13:$C$429,$D686)</f>
        <v>0</v>
      </c>
      <c r="L686">
        <f>SUMIFS(L$13:L$429,$A$13:$A$429,$C686,$C$13:$C$429,$D686)</f>
        <v>0</v>
      </c>
      <c r="M686">
        <f>SUMIFS(M$13:M$429,$A$13:$A$429,$C686,$C$13:$C$429,$D686)</f>
        <v>0</v>
      </c>
      <c r="N686">
        <f>SUMIFS(N$13:N$429,$A$13:$A$429,$C686,$C$13:$C$429,$D686)</f>
        <v>0</v>
      </c>
      <c r="O686">
        <f>SUMIFS(O$13:O$429,$A$13:$A$429,$C686,$C$13:$C$429,$D686)</f>
        <v>0</v>
      </c>
      <c r="P686">
        <f>SUMIFS(P$13:P$429,$A$13:$A$429,$C686,$C$13:$C$429,$D686)</f>
        <v>0</v>
      </c>
      <c r="Q686">
        <f>SUMIFS(Q$13:Q$429,$A$13:$A$429,$C686,$C$13:$C$429,$D686)</f>
        <v>0</v>
      </c>
      <c r="R686">
        <f>SUMIFS(R$13:R$429,$A$13:$A$429,$C686,$C$13:$C$429,$D686)</f>
        <v>0</v>
      </c>
      <c r="S686">
        <f>SUMIFS(S$13:S$429,$A$13:$A$429,$C686,$C$13:$C$429,$D686)</f>
        <v>0</v>
      </c>
      <c r="T686">
        <f>SUMIFS(T$13:T$429,$A$13:$A$429,$C686,$C$13:$C$429,$D686)</f>
        <v>0</v>
      </c>
      <c r="U686">
        <f>SUM(L686:T686)</f>
        <v>0</v>
      </c>
      <c r="W686">
        <f>IF(SUM(H686:I686)&gt;0,SUM(H686:I686)/G686,0)</f>
        <v>0</v>
      </c>
      <c r="X686">
        <f>IF(G686&gt;0,U686/G686,0)</f>
        <v>0</v>
      </c>
    </row>
    <row r="687">
      <c r="C687" t="str">
        <v>Lantai Attic</v>
      </c>
      <c r="D687" t="str">
        <v>Potongan N</v>
      </c>
      <c r="G687">
        <f>SUMIFS($V$13:$V$429,$A$13:$A$429,$C687,$C$13:$C$429,$D687)</f>
        <v>0</v>
      </c>
      <c r="H687">
        <f>SUMIFS($W$13:$W$429,$A$13:$A$429,$C687,$C$13:$C$429,$D687)</f>
        <v>0</v>
      </c>
      <c r="I687">
        <f>SUMIFS($X$13:$X$429,$A$13:$A$429,$C687,$C$13:$C$429,$D687)</f>
        <v>0</v>
      </c>
      <c r="J687">
        <f>SUMIFS($Y$13:$Y$429,$A$13:$A$429,$C687,$C$13:$C$429,$D687)</f>
        <v>0</v>
      </c>
      <c r="K687">
        <f>SUMIFS($Z$13:$Z$429,$A$13:$A$429,$C687,$C$13:$C$429,$D687)</f>
        <v>0</v>
      </c>
      <c r="L687">
        <f>SUMIFS(L$13:L$429,$A$13:$A$429,$C687,$C$13:$C$429,$D687)</f>
        <v>0</v>
      </c>
      <c r="M687">
        <f>SUMIFS(M$13:M$429,$A$13:$A$429,$C687,$C$13:$C$429,$D687)</f>
        <v>0</v>
      </c>
      <c r="N687">
        <f>SUMIFS(N$13:N$429,$A$13:$A$429,$C687,$C$13:$C$429,$D687)</f>
        <v>0</v>
      </c>
      <c r="O687">
        <f>SUMIFS(O$13:O$429,$A$13:$A$429,$C687,$C$13:$C$429,$D687)</f>
        <v>0</v>
      </c>
      <c r="P687">
        <f>SUMIFS(P$13:P$429,$A$13:$A$429,$C687,$C$13:$C$429,$D687)</f>
        <v>0</v>
      </c>
      <c r="Q687">
        <f>SUMIFS(Q$13:Q$429,$A$13:$A$429,$C687,$C$13:$C$429,$D687)</f>
        <v>0</v>
      </c>
      <c r="R687">
        <f>SUMIFS(R$13:R$429,$A$13:$A$429,$C687,$C$13:$C$429,$D687)</f>
        <v>0</v>
      </c>
      <c r="S687">
        <f>SUMIFS(S$13:S$429,$A$13:$A$429,$C687,$C$13:$C$429,$D687)</f>
        <v>0</v>
      </c>
      <c r="T687">
        <f>SUMIFS(T$13:T$429,$A$13:$A$429,$C687,$C$13:$C$429,$D687)</f>
        <v>0</v>
      </c>
      <c r="U687">
        <f>SUM(L687:T687)</f>
        <v>0</v>
      </c>
      <c r="W687">
        <f>IF(SUM(H687:I687)&gt;0,SUM(H687:I687)/G687,0)</f>
        <v>0</v>
      </c>
      <c r="X687">
        <f>IF(G687&gt;0,U687/G687,0)</f>
        <v>0</v>
      </c>
    </row>
    <row r="688">
      <c r="C688" t="str">
        <v>Lantai Attic</v>
      </c>
      <c r="D688" t="str">
        <v>Potongan O</v>
      </c>
      <c r="G688">
        <f>SUMIFS($V$13:$V$429,$A$13:$A$429,$C688,$C$13:$C$429,$D688)</f>
        <v>0.179265</v>
      </c>
      <c r="H688">
        <f>SUMIFS($W$13:$W$429,$A$13:$A$429,$C688,$C$13:$C$429,$D688)</f>
        <v>1.6796</v>
      </c>
      <c r="I688">
        <f>SUMIFS($X$13:$X$429,$A$13:$A$429,$C688,$C$13:$C$429,$D688)</f>
        <v>0</v>
      </c>
      <c r="J688">
        <f>SUMIFS($Y$13:$Y$429,$A$13:$A$429,$C688,$C$13:$C$429,$D688)</f>
        <v>0</v>
      </c>
      <c r="K688">
        <f>SUMIFS($Z$13:$Z$429,$A$13:$A$429,$C688,$C$13:$C$429,$D688)</f>
        <v>0</v>
      </c>
      <c r="L688">
        <f>SUMIFS(L$13:L$429,$A$13:$A$429,$C688,$C$13:$C$429,$D688)</f>
        <v>0</v>
      </c>
      <c r="M688">
        <f>SUMIFS(M$13:M$429,$A$13:$A$429,$C688,$C$13:$C$429,$D688)</f>
        <v>0</v>
      </c>
      <c r="N688">
        <f>SUMIFS(N$13:N$429,$A$13:$A$429,$C688,$C$13:$C$429,$D688)</f>
        <v>19.03752</v>
      </c>
      <c r="O688">
        <f>SUMIFS(O$13:O$429,$A$13:$A$429,$C688,$C$13:$C$429,$D688)</f>
        <v>0</v>
      </c>
      <c r="P688">
        <f>SUMIFS(P$13:P$429,$A$13:$A$429,$C688,$C$13:$C$429,$D688)</f>
        <v>0</v>
      </c>
      <c r="Q688">
        <f>SUMIFS(Q$13:Q$429,$A$13:$A$429,$C688,$C$13:$C$429,$D688)</f>
        <v>50.700596264999994</v>
      </c>
      <c r="R688">
        <f>SUMIFS(R$13:R$429,$A$13:$A$429,$C688,$C$13:$C$429,$D688)</f>
        <v>0</v>
      </c>
      <c r="S688">
        <f>SUMIFS(S$13:S$429,$A$13:$A$429,$C688,$C$13:$C$429,$D688)</f>
        <v>0</v>
      </c>
      <c r="T688">
        <f>SUMIFS(T$13:T$429,$A$13:$A$429,$C688,$C$13:$C$429,$D688)</f>
        <v>0</v>
      </c>
      <c r="U688">
        <f>SUM(L688:T688)</f>
        <v>69.738116265</v>
      </c>
      <c r="W688">
        <f>IF(SUM(H688:I688)&gt;0,SUM(H688:I688)/G688,0)</f>
        <v>9.36936936936937</v>
      </c>
      <c r="X688">
        <f>IF(G688&gt;0,U688/G688,0)</f>
        <v>389.0224877416116</v>
      </c>
    </row>
    <row r="689">
      <c r="C689" t="str">
        <v>Lantai Attic</v>
      </c>
      <c r="D689" t="str">
        <v>BB</v>
      </c>
      <c r="G689">
        <f>SUMIFS($V$13:$V$429,$A$13:$A$429,$C689,$C$13:$C$429,$D689)</f>
        <v>0.0072</v>
      </c>
      <c r="H689">
        <f>SUMIFS($W$13:$W$429,$A$13:$A$429,$C689,$C$13:$C$429,$D689)</f>
        <v>0.7919999999999999</v>
      </c>
      <c r="I689">
        <f>SUMIFS($X$13:$X$429,$A$13:$A$429,$C689,$C$13:$C$429,$D689)</f>
        <v>0</v>
      </c>
      <c r="J689">
        <f>SUMIFS($Y$13:$Y$429,$A$13:$A$429,$C689,$C$13:$C$429,$D689)</f>
        <v>0</v>
      </c>
      <c r="K689">
        <f>SUMIFS($Z$13:$Z$429,$A$13:$A$429,$C689,$C$13:$C$429,$D689)</f>
        <v>0</v>
      </c>
      <c r="L689">
        <f>SUMIFS(L$13:L$429,$A$13:$A$429,$C689,$C$13:$C$429,$D689)</f>
        <v>0</v>
      </c>
      <c r="M689">
        <f>SUMIFS(M$13:M$429,$A$13:$A$429,$C689,$C$13:$C$429,$D689)</f>
        <v>9.2011392</v>
      </c>
      <c r="N689">
        <f>SUMIFS(N$13:N$429,$A$13:$A$429,$C689,$C$13:$C$429,$D689)</f>
        <v>11.24496</v>
      </c>
      <c r="O689">
        <f>SUMIFS(O$13:O$429,$A$13:$A$429,$C689,$C$13:$C$429,$D689)</f>
        <v>0</v>
      </c>
      <c r="P689">
        <f>SUMIFS(P$13:P$429,$A$13:$A$429,$C689,$C$13:$C$429,$D689)</f>
        <v>0</v>
      </c>
      <c r="Q689">
        <f>SUMIFS(Q$13:Q$429,$A$13:$A$429,$C689,$C$13:$C$429,$D689)</f>
        <v>0</v>
      </c>
      <c r="R689">
        <f>SUMIFS(R$13:R$429,$A$13:$A$429,$C689,$C$13:$C$429,$D689)</f>
        <v>0</v>
      </c>
      <c r="S689">
        <f>SUMIFS(S$13:S$429,$A$13:$A$429,$C689,$C$13:$C$429,$D689)</f>
        <v>0</v>
      </c>
      <c r="T689">
        <f>SUMIFS(T$13:T$429,$A$13:$A$429,$C689,$C$13:$C$429,$D689)</f>
        <v>0</v>
      </c>
      <c r="U689">
        <f>SUM(L689:T689)</f>
        <v>20.4460992</v>
      </c>
      <c r="W689">
        <f>IF(SUM(H689:I689)&gt;0,SUM(H689:I689)/G689,0)</f>
        <v>109.99999999999999</v>
      </c>
      <c r="X689">
        <f>IF(G689&gt;0,U689/G689,0)</f>
        <v>2839.736</v>
      </c>
    </row>
    <row r="691">
      <c r="C691" t="str">
        <v>Subtotal Lantai Attic</v>
      </c>
      <c r="G691">
        <f>SUM(G614:G690)</f>
        <v>24.135571500000008</v>
      </c>
      <c r="H691">
        <f>SUM(H614:H690)</f>
        <v>294.6723499999999</v>
      </c>
      <c r="I691">
        <f>SUM(I614:I690)</f>
        <v>0</v>
      </c>
      <c r="J691">
        <f>SUM(J614:J690)</f>
        <v>0</v>
      </c>
      <c r="K691">
        <f>SUM(K614:K690)</f>
        <v>0</v>
      </c>
      <c r="L691">
        <f>SUM(L614:L690)</f>
        <v>0</v>
      </c>
      <c r="M691">
        <f>SUM(M614:M690)</f>
        <v>350.96664384</v>
      </c>
      <c r="N691">
        <f>SUM(N614:N690)</f>
        <v>2048.6664900000005</v>
      </c>
      <c r="O691">
        <f>SUM(O614:O690)</f>
        <v>424.42852490999996</v>
      </c>
      <c r="P691">
        <f>SUM(P614:P690)</f>
        <v>1845.01543104</v>
      </c>
      <c r="Q691">
        <f>SUM(Q614:Q690)</f>
        <v>1560.26795229</v>
      </c>
      <c r="R691">
        <f>SUM(R614:R690)</f>
        <v>275.75789768999994</v>
      </c>
      <c r="S691">
        <f>SUM(S614:S690)</f>
        <v>0</v>
      </c>
      <c r="T691">
        <f>SUM(T614:T690)</f>
        <v>0</v>
      </c>
      <c r="U691">
        <f>SUM(U614:U690)</f>
        <v>6505.10293977</v>
      </c>
    </row>
    <row r="693">
      <c r="C693" t="str">
        <v>Lantai Atap</v>
      </c>
      <c r="D693" t="str">
        <v>B173-1</v>
      </c>
      <c r="G693">
        <f>SUMIFS($V$13:$V$429,$A$13:$A$429,$C693,$C$13:$C$429,$D693)</f>
        <v>0.397035</v>
      </c>
      <c r="H693">
        <f>SUMIFS($W$13:$W$429,$A$13:$A$429,$C693,$C$13:$C$429,$D693)</f>
        <v>5.9944500000000005</v>
      </c>
      <c r="I693">
        <f>SUMIFS($X$13:$X$429,$A$13:$A$429,$C693,$C$13:$C$429,$D693)</f>
        <v>0</v>
      </c>
      <c r="J693">
        <f>SUMIFS($Y$13:$Y$429,$A$13:$A$429,$C693,$C$13:$C$429,$D693)</f>
        <v>0</v>
      </c>
      <c r="K693">
        <f>SUMIFS($Z$13:$Z$429,$A$13:$A$429,$C693,$C$13:$C$429,$D693)</f>
        <v>0</v>
      </c>
      <c r="L693">
        <f>SUMIFS(L$13:L$429,$A$13:$A$429,$C693,$C$13:$C$429,$D693)</f>
        <v>0</v>
      </c>
      <c r="M693">
        <f>SUMIFS(M$13:M$429,$A$13:$A$429,$C693,$C$13:$C$429,$D693)</f>
        <v>21.5705952</v>
      </c>
      <c r="N693">
        <f>SUMIFS(N$13:N$429,$A$13:$A$429,$C693,$C$13:$C$429,$D693)</f>
        <v>0</v>
      </c>
      <c r="O693">
        <f>SUMIFS(O$13:O$429,$A$13:$A$429,$C693,$C$13:$C$429,$D693)</f>
        <v>36.345116340000004</v>
      </c>
      <c r="P693">
        <f>SUMIFS(P$13:P$429,$A$13:$A$429,$C693,$C$13:$C$429,$D693)</f>
        <v>0</v>
      </c>
      <c r="Q693">
        <f>SUMIFS(Q$13:Q$429,$A$13:$A$429,$C693,$C$13:$C$429,$D693)</f>
        <v>0</v>
      </c>
      <c r="R693">
        <f>SUMIFS(R$13:R$429,$A$13:$A$429,$C693,$C$13:$C$429,$D693)</f>
        <v>0</v>
      </c>
      <c r="S693">
        <f>SUMIFS(S$13:S$429,$A$13:$A$429,$C693,$C$13:$C$429,$D693)</f>
        <v>0</v>
      </c>
      <c r="T693">
        <f>SUMIFS(T$13:T$429,$A$13:$A$429,$C693,$C$13:$C$429,$D693)</f>
        <v>0</v>
      </c>
      <c r="U693">
        <f>SUM(L693:T693)</f>
        <v>57.915711540000004</v>
      </c>
      <c r="W693">
        <f>IF(SUM(H693:I693)&gt;0,SUM(H693:I693)/G693,0)</f>
        <v>15.098039215686274</v>
      </c>
      <c r="X693">
        <f>IF(G693&gt;0,U693/G693,0)</f>
        <v>145.87054425932223</v>
      </c>
    </row>
    <row r="694">
      <c r="C694" t="str">
        <v>Lantai Atap</v>
      </c>
      <c r="D694" t="str">
        <v>B174-1</v>
      </c>
      <c r="G694">
        <f>SUMIFS($V$13:$V$429,$A$13:$A$429,$C694,$C$13:$C$429,$D694)</f>
        <v>0.612</v>
      </c>
      <c r="H694">
        <f>SUMIFS($W$13:$W$429,$A$13:$A$429,$C694,$C$13:$C$429,$D694)</f>
        <v>8.934000000000001</v>
      </c>
      <c r="I694">
        <f>SUMIFS($X$13:$X$429,$A$13:$A$429,$C694,$C$13:$C$429,$D694)</f>
        <v>0</v>
      </c>
      <c r="J694">
        <f>SUMIFS($Y$13:$Y$429,$A$13:$A$429,$C694,$C$13:$C$429,$D694)</f>
        <v>0</v>
      </c>
      <c r="K694">
        <f>SUMIFS($Z$13:$Z$429,$A$13:$A$429,$C694,$C$13:$C$429,$D694)</f>
        <v>0</v>
      </c>
      <c r="L694">
        <f>SUMIFS(L$13:L$429,$A$13:$A$429,$C694,$C$13:$C$429,$D694)</f>
        <v>0</v>
      </c>
      <c r="M694">
        <f>SUMIFS(M$13:M$429,$A$13:$A$429,$C694,$C$13:$C$429,$D694)</f>
        <v>0</v>
      </c>
      <c r="N694">
        <f>SUMIFS(N$13:N$429,$A$13:$A$429,$C694,$C$13:$C$429,$D694)</f>
        <v>50.232420000000005</v>
      </c>
      <c r="O694">
        <f>SUMIFS(O$13:O$429,$A$13:$A$429,$C694,$C$13:$C$429,$D694)</f>
        <v>46.40972543999999</v>
      </c>
      <c r="P694">
        <f>SUMIFS(P$13:P$429,$A$13:$A$429,$C694,$C$13:$C$429,$D694)</f>
        <v>0</v>
      </c>
      <c r="Q694">
        <f>SUMIFS(Q$13:Q$429,$A$13:$A$429,$C694,$C$13:$C$429,$D694)</f>
        <v>0</v>
      </c>
      <c r="R694">
        <f>SUMIFS(R$13:R$429,$A$13:$A$429,$C694,$C$13:$C$429,$D694)</f>
        <v>0</v>
      </c>
      <c r="S694">
        <f>SUMIFS(S$13:S$429,$A$13:$A$429,$C694,$C$13:$C$429,$D694)</f>
        <v>0</v>
      </c>
      <c r="T694">
        <f>SUMIFS(T$13:T$429,$A$13:$A$429,$C694,$C$13:$C$429,$D694)</f>
        <v>0</v>
      </c>
      <c r="U694">
        <f>SUM(L694:T694)</f>
        <v>96.64214544</v>
      </c>
      <c r="W694">
        <f>IF(SUM(H694:I694)&gt;0,SUM(H694:I694)/G694,0)</f>
        <v>14.598039215686276</v>
      </c>
      <c r="X694">
        <f>IF(G694&gt;0,U694/G694,0)</f>
        <v>157.91200235294116</v>
      </c>
    </row>
    <row r="695">
      <c r="C695" t="str">
        <v>Lantai Atap</v>
      </c>
      <c r="D695" t="str">
        <v>B174-2</v>
      </c>
      <c r="G695">
        <f>SUMIFS($V$13:$V$429,$A$13:$A$429,$C695,$C$13:$C$429,$D695)</f>
        <v>0</v>
      </c>
      <c r="H695">
        <f>SUMIFS($W$13:$W$429,$A$13:$A$429,$C695,$C$13:$C$429,$D695)</f>
        <v>0</v>
      </c>
      <c r="I695">
        <f>SUMIFS($X$13:$X$429,$A$13:$A$429,$C695,$C$13:$C$429,$D695)</f>
        <v>0</v>
      </c>
      <c r="J695">
        <f>SUMIFS($Y$13:$Y$429,$A$13:$A$429,$C695,$C$13:$C$429,$D695)</f>
        <v>0</v>
      </c>
      <c r="K695">
        <f>SUMIFS($Z$13:$Z$429,$A$13:$A$429,$C695,$C$13:$C$429,$D695)</f>
        <v>0</v>
      </c>
      <c r="L695">
        <f>SUMIFS(L$13:L$429,$A$13:$A$429,$C695,$C$13:$C$429,$D695)</f>
        <v>0</v>
      </c>
      <c r="M695">
        <f>SUMIFS(M$13:M$429,$A$13:$A$429,$C695,$C$13:$C$429,$D695)</f>
        <v>0</v>
      </c>
      <c r="N695">
        <f>SUMIFS(N$13:N$429,$A$13:$A$429,$C695,$C$13:$C$429,$D695)</f>
        <v>0</v>
      </c>
      <c r="O695">
        <f>SUMIFS(O$13:O$429,$A$13:$A$429,$C695,$C$13:$C$429,$D695)</f>
        <v>0</v>
      </c>
      <c r="P695">
        <f>SUMIFS(P$13:P$429,$A$13:$A$429,$C695,$C$13:$C$429,$D695)</f>
        <v>0</v>
      </c>
      <c r="Q695">
        <f>SUMIFS(Q$13:Q$429,$A$13:$A$429,$C695,$C$13:$C$429,$D695)</f>
        <v>0</v>
      </c>
      <c r="R695">
        <f>SUMIFS(R$13:R$429,$A$13:$A$429,$C695,$C$13:$C$429,$D695)</f>
        <v>0</v>
      </c>
      <c r="S695">
        <f>SUMIFS(S$13:S$429,$A$13:$A$429,$C695,$C$13:$C$429,$D695)</f>
        <v>0</v>
      </c>
      <c r="T695">
        <f>SUMIFS(T$13:T$429,$A$13:$A$429,$C695,$C$13:$C$429,$D695)</f>
        <v>0</v>
      </c>
      <c r="U695">
        <f>SUM(L695:T695)</f>
        <v>0</v>
      </c>
      <c r="W695">
        <f>IF(SUM(H695:I695)&gt;0,SUM(H695:I695)/G695,0)</f>
        <v>0</v>
      </c>
      <c r="X695">
        <f>IF(G695&gt;0,U695/G695,0)</f>
        <v>0</v>
      </c>
    </row>
    <row r="696">
      <c r="C696" t="str">
        <v>Lantai Atap</v>
      </c>
      <c r="D696" t="str">
        <v>B175-1</v>
      </c>
      <c r="G696">
        <f>SUMIFS($V$13:$V$429,$A$13:$A$429,$C696,$C$13:$C$429,$D696)</f>
        <v>0.68</v>
      </c>
      <c r="H696">
        <f>SUMIFS($W$13:$W$429,$A$13:$A$429,$C696,$C$13:$C$429,$D696)</f>
        <v>9.36</v>
      </c>
      <c r="I696">
        <f>SUMIFS($X$13:$X$429,$A$13:$A$429,$C696,$C$13:$C$429,$D696)</f>
        <v>0</v>
      </c>
      <c r="J696">
        <f>SUMIFS($Y$13:$Y$429,$A$13:$A$429,$C696,$C$13:$C$429,$D696)</f>
        <v>0</v>
      </c>
      <c r="K696">
        <f>SUMIFS($Z$13:$Z$429,$A$13:$A$429,$C696,$C$13:$C$429,$D696)</f>
        <v>0</v>
      </c>
      <c r="L696">
        <f>SUMIFS(L$13:L$429,$A$13:$A$429,$C696,$C$13:$C$429,$D696)</f>
        <v>0</v>
      </c>
      <c r="M696">
        <f>SUMIFS(M$13:M$429,$A$13:$A$429,$C696,$C$13:$C$429,$D696)</f>
        <v>0</v>
      </c>
      <c r="N696">
        <f>SUMIFS(N$13:N$429,$A$13:$A$429,$C696,$C$13:$C$429,$D696)</f>
        <v>62.09388</v>
      </c>
      <c r="O696">
        <f>SUMIFS(O$13:O$429,$A$13:$A$429,$C696,$C$13:$C$429,$D696)</f>
        <v>34.64059248</v>
      </c>
      <c r="P696">
        <f>SUMIFS(P$13:P$429,$A$13:$A$429,$C696,$C$13:$C$429,$D696)</f>
        <v>0</v>
      </c>
      <c r="Q696">
        <f>SUMIFS(Q$13:Q$429,$A$13:$A$429,$C696,$C$13:$C$429,$D696)</f>
        <v>0</v>
      </c>
      <c r="R696">
        <f>SUMIFS(R$13:R$429,$A$13:$A$429,$C696,$C$13:$C$429,$D696)</f>
        <v>0</v>
      </c>
      <c r="S696">
        <f>SUMIFS(S$13:S$429,$A$13:$A$429,$C696,$C$13:$C$429,$D696)</f>
        <v>0</v>
      </c>
      <c r="T696">
        <f>SUMIFS(T$13:T$429,$A$13:$A$429,$C696,$C$13:$C$429,$D696)</f>
        <v>0</v>
      </c>
      <c r="U696">
        <f>SUM(L696:T696)</f>
        <v>96.73447248</v>
      </c>
      <c r="W696">
        <f>IF(SUM(H696:I696)&gt;0,SUM(H696:I696)/G696,0)</f>
        <v>13.76470588235294</v>
      </c>
      <c r="X696">
        <f>IF(G696&gt;0,U696/G696,0)</f>
        <v>142.25657717647056</v>
      </c>
    </row>
    <row r="697">
      <c r="C697" t="str">
        <v>Lantai Atap</v>
      </c>
      <c r="D697" t="str">
        <v>B175-2</v>
      </c>
      <c r="G697">
        <f>SUMIFS($V$13:$V$429,$A$13:$A$429,$C697,$C$13:$C$429,$D697)</f>
        <v>0</v>
      </c>
      <c r="H697">
        <f>SUMIFS($W$13:$W$429,$A$13:$A$429,$C697,$C$13:$C$429,$D697)</f>
        <v>0</v>
      </c>
      <c r="I697">
        <f>SUMIFS($X$13:$X$429,$A$13:$A$429,$C697,$C$13:$C$429,$D697)</f>
        <v>0</v>
      </c>
      <c r="J697">
        <f>SUMIFS($Y$13:$Y$429,$A$13:$A$429,$C697,$C$13:$C$429,$D697)</f>
        <v>0</v>
      </c>
      <c r="K697">
        <f>SUMIFS($Z$13:$Z$429,$A$13:$A$429,$C697,$C$13:$C$429,$D697)</f>
        <v>0</v>
      </c>
      <c r="L697">
        <f>SUMIFS(L$13:L$429,$A$13:$A$429,$C697,$C$13:$C$429,$D697)</f>
        <v>0</v>
      </c>
      <c r="M697">
        <f>SUMIFS(M$13:M$429,$A$13:$A$429,$C697,$C$13:$C$429,$D697)</f>
        <v>0</v>
      </c>
      <c r="N697">
        <f>SUMIFS(N$13:N$429,$A$13:$A$429,$C697,$C$13:$C$429,$D697)</f>
        <v>0</v>
      </c>
      <c r="O697">
        <f>SUMIFS(O$13:O$429,$A$13:$A$429,$C697,$C$13:$C$429,$D697)</f>
        <v>0</v>
      </c>
      <c r="P697">
        <f>SUMIFS(P$13:P$429,$A$13:$A$429,$C697,$C$13:$C$429,$D697)</f>
        <v>0</v>
      </c>
      <c r="Q697">
        <f>SUMIFS(Q$13:Q$429,$A$13:$A$429,$C697,$C$13:$C$429,$D697)</f>
        <v>0</v>
      </c>
      <c r="R697">
        <f>SUMIFS(R$13:R$429,$A$13:$A$429,$C697,$C$13:$C$429,$D697)</f>
        <v>0</v>
      </c>
      <c r="S697">
        <f>SUMIFS(S$13:S$429,$A$13:$A$429,$C697,$C$13:$C$429,$D697)</f>
        <v>0</v>
      </c>
      <c r="T697">
        <f>SUMIFS(T$13:T$429,$A$13:$A$429,$C697,$C$13:$C$429,$D697)</f>
        <v>0</v>
      </c>
      <c r="U697">
        <f>SUM(L697:T697)</f>
        <v>0</v>
      </c>
      <c r="W697">
        <f>IF(SUM(H697:I697)&gt;0,SUM(H697:I697)/G697,0)</f>
        <v>0</v>
      </c>
      <c r="X697">
        <f>IF(G697&gt;0,U697/G697,0)</f>
        <v>0</v>
      </c>
    </row>
    <row r="698">
      <c r="C698" t="str">
        <v>Lantai Atap</v>
      </c>
      <c r="D698" t="str">
        <v>B176-1</v>
      </c>
      <c r="G698">
        <f>SUMIFS($V$13:$V$429,$A$13:$A$429,$C698,$C$13:$C$429,$D698)</f>
        <v>0</v>
      </c>
      <c r="H698">
        <f>SUMIFS($W$13:$W$429,$A$13:$A$429,$C698,$C$13:$C$429,$D698)</f>
        <v>0</v>
      </c>
      <c r="I698">
        <f>SUMIFS($X$13:$X$429,$A$13:$A$429,$C698,$C$13:$C$429,$D698)</f>
        <v>0</v>
      </c>
      <c r="J698">
        <f>SUMIFS($Y$13:$Y$429,$A$13:$A$429,$C698,$C$13:$C$429,$D698)</f>
        <v>0</v>
      </c>
      <c r="K698">
        <f>SUMIFS($Z$13:$Z$429,$A$13:$A$429,$C698,$C$13:$C$429,$D698)</f>
        <v>0</v>
      </c>
      <c r="L698">
        <f>SUMIFS(L$13:L$429,$A$13:$A$429,$C698,$C$13:$C$429,$D698)</f>
        <v>0</v>
      </c>
      <c r="M698">
        <f>SUMIFS(M$13:M$429,$A$13:$A$429,$C698,$C$13:$C$429,$D698)</f>
        <v>0</v>
      </c>
      <c r="N698">
        <f>SUMIFS(N$13:N$429,$A$13:$A$429,$C698,$C$13:$C$429,$D698)</f>
        <v>0</v>
      </c>
      <c r="O698">
        <f>SUMIFS(O$13:O$429,$A$13:$A$429,$C698,$C$13:$C$429,$D698)</f>
        <v>0</v>
      </c>
      <c r="P698">
        <f>SUMIFS(P$13:P$429,$A$13:$A$429,$C698,$C$13:$C$429,$D698)</f>
        <v>0</v>
      </c>
      <c r="Q698">
        <f>SUMIFS(Q$13:Q$429,$A$13:$A$429,$C698,$C$13:$C$429,$D698)</f>
        <v>0</v>
      </c>
      <c r="R698">
        <f>SUMIFS(R$13:R$429,$A$13:$A$429,$C698,$C$13:$C$429,$D698)</f>
        <v>0</v>
      </c>
      <c r="S698">
        <f>SUMIFS(S$13:S$429,$A$13:$A$429,$C698,$C$13:$C$429,$D698)</f>
        <v>0</v>
      </c>
      <c r="T698">
        <f>SUMIFS(T$13:T$429,$A$13:$A$429,$C698,$C$13:$C$429,$D698)</f>
        <v>0</v>
      </c>
      <c r="U698">
        <f>SUM(L698:T698)</f>
        <v>0</v>
      </c>
      <c r="W698">
        <f>IF(SUM(H698:I698)&gt;0,SUM(H698:I698)/G698,0)</f>
        <v>0</v>
      </c>
      <c r="X698">
        <f>IF(G698&gt;0,U698/G698,0)</f>
        <v>0</v>
      </c>
    </row>
    <row r="699">
      <c r="C699" t="str">
        <v>Lantai Atap</v>
      </c>
      <c r="D699" t="str">
        <v>CL176-1</v>
      </c>
      <c r="G699">
        <f>SUMIFS($V$13:$V$429,$A$13:$A$429,$C699,$C$13:$C$429,$D699)</f>
        <v>0</v>
      </c>
      <c r="H699">
        <f>SUMIFS($W$13:$W$429,$A$13:$A$429,$C699,$C$13:$C$429,$D699)</f>
        <v>0</v>
      </c>
      <c r="I699">
        <f>SUMIFS($X$13:$X$429,$A$13:$A$429,$C699,$C$13:$C$429,$D699)</f>
        <v>0</v>
      </c>
      <c r="J699">
        <f>SUMIFS($Y$13:$Y$429,$A$13:$A$429,$C699,$C$13:$C$429,$D699)</f>
        <v>0</v>
      </c>
      <c r="K699">
        <f>SUMIFS($Z$13:$Z$429,$A$13:$A$429,$C699,$C$13:$C$429,$D699)</f>
        <v>0</v>
      </c>
      <c r="L699">
        <f>SUMIFS(L$13:L$429,$A$13:$A$429,$C699,$C$13:$C$429,$D699)</f>
        <v>0</v>
      </c>
      <c r="M699">
        <f>SUMIFS(M$13:M$429,$A$13:$A$429,$C699,$C$13:$C$429,$D699)</f>
        <v>0</v>
      </c>
      <c r="N699">
        <f>SUMIFS(N$13:N$429,$A$13:$A$429,$C699,$C$13:$C$429,$D699)</f>
        <v>0</v>
      </c>
      <c r="O699">
        <f>SUMIFS(O$13:O$429,$A$13:$A$429,$C699,$C$13:$C$429,$D699)</f>
        <v>0</v>
      </c>
      <c r="P699">
        <f>SUMIFS(P$13:P$429,$A$13:$A$429,$C699,$C$13:$C$429,$D699)</f>
        <v>0</v>
      </c>
      <c r="Q699">
        <f>SUMIFS(Q$13:Q$429,$A$13:$A$429,$C699,$C$13:$C$429,$D699)</f>
        <v>0</v>
      </c>
      <c r="R699">
        <f>SUMIFS(R$13:R$429,$A$13:$A$429,$C699,$C$13:$C$429,$D699)</f>
        <v>0</v>
      </c>
      <c r="S699">
        <f>SUMIFS(S$13:S$429,$A$13:$A$429,$C699,$C$13:$C$429,$D699)</f>
        <v>0</v>
      </c>
      <c r="T699">
        <f>SUMIFS(T$13:T$429,$A$13:$A$429,$C699,$C$13:$C$429,$D699)</f>
        <v>0</v>
      </c>
      <c r="U699">
        <f>SUM(L699:T699)</f>
        <v>0</v>
      </c>
      <c r="W699">
        <f>IF(SUM(H699:I699)&gt;0,SUM(H699:I699)/G699,0)</f>
        <v>0</v>
      </c>
      <c r="X699">
        <f>IF(G699&gt;0,U699/G699,0)</f>
        <v>0</v>
      </c>
    </row>
    <row r="700">
      <c r="C700" t="str">
        <v>Lantai Atap</v>
      </c>
      <c r="D700" t="str">
        <v>B23-1</v>
      </c>
      <c r="G700">
        <f>SUMIFS($V$13:$V$429,$A$13:$A$429,$C700,$C$13:$C$429,$D700)</f>
        <v>0.144</v>
      </c>
      <c r="H700">
        <f>SUMIFS($W$13:$W$429,$A$13:$A$429,$C700,$C$13:$C$429,$D700)</f>
        <v>2.4</v>
      </c>
      <c r="I700">
        <f>SUMIFS($X$13:$X$429,$A$13:$A$429,$C700,$C$13:$C$429,$D700)</f>
        <v>0</v>
      </c>
      <c r="J700">
        <f>SUMIFS($Y$13:$Y$429,$A$13:$A$429,$C700,$C$13:$C$429,$D700)</f>
        <v>0</v>
      </c>
      <c r="K700">
        <f>SUMIFS($Z$13:$Z$429,$A$13:$A$429,$C700,$C$13:$C$429,$D700)</f>
        <v>0</v>
      </c>
      <c r="L700">
        <f>SUMIFS(L$13:L$429,$A$13:$A$429,$C700,$C$13:$C$429,$D700)</f>
        <v>0</v>
      </c>
      <c r="M700">
        <f>SUMIFS(M$13:M$429,$A$13:$A$429,$C700,$C$13:$C$429,$D700)</f>
        <v>13.754361600000001</v>
      </c>
      <c r="N700">
        <f>SUMIFS(N$13:N$429,$A$13:$A$429,$C700,$C$13:$C$429,$D700)</f>
        <v>0</v>
      </c>
      <c r="O700">
        <f>SUMIFS(O$13:O$429,$A$13:$A$429,$C700,$C$13:$C$429,$D700)</f>
        <v>21.30446448</v>
      </c>
      <c r="P700">
        <f>SUMIFS(P$13:P$429,$A$13:$A$429,$C700,$C$13:$C$429,$D700)</f>
        <v>0</v>
      </c>
      <c r="Q700">
        <f>SUMIFS(Q$13:Q$429,$A$13:$A$429,$C700,$C$13:$C$429,$D700)</f>
        <v>0</v>
      </c>
      <c r="R700">
        <f>SUMIFS(R$13:R$429,$A$13:$A$429,$C700,$C$13:$C$429,$D700)</f>
        <v>0</v>
      </c>
      <c r="S700">
        <f>SUMIFS(S$13:S$429,$A$13:$A$429,$C700,$C$13:$C$429,$D700)</f>
        <v>0</v>
      </c>
      <c r="T700">
        <f>SUMIFS(T$13:T$429,$A$13:$A$429,$C700,$C$13:$C$429,$D700)</f>
        <v>0</v>
      </c>
      <c r="U700">
        <f>SUM(L700:T700)</f>
        <v>35.05882608</v>
      </c>
      <c r="W700">
        <f>IF(SUM(H700:I700)&gt;0,SUM(H700:I700)/G700,0)</f>
        <v>16.666666666666668</v>
      </c>
      <c r="X700">
        <f>IF(G700&gt;0,U700/G700,0)</f>
        <v>243.46407000000005</v>
      </c>
    </row>
    <row r="701">
      <c r="C701" t="str">
        <v>Lantai Atap</v>
      </c>
      <c r="D701" t="str">
        <v>B23-2</v>
      </c>
      <c r="G701">
        <f>SUMIFS($V$13:$V$429,$A$13:$A$429,$C701,$C$13:$C$429,$D701)</f>
        <v>0</v>
      </c>
      <c r="H701">
        <f>SUMIFS($W$13:$W$429,$A$13:$A$429,$C701,$C$13:$C$429,$D701)</f>
        <v>0</v>
      </c>
      <c r="I701">
        <f>SUMIFS($X$13:$X$429,$A$13:$A$429,$C701,$C$13:$C$429,$D701)</f>
        <v>0</v>
      </c>
      <c r="J701">
        <f>SUMIFS($Y$13:$Y$429,$A$13:$A$429,$C701,$C$13:$C$429,$D701)</f>
        <v>0</v>
      </c>
      <c r="K701">
        <f>SUMIFS($Z$13:$Z$429,$A$13:$A$429,$C701,$C$13:$C$429,$D701)</f>
        <v>0</v>
      </c>
      <c r="L701">
        <f>SUMIFS(L$13:L$429,$A$13:$A$429,$C701,$C$13:$C$429,$D701)</f>
        <v>0</v>
      </c>
      <c r="M701">
        <f>SUMIFS(M$13:M$429,$A$13:$A$429,$C701,$C$13:$C$429,$D701)</f>
        <v>0</v>
      </c>
      <c r="N701">
        <f>SUMIFS(N$13:N$429,$A$13:$A$429,$C701,$C$13:$C$429,$D701)</f>
        <v>0</v>
      </c>
      <c r="O701">
        <f>SUMIFS(O$13:O$429,$A$13:$A$429,$C701,$C$13:$C$429,$D701)</f>
        <v>0</v>
      </c>
      <c r="P701">
        <f>SUMIFS(P$13:P$429,$A$13:$A$429,$C701,$C$13:$C$429,$D701)</f>
        <v>0</v>
      </c>
      <c r="Q701">
        <f>SUMIFS(Q$13:Q$429,$A$13:$A$429,$C701,$C$13:$C$429,$D701)</f>
        <v>0</v>
      </c>
      <c r="R701">
        <f>SUMIFS(R$13:R$429,$A$13:$A$429,$C701,$C$13:$C$429,$D701)</f>
        <v>0</v>
      </c>
      <c r="S701">
        <f>SUMIFS(S$13:S$429,$A$13:$A$429,$C701,$C$13:$C$429,$D701)</f>
        <v>0</v>
      </c>
      <c r="T701">
        <f>SUMIFS(T$13:T$429,$A$13:$A$429,$C701,$C$13:$C$429,$D701)</f>
        <v>0</v>
      </c>
      <c r="U701">
        <f>SUM(L701:T701)</f>
        <v>0</v>
      </c>
      <c r="W701">
        <f>IF(SUM(H701:I701)&gt;0,SUM(H701:I701)/G701,0)</f>
        <v>0</v>
      </c>
      <c r="X701">
        <f>IF(G701&gt;0,U701/G701,0)</f>
        <v>0</v>
      </c>
    </row>
    <row r="702">
      <c r="C702" t="str">
        <v>Lantai Atap</v>
      </c>
      <c r="D702" t="str">
        <v>B24-1</v>
      </c>
      <c r="G702">
        <f>SUMIFS($V$13:$V$429,$A$13:$A$429,$C702,$C$13:$C$429,$D702)</f>
        <v>1.3765</v>
      </c>
      <c r="H702">
        <f>SUMIFS($W$13:$W$429,$A$13:$A$429,$C702,$C$13:$C$429,$D702)</f>
        <v>18.779</v>
      </c>
      <c r="I702">
        <f>SUMIFS($X$13:$X$429,$A$13:$A$429,$C702,$C$13:$C$429,$D702)</f>
        <v>0</v>
      </c>
      <c r="J702">
        <f>SUMIFS($Y$13:$Y$429,$A$13:$A$429,$C702,$C$13:$C$429,$D702)</f>
        <v>0</v>
      </c>
      <c r="K702">
        <f>SUMIFS($Z$13:$Z$429,$A$13:$A$429,$C702,$C$13:$C$429,$D702)</f>
        <v>0</v>
      </c>
      <c r="L702">
        <f>SUMIFS(L$13:L$429,$A$13:$A$429,$C702,$C$13:$C$429,$D702)</f>
        <v>0</v>
      </c>
      <c r="M702">
        <f>SUMIFS(M$13:M$429,$A$13:$A$429,$C702,$C$13:$C$429,$D702)</f>
        <v>91.84567680000002</v>
      </c>
      <c r="N702">
        <f>SUMIFS(N$13:N$429,$A$13:$A$429,$C702,$C$13:$C$429,$D702)</f>
        <v>0</v>
      </c>
      <c r="O702">
        <f>SUMIFS(O$13:O$429,$A$13:$A$429,$C702,$C$13:$C$429,$D702)</f>
        <v>116.18268011999997</v>
      </c>
      <c r="P702">
        <f>SUMIFS(P$13:P$429,$A$13:$A$429,$C702,$C$13:$C$429,$D702)</f>
        <v>0</v>
      </c>
      <c r="Q702">
        <f>SUMIFS(Q$13:Q$429,$A$13:$A$429,$C702,$C$13:$C$429,$D702)</f>
        <v>0</v>
      </c>
      <c r="R702">
        <f>SUMIFS(R$13:R$429,$A$13:$A$429,$C702,$C$13:$C$429,$D702)</f>
        <v>0</v>
      </c>
      <c r="S702">
        <f>SUMIFS(S$13:S$429,$A$13:$A$429,$C702,$C$13:$C$429,$D702)</f>
        <v>0</v>
      </c>
      <c r="T702">
        <f>SUMIFS(T$13:T$429,$A$13:$A$429,$C702,$C$13:$C$429,$D702)</f>
        <v>0</v>
      </c>
      <c r="U702">
        <f>SUM(L702:T702)</f>
        <v>208.02835692</v>
      </c>
      <c r="W702">
        <f>IF(SUM(H702:I702)&gt;0,SUM(H702:I702)/G702,0)</f>
        <v>13.642571739920086</v>
      </c>
      <c r="X702">
        <f>IF(G702&gt;0,U702/G702,0)</f>
        <v>151.12848305121685</v>
      </c>
    </row>
    <row r="703">
      <c r="C703" t="str">
        <v>Lantai Atap</v>
      </c>
      <c r="D703" t="str">
        <v>B24-2</v>
      </c>
      <c r="G703">
        <f>SUMIFS($V$13:$V$429,$A$13:$A$429,$C703,$C$13:$C$429,$D703)</f>
        <v>0.725</v>
      </c>
      <c r="H703">
        <f>SUMIFS($W$13:$W$429,$A$13:$A$429,$C703,$C$13:$C$429,$D703)</f>
        <v>10.15</v>
      </c>
      <c r="I703">
        <f>SUMIFS($X$13:$X$429,$A$13:$A$429,$C703,$C$13:$C$429,$D703)</f>
        <v>0</v>
      </c>
      <c r="J703">
        <f>SUMIFS($Y$13:$Y$429,$A$13:$A$429,$C703,$C$13:$C$429,$D703)</f>
        <v>0</v>
      </c>
      <c r="K703">
        <f>SUMIFS($Z$13:$Z$429,$A$13:$A$429,$C703,$C$13:$C$429,$D703)</f>
        <v>0</v>
      </c>
      <c r="L703">
        <f>SUMIFS(L$13:L$429,$A$13:$A$429,$C703,$C$13:$C$429,$D703)</f>
        <v>0</v>
      </c>
      <c r="M703">
        <f>SUMIFS(M$13:M$429,$A$13:$A$429,$C703,$C$13:$C$429,$D703)</f>
        <v>48.36121920000001</v>
      </c>
      <c r="N703">
        <f>SUMIFS(N$13:N$429,$A$13:$A$429,$C703,$C$13:$C$429,$D703)</f>
        <v>0</v>
      </c>
      <c r="O703">
        <f>SUMIFS(O$13:O$429,$A$13:$A$429,$C703,$C$13:$C$429,$D703)</f>
        <v>0</v>
      </c>
      <c r="P703">
        <f>SUMIFS(P$13:P$429,$A$13:$A$429,$C703,$C$13:$C$429,$D703)</f>
        <v>98.81044992</v>
      </c>
      <c r="Q703">
        <f>SUMIFS(Q$13:Q$429,$A$13:$A$429,$C703,$C$13:$C$429,$D703)</f>
        <v>0</v>
      </c>
      <c r="R703">
        <f>SUMIFS(R$13:R$429,$A$13:$A$429,$C703,$C$13:$C$429,$D703)</f>
        <v>0</v>
      </c>
      <c r="S703">
        <f>SUMIFS(S$13:S$429,$A$13:$A$429,$C703,$C$13:$C$429,$D703)</f>
        <v>0</v>
      </c>
      <c r="T703">
        <f>SUMIFS(T$13:T$429,$A$13:$A$429,$C703,$C$13:$C$429,$D703)</f>
        <v>0</v>
      </c>
      <c r="U703">
        <f>SUM(L703:T703)</f>
        <v>147.17166912</v>
      </c>
      <c r="W703">
        <f>IF(SUM(H703:I703)&gt;0,SUM(H703:I703)/G703,0)</f>
        <v>14.000000000000002</v>
      </c>
      <c r="X703">
        <f>IF(G703&gt;0,U703/G703,0)</f>
        <v>202.99540568275862</v>
      </c>
    </row>
    <row r="704">
      <c r="C704" t="str">
        <v>Lantai Atap</v>
      </c>
      <c r="D704" t="str">
        <v>B24-3</v>
      </c>
      <c r="G704">
        <f>SUMIFS($V$13:$V$429,$A$13:$A$429,$C704,$C$13:$C$429,$D704)</f>
        <v>1.0350000000000001</v>
      </c>
      <c r="H704">
        <f>SUMIFS($W$13:$W$429,$A$13:$A$429,$C704,$C$13:$C$429,$D704)</f>
        <v>14.49</v>
      </c>
      <c r="I704">
        <f>SUMIFS($X$13:$X$429,$A$13:$A$429,$C704,$C$13:$C$429,$D704)</f>
        <v>0</v>
      </c>
      <c r="J704">
        <f>SUMIFS($Y$13:$Y$429,$A$13:$A$429,$C704,$C$13:$C$429,$D704)</f>
        <v>0</v>
      </c>
      <c r="K704">
        <f>SUMIFS($Z$13:$Z$429,$A$13:$A$429,$C704,$C$13:$C$429,$D704)</f>
        <v>0</v>
      </c>
      <c r="L704">
        <f>SUMIFS(L$13:L$429,$A$13:$A$429,$C704,$C$13:$C$429,$D704)</f>
        <v>0</v>
      </c>
      <c r="M704">
        <f>SUMIFS(M$13:M$429,$A$13:$A$429,$C704,$C$13:$C$429,$D704)</f>
        <v>0</v>
      </c>
      <c r="N704">
        <f>SUMIFS(N$13:N$429,$A$13:$A$429,$C704,$C$13:$C$429,$D704)</f>
        <v>109.21914000000002</v>
      </c>
      <c r="O704">
        <f>SUMIFS(O$13:O$429,$A$13:$A$429,$C704,$C$13:$C$429,$D704)</f>
        <v>0</v>
      </c>
      <c r="P704">
        <f>SUMIFS(P$13:P$429,$A$13:$A$429,$C704,$C$13:$C$429,$D704)</f>
        <v>214.1987328</v>
      </c>
      <c r="Q704">
        <f>SUMIFS(Q$13:Q$429,$A$13:$A$429,$C704,$C$13:$C$429,$D704)</f>
        <v>0</v>
      </c>
      <c r="R704">
        <f>SUMIFS(R$13:R$429,$A$13:$A$429,$C704,$C$13:$C$429,$D704)</f>
        <v>0</v>
      </c>
      <c r="S704">
        <f>SUMIFS(S$13:S$429,$A$13:$A$429,$C704,$C$13:$C$429,$D704)</f>
        <v>0</v>
      </c>
      <c r="T704">
        <f>SUMIFS(T$13:T$429,$A$13:$A$429,$C704,$C$13:$C$429,$D704)</f>
        <v>0</v>
      </c>
      <c r="U704">
        <f>SUM(L704:T704)</f>
        <v>323.4178728</v>
      </c>
      <c r="W704">
        <f>IF(SUM(H704:I704)&gt;0,SUM(H704:I704)/G704,0)</f>
        <v>13.999999999999998</v>
      </c>
      <c r="X704">
        <f>IF(G704&gt;0,U704/G704,0)</f>
        <v>312.4810365217391</v>
      </c>
    </row>
    <row r="705">
      <c r="C705" t="str">
        <v>Lantai Atap</v>
      </c>
      <c r="D705" t="str">
        <v>B24-4</v>
      </c>
      <c r="G705">
        <f>SUMIFS($V$13:$V$429,$A$13:$A$429,$C705,$C$13:$C$429,$D705)</f>
        <v>0.7050000000000001</v>
      </c>
      <c r="H705">
        <f>SUMIFS($W$13:$W$429,$A$13:$A$429,$C705,$C$13:$C$429,$D705)</f>
        <v>9.870000000000001</v>
      </c>
      <c r="I705">
        <f>SUMIFS($X$13:$X$429,$A$13:$A$429,$C705,$C$13:$C$429,$D705)</f>
        <v>0</v>
      </c>
      <c r="J705">
        <f>SUMIFS($Y$13:$Y$429,$A$13:$A$429,$C705,$C$13:$C$429,$D705)</f>
        <v>0</v>
      </c>
      <c r="K705">
        <f>SUMIFS($Z$13:$Z$429,$A$13:$A$429,$C705,$C$13:$C$429,$D705)</f>
        <v>0</v>
      </c>
      <c r="L705">
        <f>SUMIFS(L$13:L$429,$A$13:$A$429,$C705,$C$13:$C$429,$D705)</f>
        <v>0</v>
      </c>
      <c r="M705">
        <f>SUMIFS(M$13:M$429,$A$13:$A$429,$C705,$C$13:$C$429,$D705)</f>
        <v>51.612393600000004</v>
      </c>
      <c r="N705">
        <f>SUMIFS(N$13:N$429,$A$13:$A$429,$C705,$C$13:$C$429,$D705)</f>
        <v>0</v>
      </c>
      <c r="O705">
        <f>SUMIFS(O$13:O$429,$A$13:$A$429,$C705,$C$13:$C$429,$D705)</f>
        <v>0</v>
      </c>
      <c r="P705">
        <f>SUMIFS(P$13:P$429,$A$13:$A$429,$C705,$C$13:$C$429,$D705)</f>
        <v>152.72312832</v>
      </c>
      <c r="Q705">
        <f>SUMIFS(Q$13:Q$429,$A$13:$A$429,$C705,$C$13:$C$429,$D705)</f>
        <v>0</v>
      </c>
      <c r="R705">
        <f>SUMIFS(R$13:R$429,$A$13:$A$429,$C705,$C$13:$C$429,$D705)</f>
        <v>0</v>
      </c>
      <c r="S705">
        <f>SUMIFS(S$13:S$429,$A$13:$A$429,$C705,$C$13:$C$429,$D705)</f>
        <v>0</v>
      </c>
      <c r="T705">
        <f>SUMIFS(T$13:T$429,$A$13:$A$429,$C705,$C$13:$C$429,$D705)</f>
        <v>0</v>
      </c>
      <c r="U705">
        <f>SUM(L705:T705)</f>
        <v>204.33552192000002</v>
      </c>
      <c r="W705">
        <f>IF(SUM(H705:I705)&gt;0,SUM(H705:I705)/G705,0)</f>
        <v>14</v>
      </c>
      <c r="X705">
        <f>IF(G705&gt;0,U705/G705,0)</f>
        <v>289.83761974468086</v>
      </c>
    </row>
    <row r="706">
      <c r="C706" t="str">
        <v>Lantai Atap</v>
      </c>
      <c r="D706" t="str">
        <v>B24-5</v>
      </c>
      <c r="G706">
        <f>SUMIFS($V$13:$V$429,$A$13:$A$429,$C706,$C$13:$C$429,$D706)</f>
        <v>0.13625</v>
      </c>
      <c r="H706">
        <f>SUMIFS($W$13:$W$429,$A$13:$A$429,$C706,$C$13:$C$429,$D706)</f>
        <v>1.9075</v>
      </c>
      <c r="I706">
        <f>SUMIFS($X$13:$X$429,$A$13:$A$429,$C706,$C$13:$C$429,$D706)</f>
        <v>0</v>
      </c>
      <c r="J706">
        <f>SUMIFS($Y$13:$Y$429,$A$13:$A$429,$C706,$C$13:$C$429,$D706)</f>
        <v>0</v>
      </c>
      <c r="K706">
        <f>SUMIFS($Z$13:$Z$429,$A$13:$A$429,$C706,$C$13:$C$429,$D706)</f>
        <v>0</v>
      </c>
      <c r="L706">
        <f>SUMIFS(L$13:L$429,$A$13:$A$429,$C706,$C$13:$C$429,$D706)</f>
        <v>0</v>
      </c>
      <c r="M706">
        <f>SUMIFS(M$13:M$429,$A$13:$A$429,$C706,$C$13:$C$429,$D706)</f>
        <v>0</v>
      </c>
      <c r="N706">
        <f>SUMIFS(N$13:N$429,$A$13:$A$429,$C706,$C$13:$C$429,$D706)</f>
        <v>17.779860000000003</v>
      </c>
      <c r="O706">
        <f>SUMIFS(O$13:O$429,$A$13:$A$429,$C706,$C$13:$C$429,$D706)</f>
        <v>0</v>
      </c>
      <c r="P706">
        <f>SUMIFS(P$13:P$429,$A$13:$A$429,$C706,$C$13:$C$429,$D706)</f>
        <v>39.98234304</v>
      </c>
      <c r="Q706">
        <f>SUMIFS(Q$13:Q$429,$A$13:$A$429,$C706,$C$13:$C$429,$D706)</f>
        <v>0</v>
      </c>
      <c r="R706">
        <f>SUMIFS(R$13:R$429,$A$13:$A$429,$C706,$C$13:$C$429,$D706)</f>
        <v>0</v>
      </c>
      <c r="S706">
        <f>SUMIFS(S$13:S$429,$A$13:$A$429,$C706,$C$13:$C$429,$D706)</f>
        <v>0</v>
      </c>
      <c r="T706">
        <f>SUMIFS(T$13:T$429,$A$13:$A$429,$C706,$C$13:$C$429,$D706)</f>
        <v>0</v>
      </c>
      <c r="U706">
        <f>SUM(L706:T706)</f>
        <v>57.76220304</v>
      </c>
      <c r="W706">
        <f>IF(SUM(H706:I706)&gt;0,SUM(H706:I706)/G706,0)</f>
        <v>13.999999999999998</v>
      </c>
      <c r="X706">
        <f>IF(G706&gt;0,U706/G706,0)</f>
        <v>423.94277460550455</v>
      </c>
    </row>
    <row r="707">
      <c r="C707" t="str">
        <v>Lantai Atap</v>
      </c>
      <c r="D707" t="str">
        <v>B24-6</v>
      </c>
      <c r="G707">
        <f>SUMIFS($V$13:$V$429,$A$13:$A$429,$C707,$C$13:$C$429,$D707)</f>
        <v>0</v>
      </c>
      <c r="H707">
        <f>SUMIFS($W$13:$W$429,$A$13:$A$429,$C707,$C$13:$C$429,$D707)</f>
        <v>0</v>
      </c>
      <c r="I707">
        <f>SUMIFS($X$13:$X$429,$A$13:$A$429,$C707,$C$13:$C$429,$D707)</f>
        <v>0</v>
      </c>
      <c r="J707">
        <f>SUMIFS($Y$13:$Y$429,$A$13:$A$429,$C707,$C$13:$C$429,$D707)</f>
        <v>0</v>
      </c>
      <c r="K707">
        <f>SUMIFS($Z$13:$Z$429,$A$13:$A$429,$C707,$C$13:$C$429,$D707)</f>
        <v>0</v>
      </c>
      <c r="L707">
        <f>SUMIFS(L$13:L$429,$A$13:$A$429,$C707,$C$13:$C$429,$D707)</f>
        <v>0</v>
      </c>
      <c r="M707">
        <f>SUMIFS(M$13:M$429,$A$13:$A$429,$C707,$C$13:$C$429,$D707)</f>
        <v>0</v>
      </c>
      <c r="N707">
        <f>SUMIFS(N$13:N$429,$A$13:$A$429,$C707,$C$13:$C$429,$D707)</f>
        <v>0</v>
      </c>
      <c r="O707">
        <f>SUMIFS(O$13:O$429,$A$13:$A$429,$C707,$C$13:$C$429,$D707)</f>
        <v>0</v>
      </c>
      <c r="P707">
        <f>SUMIFS(P$13:P$429,$A$13:$A$429,$C707,$C$13:$C$429,$D707)</f>
        <v>0</v>
      </c>
      <c r="Q707">
        <f>SUMIFS(Q$13:Q$429,$A$13:$A$429,$C707,$C$13:$C$429,$D707)</f>
        <v>0</v>
      </c>
      <c r="R707">
        <f>SUMIFS(R$13:R$429,$A$13:$A$429,$C707,$C$13:$C$429,$D707)</f>
        <v>0</v>
      </c>
      <c r="S707">
        <f>SUMIFS(S$13:S$429,$A$13:$A$429,$C707,$C$13:$C$429,$D707)</f>
        <v>0</v>
      </c>
      <c r="T707">
        <f>SUMIFS(T$13:T$429,$A$13:$A$429,$C707,$C$13:$C$429,$D707)</f>
        <v>0</v>
      </c>
      <c r="U707">
        <f>SUM(L707:T707)</f>
        <v>0</v>
      </c>
      <c r="W707">
        <f>IF(SUM(H707:I707)&gt;0,SUM(H707:I707)/G707,0)</f>
        <v>0</v>
      </c>
      <c r="X707">
        <f>IF(G707&gt;0,U707/G707,0)</f>
        <v>0</v>
      </c>
    </row>
    <row r="708">
      <c r="C708" t="str">
        <v>Lantai Atap</v>
      </c>
      <c r="D708" t="str">
        <v>B24-7</v>
      </c>
      <c r="G708">
        <f>SUMIFS($V$13:$V$429,$A$13:$A$429,$C708,$C$13:$C$429,$D708)</f>
        <v>0.16175</v>
      </c>
      <c r="H708">
        <f>SUMIFS($W$13:$W$429,$A$13:$A$429,$C708,$C$13:$C$429,$D708)</f>
        <v>2.2645</v>
      </c>
      <c r="I708">
        <f>SUMIFS($X$13:$X$429,$A$13:$A$429,$C708,$C$13:$C$429,$D708)</f>
        <v>0</v>
      </c>
      <c r="J708">
        <f>SUMIFS($Y$13:$Y$429,$A$13:$A$429,$C708,$C$13:$C$429,$D708)</f>
        <v>0</v>
      </c>
      <c r="K708">
        <f>SUMIFS($Z$13:$Z$429,$A$13:$A$429,$C708,$C$13:$C$429,$D708)</f>
        <v>0</v>
      </c>
      <c r="L708">
        <f>SUMIFS(L$13:L$429,$A$13:$A$429,$C708,$C$13:$C$429,$D708)</f>
        <v>0</v>
      </c>
      <c r="M708">
        <f>SUMIFS(M$13:M$429,$A$13:$A$429,$C708,$C$13:$C$429,$D708)</f>
        <v>12.191904000000001</v>
      </c>
      <c r="N708">
        <f>SUMIFS(N$13:N$429,$A$13:$A$429,$C708,$C$13:$C$429,$D708)</f>
        <v>0</v>
      </c>
      <c r="O708">
        <f>SUMIFS(O$13:O$429,$A$13:$A$429,$C708,$C$13:$C$429,$D708)</f>
        <v>18.477830474999998</v>
      </c>
      <c r="P708">
        <f>SUMIFS(P$13:P$429,$A$13:$A$429,$C708,$C$13:$C$429,$D708)</f>
        <v>0</v>
      </c>
      <c r="Q708">
        <f>SUMIFS(Q$13:Q$429,$A$13:$A$429,$C708,$C$13:$C$429,$D708)</f>
        <v>0</v>
      </c>
      <c r="R708">
        <f>SUMIFS(R$13:R$429,$A$13:$A$429,$C708,$C$13:$C$429,$D708)</f>
        <v>0</v>
      </c>
      <c r="S708">
        <f>SUMIFS(S$13:S$429,$A$13:$A$429,$C708,$C$13:$C$429,$D708)</f>
        <v>0</v>
      </c>
      <c r="T708">
        <f>SUMIFS(T$13:T$429,$A$13:$A$429,$C708,$C$13:$C$429,$D708)</f>
        <v>0</v>
      </c>
      <c r="U708">
        <f>SUM(L708:T708)</f>
        <v>30.669734475</v>
      </c>
      <c r="W708">
        <f>IF(SUM(H708:I708)&gt;0,SUM(H708:I708)/G708,0)</f>
        <v>14</v>
      </c>
      <c r="X708">
        <f>IF(G708&gt;0,U708/G708,0)</f>
        <v>189.61195965996907</v>
      </c>
    </row>
    <row r="709">
      <c r="C709" t="str">
        <v>Lantai Atap</v>
      </c>
      <c r="D709" t="str">
        <v>CL24-1</v>
      </c>
      <c r="G709">
        <f>SUMIFS($V$13:$V$429,$A$13:$A$429,$C709,$C$13:$C$429,$D709)</f>
        <v>0.29000000000000004</v>
      </c>
      <c r="H709">
        <f>SUMIFS($W$13:$W$429,$A$13:$A$429,$C709,$C$13:$C$429,$D709)</f>
        <v>4.0600000000000005</v>
      </c>
      <c r="I709">
        <f>SUMIFS($X$13:$X$429,$A$13:$A$429,$C709,$C$13:$C$429,$D709)</f>
        <v>0</v>
      </c>
      <c r="J709">
        <f>SUMIFS($Y$13:$Y$429,$A$13:$A$429,$C709,$C$13:$C$429,$D709)</f>
        <v>0</v>
      </c>
      <c r="K709">
        <f>SUMIFS($Z$13:$Z$429,$A$13:$A$429,$C709,$C$13:$C$429,$D709)</f>
        <v>0</v>
      </c>
      <c r="L709">
        <f>SUMIFS(L$13:L$429,$A$13:$A$429,$C709,$C$13:$C$429,$D709)</f>
        <v>0</v>
      </c>
      <c r="M709">
        <f>SUMIFS(M$13:M$429,$A$13:$A$429,$C709,$C$13:$C$429,$D709)</f>
        <v>14.630284800000002</v>
      </c>
      <c r="N709">
        <f>SUMIFS(N$13:N$429,$A$13:$A$429,$C709,$C$13:$C$429,$D709)</f>
        <v>0</v>
      </c>
      <c r="O709">
        <f>SUMIFS(O$13:O$429,$A$13:$A$429,$C709,$C$13:$C$429,$D709)</f>
        <v>0</v>
      </c>
      <c r="P709">
        <f>SUMIFS(P$13:P$429,$A$13:$A$429,$C709,$C$13:$C$429,$D709)</f>
        <v>54.85962239999999</v>
      </c>
      <c r="Q709">
        <f>SUMIFS(Q$13:Q$429,$A$13:$A$429,$C709,$C$13:$C$429,$D709)</f>
        <v>0</v>
      </c>
      <c r="R709">
        <f>SUMIFS(R$13:R$429,$A$13:$A$429,$C709,$C$13:$C$429,$D709)</f>
        <v>0</v>
      </c>
      <c r="S709">
        <f>SUMIFS(S$13:S$429,$A$13:$A$429,$C709,$C$13:$C$429,$D709)</f>
        <v>0</v>
      </c>
      <c r="T709">
        <f>SUMIFS(T$13:T$429,$A$13:$A$429,$C709,$C$13:$C$429,$D709)</f>
        <v>0</v>
      </c>
      <c r="U709">
        <f>SUM(L709:T709)</f>
        <v>69.48990719999999</v>
      </c>
      <c r="W709">
        <f>IF(SUM(H709:I709)&gt;0,SUM(H709:I709)/G709,0)</f>
        <v>14</v>
      </c>
      <c r="X709">
        <f>IF(G709&gt;0,U709/G709,0)</f>
        <v>239.62036965517234</v>
      </c>
    </row>
    <row r="710">
      <c r="C710" t="str">
        <v>Lantai Atap</v>
      </c>
      <c r="D710" t="str">
        <v>B245-1</v>
      </c>
      <c r="G710">
        <f>SUMIFS($V$13:$V$429,$A$13:$A$429,$C710,$C$13:$C$429,$D710)</f>
        <v>3.3141</v>
      </c>
      <c r="H710">
        <f>SUMIFS($W$13:$W$429,$A$13:$A$429,$C710,$C$13:$C$429,$D710)</f>
        <v>41.428000000000004</v>
      </c>
      <c r="I710">
        <f>SUMIFS($X$13:$X$429,$A$13:$A$429,$C710,$C$13:$C$429,$D710)</f>
        <v>0</v>
      </c>
      <c r="J710">
        <f>SUMIFS($Y$13:$Y$429,$A$13:$A$429,$C710,$C$13:$C$429,$D710)</f>
        <v>0</v>
      </c>
      <c r="K710">
        <f>SUMIFS($Z$13:$Z$429,$A$13:$A$429,$C710,$C$13:$C$429,$D710)</f>
        <v>0</v>
      </c>
      <c r="L710">
        <f>SUMIFS(L$13:L$429,$A$13:$A$429,$C710,$C$13:$C$429,$D710)</f>
        <v>0</v>
      </c>
      <c r="M710">
        <f>SUMIFS(M$13:M$429,$A$13:$A$429,$C710,$C$13:$C$429,$D710)</f>
        <v>190.85814144000003</v>
      </c>
      <c r="N710">
        <f>SUMIFS(N$13:N$429,$A$13:$A$429,$C710,$C$13:$C$429,$D710)</f>
        <v>0</v>
      </c>
      <c r="O710">
        <f>SUMIFS(O$13:O$429,$A$13:$A$429,$C710,$C$13:$C$429,$D710)</f>
        <v>186.98501718000003</v>
      </c>
      <c r="P710">
        <f>SUMIFS(P$13:P$429,$A$13:$A$429,$C710,$C$13:$C$429,$D710)</f>
        <v>0</v>
      </c>
      <c r="Q710">
        <f>SUMIFS(Q$13:Q$429,$A$13:$A$429,$C710,$C$13:$C$429,$D710)</f>
        <v>0</v>
      </c>
      <c r="R710">
        <f>SUMIFS(R$13:R$429,$A$13:$A$429,$C710,$C$13:$C$429,$D710)</f>
        <v>0</v>
      </c>
      <c r="S710">
        <f>SUMIFS(S$13:S$429,$A$13:$A$429,$C710,$C$13:$C$429,$D710)</f>
        <v>0</v>
      </c>
      <c r="T710">
        <f>SUMIFS(T$13:T$429,$A$13:$A$429,$C710,$C$13:$C$429,$D710)</f>
        <v>0</v>
      </c>
      <c r="U710">
        <f>SUM(L710:T710)</f>
        <v>377.84315862000005</v>
      </c>
      <c r="W710">
        <f>IF(SUM(H710:I710)&gt;0,SUM(H710:I710)/G710,0)</f>
        <v>12.500528046830212</v>
      </c>
      <c r="X710">
        <f>IF(G710&gt;0,U710/G710,0)</f>
        <v>114.01078984339642</v>
      </c>
    </row>
    <row r="711">
      <c r="C711" t="str">
        <v>Lantai Atap</v>
      </c>
      <c r="D711" t="str">
        <v>CL245-1</v>
      </c>
      <c r="G711">
        <f>SUMIFS($V$13:$V$429,$A$13:$A$429,$C711,$C$13:$C$429,$D711)</f>
        <v>0</v>
      </c>
      <c r="H711">
        <f>SUMIFS($W$13:$W$429,$A$13:$A$429,$C711,$C$13:$C$429,$D711)</f>
        <v>0</v>
      </c>
      <c r="I711">
        <f>SUMIFS($X$13:$X$429,$A$13:$A$429,$C711,$C$13:$C$429,$D711)</f>
        <v>0</v>
      </c>
      <c r="J711">
        <f>SUMIFS($Y$13:$Y$429,$A$13:$A$429,$C711,$C$13:$C$429,$D711)</f>
        <v>0</v>
      </c>
      <c r="K711">
        <f>SUMIFS($Z$13:$Z$429,$A$13:$A$429,$C711,$C$13:$C$429,$D711)</f>
        <v>0</v>
      </c>
      <c r="L711">
        <f>SUMIFS(L$13:L$429,$A$13:$A$429,$C711,$C$13:$C$429,$D711)</f>
        <v>0</v>
      </c>
      <c r="M711">
        <f>SUMIFS(M$13:M$429,$A$13:$A$429,$C711,$C$13:$C$429,$D711)</f>
        <v>0</v>
      </c>
      <c r="N711">
        <f>SUMIFS(N$13:N$429,$A$13:$A$429,$C711,$C$13:$C$429,$D711)</f>
        <v>0</v>
      </c>
      <c r="O711">
        <f>SUMIFS(O$13:O$429,$A$13:$A$429,$C711,$C$13:$C$429,$D711)</f>
        <v>0</v>
      </c>
      <c r="P711">
        <f>SUMIFS(P$13:P$429,$A$13:$A$429,$C711,$C$13:$C$429,$D711)</f>
        <v>0</v>
      </c>
      <c r="Q711">
        <f>SUMIFS(Q$13:Q$429,$A$13:$A$429,$C711,$C$13:$C$429,$D711)</f>
        <v>0</v>
      </c>
      <c r="R711">
        <f>SUMIFS(R$13:R$429,$A$13:$A$429,$C711,$C$13:$C$429,$D711)</f>
        <v>0</v>
      </c>
      <c r="S711">
        <f>SUMIFS(S$13:S$429,$A$13:$A$429,$C711,$C$13:$C$429,$D711)</f>
        <v>0</v>
      </c>
      <c r="T711">
        <f>SUMIFS(T$13:T$429,$A$13:$A$429,$C711,$C$13:$C$429,$D711)</f>
        <v>0</v>
      </c>
      <c r="U711">
        <f>SUM(L711:T711)</f>
        <v>0</v>
      </c>
      <c r="W711">
        <f>IF(SUM(H711:I711)&gt;0,SUM(H711:I711)/G711,0)</f>
        <v>0</v>
      </c>
      <c r="X711">
        <f>IF(G711&gt;0,U711/G711,0)</f>
        <v>0</v>
      </c>
    </row>
    <row r="712">
      <c r="C712" t="str">
        <v>Lantai Atap</v>
      </c>
      <c r="D712" t="str">
        <v>B245-1A</v>
      </c>
      <c r="G712">
        <f>SUMIFS($V$13:$V$429,$A$13:$A$429,$C712,$C$13:$C$429,$D712)</f>
        <v>0</v>
      </c>
      <c r="H712">
        <f>SUMIFS($W$13:$W$429,$A$13:$A$429,$C712,$C$13:$C$429,$D712)</f>
        <v>0</v>
      </c>
      <c r="I712">
        <f>SUMIFS($X$13:$X$429,$A$13:$A$429,$C712,$C$13:$C$429,$D712)</f>
        <v>0</v>
      </c>
      <c r="J712">
        <f>SUMIFS($Y$13:$Y$429,$A$13:$A$429,$C712,$C$13:$C$429,$D712)</f>
        <v>0</v>
      </c>
      <c r="K712">
        <f>SUMIFS($Z$13:$Z$429,$A$13:$A$429,$C712,$C$13:$C$429,$D712)</f>
        <v>0</v>
      </c>
      <c r="L712">
        <f>SUMIFS(L$13:L$429,$A$13:$A$429,$C712,$C$13:$C$429,$D712)</f>
        <v>0</v>
      </c>
      <c r="M712">
        <f>SUMIFS(M$13:M$429,$A$13:$A$429,$C712,$C$13:$C$429,$D712)</f>
        <v>0</v>
      </c>
      <c r="N712">
        <f>SUMIFS(N$13:N$429,$A$13:$A$429,$C712,$C$13:$C$429,$D712)</f>
        <v>0</v>
      </c>
      <c r="O712">
        <f>SUMIFS(O$13:O$429,$A$13:$A$429,$C712,$C$13:$C$429,$D712)</f>
        <v>0</v>
      </c>
      <c r="P712">
        <f>SUMIFS(P$13:P$429,$A$13:$A$429,$C712,$C$13:$C$429,$D712)</f>
        <v>0</v>
      </c>
      <c r="Q712">
        <f>SUMIFS(Q$13:Q$429,$A$13:$A$429,$C712,$C$13:$C$429,$D712)</f>
        <v>0</v>
      </c>
      <c r="R712">
        <f>SUMIFS(R$13:R$429,$A$13:$A$429,$C712,$C$13:$C$429,$D712)</f>
        <v>0</v>
      </c>
      <c r="S712">
        <f>SUMIFS(S$13:S$429,$A$13:$A$429,$C712,$C$13:$C$429,$D712)</f>
        <v>0</v>
      </c>
      <c r="T712">
        <f>SUMIFS(T$13:T$429,$A$13:$A$429,$C712,$C$13:$C$429,$D712)</f>
        <v>0</v>
      </c>
      <c r="U712">
        <f>SUM(L712:T712)</f>
        <v>0</v>
      </c>
      <c r="W712">
        <f>IF(SUM(H712:I712)&gt;0,SUM(H712:I712)/G712,0)</f>
        <v>0</v>
      </c>
      <c r="X712">
        <f>IF(G712&gt;0,U712/G712,0)</f>
        <v>0</v>
      </c>
    </row>
    <row r="713">
      <c r="C713" t="str">
        <v>Lantai Atap</v>
      </c>
      <c r="D713" t="str">
        <v>B245-2</v>
      </c>
      <c r="G713">
        <f>SUMIFS($V$13:$V$429,$A$13:$A$429,$C713,$C$13:$C$429,$D713)</f>
        <v>1.4700000000000002</v>
      </c>
      <c r="H713">
        <f>SUMIFS($W$13:$W$429,$A$13:$A$429,$C713,$C$13:$C$429,$D713)</f>
        <v>19.599999999999998</v>
      </c>
      <c r="I713">
        <f>SUMIFS($X$13:$X$429,$A$13:$A$429,$C713,$C$13:$C$429,$D713)</f>
        <v>0</v>
      </c>
      <c r="J713">
        <f>SUMIFS($Y$13:$Y$429,$A$13:$A$429,$C713,$C$13:$C$429,$D713)</f>
        <v>0</v>
      </c>
      <c r="K713">
        <f>SUMIFS($Z$13:$Z$429,$A$13:$A$429,$C713,$C$13:$C$429,$D713)</f>
        <v>0</v>
      </c>
      <c r="L713">
        <f>SUMIFS(L$13:L$429,$A$13:$A$429,$C713,$C$13:$C$429,$D713)</f>
        <v>0</v>
      </c>
      <c r="M713">
        <f>SUMIFS(M$13:M$429,$A$13:$A$429,$C713,$C$13:$C$429,$D713)</f>
        <v>108.36984960000001</v>
      </c>
      <c r="N713">
        <f>SUMIFS(N$13:N$429,$A$13:$A$429,$C713,$C$13:$C$429,$D713)</f>
        <v>0</v>
      </c>
      <c r="O713">
        <f>SUMIFS(O$13:O$429,$A$13:$A$429,$C713,$C$13:$C$429,$D713)</f>
        <v>162.90913859999998</v>
      </c>
      <c r="P713">
        <f>SUMIFS(P$13:P$429,$A$13:$A$429,$C713,$C$13:$C$429,$D713)</f>
        <v>0</v>
      </c>
      <c r="Q713">
        <f>SUMIFS(Q$13:Q$429,$A$13:$A$429,$C713,$C$13:$C$429,$D713)</f>
        <v>0</v>
      </c>
      <c r="R713">
        <f>SUMIFS(R$13:R$429,$A$13:$A$429,$C713,$C$13:$C$429,$D713)</f>
        <v>0</v>
      </c>
      <c r="S713">
        <f>SUMIFS(S$13:S$429,$A$13:$A$429,$C713,$C$13:$C$429,$D713)</f>
        <v>0</v>
      </c>
      <c r="T713">
        <f>SUMIFS(T$13:T$429,$A$13:$A$429,$C713,$C$13:$C$429,$D713)</f>
        <v>0</v>
      </c>
      <c r="U713">
        <f>SUM(L713:T713)</f>
        <v>271.27898819999996</v>
      </c>
      <c r="W713">
        <f>IF(SUM(H713:I713)&gt;0,SUM(H713:I713)/G713,0)</f>
        <v>13.33333333333333</v>
      </c>
      <c r="X713">
        <f>IF(G713&gt;0,U713/G713,0)</f>
        <v>184.54352938775506</v>
      </c>
    </row>
    <row r="714">
      <c r="C714" t="str">
        <v>Lantai Atap</v>
      </c>
      <c r="D714" t="str">
        <v>B245-3</v>
      </c>
      <c r="G714">
        <f>SUMIFS($V$13:$V$429,$A$13:$A$429,$C714,$C$13:$C$429,$D714)</f>
        <v>2.2236</v>
      </c>
      <c r="H714">
        <f>SUMIFS($W$13:$W$429,$A$13:$A$429,$C714,$C$13:$C$429,$D714)</f>
        <v>28.384</v>
      </c>
      <c r="I714">
        <f>SUMIFS($X$13:$X$429,$A$13:$A$429,$C714,$C$13:$C$429,$D714)</f>
        <v>0</v>
      </c>
      <c r="J714">
        <f>SUMIFS($Y$13:$Y$429,$A$13:$A$429,$C714,$C$13:$C$429,$D714)</f>
        <v>0</v>
      </c>
      <c r="K714">
        <f>SUMIFS($Z$13:$Z$429,$A$13:$A$429,$C714,$C$13:$C$429,$D714)</f>
        <v>0</v>
      </c>
      <c r="L714">
        <f>SUMIFS(L$13:L$429,$A$13:$A$429,$C714,$C$13:$C$429,$D714)</f>
        <v>0</v>
      </c>
      <c r="M714">
        <f>SUMIFS(M$13:M$429,$A$13:$A$429,$C714,$C$13:$C$429,$D714)</f>
        <v>0</v>
      </c>
      <c r="N714">
        <f>SUMIFS(N$13:N$429,$A$13:$A$429,$C714,$C$13:$C$429,$D714)</f>
        <v>230.55867</v>
      </c>
      <c r="O714">
        <f>SUMIFS(O$13:O$429,$A$13:$A$429,$C714,$C$13:$C$429,$D714)</f>
        <v>0</v>
      </c>
      <c r="P714">
        <f>SUMIFS(P$13:P$429,$A$13:$A$429,$C714,$C$13:$C$429,$D714)</f>
        <v>208.60545023999998</v>
      </c>
      <c r="Q714">
        <f>SUMIFS(Q$13:Q$429,$A$13:$A$429,$C714,$C$13:$C$429,$D714)</f>
        <v>0</v>
      </c>
      <c r="R714">
        <f>SUMIFS(R$13:R$429,$A$13:$A$429,$C714,$C$13:$C$429,$D714)</f>
        <v>0</v>
      </c>
      <c r="S714">
        <f>SUMIFS(S$13:S$429,$A$13:$A$429,$C714,$C$13:$C$429,$D714)</f>
        <v>0</v>
      </c>
      <c r="T714">
        <f>SUMIFS(T$13:T$429,$A$13:$A$429,$C714,$C$13:$C$429,$D714)</f>
        <v>0</v>
      </c>
      <c r="U714">
        <f>SUM(L714:T714)</f>
        <v>439.16412024</v>
      </c>
      <c r="W714">
        <f>IF(SUM(H714:I714)&gt;0,SUM(H714:I714)/G714,0)</f>
        <v>12.764885770822092</v>
      </c>
      <c r="X714">
        <f>IF(G714&gt;0,U714/G714,0)</f>
        <v>197.50140323799246</v>
      </c>
    </row>
    <row r="715">
      <c r="C715" t="str">
        <v>Lantai Atap</v>
      </c>
      <c r="D715" t="str">
        <v>B245-4</v>
      </c>
      <c r="G715">
        <f>SUMIFS($V$13:$V$429,$A$13:$A$429,$C715,$C$13:$C$429,$D715)</f>
        <v>0.45</v>
      </c>
      <c r="H715">
        <f>SUMIFS($W$13:$W$429,$A$13:$A$429,$C715,$C$13:$C$429,$D715)</f>
        <v>6</v>
      </c>
      <c r="I715">
        <f>SUMIFS($X$13:$X$429,$A$13:$A$429,$C715,$C$13:$C$429,$D715)</f>
        <v>0</v>
      </c>
      <c r="J715">
        <f>SUMIFS($Y$13:$Y$429,$A$13:$A$429,$C715,$C$13:$C$429,$D715)</f>
        <v>0</v>
      </c>
      <c r="K715">
        <f>SUMIFS($Z$13:$Z$429,$A$13:$A$429,$C715,$C$13:$C$429,$D715)</f>
        <v>0</v>
      </c>
      <c r="L715">
        <f>SUMIFS(L$13:L$429,$A$13:$A$429,$C715,$C$13:$C$429,$D715)</f>
        <v>0</v>
      </c>
      <c r="M715">
        <f>SUMIFS(M$13:M$429,$A$13:$A$429,$C715,$C$13:$C$429,$D715)</f>
        <v>35.201854080000004</v>
      </c>
      <c r="N715">
        <f>SUMIFS(N$13:N$429,$A$13:$A$429,$C715,$C$13:$C$429,$D715)</f>
        <v>0</v>
      </c>
      <c r="O715">
        <f>SUMIFS(O$13:O$429,$A$13:$A$429,$C715,$C$13:$C$429,$D715)</f>
        <v>0</v>
      </c>
      <c r="P715">
        <f>SUMIFS(P$13:P$429,$A$13:$A$429,$C715,$C$13:$C$429,$D715)</f>
        <v>78.29332992</v>
      </c>
      <c r="Q715">
        <f>SUMIFS(Q$13:Q$429,$A$13:$A$429,$C715,$C$13:$C$429,$D715)</f>
        <v>0</v>
      </c>
      <c r="R715">
        <f>SUMIFS(R$13:R$429,$A$13:$A$429,$C715,$C$13:$C$429,$D715)</f>
        <v>0</v>
      </c>
      <c r="S715">
        <f>SUMIFS(S$13:S$429,$A$13:$A$429,$C715,$C$13:$C$429,$D715)</f>
        <v>0</v>
      </c>
      <c r="T715">
        <f>SUMIFS(T$13:T$429,$A$13:$A$429,$C715,$C$13:$C$429,$D715)</f>
        <v>0</v>
      </c>
      <c r="U715">
        <f>SUM(L715:T715)</f>
        <v>113.49518400000001</v>
      </c>
      <c r="W715">
        <f>IF(SUM(H715:I715)&gt;0,SUM(H715:I715)/G715,0)</f>
        <v>13.333333333333332</v>
      </c>
      <c r="X715">
        <f>IF(G715&gt;0,U715/G715,0)</f>
        <v>252.21152</v>
      </c>
    </row>
    <row r="716">
      <c r="C716" t="str">
        <v>Lantai Atap</v>
      </c>
      <c r="D716" t="str">
        <v>B245-5</v>
      </c>
      <c r="G716">
        <f>SUMIFS($V$13:$V$429,$A$13:$A$429,$C716,$C$13:$C$429,$D716)</f>
        <v>0.594</v>
      </c>
      <c r="H716">
        <f>SUMIFS($W$13:$W$429,$A$13:$A$429,$C716,$C$13:$C$429,$D716)</f>
        <v>7.92</v>
      </c>
      <c r="I716">
        <f>SUMIFS($X$13:$X$429,$A$13:$A$429,$C716,$C$13:$C$429,$D716)</f>
        <v>0</v>
      </c>
      <c r="J716">
        <f>SUMIFS($Y$13:$Y$429,$A$13:$A$429,$C716,$C$13:$C$429,$D716)</f>
        <v>0</v>
      </c>
      <c r="K716">
        <f>SUMIFS($Z$13:$Z$429,$A$13:$A$429,$C716,$C$13:$C$429,$D716)</f>
        <v>0</v>
      </c>
      <c r="L716">
        <f>SUMIFS(L$13:L$429,$A$13:$A$429,$C716,$C$13:$C$429,$D716)</f>
        <v>0</v>
      </c>
      <c r="M716">
        <f>SUMIFS(M$13:M$429,$A$13:$A$429,$C716,$C$13:$C$429,$D716)</f>
        <v>0</v>
      </c>
      <c r="N716">
        <f>SUMIFS(N$13:N$429,$A$13:$A$429,$C716,$C$13:$C$429,$D716)</f>
        <v>76.193235</v>
      </c>
      <c r="O716">
        <f>SUMIFS(O$13:O$429,$A$13:$A$429,$C716,$C$13:$C$429,$D716)</f>
        <v>0</v>
      </c>
      <c r="P716">
        <f>SUMIFS(P$13:P$429,$A$13:$A$429,$C716,$C$13:$C$429,$D716)</f>
        <v>117.85665024000002</v>
      </c>
      <c r="Q716">
        <f>SUMIFS(Q$13:Q$429,$A$13:$A$429,$C716,$C$13:$C$429,$D716)</f>
        <v>0</v>
      </c>
      <c r="R716">
        <f>SUMIFS(R$13:R$429,$A$13:$A$429,$C716,$C$13:$C$429,$D716)</f>
        <v>0</v>
      </c>
      <c r="S716">
        <f>SUMIFS(S$13:S$429,$A$13:$A$429,$C716,$C$13:$C$429,$D716)</f>
        <v>0</v>
      </c>
      <c r="T716">
        <f>SUMIFS(T$13:T$429,$A$13:$A$429,$C716,$C$13:$C$429,$D716)</f>
        <v>0</v>
      </c>
      <c r="U716">
        <f>SUM(L716:T716)</f>
        <v>194.04988524000004</v>
      </c>
      <c r="W716">
        <f>IF(SUM(H716:I716)&gt;0,SUM(H716:I716)/G716,0)</f>
        <v>13.333333333333334</v>
      </c>
      <c r="X716">
        <f>IF(G716&gt;0,U716/G716,0)</f>
        <v>326.68330848484857</v>
      </c>
    </row>
    <row r="717">
      <c r="C717" t="str">
        <v>Lantai Atap</v>
      </c>
      <c r="D717" t="str">
        <v>B245-6</v>
      </c>
      <c r="G717">
        <f>SUMIFS($V$13:$V$429,$A$13:$A$429,$C717,$C$13:$C$429,$D717)</f>
        <v>0</v>
      </c>
      <c r="H717">
        <f>SUMIFS($W$13:$W$429,$A$13:$A$429,$C717,$C$13:$C$429,$D717)</f>
        <v>0</v>
      </c>
      <c r="I717">
        <f>SUMIFS($X$13:$X$429,$A$13:$A$429,$C717,$C$13:$C$429,$D717)</f>
        <v>0</v>
      </c>
      <c r="J717">
        <f>SUMIFS($Y$13:$Y$429,$A$13:$A$429,$C717,$C$13:$C$429,$D717)</f>
        <v>0</v>
      </c>
      <c r="K717">
        <f>SUMIFS($Z$13:$Z$429,$A$13:$A$429,$C717,$C$13:$C$429,$D717)</f>
        <v>0</v>
      </c>
      <c r="L717">
        <f>SUMIFS(L$13:L$429,$A$13:$A$429,$C717,$C$13:$C$429,$D717)</f>
        <v>0</v>
      </c>
      <c r="M717">
        <f>SUMIFS(M$13:M$429,$A$13:$A$429,$C717,$C$13:$C$429,$D717)</f>
        <v>0</v>
      </c>
      <c r="N717">
        <f>SUMIFS(N$13:N$429,$A$13:$A$429,$C717,$C$13:$C$429,$D717)</f>
        <v>0</v>
      </c>
      <c r="O717">
        <f>SUMIFS(O$13:O$429,$A$13:$A$429,$C717,$C$13:$C$429,$D717)</f>
        <v>0</v>
      </c>
      <c r="P717">
        <f>SUMIFS(P$13:P$429,$A$13:$A$429,$C717,$C$13:$C$429,$D717)</f>
        <v>0</v>
      </c>
      <c r="Q717">
        <f>SUMIFS(Q$13:Q$429,$A$13:$A$429,$C717,$C$13:$C$429,$D717)</f>
        <v>0</v>
      </c>
      <c r="R717">
        <f>SUMIFS(R$13:R$429,$A$13:$A$429,$C717,$C$13:$C$429,$D717)</f>
        <v>0</v>
      </c>
      <c r="S717">
        <f>SUMIFS(S$13:S$429,$A$13:$A$429,$C717,$C$13:$C$429,$D717)</f>
        <v>0</v>
      </c>
      <c r="T717">
        <f>SUMIFS(T$13:T$429,$A$13:$A$429,$C717,$C$13:$C$429,$D717)</f>
        <v>0</v>
      </c>
      <c r="U717">
        <f>SUM(L717:T717)</f>
        <v>0</v>
      </c>
      <c r="W717">
        <f>IF(SUM(H717:I717)&gt;0,SUM(H717:I717)/G717,0)</f>
        <v>0</v>
      </c>
      <c r="X717">
        <f>IF(G717&gt;0,U717/G717,0)</f>
        <v>0</v>
      </c>
    </row>
    <row r="718">
      <c r="C718" t="str">
        <v>Lantai Atap</v>
      </c>
      <c r="D718" t="str">
        <v>B245-7</v>
      </c>
      <c r="G718">
        <f>SUMIFS($V$13:$V$429,$A$13:$A$429,$C718,$C$13:$C$429,$D718)</f>
        <v>0</v>
      </c>
      <c r="H718">
        <f>SUMIFS($W$13:$W$429,$A$13:$A$429,$C718,$C$13:$C$429,$D718)</f>
        <v>0</v>
      </c>
      <c r="I718">
        <f>SUMIFS($X$13:$X$429,$A$13:$A$429,$C718,$C$13:$C$429,$D718)</f>
        <v>0</v>
      </c>
      <c r="J718">
        <f>SUMIFS($Y$13:$Y$429,$A$13:$A$429,$C718,$C$13:$C$429,$D718)</f>
        <v>0</v>
      </c>
      <c r="K718">
        <f>SUMIFS($Z$13:$Z$429,$A$13:$A$429,$C718,$C$13:$C$429,$D718)</f>
        <v>0</v>
      </c>
      <c r="L718">
        <f>SUMIFS(L$13:L$429,$A$13:$A$429,$C718,$C$13:$C$429,$D718)</f>
        <v>0</v>
      </c>
      <c r="M718">
        <f>SUMIFS(M$13:M$429,$A$13:$A$429,$C718,$C$13:$C$429,$D718)</f>
        <v>0</v>
      </c>
      <c r="N718">
        <f>SUMIFS(N$13:N$429,$A$13:$A$429,$C718,$C$13:$C$429,$D718)</f>
        <v>0</v>
      </c>
      <c r="O718">
        <f>SUMIFS(O$13:O$429,$A$13:$A$429,$C718,$C$13:$C$429,$D718)</f>
        <v>0</v>
      </c>
      <c r="P718">
        <f>SUMIFS(P$13:P$429,$A$13:$A$429,$C718,$C$13:$C$429,$D718)</f>
        <v>0</v>
      </c>
      <c r="Q718">
        <f>SUMIFS(Q$13:Q$429,$A$13:$A$429,$C718,$C$13:$C$429,$D718)</f>
        <v>0</v>
      </c>
      <c r="R718">
        <f>SUMIFS(R$13:R$429,$A$13:$A$429,$C718,$C$13:$C$429,$D718)</f>
        <v>0</v>
      </c>
      <c r="S718">
        <f>SUMIFS(S$13:S$429,$A$13:$A$429,$C718,$C$13:$C$429,$D718)</f>
        <v>0</v>
      </c>
      <c r="T718">
        <f>SUMIFS(T$13:T$429,$A$13:$A$429,$C718,$C$13:$C$429,$D718)</f>
        <v>0</v>
      </c>
      <c r="U718">
        <f>SUM(L718:T718)</f>
        <v>0</v>
      </c>
      <c r="W718">
        <f>IF(SUM(H718:I718)&gt;0,SUM(H718:I718)/G718,0)</f>
        <v>0</v>
      </c>
      <c r="X718">
        <f>IF(G718&gt;0,U718/G718,0)</f>
        <v>0</v>
      </c>
    </row>
    <row r="719">
      <c r="C719" t="str">
        <v>Lantai Atap</v>
      </c>
      <c r="D719" t="str">
        <v>B25-1</v>
      </c>
      <c r="G719">
        <f>SUMIFS($V$13:$V$429,$A$13:$A$429,$C719,$C$13:$C$429,$D719)</f>
        <v>0.43575</v>
      </c>
      <c r="H719">
        <f>SUMIFS($W$13:$W$429,$A$13:$A$429,$C719,$C$13:$C$429,$D719)</f>
        <v>5.6025</v>
      </c>
      <c r="I719">
        <f>SUMIFS($X$13:$X$429,$A$13:$A$429,$C719,$C$13:$C$429,$D719)</f>
        <v>0</v>
      </c>
      <c r="J719">
        <f>SUMIFS($Y$13:$Y$429,$A$13:$A$429,$C719,$C$13:$C$429,$D719)</f>
        <v>0</v>
      </c>
      <c r="K719">
        <f>SUMIFS($Z$13:$Z$429,$A$13:$A$429,$C719,$C$13:$C$429,$D719)</f>
        <v>0</v>
      </c>
      <c r="L719">
        <f>SUMIFS(L$13:L$429,$A$13:$A$429,$C719,$C$13:$C$429,$D719)</f>
        <v>0</v>
      </c>
      <c r="M719">
        <f>SUMIFS(M$13:M$429,$A$13:$A$429,$C719,$C$13:$C$429,$D719)</f>
        <v>0</v>
      </c>
      <c r="N719">
        <f>SUMIFS(N$13:N$429,$A$13:$A$429,$C719,$C$13:$C$429,$D719)</f>
        <v>49.97349</v>
      </c>
      <c r="O719">
        <f>SUMIFS(O$13:O$429,$A$13:$A$429,$C719,$C$13:$C$429,$D719)</f>
        <v>0</v>
      </c>
      <c r="P719">
        <f>SUMIFS(P$13:P$429,$A$13:$A$429,$C719,$C$13:$C$429,$D719)</f>
        <v>44.146529279999996</v>
      </c>
      <c r="Q719">
        <f>SUMIFS(Q$13:Q$429,$A$13:$A$429,$C719,$C$13:$C$429,$D719)</f>
        <v>0</v>
      </c>
      <c r="R719">
        <f>SUMIFS(R$13:R$429,$A$13:$A$429,$C719,$C$13:$C$429,$D719)</f>
        <v>0</v>
      </c>
      <c r="S719">
        <f>SUMIFS(S$13:S$429,$A$13:$A$429,$C719,$C$13:$C$429,$D719)</f>
        <v>0</v>
      </c>
      <c r="T719">
        <f>SUMIFS(T$13:T$429,$A$13:$A$429,$C719,$C$13:$C$429,$D719)</f>
        <v>0</v>
      </c>
      <c r="U719">
        <f>SUM(L719:T719)</f>
        <v>94.12001928</v>
      </c>
      <c r="W719">
        <f>IF(SUM(H719:I719)&gt;0,SUM(H719:I719)/G719,0)</f>
        <v>12.857142857142856</v>
      </c>
      <c r="X719">
        <f>IF(G719&gt;0,U719/G719,0)</f>
        <v>215.9954544578313</v>
      </c>
    </row>
    <row r="720">
      <c r="C720" t="str">
        <v>Lantai Atap</v>
      </c>
      <c r="D720" t="str">
        <v>B25-2</v>
      </c>
      <c r="G720">
        <f>SUMIFS($V$13:$V$429,$A$13:$A$429,$C720,$C$13:$C$429,$D720)</f>
        <v>0</v>
      </c>
      <c r="H720">
        <f>SUMIFS($W$13:$W$429,$A$13:$A$429,$C720,$C$13:$C$429,$D720)</f>
        <v>0</v>
      </c>
      <c r="I720">
        <f>SUMIFS($X$13:$X$429,$A$13:$A$429,$C720,$C$13:$C$429,$D720)</f>
        <v>0</v>
      </c>
      <c r="J720">
        <f>SUMIFS($Y$13:$Y$429,$A$13:$A$429,$C720,$C$13:$C$429,$D720)</f>
        <v>0</v>
      </c>
      <c r="K720">
        <f>SUMIFS($Z$13:$Z$429,$A$13:$A$429,$C720,$C$13:$C$429,$D720)</f>
        <v>0</v>
      </c>
      <c r="L720">
        <f>SUMIFS(L$13:L$429,$A$13:$A$429,$C720,$C$13:$C$429,$D720)</f>
        <v>0</v>
      </c>
      <c r="M720">
        <f>SUMIFS(M$13:M$429,$A$13:$A$429,$C720,$C$13:$C$429,$D720)</f>
        <v>0</v>
      </c>
      <c r="N720">
        <f>SUMIFS(N$13:N$429,$A$13:$A$429,$C720,$C$13:$C$429,$D720)</f>
        <v>0</v>
      </c>
      <c r="O720">
        <f>SUMIFS(O$13:O$429,$A$13:$A$429,$C720,$C$13:$C$429,$D720)</f>
        <v>0</v>
      </c>
      <c r="P720">
        <f>SUMIFS(P$13:P$429,$A$13:$A$429,$C720,$C$13:$C$429,$D720)</f>
        <v>0</v>
      </c>
      <c r="Q720">
        <f>SUMIFS(Q$13:Q$429,$A$13:$A$429,$C720,$C$13:$C$429,$D720)</f>
        <v>0</v>
      </c>
      <c r="R720">
        <f>SUMIFS(R$13:R$429,$A$13:$A$429,$C720,$C$13:$C$429,$D720)</f>
        <v>0</v>
      </c>
      <c r="S720">
        <f>SUMIFS(S$13:S$429,$A$13:$A$429,$C720,$C$13:$C$429,$D720)</f>
        <v>0</v>
      </c>
      <c r="T720">
        <f>SUMIFS(T$13:T$429,$A$13:$A$429,$C720,$C$13:$C$429,$D720)</f>
        <v>0</v>
      </c>
      <c r="U720">
        <f>SUM(L720:T720)</f>
        <v>0</v>
      </c>
      <c r="W720">
        <f>IF(SUM(H720:I720)&gt;0,SUM(H720:I720)/G720,0)</f>
        <v>0</v>
      </c>
      <c r="X720">
        <f>IF(G720&gt;0,U720/G720,0)</f>
        <v>0</v>
      </c>
    </row>
    <row r="721">
      <c r="C721" t="str">
        <v>Lantai Atap</v>
      </c>
      <c r="D721" t="str">
        <v>B25-3</v>
      </c>
      <c r="G721">
        <f>SUMIFS($V$13:$V$429,$A$13:$A$429,$C721,$C$13:$C$429,$D721)</f>
        <v>0</v>
      </c>
      <c r="H721">
        <f>SUMIFS($W$13:$W$429,$A$13:$A$429,$C721,$C$13:$C$429,$D721)</f>
        <v>0</v>
      </c>
      <c r="I721">
        <f>SUMIFS($X$13:$X$429,$A$13:$A$429,$C721,$C$13:$C$429,$D721)</f>
        <v>0</v>
      </c>
      <c r="J721">
        <f>SUMIFS($Y$13:$Y$429,$A$13:$A$429,$C721,$C$13:$C$429,$D721)</f>
        <v>0</v>
      </c>
      <c r="K721">
        <f>SUMIFS($Z$13:$Z$429,$A$13:$A$429,$C721,$C$13:$C$429,$D721)</f>
        <v>0</v>
      </c>
      <c r="L721">
        <f>SUMIFS(L$13:L$429,$A$13:$A$429,$C721,$C$13:$C$429,$D721)</f>
        <v>0</v>
      </c>
      <c r="M721">
        <f>SUMIFS(M$13:M$429,$A$13:$A$429,$C721,$C$13:$C$429,$D721)</f>
        <v>0</v>
      </c>
      <c r="N721">
        <f>SUMIFS(N$13:N$429,$A$13:$A$429,$C721,$C$13:$C$429,$D721)</f>
        <v>0</v>
      </c>
      <c r="O721">
        <f>SUMIFS(O$13:O$429,$A$13:$A$429,$C721,$C$13:$C$429,$D721)</f>
        <v>0</v>
      </c>
      <c r="P721">
        <f>SUMIFS(P$13:P$429,$A$13:$A$429,$C721,$C$13:$C$429,$D721)</f>
        <v>0</v>
      </c>
      <c r="Q721">
        <f>SUMIFS(Q$13:Q$429,$A$13:$A$429,$C721,$C$13:$C$429,$D721)</f>
        <v>0</v>
      </c>
      <c r="R721">
        <f>SUMIFS(R$13:R$429,$A$13:$A$429,$C721,$C$13:$C$429,$D721)</f>
        <v>0</v>
      </c>
      <c r="S721">
        <f>SUMIFS(S$13:S$429,$A$13:$A$429,$C721,$C$13:$C$429,$D721)</f>
        <v>0</v>
      </c>
      <c r="T721">
        <f>SUMIFS(T$13:T$429,$A$13:$A$429,$C721,$C$13:$C$429,$D721)</f>
        <v>0</v>
      </c>
      <c r="U721">
        <f>SUM(L721:T721)</f>
        <v>0</v>
      </c>
      <c r="W721">
        <f>IF(SUM(H721:I721)&gt;0,SUM(H721:I721)/G721,0)</f>
        <v>0</v>
      </c>
      <c r="X721">
        <f>IF(G721&gt;0,U721/G721,0)</f>
        <v>0</v>
      </c>
    </row>
    <row r="722">
      <c r="C722" t="str">
        <v>Lantai Atap</v>
      </c>
      <c r="D722" t="str">
        <v>B25-4</v>
      </c>
      <c r="G722">
        <f>SUMIFS($V$13:$V$429,$A$13:$A$429,$C722,$C$13:$C$429,$D722)</f>
        <v>0.45955</v>
      </c>
      <c r="H722">
        <f>SUMIFS($W$13:$W$429,$A$13:$A$429,$C722,$C$13:$C$429,$D722)</f>
        <v>5.9085</v>
      </c>
      <c r="I722">
        <f>SUMIFS($X$13:$X$429,$A$13:$A$429,$C722,$C$13:$C$429,$D722)</f>
        <v>0</v>
      </c>
      <c r="J722">
        <f>SUMIFS($Y$13:$Y$429,$A$13:$A$429,$C722,$C$13:$C$429,$D722)</f>
        <v>0</v>
      </c>
      <c r="K722">
        <f>SUMIFS($Z$13:$Z$429,$A$13:$A$429,$C722,$C$13:$C$429,$D722)</f>
        <v>0</v>
      </c>
      <c r="L722">
        <f>SUMIFS(L$13:L$429,$A$13:$A$429,$C722,$C$13:$C$429,$D722)</f>
        <v>0</v>
      </c>
      <c r="M722">
        <f>SUMIFS(M$13:M$429,$A$13:$A$429,$C722,$C$13:$C$429,$D722)</f>
        <v>0</v>
      </c>
      <c r="N722">
        <f>SUMIFS(N$13:N$429,$A$13:$A$429,$C722,$C$13:$C$429,$D722)</f>
        <v>49.33849500000001</v>
      </c>
      <c r="O722">
        <f>SUMIFS(O$13:O$429,$A$13:$A$429,$C722,$C$13:$C$429,$D722)</f>
        <v>0</v>
      </c>
      <c r="P722">
        <f>SUMIFS(P$13:P$429,$A$13:$A$429,$C722,$C$13:$C$429,$D722)</f>
        <v>105.24888</v>
      </c>
      <c r="Q722">
        <f>SUMIFS(Q$13:Q$429,$A$13:$A$429,$C722,$C$13:$C$429,$D722)</f>
        <v>0</v>
      </c>
      <c r="R722">
        <f>SUMIFS(R$13:R$429,$A$13:$A$429,$C722,$C$13:$C$429,$D722)</f>
        <v>0</v>
      </c>
      <c r="S722">
        <f>SUMIFS(S$13:S$429,$A$13:$A$429,$C722,$C$13:$C$429,$D722)</f>
        <v>0</v>
      </c>
      <c r="T722">
        <f>SUMIFS(T$13:T$429,$A$13:$A$429,$C722,$C$13:$C$429,$D722)</f>
        <v>0</v>
      </c>
      <c r="U722">
        <f>SUM(L722:T722)</f>
        <v>154.587375</v>
      </c>
      <c r="W722">
        <f>IF(SUM(H722:I722)&gt;0,SUM(H722:I722)/G722,0)</f>
        <v>12.857142857142858</v>
      </c>
      <c r="X722">
        <f>IF(G722&gt;0,U722/G722,0)</f>
        <v>336.3885866608639</v>
      </c>
    </row>
    <row r="723">
      <c r="C723" t="str">
        <v>Lantai Atap</v>
      </c>
      <c r="D723" t="str">
        <v>B25-5</v>
      </c>
      <c r="G723">
        <f>SUMIFS($V$13:$V$429,$A$13:$A$429,$C723,$C$13:$C$429,$D723)</f>
        <v>0</v>
      </c>
      <c r="H723">
        <f>SUMIFS($W$13:$W$429,$A$13:$A$429,$C723,$C$13:$C$429,$D723)</f>
        <v>0</v>
      </c>
      <c r="I723">
        <f>SUMIFS($X$13:$X$429,$A$13:$A$429,$C723,$C$13:$C$429,$D723)</f>
        <v>0</v>
      </c>
      <c r="J723">
        <f>SUMIFS($Y$13:$Y$429,$A$13:$A$429,$C723,$C$13:$C$429,$D723)</f>
        <v>0</v>
      </c>
      <c r="K723">
        <f>SUMIFS($Z$13:$Z$429,$A$13:$A$429,$C723,$C$13:$C$429,$D723)</f>
        <v>0</v>
      </c>
      <c r="L723">
        <f>SUMIFS(L$13:L$429,$A$13:$A$429,$C723,$C$13:$C$429,$D723)</f>
        <v>0</v>
      </c>
      <c r="M723">
        <f>SUMIFS(M$13:M$429,$A$13:$A$429,$C723,$C$13:$C$429,$D723)</f>
        <v>0</v>
      </c>
      <c r="N723">
        <f>SUMIFS(N$13:N$429,$A$13:$A$429,$C723,$C$13:$C$429,$D723)</f>
        <v>0</v>
      </c>
      <c r="O723">
        <f>SUMIFS(O$13:O$429,$A$13:$A$429,$C723,$C$13:$C$429,$D723)</f>
        <v>0</v>
      </c>
      <c r="P723">
        <f>SUMIFS(P$13:P$429,$A$13:$A$429,$C723,$C$13:$C$429,$D723)</f>
        <v>0</v>
      </c>
      <c r="Q723">
        <f>SUMIFS(Q$13:Q$429,$A$13:$A$429,$C723,$C$13:$C$429,$D723)</f>
        <v>0</v>
      </c>
      <c r="R723">
        <f>SUMIFS(R$13:R$429,$A$13:$A$429,$C723,$C$13:$C$429,$D723)</f>
        <v>0</v>
      </c>
      <c r="S723">
        <f>SUMIFS(S$13:S$429,$A$13:$A$429,$C723,$C$13:$C$429,$D723)</f>
        <v>0</v>
      </c>
      <c r="T723">
        <f>SUMIFS(T$13:T$429,$A$13:$A$429,$C723,$C$13:$C$429,$D723)</f>
        <v>0</v>
      </c>
      <c r="U723">
        <f>SUM(L723:T723)</f>
        <v>0</v>
      </c>
      <c r="W723">
        <f>IF(SUM(H723:I723)&gt;0,SUM(H723:I723)/G723,0)</f>
        <v>0</v>
      </c>
      <c r="X723">
        <f>IF(G723&gt;0,U723/G723,0)</f>
        <v>0</v>
      </c>
    </row>
    <row r="724">
      <c r="C724" t="str">
        <v>Lantai Atap</v>
      </c>
      <c r="D724" t="str">
        <v>B25-6</v>
      </c>
      <c r="G724">
        <f>SUMIFS($V$13:$V$429,$A$13:$A$429,$C724,$C$13:$C$429,$D724)</f>
        <v>1.11</v>
      </c>
      <c r="H724">
        <f>SUMIFS($W$13:$W$429,$A$13:$A$429,$C724,$C$13:$C$429,$D724)</f>
        <v>13.32</v>
      </c>
      <c r="I724">
        <f>SUMIFS($X$13:$X$429,$A$13:$A$429,$C724,$C$13:$C$429,$D724)</f>
        <v>0</v>
      </c>
      <c r="J724">
        <f>SUMIFS($Y$13:$Y$429,$A$13:$A$429,$C724,$C$13:$C$429,$D724)</f>
        <v>0</v>
      </c>
      <c r="K724">
        <f>SUMIFS($Z$13:$Z$429,$A$13:$A$429,$C724,$C$13:$C$429,$D724)</f>
        <v>0</v>
      </c>
      <c r="L724">
        <f>SUMIFS(L$13:L$429,$A$13:$A$429,$C724,$C$13:$C$429,$D724)</f>
        <v>0</v>
      </c>
      <c r="M724">
        <f>SUMIFS(M$13:M$429,$A$13:$A$429,$C724,$C$13:$C$429,$D724)</f>
        <v>0</v>
      </c>
      <c r="N724">
        <f>SUMIFS(N$13:N$429,$A$13:$A$429,$C724,$C$13:$C$429,$D724)</f>
        <v>79.19559</v>
      </c>
      <c r="O724">
        <f>SUMIFS(O$13:O$429,$A$13:$A$429,$C724,$C$13:$C$429,$D724)</f>
        <v>0</v>
      </c>
      <c r="P724">
        <f>SUMIFS(P$13:P$429,$A$13:$A$429,$C724,$C$13:$C$429,$D724)</f>
        <v>126.63482112000001</v>
      </c>
      <c r="Q724">
        <f>SUMIFS(Q$13:Q$429,$A$13:$A$429,$C724,$C$13:$C$429,$D724)</f>
        <v>0</v>
      </c>
      <c r="R724">
        <f>SUMIFS(R$13:R$429,$A$13:$A$429,$C724,$C$13:$C$429,$D724)</f>
        <v>0</v>
      </c>
      <c r="S724">
        <f>SUMIFS(S$13:S$429,$A$13:$A$429,$C724,$C$13:$C$429,$D724)</f>
        <v>0</v>
      </c>
      <c r="T724">
        <f>SUMIFS(T$13:T$429,$A$13:$A$429,$C724,$C$13:$C$429,$D724)</f>
        <v>0</v>
      </c>
      <c r="U724">
        <f>SUM(L724:T724)</f>
        <v>205.83041112</v>
      </c>
      <c r="W724">
        <f>IF(SUM(H724:I724)&gt;0,SUM(H724:I724)/G724,0)</f>
        <v>12</v>
      </c>
      <c r="X724">
        <f>IF(G724&gt;0,U724/G724,0)</f>
        <v>185.4328028108108</v>
      </c>
    </row>
    <row r="725">
      <c r="C725" t="str">
        <v>Lantai Atap</v>
      </c>
      <c r="D725" t="str">
        <v>CL25-1</v>
      </c>
      <c r="G725">
        <f>SUMIFS($V$13:$V$429,$A$13:$A$429,$C725,$C$13:$C$429,$D725)</f>
        <v>0</v>
      </c>
      <c r="H725">
        <f>SUMIFS($W$13:$W$429,$A$13:$A$429,$C725,$C$13:$C$429,$D725)</f>
        <v>0</v>
      </c>
      <c r="I725">
        <f>SUMIFS($X$13:$X$429,$A$13:$A$429,$C725,$C$13:$C$429,$D725)</f>
        <v>0</v>
      </c>
      <c r="J725">
        <f>SUMIFS($Y$13:$Y$429,$A$13:$A$429,$C725,$C$13:$C$429,$D725)</f>
        <v>0</v>
      </c>
      <c r="K725">
        <f>SUMIFS($Z$13:$Z$429,$A$13:$A$429,$C725,$C$13:$C$429,$D725)</f>
        <v>0</v>
      </c>
      <c r="L725">
        <f>SUMIFS(L$13:L$429,$A$13:$A$429,$C725,$C$13:$C$429,$D725)</f>
        <v>0</v>
      </c>
      <c r="M725">
        <f>SUMIFS(M$13:M$429,$A$13:$A$429,$C725,$C$13:$C$429,$D725)</f>
        <v>0</v>
      </c>
      <c r="N725">
        <f>SUMIFS(N$13:N$429,$A$13:$A$429,$C725,$C$13:$C$429,$D725)</f>
        <v>0</v>
      </c>
      <c r="O725">
        <f>SUMIFS(O$13:O$429,$A$13:$A$429,$C725,$C$13:$C$429,$D725)</f>
        <v>0</v>
      </c>
      <c r="P725">
        <f>SUMIFS(P$13:P$429,$A$13:$A$429,$C725,$C$13:$C$429,$D725)</f>
        <v>0</v>
      </c>
      <c r="Q725">
        <f>SUMIFS(Q$13:Q$429,$A$13:$A$429,$C725,$C$13:$C$429,$D725)</f>
        <v>0</v>
      </c>
      <c r="R725">
        <f>SUMIFS(R$13:R$429,$A$13:$A$429,$C725,$C$13:$C$429,$D725)</f>
        <v>0</v>
      </c>
      <c r="S725">
        <f>SUMIFS(S$13:S$429,$A$13:$A$429,$C725,$C$13:$C$429,$D725)</f>
        <v>0</v>
      </c>
      <c r="T725">
        <f>SUMIFS(T$13:T$429,$A$13:$A$429,$C725,$C$13:$C$429,$D725)</f>
        <v>0</v>
      </c>
      <c r="U725">
        <f>SUM(L725:T725)</f>
        <v>0</v>
      </c>
      <c r="W725">
        <f>IF(SUM(H725:I725)&gt;0,SUM(H725:I725)/G725,0)</f>
        <v>0</v>
      </c>
      <c r="X725">
        <f>IF(G725&gt;0,U725/G725,0)</f>
        <v>0</v>
      </c>
    </row>
    <row r="726">
      <c r="C726" t="str">
        <v>Lantai Atap</v>
      </c>
      <c r="D726" t="str">
        <v>B26-1</v>
      </c>
      <c r="G726">
        <f>SUMIFS($V$13:$V$429,$A$13:$A$429,$C726,$C$13:$C$429,$D726)</f>
        <v>0</v>
      </c>
      <c r="H726">
        <f>SUMIFS($W$13:$W$429,$A$13:$A$429,$C726,$C$13:$C$429,$D726)</f>
        <v>0</v>
      </c>
      <c r="I726">
        <f>SUMIFS($X$13:$X$429,$A$13:$A$429,$C726,$C$13:$C$429,$D726)</f>
        <v>0</v>
      </c>
      <c r="J726">
        <f>SUMIFS($Y$13:$Y$429,$A$13:$A$429,$C726,$C$13:$C$429,$D726)</f>
        <v>0</v>
      </c>
      <c r="K726">
        <f>SUMIFS($Z$13:$Z$429,$A$13:$A$429,$C726,$C$13:$C$429,$D726)</f>
        <v>0</v>
      </c>
      <c r="L726">
        <f>SUMIFS(L$13:L$429,$A$13:$A$429,$C726,$C$13:$C$429,$D726)</f>
        <v>0</v>
      </c>
      <c r="M726">
        <f>SUMIFS(M$13:M$429,$A$13:$A$429,$C726,$C$13:$C$429,$D726)</f>
        <v>0</v>
      </c>
      <c r="N726">
        <f>SUMIFS(N$13:N$429,$A$13:$A$429,$C726,$C$13:$C$429,$D726)</f>
        <v>0</v>
      </c>
      <c r="O726">
        <f>SUMIFS(O$13:O$429,$A$13:$A$429,$C726,$C$13:$C$429,$D726)</f>
        <v>0</v>
      </c>
      <c r="P726">
        <f>SUMIFS(P$13:P$429,$A$13:$A$429,$C726,$C$13:$C$429,$D726)</f>
        <v>0</v>
      </c>
      <c r="Q726">
        <f>SUMIFS(Q$13:Q$429,$A$13:$A$429,$C726,$C$13:$C$429,$D726)</f>
        <v>0</v>
      </c>
      <c r="R726">
        <f>SUMIFS(R$13:R$429,$A$13:$A$429,$C726,$C$13:$C$429,$D726)</f>
        <v>0</v>
      </c>
      <c r="S726">
        <f>SUMIFS(S$13:S$429,$A$13:$A$429,$C726,$C$13:$C$429,$D726)</f>
        <v>0</v>
      </c>
      <c r="T726">
        <f>SUMIFS(T$13:T$429,$A$13:$A$429,$C726,$C$13:$C$429,$D726)</f>
        <v>0</v>
      </c>
      <c r="U726">
        <f>SUM(L726:T726)</f>
        <v>0</v>
      </c>
      <c r="W726">
        <f>IF(SUM(H726:I726)&gt;0,SUM(H726:I726)/G726,0)</f>
        <v>0</v>
      </c>
      <c r="X726">
        <f>IF(G726&gt;0,U726/G726,0)</f>
        <v>0</v>
      </c>
    </row>
    <row r="727">
      <c r="C727" t="str">
        <v>Lantai Atap</v>
      </c>
      <c r="D727" t="str">
        <v>B26-2</v>
      </c>
      <c r="G727">
        <f>SUMIFS($V$13:$V$429,$A$13:$A$429,$C727,$C$13:$C$429,$D727)</f>
        <v>0</v>
      </c>
      <c r="H727">
        <f>SUMIFS($W$13:$W$429,$A$13:$A$429,$C727,$C$13:$C$429,$D727)</f>
        <v>0</v>
      </c>
      <c r="I727">
        <f>SUMIFS($X$13:$X$429,$A$13:$A$429,$C727,$C$13:$C$429,$D727)</f>
        <v>0</v>
      </c>
      <c r="J727">
        <f>SUMIFS($Y$13:$Y$429,$A$13:$A$429,$C727,$C$13:$C$429,$D727)</f>
        <v>0</v>
      </c>
      <c r="K727">
        <f>SUMIFS($Z$13:$Z$429,$A$13:$A$429,$C727,$C$13:$C$429,$D727)</f>
        <v>0</v>
      </c>
      <c r="L727">
        <f>SUMIFS(L$13:L$429,$A$13:$A$429,$C727,$C$13:$C$429,$D727)</f>
        <v>0</v>
      </c>
      <c r="M727">
        <f>SUMIFS(M$13:M$429,$A$13:$A$429,$C727,$C$13:$C$429,$D727)</f>
        <v>0</v>
      </c>
      <c r="N727">
        <f>SUMIFS(N$13:N$429,$A$13:$A$429,$C727,$C$13:$C$429,$D727)</f>
        <v>0</v>
      </c>
      <c r="O727">
        <f>SUMIFS(O$13:O$429,$A$13:$A$429,$C727,$C$13:$C$429,$D727)</f>
        <v>0</v>
      </c>
      <c r="P727">
        <f>SUMIFS(P$13:P$429,$A$13:$A$429,$C727,$C$13:$C$429,$D727)</f>
        <v>0</v>
      </c>
      <c r="Q727">
        <f>SUMIFS(Q$13:Q$429,$A$13:$A$429,$C727,$C$13:$C$429,$D727)</f>
        <v>0</v>
      </c>
      <c r="R727">
        <f>SUMIFS(R$13:R$429,$A$13:$A$429,$C727,$C$13:$C$429,$D727)</f>
        <v>0</v>
      </c>
      <c r="S727">
        <f>SUMIFS(S$13:S$429,$A$13:$A$429,$C727,$C$13:$C$429,$D727)</f>
        <v>0</v>
      </c>
      <c r="T727">
        <f>SUMIFS(T$13:T$429,$A$13:$A$429,$C727,$C$13:$C$429,$D727)</f>
        <v>0</v>
      </c>
      <c r="U727">
        <f>SUM(L727:T727)</f>
        <v>0</v>
      </c>
      <c r="W727">
        <f>IF(SUM(H727:I727)&gt;0,SUM(H727:I727)/G727,0)</f>
        <v>0</v>
      </c>
      <c r="X727">
        <f>IF(G727&gt;0,U727/G727,0)</f>
        <v>0</v>
      </c>
    </row>
    <row r="728">
      <c r="C728" t="str">
        <v>Lantai Atap</v>
      </c>
      <c r="D728" t="str">
        <v>B26-3</v>
      </c>
      <c r="G728">
        <f>SUMIFS($V$13:$V$429,$A$13:$A$429,$C728,$C$13:$C$429,$D728)</f>
        <v>0</v>
      </c>
      <c r="H728">
        <f>SUMIFS($W$13:$W$429,$A$13:$A$429,$C728,$C$13:$C$429,$D728)</f>
        <v>0</v>
      </c>
      <c r="I728">
        <f>SUMIFS($X$13:$X$429,$A$13:$A$429,$C728,$C$13:$C$429,$D728)</f>
        <v>0</v>
      </c>
      <c r="J728">
        <f>SUMIFS($Y$13:$Y$429,$A$13:$A$429,$C728,$C$13:$C$429,$D728)</f>
        <v>0</v>
      </c>
      <c r="K728">
        <f>SUMIFS($Z$13:$Z$429,$A$13:$A$429,$C728,$C$13:$C$429,$D728)</f>
        <v>0</v>
      </c>
      <c r="L728">
        <f>SUMIFS(L$13:L$429,$A$13:$A$429,$C728,$C$13:$C$429,$D728)</f>
        <v>0</v>
      </c>
      <c r="M728">
        <f>SUMIFS(M$13:M$429,$A$13:$A$429,$C728,$C$13:$C$429,$D728)</f>
        <v>0</v>
      </c>
      <c r="N728">
        <f>SUMIFS(N$13:N$429,$A$13:$A$429,$C728,$C$13:$C$429,$D728)</f>
        <v>0</v>
      </c>
      <c r="O728">
        <f>SUMIFS(O$13:O$429,$A$13:$A$429,$C728,$C$13:$C$429,$D728)</f>
        <v>0</v>
      </c>
      <c r="P728">
        <f>SUMIFS(P$13:P$429,$A$13:$A$429,$C728,$C$13:$C$429,$D728)</f>
        <v>0</v>
      </c>
      <c r="Q728">
        <f>SUMIFS(Q$13:Q$429,$A$13:$A$429,$C728,$C$13:$C$429,$D728)</f>
        <v>0</v>
      </c>
      <c r="R728">
        <f>SUMIFS(R$13:R$429,$A$13:$A$429,$C728,$C$13:$C$429,$D728)</f>
        <v>0</v>
      </c>
      <c r="S728">
        <f>SUMIFS(S$13:S$429,$A$13:$A$429,$C728,$C$13:$C$429,$D728)</f>
        <v>0</v>
      </c>
      <c r="T728">
        <f>SUMIFS(T$13:T$429,$A$13:$A$429,$C728,$C$13:$C$429,$D728)</f>
        <v>0</v>
      </c>
      <c r="U728">
        <f>SUM(L728:T728)</f>
        <v>0</v>
      </c>
      <c r="W728">
        <f>IF(SUM(H728:I728)&gt;0,SUM(H728:I728)/G728,0)</f>
        <v>0</v>
      </c>
      <c r="X728">
        <f>IF(G728&gt;0,U728/G728,0)</f>
        <v>0</v>
      </c>
    </row>
    <row r="729">
      <c r="C729" t="str">
        <v>Lantai Atap</v>
      </c>
      <c r="D729" t="str">
        <v>B26-4</v>
      </c>
      <c r="G729">
        <f>SUMIFS($V$13:$V$429,$A$13:$A$429,$C729,$C$13:$C$429,$D729)</f>
        <v>0</v>
      </c>
      <c r="H729">
        <f>SUMIFS($W$13:$W$429,$A$13:$A$429,$C729,$C$13:$C$429,$D729)</f>
        <v>0</v>
      </c>
      <c r="I729">
        <f>SUMIFS($X$13:$X$429,$A$13:$A$429,$C729,$C$13:$C$429,$D729)</f>
        <v>0</v>
      </c>
      <c r="J729">
        <f>SUMIFS($Y$13:$Y$429,$A$13:$A$429,$C729,$C$13:$C$429,$D729)</f>
        <v>0</v>
      </c>
      <c r="K729">
        <f>SUMIFS($Z$13:$Z$429,$A$13:$A$429,$C729,$C$13:$C$429,$D729)</f>
        <v>0</v>
      </c>
      <c r="L729">
        <f>SUMIFS(L$13:L$429,$A$13:$A$429,$C729,$C$13:$C$429,$D729)</f>
        <v>0</v>
      </c>
      <c r="M729">
        <f>SUMIFS(M$13:M$429,$A$13:$A$429,$C729,$C$13:$C$429,$D729)</f>
        <v>0</v>
      </c>
      <c r="N729">
        <f>SUMIFS(N$13:N$429,$A$13:$A$429,$C729,$C$13:$C$429,$D729)</f>
        <v>0</v>
      </c>
      <c r="O729">
        <f>SUMIFS(O$13:O$429,$A$13:$A$429,$C729,$C$13:$C$429,$D729)</f>
        <v>0</v>
      </c>
      <c r="P729">
        <f>SUMIFS(P$13:P$429,$A$13:$A$429,$C729,$C$13:$C$429,$D729)</f>
        <v>0</v>
      </c>
      <c r="Q729">
        <f>SUMIFS(Q$13:Q$429,$A$13:$A$429,$C729,$C$13:$C$429,$D729)</f>
        <v>0</v>
      </c>
      <c r="R729">
        <f>SUMIFS(R$13:R$429,$A$13:$A$429,$C729,$C$13:$C$429,$D729)</f>
        <v>0</v>
      </c>
      <c r="S729">
        <f>SUMIFS(S$13:S$429,$A$13:$A$429,$C729,$C$13:$C$429,$D729)</f>
        <v>0</v>
      </c>
      <c r="T729">
        <f>SUMIFS(T$13:T$429,$A$13:$A$429,$C729,$C$13:$C$429,$D729)</f>
        <v>0</v>
      </c>
      <c r="U729">
        <f>SUM(L729:T729)</f>
        <v>0</v>
      </c>
      <c r="W729">
        <f>IF(SUM(H729:I729)&gt;0,SUM(H729:I729)/G729,0)</f>
        <v>0</v>
      </c>
      <c r="X729">
        <f>IF(G729&gt;0,U729/G729,0)</f>
        <v>0</v>
      </c>
    </row>
    <row r="730">
      <c r="C730" t="str">
        <v>Lantai Atap</v>
      </c>
      <c r="D730" t="str">
        <v>B26-5</v>
      </c>
      <c r="G730">
        <f>SUMIFS($V$13:$V$429,$A$13:$A$429,$C730,$C$13:$C$429,$D730)</f>
        <v>0</v>
      </c>
      <c r="H730">
        <f>SUMIFS($W$13:$W$429,$A$13:$A$429,$C730,$C$13:$C$429,$D730)</f>
        <v>0</v>
      </c>
      <c r="I730">
        <f>SUMIFS($X$13:$X$429,$A$13:$A$429,$C730,$C$13:$C$429,$D730)</f>
        <v>0</v>
      </c>
      <c r="J730">
        <f>SUMIFS($Y$13:$Y$429,$A$13:$A$429,$C730,$C$13:$C$429,$D730)</f>
        <v>0</v>
      </c>
      <c r="K730">
        <f>SUMIFS($Z$13:$Z$429,$A$13:$A$429,$C730,$C$13:$C$429,$D730)</f>
        <v>0</v>
      </c>
      <c r="L730">
        <f>SUMIFS(L$13:L$429,$A$13:$A$429,$C730,$C$13:$C$429,$D730)</f>
        <v>0</v>
      </c>
      <c r="M730">
        <f>SUMIFS(M$13:M$429,$A$13:$A$429,$C730,$C$13:$C$429,$D730)</f>
        <v>0</v>
      </c>
      <c r="N730">
        <f>SUMIFS(N$13:N$429,$A$13:$A$429,$C730,$C$13:$C$429,$D730)</f>
        <v>0</v>
      </c>
      <c r="O730">
        <f>SUMIFS(O$13:O$429,$A$13:$A$429,$C730,$C$13:$C$429,$D730)</f>
        <v>0</v>
      </c>
      <c r="P730">
        <f>SUMIFS(P$13:P$429,$A$13:$A$429,$C730,$C$13:$C$429,$D730)</f>
        <v>0</v>
      </c>
      <c r="Q730">
        <f>SUMIFS(Q$13:Q$429,$A$13:$A$429,$C730,$C$13:$C$429,$D730)</f>
        <v>0</v>
      </c>
      <c r="R730">
        <f>SUMIFS(R$13:R$429,$A$13:$A$429,$C730,$C$13:$C$429,$D730)</f>
        <v>0</v>
      </c>
      <c r="S730">
        <f>SUMIFS(S$13:S$429,$A$13:$A$429,$C730,$C$13:$C$429,$D730)</f>
        <v>0</v>
      </c>
      <c r="T730">
        <f>SUMIFS(T$13:T$429,$A$13:$A$429,$C730,$C$13:$C$429,$D730)</f>
        <v>0</v>
      </c>
      <c r="U730">
        <f>SUM(L730:T730)</f>
        <v>0</v>
      </c>
      <c r="W730">
        <f>IF(SUM(H730:I730)&gt;0,SUM(H730:I730)/G730,0)</f>
        <v>0</v>
      </c>
      <c r="X730">
        <f>IF(G730&gt;0,U730/G730,0)</f>
        <v>0</v>
      </c>
    </row>
    <row r="731">
      <c r="C731" t="str">
        <v>Lantai Atap</v>
      </c>
      <c r="D731" t="str">
        <v>CL26-1</v>
      </c>
      <c r="G731">
        <f>SUMIFS($V$13:$V$429,$A$13:$A$429,$C731,$C$13:$C$429,$D731)</f>
        <v>0</v>
      </c>
      <c r="H731">
        <f>SUMIFS($W$13:$W$429,$A$13:$A$429,$C731,$C$13:$C$429,$D731)</f>
        <v>0</v>
      </c>
      <c r="I731">
        <f>SUMIFS($X$13:$X$429,$A$13:$A$429,$C731,$C$13:$C$429,$D731)</f>
        <v>0</v>
      </c>
      <c r="J731">
        <f>SUMIFS($Y$13:$Y$429,$A$13:$A$429,$C731,$C$13:$C$429,$D731)</f>
        <v>0</v>
      </c>
      <c r="K731">
        <f>SUMIFS($Z$13:$Z$429,$A$13:$A$429,$C731,$C$13:$C$429,$D731)</f>
        <v>0</v>
      </c>
      <c r="L731">
        <f>SUMIFS(L$13:L$429,$A$13:$A$429,$C731,$C$13:$C$429,$D731)</f>
        <v>0</v>
      </c>
      <c r="M731">
        <f>SUMIFS(M$13:M$429,$A$13:$A$429,$C731,$C$13:$C$429,$D731)</f>
        <v>0</v>
      </c>
      <c r="N731">
        <f>SUMIFS(N$13:N$429,$A$13:$A$429,$C731,$C$13:$C$429,$D731)</f>
        <v>0</v>
      </c>
      <c r="O731">
        <f>SUMIFS(O$13:O$429,$A$13:$A$429,$C731,$C$13:$C$429,$D731)</f>
        <v>0</v>
      </c>
      <c r="P731">
        <f>SUMIFS(P$13:P$429,$A$13:$A$429,$C731,$C$13:$C$429,$D731)</f>
        <v>0</v>
      </c>
      <c r="Q731">
        <f>SUMIFS(Q$13:Q$429,$A$13:$A$429,$C731,$C$13:$C$429,$D731)</f>
        <v>0</v>
      </c>
      <c r="R731">
        <f>SUMIFS(R$13:R$429,$A$13:$A$429,$C731,$C$13:$C$429,$D731)</f>
        <v>0</v>
      </c>
      <c r="S731">
        <f>SUMIFS(S$13:S$429,$A$13:$A$429,$C731,$C$13:$C$429,$D731)</f>
        <v>0</v>
      </c>
      <c r="T731">
        <f>SUMIFS(T$13:T$429,$A$13:$A$429,$C731,$C$13:$C$429,$D731)</f>
        <v>0</v>
      </c>
      <c r="U731">
        <f>SUM(L731:T731)</f>
        <v>0</v>
      </c>
      <c r="W731">
        <f>IF(SUM(H731:I731)&gt;0,SUM(H731:I731)/G731,0)</f>
        <v>0</v>
      </c>
      <c r="X731">
        <f>IF(G731&gt;0,U731/G731,0)</f>
        <v>0</v>
      </c>
    </row>
    <row r="732">
      <c r="C732" t="str">
        <v>Lantai Atap</v>
      </c>
      <c r="D732" t="str">
        <v>B2550-1</v>
      </c>
      <c r="G732">
        <f>SUMIFS($V$13:$V$429,$A$13:$A$429,$C732,$C$13:$C$429,$D732)</f>
        <v>0</v>
      </c>
      <c r="H732">
        <f>SUMIFS($W$13:$W$429,$A$13:$A$429,$C732,$C$13:$C$429,$D732)</f>
        <v>0</v>
      </c>
      <c r="I732">
        <f>SUMIFS($X$13:$X$429,$A$13:$A$429,$C732,$C$13:$C$429,$D732)</f>
        <v>0</v>
      </c>
      <c r="J732">
        <f>SUMIFS($Y$13:$Y$429,$A$13:$A$429,$C732,$C$13:$C$429,$D732)</f>
        <v>0</v>
      </c>
      <c r="K732">
        <f>SUMIFS($Z$13:$Z$429,$A$13:$A$429,$C732,$C$13:$C$429,$D732)</f>
        <v>0</v>
      </c>
      <c r="L732">
        <f>SUMIFS(L$13:L$429,$A$13:$A$429,$C732,$C$13:$C$429,$D732)</f>
        <v>0</v>
      </c>
      <c r="M732">
        <f>SUMIFS(M$13:M$429,$A$13:$A$429,$C732,$C$13:$C$429,$D732)</f>
        <v>0</v>
      </c>
      <c r="N732">
        <f>SUMIFS(N$13:N$429,$A$13:$A$429,$C732,$C$13:$C$429,$D732)</f>
        <v>0</v>
      </c>
      <c r="O732">
        <f>SUMIFS(O$13:O$429,$A$13:$A$429,$C732,$C$13:$C$429,$D732)</f>
        <v>0</v>
      </c>
      <c r="P732">
        <f>SUMIFS(P$13:P$429,$A$13:$A$429,$C732,$C$13:$C$429,$D732)</f>
        <v>0</v>
      </c>
      <c r="Q732">
        <f>SUMIFS(Q$13:Q$429,$A$13:$A$429,$C732,$C$13:$C$429,$D732)</f>
        <v>0</v>
      </c>
      <c r="R732">
        <f>SUMIFS(R$13:R$429,$A$13:$A$429,$C732,$C$13:$C$429,$D732)</f>
        <v>0</v>
      </c>
      <c r="S732">
        <f>SUMIFS(S$13:S$429,$A$13:$A$429,$C732,$C$13:$C$429,$D732)</f>
        <v>0</v>
      </c>
      <c r="T732">
        <f>SUMIFS(T$13:T$429,$A$13:$A$429,$C732,$C$13:$C$429,$D732)</f>
        <v>0</v>
      </c>
      <c r="U732">
        <f>SUM(L732:T732)</f>
        <v>0</v>
      </c>
      <c r="W732">
        <f>IF(SUM(H732:I732)&gt;0,SUM(H732:I732)/G732,0)</f>
        <v>0</v>
      </c>
      <c r="X732">
        <f>IF(G732&gt;0,U732/G732,0)</f>
        <v>0</v>
      </c>
    </row>
    <row r="733">
      <c r="C733" t="str">
        <v>Lantai Atap</v>
      </c>
      <c r="D733" t="str">
        <v>B257-1</v>
      </c>
      <c r="G733">
        <f>SUMIFS($V$13:$V$429,$A$13:$A$429,$C733,$C$13:$C$429,$D733)</f>
        <v>0</v>
      </c>
      <c r="H733">
        <f>SUMIFS($W$13:$W$429,$A$13:$A$429,$C733,$C$13:$C$429,$D733)</f>
        <v>0</v>
      </c>
      <c r="I733">
        <f>SUMIFS($X$13:$X$429,$A$13:$A$429,$C733,$C$13:$C$429,$D733)</f>
        <v>0</v>
      </c>
      <c r="J733">
        <f>SUMIFS($Y$13:$Y$429,$A$13:$A$429,$C733,$C$13:$C$429,$D733)</f>
        <v>0</v>
      </c>
      <c r="K733">
        <f>SUMIFS($Z$13:$Z$429,$A$13:$A$429,$C733,$C$13:$C$429,$D733)</f>
        <v>0</v>
      </c>
      <c r="L733">
        <f>SUMIFS(L$13:L$429,$A$13:$A$429,$C733,$C$13:$C$429,$D733)</f>
        <v>0</v>
      </c>
      <c r="M733">
        <f>SUMIFS(M$13:M$429,$A$13:$A$429,$C733,$C$13:$C$429,$D733)</f>
        <v>0</v>
      </c>
      <c r="N733">
        <f>SUMIFS(N$13:N$429,$A$13:$A$429,$C733,$C$13:$C$429,$D733)</f>
        <v>0</v>
      </c>
      <c r="O733">
        <f>SUMIFS(O$13:O$429,$A$13:$A$429,$C733,$C$13:$C$429,$D733)</f>
        <v>0</v>
      </c>
      <c r="P733">
        <f>SUMIFS(P$13:P$429,$A$13:$A$429,$C733,$C$13:$C$429,$D733)</f>
        <v>0</v>
      </c>
      <c r="Q733">
        <f>SUMIFS(Q$13:Q$429,$A$13:$A$429,$C733,$C$13:$C$429,$D733)</f>
        <v>0</v>
      </c>
      <c r="R733">
        <f>SUMIFS(R$13:R$429,$A$13:$A$429,$C733,$C$13:$C$429,$D733)</f>
        <v>0</v>
      </c>
      <c r="S733">
        <f>SUMIFS(S$13:S$429,$A$13:$A$429,$C733,$C$13:$C$429,$D733)</f>
        <v>0</v>
      </c>
      <c r="T733">
        <f>SUMIFS(T$13:T$429,$A$13:$A$429,$C733,$C$13:$C$429,$D733)</f>
        <v>0</v>
      </c>
      <c r="U733">
        <f>SUM(L733:T733)</f>
        <v>0</v>
      </c>
      <c r="W733">
        <f>IF(SUM(H733:I733)&gt;0,SUM(H733:I733)/G733,0)</f>
        <v>0</v>
      </c>
      <c r="X733">
        <f>IF(G733&gt;0,U733/G733,0)</f>
        <v>0</v>
      </c>
    </row>
    <row r="734">
      <c r="C734" t="str">
        <v>Lantai Atap</v>
      </c>
      <c r="D734" t="str">
        <v>B257-2</v>
      </c>
      <c r="G734">
        <f>SUMIFS($V$13:$V$429,$A$13:$A$429,$C734,$C$13:$C$429,$D734)</f>
        <v>0</v>
      </c>
      <c r="H734">
        <f>SUMIFS($W$13:$W$429,$A$13:$A$429,$C734,$C$13:$C$429,$D734)</f>
        <v>0</v>
      </c>
      <c r="I734">
        <f>SUMIFS($X$13:$X$429,$A$13:$A$429,$C734,$C$13:$C$429,$D734)</f>
        <v>0</v>
      </c>
      <c r="J734">
        <f>SUMIFS($Y$13:$Y$429,$A$13:$A$429,$C734,$C$13:$C$429,$D734)</f>
        <v>0</v>
      </c>
      <c r="K734">
        <f>SUMIFS($Z$13:$Z$429,$A$13:$A$429,$C734,$C$13:$C$429,$D734)</f>
        <v>0</v>
      </c>
      <c r="L734">
        <f>SUMIFS(L$13:L$429,$A$13:$A$429,$C734,$C$13:$C$429,$D734)</f>
        <v>0</v>
      </c>
      <c r="M734">
        <f>SUMIFS(M$13:M$429,$A$13:$A$429,$C734,$C$13:$C$429,$D734)</f>
        <v>0</v>
      </c>
      <c r="N734">
        <f>SUMIFS(N$13:N$429,$A$13:$A$429,$C734,$C$13:$C$429,$D734)</f>
        <v>0</v>
      </c>
      <c r="O734">
        <f>SUMIFS(O$13:O$429,$A$13:$A$429,$C734,$C$13:$C$429,$D734)</f>
        <v>0</v>
      </c>
      <c r="P734">
        <f>SUMIFS(P$13:P$429,$A$13:$A$429,$C734,$C$13:$C$429,$D734)</f>
        <v>0</v>
      </c>
      <c r="Q734">
        <f>SUMIFS(Q$13:Q$429,$A$13:$A$429,$C734,$C$13:$C$429,$D734)</f>
        <v>0</v>
      </c>
      <c r="R734">
        <f>SUMIFS(R$13:R$429,$A$13:$A$429,$C734,$C$13:$C$429,$D734)</f>
        <v>0</v>
      </c>
      <c r="S734">
        <f>SUMIFS(S$13:S$429,$A$13:$A$429,$C734,$C$13:$C$429,$D734)</f>
        <v>0</v>
      </c>
      <c r="T734">
        <f>SUMIFS(T$13:T$429,$A$13:$A$429,$C734,$C$13:$C$429,$D734)</f>
        <v>0</v>
      </c>
      <c r="U734">
        <f>SUM(L734:T734)</f>
        <v>0</v>
      </c>
      <c r="W734">
        <f>IF(SUM(H734:I734)&gt;0,SUM(H734:I734)/G734,0)</f>
        <v>0</v>
      </c>
      <c r="X734">
        <f>IF(G734&gt;0,U734/G734,0)</f>
        <v>0</v>
      </c>
    </row>
    <row r="735">
      <c r="C735" t="str">
        <v>Lantai Atap</v>
      </c>
      <c r="D735" t="str">
        <v>B345-1</v>
      </c>
      <c r="G735">
        <f>SUMIFS($V$13:$V$429,$A$13:$A$429,$C735,$C$13:$C$429,$D735)</f>
        <v>0</v>
      </c>
      <c r="H735">
        <f>SUMIFS($W$13:$W$429,$A$13:$A$429,$C735,$C$13:$C$429,$D735)</f>
        <v>0</v>
      </c>
      <c r="I735">
        <f>SUMIFS($X$13:$X$429,$A$13:$A$429,$C735,$C$13:$C$429,$D735)</f>
        <v>0</v>
      </c>
      <c r="J735">
        <f>SUMIFS($Y$13:$Y$429,$A$13:$A$429,$C735,$C$13:$C$429,$D735)</f>
        <v>0</v>
      </c>
      <c r="K735">
        <f>SUMIFS($Z$13:$Z$429,$A$13:$A$429,$C735,$C$13:$C$429,$D735)</f>
        <v>0</v>
      </c>
      <c r="L735">
        <f>SUMIFS(L$13:L$429,$A$13:$A$429,$C735,$C$13:$C$429,$D735)</f>
        <v>0</v>
      </c>
      <c r="M735">
        <f>SUMIFS(M$13:M$429,$A$13:$A$429,$C735,$C$13:$C$429,$D735)</f>
        <v>0</v>
      </c>
      <c r="N735">
        <f>SUMIFS(N$13:N$429,$A$13:$A$429,$C735,$C$13:$C$429,$D735)</f>
        <v>0</v>
      </c>
      <c r="O735">
        <f>SUMIFS(O$13:O$429,$A$13:$A$429,$C735,$C$13:$C$429,$D735)</f>
        <v>0</v>
      </c>
      <c r="P735">
        <f>SUMIFS(P$13:P$429,$A$13:$A$429,$C735,$C$13:$C$429,$D735)</f>
        <v>0</v>
      </c>
      <c r="Q735">
        <f>SUMIFS(Q$13:Q$429,$A$13:$A$429,$C735,$C$13:$C$429,$D735)</f>
        <v>0</v>
      </c>
      <c r="R735">
        <f>SUMIFS(R$13:R$429,$A$13:$A$429,$C735,$C$13:$C$429,$D735)</f>
        <v>0</v>
      </c>
      <c r="S735">
        <f>SUMIFS(S$13:S$429,$A$13:$A$429,$C735,$C$13:$C$429,$D735)</f>
        <v>0</v>
      </c>
      <c r="T735">
        <f>SUMIFS(T$13:T$429,$A$13:$A$429,$C735,$C$13:$C$429,$D735)</f>
        <v>0</v>
      </c>
      <c r="U735">
        <f>SUM(L735:T735)</f>
        <v>0</v>
      </c>
      <c r="W735">
        <f>IF(SUM(H735:I735)&gt;0,SUM(H735:I735)/G735,0)</f>
        <v>0</v>
      </c>
      <c r="X735">
        <f>IF(G735&gt;0,U735/G735,0)</f>
        <v>0</v>
      </c>
    </row>
    <row r="736">
      <c r="C736" t="str">
        <v>Lantai Atap</v>
      </c>
      <c r="D736" t="str">
        <v>B35-1</v>
      </c>
      <c r="G736">
        <f>SUMIFS($V$13:$V$429,$A$13:$A$429,$C736,$C$13:$C$429,$D736)</f>
        <v>0</v>
      </c>
      <c r="H736">
        <f>SUMIFS($W$13:$W$429,$A$13:$A$429,$C736,$C$13:$C$429,$D736)</f>
        <v>0</v>
      </c>
      <c r="I736">
        <f>SUMIFS($X$13:$X$429,$A$13:$A$429,$C736,$C$13:$C$429,$D736)</f>
        <v>0</v>
      </c>
      <c r="J736">
        <f>SUMIFS($Y$13:$Y$429,$A$13:$A$429,$C736,$C$13:$C$429,$D736)</f>
        <v>0</v>
      </c>
      <c r="K736">
        <f>SUMIFS($Z$13:$Z$429,$A$13:$A$429,$C736,$C$13:$C$429,$D736)</f>
        <v>0</v>
      </c>
      <c r="L736">
        <f>SUMIFS(L$13:L$429,$A$13:$A$429,$C736,$C$13:$C$429,$D736)</f>
        <v>0</v>
      </c>
      <c r="M736">
        <f>SUMIFS(M$13:M$429,$A$13:$A$429,$C736,$C$13:$C$429,$D736)</f>
        <v>0</v>
      </c>
      <c r="N736">
        <f>SUMIFS(N$13:N$429,$A$13:$A$429,$C736,$C$13:$C$429,$D736)</f>
        <v>0</v>
      </c>
      <c r="O736">
        <f>SUMIFS(O$13:O$429,$A$13:$A$429,$C736,$C$13:$C$429,$D736)</f>
        <v>0</v>
      </c>
      <c r="P736">
        <f>SUMIFS(P$13:P$429,$A$13:$A$429,$C736,$C$13:$C$429,$D736)</f>
        <v>0</v>
      </c>
      <c r="Q736">
        <f>SUMIFS(Q$13:Q$429,$A$13:$A$429,$C736,$C$13:$C$429,$D736)</f>
        <v>0</v>
      </c>
      <c r="R736">
        <f>SUMIFS(R$13:R$429,$A$13:$A$429,$C736,$C$13:$C$429,$D736)</f>
        <v>0</v>
      </c>
      <c r="S736">
        <f>SUMIFS(S$13:S$429,$A$13:$A$429,$C736,$C$13:$C$429,$D736)</f>
        <v>0</v>
      </c>
      <c r="T736">
        <f>SUMIFS(T$13:T$429,$A$13:$A$429,$C736,$C$13:$C$429,$D736)</f>
        <v>0</v>
      </c>
      <c r="U736">
        <f>SUM(L736:T736)</f>
        <v>0</v>
      </c>
      <c r="W736">
        <f>IF(SUM(H736:I736)&gt;0,SUM(H736:I736)/G736,0)</f>
        <v>0</v>
      </c>
      <c r="X736">
        <f>IF(G736&gt;0,U736/G736,0)</f>
        <v>0</v>
      </c>
    </row>
    <row r="737">
      <c r="C737" t="str">
        <v>Lantai Atap</v>
      </c>
      <c r="D737" t="str">
        <v>B35-2</v>
      </c>
      <c r="G737">
        <f>SUMIFS($V$13:$V$429,$A$13:$A$429,$C737,$C$13:$C$429,$D737)</f>
        <v>0</v>
      </c>
      <c r="H737">
        <f>SUMIFS($W$13:$W$429,$A$13:$A$429,$C737,$C$13:$C$429,$D737)</f>
        <v>0</v>
      </c>
      <c r="I737">
        <f>SUMIFS($X$13:$X$429,$A$13:$A$429,$C737,$C$13:$C$429,$D737)</f>
        <v>0</v>
      </c>
      <c r="J737">
        <f>SUMIFS($Y$13:$Y$429,$A$13:$A$429,$C737,$C$13:$C$429,$D737)</f>
        <v>0</v>
      </c>
      <c r="K737">
        <f>SUMIFS($Z$13:$Z$429,$A$13:$A$429,$C737,$C$13:$C$429,$D737)</f>
        <v>0</v>
      </c>
      <c r="L737">
        <f>SUMIFS(L$13:L$429,$A$13:$A$429,$C737,$C$13:$C$429,$D737)</f>
        <v>0</v>
      </c>
      <c r="M737">
        <f>SUMIFS(M$13:M$429,$A$13:$A$429,$C737,$C$13:$C$429,$D737)</f>
        <v>0</v>
      </c>
      <c r="N737">
        <f>SUMIFS(N$13:N$429,$A$13:$A$429,$C737,$C$13:$C$429,$D737)</f>
        <v>0</v>
      </c>
      <c r="O737">
        <f>SUMIFS(O$13:O$429,$A$13:$A$429,$C737,$C$13:$C$429,$D737)</f>
        <v>0</v>
      </c>
      <c r="P737">
        <f>SUMIFS(P$13:P$429,$A$13:$A$429,$C737,$C$13:$C$429,$D737)</f>
        <v>0</v>
      </c>
      <c r="Q737">
        <f>SUMIFS(Q$13:Q$429,$A$13:$A$429,$C737,$C$13:$C$429,$D737)</f>
        <v>0</v>
      </c>
      <c r="R737">
        <f>SUMIFS(R$13:R$429,$A$13:$A$429,$C737,$C$13:$C$429,$D737)</f>
        <v>0</v>
      </c>
      <c r="S737">
        <f>SUMIFS(S$13:S$429,$A$13:$A$429,$C737,$C$13:$C$429,$D737)</f>
        <v>0</v>
      </c>
      <c r="T737">
        <f>SUMIFS(T$13:T$429,$A$13:$A$429,$C737,$C$13:$C$429,$D737)</f>
        <v>0</v>
      </c>
      <c r="U737">
        <f>SUM(L737:T737)</f>
        <v>0</v>
      </c>
      <c r="W737">
        <f>IF(SUM(H737:I737)&gt;0,SUM(H737:I737)/G737,0)</f>
        <v>0</v>
      </c>
      <c r="X737">
        <f>IF(G737&gt;0,U737/G737,0)</f>
        <v>0</v>
      </c>
    </row>
    <row r="738">
      <c r="C738" t="str">
        <v>Lantai Atap</v>
      </c>
      <c r="D738" t="str">
        <v>B36-1</v>
      </c>
      <c r="G738">
        <f>SUMIFS($V$13:$V$429,$A$13:$A$429,$C738,$C$13:$C$429,$D738)</f>
        <v>0</v>
      </c>
      <c r="H738">
        <f>SUMIFS($W$13:$W$429,$A$13:$A$429,$C738,$C$13:$C$429,$D738)</f>
        <v>0</v>
      </c>
      <c r="I738">
        <f>SUMIFS($X$13:$X$429,$A$13:$A$429,$C738,$C$13:$C$429,$D738)</f>
        <v>0</v>
      </c>
      <c r="J738">
        <f>SUMIFS($Y$13:$Y$429,$A$13:$A$429,$C738,$C$13:$C$429,$D738)</f>
        <v>0</v>
      </c>
      <c r="K738">
        <f>SUMIFS($Z$13:$Z$429,$A$13:$A$429,$C738,$C$13:$C$429,$D738)</f>
        <v>0</v>
      </c>
      <c r="L738">
        <f>SUMIFS(L$13:L$429,$A$13:$A$429,$C738,$C$13:$C$429,$D738)</f>
        <v>0</v>
      </c>
      <c r="M738">
        <f>SUMIFS(M$13:M$429,$A$13:$A$429,$C738,$C$13:$C$429,$D738)</f>
        <v>0</v>
      </c>
      <c r="N738">
        <f>SUMIFS(N$13:N$429,$A$13:$A$429,$C738,$C$13:$C$429,$D738)</f>
        <v>0</v>
      </c>
      <c r="O738">
        <f>SUMIFS(O$13:O$429,$A$13:$A$429,$C738,$C$13:$C$429,$D738)</f>
        <v>0</v>
      </c>
      <c r="P738">
        <f>SUMIFS(P$13:P$429,$A$13:$A$429,$C738,$C$13:$C$429,$D738)</f>
        <v>0</v>
      </c>
      <c r="Q738">
        <f>SUMIFS(Q$13:Q$429,$A$13:$A$429,$C738,$C$13:$C$429,$D738)</f>
        <v>0</v>
      </c>
      <c r="R738">
        <f>SUMIFS(R$13:R$429,$A$13:$A$429,$C738,$C$13:$C$429,$D738)</f>
        <v>0</v>
      </c>
      <c r="S738">
        <f>SUMIFS(S$13:S$429,$A$13:$A$429,$C738,$C$13:$C$429,$D738)</f>
        <v>0</v>
      </c>
      <c r="T738">
        <f>SUMIFS(T$13:T$429,$A$13:$A$429,$C738,$C$13:$C$429,$D738)</f>
        <v>0</v>
      </c>
      <c r="U738">
        <f>SUM(L738:T738)</f>
        <v>0</v>
      </c>
      <c r="W738">
        <f>IF(SUM(H738:I738)&gt;0,SUM(H738:I738)/G738,0)</f>
        <v>0</v>
      </c>
      <c r="X738">
        <f>IF(G738&gt;0,U738/G738,0)</f>
        <v>0</v>
      </c>
    </row>
    <row r="739">
      <c r="C739" t="str">
        <v>Lantai Atap</v>
      </c>
      <c r="D739" t="str">
        <v>B36-2</v>
      </c>
      <c r="G739">
        <f>SUMIFS($V$13:$V$429,$A$13:$A$429,$C739,$C$13:$C$429,$D739)</f>
        <v>0</v>
      </c>
      <c r="H739">
        <f>SUMIFS($W$13:$W$429,$A$13:$A$429,$C739,$C$13:$C$429,$D739)</f>
        <v>0</v>
      </c>
      <c r="I739">
        <f>SUMIFS($X$13:$X$429,$A$13:$A$429,$C739,$C$13:$C$429,$D739)</f>
        <v>0</v>
      </c>
      <c r="J739">
        <f>SUMIFS($Y$13:$Y$429,$A$13:$A$429,$C739,$C$13:$C$429,$D739)</f>
        <v>0</v>
      </c>
      <c r="K739">
        <f>SUMIFS($Z$13:$Z$429,$A$13:$A$429,$C739,$C$13:$C$429,$D739)</f>
        <v>0</v>
      </c>
      <c r="L739">
        <f>SUMIFS(L$13:L$429,$A$13:$A$429,$C739,$C$13:$C$429,$D739)</f>
        <v>0</v>
      </c>
      <c r="M739">
        <f>SUMIFS(M$13:M$429,$A$13:$A$429,$C739,$C$13:$C$429,$D739)</f>
        <v>0</v>
      </c>
      <c r="N739">
        <f>SUMIFS(N$13:N$429,$A$13:$A$429,$C739,$C$13:$C$429,$D739)</f>
        <v>0</v>
      </c>
      <c r="O739">
        <f>SUMIFS(O$13:O$429,$A$13:$A$429,$C739,$C$13:$C$429,$D739)</f>
        <v>0</v>
      </c>
      <c r="P739">
        <f>SUMIFS(P$13:P$429,$A$13:$A$429,$C739,$C$13:$C$429,$D739)</f>
        <v>0</v>
      </c>
      <c r="Q739">
        <f>SUMIFS(Q$13:Q$429,$A$13:$A$429,$C739,$C$13:$C$429,$D739)</f>
        <v>0</v>
      </c>
      <c r="R739">
        <f>SUMIFS(R$13:R$429,$A$13:$A$429,$C739,$C$13:$C$429,$D739)</f>
        <v>0</v>
      </c>
      <c r="S739">
        <f>SUMIFS(S$13:S$429,$A$13:$A$429,$C739,$C$13:$C$429,$D739)</f>
        <v>0</v>
      </c>
      <c r="T739">
        <f>SUMIFS(T$13:T$429,$A$13:$A$429,$C739,$C$13:$C$429,$D739)</f>
        <v>0</v>
      </c>
      <c r="U739">
        <f>SUM(L739:T739)</f>
        <v>0</v>
      </c>
      <c r="W739">
        <f>IF(SUM(H739:I739)&gt;0,SUM(H739:I739)/G739,0)</f>
        <v>0</v>
      </c>
      <c r="X739">
        <f>IF(G739&gt;0,U739/G739,0)</f>
        <v>0</v>
      </c>
    </row>
    <row r="740">
      <c r="C740" t="str">
        <v>Lantai Atap</v>
      </c>
      <c r="D740" t="str">
        <v>B36-3</v>
      </c>
      <c r="G740">
        <f>SUMIFS($V$13:$V$429,$A$13:$A$429,$C740,$C$13:$C$429,$D740)</f>
        <v>0</v>
      </c>
      <c r="H740">
        <f>SUMIFS($W$13:$W$429,$A$13:$A$429,$C740,$C$13:$C$429,$D740)</f>
        <v>0</v>
      </c>
      <c r="I740">
        <f>SUMIFS($X$13:$X$429,$A$13:$A$429,$C740,$C$13:$C$429,$D740)</f>
        <v>0</v>
      </c>
      <c r="J740">
        <f>SUMIFS($Y$13:$Y$429,$A$13:$A$429,$C740,$C$13:$C$429,$D740)</f>
        <v>0</v>
      </c>
      <c r="K740">
        <f>SUMIFS($Z$13:$Z$429,$A$13:$A$429,$C740,$C$13:$C$429,$D740)</f>
        <v>0</v>
      </c>
      <c r="L740">
        <f>SUMIFS(L$13:L$429,$A$13:$A$429,$C740,$C$13:$C$429,$D740)</f>
        <v>0</v>
      </c>
      <c r="M740">
        <f>SUMIFS(M$13:M$429,$A$13:$A$429,$C740,$C$13:$C$429,$D740)</f>
        <v>0</v>
      </c>
      <c r="N740">
        <f>SUMIFS(N$13:N$429,$A$13:$A$429,$C740,$C$13:$C$429,$D740)</f>
        <v>0</v>
      </c>
      <c r="O740">
        <f>SUMIFS(O$13:O$429,$A$13:$A$429,$C740,$C$13:$C$429,$D740)</f>
        <v>0</v>
      </c>
      <c r="P740">
        <f>SUMIFS(P$13:P$429,$A$13:$A$429,$C740,$C$13:$C$429,$D740)</f>
        <v>0</v>
      </c>
      <c r="Q740">
        <f>SUMIFS(Q$13:Q$429,$A$13:$A$429,$C740,$C$13:$C$429,$D740)</f>
        <v>0</v>
      </c>
      <c r="R740">
        <f>SUMIFS(R$13:R$429,$A$13:$A$429,$C740,$C$13:$C$429,$D740)</f>
        <v>0</v>
      </c>
      <c r="S740">
        <f>SUMIFS(S$13:S$429,$A$13:$A$429,$C740,$C$13:$C$429,$D740)</f>
        <v>0</v>
      </c>
      <c r="T740">
        <f>SUMIFS(T$13:T$429,$A$13:$A$429,$C740,$C$13:$C$429,$D740)</f>
        <v>0</v>
      </c>
      <c r="U740">
        <f>SUM(L740:T740)</f>
        <v>0</v>
      </c>
      <c r="W740">
        <f>IF(SUM(H740:I740)&gt;0,SUM(H740:I740)/G740,0)</f>
        <v>0</v>
      </c>
      <c r="X740">
        <f>IF(G740&gt;0,U740/G740,0)</f>
        <v>0</v>
      </c>
    </row>
    <row r="741">
      <c r="C741" t="str">
        <v>Lantai Atap</v>
      </c>
      <c r="D741" t="str">
        <v>B37-1</v>
      </c>
      <c r="G741">
        <f>SUMIFS($V$13:$V$429,$A$13:$A$429,$C741,$C$13:$C$429,$D741)</f>
        <v>0</v>
      </c>
      <c r="H741">
        <f>SUMIFS($W$13:$W$429,$A$13:$A$429,$C741,$C$13:$C$429,$D741)</f>
        <v>0</v>
      </c>
      <c r="I741">
        <f>SUMIFS($X$13:$X$429,$A$13:$A$429,$C741,$C$13:$C$429,$D741)</f>
        <v>0</v>
      </c>
      <c r="J741">
        <f>SUMIFS($Y$13:$Y$429,$A$13:$A$429,$C741,$C$13:$C$429,$D741)</f>
        <v>0</v>
      </c>
      <c r="K741">
        <f>SUMIFS($Z$13:$Z$429,$A$13:$A$429,$C741,$C$13:$C$429,$D741)</f>
        <v>0</v>
      </c>
      <c r="L741">
        <f>SUMIFS(L$13:L$429,$A$13:$A$429,$C741,$C$13:$C$429,$D741)</f>
        <v>0</v>
      </c>
      <c r="M741">
        <f>SUMIFS(M$13:M$429,$A$13:$A$429,$C741,$C$13:$C$429,$D741)</f>
        <v>0</v>
      </c>
      <c r="N741">
        <f>SUMIFS(N$13:N$429,$A$13:$A$429,$C741,$C$13:$C$429,$D741)</f>
        <v>0</v>
      </c>
      <c r="O741">
        <f>SUMIFS(O$13:O$429,$A$13:$A$429,$C741,$C$13:$C$429,$D741)</f>
        <v>0</v>
      </c>
      <c r="P741">
        <f>SUMIFS(P$13:P$429,$A$13:$A$429,$C741,$C$13:$C$429,$D741)</f>
        <v>0</v>
      </c>
      <c r="Q741">
        <f>SUMIFS(Q$13:Q$429,$A$13:$A$429,$C741,$C$13:$C$429,$D741)</f>
        <v>0</v>
      </c>
      <c r="R741">
        <f>SUMIFS(R$13:R$429,$A$13:$A$429,$C741,$C$13:$C$429,$D741)</f>
        <v>0</v>
      </c>
      <c r="S741">
        <f>SUMIFS(S$13:S$429,$A$13:$A$429,$C741,$C$13:$C$429,$D741)</f>
        <v>0</v>
      </c>
      <c r="T741">
        <f>SUMIFS(T$13:T$429,$A$13:$A$429,$C741,$C$13:$C$429,$D741)</f>
        <v>0</v>
      </c>
      <c r="U741">
        <f>SUM(L741:T741)</f>
        <v>0</v>
      </c>
      <c r="W741">
        <f>IF(SUM(H741:I741)&gt;0,SUM(H741:I741)/G741,0)</f>
        <v>0</v>
      </c>
      <c r="X741">
        <f>IF(G741&gt;0,U741/G741,0)</f>
        <v>0</v>
      </c>
    </row>
    <row r="742">
      <c r="C742" t="str">
        <v>Lantai Atap</v>
      </c>
      <c r="D742" t="str">
        <v>B47-1</v>
      </c>
      <c r="G742">
        <f>SUMIFS($V$13:$V$429,$A$13:$A$429,$C742,$C$13:$C$429,$D742)</f>
        <v>0</v>
      </c>
      <c r="H742">
        <f>SUMIFS($W$13:$W$429,$A$13:$A$429,$C742,$C$13:$C$429,$D742)</f>
        <v>0</v>
      </c>
      <c r="I742">
        <f>SUMIFS($X$13:$X$429,$A$13:$A$429,$C742,$C$13:$C$429,$D742)</f>
        <v>0</v>
      </c>
      <c r="J742">
        <f>SUMIFS($Y$13:$Y$429,$A$13:$A$429,$C742,$C$13:$C$429,$D742)</f>
        <v>0</v>
      </c>
      <c r="K742">
        <f>SUMIFS($Z$13:$Z$429,$A$13:$A$429,$C742,$C$13:$C$429,$D742)</f>
        <v>0</v>
      </c>
      <c r="L742">
        <f>SUMIFS(L$13:L$429,$A$13:$A$429,$C742,$C$13:$C$429,$D742)</f>
        <v>0</v>
      </c>
      <c r="M742">
        <f>SUMIFS(M$13:M$429,$A$13:$A$429,$C742,$C$13:$C$429,$D742)</f>
        <v>0</v>
      </c>
      <c r="N742">
        <f>SUMIFS(N$13:N$429,$A$13:$A$429,$C742,$C$13:$C$429,$D742)</f>
        <v>0</v>
      </c>
      <c r="O742">
        <f>SUMIFS(O$13:O$429,$A$13:$A$429,$C742,$C$13:$C$429,$D742)</f>
        <v>0</v>
      </c>
      <c r="P742">
        <f>SUMIFS(P$13:P$429,$A$13:$A$429,$C742,$C$13:$C$429,$D742)</f>
        <v>0</v>
      </c>
      <c r="Q742">
        <f>SUMIFS(Q$13:Q$429,$A$13:$A$429,$C742,$C$13:$C$429,$D742)</f>
        <v>0</v>
      </c>
      <c r="R742">
        <f>SUMIFS(R$13:R$429,$A$13:$A$429,$C742,$C$13:$C$429,$D742)</f>
        <v>0</v>
      </c>
      <c r="S742">
        <f>SUMIFS(S$13:S$429,$A$13:$A$429,$C742,$C$13:$C$429,$D742)</f>
        <v>0</v>
      </c>
      <c r="T742">
        <f>SUMIFS(T$13:T$429,$A$13:$A$429,$C742,$C$13:$C$429,$D742)</f>
        <v>0</v>
      </c>
      <c r="U742">
        <f>SUM(L742:T742)</f>
        <v>0</v>
      </c>
      <c r="W742">
        <f>IF(SUM(H742:I742)&gt;0,SUM(H742:I742)/G742,0)</f>
        <v>0</v>
      </c>
      <c r="X742">
        <f>IF(G742&gt;0,U742/G742,0)</f>
        <v>0</v>
      </c>
    </row>
    <row r="743">
      <c r="C743" t="str">
        <v>Lantai Atap</v>
      </c>
      <c r="D743" t="str">
        <v>B475-1</v>
      </c>
      <c r="G743">
        <f>SUMIFS($V$13:$V$429,$A$13:$A$429,$C743,$C$13:$C$429,$D743)</f>
        <v>0</v>
      </c>
      <c r="H743">
        <f>SUMIFS($W$13:$W$429,$A$13:$A$429,$C743,$C$13:$C$429,$D743)</f>
        <v>0</v>
      </c>
      <c r="I743">
        <f>SUMIFS($X$13:$X$429,$A$13:$A$429,$C743,$C$13:$C$429,$D743)</f>
        <v>0</v>
      </c>
      <c r="J743">
        <f>SUMIFS($Y$13:$Y$429,$A$13:$A$429,$C743,$C$13:$C$429,$D743)</f>
        <v>0</v>
      </c>
      <c r="K743">
        <f>SUMIFS($Z$13:$Z$429,$A$13:$A$429,$C743,$C$13:$C$429,$D743)</f>
        <v>0</v>
      </c>
      <c r="L743">
        <f>SUMIFS(L$13:L$429,$A$13:$A$429,$C743,$C$13:$C$429,$D743)</f>
        <v>0</v>
      </c>
      <c r="M743">
        <f>SUMIFS(M$13:M$429,$A$13:$A$429,$C743,$C$13:$C$429,$D743)</f>
        <v>0</v>
      </c>
      <c r="N743">
        <f>SUMIFS(N$13:N$429,$A$13:$A$429,$C743,$C$13:$C$429,$D743)</f>
        <v>0</v>
      </c>
      <c r="O743">
        <f>SUMIFS(O$13:O$429,$A$13:$A$429,$C743,$C$13:$C$429,$D743)</f>
        <v>0</v>
      </c>
      <c r="P743">
        <f>SUMIFS(P$13:P$429,$A$13:$A$429,$C743,$C$13:$C$429,$D743)</f>
        <v>0</v>
      </c>
      <c r="Q743">
        <f>SUMIFS(Q$13:Q$429,$A$13:$A$429,$C743,$C$13:$C$429,$D743)</f>
        <v>0</v>
      </c>
      <c r="R743">
        <f>SUMIFS(R$13:R$429,$A$13:$A$429,$C743,$C$13:$C$429,$D743)</f>
        <v>0</v>
      </c>
      <c r="S743">
        <f>SUMIFS(S$13:S$429,$A$13:$A$429,$C743,$C$13:$C$429,$D743)</f>
        <v>0</v>
      </c>
      <c r="T743">
        <f>SUMIFS(T$13:T$429,$A$13:$A$429,$C743,$C$13:$C$429,$D743)</f>
        <v>0</v>
      </c>
      <c r="U743">
        <f>SUM(L743:T743)</f>
        <v>0</v>
      </c>
      <c r="W743">
        <f>IF(SUM(H743:I743)&gt;0,SUM(H743:I743)/G743,0)</f>
        <v>0</v>
      </c>
      <c r="X743">
        <f>IF(G743&gt;0,U743/G743,0)</f>
        <v>0</v>
      </c>
    </row>
    <row r="744">
      <c r="C744" t="str">
        <v>Lantai Atap</v>
      </c>
      <c r="D744" t="str">
        <v>B57-1</v>
      </c>
      <c r="G744">
        <f>SUMIFS($V$13:$V$429,$A$13:$A$429,$C744,$C$13:$C$429,$D744)</f>
        <v>0</v>
      </c>
      <c r="H744">
        <f>SUMIFS($W$13:$W$429,$A$13:$A$429,$C744,$C$13:$C$429,$D744)</f>
        <v>0</v>
      </c>
      <c r="I744">
        <f>SUMIFS($X$13:$X$429,$A$13:$A$429,$C744,$C$13:$C$429,$D744)</f>
        <v>0</v>
      </c>
      <c r="J744">
        <f>SUMIFS($Y$13:$Y$429,$A$13:$A$429,$C744,$C$13:$C$429,$D744)</f>
        <v>0</v>
      </c>
      <c r="K744">
        <f>SUMIFS($Z$13:$Z$429,$A$13:$A$429,$C744,$C$13:$C$429,$D744)</f>
        <v>0</v>
      </c>
      <c r="L744">
        <f>SUMIFS(L$13:L$429,$A$13:$A$429,$C744,$C$13:$C$429,$D744)</f>
        <v>0</v>
      </c>
      <c r="M744">
        <f>SUMIFS(M$13:M$429,$A$13:$A$429,$C744,$C$13:$C$429,$D744)</f>
        <v>0</v>
      </c>
      <c r="N744">
        <f>SUMIFS(N$13:N$429,$A$13:$A$429,$C744,$C$13:$C$429,$D744)</f>
        <v>0</v>
      </c>
      <c r="O744">
        <f>SUMIFS(O$13:O$429,$A$13:$A$429,$C744,$C$13:$C$429,$D744)</f>
        <v>0</v>
      </c>
      <c r="P744">
        <f>SUMIFS(P$13:P$429,$A$13:$A$429,$C744,$C$13:$C$429,$D744)</f>
        <v>0</v>
      </c>
      <c r="Q744">
        <f>SUMIFS(Q$13:Q$429,$A$13:$A$429,$C744,$C$13:$C$429,$D744)</f>
        <v>0</v>
      </c>
      <c r="R744">
        <f>SUMIFS(R$13:R$429,$A$13:$A$429,$C744,$C$13:$C$429,$D744)</f>
        <v>0</v>
      </c>
      <c r="S744">
        <f>SUMIFS(S$13:S$429,$A$13:$A$429,$C744,$C$13:$C$429,$D744)</f>
        <v>0</v>
      </c>
      <c r="T744">
        <f>SUMIFS(T$13:T$429,$A$13:$A$429,$C744,$C$13:$C$429,$D744)</f>
        <v>0</v>
      </c>
      <c r="U744">
        <f>SUM(L744:T744)</f>
        <v>0</v>
      </c>
      <c r="W744">
        <f>IF(SUM(H744:I744)&gt;0,SUM(H744:I744)/G744,0)</f>
        <v>0</v>
      </c>
      <c r="X744">
        <f>IF(G744&gt;0,U744/G744,0)</f>
        <v>0</v>
      </c>
    </row>
    <row r="745">
      <c r="C745" t="str">
        <v>Lantai Atap</v>
      </c>
      <c r="D745" t="str">
        <v>B57-4</v>
      </c>
      <c r="G745">
        <f>SUMIFS($V$13:$V$429,$A$13:$A$429,$C745,$C$13:$C$429,$D745)</f>
        <v>0</v>
      </c>
      <c r="H745">
        <f>SUMIFS($W$13:$W$429,$A$13:$A$429,$C745,$C$13:$C$429,$D745)</f>
        <v>0</v>
      </c>
      <c r="I745">
        <f>SUMIFS($X$13:$X$429,$A$13:$A$429,$C745,$C$13:$C$429,$D745)</f>
        <v>0</v>
      </c>
      <c r="J745">
        <f>SUMIFS($Y$13:$Y$429,$A$13:$A$429,$C745,$C$13:$C$429,$D745)</f>
        <v>0</v>
      </c>
      <c r="K745">
        <f>SUMIFS($Z$13:$Z$429,$A$13:$A$429,$C745,$C$13:$C$429,$D745)</f>
        <v>0</v>
      </c>
      <c r="L745">
        <f>SUMIFS(L$13:L$429,$A$13:$A$429,$C745,$C$13:$C$429,$D745)</f>
        <v>0</v>
      </c>
      <c r="M745">
        <f>SUMIFS(M$13:M$429,$A$13:$A$429,$C745,$C$13:$C$429,$D745)</f>
        <v>0</v>
      </c>
      <c r="N745">
        <f>SUMIFS(N$13:N$429,$A$13:$A$429,$C745,$C$13:$C$429,$D745)</f>
        <v>0</v>
      </c>
      <c r="O745">
        <f>SUMIFS(O$13:O$429,$A$13:$A$429,$C745,$C$13:$C$429,$D745)</f>
        <v>0</v>
      </c>
      <c r="P745">
        <f>SUMIFS(P$13:P$429,$A$13:$A$429,$C745,$C$13:$C$429,$D745)</f>
        <v>0</v>
      </c>
      <c r="Q745">
        <f>SUMIFS(Q$13:Q$429,$A$13:$A$429,$C745,$C$13:$C$429,$D745)</f>
        <v>0</v>
      </c>
      <c r="R745">
        <f>SUMIFS(R$13:R$429,$A$13:$A$429,$C745,$C$13:$C$429,$D745)</f>
        <v>0</v>
      </c>
      <c r="S745">
        <f>SUMIFS(S$13:S$429,$A$13:$A$429,$C745,$C$13:$C$429,$D745)</f>
        <v>0</v>
      </c>
      <c r="T745">
        <f>SUMIFS(T$13:T$429,$A$13:$A$429,$C745,$C$13:$C$429,$D745)</f>
        <v>0</v>
      </c>
      <c r="U745">
        <f>SUM(L745:T745)</f>
        <v>0</v>
      </c>
      <c r="W745">
        <f>IF(SUM(H745:I745)&gt;0,SUM(H745:I745)/G745,0)</f>
        <v>0</v>
      </c>
      <c r="X745">
        <f>IF(G745&gt;0,U745/G745,0)</f>
        <v>0</v>
      </c>
    </row>
    <row r="746">
      <c r="C746" t="str">
        <v>Lantai Atap</v>
      </c>
      <c r="D746" t="str">
        <v>B67-1</v>
      </c>
      <c r="G746">
        <f>SUMIFS($V$13:$V$429,$A$13:$A$429,$C746,$C$13:$C$429,$D746)</f>
        <v>0</v>
      </c>
      <c r="H746">
        <f>SUMIFS($W$13:$W$429,$A$13:$A$429,$C746,$C$13:$C$429,$D746)</f>
        <v>0</v>
      </c>
      <c r="I746">
        <f>SUMIFS($X$13:$X$429,$A$13:$A$429,$C746,$C$13:$C$429,$D746)</f>
        <v>0</v>
      </c>
      <c r="J746">
        <f>SUMIFS($Y$13:$Y$429,$A$13:$A$429,$C746,$C$13:$C$429,$D746)</f>
        <v>0</v>
      </c>
      <c r="K746">
        <f>SUMIFS($Z$13:$Z$429,$A$13:$A$429,$C746,$C$13:$C$429,$D746)</f>
        <v>0</v>
      </c>
      <c r="L746">
        <f>SUMIFS(L$13:L$429,$A$13:$A$429,$C746,$C$13:$C$429,$D746)</f>
        <v>0</v>
      </c>
      <c r="M746">
        <f>SUMIFS(M$13:M$429,$A$13:$A$429,$C746,$C$13:$C$429,$D746)</f>
        <v>0</v>
      </c>
      <c r="N746">
        <f>SUMIFS(N$13:N$429,$A$13:$A$429,$C746,$C$13:$C$429,$D746)</f>
        <v>0</v>
      </c>
      <c r="O746">
        <f>SUMIFS(O$13:O$429,$A$13:$A$429,$C746,$C$13:$C$429,$D746)</f>
        <v>0</v>
      </c>
      <c r="P746">
        <f>SUMIFS(P$13:P$429,$A$13:$A$429,$C746,$C$13:$C$429,$D746)</f>
        <v>0</v>
      </c>
      <c r="Q746">
        <f>SUMIFS(Q$13:Q$429,$A$13:$A$429,$C746,$C$13:$C$429,$D746)</f>
        <v>0</v>
      </c>
      <c r="R746">
        <f>SUMIFS(R$13:R$429,$A$13:$A$429,$C746,$C$13:$C$429,$D746)</f>
        <v>0</v>
      </c>
      <c r="S746">
        <f>SUMIFS(S$13:S$429,$A$13:$A$429,$C746,$C$13:$C$429,$D746)</f>
        <v>0</v>
      </c>
      <c r="T746">
        <f>SUMIFS(T$13:T$429,$A$13:$A$429,$C746,$C$13:$C$429,$D746)</f>
        <v>0</v>
      </c>
      <c r="U746">
        <f>SUM(L746:T746)</f>
        <v>0</v>
      </c>
      <c r="W746">
        <f>IF(SUM(H746:I746)&gt;0,SUM(H746:I746)/G746,0)</f>
        <v>0</v>
      </c>
      <c r="X746">
        <f>IF(G746&gt;0,U746/G746,0)</f>
        <v>0</v>
      </c>
    </row>
    <row r="747">
      <c r="C747" t="str">
        <v>Lantai Atap</v>
      </c>
      <c r="D747" t="str">
        <v>CL68-1</v>
      </c>
      <c r="G747">
        <f>SUMIFS($V$13:$V$429,$A$13:$A$429,$C747,$C$13:$C$429,$D747)</f>
        <v>0</v>
      </c>
      <c r="H747">
        <f>SUMIFS($W$13:$W$429,$A$13:$A$429,$C747,$C$13:$C$429,$D747)</f>
        <v>0</v>
      </c>
      <c r="I747">
        <f>SUMIFS($X$13:$X$429,$A$13:$A$429,$C747,$C$13:$C$429,$D747)</f>
        <v>0</v>
      </c>
      <c r="J747">
        <f>SUMIFS($Y$13:$Y$429,$A$13:$A$429,$C747,$C$13:$C$429,$D747)</f>
        <v>0</v>
      </c>
      <c r="K747">
        <f>SUMIFS($Z$13:$Z$429,$A$13:$A$429,$C747,$C$13:$C$429,$D747)</f>
        <v>0</v>
      </c>
      <c r="L747">
        <f>SUMIFS(L$13:L$429,$A$13:$A$429,$C747,$C$13:$C$429,$D747)</f>
        <v>0</v>
      </c>
      <c r="M747">
        <f>SUMIFS(M$13:M$429,$A$13:$A$429,$C747,$C$13:$C$429,$D747)</f>
        <v>0</v>
      </c>
      <c r="N747">
        <f>SUMIFS(N$13:N$429,$A$13:$A$429,$C747,$C$13:$C$429,$D747)</f>
        <v>0</v>
      </c>
      <c r="O747">
        <f>SUMIFS(O$13:O$429,$A$13:$A$429,$C747,$C$13:$C$429,$D747)</f>
        <v>0</v>
      </c>
      <c r="P747">
        <f>SUMIFS(P$13:P$429,$A$13:$A$429,$C747,$C$13:$C$429,$D747)</f>
        <v>0</v>
      </c>
      <c r="Q747">
        <f>SUMIFS(Q$13:Q$429,$A$13:$A$429,$C747,$C$13:$C$429,$D747)</f>
        <v>0</v>
      </c>
      <c r="R747">
        <f>SUMIFS(R$13:R$429,$A$13:$A$429,$C747,$C$13:$C$429,$D747)</f>
        <v>0</v>
      </c>
      <c r="S747">
        <f>SUMIFS(S$13:S$429,$A$13:$A$429,$C747,$C$13:$C$429,$D747)</f>
        <v>0</v>
      </c>
      <c r="T747">
        <f>SUMIFS(T$13:T$429,$A$13:$A$429,$C747,$C$13:$C$429,$D747)</f>
        <v>0</v>
      </c>
      <c r="U747">
        <f>SUM(L747:T747)</f>
        <v>0</v>
      </c>
      <c r="W747">
        <f>IF(SUM(H747:I747)&gt;0,SUM(H747:I747)/G747,0)</f>
        <v>0</v>
      </c>
      <c r="X747">
        <f>IF(G747&gt;0,U747/G747,0)</f>
        <v>0</v>
      </c>
    </row>
    <row r="748">
      <c r="C748" t="str">
        <v>Lantai Atap</v>
      </c>
      <c r="D748" t="str">
        <v>B77-1</v>
      </c>
      <c r="G748">
        <f>SUMIFS($V$13:$V$429,$A$13:$A$429,$C748,$C$13:$C$429,$D748)</f>
        <v>0</v>
      </c>
      <c r="H748">
        <f>SUMIFS($W$13:$W$429,$A$13:$A$429,$C748,$C$13:$C$429,$D748)</f>
        <v>0</v>
      </c>
      <c r="I748">
        <f>SUMIFS($X$13:$X$429,$A$13:$A$429,$C748,$C$13:$C$429,$D748)</f>
        <v>0</v>
      </c>
      <c r="J748">
        <f>SUMIFS($Y$13:$Y$429,$A$13:$A$429,$C748,$C$13:$C$429,$D748)</f>
        <v>0</v>
      </c>
      <c r="K748">
        <f>SUMIFS($Z$13:$Z$429,$A$13:$A$429,$C748,$C$13:$C$429,$D748)</f>
        <v>0</v>
      </c>
      <c r="L748">
        <f>SUMIFS(L$13:L$429,$A$13:$A$429,$C748,$C$13:$C$429,$D748)</f>
        <v>0</v>
      </c>
      <c r="M748">
        <f>SUMIFS(M$13:M$429,$A$13:$A$429,$C748,$C$13:$C$429,$D748)</f>
        <v>0</v>
      </c>
      <c r="N748">
        <f>SUMIFS(N$13:N$429,$A$13:$A$429,$C748,$C$13:$C$429,$D748)</f>
        <v>0</v>
      </c>
      <c r="O748">
        <f>SUMIFS(O$13:O$429,$A$13:$A$429,$C748,$C$13:$C$429,$D748)</f>
        <v>0</v>
      </c>
      <c r="P748">
        <f>SUMIFS(P$13:P$429,$A$13:$A$429,$C748,$C$13:$C$429,$D748)</f>
        <v>0</v>
      </c>
      <c r="Q748">
        <f>SUMIFS(Q$13:Q$429,$A$13:$A$429,$C748,$C$13:$C$429,$D748)</f>
        <v>0</v>
      </c>
      <c r="R748">
        <f>SUMIFS(R$13:R$429,$A$13:$A$429,$C748,$C$13:$C$429,$D748)</f>
        <v>0</v>
      </c>
      <c r="S748">
        <f>SUMIFS(S$13:S$429,$A$13:$A$429,$C748,$C$13:$C$429,$D748)</f>
        <v>0</v>
      </c>
      <c r="T748">
        <f>SUMIFS(T$13:T$429,$A$13:$A$429,$C748,$C$13:$C$429,$D748)</f>
        <v>0</v>
      </c>
      <c r="U748">
        <f>SUM(L748:T748)</f>
        <v>0</v>
      </c>
      <c r="W748">
        <f>IF(SUM(H748:I748)&gt;0,SUM(H748:I748)/G748,0)</f>
        <v>0</v>
      </c>
      <c r="X748">
        <f>IF(G748&gt;0,U748/G748,0)</f>
        <v>0</v>
      </c>
    </row>
    <row r="749">
      <c r="C749" t="str">
        <v>Lantai Atap</v>
      </c>
      <c r="D749" t="str">
        <v>B78-1</v>
      </c>
      <c r="G749">
        <f>SUMIFS($V$13:$V$429,$A$13:$A$429,$C749,$C$13:$C$429,$D749)</f>
        <v>0</v>
      </c>
      <c r="H749">
        <f>SUMIFS($W$13:$W$429,$A$13:$A$429,$C749,$C$13:$C$429,$D749)</f>
        <v>0</v>
      </c>
      <c r="I749">
        <f>SUMIFS($X$13:$X$429,$A$13:$A$429,$C749,$C$13:$C$429,$D749)</f>
        <v>0</v>
      </c>
      <c r="J749">
        <f>SUMIFS($Y$13:$Y$429,$A$13:$A$429,$C749,$C$13:$C$429,$D749)</f>
        <v>0</v>
      </c>
      <c r="K749">
        <f>SUMIFS($Z$13:$Z$429,$A$13:$A$429,$C749,$C$13:$C$429,$D749)</f>
        <v>0</v>
      </c>
      <c r="L749">
        <f>SUMIFS(L$13:L$429,$A$13:$A$429,$C749,$C$13:$C$429,$D749)</f>
        <v>0</v>
      </c>
      <c r="M749">
        <f>SUMIFS(M$13:M$429,$A$13:$A$429,$C749,$C$13:$C$429,$D749)</f>
        <v>0</v>
      </c>
      <c r="N749">
        <f>SUMIFS(N$13:N$429,$A$13:$A$429,$C749,$C$13:$C$429,$D749)</f>
        <v>0</v>
      </c>
      <c r="O749">
        <f>SUMIFS(O$13:O$429,$A$13:$A$429,$C749,$C$13:$C$429,$D749)</f>
        <v>0</v>
      </c>
      <c r="P749">
        <f>SUMIFS(P$13:P$429,$A$13:$A$429,$C749,$C$13:$C$429,$D749)</f>
        <v>0</v>
      </c>
      <c r="Q749">
        <f>SUMIFS(Q$13:Q$429,$A$13:$A$429,$C749,$C$13:$C$429,$D749)</f>
        <v>0</v>
      </c>
      <c r="R749">
        <f>SUMIFS(R$13:R$429,$A$13:$A$429,$C749,$C$13:$C$429,$D749)</f>
        <v>0</v>
      </c>
      <c r="S749">
        <f>SUMIFS(S$13:S$429,$A$13:$A$429,$C749,$C$13:$C$429,$D749)</f>
        <v>0</v>
      </c>
      <c r="T749">
        <f>SUMIFS(T$13:T$429,$A$13:$A$429,$C749,$C$13:$C$429,$D749)</f>
        <v>0</v>
      </c>
      <c r="U749">
        <f>SUM(L749:T749)</f>
        <v>0</v>
      </c>
      <c r="W749">
        <f>IF(SUM(H749:I749)&gt;0,SUM(H749:I749)/G749,0)</f>
        <v>0</v>
      </c>
      <c r="X749">
        <f>IF(G749&gt;0,U749/G749,0)</f>
        <v>0</v>
      </c>
    </row>
    <row r="750">
      <c r="C750" t="str">
        <v>Lantai Atap</v>
      </c>
      <c r="D750" t="str">
        <v>B1745-1</v>
      </c>
      <c r="G750">
        <f>SUMIFS($V$13:$V$429,$A$13:$A$429,$C750,$C$13:$C$429,$D750)</f>
        <v>0.36465000000000003</v>
      </c>
      <c r="H750">
        <f>SUMIFS($W$13:$W$429,$A$13:$A$429,$C750,$C$13:$C$429,$D750)</f>
        <v>5.259</v>
      </c>
      <c r="I750">
        <f>SUMIFS($X$13:$X$429,$A$13:$A$429,$C750,$C$13:$C$429,$D750)</f>
        <v>0</v>
      </c>
      <c r="J750">
        <f>SUMIFS($Y$13:$Y$429,$A$13:$A$429,$C750,$C$13:$C$429,$D750)</f>
        <v>0</v>
      </c>
      <c r="K750">
        <f>SUMIFS($Z$13:$Z$429,$A$13:$A$429,$C750,$C$13:$C$429,$D750)</f>
        <v>0</v>
      </c>
      <c r="L750">
        <f>SUMIFS(L$13:L$429,$A$13:$A$429,$C750,$C$13:$C$429,$D750)</f>
        <v>0</v>
      </c>
      <c r="M750">
        <f>SUMIFS(M$13:M$429,$A$13:$A$429,$C750,$C$13:$C$429,$D750)</f>
        <v>38.57534208</v>
      </c>
      <c r="N750">
        <f>SUMIFS(N$13:N$429,$A$13:$A$429,$C750,$C$13:$C$429,$D750)</f>
        <v>0</v>
      </c>
      <c r="O750">
        <f>SUMIFS(O$13:O$429,$A$13:$A$429,$C750,$C$13:$C$429,$D750)</f>
        <v>26.355522959999995</v>
      </c>
      <c r="P750">
        <f>SUMIFS(P$13:P$429,$A$13:$A$429,$C750,$C$13:$C$429,$D750)</f>
        <v>0</v>
      </c>
      <c r="Q750">
        <f>SUMIFS(Q$13:Q$429,$A$13:$A$429,$C750,$C$13:$C$429,$D750)</f>
        <v>0</v>
      </c>
      <c r="R750">
        <f>SUMIFS(R$13:R$429,$A$13:$A$429,$C750,$C$13:$C$429,$D750)</f>
        <v>0</v>
      </c>
      <c r="S750">
        <f>SUMIFS(S$13:S$429,$A$13:$A$429,$C750,$C$13:$C$429,$D750)</f>
        <v>0</v>
      </c>
      <c r="T750">
        <f>SUMIFS(T$13:T$429,$A$13:$A$429,$C750,$C$13:$C$429,$D750)</f>
        <v>0</v>
      </c>
      <c r="U750">
        <f>SUM(L750:T750)</f>
        <v>64.93086503999999</v>
      </c>
      <c r="W750">
        <f>IF(SUM(H750:I750)&gt;0,SUM(H750:I750)/G750,0)</f>
        <v>14.422048539695599</v>
      </c>
      <c r="X750">
        <f>IF(G750&gt;0,U750/G750,0)</f>
        <v>178.0635267791032</v>
      </c>
    </row>
    <row r="751">
      <c r="C751" t="str">
        <v>Lantai Atap</v>
      </c>
      <c r="D751" t="str">
        <v>B26-6</v>
      </c>
      <c r="G751">
        <f>SUMIFS($V$13:$V$429,$A$13:$A$429,$C751,$C$13:$C$429,$D751)</f>
        <v>0</v>
      </c>
      <c r="H751">
        <f>SUMIFS($W$13:$W$429,$A$13:$A$429,$C751,$C$13:$C$429,$D751)</f>
        <v>0</v>
      </c>
      <c r="I751">
        <f>SUMIFS($X$13:$X$429,$A$13:$A$429,$C751,$C$13:$C$429,$D751)</f>
        <v>0</v>
      </c>
      <c r="J751">
        <f>SUMIFS($Y$13:$Y$429,$A$13:$A$429,$C751,$C$13:$C$429,$D751)</f>
        <v>0</v>
      </c>
      <c r="K751">
        <f>SUMIFS($Z$13:$Z$429,$A$13:$A$429,$C751,$C$13:$C$429,$D751)</f>
        <v>0</v>
      </c>
      <c r="L751">
        <f>SUMIFS(L$13:L$429,$A$13:$A$429,$C751,$C$13:$C$429,$D751)</f>
        <v>0</v>
      </c>
      <c r="M751">
        <f>SUMIFS(M$13:M$429,$A$13:$A$429,$C751,$C$13:$C$429,$D751)</f>
        <v>0</v>
      </c>
      <c r="N751">
        <f>SUMIFS(N$13:N$429,$A$13:$A$429,$C751,$C$13:$C$429,$D751)</f>
        <v>0</v>
      </c>
      <c r="O751">
        <f>SUMIFS(O$13:O$429,$A$13:$A$429,$C751,$C$13:$C$429,$D751)</f>
        <v>0</v>
      </c>
      <c r="P751">
        <f>SUMIFS(P$13:P$429,$A$13:$A$429,$C751,$C$13:$C$429,$D751)</f>
        <v>0</v>
      </c>
      <c r="Q751">
        <f>SUMIFS(Q$13:Q$429,$A$13:$A$429,$C751,$C$13:$C$429,$D751)</f>
        <v>0</v>
      </c>
      <c r="R751">
        <f>SUMIFS(R$13:R$429,$A$13:$A$429,$C751,$C$13:$C$429,$D751)</f>
        <v>0</v>
      </c>
      <c r="S751">
        <f>SUMIFS(S$13:S$429,$A$13:$A$429,$C751,$C$13:$C$429,$D751)</f>
        <v>0</v>
      </c>
      <c r="T751">
        <f>SUMIFS(T$13:T$429,$A$13:$A$429,$C751,$C$13:$C$429,$D751)</f>
        <v>0</v>
      </c>
      <c r="U751">
        <f>SUM(L751:T751)</f>
        <v>0</v>
      </c>
      <c r="W751">
        <f>IF(SUM(H751:I751)&gt;0,SUM(H751:I751)/G751,0)</f>
        <v>0</v>
      </c>
      <c r="X751">
        <f>IF(G751&gt;0,U751/G751,0)</f>
        <v>0</v>
      </c>
    </row>
    <row r="752">
      <c r="C752" t="str">
        <v>Lantai Atap</v>
      </c>
      <c r="D752" t="str">
        <v>Potongan A</v>
      </c>
      <c r="G752">
        <f>SUMIFS($V$13:$V$429,$A$13:$A$429,$C752,$C$13:$C$429,$D752)</f>
        <v>0.1168125</v>
      </c>
      <c r="H752">
        <f>SUMIFS($W$13:$W$429,$A$13:$A$429,$C752,$C$13:$C$429,$D752)</f>
        <v>1.26825</v>
      </c>
      <c r="I752">
        <f>SUMIFS($X$13:$X$429,$A$13:$A$429,$C752,$C$13:$C$429,$D752)</f>
        <v>0</v>
      </c>
      <c r="J752">
        <f>SUMIFS($Y$13:$Y$429,$A$13:$A$429,$C752,$C$13:$C$429,$D752)</f>
        <v>0</v>
      </c>
      <c r="K752">
        <f>SUMIFS($Z$13:$Z$429,$A$13:$A$429,$C752,$C$13:$C$429,$D752)</f>
        <v>0</v>
      </c>
      <c r="L752">
        <f>SUMIFS(L$13:L$429,$A$13:$A$429,$C752,$C$13:$C$429,$D752)</f>
        <v>0</v>
      </c>
      <c r="M752">
        <f>SUMIFS(M$13:M$429,$A$13:$A$429,$C752,$C$13:$C$429,$D752)</f>
        <v>0</v>
      </c>
      <c r="N752">
        <f>SUMIFS(N$13:N$429,$A$13:$A$429,$C752,$C$13:$C$429,$D752)</f>
        <v>13.421204999999999</v>
      </c>
      <c r="O752">
        <f>SUMIFS(O$13:O$429,$A$13:$A$429,$C752,$C$13:$C$429,$D752)</f>
        <v>0</v>
      </c>
      <c r="P752">
        <f>SUMIFS(P$13:P$429,$A$13:$A$429,$C752,$C$13:$C$429,$D752)</f>
        <v>0</v>
      </c>
      <c r="Q752">
        <f>SUMIFS(Q$13:Q$429,$A$13:$A$429,$C752,$C$13:$C$429,$D752)</f>
        <v>35.873882234999996</v>
      </c>
      <c r="R752">
        <f>SUMIFS(R$13:R$429,$A$13:$A$429,$C752,$C$13:$C$429,$D752)</f>
        <v>0</v>
      </c>
      <c r="S752">
        <f>SUMIFS(S$13:S$429,$A$13:$A$429,$C752,$C$13:$C$429,$D752)</f>
        <v>0</v>
      </c>
      <c r="T752">
        <f>SUMIFS(T$13:T$429,$A$13:$A$429,$C752,$C$13:$C$429,$D752)</f>
        <v>0</v>
      </c>
      <c r="U752">
        <f>SUM(L752:T752)</f>
        <v>49.295087235</v>
      </c>
      <c r="W752">
        <f>IF(SUM(H752:I752)&gt;0,SUM(H752:I752)/G752,0)</f>
        <v>10.857142857142858</v>
      </c>
      <c r="X752">
        <f>IF(G752&gt;0,U752/G752,0)</f>
        <v>422.0018168860353</v>
      </c>
    </row>
    <row r="753">
      <c r="C753" t="str">
        <v>Lantai Atap</v>
      </c>
      <c r="D753" t="str">
        <v>Potongan B</v>
      </c>
      <c r="G753">
        <f>SUMIFS($V$13:$V$429,$A$13:$A$429,$C753,$C$13:$C$429,$D753)</f>
        <v>0.09345</v>
      </c>
      <c r="H753">
        <f>SUMIFS($W$13:$W$429,$A$13:$A$429,$C753,$C$13:$C$429,$D753)</f>
        <v>1.2015</v>
      </c>
      <c r="I753">
        <f>SUMIFS($X$13:$X$429,$A$13:$A$429,$C753,$C$13:$C$429,$D753)</f>
        <v>0</v>
      </c>
      <c r="J753">
        <f>SUMIFS($Y$13:$Y$429,$A$13:$A$429,$C753,$C$13:$C$429,$D753)</f>
        <v>0</v>
      </c>
      <c r="K753">
        <f>SUMIFS($Z$13:$Z$429,$A$13:$A$429,$C753,$C$13:$C$429,$D753)</f>
        <v>0</v>
      </c>
      <c r="L753">
        <f>SUMIFS(L$13:L$429,$A$13:$A$429,$C753,$C$13:$C$429,$D753)</f>
        <v>0</v>
      </c>
      <c r="M753">
        <f>SUMIFS(M$13:M$429,$A$13:$A$429,$C753,$C$13:$C$429,$D753)</f>
        <v>0</v>
      </c>
      <c r="N753">
        <f>SUMIFS(N$13:N$429,$A$13:$A$429,$C753,$C$13:$C$429,$D753)</f>
        <v>21.916575</v>
      </c>
      <c r="O753">
        <f>SUMIFS(O$13:O$429,$A$13:$A$429,$C753,$C$13:$C$429,$D753)</f>
        <v>0</v>
      </c>
      <c r="P753">
        <f>SUMIFS(P$13:P$429,$A$13:$A$429,$C753,$C$13:$C$429,$D753)</f>
        <v>24.416951039999997</v>
      </c>
      <c r="Q753">
        <f>SUMIFS(Q$13:Q$429,$A$13:$A$429,$C753,$C$13:$C$429,$D753)</f>
        <v>0</v>
      </c>
      <c r="R753">
        <f>SUMIFS(R$13:R$429,$A$13:$A$429,$C753,$C$13:$C$429,$D753)</f>
        <v>0</v>
      </c>
      <c r="S753">
        <f>SUMIFS(S$13:S$429,$A$13:$A$429,$C753,$C$13:$C$429,$D753)</f>
        <v>0</v>
      </c>
      <c r="T753">
        <f>SUMIFS(T$13:T$429,$A$13:$A$429,$C753,$C$13:$C$429,$D753)</f>
        <v>0</v>
      </c>
      <c r="U753">
        <f>SUM(L753:T753)</f>
        <v>46.333526039999995</v>
      </c>
      <c r="W753">
        <f>IF(SUM(H753:I753)&gt;0,SUM(H753:I753)/G753,0)</f>
        <v>12.857142857142856</v>
      </c>
      <c r="X753">
        <f>IF(G753&gt;0,U753/G753,0)</f>
        <v>495.81087255216687</v>
      </c>
    </row>
    <row r="754">
      <c r="C754" t="str">
        <v>Lantai Atap</v>
      </c>
      <c r="D754" t="str">
        <v>Potongan C</v>
      </c>
      <c r="G754">
        <f>SUMIFS($V$13:$V$429,$A$13:$A$429,$C754,$C$13:$C$429,$D754)</f>
        <v>0</v>
      </c>
      <c r="H754">
        <f>SUMIFS($W$13:$W$429,$A$13:$A$429,$C754,$C$13:$C$429,$D754)</f>
        <v>0</v>
      </c>
      <c r="I754">
        <f>SUMIFS($X$13:$X$429,$A$13:$A$429,$C754,$C$13:$C$429,$D754)</f>
        <v>0</v>
      </c>
      <c r="J754">
        <f>SUMIFS($Y$13:$Y$429,$A$13:$A$429,$C754,$C$13:$C$429,$D754)</f>
        <v>0</v>
      </c>
      <c r="K754">
        <f>SUMIFS($Z$13:$Z$429,$A$13:$A$429,$C754,$C$13:$C$429,$D754)</f>
        <v>0</v>
      </c>
      <c r="L754">
        <f>SUMIFS(L$13:L$429,$A$13:$A$429,$C754,$C$13:$C$429,$D754)</f>
        <v>0</v>
      </c>
      <c r="M754">
        <f>SUMIFS(M$13:M$429,$A$13:$A$429,$C754,$C$13:$C$429,$D754)</f>
        <v>0</v>
      </c>
      <c r="N754">
        <f>SUMIFS(N$13:N$429,$A$13:$A$429,$C754,$C$13:$C$429,$D754)</f>
        <v>0</v>
      </c>
      <c r="O754">
        <f>SUMIFS(O$13:O$429,$A$13:$A$429,$C754,$C$13:$C$429,$D754)</f>
        <v>0</v>
      </c>
      <c r="P754">
        <f>SUMIFS(P$13:P$429,$A$13:$A$429,$C754,$C$13:$C$429,$D754)</f>
        <v>0</v>
      </c>
      <c r="Q754">
        <f>SUMIFS(Q$13:Q$429,$A$13:$A$429,$C754,$C$13:$C$429,$D754)</f>
        <v>0</v>
      </c>
      <c r="R754">
        <f>SUMIFS(R$13:R$429,$A$13:$A$429,$C754,$C$13:$C$429,$D754)</f>
        <v>0</v>
      </c>
      <c r="S754">
        <f>SUMIFS(S$13:S$429,$A$13:$A$429,$C754,$C$13:$C$429,$D754)</f>
        <v>0</v>
      </c>
      <c r="T754">
        <f>SUMIFS(T$13:T$429,$A$13:$A$429,$C754,$C$13:$C$429,$D754)</f>
        <v>0</v>
      </c>
      <c r="U754">
        <f>SUM(L754:T754)</f>
        <v>0</v>
      </c>
      <c r="W754">
        <f>IF(SUM(H754:I754)&gt;0,SUM(H754:I754)/G754,0)</f>
        <v>0</v>
      </c>
      <c r="X754">
        <f>IF(G754&gt;0,U754/G754,0)</f>
        <v>0</v>
      </c>
    </row>
    <row r="755">
      <c r="C755" t="str">
        <v>Lantai Atap</v>
      </c>
      <c r="D755" t="str">
        <v>Potongan D</v>
      </c>
      <c r="G755">
        <f>SUMIFS($V$13:$V$429,$A$13:$A$429,$C755,$C$13:$C$429,$D755)</f>
        <v>0</v>
      </c>
      <c r="H755">
        <f>SUMIFS($W$13:$W$429,$A$13:$A$429,$C755,$C$13:$C$429,$D755)</f>
        <v>0</v>
      </c>
      <c r="I755">
        <f>SUMIFS($X$13:$X$429,$A$13:$A$429,$C755,$C$13:$C$429,$D755)</f>
        <v>0</v>
      </c>
      <c r="J755">
        <f>SUMIFS($Y$13:$Y$429,$A$13:$A$429,$C755,$C$13:$C$429,$D755)</f>
        <v>0</v>
      </c>
      <c r="K755">
        <f>SUMIFS($Z$13:$Z$429,$A$13:$A$429,$C755,$C$13:$C$429,$D755)</f>
        <v>0</v>
      </c>
      <c r="L755">
        <f>SUMIFS(L$13:L$429,$A$13:$A$429,$C755,$C$13:$C$429,$D755)</f>
        <v>0</v>
      </c>
      <c r="M755">
        <f>SUMIFS(M$13:M$429,$A$13:$A$429,$C755,$C$13:$C$429,$D755)</f>
        <v>0</v>
      </c>
      <c r="N755">
        <f>SUMIFS(N$13:N$429,$A$13:$A$429,$C755,$C$13:$C$429,$D755)</f>
        <v>0</v>
      </c>
      <c r="O755">
        <f>SUMIFS(O$13:O$429,$A$13:$A$429,$C755,$C$13:$C$429,$D755)</f>
        <v>0</v>
      </c>
      <c r="P755">
        <f>SUMIFS(P$13:P$429,$A$13:$A$429,$C755,$C$13:$C$429,$D755)</f>
        <v>0</v>
      </c>
      <c r="Q755">
        <f>SUMIFS(Q$13:Q$429,$A$13:$A$429,$C755,$C$13:$C$429,$D755)</f>
        <v>0</v>
      </c>
      <c r="R755">
        <f>SUMIFS(R$13:R$429,$A$13:$A$429,$C755,$C$13:$C$429,$D755)</f>
        <v>0</v>
      </c>
      <c r="S755">
        <f>SUMIFS(S$13:S$429,$A$13:$A$429,$C755,$C$13:$C$429,$D755)</f>
        <v>0</v>
      </c>
      <c r="T755">
        <f>SUMIFS(T$13:T$429,$A$13:$A$429,$C755,$C$13:$C$429,$D755)</f>
        <v>0</v>
      </c>
      <c r="U755">
        <f>SUM(L755:T755)</f>
        <v>0</v>
      </c>
      <c r="W755">
        <f>IF(SUM(H755:I755)&gt;0,SUM(H755:I755)/G755,0)</f>
        <v>0</v>
      </c>
      <c r="X755">
        <f>IF(G755&gt;0,U755/G755,0)</f>
        <v>0</v>
      </c>
    </row>
    <row r="756">
      <c r="C756" t="str">
        <v>Lantai Atap</v>
      </c>
      <c r="D756" t="str">
        <v>Potongan E</v>
      </c>
      <c r="G756">
        <f>SUMIFS($V$13:$V$429,$A$13:$A$429,$C756,$C$13:$C$429,$D756)</f>
        <v>0</v>
      </c>
      <c r="H756">
        <f>SUMIFS($W$13:$W$429,$A$13:$A$429,$C756,$C$13:$C$429,$D756)</f>
        <v>0</v>
      </c>
      <c r="I756">
        <f>SUMIFS($X$13:$X$429,$A$13:$A$429,$C756,$C$13:$C$429,$D756)</f>
        <v>0</v>
      </c>
      <c r="J756">
        <f>SUMIFS($Y$13:$Y$429,$A$13:$A$429,$C756,$C$13:$C$429,$D756)</f>
        <v>0</v>
      </c>
      <c r="K756">
        <f>SUMIFS($Z$13:$Z$429,$A$13:$A$429,$C756,$C$13:$C$429,$D756)</f>
        <v>0</v>
      </c>
      <c r="L756">
        <f>SUMIFS(L$13:L$429,$A$13:$A$429,$C756,$C$13:$C$429,$D756)</f>
        <v>0</v>
      </c>
      <c r="M756">
        <f>SUMIFS(M$13:M$429,$A$13:$A$429,$C756,$C$13:$C$429,$D756)</f>
        <v>0</v>
      </c>
      <c r="N756">
        <f>SUMIFS(N$13:N$429,$A$13:$A$429,$C756,$C$13:$C$429,$D756)</f>
        <v>0</v>
      </c>
      <c r="O756">
        <f>SUMIFS(O$13:O$429,$A$13:$A$429,$C756,$C$13:$C$429,$D756)</f>
        <v>0</v>
      </c>
      <c r="P756">
        <f>SUMIFS(P$13:P$429,$A$13:$A$429,$C756,$C$13:$C$429,$D756)</f>
        <v>0</v>
      </c>
      <c r="Q756">
        <f>SUMIFS(Q$13:Q$429,$A$13:$A$429,$C756,$C$13:$C$429,$D756)</f>
        <v>0</v>
      </c>
      <c r="R756">
        <f>SUMIFS(R$13:R$429,$A$13:$A$429,$C756,$C$13:$C$429,$D756)</f>
        <v>0</v>
      </c>
      <c r="S756">
        <f>SUMIFS(S$13:S$429,$A$13:$A$429,$C756,$C$13:$C$429,$D756)</f>
        <v>0</v>
      </c>
      <c r="T756">
        <f>SUMIFS(T$13:T$429,$A$13:$A$429,$C756,$C$13:$C$429,$D756)</f>
        <v>0</v>
      </c>
      <c r="U756">
        <f>SUM(L756:T756)</f>
        <v>0</v>
      </c>
      <c r="W756">
        <f>IF(SUM(H756:I756)&gt;0,SUM(H756:I756)/G756,0)</f>
        <v>0</v>
      </c>
      <c r="X756">
        <f>IF(G756&gt;0,U756/G756,0)</f>
        <v>0</v>
      </c>
    </row>
    <row r="757">
      <c r="C757" t="str">
        <v>Lantai Atap</v>
      </c>
      <c r="D757" t="str">
        <v>Potongan F</v>
      </c>
      <c r="G757">
        <f>SUMIFS($V$13:$V$429,$A$13:$A$429,$C757,$C$13:$C$429,$D757)</f>
        <v>0.243</v>
      </c>
      <c r="H757">
        <f>SUMIFS($W$13:$W$429,$A$13:$A$429,$C757,$C$13:$C$429,$D757)</f>
        <v>2.97</v>
      </c>
      <c r="I757">
        <f>SUMIFS($X$13:$X$429,$A$13:$A$429,$C757,$C$13:$C$429,$D757)</f>
        <v>0</v>
      </c>
      <c r="J757">
        <f>SUMIFS($Y$13:$Y$429,$A$13:$A$429,$C757,$C$13:$C$429,$D757)</f>
        <v>0</v>
      </c>
      <c r="K757">
        <f>SUMIFS($Z$13:$Z$429,$A$13:$A$429,$C757,$C$13:$C$429,$D757)</f>
        <v>0</v>
      </c>
      <c r="L757">
        <f>SUMIFS(L$13:L$429,$A$13:$A$429,$C757,$C$13:$C$429,$D757)</f>
        <v>0</v>
      </c>
      <c r="M757">
        <f>SUMIFS(M$13:M$429,$A$13:$A$429,$C757,$C$13:$C$429,$D757)</f>
        <v>0</v>
      </c>
      <c r="N757">
        <f>SUMIFS(N$13:N$429,$A$13:$A$429,$C757,$C$13:$C$429,$D757)</f>
        <v>23.827725</v>
      </c>
      <c r="O757">
        <f>SUMIFS(O$13:O$429,$A$13:$A$429,$C757,$C$13:$C$429,$D757)</f>
        <v>0</v>
      </c>
      <c r="P757">
        <f>SUMIFS(P$13:P$429,$A$13:$A$429,$C757,$C$13:$C$429,$D757)</f>
        <v>38.938337280000006</v>
      </c>
      <c r="Q757">
        <f>SUMIFS(Q$13:Q$429,$A$13:$A$429,$C757,$C$13:$C$429,$D757)</f>
        <v>0</v>
      </c>
      <c r="R757">
        <f>SUMIFS(R$13:R$429,$A$13:$A$429,$C757,$C$13:$C$429,$D757)</f>
        <v>0</v>
      </c>
      <c r="S757">
        <f>SUMIFS(S$13:S$429,$A$13:$A$429,$C757,$C$13:$C$429,$D757)</f>
        <v>0</v>
      </c>
      <c r="T757">
        <f>SUMIFS(T$13:T$429,$A$13:$A$429,$C757,$C$13:$C$429,$D757)</f>
        <v>0</v>
      </c>
      <c r="U757">
        <f>SUM(L757:T757)</f>
        <v>62.76606228000001</v>
      </c>
      <c r="W757">
        <f>IF(SUM(H757:I757)&gt;0,SUM(H757:I757)/G757,0)</f>
        <v>12.222222222222223</v>
      </c>
      <c r="X757">
        <f>IF(G757&gt;0,U757/G757,0)</f>
        <v>258.2965525925926</v>
      </c>
    </row>
    <row r="758">
      <c r="C758" t="str">
        <v>Lantai Atap</v>
      </c>
      <c r="D758" t="str">
        <v>Potongan G</v>
      </c>
      <c r="G758">
        <f>SUMIFS($V$13:$V$429,$A$13:$A$429,$C758,$C$13:$C$429,$D758)</f>
        <v>0</v>
      </c>
      <c r="H758">
        <f>SUMIFS($W$13:$W$429,$A$13:$A$429,$C758,$C$13:$C$429,$D758)</f>
        <v>0</v>
      </c>
      <c r="I758">
        <f>SUMIFS($X$13:$X$429,$A$13:$A$429,$C758,$C$13:$C$429,$D758)</f>
        <v>0</v>
      </c>
      <c r="J758">
        <f>SUMIFS($Y$13:$Y$429,$A$13:$A$429,$C758,$C$13:$C$429,$D758)</f>
        <v>0</v>
      </c>
      <c r="K758">
        <f>SUMIFS($Z$13:$Z$429,$A$13:$A$429,$C758,$C$13:$C$429,$D758)</f>
        <v>0</v>
      </c>
      <c r="L758">
        <f>SUMIFS(L$13:L$429,$A$13:$A$429,$C758,$C$13:$C$429,$D758)</f>
        <v>0</v>
      </c>
      <c r="M758">
        <f>SUMIFS(M$13:M$429,$A$13:$A$429,$C758,$C$13:$C$429,$D758)</f>
        <v>0</v>
      </c>
      <c r="N758">
        <f>SUMIFS(N$13:N$429,$A$13:$A$429,$C758,$C$13:$C$429,$D758)</f>
        <v>0</v>
      </c>
      <c r="O758">
        <f>SUMIFS(O$13:O$429,$A$13:$A$429,$C758,$C$13:$C$429,$D758)</f>
        <v>0</v>
      </c>
      <c r="P758">
        <f>SUMIFS(P$13:P$429,$A$13:$A$429,$C758,$C$13:$C$429,$D758)</f>
        <v>0</v>
      </c>
      <c r="Q758">
        <f>SUMIFS(Q$13:Q$429,$A$13:$A$429,$C758,$C$13:$C$429,$D758)</f>
        <v>0</v>
      </c>
      <c r="R758">
        <f>SUMIFS(R$13:R$429,$A$13:$A$429,$C758,$C$13:$C$429,$D758)</f>
        <v>0</v>
      </c>
      <c r="S758">
        <f>SUMIFS(S$13:S$429,$A$13:$A$429,$C758,$C$13:$C$429,$D758)</f>
        <v>0</v>
      </c>
      <c r="T758">
        <f>SUMIFS(T$13:T$429,$A$13:$A$429,$C758,$C$13:$C$429,$D758)</f>
        <v>0</v>
      </c>
      <c r="U758">
        <f>SUM(L758:T758)</f>
        <v>0</v>
      </c>
      <c r="W758">
        <f>IF(SUM(H758:I758)&gt;0,SUM(H758:I758)/G758,0)</f>
        <v>0</v>
      </c>
      <c r="X758">
        <f>IF(G758&gt;0,U758/G758,0)</f>
        <v>0</v>
      </c>
    </row>
    <row r="759">
      <c r="C759" t="str">
        <v>Lantai Atap</v>
      </c>
      <c r="D759" t="str">
        <v>Potongan H</v>
      </c>
      <c r="G759">
        <f>SUMIFS($V$13:$V$429,$A$13:$A$429,$C759,$C$13:$C$429,$D759)</f>
        <v>0</v>
      </c>
      <c r="H759">
        <f>SUMIFS($W$13:$W$429,$A$13:$A$429,$C759,$C$13:$C$429,$D759)</f>
        <v>0</v>
      </c>
      <c r="I759">
        <f>SUMIFS($X$13:$X$429,$A$13:$A$429,$C759,$C$13:$C$429,$D759)</f>
        <v>0</v>
      </c>
      <c r="J759">
        <f>SUMIFS($Y$13:$Y$429,$A$13:$A$429,$C759,$C$13:$C$429,$D759)</f>
        <v>0</v>
      </c>
      <c r="K759">
        <f>SUMIFS($Z$13:$Z$429,$A$13:$A$429,$C759,$C$13:$C$429,$D759)</f>
        <v>0</v>
      </c>
      <c r="L759">
        <f>SUMIFS(L$13:L$429,$A$13:$A$429,$C759,$C$13:$C$429,$D759)</f>
        <v>0</v>
      </c>
      <c r="M759">
        <f>SUMIFS(M$13:M$429,$A$13:$A$429,$C759,$C$13:$C$429,$D759)</f>
        <v>0</v>
      </c>
      <c r="N759">
        <f>SUMIFS(N$13:N$429,$A$13:$A$429,$C759,$C$13:$C$429,$D759)</f>
        <v>0</v>
      </c>
      <c r="O759">
        <f>SUMIFS(O$13:O$429,$A$13:$A$429,$C759,$C$13:$C$429,$D759)</f>
        <v>0</v>
      </c>
      <c r="P759">
        <f>SUMIFS(P$13:P$429,$A$13:$A$429,$C759,$C$13:$C$429,$D759)</f>
        <v>0</v>
      </c>
      <c r="Q759">
        <f>SUMIFS(Q$13:Q$429,$A$13:$A$429,$C759,$C$13:$C$429,$D759)</f>
        <v>0</v>
      </c>
      <c r="R759">
        <f>SUMIFS(R$13:R$429,$A$13:$A$429,$C759,$C$13:$C$429,$D759)</f>
        <v>0</v>
      </c>
      <c r="S759">
        <f>SUMIFS(S$13:S$429,$A$13:$A$429,$C759,$C$13:$C$429,$D759)</f>
        <v>0</v>
      </c>
      <c r="T759">
        <f>SUMIFS(T$13:T$429,$A$13:$A$429,$C759,$C$13:$C$429,$D759)</f>
        <v>0</v>
      </c>
      <c r="U759">
        <f>SUM(L759:T759)</f>
        <v>0</v>
      </c>
      <c r="W759">
        <f>IF(SUM(H759:I759)&gt;0,SUM(H759:I759)/G759,0)</f>
        <v>0</v>
      </c>
      <c r="X759">
        <f>IF(G759&gt;0,U759/G759,0)</f>
        <v>0</v>
      </c>
    </row>
    <row r="760">
      <c r="C760" t="str">
        <v>Lantai Atap</v>
      </c>
      <c r="D760" t="str">
        <v>Potongan I</v>
      </c>
      <c r="G760">
        <f>SUMIFS($V$13:$V$429,$A$13:$A$429,$C760,$C$13:$C$429,$D760)</f>
        <v>0</v>
      </c>
      <c r="H760">
        <f>SUMIFS($W$13:$W$429,$A$13:$A$429,$C760,$C$13:$C$429,$D760)</f>
        <v>0</v>
      </c>
      <c r="I760">
        <f>SUMIFS($X$13:$X$429,$A$13:$A$429,$C760,$C$13:$C$429,$D760)</f>
        <v>0</v>
      </c>
      <c r="J760">
        <f>SUMIFS($Y$13:$Y$429,$A$13:$A$429,$C760,$C$13:$C$429,$D760)</f>
        <v>0</v>
      </c>
      <c r="K760">
        <f>SUMIFS($Z$13:$Z$429,$A$13:$A$429,$C760,$C$13:$C$429,$D760)</f>
        <v>0</v>
      </c>
      <c r="L760">
        <f>SUMIFS(L$13:L$429,$A$13:$A$429,$C760,$C$13:$C$429,$D760)</f>
        <v>0</v>
      </c>
      <c r="M760">
        <f>SUMIFS(M$13:M$429,$A$13:$A$429,$C760,$C$13:$C$429,$D760)</f>
        <v>0</v>
      </c>
      <c r="N760">
        <f>SUMIFS(N$13:N$429,$A$13:$A$429,$C760,$C$13:$C$429,$D760)</f>
        <v>0</v>
      </c>
      <c r="O760">
        <f>SUMIFS(O$13:O$429,$A$13:$A$429,$C760,$C$13:$C$429,$D760)</f>
        <v>0</v>
      </c>
      <c r="P760">
        <f>SUMIFS(P$13:P$429,$A$13:$A$429,$C760,$C$13:$C$429,$D760)</f>
        <v>0</v>
      </c>
      <c r="Q760">
        <f>SUMIFS(Q$13:Q$429,$A$13:$A$429,$C760,$C$13:$C$429,$D760)</f>
        <v>0</v>
      </c>
      <c r="R760">
        <f>SUMIFS(R$13:R$429,$A$13:$A$429,$C760,$C$13:$C$429,$D760)</f>
        <v>0</v>
      </c>
      <c r="S760">
        <f>SUMIFS(S$13:S$429,$A$13:$A$429,$C760,$C$13:$C$429,$D760)</f>
        <v>0</v>
      </c>
      <c r="T760">
        <f>SUMIFS(T$13:T$429,$A$13:$A$429,$C760,$C$13:$C$429,$D760)</f>
        <v>0</v>
      </c>
      <c r="U760">
        <f>SUM(L760:T760)</f>
        <v>0</v>
      </c>
      <c r="W760">
        <f>IF(SUM(H760:I760)&gt;0,SUM(H760:I760)/G760,0)</f>
        <v>0</v>
      </c>
      <c r="X760">
        <f>IF(G760&gt;0,U760/G760,0)</f>
        <v>0</v>
      </c>
    </row>
    <row r="761">
      <c r="C761" t="str">
        <v>Lantai Atap</v>
      </c>
      <c r="D761" t="str">
        <v>Potongan J</v>
      </c>
      <c r="G761">
        <f>SUMIFS($V$13:$V$429,$A$13:$A$429,$C761,$C$13:$C$429,$D761)</f>
        <v>0</v>
      </c>
      <c r="H761">
        <f>SUMIFS($W$13:$W$429,$A$13:$A$429,$C761,$C$13:$C$429,$D761)</f>
        <v>0</v>
      </c>
      <c r="I761">
        <f>SUMIFS($X$13:$X$429,$A$13:$A$429,$C761,$C$13:$C$429,$D761)</f>
        <v>0</v>
      </c>
      <c r="J761">
        <f>SUMIFS($Y$13:$Y$429,$A$13:$A$429,$C761,$C$13:$C$429,$D761)</f>
        <v>0</v>
      </c>
      <c r="K761">
        <f>SUMIFS($Z$13:$Z$429,$A$13:$A$429,$C761,$C$13:$C$429,$D761)</f>
        <v>0</v>
      </c>
      <c r="L761">
        <f>SUMIFS(L$13:L$429,$A$13:$A$429,$C761,$C$13:$C$429,$D761)</f>
        <v>0</v>
      </c>
      <c r="M761">
        <f>SUMIFS(M$13:M$429,$A$13:$A$429,$C761,$C$13:$C$429,$D761)</f>
        <v>0</v>
      </c>
      <c r="N761">
        <f>SUMIFS(N$13:N$429,$A$13:$A$429,$C761,$C$13:$C$429,$D761)</f>
        <v>0</v>
      </c>
      <c r="O761">
        <f>SUMIFS(O$13:O$429,$A$13:$A$429,$C761,$C$13:$C$429,$D761)</f>
        <v>0</v>
      </c>
      <c r="P761">
        <f>SUMIFS(P$13:P$429,$A$13:$A$429,$C761,$C$13:$C$429,$D761)</f>
        <v>0</v>
      </c>
      <c r="Q761">
        <f>SUMIFS(Q$13:Q$429,$A$13:$A$429,$C761,$C$13:$C$429,$D761)</f>
        <v>0</v>
      </c>
      <c r="R761">
        <f>SUMIFS(R$13:R$429,$A$13:$A$429,$C761,$C$13:$C$429,$D761)</f>
        <v>0</v>
      </c>
      <c r="S761">
        <f>SUMIFS(S$13:S$429,$A$13:$A$429,$C761,$C$13:$C$429,$D761)</f>
        <v>0</v>
      </c>
      <c r="T761">
        <f>SUMIFS(T$13:T$429,$A$13:$A$429,$C761,$C$13:$C$429,$D761)</f>
        <v>0</v>
      </c>
      <c r="U761">
        <f>SUM(L761:T761)</f>
        <v>0</v>
      </c>
      <c r="W761">
        <f>IF(SUM(H761:I761)&gt;0,SUM(H761:I761)/G761,0)</f>
        <v>0</v>
      </c>
      <c r="X761">
        <f>IF(G761&gt;0,U761/G761,0)</f>
        <v>0</v>
      </c>
    </row>
    <row r="762">
      <c r="C762" t="str">
        <v>Lantai Atap</v>
      </c>
      <c r="D762" t="str">
        <v>Potongan K</v>
      </c>
      <c r="G762">
        <f>SUMIFS($V$13:$V$429,$A$13:$A$429,$C762,$C$13:$C$429,$D762)</f>
        <v>0</v>
      </c>
      <c r="H762">
        <f>SUMIFS($W$13:$W$429,$A$13:$A$429,$C762,$C$13:$C$429,$D762)</f>
        <v>0</v>
      </c>
      <c r="I762">
        <f>SUMIFS($X$13:$X$429,$A$13:$A$429,$C762,$C$13:$C$429,$D762)</f>
        <v>0</v>
      </c>
      <c r="J762">
        <f>SUMIFS($Y$13:$Y$429,$A$13:$A$429,$C762,$C$13:$C$429,$D762)</f>
        <v>0</v>
      </c>
      <c r="K762">
        <f>SUMIFS($Z$13:$Z$429,$A$13:$A$429,$C762,$C$13:$C$429,$D762)</f>
        <v>0</v>
      </c>
      <c r="L762">
        <f>SUMIFS(L$13:L$429,$A$13:$A$429,$C762,$C$13:$C$429,$D762)</f>
        <v>0</v>
      </c>
      <c r="M762">
        <f>SUMIFS(M$13:M$429,$A$13:$A$429,$C762,$C$13:$C$429,$D762)</f>
        <v>0</v>
      </c>
      <c r="N762">
        <f>SUMIFS(N$13:N$429,$A$13:$A$429,$C762,$C$13:$C$429,$D762)</f>
        <v>0</v>
      </c>
      <c r="O762">
        <f>SUMIFS(O$13:O$429,$A$13:$A$429,$C762,$C$13:$C$429,$D762)</f>
        <v>0</v>
      </c>
      <c r="P762">
        <f>SUMIFS(P$13:P$429,$A$13:$A$429,$C762,$C$13:$C$429,$D762)</f>
        <v>0</v>
      </c>
      <c r="Q762">
        <f>SUMIFS(Q$13:Q$429,$A$13:$A$429,$C762,$C$13:$C$429,$D762)</f>
        <v>0</v>
      </c>
      <c r="R762">
        <f>SUMIFS(R$13:R$429,$A$13:$A$429,$C762,$C$13:$C$429,$D762)</f>
        <v>0</v>
      </c>
      <c r="S762">
        <f>SUMIFS(S$13:S$429,$A$13:$A$429,$C762,$C$13:$C$429,$D762)</f>
        <v>0</v>
      </c>
      <c r="T762">
        <f>SUMIFS(T$13:T$429,$A$13:$A$429,$C762,$C$13:$C$429,$D762)</f>
        <v>0</v>
      </c>
      <c r="U762">
        <f>SUM(L762:T762)</f>
        <v>0</v>
      </c>
      <c r="W762">
        <f>IF(SUM(H762:I762)&gt;0,SUM(H762:I762)/G762,0)</f>
        <v>0</v>
      </c>
      <c r="X762">
        <f>IF(G762&gt;0,U762/G762,0)</f>
        <v>0</v>
      </c>
    </row>
    <row r="763">
      <c r="C763" t="str">
        <v>Lantai Atap</v>
      </c>
      <c r="D763" t="str">
        <v>Potongan L</v>
      </c>
      <c r="G763">
        <f>SUMIFS($V$13:$V$429,$A$13:$A$429,$C763,$C$13:$C$429,$D763)</f>
        <v>0.0759</v>
      </c>
      <c r="H763">
        <f>SUMIFS($W$13:$W$429,$A$13:$A$429,$C763,$C$13:$C$429,$D763)</f>
        <v>1.012</v>
      </c>
      <c r="I763">
        <f>SUMIFS($X$13:$X$429,$A$13:$A$429,$C763,$C$13:$C$429,$D763)</f>
        <v>0</v>
      </c>
      <c r="J763">
        <f>SUMIFS($Y$13:$Y$429,$A$13:$A$429,$C763,$C$13:$C$429,$D763)</f>
        <v>0</v>
      </c>
      <c r="K763">
        <f>SUMIFS($Z$13:$Z$429,$A$13:$A$429,$C763,$C$13:$C$429,$D763)</f>
        <v>0</v>
      </c>
      <c r="L763">
        <f>SUMIFS(L$13:L$429,$A$13:$A$429,$C763,$C$13:$C$429,$D763)</f>
        <v>0</v>
      </c>
      <c r="M763">
        <f>SUMIFS(M$13:M$429,$A$13:$A$429,$C763,$C$13:$C$429,$D763)</f>
        <v>4.716570239999999</v>
      </c>
      <c r="N763">
        <f>SUMIFS(N$13:N$429,$A$13:$A$429,$C763,$C$13:$C$429,$D763)</f>
        <v>0</v>
      </c>
      <c r="O763">
        <f>SUMIFS(O$13:O$429,$A$13:$A$429,$C763,$C$13:$C$429,$D763)</f>
        <v>8.215263225</v>
      </c>
      <c r="P763">
        <f>SUMIFS(P$13:P$429,$A$13:$A$429,$C763,$C$13:$C$429,$D763)</f>
        <v>0</v>
      </c>
      <c r="Q763">
        <f>SUMIFS(Q$13:Q$429,$A$13:$A$429,$C763,$C$13:$C$429,$D763)</f>
        <v>0</v>
      </c>
      <c r="R763">
        <f>SUMIFS(R$13:R$429,$A$13:$A$429,$C763,$C$13:$C$429,$D763)</f>
        <v>0</v>
      </c>
      <c r="S763">
        <f>SUMIFS(S$13:S$429,$A$13:$A$429,$C763,$C$13:$C$429,$D763)</f>
        <v>0</v>
      </c>
      <c r="T763">
        <f>SUMIFS(T$13:T$429,$A$13:$A$429,$C763,$C$13:$C$429,$D763)</f>
        <v>0</v>
      </c>
      <c r="U763">
        <f>SUM(L763:T763)</f>
        <v>12.931833464999999</v>
      </c>
      <c r="W763">
        <f>IF(SUM(H763:I763)&gt;0,SUM(H763:I763)/G763,0)</f>
        <v>13.333333333333334</v>
      </c>
      <c r="X763">
        <f>IF(G763&gt;0,U763/G763,0)</f>
        <v>170.3798875494071</v>
      </c>
    </row>
    <row r="764">
      <c r="C764" t="str">
        <v>Lantai Atap</v>
      </c>
      <c r="D764" t="str">
        <v>Potongan M</v>
      </c>
      <c r="G764">
        <f>SUMIFS($V$13:$V$429,$A$13:$A$429,$C764,$C$13:$C$429,$D764)</f>
        <v>0</v>
      </c>
      <c r="H764">
        <f>SUMIFS($W$13:$W$429,$A$13:$A$429,$C764,$C$13:$C$429,$D764)</f>
        <v>0</v>
      </c>
      <c r="I764">
        <f>SUMIFS($X$13:$X$429,$A$13:$A$429,$C764,$C$13:$C$429,$D764)</f>
        <v>0</v>
      </c>
      <c r="J764">
        <f>SUMIFS($Y$13:$Y$429,$A$13:$A$429,$C764,$C$13:$C$429,$D764)</f>
        <v>0</v>
      </c>
      <c r="K764">
        <f>SUMIFS($Z$13:$Z$429,$A$13:$A$429,$C764,$C$13:$C$429,$D764)</f>
        <v>0</v>
      </c>
      <c r="L764">
        <f>SUMIFS(L$13:L$429,$A$13:$A$429,$C764,$C$13:$C$429,$D764)</f>
        <v>0</v>
      </c>
      <c r="M764">
        <f>SUMIFS(M$13:M$429,$A$13:$A$429,$C764,$C$13:$C$429,$D764)</f>
        <v>0</v>
      </c>
      <c r="N764">
        <f>SUMIFS(N$13:N$429,$A$13:$A$429,$C764,$C$13:$C$429,$D764)</f>
        <v>0</v>
      </c>
      <c r="O764">
        <f>SUMIFS(O$13:O$429,$A$13:$A$429,$C764,$C$13:$C$429,$D764)</f>
        <v>0</v>
      </c>
      <c r="P764">
        <f>SUMIFS(P$13:P$429,$A$13:$A$429,$C764,$C$13:$C$429,$D764)</f>
        <v>0</v>
      </c>
      <c r="Q764">
        <f>SUMIFS(Q$13:Q$429,$A$13:$A$429,$C764,$C$13:$C$429,$D764)</f>
        <v>0</v>
      </c>
      <c r="R764">
        <f>SUMIFS(R$13:R$429,$A$13:$A$429,$C764,$C$13:$C$429,$D764)</f>
        <v>0</v>
      </c>
      <c r="S764">
        <f>SUMIFS(S$13:S$429,$A$13:$A$429,$C764,$C$13:$C$429,$D764)</f>
        <v>0</v>
      </c>
      <c r="T764">
        <f>SUMIFS(T$13:T$429,$A$13:$A$429,$C764,$C$13:$C$429,$D764)</f>
        <v>0</v>
      </c>
      <c r="U764">
        <f>SUM(L764:T764)</f>
        <v>0</v>
      </c>
      <c r="W764">
        <f>IF(SUM(H764:I764)&gt;0,SUM(H764:I764)/G764,0)</f>
        <v>0</v>
      </c>
      <c r="X764">
        <f>IF(G764&gt;0,U764/G764,0)</f>
        <v>0</v>
      </c>
    </row>
    <row r="765">
      <c r="C765" t="str">
        <v>Lantai Atap</v>
      </c>
      <c r="D765" t="str">
        <v>Potongan N</v>
      </c>
      <c r="G765">
        <f>SUMIFS($V$13:$V$429,$A$13:$A$429,$C765,$C$13:$C$429,$D765)</f>
        <v>0</v>
      </c>
      <c r="H765">
        <f>SUMIFS($W$13:$W$429,$A$13:$A$429,$C765,$C$13:$C$429,$D765)</f>
        <v>0</v>
      </c>
      <c r="I765">
        <f>SUMIFS($X$13:$X$429,$A$13:$A$429,$C765,$C$13:$C$429,$D765)</f>
        <v>0</v>
      </c>
      <c r="J765">
        <f>SUMIFS($Y$13:$Y$429,$A$13:$A$429,$C765,$C$13:$C$429,$D765)</f>
        <v>0</v>
      </c>
      <c r="K765">
        <f>SUMIFS($Z$13:$Z$429,$A$13:$A$429,$C765,$C$13:$C$429,$D765)</f>
        <v>0</v>
      </c>
      <c r="L765">
        <f>SUMIFS(L$13:L$429,$A$13:$A$429,$C765,$C$13:$C$429,$D765)</f>
        <v>0</v>
      </c>
      <c r="M765">
        <f>SUMIFS(M$13:M$429,$A$13:$A$429,$C765,$C$13:$C$429,$D765)</f>
        <v>0</v>
      </c>
      <c r="N765">
        <f>SUMIFS(N$13:N$429,$A$13:$A$429,$C765,$C$13:$C$429,$D765)</f>
        <v>0</v>
      </c>
      <c r="O765">
        <f>SUMIFS(O$13:O$429,$A$13:$A$429,$C765,$C$13:$C$429,$D765)</f>
        <v>0</v>
      </c>
      <c r="P765">
        <f>SUMIFS(P$13:P$429,$A$13:$A$429,$C765,$C$13:$C$429,$D765)</f>
        <v>0</v>
      </c>
      <c r="Q765">
        <f>SUMIFS(Q$13:Q$429,$A$13:$A$429,$C765,$C$13:$C$429,$D765)</f>
        <v>0</v>
      </c>
      <c r="R765">
        <f>SUMIFS(R$13:R$429,$A$13:$A$429,$C765,$C$13:$C$429,$D765)</f>
        <v>0</v>
      </c>
      <c r="S765">
        <f>SUMIFS(S$13:S$429,$A$13:$A$429,$C765,$C$13:$C$429,$D765)</f>
        <v>0</v>
      </c>
      <c r="T765">
        <f>SUMIFS(T$13:T$429,$A$13:$A$429,$C765,$C$13:$C$429,$D765)</f>
        <v>0</v>
      </c>
      <c r="U765">
        <f>SUM(L765:T765)</f>
        <v>0</v>
      </c>
      <c r="W765">
        <f>IF(SUM(H765:I765)&gt;0,SUM(H765:I765)/G765,0)</f>
        <v>0</v>
      </c>
      <c r="X765">
        <f>IF(G765&gt;0,U765/G765,0)</f>
        <v>0</v>
      </c>
    </row>
    <row r="766">
      <c r="C766" t="str">
        <v>Lantai Atap</v>
      </c>
      <c r="D766" t="str">
        <v>Potongan O</v>
      </c>
      <c r="G766">
        <f>SUMIFS($V$13:$V$429,$A$13:$A$429,$C766,$C$13:$C$429,$D766)</f>
        <v>0</v>
      </c>
      <c r="H766">
        <f>SUMIFS($W$13:$W$429,$A$13:$A$429,$C766,$C$13:$C$429,$D766)</f>
        <v>0</v>
      </c>
      <c r="I766">
        <f>SUMIFS($X$13:$X$429,$A$13:$A$429,$C766,$C$13:$C$429,$D766)</f>
        <v>0</v>
      </c>
      <c r="J766">
        <f>SUMIFS($Y$13:$Y$429,$A$13:$A$429,$C766,$C$13:$C$429,$D766)</f>
        <v>0</v>
      </c>
      <c r="K766">
        <f>SUMIFS($Z$13:$Z$429,$A$13:$A$429,$C766,$C$13:$C$429,$D766)</f>
        <v>0</v>
      </c>
      <c r="L766">
        <f>SUMIFS(L$13:L$429,$A$13:$A$429,$C766,$C$13:$C$429,$D766)</f>
        <v>0</v>
      </c>
      <c r="M766">
        <f>SUMIFS(M$13:M$429,$A$13:$A$429,$C766,$C$13:$C$429,$D766)</f>
        <v>0</v>
      </c>
      <c r="N766">
        <f>SUMIFS(N$13:N$429,$A$13:$A$429,$C766,$C$13:$C$429,$D766)</f>
        <v>0</v>
      </c>
      <c r="O766">
        <f>SUMIFS(O$13:O$429,$A$13:$A$429,$C766,$C$13:$C$429,$D766)</f>
        <v>0</v>
      </c>
      <c r="P766">
        <f>SUMIFS(P$13:P$429,$A$13:$A$429,$C766,$C$13:$C$429,$D766)</f>
        <v>0</v>
      </c>
      <c r="Q766">
        <f>SUMIFS(Q$13:Q$429,$A$13:$A$429,$C766,$C$13:$C$429,$D766)</f>
        <v>0</v>
      </c>
      <c r="R766">
        <f>SUMIFS(R$13:R$429,$A$13:$A$429,$C766,$C$13:$C$429,$D766)</f>
        <v>0</v>
      </c>
      <c r="S766">
        <f>SUMIFS(S$13:S$429,$A$13:$A$429,$C766,$C$13:$C$429,$D766)</f>
        <v>0</v>
      </c>
      <c r="T766">
        <f>SUMIFS(T$13:T$429,$A$13:$A$429,$C766,$C$13:$C$429,$D766)</f>
        <v>0</v>
      </c>
      <c r="U766">
        <f>SUM(L766:T766)</f>
        <v>0</v>
      </c>
      <c r="W766">
        <f>IF(SUM(H766:I766)&gt;0,SUM(H766:I766)/G766,0)</f>
        <v>0</v>
      </c>
      <c r="X766">
        <f>IF(G766&gt;0,U766/G766,0)</f>
        <v>0</v>
      </c>
    </row>
    <row r="767">
      <c r="C767" t="str">
        <v>Lantai Atap</v>
      </c>
      <c r="D767" t="str">
        <v>BB</v>
      </c>
      <c r="G767">
        <f>SUMIFS($V$13:$V$429,$A$13:$A$429,$C767,$C$13:$C$429,$D767)</f>
        <v>0</v>
      </c>
      <c r="H767">
        <f>SUMIFS($W$13:$W$429,$A$13:$A$429,$C767,$C$13:$C$429,$D767)</f>
        <v>0</v>
      </c>
      <c r="I767">
        <f>SUMIFS($X$13:$X$429,$A$13:$A$429,$C767,$C$13:$C$429,$D767)</f>
        <v>0</v>
      </c>
      <c r="J767">
        <f>SUMIFS($Y$13:$Y$429,$A$13:$A$429,$C767,$C$13:$C$429,$D767)</f>
        <v>0</v>
      </c>
      <c r="K767">
        <f>SUMIFS($Z$13:$Z$429,$A$13:$A$429,$C767,$C$13:$C$429,$D767)</f>
        <v>0</v>
      </c>
      <c r="L767">
        <f>SUMIFS(L$13:L$429,$A$13:$A$429,$C767,$C$13:$C$429,$D767)</f>
        <v>0</v>
      </c>
      <c r="M767">
        <f>SUMIFS(M$13:M$429,$A$13:$A$429,$C767,$C$13:$C$429,$D767)</f>
        <v>0</v>
      </c>
      <c r="N767">
        <f>SUMIFS(N$13:N$429,$A$13:$A$429,$C767,$C$13:$C$429,$D767)</f>
        <v>0</v>
      </c>
      <c r="O767">
        <f>SUMIFS(O$13:O$429,$A$13:$A$429,$C767,$C$13:$C$429,$D767)</f>
        <v>0</v>
      </c>
      <c r="P767">
        <f>SUMIFS(P$13:P$429,$A$13:$A$429,$C767,$C$13:$C$429,$D767)</f>
        <v>0</v>
      </c>
      <c r="Q767">
        <f>SUMIFS(Q$13:Q$429,$A$13:$A$429,$C767,$C$13:$C$429,$D767)</f>
        <v>0</v>
      </c>
      <c r="R767">
        <f>SUMIFS(R$13:R$429,$A$13:$A$429,$C767,$C$13:$C$429,$D767)</f>
        <v>0</v>
      </c>
      <c r="S767">
        <f>SUMIFS(S$13:S$429,$A$13:$A$429,$C767,$C$13:$C$429,$D767)</f>
        <v>0</v>
      </c>
      <c r="T767">
        <f>SUMIFS(T$13:T$429,$A$13:$A$429,$C767,$C$13:$C$429,$D767)</f>
        <v>0</v>
      </c>
      <c r="U767">
        <f>SUM(L767:T767)</f>
        <v>0</v>
      </c>
      <c r="W767">
        <f>IF(SUM(H767:I767)&gt;0,SUM(H767:I767)/G767,0)</f>
        <v>0</v>
      </c>
      <c r="X767">
        <f>IF(G767&gt;0,U767/G767,0)</f>
        <v>0</v>
      </c>
    </row>
    <row r="769">
      <c r="C769" t="str">
        <v>Subtotal Lantai Atap</v>
      </c>
      <c r="G769">
        <f>SUM(G692:G768)</f>
        <v>17.2133475</v>
      </c>
      <c r="H769">
        <f>SUM(H692:H768)</f>
        <v>228.08319999999998</v>
      </c>
      <c r="I769">
        <f>SUM(I692:I768)</f>
        <v>0</v>
      </c>
      <c r="J769">
        <f>SUM(J692:J768)</f>
        <v>0</v>
      </c>
      <c r="K769">
        <f>SUM(K692:K768)</f>
        <v>0</v>
      </c>
      <c r="L769">
        <f>SUM(L692:L768)</f>
        <v>0</v>
      </c>
      <c r="M769">
        <f>SUM(M692:M768)</f>
        <v>631.68819264</v>
      </c>
      <c r="N769">
        <f>SUM(N692:N768)</f>
        <v>783.750285</v>
      </c>
      <c r="O769">
        <f>SUM(O692:O768)</f>
        <v>657.8253513</v>
      </c>
      <c r="P769">
        <f>SUM(P692:P768)</f>
        <v>1304.7152256</v>
      </c>
      <c r="Q769">
        <f>SUM(Q692:Q768)</f>
        <v>35.873882234999996</v>
      </c>
      <c r="R769">
        <f>SUM(R692:R768)</f>
        <v>0</v>
      </c>
      <c r="S769">
        <f>SUM(S692:S768)</f>
        <v>0</v>
      </c>
      <c r="T769">
        <f>SUM(T692:T768)</f>
        <v>0</v>
      </c>
      <c r="U769">
        <f>SUM(U692:U768)</f>
        <v>3413.852936775</v>
      </c>
    </row>
    <row r="771">
      <c r="C771" t="str">
        <v>TOTAL</v>
      </c>
      <c r="G771">
        <f>SUM(G434:G770)/2</f>
        <v>166.46474400000002</v>
      </c>
      <c r="H771">
        <f>SUM(H434:H770)/2</f>
        <v>1323.4377</v>
      </c>
      <c r="I771">
        <f>SUM(I434:I770)/2</f>
        <v>333.155</v>
      </c>
      <c r="J771">
        <f>SUM(J434:J770)/2</f>
        <v>9.487299999999998</v>
      </c>
      <c r="K771">
        <f>SUM(K434:K770)/2</f>
        <v>240.4004</v>
      </c>
      <c r="L771">
        <f>SUM(L434:L770)/2</f>
        <v>0</v>
      </c>
      <c r="M771">
        <f>SUM(M434:M770)/2</f>
        <v>3157.1898923520002</v>
      </c>
      <c r="N771">
        <f>SUM(N434:N770)/2</f>
        <v>7348.901940000002</v>
      </c>
      <c r="O771">
        <f>SUM(O434:O770)/2</f>
        <v>7018.912105685999</v>
      </c>
      <c r="P771">
        <f>SUM(P434:P770)/2</f>
        <v>8619.975204479999</v>
      </c>
      <c r="Q771">
        <f>SUM(Q434:Q770)/2</f>
        <v>3210.9327909675</v>
      </c>
      <c r="R771">
        <f>SUM(R434:R770)/2</f>
        <v>6781.5081377999995</v>
      </c>
      <c r="S771">
        <f>SUM(S434:S770)/2</f>
        <v>0</v>
      </c>
      <c r="T771">
        <f>SUM(T434:T770)/2</f>
        <v>0</v>
      </c>
      <c r="U771">
        <f>SUM(U434:U770)/2</f>
        <v>36137.42007128552</v>
      </c>
      <c r="W771">
        <f>SUMPRODUCT(G434:G770,W434:W770)</f>
        <v>1656.5927</v>
      </c>
      <c r="X771">
        <f>SUMPRODUCT(G434:G770,X434:X770)</f>
        <v>36112.71272408549</v>
      </c>
    </row>
    <row r="772">
      <c r="N772" t="str">
        <v>CEK</v>
      </c>
      <c r="O772" t="str">
        <f>IF(AND(U771=SUM(U434:U770)/2,U771=U428),"OK","SALAH")</f>
        <v>OK</v>
      </c>
      <c r="W772">
        <f>W771-SUM(H771:I771)</f>
        <v>0</v>
      </c>
      <c r="X772">
        <f>X771-U771</f>
        <v>-24.707347200033837</v>
      </c>
    </row>
    <row r="774">
      <c r="U774">
        <v>37779.97289692499</v>
      </c>
    </row>
  </sheetData>
  <autoFilter ref="A13:Z426"/>
  <mergeCells count="32">
    <mergeCell ref="C771:F771"/>
    <mergeCell ref="C457:F457"/>
    <mergeCell ref="C535:F535"/>
    <mergeCell ref="C769:F769"/>
    <mergeCell ref="L432:T432"/>
    <mergeCell ref="G432:G433"/>
    <mergeCell ref="H432:H433"/>
    <mergeCell ref="I432:I433"/>
    <mergeCell ref="J432:J433"/>
    <mergeCell ref="K432:K433"/>
    <mergeCell ref="C613:F613"/>
    <mergeCell ref="C691:F691"/>
    <mergeCell ref="U432:U433"/>
    <mergeCell ref="W432:X432"/>
    <mergeCell ref="L11:T11"/>
    <mergeCell ref="U11:U12"/>
    <mergeCell ref="V11:V12"/>
    <mergeCell ref="W11:W12"/>
    <mergeCell ref="X11:X12"/>
    <mergeCell ref="G10:Z10"/>
    <mergeCell ref="G11:G12"/>
    <mergeCell ref="H11:H12"/>
    <mergeCell ref="I11:I12"/>
    <mergeCell ref="J11:J12"/>
    <mergeCell ref="K11:K12"/>
    <mergeCell ref="Z11:Z12"/>
    <mergeCell ref="Y11:Y12"/>
    <mergeCell ref="A10:A12"/>
    <mergeCell ref="B10:B12"/>
    <mergeCell ref="C10:C12"/>
    <mergeCell ref="D10:F12"/>
    <mergeCell ref="C432:F433"/>
  </mergeCells>
  <pageMargins left="0.45" right="0.45" top="0.75" bottom="0.75" header="0.3" footer="0.3"/>
  <ignoredErrors>
    <ignoredError numberStoredAsText="1" sqref="A1:AC774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Q433"/>
  <sheetViews>
    <sheetView workbookViewId="0" rightToLeft="0"/>
  </sheetViews>
  <sheetData>
    <row r="1">
      <c r="B1" t="str">
        <v>DATA BALOK</v>
      </c>
      <c r="G1" t="str">
        <v>S1, S2</v>
      </c>
      <c r="H1">
        <v>130</v>
      </c>
      <c r="I1" t="str">
        <v>S6A-C</v>
      </c>
      <c r="J1">
        <v>130</v>
      </c>
      <c r="K1" t="str">
        <v>SP</v>
      </c>
      <c r="L1">
        <v>200</v>
      </c>
    </row>
    <row r="2">
      <c r="G2" t="str">
        <v>S3</v>
      </c>
      <c r="H2">
        <v>135</v>
      </c>
      <c r="I2" t="str">
        <v>S7</v>
      </c>
      <c r="J2">
        <v>170</v>
      </c>
    </row>
    <row r="3">
      <c r="B3" t="str">
        <v>Proyek</v>
      </c>
      <c r="C3" t="str">
        <v>: Pakuwon Indah PD3 no. 23</v>
      </c>
      <c r="G3" t="str">
        <v>S4</v>
      </c>
      <c r="H3">
        <v>150</v>
      </c>
      <c r="I3" t="str">
        <v>ST1</v>
      </c>
      <c r="J3">
        <v>135</v>
      </c>
    </row>
    <row r="4">
      <c r="B4" t="str">
        <v>Area</v>
      </c>
      <c r="G4" t="str">
        <v>S5</v>
      </c>
      <c r="H4">
        <v>200</v>
      </c>
      <c r="I4" t="str">
        <v>ST2-3</v>
      </c>
      <c r="J4">
        <v>150</v>
      </c>
    </row>
    <row r="6" xml:space="preserve">
      <c r="A6" t="str">
        <v>Lantai / Elevasi</v>
      </c>
      <c r="B6" t="str">
        <v>Nomor Balok</v>
      </c>
      <c r="C6" t="str">
        <v>Lantai / Elevasi &amp; No. Balok</v>
      </c>
      <c r="D6" t="str">
        <v>Tipe Balok</v>
      </c>
      <c r="E6" t="str">
        <v>Jumlah</v>
      </c>
      <c r="F6" t="str">
        <v>Panjang Bruto</v>
      </c>
      <c r="G6" t="str">
        <v>- Kiri</v>
      </c>
      <c r="H6" t="str">
        <v>- Kanan</v>
      </c>
      <c r="I6" t="str">
        <v>Panjang Netto</v>
      </c>
      <c r="J6" t="str">
        <v>Tebal Plat</v>
      </c>
      <c r="K6" t="str">
        <v>Kolom / Balok Kiri</v>
      </c>
      <c r="L6" t="str">
        <v>Kolom / Balok Kanan</v>
      </c>
      <c r="M6" t="str">
        <v>Elv. Top</v>
      </c>
      <c r="N6" t="str">
        <v>Keterangan</v>
      </c>
      <c r="Q6" t="str" xml:space="preserve">
        <v xml:space="preserve">Tebal Plat_x000d_
(real)</v>
      </c>
    </row>
    <row r="8">
      <c r="F8" t="str">
        <v>mm</v>
      </c>
      <c r="G8" t="str">
        <v>mm</v>
      </c>
      <c r="H8" t="str">
        <v>mm</v>
      </c>
      <c r="I8" t="str">
        <v>mm</v>
      </c>
      <c r="K8" t="str">
        <v>mm</v>
      </c>
      <c r="L8" t="str">
        <v>mm</v>
      </c>
    </row>
    <row r="10">
      <c r="A10" t="str">
        <v>Sloof</v>
      </c>
      <c r="B10">
        <v>1</v>
      </c>
      <c r="C10" t="str">
        <f>CONCATENATE(A10," no. ",B10)</f>
        <v>Sloof no. 1</v>
      </c>
      <c r="D10" t="str">
        <v>TB25-2</v>
      </c>
      <c r="E10">
        <v>1</v>
      </c>
      <c r="F10">
        <v>3500</v>
      </c>
      <c r="I10">
        <f>+F10-G10-H10</f>
        <v>3500</v>
      </c>
      <c r="J10">
        <v>0</v>
      </c>
    </row>
    <row r="11">
      <c r="A11" t="str">
        <v>Sloof</v>
      </c>
      <c r="B11">
        <f>B10+1</f>
        <v>2</v>
      </c>
      <c r="C11" t="str">
        <f>CONCATENATE(A11," no. ",B11)</f>
        <v>Sloof no. 2</v>
      </c>
      <c r="D11" t="str">
        <v>TB245-1</v>
      </c>
      <c r="E11">
        <v>1</v>
      </c>
      <c r="F11">
        <v>3500</v>
      </c>
      <c r="I11">
        <f>+F11-G11-H11</f>
        <v>3500</v>
      </c>
      <c r="J11">
        <v>0</v>
      </c>
    </row>
    <row r="12">
      <c r="A12" t="str">
        <v>Sloof</v>
      </c>
      <c r="B12">
        <f>B11+1</f>
        <v>3</v>
      </c>
      <c r="C12" t="str">
        <f>CONCATENATE(A12," no. ",B12)</f>
        <v>Sloof no. 3</v>
      </c>
      <c r="D12" t="str">
        <v>TB245-1</v>
      </c>
      <c r="E12">
        <v>1</v>
      </c>
      <c r="F12">
        <v>6000</v>
      </c>
      <c r="I12">
        <f>+F12-G12-H12</f>
        <v>6000</v>
      </c>
      <c r="J12">
        <v>0</v>
      </c>
    </row>
    <row r="13">
      <c r="A13" t="str">
        <v>Sloof</v>
      </c>
      <c r="B13">
        <f>B12+1</f>
        <v>4</v>
      </c>
      <c r="C13" t="str">
        <f>CONCATENATE(A13," no. ",B13)</f>
        <v>Sloof no. 4</v>
      </c>
      <c r="D13" t="str">
        <v>TB245-1</v>
      </c>
      <c r="E13">
        <v>1</v>
      </c>
      <c r="F13">
        <v>2200</v>
      </c>
      <c r="I13">
        <f>+F13-G13-H13</f>
        <v>2200</v>
      </c>
      <c r="J13">
        <v>0</v>
      </c>
    </row>
    <row r="14">
      <c r="A14" t="str">
        <v>Sloof</v>
      </c>
      <c r="B14">
        <f>B13+1</f>
        <v>5</v>
      </c>
      <c r="C14" t="str">
        <f>CONCATENATE(A14," no. ",B14)</f>
        <v>Sloof no. 5</v>
      </c>
      <c r="D14" t="str">
        <v>TB245-1</v>
      </c>
      <c r="E14">
        <v>1</v>
      </c>
      <c r="F14">
        <v>2800</v>
      </c>
      <c r="I14">
        <f>+F14-G14-H14</f>
        <v>2800</v>
      </c>
      <c r="J14">
        <v>0</v>
      </c>
    </row>
    <row r="15">
      <c r="A15" t="str">
        <v>Sloof</v>
      </c>
      <c r="B15">
        <f>B14+1</f>
        <v>6</v>
      </c>
      <c r="C15" t="str">
        <f>CONCATENATE(A15," no. ",B15)</f>
        <v>Sloof no. 6</v>
      </c>
      <c r="D15" t="str">
        <v>TB24-1</v>
      </c>
      <c r="E15">
        <v>0</v>
      </c>
      <c r="F15">
        <v>4830</v>
      </c>
      <c r="I15">
        <f>+F15-G15-H15</f>
        <v>4830</v>
      </c>
      <c r="J15">
        <v>0</v>
      </c>
    </row>
    <row r="16">
      <c r="A16" t="str">
        <v>Sloof</v>
      </c>
      <c r="B16">
        <f>B15+1</f>
        <v>7</v>
      </c>
      <c r="C16" t="str">
        <f>CONCATENATE(A16," no. ",B16)</f>
        <v>Sloof no. 7</v>
      </c>
      <c r="D16" t="str">
        <v>TBK25-1</v>
      </c>
      <c r="E16">
        <v>0</v>
      </c>
      <c r="F16">
        <v>4830</v>
      </c>
      <c r="I16">
        <f>+F16-G16-H16</f>
        <v>4830</v>
      </c>
      <c r="J16">
        <v>0</v>
      </c>
    </row>
    <row r="17">
      <c r="A17" t="str">
        <v>Sloof</v>
      </c>
      <c r="B17">
        <f>B16+1</f>
        <v>8</v>
      </c>
      <c r="C17" t="str">
        <f>CONCATENATE(A17," no. ",B17)</f>
        <v>Sloof no. 8</v>
      </c>
      <c r="D17" t="str">
        <v>TB46-1</v>
      </c>
      <c r="E17">
        <v>1</v>
      </c>
      <c r="F17">
        <v>3600</v>
      </c>
      <c r="I17">
        <f>+F17-G17-H17</f>
        <v>3600</v>
      </c>
      <c r="J17">
        <v>150</v>
      </c>
    </row>
    <row r="18">
      <c r="A18" t="str">
        <v>Sloof</v>
      </c>
      <c r="B18">
        <f>B17+1</f>
        <v>9</v>
      </c>
      <c r="C18" t="str">
        <f>CONCATENATE(A18," no. ",B18)</f>
        <v>Sloof no. 9</v>
      </c>
      <c r="D18" t="str">
        <v>TB245-1</v>
      </c>
      <c r="E18">
        <v>1</v>
      </c>
      <c r="F18">
        <v>8700</v>
      </c>
      <c r="I18">
        <f>+F18-G18-H18</f>
        <v>8700</v>
      </c>
      <c r="J18">
        <v>150</v>
      </c>
    </row>
    <row r="19">
      <c r="A19" t="str">
        <v>Sloof</v>
      </c>
      <c r="B19">
        <f>B18+1</f>
        <v>10</v>
      </c>
      <c r="C19" t="str">
        <f>CONCATENATE(A19," no. ",B19)</f>
        <v>Sloof no. 10</v>
      </c>
      <c r="D19" t="str">
        <v>TB25-1</v>
      </c>
      <c r="E19">
        <v>1</v>
      </c>
      <c r="F19">
        <v>4250</v>
      </c>
      <c r="I19">
        <f>+F19-G19-H19</f>
        <v>4250</v>
      </c>
      <c r="J19">
        <v>150</v>
      </c>
    </row>
    <row r="20">
      <c r="A20" t="str">
        <v>Sloof</v>
      </c>
      <c r="B20">
        <f>B19+1</f>
        <v>11</v>
      </c>
      <c r="C20" t="str">
        <f>CONCATENATE(A20," no. ",B20)</f>
        <v>Sloof no. 11</v>
      </c>
      <c r="D20" t="str">
        <v>Potongan S4</v>
      </c>
      <c r="E20">
        <v>1</v>
      </c>
      <c r="F20">
        <v>2100</v>
      </c>
      <c r="I20">
        <f>+F20-G20-H20</f>
        <v>2100</v>
      </c>
      <c r="J20">
        <v>150</v>
      </c>
    </row>
    <row r="21">
      <c r="A21" t="str">
        <v>Sloof</v>
      </c>
      <c r="B21">
        <f>B20+1</f>
        <v>12</v>
      </c>
      <c r="C21" t="str">
        <f>CONCATENATE(A21," no. ",B21)</f>
        <v>Sloof no. 12</v>
      </c>
      <c r="D21" t="str">
        <v>Potongan S4</v>
      </c>
      <c r="E21">
        <v>1</v>
      </c>
      <c r="F21">
        <v>3335</v>
      </c>
      <c r="I21">
        <f>+F21-G21-H21</f>
        <v>3335</v>
      </c>
      <c r="J21">
        <v>150</v>
      </c>
    </row>
    <row r="22">
      <c r="A22" t="str">
        <v>Sloof</v>
      </c>
      <c r="B22">
        <f>B21+1</f>
        <v>13</v>
      </c>
      <c r="C22" t="str">
        <f>CONCATENATE(A22," no. ",B22)</f>
        <v>Sloof no. 13</v>
      </c>
      <c r="D22" t="str">
        <v>TB25-2</v>
      </c>
      <c r="E22">
        <v>1</v>
      </c>
      <c r="F22">
        <v>5265</v>
      </c>
      <c r="I22">
        <f>+F22-G22-H22</f>
        <v>5265</v>
      </c>
      <c r="J22">
        <v>150</v>
      </c>
    </row>
    <row r="23">
      <c r="A23" t="str">
        <v>Sloof</v>
      </c>
      <c r="B23">
        <f>B22+1</f>
        <v>14</v>
      </c>
      <c r="C23" t="str">
        <f>CONCATENATE(A23," no. ",B23)</f>
        <v>Sloof no. 14</v>
      </c>
      <c r="D23" t="str">
        <v>TB245-1</v>
      </c>
      <c r="E23">
        <v>1</v>
      </c>
      <c r="F23">
        <v>7750</v>
      </c>
      <c r="I23">
        <f>+F23-G23-H23</f>
        <v>7750</v>
      </c>
      <c r="J23">
        <v>150</v>
      </c>
    </row>
    <row r="24">
      <c r="A24" t="str">
        <v>Sloof</v>
      </c>
      <c r="B24">
        <f>B23+1</f>
        <v>15</v>
      </c>
      <c r="C24" t="str">
        <f>CONCATENATE(A24," no. ",B24)</f>
        <v>Sloof no. 15</v>
      </c>
      <c r="D24" t="str">
        <v>TB24-1</v>
      </c>
      <c r="E24">
        <v>1</v>
      </c>
      <c r="F24">
        <v>2000</v>
      </c>
      <c r="I24">
        <f>+F24-G24-H24</f>
        <v>2000</v>
      </c>
      <c r="J24">
        <v>150</v>
      </c>
    </row>
    <row r="25">
      <c r="A25" t="str">
        <v>Sloof</v>
      </c>
      <c r="B25">
        <f>B24+1</f>
        <v>16</v>
      </c>
      <c r="C25" t="str">
        <f>CONCATENATE(A25," no. ",B25)</f>
        <v>Sloof no. 16</v>
      </c>
      <c r="D25" t="str">
        <v>Potongan S4</v>
      </c>
      <c r="E25">
        <v>1</v>
      </c>
      <c r="F25">
        <v>2160</v>
      </c>
      <c r="I25">
        <f>+F25-G25-H25</f>
        <v>2160</v>
      </c>
      <c r="J25">
        <v>150</v>
      </c>
    </row>
    <row r="26">
      <c r="A26" t="str">
        <v>Sloof</v>
      </c>
      <c r="B26" t="str">
        <v>16A</v>
      </c>
      <c r="C26" t="str">
        <f>CONCATENATE(A26," no. ",B26)</f>
        <v>Sloof no. 16A</v>
      </c>
      <c r="D26" t="str">
        <v>BB</v>
      </c>
      <c r="E26">
        <v>1</v>
      </c>
      <c r="F26">
        <v>5200</v>
      </c>
      <c r="I26">
        <f>+F26-G26-H26</f>
        <v>5200</v>
      </c>
      <c r="J26">
        <v>150</v>
      </c>
    </row>
    <row r="27">
      <c r="A27" t="str">
        <v>Sloof</v>
      </c>
      <c r="B27">
        <f>B25+1</f>
        <v>17</v>
      </c>
      <c r="C27" t="str">
        <f>CONCATENATE(A27," no. ",B27)</f>
        <v>Sloof no. 17</v>
      </c>
      <c r="D27" t="str">
        <v>TB46-1</v>
      </c>
      <c r="E27">
        <v>1</v>
      </c>
      <c r="F27">
        <v>3335</v>
      </c>
      <c r="I27">
        <f>+F27-G27-H27</f>
        <v>3335</v>
      </c>
      <c r="J27">
        <v>150</v>
      </c>
    </row>
    <row r="28">
      <c r="A28" t="str">
        <v>Sloof</v>
      </c>
      <c r="B28">
        <f>B27+1</f>
        <v>18</v>
      </c>
      <c r="C28" t="str">
        <f>CONCATENATE(A28," no. ",B28)</f>
        <v>Sloof no. 18</v>
      </c>
      <c r="D28" t="str">
        <v>TB25-2</v>
      </c>
      <c r="E28">
        <v>1</v>
      </c>
      <c r="F28">
        <v>5165</v>
      </c>
      <c r="I28">
        <f>+F28-G28-H28</f>
        <v>5165</v>
      </c>
      <c r="J28">
        <v>150</v>
      </c>
    </row>
    <row r="29">
      <c r="A29" t="str">
        <v>Sloof</v>
      </c>
      <c r="B29">
        <f>B28+1</f>
        <v>19</v>
      </c>
      <c r="C29" t="str">
        <f>CONCATENATE(A29," no. ",B29)</f>
        <v>Sloof no. 19</v>
      </c>
      <c r="D29" t="str">
        <v>TB245-2</v>
      </c>
      <c r="E29">
        <v>1</v>
      </c>
      <c r="F29">
        <v>2150</v>
      </c>
      <c r="I29">
        <f>+F29-G29-H29</f>
        <v>2150</v>
      </c>
      <c r="J29">
        <v>150</v>
      </c>
    </row>
    <row r="30">
      <c r="A30" t="str">
        <v>Sloof</v>
      </c>
      <c r="B30">
        <f>B29+1</f>
        <v>20</v>
      </c>
      <c r="C30" t="str">
        <f>CONCATENATE(A30," no. ",B30)</f>
        <v>Sloof no. 20</v>
      </c>
      <c r="D30" t="str">
        <v>TB47-2</v>
      </c>
      <c r="E30">
        <v>1</v>
      </c>
      <c r="F30">
        <v>7350</v>
      </c>
      <c r="I30">
        <f>+F30-G30-H30</f>
        <v>7350</v>
      </c>
      <c r="J30">
        <v>150</v>
      </c>
    </row>
    <row r="31">
      <c r="A31" t="str">
        <v>Sloof</v>
      </c>
      <c r="B31">
        <f>B30+1</f>
        <v>21</v>
      </c>
      <c r="C31" t="str">
        <f>CONCATENATE(A31," no. ",B31)</f>
        <v>Sloof no. 21</v>
      </c>
      <c r="D31" t="str">
        <v>Potongan S2</v>
      </c>
      <c r="E31">
        <v>1</v>
      </c>
      <c r="F31">
        <v>4000</v>
      </c>
      <c r="I31">
        <f>+F31-G31-H31</f>
        <v>4000</v>
      </c>
      <c r="J31">
        <v>150</v>
      </c>
    </row>
    <row r="32">
      <c r="A32" t="str">
        <v>Sloof</v>
      </c>
      <c r="B32">
        <f>B31+1</f>
        <v>22</v>
      </c>
      <c r="C32" t="str">
        <f>CONCATENATE(A32," no. ",B32)</f>
        <v>Sloof no. 22</v>
      </c>
      <c r="D32" t="str">
        <v>TB245-1</v>
      </c>
      <c r="E32">
        <v>1</v>
      </c>
      <c r="F32">
        <v>3400</v>
      </c>
      <c r="I32">
        <f>+F32-G32-H32</f>
        <v>3400</v>
      </c>
      <c r="J32">
        <v>150</v>
      </c>
    </row>
    <row r="33">
      <c r="A33" t="str">
        <v>Sloof</v>
      </c>
      <c r="B33">
        <f>B32+1</f>
        <v>23</v>
      </c>
      <c r="C33" t="str">
        <f>CONCATENATE(A33," no. ",B33)</f>
        <v>Sloof no. 23</v>
      </c>
      <c r="D33" t="str">
        <v>TB245-1</v>
      </c>
      <c r="E33">
        <v>1</v>
      </c>
      <c r="F33">
        <v>7435</v>
      </c>
      <c r="I33">
        <f>+F33-G33-H33</f>
        <v>7435</v>
      </c>
      <c r="J33">
        <v>150</v>
      </c>
    </row>
    <row r="34">
      <c r="A34" t="str">
        <v>Sloof</v>
      </c>
      <c r="B34">
        <f>B33+1</f>
        <v>24</v>
      </c>
      <c r="C34" t="str">
        <f>CONCATENATE(A34," no. ",B34)</f>
        <v>Sloof no. 24</v>
      </c>
      <c r="D34" t="str">
        <v>TB47-1</v>
      </c>
      <c r="E34">
        <v>1</v>
      </c>
      <c r="F34">
        <v>3665</v>
      </c>
      <c r="I34">
        <f>+F34-G34-H34</f>
        <v>3665</v>
      </c>
      <c r="J34">
        <v>150</v>
      </c>
    </row>
    <row r="35">
      <c r="A35" t="str">
        <v>Sloof</v>
      </c>
      <c r="B35">
        <f>B34+1</f>
        <v>25</v>
      </c>
      <c r="C35" t="str">
        <f>CONCATENATE(A35," no. ",B35)</f>
        <v>Sloof no. 25</v>
      </c>
      <c r="D35" t="str">
        <v>TB25-1</v>
      </c>
      <c r="E35">
        <v>1</v>
      </c>
      <c r="F35">
        <v>4000</v>
      </c>
      <c r="I35">
        <f>+F35-G35-H35</f>
        <v>4000</v>
      </c>
      <c r="J35">
        <v>150</v>
      </c>
    </row>
    <row r="36">
      <c r="A36" t="str">
        <v>Sloof</v>
      </c>
      <c r="B36">
        <f>B35+1</f>
        <v>26</v>
      </c>
      <c r="C36" t="str">
        <f>CONCATENATE(A36," no. ",B36)</f>
        <v>Sloof no. 26</v>
      </c>
      <c r="D36" t="str">
        <v>TB245-2</v>
      </c>
      <c r="E36">
        <v>1</v>
      </c>
      <c r="F36">
        <v>3400</v>
      </c>
      <c r="I36">
        <f>+F36-G36-H36</f>
        <v>3400</v>
      </c>
      <c r="J36">
        <v>150</v>
      </c>
    </row>
    <row r="37">
      <c r="A37" t="str">
        <v>Sloof</v>
      </c>
      <c r="B37">
        <f>B36+1</f>
        <v>27</v>
      </c>
      <c r="C37" t="str">
        <f>CONCATENATE(A37," no. ",B37)</f>
        <v>Sloof no. 27</v>
      </c>
      <c r="D37" t="str">
        <v>TB25-1</v>
      </c>
      <c r="E37">
        <v>1</v>
      </c>
      <c r="F37">
        <v>7085</v>
      </c>
      <c r="I37">
        <f>+F37-G37-H37</f>
        <v>7085</v>
      </c>
      <c r="J37">
        <v>150</v>
      </c>
    </row>
    <row r="38">
      <c r="A38" t="str">
        <v>Sloof</v>
      </c>
      <c r="B38">
        <f>B37+1</f>
        <v>28</v>
      </c>
      <c r="C38" t="str">
        <f>CONCATENATE(A38," no. ",B38)</f>
        <v>Sloof no. 28</v>
      </c>
      <c r="D38" t="str">
        <v>TB245-2</v>
      </c>
      <c r="E38">
        <v>1</v>
      </c>
      <c r="F38">
        <v>7435</v>
      </c>
      <c r="I38">
        <f>+F38-G38-H38</f>
        <v>7435</v>
      </c>
      <c r="J38">
        <v>150</v>
      </c>
    </row>
    <row r="39">
      <c r="A39" t="str">
        <v>Sloof</v>
      </c>
      <c r="B39">
        <f>B38+1</f>
        <v>29</v>
      </c>
      <c r="C39" t="str">
        <f>CONCATENATE(A39," no. ",B39)</f>
        <v>Sloof no. 29</v>
      </c>
      <c r="D39" t="str">
        <v>TB47-1</v>
      </c>
      <c r="E39">
        <v>1</v>
      </c>
      <c r="F39">
        <v>3665</v>
      </c>
      <c r="I39">
        <f>+F39-G39-H39</f>
        <v>3665</v>
      </c>
      <c r="J39">
        <v>150</v>
      </c>
    </row>
    <row r="40">
      <c r="A40" t="str">
        <v>Sloof</v>
      </c>
      <c r="B40" t="str">
        <v>29A</v>
      </c>
      <c r="C40" t="str">
        <f>CONCATENATE(A40," no. ",B40)</f>
        <v>Sloof no. 29A</v>
      </c>
      <c r="D40" t="str">
        <v>TB245-1</v>
      </c>
      <c r="E40">
        <v>1</v>
      </c>
      <c r="F40">
        <v>2370</v>
      </c>
      <c r="I40">
        <f>+F40-G40-H40</f>
        <v>2370</v>
      </c>
      <c r="J40">
        <v>150</v>
      </c>
    </row>
    <row r="41">
      <c r="A41" t="str">
        <v>Sloof</v>
      </c>
      <c r="B41" t="str">
        <v>29B</v>
      </c>
      <c r="C41" t="str">
        <f>CONCATENATE(A41," no. ",B41)</f>
        <v>Sloof no. 29B</v>
      </c>
      <c r="D41" t="str">
        <v>TB24-2</v>
      </c>
      <c r="E41">
        <v>1</v>
      </c>
      <c r="F41">
        <v>1845</v>
      </c>
      <c r="I41">
        <f>+F41-G41-H41</f>
        <v>1845</v>
      </c>
      <c r="J41">
        <v>150</v>
      </c>
    </row>
    <row r="42">
      <c r="A42" t="str">
        <v>Sloof</v>
      </c>
      <c r="B42">
        <f>B39+1</f>
        <v>30</v>
      </c>
      <c r="C42" t="str">
        <f>CONCATENATE(A42," no. ",B42)</f>
        <v>Sloof no. 30</v>
      </c>
      <c r="D42" t="str">
        <v>TB35-1</v>
      </c>
      <c r="E42">
        <v>1</v>
      </c>
      <c r="F42">
        <v>5100</v>
      </c>
      <c r="I42">
        <f>+F42-G42-H42</f>
        <v>5100</v>
      </c>
      <c r="J42">
        <v>150</v>
      </c>
    </row>
    <row r="43">
      <c r="A43" t="str">
        <v>Sloof</v>
      </c>
      <c r="B43" t="str">
        <v>30A</v>
      </c>
      <c r="C43" t="str">
        <f>CONCATENATE(A43," no. ",B43)</f>
        <v>Sloof no. 30A</v>
      </c>
      <c r="D43" t="str">
        <v>TB24-1</v>
      </c>
      <c r="E43">
        <v>1</v>
      </c>
      <c r="F43">
        <v>2185</v>
      </c>
      <c r="I43">
        <f>+F43-G43-H43</f>
        <v>2185</v>
      </c>
      <c r="J43">
        <v>150</v>
      </c>
    </row>
    <row r="44">
      <c r="A44" t="str">
        <v>Sloof</v>
      </c>
      <c r="B44">
        <f>B42+1</f>
        <v>31</v>
      </c>
      <c r="C44" t="str">
        <f>CONCATENATE(A44," no. ",B44)</f>
        <v>Sloof no. 31</v>
      </c>
      <c r="D44" t="str">
        <v>TB25-3</v>
      </c>
      <c r="E44">
        <v>1</v>
      </c>
      <c r="F44">
        <v>3280</v>
      </c>
      <c r="I44">
        <f>+F44-G44-H44</f>
        <v>3280</v>
      </c>
      <c r="J44">
        <v>150</v>
      </c>
    </row>
    <row r="45">
      <c r="A45" t="str">
        <v>Sloof</v>
      </c>
      <c r="B45">
        <f>B44+1</f>
        <v>32</v>
      </c>
      <c r="C45" t="str">
        <f>CONCATENATE(A45," no. ",B45)</f>
        <v>Sloof no. 32</v>
      </c>
      <c r="D45" t="str">
        <v>TB25-3</v>
      </c>
      <c r="E45">
        <v>1</v>
      </c>
      <c r="F45">
        <v>3900</v>
      </c>
      <c r="I45">
        <f>+F45-G45-H45</f>
        <v>3900</v>
      </c>
      <c r="J45">
        <v>150</v>
      </c>
    </row>
    <row r="46">
      <c r="A46" t="str">
        <v>Sloof</v>
      </c>
      <c r="B46">
        <f>B45+1</f>
        <v>33</v>
      </c>
      <c r="C46" t="str">
        <f>CONCATENATE(A46," no. ",B46)</f>
        <v>Sloof no. 33</v>
      </c>
      <c r="D46" t="str">
        <v>TB47-1</v>
      </c>
      <c r="E46">
        <v>1</v>
      </c>
      <c r="F46">
        <v>3915</v>
      </c>
      <c r="I46">
        <f>+F46-G46-H46</f>
        <v>3915</v>
      </c>
      <c r="J46">
        <v>150</v>
      </c>
    </row>
    <row r="47">
      <c r="A47" t="str">
        <v>Sloof</v>
      </c>
      <c r="B47" t="str">
        <v>33A</v>
      </c>
      <c r="C47" t="str">
        <f>CONCATENATE(A47," no. ",B47)</f>
        <v>Sloof no. 33A</v>
      </c>
      <c r="D47" t="str">
        <v>Potongan S1</v>
      </c>
      <c r="E47">
        <v>1</v>
      </c>
      <c r="F47">
        <v>1505</v>
      </c>
      <c r="I47">
        <f>+F47-G47-H47</f>
        <v>1505</v>
      </c>
    </row>
    <row r="48">
      <c r="A48" t="str">
        <v>Sloof</v>
      </c>
      <c r="B48">
        <f>B46+1</f>
        <v>34</v>
      </c>
      <c r="C48" t="str">
        <f>CONCATENATE(A48," no. ",B48)</f>
        <v>Sloof no. 34</v>
      </c>
      <c r="D48" t="str">
        <v>TB245-1</v>
      </c>
      <c r="E48">
        <v>1</v>
      </c>
      <c r="F48">
        <v>2790</v>
      </c>
      <c r="I48">
        <f>+F48-G48-H48</f>
        <v>2790</v>
      </c>
      <c r="J48">
        <v>150</v>
      </c>
    </row>
    <row r="49">
      <c r="A49" t="str">
        <v>Sloof</v>
      </c>
      <c r="B49">
        <f>B48+1</f>
        <v>35</v>
      </c>
      <c r="C49" t="str">
        <f>CONCATENATE(A49," no. ",B49)</f>
        <v>Sloof no. 35</v>
      </c>
      <c r="D49" t="str">
        <v>TB24-2</v>
      </c>
      <c r="E49">
        <v>1</v>
      </c>
      <c r="F49">
        <v>3120</v>
      </c>
      <c r="I49">
        <f>+F49-G49-H49</f>
        <v>3120</v>
      </c>
      <c r="J49">
        <v>150</v>
      </c>
    </row>
    <row r="50">
      <c r="A50" t="str">
        <v>Sloof</v>
      </c>
      <c r="B50">
        <f>B49+1</f>
        <v>36</v>
      </c>
      <c r="C50" t="str">
        <f>CONCATENATE(A50," no. ",B50)</f>
        <v>Sloof no. 36</v>
      </c>
      <c r="D50" t="str">
        <v>TB35-1</v>
      </c>
      <c r="E50">
        <v>1</v>
      </c>
      <c r="F50">
        <v>4600</v>
      </c>
      <c r="I50">
        <f>+F50-G50-H50</f>
        <v>4600</v>
      </c>
      <c r="J50">
        <v>150</v>
      </c>
    </row>
    <row r="51">
      <c r="A51" t="str">
        <v>Sloof</v>
      </c>
      <c r="B51">
        <f>B50+1</f>
        <v>37</v>
      </c>
      <c r="C51" t="str">
        <f>CONCATENATE(A51," no. ",B51)</f>
        <v>Sloof no. 37</v>
      </c>
      <c r="D51" t="str">
        <v>TB36-1</v>
      </c>
      <c r="E51">
        <v>1</v>
      </c>
      <c r="F51">
        <v>6500</v>
      </c>
      <c r="I51">
        <f>+F51-G51-H51</f>
        <v>6500</v>
      </c>
      <c r="J51">
        <v>150</v>
      </c>
    </row>
    <row r="52">
      <c r="A52" t="str">
        <v>Sloof</v>
      </c>
      <c r="B52" t="str">
        <v>37A</v>
      </c>
      <c r="C52" t="str">
        <f>CONCATENATE(A52," no. ",B52)</f>
        <v>Sloof no. 37A</v>
      </c>
      <c r="D52" t="str">
        <v>TB245-1</v>
      </c>
      <c r="E52">
        <v>1</v>
      </c>
      <c r="F52">
        <v>7415</v>
      </c>
      <c r="I52">
        <f>+F52-G52-H52</f>
        <v>7415</v>
      </c>
      <c r="J52">
        <v>0</v>
      </c>
    </row>
    <row r="53">
      <c r="A53" t="str">
        <v>Sloof</v>
      </c>
      <c r="B53">
        <f>B51+1</f>
        <v>38</v>
      </c>
      <c r="C53" t="str">
        <f>CONCATENATE(A53," no. ",B53)</f>
        <v>Sloof no. 38</v>
      </c>
      <c r="D53" t="str">
        <v>TB25-2</v>
      </c>
      <c r="E53">
        <v>1</v>
      </c>
      <c r="F53">
        <v>7100</v>
      </c>
      <c r="I53">
        <f>+F53-G53-H53</f>
        <v>7100</v>
      </c>
      <c r="J53">
        <v>150</v>
      </c>
    </row>
    <row r="54">
      <c r="A54" t="str">
        <v>Sloof</v>
      </c>
      <c r="B54">
        <f>B53+1</f>
        <v>39</v>
      </c>
      <c r="C54" t="str">
        <f>CONCATENATE(A54," no. ",B54)</f>
        <v>Sloof no. 39</v>
      </c>
      <c r="D54" t="str">
        <v>TB35-1</v>
      </c>
      <c r="E54">
        <v>1</v>
      </c>
      <c r="F54">
        <v>6885</v>
      </c>
      <c r="I54">
        <f>+F54-G54-H54</f>
        <v>6885</v>
      </c>
      <c r="J54">
        <v>0</v>
      </c>
    </row>
    <row r="55">
      <c r="A55" t="str">
        <v>Sloof</v>
      </c>
      <c r="B55" t="str">
        <v>39A</v>
      </c>
      <c r="C55" t="str">
        <f>CONCATENATE(A55," no. ",B55)</f>
        <v>Sloof no. 39A</v>
      </c>
      <c r="D55" t="str">
        <v>TB23-1</v>
      </c>
      <c r="E55">
        <v>1</v>
      </c>
      <c r="F55">
        <v>1770</v>
      </c>
      <c r="I55">
        <f>+F55-G55-H55</f>
        <v>1770</v>
      </c>
      <c r="J55">
        <v>0</v>
      </c>
    </row>
    <row r="56">
      <c r="A56" t="str">
        <v>Sloof</v>
      </c>
      <c r="B56">
        <f>B54+1</f>
        <v>40</v>
      </c>
      <c r="C56" t="str">
        <f>CONCATENATE(A56," no. ",B56)</f>
        <v>Sloof no. 40</v>
      </c>
      <c r="D56" t="str">
        <v>TB245-1</v>
      </c>
      <c r="E56">
        <v>1</v>
      </c>
      <c r="F56">
        <v>2660</v>
      </c>
      <c r="I56">
        <f>+F56-G56-H56</f>
        <v>2660</v>
      </c>
      <c r="J56">
        <v>0</v>
      </c>
    </row>
    <row r="57">
      <c r="A57" t="str">
        <v>Sloof</v>
      </c>
      <c r="B57">
        <f>B56+1</f>
        <v>41</v>
      </c>
      <c r="C57" t="str">
        <f>CONCATENATE(A57," no. ",B57)</f>
        <v>Sloof no. 41</v>
      </c>
      <c r="D57" t="str">
        <v>TB245-2</v>
      </c>
      <c r="E57">
        <v>1</v>
      </c>
      <c r="F57">
        <v>7220</v>
      </c>
      <c r="I57">
        <f>+F57-G57-H57</f>
        <v>7220</v>
      </c>
      <c r="J57">
        <v>0</v>
      </c>
    </row>
    <row r="58">
      <c r="A58" t="str">
        <v>Sloof</v>
      </c>
      <c r="B58">
        <f>B57+1</f>
        <v>42</v>
      </c>
      <c r="C58" t="str">
        <f>CONCATENATE(A58," no. ",B58)</f>
        <v>Sloof no. 42</v>
      </c>
      <c r="D58" t="str">
        <v>TB24-1</v>
      </c>
      <c r="E58">
        <v>1</v>
      </c>
      <c r="F58">
        <v>1855</v>
      </c>
      <c r="I58">
        <f>+F58-G58-H58</f>
        <v>1855</v>
      </c>
      <c r="J58">
        <v>0</v>
      </c>
    </row>
    <row r="59">
      <c r="A59" t="str">
        <v>Sloof</v>
      </c>
      <c r="B59">
        <f>B58+1</f>
        <v>43</v>
      </c>
      <c r="C59" t="str">
        <f>CONCATENATE(A59," no. ",B59)</f>
        <v>Sloof no. 43</v>
      </c>
      <c r="D59" t="str">
        <v>TB25-1</v>
      </c>
      <c r="E59">
        <v>1</v>
      </c>
      <c r="F59">
        <v>6200</v>
      </c>
      <c r="I59">
        <f>+F59-G59-H59</f>
        <v>6200</v>
      </c>
      <c r="J59">
        <v>0</v>
      </c>
    </row>
    <row r="60">
      <c r="A60" t="str">
        <v>Sloof</v>
      </c>
      <c r="B60">
        <f>B59+1</f>
        <v>44</v>
      </c>
      <c r="C60" t="str">
        <f>CONCATENATE(A60," no. ",B60)</f>
        <v>Sloof no. 44</v>
      </c>
      <c r="D60" t="str">
        <v>TB25-1</v>
      </c>
      <c r="E60">
        <v>1</v>
      </c>
      <c r="F60">
        <v>6200</v>
      </c>
      <c r="I60">
        <f>+F60-G60-H60</f>
        <v>6200</v>
      </c>
      <c r="J60">
        <v>0</v>
      </c>
    </row>
    <row r="61">
      <c r="A61" t="str">
        <v>Sloof</v>
      </c>
      <c r="B61">
        <f>B60+1</f>
        <v>45</v>
      </c>
      <c r="C61" t="str">
        <f>CONCATENATE(A61," no. ",B61)</f>
        <v>Sloof no. 45</v>
      </c>
      <c r="D61" t="str">
        <v>TB245-2</v>
      </c>
      <c r="E61">
        <v>1</v>
      </c>
      <c r="F61">
        <v>7070</v>
      </c>
      <c r="I61">
        <f>+F61-G61-H61</f>
        <v>7070</v>
      </c>
      <c r="J61">
        <v>0</v>
      </c>
    </row>
    <row r="62">
      <c r="A62" t="str">
        <v>Sloof</v>
      </c>
      <c r="B62">
        <f>B61+1</f>
        <v>46</v>
      </c>
      <c r="C62" t="str">
        <f>CONCATENATE(A62," no. ",B62)</f>
        <v>Sloof no. 46</v>
      </c>
      <c r="D62" t="str">
        <v>TB23-1</v>
      </c>
      <c r="E62">
        <v>1</v>
      </c>
      <c r="F62">
        <f>1730*2</f>
        <v>3460</v>
      </c>
      <c r="I62">
        <f>+F62-G62-H62</f>
        <v>3460</v>
      </c>
      <c r="J62">
        <v>0</v>
      </c>
    </row>
    <row r="63">
      <c r="A63" t="str">
        <v>Sloof</v>
      </c>
      <c r="B63">
        <f>B62+1</f>
        <v>47</v>
      </c>
      <c r="C63" t="str">
        <f>CONCATENATE(A63," no. ",B63)</f>
        <v>Sloof no. 47</v>
      </c>
      <c r="D63" t="str">
        <v>TB23-1</v>
      </c>
      <c r="E63">
        <v>1</v>
      </c>
      <c r="F63">
        <f>1865*2</f>
        <v>3730</v>
      </c>
      <c r="I63">
        <f>+F63-G63-H63</f>
        <v>3730</v>
      </c>
      <c r="J63">
        <v>0</v>
      </c>
    </row>
    <row r="64">
      <c r="A64" t="str">
        <v>Sloof</v>
      </c>
      <c r="B64">
        <f>B63+1</f>
        <v>48</v>
      </c>
      <c r="C64" t="str">
        <f>CONCATENATE(A64," no. ",B64)</f>
        <v>Sloof no. 48</v>
      </c>
      <c r="D64" t="str">
        <v>TB245-1</v>
      </c>
      <c r="E64">
        <v>1</v>
      </c>
      <c r="F64">
        <v>6085</v>
      </c>
      <c r="I64">
        <f>+F64-G64-H64</f>
        <v>6085</v>
      </c>
      <c r="J64">
        <v>0</v>
      </c>
    </row>
    <row r="65">
      <c r="A65" t="str">
        <v>Sloof</v>
      </c>
      <c r="B65">
        <f>B64+1</f>
        <v>49</v>
      </c>
      <c r="C65" t="str">
        <f>CONCATENATE(A65," no. ",B65)</f>
        <v>Sloof no. 49</v>
      </c>
      <c r="D65" t="str">
        <v>TB25-1</v>
      </c>
      <c r="E65">
        <v>1</v>
      </c>
      <c r="F65">
        <v>7315</v>
      </c>
      <c r="I65">
        <f>+F65-G65-H65</f>
        <v>7315</v>
      </c>
      <c r="J65">
        <v>0</v>
      </c>
    </row>
    <row r="66">
      <c r="A66" t="str">
        <v>Sloof</v>
      </c>
      <c r="B66" t="str">
        <v>49A</v>
      </c>
      <c r="C66" t="str">
        <f>CONCATENATE(A66," no. ",B66)</f>
        <v>Sloof no. 49A</v>
      </c>
      <c r="D66" t="str">
        <v>TB25-2</v>
      </c>
      <c r="E66">
        <v>1</v>
      </c>
      <c r="F66">
        <v>3785</v>
      </c>
      <c r="I66">
        <f>+F66-G66-H66</f>
        <v>3785</v>
      </c>
      <c r="J66">
        <v>0</v>
      </c>
    </row>
    <row r="67">
      <c r="A67" t="str">
        <v>Sloof</v>
      </c>
      <c r="B67">
        <f>B65+1</f>
        <v>50</v>
      </c>
      <c r="C67" t="str">
        <f>CONCATENATE(A67," no. ",B67)</f>
        <v>Sloof no. 50</v>
      </c>
      <c r="D67" t="str">
        <v>TB24-2</v>
      </c>
      <c r="E67">
        <v>1</v>
      </c>
      <c r="F67">
        <v>9615</v>
      </c>
      <c r="I67">
        <f>+F67-G67-H67</f>
        <v>9615</v>
      </c>
      <c r="J67">
        <v>0</v>
      </c>
    </row>
    <row r="68">
      <c r="A68" t="str">
        <v>Sloof</v>
      </c>
      <c r="B68">
        <f>B67+1</f>
        <v>51</v>
      </c>
      <c r="C68" t="str">
        <f>CONCATENATE(A68," no. ",B68)</f>
        <v>Sloof no. 51</v>
      </c>
      <c r="D68" t="str">
        <v>TB24-1</v>
      </c>
      <c r="E68">
        <v>1</v>
      </c>
      <c r="F68">
        <v>3855</v>
      </c>
      <c r="I68">
        <f>+F68-G68-H68</f>
        <v>3855</v>
      </c>
      <c r="J68">
        <v>0</v>
      </c>
    </row>
    <row r="69">
      <c r="A69" t="str">
        <v>Sloof</v>
      </c>
      <c r="B69">
        <f>B68+1</f>
        <v>52</v>
      </c>
      <c r="C69" t="str">
        <f>CONCATENATE(A69," no. ",B69)</f>
        <v>Sloof no. 52</v>
      </c>
      <c r="D69" t="str">
        <v>TB245-1</v>
      </c>
      <c r="E69">
        <v>1</v>
      </c>
      <c r="F69">
        <v>3815</v>
      </c>
      <c r="I69">
        <f>+F69-G69-H69</f>
        <v>3815</v>
      </c>
      <c r="J69">
        <v>0</v>
      </c>
    </row>
    <row r="70">
      <c r="A70" t="str">
        <v>Sloof</v>
      </c>
      <c r="B70">
        <f>B69+1</f>
        <v>53</v>
      </c>
      <c r="C70" t="str">
        <f>CONCATENATE(A70," no. ",B70)</f>
        <v>Sloof no. 53</v>
      </c>
      <c r="D70" t="str">
        <v>TB245-1</v>
      </c>
      <c r="E70">
        <v>1</v>
      </c>
      <c r="F70">
        <v>10435</v>
      </c>
      <c r="I70">
        <f>+F70-G70-H70</f>
        <v>10435</v>
      </c>
      <c r="J70">
        <v>0</v>
      </c>
    </row>
    <row r="71">
      <c r="A71" t="str">
        <v>Sloof</v>
      </c>
      <c r="B71">
        <f>B70+1</f>
        <v>54</v>
      </c>
      <c r="C71" t="str">
        <f>CONCATENATE(A71," no. ",B71)</f>
        <v>Sloof no. 54</v>
      </c>
      <c r="D71" t="str">
        <v>TB245-1</v>
      </c>
      <c r="E71">
        <v>1</v>
      </c>
      <c r="F71">
        <v>2900</v>
      </c>
      <c r="I71">
        <f>+F71-G71-H71</f>
        <v>2900</v>
      </c>
      <c r="J71">
        <v>0</v>
      </c>
    </row>
    <row r="72">
      <c r="A72" t="str">
        <v>Sloof</v>
      </c>
      <c r="B72">
        <f>B71+1</f>
        <v>55</v>
      </c>
      <c r="C72" t="str">
        <f>CONCATENATE(A72," no. ",B72)</f>
        <v>Sloof no. 55</v>
      </c>
      <c r="D72" t="str">
        <v>TBK25-1</v>
      </c>
      <c r="E72">
        <v>1</v>
      </c>
      <c r="F72">
        <v>2900</v>
      </c>
      <c r="I72">
        <f>+F72-G72-H72</f>
        <v>2900</v>
      </c>
      <c r="J72">
        <v>0</v>
      </c>
    </row>
    <row r="73">
      <c r="A73" t="str">
        <v>Sloof</v>
      </c>
      <c r="B73">
        <f>B72+1</f>
        <v>56</v>
      </c>
      <c r="C73" t="str">
        <f>CONCATENATE(A73," no. ",B73)</f>
        <v>Sloof no. 56</v>
      </c>
      <c r="D73" t="str">
        <v>TB245-2</v>
      </c>
      <c r="E73">
        <v>1</v>
      </c>
      <c r="F73">
        <v>11065</v>
      </c>
      <c r="I73">
        <f>+F73-G73-H73</f>
        <v>11065</v>
      </c>
      <c r="J73">
        <v>150</v>
      </c>
    </row>
    <row r="74">
      <c r="A74" t="str">
        <v>Sloof</v>
      </c>
      <c r="B74">
        <f>B73+1</f>
        <v>57</v>
      </c>
      <c r="C74" t="str">
        <f>CONCATENATE(A74," no. ",B74)</f>
        <v>Sloof no. 57</v>
      </c>
      <c r="D74" t="str">
        <v>TB245-1</v>
      </c>
      <c r="E74">
        <v>1</v>
      </c>
      <c r="F74">
        <f>3130+4000</f>
        <v>7130</v>
      </c>
      <c r="I74">
        <f>+F74-G74-H74</f>
        <v>7130</v>
      </c>
      <c r="J74">
        <v>150</v>
      </c>
    </row>
    <row r="75">
      <c r="A75" t="str">
        <v>Sloof</v>
      </c>
      <c r="B75">
        <f>B74+1</f>
        <v>58</v>
      </c>
      <c r="C75" t="str">
        <f>CONCATENATE(A75," no. ",B75)</f>
        <v>Sloof no. 58</v>
      </c>
      <c r="D75" t="str">
        <v>TB245-1</v>
      </c>
      <c r="E75">
        <v>0</v>
      </c>
      <c r="F75">
        <v>5800</v>
      </c>
      <c r="I75">
        <f>+F75-G75-H75</f>
        <v>5800</v>
      </c>
      <c r="J75">
        <v>150</v>
      </c>
    </row>
    <row r="76">
      <c r="A76" t="str">
        <v>Sloof</v>
      </c>
      <c r="B76">
        <f>B75+1</f>
        <v>59</v>
      </c>
      <c r="C76" t="str">
        <f>CONCATENATE(A76," no. ",B76)</f>
        <v>Sloof no. 59</v>
      </c>
      <c r="D76" t="str">
        <v>TB245-1</v>
      </c>
      <c r="E76">
        <v>1</v>
      </c>
      <c r="F76">
        <v>9250</v>
      </c>
      <c r="I76">
        <f>+F76-G76-H76</f>
        <v>9250</v>
      </c>
      <c r="J76">
        <v>150</v>
      </c>
    </row>
    <row r="77">
      <c r="A77" t="str">
        <v>Sloof</v>
      </c>
      <c r="B77">
        <f>B76+1</f>
        <v>60</v>
      </c>
      <c r="C77" t="str">
        <f>CONCATENATE(A77," no. ",B77)</f>
        <v>Sloof no. 60</v>
      </c>
      <c r="D77" t="str">
        <v>TB245-1</v>
      </c>
      <c r="E77">
        <v>1</v>
      </c>
      <c r="F77">
        <v>3235</v>
      </c>
      <c r="I77">
        <f>+F77-G77-H77</f>
        <v>3235</v>
      </c>
      <c r="J77">
        <v>150</v>
      </c>
    </row>
    <row r="78">
      <c r="A78" t="str">
        <v>Sloof</v>
      </c>
      <c r="B78">
        <f>B77+1</f>
        <v>61</v>
      </c>
      <c r="C78" t="str">
        <f>CONCATENATE(A78," no. ",B78)</f>
        <v>Sloof no. 61</v>
      </c>
      <c r="D78" t="str">
        <v>TB36-1</v>
      </c>
      <c r="E78">
        <v>1</v>
      </c>
      <c r="F78">
        <v>4850</v>
      </c>
      <c r="I78">
        <f>+F78-G78-H78</f>
        <v>4850</v>
      </c>
      <c r="J78">
        <v>150</v>
      </c>
    </row>
    <row r="79">
      <c r="A79" t="str">
        <v>Sloof</v>
      </c>
      <c r="B79">
        <f>B78+1</f>
        <v>62</v>
      </c>
      <c r="C79" t="str">
        <f>CONCATENATE(A79," no. ",B79)</f>
        <v>Sloof no. 62</v>
      </c>
      <c r="D79" t="str">
        <v>TB24-2</v>
      </c>
      <c r="E79">
        <v>1</v>
      </c>
      <c r="F79">
        <v>3790</v>
      </c>
      <c r="I79">
        <f>+F79-G79-H79</f>
        <v>3790</v>
      </c>
      <c r="J79">
        <v>150</v>
      </c>
    </row>
    <row r="80">
      <c r="A80" t="str">
        <v>Sloof</v>
      </c>
      <c r="B80">
        <f>B79+1</f>
        <v>63</v>
      </c>
      <c r="C80" t="str">
        <f>CONCATENATE(A80," no. ",B80)</f>
        <v>Sloof no. 63</v>
      </c>
      <c r="D80" t="str">
        <v>TB245-2</v>
      </c>
      <c r="E80">
        <v>1</v>
      </c>
      <c r="F80">
        <v>2675</v>
      </c>
      <c r="I80">
        <f>+F80-G80-H80</f>
        <v>2675</v>
      </c>
      <c r="J80">
        <v>150</v>
      </c>
    </row>
    <row r="81">
      <c r="A81" t="str">
        <v>Sloof</v>
      </c>
      <c r="B81" t="str">
        <v>63A</v>
      </c>
      <c r="C81" t="str">
        <f>CONCATENATE(A81," no. ",B81)</f>
        <v>Sloof no. 63A</v>
      </c>
      <c r="D81" t="str">
        <v>TB23-1</v>
      </c>
      <c r="E81">
        <v>1</v>
      </c>
      <c r="F81">
        <v>6030</v>
      </c>
      <c r="I81">
        <f>+F81-G81-H81</f>
        <v>6030</v>
      </c>
      <c r="J81">
        <v>150</v>
      </c>
    </row>
    <row r="82">
      <c r="A82" t="str">
        <v>Sloof</v>
      </c>
      <c r="B82">
        <f>B80+1</f>
        <v>64</v>
      </c>
      <c r="C82" t="str">
        <f>CONCATENATE(A82," no. ",B82)</f>
        <v>Sloof no. 64</v>
      </c>
      <c r="D82" t="str">
        <v>TB24-2</v>
      </c>
      <c r="E82">
        <v>1</v>
      </c>
      <c r="F82">
        <v>3200</v>
      </c>
      <c r="I82">
        <f>+F82-G82-H82</f>
        <v>3200</v>
      </c>
      <c r="J82">
        <v>150</v>
      </c>
    </row>
    <row r="83">
      <c r="A83" t="str">
        <v>Sloof</v>
      </c>
      <c r="B83">
        <f>B82+1</f>
        <v>65</v>
      </c>
      <c r="C83" t="str">
        <f>CONCATENATE(A83," no. ",B83)</f>
        <v>Sloof no. 65</v>
      </c>
      <c r="D83" t="str">
        <v>TB25-1</v>
      </c>
      <c r="E83">
        <v>1</v>
      </c>
      <c r="F83">
        <v>2900</v>
      </c>
      <c r="I83">
        <f>+F83-G83-H83</f>
        <v>2900</v>
      </c>
      <c r="J83">
        <v>150</v>
      </c>
    </row>
    <row r="84">
      <c r="A84" t="str">
        <v>Sloof</v>
      </c>
      <c r="B84">
        <f>B83+1</f>
        <v>66</v>
      </c>
      <c r="C84" t="str">
        <f>CONCATENATE(A84," no. ",B84)</f>
        <v>Sloof no. 66</v>
      </c>
      <c r="D84" t="str">
        <v>TB35-1</v>
      </c>
      <c r="E84">
        <v>1</v>
      </c>
      <c r="F84">
        <v>5285</v>
      </c>
      <c r="I84">
        <f>+F84-G84-H84</f>
        <v>5285</v>
      </c>
      <c r="J84">
        <v>150</v>
      </c>
    </row>
    <row r="85">
      <c r="A85" t="str">
        <v>Sloof</v>
      </c>
      <c r="B85">
        <f>B84+1</f>
        <v>67</v>
      </c>
      <c r="C85" t="str">
        <f>CONCATENATE(A85," no. ",B85)</f>
        <v>Sloof no. 67</v>
      </c>
      <c r="D85" t="str">
        <v>TB245-2</v>
      </c>
      <c r="E85">
        <v>1</v>
      </c>
      <c r="F85">
        <v>3015</v>
      </c>
      <c r="I85">
        <f>+F85-G85-H85</f>
        <v>3015</v>
      </c>
      <c r="J85">
        <v>150</v>
      </c>
    </row>
    <row r="86">
      <c r="A86" t="str">
        <v>Sloof</v>
      </c>
      <c r="B86">
        <f>B85+1</f>
        <v>68</v>
      </c>
      <c r="C86" t="str">
        <f>CONCATENATE(A86," no. ",B86)</f>
        <v>Sloof no. 68</v>
      </c>
      <c r="D86" t="str">
        <v>TB245-1</v>
      </c>
      <c r="E86">
        <v>1</v>
      </c>
      <c r="F86">
        <v>3200</v>
      </c>
      <c r="I86">
        <f>+F86-G86-H86</f>
        <v>3200</v>
      </c>
      <c r="J86">
        <v>150</v>
      </c>
    </row>
    <row r="87">
      <c r="A87" t="str">
        <v>Sloof</v>
      </c>
      <c r="B87">
        <f>B86+1</f>
        <v>69</v>
      </c>
      <c r="C87" t="str">
        <f>CONCATENATE(A87," no. ",B87)</f>
        <v>Sloof no. 69</v>
      </c>
      <c r="D87" t="str">
        <v>TB245-2</v>
      </c>
      <c r="E87">
        <v>1</v>
      </c>
      <c r="F87">
        <v>3600</v>
      </c>
      <c r="I87">
        <f>+F87-G87-H87</f>
        <v>3600</v>
      </c>
      <c r="J87">
        <v>150</v>
      </c>
    </row>
    <row r="88">
      <c r="A88" t="str">
        <v>Sloof</v>
      </c>
      <c r="B88">
        <f>B87+1</f>
        <v>70</v>
      </c>
      <c r="C88" t="str">
        <f>CONCATENATE(A88," no. ",B88)</f>
        <v>Sloof no. 70</v>
      </c>
      <c r="D88" t="str">
        <v>TB25-1</v>
      </c>
      <c r="E88">
        <v>1</v>
      </c>
      <c r="F88">
        <v>10155</v>
      </c>
      <c r="I88">
        <f>+F88-G88-H88</f>
        <v>10155</v>
      </c>
      <c r="J88">
        <v>150</v>
      </c>
    </row>
    <row r="89">
      <c r="A89" t="str">
        <v>Sloof</v>
      </c>
      <c r="B89">
        <f>B88+1</f>
        <v>71</v>
      </c>
      <c r="C89" t="str">
        <f>CONCATENATE(A89," no. ",B89)</f>
        <v>Sloof no. 71</v>
      </c>
      <c r="D89" t="str">
        <v>TB25-1</v>
      </c>
      <c r="E89">
        <v>1</v>
      </c>
      <c r="F89">
        <v>3315</v>
      </c>
      <c r="I89">
        <f>+F89-G89-H89</f>
        <v>3315</v>
      </c>
      <c r="J89">
        <v>150</v>
      </c>
    </row>
    <row r="90">
      <c r="A90" t="str">
        <v>Sloof</v>
      </c>
      <c r="B90">
        <f>B89+1</f>
        <v>72</v>
      </c>
      <c r="C90" t="str">
        <f>CONCATENATE(A90," no. ",B90)</f>
        <v>Sloof no. 72</v>
      </c>
      <c r="D90" t="str">
        <v>TB245-2</v>
      </c>
      <c r="E90">
        <v>1</v>
      </c>
      <c r="F90">
        <v>6185</v>
      </c>
      <c r="I90">
        <f>+F90-G90-H90</f>
        <v>6185</v>
      </c>
      <c r="J90">
        <v>150</v>
      </c>
    </row>
    <row r="91">
      <c r="A91" t="str">
        <v>Sloof</v>
      </c>
      <c r="B91">
        <f>B90+1</f>
        <v>73</v>
      </c>
      <c r="C91" t="str">
        <f>CONCATENATE(A91," no. ",B91)</f>
        <v>Sloof no. 73</v>
      </c>
      <c r="D91" t="str">
        <v>Potongan S4</v>
      </c>
      <c r="E91">
        <v>1</v>
      </c>
      <c r="F91">
        <v>2100</v>
      </c>
      <c r="I91">
        <f>+F91-G91-H91</f>
        <v>2100</v>
      </c>
      <c r="J91">
        <v>150</v>
      </c>
    </row>
    <row r="92">
      <c r="A92" t="str">
        <v>Sloof</v>
      </c>
      <c r="B92">
        <f>B91+1</f>
        <v>74</v>
      </c>
      <c r="C92" t="str">
        <f>CONCATENATE(A92," no. ",B92)</f>
        <v>Sloof no. 74</v>
      </c>
      <c r="D92" t="str">
        <v>TB245-1</v>
      </c>
      <c r="E92">
        <v>1</v>
      </c>
      <c r="F92">
        <v>2100</v>
      </c>
      <c r="I92">
        <f>+F92-G92-H92</f>
        <v>2100</v>
      </c>
      <c r="J92">
        <v>150</v>
      </c>
    </row>
    <row r="93">
      <c r="A93" t="str">
        <v>Sloof</v>
      </c>
      <c r="B93">
        <f>B92+1</f>
        <v>75</v>
      </c>
      <c r="C93" t="str">
        <f>CONCATENATE(A93," no. ",B93)</f>
        <v>Sloof no. 75</v>
      </c>
      <c r="D93" t="str">
        <v>Potongan S4</v>
      </c>
      <c r="E93">
        <v>1</v>
      </c>
      <c r="F93">
        <v>2100</v>
      </c>
      <c r="I93">
        <f>+F93-G93-H93</f>
        <v>2100</v>
      </c>
      <c r="J93">
        <v>150</v>
      </c>
    </row>
    <row r="94">
      <c r="A94" t="str">
        <v>Sloof</v>
      </c>
      <c r="B94">
        <f>B93+1</f>
        <v>76</v>
      </c>
      <c r="C94" t="str">
        <f>CONCATENATE(A94," no. ",B94)</f>
        <v>Sloof no. 76</v>
      </c>
      <c r="D94" t="str">
        <v>Potongan S4</v>
      </c>
      <c r="E94">
        <v>1</v>
      </c>
      <c r="F94">
        <v>2100</v>
      </c>
      <c r="I94">
        <f>+F94-G94-H94</f>
        <v>2100</v>
      </c>
      <c r="J94">
        <v>150</v>
      </c>
    </row>
    <row r="95">
      <c r="A95" t="str">
        <v>Sloof</v>
      </c>
      <c r="B95">
        <f>B94+1</f>
        <v>77</v>
      </c>
      <c r="C95" t="str">
        <f>CONCATENATE(A95," no. ",B95)</f>
        <v>Sloof no. 77</v>
      </c>
      <c r="D95" t="str">
        <v>TB245-2</v>
      </c>
      <c r="E95">
        <v>1</v>
      </c>
      <c r="F95">
        <v>7025</v>
      </c>
      <c r="I95">
        <f>+F95-G95-H95</f>
        <v>7025</v>
      </c>
      <c r="J95">
        <v>150</v>
      </c>
    </row>
    <row r="96">
      <c r="A96" t="str">
        <v>Sloof</v>
      </c>
      <c r="B96">
        <f>B95+1</f>
        <v>78</v>
      </c>
      <c r="C96" t="str">
        <f>CONCATENATE(A96," no. ",B96)</f>
        <v>Sloof no. 78</v>
      </c>
      <c r="D96" t="str">
        <v>TB245-1</v>
      </c>
      <c r="E96">
        <v>1</v>
      </c>
      <c r="F96">
        <v>4135</v>
      </c>
      <c r="I96">
        <f>+F96-G96-H96</f>
        <v>4135</v>
      </c>
      <c r="J96">
        <v>150</v>
      </c>
    </row>
    <row r="97">
      <c r="A97" t="str">
        <v>Sloof</v>
      </c>
      <c r="B97">
        <f>B96+1</f>
        <v>79</v>
      </c>
      <c r="C97" t="str">
        <f>CONCATENATE(A97," no. ",B97)</f>
        <v>Sloof no. 79</v>
      </c>
      <c r="D97" t="str">
        <v>TB25-1</v>
      </c>
      <c r="E97">
        <v>1</v>
      </c>
      <c r="F97">
        <v>2765</v>
      </c>
      <c r="I97">
        <f>+F97-G97-H97</f>
        <v>2765</v>
      </c>
      <c r="J97">
        <v>150</v>
      </c>
    </row>
    <row r="98">
      <c r="A98" t="str">
        <v>Sloof</v>
      </c>
      <c r="B98">
        <f>B97+1</f>
        <v>80</v>
      </c>
      <c r="C98" t="str">
        <f>CONCATENATE(A98," no. ",B98)</f>
        <v>Sloof no. 80</v>
      </c>
      <c r="D98" t="str">
        <v>TB35-2</v>
      </c>
      <c r="E98">
        <v>1</v>
      </c>
      <c r="F98">
        <v>5800</v>
      </c>
      <c r="I98">
        <f>+F98-G98-H98</f>
        <v>5800</v>
      </c>
      <c r="J98">
        <v>150</v>
      </c>
    </row>
    <row r="99">
      <c r="A99" t="str">
        <v>Sloof</v>
      </c>
      <c r="B99">
        <f>B98+1</f>
        <v>81</v>
      </c>
      <c r="C99" t="str">
        <f>CONCATENATE(A99," no. ",B99)</f>
        <v>Sloof no. 81</v>
      </c>
      <c r="D99" t="str">
        <v>TB245-2</v>
      </c>
      <c r="E99">
        <v>1</v>
      </c>
      <c r="F99">
        <v>3600</v>
      </c>
      <c r="I99">
        <f>+F99-G99-H99</f>
        <v>3600</v>
      </c>
      <c r="J99">
        <v>150</v>
      </c>
    </row>
    <row r="100">
      <c r="A100" t="str">
        <v>Sloof</v>
      </c>
      <c r="B100">
        <f>B99+1</f>
        <v>82</v>
      </c>
      <c r="C100" t="str">
        <f>CONCATENATE(A100," no. ",B100)</f>
        <v>Sloof no. 82</v>
      </c>
      <c r="D100" t="str">
        <v>TB25-3</v>
      </c>
      <c r="E100">
        <v>1</v>
      </c>
      <c r="F100">
        <v>5800</v>
      </c>
      <c r="I100">
        <f>+F100-G100-H100</f>
        <v>5800</v>
      </c>
      <c r="J100">
        <v>150</v>
      </c>
    </row>
    <row r="101">
      <c r="A101" t="str">
        <v>Sloof</v>
      </c>
      <c r="B101">
        <f>B100+1</f>
        <v>83</v>
      </c>
      <c r="C101" t="str">
        <f>CONCATENATE(A101," no. ",B101)</f>
        <v>Sloof no. 83</v>
      </c>
      <c r="D101" t="str">
        <v>TB245-2</v>
      </c>
      <c r="E101">
        <v>1</v>
      </c>
      <c r="F101">
        <v>3200</v>
      </c>
      <c r="I101">
        <f>+F101-G101-H101</f>
        <v>3200</v>
      </c>
      <c r="J101">
        <v>150</v>
      </c>
    </row>
    <row r="102">
      <c r="A102" t="str">
        <v>Sloof</v>
      </c>
      <c r="B102">
        <f>B101+1</f>
        <v>84</v>
      </c>
      <c r="C102" t="str">
        <f>CONCATENATE(A102," no. ",B102)</f>
        <v>Sloof no. 84</v>
      </c>
      <c r="D102" t="str">
        <v>TB25-2</v>
      </c>
      <c r="E102">
        <v>1</v>
      </c>
      <c r="F102">
        <v>10100</v>
      </c>
      <c r="I102">
        <f>+F102-G102-H102</f>
        <v>10100</v>
      </c>
      <c r="J102">
        <v>150</v>
      </c>
    </row>
    <row r="103">
      <c r="A103" t="str">
        <v>Sloof</v>
      </c>
      <c r="B103">
        <f>B102+1</f>
        <v>85</v>
      </c>
      <c r="C103" t="str">
        <f>CONCATENATE(A103," no. ",B103)</f>
        <v>Sloof no. 85</v>
      </c>
      <c r="D103" t="str">
        <v>TB25-1</v>
      </c>
      <c r="E103">
        <v>1</v>
      </c>
      <c r="F103">
        <v>3250</v>
      </c>
      <c r="I103">
        <f>+F103-G103-H103</f>
        <v>3250</v>
      </c>
      <c r="J103">
        <v>150</v>
      </c>
    </row>
    <row r="104">
      <c r="A104" t="str">
        <v>Sloof</v>
      </c>
      <c r="B104">
        <f>B103+1</f>
        <v>86</v>
      </c>
      <c r="C104" t="str">
        <f>CONCATENATE(A104," no. ",B104)</f>
        <v>Sloof no. 86</v>
      </c>
      <c r="D104" t="str">
        <v>TB24-1</v>
      </c>
      <c r="E104">
        <v>1</v>
      </c>
      <c r="F104">
        <v>5800</v>
      </c>
      <c r="I104">
        <f>+F104-G104-H104</f>
        <v>5800</v>
      </c>
      <c r="J104">
        <v>0</v>
      </c>
    </row>
    <row r="105">
      <c r="A105" t="str">
        <v>Sloof</v>
      </c>
      <c r="B105">
        <f>B104+1</f>
        <v>87</v>
      </c>
      <c r="C105" t="str">
        <f>CONCATENATE(A105," no. ",B105)</f>
        <v>Sloof no. 87</v>
      </c>
      <c r="D105" t="str">
        <v>TB245-2</v>
      </c>
      <c r="E105">
        <v>1</v>
      </c>
      <c r="F105">
        <v>13200</v>
      </c>
      <c r="I105">
        <f>+F105-G105-H105</f>
        <v>13200</v>
      </c>
      <c r="J105">
        <v>0</v>
      </c>
    </row>
    <row r="106">
      <c r="A106" t="str">
        <v>Sloof</v>
      </c>
      <c r="B106">
        <f>B105+1</f>
        <v>88</v>
      </c>
      <c r="C106" t="str">
        <f>CONCATENATE(A106," no. ",B106)</f>
        <v>Sloof no. 88</v>
      </c>
      <c r="D106" t="str">
        <v>TB245-2</v>
      </c>
      <c r="E106">
        <v>1</v>
      </c>
      <c r="F106">
        <v>8000</v>
      </c>
      <c r="I106">
        <f>+F106-G106-H106</f>
        <v>8000</v>
      </c>
      <c r="J106">
        <v>0</v>
      </c>
    </row>
    <row r="107">
      <c r="A107" t="str">
        <v>Sloof</v>
      </c>
      <c r="B107">
        <f>B106+1</f>
        <v>89</v>
      </c>
      <c r="C107" t="str">
        <f>CONCATENATE(A107," no. ",B107)</f>
        <v>Sloof no. 89</v>
      </c>
      <c r="D107" t="str">
        <v>TB25-1</v>
      </c>
      <c r="E107">
        <v>1</v>
      </c>
      <c r="F107">
        <v>3000</v>
      </c>
      <c r="I107">
        <f>+F107-G107-H107</f>
        <v>3000</v>
      </c>
      <c r="J107">
        <v>0</v>
      </c>
    </row>
    <row r="109">
      <c r="A109" t="str">
        <v>Lantai 1</v>
      </c>
      <c r="B109">
        <f>B108+1</f>
        <v>1</v>
      </c>
      <c r="C109" t="str">
        <f>CONCATENATE(A109," no. ",B109)</f>
        <v>Lantai 1 no. 1</v>
      </c>
      <c r="D109" t="str">
        <v>B245-1</v>
      </c>
      <c r="E109">
        <v>1</v>
      </c>
      <c r="F109">
        <v>7000</v>
      </c>
      <c r="I109">
        <f>+F109-G109-H109</f>
        <v>7000</v>
      </c>
      <c r="J109">
        <v>130</v>
      </c>
    </row>
    <row r="110">
      <c r="A110" t="str">
        <v>Lantai 1</v>
      </c>
      <c r="B110">
        <f>B109+1</f>
        <v>2</v>
      </c>
      <c r="C110" t="str">
        <f>CONCATENATE(A110," no. ",B110)</f>
        <v>Lantai 1 no. 2</v>
      </c>
      <c r="D110" t="str">
        <v>B245-1</v>
      </c>
      <c r="E110">
        <v>1</v>
      </c>
      <c r="F110">
        <v>6000</v>
      </c>
      <c r="I110">
        <f>+F110-G110-H110</f>
        <v>6000</v>
      </c>
      <c r="J110">
        <v>0</v>
      </c>
    </row>
    <row r="111">
      <c r="A111" t="str">
        <v>Lantai 1</v>
      </c>
      <c r="B111">
        <f>B110+1</f>
        <v>3</v>
      </c>
      <c r="C111" t="str">
        <f>CONCATENATE(A111," no. ",B111)</f>
        <v>Lantai 1 no. 3</v>
      </c>
      <c r="D111" t="str">
        <v>B245-1</v>
      </c>
      <c r="E111">
        <v>1</v>
      </c>
      <c r="F111">
        <v>5000</v>
      </c>
      <c r="I111">
        <f>+F111-G111-H111</f>
        <v>5000</v>
      </c>
      <c r="J111">
        <v>0</v>
      </c>
    </row>
    <row r="112">
      <c r="A112" t="str">
        <v>Lantai 1</v>
      </c>
      <c r="B112">
        <f>B111+1</f>
        <v>4</v>
      </c>
      <c r="C112" t="str">
        <f>CONCATENATE(A112," no. ",B112)</f>
        <v>Lantai 1 no. 4</v>
      </c>
      <c r="D112" t="str">
        <v>B25-1</v>
      </c>
      <c r="E112">
        <v>1</v>
      </c>
      <c r="F112">
        <v>7000</v>
      </c>
      <c r="I112">
        <f>+F112-G112-H112</f>
        <v>7000</v>
      </c>
      <c r="J112">
        <v>130</v>
      </c>
    </row>
    <row r="113">
      <c r="A113" t="str">
        <v>Lantai 1</v>
      </c>
      <c r="B113">
        <f>B112+1</f>
        <v>5</v>
      </c>
      <c r="C113" t="str">
        <f>CONCATENATE(A113," no. ",B113)</f>
        <v>Lantai 1 no. 5</v>
      </c>
      <c r="D113" t="str">
        <v>B24-2</v>
      </c>
      <c r="E113">
        <v>1</v>
      </c>
      <c r="F113">
        <v>4835</v>
      </c>
      <c r="I113">
        <f>+F113-G113-H113</f>
        <v>4835</v>
      </c>
      <c r="J113">
        <v>130</v>
      </c>
    </row>
    <row r="114">
      <c r="A114" t="str">
        <v>Lantai 1</v>
      </c>
      <c r="B114">
        <f>B113+1</f>
        <v>6</v>
      </c>
      <c r="C114" t="str">
        <f>CONCATENATE(A114," no. ",B114)</f>
        <v>Lantai 1 no. 6</v>
      </c>
      <c r="D114" t="str">
        <v>B24-3</v>
      </c>
      <c r="E114">
        <v>1</v>
      </c>
      <c r="F114">
        <v>4265</v>
      </c>
      <c r="I114">
        <f>+F114-G114-H114</f>
        <v>4265</v>
      </c>
      <c r="J114">
        <v>130</v>
      </c>
    </row>
    <row r="115">
      <c r="A115" t="str">
        <v>Lantai 1</v>
      </c>
      <c r="B115">
        <f>B114+1</f>
        <v>7</v>
      </c>
      <c r="C115" t="str">
        <f>CONCATENATE(A115," no. ",B115)</f>
        <v>Lantai 1 no. 7</v>
      </c>
      <c r="D115" t="str">
        <v>B23-2</v>
      </c>
      <c r="E115">
        <v>1</v>
      </c>
      <c r="F115">
        <v>3335</v>
      </c>
      <c r="I115">
        <f>+F115-G115-H115</f>
        <v>3335</v>
      </c>
      <c r="J115">
        <v>130</v>
      </c>
    </row>
    <row r="116">
      <c r="A116" t="str">
        <v>Lantai 1</v>
      </c>
      <c r="B116">
        <f>B115+1</f>
        <v>8</v>
      </c>
      <c r="C116" t="str">
        <f>CONCATENATE(A116," no. ",B116)</f>
        <v>Lantai 1 no. 8</v>
      </c>
      <c r="D116" t="str">
        <v>B245-4</v>
      </c>
      <c r="E116">
        <v>1</v>
      </c>
      <c r="F116">
        <v>5265</v>
      </c>
      <c r="I116">
        <f>+F116-G116-H116</f>
        <v>5265</v>
      </c>
      <c r="J116">
        <v>130</v>
      </c>
    </row>
    <row r="117">
      <c r="A117" t="str">
        <v>Lantai 1</v>
      </c>
      <c r="B117">
        <f>B116+1</f>
        <v>9</v>
      </c>
      <c r="C117" t="str">
        <f>CONCATENATE(A117," no. ",B117)</f>
        <v>Lantai 1 no. 9</v>
      </c>
      <c r="D117" t="str">
        <v>B245-1</v>
      </c>
      <c r="E117">
        <v>1</v>
      </c>
      <c r="F117">
        <v>3435</v>
      </c>
      <c r="I117">
        <f>+F117-G117-H117</f>
        <v>3435</v>
      </c>
      <c r="J117">
        <v>130</v>
      </c>
    </row>
    <row r="118">
      <c r="A118" t="str">
        <v>Lantai 1</v>
      </c>
      <c r="B118">
        <f>B117+1</f>
        <v>10</v>
      </c>
      <c r="C118" t="str">
        <f>CONCATENATE(A118," no. ",B118)</f>
        <v>Lantai 1 no. 10</v>
      </c>
      <c r="D118" t="str">
        <v>B245-5</v>
      </c>
      <c r="E118">
        <v>1</v>
      </c>
      <c r="F118">
        <v>4265</v>
      </c>
      <c r="I118">
        <f>+F118-G118-H118</f>
        <v>4265</v>
      </c>
      <c r="J118">
        <v>130</v>
      </c>
    </row>
    <row r="119">
      <c r="A119" t="str">
        <v>Lantai 1</v>
      </c>
      <c r="B119">
        <f>B118+1</f>
        <v>11</v>
      </c>
      <c r="C119" t="str">
        <f>CONCATENATE(A119," no. ",B119)</f>
        <v>Lantai 1 no. 11</v>
      </c>
      <c r="D119" t="str">
        <v>B245-1</v>
      </c>
      <c r="E119">
        <v>1</v>
      </c>
      <c r="F119">
        <v>1050</v>
      </c>
      <c r="I119">
        <f>+F119-G119-H119</f>
        <v>1050</v>
      </c>
      <c r="J119">
        <v>130</v>
      </c>
    </row>
    <row r="120">
      <c r="A120" t="str">
        <v>Lantai 1</v>
      </c>
      <c r="B120">
        <f>B119+1</f>
        <v>12</v>
      </c>
      <c r="C120" t="str">
        <f>CONCATENATE(A120," no. ",B120)</f>
        <v>Lantai 1 no. 12</v>
      </c>
      <c r="D120" t="str">
        <v>B245-1</v>
      </c>
      <c r="E120">
        <v>1</v>
      </c>
      <c r="F120">
        <v>2100</v>
      </c>
      <c r="I120">
        <f>+F120-G120-H120</f>
        <v>2100</v>
      </c>
      <c r="J120">
        <v>130</v>
      </c>
    </row>
    <row r="121">
      <c r="A121" t="str">
        <v>Lantai 1</v>
      </c>
      <c r="B121">
        <f>B120+1</f>
        <v>13</v>
      </c>
      <c r="C121" t="str">
        <f>CONCATENATE(A121," no. ",B121)</f>
        <v>Lantai 1 no. 13</v>
      </c>
      <c r="D121" t="str">
        <v>B245-4</v>
      </c>
      <c r="E121">
        <v>1</v>
      </c>
      <c r="F121">
        <v>3335</v>
      </c>
      <c r="I121">
        <f>+F121-G121-H121</f>
        <v>3335</v>
      </c>
      <c r="J121">
        <v>130</v>
      </c>
    </row>
    <row r="122">
      <c r="A122" t="str">
        <v>Lantai 1</v>
      </c>
      <c r="B122">
        <f>B121+1</f>
        <v>14</v>
      </c>
      <c r="C122" t="str">
        <f>CONCATENATE(A122," no. ",B122)</f>
        <v>Lantai 1 no. 14</v>
      </c>
      <c r="D122" t="str">
        <v>B245-4</v>
      </c>
      <c r="E122">
        <v>1</v>
      </c>
      <c r="F122">
        <v>5165</v>
      </c>
      <c r="I122">
        <f>+F122-G122-H122</f>
        <v>5165</v>
      </c>
      <c r="J122">
        <v>130</v>
      </c>
    </row>
    <row r="123">
      <c r="A123" t="str">
        <v>Lantai 1</v>
      </c>
      <c r="B123">
        <f>B122+1</f>
        <v>15</v>
      </c>
      <c r="C123" t="str">
        <f>CONCATENATE(A123," no. ",B123)</f>
        <v>Lantai 1 no. 15</v>
      </c>
      <c r="D123" t="str">
        <v>Potongan I</v>
      </c>
      <c r="E123">
        <v>1</v>
      </c>
      <c r="F123">
        <v>1750</v>
      </c>
      <c r="I123">
        <f>+F123-G123-H123</f>
        <v>1750</v>
      </c>
      <c r="J123">
        <v>130</v>
      </c>
    </row>
    <row r="124">
      <c r="A124" t="str">
        <v>Lantai 1</v>
      </c>
      <c r="B124">
        <f>B123+1</f>
        <v>16</v>
      </c>
      <c r="C124" t="str">
        <f>CONCATENATE(A124," no. ",B124)</f>
        <v>Lantai 1 no. 16</v>
      </c>
      <c r="D124" t="str">
        <v>B77-1</v>
      </c>
      <c r="E124">
        <v>1</v>
      </c>
      <c r="F124">
        <v>7750</v>
      </c>
      <c r="I124">
        <f>+F124-G124-H124</f>
        <v>7750</v>
      </c>
      <c r="J124">
        <v>130</v>
      </c>
    </row>
    <row r="125">
      <c r="A125" t="str">
        <v>Lantai 1</v>
      </c>
      <c r="B125">
        <f>B124+1</f>
        <v>17</v>
      </c>
      <c r="C125" t="str">
        <f>CONCATENATE(A125," no. ",B125)</f>
        <v>Lantai 1 no. 17</v>
      </c>
      <c r="D125" t="str">
        <v>B24-2</v>
      </c>
      <c r="E125">
        <v>1</v>
      </c>
      <c r="F125">
        <v>5800</v>
      </c>
      <c r="I125">
        <f>+F125-G125-H125</f>
        <v>5800</v>
      </c>
      <c r="J125">
        <v>130</v>
      </c>
    </row>
    <row r="126">
      <c r="A126" t="str">
        <v>Lantai 1</v>
      </c>
      <c r="B126">
        <f>B125+1</f>
        <v>18</v>
      </c>
      <c r="C126" t="str">
        <f>CONCATENATE(A126," no. ",B126)</f>
        <v>Lantai 1 no. 18</v>
      </c>
      <c r="D126" t="str">
        <v>B57-4</v>
      </c>
      <c r="E126">
        <v>1</v>
      </c>
      <c r="F126">
        <v>11100</v>
      </c>
      <c r="I126">
        <f>+F126-G126-H126</f>
        <v>11100</v>
      </c>
      <c r="J126">
        <v>130</v>
      </c>
    </row>
    <row r="127">
      <c r="A127" t="str">
        <v>Lantai 1</v>
      </c>
      <c r="B127">
        <f>B126+1</f>
        <v>19</v>
      </c>
      <c r="C127" t="str">
        <f>CONCATENATE(A127," no. ",B127)</f>
        <v>Lantai 1 no. 19</v>
      </c>
      <c r="D127" t="str">
        <v>B23-1</v>
      </c>
      <c r="E127">
        <v>1</v>
      </c>
      <c r="F127">
        <v>1200</v>
      </c>
      <c r="I127">
        <f>+F127-G127-H127</f>
        <v>1200</v>
      </c>
      <c r="J127">
        <v>130</v>
      </c>
    </row>
    <row r="128">
      <c r="A128" t="str">
        <v>Lantai 1</v>
      </c>
      <c r="B128">
        <f>B127+1</f>
        <v>20</v>
      </c>
      <c r="C128" t="str">
        <f>CONCATENATE(A128," no. ",B128)</f>
        <v>Lantai 1 no. 20</v>
      </c>
      <c r="D128" t="str">
        <v>B24-1</v>
      </c>
      <c r="E128">
        <v>1</v>
      </c>
      <c r="F128">
        <v>2635</v>
      </c>
      <c r="I128">
        <f>+F128-G128-H128</f>
        <v>2635</v>
      </c>
      <c r="J128">
        <v>130</v>
      </c>
    </row>
    <row r="129">
      <c r="A129" t="str">
        <v>Lantai 1</v>
      </c>
      <c r="B129">
        <f>B128+1</f>
        <v>21</v>
      </c>
      <c r="C129" t="str">
        <f>CONCATENATE(A129," no. ",B129)</f>
        <v>Lantai 1 no. 21</v>
      </c>
      <c r="D129" t="str">
        <v>B245-6</v>
      </c>
      <c r="E129">
        <v>1</v>
      </c>
      <c r="F129">
        <v>3065</v>
      </c>
      <c r="I129">
        <f>+F129-G129-H129</f>
        <v>3065</v>
      </c>
      <c r="J129">
        <v>130</v>
      </c>
    </row>
    <row r="130">
      <c r="A130" t="str">
        <v>Lantai 1</v>
      </c>
      <c r="B130">
        <f>B129+1</f>
        <v>22</v>
      </c>
      <c r="C130" t="str">
        <f>CONCATENATE(A130," no. ",B130)</f>
        <v>Lantai 1 no. 22</v>
      </c>
      <c r="D130" t="str">
        <v>B57-1</v>
      </c>
      <c r="E130">
        <v>1</v>
      </c>
      <c r="F130">
        <v>11100</v>
      </c>
      <c r="I130">
        <f>+F130-G130-H130</f>
        <v>11100</v>
      </c>
      <c r="J130">
        <v>130</v>
      </c>
    </row>
    <row r="131">
      <c r="A131" t="str">
        <v>Lantai 1</v>
      </c>
      <c r="B131">
        <f>B130+1</f>
        <v>23</v>
      </c>
      <c r="C131" t="str">
        <f>CONCATENATE(A131," no. ",B131)</f>
        <v>Lantai 1 no. 23</v>
      </c>
      <c r="D131" t="str">
        <v>B23-1</v>
      </c>
      <c r="E131">
        <v>1</v>
      </c>
      <c r="F131">
        <v>1100</v>
      </c>
      <c r="I131">
        <f>+F131-G131-H131</f>
        <v>1100</v>
      </c>
      <c r="J131">
        <v>150</v>
      </c>
    </row>
    <row r="132">
      <c r="A132" t="str">
        <v>Lantai 1</v>
      </c>
      <c r="B132">
        <f>B131+1</f>
        <v>24</v>
      </c>
      <c r="C132" t="str">
        <f>CONCATENATE(A132," no. ",B132)</f>
        <v>Lantai 1 no. 24</v>
      </c>
      <c r="D132" t="str">
        <v>B23-1</v>
      </c>
      <c r="E132">
        <v>1</v>
      </c>
      <c r="F132">
        <v>1100</v>
      </c>
      <c r="I132">
        <f>+F132-G132-H132</f>
        <v>1100</v>
      </c>
      <c r="J132">
        <v>150</v>
      </c>
    </row>
    <row r="133">
      <c r="A133" t="str">
        <v>Lantai 1</v>
      </c>
      <c r="B133">
        <f>B132+1</f>
        <v>25</v>
      </c>
      <c r="C133" t="str">
        <f>CONCATENATE(A133," no. ",B133)</f>
        <v>Lantai 1 no. 25</v>
      </c>
      <c r="D133" t="str">
        <v>CL25-1</v>
      </c>
      <c r="E133">
        <v>1</v>
      </c>
      <c r="F133">
        <v>4250</v>
      </c>
      <c r="I133">
        <f>+F133-G133-H133</f>
        <v>4250</v>
      </c>
      <c r="J133">
        <v>130</v>
      </c>
    </row>
    <row r="134">
      <c r="A134" t="str">
        <v>Lantai 1</v>
      </c>
      <c r="B134">
        <f>B133+1</f>
        <v>26</v>
      </c>
      <c r="C134" t="str">
        <f>CONCATENATE(A134," no. ",B134)</f>
        <v>Lantai 1 no. 26</v>
      </c>
      <c r="D134" t="str">
        <v>B24-1</v>
      </c>
      <c r="E134">
        <v>1</v>
      </c>
      <c r="F134">
        <v>2000</v>
      </c>
      <c r="I134">
        <f>+F134-G134-H134</f>
        <v>2000</v>
      </c>
      <c r="J134">
        <v>130</v>
      </c>
    </row>
    <row r="135">
      <c r="A135" t="str">
        <v>Lantai 1</v>
      </c>
      <c r="B135">
        <f>B134+1</f>
        <v>27</v>
      </c>
      <c r="C135" t="str">
        <f>CONCATENATE(A135," no. ",B135)</f>
        <v>Lantai 1 no. 27</v>
      </c>
      <c r="D135" t="str">
        <v>B57-4</v>
      </c>
      <c r="E135">
        <v>1</v>
      </c>
      <c r="F135">
        <v>11100</v>
      </c>
      <c r="I135">
        <f>+F135-G135-H135</f>
        <v>11100</v>
      </c>
      <c r="J135">
        <v>130</v>
      </c>
    </row>
    <row r="136">
      <c r="A136" t="str">
        <v>Lantai 1</v>
      </c>
      <c r="B136">
        <f>B135+1</f>
        <v>28</v>
      </c>
      <c r="C136" t="str">
        <f>CONCATENATE(A136," no. ",B136)</f>
        <v>Lantai 1 no. 28</v>
      </c>
      <c r="D136" t="str">
        <v>Potongan M</v>
      </c>
      <c r="E136">
        <v>1</v>
      </c>
      <c r="F136">
        <v>4100</v>
      </c>
      <c r="I136">
        <f>+F136-G136-H136</f>
        <v>4100</v>
      </c>
      <c r="J136">
        <v>130</v>
      </c>
    </row>
    <row r="137">
      <c r="A137" t="str">
        <v>Lantai 1</v>
      </c>
      <c r="B137">
        <f>B136+1</f>
        <v>29</v>
      </c>
      <c r="C137" t="str">
        <f>CONCATENATE(A137," no. ",B137)</f>
        <v>Lantai 1 no. 29</v>
      </c>
      <c r="D137" t="str">
        <v>B57-1</v>
      </c>
      <c r="E137">
        <v>1</v>
      </c>
      <c r="F137">
        <v>7000</v>
      </c>
      <c r="I137">
        <f>+F137-G137-H137</f>
        <v>7000</v>
      </c>
      <c r="J137">
        <v>130</v>
      </c>
    </row>
    <row r="138">
      <c r="A138" t="str">
        <v>Lantai 1</v>
      </c>
      <c r="B138">
        <f>B137+1</f>
        <v>30</v>
      </c>
      <c r="C138" t="str">
        <f>CONCATENATE(A138," no. ",B138)</f>
        <v>Lantai 1 no. 30</v>
      </c>
      <c r="D138" t="str">
        <v>B57-1</v>
      </c>
      <c r="E138">
        <v>1</v>
      </c>
      <c r="F138">
        <v>4100</v>
      </c>
      <c r="I138">
        <f>+F138-G138-H138</f>
        <v>4100</v>
      </c>
      <c r="J138">
        <v>130</v>
      </c>
    </row>
    <row r="139">
      <c r="A139" t="str">
        <v>Lantai 1</v>
      </c>
      <c r="B139">
        <f>B138+1</f>
        <v>31</v>
      </c>
      <c r="C139" t="str">
        <f>CONCATENATE(A139," no. ",B139)</f>
        <v>Lantai 1 no. 31</v>
      </c>
      <c r="D139" t="str">
        <v>B67-1</v>
      </c>
      <c r="E139">
        <v>1</v>
      </c>
      <c r="F139">
        <v>7000</v>
      </c>
      <c r="I139">
        <f>+F139-G139-H139</f>
        <v>7000</v>
      </c>
      <c r="J139">
        <v>130</v>
      </c>
    </row>
    <row r="140">
      <c r="A140" t="str">
        <v>Lantai 1</v>
      </c>
      <c r="B140">
        <f>B139+1</f>
        <v>32</v>
      </c>
      <c r="C140" t="str">
        <f>CONCATENATE(A140," no. ",B140)</f>
        <v>Lantai 1 no. 32</v>
      </c>
      <c r="D140" t="str">
        <v>BB</v>
      </c>
      <c r="E140">
        <v>1</v>
      </c>
      <c r="F140">
        <v>3200</v>
      </c>
      <c r="I140">
        <f>+F140-G140-H140</f>
        <v>3200</v>
      </c>
      <c r="J140">
        <v>130</v>
      </c>
    </row>
    <row r="141">
      <c r="A141" t="str">
        <v>Lantai 1</v>
      </c>
      <c r="B141">
        <f>B140+1</f>
        <v>33</v>
      </c>
      <c r="C141" t="str">
        <f>CONCATENATE(A141," no. ",B141)</f>
        <v>Lantai 1 no. 33</v>
      </c>
      <c r="D141" t="str">
        <v>B245-1</v>
      </c>
      <c r="E141">
        <v>1</v>
      </c>
      <c r="F141">
        <v>1770</v>
      </c>
      <c r="I141">
        <f>+F141-G141-H141</f>
        <v>1770</v>
      </c>
      <c r="J141">
        <v>130</v>
      </c>
    </row>
    <row r="142">
      <c r="A142" t="str">
        <v>Lantai 1</v>
      </c>
      <c r="B142">
        <f>B141+1</f>
        <v>34</v>
      </c>
      <c r="C142" t="str">
        <f>CONCATENATE(A142," no. ",B142)</f>
        <v>Lantai 1 no. 34</v>
      </c>
      <c r="D142" t="str">
        <v>B245-1</v>
      </c>
      <c r="E142">
        <v>1</v>
      </c>
      <c r="F142">
        <v>3135</v>
      </c>
      <c r="I142">
        <f>+F142-G142-H142</f>
        <v>3135</v>
      </c>
      <c r="J142">
        <v>130</v>
      </c>
    </row>
    <row r="143">
      <c r="A143" t="str">
        <v>Lantai 1</v>
      </c>
      <c r="B143">
        <f>B142+1</f>
        <v>35</v>
      </c>
      <c r="C143" t="str">
        <f>CONCATENATE(A143," no. ",B143)</f>
        <v>Lantai 1 no. 35</v>
      </c>
      <c r="D143" t="str">
        <v>B47-1</v>
      </c>
      <c r="E143">
        <v>1</v>
      </c>
      <c r="F143">
        <v>4585</v>
      </c>
      <c r="I143">
        <f>+F143-G143-H143</f>
        <v>4585</v>
      </c>
      <c r="J143">
        <v>130</v>
      </c>
    </row>
    <row r="144">
      <c r="A144" t="str">
        <v>Lantai 1</v>
      </c>
      <c r="B144">
        <f>B143+1</f>
        <v>36</v>
      </c>
      <c r="C144" t="str">
        <f>CONCATENATE(A144," no. ",B144)</f>
        <v>Lantai 1 no. 36</v>
      </c>
      <c r="D144" t="str">
        <v>B47-1</v>
      </c>
      <c r="E144">
        <v>1</v>
      </c>
      <c r="F144">
        <v>6500</v>
      </c>
      <c r="I144">
        <f>+F144-G144-H144</f>
        <v>6500</v>
      </c>
      <c r="J144">
        <v>130</v>
      </c>
    </row>
    <row r="145">
      <c r="A145" t="str">
        <v>Lantai 1</v>
      </c>
      <c r="B145">
        <f>B144+1</f>
        <v>37</v>
      </c>
      <c r="C145" t="str">
        <f>CONCATENATE(A145," no. ",B145)</f>
        <v>Lantai 1 no. 37</v>
      </c>
      <c r="D145" t="str">
        <v>B23-1</v>
      </c>
      <c r="E145">
        <v>1</v>
      </c>
      <c r="F145">
        <v>1350</v>
      </c>
      <c r="I145">
        <f>+F145-G145-H145</f>
        <v>1350</v>
      </c>
      <c r="J145">
        <v>150</v>
      </c>
    </row>
    <row r="146">
      <c r="A146" t="str">
        <v>Lantai 1</v>
      </c>
      <c r="B146">
        <f>B145+1</f>
        <v>38</v>
      </c>
      <c r="C146" t="str">
        <f>CONCATENATE(A146," no. ",B146)</f>
        <v>Lantai 1 no. 38</v>
      </c>
      <c r="D146" t="str">
        <v>B24-2</v>
      </c>
      <c r="E146">
        <v>1</v>
      </c>
      <c r="F146">
        <v>5535</v>
      </c>
      <c r="I146">
        <f>+F146-G146-H146</f>
        <v>5535</v>
      </c>
      <c r="J146">
        <v>0</v>
      </c>
    </row>
    <row r="147">
      <c r="A147" t="str">
        <v>Lantai 1</v>
      </c>
      <c r="B147">
        <f>B146+1</f>
        <v>39</v>
      </c>
      <c r="C147" t="str">
        <f>CONCATENATE(A147," no. ",B147)</f>
        <v>Lantai 1 no. 39</v>
      </c>
      <c r="D147" t="str">
        <v>B24-2</v>
      </c>
      <c r="E147">
        <v>1</v>
      </c>
      <c r="F147">
        <v>5535</v>
      </c>
      <c r="I147">
        <f>+F147-G147-H147</f>
        <v>5535</v>
      </c>
      <c r="J147">
        <v>0</v>
      </c>
    </row>
    <row r="148">
      <c r="A148" t="str">
        <v>Lantai 1</v>
      </c>
      <c r="B148">
        <f>B147+1</f>
        <v>40</v>
      </c>
      <c r="C148" t="str">
        <f>CONCATENATE(A148," no. ",B148)</f>
        <v>Lantai 1 no. 40</v>
      </c>
      <c r="D148" t="str">
        <v>B24-1</v>
      </c>
      <c r="E148">
        <v>1</v>
      </c>
      <c r="F148">
        <v>5535</v>
      </c>
      <c r="I148">
        <f>+F148-G148-H148</f>
        <v>5535</v>
      </c>
      <c r="J148">
        <v>0</v>
      </c>
    </row>
    <row r="149">
      <c r="A149" t="str">
        <v>Lantai 1</v>
      </c>
      <c r="B149">
        <f>B148+1</f>
        <v>41</v>
      </c>
      <c r="C149" t="str">
        <f>CONCATENATE(A149," no. ",B149)</f>
        <v>Lantai 1 no. 41</v>
      </c>
      <c r="D149" t="str">
        <v>B24-1</v>
      </c>
      <c r="E149">
        <v>1</v>
      </c>
      <c r="F149">
        <v>3385</v>
      </c>
      <c r="I149">
        <f>+F149-G149-H149</f>
        <v>3385</v>
      </c>
      <c r="J149">
        <v>0</v>
      </c>
    </row>
    <row r="150">
      <c r="A150" t="str">
        <v>Lantai 1</v>
      </c>
      <c r="B150">
        <f>B149+1</f>
        <v>42</v>
      </c>
      <c r="C150" t="str">
        <f>CONCATENATE(A150," no. ",B150)</f>
        <v>Lantai 1 no. 42</v>
      </c>
      <c r="D150" t="str">
        <v>B245-4</v>
      </c>
      <c r="E150">
        <v>1</v>
      </c>
      <c r="F150">
        <v>7100</v>
      </c>
      <c r="I150">
        <f>+F150-G150-H150</f>
        <v>7100</v>
      </c>
      <c r="J150">
        <v>150</v>
      </c>
    </row>
    <row r="151">
      <c r="A151" t="str">
        <v>Lantai 1</v>
      </c>
      <c r="B151">
        <f>B150+1</f>
        <v>43</v>
      </c>
      <c r="C151" t="str">
        <f>CONCATENATE(A151," no. ",B151)</f>
        <v>Lantai 1 no. 43</v>
      </c>
      <c r="D151" t="str">
        <v>B245-4</v>
      </c>
      <c r="E151">
        <v>1</v>
      </c>
      <c r="F151">
        <v>7100</v>
      </c>
      <c r="I151">
        <f>+F151-G151-H151</f>
        <v>7100</v>
      </c>
      <c r="J151">
        <v>150</v>
      </c>
    </row>
    <row r="152">
      <c r="A152" t="str">
        <v>Lantai 1</v>
      </c>
      <c r="B152">
        <f>B151+1</f>
        <v>44</v>
      </c>
      <c r="C152" t="str">
        <f>CONCATENATE(A152," no. ",B152)</f>
        <v>Lantai 1 no. 44</v>
      </c>
      <c r="D152" t="str">
        <v>B25-6</v>
      </c>
      <c r="E152">
        <v>1</v>
      </c>
      <c r="F152">
        <v>7100</v>
      </c>
      <c r="I152">
        <f>+F152-G152-H152</f>
        <v>7100</v>
      </c>
      <c r="J152">
        <v>150</v>
      </c>
    </row>
    <row r="153">
      <c r="A153" t="str">
        <v>Lantai 1</v>
      </c>
      <c r="B153">
        <f>B152+1</f>
        <v>45</v>
      </c>
      <c r="C153" t="str">
        <f>CONCATENATE(A153," no. ",B153)</f>
        <v>Lantai 1 no. 45</v>
      </c>
      <c r="D153" t="str">
        <v>B25-6</v>
      </c>
      <c r="E153">
        <v>1</v>
      </c>
      <c r="F153">
        <v>6100</v>
      </c>
      <c r="I153">
        <f>+F153-G153-H153</f>
        <v>6100</v>
      </c>
      <c r="J153">
        <v>150</v>
      </c>
    </row>
    <row r="154">
      <c r="A154" t="str">
        <v>Lantai 1</v>
      </c>
      <c r="B154">
        <f>B153+1</f>
        <v>46</v>
      </c>
      <c r="C154" t="str">
        <f>CONCATENATE(A154," no. ",B154)</f>
        <v>Lantai 1 no. 46</v>
      </c>
      <c r="D154" t="str">
        <v>B245-4</v>
      </c>
      <c r="E154">
        <v>1</v>
      </c>
      <c r="F154">
        <v>6100</v>
      </c>
      <c r="I154">
        <f>+F154-G154-H154</f>
        <v>6100</v>
      </c>
      <c r="J154">
        <v>150</v>
      </c>
    </row>
    <row r="155">
      <c r="A155" t="str">
        <v>Lantai 1</v>
      </c>
      <c r="B155">
        <f>B154+1</f>
        <v>47</v>
      </c>
      <c r="C155" t="str">
        <f>CONCATENATE(A155," no. ",B155)</f>
        <v>Lantai 1 no. 47</v>
      </c>
      <c r="D155" t="str">
        <v>B245-4</v>
      </c>
      <c r="E155">
        <v>1</v>
      </c>
      <c r="F155">
        <v>6100</v>
      </c>
      <c r="I155">
        <f>+F155-G155-H155</f>
        <v>6100</v>
      </c>
      <c r="J155">
        <v>150</v>
      </c>
    </row>
    <row r="156">
      <c r="A156" t="str">
        <v>Lantai 1</v>
      </c>
      <c r="B156">
        <f>B155+1</f>
        <v>48</v>
      </c>
      <c r="C156" t="str">
        <f>CONCATENATE(A156," no. ",B156)</f>
        <v>Lantai 1 no. 48</v>
      </c>
      <c r="D156" t="str">
        <v>B245-2</v>
      </c>
      <c r="E156">
        <v>1</v>
      </c>
      <c r="F156">
        <v>6100</v>
      </c>
      <c r="I156">
        <f>+F156-G156-H156</f>
        <v>6100</v>
      </c>
      <c r="J156">
        <v>150</v>
      </c>
    </row>
    <row r="157">
      <c r="A157" t="str">
        <v>Lantai 1</v>
      </c>
      <c r="B157">
        <f>B156+1</f>
        <v>49</v>
      </c>
      <c r="C157" t="str">
        <f>CONCATENATE(A157," no. ",B157)</f>
        <v>Lantai 1 no. 49</v>
      </c>
      <c r="D157" t="str">
        <v>B174-1</v>
      </c>
      <c r="E157">
        <v>1</v>
      </c>
      <c r="F157">
        <v>3500</v>
      </c>
      <c r="I157">
        <f>+F157-G157-H157</f>
        <v>3500</v>
      </c>
      <c r="J157">
        <v>0</v>
      </c>
    </row>
    <row r="158">
      <c r="A158" t="str">
        <v>Lantai 1</v>
      </c>
      <c r="B158">
        <f>B157+1</f>
        <v>50</v>
      </c>
      <c r="C158" t="str">
        <f>CONCATENATE(A158," no. ",B158)</f>
        <v>Lantai 1 no. 50</v>
      </c>
      <c r="D158" t="str">
        <v>B174-2</v>
      </c>
      <c r="E158">
        <v>1</v>
      </c>
      <c r="F158">
        <v>2500</v>
      </c>
      <c r="I158">
        <f>+F158-G158-H158</f>
        <v>2500</v>
      </c>
      <c r="J158">
        <v>0</v>
      </c>
    </row>
    <row r="159">
      <c r="A159" t="str">
        <v>Lantai 1</v>
      </c>
      <c r="B159">
        <f>B158+1</f>
        <v>51</v>
      </c>
      <c r="C159" t="str">
        <f>CONCATENATE(A159," no. ",B159)</f>
        <v>Lantai 1 no. 51</v>
      </c>
      <c r="D159" t="str">
        <v>B174-2</v>
      </c>
      <c r="E159">
        <v>1</v>
      </c>
      <c r="F159">
        <v>3965</v>
      </c>
      <c r="I159">
        <f>+F159-G159-H159</f>
        <v>3965</v>
      </c>
      <c r="J159">
        <v>150</v>
      </c>
    </row>
    <row r="160">
      <c r="A160" t="str">
        <v>Lantai 1</v>
      </c>
      <c r="B160">
        <f>B159+1</f>
        <v>52</v>
      </c>
      <c r="C160" t="str">
        <f>CONCATENATE(A160," no. ",B160)</f>
        <v>Lantai 1 no. 52</v>
      </c>
      <c r="D160" t="str">
        <v>B174-1</v>
      </c>
      <c r="E160">
        <v>1</v>
      </c>
      <c r="F160">
        <v>6535</v>
      </c>
      <c r="I160">
        <f>+F160-G160-H160</f>
        <v>6535</v>
      </c>
      <c r="J160">
        <v>150</v>
      </c>
    </row>
    <row r="161">
      <c r="A161" t="str">
        <v>Lantai 1</v>
      </c>
      <c r="B161">
        <f>B160+1</f>
        <v>53</v>
      </c>
      <c r="C161" t="str">
        <f>CONCATENATE(A161," no. ",B161)</f>
        <v>Lantai 1 no. 53</v>
      </c>
      <c r="D161" t="str">
        <v>B174-1</v>
      </c>
      <c r="E161">
        <v>1</v>
      </c>
      <c r="F161">
        <v>5500</v>
      </c>
      <c r="I161">
        <f>+F161-G161-H161</f>
        <v>5500</v>
      </c>
      <c r="J161">
        <v>0</v>
      </c>
    </row>
    <row r="162">
      <c r="A162" t="str">
        <v>Lantai 1</v>
      </c>
      <c r="B162">
        <f>B161+1</f>
        <v>54</v>
      </c>
      <c r="C162" t="str">
        <f>CONCATENATE(A162," no. ",B162)</f>
        <v>Lantai 1 no. 54</v>
      </c>
      <c r="D162" t="str">
        <v>B24-1</v>
      </c>
      <c r="E162">
        <v>1</v>
      </c>
      <c r="F162">
        <v>5100</v>
      </c>
      <c r="I162">
        <f>+F162-G162-H162</f>
        <v>5100</v>
      </c>
      <c r="J162">
        <v>130</v>
      </c>
    </row>
    <row r="163">
      <c r="A163" t="str">
        <v>Lantai 1</v>
      </c>
      <c r="B163">
        <f>B162+1</f>
        <v>55</v>
      </c>
      <c r="C163" t="str">
        <f>CONCATENATE(A163," no. ",B163)</f>
        <v>Lantai 1 no. 55</v>
      </c>
      <c r="D163" t="str">
        <v>B25-1</v>
      </c>
      <c r="E163">
        <v>1</v>
      </c>
      <c r="F163">
        <v>2900</v>
      </c>
      <c r="I163">
        <f>+F163-G163-H163</f>
        <v>2900</v>
      </c>
      <c r="J163">
        <v>130</v>
      </c>
    </row>
    <row r="164">
      <c r="A164" t="str">
        <v>Lantai 1</v>
      </c>
      <c r="B164">
        <f>B163+1</f>
        <v>56</v>
      </c>
      <c r="C164" t="str">
        <f>CONCATENATE(A164," no. ",B164)</f>
        <v>Lantai 1 no. 56</v>
      </c>
      <c r="D164" t="str">
        <v>B245-2</v>
      </c>
      <c r="E164">
        <v>1</v>
      </c>
      <c r="F164">
        <v>7570</v>
      </c>
      <c r="I164">
        <f>+F164-G164-H164</f>
        <v>7570</v>
      </c>
      <c r="J164">
        <v>150</v>
      </c>
    </row>
    <row r="165">
      <c r="A165" t="str">
        <v>Lantai 1</v>
      </c>
      <c r="B165">
        <f>B164+1</f>
        <v>57</v>
      </c>
      <c r="C165" t="str">
        <f>CONCATENATE(A165," no. ",B165)</f>
        <v>Lantai 1 no. 57</v>
      </c>
      <c r="D165" t="str">
        <v>B245-4</v>
      </c>
      <c r="E165">
        <v>1</v>
      </c>
      <c r="F165">
        <v>4340</v>
      </c>
      <c r="I165">
        <f>+F165-G165-H165</f>
        <v>4340</v>
      </c>
      <c r="J165">
        <v>0</v>
      </c>
    </row>
    <row r="166">
      <c r="A166" t="str">
        <v>Lantai 1</v>
      </c>
      <c r="B166">
        <f>B165+1</f>
        <v>58</v>
      </c>
      <c r="C166" t="str">
        <f>CONCATENATE(A166," no. ",B166)</f>
        <v>Lantai 1 no. 58</v>
      </c>
      <c r="D166" t="str">
        <v>B245-5</v>
      </c>
      <c r="E166">
        <v>1</v>
      </c>
      <c r="F166">
        <v>2780</v>
      </c>
      <c r="I166">
        <f>+F166-G166-H166</f>
        <v>2780</v>
      </c>
      <c r="J166">
        <v>0</v>
      </c>
    </row>
    <row r="167">
      <c r="A167" t="str">
        <v>Lantai 1</v>
      </c>
      <c r="B167">
        <f>B166+1</f>
        <v>59</v>
      </c>
      <c r="C167" t="str">
        <f>CONCATENATE(A167," no. ",B167)</f>
        <v>Lantai 1 no. 59</v>
      </c>
      <c r="D167" t="str">
        <v>B245-2</v>
      </c>
      <c r="E167">
        <v>0</v>
      </c>
      <c r="F167">
        <v>2095</v>
      </c>
      <c r="I167">
        <f>+F167-G167-H167</f>
        <v>2095</v>
      </c>
      <c r="J167">
        <v>0</v>
      </c>
    </row>
    <row r="168">
      <c r="A168" t="str">
        <v>Lantai 1</v>
      </c>
      <c r="B168">
        <f>B167+1</f>
        <v>60</v>
      </c>
      <c r="C168" t="str">
        <f>CONCATENATE(A168," no. ",B168)</f>
        <v>Lantai 1 no. 60</v>
      </c>
      <c r="D168" t="str">
        <v>B245-1</v>
      </c>
      <c r="E168">
        <v>0</v>
      </c>
      <c r="F168">
        <v>2095</v>
      </c>
      <c r="I168">
        <f>+F168-G168-H168</f>
        <v>2095</v>
      </c>
      <c r="J168">
        <v>0</v>
      </c>
    </row>
    <row r="169">
      <c r="A169" t="str">
        <v>Lantai 1</v>
      </c>
      <c r="B169">
        <f>B168+1</f>
        <v>61</v>
      </c>
      <c r="C169" t="str">
        <f>CONCATENATE(A169," no. ",B169)</f>
        <v>Lantai 1 no. 61</v>
      </c>
      <c r="D169" t="str">
        <v>Potongan B</v>
      </c>
      <c r="E169">
        <v>0</v>
      </c>
      <c r="F169">
        <v>2450</v>
      </c>
      <c r="I169">
        <f>+F169-G169-H169</f>
        <v>2450</v>
      </c>
      <c r="J169">
        <v>130</v>
      </c>
    </row>
    <row r="170">
      <c r="A170" t="str">
        <v>Lantai 1</v>
      </c>
      <c r="B170">
        <f>B169+1</f>
        <v>62</v>
      </c>
      <c r="C170" t="str">
        <f>CONCATENATE(A170," no. ",B170)</f>
        <v>Lantai 1 no. 62</v>
      </c>
      <c r="D170" t="str">
        <v>B25-2</v>
      </c>
      <c r="E170">
        <v>0</v>
      </c>
      <c r="F170">
        <v>3635</v>
      </c>
      <c r="I170">
        <f>+F170-G170-H170</f>
        <v>3635</v>
      </c>
      <c r="J170">
        <v>130</v>
      </c>
    </row>
    <row r="171">
      <c r="A171" t="str">
        <v>Lantai 1</v>
      </c>
      <c r="B171">
        <f>B170+1</f>
        <v>63</v>
      </c>
      <c r="C171" t="str">
        <f>CONCATENATE(A171," no. ",B171)</f>
        <v>Lantai 1 no. 63</v>
      </c>
      <c r="D171" t="str">
        <v>B245-6</v>
      </c>
      <c r="E171">
        <v>0</v>
      </c>
      <c r="F171">
        <v>4915</v>
      </c>
      <c r="I171">
        <f>+F171-G171-H171</f>
        <v>4915</v>
      </c>
      <c r="J171">
        <v>0</v>
      </c>
    </row>
    <row r="172">
      <c r="A172" t="str">
        <v>Lantai 1</v>
      </c>
      <c r="B172">
        <f>B171+1</f>
        <v>64</v>
      </c>
      <c r="C172" t="str">
        <f>CONCATENATE(A172," no. ",B172)</f>
        <v>Lantai 1 no. 64</v>
      </c>
      <c r="D172" t="str">
        <v>B24-2</v>
      </c>
      <c r="E172">
        <v>0</v>
      </c>
      <c r="F172">
        <v>3185</v>
      </c>
      <c r="I172">
        <f>+F172-G172-H172</f>
        <v>3185</v>
      </c>
      <c r="J172">
        <v>150</v>
      </c>
    </row>
    <row r="173">
      <c r="A173" t="str">
        <v>Lantai 1</v>
      </c>
      <c r="B173">
        <f>B172+1</f>
        <v>65</v>
      </c>
      <c r="C173" t="str">
        <f>CONCATENATE(A173," no. ",B173)</f>
        <v>Lantai 1 no. 65</v>
      </c>
      <c r="D173" t="str">
        <v>B245-1</v>
      </c>
      <c r="E173">
        <v>1</v>
      </c>
      <c r="F173">
        <v>3200</v>
      </c>
      <c r="I173">
        <f>+F173-G173-H173</f>
        <v>3200</v>
      </c>
      <c r="J173">
        <v>150</v>
      </c>
    </row>
    <row r="174">
      <c r="A174" t="str">
        <v>Lantai 1</v>
      </c>
      <c r="B174">
        <f>B173+1</f>
        <v>66</v>
      </c>
      <c r="C174" t="str">
        <f>CONCATENATE(A174," no. ",B174)</f>
        <v>Lantai 1 no. 66</v>
      </c>
      <c r="D174" t="str">
        <v>B245-4</v>
      </c>
      <c r="E174">
        <v>1</v>
      </c>
      <c r="F174">
        <v>5700</v>
      </c>
      <c r="I174">
        <f>+F174-G174-H174</f>
        <v>5700</v>
      </c>
      <c r="J174">
        <v>130</v>
      </c>
    </row>
    <row r="175">
      <c r="A175" t="str">
        <v>Lantai 1</v>
      </c>
      <c r="B175">
        <f>B174+1</f>
        <v>67</v>
      </c>
      <c r="C175" t="str">
        <f>CONCATENATE(A175," no. ",B175)</f>
        <v>Lantai 1 no. 67</v>
      </c>
      <c r="D175" t="str">
        <v>B245-1</v>
      </c>
      <c r="E175">
        <v>1</v>
      </c>
      <c r="F175">
        <v>2500</v>
      </c>
      <c r="I175">
        <f>+F175-G175-H175</f>
        <v>2500</v>
      </c>
      <c r="J175">
        <v>150</v>
      </c>
    </row>
    <row r="176">
      <c r="A176" t="str">
        <v>Lantai 1</v>
      </c>
      <c r="B176">
        <f>B175+1</f>
        <v>68</v>
      </c>
      <c r="C176" t="str">
        <f>CONCATENATE(A176," no. ",B176)</f>
        <v>Lantai 1 no. 68</v>
      </c>
      <c r="D176" t="str">
        <v>B24-1</v>
      </c>
      <c r="E176">
        <v>1</v>
      </c>
      <c r="F176">
        <v>4600</v>
      </c>
      <c r="I176">
        <f>+F176-G176-H176</f>
        <v>4600</v>
      </c>
      <c r="J176">
        <v>150</v>
      </c>
    </row>
    <row r="177">
      <c r="A177" t="str">
        <v>Lantai 1</v>
      </c>
      <c r="B177">
        <f>B176+1</f>
        <v>69</v>
      </c>
      <c r="C177" t="str">
        <f>CONCATENATE(A177," no. ",B177)</f>
        <v>Lantai 1 no. 69</v>
      </c>
      <c r="D177" t="str">
        <v>B245-3</v>
      </c>
      <c r="E177">
        <v>1</v>
      </c>
      <c r="F177">
        <v>8100</v>
      </c>
      <c r="I177">
        <f>+F177-G177-H177</f>
        <v>8100</v>
      </c>
      <c r="J177">
        <v>130</v>
      </c>
    </row>
    <row r="178">
      <c r="A178" t="str">
        <v>Lantai 1</v>
      </c>
      <c r="B178">
        <f>B177+1</f>
        <v>70</v>
      </c>
      <c r="C178" t="str">
        <f>CONCATENATE(A178," no. ",B178)</f>
        <v>Lantai 1 no. 70</v>
      </c>
      <c r="D178" t="str">
        <v>B245-1</v>
      </c>
      <c r="E178">
        <v>1</v>
      </c>
      <c r="F178">
        <v>6335</v>
      </c>
      <c r="I178">
        <f>+F178-G178-H178</f>
        <v>6335</v>
      </c>
      <c r="J178">
        <v>150</v>
      </c>
    </row>
    <row r="179">
      <c r="A179" t="str">
        <v>Lantai 1</v>
      </c>
      <c r="B179">
        <f>B178+1</f>
        <v>71</v>
      </c>
      <c r="C179" t="str">
        <f>CONCATENATE(A179," no. ",B179)</f>
        <v>Lantai 1 no. 71</v>
      </c>
      <c r="D179" t="str">
        <v>B245-2</v>
      </c>
      <c r="E179">
        <v>1</v>
      </c>
      <c r="F179">
        <v>5765</v>
      </c>
      <c r="I179">
        <f>+F179-G179-H179</f>
        <v>5765</v>
      </c>
      <c r="J179">
        <v>130</v>
      </c>
    </row>
    <row r="180">
      <c r="A180" t="str">
        <v>Lantai 1</v>
      </c>
      <c r="B180">
        <f>B179+1</f>
        <v>72</v>
      </c>
      <c r="C180" t="str">
        <f>CONCATENATE(A180," no. ",B180)</f>
        <v>Lantai 1 no. 72</v>
      </c>
      <c r="D180" t="str">
        <v>B57-1</v>
      </c>
      <c r="E180">
        <v>1</v>
      </c>
      <c r="F180">
        <v>7915</v>
      </c>
      <c r="I180">
        <f>+F180-G180-H180</f>
        <v>7915</v>
      </c>
      <c r="J180">
        <v>130</v>
      </c>
    </row>
    <row r="181">
      <c r="A181" t="str">
        <v>Lantai 1</v>
      </c>
      <c r="B181">
        <f>B180+1</f>
        <v>73</v>
      </c>
      <c r="C181" t="str">
        <f>CONCATENATE(A181," no. ",B181)</f>
        <v>Lantai 1 no. 73</v>
      </c>
      <c r="D181" t="str">
        <v>B57-1</v>
      </c>
      <c r="E181">
        <v>1</v>
      </c>
      <c r="F181">
        <v>6035</v>
      </c>
      <c r="I181">
        <f>+F181-G181-H181</f>
        <v>6035</v>
      </c>
      <c r="J181">
        <v>130</v>
      </c>
    </row>
    <row r="182">
      <c r="A182" t="str">
        <v>Lantai 1</v>
      </c>
      <c r="B182">
        <f>B181+1</f>
        <v>74</v>
      </c>
      <c r="C182" t="str">
        <f>CONCATENATE(A182," no. ",B182)</f>
        <v>Lantai 1 no. 74</v>
      </c>
      <c r="D182" t="str">
        <v>B245-2</v>
      </c>
      <c r="E182">
        <v>1</v>
      </c>
      <c r="F182">
        <v>5365</v>
      </c>
      <c r="I182">
        <f>+F182-G182-H182</f>
        <v>5365</v>
      </c>
      <c r="J182">
        <v>130</v>
      </c>
    </row>
    <row r="183">
      <c r="A183" t="str">
        <v>Lantai 1</v>
      </c>
      <c r="B183">
        <f>B182+1</f>
        <v>75</v>
      </c>
      <c r="C183" t="str">
        <f>CONCATENATE(A183," no. ",B183)</f>
        <v>Lantai 1 no. 75</v>
      </c>
      <c r="D183" t="str">
        <v>B245-2</v>
      </c>
      <c r="E183">
        <v>1</v>
      </c>
      <c r="F183">
        <v>5100</v>
      </c>
      <c r="I183">
        <f>+F183-G183-H183</f>
        <v>5100</v>
      </c>
      <c r="J183">
        <v>130</v>
      </c>
    </row>
    <row r="184">
      <c r="A184" t="str">
        <v>Lantai 1</v>
      </c>
      <c r="B184">
        <f>B183+1</f>
        <v>76</v>
      </c>
      <c r="C184" t="str">
        <f>CONCATENATE(A184," no. ",B184)</f>
        <v>Lantai 1 no. 76</v>
      </c>
      <c r="D184" t="str">
        <v>CL25-1</v>
      </c>
      <c r="E184">
        <v>1</v>
      </c>
      <c r="F184">
        <v>3285</v>
      </c>
      <c r="I184">
        <f>+F184-G184-H184</f>
        <v>3285</v>
      </c>
      <c r="J184">
        <v>130</v>
      </c>
    </row>
    <row r="185">
      <c r="A185" t="str">
        <v>Lantai 1</v>
      </c>
      <c r="B185">
        <f>B184+1</f>
        <v>77</v>
      </c>
      <c r="C185" t="str">
        <f>CONCATENATE(A185," no. ",B185)</f>
        <v>Lantai 1 no. 77</v>
      </c>
      <c r="D185" t="str">
        <v>B25-1</v>
      </c>
      <c r="E185">
        <v>1</v>
      </c>
      <c r="F185">
        <v>3600</v>
      </c>
      <c r="I185">
        <f>+F185-G185-H185</f>
        <v>3600</v>
      </c>
      <c r="J185">
        <v>130</v>
      </c>
    </row>
    <row r="186">
      <c r="A186" t="str">
        <v>Lantai 1</v>
      </c>
      <c r="B186">
        <f>B185+1</f>
        <v>78</v>
      </c>
      <c r="C186" t="str">
        <f>CONCATENATE(A186," no. ",B186)</f>
        <v>Lantai 1 no. 78</v>
      </c>
      <c r="D186" t="str">
        <v>B37-1</v>
      </c>
      <c r="E186">
        <v>1</v>
      </c>
      <c r="F186">
        <v>2885</v>
      </c>
      <c r="I186">
        <f>+F186-G186-H186</f>
        <v>2885</v>
      </c>
      <c r="J186">
        <v>130</v>
      </c>
    </row>
    <row r="187">
      <c r="A187" t="str">
        <v>Lantai 1</v>
      </c>
      <c r="B187">
        <f>B186+1</f>
        <v>79</v>
      </c>
      <c r="C187" t="str">
        <f>CONCATENATE(A187," no. ",B187)</f>
        <v>Lantai 1 no. 79</v>
      </c>
      <c r="D187" t="str">
        <v>B37-1</v>
      </c>
      <c r="E187">
        <v>1</v>
      </c>
      <c r="F187">
        <v>4915</v>
      </c>
      <c r="I187">
        <f>+F187-G187-H187</f>
        <v>4915</v>
      </c>
      <c r="J187">
        <v>130</v>
      </c>
    </row>
    <row r="188">
      <c r="A188" t="str">
        <v>Lantai 1</v>
      </c>
      <c r="B188">
        <f>B187+1</f>
        <v>80</v>
      </c>
      <c r="C188" t="str">
        <f>CONCATENATE(A188," no. ",B188)</f>
        <v>Lantai 1 no. 80</v>
      </c>
      <c r="D188" t="str">
        <v>B37-1</v>
      </c>
      <c r="E188">
        <v>1</v>
      </c>
      <c r="F188">
        <v>8400</v>
      </c>
      <c r="I188">
        <f>+F188-G188-H188</f>
        <v>8400</v>
      </c>
      <c r="J188">
        <v>130</v>
      </c>
    </row>
    <row r="189">
      <c r="A189" t="str">
        <v>Lantai 1</v>
      </c>
      <c r="B189">
        <f>B188+1</f>
        <v>81</v>
      </c>
      <c r="C189" t="str">
        <f>CONCATENATE(A189," no. ",B189)</f>
        <v>Lantai 1 no. 81</v>
      </c>
      <c r="D189" t="str">
        <v>B345-1</v>
      </c>
      <c r="E189">
        <v>1</v>
      </c>
      <c r="F189">
        <v>3700</v>
      </c>
      <c r="I189">
        <f>+F189-G189-H189</f>
        <v>3700</v>
      </c>
      <c r="J189">
        <v>130</v>
      </c>
    </row>
    <row r="190">
      <c r="A190" t="str">
        <v>Lantai 1</v>
      </c>
      <c r="B190">
        <f>B189+1</f>
        <v>82</v>
      </c>
      <c r="C190" t="str">
        <f>CONCATENATE(A190," no. ",B190)</f>
        <v>Lantai 1 no. 82</v>
      </c>
      <c r="D190" t="str">
        <v>B23-1</v>
      </c>
      <c r="E190">
        <v>1</v>
      </c>
      <c r="F190">
        <v>2700</v>
      </c>
      <c r="I190">
        <f>+F190-G190-H190</f>
        <v>2700</v>
      </c>
      <c r="J190">
        <v>130</v>
      </c>
    </row>
    <row r="191">
      <c r="A191" t="str">
        <v>Lantai 1</v>
      </c>
      <c r="B191">
        <f>B190+1</f>
        <v>83</v>
      </c>
      <c r="C191" t="str">
        <f>CONCATENATE(A191," no. ",B191)</f>
        <v>Lantai 1 no. 83</v>
      </c>
      <c r="D191" t="str">
        <v>B35-1</v>
      </c>
      <c r="E191">
        <v>1</v>
      </c>
      <c r="F191">
        <v>6685</v>
      </c>
      <c r="I191">
        <f>+F191-G191-H191</f>
        <v>6685</v>
      </c>
      <c r="J191">
        <v>130</v>
      </c>
    </row>
    <row r="192">
      <c r="A192" t="str">
        <v>Lantai 1</v>
      </c>
      <c r="B192">
        <f>B191+1</f>
        <v>84</v>
      </c>
      <c r="C192" t="str">
        <f>CONCATENATE(A192," no. ",B192)</f>
        <v>Lantai 1 no. 84</v>
      </c>
      <c r="D192" t="str">
        <v>B245-3</v>
      </c>
      <c r="E192">
        <v>1</v>
      </c>
      <c r="F192">
        <v>4600</v>
      </c>
      <c r="I192">
        <f>+F192-G192-H192</f>
        <v>4600</v>
      </c>
      <c r="J192">
        <v>130</v>
      </c>
    </row>
    <row r="193">
      <c r="A193" t="str">
        <v>Lantai 1</v>
      </c>
      <c r="B193">
        <f>B192+1</f>
        <v>85</v>
      </c>
      <c r="C193" t="str">
        <f>CONCATENATE(A193," no. ",B193)</f>
        <v>Lantai 1 no. 85</v>
      </c>
      <c r="D193" t="str">
        <v>B37-1</v>
      </c>
      <c r="E193">
        <v>1</v>
      </c>
      <c r="F193">
        <v>2885</v>
      </c>
      <c r="I193">
        <f>+F193-G193-H193</f>
        <v>2885</v>
      </c>
      <c r="J193">
        <v>130</v>
      </c>
    </row>
    <row r="194">
      <c r="A194" t="str">
        <v>Lantai 1</v>
      </c>
      <c r="B194">
        <f>B193+1</f>
        <v>86</v>
      </c>
      <c r="C194" t="str">
        <f>CONCATENATE(A194," no. ",B194)</f>
        <v>Lantai 1 no. 86</v>
      </c>
      <c r="D194" t="str">
        <v>B37-1</v>
      </c>
      <c r="E194">
        <v>1</v>
      </c>
      <c r="F194">
        <v>4915</v>
      </c>
      <c r="I194">
        <f>+F194-G194-H194</f>
        <v>4915</v>
      </c>
      <c r="J194">
        <v>130</v>
      </c>
    </row>
    <row r="195">
      <c r="A195" t="str">
        <v>Lantai 1</v>
      </c>
      <c r="B195">
        <f>B194+1</f>
        <v>87</v>
      </c>
      <c r="C195" t="str">
        <f>CONCATENATE(A195," no. ",B195)</f>
        <v>Lantai 1 no. 87</v>
      </c>
      <c r="D195" t="str">
        <v>B37-1</v>
      </c>
      <c r="E195">
        <v>1</v>
      </c>
      <c r="F195">
        <v>5715</v>
      </c>
      <c r="I195">
        <f>+F195-G195-H195</f>
        <v>5715</v>
      </c>
      <c r="J195">
        <v>130</v>
      </c>
    </row>
    <row r="196">
      <c r="A196" t="str">
        <v>Lantai 1</v>
      </c>
      <c r="B196">
        <f>B195+1</f>
        <v>88</v>
      </c>
      <c r="C196" t="str">
        <f>CONCATENATE(A196," no. ",B196)</f>
        <v>Lantai 1 no. 88</v>
      </c>
      <c r="D196" t="str">
        <v>B245-4</v>
      </c>
      <c r="E196">
        <v>1</v>
      </c>
      <c r="F196">
        <v>2600</v>
      </c>
      <c r="I196">
        <f>+F196-G196-H196</f>
        <v>2600</v>
      </c>
      <c r="J196">
        <v>130</v>
      </c>
    </row>
    <row r="197">
      <c r="A197" t="str">
        <v>Lantai 1</v>
      </c>
      <c r="B197">
        <f>B196+1</f>
        <v>89</v>
      </c>
      <c r="C197" t="str">
        <f>CONCATENATE(A197," no. ",B197)</f>
        <v>Lantai 1 no. 89</v>
      </c>
      <c r="D197" t="str">
        <v>B245-3</v>
      </c>
      <c r="E197">
        <v>1</v>
      </c>
      <c r="F197">
        <v>3000</v>
      </c>
      <c r="I197">
        <f>+F197-G197-H197</f>
        <v>3000</v>
      </c>
      <c r="J197">
        <v>130</v>
      </c>
    </row>
    <row r="198">
      <c r="A198" t="str">
        <v>Lantai 1</v>
      </c>
      <c r="B198" t="str">
        <v>89A</v>
      </c>
      <c r="C198" t="str">
        <f>CONCATENATE(A198," no. ",B198)</f>
        <v>Lantai 1 no. 89A</v>
      </c>
      <c r="D198" t="str">
        <v>B245-6</v>
      </c>
      <c r="E198">
        <v>1</v>
      </c>
      <c r="F198">
        <v>3135</v>
      </c>
      <c r="I198">
        <f>+F198-G198-H198</f>
        <v>3135</v>
      </c>
    </row>
    <row r="199">
      <c r="A199" t="str">
        <v>Lantai 1</v>
      </c>
      <c r="B199">
        <f>B197+1</f>
        <v>90</v>
      </c>
      <c r="C199" t="str">
        <f>CONCATENATE(A199," no. ",B199)</f>
        <v>Lantai 1 no. 90</v>
      </c>
      <c r="D199" t="str">
        <v>B24-1</v>
      </c>
      <c r="E199">
        <v>1</v>
      </c>
      <c r="F199">
        <v>4850</v>
      </c>
      <c r="I199">
        <f>+F199-G199-H199</f>
        <v>4850</v>
      </c>
      <c r="J199">
        <v>130</v>
      </c>
    </row>
    <row r="200">
      <c r="A200" t="str">
        <v>Lantai 1</v>
      </c>
      <c r="B200">
        <f>B199+1</f>
        <v>91</v>
      </c>
      <c r="C200" t="str">
        <f>CONCATENATE(A200," no. ",B200)</f>
        <v>Lantai 1 no. 91</v>
      </c>
      <c r="D200" t="str">
        <v>B245-1</v>
      </c>
      <c r="E200">
        <v>1</v>
      </c>
      <c r="F200">
        <v>3400</v>
      </c>
      <c r="I200">
        <f>+F200-G200-H200</f>
        <v>3400</v>
      </c>
      <c r="J200">
        <v>130</v>
      </c>
    </row>
    <row r="201">
      <c r="A201" t="str">
        <v>Lantai 1</v>
      </c>
      <c r="B201">
        <f>B200+1</f>
        <v>92</v>
      </c>
      <c r="C201" t="str">
        <f>CONCATENATE(A201," no. ",B201)</f>
        <v>Lantai 1 no. 92</v>
      </c>
      <c r="D201" t="str">
        <v>B57-1</v>
      </c>
      <c r="E201">
        <v>1</v>
      </c>
      <c r="F201">
        <v>3450</v>
      </c>
      <c r="I201">
        <f>+F201-G201-H201</f>
        <v>3450</v>
      </c>
      <c r="J201">
        <v>130</v>
      </c>
    </row>
    <row r="202">
      <c r="A202" t="str">
        <v>Lantai 1</v>
      </c>
      <c r="B202">
        <f>B201+1</f>
        <v>93</v>
      </c>
      <c r="C202" t="str">
        <f>CONCATENATE(A202," no. ",B202)</f>
        <v>Lantai 1 no. 93</v>
      </c>
      <c r="D202" t="str">
        <v>B57-1</v>
      </c>
      <c r="E202">
        <v>1</v>
      </c>
      <c r="F202">
        <v>4715</v>
      </c>
      <c r="I202">
        <f>+F202-G202-H202</f>
        <v>4715</v>
      </c>
      <c r="J202">
        <v>130</v>
      </c>
    </row>
    <row r="203">
      <c r="A203" t="str">
        <v>Lantai 1</v>
      </c>
      <c r="B203">
        <f>B202+1</f>
        <v>94</v>
      </c>
      <c r="C203" t="str">
        <f>CONCATENATE(A203," no. ",B203)</f>
        <v>Lantai 1 no. 94</v>
      </c>
      <c r="D203" t="str">
        <v>B57-1</v>
      </c>
      <c r="E203">
        <v>1</v>
      </c>
      <c r="F203">
        <v>5500</v>
      </c>
      <c r="I203">
        <f>+F203-G203-H203</f>
        <v>5500</v>
      </c>
      <c r="J203">
        <v>130</v>
      </c>
    </row>
    <row r="204">
      <c r="A204" t="str">
        <v>Lantai 1</v>
      </c>
      <c r="B204">
        <f>B203+1</f>
        <v>95</v>
      </c>
      <c r="C204" t="str">
        <f>CONCATENATE(A204," no. ",B204)</f>
        <v>Lantai 1 no. 95</v>
      </c>
      <c r="D204" t="str">
        <v>B174-1</v>
      </c>
      <c r="E204">
        <v>1</v>
      </c>
      <c r="F204">
        <v>2685</v>
      </c>
      <c r="I204">
        <f>+F204-G204-H204</f>
        <v>2685</v>
      </c>
      <c r="J204">
        <v>0</v>
      </c>
    </row>
    <row r="205">
      <c r="A205" t="str">
        <v>Lantai 1</v>
      </c>
      <c r="B205">
        <f>B204+1</f>
        <v>96</v>
      </c>
      <c r="C205" t="str">
        <f>CONCATENATE(A205," no. ",B205)</f>
        <v>Lantai 1 no. 96</v>
      </c>
      <c r="D205" t="str">
        <v>B176-1</v>
      </c>
      <c r="E205">
        <v>1</v>
      </c>
      <c r="F205">
        <v>4900</v>
      </c>
      <c r="I205">
        <f>+F205-G205-H205</f>
        <v>4900</v>
      </c>
      <c r="J205">
        <v>130</v>
      </c>
    </row>
    <row r="206">
      <c r="A206" t="str">
        <v>Lantai 1</v>
      </c>
      <c r="B206">
        <f>B205+1</f>
        <v>97</v>
      </c>
      <c r="C206" t="str">
        <f>CONCATENATE(A206," no. ",B206)</f>
        <v>Lantai 1 no. 97</v>
      </c>
      <c r="D206" t="str">
        <v>B174-1</v>
      </c>
      <c r="E206">
        <v>1</v>
      </c>
      <c r="F206">
        <v>3185</v>
      </c>
      <c r="I206">
        <f>+F206-G206-H206</f>
        <v>3185</v>
      </c>
      <c r="J206">
        <v>0</v>
      </c>
    </row>
    <row r="208">
      <c r="A208" t="str">
        <v>Lantai 2</v>
      </c>
      <c r="B208">
        <f>B207+1</f>
        <v>1</v>
      </c>
      <c r="C208" t="str">
        <f>CONCATENATE(A208," no. ",B208)</f>
        <v>Lantai 2 no. 1</v>
      </c>
      <c r="D208" t="str">
        <v>B26-6</v>
      </c>
      <c r="E208">
        <v>1</v>
      </c>
      <c r="F208">
        <v>3500</v>
      </c>
      <c r="I208">
        <f>+F208-G208-H208</f>
        <v>3500</v>
      </c>
      <c r="J208">
        <v>150</v>
      </c>
    </row>
    <row r="209">
      <c r="A209" t="str">
        <v>Lantai 2</v>
      </c>
      <c r="B209">
        <f>B208+1</f>
        <v>2</v>
      </c>
      <c r="C209" t="str">
        <f>CONCATENATE(A209," no. ",B209)</f>
        <v>Lantai 2 no. 2</v>
      </c>
      <c r="D209" t="str">
        <v>B245-1</v>
      </c>
      <c r="E209">
        <v>1</v>
      </c>
      <c r="F209">
        <v>6600</v>
      </c>
      <c r="I209">
        <f>+F209-G209-H209</f>
        <v>6600</v>
      </c>
      <c r="J209">
        <v>130</v>
      </c>
    </row>
    <row r="210">
      <c r="A210" t="str">
        <v>Lantai 2</v>
      </c>
      <c r="B210">
        <f>B209+1</f>
        <v>3</v>
      </c>
      <c r="C210" t="str">
        <f>CONCATENATE(A210," no. ",B210)</f>
        <v>Lantai 2 no. 3</v>
      </c>
      <c r="D210" t="str">
        <v>B245-3</v>
      </c>
      <c r="E210">
        <v>1</v>
      </c>
      <c r="F210">
        <v>2800</v>
      </c>
      <c r="I210">
        <f>+F210-G210-H210</f>
        <v>2800</v>
      </c>
      <c r="J210">
        <v>0</v>
      </c>
    </row>
    <row r="211">
      <c r="A211" t="str">
        <v>Lantai 2</v>
      </c>
      <c r="B211">
        <f>B210+1</f>
        <v>4</v>
      </c>
      <c r="C211" t="str">
        <f>CONCATENATE(A211," no. ",B211)</f>
        <v>Lantai 2 no. 4</v>
      </c>
      <c r="D211" t="str">
        <v>B24-1</v>
      </c>
      <c r="E211">
        <v>1</v>
      </c>
      <c r="F211">
        <v>2300</v>
      </c>
      <c r="I211">
        <f>+F211-G211-H211</f>
        <v>2300</v>
      </c>
      <c r="J211">
        <v>130</v>
      </c>
    </row>
    <row r="212">
      <c r="A212" t="str">
        <v>Lantai 2</v>
      </c>
      <c r="B212">
        <f>B211+1</f>
        <v>5</v>
      </c>
      <c r="C212" t="str">
        <f>CONCATENATE(A212," no. ",B212)</f>
        <v>Lantai 2 no. 5</v>
      </c>
      <c r="D212" t="str">
        <v>B1745-1</v>
      </c>
      <c r="E212">
        <v>1</v>
      </c>
      <c r="F212">
        <v>2800</v>
      </c>
      <c r="I212">
        <f>+F212-G212-H212</f>
        <v>2800</v>
      </c>
      <c r="J212">
        <v>0</v>
      </c>
    </row>
    <row r="213">
      <c r="A213" t="str">
        <v>Lantai 2</v>
      </c>
      <c r="B213">
        <f>B212+1</f>
        <v>6</v>
      </c>
      <c r="C213" t="str">
        <f>CONCATENATE(A213," no. ",B213)</f>
        <v>Lantai 2 no. 6</v>
      </c>
      <c r="D213" t="str">
        <v>B36-1</v>
      </c>
      <c r="E213">
        <v>1</v>
      </c>
      <c r="F213">
        <v>5585</v>
      </c>
      <c r="I213">
        <f>+F213-G213-H213</f>
        <v>5585</v>
      </c>
      <c r="J213">
        <v>130</v>
      </c>
    </row>
    <row r="214">
      <c r="A214" t="str">
        <v>Lantai 2</v>
      </c>
      <c r="B214">
        <f>B213+1</f>
        <v>7</v>
      </c>
      <c r="C214" t="str">
        <f>CONCATENATE(A214," no. ",B214)</f>
        <v>Lantai 2 no. 7</v>
      </c>
      <c r="D214" t="str">
        <v>Potongan H</v>
      </c>
      <c r="E214">
        <v>1</v>
      </c>
      <c r="F214">
        <v>2415</v>
      </c>
      <c r="I214">
        <f>+F214-G214-H214</f>
        <v>2415</v>
      </c>
      <c r="J214">
        <v>130</v>
      </c>
    </row>
    <row r="215">
      <c r="A215" t="str">
        <v>Lantai 2</v>
      </c>
      <c r="B215">
        <f>B214+1</f>
        <v>8</v>
      </c>
      <c r="C215" t="str">
        <f>CONCATENATE(A215," no. ",B215)</f>
        <v>Lantai 2 no. 8</v>
      </c>
      <c r="D215" t="str">
        <v>B36-2</v>
      </c>
      <c r="E215">
        <v>1</v>
      </c>
      <c r="F215">
        <v>3835</v>
      </c>
      <c r="I215">
        <f>+F215-G215-H215</f>
        <v>3835</v>
      </c>
      <c r="J215">
        <v>130</v>
      </c>
    </row>
    <row r="216">
      <c r="A216" t="str">
        <v>Lantai 2</v>
      </c>
      <c r="B216">
        <f>B215+1</f>
        <v>9</v>
      </c>
      <c r="C216" t="str">
        <f>CONCATENATE(A216," no. ",B216)</f>
        <v>Lantai 2 no. 9</v>
      </c>
      <c r="D216" t="str">
        <v>B36-1</v>
      </c>
      <c r="E216">
        <v>1</v>
      </c>
      <c r="F216">
        <v>4265</v>
      </c>
      <c r="I216">
        <f>+F216-G216-H216</f>
        <v>4265</v>
      </c>
      <c r="J216">
        <v>130</v>
      </c>
    </row>
    <row r="217">
      <c r="A217" t="str">
        <v>Lantai 2</v>
      </c>
      <c r="B217">
        <f>B216+1</f>
        <v>10</v>
      </c>
      <c r="C217" t="str">
        <f>CONCATENATE(A217," no. ",B217)</f>
        <v>Lantai 2 no. 10</v>
      </c>
      <c r="D217" t="str">
        <v>B245-1</v>
      </c>
      <c r="E217">
        <v>1</v>
      </c>
      <c r="F217">
        <v>1050</v>
      </c>
      <c r="I217">
        <f>+F217-G217-H217</f>
        <v>1050</v>
      </c>
      <c r="J217">
        <v>130</v>
      </c>
    </row>
    <row r="218">
      <c r="A218" t="str">
        <v>Lantai 2</v>
      </c>
      <c r="B218">
        <f>B217+1</f>
        <v>11</v>
      </c>
      <c r="C218" t="str">
        <f>CONCATENATE(A218," no. ",B218)</f>
        <v>Lantai 2 no. 11</v>
      </c>
      <c r="D218" t="str">
        <v>B25-2</v>
      </c>
      <c r="E218">
        <v>1</v>
      </c>
      <c r="F218">
        <v>6000</v>
      </c>
      <c r="I218">
        <f>+F218-G218-H218</f>
        <v>6000</v>
      </c>
      <c r="J218">
        <v>130</v>
      </c>
    </row>
    <row r="219">
      <c r="A219" t="str">
        <v>Lantai 2</v>
      </c>
      <c r="B219">
        <f>B218+1</f>
        <v>12</v>
      </c>
      <c r="C219" t="str">
        <f>CONCATENATE(A219," no. ",B219)</f>
        <v>Lantai 2 no. 12</v>
      </c>
      <c r="D219" t="str">
        <v>B25-2</v>
      </c>
      <c r="E219">
        <v>1</v>
      </c>
      <c r="F219">
        <v>7000</v>
      </c>
      <c r="I219">
        <f>+F219-G219-H219</f>
        <v>7000</v>
      </c>
      <c r="J219">
        <v>130</v>
      </c>
    </row>
    <row r="220">
      <c r="A220" t="str">
        <v>Lantai 2</v>
      </c>
      <c r="B220">
        <f>B219+1</f>
        <v>13</v>
      </c>
      <c r="C220" t="str">
        <f>CONCATENATE(A220," no. ",B220)</f>
        <v>Lantai 2 no. 13</v>
      </c>
      <c r="D220" t="str">
        <v>B25-1</v>
      </c>
      <c r="E220">
        <v>1</v>
      </c>
      <c r="F220">
        <v>3000</v>
      </c>
      <c r="I220">
        <f>+F220-G220-H220</f>
        <v>3000</v>
      </c>
      <c r="J220">
        <v>130</v>
      </c>
    </row>
    <row r="221">
      <c r="A221" t="str">
        <v>Lantai 2</v>
      </c>
      <c r="B221">
        <f>B220+1</f>
        <v>14</v>
      </c>
      <c r="C221" t="str">
        <f>CONCATENATE(A221," no. ",B221)</f>
        <v>Lantai 2 no. 14</v>
      </c>
      <c r="D221" t="str">
        <v>B245-3</v>
      </c>
      <c r="E221">
        <v>1</v>
      </c>
      <c r="F221">
        <v>2000</v>
      </c>
      <c r="I221">
        <f>+F221-G221-H221</f>
        <v>2000</v>
      </c>
      <c r="J221">
        <v>130</v>
      </c>
    </row>
    <row r="222">
      <c r="A222" t="str">
        <v>Lantai 2</v>
      </c>
      <c r="B222">
        <f>B221+1</f>
        <v>15</v>
      </c>
      <c r="C222" t="str">
        <f>CONCATENATE(A222," no. ",B222)</f>
        <v>Lantai 2 no. 15</v>
      </c>
      <c r="D222" t="str">
        <v>B47-1</v>
      </c>
      <c r="E222">
        <v>1</v>
      </c>
      <c r="F222">
        <v>6000</v>
      </c>
      <c r="I222">
        <f>+F222-G222-H222</f>
        <v>6000</v>
      </c>
      <c r="J222">
        <v>130</v>
      </c>
    </row>
    <row r="223">
      <c r="A223" t="str">
        <v>Lantai 2</v>
      </c>
      <c r="B223">
        <f>B222+1</f>
        <v>16</v>
      </c>
      <c r="C223" t="str">
        <f>CONCATENATE(A223," no. ",B223)</f>
        <v>Lantai 2 no. 16</v>
      </c>
      <c r="D223" t="str">
        <v>B475-1</v>
      </c>
      <c r="E223">
        <v>1</v>
      </c>
      <c r="F223">
        <v>7000</v>
      </c>
      <c r="I223">
        <f>+F223-G223-H223</f>
        <v>7000</v>
      </c>
      <c r="J223">
        <v>130</v>
      </c>
    </row>
    <row r="224">
      <c r="A224" t="str">
        <v>Lantai 2</v>
      </c>
      <c r="B224">
        <f>B223+1</f>
        <v>17</v>
      </c>
      <c r="C224" t="str">
        <f>CONCATENATE(A224," no. ",B224)</f>
        <v>Lantai 2 no. 17</v>
      </c>
      <c r="D224" t="str">
        <v>B257-1</v>
      </c>
      <c r="E224">
        <v>1</v>
      </c>
      <c r="F224">
        <v>5000</v>
      </c>
      <c r="I224">
        <f>+F224-G224-H224</f>
        <v>5000</v>
      </c>
      <c r="J224">
        <v>130</v>
      </c>
    </row>
    <row r="225">
      <c r="A225" t="str">
        <v>Lantai 2</v>
      </c>
      <c r="B225">
        <f>B224+1</f>
        <v>18</v>
      </c>
      <c r="C225" t="str">
        <f>CONCATENATE(A225," no. ",B225)</f>
        <v>Lantai 2 no. 18</v>
      </c>
      <c r="D225" t="str">
        <v>Potongan F</v>
      </c>
      <c r="E225">
        <v>1</v>
      </c>
      <c r="F225">
        <v>1100</v>
      </c>
      <c r="I225">
        <f>+F225-G225-H225</f>
        <v>1100</v>
      </c>
      <c r="J225">
        <v>130</v>
      </c>
    </row>
    <row r="226">
      <c r="A226" t="str">
        <v>Lantai 2</v>
      </c>
      <c r="B226">
        <f>B225+1</f>
        <v>19</v>
      </c>
      <c r="C226" t="str">
        <f>CONCATENATE(A226," no. ",B226)</f>
        <v>Lantai 2 no. 19</v>
      </c>
      <c r="D226" t="str">
        <v>B257-2</v>
      </c>
      <c r="E226">
        <v>1</v>
      </c>
      <c r="F226">
        <v>11000</v>
      </c>
      <c r="I226">
        <f>+F226-G226-H226</f>
        <v>11000</v>
      </c>
      <c r="J226">
        <v>130</v>
      </c>
    </row>
    <row r="227">
      <c r="A227" t="str">
        <v>Lantai 2</v>
      </c>
      <c r="B227">
        <f>B226+1</f>
        <v>20</v>
      </c>
      <c r="C227" t="str">
        <f>CONCATENATE(A227," no. ",B227)</f>
        <v>Lantai 2 no. 20</v>
      </c>
      <c r="D227" t="str">
        <v>B245-3</v>
      </c>
      <c r="E227">
        <v>1</v>
      </c>
      <c r="F227">
        <v>1100</v>
      </c>
      <c r="I227">
        <f>+F227-G227-H227</f>
        <v>1100</v>
      </c>
      <c r="J227">
        <v>130</v>
      </c>
    </row>
    <row r="228">
      <c r="A228" t="str">
        <v>Lantai 2</v>
      </c>
      <c r="B228">
        <f>B227+1</f>
        <v>21</v>
      </c>
      <c r="C228" t="str">
        <f>CONCATENATE(A228," no. ",B228)</f>
        <v>Lantai 2 no. 21</v>
      </c>
      <c r="D228" t="str">
        <v>B245-7</v>
      </c>
      <c r="E228">
        <v>1</v>
      </c>
      <c r="F228">
        <v>6100</v>
      </c>
      <c r="I228">
        <f>+F228-G228-H228</f>
        <v>6100</v>
      </c>
      <c r="J228">
        <v>130</v>
      </c>
    </row>
    <row r="229">
      <c r="A229" t="str">
        <v>Lantai 2</v>
      </c>
      <c r="B229">
        <f>B228+1</f>
        <v>22</v>
      </c>
      <c r="C229" t="str">
        <f>CONCATENATE(A229," no. ",B229)</f>
        <v>Lantai 2 no. 22</v>
      </c>
      <c r="D229" t="str">
        <v>B245-1</v>
      </c>
      <c r="E229">
        <v>1</v>
      </c>
      <c r="F229">
        <v>7215</v>
      </c>
      <c r="I229">
        <f>+F229-G229-H229</f>
        <v>7215</v>
      </c>
      <c r="J229">
        <v>0</v>
      </c>
    </row>
    <row r="230">
      <c r="A230" t="str">
        <v>Lantai 2</v>
      </c>
      <c r="B230">
        <f>B229+1</f>
        <v>23</v>
      </c>
      <c r="C230" t="str">
        <f>CONCATENATE(A230," no. ",B230)</f>
        <v>Lantai 2 no. 23</v>
      </c>
      <c r="D230" t="str">
        <v>B245-1</v>
      </c>
      <c r="E230">
        <v>1</v>
      </c>
      <c r="F230">
        <v>9300</v>
      </c>
      <c r="I230">
        <f>+F230-G230-H230</f>
        <v>9300</v>
      </c>
      <c r="J230">
        <v>0</v>
      </c>
    </row>
    <row r="231">
      <c r="A231" t="str">
        <v>Lantai 2</v>
      </c>
      <c r="B231">
        <f>B230+1</f>
        <v>24</v>
      </c>
      <c r="C231" t="str">
        <f>CONCATENATE(A231," no. ",B231)</f>
        <v>Lantai 2 no. 24</v>
      </c>
      <c r="D231" t="str">
        <v>B245-1</v>
      </c>
      <c r="E231">
        <v>1</v>
      </c>
      <c r="F231">
        <v>5800</v>
      </c>
      <c r="I231">
        <f>+F231-G231-H231</f>
        <v>5800</v>
      </c>
      <c r="J231">
        <v>0</v>
      </c>
    </row>
    <row r="232">
      <c r="A232" t="str">
        <v>Lantai 2</v>
      </c>
      <c r="B232">
        <f>B231+1</f>
        <v>25</v>
      </c>
      <c r="C232" t="str">
        <f>CONCATENATE(A232," no. ",B232)</f>
        <v>Lantai 2 no. 25</v>
      </c>
      <c r="D232" t="str">
        <v>B245-4</v>
      </c>
      <c r="E232">
        <v>1</v>
      </c>
      <c r="F232">
        <v>2310</v>
      </c>
      <c r="I232">
        <f>+F232-G232-H232</f>
        <v>2310</v>
      </c>
      <c r="J232">
        <v>0</v>
      </c>
    </row>
    <row r="233">
      <c r="A233" t="str">
        <v>Lantai 2</v>
      </c>
      <c r="B233">
        <f>B232+1</f>
        <v>26</v>
      </c>
      <c r="C233" t="str">
        <f>CONCATENATE(A233," no. ",B233)</f>
        <v>Lantai 2 no. 26</v>
      </c>
      <c r="D233" t="str">
        <v>B36-3</v>
      </c>
      <c r="E233">
        <v>1</v>
      </c>
      <c r="F233">
        <v>8100</v>
      </c>
      <c r="I233">
        <f>+F233-G233-H233</f>
        <v>8100</v>
      </c>
      <c r="J233">
        <v>130</v>
      </c>
    </row>
    <row r="234">
      <c r="A234" t="str">
        <v>Lantai 2</v>
      </c>
      <c r="B234">
        <f>B233+1</f>
        <v>27</v>
      </c>
      <c r="C234" t="str">
        <f>CONCATENATE(A234," no. ",B234)</f>
        <v>Lantai 2 no. 27</v>
      </c>
      <c r="D234" t="str">
        <v>B24-1</v>
      </c>
      <c r="E234">
        <v>1</v>
      </c>
      <c r="F234">
        <v>2100</v>
      </c>
      <c r="I234">
        <f>+F234-G234-H234</f>
        <v>2100</v>
      </c>
      <c r="J234">
        <v>130</v>
      </c>
    </row>
    <row r="235">
      <c r="A235" t="str">
        <v>Lantai 2</v>
      </c>
      <c r="B235">
        <f>B234+1</f>
        <v>28</v>
      </c>
      <c r="C235" t="str">
        <f>CONCATENATE(A235," no. ",B235)</f>
        <v>Lantai 2 no. 28</v>
      </c>
      <c r="D235" t="str">
        <v>B26-5</v>
      </c>
      <c r="E235">
        <v>1</v>
      </c>
      <c r="F235">
        <v>4000</v>
      </c>
      <c r="I235">
        <f>+F235-G235-H235</f>
        <v>4000</v>
      </c>
      <c r="J235">
        <v>130</v>
      </c>
    </row>
    <row r="236">
      <c r="A236" t="str">
        <v>Lantai 2</v>
      </c>
      <c r="B236">
        <f>B235+1</f>
        <v>29</v>
      </c>
      <c r="C236" t="str">
        <f>CONCATENATE(A236," no. ",B236)</f>
        <v>Lantai 2 no. 29</v>
      </c>
      <c r="D236" t="str">
        <v>B26-3</v>
      </c>
      <c r="E236">
        <v>1</v>
      </c>
      <c r="F236">
        <v>4275</v>
      </c>
      <c r="I236">
        <f>+F236-G236-H236</f>
        <v>4275</v>
      </c>
      <c r="J236">
        <v>130</v>
      </c>
    </row>
    <row r="237">
      <c r="A237" t="str">
        <v>Lantai 2</v>
      </c>
      <c r="B237">
        <f>B236+1</f>
        <v>30</v>
      </c>
      <c r="C237" t="str">
        <f>CONCATENATE(A237," no. ",B237)</f>
        <v>Lantai 2 no. 30</v>
      </c>
      <c r="D237" t="str">
        <v>B26-4</v>
      </c>
      <c r="E237">
        <v>1</v>
      </c>
      <c r="F237">
        <v>2725</v>
      </c>
      <c r="I237">
        <f>+F237-G237-H237</f>
        <v>2725</v>
      </c>
      <c r="J237">
        <v>130</v>
      </c>
    </row>
    <row r="238">
      <c r="A238" t="str">
        <v>Lantai 2</v>
      </c>
      <c r="B238">
        <f>B237+1</f>
        <v>31</v>
      </c>
      <c r="C238" t="str">
        <f>CONCATENATE(A238," no. ",B238)</f>
        <v>Lantai 2 no. 31</v>
      </c>
      <c r="D238" t="str">
        <v>CL24-1</v>
      </c>
      <c r="E238">
        <v>1</v>
      </c>
      <c r="F238">
        <v>2700</v>
      </c>
      <c r="I238">
        <f>+F238-G238-H238</f>
        <v>2700</v>
      </c>
      <c r="J238">
        <v>130</v>
      </c>
    </row>
    <row r="239">
      <c r="A239" t="str">
        <v>Lantai 2</v>
      </c>
      <c r="B239">
        <f>B238+1</f>
        <v>32</v>
      </c>
      <c r="C239" t="str">
        <f>CONCATENATE(A239," no. ",B239)</f>
        <v>Lantai 2 no. 32</v>
      </c>
      <c r="D239" t="str">
        <v>B23-1</v>
      </c>
      <c r="E239">
        <v>1</v>
      </c>
      <c r="F239">
        <v>3100</v>
      </c>
      <c r="I239">
        <f>+F239-G239-H239</f>
        <v>3100</v>
      </c>
      <c r="J239">
        <v>130</v>
      </c>
    </row>
    <row r="240">
      <c r="A240" t="str">
        <v>Lantai 2</v>
      </c>
      <c r="B240">
        <f>B239+1</f>
        <v>33</v>
      </c>
      <c r="C240" t="str">
        <f>CONCATENATE(A240," no. ",B240)</f>
        <v>Lantai 2 no. 33</v>
      </c>
      <c r="D240" t="str">
        <v>B245-4</v>
      </c>
      <c r="E240">
        <v>1</v>
      </c>
      <c r="F240">
        <v>4600</v>
      </c>
      <c r="I240">
        <f>+F240-G240-H240</f>
        <v>4600</v>
      </c>
      <c r="J240">
        <v>130</v>
      </c>
    </row>
    <row r="241">
      <c r="A241" t="str">
        <v>Lantai 2</v>
      </c>
      <c r="B241">
        <f>B240+1</f>
        <v>34</v>
      </c>
      <c r="C241" t="str">
        <f>CONCATENATE(A241," no. ",B241)</f>
        <v>Lantai 2 no. 34</v>
      </c>
      <c r="D241" t="str">
        <v>B23-1</v>
      </c>
      <c r="E241">
        <v>1</v>
      </c>
      <c r="F241">
        <v>3600</v>
      </c>
      <c r="I241">
        <f>+F241-G241-H241</f>
        <v>3600</v>
      </c>
      <c r="J241">
        <v>130</v>
      </c>
    </row>
    <row r="242">
      <c r="A242" t="str">
        <v>Lantai 2</v>
      </c>
      <c r="B242">
        <f>B241+1</f>
        <v>35</v>
      </c>
      <c r="C242" t="str">
        <f>CONCATENATE(A242," no. ",B242)</f>
        <v>Lantai 2 no. 35</v>
      </c>
      <c r="D242" t="str">
        <v>B173-1</v>
      </c>
      <c r="E242">
        <v>1</v>
      </c>
      <c r="F242">
        <v>2485</v>
      </c>
      <c r="I242">
        <f>+F242-G242-H242</f>
        <v>2485</v>
      </c>
      <c r="J242">
        <v>0</v>
      </c>
    </row>
    <row r="243">
      <c r="A243" t="str">
        <v>Lantai 2</v>
      </c>
      <c r="B243">
        <f>B242+1</f>
        <v>36</v>
      </c>
      <c r="C243" t="str">
        <f>CONCATENATE(A243," no. ",B243)</f>
        <v>Lantai 2 no. 36</v>
      </c>
      <c r="D243" t="str">
        <v>B25-1</v>
      </c>
      <c r="E243">
        <v>1</v>
      </c>
      <c r="F243">
        <v>5100</v>
      </c>
      <c r="I243">
        <f>+F243-G243-H243</f>
        <v>5100</v>
      </c>
      <c r="J243">
        <v>130</v>
      </c>
    </row>
    <row r="244">
      <c r="A244" t="str">
        <v>Lantai 2</v>
      </c>
      <c r="B244">
        <f>B243+1</f>
        <v>37</v>
      </c>
      <c r="C244" t="str">
        <f>CONCATENATE(A244," no. ",B244)</f>
        <v>Lantai 2 no. 37</v>
      </c>
      <c r="D244" t="str">
        <v>B26-6</v>
      </c>
      <c r="E244">
        <v>1</v>
      </c>
      <c r="F244">
        <v>2900</v>
      </c>
      <c r="I244">
        <f>+F244-G244-H244</f>
        <v>2900</v>
      </c>
      <c r="J244">
        <v>150</v>
      </c>
    </row>
    <row r="245">
      <c r="A245" t="str">
        <v>Lantai 2</v>
      </c>
      <c r="B245">
        <f>B244+1</f>
        <v>38</v>
      </c>
      <c r="C245" t="str">
        <f>CONCATENATE(A245," no. ",B245)</f>
        <v>Lantai 2 no. 38</v>
      </c>
      <c r="D245" t="str">
        <v>B26-1</v>
      </c>
      <c r="E245">
        <v>1</v>
      </c>
      <c r="F245">
        <v>8100</v>
      </c>
      <c r="I245">
        <f>+F245-G245-H245</f>
        <v>8100</v>
      </c>
      <c r="J245">
        <v>130</v>
      </c>
    </row>
    <row r="246">
      <c r="A246" t="str">
        <v>Lantai 2</v>
      </c>
      <c r="B246">
        <f>B245+1</f>
        <v>39</v>
      </c>
      <c r="C246" t="str">
        <f>CONCATENATE(A246," no. ",B246)</f>
        <v>Lantai 2 no. 39</v>
      </c>
      <c r="D246" t="str">
        <v>B245-7</v>
      </c>
      <c r="E246">
        <v>1</v>
      </c>
      <c r="F246">
        <v>4100</v>
      </c>
      <c r="I246">
        <f>+F246-G246-H246</f>
        <v>4100</v>
      </c>
      <c r="J246">
        <v>130</v>
      </c>
    </row>
    <row r="247">
      <c r="A247" t="str">
        <v>Lantai 2</v>
      </c>
      <c r="B247">
        <f>B246+1</f>
        <v>40</v>
      </c>
      <c r="C247" t="str">
        <f>CONCATENATE(A247," no. ",B247)</f>
        <v>Lantai 2 no. 40</v>
      </c>
      <c r="D247" t="str">
        <v>B36-3</v>
      </c>
      <c r="E247">
        <v>1</v>
      </c>
      <c r="F247">
        <v>6000</v>
      </c>
      <c r="I247">
        <f>+F247-G247-H247</f>
        <v>6000</v>
      </c>
      <c r="J247">
        <v>130</v>
      </c>
    </row>
    <row r="248">
      <c r="A248" t="str">
        <v>Lantai 2</v>
      </c>
      <c r="B248">
        <f>B247+1</f>
        <v>41</v>
      </c>
      <c r="C248" t="str">
        <f>CONCATENATE(A248," no. ",B248)</f>
        <v>Lantai 2 no. 41</v>
      </c>
      <c r="D248" t="str">
        <v>Potongan N</v>
      </c>
      <c r="E248">
        <v>1</v>
      </c>
      <c r="F248">
        <v>2000</v>
      </c>
      <c r="I248">
        <f>+F248-G248-H248</f>
        <v>2000</v>
      </c>
      <c r="J248">
        <v>150</v>
      </c>
    </row>
    <row r="249">
      <c r="A249" t="str">
        <v>Lantai 2</v>
      </c>
      <c r="B249">
        <f>B248+1</f>
        <v>42</v>
      </c>
      <c r="C249" t="str">
        <f>CONCATENATE(A249," no. ",B249)</f>
        <v>Lantai 2 no. 42</v>
      </c>
      <c r="D249" t="str">
        <v>B25-1</v>
      </c>
      <c r="E249">
        <v>1</v>
      </c>
      <c r="F249">
        <v>2700</v>
      </c>
      <c r="I249">
        <f>+F249-G249-H249</f>
        <v>2700</v>
      </c>
      <c r="J249">
        <v>130</v>
      </c>
    </row>
    <row r="250">
      <c r="A250" t="str">
        <v>Lantai 2</v>
      </c>
      <c r="B250">
        <f>B249+1</f>
        <v>43</v>
      </c>
      <c r="C250" t="str">
        <f>CONCATENATE(A250," no. ",B250)</f>
        <v>Lantai 2 no. 43</v>
      </c>
      <c r="D250" t="str">
        <v>B24-1</v>
      </c>
      <c r="E250">
        <v>1</v>
      </c>
      <c r="F250">
        <v>3200</v>
      </c>
      <c r="I250">
        <f>+F250-G250-H250</f>
        <v>3200</v>
      </c>
      <c r="J250">
        <v>130</v>
      </c>
    </row>
    <row r="251">
      <c r="A251" t="str">
        <v>Lantai 2</v>
      </c>
      <c r="B251">
        <f>B250+1</f>
        <v>44</v>
      </c>
      <c r="C251" t="str">
        <f>CONCATENATE(A251," no. ",B251)</f>
        <v>Lantai 2 no. 44</v>
      </c>
      <c r="D251" t="str">
        <v>B24-1</v>
      </c>
      <c r="E251">
        <v>1</v>
      </c>
      <c r="F251">
        <v>2600</v>
      </c>
      <c r="I251">
        <f>+F251-G251-H251</f>
        <v>2600</v>
      </c>
      <c r="J251">
        <v>130</v>
      </c>
    </row>
    <row r="252">
      <c r="A252" t="str">
        <v>Lantai 2</v>
      </c>
      <c r="B252">
        <f>B251+1</f>
        <v>45</v>
      </c>
      <c r="C252" t="str">
        <f>CONCATENATE(A252," no. ",B252)</f>
        <v>Lantai 2 no. 45</v>
      </c>
      <c r="D252" t="str">
        <v>B78-1</v>
      </c>
      <c r="E252">
        <v>1</v>
      </c>
      <c r="F252">
        <v>8800</v>
      </c>
      <c r="I252">
        <f>+F252-G252-H252</f>
        <v>8800</v>
      </c>
      <c r="J252">
        <v>130</v>
      </c>
    </row>
    <row r="253">
      <c r="A253" t="str">
        <v>Lantai 2</v>
      </c>
      <c r="B253">
        <f>B252+1</f>
        <v>46</v>
      </c>
      <c r="C253" t="str">
        <f>CONCATENATE(A253," no. ",B253)</f>
        <v>Lantai 2 no. 46</v>
      </c>
      <c r="D253" t="str">
        <v>B23-1</v>
      </c>
      <c r="E253">
        <v>1</v>
      </c>
      <c r="F253">
        <v>2200</v>
      </c>
      <c r="I253">
        <f>+F253-G253-H253</f>
        <v>2200</v>
      </c>
      <c r="J253">
        <v>150</v>
      </c>
    </row>
    <row r="254">
      <c r="A254" t="str">
        <v>Lantai 2</v>
      </c>
      <c r="B254">
        <f>B253+1</f>
        <v>47</v>
      </c>
      <c r="C254" t="str">
        <f>CONCATENATE(A254," no. ",B254)</f>
        <v>Lantai 2 no. 47</v>
      </c>
      <c r="D254" t="str">
        <v>B245-4</v>
      </c>
      <c r="E254">
        <v>1</v>
      </c>
      <c r="F254">
        <v>5100</v>
      </c>
      <c r="I254">
        <f>+F254-G254-H254</f>
        <v>5100</v>
      </c>
      <c r="J254">
        <v>130</v>
      </c>
    </row>
    <row r="255">
      <c r="A255" t="str">
        <v>Lantai 2</v>
      </c>
      <c r="B255">
        <f>B254+1</f>
        <v>48</v>
      </c>
      <c r="C255" t="str">
        <f>CONCATENATE(A255," no. ",B255)</f>
        <v>Lantai 2 no. 48</v>
      </c>
      <c r="D255" t="str">
        <v>B26-1</v>
      </c>
      <c r="E255">
        <v>1</v>
      </c>
      <c r="F255">
        <v>8000</v>
      </c>
      <c r="I255">
        <f>+F255-G255-H255</f>
        <v>8000</v>
      </c>
      <c r="J255">
        <v>130</v>
      </c>
    </row>
    <row r="256">
      <c r="A256" t="str">
        <v>Lantai 2</v>
      </c>
      <c r="B256">
        <f>B255+1</f>
        <v>49</v>
      </c>
      <c r="C256" t="str">
        <f>CONCATENATE(A256," no. ",B256)</f>
        <v>Lantai 2 no. 49</v>
      </c>
      <c r="D256" t="str">
        <v>CL26-1</v>
      </c>
      <c r="E256">
        <v>1</v>
      </c>
      <c r="F256">
        <v>3300</v>
      </c>
      <c r="I256">
        <f>+F256-G256-H256</f>
        <v>3300</v>
      </c>
      <c r="J256">
        <v>130</v>
      </c>
    </row>
    <row r="257">
      <c r="A257" t="str">
        <v>Lantai 2</v>
      </c>
      <c r="B257">
        <f>B256+1</f>
        <v>50</v>
      </c>
      <c r="C257" t="str">
        <f>CONCATENATE(A257," no. ",B257)</f>
        <v>Lantai 2 no. 50</v>
      </c>
      <c r="D257" t="str">
        <v>B26-5</v>
      </c>
      <c r="E257">
        <v>1</v>
      </c>
      <c r="F257">
        <v>6100</v>
      </c>
      <c r="I257">
        <f>+F257-G257-H257</f>
        <v>6100</v>
      </c>
      <c r="J257">
        <v>130</v>
      </c>
    </row>
    <row r="258">
      <c r="A258" t="str">
        <v>Lantai 2</v>
      </c>
      <c r="B258">
        <f>B257+1</f>
        <v>51</v>
      </c>
      <c r="C258" t="str">
        <f>CONCATENATE(A258," no. ",B258)</f>
        <v>Lantai 2 no. 51</v>
      </c>
      <c r="D258" t="str">
        <v>Potongan N</v>
      </c>
      <c r="E258">
        <v>1</v>
      </c>
      <c r="F258">
        <v>2000</v>
      </c>
      <c r="I258">
        <f>+F258-G258-H258</f>
        <v>2000</v>
      </c>
      <c r="J258">
        <v>150</v>
      </c>
    </row>
    <row r="259">
      <c r="A259" t="str">
        <v>Lantai 2</v>
      </c>
      <c r="B259">
        <f>B258+1</f>
        <v>52</v>
      </c>
      <c r="C259" t="str">
        <f>CONCATENATE(A259," no. ",B259)</f>
        <v>Lantai 2 no. 52</v>
      </c>
      <c r="D259" t="str">
        <v>B245-6</v>
      </c>
      <c r="E259">
        <v>1</v>
      </c>
      <c r="F259">
        <v>5200</v>
      </c>
      <c r="I259">
        <f>+F259-G259-H259</f>
        <v>5200</v>
      </c>
      <c r="J259">
        <v>130</v>
      </c>
    </row>
    <row r="260">
      <c r="A260" t="str">
        <v>Lantai 2</v>
      </c>
      <c r="B260">
        <f>B259+1</f>
        <v>53</v>
      </c>
      <c r="C260" t="str">
        <f>CONCATENATE(A260," no. ",B260)</f>
        <v>Lantai 2 no. 53</v>
      </c>
      <c r="D260" t="str">
        <v>B26-1</v>
      </c>
      <c r="E260">
        <v>1</v>
      </c>
      <c r="F260">
        <v>8100</v>
      </c>
      <c r="I260">
        <f>+F260-G260-H260</f>
        <v>8100</v>
      </c>
      <c r="J260">
        <v>130</v>
      </c>
    </row>
    <row r="261">
      <c r="A261" t="str">
        <v>Lantai 2</v>
      </c>
      <c r="B261">
        <f>B260+1</f>
        <v>54</v>
      </c>
      <c r="C261" t="str">
        <f>CONCATENATE(A261," no. ",B261)</f>
        <v>Lantai 2 no. 54</v>
      </c>
      <c r="D261" t="str">
        <v>Potongan G</v>
      </c>
      <c r="E261">
        <v>1</v>
      </c>
      <c r="F261">
        <v>3000</v>
      </c>
      <c r="I261">
        <f>+F261-G261-H261</f>
        <v>3000</v>
      </c>
      <c r="J261">
        <v>130</v>
      </c>
    </row>
    <row r="262">
      <c r="A262" t="str">
        <v>Lantai 2</v>
      </c>
      <c r="B262">
        <f>B261+1</f>
        <v>55</v>
      </c>
      <c r="C262" t="str">
        <f>CONCATENATE(A262," no. ",B262)</f>
        <v>Lantai 2 no. 55</v>
      </c>
      <c r="D262" t="str">
        <v>B26-1</v>
      </c>
      <c r="E262">
        <v>1</v>
      </c>
      <c r="F262">
        <v>6000</v>
      </c>
      <c r="I262">
        <f>+F262-G262-H262</f>
        <v>6000</v>
      </c>
      <c r="J262">
        <v>130</v>
      </c>
    </row>
    <row r="263">
      <c r="A263" t="str">
        <v>Lantai 2</v>
      </c>
      <c r="B263">
        <f>B262+1</f>
        <v>56</v>
      </c>
      <c r="C263" t="str">
        <f>CONCATENATE(A263," no. ",B263)</f>
        <v>Lantai 2 no. 56</v>
      </c>
      <c r="D263" t="str">
        <v>CL26-1</v>
      </c>
      <c r="E263">
        <v>1</v>
      </c>
      <c r="F263">
        <v>2000</v>
      </c>
      <c r="I263">
        <f>+F263-G263-H263</f>
        <v>2000</v>
      </c>
      <c r="J263">
        <v>130</v>
      </c>
    </row>
    <row r="264">
      <c r="A264" t="str">
        <v>Lantai 2</v>
      </c>
      <c r="B264">
        <f>B263+1</f>
        <v>57</v>
      </c>
      <c r="C264" t="str">
        <f>CONCATENATE(A264," no. ",B264)</f>
        <v>Lantai 2 no. 57</v>
      </c>
      <c r="D264" t="str">
        <v>B245-6</v>
      </c>
      <c r="E264">
        <v>1</v>
      </c>
      <c r="F264">
        <v>5100</v>
      </c>
      <c r="I264">
        <f>+F264-G264-H264</f>
        <v>5100</v>
      </c>
      <c r="J264">
        <v>130</v>
      </c>
    </row>
    <row r="265">
      <c r="A265" t="str">
        <v>Lantai 2</v>
      </c>
      <c r="B265">
        <f>B264+1</f>
        <v>58</v>
      </c>
      <c r="C265" t="str">
        <f>CONCATENATE(A265," no. ",B265)</f>
        <v>Lantai 2 no. 58</v>
      </c>
      <c r="D265" t="str">
        <v>B26-2</v>
      </c>
      <c r="E265">
        <v>1</v>
      </c>
      <c r="F265">
        <v>8150</v>
      </c>
      <c r="I265">
        <f>+F265-G265-H265</f>
        <v>8150</v>
      </c>
      <c r="J265">
        <v>130</v>
      </c>
    </row>
    <row r="266">
      <c r="A266" t="str">
        <v>Lantai 2</v>
      </c>
      <c r="B266">
        <f>B265+1</f>
        <v>59</v>
      </c>
      <c r="C266" t="str">
        <f>CONCATENATE(A266," no. ",B266)</f>
        <v>Lantai 2 no. 59</v>
      </c>
      <c r="D266" t="str">
        <v>B245-3</v>
      </c>
      <c r="E266">
        <v>1</v>
      </c>
      <c r="F266">
        <v>3100</v>
      </c>
      <c r="I266">
        <f>+F266-G266-H266</f>
        <v>3100</v>
      </c>
      <c r="J266">
        <v>130</v>
      </c>
    </row>
    <row r="267">
      <c r="A267" t="str">
        <v>Lantai 2</v>
      </c>
      <c r="B267">
        <f>B266+1</f>
        <v>60</v>
      </c>
      <c r="C267" t="str">
        <f>CONCATENATE(A267," no. ",B267)</f>
        <v>Lantai 2 no. 60</v>
      </c>
      <c r="D267" t="str">
        <v>B245-4</v>
      </c>
      <c r="E267">
        <v>1</v>
      </c>
      <c r="F267">
        <v>3235</v>
      </c>
      <c r="I267">
        <f>+F267-G267-H267</f>
        <v>3235</v>
      </c>
      <c r="J267">
        <v>130</v>
      </c>
    </row>
    <row r="268">
      <c r="A268" t="str">
        <v>Lantai 2</v>
      </c>
      <c r="B268">
        <f>B267+1</f>
        <v>61</v>
      </c>
      <c r="C268" t="str">
        <f>CONCATENATE(A268," no. ",B268)</f>
        <v>Lantai 2 no. 61</v>
      </c>
      <c r="D268" t="str">
        <v>B245-1</v>
      </c>
      <c r="E268">
        <v>1</v>
      </c>
      <c r="F268">
        <v>4765</v>
      </c>
      <c r="I268">
        <f>+F268-G268-H268</f>
        <v>4765</v>
      </c>
      <c r="J268">
        <v>130</v>
      </c>
    </row>
    <row r="269">
      <c r="A269" t="str">
        <v>Lantai 2</v>
      </c>
      <c r="B269">
        <f>B268+1</f>
        <v>62</v>
      </c>
      <c r="C269" t="str">
        <f>CONCATENATE(A269," no. ",B269)</f>
        <v>Lantai 2 no. 62</v>
      </c>
      <c r="D269" t="str">
        <v>B245-1</v>
      </c>
      <c r="E269">
        <v>1</v>
      </c>
      <c r="F269">
        <v>4600</v>
      </c>
      <c r="I269">
        <f>+F269-G269-H269</f>
        <v>4600</v>
      </c>
      <c r="J269">
        <v>130</v>
      </c>
    </row>
    <row r="270">
      <c r="A270" t="str">
        <v>Lantai 2</v>
      </c>
      <c r="B270">
        <f>B269+1</f>
        <v>63</v>
      </c>
      <c r="C270" t="str">
        <f>CONCATENATE(A270," no. ",B270)</f>
        <v>Lantai 2 no. 63</v>
      </c>
      <c r="D270" t="str">
        <v>B173-1</v>
      </c>
      <c r="E270">
        <v>1</v>
      </c>
      <c r="F270">
        <v>450</v>
      </c>
      <c r="I270">
        <f>+F270-G270-H270</f>
        <v>450</v>
      </c>
      <c r="J270">
        <v>0</v>
      </c>
    </row>
    <row r="271">
      <c r="A271" t="str">
        <v>Lantai 2</v>
      </c>
      <c r="B271">
        <f>B270+1</f>
        <v>64</v>
      </c>
      <c r="C271" t="str">
        <f>CONCATENATE(A271," no. ",B271)</f>
        <v>Lantai 2 no. 64</v>
      </c>
      <c r="D271" t="str">
        <v>B24-1</v>
      </c>
      <c r="E271">
        <v>1</v>
      </c>
      <c r="F271">
        <v>3450</v>
      </c>
      <c r="I271">
        <f>+F271-G271-H271</f>
        <v>3450</v>
      </c>
      <c r="J271">
        <v>130</v>
      </c>
    </row>
    <row r="272">
      <c r="A272" t="str">
        <v>Lantai 2</v>
      </c>
      <c r="B272">
        <f>B271+1</f>
        <v>65</v>
      </c>
      <c r="C272" t="str">
        <f>CONCATENATE(A272," no. ",B272)</f>
        <v>Lantai 2 no. 65</v>
      </c>
      <c r="D272" t="str">
        <v>B175-2</v>
      </c>
      <c r="E272">
        <v>1</v>
      </c>
      <c r="F272">
        <v>4715</v>
      </c>
      <c r="I272">
        <f>+F272-G272-H272</f>
        <v>4715</v>
      </c>
      <c r="J272">
        <v>0</v>
      </c>
    </row>
    <row r="273">
      <c r="A273" t="str">
        <v>Lantai 2</v>
      </c>
      <c r="B273">
        <f>B272+1</f>
        <v>66</v>
      </c>
      <c r="C273" t="str">
        <f>CONCATENATE(A273," no. ",B273)</f>
        <v>Lantai 2 no. 66</v>
      </c>
      <c r="D273" t="str">
        <v>B175-2</v>
      </c>
      <c r="E273">
        <v>1</v>
      </c>
      <c r="F273">
        <v>5285</v>
      </c>
      <c r="I273">
        <f>+F273-G273-H273</f>
        <v>5285</v>
      </c>
      <c r="J273">
        <v>0</v>
      </c>
    </row>
    <row r="274">
      <c r="A274" t="str">
        <v>Lantai 2</v>
      </c>
      <c r="B274">
        <f>B273+1</f>
        <v>67</v>
      </c>
      <c r="C274" t="str">
        <f>CONCATENATE(A274," no. ",B274)</f>
        <v>Lantai 2 no. 67</v>
      </c>
      <c r="D274" t="str">
        <v>B175-1</v>
      </c>
      <c r="E274">
        <v>1</v>
      </c>
      <c r="F274">
        <v>5300</v>
      </c>
      <c r="I274">
        <f>+F274-G274-H274</f>
        <v>5300</v>
      </c>
      <c r="J274">
        <v>0</v>
      </c>
    </row>
    <row r="275">
      <c r="A275" t="str">
        <v>Lantai 2</v>
      </c>
      <c r="B275">
        <f>B274+1</f>
        <v>68</v>
      </c>
      <c r="C275" t="str">
        <f>CONCATENATE(A275," no. ",B275)</f>
        <v>Lantai 2 no. 68</v>
      </c>
      <c r="D275" t="str">
        <v>B1745-1</v>
      </c>
      <c r="E275">
        <v>1</v>
      </c>
      <c r="F275">
        <v>2200</v>
      </c>
      <c r="I275">
        <f>+F275-G275-H275</f>
        <v>2200</v>
      </c>
      <c r="J275">
        <v>130</v>
      </c>
    </row>
    <row r="276">
      <c r="A276" t="str">
        <v>Lantai 2</v>
      </c>
      <c r="B276">
        <f>B275+1</f>
        <v>69</v>
      </c>
      <c r="C276" t="str">
        <f>CONCATENATE(A276," no. ",B276)</f>
        <v>Lantai 2 no. 69</v>
      </c>
      <c r="D276" t="str">
        <v>B1745-1</v>
      </c>
      <c r="E276">
        <v>1</v>
      </c>
      <c r="F276">
        <v>3500</v>
      </c>
      <c r="I276">
        <f>+F276-G276-H276</f>
        <v>3500</v>
      </c>
      <c r="J276">
        <v>0</v>
      </c>
    </row>
    <row r="278">
      <c r="A278" t="str">
        <v>Lantai Attic</v>
      </c>
      <c r="B278">
        <f>B277+1</f>
        <v>1</v>
      </c>
      <c r="C278" t="str">
        <f>CONCATENATE(A278," no. ",B278)</f>
        <v>Lantai Attic no. 1</v>
      </c>
      <c r="D278" t="str">
        <v>B174-1</v>
      </c>
      <c r="E278">
        <v>1</v>
      </c>
      <c r="F278">
        <v>3500</v>
      </c>
      <c r="I278">
        <f>+F278-G278-H278</f>
        <v>3500</v>
      </c>
      <c r="J278">
        <v>0</v>
      </c>
    </row>
    <row r="279">
      <c r="A279" t="str">
        <v>Lantai Attic</v>
      </c>
      <c r="B279">
        <f>B278+1</f>
        <v>2</v>
      </c>
      <c r="C279" t="str">
        <f>CONCATENATE(A279," no. ",B279)</f>
        <v>Lantai Attic no. 2</v>
      </c>
      <c r="D279" t="str">
        <v>B24-1</v>
      </c>
      <c r="E279">
        <v>1</v>
      </c>
      <c r="F279">
        <v>3500</v>
      </c>
      <c r="I279">
        <f>+F279-G279-H279</f>
        <v>3500</v>
      </c>
      <c r="J279">
        <v>0</v>
      </c>
    </row>
    <row r="280">
      <c r="A280" t="str">
        <v>Lantai Attic</v>
      </c>
      <c r="B280">
        <f>B279+1</f>
        <v>3</v>
      </c>
      <c r="C280" t="str">
        <f>CONCATENATE(A280," no. ",B280)</f>
        <v>Lantai Attic no. 3</v>
      </c>
      <c r="D280" t="str">
        <v>B245-4</v>
      </c>
      <c r="E280">
        <v>1</v>
      </c>
      <c r="F280">
        <v>3100</v>
      </c>
      <c r="I280">
        <f>+F280-G280-H280</f>
        <v>3100</v>
      </c>
      <c r="J280">
        <v>150</v>
      </c>
    </row>
    <row r="281">
      <c r="A281" t="str">
        <v>Lantai Attic</v>
      </c>
      <c r="B281">
        <f>B280+1</f>
        <v>4</v>
      </c>
      <c r="C281" t="str">
        <f>CONCATENATE(A281," no. ",B281)</f>
        <v>Lantai Attic no. 4</v>
      </c>
      <c r="D281" t="str">
        <v>B245-4</v>
      </c>
      <c r="E281">
        <v>1</v>
      </c>
      <c r="F281">
        <v>2900</v>
      </c>
      <c r="I281">
        <f>+F281-G281-H281</f>
        <v>2900</v>
      </c>
      <c r="J281">
        <v>0</v>
      </c>
    </row>
    <row r="282">
      <c r="A282" t="str">
        <v>Lantai Attic</v>
      </c>
      <c r="B282">
        <f>B281+1</f>
        <v>5</v>
      </c>
      <c r="C282" t="str">
        <f>CONCATENATE(A282," no. ",B282)</f>
        <v>Lantai Attic no. 5</v>
      </c>
      <c r="D282" t="str">
        <v>B24-1</v>
      </c>
      <c r="E282">
        <v>1</v>
      </c>
      <c r="F282">
        <v>2200</v>
      </c>
      <c r="I282">
        <f>+F282-G282-H282</f>
        <v>2200</v>
      </c>
      <c r="J282">
        <v>130</v>
      </c>
    </row>
    <row r="283">
      <c r="A283" t="str">
        <v>Lantai Attic</v>
      </c>
      <c r="B283">
        <f>B282+1</f>
        <v>6</v>
      </c>
      <c r="C283" t="str">
        <f>CONCATENATE(A283," no. ",B283)</f>
        <v>Lantai Attic no. 6</v>
      </c>
      <c r="D283" t="str">
        <v>B1745-1</v>
      </c>
      <c r="E283">
        <v>1</v>
      </c>
      <c r="F283">
        <v>2800</v>
      </c>
      <c r="I283">
        <f>+F283-G283-H283</f>
        <v>2800</v>
      </c>
      <c r="J283">
        <v>0</v>
      </c>
    </row>
    <row r="284">
      <c r="A284" t="str">
        <v>Lantai Attic</v>
      </c>
      <c r="B284">
        <f>B283+1</f>
        <v>7</v>
      </c>
      <c r="C284" t="str">
        <f>CONCATENATE(A284," no. ",B284)</f>
        <v>Lantai Attic no. 7</v>
      </c>
      <c r="D284" t="str">
        <v>B25-2</v>
      </c>
      <c r="E284">
        <v>1</v>
      </c>
      <c r="F284">
        <v>5485</v>
      </c>
      <c r="I284">
        <f>+F284-G284-H284</f>
        <v>5485</v>
      </c>
      <c r="J284">
        <v>130</v>
      </c>
    </row>
    <row r="285">
      <c r="A285" t="str">
        <v>Lantai Attic</v>
      </c>
      <c r="B285">
        <f>B284+1</f>
        <v>8</v>
      </c>
      <c r="C285" t="str">
        <f>CONCATENATE(A285," no. ",B285)</f>
        <v>Lantai Attic no. 8</v>
      </c>
      <c r="D285" t="str">
        <v>Potongan O</v>
      </c>
      <c r="E285">
        <v>1</v>
      </c>
      <c r="F285">
        <v>1615</v>
      </c>
      <c r="I285">
        <f>+F285-G285-H285</f>
        <v>1615</v>
      </c>
      <c r="J285">
        <v>130</v>
      </c>
    </row>
    <row r="286">
      <c r="A286" t="str">
        <v>Lantai Attic</v>
      </c>
      <c r="B286">
        <f>B285+1</f>
        <v>9</v>
      </c>
      <c r="C286" t="str">
        <f>CONCATENATE(A286," no. ",B286)</f>
        <v>Lantai Attic no. 9</v>
      </c>
      <c r="D286" t="str">
        <v>B35-2</v>
      </c>
      <c r="E286">
        <v>1</v>
      </c>
      <c r="F286">
        <v>6100</v>
      </c>
      <c r="I286">
        <f>+F286-G286-H286</f>
        <v>6100</v>
      </c>
      <c r="J286">
        <v>130</v>
      </c>
    </row>
    <row r="287">
      <c r="A287" t="str">
        <v>Lantai Attic</v>
      </c>
      <c r="B287">
        <f>B286+1</f>
        <v>10</v>
      </c>
      <c r="C287" t="str">
        <f>CONCATENATE(A287," no. ",B287)</f>
        <v>Lantai Attic no. 10</v>
      </c>
      <c r="D287" t="str">
        <v>B25-3</v>
      </c>
      <c r="E287">
        <v>1</v>
      </c>
      <c r="F287">
        <v>7100</v>
      </c>
      <c r="I287">
        <f>+F287-G287-H287</f>
        <v>7100</v>
      </c>
      <c r="J287">
        <v>130</v>
      </c>
    </row>
    <row r="288">
      <c r="A288" t="str">
        <v>Lantai Attic</v>
      </c>
      <c r="B288">
        <f>B287+1</f>
        <v>11</v>
      </c>
      <c r="C288" t="str">
        <f>CONCATENATE(A288," no. ",B288)</f>
        <v>Lantai Attic no. 11</v>
      </c>
      <c r="D288" t="str">
        <v>Potongan C</v>
      </c>
      <c r="E288">
        <v>1</v>
      </c>
      <c r="F288">
        <v>3100</v>
      </c>
      <c r="I288">
        <f>+F288-G288-H288</f>
        <v>3100</v>
      </c>
      <c r="J288">
        <v>130</v>
      </c>
    </row>
    <row r="289">
      <c r="A289" t="str">
        <v>Lantai Attic</v>
      </c>
      <c r="B289">
        <f>B288+1</f>
        <v>12</v>
      </c>
      <c r="C289" t="str">
        <f>CONCATENATE(A289," no. ",B289)</f>
        <v>Lantai Attic no. 12</v>
      </c>
      <c r="D289" t="str">
        <v>Potongan J</v>
      </c>
      <c r="E289">
        <v>1</v>
      </c>
      <c r="F289">
        <v>2000</v>
      </c>
      <c r="I289">
        <f>+F289-G289-H289</f>
        <v>2000</v>
      </c>
      <c r="J289">
        <v>130</v>
      </c>
    </row>
    <row r="290">
      <c r="A290" t="str">
        <v>Lantai Attic</v>
      </c>
      <c r="B290">
        <f>B289+1</f>
        <v>13</v>
      </c>
      <c r="C290" t="str">
        <f>CONCATENATE(A290," no. ",B290)</f>
        <v>Lantai Attic no. 13</v>
      </c>
      <c r="D290" t="str">
        <v>B25-1</v>
      </c>
      <c r="E290">
        <v>1</v>
      </c>
      <c r="F290">
        <v>3100</v>
      </c>
      <c r="I290">
        <f>+F290-G290-H290</f>
        <v>3100</v>
      </c>
      <c r="J290">
        <v>130</v>
      </c>
    </row>
    <row r="291">
      <c r="A291" t="str">
        <v>Lantai Attic</v>
      </c>
      <c r="B291">
        <f>B290+1</f>
        <v>14</v>
      </c>
      <c r="C291" t="str">
        <f>CONCATENATE(A291," no. ",B291)</f>
        <v>Lantai Attic no. 14</v>
      </c>
      <c r="D291" t="str">
        <v>B25-3</v>
      </c>
      <c r="E291">
        <v>1</v>
      </c>
      <c r="F291">
        <v>6000</v>
      </c>
      <c r="I291">
        <f>+F291-G291-H291</f>
        <v>6000</v>
      </c>
      <c r="J291">
        <v>130</v>
      </c>
    </row>
    <row r="292">
      <c r="A292" t="str">
        <v>Lantai Attic</v>
      </c>
      <c r="B292">
        <f>B291+1</f>
        <v>15</v>
      </c>
      <c r="C292" t="str">
        <f>CONCATENATE(A292," no. ",B292)</f>
        <v>Lantai Attic no. 15</v>
      </c>
      <c r="D292" t="str">
        <v>Potongan B</v>
      </c>
      <c r="E292">
        <v>1</v>
      </c>
      <c r="F292">
        <v>2000</v>
      </c>
      <c r="I292">
        <f>+F292-G292-H292</f>
        <v>2000</v>
      </c>
      <c r="J292">
        <v>130</v>
      </c>
    </row>
    <row r="293">
      <c r="A293" t="str">
        <v>Lantai Attic</v>
      </c>
      <c r="B293">
        <f>B292+1</f>
        <v>16</v>
      </c>
      <c r="C293" t="str">
        <f>CONCATENATE(A293," no. ",B293)</f>
        <v>Lantai Attic no. 16</v>
      </c>
      <c r="E293">
        <v>0</v>
      </c>
      <c r="F293">
        <v>0</v>
      </c>
      <c r="I293">
        <f>+F293-G293-H293</f>
        <v>0</v>
      </c>
      <c r="J293">
        <v>0</v>
      </c>
    </row>
    <row r="294">
      <c r="A294" t="str">
        <v>Lantai Attic</v>
      </c>
      <c r="B294">
        <f>B293+1</f>
        <v>17</v>
      </c>
      <c r="C294" t="str">
        <f>CONCATENATE(A294," no. ",B294)</f>
        <v>Lantai Attic no. 17</v>
      </c>
      <c r="D294" t="str">
        <v>B25-3</v>
      </c>
      <c r="E294">
        <v>1</v>
      </c>
      <c r="F294">
        <v>5835</v>
      </c>
      <c r="I294">
        <f>+F294-G294-H294</f>
        <v>5835</v>
      </c>
      <c r="J294">
        <v>130</v>
      </c>
    </row>
    <row r="295">
      <c r="A295" t="str">
        <v>Lantai Attic</v>
      </c>
      <c r="B295">
        <f>B294+1</f>
        <v>18</v>
      </c>
      <c r="C295" t="str">
        <f>CONCATENATE(A295," no. ",B295)</f>
        <v>Lantai Attic no. 18</v>
      </c>
      <c r="D295" t="str">
        <v>B25-3</v>
      </c>
      <c r="E295">
        <v>1</v>
      </c>
      <c r="F295">
        <v>6750</v>
      </c>
      <c r="I295">
        <f>+F295-G295-H295</f>
        <v>6750</v>
      </c>
      <c r="J295">
        <v>130</v>
      </c>
    </row>
    <row r="296">
      <c r="A296" t="str">
        <v>Lantai Attic</v>
      </c>
      <c r="B296">
        <f>B295+1</f>
        <v>19</v>
      </c>
      <c r="C296" t="str">
        <f>CONCATENATE(A296," no. ",B296)</f>
        <v>Lantai Attic no. 19</v>
      </c>
      <c r="D296" t="str">
        <v>B36-1</v>
      </c>
      <c r="E296">
        <v>1</v>
      </c>
      <c r="F296">
        <v>5415</v>
      </c>
      <c r="I296">
        <f>+F296-G296-H296</f>
        <v>5415</v>
      </c>
      <c r="J296">
        <v>130</v>
      </c>
    </row>
    <row r="297">
      <c r="A297" t="str">
        <v>Lantai Attic</v>
      </c>
      <c r="B297">
        <f>B296+1</f>
        <v>20</v>
      </c>
      <c r="C297" t="str">
        <f>CONCATENATE(A297," no. ",B297)</f>
        <v>Lantai Attic no. 20</v>
      </c>
      <c r="D297" t="str">
        <v>B24-3</v>
      </c>
      <c r="E297">
        <v>1</v>
      </c>
      <c r="F297">
        <v>6400</v>
      </c>
      <c r="I297">
        <f>+F297-G297-H297</f>
        <v>6400</v>
      </c>
      <c r="J297">
        <v>150</v>
      </c>
    </row>
    <row r="298">
      <c r="A298" t="str">
        <v>Lantai Attic</v>
      </c>
      <c r="B298">
        <f>B297+1</f>
        <v>21</v>
      </c>
      <c r="C298" t="str">
        <f>CONCATENATE(A298," no. ",B298)</f>
        <v>Lantai Attic no. 21</v>
      </c>
      <c r="D298" t="str">
        <v>Potongan J</v>
      </c>
      <c r="E298">
        <v>1</v>
      </c>
      <c r="F298">
        <v>700</v>
      </c>
      <c r="I298">
        <f>+F298-G298-H298</f>
        <v>700</v>
      </c>
      <c r="J298">
        <v>150</v>
      </c>
    </row>
    <row r="299">
      <c r="A299" t="str">
        <v>Lantai Attic</v>
      </c>
      <c r="B299">
        <f>B298+1</f>
        <v>22</v>
      </c>
      <c r="C299" t="str">
        <f>CONCATENATE(A299," no. ",B299)</f>
        <v>Lantai Attic no. 22</v>
      </c>
      <c r="D299" t="str">
        <v>B2550-1</v>
      </c>
      <c r="E299">
        <v>1</v>
      </c>
      <c r="F299">
        <v>6100</v>
      </c>
      <c r="I299">
        <f>+F299-G299-H299</f>
        <v>6100</v>
      </c>
      <c r="J299">
        <v>130</v>
      </c>
    </row>
    <row r="300">
      <c r="A300" t="str">
        <v>Lantai Attic</v>
      </c>
      <c r="B300">
        <f>B299+1</f>
        <v>23</v>
      </c>
      <c r="C300" t="str">
        <f>CONCATENATE(A300," no. ",B300)</f>
        <v>Lantai Attic no. 23</v>
      </c>
      <c r="D300" t="str">
        <v>B2550-1</v>
      </c>
      <c r="E300">
        <v>1</v>
      </c>
      <c r="F300">
        <v>5000</v>
      </c>
      <c r="I300">
        <f>+F300-G300-H300</f>
        <v>5000</v>
      </c>
      <c r="J300">
        <v>130</v>
      </c>
    </row>
    <row r="301">
      <c r="A301" t="str">
        <v>Lantai Attic</v>
      </c>
      <c r="B301">
        <f>B300+1</f>
        <v>24</v>
      </c>
      <c r="C301" t="str">
        <f>CONCATENATE(A301," no. ",B301)</f>
        <v>Lantai Attic no. 24</v>
      </c>
      <c r="D301" t="str">
        <v>BB</v>
      </c>
      <c r="E301">
        <v>1</v>
      </c>
      <c r="F301">
        <v>900</v>
      </c>
      <c r="I301">
        <f>+F301-G301-H301</f>
        <v>900</v>
      </c>
      <c r="J301">
        <v>150</v>
      </c>
    </row>
    <row r="302">
      <c r="A302" t="str">
        <v>Lantai Attic</v>
      </c>
      <c r="B302">
        <f>B301+1</f>
        <v>25</v>
      </c>
      <c r="C302" t="str">
        <f>CONCATENATE(A302," no. ",B302)</f>
        <v>Lantai Attic no. 25</v>
      </c>
      <c r="D302" t="str">
        <v>BB</v>
      </c>
      <c r="E302">
        <v>1</v>
      </c>
      <c r="F302">
        <v>900</v>
      </c>
      <c r="I302">
        <f>+F302-G302-H302</f>
        <v>900</v>
      </c>
      <c r="J302">
        <v>150</v>
      </c>
    </row>
    <row r="303">
      <c r="A303" t="str">
        <v>Lantai Attic</v>
      </c>
      <c r="B303">
        <f>B302+1</f>
        <v>26</v>
      </c>
      <c r="C303" t="str">
        <f>CONCATENATE(A303," no. ",B303)</f>
        <v>Lantai Attic no. 26</v>
      </c>
      <c r="D303" t="str">
        <v>B25-2</v>
      </c>
      <c r="E303">
        <v>1</v>
      </c>
      <c r="F303">
        <v>8200</v>
      </c>
      <c r="I303">
        <f>+F303-G303-H303</f>
        <v>8200</v>
      </c>
      <c r="J303">
        <v>130</v>
      </c>
    </row>
    <row r="304">
      <c r="A304" t="str">
        <v>Lantai Attic</v>
      </c>
      <c r="B304">
        <f>B303+1</f>
        <v>27</v>
      </c>
      <c r="C304" t="str">
        <f>CONCATENATE(A304," no. ",B304)</f>
        <v>Lantai Attic no. 27</v>
      </c>
      <c r="D304" t="str">
        <v>Potongan F</v>
      </c>
      <c r="E304">
        <v>1</v>
      </c>
      <c r="F304">
        <v>2100</v>
      </c>
      <c r="I304">
        <f>+F304-G304-H304</f>
        <v>2100</v>
      </c>
      <c r="J304">
        <v>130</v>
      </c>
    </row>
    <row r="305">
      <c r="A305" t="str">
        <v>Lantai Attic</v>
      </c>
      <c r="B305">
        <f>B304+1</f>
        <v>28</v>
      </c>
      <c r="C305" t="str">
        <f>CONCATENATE(A305," no. ",B305)</f>
        <v>Lantai Attic no. 28</v>
      </c>
      <c r="D305" t="str">
        <v>B2550-1</v>
      </c>
      <c r="E305">
        <v>1</v>
      </c>
      <c r="F305">
        <v>8100</v>
      </c>
      <c r="I305">
        <f>+F305-G305-H305</f>
        <v>8100</v>
      </c>
      <c r="J305">
        <v>130</v>
      </c>
    </row>
    <row r="306">
      <c r="A306" t="str">
        <v>Lantai Attic</v>
      </c>
      <c r="B306">
        <f>B305+1</f>
        <v>29</v>
      </c>
      <c r="C306" t="str">
        <f>CONCATENATE(A306," no. ",B306)</f>
        <v>Lantai Attic no. 29</v>
      </c>
      <c r="D306" t="str">
        <v>B24-1</v>
      </c>
      <c r="E306">
        <v>1</v>
      </c>
      <c r="F306">
        <v>1785</v>
      </c>
      <c r="I306">
        <f>+F306-G306-H306</f>
        <v>1785</v>
      </c>
      <c r="J306">
        <v>130</v>
      </c>
    </row>
    <row r="307">
      <c r="A307" t="str">
        <v>Lantai Attic</v>
      </c>
      <c r="B307">
        <f>B306+1</f>
        <v>30</v>
      </c>
      <c r="C307" t="str">
        <f>CONCATENATE(A307," no. ",B307)</f>
        <v>Lantai Attic no. 30</v>
      </c>
      <c r="D307" t="str">
        <v>B37-1</v>
      </c>
      <c r="E307">
        <v>1</v>
      </c>
      <c r="F307">
        <v>8415</v>
      </c>
      <c r="I307">
        <f>+F307-G307-H307</f>
        <v>8415</v>
      </c>
      <c r="J307">
        <v>130</v>
      </c>
    </row>
    <row r="308">
      <c r="A308" t="str">
        <v>Lantai Attic</v>
      </c>
      <c r="B308">
        <f>B307+1</f>
        <v>31</v>
      </c>
      <c r="C308" t="str">
        <f>CONCATENATE(A308," no. ",B308)</f>
        <v>Lantai Attic no. 31</v>
      </c>
      <c r="D308" t="str">
        <v>B26-4</v>
      </c>
      <c r="E308">
        <v>1</v>
      </c>
      <c r="F308">
        <v>2900</v>
      </c>
      <c r="I308">
        <f>+F308-G308-H308</f>
        <v>2900</v>
      </c>
      <c r="J308">
        <v>130</v>
      </c>
    </row>
    <row r="309">
      <c r="A309" t="str">
        <v>Lantai Attic</v>
      </c>
      <c r="B309">
        <f>B308+1</f>
        <v>32</v>
      </c>
      <c r="C309" t="str">
        <f>CONCATENATE(A309," no. ",B309)</f>
        <v>Lantai Attic no. 32</v>
      </c>
      <c r="D309" t="str">
        <v>Potongan D</v>
      </c>
      <c r="E309">
        <v>1</v>
      </c>
      <c r="F309">
        <v>1350</v>
      </c>
      <c r="I309">
        <f>+F309-G309-H309</f>
        <v>1350</v>
      </c>
      <c r="J309">
        <v>150</v>
      </c>
    </row>
    <row r="310">
      <c r="A310" t="str">
        <v>Lantai Attic</v>
      </c>
      <c r="B310">
        <f>B309+1</f>
        <v>33</v>
      </c>
      <c r="C310" t="str">
        <f>CONCATENATE(A310," no. ",B310)</f>
        <v>Lantai Attic no. 33</v>
      </c>
      <c r="D310" t="str">
        <v>B25-5</v>
      </c>
      <c r="E310">
        <v>1</v>
      </c>
      <c r="F310">
        <v>9750</v>
      </c>
      <c r="I310">
        <f>+F310-G310-H310</f>
        <v>9750</v>
      </c>
      <c r="J310">
        <v>150</v>
      </c>
    </row>
    <row r="311">
      <c r="A311" t="str">
        <v>Lantai Attic</v>
      </c>
      <c r="B311">
        <f>B310+1</f>
        <v>34</v>
      </c>
      <c r="C311" t="str">
        <f>CONCATENATE(A311," no. ",B311)</f>
        <v>Lantai Attic no. 34</v>
      </c>
      <c r="D311" t="str">
        <v>B245-1</v>
      </c>
      <c r="E311">
        <v>1</v>
      </c>
      <c r="F311">
        <v>4915</v>
      </c>
      <c r="I311">
        <f>+F311-G311-H311</f>
        <v>4915</v>
      </c>
      <c r="J311">
        <v>150</v>
      </c>
    </row>
    <row r="312">
      <c r="A312" t="str">
        <v>Lantai Attic</v>
      </c>
      <c r="B312">
        <f>B311+1</f>
        <v>35</v>
      </c>
      <c r="C312" t="str">
        <f>CONCATENATE(A312," no. ",B312)</f>
        <v>Lantai Attic no. 35</v>
      </c>
      <c r="D312" t="str">
        <v>B245-2</v>
      </c>
      <c r="E312">
        <v>1</v>
      </c>
      <c r="F312">
        <v>6200</v>
      </c>
      <c r="I312">
        <f>+F312-G312-H312</f>
        <v>6200</v>
      </c>
      <c r="J312">
        <v>150</v>
      </c>
    </row>
    <row r="313">
      <c r="A313" t="str">
        <v>Lantai Attic</v>
      </c>
      <c r="B313">
        <f>B312+1</f>
        <v>36</v>
      </c>
      <c r="C313" t="str">
        <f>CONCATENATE(A313," no. ",B313)</f>
        <v>Lantai Attic no. 36</v>
      </c>
      <c r="D313" t="str">
        <v>B245-4</v>
      </c>
      <c r="E313">
        <v>1</v>
      </c>
      <c r="F313">
        <v>8200</v>
      </c>
      <c r="I313">
        <f>+F313-G313-H313</f>
        <v>8200</v>
      </c>
      <c r="J313">
        <v>150</v>
      </c>
    </row>
    <row r="314">
      <c r="A314" t="str">
        <v>Lantai Attic</v>
      </c>
      <c r="B314">
        <f>B313+1</f>
        <v>37</v>
      </c>
      <c r="C314" t="str">
        <f>CONCATENATE(A314," no. ",B314)</f>
        <v>Lantai Attic no. 37</v>
      </c>
      <c r="D314" t="str">
        <v>B174-1</v>
      </c>
      <c r="E314">
        <v>1</v>
      </c>
      <c r="F314">
        <v>5485</v>
      </c>
      <c r="I314">
        <f>+F314-G314-H314</f>
        <v>5485</v>
      </c>
      <c r="J314">
        <v>130</v>
      </c>
    </row>
    <row r="315">
      <c r="A315" t="str">
        <v>Lantai Attic</v>
      </c>
      <c r="B315">
        <f>B314+1</f>
        <v>38</v>
      </c>
      <c r="C315" t="str">
        <f>CONCATENATE(A315," no. ",B315)</f>
        <v>Lantai Attic no. 38</v>
      </c>
      <c r="D315" t="str">
        <v>B175-1</v>
      </c>
      <c r="E315">
        <v>1</v>
      </c>
      <c r="F315">
        <v>2100</v>
      </c>
      <c r="I315">
        <f>+F315-G315-H315</f>
        <v>2100</v>
      </c>
      <c r="J315">
        <v>130</v>
      </c>
    </row>
    <row r="316">
      <c r="A316" t="str">
        <v>Lantai Attic</v>
      </c>
      <c r="B316">
        <f>B315+1</f>
        <v>39</v>
      </c>
      <c r="C316" t="str">
        <f>CONCATENATE(A316," no. ",B316)</f>
        <v>Lantai Attic no. 39</v>
      </c>
      <c r="D316" t="str">
        <v>B175-1</v>
      </c>
      <c r="E316">
        <v>1</v>
      </c>
      <c r="F316">
        <v>2900</v>
      </c>
      <c r="I316">
        <f>+F316-G316-H316</f>
        <v>2900</v>
      </c>
      <c r="J316">
        <v>0</v>
      </c>
    </row>
    <row r="317">
      <c r="A317" t="str">
        <v>Lantai Attic</v>
      </c>
      <c r="B317">
        <f>B316+1</f>
        <v>40</v>
      </c>
      <c r="C317" t="str">
        <f>CONCATENATE(A317," no. ",B317)</f>
        <v>Lantai Attic no. 40</v>
      </c>
      <c r="D317" t="str">
        <v>BB</v>
      </c>
      <c r="E317">
        <v>1</v>
      </c>
      <c r="F317">
        <v>900</v>
      </c>
      <c r="I317">
        <f>+F317-G317-H317</f>
        <v>900</v>
      </c>
      <c r="J317">
        <v>130</v>
      </c>
    </row>
    <row r="318">
      <c r="A318" t="str">
        <v>Lantai Attic</v>
      </c>
      <c r="B318">
        <f>B317+1</f>
        <v>41</v>
      </c>
      <c r="C318" t="str">
        <f>CONCATENATE(A318," no. ",B318)</f>
        <v>Lantai Attic no. 41</v>
      </c>
      <c r="D318" t="str">
        <v>BB</v>
      </c>
      <c r="E318">
        <v>1</v>
      </c>
      <c r="F318">
        <v>900</v>
      </c>
      <c r="I318">
        <f>+F318-G318-H318</f>
        <v>900</v>
      </c>
      <c r="J318">
        <v>130</v>
      </c>
    </row>
    <row r="319">
      <c r="A319" t="str">
        <v>Lantai Attic</v>
      </c>
      <c r="B319">
        <f>B318+1</f>
        <v>42</v>
      </c>
      <c r="C319" t="str">
        <f>CONCATENATE(A319," no. ",B319)</f>
        <v>Lantai Attic no. 42</v>
      </c>
      <c r="D319" t="str">
        <v>B245-4</v>
      </c>
      <c r="E319">
        <v>1</v>
      </c>
      <c r="F319">
        <v>6200</v>
      </c>
      <c r="I319">
        <f>+F319-G319-H319</f>
        <v>6200</v>
      </c>
      <c r="J319">
        <v>130</v>
      </c>
    </row>
    <row r="320">
      <c r="A320" t="str">
        <v>Lantai Attic</v>
      </c>
      <c r="B320">
        <f>B319+1</f>
        <v>43</v>
      </c>
      <c r="C320" t="str">
        <f>CONCATENATE(A320," no. ",B320)</f>
        <v>Lantai Attic no. 43</v>
      </c>
      <c r="D320" t="str">
        <v>Potongan F</v>
      </c>
      <c r="E320">
        <v>1</v>
      </c>
      <c r="F320">
        <v>2700</v>
      </c>
      <c r="I320">
        <f>+F320-G320-H320</f>
        <v>2700</v>
      </c>
      <c r="J320">
        <v>130</v>
      </c>
    </row>
    <row r="321">
      <c r="A321" t="str">
        <v>Lantai Attic</v>
      </c>
      <c r="B321">
        <f>B320+1</f>
        <v>44</v>
      </c>
      <c r="C321" t="str">
        <f>CONCATENATE(A321," no. ",B321)</f>
        <v>Lantai Attic no. 44</v>
      </c>
      <c r="D321" t="str">
        <v>B24-4</v>
      </c>
      <c r="E321">
        <v>1</v>
      </c>
      <c r="F321">
        <v>5600</v>
      </c>
      <c r="I321">
        <f>+F321-G321-H321</f>
        <v>5600</v>
      </c>
      <c r="J321">
        <v>150</v>
      </c>
    </row>
    <row r="322">
      <c r="A322" t="str">
        <v>Lantai Attic</v>
      </c>
      <c r="B322">
        <f>B321+1</f>
        <v>45</v>
      </c>
      <c r="C322" t="str">
        <f>CONCATENATE(A322," no. ",B322)</f>
        <v>Lantai Attic no. 45</v>
      </c>
      <c r="D322" t="str">
        <v>B24-4</v>
      </c>
      <c r="E322">
        <v>1</v>
      </c>
      <c r="F322">
        <v>3100</v>
      </c>
      <c r="I322">
        <f>+F322-G322-H322</f>
        <v>3100</v>
      </c>
      <c r="J322">
        <v>150</v>
      </c>
    </row>
    <row r="323">
      <c r="A323" t="str">
        <v>Lantai Attic</v>
      </c>
      <c r="B323">
        <f>B322+1</f>
        <v>46</v>
      </c>
      <c r="C323" t="str">
        <f>CONCATENATE(A323," no. ",B323)</f>
        <v>Lantai Attic no. 46</v>
      </c>
      <c r="D323" t="str">
        <v>Potongan J</v>
      </c>
      <c r="E323">
        <v>1</v>
      </c>
      <c r="F323">
        <v>2000</v>
      </c>
      <c r="I323">
        <f>+F323-G323-H323</f>
        <v>2000</v>
      </c>
      <c r="J323">
        <v>130</v>
      </c>
    </row>
    <row r="324">
      <c r="A324" t="str">
        <v>Lantai Attic</v>
      </c>
      <c r="B324">
        <f>B323+1</f>
        <v>47</v>
      </c>
      <c r="C324" t="str">
        <f>CONCATENATE(A324," no. ",B324)</f>
        <v>Lantai Attic no. 47</v>
      </c>
      <c r="D324" t="str">
        <v>B24-1</v>
      </c>
      <c r="E324">
        <v>1</v>
      </c>
      <c r="F324">
        <v>2000</v>
      </c>
      <c r="I324">
        <f>+F324-G324-H324</f>
        <v>2000</v>
      </c>
      <c r="J324">
        <v>150</v>
      </c>
    </row>
    <row r="325">
      <c r="A325" t="str">
        <v>Lantai Attic</v>
      </c>
      <c r="B325">
        <f>B324+1</f>
        <v>48</v>
      </c>
      <c r="C325" t="str">
        <f>CONCATENATE(A325," no. ",B325)</f>
        <v>Lantai Attic no. 48</v>
      </c>
      <c r="D325" t="str">
        <v>B245-1</v>
      </c>
      <c r="E325">
        <v>1</v>
      </c>
      <c r="F325">
        <v>5100</v>
      </c>
      <c r="I325">
        <f>+F325-G325-H325</f>
        <v>5100</v>
      </c>
      <c r="J325">
        <v>150</v>
      </c>
    </row>
    <row r="326">
      <c r="A326" t="str">
        <v>Lantai Attic</v>
      </c>
      <c r="B326">
        <f>B325+1</f>
        <v>49</v>
      </c>
      <c r="C326" t="str">
        <f>CONCATENATE(A326," no. ",B326)</f>
        <v>Lantai Attic no. 49</v>
      </c>
      <c r="D326" t="str">
        <v>B245-4</v>
      </c>
      <c r="E326">
        <v>1</v>
      </c>
      <c r="F326">
        <v>3300</v>
      </c>
      <c r="I326">
        <f>+F326-G326-H326</f>
        <v>3300</v>
      </c>
      <c r="J326">
        <v>150</v>
      </c>
    </row>
    <row r="327">
      <c r="A327" t="str">
        <v>Lantai Attic</v>
      </c>
      <c r="B327">
        <f>B326+1</f>
        <v>50</v>
      </c>
      <c r="C327" t="str">
        <f>CONCATENATE(A327," no. ",B327)</f>
        <v>Lantai Attic no. 50</v>
      </c>
      <c r="D327" t="str">
        <v>B245-3</v>
      </c>
      <c r="E327">
        <v>1</v>
      </c>
      <c r="F327">
        <v>2000</v>
      </c>
      <c r="I327">
        <f>+F327-G327-H327</f>
        <v>2000</v>
      </c>
      <c r="J327">
        <v>150</v>
      </c>
    </row>
    <row r="328">
      <c r="A328" t="str">
        <v>Lantai Attic</v>
      </c>
      <c r="B328">
        <f>B327+1</f>
        <v>51</v>
      </c>
      <c r="C328" t="str">
        <f>CONCATENATE(A328," no. ",B328)</f>
        <v>Lantai Attic no. 51</v>
      </c>
      <c r="D328" t="str">
        <v>B245-1</v>
      </c>
      <c r="E328">
        <v>1</v>
      </c>
      <c r="F328">
        <v>5300</v>
      </c>
      <c r="I328">
        <f>+F328-G328-H328</f>
        <v>5300</v>
      </c>
      <c r="J328">
        <v>150</v>
      </c>
    </row>
    <row r="329">
      <c r="A329" t="str">
        <v>Lantai Attic</v>
      </c>
      <c r="B329">
        <f>B328+1</f>
        <v>52</v>
      </c>
      <c r="C329" t="str">
        <f>CONCATENATE(A329," no. ",B329)</f>
        <v>Lantai Attic no. 52</v>
      </c>
      <c r="D329" t="str">
        <v>B245-5</v>
      </c>
      <c r="E329">
        <v>1</v>
      </c>
      <c r="F329">
        <v>5300</v>
      </c>
      <c r="I329">
        <f>+F329-G329-H329</f>
        <v>5300</v>
      </c>
      <c r="J329">
        <v>150</v>
      </c>
    </row>
    <row r="330">
      <c r="A330" t="str">
        <v>Lantai Attic</v>
      </c>
      <c r="B330">
        <f>B329+1</f>
        <v>53</v>
      </c>
      <c r="C330" t="str">
        <f>CONCATENATE(A330," no. ",B330)</f>
        <v>Lantai Attic no. 53</v>
      </c>
      <c r="D330" t="str">
        <v>B245-4</v>
      </c>
      <c r="E330">
        <v>1</v>
      </c>
      <c r="F330">
        <v>5300</v>
      </c>
      <c r="I330">
        <f>+F330-G330-H330</f>
        <v>5300</v>
      </c>
      <c r="J330">
        <v>150</v>
      </c>
    </row>
    <row r="331">
      <c r="A331" t="str">
        <v>Lantai Attic</v>
      </c>
      <c r="B331">
        <f>B330+1</f>
        <v>54</v>
      </c>
      <c r="C331" t="str">
        <f>CONCATENATE(A331," no. ",B331)</f>
        <v>Lantai Attic no. 54</v>
      </c>
      <c r="D331" t="str">
        <v>B25-2</v>
      </c>
      <c r="E331">
        <v>1</v>
      </c>
      <c r="F331">
        <v>5100</v>
      </c>
      <c r="I331">
        <f>+F331-G331-H331</f>
        <v>5100</v>
      </c>
      <c r="J331">
        <v>150</v>
      </c>
    </row>
    <row r="332">
      <c r="A332" t="str">
        <v>Lantai Attic</v>
      </c>
      <c r="B332">
        <f>B331+1</f>
        <v>55</v>
      </c>
      <c r="C332" t="str">
        <f>CONCATENATE(A332," no. ",B332)</f>
        <v>Lantai Attic no. 55</v>
      </c>
      <c r="D332" t="str">
        <v>B23-1</v>
      </c>
      <c r="E332">
        <v>1</v>
      </c>
      <c r="F332">
        <v>2000</v>
      </c>
      <c r="I332">
        <f>+F332-G332-H332</f>
        <v>2000</v>
      </c>
      <c r="J332">
        <v>150</v>
      </c>
    </row>
    <row r="333">
      <c r="A333" t="str">
        <v>Lantai Attic</v>
      </c>
      <c r="B333">
        <f>B332+1</f>
        <v>56</v>
      </c>
      <c r="C333" t="str">
        <f>CONCATENATE(A333," no. ",B333)</f>
        <v>Lantai Attic no. 56</v>
      </c>
      <c r="D333" t="str">
        <v>B25-1</v>
      </c>
      <c r="E333">
        <v>1</v>
      </c>
      <c r="F333">
        <v>2500</v>
      </c>
      <c r="I333">
        <f>+F333-G333-H333</f>
        <v>2500</v>
      </c>
      <c r="J333">
        <v>130</v>
      </c>
    </row>
    <row r="334">
      <c r="A334" t="str">
        <v>Lantai Attic</v>
      </c>
      <c r="B334">
        <f>B333+1</f>
        <v>57</v>
      </c>
      <c r="C334" t="str">
        <f>CONCATENATE(A334," no. ",B334)</f>
        <v>Lantai Attic no. 57</v>
      </c>
      <c r="D334" t="str">
        <v>B25-3</v>
      </c>
      <c r="E334">
        <v>1</v>
      </c>
      <c r="F334">
        <v>3885</v>
      </c>
      <c r="I334">
        <f>+F334-G334-H334</f>
        <v>3885</v>
      </c>
      <c r="J334">
        <v>130</v>
      </c>
    </row>
    <row r="335">
      <c r="A335" t="str">
        <v>Lantai Attic</v>
      </c>
      <c r="B335">
        <f>B334+1</f>
        <v>58</v>
      </c>
      <c r="C335" t="str">
        <f>CONCATENATE(A335," no. ",B335)</f>
        <v>Lantai Attic no. 58</v>
      </c>
      <c r="D335" t="str">
        <v>Potongan E</v>
      </c>
      <c r="E335">
        <v>1</v>
      </c>
      <c r="F335">
        <v>1765</v>
      </c>
      <c r="I335">
        <f>+F335-G335-H335</f>
        <v>1765</v>
      </c>
      <c r="J335">
        <v>130</v>
      </c>
    </row>
    <row r="336">
      <c r="A336" t="str">
        <v>Lantai Attic</v>
      </c>
      <c r="B336">
        <f>B335+1</f>
        <v>59</v>
      </c>
      <c r="C336" t="str">
        <f>CONCATENATE(A336," no. ",B336)</f>
        <v>Lantai Attic no. 59</v>
      </c>
      <c r="D336" t="str">
        <v>B25-5</v>
      </c>
      <c r="E336">
        <v>1</v>
      </c>
      <c r="F336">
        <v>8850</v>
      </c>
      <c r="I336">
        <f>+F336-G336-H336</f>
        <v>8850</v>
      </c>
      <c r="J336">
        <v>130</v>
      </c>
    </row>
    <row r="337">
      <c r="A337" t="str">
        <v>Lantai Attic</v>
      </c>
      <c r="B337">
        <f>B336+1</f>
        <v>60</v>
      </c>
      <c r="C337" t="str">
        <f>CONCATENATE(A337," no. ",B337)</f>
        <v>Lantai Attic no. 60</v>
      </c>
      <c r="D337" t="str">
        <v>B24-6</v>
      </c>
      <c r="E337">
        <v>1</v>
      </c>
      <c r="F337">
        <v>2000</v>
      </c>
      <c r="I337">
        <f>+F337-G337-H337</f>
        <v>2000</v>
      </c>
      <c r="J337">
        <v>150</v>
      </c>
    </row>
    <row r="338">
      <c r="A338" t="str">
        <v>Lantai Attic</v>
      </c>
      <c r="B338">
        <f>B337+1</f>
        <v>61</v>
      </c>
      <c r="C338" t="str">
        <f>CONCATENATE(A338," no. ",B338)</f>
        <v>Lantai Attic no. 61</v>
      </c>
      <c r="D338" t="str">
        <v>B25-2</v>
      </c>
      <c r="E338">
        <v>1</v>
      </c>
      <c r="F338">
        <v>8100</v>
      </c>
      <c r="I338">
        <f>+F338-G338-H338</f>
        <v>8100</v>
      </c>
      <c r="J338">
        <v>130</v>
      </c>
    </row>
    <row r="339">
      <c r="A339" t="str">
        <v>Lantai Attic</v>
      </c>
      <c r="B339">
        <f>B338+1</f>
        <v>62</v>
      </c>
      <c r="C339" t="str">
        <f>CONCATENATE(A339," no. ",B339)</f>
        <v>Lantai Attic no. 62</v>
      </c>
      <c r="D339" t="str">
        <v>B25-3</v>
      </c>
      <c r="E339">
        <v>1</v>
      </c>
      <c r="F339">
        <v>9000</v>
      </c>
      <c r="I339">
        <f>+F339-G339-H339</f>
        <v>9000</v>
      </c>
      <c r="J339">
        <v>130</v>
      </c>
    </row>
    <row r="340">
      <c r="A340" t="str">
        <v>Lantai Attic</v>
      </c>
      <c r="B340">
        <f>B339+1</f>
        <v>63</v>
      </c>
      <c r="C340" t="str">
        <f>CONCATENATE(A340," no. ",B340)</f>
        <v>Lantai Attic no. 63</v>
      </c>
      <c r="D340" t="str">
        <v>B245-3</v>
      </c>
      <c r="E340">
        <v>1</v>
      </c>
      <c r="F340">
        <v>2000</v>
      </c>
      <c r="I340">
        <f>+F340-G340-H340</f>
        <v>2000</v>
      </c>
      <c r="J340">
        <v>150</v>
      </c>
    </row>
    <row r="341">
      <c r="A341" t="str">
        <v>Lantai Attic</v>
      </c>
      <c r="B341">
        <f>B340+1</f>
        <v>64</v>
      </c>
      <c r="C341" t="str">
        <f>CONCATENATE(A341," no. ",B341)</f>
        <v>Lantai Attic no. 64</v>
      </c>
      <c r="D341" t="str">
        <v>B25-2</v>
      </c>
      <c r="E341">
        <v>1</v>
      </c>
      <c r="F341">
        <v>8100</v>
      </c>
      <c r="I341">
        <f>+F341-G341-H341</f>
        <v>8100</v>
      </c>
      <c r="J341">
        <v>130</v>
      </c>
    </row>
    <row r="342">
      <c r="A342" t="str">
        <v>Lantai Attic</v>
      </c>
      <c r="B342">
        <f>B341+1</f>
        <v>65</v>
      </c>
      <c r="C342" t="str">
        <f>CONCATENATE(A342," no. ",B342)</f>
        <v>Lantai Attic no. 65</v>
      </c>
      <c r="D342" t="str">
        <v>Potongan C</v>
      </c>
      <c r="E342">
        <v>1</v>
      </c>
      <c r="F342">
        <v>3000</v>
      </c>
      <c r="I342">
        <f>+F342-G342-H342</f>
        <v>3000</v>
      </c>
      <c r="J342">
        <v>130</v>
      </c>
    </row>
    <row r="343">
      <c r="A343" t="str">
        <v>Lantai Attic</v>
      </c>
      <c r="B343">
        <f>B342+1</f>
        <v>66</v>
      </c>
      <c r="C343" t="str">
        <f>CONCATENATE(A343," no. ",B343)</f>
        <v>Lantai Attic no. 66</v>
      </c>
      <c r="D343" t="str">
        <v>B35-2</v>
      </c>
      <c r="E343">
        <v>1</v>
      </c>
      <c r="F343">
        <v>8000</v>
      </c>
      <c r="I343">
        <f>+F343-G343-H343</f>
        <v>8000</v>
      </c>
      <c r="J343">
        <v>130</v>
      </c>
    </row>
    <row r="344">
      <c r="A344" t="str">
        <v>Lantai Attic</v>
      </c>
      <c r="B344">
        <f>B343+1</f>
        <v>67</v>
      </c>
      <c r="C344" t="str">
        <f>CONCATENATE(A344," no. ",B344)</f>
        <v>Lantai Attic no. 67</v>
      </c>
      <c r="D344" t="str">
        <v>B25-4</v>
      </c>
      <c r="E344">
        <v>1</v>
      </c>
      <c r="F344">
        <v>8150</v>
      </c>
      <c r="I344">
        <f>+F344-G344-H344</f>
        <v>8150</v>
      </c>
      <c r="J344">
        <v>130</v>
      </c>
    </row>
    <row r="345">
      <c r="A345" t="str">
        <v>Lantai Attic</v>
      </c>
      <c r="B345">
        <f>B344+1</f>
        <v>68</v>
      </c>
      <c r="C345" t="str">
        <f>CONCATENATE(A345," no. ",B345)</f>
        <v>Lantai Attic no. 68</v>
      </c>
      <c r="D345" t="str">
        <v>B23-2</v>
      </c>
      <c r="E345">
        <v>1</v>
      </c>
      <c r="F345">
        <v>3300</v>
      </c>
      <c r="I345">
        <f>+F345-G345-H345</f>
        <v>3300</v>
      </c>
      <c r="J345">
        <v>130</v>
      </c>
    </row>
    <row r="346">
      <c r="A346" t="str">
        <v>Lantai Attic</v>
      </c>
      <c r="B346">
        <f>B345+1</f>
        <v>69</v>
      </c>
      <c r="C346" t="str">
        <f>CONCATENATE(A346," no. ",B346)</f>
        <v>Lantai Attic no. 69</v>
      </c>
      <c r="D346" t="str">
        <v>CL26-1</v>
      </c>
      <c r="E346">
        <v>1</v>
      </c>
      <c r="F346">
        <v>1035</v>
      </c>
      <c r="I346">
        <f>+F346-G346-H346</f>
        <v>1035</v>
      </c>
      <c r="J346">
        <v>130</v>
      </c>
    </row>
    <row r="347">
      <c r="A347" t="str">
        <v>Lantai Attic</v>
      </c>
      <c r="B347">
        <f>B346+1</f>
        <v>70</v>
      </c>
      <c r="C347" t="str">
        <f>CONCATENATE(A347," no. ",B347)</f>
        <v>Lantai Attic no. 70</v>
      </c>
      <c r="D347" t="str">
        <v>B25-2</v>
      </c>
      <c r="E347">
        <v>1</v>
      </c>
      <c r="F347">
        <v>2765</v>
      </c>
      <c r="I347">
        <f>+F347-G347-H347</f>
        <v>2765</v>
      </c>
      <c r="J347">
        <v>130</v>
      </c>
    </row>
    <row r="348">
      <c r="A348" t="str">
        <v>Lantai Attic</v>
      </c>
      <c r="B348">
        <f>B347+1</f>
        <v>71</v>
      </c>
      <c r="C348" t="str">
        <f>CONCATENATE(A348," no. ",B348)</f>
        <v>Lantai Attic no. 71</v>
      </c>
      <c r="D348" t="str">
        <v>B245-3</v>
      </c>
      <c r="E348">
        <v>1</v>
      </c>
      <c r="F348">
        <v>2000</v>
      </c>
      <c r="I348">
        <f>+F348-G348-H348</f>
        <v>2000</v>
      </c>
      <c r="J348">
        <v>130</v>
      </c>
    </row>
    <row r="349">
      <c r="A349" t="str">
        <v>Lantai Attic</v>
      </c>
      <c r="B349">
        <f>B348+1</f>
        <v>72</v>
      </c>
      <c r="C349" t="str">
        <f>CONCATENATE(A349," no. ",B349)</f>
        <v>Lantai Attic no. 72</v>
      </c>
      <c r="D349" t="str">
        <v>B175-1</v>
      </c>
      <c r="E349">
        <v>1</v>
      </c>
      <c r="F349">
        <v>3650</v>
      </c>
      <c r="I349">
        <f>+F349-G349-H349</f>
        <v>3650</v>
      </c>
      <c r="J349">
        <v>150</v>
      </c>
    </row>
    <row r="350">
      <c r="A350" t="str">
        <v>Lantai Attic</v>
      </c>
      <c r="B350">
        <f>B349+1</f>
        <v>73</v>
      </c>
      <c r="C350" t="str">
        <f>CONCATENATE(A350," no. ",B350)</f>
        <v>Lantai Attic no. 73</v>
      </c>
      <c r="D350" t="str">
        <v>B175-2</v>
      </c>
      <c r="E350">
        <v>1</v>
      </c>
      <c r="F350">
        <v>4300</v>
      </c>
      <c r="I350">
        <f>+F350-G350-H350</f>
        <v>4300</v>
      </c>
      <c r="J350">
        <v>0</v>
      </c>
    </row>
    <row r="351">
      <c r="A351" t="str">
        <v>Lantai Attic</v>
      </c>
      <c r="B351">
        <f>B350+1</f>
        <v>74</v>
      </c>
      <c r="C351" t="str">
        <f>CONCATENATE(A351," no. ",B351)</f>
        <v>Lantai Attic no. 74</v>
      </c>
      <c r="D351" t="str">
        <v>B175-1</v>
      </c>
      <c r="E351">
        <v>1</v>
      </c>
      <c r="F351">
        <v>5500</v>
      </c>
      <c r="I351">
        <f>+F351-G351-H351</f>
        <v>5500</v>
      </c>
      <c r="J351">
        <v>0</v>
      </c>
    </row>
    <row r="352">
      <c r="A352" t="str">
        <v>Lantai Attic</v>
      </c>
      <c r="B352">
        <f>B351+1</f>
        <v>75</v>
      </c>
      <c r="C352" t="str">
        <f>CONCATENATE(A352," no. ",B352)</f>
        <v>Lantai Attic no. 75</v>
      </c>
      <c r="D352" t="str">
        <v>B173-1</v>
      </c>
      <c r="E352">
        <v>1</v>
      </c>
      <c r="F352">
        <v>3000</v>
      </c>
      <c r="I352">
        <f>+F352-G352-H352</f>
        <v>3000</v>
      </c>
      <c r="J352">
        <v>0</v>
      </c>
    </row>
    <row r="353">
      <c r="A353" t="str">
        <v>Lantai Attic</v>
      </c>
      <c r="B353">
        <f>B352+1</f>
        <v>76</v>
      </c>
      <c r="C353" t="str">
        <f>CONCATENATE(A353," no. ",B353)</f>
        <v>Lantai Attic no. 76</v>
      </c>
      <c r="D353" t="str">
        <v>B173-1</v>
      </c>
      <c r="E353">
        <v>1</v>
      </c>
      <c r="F353">
        <v>2300</v>
      </c>
      <c r="I353">
        <f>+F353-G353-H353</f>
        <v>2300</v>
      </c>
      <c r="J353">
        <v>130</v>
      </c>
    </row>
    <row r="354">
      <c r="A354" t="str">
        <v>Lantai Attic</v>
      </c>
      <c r="B354">
        <f>B353+1</f>
        <v>77</v>
      </c>
      <c r="C354" t="str">
        <f>CONCATENATE(A354," no. ",B354)</f>
        <v>Lantai Attic no. 77</v>
      </c>
      <c r="D354" t="str">
        <v>B175-1</v>
      </c>
      <c r="E354">
        <v>1</v>
      </c>
      <c r="F354">
        <v>5700</v>
      </c>
      <c r="I354">
        <f>+F354-G354-H354</f>
        <v>5700</v>
      </c>
      <c r="J354">
        <v>0</v>
      </c>
    </row>
    <row r="356">
      <c r="A356" t="str">
        <v>Lantai Atap</v>
      </c>
      <c r="B356">
        <f>B355+1</f>
        <v>1</v>
      </c>
      <c r="C356" t="str">
        <f>CONCATENATE(A356," no. ",B356)</f>
        <v>Lantai Atap no. 1</v>
      </c>
      <c r="D356" t="str">
        <v>B174-1</v>
      </c>
      <c r="E356">
        <v>1</v>
      </c>
      <c r="F356">
        <v>3500</v>
      </c>
      <c r="I356">
        <f>+F356-G356-H356</f>
        <v>3500</v>
      </c>
      <c r="J356">
        <v>0</v>
      </c>
    </row>
    <row r="357">
      <c r="A357" t="str">
        <v>Lantai Atap</v>
      </c>
      <c r="B357">
        <f>B356+1</f>
        <v>2</v>
      </c>
      <c r="C357" t="str">
        <f>CONCATENATE(A357," no. ",B357)</f>
        <v>Lantai Atap no. 2</v>
      </c>
      <c r="D357" t="str">
        <v>B174-1</v>
      </c>
      <c r="E357">
        <v>1</v>
      </c>
      <c r="F357">
        <v>3500</v>
      </c>
      <c r="I357">
        <f>+F357-G357-H357</f>
        <v>3500</v>
      </c>
      <c r="J357">
        <v>0</v>
      </c>
    </row>
    <row r="358">
      <c r="A358" t="str">
        <v>Lantai Atap</v>
      </c>
      <c r="B358">
        <f>B357+1</f>
        <v>3</v>
      </c>
      <c r="C358" t="str">
        <f>CONCATENATE(A358," no. ",B358)</f>
        <v>Lantai Atap no. 3</v>
      </c>
      <c r="D358" t="str">
        <v>B245-1</v>
      </c>
      <c r="E358">
        <v>1</v>
      </c>
      <c r="F358">
        <v>6000</v>
      </c>
      <c r="I358">
        <f>+F358-G358-H358</f>
        <v>6000</v>
      </c>
      <c r="J358">
        <v>0</v>
      </c>
    </row>
    <row r="359">
      <c r="A359" t="str">
        <v>Lantai Atap</v>
      </c>
      <c r="B359">
        <f>B358+1</f>
        <v>4</v>
      </c>
      <c r="C359" t="str">
        <f>CONCATENATE(A359," no. ",B359)</f>
        <v>Lantai Atap no. 4</v>
      </c>
      <c r="D359" t="str">
        <v>B24-1</v>
      </c>
      <c r="E359">
        <v>1</v>
      </c>
      <c r="F359">
        <v>2200</v>
      </c>
      <c r="I359">
        <f>+F359-G359-H359</f>
        <v>2200</v>
      </c>
      <c r="J359">
        <v>150</v>
      </c>
    </row>
    <row r="360">
      <c r="A360" t="str">
        <v>Lantai Atap</v>
      </c>
      <c r="B360">
        <f>B359+1</f>
        <v>5</v>
      </c>
      <c r="C360" t="str">
        <f>CONCATENATE(A360," no. ",B360)</f>
        <v>Lantai Atap no. 5</v>
      </c>
      <c r="D360" t="str">
        <v>B1745-1</v>
      </c>
      <c r="E360">
        <v>1</v>
      </c>
      <c r="F360">
        <v>2800</v>
      </c>
      <c r="I360">
        <f>+F360-G360-H360</f>
        <v>2800</v>
      </c>
      <c r="J360">
        <v>150</v>
      </c>
    </row>
    <row r="361">
      <c r="A361" t="str">
        <v>Lantai Atap</v>
      </c>
      <c r="B361">
        <f>B360+1</f>
        <v>6</v>
      </c>
      <c r="C361" t="str">
        <f>CONCATENATE(A361," no. ",B361)</f>
        <v>Lantai Atap no. 6</v>
      </c>
      <c r="D361" t="str">
        <v>B245-1</v>
      </c>
      <c r="E361">
        <v>1</v>
      </c>
      <c r="F361">
        <v>5835</v>
      </c>
      <c r="I361">
        <f>+F361-G361-H361</f>
        <v>5835</v>
      </c>
      <c r="J361">
        <v>150</v>
      </c>
    </row>
    <row r="362">
      <c r="A362" t="str">
        <v>Lantai Atap</v>
      </c>
      <c r="B362">
        <f>B361+1</f>
        <v>7</v>
      </c>
      <c r="C362" t="str">
        <f>CONCATENATE(A362," no. ",B362)</f>
        <v>Lantai Atap no. 7</v>
      </c>
      <c r="D362" t="str">
        <v>Potongan L</v>
      </c>
      <c r="E362">
        <v>1</v>
      </c>
      <c r="F362">
        <v>1265</v>
      </c>
      <c r="I362">
        <f>+F362-G362-H362</f>
        <v>1265</v>
      </c>
      <c r="J362">
        <v>150</v>
      </c>
    </row>
    <row r="363">
      <c r="A363" t="str">
        <v>Lantai Atap</v>
      </c>
      <c r="B363">
        <f>B362+1</f>
        <v>8</v>
      </c>
      <c r="C363" t="str">
        <f>CONCATENATE(A363," no. ",B363)</f>
        <v>Lantai Atap no. 8</v>
      </c>
      <c r="D363" t="str">
        <v>B245-2</v>
      </c>
      <c r="E363">
        <v>1</v>
      </c>
      <c r="F363">
        <v>6300</v>
      </c>
      <c r="I363">
        <f>+F363-G363-H363</f>
        <v>6300</v>
      </c>
      <c r="J363">
        <v>150</v>
      </c>
    </row>
    <row r="364">
      <c r="A364" t="str">
        <v>Lantai Atap</v>
      </c>
      <c r="B364">
        <f>B363+1</f>
        <v>9</v>
      </c>
      <c r="C364" t="str">
        <f>CONCATENATE(A364," no. ",B364)</f>
        <v>Lantai Atap no. 9</v>
      </c>
      <c r="D364" t="str">
        <v>B245-2</v>
      </c>
      <c r="E364">
        <v>1</v>
      </c>
      <c r="F364">
        <v>6300</v>
      </c>
      <c r="I364">
        <f>+F364-G364-H364</f>
        <v>6300</v>
      </c>
      <c r="J364">
        <v>150</v>
      </c>
    </row>
    <row r="365">
      <c r="A365" t="str">
        <v>Lantai Atap</v>
      </c>
      <c r="B365">
        <f>B364+1</f>
        <v>10</v>
      </c>
      <c r="C365" t="str">
        <f>CONCATENATE(A365," no. ",B365)</f>
        <v>Lantai Atap no. 10</v>
      </c>
      <c r="D365" t="str">
        <v>B24-1</v>
      </c>
      <c r="E365">
        <v>1</v>
      </c>
      <c r="F365">
        <v>4800</v>
      </c>
      <c r="I365">
        <f>+F365-G365-H365</f>
        <v>4800</v>
      </c>
      <c r="J365">
        <v>150</v>
      </c>
    </row>
    <row r="366">
      <c r="A366" t="str">
        <v>Lantai Atap</v>
      </c>
      <c r="B366">
        <f>B365+1</f>
        <v>11</v>
      </c>
      <c r="C366" t="str">
        <f>CONCATENATE(A366," no. ",B366)</f>
        <v>Lantai Atap no. 11</v>
      </c>
      <c r="D366" t="str">
        <v>B245-5</v>
      </c>
      <c r="E366">
        <v>1</v>
      </c>
      <c r="F366">
        <v>6200</v>
      </c>
      <c r="I366">
        <f>+F366-G366-H366</f>
        <v>6200</v>
      </c>
      <c r="J366">
        <v>150</v>
      </c>
    </row>
    <row r="367">
      <c r="A367" t="str">
        <v>Lantai Atap</v>
      </c>
      <c r="B367">
        <f>B366+1</f>
        <v>12</v>
      </c>
      <c r="C367" t="str">
        <f>CONCATENATE(A367," no. ",B367)</f>
        <v>Lantai Atap no. 12</v>
      </c>
      <c r="D367" t="str">
        <v>B245-1</v>
      </c>
      <c r="E367">
        <v>1</v>
      </c>
      <c r="F367">
        <v>900</v>
      </c>
      <c r="I367">
        <f>+F367-G367-H367</f>
        <v>900</v>
      </c>
      <c r="J367">
        <v>150</v>
      </c>
    </row>
    <row r="368">
      <c r="A368" t="str">
        <v>Lantai Atap</v>
      </c>
      <c r="B368">
        <f>B367+1</f>
        <v>13</v>
      </c>
      <c r="C368" t="str">
        <f>CONCATENATE(A368," no. ",B368)</f>
        <v>Lantai Atap no. 13</v>
      </c>
      <c r="D368" t="str">
        <v>B245-3</v>
      </c>
      <c r="E368">
        <v>1</v>
      </c>
      <c r="F368">
        <v>6000</v>
      </c>
      <c r="I368">
        <f>+F368-G368-H368</f>
        <v>6000</v>
      </c>
      <c r="J368">
        <v>150</v>
      </c>
    </row>
    <row r="369">
      <c r="A369" t="str">
        <v>Lantai Atap</v>
      </c>
      <c r="B369">
        <f>B368+1</f>
        <v>14</v>
      </c>
      <c r="C369" t="str">
        <f>CONCATENATE(A369," no. ",B369)</f>
        <v>Lantai Atap no. 14</v>
      </c>
      <c r="D369" t="str">
        <v>B25-1</v>
      </c>
      <c r="E369">
        <v>1</v>
      </c>
      <c r="F369">
        <v>1900</v>
      </c>
      <c r="I369">
        <f>+F369-G369-H369</f>
        <v>1900</v>
      </c>
      <c r="J369">
        <v>150</v>
      </c>
    </row>
    <row r="370">
      <c r="A370" t="str">
        <v>Lantai Atap</v>
      </c>
      <c r="B370">
        <f>B369+1</f>
        <v>15</v>
      </c>
      <c r="C370" t="str">
        <f>CONCATENATE(A370," no. ",B370)</f>
        <v>Lantai Atap no. 15</v>
      </c>
      <c r="D370" t="str">
        <v>B24-3</v>
      </c>
      <c r="E370">
        <v>1</v>
      </c>
      <c r="F370">
        <v>3100</v>
      </c>
      <c r="I370">
        <f>+F370-G370-H370</f>
        <v>3100</v>
      </c>
      <c r="J370">
        <v>150</v>
      </c>
    </row>
    <row r="371">
      <c r="A371" t="str">
        <v>Lantai Atap</v>
      </c>
      <c r="B371">
        <f>B370+1</f>
        <v>16</v>
      </c>
      <c r="C371" t="str">
        <f>CONCATENATE(A371," no. ",B371)</f>
        <v>Lantai Atap no. 16</v>
      </c>
      <c r="D371" t="str">
        <v>CL24-1</v>
      </c>
      <c r="E371">
        <v>1</v>
      </c>
      <c r="F371">
        <v>2000</v>
      </c>
      <c r="I371">
        <f>+F371-G371-H371</f>
        <v>2000</v>
      </c>
      <c r="J371">
        <v>150</v>
      </c>
    </row>
    <row r="372">
      <c r="A372" t="str">
        <v>Lantai Atap</v>
      </c>
      <c r="B372">
        <f>B371+1</f>
        <v>17</v>
      </c>
      <c r="C372" t="str">
        <f>CONCATENATE(A372," no. ",B372)</f>
        <v>Lantai Atap no. 17</v>
      </c>
      <c r="D372" t="str">
        <v>B245-2</v>
      </c>
      <c r="E372">
        <v>1</v>
      </c>
      <c r="F372">
        <v>6000</v>
      </c>
      <c r="I372">
        <f>+F372-G372-H372</f>
        <v>6000</v>
      </c>
      <c r="J372">
        <v>150</v>
      </c>
    </row>
    <row r="373">
      <c r="A373" t="str">
        <v>Lantai Atap</v>
      </c>
      <c r="B373">
        <f>B372+1</f>
        <v>18</v>
      </c>
      <c r="C373" t="str">
        <f>CONCATENATE(A373," no. ",B373)</f>
        <v>Lantai Atap no. 18</v>
      </c>
      <c r="D373" t="str">
        <v>B245-2</v>
      </c>
      <c r="E373">
        <v>1</v>
      </c>
      <c r="F373">
        <v>5000</v>
      </c>
      <c r="I373">
        <f>+F373-G373-H373</f>
        <v>5000</v>
      </c>
      <c r="J373">
        <v>150</v>
      </c>
    </row>
    <row r="374">
      <c r="A374" t="str">
        <v>Lantai Atap</v>
      </c>
      <c r="B374">
        <f>B373+1</f>
        <v>19</v>
      </c>
      <c r="C374" t="str">
        <f>CONCATENATE(A374," no. ",B374)</f>
        <v>Lantai Atap no. 19</v>
      </c>
      <c r="D374" t="str">
        <v>B24-1</v>
      </c>
      <c r="E374">
        <v>1</v>
      </c>
      <c r="F374">
        <v>7400</v>
      </c>
      <c r="I374">
        <f>+F374-G374-H374</f>
        <v>7400</v>
      </c>
      <c r="J374">
        <v>150</v>
      </c>
    </row>
    <row r="375">
      <c r="A375" t="str">
        <v>Lantai Atap</v>
      </c>
      <c r="B375">
        <f>B374+1</f>
        <v>20</v>
      </c>
      <c r="C375" t="str">
        <f>CONCATENATE(A375," no. ",B375)</f>
        <v>Lantai Atap no. 20</v>
      </c>
      <c r="D375" t="str">
        <v>CL24-1</v>
      </c>
      <c r="E375">
        <v>1</v>
      </c>
      <c r="F375">
        <v>1900</v>
      </c>
      <c r="I375">
        <f>+F375-G375-H375</f>
        <v>1900</v>
      </c>
      <c r="J375">
        <v>150</v>
      </c>
    </row>
    <row r="376">
      <c r="A376" t="str">
        <v>Lantai Atap</v>
      </c>
      <c r="B376">
        <f>B375+1</f>
        <v>21</v>
      </c>
      <c r="C376" t="str">
        <f>CONCATENATE(A376," no. ",B376)</f>
        <v>Lantai Atap no. 21</v>
      </c>
      <c r="D376" t="str">
        <v>B24-3</v>
      </c>
      <c r="E376">
        <v>1</v>
      </c>
      <c r="F376">
        <v>2000</v>
      </c>
      <c r="I376">
        <f>+F376-G376-H376</f>
        <v>2000</v>
      </c>
      <c r="J376">
        <v>150</v>
      </c>
    </row>
    <row r="377">
      <c r="A377" t="str">
        <v>Lantai Atap</v>
      </c>
      <c r="B377">
        <f>B376+1</f>
        <v>22</v>
      </c>
      <c r="C377" t="str">
        <f>CONCATENATE(A377," no. ",B377)</f>
        <v>Lantai Atap no. 22</v>
      </c>
      <c r="D377" t="str">
        <v>B25-6</v>
      </c>
      <c r="E377">
        <v>1</v>
      </c>
      <c r="F377">
        <v>11100</v>
      </c>
      <c r="I377">
        <f>+F377-G377-H377</f>
        <v>11100</v>
      </c>
      <c r="J377">
        <v>0</v>
      </c>
    </row>
    <row r="378">
      <c r="A378" t="str">
        <v>Lantai Atap</v>
      </c>
      <c r="B378">
        <f>B377+1</f>
        <v>23</v>
      </c>
      <c r="C378" t="str">
        <f>CONCATENATE(A378," no. ",B378)</f>
        <v>Lantai Atap no. 23</v>
      </c>
      <c r="D378" t="str">
        <v>B245-2</v>
      </c>
      <c r="E378">
        <v>1</v>
      </c>
      <c r="F378">
        <v>900</v>
      </c>
      <c r="I378">
        <f>+F378-G378-H378</f>
        <v>900</v>
      </c>
      <c r="J378">
        <v>150</v>
      </c>
    </row>
    <row r="379">
      <c r="A379" t="str">
        <v>Lantai Atap</v>
      </c>
      <c r="B379">
        <f>B378+1</f>
        <v>24</v>
      </c>
      <c r="C379" t="str">
        <f>CONCATENATE(A379," no. ",B379)</f>
        <v>Lantai Atap no. 24</v>
      </c>
      <c r="D379" t="str">
        <v>B24-1</v>
      </c>
      <c r="E379">
        <v>1</v>
      </c>
      <c r="F379">
        <v>1500</v>
      </c>
      <c r="I379">
        <f>+F379-G379-H379</f>
        <v>1500</v>
      </c>
      <c r="J379">
        <v>150</v>
      </c>
    </row>
    <row r="380">
      <c r="A380" t="str">
        <v>Lantai Atap</v>
      </c>
      <c r="B380">
        <f>B379+1</f>
        <v>25</v>
      </c>
      <c r="C380" t="str">
        <f>CONCATENATE(A380," no. ",B380)</f>
        <v>Lantai Atap no. 25</v>
      </c>
      <c r="D380" t="str">
        <v>Potongan A</v>
      </c>
      <c r="E380">
        <v>1</v>
      </c>
      <c r="F380">
        <v>1335</v>
      </c>
      <c r="I380">
        <f>+F380-G380-H380</f>
        <v>1335</v>
      </c>
      <c r="J380">
        <v>150</v>
      </c>
    </row>
    <row r="381">
      <c r="A381" t="str">
        <v>Lantai Atap</v>
      </c>
      <c r="B381">
        <f>B380+1</f>
        <v>26</v>
      </c>
      <c r="C381" t="str">
        <f>CONCATENATE(A381," no. ",B381)</f>
        <v>Lantai Atap no. 26</v>
      </c>
      <c r="D381" t="str">
        <v>B245-3</v>
      </c>
      <c r="E381">
        <v>1</v>
      </c>
      <c r="F381">
        <v>7025</v>
      </c>
      <c r="I381">
        <f>+F381-G381-H381</f>
        <v>7025</v>
      </c>
      <c r="J381">
        <v>0</v>
      </c>
    </row>
    <row r="382">
      <c r="A382" t="str">
        <v>Lantai Atap</v>
      </c>
      <c r="B382">
        <f>B381+1</f>
        <v>27</v>
      </c>
      <c r="C382" t="str">
        <f>CONCATENATE(A382," no. ",B382)</f>
        <v>Lantai Atap no. 27</v>
      </c>
      <c r="D382" t="str">
        <v>B24-5</v>
      </c>
      <c r="E382">
        <v>1</v>
      </c>
      <c r="F382">
        <v>2725</v>
      </c>
      <c r="I382">
        <f>+F382-G382-H382</f>
        <v>2725</v>
      </c>
      <c r="J382">
        <v>150</v>
      </c>
    </row>
    <row r="383">
      <c r="A383" t="str">
        <v>Lantai Atap</v>
      </c>
      <c r="B383">
        <f>B382+1</f>
        <v>28</v>
      </c>
      <c r="C383" t="str">
        <f>CONCATENATE(A383," no. ",B383)</f>
        <v>Lantai Atap no. 28</v>
      </c>
      <c r="D383" t="str">
        <v>Potongan B</v>
      </c>
      <c r="E383">
        <v>1</v>
      </c>
      <c r="F383">
        <v>1335</v>
      </c>
      <c r="I383">
        <f>+F383-G383-H383</f>
        <v>1335</v>
      </c>
      <c r="J383">
        <v>150</v>
      </c>
    </row>
    <row r="384">
      <c r="A384" t="str">
        <v>Lantai Atap</v>
      </c>
      <c r="B384">
        <f>B383+1</f>
        <v>29</v>
      </c>
      <c r="C384" t="str">
        <f>CONCATENATE(A384," no. ",B384)</f>
        <v>Lantai Atap no. 29</v>
      </c>
      <c r="D384" t="str">
        <v>B245-3</v>
      </c>
      <c r="E384">
        <v>1</v>
      </c>
      <c r="F384">
        <v>5615</v>
      </c>
      <c r="I384">
        <f>+F384-G384-H384</f>
        <v>5615</v>
      </c>
      <c r="J384">
        <v>0</v>
      </c>
    </row>
    <row r="385">
      <c r="A385" t="str">
        <v>Lantai Atap</v>
      </c>
      <c r="B385">
        <f>B384+1</f>
        <v>30</v>
      </c>
      <c r="C385" t="str">
        <f>CONCATENATE(A385," no. ",B385)</f>
        <v>Lantai Atap no. 30</v>
      </c>
      <c r="D385" t="str">
        <v>B24-7</v>
      </c>
      <c r="E385">
        <v>1</v>
      </c>
      <c r="F385">
        <v>3235</v>
      </c>
      <c r="I385">
        <f>+F385-G385-H385</f>
        <v>3235</v>
      </c>
      <c r="J385">
        <v>150</v>
      </c>
    </row>
    <row r="386">
      <c r="A386" t="str">
        <v>Lantai Atap</v>
      </c>
      <c r="B386">
        <f>B385+1</f>
        <v>31</v>
      </c>
      <c r="C386" t="str">
        <f>CONCATENATE(A386," no. ",B386)</f>
        <v>Lantai Atap no. 31</v>
      </c>
      <c r="D386" t="str">
        <v>B245-1</v>
      </c>
      <c r="E386">
        <v>1</v>
      </c>
      <c r="F386">
        <v>5700</v>
      </c>
      <c r="I386">
        <f>+F386-G386-H386</f>
        <v>5700</v>
      </c>
      <c r="J386">
        <v>0</v>
      </c>
    </row>
    <row r="387">
      <c r="A387" t="str">
        <v>Lantai Atap</v>
      </c>
      <c r="B387">
        <f>B386+1</f>
        <v>32</v>
      </c>
      <c r="C387" t="str">
        <f>CONCATENATE(A387," no. ",B387)</f>
        <v>Lantai Atap no. 32</v>
      </c>
      <c r="D387" t="str">
        <v>B173-1</v>
      </c>
      <c r="E387">
        <v>1</v>
      </c>
      <c r="F387">
        <v>2485</v>
      </c>
      <c r="I387">
        <f>+F387-G387-H387</f>
        <v>2485</v>
      </c>
      <c r="J387">
        <v>0</v>
      </c>
    </row>
    <row r="388">
      <c r="A388" t="str">
        <v>Lantai Atap</v>
      </c>
      <c r="B388">
        <f>B387+1</f>
        <v>33</v>
      </c>
      <c r="C388" t="str">
        <f>CONCATENATE(A388," no. ",B388)</f>
        <v>Lantai Atap no. 33</v>
      </c>
      <c r="D388" t="str">
        <v>B245-1</v>
      </c>
      <c r="E388">
        <v>1</v>
      </c>
      <c r="F388">
        <v>5100</v>
      </c>
      <c r="I388">
        <f>+F388-G388-H388</f>
        <v>5100</v>
      </c>
      <c r="J388">
        <v>150</v>
      </c>
    </row>
    <row r="389">
      <c r="A389" t="str">
        <v>Lantai Atap</v>
      </c>
      <c r="B389">
        <f>B388+1</f>
        <v>34</v>
      </c>
      <c r="C389" t="str">
        <f>CONCATENATE(A389," no. ",B389)</f>
        <v>Lantai Atap no. 34</v>
      </c>
      <c r="D389" t="str">
        <v>B1745-1</v>
      </c>
      <c r="E389">
        <v>1</v>
      </c>
      <c r="F389">
        <v>2900</v>
      </c>
      <c r="I389">
        <f>+F389-G389-H389</f>
        <v>2900</v>
      </c>
      <c r="J389">
        <v>0</v>
      </c>
    </row>
    <row r="390">
      <c r="A390" t="str">
        <v>Lantai Atap</v>
      </c>
      <c r="B390">
        <f>B389+1</f>
        <v>35</v>
      </c>
      <c r="C390" t="str">
        <f>CONCATENATE(A390," no. ",B390)</f>
        <v>Lantai Atap no. 35</v>
      </c>
      <c r="D390" t="str">
        <v>Potongan F</v>
      </c>
      <c r="E390">
        <v>1</v>
      </c>
      <c r="F390">
        <v>2700</v>
      </c>
      <c r="I390">
        <f>+F390-G390-H390</f>
        <v>2700</v>
      </c>
      <c r="J390">
        <v>0</v>
      </c>
    </row>
    <row r="391">
      <c r="A391" t="str">
        <v>Lantai Atap</v>
      </c>
      <c r="B391">
        <f>B390+1</f>
        <v>36</v>
      </c>
      <c r="C391" t="str">
        <f>CONCATENATE(A391," no. ",B391)</f>
        <v>Lantai Atap no. 36</v>
      </c>
      <c r="D391" t="str">
        <v>B245-1</v>
      </c>
      <c r="E391">
        <v>1</v>
      </c>
      <c r="F391">
        <v>2100</v>
      </c>
      <c r="I391">
        <f>+F391-G391-H391</f>
        <v>2100</v>
      </c>
      <c r="J391">
        <v>0</v>
      </c>
    </row>
    <row r="392">
      <c r="A392" t="str">
        <v>Lantai Atap</v>
      </c>
      <c r="B392">
        <f>B391+1</f>
        <v>37</v>
      </c>
      <c r="C392" t="str">
        <f>CONCATENATE(A392," no. ",B392)</f>
        <v>Lantai Atap no. 37</v>
      </c>
      <c r="D392" t="str">
        <v>B245-1</v>
      </c>
      <c r="E392">
        <v>1</v>
      </c>
      <c r="F392">
        <v>2700</v>
      </c>
      <c r="I392">
        <f>+F392-G392-H392</f>
        <v>2700</v>
      </c>
      <c r="J392">
        <v>0</v>
      </c>
    </row>
    <row r="393">
      <c r="A393" t="str">
        <v>Lantai Atap</v>
      </c>
      <c r="B393">
        <f>B392+1</f>
        <v>38</v>
      </c>
      <c r="C393" t="str">
        <f>CONCATENATE(A393," no. ",B393)</f>
        <v>Lantai Atap no. 38</v>
      </c>
      <c r="D393" t="str">
        <v>B24-1</v>
      </c>
      <c r="E393">
        <v>1</v>
      </c>
      <c r="F393">
        <v>2100</v>
      </c>
      <c r="I393">
        <f>+F393-G393-H393</f>
        <v>2100</v>
      </c>
      <c r="J393">
        <v>0</v>
      </c>
    </row>
    <row r="394">
      <c r="A394" t="str">
        <v>Lantai Atap</v>
      </c>
      <c r="B394">
        <f>B393+1</f>
        <v>39</v>
      </c>
      <c r="C394" t="str">
        <f>CONCATENATE(A394," no. ",B394)</f>
        <v>Lantai Atap no. 39</v>
      </c>
      <c r="D394" t="str">
        <v>B25-1</v>
      </c>
      <c r="E394">
        <v>1</v>
      </c>
      <c r="F394">
        <v>4325</v>
      </c>
      <c r="I394">
        <f>+F394-G394-H394</f>
        <v>4325</v>
      </c>
      <c r="J394">
        <v>150</v>
      </c>
    </row>
    <row r="395">
      <c r="A395" t="str">
        <v>Lantai Atap</v>
      </c>
      <c r="B395">
        <f>B394+1</f>
        <v>40</v>
      </c>
      <c r="C395" t="str">
        <f>CONCATENATE(A395," no. ",B395)</f>
        <v>Lantai Atap no. 40</v>
      </c>
      <c r="D395" t="str">
        <v>B25-4</v>
      </c>
      <c r="E395">
        <v>1</v>
      </c>
      <c r="F395">
        <v>6565</v>
      </c>
      <c r="I395">
        <f>+F395-G395-H395</f>
        <v>6565</v>
      </c>
      <c r="J395">
        <v>150</v>
      </c>
    </row>
    <row r="396">
      <c r="A396" t="str">
        <v>Lantai Atap</v>
      </c>
      <c r="B396">
        <f>B395+1</f>
        <v>41</v>
      </c>
      <c r="C396" t="str">
        <f>CONCATENATE(A396," no. ",B396)</f>
        <v>Lantai Atap no. 41</v>
      </c>
      <c r="D396" t="str">
        <v>B245-5</v>
      </c>
      <c r="E396">
        <v>1</v>
      </c>
      <c r="F396">
        <v>3700</v>
      </c>
      <c r="I396">
        <f>+F396-G396-H396</f>
        <v>3700</v>
      </c>
      <c r="J396">
        <v>150</v>
      </c>
    </row>
    <row r="397">
      <c r="A397" t="str">
        <v>Lantai Atap</v>
      </c>
      <c r="B397">
        <f>B396+1</f>
        <v>42</v>
      </c>
      <c r="C397" t="str">
        <f>CONCATENATE(A397," no. ",B397)</f>
        <v>Lantai Atap no. 42</v>
      </c>
      <c r="D397" t="str">
        <v>B245-4</v>
      </c>
      <c r="E397">
        <v>1</v>
      </c>
      <c r="F397">
        <v>2000</v>
      </c>
      <c r="I397">
        <f>+F397-G397-H397</f>
        <v>2000</v>
      </c>
      <c r="J397">
        <v>150</v>
      </c>
    </row>
    <row r="398">
      <c r="A398" t="str">
        <v>Lantai Atap</v>
      </c>
      <c r="B398">
        <f>B397+1</f>
        <v>43</v>
      </c>
      <c r="C398" t="str">
        <f>CONCATENATE(A398," no. ",B398)</f>
        <v>Lantai Atap no. 43</v>
      </c>
      <c r="D398" t="str">
        <v>B245-3</v>
      </c>
      <c r="E398">
        <v>1</v>
      </c>
      <c r="F398">
        <v>4400</v>
      </c>
      <c r="I398">
        <f>+F398-G398-H398</f>
        <v>4400</v>
      </c>
      <c r="J398">
        <v>150</v>
      </c>
    </row>
    <row r="399">
      <c r="A399" t="str">
        <v>Lantai Atap</v>
      </c>
      <c r="B399">
        <f>B398+1</f>
        <v>44</v>
      </c>
      <c r="C399" t="str">
        <f>CONCATENATE(A399," no. ",B399)</f>
        <v>Lantai Atap no. 44</v>
      </c>
      <c r="D399" t="str">
        <v>B245-4</v>
      </c>
      <c r="E399">
        <v>1</v>
      </c>
      <c r="F399">
        <v>5500</v>
      </c>
      <c r="I399">
        <f>+F399-G399-H399</f>
        <v>5500</v>
      </c>
      <c r="J399">
        <v>150</v>
      </c>
    </row>
    <row r="400">
      <c r="A400" t="str">
        <v>Lantai Atap</v>
      </c>
      <c r="B400">
        <f>B399+1</f>
        <v>45</v>
      </c>
      <c r="C400" t="str">
        <f>CONCATENATE(A400," no. ",B400)</f>
        <v>Lantai Atap no. 45</v>
      </c>
      <c r="D400" t="str">
        <v>B245-3</v>
      </c>
      <c r="E400">
        <v>1</v>
      </c>
      <c r="F400">
        <v>4600</v>
      </c>
      <c r="I400">
        <f>+F400-G400-H400</f>
        <v>4600</v>
      </c>
      <c r="J400">
        <v>150</v>
      </c>
    </row>
    <row r="401">
      <c r="A401" t="str">
        <v>Lantai Atap</v>
      </c>
      <c r="B401">
        <f>B400+1</f>
        <v>46</v>
      </c>
      <c r="C401" t="str">
        <f>CONCATENATE(A401," no. ",B401)</f>
        <v>Lantai Atap no. 46</v>
      </c>
      <c r="D401" t="str">
        <v>B245-1</v>
      </c>
      <c r="E401">
        <v>1</v>
      </c>
      <c r="F401">
        <v>2700</v>
      </c>
      <c r="I401">
        <f>+F401-G401-H401</f>
        <v>2700</v>
      </c>
      <c r="J401">
        <v>0</v>
      </c>
    </row>
    <row r="402">
      <c r="A402" t="str">
        <v>Lantai Atap</v>
      </c>
      <c r="B402">
        <f>B401+1</f>
        <v>47</v>
      </c>
      <c r="C402" t="str">
        <f>CONCATENATE(A402," no. ",B402)</f>
        <v>Lantai Atap no. 47</v>
      </c>
      <c r="D402" t="str">
        <v>B245-1</v>
      </c>
      <c r="E402">
        <v>1</v>
      </c>
      <c r="F402">
        <v>2700</v>
      </c>
      <c r="I402">
        <f>+F402-G402-H402</f>
        <v>2700</v>
      </c>
      <c r="J402">
        <v>0</v>
      </c>
    </row>
    <row r="403">
      <c r="A403" t="str">
        <v>Lantai Atap</v>
      </c>
      <c r="B403">
        <f>B402+1</f>
        <v>48</v>
      </c>
      <c r="C403" t="str">
        <f>CONCATENATE(A403," no. ",B403)</f>
        <v>Lantai Atap no. 48</v>
      </c>
      <c r="D403" t="str">
        <v>B24-1</v>
      </c>
      <c r="E403">
        <v>1</v>
      </c>
      <c r="F403">
        <v>2000</v>
      </c>
      <c r="I403">
        <f>+F403-G403-H403</f>
        <v>2000</v>
      </c>
      <c r="J403">
        <v>0</v>
      </c>
    </row>
    <row r="404">
      <c r="A404" t="str">
        <v>Lantai Atap</v>
      </c>
      <c r="B404">
        <f>B403+1</f>
        <v>49</v>
      </c>
      <c r="C404" t="str">
        <f>CONCATENATE(A404," no. ",B404)</f>
        <v>Lantai Atap no. 49</v>
      </c>
      <c r="D404" t="str">
        <v>B24-1</v>
      </c>
      <c r="E404">
        <v>1</v>
      </c>
      <c r="F404">
        <v>900</v>
      </c>
      <c r="I404">
        <f>+F404-G404-H404</f>
        <v>900</v>
      </c>
      <c r="J404">
        <v>150</v>
      </c>
    </row>
    <row r="405">
      <c r="A405" t="str">
        <v>Lantai Atap</v>
      </c>
      <c r="B405">
        <f>B404+1</f>
        <v>50</v>
      </c>
      <c r="C405" t="str">
        <f>CONCATENATE(A405," no. ",B405)</f>
        <v>Lantai Atap no. 50</v>
      </c>
      <c r="D405" t="str">
        <v>B245-1</v>
      </c>
      <c r="E405">
        <v>1</v>
      </c>
      <c r="F405">
        <v>5700</v>
      </c>
      <c r="I405">
        <f>+F405-G405-H405</f>
        <v>5700</v>
      </c>
      <c r="J405">
        <v>0</v>
      </c>
    </row>
    <row r="406">
      <c r="A406" t="str">
        <v>Lantai Atap</v>
      </c>
      <c r="B406">
        <f>B405+1</f>
        <v>51</v>
      </c>
      <c r="C406" t="str">
        <f>CONCATENATE(A406," no. ",B406)</f>
        <v>Lantai Atap no. 51</v>
      </c>
      <c r="D406" t="str">
        <v>B24-2</v>
      </c>
      <c r="E406">
        <v>1</v>
      </c>
      <c r="F406">
        <v>900</v>
      </c>
      <c r="I406">
        <f>+F406-G406-H406</f>
        <v>900</v>
      </c>
      <c r="J406">
        <v>150</v>
      </c>
    </row>
    <row r="407">
      <c r="A407" t="str">
        <v>Lantai Atap</v>
      </c>
      <c r="B407">
        <f>B406+1</f>
        <v>52</v>
      </c>
      <c r="C407" t="str">
        <f>CONCATENATE(A407," no. ",B407)</f>
        <v>Lantai Atap no. 52</v>
      </c>
      <c r="D407" t="str">
        <v>B24-3</v>
      </c>
      <c r="E407">
        <v>1</v>
      </c>
      <c r="F407">
        <v>5700</v>
      </c>
      <c r="I407">
        <f>+F407-G407-H407</f>
        <v>5700</v>
      </c>
      <c r="J407">
        <v>150</v>
      </c>
    </row>
    <row r="408">
      <c r="A408" t="str">
        <v>Lantai Atap</v>
      </c>
      <c r="B408">
        <f>B407+1</f>
        <v>53</v>
      </c>
      <c r="C408" t="str">
        <f>CONCATENATE(A408," no. ",B408)</f>
        <v>Lantai Atap no. 53</v>
      </c>
      <c r="D408" t="str">
        <v>B24-3</v>
      </c>
      <c r="E408">
        <v>1</v>
      </c>
      <c r="F408">
        <v>1900</v>
      </c>
      <c r="I408">
        <f>+F408-G408-H408</f>
        <v>1900</v>
      </c>
      <c r="J408">
        <v>150</v>
      </c>
    </row>
    <row r="409">
      <c r="A409" t="str">
        <v>Lantai Atap</v>
      </c>
      <c r="B409">
        <f>B408+1</f>
        <v>54</v>
      </c>
      <c r="C409" t="str">
        <f>CONCATENATE(A409," no. ",B409)</f>
        <v>Lantai Atap no. 54</v>
      </c>
      <c r="D409" t="str">
        <v>B24-3</v>
      </c>
      <c r="E409">
        <v>1</v>
      </c>
      <c r="F409">
        <v>8000</v>
      </c>
      <c r="I409">
        <f>+F409-G409-H409</f>
        <v>8000</v>
      </c>
      <c r="J409">
        <v>150</v>
      </c>
    </row>
    <row r="410">
      <c r="A410" t="str">
        <v>Lantai Atap</v>
      </c>
      <c r="B410">
        <f>B409+1</f>
        <v>55</v>
      </c>
      <c r="C410" t="str">
        <f>CONCATENATE(A410," no. ",B410)</f>
        <v>Lantai Atap no. 55</v>
      </c>
      <c r="D410" t="str">
        <v>B24-2</v>
      </c>
      <c r="E410">
        <v>1</v>
      </c>
      <c r="F410">
        <v>5400</v>
      </c>
      <c r="I410">
        <f>+F410-G410-H410</f>
        <v>5400</v>
      </c>
      <c r="J410">
        <v>150</v>
      </c>
    </row>
    <row r="411">
      <c r="A411" t="str">
        <v>Lantai Atap</v>
      </c>
      <c r="B411">
        <f>B410+1</f>
        <v>56</v>
      </c>
      <c r="C411" t="str">
        <f>CONCATENATE(A411," no. ",B411)</f>
        <v>Lantai Atap no. 56</v>
      </c>
      <c r="D411" t="str">
        <v>CL24-1</v>
      </c>
      <c r="E411">
        <v>1</v>
      </c>
      <c r="F411">
        <v>1900</v>
      </c>
      <c r="I411">
        <f>+F411-G411-H411</f>
        <v>1900</v>
      </c>
      <c r="J411">
        <v>150</v>
      </c>
    </row>
    <row r="412">
      <c r="A412" t="str">
        <v>Lantai Atap</v>
      </c>
      <c r="B412">
        <f>B411+1</f>
        <v>57</v>
      </c>
      <c r="C412" t="str">
        <f>CONCATENATE(A412," no. ",B412)</f>
        <v>Lantai Atap no. 57</v>
      </c>
      <c r="D412" t="str">
        <v>B24-4</v>
      </c>
      <c r="E412">
        <v>1</v>
      </c>
      <c r="F412">
        <v>8100</v>
      </c>
      <c r="I412">
        <f>+F412-G412-H412</f>
        <v>8100</v>
      </c>
      <c r="J412">
        <v>150</v>
      </c>
    </row>
    <row r="413">
      <c r="A413" t="str">
        <v>Lantai Atap</v>
      </c>
      <c r="B413">
        <f>B412+1</f>
        <v>58</v>
      </c>
      <c r="C413" t="str">
        <f>CONCATENATE(A413," no. ",B413)</f>
        <v>Lantai Atap no. 58</v>
      </c>
      <c r="D413" t="str">
        <v>B24-2</v>
      </c>
      <c r="E413">
        <v>1</v>
      </c>
      <c r="F413">
        <v>8200</v>
      </c>
      <c r="I413">
        <f>+F413-G413-H413</f>
        <v>8200</v>
      </c>
      <c r="J413">
        <v>150</v>
      </c>
    </row>
    <row r="414">
      <c r="A414" t="str">
        <v>Lantai Atap</v>
      </c>
      <c r="B414">
        <f>B413+1</f>
        <v>59</v>
      </c>
      <c r="C414" t="str">
        <f>CONCATENATE(A414," no. ",B414)</f>
        <v>Lantai Atap no. 59</v>
      </c>
      <c r="D414" t="str">
        <v>B245-3</v>
      </c>
      <c r="E414">
        <v>1</v>
      </c>
      <c r="F414">
        <v>3100</v>
      </c>
      <c r="I414">
        <f>+F414-G414-H414</f>
        <v>3100</v>
      </c>
      <c r="J414">
        <v>150</v>
      </c>
    </row>
    <row r="415">
      <c r="A415" t="str">
        <v>Lantai Atap</v>
      </c>
      <c r="B415">
        <f>B414+1</f>
        <v>60</v>
      </c>
      <c r="C415" t="str">
        <f>CONCATENATE(A415," no. ",B415)</f>
        <v>Lantai Atap no. 60</v>
      </c>
      <c r="D415" t="str">
        <v>B24-4</v>
      </c>
      <c r="E415">
        <v>1</v>
      </c>
      <c r="F415">
        <v>6000</v>
      </c>
      <c r="I415">
        <f>+F415-G415-H415</f>
        <v>6000</v>
      </c>
      <c r="J415">
        <v>150</v>
      </c>
    </row>
    <row r="416">
      <c r="A416" t="str">
        <v>Lantai Atap</v>
      </c>
      <c r="B416">
        <f>B415+1</f>
        <v>61</v>
      </c>
      <c r="C416" t="str">
        <f>CONCATENATE(A416," no. ",B416)</f>
        <v>Lantai Atap no. 61</v>
      </c>
      <c r="D416" t="str">
        <v>B245-1</v>
      </c>
      <c r="E416">
        <v>1</v>
      </c>
      <c r="F416">
        <v>2000</v>
      </c>
      <c r="I416">
        <f>+F416-G416-H416</f>
        <v>2000</v>
      </c>
      <c r="J416">
        <v>150</v>
      </c>
    </row>
    <row r="417">
      <c r="A417" t="str">
        <v>Lantai Atap</v>
      </c>
      <c r="B417">
        <f>B416+1</f>
        <v>62</v>
      </c>
      <c r="C417" t="str">
        <f>CONCATENATE(A417," no. ",B417)</f>
        <v>Lantai Atap no. 62</v>
      </c>
      <c r="D417" t="str">
        <v>B24-1</v>
      </c>
      <c r="E417">
        <v>1</v>
      </c>
      <c r="F417">
        <v>2000</v>
      </c>
      <c r="I417">
        <f>+F417-G417-H417</f>
        <v>2000</v>
      </c>
      <c r="J417">
        <v>150</v>
      </c>
    </row>
    <row r="418">
      <c r="A418" t="str">
        <v>Lantai Atap</v>
      </c>
      <c r="B418">
        <f>B417+1</f>
        <v>63</v>
      </c>
      <c r="C418" t="str">
        <f>CONCATENATE(A418," no. ",B418)</f>
        <v>Lantai Atap no. 63</v>
      </c>
      <c r="D418" t="str">
        <v>B173-1</v>
      </c>
      <c r="E418">
        <v>1</v>
      </c>
      <c r="F418">
        <v>2300</v>
      </c>
      <c r="I418">
        <f>+F418-G418-H418</f>
        <v>2300</v>
      </c>
      <c r="J418">
        <v>0</v>
      </c>
    </row>
    <row r="419">
      <c r="A419" t="str">
        <v>Lantai Atap</v>
      </c>
      <c r="B419">
        <f>B418+1</f>
        <v>64</v>
      </c>
      <c r="C419" t="str">
        <f>CONCATENATE(A419," no. ",B419)</f>
        <v>Lantai Atap no. 64</v>
      </c>
      <c r="D419" t="str">
        <v>B175-1</v>
      </c>
      <c r="E419">
        <v>1</v>
      </c>
      <c r="F419">
        <v>8000</v>
      </c>
      <c r="I419">
        <f>+F419-G419-H419</f>
        <v>8000</v>
      </c>
      <c r="J419">
        <v>0</v>
      </c>
    </row>
    <row r="420">
      <c r="A420" t="str">
        <v>Lantai Atap</v>
      </c>
      <c r="B420">
        <f>B419+1</f>
        <v>65</v>
      </c>
      <c r="C420" t="str">
        <f>CONCATENATE(A420," no. ",B420)</f>
        <v>Lantai Atap no. 65</v>
      </c>
      <c r="D420" t="str">
        <v>B173-1</v>
      </c>
      <c r="E420">
        <v>1</v>
      </c>
      <c r="F420">
        <v>3000</v>
      </c>
      <c r="I420">
        <f>+F420-G420-H420</f>
        <v>3000</v>
      </c>
      <c r="J420">
        <v>0</v>
      </c>
    </row>
    <row r="421">
      <c r="A421" t="str">
        <v>Lantai Atap</v>
      </c>
      <c r="B421">
        <f>B420+1</f>
        <v>66</v>
      </c>
      <c r="C421" t="str">
        <f>CONCATENATE(A421," no. ",B421)</f>
        <v>Lantai Atap no. 66</v>
      </c>
      <c r="D421" t="str">
        <v>B23-1</v>
      </c>
      <c r="E421">
        <v>1</v>
      </c>
      <c r="F421">
        <v>4800</v>
      </c>
      <c r="I421">
        <f>+F421-G421-H421</f>
        <v>4800</v>
      </c>
      <c r="J421">
        <v>150</v>
      </c>
    </row>
    <row r="422">
      <c r="A422" t="str">
        <v>Lantai Atap</v>
      </c>
      <c r="B422">
        <f>B421+1</f>
        <v>67</v>
      </c>
      <c r="C422" t="str">
        <f>CONCATENATE(A422," no. ",B422)</f>
        <v>Lantai Atap no. 67</v>
      </c>
      <c r="D422" t="str">
        <v>B174-1</v>
      </c>
      <c r="E422">
        <v>1</v>
      </c>
      <c r="F422">
        <v>3200</v>
      </c>
      <c r="I422">
        <f>+F422-G422-H422</f>
        <v>3200</v>
      </c>
      <c r="J422">
        <v>150</v>
      </c>
    </row>
    <row r="423">
      <c r="A423" t="str">
        <v>Lantai Atap</v>
      </c>
      <c r="B423">
        <f>B422+1</f>
        <v>68</v>
      </c>
      <c r="C423" t="str">
        <f>CONCATENATE(A423," no. ",B423)</f>
        <v>Lantai Atap no. 68</v>
      </c>
      <c r="D423" t="str">
        <v>B24-1</v>
      </c>
      <c r="E423">
        <v>1</v>
      </c>
      <c r="F423">
        <v>2170</v>
      </c>
      <c r="I423">
        <f>+F423-G423-H423</f>
        <v>2170</v>
      </c>
      <c r="J423">
        <v>150</v>
      </c>
      <c r="N423" t="str">
        <v>balok angkur lift</v>
      </c>
    </row>
  </sheetData>
  <autoFilter ref="A9:Q424"/>
  <mergeCells count="15">
    <mergeCell ref="M6:M8"/>
    <mergeCell ref="N6:N8"/>
    <mergeCell ref="Q6:Q8"/>
    <mergeCell ref="G6:G7"/>
    <mergeCell ref="H6:H7"/>
    <mergeCell ref="I6:I7"/>
    <mergeCell ref="J6:J8"/>
    <mergeCell ref="K6:K7"/>
    <mergeCell ref="L6:L7"/>
    <mergeCell ref="F6:F7"/>
    <mergeCell ref="A6:A8"/>
    <mergeCell ref="B6:B8"/>
    <mergeCell ref="C6:C8"/>
    <mergeCell ref="D6:D8"/>
    <mergeCell ref="E6:E8"/>
  </mergeCells>
  <pageMargins left="0.708661417322835" right="0.708661417322835" top="0.748031496062992" bottom="0.748031496062992" header="0.31496062992126" footer="0.31496062992126"/>
  <ignoredErrors>
    <ignoredError numberStoredAsText="1" sqref="A1:Q433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B12315"/>
  <sheetViews>
    <sheetView workbookViewId="0" rightToLeft="0"/>
  </sheetViews>
  <sheetData>
    <row r="1">
      <c r="B1" t="str">
        <v>PERHITUNGAN PEKERJAAN BALOK</v>
      </c>
    </row>
    <row r="2">
      <c r="C2" t="str">
        <v xml:space="preserve">Proyek          </v>
      </c>
      <c r="D2" t="str">
        <v>:</v>
      </c>
      <c r="E2" t="str">
        <v>SEMARANG TUMPANG 2-4</v>
      </c>
    </row>
    <row r="3">
      <c r="C3" t="str">
        <v>Area</v>
      </c>
      <c r="D3" t="str">
        <v>:</v>
      </c>
    </row>
    <row r="5">
      <c r="C5" t="str">
        <v>Tebal Selimut</v>
      </c>
      <c r="E5" t="str">
        <v>=</v>
      </c>
      <c r="F5">
        <v>40</v>
      </c>
      <c r="G5" t="str">
        <v>mm</v>
      </c>
    </row>
    <row r="6">
      <c r="C6" t="str">
        <v>Sambungan Lewatan (ls)</v>
      </c>
      <c r="D6">
        <v>6</v>
      </c>
      <c r="E6" t="str">
        <v>=</v>
      </c>
      <c r="F6">
        <f>50*D6</f>
        <v>300</v>
      </c>
      <c r="G6" t="str">
        <v>mm</v>
      </c>
      <c r="M6" t="str">
        <v>ldh</v>
      </c>
      <c r="N6">
        <v>6</v>
      </c>
      <c r="O6" t="str">
        <v>=</v>
      </c>
      <c r="P6">
        <v>0</v>
      </c>
      <c r="Q6" t="str">
        <v>mm</v>
      </c>
      <c r="T6" t="str">
        <v>ld</v>
      </c>
      <c r="U6">
        <v>6</v>
      </c>
      <c r="V6" t="str">
        <v>=</v>
      </c>
      <c r="W6">
        <f>40*U6</f>
        <v>240</v>
      </c>
      <c r="X6" t="str">
        <v>mm</v>
      </c>
    </row>
    <row r="7">
      <c r="D7">
        <v>8</v>
      </c>
      <c r="E7" t="str">
        <v>=</v>
      </c>
      <c r="F7">
        <f>50*D7</f>
        <v>400</v>
      </c>
      <c r="G7" t="str">
        <v>mm</v>
      </c>
      <c r="N7">
        <v>8</v>
      </c>
      <c r="O7" t="str">
        <v>=</v>
      </c>
      <c r="P7">
        <v>0</v>
      </c>
      <c r="Q7" t="str">
        <v>mm</v>
      </c>
      <c r="U7">
        <v>8</v>
      </c>
      <c r="V7" t="str">
        <v>=</v>
      </c>
      <c r="W7">
        <f>40*U7</f>
        <v>320</v>
      </c>
      <c r="X7" t="str">
        <v>mm</v>
      </c>
    </row>
    <row r="8">
      <c r="D8">
        <v>10</v>
      </c>
      <c r="E8" t="str">
        <v>=</v>
      </c>
      <c r="F8">
        <f>50*D8</f>
        <v>500</v>
      </c>
      <c r="G8" t="str">
        <v>mm</v>
      </c>
      <c r="N8">
        <v>10</v>
      </c>
      <c r="O8" t="str">
        <v>=</v>
      </c>
      <c r="P8">
        <v>0</v>
      </c>
      <c r="Q8" t="str">
        <v>mm</v>
      </c>
      <c r="U8">
        <v>10</v>
      </c>
      <c r="V8" t="str">
        <v>=</v>
      </c>
      <c r="W8">
        <f>40*U8</f>
        <v>400</v>
      </c>
      <c r="X8" t="str">
        <v>mm</v>
      </c>
    </row>
    <row r="9">
      <c r="D9">
        <v>13</v>
      </c>
      <c r="E9" t="str">
        <v>=</v>
      </c>
      <c r="F9">
        <f>50*D9</f>
        <v>650</v>
      </c>
      <c r="G9" t="str">
        <v>mm</v>
      </c>
      <c r="N9">
        <v>13</v>
      </c>
      <c r="O9" t="str">
        <v>=</v>
      </c>
      <c r="P9">
        <v>0</v>
      </c>
      <c r="Q9" t="str">
        <v>mm</v>
      </c>
      <c r="U9">
        <v>13</v>
      </c>
      <c r="V9" t="str">
        <v>=</v>
      </c>
      <c r="W9">
        <f>40*U9</f>
        <v>520</v>
      </c>
      <c r="X9" t="str">
        <v>mm</v>
      </c>
    </row>
    <row r="10">
      <c r="D10">
        <v>16</v>
      </c>
      <c r="E10" t="str">
        <v>=</v>
      </c>
      <c r="F10">
        <f>50*D10</f>
        <v>800</v>
      </c>
      <c r="G10" t="str">
        <v>mm</v>
      </c>
      <c r="N10">
        <v>16</v>
      </c>
      <c r="O10" t="str">
        <v>=</v>
      </c>
      <c r="P10">
        <v>0</v>
      </c>
      <c r="Q10" t="str">
        <v>mm</v>
      </c>
      <c r="U10">
        <v>16</v>
      </c>
      <c r="V10" t="str">
        <v>=</v>
      </c>
      <c r="W10">
        <f>40*U10</f>
        <v>640</v>
      </c>
      <c r="X10" t="str">
        <v>mm</v>
      </c>
    </row>
    <row r="11">
      <c r="D11">
        <v>19</v>
      </c>
      <c r="E11" t="str">
        <v>=</v>
      </c>
      <c r="F11">
        <f>50*D11</f>
        <v>950</v>
      </c>
      <c r="G11" t="str">
        <v>mm</v>
      </c>
      <c r="N11">
        <v>19</v>
      </c>
      <c r="O11" t="str">
        <v>=</v>
      </c>
      <c r="P11">
        <v>0</v>
      </c>
      <c r="Q11" t="str">
        <v>mm</v>
      </c>
      <c r="U11">
        <v>19</v>
      </c>
      <c r="V11" t="str">
        <v>=</v>
      </c>
      <c r="W11">
        <f>40*U11</f>
        <v>760</v>
      </c>
      <c r="X11" t="str">
        <v>mm</v>
      </c>
    </row>
    <row r="12">
      <c r="D12">
        <v>22</v>
      </c>
      <c r="E12" t="str">
        <v>=</v>
      </c>
      <c r="F12">
        <f>50*D12</f>
        <v>1100</v>
      </c>
      <c r="G12" t="str">
        <v>mm</v>
      </c>
      <c r="N12">
        <v>22</v>
      </c>
      <c r="O12" t="str">
        <v>=</v>
      </c>
      <c r="P12">
        <v>0</v>
      </c>
      <c r="Q12" t="str">
        <v>mm</v>
      </c>
      <c r="U12">
        <v>22</v>
      </c>
      <c r="V12" t="str">
        <v>=</v>
      </c>
      <c r="W12">
        <f>40*U12</f>
        <v>880</v>
      </c>
      <c r="X12" t="str">
        <v>mm</v>
      </c>
    </row>
    <row r="13">
      <c r="D13">
        <v>25</v>
      </c>
      <c r="E13" t="str">
        <v>=</v>
      </c>
      <c r="F13">
        <f>50*D13</f>
        <v>1250</v>
      </c>
      <c r="G13" t="str">
        <v>mm</v>
      </c>
      <c r="N13">
        <v>25</v>
      </c>
      <c r="O13" t="str">
        <v>=</v>
      </c>
      <c r="P13">
        <v>0</v>
      </c>
      <c r="Q13" t="str">
        <v>mm</v>
      </c>
      <c r="U13">
        <v>25</v>
      </c>
      <c r="V13" t="str">
        <v>=</v>
      </c>
      <c r="W13">
        <f>40*U13</f>
        <v>1000</v>
      </c>
      <c r="X13" t="str">
        <v>mm</v>
      </c>
    </row>
    <row r="14">
      <c r="D14">
        <v>29</v>
      </c>
      <c r="E14" t="str">
        <v>=</v>
      </c>
      <c r="F14">
        <f>50*D14</f>
        <v>1450</v>
      </c>
      <c r="G14" t="str">
        <v>mm</v>
      </c>
      <c r="N14">
        <v>29</v>
      </c>
      <c r="O14" t="str">
        <v>=</v>
      </c>
      <c r="P14">
        <v>0</v>
      </c>
      <c r="Q14" t="str">
        <v>mm</v>
      </c>
      <c r="U14">
        <v>29</v>
      </c>
      <c r="V14" t="str">
        <v>=</v>
      </c>
      <c r="W14">
        <f>40*U14</f>
        <v>1160</v>
      </c>
      <c r="X14" t="str">
        <v>mm</v>
      </c>
    </row>
    <row r="16">
      <c r="C16" t="str">
        <v>Kait tulangan utama</v>
      </c>
      <c r="E16" t="str">
        <v>=</v>
      </c>
      <c r="F16">
        <v>12</v>
      </c>
      <c r="G16" t="str">
        <v>D</v>
      </c>
    </row>
    <row r="17">
      <c r="C17" t="str">
        <v>Kait sengkang</v>
      </c>
      <c r="E17" t="str">
        <v>=</v>
      </c>
      <c r="F17">
        <v>6</v>
      </c>
      <c r="G17" t="str">
        <v>D</v>
      </c>
    </row>
    <row r="18">
      <c r="C18" t="str">
        <v>Penyaluran tul. Tumpuan</v>
      </c>
      <c r="E18" t="str">
        <v>=</v>
      </c>
      <c r="F18">
        <v>15</v>
      </c>
      <c r="G18" t="str">
        <v>D</v>
      </c>
    </row>
    <row r="19">
      <c r="C19" t="str">
        <v>Putusan tul. Lapangan</v>
      </c>
      <c r="E19" t="str">
        <v>=</v>
      </c>
      <c r="F19">
        <v>0.2</v>
      </c>
      <c r="G19" t="str">
        <v>ln</v>
      </c>
    </row>
    <row r="20">
      <c r="A20" t="str">
        <v>Lantai / Elevasi</v>
      </c>
      <c r="B20" t="str">
        <v>No</v>
      </c>
      <c r="C20" t="str">
        <v>Keterangan</v>
      </c>
      <c r="D20" t="str">
        <v>Type Balok</v>
      </c>
    </row>
    <row r="21">
      <c r="D21" t="str">
        <v>Detail Balok</v>
      </c>
      <c r="I21" t="str">
        <v>Panjang</v>
      </c>
      <c r="L21" t="str">
        <v>Penjangkaran</v>
      </c>
      <c r="N21" t="str">
        <v>Panjang Besi</v>
      </c>
      <c r="P21" t="str">
        <v>Samb. Lewatan</v>
      </c>
      <c r="U21" t="str">
        <v>Berat</v>
      </c>
      <c r="W21" t="str">
        <v>Jmlh Besi</v>
      </c>
      <c r="Y21" t="str">
        <v>Jmlh Balok</v>
      </c>
      <c r="AA21" t="str">
        <v>Vol. Besi</v>
      </c>
    </row>
    <row r="22">
      <c r="I22" t="str">
        <v>(m1)</v>
      </c>
      <c r="L22" t="str">
        <v>(m1)</v>
      </c>
      <c r="N22" t="str">
        <v>(m1)</v>
      </c>
      <c r="P22" t="str">
        <v>(m1)</v>
      </c>
      <c r="U22" t="str">
        <v>(kg/m1)</v>
      </c>
      <c r="W22" t="str">
        <v>(btg)</v>
      </c>
      <c r="AA22" t="str">
        <v>(kg)</v>
      </c>
    </row>
    <row r="24">
      <c r="A24" t="str">
        <v>Sloof</v>
      </c>
      <c r="B24">
        <v>1</v>
      </c>
      <c r="C24" t="str">
        <f>CONCATENATE(A24," no. ",B24)</f>
        <v>Sloof no. 1</v>
      </c>
      <c r="D24" t="str">
        <f>VLOOKUP(C24,'Data Panjang Balok'!$C$9:$N$424,2,FALSE)</f>
        <v>TB25-2</v>
      </c>
    </row>
    <row r="25">
      <c r="C25" t="str">
        <v>Dimensi</v>
      </c>
      <c r="D25">
        <f>VLOOKUP(D24,'Detail Balok'!$C$10:$AU$110,2,FALSE)</f>
        <v>200</v>
      </c>
      <c r="F25" t="str">
        <v>x</v>
      </c>
      <c r="G25">
        <f>VLOOKUP(D24,'Detail Balok'!$C$10:$AU$110,3,FALSE)</f>
        <v>500</v>
      </c>
    </row>
    <row r="26">
      <c r="C26" t="str">
        <v>Panjang as ke as</v>
      </c>
      <c r="D26">
        <f>VLOOKUP(C24,'Data Panjang Balok'!$C$9:$N$424,4,FALSE)</f>
        <v>3500</v>
      </c>
    </row>
    <row r="27">
      <c r="C27" t="str">
        <v>Panjang netto</v>
      </c>
      <c r="D27">
        <f>VLOOKUP(C24,'Data Panjang Balok'!$C$9:$N$424,7,FALSE)</f>
        <v>3500</v>
      </c>
    </row>
    <row r="28">
      <c r="C28" t="str">
        <v>Kolom / balok kiri</v>
      </c>
      <c r="D28">
        <f>VLOOKUP(C24,'Data Panjang Balok'!$C$9:$N$424,9,FALSE)</f>
        <v>0</v>
      </c>
    </row>
    <row r="29">
      <c r="C29" t="str">
        <v>Kolom / balok kanan</v>
      </c>
      <c r="D29">
        <f>VLOOKUP(C24,'Data Panjang Balok'!$C$9:$N$424,10,FALSE)</f>
        <v>0</v>
      </c>
    </row>
    <row r="30">
      <c r="C30" t="str">
        <v>Jumlah</v>
      </c>
      <c r="D30">
        <f>VLOOKUP(C24,'Data Panjang Balok'!$C$9:$N$424,3,FALSE)</f>
        <v>1</v>
      </c>
    </row>
    <row r="31">
      <c r="A31" t="str">
        <f>A24</f>
        <v>Sloof</v>
      </c>
      <c r="B31">
        <f>B24</f>
        <v>1</v>
      </c>
      <c r="C31" t="str">
        <v>Tul Atas Tumpuan</v>
      </c>
      <c r="D31">
        <f>VLOOKUP(D24,'Detail Balok'!$C$10:$AU$110,4,FALSE)</f>
        <v>4</v>
      </c>
      <c r="E31" t="str">
        <v>D</v>
      </c>
      <c r="F31">
        <f>VLOOKUP(D24,'Detail Balok'!$C$10:$AU$110,6,FALSE)</f>
        <v>16</v>
      </c>
      <c r="I31" t="str">
        <v>(</v>
      </c>
      <c r="J31">
        <f>+D26/4/1000</f>
        <v>0.875</v>
      </c>
      <c r="K31" t="str">
        <v>+</v>
      </c>
      <c r="L31">
        <f>MAX(VLOOKUP(F31,N$6:P$15,3,FALSE)/1000,2/3*D28/1000)+F$16*F31/1000</f>
        <v>0.192</v>
      </c>
      <c r="M31" t="str">
        <v>=</v>
      </c>
      <c r="N31">
        <f>J31+L31</f>
        <v>1.067</v>
      </c>
      <c r="O31" t="str">
        <v>+</v>
      </c>
      <c r="P31">
        <f>D31-D32</f>
        <v>2</v>
      </c>
      <c r="Q31" t="str">
        <v>x</v>
      </c>
      <c r="R31">
        <f>IF(P31&gt;0,$F$18*F31/1000,0)</f>
        <v>0.24</v>
      </c>
      <c r="S31" t="str">
        <v>)</v>
      </c>
      <c r="T31" t="str">
        <v>x</v>
      </c>
      <c r="U31">
        <f>0.006165*F31^2</f>
        <v>1.57824</v>
      </c>
      <c r="X31" t="str">
        <v>x</v>
      </c>
      <c r="Y31">
        <f>D30</f>
        <v>1</v>
      </c>
      <c r="Z31" t="str">
        <v>=</v>
      </c>
      <c r="AA31">
        <f>IF(AA34=0,(D31*N31+P31*R31)*U31*Y31,0)</f>
        <v>7.493483519999999</v>
      </c>
    </row>
    <row r="32">
      <c r="A32" t="str">
        <f>A24</f>
        <v>Sloof</v>
      </c>
      <c r="B32">
        <f>B24</f>
        <v>1</v>
      </c>
      <c r="C32" t="str">
        <v>Tul Atas Lapangan</v>
      </c>
      <c r="D32">
        <f>VLOOKUP(D24,'Detail Balok'!$C$10:$AU$110,7,FALSE)</f>
        <v>2</v>
      </c>
      <c r="E32" t="str">
        <v>D</v>
      </c>
      <c r="F32">
        <f>VLOOKUP(D24,'Detail Balok'!$C$10:$AU$110,9,FALSE)</f>
        <v>16</v>
      </c>
      <c r="I32" t="str">
        <v>(</v>
      </c>
      <c r="J32">
        <f>+D26/2/1000</f>
        <v>1.75</v>
      </c>
      <c r="K32" t="str">
        <v>+</v>
      </c>
      <c r="M32" t="str">
        <v>=</v>
      </c>
      <c r="N32">
        <f>J32+L32</f>
        <v>1.75</v>
      </c>
      <c r="O32" t="str">
        <v>+</v>
      </c>
      <c r="P32">
        <f>MAX(D32-D31,D32-D33)</f>
        <v>-2</v>
      </c>
      <c r="Q32" t="str">
        <v>x</v>
      </c>
      <c r="R32">
        <f>IF(P32&gt;0,2*(1-2*$F$19-1/2)*D27/1000,0)</f>
        <v>0</v>
      </c>
      <c r="S32" t="str">
        <v>)</v>
      </c>
      <c r="T32" t="str">
        <v>x</v>
      </c>
      <c r="U32">
        <f>0.006165*F32^2</f>
        <v>1.57824</v>
      </c>
      <c r="X32" t="str">
        <v>x</v>
      </c>
      <c r="Y32">
        <f>D30</f>
        <v>1</v>
      </c>
      <c r="Z32" t="str">
        <v>=</v>
      </c>
      <c r="AA32">
        <f>IF(AA34=0,(D32*N32+P32*R32)*U32*Y32,0)</f>
        <v>5.52384</v>
      </c>
    </row>
    <row r="33">
      <c r="A33" t="str">
        <f>A24</f>
        <v>Sloof</v>
      </c>
      <c r="B33">
        <f>B24</f>
        <v>1</v>
      </c>
      <c r="C33" t="str">
        <v>Tul Atas Tumpuan</v>
      </c>
      <c r="D33">
        <f>VLOOKUP(D24,'Detail Balok'!$C$10:$AU$110,10,FALSE)</f>
        <v>4</v>
      </c>
      <c r="E33" t="str">
        <v>D</v>
      </c>
      <c r="F33">
        <f>VLOOKUP(D24,'Detail Balok'!$C$10:$AU$110,12,FALSE)</f>
        <v>16</v>
      </c>
      <c r="I33" t="str">
        <v>(</v>
      </c>
      <c r="J33">
        <f>+D26/4/1000</f>
        <v>0.875</v>
      </c>
      <c r="K33" t="str">
        <v>+</v>
      </c>
      <c r="L33">
        <f>MAX(VLOOKUP(F33,N$6:P$15,3,FALSE)/1000,2/3*D28/1000)+F$16*F33/1000</f>
        <v>0.192</v>
      </c>
      <c r="M33" t="str">
        <v>=</v>
      </c>
      <c r="N33">
        <f>J33+L33</f>
        <v>1.067</v>
      </c>
      <c r="O33" t="str">
        <v>+</v>
      </c>
      <c r="P33">
        <f>D33-D32</f>
        <v>2</v>
      </c>
      <c r="Q33" t="str">
        <v>x</v>
      </c>
      <c r="R33">
        <f>IF(P33&gt;0,$F$18*F33/1000,0)</f>
        <v>0.24</v>
      </c>
      <c r="S33" t="str">
        <v>)</v>
      </c>
      <c r="T33" t="str">
        <v>x</v>
      </c>
      <c r="U33">
        <f>0.006165*F33^2</f>
        <v>1.57824</v>
      </c>
      <c r="X33" t="str">
        <v>x</v>
      </c>
      <c r="Y33">
        <f>D30</f>
        <v>1</v>
      </c>
      <c r="Z33" t="str">
        <v>=</v>
      </c>
      <c r="AA33">
        <f>IF(AA34=0,(D33*N33+P33*R33)*U33*Y33,0)</f>
        <v>7.493483519999999</v>
      </c>
    </row>
    <row r="34">
      <c r="A34" t="str">
        <f>A24</f>
        <v>Sloof</v>
      </c>
      <c r="B34">
        <f>B24</f>
        <v>1</v>
      </c>
      <c r="D34">
        <f>IF(AND(D31=D32,D32=D33,D31=D33),D31,0)</f>
        <v>0</v>
      </c>
      <c r="E34" t="str">
        <v>D</v>
      </c>
      <c r="F34">
        <f>IF(AND(F31=F32,F31=F33,F32=F33),F31,0)</f>
        <v>16</v>
      </c>
      <c r="L34" t="str">
        <v>Total panjang per balok</v>
      </c>
      <c r="M34" t="str">
        <v>=</v>
      </c>
      <c r="N34">
        <f>IF(AND(D31=D32,D31=D33,D32=D33,F31=F32,F31=F33,F32=F33),SUM(N31:N33),0)</f>
        <v>0</v>
      </c>
      <c r="O34" t="str">
        <v>+</v>
      </c>
      <c r="P34">
        <f>IF(N34&gt;12,ROUNDDOWN(N34/12,0),0)</f>
        <v>0</v>
      </c>
      <c r="Q34" t="str">
        <v>x</v>
      </c>
      <c r="R34">
        <f>IF(P34&gt;0,MAX(VLOOKUP(F34,$D$6:$G$15,3,FALSE),600),0)/1000</f>
        <v>0</v>
      </c>
      <c r="T34" t="str">
        <v>x</v>
      </c>
      <c r="U34">
        <f>U33</f>
        <v>1.57824</v>
      </c>
      <c r="V34" t="str">
        <v>x</v>
      </c>
      <c r="W34">
        <f>D34</f>
        <v>0</v>
      </c>
      <c r="X34" t="str">
        <v>x</v>
      </c>
      <c r="Y34">
        <f>Y33</f>
        <v>1</v>
      </c>
      <c r="Z34" t="str">
        <v>=</v>
      </c>
      <c r="AA34">
        <f>(N34+P34*R34/1000)*U34*W34*Y34</f>
        <v>0</v>
      </c>
    </row>
    <row r="36">
      <c r="A36" t="str">
        <f>A24</f>
        <v>Sloof</v>
      </c>
      <c r="B36">
        <f>B24</f>
        <v>1</v>
      </c>
      <c r="C36" t="str">
        <v>Tul Peminggang</v>
      </c>
      <c r="D36">
        <f>VLOOKUP(D24,'Detail Balok'!$C$10:$AU$110,13,FALSE)</f>
        <v>2</v>
      </c>
      <c r="E36" t="str">
        <v>D</v>
      </c>
      <c r="F36">
        <f>VLOOKUP(D24,'Detail Balok'!$C$10:$AU$110,15,FALSE)</f>
        <v>10</v>
      </c>
      <c r="J36">
        <f>+D26/1000</f>
        <v>3.5</v>
      </c>
      <c r="K36" t="str">
        <v>+</v>
      </c>
      <c r="L36">
        <f>2*$F$16*F36/1000</f>
        <v>0.24</v>
      </c>
      <c r="M36" t="str">
        <v>=</v>
      </c>
      <c r="N36">
        <f>J36+L36</f>
        <v>3.74</v>
      </c>
      <c r="O36" t="str">
        <v>+</v>
      </c>
      <c r="P36">
        <f>IF(N36&gt;12,ROUNDDOWN(N36/12,0),0)</f>
        <v>0</v>
      </c>
      <c r="Q36" t="str">
        <v>x</v>
      </c>
      <c r="R36">
        <f>IF(P36&gt;0,MAX(VLOOKUP(F36,$D$6:$G$15,3,FALSE),600),0)/1000</f>
        <v>0</v>
      </c>
      <c r="T36" t="str">
        <v>x</v>
      </c>
      <c r="U36">
        <f>0.006165*F36^2</f>
        <v>0.6165</v>
      </c>
      <c r="V36" t="str">
        <v>x</v>
      </c>
      <c r="W36">
        <f>+D36</f>
        <v>2</v>
      </c>
      <c r="X36" t="str">
        <v>x</v>
      </c>
      <c r="Y36">
        <f>D30</f>
        <v>1</v>
      </c>
      <c r="Z36" t="str">
        <v>=</v>
      </c>
      <c r="AA36">
        <f>(N36+P36*R36/1000)*U36*W36*Y36</f>
        <v>4.611420000000001</v>
      </c>
    </row>
    <row r="39">
      <c r="A39" t="str">
        <f>A24</f>
        <v>Sloof</v>
      </c>
      <c r="B39">
        <f>B24</f>
        <v>1</v>
      </c>
      <c r="C39" t="str">
        <v>Tul Bawah Tumpuan</v>
      </c>
      <c r="D39">
        <f>VLOOKUP(D24,'Detail Balok'!$C$10:$AU$110,22,FALSE)</f>
        <v>4</v>
      </c>
      <c r="E39" t="str">
        <v>D</v>
      </c>
      <c r="F39">
        <f>VLOOKUP(D24,'Detail Balok'!$C$10:$AU$110,24,FALSE)</f>
        <v>16</v>
      </c>
      <c r="I39" t="str">
        <v>(</v>
      </c>
      <c r="J39">
        <f>+J31</f>
        <v>0.875</v>
      </c>
      <c r="K39" t="str">
        <v>+</v>
      </c>
      <c r="L39">
        <f>MAX(VLOOKUP(F39,N$6:P$15,3,FALSE)/1000,2/3*D29/1000)+F$16*F39/1000</f>
        <v>0.192</v>
      </c>
      <c r="M39" t="str">
        <v>=</v>
      </c>
      <c r="N39">
        <f>J39+L39</f>
        <v>1.067</v>
      </c>
      <c r="O39" t="str">
        <v>+</v>
      </c>
      <c r="P39">
        <f>D39-D40</f>
        <v>0</v>
      </c>
      <c r="Q39" t="str">
        <v>x</v>
      </c>
      <c r="R39">
        <f>IF(P39&gt;0,$F$18*F39/1000,0)</f>
        <v>0</v>
      </c>
      <c r="S39" t="str">
        <v>)</v>
      </c>
      <c r="T39" t="str">
        <v>x</v>
      </c>
      <c r="U39">
        <f>0.006165*F39^2</f>
        <v>1.57824</v>
      </c>
      <c r="X39" t="str">
        <v>x</v>
      </c>
      <c r="Y39">
        <f>D30</f>
        <v>1</v>
      </c>
      <c r="Z39" t="str">
        <v>=</v>
      </c>
      <c r="AA39">
        <f>IF(AA42=0,(D39*N39+P39*R39)*U39*Y39,0)</f>
        <v>0</v>
      </c>
    </row>
    <row r="40">
      <c r="A40" t="str">
        <f>A24</f>
        <v>Sloof</v>
      </c>
      <c r="B40">
        <f>B24</f>
        <v>1</v>
      </c>
      <c r="C40" t="str">
        <v>Tul Bawah Lapangan</v>
      </c>
      <c r="D40">
        <f>VLOOKUP(D24,'Detail Balok'!$C$10:$AU$110,25,FALSE)</f>
        <v>4</v>
      </c>
      <c r="E40" t="str">
        <v>D</v>
      </c>
      <c r="F40">
        <f>VLOOKUP(D24,'Detail Balok'!$C$10:$AU$110,27,FALSE)</f>
        <v>16</v>
      </c>
      <c r="I40" t="str">
        <v>(</v>
      </c>
      <c r="J40">
        <f>+J32</f>
        <v>1.75</v>
      </c>
      <c r="K40" t="str">
        <v>+</v>
      </c>
      <c r="M40" t="str">
        <v>=</v>
      </c>
      <c r="N40">
        <f>J40+L40</f>
        <v>1.75</v>
      </c>
      <c r="O40" t="str">
        <v>+</v>
      </c>
      <c r="P40">
        <f>MAX(D40-D39,D40-D41)</f>
        <v>0</v>
      </c>
      <c r="Q40" t="str">
        <v>x</v>
      </c>
      <c r="R40">
        <f>IF(P40&gt;0,2*(1-2*$F$19-1/2)*D27/1000,0)</f>
        <v>0</v>
      </c>
      <c r="S40" t="str">
        <v>)</v>
      </c>
      <c r="T40" t="str">
        <v>x</v>
      </c>
      <c r="U40">
        <f>0.006165*F40^2</f>
        <v>1.57824</v>
      </c>
      <c r="X40" t="str">
        <v>x</v>
      </c>
      <c r="Y40">
        <f>D30</f>
        <v>1</v>
      </c>
      <c r="Z40" t="str">
        <v>=</v>
      </c>
      <c r="AA40">
        <f>IF(AA42=0,(D40*N40+P40*R40)*U40*Y40,0)</f>
        <v>0</v>
      </c>
    </row>
    <row r="41">
      <c r="A41" t="str">
        <f>A24</f>
        <v>Sloof</v>
      </c>
      <c r="B41">
        <f>B24</f>
        <v>1</v>
      </c>
      <c r="C41" t="str">
        <v>Tul Bawah Tumpuan</v>
      </c>
      <c r="D41">
        <f>VLOOKUP(D24,'Detail Balok'!$C$10:$AU$110,28,FALSE)</f>
        <v>4</v>
      </c>
      <c r="E41" t="str">
        <v>D</v>
      </c>
      <c r="F41">
        <f>VLOOKUP(D24,'Detail Balok'!$C$10:$AU$110,30,FALSE)</f>
        <v>16</v>
      </c>
      <c r="I41" t="str">
        <v>(</v>
      </c>
      <c r="J41">
        <f>+J33</f>
        <v>0.875</v>
      </c>
      <c r="K41" t="str">
        <v>+</v>
      </c>
      <c r="L41">
        <f>MAX(VLOOKUP(F41,N$6:P$15,3,FALSE)/1000,2/3*D29/1000)+F$16*F41/1000</f>
        <v>0.192</v>
      </c>
      <c r="M41" t="str">
        <v>=</v>
      </c>
      <c r="N41">
        <f>J41+L41</f>
        <v>1.067</v>
      </c>
      <c r="O41" t="str">
        <v>+</v>
      </c>
      <c r="P41">
        <f>D41-D40</f>
        <v>0</v>
      </c>
      <c r="Q41" t="str">
        <v>x</v>
      </c>
      <c r="R41">
        <f>IF(P41&gt;0,$F$18*F41/1000,0)</f>
        <v>0</v>
      </c>
      <c r="S41" t="str">
        <v>)</v>
      </c>
      <c r="T41" t="str">
        <v>x</v>
      </c>
      <c r="U41">
        <f>0.006165*F41^2</f>
        <v>1.57824</v>
      </c>
      <c r="X41" t="str">
        <v>x</v>
      </c>
      <c r="Y41">
        <f>D30</f>
        <v>1</v>
      </c>
      <c r="Z41" t="str">
        <v>=</v>
      </c>
      <c r="AA41">
        <f>IF(AA42=0,(D41*N41+P41*R41)*U41*Y41,0)</f>
        <v>0</v>
      </c>
    </row>
    <row r="42">
      <c r="A42" t="str">
        <f>A24</f>
        <v>Sloof</v>
      </c>
      <c r="B42">
        <f>B24</f>
        <v>1</v>
      </c>
      <c r="D42">
        <f>IF(AND(D39=D40,D40=D41,D39=D41),D39,0)</f>
        <v>4</v>
      </c>
      <c r="E42" t="str">
        <v>D</v>
      </c>
      <c r="F42">
        <f>IF(AND(F39=F40,F39=F41,F40=F41),F39,0)</f>
        <v>16</v>
      </c>
      <c r="L42" t="str">
        <v>Total panjang per balok</v>
      </c>
      <c r="M42" t="str">
        <v>=</v>
      </c>
      <c r="N42">
        <f>IF(AND(D39=D40,D39=D41,D40=D41,F39=F40,F39=F41,F40=F41),SUM(N39:N41),0)</f>
        <v>3.8840000000000003</v>
      </c>
      <c r="O42" t="str">
        <v>+</v>
      </c>
      <c r="P42">
        <f>IF(N42&gt;12,ROUNDDOWN(N42/12,0),0)</f>
        <v>0</v>
      </c>
      <c r="Q42" t="str">
        <v>x</v>
      </c>
      <c r="R42">
        <f>IF(P42&gt;0,MAX(VLOOKUP(F42,$D$6:$G$15,3,FALSE),600),0)/1000</f>
        <v>0</v>
      </c>
      <c r="T42" t="str">
        <v>x</v>
      </c>
      <c r="U42">
        <f>U41</f>
        <v>1.57824</v>
      </c>
      <c r="V42" t="str">
        <v>x</v>
      </c>
      <c r="W42">
        <f>D42</f>
        <v>4</v>
      </c>
      <c r="X42" t="str">
        <v>x</v>
      </c>
      <c r="Y42">
        <f>Y41</f>
        <v>1</v>
      </c>
      <c r="Z42" t="str">
        <v>=</v>
      </c>
      <c r="AA42">
        <f>(N42+P42*R42/1000)*U42*W42*Y42</f>
        <v>24.519536640000002</v>
      </c>
    </row>
    <row r="44">
      <c r="A44" t="str">
        <f>A24</f>
        <v>Sloof</v>
      </c>
      <c r="B44">
        <f>B24</f>
        <v>1</v>
      </c>
      <c r="C44" t="str">
        <v>Sengkang Tumpuan</v>
      </c>
      <c r="D44">
        <f>VLOOKUP(D24,'Detail Balok'!$C$10:$AU$110,31,FALSE)</f>
        <v>0</v>
      </c>
      <c r="E44" t="str">
        <v>D</v>
      </c>
      <c r="F44">
        <f>VLOOKUP(D24,'Detail Balok'!$C$10:$AU$110,33,FALSE)</f>
        <v>10</v>
      </c>
      <c r="G44" t="str">
        <v>-</v>
      </c>
      <c r="H44">
        <f>VLOOKUP(D24,'Detail Balok'!$C$10:$AU$110,35,FALSE)</f>
        <v>200</v>
      </c>
      <c r="J44">
        <f>(IF(D44=0,(2*(D25+G25))-(F$5*8),IF(D44=3,(2*(D25+G25))-(F$5*8)+(G25-2*F$5),IF(D44=4,(2*(D25+G25))-(F$5*8)+2*(G25-2*F$5)))))/1000</f>
        <v>1.08</v>
      </c>
      <c r="K44" t="str">
        <v>+</v>
      </c>
      <c r="L44">
        <f>IF(D44=0,2*MAX(6*F44,75),(D44-1)*2*MAX(6*F44,75))/1000</f>
        <v>0.15</v>
      </c>
      <c r="M44" t="str">
        <v>=</v>
      </c>
      <c r="N44">
        <f>J44+L44</f>
        <v>1.23</v>
      </c>
      <c r="T44" t="str">
        <v>x</v>
      </c>
      <c r="U44">
        <f>0.006165*F44^2</f>
        <v>0.6165</v>
      </c>
      <c r="V44" t="str">
        <v>x</v>
      </c>
      <c r="W44">
        <f>IF(D27&gt;4*G25,ROUND(MAX(D27/4,2*G25)/H44,0)+1,ROUND(D27/H44,0)+1)</f>
        <v>6</v>
      </c>
      <c r="X44" t="str">
        <v>x</v>
      </c>
      <c r="Y44">
        <f>D30</f>
        <v>1</v>
      </c>
      <c r="Z44" t="str">
        <v>=</v>
      </c>
      <c r="AA44">
        <f>N44*U44*W44*Y44</f>
        <v>4.5497700000000005</v>
      </c>
    </row>
    <row r="45">
      <c r="A45" t="str">
        <f>A24</f>
        <v>Sloof</v>
      </c>
      <c r="B45">
        <f>B24</f>
        <v>1</v>
      </c>
      <c r="C45" t="str">
        <v>Sengkang Lapangan</v>
      </c>
      <c r="D45">
        <f>VLOOKUP(D24,'Detail Balok'!$C$10:$AU$110,36,FALSE)</f>
        <v>0</v>
      </c>
      <c r="E45" t="str">
        <v>D</v>
      </c>
      <c r="F45">
        <f>VLOOKUP(D24,'Detail Balok'!$C$10:$AU$110,38,FALSE)</f>
        <v>10</v>
      </c>
      <c r="G45" t="str">
        <v>-</v>
      </c>
      <c r="H45">
        <f>VLOOKUP(D24,'Detail Balok'!$C$10:$AU$110,40,FALSE)</f>
        <v>200</v>
      </c>
      <c r="J45">
        <f>(IF(D45=0,(2*(D25+G25))-(F$5*8),IF(D45=3,(2*(D25+G25))-(F$5*8)+(G25-2*F$5),IF(D45=4,(2*(D25+G25))-(F$5*8)+2*(G25-2*F$5)))))/1000</f>
        <v>1.08</v>
      </c>
      <c r="K45" t="str">
        <v>+</v>
      </c>
      <c r="L45">
        <f>IF(D45=0,2*MAX(6*F45,75),(D45-1)*2*MAX(6*F45,75))/1000</f>
        <v>0.15</v>
      </c>
      <c r="M45" t="str">
        <v>=</v>
      </c>
      <c r="N45">
        <f>J45+L45</f>
        <v>1.23</v>
      </c>
      <c r="T45" t="str">
        <v>x</v>
      </c>
      <c r="U45">
        <f>0.006165*F45^2</f>
        <v>0.6165</v>
      </c>
      <c r="V45" t="str">
        <v>x</v>
      </c>
      <c r="W45">
        <f>IF(D27-MAX(D27/4,2*G25)*2&gt;0,ROUND((D27-MAX(D27/4,2*G25)*2)/H45,0),0)</f>
        <v>8</v>
      </c>
      <c r="X45" t="str">
        <v>x</v>
      </c>
      <c r="Y45">
        <f>D30</f>
        <v>1</v>
      </c>
      <c r="Z45" t="str">
        <v>=</v>
      </c>
      <c r="AA45">
        <f>N45*U45*W45*Y45</f>
        <v>6.06636</v>
      </c>
    </row>
    <row r="46">
      <c r="A46" t="str">
        <f>A24</f>
        <v>Sloof</v>
      </c>
      <c r="B46">
        <f>B24</f>
        <v>1</v>
      </c>
      <c r="C46" t="str">
        <v>Sengkang Tumpuan</v>
      </c>
      <c r="D46">
        <f>VLOOKUP(D24,'Detail Balok'!$C$10:$AU$110,41,FALSE)</f>
        <v>0</v>
      </c>
      <c r="E46" t="str">
        <v>D</v>
      </c>
      <c r="F46">
        <f>VLOOKUP(D24,'Detail Balok'!$C$10:$AU$110,43,FALSE)</f>
        <v>10</v>
      </c>
      <c r="G46" t="str">
        <v>-</v>
      </c>
      <c r="H46">
        <f>VLOOKUP(D24,'Detail Balok'!$C$10:$AU$110,45,FALSE)</f>
        <v>200</v>
      </c>
      <c r="J46">
        <f>(IF(D46=0,(2*(D25+G25))-(F$5*8),IF(D46=3,(2*(D25+G25))-(F$5*8)+(G25-2*F$5),IF(D46=4,(2*(D25+G25))-(F$5*8)+2*(G25-2*F$5)))))/1000</f>
        <v>1.08</v>
      </c>
      <c r="K46" t="str">
        <v>+</v>
      </c>
      <c r="L46">
        <f>IF(D46=0,2*MAX(6*F46,75),(D46-1)*2*MAX(6*F46,75))/1000</f>
        <v>0.15</v>
      </c>
      <c r="M46" t="str">
        <v>=</v>
      </c>
      <c r="N46">
        <f>J46+L46</f>
        <v>1.23</v>
      </c>
      <c r="T46" t="str">
        <v>x</v>
      </c>
      <c r="U46">
        <f>0.006165*F46^2</f>
        <v>0.6165</v>
      </c>
      <c r="V46" t="str">
        <v>x</v>
      </c>
      <c r="W46">
        <f>IF(D27&gt;4*G25,ROUND(MAX(D27/4,2*G25)/H46,0)+1,0)</f>
        <v>6</v>
      </c>
      <c r="X46" t="str">
        <v>x</v>
      </c>
      <c r="Y46">
        <f>D30</f>
        <v>1</v>
      </c>
      <c r="Z46" t="str">
        <v>=</v>
      </c>
      <c r="AA46">
        <f>N46*U46*W46*Y46</f>
        <v>4.5497700000000005</v>
      </c>
    </row>
    <row r="48">
      <c r="A48" t="str">
        <f>A24</f>
        <v>Sloof</v>
      </c>
      <c r="B48">
        <f>B24</f>
        <v>1</v>
      </c>
      <c r="C48" t="str">
        <v>Kait Horizontal Tump.</v>
      </c>
      <c r="D48">
        <f>VLOOKUP(D24,'Detail Balok'!$C$10:$BJ$110,46,FALSE)</f>
        <v>0</v>
      </c>
      <c r="E48" t="str">
        <v>D</v>
      </c>
      <c r="F48">
        <f>VLOOKUP(D24,'Detail Balok'!$C$10:$BJ$110,48,FALSE)</f>
        <v>0</v>
      </c>
      <c r="G48" t="str">
        <v>-</v>
      </c>
      <c r="H48">
        <f>VLOOKUP(D24,'Detail Balok'!$C$10:$BJ$110,50,FALSE)</f>
        <v>100</v>
      </c>
      <c r="J48">
        <f>(D25-2*F$5)/1000</f>
        <v>0.12</v>
      </c>
      <c r="K48" t="str">
        <v>+</v>
      </c>
      <c r="L48">
        <f>IF(D48=0,2*MAX(6*F48,75),(D48-1)*2*MAX(6*F48,75))/1000</f>
        <v>0.15</v>
      </c>
      <c r="M48" t="str">
        <v>=</v>
      </c>
      <c r="N48">
        <f>J48+L48</f>
        <v>0.27</v>
      </c>
      <c r="T48" t="str">
        <v>x</v>
      </c>
      <c r="U48">
        <f>0.006165*F48^2</f>
        <v>0</v>
      </c>
      <c r="V48" t="str">
        <v>x</v>
      </c>
      <c r="W48">
        <f>W44</f>
        <v>6</v>
      </c>
      <c r="X48" t="str">
        <v>x</v>
      </c>
      <c r="Y48">
        <f>D34</f>
        <v>0</v>
      </c>
      <c r="Z48" t="str">
        <v>=</v>
      </c>
      <c r="AA48">
        <f>N48*U48*W48*Y48</f>
        <v>0</v>
      </c>
    </row>
    <row r="49">
      <c r="A49" t="str">
        <f>A24</f>
        <v>Sloof</v>
      </c>
      <c r="B49">
        <f>B24</f>
        <v>1</v>
      </c>
      <c r="C49" t="str">
        <v>Kait Horizontal Lap.</v>
      </c>
      <c r="D49">
        <f>VLOOKUP(D24,'Detail Balok'!$C$10:$BJ$110,51,FALSE)</f>
        <v>0</v>
      </c>
      <c r="E49" t="str">
        <v>D</v>
      </c>
      <c r="F49">
        <f>VLOOKUP(D24,'Detail Balok'!$C$10:$BJ$110,53,FALSE)</f>
        <v>0</v>
      </c>
      <c r="G49" t="str">
        <v>-</v>
      </c>
      <c r="H49">
        <f>VLOOKUP(D24,'Detail Balok'!$C$10:$BJ$110,55,FALSE)</f>
        <v>100</v>
      </c>
      <c r="J49">
        <f>(D25-2*F$5)/1000</f>
        <v>0.12</v>
      </c>
      <c r="K49" t="str">
        <v>+</v>
      </c>
      <c r="L49">
        <f>IF(D49=0,2*MAX(6*F49,75),(D49-1)*2*MAX(6*F49,75))/1000</f>
        <v>0.15</v>
      </c>
      <c r="M49" t="str">
        <v>=</v>
      </c>
      <c r="N49">
        <f>J49+L49</f>
        <v>0.27</v>
      </c>
      <c r="T49" t="str">
        <v>x</v>
      </c>
      <c r="U49">
        <f>0.006165*F49^2</f>
        <v>0</v>
      </c>
      <c r="V49" t="str">
        <v>x</v>
      </c>
      <c r="W49">
        <f>W45</f>
        <v>8</v>
      </c>
      <c r="X49" t="str">
        <v>x</v>
      </c>
      <c r="Y49">
        <f>D34</f>
        <v>0</v>
      </c>
      <c r="Z49" t="str">
        <v>=</v>
      </c>
      <c r="AA49">
        <f>N49*U49*W49*Y49</f>
        <v>0</v>
      </c>
    </row>
    <row r="50">
      <c r="A50" t="str">
        <f>A24</f>
        <v>Sloof</v>
      </c>
      <c r="B50">
        <f>B24</f>
        <v>1</v>
      </c>
      <c r="C50" t="str">
        <v>Kait Horizontal Tump.</v>
      </c>
      <c r="D50">
        <f>VLOOKUP(D24,'Detail Balok'!$C$10:$BJ$110,56,FALSE)</f>
        <v>0</v>
      </c>
      <c r="E50" t="str">
        <v>D</v>
      </c>
      <c r="F50">
        <f>VLOOKUP(D24,'Detail Balok'!$C$10:$BJ$110,58,FALSE)</f>
        <v>0</v>
      </c>
      <c r="G50" t="str">
        <v>-</v>
      </c>
      <c r="H50">
        <f>VLOOKUP(D24,'Detail Balok'!$C$10:$BJ$110,60,FALSE)</f>
        <v>100</v>
      </c>
      <c r="J50">
        <f>(D25-2*F$5)/1000</f>
        <v>0.12</v>
      </c>
      <c r="K50" t="str">
        <v>+</v>
      </c>
      <c r="L50">
        <f>IF(D50=0,2*MAX(6*F50,75),(D50-1)*2*MAX(6*F50,75))/1000</f>
        <v>0.15</v>
      </c>
      <c r="M50" t="str">
        <v>=</v>
      </c>
      <c r="N50">
        <f>J50+L50</f>
        <v>0.27</v>
      </c>
      <c r="T50" t="str">
        <v>x</v>
      </c>
      <c r="U50">
        <f>0.006165*F50^2</f>
        <v>0</v>
      </c>
      <c r="V50" t="str">
        <v>x</v>
      </c>
      <c r="W50">
        <f>W46</f>
        <v>6</v>
      </c>
      <c r="X50" t="str">
        <v>x</v>
      </c>
      <c r="Y50">
        <f>D34</f>
        <v>0</v>
      </c>
      <c r="Z50" t="str">
        <v>=</v>
      </c>
      <c r="AA50">
        <f>N50*U50*W50*Y50</f>
        <v>0</v>
      </c>
    </row>
    <row r="54">
      <c r="A54" t="str">
        <f>A24</f>
        <v>Sloof</v>
      </c>
      <c r="B54">
        <f>B24+1</f>
        <v>2</v>
      </c>
      <c r="C54" t="str">
        <f>CONCATENATE(A54," no. ",B54)</f>
        <v>Sloof no. 2</v>
      </c>
      <c r="D54" t="str">
        <f>VLOOKUP(C54,'Data Panjang Balok'!$C$9:$N$424,2,FALSE)</f>
        <v>TB245-1</v>
      </c>
    </row>
    <row r="55">
      <c r="C55" t="str">
        <v>Dimensi</v>
      </c>
      <c r="D55">
        <f>VLOOKUP(D54,'Detail Balok'!$C$10:$AU$110,2,FALSE)</f>
        <v>200</v>
      </c>
      <c r="F55" t="str">
        <v>x</v>
      </c>
      <c r="G55">
        <f>VLOOKUP(D54,'Detail Balok'!$C$10:$AU$110,3,FALSE)</f>
        <v>450</v>
      </c>
    </row>
    <row r="56">
      <c r="C56" t="str">
        <v>Panjang as ke as</v>
      </c>
      <c r="D56">
        <f>VLOOKUP(C54,'Data Panjang Balok'!$C$9:$N$424,4,FALSE)</f>
        <v>3500</v>
      </c>
    </row>
    <row r="57">
      <c r="C57" t="str">
        <v>Panjang netto</v>
      </c>
      <c r="D57">
        <f>VLOOKUP(C54,'Data Panjang Balok'!$C$9:$N$424,7,FALSE)</f>
        <v>3500</v>
      </c>
    </row>
    <row r="58">
      <c r="C58" t="str">
        <v>Kolom / balok kiri</v>
      </c>
      <c r="D58">
        <f>VLOOKUP(C54,'Data Panjang Balok'!$C$9:$N$424,9,FALSE)</f>
        <v>0</v>
      </c>
    </row>
    <row r="59">
      <c r="C59" t="str">
        <v>Kolom / balok kanan</v>
      </c>
      <c r="D59">
        <f>VLOOKUP(C54,'Data Panjang Balok'!$C$9:$N$424,10,FALSE)</f>
        <v>0</v>
      </c>
    </row>
    <row r="60">
      <c r="C60" t="str">
        <v>Jumlah</v>
      </c>
      <c r="D60">
        <f>VLOOKUP(C54,'Data Panjang Balok'!$C$9:$N$424,3,FALSE)</f>
        <v>1</v>
      </c>
    </row>
    <row r="61">
      <c r="A61" t="str">
        <f>A54</f>
        <v>Sloof</v>
      </c>
      <c r="B61">
        <f>B54</f>
        <v>2</v>
      </c>
      <c r="C61" t="str">
        <v>Tul Atas Tumpuan</v>
      </c>
      <c r="D61">
        <f>VLOOKUP(D54,'Detail Balok'!$C$10:$AU$110,4,FALSE)</f>
        <v>3</v>
      </c>
      <c r="E61" t="str">
        <v>D</v>
      </c>
      <c r="F61">
        <f>VLOOKUP(D54,'Detail Balok'!$C$10:$AU$110,6,FALSE)</f>
        <v>13</v>
      </c>
      <c r="I61" t="str">
        <v>(</v>
      </c>
      <c r="J61">
        <f>+D56/4/1000</f>
        <v>0.875</v>
      </c>
      <c r="K61" t="str">
        <v>+</v>
      </c>
      <c r="L61">
        <f>MAX(VLOOKUP(F61,N$6:P$15,3,FALSE)/1000,2/3*D58/1000)+F$16*F61/1000</f>
        <v>0.156</v>
      </c>
      <c r="M61" t="str">
        <v>=</v>
      </c>
      <c r="N61">
        <f>J61+L61</f>
        <v>1.031</v>
      </c>
      <c r="O61" t="str">
        <v>+</v>
      </c>
      <c r="P61">
        <f>D61-D62</f>
        <v>0</v>
      </c>
      <c r="Q61" t="str">
        <v>x</v>
      </c>
      <c r="R61">
        <f>IF(P61&gt;0,$F$18*F61/1000,0)</f>
        <v>0</v>
      </c>
      <c r="S61" t="str">
        <v>)</v>
      </c>
      <c r="T61" t="str">
        <v>x</v>
      </c>
      <c r="U61">
        <f>0.006165*F61^2</f>
        <v>1.041885</v>
      </c>
      <c r="X61" t="str">
        <v>x</v>
      </c>
      <c r="Y61">
        <f>D60</f>
        <v>1</v>
      </c>
      <c r="Z61" t="str">
        <v>=</v>
      </c>
      <c r="AA61">
        <f>IF(AA64=0,(D61*N61+P61*R61)*U61*Y61,0)</f>
        <v>0</v>
      </c>
    </row>
    <row r="62">
      <c r="A62" t="str">
        <f>A54</f>
        <v>Sloof</v>
      </c>
      <c r="B62">
        <f>B54</f>
        <v>2</v>
      </c>
      <c r="C62" t="str">
        <v>Tul Atas Lapangan</v>
      </c>
      <c r="D62">
        <f>VLOOKUP(D54,'Detail Balok'!$C$10:$AU$110,7,FALSE)</f>
        <v>3</v>
      </c>
      <c r="E62" t="str">
        <v>D</v>
      </c>
      <c r="F62">
        <f>VLOOKUP(D54,'Detail Balok'!$C$10:$AU$110,9,FALSE)</f>
        <v>13</v>
      </c>
      <c r="I62" t="str">
        <v>(</v>
      </c>
      <c r="J62">
        <f>+D56/2/1000</f>
        <v>1.75</v>
      </c>
      <c r="K62" t="str">
        <v>+</v>
      </c>
      <c r="M62" t="str">
        <v>=</v>
      </c>
      <c r="N62">
        <f>J62+L62</f>
        <v>1.75</v>
      </c>
      <c r="O62" t="str">
        <v>+</v>
      </c>
      <c r="P62">
        <f>MAX(D62-D61,D62-D63)</f>
        <v>0</v>
      </c>
      <c r="Q62" t="str">
        <v>x</v>
      </c>
      <c r="R62">
        <f>IF(P62&gt;0,2*(1-2*$F$19-1/2)*D57/1000,0)</f>
        <v>0</v>
      </c>
      <c r="S62" t="str">
        <v>)</v>
      </c>
      <c r="T62" t="str">
        <v>x</v>
      </c>
      <c r="U62">
        <f>0.006165*F62^2</f>
        <v>1.041885</v>
      </c>
      <c r="X62" t="str">
        <v>x</v>
      </c>
      <c r="Y62">
        <f>D60</f>
        <v>1</v>
      </c>
      <c r="Z62" t="str">
        <v>=</v>
      </c>
      <c r="AA62">
        <f>IF(AA64=0,(D62*N62+P62*R62)*U62*Y62,0)</f>
        <v>0</v>
      </c>
    </row>
    <row r="63">
      <c r="A63" t="str">
        <f>A54</f>
        <v>Sloof</v>
      </c>
      <c r="B63">
        <f>B54</f>
        <v>2</v>
      </c>
      <c r="C63" t="str">
        <v>Tul Atas Tumpuan</v>
      </c>
      <c r="D63">
        <f>VLOOKUP(D54,'Detail Balok'!$C$10:$AU$110,10,FALSE)</f>
        <v>3</v>
      </c>
      <c r="E63" t="str">
        <v>D</v>
      </c>
      <c r="F63">
        <f>VLOOKUP(D54,'Detail Balok'!$C$10:$AU$110,12,FALSE)</f>
        <v>13</v>
      </c>
      <c r="I63" t="str">
        <v>(</v>
      </c>
      <c r="J63">
        <f>+D56/4/1000</f>
        <v>0.875</v>
      </c>
      <c r="K63" t="str">
        <v>+</v>
      </c>
      <c r="L63">
        <f>MAX(VLOOKUP(F63,N$6:P$15,3,FALSE)/1000,2/3*D58/1000)+F$16*F63/1000</f>
        <v>0.156</v>
      </c>
      <c r="M63" t="str">
        <v>=</v>
      </c>
      <c r="N63">
        <f>J63+L63</f>
        <v>1.031</v>
      </c>
      <c r="O63" t="str">
        <v>+</v>
      </c>
      <c r="P63">
        <f>D63-D62</f>
        <v>0</v>
      </c>
      <c r="Q63" t="str">
        <v>x</v>
      </c>
      <c r="R63">
        <f>IF(P63&gt;0,$F$18*F63/1000,0)</f>
        <v>0</v>
      </c>
      <c r="S63" t="str">
        <v>)</v>
      </c>
      <c r="T63" t="str">
        <v>x</v>
      </c>
      <c r="U63">
        <f>0.006165*F63^2</f>
        <v>1.041885</v>
      </c>
      <c r="X63" t="str">
        <v>x</v>
      </c>
      <c r="Y63">
        <f>D60</f>
        <v>1</v>
      </c>
      <c r="Z63" t="str">
        <v>=</v>
      </c>
      <c r="AA63">
        <f>IF(AA64=0,(D63*N63+P63*R63)*U63*Y63,0)</f>
        <v>0</v>
      </c>
    </row>
    <row r="64">
      <c r="A64" t="str">
        <f>A54</f>
        <v>Sloof</v>
      </c>
      <c r="B64">
        <f>B54</f>
        <v>2</v>
      </c>
      <c r="D64">
        <f>IF(AND(D61=D62,D62=D63,D61=D63),D61,0)</f>
        <v>3</v>
      </c>
      <c r="E64" t="str">
        <v>D</v>
      </c>
      <c r="F64">
        <f>IF(AND(F61=F62,F61=F63,F62=F63),F61,0)</f>
        <v>13</v>
      </c>
      <c r="L64" t="str">
        <v>Total panjang per balok</v>
      </c>
      <c r="M64" t="str">
        <v>=</v>
      </c>
      <c r="N64">
        <f>IF(AND(D61=D62,D61=D63,D62=D63,F61=F62,F61=F63,F62=F63),SUM(N61:N63),0)</f>
        <v>3.8119999999999994</v>
      </c>
      <c r="O64" t="str">
        <v>+</v>
      </c>
      <c r="P64">
        <f>IF(N64&gt;12,ROUNDDOWN(N64/12,0),0)</f>
        <v>0</v>
      </c>
      <c r="Q64" t="str">
        <v>x</v>
      </c>
      <c r="R64">
        <f>IF(P64&gt;0,MAX(VLOOKUP(F64,$D$6:$G$15,3,FALSE),600),0)/1000</f>
        <v>0</v>
      </c>
      <c r="T64" t="str">
        <v>x</v>
      </c>
      <c r="U64">
        <f>U63</f>
        <v>1.041885</v>
      </c>
      <c r="V64" t="str">
        <v>x</v>
      </c>
      <c r="W64">
        <f>D64</f>
        <v>3</v>
      </c>
      <c r="X64" t="str">
        <v>x</v>
      </c>
      <c r="Y64">
        <f>Y63</f>
        <v>1</v>
      </c>
      <c r="Z64" t="str">
        <v>=</v>
      </c>
      <c r="AA64">
        <f>(N64+P64*R64/1000)*U64*W64*Y64</f>
        <v>11.914996859999997</v>
      </c>
    </row>
    <row r="66">
      <c r="A66" t="str">
        <f>A54</f>
        <v>Sloof</v>
      </c>
      <c r="B66">
        <f>B54</f>
        <v>2</v>
      </c>
      <c r="C66" t="str">
        <v>Tul Peminggang</v>
      </c>
      <c r="D66">
        <f>VLOOKUP(D54,'Detail Balok'!$C$10:$AU$110,13,FALSE)</f>
        <v>2</v>
      </c>
      <c r="E66" t="str">
        <v>D</v>
      </c>
      <c r="F66">
        <f>VLOOKUP(D54,'Detail Balok'!$C$10:$AU$110,15,FALSE)</f>
        <v>8</v>
      </c>
      <c r="J66">
        <f>+D56/1000</f>
        <v>3.5</v>
      </c>
      <c r="K66" t="str">
        <v>+</v>
      </c>
      <c r="L66">
        <f>2*$F$16*F66/1000</f>
        <v>0.192</v>
      </c>
      <c r="M66" t="str">
        <v>=</v>
      </c>
      <c r="N66">
        <f>J66+L66</f>
        <v>3.692</v>
      </c>
      <c r="O66" t="str">
        <v>+</v>
      </c>
      <c r="P66">
        <f>IF(N66&gt;12,ROUNDDOWN(N66/12,0),0)</f>
        <v>0</v>
      </c>
      <c r="Q66" t="str">
        <v>x</v>
      </c>
      <c r="R66">
        <f>IF(P66&gt;0,MAX(VLOOKUP(F66,$D$6:$G$15,3,FALSE),600),0)/1000</f>
        <v>0</v>
      </c>
      <c r="T66" t="str">
        <v>x</v>
      </c>
      <c r="U66">
        <f>0.006165*F66^2</f>
        <v>0.39456</v>
      </c>
      <c r="V66" t="str">
        <v>x</v>
      </c>
      <c r="W66">
        <f>+D66</f>
        <v>2</v>
      </c>
      <c r="X66" t="str">
        <v>x</v>
      </c>
      <c r="Y66">
        <f>D60</f>
        <v>1</v>
      </c>
      <c r="Z66" t="str">
        <v>=</v>
      </c>
      <c r="AA66">
        <f>(N66+P66*R66/1000)*U66*W66*Y66</f>
        <v>2.9134310400000003</v>
      </c>
    </row>
    <row r="69">
      <c r="A69" t="str">
        <f>A54</f>
        <v>Sloof</v>
      </c>
      <c r="B69">
        <f>B54</f>
        <v>2</v>
      </c>
      <c r="C69" t="str">
        <v>Tul Bawah Tumpuan</v>
      </c>
      <c r="D69">
        <f>VLOOKUP(D54,'Detail Balok'!$C$10:$AU$110,22,FALSE)</f>
        <v>3</v>
      </c>
      <c r="E69" t="str">
        <v>D</v>
      </c>
      <c r="F69">
        <f>VLOOKUP(D54,'Detail Balok'!$C$10:$AU$110,24,FALSE)</f>
        <v>13</v>
      </c>
      <c r="I69" t="str">
        <v>(</v>
      </c>
      <c r="J69">
        <f>+J61</f>
        <v>0.875</v>
      </c>
      <c r="K69" t="str">
        <v>+</v>
      </c>
      <c r="L69">
        <f>MAX(VLOOKUP(F69,N$6:P$15,3,FALSE)/1000,2/3*D59/1000)+F$16*F69/1000</f>
        <v>0.156</v>
      </c>
      <c r="M69" t="str">
        <v>=</v>
      </c>
      <c r="N69">
        <f>J69+L69</f>
        <v>1.031</v>
      </c>
      <c r="O69" t="str">
        <v>+</v>
      </c>
      <c r="P69">
        <f>D69-D70</f>
        <v>0</v>
      </c>
      <c r="Q69" t="str">
        <v>x</v>
      </c>
      <c r="R69">
        <f>IF(P69&gt;0,$F$18*F69/1000,0)</f>
        <v>0</v>
      </c>
      <c r="S69" t="str">
        <v>)</v>
      </c>
      <c r="T69" t="str">
        <v>x</v>
      </c>
      <c r="U69">
        <f>0.006165*F69^2</f>
        <v>1.041885</v>
      </c>
      <c r="X69" t="str">
        <v>x</v>
      </c>
      <c r="Y69">
        <f>D60</f>
        <v>1</v>
      </c>
      <c r="Z69" t="str">
        <v>=</v>
      </c>
      <c r="AA69">
        <f>IF(AA72=0,(D69*N69+P69*R69)*U69*Y69,0)</f>
        <v>0</v>
      </c>
    </row>
    <row r="70">
      <c r="A70" t="str">
        <f>A54</f>
        <v>Sloof</v>
      </c>
      <c r="B70">
        <f>B54</f>
        <v>2</v>
      </c>
      <c r="C70" t="str">
        <v>Tul Bawah Lapangan</v>
      </c>
      <c r="D70">
        <f>VLOOKUP(D54,'Detail Balok'!$C$10:$AU$110,25,FALSE)</f>
        <v>3</v>
      </c>
      <c r="E70" t="str">
        <v>D</v>
      </c>
      <c r="F70">
        <f>VLOOKUP(D54,'Detail Balok'!$C$10:$AU$110,27,FALSE)</f>
        <v>13</v>
      </c>
      <c r="I70" t="str">
        <v>(</v>
      </c>
      <c r="J70">
        <f>+J62</f>
        <v>1.75</v>
      </c>
      <c r="K70" t="str">
        <v>+</v>
      </c>
      <c r="M70" t="str">
        <v>=</v>
      </c>
      <c r="N70">
        <f>J70+L70</f>
        <v>1.75</v>
      </c>
      <c r="O70" t="str">
        <v>+</v>
      </c>
      <c r="P70">
        <f>MAX(D70-D69,D70-D71)</f>
        <v>0</v>
      </c>
      <c r="Q70" t="str">
        <v>x</v>
      </c>
      <c r="R70">
        <f>IF(P70&gt;0,2*(1-2*$F$19-1/2)*D57/1000,0)</f>
        <v>0</v>
      </c>
      <c r="S70" t="str">
        <v>)</v>
      </c>
      <c r="T70" t="str">
        <v>x</v>
      </c>
      <c r="U70">
        <f>0.006165*F70^2</f>
        <v>1.041885</v>
      </c>
      <c r="X70" t="str">
        <v>x</v>
      </c>
      <c r="Y70">
        <f>D60</f>
        <v>1</v>
      </c>
      <c r="Z70" t="str">
        <v>=</v>
      </c>
      <c r="AA70">
        <f>IF(AA72=0,(D70*N70+P70*R70)*U70*Y70,0)</f>
        <v>0</v>
      </c>
    </row>
    <row r="71">
      <c r="A71" t="str">
        <f>A54</f>
        <v>Sloof</v>
      </c>
      <c r="B71">
        <f>B54</f>
        <v>2</v>
      </c>
      <c r="C71" t="str">
        <v>Tul Bawah Tumpuan</v>
      </c>
      <c r="D71">
        <f>VLOOKUP(D54,'Detail Balok'!$C$10:$AU$110,28,FALSE)</f>
        <v>3</v>
      </c>
      <c r="E71" t="str">
        <v>D</v>
      </c>
      <c r="F71">
        <f>VLOOKUP(D54,'Detail Balok'!$C$10:$AU$110,30,FALSE)</f>
        <v>13</v>
      </c>
      <c r="I71" t="str">
        <v>(</v>
      </c>
      <c r="J71">
        <f>+J63</f>
        <v>0.875</v>
      </c>
      <c r="K71" t="str">
        <v>+</v>
      </c>
      <c r="L71">
        <f>MAX(VLOOKUP(F71,N$6:P$15,3,FALSE)/1000,2/3*D59/1000)+F$16*F71/1000</f>
        <v>0.156</v>
      </c>
      <c r="M71" t="str">
        <v>=</v>
      </c>
      <c r="N71">
        <f>J71+L71</f>
        <v>1.031</v>
      </c>
      <c r="O71" t="str">
        <v>+</v>
      </c>
      <c r="P71">
        <f>D71-D70</f>
        <v>0</v>
      </c>
      <c r="Q71" t="str">
        <v>x</v>
      </c>
      <c r="R71">
        <f>IF(P71&gt;0,$F$18*F71/1000,0)</f>
        <v>0</v>
      </c>
      <c r="S71" t="str">
        <v>)</v>
      </c>
      <c r="T71" t="str">
        <v>x</v>
      </c>
      <c r="U71">
        <f>0.006165*F71^2</f>
        <v>1.041885</v>
      </c>
      <c r="X71" t="str">
        <v>x</v>
      </c>
      <c r="Y71">
        <f>D60</f>
        <v>1</v>
      </c>
      <c r="Z71" t="str">
        <v>=</v>
      </c>
      <c r="AA71">
        <f>IF(AA72=0,(D71*N71+P71*R71)*U71*Y71,0)</f>
        <v>0</v>
      </c>
    </row>
    <row r="72">
      <c r="A72" t="str">
        <f>A54</f>
        <v>Sloof</v>
      </c>
      <c r="B72">
        <f>B54</f>
        <v>2</v>
      </c>
      <c r="D72">
        <f>IF(AND(D69=D70,D70=D71,D69=D71),D69,0)</f>
        <v>3</v>
      </c>
      <c r="E72" t="str">
        <v>D</v>
      </c>
      <c r="F72">
        <f>IF(AND(F69=F70,F69=F71,F70=F71),F69,0)</f>
        <v>13</v>
      </c>
      <c r="L72" t="str">
        <v>Total panjang per balok</v>
      </c>
      <c r="M72" t="str">
        <v>=</v>
      </c>
      <c r="N72">
        <f>IF(AND(D69=D70,D69=D71,D70=D71,F69=F70,F69=F71,F70=F71),SUM(N69:N71),0)</f>
        <v>3.8119999999999994</v>
      </c>
      <c r="O72" t="str">
        <v>+</v>
      </c>
      <c r="P72">
        <f>IF(N72&gt;12,ROUNDDOWN(N72/12,0),0)</f>
        <v>0</v>
      </c>
      <c r="Q72" t="str">
        <v>x</v>
      </c>
      <c r="R72">
        <f>IF(P72&gt;0,MAX(VLOOKUP(F72,$D$6:$G$15,3,FALSE),600),0)/1000</f>
        <v>0</v>
      </c>
      <c r="T72" t="str">
        <v>x</v>
      </c>
      <c r="U72">
        <f>U71</f>
        <v>1.041885</v>
      </c>
      <c r="V72" t="str">
        <v>x</v>
      </c>
      <c r="W72">
        <f>D72</f>
        <v>3</v>
      </c>
      <c r="X72" t="str">
        <v>x</v>
      </c>
      <c r="Y72">
        <f>Y71</f>
        <v>1</v>
      </c>
      <c r="Z72" t="str">
        <v>=</v>
      </c>
      <c r="AA72">
        <f>(N72+P72*R72/1000)*U72*W72*Y72</f>
        <v>11.914996859999997</v>
      </c>
    </row>
    <row r="74">
      <c r="A74" t="str">
        <f>A54</f>
        <v>Sloof</v>
      </c>
      <c r="B74">
        <f>B54</f>
        <v>2</v>
      </c>
      <c r="C74" t="str">
        <v>Sengkang Tumpuan</v>
      </c>
      <c r="D74">
        <f>VLOOKUP(D54,'Detail Balok'!$C$10:$AU$110,31,FALSE)</f>
        <v>0</v>
      </c>
      <c r="E74" t="str">
        <v>D</v>
      </c>
      <c r="F74">
        <f>VLOOKUP(D54,'Detail Balok'!$C$10:$AU$110,33,FALSE)</f>
        <v>8</v>
      </c>
      <c r="G74" t="str">
        <v>-</v>
      </c>
      <c r="H74">
        <f>VLOOKUP(D54,'Detail Balok'!$C$10:$AU$110,35,FALSE)</f>
        <v>200</v>
      </c>
      <c r="J74">
        <f>(IF(D74=0,(2*(D55+G55))-(F$5*8),IF(D74=3,(2*(D55+G55))-(F$5*8)+(G55-2*F$5),IF(D74=4,(2*(D55+G55))-(F$5*8)+2*(G55-2*F$5)))))/1000</f>
        <v>0.98</v>
      </c>
      <c r="K74" t="str">
        <v>+</v>
      </c>
      <c r="L74">
        <f>IF(D74=0,2*MAX(6*F74,75),(D74-1)*2*MAX(6*F74,75))/1000</f>
        <v>0.15</v>
      </c>
      <c r="M74" t="str">
        <v>=</v>
      </c>
      <c r="N74">
        <f>J74+L74</f>
        <v>1.13</v>
      </c>
      <c r="T74" t="str">
        <v>x</v>
      </c>
      <c r="U74">
        <f>0.006165*F74^2</f>
        <v>0.39456</v>
      </c>
      <c r="V74" t="str">
        <v>x</v>
      </c>
      <c r="W74">
        <f>IF(D57&gt;4*G55,ROUND(MAX(D57/4,2*G55)/H74,0)+1,ROUND(D57/H74,0)+1)</f>
        <v>6</v>
      </c>
      <c r="X74" t="str">
        <v>x</v>
      </c>
      <c r="Y74">
        <f>D60</f>
        <v>1</v>
      </c>
      <c r="Z74" t="str">
        <v>=</v>
      </c>
      <c r="AA74">
        <f>N74*U74*W74*Y74</f>
        <v>2.6751168</v>
      </c>
    </row>
    <row r="75">
      <c r="A75" t="str">
        <f>A54</f>
        <v>Sloof</v>
      </c>
      <c r="B75">
        <f>B54</f>
        <v>2</v>
      </c>
      <c r="C75" t="str">
        <v>Sengkang Lapangan</v>
      </c>
      <c r="D75">
        <f>VLOOKUP(D54,'Detail Balok'!$C$10:$AU$110,36,FALSE)</f>
        <v>0</v>
      </c>
      <c r="E75" t="str">
        <v>D</v>
      </c>
      <c r="F75">
        <f>VLOOKUP(D54,'Detail Balok'!$C$10:$AU$110,38,FALSE)</f>
        <v>8</v>
      </c>
      <c r="G75" t="str">
        <v>-</v>
      </c>
      <c r="H75">
        <f>VLOOKUP(D54,'Detail Balok'!$C$10:$AU$110,40,FALSE)</f>
        <v>200</v>
      </c>
      <c r="J75">
        <f>(IF(D75=0,(2*(D55+G55))-(F$5*8),IF(D75=3,(2*(D55+G55))-(F$5*8)+(G55-2*F$5),IF(D75=4,(2*(D55+G55))-(F$5*8)+2*(G55-2*F$5)))))/1000</f>
        <v>0.98</v>
      </c>
      <c r="K75" t="str">
        <v>+</v>
      </c>
      <c r="L75">
        <f>IF(D75=0,2*MAX(6*F75,75),(D75-1)*2*MAX(6*F75,75))/1000</f>
        <v>0.15</v>
      </c>
      <c r="M75" t="str">
        <v>=</v>
      </c>
      <c r="N75">
        <f>J75+L75</f>
        <v>1.13</v>
      </c>
      <c r="T75" t="str">
        <v>x</v>
      </c>
      <c r="U75">
        <f>0.006165*F75^2</f>
        <v>0.39456</v>
      </c>
      <c r="V75" t="str">
        <v>x</v>
      </c>
      <c r="W75">
        <f>IF(D57-MAX(D57/4,2*G55)*2&gt;0,ROUND((D57-MAX(D57/4,2*G55)*2)/H75,0),0)</f>
        <v>9</v>
      </c>
      <c r="X75" t="str">
        <v>x</v>
      </c>
      <c r="Y75">
        <f>D60</f>
        <v>1</v>
      </c>
      <c r="Z75" t="str">
        <v>=</v>
      </c>
      <c r="AA75">
        <f>N75*U75*W75*Y75</f>
        <v>4.0126752</v>
      </c>
    </row>
    <row r="76">
      <c r="A76" t="str">
        <f>A54</f>
        <v>Sloof</v>
      </c>
      <c r="B76">
        <f>B54</f>
        <v>2</v>
      </c>
      <c r="C76" t="str">
        <v>Sengkang Tumpuan</v>
      </c>
      <c r="D76">
        <f>VLOOKUP(D54,'Detail Balok'!$C$10:$AU$110,41,FALSE)</f>
        <v>0</v>
      </c>
      <c r="E76" t="str">
        <v>D</v>
      </c>
      <c r="F76">
        <f>VLOOKUP(D54,'Detail Balok'!$C$10:$AU$110,43,FALSE)</f>
        <v>8</v>
      </c>
      <c r="G76" t="str">
        <v>-</v>
      </c>
      <c r="H76">
        <f>VLOOKUP(D54,'Detail Balok'!$C$10:$AU$110,45,FALSE)</f>
        <v>200</v>
      </c>
      <c r="J76">
        <f>(IF(D76=0,(2*(D55+G55))-(F$5*8),IF(D76=3,(2*(D55+G55))-(F$5*8)+(G55-2*F$5),IF(D76=4,(2*(D55+G55))-(F$5*8)+2*(G55-2*F$5)))))/1000</f>
        <v>0.98</v>
      </c>
      <c r="K76" t="str">
        <v>+</v>
      </c>
      <c r="L76">
        <f>IF(D76=0,2*MAX(6*F76,75),(D76-1)*2*MAX(6*F76,75))/1000</f>
        <v>0.15</v>
      </c>
      <c r="M76" t="str">
        <v>=</v>
      </c>
      <c r="N76">
        <f>J76+L76</f>
        <v>1.13</v>
      </c>
      <c r="T76" t="str">
        <v>x</v>
      </c>
      <c r="U76">
        <f>0.006165*F76^2</f>
        <v>0.39456</v>
      </c>
      <c r="V76" t="str">
        <v>x</v>
      </c>
      <c r="W76">
        <f>IF(D57&gt;4*G55,ROUND(MAX(D57/4,2*G55)/H76,0)+1,0)</f>
        <v>6</v>
      </c>
      <c r="X76" t="str">
        <v>x</v>
      </c>
      <c r="Y76">
        <f>D60</f>
        <v>1</v>
      </c>
      <c r="Z76" t="str">
        <v>=</v>
      </c>
      <c r="AA76">
        <f>N76*U76*W76*Y76</f>
        <v>2.6751168</v>
      </c>
    </row>
    <row r="78">
      <c r="A78" t="str">
        <f>A54</f>
        <v>Sloof</v>
      </c>
      <c r="B78">
        <f>B54</f>
        <v>2</v>
      </c>
      <c r="C78" t="str">
        <v>Kait Horizontal Tump.</v>
      </c>
      <c r="D78">
        <f>VLOOKUP(D54,'Detail Balok'!$C$10:$BJ$110,46,FALSE)</f>
        <v>0</v>
      </c>
      <c r="E78" t="str">
        <v>D</v>
      </c>
      <c r="F78">
        <f>VLOOKUP(D54,'Detail Balok'!$C$10:$BJ$110,48,FALSE)</f>
        <v>0</v>
      </c>
      <c r="G78" t="str">
        <v>-</v>
      </c>
      <c r="H78">
        <f>VLOOKUP(D54,'Detail Balok'!$C$10:$BJ$110,50,FALSE)</f>
        <v>100</v>
      </c>
      <c r="J78">
        <f>(D55-2*F$5)/1000</f>
        <v>0.12</v>
      </c>
      <c r="K78" t="str">
        <v>+</v>
      </c>
      <c r="L78">
        <f>IF(D78=0,2*MAX(6*F78,75),(D78-1)*2*MAX(6*F78,75))/1000</f>
        <v>0.15</v>
      </c>
      <c r="M78" t="str">
        <v>=</v>
      </c>
      <c r="N78">
        <f>J78+L78</f>
        <v>0.27</v>
      </c>
      <c r="T78" t="str">
        <v>x</v>
      </c>
      <c r="U78">
        <f>0.006165*F78^2</f>
        <v>0</v>
      </c>
      <c r="V78" t="str">
        <v>x</v>
      </c>
      <c r="W78">
        <f>W74</f>
        <v>6</v>
      </c>
      <c r="X78" t="str">
        <v>x</v>
      </c>
      <c r="Y78">
        <f>D64</f>
        <v>3</v>
      </c>
      <c r="Z78" t="str">
        <v>=</v>
      </c>
      <c r="AA78">
        <f>N78*U78*W78*Y78</f>
        <v>0</v>
      </c>
    </row>
    <row r="79">
      <c r="A79" t="str">
        <f>A54</f>
        <v>Sloof</v>
      </c>
      <c r="B79">
        <f>B54</f>
        <v>2</v>
      </c>
      <c r="C79" t="str">
        <v>Kait Horizontal Lap.</v>
      </c>
      <c r="D79">
        <f>VLOOKUP(D54,'Detail Balok'!$C$10:$BJ$110,51,FALSE)</f>
        <v>0</v>
      </c>
      <c r="E79" t="str">
        <v>D</v>
      </c>
      <c r="F79">
        <f>VLOOKUP(D54,'Detail Balok'!$C$10:$BJ$110,53,FALSE)</f>
        <v>0</v>
      </c>
      <c r="G79" t="str">
        <v>-</v>
      </c>
      <c r="H79">
        <f>VLOOKUP(D54,'Detail Balok'!$C$10:$BJ$110,55,FALSE)</f>
        <v>100</v>
      </c>
      <c r="J79">
        <f>(D55-2*F$5)/1000</f>
        <v>0.12</v>
      </c>
      <c r="K79" t="str">
        <v>+</v>
      </c>
      <c r="L79">
        <f>IF(D79=0,2*MAX(6*F79,75),(D79-1)*2*MAX(6*F79,75))/1000</f>
        <v>0.15</v>
      </c>
      <c r="M79" t="str">
        <v>=</v>
      </c>
      <c r="N79">
        <f>J79+L79</f>
        <v>0.27</v>
      </c>
      <c r="T79" t="str">
        <v>x</v>
      </c>
      <c r="U79">
        <f>0.006165*F79^2</f>
        <v>0</v>
      </c>
      <c r="V79" t="str">
        <v>x</v>
      </c>
      <c r="W79">
        <f>W75</f>
        <v>9</v>
      </c>
      <c r="X79" t="str">
        <v>x</v>
      </c>
      <c r="Y79">
        <f>D64</f>
        <v>3</v>
      </c>
      <c r="Z79" t="str">
        <v>=</v>
      </c>
      <c r="AA79">
        <f>N79*U79*W79*Y79</f>
        <v>0</v>
      </c>
    </row>
    <row r="80">
      <c r="A80" t="str">
        <f>A54</f>
        <v>Sloof</v>
      </c>
      <c r="B80">
        <f>B54</f>
        <v>2</v>
      </c>
      <c r="C80" t="str">
        <v>Kait Horizontal Tump.</v>
      </c>
      <c r="D80">
        <f>VLOOKUP(D54,'Detail Balok'!$C$10:$BJ$110,56,FALSE)</f>
        <v>0</v>
      </c>
      <c r="E80" t="str">
        <v>D</v>
      </c>
      <c r="F80">
        <f>VLOOKUP(D54,'Detail Balok'!$C$10:$BJ$110,58,FALSE)</f>
        <v>0</v>
      </c>
      <c r="G80" t="str">
        <v>-</v>
      </c>
      <c r="H80">
        <f>VLOOKUP(D54,'Detail Balok'!$C$10:$BJ$110,60,FALSE)</f>
        <v>100</v>
      </c>
      <c r="J80">
        <f>(D55-2*F$5)/1000</f>
        <v>0.12</v>
      </c>
      <c r="K80" t="str">
        <v>+</v>
      </c>
      <c r="L80">
        <f>IF(D80=0,2*MAX(6*F80,75),(D80-1)*2*MAX(6*F80,75))/1000</f>
        <v>0.15</v>
      </c>
      <c r="M80" t="str">
        <v>=</v>
      </c>
      <c r="N80">
        <f>J80+L80</f>
        <v>0.27</v>
      </c>
      <c r="T80" t="str">
        <v>x</v>
      </c>
      <c r="U80">
        <f>0.006165*F80^2</f>
        <v>0</v>
      </c>
      <c r="V80" t="str">
        <v>x</v>
      </c>
      <c r="W80">
        <f>W76</f>
        <v>6</v>
      </c>
      <c r="X80" t="str">
        <v>x</v>
      </c>
      <c r="Y80">
        <f>D64</f>
        <v>3</v>
      </c>
      <c r="Z80" t="str">
        <v>=</v>
      </c>
      <c r="AA80">
        <f>N80*U80*W80*Y80</f>
        <v>0</v>
      </c>
    </row>
    <row r="84">
      <c r="A84" t="str">
        <f>A54</f>
        <v>Sloof</v>
      </c>
      <c r="B84">
        <f>B54+1</f>
        <v>3</v>
      </c>
      <c r="C84" t="str">
        <f>CONCATENATE(A84," no. ",B84)</f>
        <v>Sloof no. 3</v>
      </c>
      <c r="D84" t="str">
        <f>VLOOKUP(C84,'Data Panjang Balok'!$C$9:$N$424,2,FALSE)</f>
        <v>TB245-1</v>
      </c>
    </row>
    <row r="85">
      <c r="C85" t="str">
        <v>Dimensi</v>
      </c>
      <c r="D85">
        <f>VLOOKUP(D84,'Detail Balok'!$C$10:$AU$110,2,FALSE)</f>
        <v>200</v>
      </c>
      <c r="F85" t="str">
        <v>x</v>
      </c>
      <c r="G85">
        <f>VLOOKUP(D84,'Detail Balok'!$C$10:$AU$110,3,FALSE)</f>
        <v>450</v>
      </c>
    </row>
    <row r="86">
      <c r="C86" t="str">
        <v>Panjang as ke as</v>
      </c>
      <c r="D86">
        <f>VLOOKUP(C84,'Data Panjang Balok'!$C$9:$N$424,4,FALSE)</f>
        <v>6000</v>
      </c>
    </row>
    <row r="87">
      <c r="C87" t="str">
        <v>Panjang netto</v>
      </c>
      <c r="D87">
        <f>VLOOKUP(C84,'Data Panjang Balok'!$C$9:$N$424,7,FALSE)</f>
        <v>6000</v>
      </c>
    </row>
    <row r="88">
      <c r="C88" t="str">
        <v>Kolom / balok kiri</v>
      </c>
      <c r="D88">
        <f>VLOOKUP(C84,'Data Panjang Balok'!$C$9:$N$424,9,FALSE)</f>
        <v>0</v>
      </c>
    </row>
    <row r="89">
      <c r="C89" t="str">
        <v>Kolom / balok kanan</v>
      </c>
      <c r="D89">
        <f>VLOOKUP(C84,'Data Panjang Balok'!$C$9:$N$424,10,FALSE)</f>
        <v>0</v>
      </c>
    </row>
    <row r="90">
      <c r="C90" t="str">
        <v>Jumlah</v>
      </c>
      <c r="D90">
        <f>VLOOKUP(C84,'Data Panjang Balok'!$C$9:$N$424,3,FALSE)</f>
        <v>1</v>
      </c>
    </row>
    <row r="91">
      <c r="A91" t="str">
        <f>A84</f>
        <v>Sloof</v>
      </c>
      <c r="B91">
        <f>B84</f>
        <v>3</v>
      </c>
      <c r="C91" t="str">
        <v>Tul Atas Tumpuan</v>
      </c>
      <c r="D91">
        <f>VLOOKUP(D84,'Detail Balok'!$C$10:$AU$110,4,FALSE)</f>
        <v>3</v>
      </c>
      <c r="E91" t="str">
        <v>D</v>
      </c>
      <c r="F91">
        <f>VLOOKUP(D84,'Detail Balok'!$C$10:$AU$110,6,FALSE)</f>
        <v>13</v>
      </c>
      <c r="I91" t="str">
        <v>(</v>
      </c>
      <c r="J91">
        <f>+D86/4/1000</f>
        <v>1.5</v>
      </c>
      <c r="K91" t="str">
        <v>+</v>
      </c>
      <c r="L91">
        <f>MAX(VLOOKUP(F91,N$6:P$15,3,FALSE)/1000,2/3*D88/1000)+F$16*F91/1000</f>
        <v>0.156</v>
      </c>
      <c r="M91" t="str">
        <v>=</v>
      </c>
      <c r="N91">
        <f>J91+L91</f>
        <v>1.656</v>
      </c>
      <c r="O91" t="str">
        <v>+</v>
      </c>
      <c r="P91">
        <f>D91-D92</f>
        <v>0</v>
      </c>
      <c r="Q91" t="str">
        <v>x</v>
      </c>
      <c r="R91">
        <f>IF(P91&gt;0,$F$18*F91/1000,0)</f>
        <v>0</v>
      </c>
      <c r="S91" t="str">
        <v>)</v>
      </c>
      <c r="T91" t="str">
        <v>x</v>
      </c>
      <c r="U91">
        <f>0.006165*F91^2</f>
        <v>1.041885</v>
      </c>
      <c r="X91" t="str">
        <v>x</v>
      </c>
      <c r="Y91">
        <f>D90</f>
        <v>1</v>
      </c>
      <c r="Z91" t="str">
        <v>=</v>
      </c>
      <c r="AA91">
        <f>IF(AA94=0,(D91*N91+P91*R91)*U91*Y91,0)</f>
        <v>0</v>
      </c>
    </row>
    <row r="92">
      <c r="A92" t="str">
        <f>A84</f>
        <v>Sloof</v>
      </c>
      <c r="B92">
        <f>B84</f>
        <v>3</v>
      </c>
      <c r="C92" t="str">
        <v>Tul Atas Lapangan</v>
      </c>
      <c r="D92">
        <f>VLOOKUP(D84,'Detail Balok'!$C$10:$AU$110,7,FALSE)</f>
        <v>3</v>
      </c>
      <c r="E92" t="str">
        <v>D</v>
      </c>
      <c r="F92">
        <f>VLOOKUP(D84,'Detail Balok'!$C$10:$AU$110,9,FALSE)</f>
        <v>13</v>
      </c>
      <c r="I92" t="str">
        <v>(</v>
      </c>
      <c r="J92">
        <f>+D86/2/1000</f>
        <v>3</v>
      </c>
      <c r="K92" t="str">
        <v>+</v>
      </c>
      <c r="M92" t="str">
        <v>=</v>
      </c>
      <c r="N92">
        <f>J92+L92</f>
        <v>3</v>
      </c>
      <c r="O92" t="str">
        <v>+</v>
      </c>
      <c r="P92">
        <f>MAX(D92-D91,D92-D93)</f>
        <v>0</v>
      </c>
      <c r="Q92" t="str">
        <v>x</v>
      </c>
      <c r="R92">
        <f>IF(P92&gt;0,2*(1-2*$F$19-1/2)*D87/1000,0)</f>
        <v>0</v>
      </c>
      <c r="S92" t="str">
        <v>)</v>
      </c>
      <c r="T92" t="str">
        <v>x</v>
      </c>
      <c r="U92">
        <f>0.006165*F92^2</f>
        <v>1.041885</v>
      </c>
      <c r="X92" t="str">
        <v>x</v>
      </c>
      <c r="Y92">
        <f>D90</f>
        <v>1</v>
      </c>
      <c r="Z92" t="str">
        <v>=</v>
      </c>
      <c r="AA92">
        <f>IF(AA94=0,(D92*N92+P92*R92)*U92*Y92,0)</f>
        <v>0</v>
      </c>
    </row>
    <row r="93">
      <c r="A93" t="str">
        <f>A84</f>
        <v>Sloof</v>
      </c>
      <c r="B93">
        <f>B84</f>
        <v>3</v>
      </c>
      <c r="C93" t="str">
        <v>Tul Atas Tumpuan</v>
      </c>
      <c r="D93">
        <f>VLOOKUP(D84,'Detail Balok'!$C$10:$AU$110,10,FALSE)</f>
        <v>3</v>
      </c>
      <c r="E93" t="str">
        <v>D</v>
      </c>
      <c r="F93">
        <f>VLOOKUP(D84,'Detail Balok'!$C$10:$AU$110,12,FALSE)</f>
        <v>13</v>
      </c>
      <c r="I93" t="str">
        <v>(</v>
      </c>
      <c r="J93">
        <f>+D86/4/1000</f>
        <v>1.5</v>
      </c>
      <c r="K93" t="str">
        <v>+</v>
      </c>
      <c r="L93">
        <f>MAX(VLOOKUP(F93,N$6:P$15,3,FALSE)/1000,2/3*D88/1000)+F$16*F93/1000</f>
        <v>0.156</v>
      </c>
      <c r="M93" t="str">
        <v>=</v>
      </c>
      <c r="N93">
        <f>J93+L93</f>
        <v>1.656</v>
      </c>
      <c r="O93" t="str">
        <v>+</v>
      </c>
      <c r="P93">
        <f>D93-D92</f>
        <v>0</v>
      </c>
      <c r="Q93" t="str">
        <v>x</v>
      </c>
      <c r="R93">
        <f>IF(P93&gt;0,$F$18*F93/1000,0)</f>
        <v>0</v>
      </c>
      <c r="S93" t="str">
        <v>)</v>
      </c>
      <c r="T93" t="str">
        <v>x</v>
      </c>
      <c r="U93">
        <f>0.006165*F93^2</f>
        <v>1.041885</v>
      </c>
      <c r="X93" t="str">
        <v>x</v>
      </c>
      <c r="Y93">
        <f>D90</f>
        <v>1</v>
      </c>
      <c r="Z93" t="str">
        <v>=</v>
      </c>
      <c r="AA93">
        <f>IF(AA94=0,(D93*N93+P93*R93)*U93*Y93,0)</f>
        <v>0</v>
      </c>
    </row>
    <row r="94">
      <c r="A94" t="str">
        <f>A84</f>
        <v>Sloof</v>
      </c>
      <c r="B94">
        <f>B84</f>
        <v>3</v>
      </c>
      <c r="D94">
        <f>IF(AND(D91=D92,D92=D93,D91=D93),D91,0)</f>
        <v>3</v>
      </c>
      <c r="E94" t="str">
        <v>D</v>
      </c>
      <c r="F94">
        <f>IF(AND(F91=F92,F91=F93,F92=F93),F91,0)</f>
        <v>13</v>
      </c>
      <c r="L94" t="str">
        <v>Total panjang per balok</v>
      </c>
      <c r="M94" t="str">
        <v>=</v>
      </c>
      <c r="N94">
        <f>IF(AND(D91=D92,D91=D93,D92=D93,F91=F92,F91=F93,F92=F93),SUM(N91:N93),0)</f>
        <v>6.311999999999999</v>
      </c>
      <c r="O94" t="str">
        <v>+</v>
      </c>
      <c r="P94">
        <f>IF(N94&gt;12,ROUNDDOWN(N94/12,0),0)</f>
        <v>0</v>
      </c>
      <c r="Q94" t="str">
        <v>x</v>
      </c>
      <c r="R94">
        <f>IF(P94&gt;0,MAX(VLOOKUP(F94,$D$6:$G$15,3,FALSE),600),0)/1000</f>
        <v>0</v>
      </c>
      <c r="T94" t="str">
        <v>x</v>
      </c>
      <c r="U94">
        <f>U93</f>
        <v>1.041885</v>
      </c>
      <c r="V94" t="str">
        <v>x</v>
      </c>
      <c r="W94">
        <f>D94</f>
        <v>3</v>
      </c>
      <c r="X94" t="str">
        <v>x</v>
      </c>
      <c r="Y94">
        <f>Y93</f>
        <v>1</v>
      </c>
      <c r="Z94" t="str">
        <v>=</v>
      </c>
      <c r="AA94">
        <f>(N94+P94*R94/1000)*U94*W94*Y94</f>
        <v>19.729134359999996</v>
      </c>
    </row>
    <row r="96">
      <c r="A96" t="str">
        <f>A84</f>
        <v>Sloof</v>
      </c>
      <c r="B96">
        <f>B84</f>
        <v>3</v>
      </c>
      <c r="C96" t="str">
        <v>Tul Peminggang</v>
      </c>
      <c r="D96">
        <f>VLOOKUP(D84,'Detail Balok'!$C$10:$AU$110,13,FALSE)</f>
        <v>2</v>
      </c>
      <c r="E96" t="str">
        <v>D</v>
      </c>
      <c r="F96">
        <f>VLOOKUP(D84,'Detail Balok'!$C$10:$AU$110,15,FALSE)</f>
        <v>8</v>
      </c>
      <c r="J96">
        <f>+D86/1000</f>
        <v>6</v>
      </c>
      <c r="K96" t="str">
        <v>+</v>
      </c>
      <c r="L96">
        <f>2*$F$16*F96/1000</f>
        <v>0.192</v>
      </c>
      <c r="M96" t="str">
        <v>=</v>
      </c>
      <c r="N96">
        <f>J96+L96</f>
        <v>6.192</v>
      </c>
      <c r="O96" t="str">
        <v>+</v>
      </c>
      <c r="P96">
        <f>IF(N96&gt;12,ROUNDDOWN(N96/12,0),0)</f>
        <v>0</v>
      </c>
      <c r="Q96" t="str">
        <v>x</v>
      </c>
      <c r="R96">
        <f>IF(P96&gt;0,MAX(VLOOKUP(F96,$D$6:$G$15,3,FALSE),600),0)/1000</f>
        <v>0</v>
      </c>
      <c r="T96" t="str">
        <v>x</v>
      </c>
      <c r="U96">
        <f>0.006165*F96^2</f>
        <v>0.39456</v>
      </c>
      <c r="V96" t="str">
        <v>x</v>
      </c>
      <c r="W96">
        <f>+D96</f>
        <v>2</v>
      </c>
      <c r="X96" t="str">
        <v>x</v>
      </c>
      <c r="Y96">
        <f>D90</f>
        <v>1</v>
      </c>
      <c r="Z96" t="str">
        <v>=</v>
      </c>
      <c r="AA96">
        <f>(N96+P96*R96/1000)*U96*W96*Y96</f>
        <v>4.88623104</v>
      </c>
    </row>
    <row r="99">
      <c r="A99" t="str">
        <f>A84</f>
        <v>Sloof</v>
      </c>
      <c r="B99">
        <f>B84</f>
        <v>3</v>
      </c>
      <c r="C99" t="str">
        <v>Tul Bawah Tumpuan</v>
      </c>
      <c r="D99">
        <f>VLOOKUP(D84,'Detail Balok'!$C$10:$AU$110,22,FALSE)</f>
        <v>3</v>
      </c>
      <c r="E99" t="str">
        <v>D</v>
      </c>
      <c r="F99">
        <f>VLOOKUP(D84,'Detail Balok'!$C$10:$AU$110,24,FALSE)</f>
        <v>13</v>
      </c>
      <c r="I99" t="str">
        <v>(</v>
      </c>
      <c r="J99">
        <f>+J91</f>
        <v>1.5</v>
      </c>
      <c r="K99" t="str">
        <v>+</v>
      </c>
      <c r="L99">
        <f>MAX(VLOOKUP(F99,N$6:P$15,3,FALSE)/1000,2/3*D89/1000)+F$16*F99/1000</f>
        <v>0.156</v>
      </c>
      <c r="M99" t="str">
        <v>=</v>
      </c>
      <c r="N99">
        <f>J99+L99</f>
        <v>1.656</v>
      </c>
      <c r="O99" t="str">
        <v>+</v>
      </c>
      <c r="P99">
        <f>D99-D100</f>
        <v>0</v>
      </c>
      <c r="Q99" t="str">
        <v>x</v>
      </c>
      <c r="R99">
        <f>IF(P99&gt;0,$F$18*F99/1000,0)</f>
        <v>0</v>
      </c>
      <c r="S99" t="str">
        <v>)</v>
      </c>
      <c r="T99" t="str">
        <v>x</v>
      </c>
      <c r="U99">
        <f>0.006165*F99^2</f>
        <v>1.041885</v>
      </c>
      <c r="X99" t="str">
        <v>x</v>
      </c>
      <c r="Y99">
        <f>D90</f>
        <v>1</v>
      </c>
      <c r="Z99" t="str">
        <v>=</v>
      </c>
      <c r="AA99">
        <f>IF(AA102=0,(D99*N99+P99*R99)*U99*Y99,0)</f>
        <v>0</v>
      </c>
    </row>
    <row r="100">
      <c r="A100" t="str">
        <f>A84</f>
        <v>Sloof</v>
      </c>
      <c r="B100">
        <f>B84</f>
        <v>3</v>
      </c>
      <c r="C100" t="str">
        <v>Tul Bawah Lapangan</v>
      </c>
      <c r="D100">
        <f>VLOOKUP(D84,'Detail Balok'!$C$10:$AU$110,25,FALSE)</f>
        <v>3</v>
      </c>
      <c r="E100" t="str">
        <v>D</v>
      </c>
      <c r="F100">
        <f>VLOOKUP(D84,'Detail Balok'!$C$10:$AU$110,27,FALSE)</f>
        <v>13</v>
      </c>
      <c r="I100" t="str">
        <v>(</v>
      </c>
      <c r="J100">
        <f>+J92</f>
        <v>3</v>
      </c>
      <c r="K100" t="str">
        <v>+</v>
      </c>
      <c r="M100" t="str">
        <v>=</v>
      </c>
      <c r="N100">
        <f>J100+L100</f>
        <v>3</v>
      </c>
      <c r="O100" t="str">
        <v>+</v>
      </c>
      <c r="P100">
        <f>MAX(D100-D99,D100-D101)</f>
        <v>0</v>
      </c>
      <c r="Q100" t="str">
        <v>x</v>
      </c>
      <c r="R100">
        <f>IF(P100&gt;0,2*(1-2*$F$19-1/2)*D87/1000,0)</f>
        <v>0</v>
      </c>
      <c r="S100" t="str">
        <v>)</v>
      </c>
      <c r="T100" t="str">
        <v>x</v>
      </c>
      <c r="U100">
        <f>0.006165*F100^2</f>
        <v>1.041885</v>
      </c>
      <c r="X100" t="str">
        <v>x</v>
      </c>
      <c r="Y100">
        <f>D90</f>
        <v>1</v>
      </c>
      <c r="Z100" t="str">
        <v>=</v>
      </c>
      <c r="AA100">
        <f>IF(AA102=0,(D100*N100+P100*R100)*U100*Y100,0)</f>
        <v>0</v>
      </c>
    </row>
    <row r="101">
      <c r="A101" t="str">
        <f>A84</f>
        <v>Sloof</v>
      </c>
      <c r="B101">
        <f>B84</f>
        <v>3</v>
      </c>
      <c r="C101" t="str">
        <v>Tul Bawah Tumpuan</v>
      </c>
      <c r="D101">
        <f>VLOOKUP(D84,'Detail Balok'!$C$10:$AU$110,28,FALSE)</f>
        <v>3</v>
      </c>
      <c r="E101" t="str">
        <v>D</v>
      </c>
      <c r="F101">
        <f>VLOOKUP(D84,'Detail Balok'!$C$10:$AU$110,30,FALSE)</f>
        <v>13</v>
      </c>
      <c r="I101" t="str">
        <v>(</v>
      </c>
      <c r="J101">
        <f>+J93</f>
        <v>1.5</v>
      </c>
      <c r="K101" t="str">
        <v>+</v>
      </c>
      <c r="L101">
        <f>MAX(VLOOKUP(F101,N$6:P$15,3,FALSE)/1000,2/3*D89/1000)+F$16*F101/1000</f>
        <v>0.156</v>
      </c>
      <c r="M101" t="str">
        <v>=</v>
      </c>
      <c r="N101">
        <f>J101+L101</f>
        <v>1.656</v>
      </c>
      <c r="O101" t="str">
        <v>+</v>
      </c>
      <c r="P101">
        <f>D101-D100</f>
        <v>0</v>
      </c>
      <c r="Q101" t="str">
        <v>x</v>
      </c>
      <c r="R101">
        <f>IF(P101&gt;0,$F$18*F101/1000,0)</f>
        <v>0</v>
      </c>
      <c r="S101" t="str">
        <v>)</v>
      </c>
      <c r="T101" t="str">
        <v>x</v>
      </c>
      <c r="U101">
        <f>0.006165*F101^2</f>
        <v>1.041885</v>
      </c>
      <c r="X101" t="str">
        <v>x</v>
      </c>
      <c r="Y101">
        <f>D90</f>
        <v>1</v>
      </c>
      <c r="Z101" t="str">
        <v>=</v>
      </c>
      <c r="AA101">
        <f>IF(AA102=0,(D101*N101+P101*R101)*U101*Y101,0)</f>
        <v>0</v>
      </c>
    </row>
    <row r="102">
      <c r="A102" t="str">
        <f>A84</f>
        <v>Sloof</v>
      </c>
      <c r="B102">
        <f>B84</f>
        <v>3</v>
      </c>
      <c r="D102">
        <f>IF(AND(D99=D100,D100=D101,D99=D101),D99,0)</f>
        <v>3</v>
      </c>
      <c r="E102" t="str">
        <v>D</v>
      </c>
      <c r="F102">
        <f>IF(AND(F99=F100,F99=F101,F100=F101),F99,0)</f>
        <v>13</v>
      </c>
      <c r="L102" t="str">
        <v>Total panjang per balok</v>
      </c>
      <c r="M102" t="str">
        <v>=</v>
      </c>
      <c r="N102">
        <f>IF(AND(D99=D100,D99=D101,D100=D101,F99=F100,F99=F101,F100=F101),SUM(N99:N101),0)</f>
        <v>6.311999999999999</v>
      </c>
      <c r="O102" t="str">
        <v>+</v>
      </c>
      <c r="P102">
        <f>IF(N102&gt;12,ROUNDDOWN(N102/12,0),0)</f>
        <v>0</v>
      </c>
      <c r="Q102" t="str">
        <v>x</v>
      </c>
      <c r="R102">
        <f>IF(P102&gt;0,MAX(VLOOKUP(F102,$D$6:$G$15,3,FALSE),600),0)/1000</f>
        <v>0</v>
      </c>
      <c r="T102" t="str">
        <v>x</v>
      </c>
      <c r="U102">
        <f>U101</f>
        <v>1.041885</v>
      </c>
      <c r="V102" t="str">
        <v>x</v>
      </c>
      <c r="W102">
        <f>D102</f>
        <v>3</v>
      </c>
      <c r="X102" t="str">
        <v>x</v>
      </c>
      <c r="Y102">
        <f>Y101</f>
        <v>1</v>
      </c>
      <c r="Z102" t="str">
        <v>=</v>
      </c>
      <c r="AA102">
        <f>(N102+P102*R102/1000)*U102*W102*Y102</f>
        <v>19.729134359999996</v>
      </c>
    </row>
    <row r="104">
      <c r="A104" t="str">
        <f>A84</f>
        <v>Sloof</v>
      </c>
      <c r="B104">
        <f>B84</f>
        <v>3</v>
      </c>
      <c r="C104" t="str">
        <v>Sengkang Tumpuan</v>
      </c>
      <c r="D104">
        <f>VLOOKUP(D84,'Detail Balok'!$C$10:$AU$110,31,FALSE)</f>
        <v>0</v>
      </c>
      <c r="E104" t="str">
        <v>D</v>
      </c>
      <c r="F104">
        <f>VLOOKUP(D84,'Detail Balok'!$C$10:$AU$110,33,FALSE)</f>
        <v>8</v>
      </c>
      <c r="G104" t="str">
        <v>-</v>
      </c>
      <c r="H104">
        <f>VLOOKUP(D84,'Detail Balok'!$C$10:$AU$110,35,FALSE)</f>
        <v>200</v>
      </c>
      <c r="J104">
        <f>(IF(D104=0,(2*(D85+G85))-(F$5*8),IF(D104=3,(2*(D85+G85))-(F$5*8)+(G85-2*F$5),IF(D104=4,(2*(D85+G85))-(F$5*8)+2*(G85-2*F$5)))))/1000</f>
        <v>0.98</v>
      </c>
      <c r="K104" t="str">
        <v>+</v>
      </c>
      <c r="L104">
        <f>IF(D104=0,2*MAX(6*F104,75),(D104-1)*2*MAX(6*F104,75))/1000</f>
        <v>0.15</v>
      </c>
      <c r="M104" t="str">
        <v>=</v>
      </c>
      <c r="N104">
        <f>J104+L104</f>
        <v>1.13</v>
      </c>
      <c r="T104" t="str">
        <v>x</v>
      </c>
      <c r="U104">
        <f>0.006165*F104^2</f>
        <v>0.39456</v>
      </c>
      <c r="V104" t="str">
        <v>x</v>
      </c>
      <c r="W104">
        <f>IF(D87&gt;4*G85,ROUND(MAX(D87/4,2*G85)/H104,0)+1,ROUND(D87/H104,0)+1)</f>
        <v>9</v>
      </c>
      <c r="X104" t="str">
        <v>x</v>
      </c>
      <c r="Y104">
        <f>D90</f>
        <v>1</v>
      </c>
      <c r="Z104" t="str">
        <v>=</v>
      </c>
      <c r="AA104">
        <f>N104*U104*W104*Y104</f>
        <v>4.0126752</v>
      </c>
    </row>
    <row r="105">
      <c r="A105" t="str">
        <f>A84</f>
        <v>Sloof</v>
      </c>
      <c r="B105">
        <f>B84</f>
        <v>3</v>
      </c>
      <c r="C105" t="str">
        <v>Sengkang Lapangan</v>
      </c>
      <c r="D105">
        <f>VLOOKUP(D84,'Detail Balok'!$C$10:$AU$110,36,FALSE)</f>
        <v>0</v>
      </c>
      <c r="E105" t="str">
        <v>D</v>
      </c>
      <c r="F105">
        <f>VLOOKUP(D84,'Detail Balok'!$C$10:$AU$110,38,FALSE)</f>
        <v>8</v>
      </c>
      <c r="G105" t="str">
        <v>-</v>
      </c>
      <c r="H105">
        <f>VLOOKUP(D84,'Detail Balok'!$C$10:$AU$110,40,FALSE)</f>
        <v>200</v>
      </c>
      <c r="J105">
        <f>(IF(D105=0,(2*(D85+G85))-(F$5*8),IF(D105=3,(2*(D85+G85))-(F$5*8)+(G85-2*F$5),IF(D105=4,(2*(D85+G85))-(F$5*8)+2*(G85-2*F$5)))))/1000</f>
        <v>0.98</v>
      </c>
      <c r="K105" t="str">
        <v>+</v>
      </c>
      <c r="L105">
        <f>IF(D105=0,2*MAX(6*F105,75),(D105-1)*2*MAX(6*F105,75))/1000</f>
        <v>0.15</v>
      </c>
      <c r="M105" t="str">
        <v>=</v>
      </c>
      <c r="N105">
        <f>J105+L105</f>
        <v>1.13</v>
      </c>
      <c r="T105" t="str">
        <v>x</v>
      </c>
      <c r="U105">
        <f>0.006165*F105^2</f>
        <v>0.39456</v>
      </c>
      <c r="V105" t="str">
        <v>x</v>
      </c>
      <c r="W105">
        <f>IF(D87-MAX(D87/4,2*G85)*2&gt;0,ROUND((D87-MAX(D87/4,2*G85)*2)/H105,0),0)</f>
        <v>15</v>
      </c>
      <c r="X105" t="str">
        <v>x</v>
      </c>
      <c r="Y105">
        <f>D90</f>
        <v>1</v>
      </c>
      <c r="Z105" t="str">
        <v>=</v>
      </c>
      <c r="AA105">
        <f>N105*U105*W105*Y105</f>
        <v>6.687792</v>
      </c>
    </row>
    <row r="106">
      <c r="A106" t="str">
        <f>A84</f>
        <v>Sloof</v>
      </c>
      <c r="B106">
        <f>B84</f>
        <v>3</v>
      </c>
      <c r="C106" t="str">
        <v>Sengkang Tumpuan</v>
      </c>
      <c r="D106">
        <f>VLOOKUP(D84,'Detail Balok'!$C$10:$AU$110,41,FALSE)</f>
        <v>0</v>
      </c>
      <c r="E106" t="str">
        <v>D</v>
      </c>
      <c r="F106">
        <f>VLOOKUP(D84,'Detail Balok'!$C$10:$AU$110,43,FALSE)</f>
        <v>8</v>
      </c>
      <c r="G106" t="str">
        <v>-</v>
      </c>
      <c r="H106">
        <f>VLOOKUP(D84,'Detail Balok'!$C$10:$AU$110,45,FALSE)</f>
        <v>200</v>
      </c>
      <c r="J106">
        <f>(IF(D106=0,(2*(D85+G85))-(F$5*8),IF(D106=3,(2*(D85+G85))-(F$5*8)+(G85-2*F$5),IF(D106=4,(2*(D85+G85))-(F$5*8)+2*(G85-2*F$5)))))/1000</f>
        <v>0.98</v>
      </c>
      <c r="K106" t="str">
        <v>+</v>
      </c>
      <c r="L106">
        <f>IF(D106=0,2*MAX(6*F106,75),(D106-1)*2*MAX(6*F106,75))/1000</f>
        <v>0.15</v>
      </c>
      <c r="M106" t="str">
        <v>=</v>
      </c>
      <c r="N106">
        <f>J106+L106</f>
        <v>1.13</v>
      </c>
      <c r="T106" t="str">
        <v>x</v>
      </c>
      <c r="U106">
        <f>0.006165*F106^2</f>
        <v>0.39456</v>
      </c>
      <c r="V106" t="str">
        <v>x</v>
      </c>
      <c r="W106">
        <f>IF(D87&gt;4*G85,ROUND(MAX(D87/4,2*G85)/H106,0)+1,0)</f>
        <v>9</v>
      </c>
      <c r="X106" t="str">
        <v>x</v>
      </c>
      <c r="Y106">
        <f>D90</f>
        <v>1</v>
      </c>
      <c r="Z106" t="str">
        <v>=</v>
      </c>
      <c r="AA106">
        <f>N106*U106*W106*Y106</f>
        <v>4.0126752</v>
      </c>
    </row>
    <row r="108">
      <c r="A108" t="str">
        <f>A84</f>
        <v>Sloof</v>
      </c>
      <c r="B108">
        <f>B84</f>
        <v>3</v>
      </c>
      <c r="C108" t="str">
        <v>Kait Horizontal Tump.</v>
      </c>
      <c r="D108">
        <f>VLOOKUP(D84,'Detail Balok'!$C$10:$BJ$110,46,FALSE)</f>
        <v>0</v>
      </c>
      <c r="E108" t="str">
        <v>D</v>
      </c>
      <c r="F108">
        <f>VLOOKUP(D84,'Detail Balok'!$C$10:$BJ$110,48,FALSE)</f>
        <v>0</v>
      </c>
      <c r="G108" t="str">
        <v>-</v>
      </c>
      <c r="H108">
        <f>VLOOKUP(D84,'Detail Balok'!$C$10:$BJ$110,50,FALSE)</f>
        <v>100</v>
      </c>
      <c r="J108">
        <f>(D85-2*F$5)/1000</f>
        <v>0.12</v>
      </c>
      <c r="K108" t="str">
        <v>+</v>
      </c>
      <c r="L108">
        <f>IF(D108=0,2*MAX(6*F108,75),(D108-1)*2*MAX(6*F108,75))/1000</f>
        <v>0.15</v>
      </c>
      <c r="M108" t="str">
        <v>=</v>
      </c>
      <c r="N108">
        <f>J108+L108</f>
        <v>0.27</v>
      </c>
      <c r="T108" t="str">
        <v>x</v>
      </c>
      <c r="U108">
        <f>0.006165*F108^2</f>
        <v>0</v>
      </c>
      <c r="V108" t="str">
        <v>x</v>
      </c>
      <c r="W108">
        <f>W104</f>
        <v>9</v>
      </c>
      <c r="X108" t="str">
        <v>x</v>
      </c>
      <c r="Y108">
        <f>D94</f>
        <v>3</v>
      </c>
      <c r="Z108" t="str">
        <v>=</v>
      </c>
      <c r="AA108">
        <f>N108*U108*W108*Y108</f>
        <v>0</v>
      </c>
    </row>
    <row r="109">
      <c r="A109" t="str">
        <f>A84</f>
        <v>Sloof</v>
      </c>
      <c r="B109">
        <f>B84</f>
        <v>3</v>
      </c>
      <c r="C109" t="str">
        <v>Kait Horizontal Lap.</v>
      </c>
      <c r="D109">
        <f>VLOOKUP(D84,'Detail Balok'!$C$10:$BJ$110,51,FALSE)</f>
        <v>0</v>
      </c>
      <c r="E109" t="str">
        <v>D</v>
      </c>
      <c r="F109">
        <f>VLOOKUP(D84,'Detail Balok'!$C$10:$BJ$110,53,FALSE)</f>
        <v>0</v>
      </c>
      <c r="G109" t="str">
        <v>-</v>
      </c>
      <c r="H109">
        <f>VLOOKUP(D84,'Detail Balok'!$C$10:$BJ$110,55,FALSE)</f>
        <v>100</v>
      </c>
      <c r="J109">
        <f>(D85-2*F$5)/1000</f>
        <v>0.12</v>
      </c>
      <c r="K109" t="str">
        <v>+</v>
      </c>
      <c r="L109">
        <f>IF(D109=0,2*MAX(6*F109,75),(D109-1)*2*MAX(6*F109,75))/1000</f>
        <v>0.15</v>
      </c>
      <c r="M109" t="str">
        <v>=</v>
      </c>
      <c r="N109">
        <f>J109+L109</f>
        <v>0.27</v>
      </c>
      <c r="T109" t="str">
        <v>x</v>
      </c>
      <c r="U109">
        <f>0.006165*F109^2</f>
        <v>0</v>
      </c>
      <c r="V109" t="str">
        <v>x</v>
      </c>
      <c r="W109">
        <f>W105</f>
        <v>15</v>
      </c>
      <c r="X109" t="str">
        <v>x</v>
      </c>
      <c r="Y109">
        <f>D94</f>
        <v>3</v>
      </c>
      <c r="Z109" t="str">
        <v>=</v>
      </c>
      <c r="AA109">
        <f>N109*U109*W109*Y109</f>
        <v>0</v>
      </c>
    </row>
    <row r="110">
      <c r="A110" t="str">
        <f>A84</f>
        <v>Sloof</v>
      </c>
      <c r="B110">
        <f>B84</f>
        <v>3</v>
      </c>
      <c r="C110" t="str">
        <v>Kait Horizontal Tump.</v>
      </c>
      <c r="D110">
        <f>VLOOKUP(D84,'Detail Balok'!$C$10:$BJ$110,56,FALSE)</f>
        <v>0</v>
      </c>
      <c r="E110" t="str">
        <v>D</v>
      </c>
      <c r="F110">
        <f>VLOOKUP(D84,'Detail Balok'!$C$10:$BJ$110,58,FALSE)</f>
        <v>0</v>
      </c>
      <c r="G110" t="str">
        <v>-</v>
      </c>
      <c r="H110">
        <f>VLOOKUP(D84,'Detail Balok'!$C$10:$BJ$110,60,FALSE)</f>
        <v>100</v>
      </c>
      <c r="J110">
        <f>(D85-2*F$5)/1000</f>
        <v>0.12</v>
      </c>
      <c r="K110" t="str">
        <v>+</v>
      </c>
      <c r="L110">
        <f>IF(D110=0,2*MAX(6*F110,75),(D110-1)*2*MAX(6*F110,75))/1000</f>
        <v>0.15</v>
      </c>
      <c r="M110" t="str">
        <v>=</v>
      </c>
      <c r="N110">
        <f>J110+L110</f>
        <v>0.27</v>
      </c>
      <c r="T110" t="str">
        <v>x</v>
      </c>
      <c r="U110">
        <f>0.006165*F110^2</f>
        <v>0</v>
      </c>
      <c r="V110" t="str">
        <v>x</v>
      </c>
      <c r="W110">
        <f>W106</f>
        <v>9</v>
      </c>
      <c r="X110" t="str">
        <v>x</v>
      </c>
      <c r="Y110">
        <f>D94</f>
        <v>3</v>
      </c>
      <c r="Z110" t="str">
        <v>=</v>
      </c>
      <c r="AA110">
        <f>N110*U110*W110*Y110</f>
        <v>0</v>
      </c>
    </row>
    <row r="114">
      <c r="A114" t="str">
        <f>A84</f>
        <v>Sloof</v>
      </c>
      <c r="B114">
        <f>B84+1</f>
        <v>4</v>
      </c>
      <c r="C114" t="str">
        <f>CONCATENATE(A114," no. ",B114)</f>
        <v>Sloof no. 4</v>
      </c>
      <c r="D114" t="str">
        <f>VLOOKUP(C114,'Data Panjang Balok'!$C$9:$N$424,2,FALSE)</f>
        <v>TB245-1</v>
      </c>
    </row>
    <row r="115">
      <c r="C115" t="str">
        <v>Dimensi</v>
      </c>
      <c r="D115">
        <f>VLOOKUP(D114,'Detail Balok'!$C$10:$AU$110,2,FALSE)</f>
        <v>200</v>
      </c>
      <c r="F115" t="str">
        <v>x</v>
      </c>
      <c r="G115">
        <f>VLOOKUP(D114,'Detail Balok'!$C$10:$AU$110,3,FALSE)</f>
        <v>450</v>
      </c>
    </row>
    <row r="116">
      <c r="C116" t="str">
        <v>Panjang as ke as</v>
      </c>
      <c r="D116">
        <f>VLOOKUP(C114,'Data Panjang Balok'!$C$9:$N$424,4,FALSE)</f>
        <v>2200</v>
      </c>
    </row>
    <row r="117">
      <c r="C117" t="str">
        <v>Panjang netto</v>
      </c>
      <c r="D117">
        <f>VLOOKUP(C114,'Data Panjang Balok'!$C$9:$N$424,7,FALSE)</f>
        <v>2200</v>
      </c>
    </row>
    <row r="118">
      <c r="C118" t="str">
        <v>Kolom / balok kiri</v>
      </c>
      <c r="D118">
        <f>VLOOKUP(C114,'Data Panjang Balok'!$C$9:$N$424,9,FALSE)</f>
        <v>0</v>
      </c>
    </row>
    <row r="119">
      <c r="C119" t="str">
        <v>Kolom / balok kanan</v>
      </c>
      <c r="D119">
        <f>VLOOKUP(C114,'Data Panjang Balok'!$C$9:$N$424,10,FALSE)</f>
        <v>0</v>
      </c>
    </row>
    <row r="120">
      <c r="C120" t="str">
        <v>Jumlah</v>
      </c>
      <c r="D120">
        <f>VLOOKUP(C114,'Data Panjang Balok'!$C$9:$N$424,3,FALSE)</f>
        <v>1</v>
      </c>
    </row>
    <row r="121">
      <c r="A121" t="str">
        <f>A114</f>
        <v>Sloof</v>
      </c>
      <c r="B121">
        <f>B114</f>
        <v>4</v>
      </c>
      <c r="C121" t="str">
        <v>Tul Atas Tumpuan</v>
      </c>
      <c r="D121">
        <f>VLOOKUP(D114,'Detail Balok'!$C$10:$AU$110,4,FALSE)</f>
        <v>3</v>
      </c>
      <c r="E121" t="str">
        <v>D</v>
      </c>
      <c r="F121">
        <f>VLOOKUP(D114,'Detail Balok'!$C$10:$AU$110,6,FALSE)</f>
        <v>13</v>
      </c>
      <c r="I121" t="str">
        <v>(</v>
      </c>
      <c r="J121">
        <f>+D116/4/1000</f>
        <v>0.55</v>
      </c>
      <c r="K121" t="str">
        <v>+</v>
      </c>
      <c r="L121">
        <f>MAX(VLOOKUP(F121,N$6:P$15,3,FALSE)/1000,2/3*D118/1000)+F$16*F121/1000</f>
        <v>0.156</v>
      </c>
      <c r="M121" t="str">
        <v>=</v>
      </c>
      <c r="N121">
        <f>J121+L121</f>
        <v>0.7060000000000001</v>
      </c>
      <c r="O121" t="str">
        <v>+</v>
      </c>
      <c r="P121">
        <f>D121-D122</f>
        <v>0</v>
      </c>
      <c r="Q121" t="str">
        <v>x</v>
      </c>
      <c r="R121">
        <f>IF(P121&gt;0,$F$18*F121/1000,0)</f>
        <v>0</v>
      </c>
      <c r="S121" t="str">
        <v>)</v>
      </c>
      <c r="T121" t="str">
        <v>x</v>
      </c>
      <c r="U121">
        <f>0.006165*F121^2</f>
        <v>1.041885</v>
      </c>
      <c r="X121" t="str">
        <v>x</v>
      </c>
      <c r="Y121">
        <f>D120</f>
        <v>1</v>
      </c>
      <c r="Z121" t="str">
        <v>=</v>
      </c>
      <c r="AA121">
        <f>IF(AA124=0,(D121*N121+P121*R121)*U121*Y121,0)</f>
        <v>0</v>
      </c>
    </row>
    <row r="122">
      <c r="A122" t="str">
        <f>A114</f>
        <v>Sloof</v>
      </c>
      <c r="B122">
        <f>B114</f>
        <v>4</v>
      </c>
      <c r="C122" t="str">
        <v>Tul Atas Lapangan</v>
      </c>
      <c r="D122">
        <f>VLOOKUP(D114,'Detail Balok'!$C$10:$AU$110,7,FALSE)</f>
        <v>3</v>
      </c>
      <c r="E122" t="str">
        <v>D</v>
      </c>
      <c r="F122">
        <f>VLOOKUP(D114,'Detail Balok'!$C$10:$AU$110,9,FALSE)</f>
        <v>13</v>
      </c>
      <c r="I122" t="str">
        <v>(</v>
      </c>
      <c r="J122">
        <f>+D116/2/1000</f>
        <v>1.1</v>
      </c>
      <c r="K122" t="str">
        <v>+</v>
      </c>
      <c r="M122" t="str">
        <v>=</v>
      </c>
      <c r="N122">
        <f>J122+L122</f>
        <v>1.1</v>
      </c>
      <c r="O122" t="str">
        <v>+</v>
      </c>
      <c r="P122">
        <f>MAX(D122-D121,D122-D123)</f>
        <v>0</v>
      </c>
      <c r="Q122" t="str">
        <v>x</v>
      </c>
      <c r="R122">
        <f>IF(P122&gt;0,2*(1-2*$F$19-1/2)*D117/1000,0)</f>
        <v>0</v>
      </c>
      <c r="S122" t="str">
        <v>)</v>
      </c>
      <c r="T122" t="str">
        <v>x</v>
      </c>
      <c r="U122">
        <f>0.006165*F122^2</f>
        <v>1.041885</v>
      </c>
      <c r="X122" t="str">
        <v>x</v>
      </c>
      <c r="Y122">
        <f>D120</f>
        <v>1</v>
      </c>
      <c r="Z122" t="str">
        <v>=</v>
      </c>
      <c r="AA122">
        <f>IF(AA124=0,(D122*N122+P122*R122)*U122*Y122,0)</f>
        <v>0</v>
      </c>
    </row>
    <row r="123">
      <c r="A123" t="str">
        <f>A114</f>
        <v>Sloof</v>
      </c>
      <c r="B123">
        <f>B114</f>
        <v>4</v>
      </c>
      <c r="C123" t="str">
        <v>Tul Atas Tumpuan</v>
      </c>
      <c r="D123">
        <f>VLOOKUP(D114,'Detail Balok'!$C$10:$AU$110,10,FALSE)</f>
        <v>3</v>
      </c>
      <c r="E123" t="str">
        <v>D</v>
      </c>
      <c r="F123">
        <f>VLOOKUP(D114,'Detail Balok'!$C$10:$AU$110,12,FALSE)</f>
        <v>13</v>
      </c>
      <c r="I123" t="str">
        <v>(</v>
      </c>
      <c r="J123">
        <f>+D116/4/1000</f>
        <v>0.55</v>
      </c>
      <c r="K123" t="str">
        <v>+</v>
      </c>
      <c r="L123">
        <f>MAX(VLOOKUP(F123,N$6:P$15,3,FALSE)/1000,2/3*D118/1000)+F$16*F123/1000</f>
        <v>0.156</v>
      </c>
      <c r="M123" t="str">
        <v>=</v>
      </c>
      <c r="N123">
        <f>J123+L123</f>
        <v>0.7060000000000001</v>
      </c>
      <c r="O123" t="str">
        <v>+</v>
      </c>
      <c r="P123">
        <f>D123-D122</f>
        <v>0</v>
      </c>
      <c r="Q123" t="str">
        <v>x</v>
      </c>
      <c r="R123">
        <f>IF(P123&gt;0,$F$18*F123/1000,0)</f>
        <v>0</v>
      </c>
      <c r="S123" t="str">
        <v>)</v>
      </c>
      <c r="T123" t="str">
        <v>x</v>
      </c>
      <c r="U123">
        <f>0.006165*F123^2</f>
        <v>1.041885</v>
      </c>
      <c r="X123" t="str">
        <v>x</v>
      </c>
      <c r="Y123">
        <f>D120</f>
        <v>1</v>
      </c>
      <c r="Z123" t="str">
        <v>=</v>
      </c>
      <c r="AA123">
        <f>IF(AA124=0,(D123*N123+P123*R123)*U123*Y123,0)</f>
        <v>0</v>
      </c>
    </row>
    <row r="124">
      <c r="A124" t="str">
        <f>A114</f>
        <v>Sloof</v>
      </c>
      <c r="B124">
        <f>B114</f>
        <v>4</v>
      </c>
      <c r="D124">
        <f>IF(AND(D121=D122,D122=D123,D121=D123),D121,0)</f>
        <v>3</v>
      </c>
      <c r="E124" t="str">
        <v>D</v>
      </c>
      <c r="F124">
        <f>IF(AND(F121=F122,F121=F123,F122=F123),F121,0)</f>
        <v>13</v>
      </c>
      <c r="L124" t="str">
        <v>Total panjang per balok</v>
      </c>
      <c r="M124" t="str">
        <v>=</v>
      </c>
      <c r="N124">
        <f>IF(AND(D121=D122,D121=D123,D122=D123,F121=F122,F121=F123,F122=F123),SUM(N121:N123),0)</f>
        <v>2.512</v>
      </c>
      <c r="O124" t="str">
        <v>+</v>
      </c>
      <c r="P124">
        <f>IF(N124&gt;12,ROUNDDOWN(N124/12,0),0)</f>
        <v>0</v>
      </c>
      <c r="Q124" t="str">
        <v>x</v>
      </c>
      <c r="R124">
        <f>IF(P124&gt;0,MAX(VLOOKUP(F124,$D$6:$G$15,3,FALSE),600),0)/1000</f>
        <v>0</v>
      </c>
      <c r="T124" t="str">
        <v>x</v>
      </c>
      <c r="U124">
        <f>U123</f>
        <v>1.041885</v>
      </c>
      <c r="V124" t="str">
        <v>x</v>
      </c>
      <c r="W124">
        <f>D124</f>
        <v>3</v>
      </c>
      <c r="X124" t="str">
        <v>x</v>
      </c>
      <c r="Y124">
        <f>Y123</f>
        <v>1</v>
      </c>
      <c r="Z124" t="str">
        <v>=</v>
      </c>
      <c r="AA124">
        <f>(N124+P124*R124/1000)*U124*W124*Y124</f>
        <v>7.85164536</v>
      </c>
    </row>
    <row r="126">
      <c r="A126" t="str">
        <f>A114</f>
        <v>Sloof</v>
      </c>
      <c r="B126">
        <f>B114</f>
        <v>4</v>
      </c>
      <c r="C126" t="str">
        <v>Tul Peminggang</v>
      </c>
      <c r="D126">
        <f>VLOOKUP(D114,'Detail Balok'!$C$10:$AU$110,13,FALSE)</f>
        <v>2</v>
      </c>
      <c r="E126" t="str">
        <v>D</v>
      </c>
      <c r="F126">
        <f>VLOOKUP(D114,'Detail Balok'!$C$10:$AU$110,15,FALSE)</f>
        <v>8</v>
      </c>
      <c r="J126">
        <f>+D116/1000</f>
        <v>2.2</v>
      </c>
      <c r="K126" t="str">
        <v>+</v>
      </c>
      <c r="L126">
        <f>2*$F$16*F126/1000</f>
        <v>0.192</v>
      </c>
      <c r="M126" t="str">
        <v>=</v>
      </c>
      <c r="N126">
        <f>J126+L126</f>
        <v>2.3920000000000003</v>
      </c>
      <c r="O126" t="str">
        <v>+</v>
      </c>
      <c r="P126">
        <f>IF(N126&gt;12,ROUNDDOWN(N126/12,0),0)</f>
        <v>0</v>
      </c>
      <c r="Q126" t="str">
        <v>x</v>
      </c>
      <c r="R126">
        <f>IF(P126&gt;0,MAX(VLOOKUP(F126,$D$6:$G$15,3,FALSE),600),0)/1000</f>
        <v>0</v>
      </c>
      <c r="T126" t="str">
        <v>x</v>
      </c>
      <c r="U126">
        <f>0.006165*F126^2</f>
        <v>0.39456</v>
      </c>
      <c r="V126" t="str">
        <v>x</v>
      </c>
      <c r="W126">
        <f>+D126</f>
        <v>2</v>
      </c>
      <c r="X126" t="str">
        <v>x</v>
      </c>
      <c r="Y126">
        <f>D120</f>
        <v>1</v>
      </c>
      <c r="Z126" t="str">
        <v>=</v>
      </c>
      <c r="AA126">
        <f>(N126+P126*R126/1000)*U126*W126*Y126</f>
        <v>1.8875750400000004</v>
      </c>
    </row>
    <row r="129">
      <c r="A129" t="str">
        <f>A114</f>
        <v>Sloof</v>
      </c>
      <c r="B129">
        <f>B114</f>
        <v>4</v>
      </c>
      <c r="C129" t="str">
        <v>Tul Bawah Tumpuan</v>
      </c>
      <c r="D129">
        <f>VLOOKUP(D114,'Detail Balok'!$C$10:$AU$110,22,FALSE)</f>
        <v>3</v>
      </c>
      <c r="E129" t="str">
        <v>D</v>
      </c>
      <c r="F129">
        <f>VLOOKUP(D114,'Detail Balok'!$C$10:$AU$110,24,FALSE)</f>
        <v>13</v>
      </c>
      <c r="I129" t="str">
        <v>(</v>
      </c>
      <c r="J129">
        <f>+J121</f>
        <v>0.55</v>
      </c>
      <c r="K129" t="str">
        <v>+</v>
      </c>
      <c r="L129">
        <f>MAX(VLOOKUP(F129,N$6:P$15,3,FALSE)/1000,2/3*D119/1000)+F$16*F129/1000</f>
        <v>0.156</v>
      </c>
      <c r="M129" t="str">
        <v>=</v>
      </c>
      <c r="N129">
        <f>J129+L129</f>
        <v>0.7060000000000001</v>
      </c>
      <c r="O129" t="str">
        <v>+</v>
      </c>
      <c r="P129">
        <f>D129-D130</f>
        <v>0</v>
      </c>
      <c r="Q129" t="str">
        <v>x</v>
      </c>
      <c r="R129">
        <f>IF(P129&gt;0,$F$18*F129/1000,0)</f>
        <v>0</v>
      </c>
      <c r="S129" t="str">
        <v>)</v>
      </c>
      <c r="T129" t="str">
        <v>x</v>
      </c>
      <c r="U129">
        <f>0.006165*F129^2</f>
        <v>1.041885</v>
      </c>
      <c r="X129" t="str">
        <v>x</v>
      </c>
      <c r="Y129">
        <f>D120</f>
        <v>1</v>
      </c>
      <c r="Z129" t="str">
        <v>=</v>
      </c>
      <c r="AA129">
        <f>IF(AA132=0,(D129*N129+P129*R129)*U129*Y129,0)</f>
        <v>0</v>
      </c>
    </row>
    <row r="130">
      <c r="A130" t="str">
        <f>A114</f>
        <v>Sloof</v>
      </c>
      <c r="B130">
        <f>B114</f>
        <v>4</v>
      </c>
      <c r="C130" t="str">
        <v>Tul Bawah Lapangan</v>
      </c>
      <c r="D130">
        <f>VLOOKUP(D114,'Detail Balok'!$C$10:$AU$110,25,FALSE)</f>
        <v>3</v>
      </c>
      <c r="E130" t="str">
        <v>D</v>
      </c>
      <c r="F130">
        <f>VLOOKUP(D114,'Detail Balok'!$C$10:$AU$110,27,FALSE)</f>
        <v>13</v>
      </c>
      <c r="I130" t="str">
        <v>(</v>
      </c>
      <c r="J130">
        <f>+J122</f>
        <v>1.1</v>
      </c>
      <c r="K130" t="str">
        <v>+</v>
      </c>
      <c r="M130" t="str">
        <v>=</v>
      </c>
      <c r="N130">
        <f>J130+L130</f>
        <v>1.1</v>
      </c>
      <c r="O130" t="str">
        <v>+</v>
      </c>
      <c r="P130">
        <f>MAX(D130-D129,D130-D131)</f>
        <v>0</v>
      </c>
      <c r="Q130" t="str">
        <v>x</v>
      </c>
      <c r="R130">
        <f>IF(P130&gt;0,2*(1-2*$F$19-1/2)*D117/1000,0)</f>
        <v>0</v>
      </c>
      <c r="S130" t="str">
        <v>)</v>
      </c>
      <c r="T130" t="str">
        <v>x</v>
      </c>
      <c r="U130">
        <f>0.006165*F130^2</f>
        <v>1.041885</v>
      </c>
      <c r="X130" t="str">
        <v>x</v>
      </c>
      <c r="Y130">
        <f>D120</f>
        <v>1</v>
      </c>
      <c r="Z130" t="str">
        <v>=</v>
      </c>
      <c r="AA130">
        <f>IF(AA132=0,(D130*N130+P130*R130)*U130*Y130,0)</f>
        <v>0</v>
      </c>
    </row>
    <row r="131">
      <c r="A131" t="str">
        <f>A114</f>
        <v>Sloof</v>
      </c>
      <c r="B131">
        <f>B114</f>
        <v>4</v>
      </c>
      <c r="C131" t="str">
        <v>Tul Bawah Tumpuan</v>
      </c>
      <c r="D131">
        <f>VLOOKUP(D114,'Detail Balok'!$C$10:$AU$110,28,FALSE)</f>
        <v>3</v>
      </c>
      <c r="E131" t="str">
        <v>D</v>
      </c>
      <c r="F131">
        <f>VLOOKUP(D114,'Detail Balok'!$C$10:$AU$110,30,FALSE)</f>
        <v>13</v>
      </c>
      <c r="I131" t="str">
        <v>(</v>
      </c>
      <c r="J131">
        <f>+J123</f>
        <v>0.55</v>
      </c>
      <c r="K131" t="str">
        <v>+</v>
      </c>
      <c r="L131">
        <f>MAX(VLOOKUP(F131,N$6:P$15,3,FALSE)/1000,2/3*D119/1000)+F$16*F131/1000</f>
        <v>0.156</v>
      </c>
      <c r="M131" t="str">
        <v>=</v>
      </c>
      <c r="N131">
        <f>J131+L131</f>
        <v>0.7060000000000001</v>
      </c>
      <c r="O131" t="str">
        <v>+</v>
      </c>
      <c r="P131">
        <f>D131-D130</f>
        <v>0</v>
      </c>
      <c r="Q131" t="str">
        <v>x</v>
      </c>
      <c r="R131">
        <f>IF(P131&gt;0,$F$18*F131/1000,0)</f>
        <v>0</v>
      </c>
      <c r="S131" t="str">
        <v>)</v>
      </c>
      <c r="T131" t="str">
        <v>x</v>
      </c>
      <c r="U131">
        <f>0.006165*F131^2</f>
        <v>1.041885</v>
      </c>
      <c r="X131" t="str">
        <v>x</v>
      </c>
      <c r="Y131">
        <f>D120</f>
        <v>1</v>
      </c>
      <c r="Z131" t="str">
        <v>=</v>
      </c>
      <c r="AA131">
        <f>IF(AA132=0,(D131*N131+P131*R131)*U131*Y131,0)</f>
        <v>0</v>
      </c>
    </row>
    <row r="132">
      <c r="A132" t="str">
        <f>A114</f>
        <v>Sloof</v>
      </c>
      <c r="B132">
        <f>B114</f>
        <v>4</v>
      </c>
      <c r="D132">
        <f>IF(AND(D129=D130,D130=D131,D129=D131),D129,0)</f>
        <v>3</v>
      </c>
      <c r="E132" t="str">
        <v>D</v>
      </c>
      <c r="F132">
        <f>IF(AND(F129=F130,F129=F131,F130=F131),F129,0)</f>
        <v>13</v>
      </c>
      <c r="L132" t="str">
        <v>Total panjang per balok</v>
      </c>
      <c r="M132" t="str">
        <v>=</v>
      </c>
      <c r="N132">
        <f>IF(AND(D129=D130,D129=D131,D130=D131,F129=F130,F129=F131,F130=F131),SUM(N129:N131),0)</f>
        <v>2.512</v>
      </c>
      <c r="O132" t="str">
        <v>+</v>
      </c>
      <c r="P132">
        <f>IF(N132&gt;12,ROUNDDOWN(N132/12,0),0)</f>
        <v>0</v>
      </c>
      <c r="Q132" t="str">
        <v>x</v>
      </c>
      <c r="R132">
        <f>IF(P132&gt;0,MAX(VLOOKUP(F132,$D$6:$G$15,3,FALSE),600),0)/1000</f>
        <v>0</v>
      </c>
      <c r="T132" t="str">
        <v>x</v>
      </c>
      <c r="U132">
        <f>U131</f>
        <v>1.041885</v>
      </c>
      <c r="V132" t="str">
        <v>x</v>
      </c>
      <c r="W132">
        <f>D132</f>
        <v>3</v>
      </c>
      <c r="X132" t="str">
        <v>x</v>
      </c>
      <c r="Y132">
        <f>Y131</f>
        <v>1</v>
      </c>
      <c r="Z132" t="str">
        <v>=</v>
      </c>
      <c r="AA132">
        <f>(N132+P132*R132/1000)*U132*W132*Y132</f>
        <v>7.85164536</v>
      </c>
    </row>
    <row r="134">
      <c r="A134" t="str">
        <f>A114</f>
        <v>Sloof</v>
      </c>
      <c r="B134">
        <f>B114</f>
        <v>4</v>
      </c>
      <c r="C134" t="str">
        <v>Sengkang Tumpuan</v>
      </c>
      <c r="D134">
        <f>VLOOKUP(D114,'Detail Balok'!$C$10:$AU$110,31,FALSE)</f>
        <v>0</v>
      </c>
      <c r="E134" t="str">
        <v>D</v>
      </c>
      <c r="F134">
        <f>VLOOKUP(D114,'Detail Balok'!$C$10:$AU$110,33,FALSE)</f>
        <v>8</v>
      </c>
      <c r="G134" t="str">
        <v>-</v>
      </c>
      <c r="H134">
        <f>VLOOKUP(D114,'Detail Balok'!$C$10:$AU$110,35,FALSE)</f>
        <v>200</v>
      </c>
      <c r="J134">
        <f>(IF(D134=0,(2*(D115+G115))-(F$5*8),IF(D134=3,(2*(D115+G115))-(F$5*8)+(G115-2*F$5),IF(D134=4,(2*(D115+G115))-(F$5*8)+2*(G115-2*F$5)))))/1000</f>
        <v>0.98</v>
      </c>
      <c r="K134" t="str">
        <v>+</v>
      </c>
      <c r="L134">
        <f>IF(D134=0,2*MAX(6*F134,75),(D134-1)*2*MAX(6*F134,75))/1000</f>
        <v>0.15</v>
      </c>
      <c r="M134" t="str">
        <v>=</v>
      </c>
      <c r="N134">
        <f>J134+L134</f>
        <v>1.13</v>
      </c>
      <c r="T134" t="str">
        <v>x</v>
      </c>
      <c r="U134">
        <f>0.006165*F134^2</f>
        <v>0.39456</v>
      </c>
      <c r="V134" t="str">
        <v>x</v>
      </c>
      <c r="W134">
        <f>IF(D117&gt;4*G115,ROUND(MAX(D117/4,2*G115)/H134,0)+1,ROUND(D117/H134,0)+1)</f>
        <v>6</v>
      </c>
      <c r="X134" t="str">
        <v>x</v>
      </c>
      <c r="Y134">
        <f>D120</f>
        <v>1</v>
      </c>
      <c r="Z134" t="str">
        <v>=</v>
      </c>
      <c r="AA134">
        <f>N134*U134*W134*Y134</f>
        <v>2.6751168</v>
      </c>
    </row>
    <row r="135">
      <c r="A135" t="str">
        <f>A114</f>
        <v>Sloof</v>
      </c>
      <c r="B135">
        <f>B114</f>
        <v>4</v>
      </c>
      <c r="C135" t="str">
        <v>Sengkang Lapangan</v>
      </c>
      <c r="D135">
        <f>VLOOKUP(D114,'Detail Balok'!$C$10:$AU$110,36,FALSE)</f>
        <v>0</v>
      </c>
      <c r="E135" t="str">
        <v>D</v>
      </c>
      <c r="F135">
        <f>VLOOKUP(D114,'Detail Balok'!$C$10:$AU$110,38,FALSE)</f>
        <v>8</v>
      </c>
      <c r="G135" t="str">
        <v>-</v>
      </c>
      <c r="H135">
        <f>VLOOKUP(D114,'Detail Balok'!$C$10:$AU$110,40,FALSE)</f>
        <v>200</v>
      </c>
      <c r="J135">
        <f>(IF(D135=0,(2*(D115+G115))-(F$5*8),IF(D135=3,(2*(D115+G115))-(F$5*8)+(G115-2*F$5),IF(D135=4,(2*(D115+G115))-(F$5*8)+2*(G115-2*F$5)))))/1000</f>
        <v>0.98</v>
      </c>
      <c r="K135" t="str">
        <v>+</v>
      </c>
      <c r="L135">
        <f>IF(D135=0,2*MAX(6*F135,75),(D135-1)*2*MAX(6*F135,75))/1000</f>
        <v>0.15</v>
      </c>
      <c r="M135" t="str">
        <v>=</v>
      </c>
      <c r="N135">
        <f>J135+L135</f>
        <v>1.13</v>
      </c>
      <c r="T135" t="str">
        <v>x</v>
      </c>
      <c r="U135">
        <f>0.006165*F135^2</f>
        <v>0.39456</v>
      </c>
      <c r="V135" t="str">
        <v>x</v>
      </c>
      <c r="W135">
        <f>IF(D117-MAX(D117/4,2*G115)*2&gt;0,ROUND((D117-MAX(D117/4,2*G115)*2)/H135,0),0)</f>
        <v>2</v>
      </c>
      <c r="X135" t="str">
        <v>x</v>
      </c>
      <c r="Y135">
        <f>D120</f>
        <v>1</v>
      </c>
      <c r="Z135" t="str">
        <v>=</v>
      </c>
      <c r="AA135">
        <f>N135*U135*W135*Y135</f>
        <v>0.8917056</v>
      </c>
    </row>
    <row r="136">
      <c r="A136" t="str">
        <f>A114</f>
        <v>Sloof</v>
      </c>
      <c r="B136">
        <f>B114</f>
        <v>4</v>
      </c>
      <c r="C136" t="str">
        <v>Sengkang Tumpuan</v>
      </c>
      <c r="D136">
        <f>VLOOKUP(D114,'Detail Balok'!$C$10:$AU$110,41,FALSE)</f>
        <v>0</v>
      </c>
      <c r="E136" t="str">
        <v>D</v>
      </c>
      <c r="F136">
        <f>VLOOKUP(D114,'Detail Balok'!$C$10:$AU$110,43,FALSE)</f>
        <v>8</v>
      </c>
      <c r="G136" t="str">
        <v>-</v>
      </c>
      <c r="H136">
        <f>VLOOKUP(D114,'Detail Balok'!$C$10:$AU$110,45,FALSE)</f>
        <v>200</v>
      </c>
      <c r="J136">
        <f>(IF(D136=0,(2*(D115+G115))-(F$5*8),IF(D136=3,(2*(D115+G115))-(F$5*8)+(G115-2*F$5),IF(D136=4,(2*(D115+G115))-(F$5*8)+2*(G115-2*F$5)))))/1000</f>
        <v>0.98</v>
      </c>
      <c r="K136" t="str">
        <v>+</v>
      </c>
      <c r="L136">
        <f>IF(D136=0,2*MAX(6*F136,75),(D136-1)*2*MAX(6*F136,75))/1000</f>
        <v>0.15</v>
      </c>
      <c r="M136" t="str">
        <v>=</v>
      </c>
      <c r="N136">
        <f>J136+L136</f>
        <v>1.13</v>
      </c>
      <c r="T136" t="str">
        <v>x</v>
      </c>
      <c r="U136">
        <f>0.006165*F136^2</f>
        <v>0.39456</v>
      </c>
      <c r="V136" t="str">
        <v>x</v>
      </c>
      <c r="W136">
        <f>IF(D117&gt;4*G115,ROUND(MAX(D117/4,2*G115)/H136,0)+1,0)</f>
        <v>6</v>
      </c>
      <c r="X136" t="str">
        <v>x</v>
      </c>
      <c r="Y136">
        <f>D120</f>
        <v>1</v>
      </c>
      <c r="Z136" t="str">
        <v>=</v>
      </c>
      <c r="AA136">
        <f>N136*U136*W136*Y136</f>
        <v>2.6751168</v>
      </c>
    </row>
    <row r="138">
      <c r="A138" t="str">
        <f>A114</f>
        <v>Sloof</v>
      </c>
      <c r="B138">
        <f>B114</f>
        <v>4</v>
      </c>
      <c r="C138" t="str">
        <v>Kait Horizontal Tump.</v>
      </c>
      <c r="D138">
        <f>VLOOKUP(D114,'Detail Balok'!$C$10:$BJ$110,46,FALSE)</f>
        <v>0</v>
      </c>
      <c r="E138" t="str">
        <v>D</v>
      </c>
      <c r="F138">
        <f>VLOOKUP(D114,'Detail Balok'!$C$10:$BJ$110,48,FALSE)</f>
        <v>0</v>
      </c>
      <c r="G138" t="str">
        <v>-</v>
      </c>
      <c r="H138">
        <f>VLOOKUP(D114,'Detail Balok'!$C$10:$BJ$110,50,FALSE)</f>
        <v>100</v>
      </c>
      <c r="J138">
        <f>(D115-2*F$5)/1000</f>
        <v>0.12</v>
      </c>
      <c r="K138" t="str">
        <v>+</v>
      </c>
      <c r="L138">
        <f>IF(D138=0,2*MAX(6*F138,75),(D138-1)*2*MAX(6*F138,75))/1000</f>
        <v>0.15</v>
      </c>
      <c r="M138" t="str">
        <v>=</v>
      </c>
      <c r="N138">
        <f>J138+L138</f>
        <v>0.27</v>
      </c>
      <c r="T138" t="str">
        <v>x</v>
      </c>
      <c r="U138">
        <f>0.006165*F138^2</f>
        <v>0</v>
      </c>
      <c r="V138" t="str">
        <v>x</v>
      </c>
      <c r="W138">
        <f>W134</f>
        <v>6</v>
      </c>
      <c r="X138" t="str">
        <v>x</v>
      </c>
      <c r="Y138">
        <f>D124</f>
        <v>3</v>
      </c>
      <c r="Z138" t="str">
        <v>=</v>
      </c>
      <c r="AA138">
        <f>N138*U138*W138*Y138</f>
        <v>0</v>
      </c>
    </row>
    <row r="139">
      <c r="A139" t="str">
        <f>A114</f>
        <v>Sloof</v>
      </c>
      <c r="B139">
        <f>B114</f>
        <v>4</v>
      </c>
      <c r="C139" t="str">
        <v>Kait Horizontal Lap.</v>
      </c>
      <c r="D139">
        <f>VLOOKUP(D114,'Detail Balok'!$C$10:$BJ$110,51,FALSE)</f>
        <v>0</v>
      </c>
      <c r="E139" t="str">
        <v>D</v>
      </c>
      <c r="F139">
        <f>VLOOKUP(D114,'Detail Balok'!$C$10:$BJ$110,53,FALSE)</f>
        <v>0</v>
      </c>
      <c r="G139" t="str">
        <v>-</v>
      </c>
      <c r="H139">
        <f>VLOOKUP(D114,'Detail Balok'!$C$10:$BJ$110,55,FALSE)</f>
        <v>100</v>
      </c>
      <c r="J139">
        <f>(D115-2*F$5)/1000</f>
        <v>0.12</v>
      </c>
      <c r="K139" t="str">
        <v>+</v>
      </c>
      <c r="L139">
        <f>IF(D139=0,2*MAX(6*F139,75),(D139-1)*2*MAX(6*F139,75))/1000</f>
        <v>0.15</v>
      </c>
      <c r="M139" t="str">
        <v>=</v>
      </c>
      <c r="N139">
        <f>J139+L139</f>
        <v>0.27</v>
      </c>
      <c r="T139" t="str">
        <v>x</v>
      </c>
      <c r="U139">
        <f>0.006165*F139^2</f>
        <v>0</v>
      </c>
      <c r="V139" t="str">
        <v>x</v>
      </c>
      <c r="W139">
        <f>W135</f>
        <v>2</v>
      </c>
      <c r="X139" t="str">
        <v>x</v>
      </c>
      <c r="Y139">
        <f>D124</f>
        <v>3</v>
      </c>
      <c r="Z139" t="str">
        <v>=</v>
      </c>
      <c r="AA139">
        <f>N139*U139*W139*Y139</f>
        <v>0</v>
      </c>
    </row>
    <row r="140">
      <c r="A140" t="str">
        <f>A114</f>
        <v>Sloof</v>
      </c>
      <c r="B140">
        <f>B114</f>
        <v>4</v>
      </c>
      <c r="C140" t="str">
        <v>Kait Horizontal Tump.</v>
      </c>
      <c r="D140">
        <f>VLOOKUP(D114,'Detail Balok'!$C$10:$BJ$110,56,FALSE)</f>
        <v>0</v>
      </c>
      <c r="E140" t="str">
        <v>D</v>
      </c>
      <c r="F140">
        <f>VLOOKUP(D114,'Detail Balok'!$C$10:$BJ$110,58,FALSE)</f>
        <v>0</v>
      </c>
      <c r="G140" t="str">
        <v>-</v>
      </c>
      <c r="H140">
        <f>VLOOKUP(D114,'Detail Balok'!$C$10:$BJ$110,60,FALSE)</f>
        <v>100</v>
      </c>
      <c r="J140">
        <f>(D115-2*F$5)/1000</f>
        <v>0.12</v>
      </c>
      <c r="K140" t="str">
        <v>+</v>
      </c>
      <c r="L140">
        <f>IF(D140=0,2*MAX(6*F140,75),(D140-1)*2*MAX(6*F140,75))/1000</f>
        <v>0.15</v>
      </c>
      <c r="M140" t="str">
        <v>=</v>
      </c>
      <c r="N140">
        <f>J140+L140</f>
        <v>0.27</v>
      </c>
      <c r="T140" t="str">
        <v>x</v>
      </c>
      <c r="U140">
        <f>0.006165*F140^2</f>
        <v>0</v>
      </c>
      <c r="V140" t="str">
        <v>x</v>
      </c>
      <c r="W140">
        <f>W136</f>
        <v>6</v>
      </c>
      <c r="X140" t="str">
        <v>x</v>
      </c>
      <c r="Y140">
        <f>D124</f>
        <v>3</v>
      </c>
      <c r="Z140" t="str">
        <v>=</v>
      </c>
      <c r="AA140">
        <f>N140*U140*W140*Y140</f>
        <v>0</v>
      </c>
    </row>
    <row r="144">
      <c r="A144" t="str">
        <f>A114</f>
        <v>Sloof</v>
      </c>
      <c r="B144">
        <f>B114+1</f>
        <v>5</v>
      </c>
      <c r="C144" t="str">
        <f>CONCATENATE(A144," no. ",B144)</f>
        <v>Sloof no. 5</v>
      </c>
      <c r="D144" t="str">
        <f>VLOOKUP(C144,'Data Panjang Balok'!$C$9:$N$424,2,FALSE)</f>
        <v>TB245-1</v>
      </c>
    </row>
    <row r="145">
      <c r="C145" t="str">
        <v>Dimensi</v>
      </c>
      <c r="D145">
        <f>VLOOKUP(D144,'Detail Balok'!$C$10:$AU$110,2,FALSE)</f>
        <v>200</v>
      </c>
      <c r="F145" t="str">
        <v>x</v>
      </c>
      <c r="G145">
        <f>VLOOKUP(D144,'Detail Balok'!$C$10:$AU$110,3,FALSE)</f>
        <v>450</v>
      </c>
    </row>
    <row r="146">
      <c r="C146" t="str">
        <v>Panjang as ke as</v>
      </c>
      <c r="D146">
        <f>VLOOKUP(C144,'Data Panjang Balok'!$C$9:$N$424,4,FALSE)</f>
        <v>2800</v>
      </c>
    </row>
    <row r="147">
      <c r="C147" t="str">
        <v>Panjang netto</v>
      </c>
      <c r="D147">
        <f>VLOOKUP(C144,'Data Panjang Balok'!$C$9:$N$424,7,FALSE)</f>
        <v>2800</v>
      </c>
    </row>
    <row r="148">
      <c r="C148" t="str">
        <v>Kolom / balok kiri</v>
      </c>
      <c r="D148">
        <f>VLOOKUP(C144,'Data Panjang Balok'!$C$9:$N$424,9,FALSE)</f>
        <v>0</v>
      </c>
    </row>
    <row r="149">
      <c r="C149" t="str">
        <v>Kolom / balok kanan</v>
      </c>
      <c r="D149">
        <f>VLOOKUP(C144,'Data Panjang Balok'!$C$9:$N$424,10,FALSE)</f>
        <v>0</v>
      </c>
    </row>
    <row r="150">
      <c r="C150" t="str">
        <v>Jumlah</v>
      </c>
      <c r="D150">
        <f>VLOOKUP(C144,'Data Panjang Balok'!$C$9:$N$424,3,FALSE)</f>
        <v>1</v>
      </c>
    </row>
    <row r="151">
      <c r="A151" t="str">
        <f>A144</f>
        <v>Sloof</v>
      </c>
      <c r="B151">
        <f>B144</f>
        <v>5</v>
      </c>
      <c r="C151" t="str">
        <v>Tul Atas Tumpuan</v>
      </c>
      <c r="D151">
        <f>VLOOKUP(D144,'Detail Balok'!$C$10:$AU$110,4,FALSE)</f>
        <v>3</v>
      </c>
      <c r="E151" t="str">
        <v>D</v>
      </c>
      <c r="F151">
        <f>VLOOKUP(D144,'Detail Balok'!$C$10:$AU$110,6,FALSE)</f>
        <v>13</v>
      </c>
      <c r="I151" t="str">
        <v>(</v>
      </c>
      <c r="J151">
        <f>+D146/4/1000</f>
        <v>0.7</v>
      </c>
      <c r="K151" t="str">
        <v>+</v>
      </c>
      <c r="L151">
        <f>MAX(VLOOKUP(F151,N$6:P$15,3,FALSE)/1000,2/3*D148/1000)+F$16*F151/1000</f>
        <v>0.156</v>
      </c>
      <c r="M151" t="str">
        <v>=</v>
      </c>
      <c r="N151">
        <f>J151+L151</f>
        <v>0.856</v>
      </c>
      <c r="O151" t="str">
        <v>+</v>
      </c>
      <c r="P151">
        <f>D151-D152</f>
        <v>0</v>
      </c>
      <c r="Q151" t="str">
        <v>x</v>
      </c>
      <c r="R151">
        <f>IF(P151&gt;0,$F$18*F151/1000,0)</f>
        <v>0</v>
      </c>
      <c r="S151" t="str">
        <v>)</v>
      </c>
      <c r="T151" t="str">
        <v>x</v>
      </c>
      <c r="U151">
        <f>0.006165*F151^2</f>
        <v>1.041885</v>
      </c>
      <c r="X151" t="str">
        <v>x</v>
      </c>
      <c r="Y151">
        <f>D150</f>
        <v>1</v>
      </c>
      <c r="Z151" t="str">
        <v>=</v>
      </c>
      <c r="AA151">
        <f>IF(AA154=0,(D151*N151+P151*R151)*U151*Y151,0)</f>
        <v>0</v>
      </c>
    </row>
    <row r="152">
      <c r="A152" t="str">
        <f>A144</f>
        <v>Sloof</v>
      </c>
      <c r="B152">
        <f>B144</f>
        <v>5</v>
      </c>
      <c r="C152" t="str">
        <v>Tul Atas Lapangan</v>
      </c>
      <c r="D152">
        <f>VLOOKUP(D144,'Detail Balok'!$C$10:$AU$110,7,FALSE)</f>
        <v>3</v>
      </c>
      <c r="E152" t="str">
        <v>D</v>
      </c>
      <c r="F152">
        <f>VLOOKUP(D144,'Detail Balok'!$C$10:$AU$110,9,FALSE)</f>
        <v>13</v>
      </c>
      <c r="I152" t="str">
        <v>(</v>
      </c>
      <c r="J152">
        <f>+D146/2/1000</f>
        <v>1.4</v>
      </c>
      <c r="K152" t="str">
        <v>+</v>
      </c>
      <c r="M152" t="str">
        <v>=</v>
      </c>
      <c r="N152">
        <f>J152+L152</f>
        <v>1.4</v>
      </c>
      <c r="O152" t="str">
        <v>+</v>
      </c>
      <c r="P152">
        <f>MAX(D152-D151,D152-D153)</f>
        <v>0</v>
      </c>
      <c r="Q152" t="str">
        <v>x</v>
      </c>
      <c r="R152">
        <f>IF(P152&gt;0,2*(1-2*$F$19-1/2)*D147/1000,0)</f>
        <v>0</v>
      </c>
      <c r="S152" t="str">
        <v>)</v>
      </c>
      <c r="T152" t="str">
        <v>x</v>
      </c>
      <c r="U152">
        <f>0.006165*F152^2</f>
        <v>1.041885</v>
      </c>
      <c r="X152" t="str">
        <v>x</v>
      </c>
      <c r="Y152">
        <f>D150</f>
        <v>1</v>
      </c>
      <c r="Z152" t="str">
        <v>=</v>
      </c>
      <c r="AA152">
        <f>IF(AA154=0,(D152*N152+P152*R152)*U152*Y152,0)</f>
        <v>0</v>
      </c>
    </row>
    <row r="153">
      <c r="A153" t="str">
        <f>A144</f>
        <v>Sloof</v>
      </c>
      <c r="B153">
        <f>B144</f>
        <v>5</v>
      </c>
      <c r="C153" t="str">
        <v>Tul Atas Tumpuan</v>
      </c>
      <c r="D153">
        <f>VLOOKUP(D144,'Detail Balok'!$C$10:$AU$110,10,FALSE)</f>
        <v>3</v>
      </c>
      <c r="E153" t="str">
        <v>D</v>
      </c>
      <c r="F153">
        <f>VLOOKUP(D144,'Detail Balok'!$C$10:$AU$110,12,FALSE)</f>
        <v>13</v>
      </c>
      <c r="I153" t="str">
        <v>(</v>
      </c>
      <c r="J153">
        <f>+D146/4/1000</f>
        <v>0.7</v>
      </c>
      <c r="K153" t="str">
        <v>+</v>
      </c>
      <c r="L153">
        <f>MAX(VLOOKUP(F153,N$6:P$15,3,FALSE)/1000,2/3*D148/1000)+F$16*F153/1000</f>
        <v>0.156</v>
      </c>
      <c r="M153" t="str">
        <v>=</v>
      </c>
      <c r="N153">
        <f>J153+L153</f>
        <v>0.856</v>
      </c>
      <c r="O153" t="str">
        <v>+</v>
      </c>
      <c r="P153">
        <f>D153-D152</f>
        <v>0</v>
      </c>
      <c r="Q153" t="str">
        <v>x</v>
      </c>
      <c r="R153">
        <f>IF(P153&gt;0,$F$18*F153/1000,0)</f>
        <v>0</v>
      </c>
      <c r="S153" t="str">
        <v>)</v>
      </c>
      <c r="T153" t="str">
        <v>x</v>
      </c>
      <c r="U153">
        <f>0.006165*F153^2</f>
        <v>1.041885</v>
      </c>
      <c r="X153" t="str">
        <v>x</v>
      </c>
      <c r="Y153">
        <f>D150</f>
        <v>1</v>
      </c>
      <c r="Z153" t="str">
        <v>=</v>
      </c>
      <c r="AA153">
        <f>IF(AA154=0,(D153*N153+P153*R153)*U153*Y153,0)</f>
        <v>0</v>
      </c>
    </row>
    <row r="154">
      <c r="A154" t="str">
        <f>A144</f>
        <v>Sloof</v>
      </c>
      <c r="B154">
        <f>B144</f>
        <v>5</v>
      </c>
      <c r="D154">
        <f>IF(AND(D151=D152,D152=D153,D151=D153),D151,0)</f>
        <v>3</v>
      </c>
      <c r="E154" t="str">
        <v>D</v>
      </c>
      <c r="F154">
        <f>IF(AND(F151=F152,F151=F153,F152=F153),F151,0)</f>
        <v>13</v>
      </c>
      <c r="L154" t="str">
        <v>Total panjang per balok</v>
      </c>
      <c r="M154" t="str">
        <v>=</v>
      </c>
      <c r="N154">
        <f>IF(AND(D151=D152,D151=D153,D152=D153,F151=F152,F151=F153,F152=F153),SUM(N151:N153),0)</f>
        <v>3.1119999999999997</v>
      </c>
      <c r="O154" t="str">
        <v>+</v>
      </c>
      <c r="P154">
        <f>IF(N154&gt;12,ROUNDDOWN(N154/12,0),0)</f>
        <v>0</v>
      </c>
      <c r="Q154" t="str">
        <v>x</v>
      </c>
      <c r="R154">
        <f>IF(P154&gt;0,MAX(VLOOKUP(F154,$D$6:$G$15,3,FALSE),600),0)/1000</f>
        <v>0</v>
      </c>
      <c r="T154" t="str">
        <v>x</v>
      </c>
      <c r="U154">
        <f>U153</f>
        <v>1.041885</v>
      </c>
      <c r="V154" t="str">
        <v>x</v>
      </c>
      <c r="W154">
        <f>D154</f>
        <v>3</v>
      </c>
      <c r="X154" t="str">
        <v>x</v>
      </c>
      <c r="Y154">
        <f>Y153</f>
        <v>1</v>
      </c>
      <c r="Z154" t="str">
        <v>=</v>
      </c>
      <c r="AA154">
        <f>(N154+P154*R154/1000)*U154*W154*Y154</f>
        <v>9.727038359999998</v>
      </c>
    </row>
    <row r="156">
      <c r="A156" t="str">
        <f>A144</f>
        <v>Sloof</v>
      </c>
      <c r="B156">
        <f>B144</f>
        <v>5</v>
      </c>
      <c r="C156" t="str">
        <v>Tul Peminggang</v>
      </c>
      <c r="D156">
        <f>VLOOKUP(D144,'Detail Balok'!$C$10:$AU$110,13,FALSE)</f>
        <v>2</v>
      </c>
      <c r="E156" t="str">
        <v>D</v>
      </c>
      <c r="F156">
        <f>VLOOKUP(D144,'Detail Balok'!$C$10:$AU$110,15,FALSE)</f>
        <v>8</v>
      </c>
      <c r="J156">
        <f>+D146/1000</f>
        <v>2.8</v>
      </c>
      <c r="K156" t="str">
        <v>+</v>
      </c>
      <c r="L156">
        <f>2*$F$16*F156/1000</f>
        <v>0.192</v>
      </c>
      <c r="M156" t="str">
        <v>=</v>
      </c>
      <c r="N156">
        <f>J156+L156</f>
        <v>2.992</v>
      </c>
      <c r="O156" t="str">
        <v>+</v>
      </c>
      <c r="P156">
        <f>IF(N156&gt;12,ROUNDDOWN(N156/12,0),0)</f>
        <v>0</v>
      </c>
      <c r="Q156" t="str">
        <v>x</v>
      </c>
      <c r="R156">
        <f>IF(P156&gt;0,MAX(VLOOKUP(F156,$D$6:$G$15,3,FALSE),600),0)/1000</f>
        <v>0</v>
      </c>
      <c r="T156" t="str">
        <v>x</v>
      </c>
      <c r="U156">
        <f>0.006165*F156^2</f>
        <v>0.39456</v>
      </c>
      <c r="V156" t="str">
        <v>x</v>
      </c>
      <c r="W156">
        <f>+D156</f>
        <v>2</v>
      </c>
      <c r="X156" t="str">
        <v>x</v>
      </c>
      <c r="Y156">
        <f>D150</f>
        <v>1</v>
      </c>
      <c r="Z156" t="str">
        <v>=</v>
      </c>
      <c r="AA156">
        <f>(N156+P156*R156/1000)*U156*W156*Y156</f>
        <v>2.3610470400000003</v>
      </c>
    </row>
    <row r="159">
      <c r="A159" t="str">
        <f>A144</f>
        <v>Sloof</v>
      </c>
      <c r="B159">
        <f>B144</f>
        <v>5</v>
      </c>
      <c r="C159" t="str">
        <v>Tul Bawah Tumpuan</v>
      </c>
      <c r="D159">
        <f>VLOOKUP(D144,'Detail Balok'!$C$10:$AU$110,22,FALSE)</f>
        <v>3</v>
      </c>
      <c r="E159" t="str">
        <v>D</v>
      </c>
      <c r="F159">
        <f>VLOOKUP(D144,'Detail Balok'!$C$10:$AU$110,24,FALSE)</f>
        <v>13</v>
      </c>
      <c r="I159" t="str">
        <v>(</v>
      </c>
      <c r="J159">
        <f>+J151</f>
        <v>0.7</v>
      </c>
      <c r="K159" t="str">
        <v>+</v>
      </c>
      <c r="L159">
        <f>MAX(VLOOKUP(F159,N$6:P$15,3,FALSE)/1000,2/3*D149/1000)+F$16*F159/1000</f>
        <v>0.156</v>
      </c>
      <c r="M159" t="str">
        <v>=</v>
      </c>
      <c r="N159">
        <f>J159+L159</f>
        <v>0.856</v>
      </c>
      <c r="O159" t="str">
        <v>+</v>
      </c>
      <c r="P159">
        <f>D159-D160</f>
        <v>0</v>
      </c>
      <c r="Q159" t="str">
        <v>x</v>
      </c>
      <c r="R159">
        <f>IF(P159&gt;0,$F$18*F159/1000,0)</f>
        <v>0</v>
      </c>
      <c r="S159" t="str">
        <v>)</v>
      </c>
      <c r="T159" t="str">
        <v>x</v>
      </c>
      <c r="U159">
        <f>0.006165*F159^2</f>
        <v>1.041885</v>
      </c>
      <c r="X159" t="str">
        <v>x</v>
      </c>
      <c r="Y159">
        <f>D150</f>
        <v>1</v>
      </c>
      <c r="Z159" t="str">
        <v>=</v>
      </c>
      <c r="AA159">
        <f>IF(AA162=0,(D159*N159+P159*R159)*U159*Y159,0)</f>
        <v>0</v>
      </c>
    </row>
    <row r="160">
      <c r="A160" t="str">
        <f>A144</f>
        <v>Sloof</v>
      </c>
      <c r="B160">
        <f>B144</f>
        <v>5</v>
      </c>
      <c r="C160" t="str">
        <v>Tul Bawah Lapangan</v>
      </c>
      <c r="D160">
        <f>VLOOKUP(D144,'Detail Balok'!$C$10:$AU$110,25,FALSE)</f>
        <v>3</v>
      </c>
      <c r="E160" t="str">
        <v>D</v>
      </c>
      <c r="F160">
        <f>VLOOKUP(D144,'Detail Balok'!$C$10:$AU$110,27,FALSE)</f>
        <v>13</v>
      </c>
      <c r="I160" t="str">
        <v>(</v>
      </c>
      <c r="J160">
        <f>+J152</f>
        <v>1.4</v>
      </c>
      <c r="K160" t="str">
        <v>+</v>
      </c>
      <c r="M160" t="str">
        <v>=</v>
      </c>
      <c r="N160">
        <f>J160+L160</f>
        <v>1.4</v>
      </c>
      <c r="O160" t="str">
        <v>+</v>
      </c>
      <c r="P160">
        <f>MAX(D160-D159,D160-D161)</f>
        <v>0</v>
      </c>
      <c r="Q160" t="str">
        <v>x</v>
      </c>
      <c r="R160">
        <f>IF(P160&gt;0,2*(1-2*$F$19-1/2)*D147/1000,0)</f>
        <v>0</v>
      </c>
      <c r="S160" t="str">
        <v>)</v>
      </c>
      <c r="T160" t="str">
        <v>x</v>
      </c>
      <c r="U160">
        <f>0.006165*F160^2</f>
        <v>1.041885</v>
      </c>
      <c r="X160" t="str">
        <v>x</v>
      </c>
      <c r="Y160">
        <f>D150</f>
        <v>1</v>
      </c>
      <c r="Z160" t="str">
        <v>=</v>
      </c>
      <c r="AA160">
        <f>IF(AA162=0,(D160*N160+P160*R160)*U160*Y160,0)</f>
        <v>0</v>
      </c>
    </row>
    <row r="161">
      <c r="A161" t="str">
        <f>A144</f>
        <v>Sloof</v>
      </c>
      <c r="B161">
        <f>B144</f>
        <v>5</v>
      </c>
      <c r="C161" t="str">
        <v>Tul Bawah Tumpuan</v>
      </c>
      <c r="D161">
        <f>VLOOKUP(D144,'Detail Balok'!$C$10:$AU$110,28,FALSE)</f>
        <v>3</v>
      </c>
      <c r="E161" t="str">
        <v>D</v>
      </c>
      <c r="F161">
        <f>VLOOKUP(D144,'Detail Balok'!$C$10:$AU$110,30,FALSE)</f>
        <v>13</v>
      </c>
      <c r="I161" t="str">
        <v>(</v>
      </c>
      <c r="J161">
        <f>+J153</f>
        <v>0.7</v>
      </c>
      <c r="K161" t="str">
        <v>+</v>
      </c>
      <c r="L161">
        <f>MAX(VLOOKUP(F161,N$6:P$15,3,FALSE)/1000,2/3*D149/1000)+F$16*F161/1000</f>
        <v>0.156</v>
      </c>
      <c r="M161" t="str">
        <v>=</v>
      </c>
      <c r="N161">
        <f>J161+L161</f>
        <v>0.856</v>
      </c>
      <c r="O161" t="str">
        <v>+</v>
      </c>
      <c r="P161">
        <f>D161-D160</f>
        <v>0</v>
      </c>
      <c r="Q161" t="str">
        <v>x</v>
      </c>
      <c r="R161">
        <f>IF(P161&gt;0,$F$18*F161/1000,0)</f>
        <v>0</v>
      </c>
      <c r="S161" t="str">
        <v>)</v>
      </c>
      <c r="T161" t="str">
        <v>x</v>
      </c>
      <c r="U161">
        <f>0.006165*F161^2</f>
        <v>1.041885</v>
      </c>
      <c r="X161" t="str">
        <v>x</v>
      </c>
      <c r="Y161">
        <f>D150</f>
        <v>1</v>
      </c>
      <c r="Z161" t="str">
        <v>=</v>
      </c>
      <c r="AA161">
        <f>IF(AA162=0,(D161*N161+P161*R161)*U161*Y161,0)</f>
        <v>0</v>
      </c>
    </row>
    <row r="162">
      <c r="A162" t="str">
        <f>A144</f>
        <v>Sloof</v>
      </c>
      <c r="B162">
        <f>B144</f>
        <v>5</v>
      </c>
      <c r="D162">
        <f>IF(AND(D159=D160,D160=D161,D159=D161),D159,0)</f>
        <v>3</v>
      </c>
      <c r="E162" t="str">
        <v>D</v>
      </c>
      <c r="F162">
        <f>IF(AND(F159=F160,F159=F161,F160=F161),F159,0)</f>
        <v>13</v>
      </c>
      <c r="L162" t="str">
        <v>Total panjang per balok</v>
      </c>
      <c r="M162" t="str">
        <v>=</v>
      </c>
      <c r="N162">
        <f>IF(AND(D159=D160,D159=D161,D160=D161,F159=F160,F159=F161,F160=F161),SUM(N159:N161),0)</f>
        <v>3.1119999999999997</v>
      </c>
      <c r="O162" t="str">
        <v>+</v>
      </c>
      <c r="P162">
        <f>IF(N162&gt;12,ROUNDDOWN(N162/12,0),0)</f>
        <v>0</v>
      </c>
      <c r="Q162" t="str">
        <v>x</v>
      </c>
      <c r="R162">
        <f>IF(P162&gt;0,MAX(VLOOKUP(F162,$D$6:$G$15,3,FALSE),600),0)/1000</f>
        <v>0</v>
      </c>
      <c r="T162" t="str">
        <v>x</v>
      </c>
      <c r="U162">
        <f>U161</f>
        <v>1.041885</v>
      </c>
      <c r="V162" t="str">
        <v>x</v>
      </c>
      <c r="W162">
        <f>D162</f>
        <v>3</v>
      </c>
      <c r="X162" t="str">
        <v>x</v>
      </c>
      <c r="Y162">
        <f>Y161</f>
        <v>1</v>
      </c>
      <c r="Z162" t="str">
        <v>=</v>
      </c>
      <c r="AA162">
        <f>(N162+P162*R162/1000)*U162*W162*Y162</f>
        <v>9.727038359999998</v>
      </c>
    </row>
    <row r="164">
      <c r="A164" t="str">
        <f>A144</f>
        <v>Sloof</v>
      </c>
      <c r="B164">
        <f>B144</f>
        <v>5</v>
      </c>
      <c r="C164" t="str">
        <v>Sengkang Tumpuan</v>
      </c>
      <c r="D164">
        <f>VLOOKUP(D144,'Detail Balok'!$C$10:$AU$110,31,FALSE)</f>
        <v>0</v>
      </c>
      <c r="E164" t="str">
        <v>D</v>
      </c>
      <c r="F164">
        <f>VLOOKUP(D144,'Detail Balok'!$C$10:$AU$110,33,FALSE)</f>
        <v>8</v>
      </c>
      <c r="G164" t="str">
        <v>-</v>
      </c>
      <c r="H164">
        <f>VLOOKUP(D144,'Detail Balok'!$C$10:$AU$110,35,FALSE)</f>
        <v>200</v>
      </c>
      <c r="J164">
        <f>(IF(D164=0,(2*(D145+G145))-(F$5*8),IF(D164=3,(2*(D145+G145))-(F$5*8)+(G145-2*F$5),IF(D164=4,(2*(D145+G145))-(F$5*8)+2*(G145-2*F$5)))))/1000</f>
        <v>0.98</v>
      </c>
      <c r="K164" t="str">
        <v>+</v>
      </c>
      <c r="L164">
        <f>IF(D164=0,2*MAX(6*F164,75),(D164-1)*2*MAX(6*F164,75))/1000</f>
        <v>0.15</v>
      </c>
      <c r="M164" t="str">
        <v>=</v>
      </c>
      <c r="N164">
        <f>J164+L164</f>
        <v>1.13</v>
      </c>
      <c r="T164" t="str">
        <v>x</v>
      </c>
      <c r="U164">
        <f>0.006165*F164^2</f>
        <v>0.39456</v>
      </c>
      <c r="V164" t="str">
        <v>x</v>
      </c>
      <c r="W164">
        <f>IF(D147&gt;4*G145,ROUND(MAX(D147/4,2*G145)/H164,0)+1,ROUND(D147/H164,0)+1)</f>
        <v>6</v>
      </c>
      <c r="X164" t="str">
        <v>x</v>
      </c>
      <c r="Y164">
        <f>D150</f>
        <v>1</v>
      </c>
      <c r="Z164" t="str">
        <v>=</v>
      </c>
      <c r="AA164">
        <f>N164*U164*W164*Y164</f>
        <v>2.6751168</v>
      </c>
    </row>
    <row r="165">
      <c r="A165" t="str">
        <f>A144</f>
        <v>Sloof</v>
      </c>
      <c r="B165">
        <f>B144</f>
        <v>5</v>
      </c>
      <c r="C165" t="str">
        <v>Sengkang Lapangan</v>
      </c>
      <c r="D165">
        <f>VLOOKUP(D144,'Detail Balok'!$C$10:$AU$110,36,FALSE)</f>
        <v>0</v>
      </c>
      <c r="E165" t="str">
        <v>D</v>
      </c>
      <c r="F165">
        <f>VLOOKUP(D144,'Detail Balok'!$C$10:$AU$110,38,FALSE)</f>
        <v>8</v>
      </c>
      <c r="G165" t="str">
        <v>-</v>
      </c>
      <c r="H165">
        <f>VLOOKUP(D144,'Detail Balok'!$C$10:$AU$110,40,FALSE)</f>
        <v>200</v>
      </c>
      <c r="J165">
        <f>(IF(D165=0,(2*(D145+G145))-(F$5*8),IF(D165=3,(2*(D145+G145))-(F$5*8)+(G145-2*F$5),IF(D165=4,(2*(D145+G145))-(F$5*8)+2*(G145-2*F$5)))))/1000</f>
        <v>0.98</v>
      </c>
      <c r="K165" t="str">
        <v>+</v>
      </c>
      <c r="L165">
        <f>IF(D165=0,2*MAX(6*F165,75),(D165-1)*2*MAX(6*F165,75))/1000</f>
        <v>0.15</v>
      </c>
      <c r="M165" t="str">
        <v>=</v>
      </c>
      <c r="N165">
        <f>J165+L165</f>
        <v>1.13</v>
      </c>
      <c r="T165" t="str">
        <v>x</v>
      </c>
      <c r="U165">
        <f>0.006165*F165^2</f>
        <v>0.39456</v>
      </c>
      <c r="V165" t="str">
        <v>x</v>
      </c>
      <c r="W165">
        <f>IF(D147-MAX(D147/4,2*G145)*2&gt;0,ROUND((D147-MAX(D147/4,2*G145)*2)/H165,0),0)</f>
        <v>5</v>
      </c>
      <c r="X165" t="str">
        <v>x</v>
      </c>
      <c r="Y165">
        <f>D150</f>
        <v>1</v>
      </c>
      <c r="Z165" t="str">
        <v>=</v>
      </c>
      <c r="AA165">
        <f>N165*U165*W165*Y165</f>
        <v>2.229264</v>
      </c>
    </row>
    <row r="166">
      <c r="A166" t="str">
        <f>A144</f>
        <v>Sloof</v>
      </c>
      <c r="B166">
        <f>B144</f>
        <v>5</v>
      </c>
      <c r="C166" t="str">
        <v>Sengkang Tumpuan</v>
      </c>
      <c r="D166">
        <f>VLOOKUP(D144,'Detail Balok'!$C$10:$AU$110,41,FALSE)</f>
        <v>0</v>
      </c>
      <c r="E166" t="str">
        <v>D</v>
      </c>
      <c r="F166">
        <f>VLOOKUP(D144,'Detail Balok'!$C$10:$AU$110,43,FALSE)</f>
        <v>8</v>
      </c>
      <c r="G166" t="str">
        <v>-</v>
      </c>
      <c r="H166">
        <f>VLOOKUP(D144,'Detail Balok'!$C$10:$AU$110,45,FALSE)</f>
        <v>200</v>
      </c>
      <c r="J166">
        <f>(IF(D166=0,(2*(D145+G145))-(F$5*8),IF(D166=3,(2*(D145+G145))-(F$5*8)+(G145-2*F$5),IF(D166=4,(2*(D145+G145))-(F$5*8)+2*(G145-2*F$5)))))/1000</f>
        <v>0.98</v>
      </c>
      <c r="K166" t="str">
        <v>+</v>
      </c>
      <c r="L166">
        <f>IF(D166=0,2*MAX(6*F166,75),(D166-1)*2*MAX(6*F166,75))/1000</f>
        <v>0.15</v>
      </c>
      <c r="M166" t="str">
        <v>=</v>
      </c>
      <c r="N166">
        <f>J166+L166</f>
        <v>1.13</v>
      </c>
      <c r="T166" t="str">
        <v>x</v>
      </c>
      <c r="U166">
        <f>0.006165*F166^2</f>
        <v>0.39456</v>
      </c>
      <c r="V166" t="str">
        <v>x</v>
      </c>
      <c r="W166">
        <f>IF(D147&gt;4*G145,ROUND(MAX(D147/4,2*G145)/H166,0)+1,0)</f>
        <v>6</v>
      </c>
      <c r="X166" t="str">
        <v>x</v>
      </c>
      <c r="Y166">
        <f>D150</f>
        <v>1</v>
      </c>
      <c r="Z166" t="str">
        <v>=</v>
      </c>
      <c r="AA166">
        <f>N166*U166*W166*Y166</f>
        <v>2.6751168</v>
      </c>
    </row>
    <row r="168">
      <c r="A168" t="str">
        <f>A144</f>
        <v>Sloof</v>
      </c>
      <c r="B168">
        <f>B144</f>
        <v>5</v>
      </c>
      <c r="C168" t="str">
        <v>Kait Horizontal Tump.</v>
      </c>
      <c r="D168">
        <f>VLOOKUP(D144,'Detail Balok'!$C$10:$BJ$110,46,FALSE)</f>
        <v>0</v>
      </c>
      <c r="E168" t="str">
        <v>D</v>
      </c>
      <c r="F168">
        <f>VLOOKUP(D144,'Detail Balok'!$C$10:$BJ$110,48,FALSE)</f>
        <v>0</v>
      </c>
      <c r="G168" t="str">
        <v>-</v>
      </c>
      <c r="H168">
        <f>VLOOKUP(D144,'Detail Balok'!$C$10:$BJ$110,50,FALSE)</f>
        <v>100</v>
      </c>
      <c r="J168">
        <f>(D145-2*F$5)/1000</f>
        <v>0.12</v>
      </c>
      <c r="K168" t="str">
        <v>+</v>
      </c>
      <c r="L168">
        <f>IF(D168=0,2*MAX(6*F168,75),(D168-1)*2*MAX(6*F168,75))/1000</f>
        <v>0.15</v>
      </c>
      <c r="M168" t="str">
        <v>=</v>
      </c>
      <c r="N168">
        <f>J168+L168</f>
        <v>0.27</v>
      </c>
      <c r="T168" t="str">
        <v>x</v>
      </c>
      <c r="U168">
        <f>0.006165*F168^2</f>
        <v>0</v>
      </c>
      <c r="V168" t="str">
        <v>x</v>
      </c>
      <c r="W168">
        <f>W164</f>
        <v>6</v>
      </c>
      <c r="X168" t="str">
        <v>x</v>
      </c>
      <c r="Y168">
        <f>D154</f>
        <v>3</v>
      </c>
      <c r="Z168" t="str">
        <v>=</v>
      </c>
      <c r="AA168">
        <f>N168*U168*W168*Y168</f>
        <v>0</v>
      </c>
    </row>
    <row r="169">
      <c r="A169" t="str">
        <f>A144</f>
        <v>Sloof</v>
      </c>
      <c r="B169">
        <f>B144</f>
        <v>5</v>
      </c>
      <c r="C169" t="str">
        <v>Kait Horizontal Lap.</v>
      </c>
      <c r="D169">
        <f>VLOOKUP(D144,'Detail Balok'!$C$10:$BJ$110,51,FALSE)</f>
        <v>0</v>
      </c>
      <c r="E169" t="str">
        <v>D</v>
      </c>
      <c r="F169">
        <f>VLOOKUP(D144,'Detail Balok'!$C$10:$BJ$110,53,FALSE)</f>
        <v>0</v>
      </c>
      <c r="G169" t="str">
        <v>-</v>
      </c>
      <c r="H169">
        <f>VLOOKUP(D144,'Detail Balok'!$C$10:$BJ$110,55,FALSE)</f>
        <v>100</v>
      </c>
      <c r="J169">
        <f>(D145-2*F$5)/1000</f>
        <v>0.12</v>
      </c>
      <c r="K169" t="str">
        <v>+</v>
      </c>
      <c r="L169">
        <f>IF(D169=0,2*MAX(6*F169,75),(D169-1)*2*MAX(6*F169,75))/1000</f>
        <v>0.15</v>
      </c>
      <c r="M169" t="str">
        <v>=</v>
      </c>
      <c r="N169">
        <f>J169+L169</f>
        <v>0.27</v>
      </c>
      <c r="T169" t="str">
        <v>x</v>
      </c>
      <c r="U169">
        <f>0.006165*F169^2</f>
        <v>0</v>
      </c>
      <c r="V169" t="str">
        <v>x</v>
      </c>
      <c r="W169">
        <f>W165</f>
        <v>5</v>
      </c>
      <c r="X169" t="str">
        <v>x</v>
      </c>
      <c r="Y169">
        <f>D154</f>
        <v>3</v>
      </c>
      <c r="Z169" t="str">
        <v>=</v>
      </c>
      <c r="AA169">
        <f>N169*U169*W169*Y169</f>
        <v>0</v>
      </c>
    </row>
    <row r="170">
      <c r="A170" t="str">
        <f>A144</f>
        <v>Sloof</v>
      </c>
      <c r="B170">
        <f>B144</f>
        <v>5</v>
      </c>
      <c r="C170" t="str">
        <v>Kait Horizontal Tump.</v>
      </c>
      <c r="D170">
        <f>VLOOKUP(D144,'Detail Balok'!$C$10:$BJ$110,56,FALSE)</f>
        <v>0</v>
      </c>
      <c r="E170" t="str">
        <v>D</v>
      </c>
      <c r="F170">
        <f>VLOOKUP(D144,'Detail Balok'!$C$10:$BJ$110,58,FALSE)</f>
        <v>0</v>
      </c>
      <c r="G170" t="str">
        <v>-</v>
      </c>
      <c r="H170">
        <f>VLOOKUP(D144,'Detail Balok'!$C$10:$BJ$110,60,FALSE)</f>
        <v>100</v>
      </c>
      <c r="J170">
        <f>(D145-2*F$5)/1000</f>
        <v>0.12</v>
      </c>
      <c r="K170" t="str">
        <v>+</v>
      </c>
      <c r="L170">
        <f>IF(D170=0,2*MAX(6*F170,75),(D170-1)*2*MAX(6*F170,75))/1000</f>
        <v>0.15</v>
      </c>
      <c r="M170" t="str">
        <v>=</v>
      </c>
      <c r="N170">
        <f>J170+L170</f>
        <v>0.27</v>
      </c>
      <c r="T170" t="str">
        <v>x</v>
      </c>
      <c r="U170">
        <f>0.006165*F170^2</f>
        <v>0</v>
      </c>
      <c r="V170" t="str">
        <v>x</v>
      </c>
      <c r="W170">
        <f>W166</f>
        <v>6</v>
      </c>
      <c r="X170" t="str">
        <v>x</v>
      </c>
      <c r="Y170">
        <f>D154</f>
        <v>3</v>
      </c>
      <c r="Z170" t="str">
        <v>=</v>
      </c>
      <c r="AA170">
        <f>N170*U170*W170*Y170</f>
        <v>0</v>
      </c>
    </row>
    <row r="174">
      <c r="A174" t="str">
        <f>A144</f>
        <v>Sloof</v>
      </c>
      <c r="B174">
        <f>B144+1</f>
        <v>6</v>
      </c>
      <c r="C174" t="str">
        <f>CONCATENATE(A174," no. ",B174)</f>
        <v>Sloof no. 6</v>
      </c>
      <c r="D174" t="str">
        <f>VLOOKUP(C174,'Data Panjang Balok'!$C$9:$N$424,2,FALSE)</f>
        <v>TB24-1</v>
      </c>
    </row>
    <row r="175">
      <c r="C175" t="str">
        <v>Dimensi</v>
      </c>
      <c r="D175">
        <f>VLOOKUP(D174,'Detail Balok'!$C$10:$AU$110,2,FALSE)</f>
        <v>200</v>
      </c>
      <c r="F175" t="str">
        <v>x</v>
      </c>
      <c r="G175">
        <f>VLOOKUP(D174,'Detail Balok'!$C$10:$AU$110,3,FALSE)</f>
        <v>400</v>
      </c>
    </row>
    <row r="176">
      <c r="C176" t="str">
        <v>Panjang as ke as</v>
      </c>
      <c r="D176">
        <f>VLOOKUP(C174,'Data Panjang Balok'!$C$9:$N$424,4,FALSE)</f>
        <v>4830</v>
      </c>
    </row>
    <row r="177">
      <c r="C177" t="str">
        <v>Panjang netto</v>
      </c>
      <c r="D177">
        <f>VLOOKUP(C174,'Data Panjang Balok'!$C$9:$N$424,7,FALSE)</f>
        <v>4830</v>
      </c>
    </row>
    <row r="178">
      <c r="C178" t="str">
        <v>Kolom / balok kiri</v>
      </c>
      <c r="D178">
        <f>VLOOKUP(C174,'Data Panjang Balok'!$C$9:$N$424,9,FALSE)</f>
        <v>0</v>
      </c>
    </row>
    <row r="179">
      <c r="C179" t="str">
        <v>Kolom / balok kanan</v>
      </c>
      <c r="D179">
        <f>VLOOKUP(C174,'Data Panjang Balok'!$C$9:$N$424,10,FALSE)</f>
        <v>0</v>
      </c>
    </row>
    <row r="180">
      <c r="C180" t="str">
        <v>Jumlah</v>
      </c>
      <c r="D180">
        <f>VLOOKUP(C174,'Data Panjang Balok'!$C$9:$N$424,3,FALSE)</f>
        <v>0</v>
      </c>
    </row>
    <row r="181">
      <c r="A181" t="str">
        <f>A174</f>
        <v>Sloof</v>
      </c>
      <c r="B181">
        <f>B174</f>
        <v>6</v>
      </c>
      <c r="C181" t="str">
        <v>Tul Atas Tumpuan</v>
      </c>
      <c r="D181">
        <f>VLOOKUP(D174,'Detail Balok'!$C$10:$AU$110,4,FALSE)</f>
        <v>2</v>
      </c>
      <c r="E181" t="str">
        <v>D</v>
      </c>
      <c r="F181">
        <f>VLOOKUP(D174,'Detail Balok'!$C$10:$AU$110,6,FALSE)</f>
        <v>13</v>
      </c>
      <c r="I181" t="str">
        <v>(</v>
      </c>
      <c r="J181">
        <f>+D176/4/1000</f>
        <v>1.2075</v>
      </c>
      <c r="K181" t="str">
        <v>+</v>
      </c>
      <c r="L181">
        <f>MAX(VLOOKUP(F181,N$6:P$15,3,FALSE)/1000,2/3*D178/1000)+F$16*F181/1000</f>
        <v>0.156</v>
      </c>
      <c r="M181" t="str">
        <v>=</v>
      </c>
      <c r="N181">
        <f>J181+L181</f>
        <v>1.3635</v>
      </c>
      <c r="O181" t="str">
        <v>+</v>
      </c>
      <c r="P181">
        <f>D181-D182</f>
        <v>0</v>
      </c>
      <c r="Q181" t="str">
        <v>x</v>
      </c>
      <c r="R181">
        <f>IF(P181&gt;0,$F$18*F181/1000,0)</f>
        <v>0</v>
      </c>
      <c r="S181" t="str">
        <v>)</v>
      </c>
      <c r="T181" t="str">
        <v>x</v>
      </c>
      <c r="U181">
        <f>0.006165*F181^2</f>
        <v>1.041885</v>
      </c>
      <c r="X181" t="str">
        <v>x</v>
      </c>
      <c r="Y181">
        <f>D180</f>
        <v>0</v>
      </c>
      <c r="Z181" t="str">
        <v>=</v>
      </c>
      <c r="AA181">
        <f>IF(AA184=0,(D181*N181+P181*R181)*U181*Y181,0)</f>
        <v>0</v>
      </c>
    </row>
    <row r="182">
      <c r="A182" t="str">
        <f>A174</f>
        <v>Sloof</v>
      </c>
      <c r="B182">
        <f>B174</f>
        <v>6</v>
      </c>
      <c r="C182" t="str">
        <v>Tul Atas Lapangan</v>
      </c>
      <c r="D182">
        <f>VLOOKUP(D174,'Detail Balok'!$C$10:$AU$110,7,FALSE)</f>
        <v>2</v>
      </c>
      <c r="E182" t="str">
        <v>D</v>
      </c>
      <c r="F182">
        <f>VLOOKUP(D174,'Detail Balok'!$C$10:$AU$110,9,FALSE)</f>
        <v>13</v>
      </c>
      <c r="I182" t="str">
        <v>(</v>
      </c>
      <c r="J182">
        <f>+D176/2/1000</f>
        <v>2.415</v>
      </c>
      <c r="K182" t="str">
        <v>+</v>
      </c>
      <c r="M182" t="str">
        <v>=</v>
      </c>
      <c r="N182">
        <f>J182+L182</f>
        <v>2.415</v>
      </c>
      <c r="O182" t="str">
        <v>+</v>
      </c>
      <c r="P182">
        <f>MAX(D182-D181,D182-D183)</f>
        <v>0</v>
      </c>
      <c r="Q182" t="str">
        <v>x</v>
      </c>
      <c r="R182">
        <f>IF(P182&gt;0,2*(1-2*$F$19-1/2)*D177/1000,0)</f>
        <v>0</v>
      </c>
      <c r="S182" t="str">
        <v>)</v>
      </c>
      <c r="T182" t="str">
        <v>x</v>
      </c>
      <c r="U182">
        <f>0.006165*F182^2</f>
        <v>1.041885</v>
      </c>
      <c r="X182" t="str">
        <v>x</v>
      </c>
      <c r="Y182">
        <f>D180</f>
        <v>0</v>
      </c>
      <c r="Z182" t="str">
        <v>=</v>
      </c>
      <c r="AA182">
        <f>IF(AA184=0,(D182*N182+P182*R182)*U182*Y182,0)</f>
        <v>0</v>
      </c>
    </row>
    <row r="183">
      <c r="A183" t="str">
        <f>A174</f>
        <v>Sloof</v>
      </c>
      <c r="B183">
        <f>B174</f>
        <v>6</v>
      </c>
      <c r="C183" t="str">
        <v>Tul Atas Tumpuan</v>
      </c>
      <c r="D183">
        <f>VLOOKUP(D174,'Detail Balok'!$C$10:$AU$110,10,FALSE)</f>
        <v>2</v>
      </c>
      <c r="E183" t="str">
        <v>D</v>
      </c>
      <c r="F183">
        <f>VLOOKUP(D174,'Detail Balok'!$C$10:$AU$110,12,FALSE)</f>
        <v>13</v>
      </c>
      <c r="I183" t="str">
        <v>(</v>
      </c>
      <c r="J183">
        <f>+D176/4/1000</f>
        <v>1.2075</v>
      </c>
      <c r="K183" t="str">
        <v>+</v>
      </c>
      <c r="L183">
        <f>MAX(VLOOKUP(F183,N$6:P$15,3,FALSE)/1000,2/3*D178/1000)+F$16*F183/1000</f>
        <v>0.156</v>
      </c>
      <c r="M183" t="str">
        <v>=</v>
      </c>
      <c r="N183">
        <f>J183+L183</f>
        <v>1.3635</v>
      </c>
      <c r="O183" t="str">
        <v>+</v>
      </c>
      <c r="P183">
        <f>D183-D182</f>
        <v>0</v>
      </c>
      <c r="Q183" t="str">
        <v>x</v>
      </c>
      <c r="R183">
        <f>IF(P183&gt;0,$F$18*F183/1000,0)</f>
        <v>0</v>
      </c>
      <c r="S183" t="str">
        <v>)</v>
      </c>
      <c r="T183" t="str">
        <v>x</v>
      </c>
      <c r="U183">
        <f>0.006165*F183^2</f>
        <v>1.041885</v>
      </c>
      <c r="X183" t="str">
        <v>x</v>
      </c>
      <c r="Y183">
        <f>D180</f>
        <v>0</v>
      </c>
      <c r="Z183" t="str">
        <v>=</v>
      </c>
      <c r="AA183">
        <f>IF(AA184=0,(D183*N183+P183*R183)*U183*Y183,0)</f>
        <v>0</v>
      </c>
    </row>
    <row r="184">
      <c r="A184" t="str">
        <f>A174</f>
        <v>Sloof</v>
      </c>
      <c r="B184">
        <f>B174</f>
        <v>6</v>
      </c>
      <c r="D184">
        <f>IF(AND(D181=D182,D182=D183,D181=D183),D181,0)</f>
        <v>2</v>
      </c>
      <c r="E184" t="str">
        <v>D</v>
      </c>
      <c r="F184">
        <f>IF(AND(F181=F182,F181=F183,F182=F183),F181,0)</f>
        <v>13</v>
      </c>
      <c r="L184" t="str">
        <v>Total panjang per balok</v>
      </c>
      <c r="M184" t="str">
        <v>=</v>
      </c>
      <c r="N184">
        <f>IF(AND(D181=D182,D181=D183,D182=D183,F181=F182,F181=F183,F182=F183),SUM(N181:N183),0)</f>
        <v>5.142</v>
      </c>
      <c r="O184" t="str">
        <v>+</v>
      </c>
      <c r="P184">
        <f>IF(N184&gt;12,ROUNDDOWN(N184/12,0),0)</f>
        <v>0</v>
      </c>
      <c r="Q184" t="str">
        <v>x</v>
      </c>
      <c r="R184">
        <f>IF(P184&gt;0,MAX(VLOOKUP(F184,$D$6:$G$15,3,FALSE),600),0)/1000</f>
        <v>0</v>
      </c>
      <c r="T184" t="str">
        <v>x</v>
      </c>
      <c r="U184">
        <f>U183</f>
        <v>1.041885</v>
      </c>
      <c r="V184" t="str">
        <v>x</v>
      </c>
      <c r="W184">
        <f>D184</f>
        <v>2</v>
      </c>
      <c r="X184" t="str">
        <v>x</v>
      </c>
      <c r="Y184">
        <f>Y183</f>
        <v>0</v>
      </c>
      <c r="Z184" t="str">
        <v>=</v>
      </c>
      <c r="AA184">
        <f>(N184+P184*R184/1000)*U184*W184*Y184</f>
        <v>0</v>
      </c>
    </row>
    <row r="186">
      <c r="A186" t="str">
        <f>A174</f>
        <v>Sloof</v>
      </c>
      <c r="B186">
        <f>B174</f>
        <v>6</v>
      </c>
      <c r="C186" t="str">
        <v>Tul Peminggang</v>
      </c>
      <c r="D186">
        <f>VLOOKUP(D174,'Detail Balok'!$C$10:$AU$110,13,FALSE)</f>
        <v>0</v>
      </c>
      <c r="E186" t="str">
        <v>D</v>
      </c>
      <c r="F186">
        <f>VLOOKUP(D174,'Detail Balok'!$C$10:$AU$110,15,FALSE)</f>
        <v>6</v>
      </c>
      <c r="J186">
        <f>+D176/1000</f>
        <v>4.83</v>
      </c>
      <c r="K186" t="str">
        <v>+</v>
      </c>
      <c r="L186">
        <f>2*$F$16*F186/1000</f>
        <v>0.144</v>
      </c>
      <c r="M186" t="str">
        <v>=</v>
      </c>
      <c r="N186">
        <f>J186+L186</f>
        <v>4.974</v>
      </c>
      <c r="O186" t="str">
        <v>+</v>
      </c>
      <c r="P186">
        <f>IF(N186&gt;12,ROUNDDOWN(N186/12,0),0)</f>
        <v>0</v>
      </c>
      <c r="Q186" t="str">
        <v>x</v>
      </c>
      <c r="R186">
        <f>IF(P186&gt;0,MAX(VLOOKUP(F186,$D$6:$G$15,3,FALSE),600),0)/1000</f>
        <v>0</v>
      </c>
      <c r="T186" t="str">
        <v>x</v>
      </c>
      <c r="U186">
        <f>0.006165*F186^2</f>
        <v>0.22194000000000003</v>
      </c>
      <c r="V186" t="str">
        <v>x</v>
      </c>
      <c r="W186">
        <f>+D186</f>
        <v>0</v>
      </c>
      <c r="X186" t="str">
        <v>x</v>
      </c>
      <c r="Y186">
        <f>D180</f>
        <v>0</v>
      </c>
      <c r="Z186" t="str">
        <v>=</v>
      </c>
      <c r="AA186">
        <f>(N186+P186*R186/1000)*U186*W186*Y186</f>
        <v>0</v>
      </c>
    </row>
    <row r="189">
      <c r="A189" t="str">
        <f>A174</f>
        <v>Sloof</v>
      </c>
      <c r="B189">
        <f>B174</f>
        <v>6</v>
      </c>
      <c r="C189" t="str">
        <v>Tul Bawah Tumpuan</v>
      </c>
      <c r="D189">
        <f>VLOOKUP(D174,'Detail Balok'!$C$10:$AU$110,22,FALSE)</f>
        <v>2</v>
      </c>
      <c r="E189" t="str">
        <v>D</v>
      </c>
      <c r="F189">
        <f>VLOOKUP(D174,'Detail Balok'!$C$10:$AU$110,24,FALSE)</f>
        <v>13</v>
      </c>
      <c r="I189" t="str">
        <v>(</v>
      </c>
      <c r="J189">
        <f>+J181</f>
        <v>1.2075</v>
      </c>
      <c r="K189" t="str">
        <v>+</v>
      </c>
      <c r="L189">
        <f>MAX(VLOOKUP(F189,N$6:P$15,3,FALSE)/1000,2/3*D179/1000)+F$16*F189/1000</f>
        <v>0.156</v>
      </c>
      <c r="M189" t="str">
        <v>=</v>
      </c>
      <c r="N189">
        <f>J189+L189</f>
        <v>1.3635</v>
      </c>
      <c r="O189" t="str">
        <v>+</v>
      </c>
      <c r="P189">
        <f>D189-D190</f>
        <v>0</v>
      </c>
      <c r="Q189" t="str">
        <v>x</v>
      </c>
      <c r="R189">
        <f>IF(P189&gt;0,$F$18*F189/1000,0)</f>
        <v>0</v>
      </c>
      <c r="S189" t="str">
        <v>)</v>
      </c>
      <c r="T189" t="str">
        <v>x</v>
      </c>
      <c r="U189">
        <f>0.006165*F189^2</f>
        <v>1.041885</v>
      </c>
      <c r="X189" t="str">
        <v>x</v>
      </c>
      <c r="Y189">
        <f>D180</f>
        <v>0</v>
      </c>
      <c r="Z189" t="str">
        <v>=</v>
      </c>
      <c r="AA189">
        <f>IF(AA192=0,(D189*N189+P189*R189)*U189*Y189,0)</f>
        <v>0</v>
      </c>
    </row>
    <row r="190">
      <c r="A190" t="str">
        <f>A174</f>
        <v>Sloof</v>
      </c>
      <c r="B190">
        <f>B174</f>
        <v>6</v>
      </c>
      <c r="C190" t="str">
        <v>Tul Bawah Lapangan</v>
      </c>
      <c r="D190">
        <f>VLOOKUP(D174,'Detail Balok'!$C$10:$AU$110,25,FALSE)</f>
        <v>2</v>
      </c>
      <c r="E190" t="str">
        <v>D</v>
      </c>
      <c r="F190">
        <f>VLOOKUP(D174,'Detail Balok'!$C$10:$AU$110,27,FALSE)</f>
        <v>13</v>
      </c>
      <c r="I190" t="str">
        <v>(</v>
      </c>
      <c r="J190">
        <f>+J182</f>
        <v>2.415</v>
      </c>
      <c r="K190" t="str">
        <v>+</v>
      </c>
      <c r="M190" t="str">
        <v>=</v>
      </c>
      <c r="N190">
        <f>J190+L190</f>
        <v>2.415</v>
      </c>
      <c r="O190" t="str">
        <v>+</v>
      </c>
      <c r="P190">
        <f>MAX(D190-D189,D190-D191)</f>
        <v>0</v>
      </c>
      <c r="Q190" t="str">
        <v>x</v>
      </c>
      <c r="R190">
        <f>IF(P190&gt;0,2*(1-2*$F$19-1/2)*D177/1000,0)</f>
        <v>0</v>
      </c>
      <c r="S190" t="str">
        <v>)</v>
      </c>
      <c r="T190" t="str">
        <v>x</v>
      </c>
      <c r="U190">
        <f>0.006165*F190^2</f>
        <v>1.041885</v>
      </c>
      <c r="X190" t="str">
        <v>x</v>
      </c>
      <c r="Y190">
        <f>D180</f>
        <v>0</v>
      </c>
      <c r="Z190" t="str">
        <v>=</v>
      </c>
      <c r="AA190">
        <f>IF(AA192=0,(D190*N190+P190*R190)*U190*Y190,0)</f>
        <v>0</v>
      </c>
    </row>
    <row r="191">
      <c r="A191" t="str">
        <f>A174</f>
        <v>Sloof</v>
      </c>
      <c r="B191">
        <f>B174</f>
        <v>6</v>
      </c>
      <c r="C191" t="str">
        <v>Tul Bawah Tumpuan</v>
      </c>
      <c r="D191">
        <f>VLOOKUP(D174,'Detail Balok'!$C$10:$AU$110,28,FALSE)</f>
        <v>2</v>
      </c>
      <c r="E191" t="str">
        <v>D</v>
      </c>
      <c r="F191">
        <f>VLOOKUP(D174,'Detail Balok'!$C$10:$AU$110,30,FALSE)</f>
        <v>13</v>
      </c>
      <c r="I191" t="str">
        <v>(</v>
      </c>
      <c r="J191">
        <f>+J183</f>
        <v>1.2075</v>
      </c>
      <c r="K191" t="str">
        <v>+</v>
      </c>
      <c r="L191">
        <f>MAX(VLOOKUP(F191,N$6:P$15,3,FALSE)/1000,2/3*D179/1000)+F$16*F191/1000</f>
        <v>0.156</v>
      </c>
      <c r="M191" t="str">
        <v>=</v>
      </c>
      <c r="N191">
        <f>J191+L191</f>
        <v>1.3635</v>
      </c>
      <c r="O191" t="str">
        <v>+</v>
      </c>
      <c r="P191">
        <f>D191-D190</f>
        <v>0</v>
      </c>
      <c r="Q191" t="str">
        <v>x</v>
      </c>
      <c r="R191">
        <f>IF(P191&gt;0,$F$18*F191/1000,0)</f>
        <v>0</v>
      </c>
      <c r="S191" t="str">
        <v>)</v>
      </c>
      <c r="T191" t="str">
        <v>x</v>
      </c>
      <c r="U191">
        <f>0.006165*F191^2</f>
        <v>1.041885</v>
      </c>
      <c r="X191" t="str">
        <v>x</v>
      </c>
      <c r="Y191">
        <f>D180</f>
        <v>0</v>
      </c>
      <c r="Z191" t="str">
        <v>=</v>
      </c>
      <c r="AA191">
        <f>IF(AA192=0,(D191*N191+P191*R191)*U191*Y191,0)</f>
        <v>0</v>
      </c>
    </row>
    <row r="192">
      <c r="A192" t="str">
        <f>A174</f>
        <v>Sloof</v>
      </c>
      <c r="B192">
        <f>B174</f>
        <v>6</v>
      </c>
      <c r="D192">
        <f>IF(AND(D189=D190,D190=D191,D189=D191),D189,0)</f>
        <v>2</v>
      </c>
      <c r="E192" t="str">
        <v>D</v>
      </c>
      <c r="F192">
        <f>IF(AND(F189=F190,F189=F191,F190=F191),F189,0)</f>
        <v>13</v>
      </c>
      <c r="L192" t="str">
        <v>Total panjang per balok</v>
      </c>
      <c r="M192" t="str">
        <v>=</v>
      </c>
      <c r="N192">
        <f>IF(AND(D189=D190,D189=D191,D190=D191,F189=F190,F189=F191,F190=F191),SUM(N189:N191),0)</f>
        <v>5.142</v>
      </c>
      <c r="O192" t="str">
        <v>+</v>
      </c>
      <c r="P192">
        <f>IF(N192&gt;12,ROUNDDOWN(N192/12,0),0)</f>
        <v>0</v>
      </c>
      <c r="Q192" t="str">
        <v>x</v>
      </c>
      <c r="R192">
        <f>IF(P192&gt;0,MAX(VLOOKUP(F192,$D$6:$G$15,3,FALSE),600),0)/1000</f>
        <v>0</v>
      </c>
      <c r="T192" t="str">
        <v>x</v>
      </c>
      <c r="U192">
        <f>U191</f>
        <v>1.041885</v>
      </c>
      <c r="V192" t="str">
        <v>x</v>
      </c>
      <c r="W192">
        <f>D192</f>
        <v>2</v>
      </c>
      <c r="X192" t="str">
        <v>x</v>
      </c>
      <c r="Y192">
        <f>Y191</f>
        <v>0</v>
      </c>
      <c r="Z192" t="str">
        <v>=</v>
      </c>
      <c r="AA192">
        <f>(N192+P192*R192/1000)*U192*W192*Y192</f>
        <v>0</v>
      </c>
    </row>
    <row r="194">
      <c r="A194" t="str">
        <f>A174</f>
        <v>Sloof</v>
      </c>
      <c r="B194">
        <f>B174</f>
        <v>6</v>
      </c>
      <c r="C194" t="str">
        <v>Sengkang Tumpuan</v>
      </c>
      <c r="D194">
        <f>VLOOKUP(D174,'Detail Balok'!$C$10:$AU$110,31,FALSE)</f>
        <v>0</v>
      </c>
      <c r="E194" t="str">
        <v>D</v>
      </c>
      <c r="F194">
        <f>VLOOKUP(D174,'Detail Balok'!$C$10:$AU$110,33,FALSE)</f>
        <v>8</v>
      </c>
      <c r="G194" t="str">
        <v>-</v>
      </c>
      <c r="H194">
        <f>VLOOKUP(D174,'Detail Balok'!$C$10:$AU$110,35,FALSE)</f>
        <v>200</v>
      </c>
      <c r="J194">
        <f>(IF(D194=0,(2*(D175+G175))-(F$5*8),IF(D194=3,(2*(D175+G175))-(F$5*8)+(G175-2*F$5),IF(D194=4,(2*(D175+G175))-(F$5*8)+2*(G175-2*F$5)))))/1000</f>
        <v>0.88</v>
      </c>
      <c r="K194" t="str">
        <v>+</v>
      </c>
      <c r="L194">
        <f>IF(D194=0,2*MAX(6*F194,75),(D194-1)*2*MAX(6*F194,75))/1000</f>
        <v>0.15</v>
      </c>
      <c r="M194" t="str">
        <v>=</v>
      </c>
      <c r="N194">
        <f>J194+L194</f>
        <v>1.03</v>
      </c>
      <c r="T194" t="str">
        <v>x</v>
      </c>
      <c r="U194">
        <f>0.006165*F194^2</f>
        <v>0.39456</v>
      </c>
      <c r="V194" t="str">
        <v>x</v>
      </c>
      <c r="W194">
        <f>IF(D177&gt;4*G175,ROUND(MAX(D177/4,2*G175)/H194,0)+1,ROUND(D177/H194,0)+1)</f>
        <v>7</v>
      </c>
      <c r="X194" t="str">
        <v>x</v>
      </c>
      <c r="Y194">
        <f>D180</f>
        <v>0</v>
      </c>
      <c r="Z194" t="str">
        <v>=</v>
      </c>
      <c r="AA194">
        <f>N194*U194*W194*Y194</f>
        <v>0</v>
      </c>
    </row>
    <row r="195">
      <c r="A195" t="str">
        <f>A174</f>
        <v>Sloof</v>
      </c>
      <c r="B195">
        <f>B174</f>
        <v>6</v>
      </c>
      <c r="C195" t="str">
        <v>Sengkang Lapangan</v>
      </c>
      <c r="D195">
        <f>VLOOKUP(D174,'Detail Balok'!$C$10:$AU$110,36,FALSE)</f>
        <v>0</v>
      </c>
      <c r="E195" t="str">
        <v>D</v>
      </c>
      <c r="F195">
        <f>VLOOKUP(D174,'Detail Balok'!$C$10:$AU$110,38,FALSE)</f>
        <v>8</v>
      </c>
      <c r="G195" t="str">
        <v>-</v>
      </c>
      <c r="H195">
        <f>VLOOKUP(D174,'Detail Balok'!$C$10:$AU$110,40,FALSE)</f>
        <v>200</v>
      </c>
      <c r="J195">
        <f>(IF(D195=0,(2*(D175+G175))-(F$5*8),IF(D195=3,(2*(D175+G175))-(F$5*8)+(G175-2*F$5),IF(D195=4,(2*(D175+G175))-(F$5*8)+2*(G175-2*F$5)))))/1000</f>
        <v>0.88</v>
      </c>
      <c r="K195" t="str">
        <v>+</v>
      </c>
      <c r="L195">
        <f>IF(D195=0,2*MAX(6*F195,75),(D195-1)*2*MAX(6*F195,75))/1000</f>
        <v>0.15</v>
      </c>
      <c r="M195" t="str">
        <v>=</v>
      </c>
      <c r="N195">
        <f>J195+L195</f>
        <v>1.03</v>
      </c>
      <c r="T195" t="str">
        <v>x</v>
      </c>
      <c r="U195">
        <f>0.006165*F195^2</f>
        <v>0.39456</v>
      </c>
      <c r="V195" t="str">
        <v>x</v>
      </c>
      <c r="W195">
        <f>IF(D177-MAX(D177/4,2*G175)*2&gt;0,ROUND((D177-MAX(D177/4,2*G175)*2)/H195,0),0)</f>
        <v>12</v>
      </c>
      <c r="X195" t="str">
        <v>x</v>
      </c>
      <c r="Y195">
        <f>D180</f>
        <v>0</v>
      </c>
      <c r="Z195" t="str">
        <v>=</v>
      </c>
      <c r="AA195">
        <f>N195*U195*W195*Y195</f>
        <v>0</v>
      </c>
    </row>
    <row r="196">
      <c r="A196" t="str">
        <f>A174</f>
        <v>Sloof</v>
      </c>
      <c r="B196">
        <f>B174</f>
        <v>6</v>
      </c>
      <c r="C196" t="str">
        <v>Sengkang Tumpuan</v>
      </c>
      <c r="D196">
        <f>VLOOKUP(D174,'Detail Balok'!$C$10:$AU$110,41,FALSE)</f>
        <v>0</v>
      </c>
      <c r="E196" t="str">
        <v>D</v>
      </c>
      <c r="F196">
        <f>VLOOKUP(D174,'Detail Balok'!$C$10:$AU$110,43,FALSE)</f>
        <v>8</v>
      </c>
      <c r="G196" t="str">
        <v>-</v>
      </c>
      <c r="H196">
        <f>VLOOKUP(D174,'Detail Balok'!$C$10:$AU$110,45,FALSE)</f>
        <v>200</v>
      </c>
      <c r="J196">
        <f>(IF(D196=0,(2*(D175+G175))-(F$5*8),IF(D196=3,(2*(D175+G175))-(F$5*8)+(G175-2*F$5),IF(D196=4,(2*(D175+G175))-(F$5*8)+2*(G175-2*F$5)))))/1000</f>
        <v>0.88</v>
      </c>
      <c r="K196" t="str">
        <v>+</v>
      </c>
      <c r="L196">
        <f>IF(D196=0,2*MAX(6*F196,75),(D196-1)*2*MAX(6*F196,75))/1000</f>
        <v>0.15</v>
      </c>
      <c r="M196" t="str">
        <v>=</v>
      </c>
      <c r="N196">
        <f>J196+L196</f>
        <v>1.03</v>
      </c>
      <c r="T196" t="str">
        <v>x</v>
      </c>
      <c r="U196">
        <f>0.006165*F196^2</f>
        <v>0.39456</v>
      </c>
      <c r="V196" t="str">
        <v>x</v>
      </c>
      <c r="W196">
        <f>IF(D177&gt;4*G175,ROUND(MAX(D177/4,2*G175)/H196,0)+1,0)</f>
        <v>7</v>
      </c>
      <c r="X196" t="str">
        <v>x</v>
      </c>
      <c r="Y196">
        <f>D180</f>
        <v>0</v>
      </c>
      <c r="Z196" t="str">
        <v>=</v>
      </c>
      <c r="AA196">
        <f>N196*U196*W196*Y196</f>
        <v>0</v>
      </c>
    </row>
    <row r="198">
      <c r="A198" t="str">
        <f>A174</f>
        <v>Sloof</v>
      </c>
      <c r="B198">
        <f>B174</f>
        <v>6</v>
      </c>
      <c r="C198" t="str">
        <v>Kait Horizontal Tump.</v>
      </c>
      <c r="D198">
        <f>VLOOKUP(D174,'Detail Balok'!$C$10:$BJ$110,46,FALSE)</f>
        <v>0</v>
      </c>
      <c r="E198" t="str">
        <v>D</v>
      </c>
      <c r="F198">
        <f>VLOOKUP(D174,'Detail Balok'!$C$10:$BJ$110,48,FALSE)</f>
        <v>0</v>
      </c>
      <c r="G198" t="str">
        <v>-</v>
      </c>
      <c r="H198">
        <f>VLOOKUP(D174,'Detail Balok'!$C$10:$BJ$110,50,FALSE)</f>
        <v>100</v>
      </c>
      <c r="J198">
        <f>(D175-2*F$5)/1000</f>
        <v>0.12</v>
      </c>
      <c r="K198" t="str">
        <v>+</v>
      </c>
      <c r="L198">
        <f>IF(D198=0,2*MAX(6*F198,75),(D198-1)*2*MAX(6*F198,75))/1000</f>
        <v>0.15</v>
      </c>
      <c r="M198" t="str">
        <v>=</v>
      </c>
      <c r="N198">
        <f>J198+L198</f>
        <v>0.27</v>
      </c>
      <c r="T198" t="str">
        <v>x</v>
      </c>
      <c r="U198">
        <f>0.006165*F198^2</f>
        <v>0</v>
      </c>
      <c r="V198" t="str">
        <v>x</v>
      </c>
      <c r="W198">
        <f>W194</f>
        <v>7</v>
      </c>
      <c r="X198" t="str">
        <v>x</v>
      </c>
      <c r="Y198">
        <f>D184</f>
        <v>2</v>
      </c>
      <c r="Z198" t="str">
        <v>=</v>
      </c>
      <c r="AA198">
        <f>N198*U198*W198*Y198</f>
        <v>0</v>
      </c>
    </row>
    <row r="199">
      <c r="A199" t="str">
        <f>A174</f>
        <v>Sloof</v>
      </c>
      <c r="B199">
        <f>B174</f>
        <v>6</v>
      </c>
      <c r="C199" t="str">
        <v>Kait Horizontal Lap.</v>
      </c>
      <c r="D199">
        <f>VLOOKUP(D174,'Detail Balok'!$C$10:$BJ$110,51,FALSE)</f>
        <v>0</v>
      </c>
      <c r="E199" t="str">
        <v>D</v>
      </c>
      <c r="F199">
        <f>VLOOKUP(D174,'Detail Balok'!$C$10:$BJ$110,53,FALSE)</f>
        <v>0</v>
      </c>
      <c r="G199" t="str">
        <v>-</v>
      </c>
      <c r="H199">
        <f>VLOOKUP(D174,'Detail Balok'!$C$10:$BJ$110,55,FALSE)</f>
        <v>100</v>
      </c>
      <c r="J199">
        <f>(D175-2*F$5)/1000</f>
        <v>0.12</v>
      </c>
      <c r="K199" t="str">
        <v>+</v>
      </c>
      <c r="L199">
        <f>IF(D199=0,2*MAX(6*F199,75),(D199-1)*2*MAX(6*F199,75))/1000</f>
        <v>0.15</v>
      </c>
      <c r="M199" t="str">
        <v>=</v>
      </c>
      <c r="N199">
        <f>J199+L199</f>
        <v>0.27</v>
      </c>
      <c r="T199" t="str">
        <v>x</v>
      </c>
      <c r="U199">
        <f>0.006165*F199^2</f>
        <v>0</v>
      </c>
      <c r="V199" t="str">
        <v>x</v>
      </c>
      <c r="W199">
        <f>W195</f>
        <v>12</v>
      </c>
      <c r="X199" t="str">
        <v>x</v>
      </c>
      <c r="Y199">
        <f>D184</f>
        <v>2</v>
      </c>
      <c r="Z199" t="str">
        <v>=</v>
      </c>
      <c r="AA199">
        <f>N199*U199*W199*Y199</f>
        <v>0</v>
      </c>
    </row>
    <row r="200">
      <c r="A200" t="str">
        <f>A174</f>
        <v>Sloof</v>
      </c>
      <c r="B200">
        <f>B174</f>
        <v>6</v>
      </c>
      <c r="C200" t="str">
        <v>Kait Horizontal Tump.</v>
      </c>
      <c r="D200">
        <f>VLOOKUP(D174,'Detail Balok'!$C$10:$BJ$110,56,FALSE)</f>
        <v>0</v>
      </c>
      <c r="E200" t="str">
        <v>D</v>
      </c>
      <c r="F200">
        <f>VLOOKUP(D174,'Detail Balok'!$C$10:$BJ$110,58,FALSE)</f>
        <v>0</v>
      </c>
      <c r="G200" t="str">
        <v>-</v>
      </c>
      <c r="H200">
        <f>VLOOKUP(D174,'Detail Balok'!$C$10:$BJ$110,60,FALSE)</f>
        <v>100</v>
      </c>
      <c r="J200">
        <f>(D175-2*F$5)/1000</f>
        <v>0.12</v>
      </c>
      <c r="K200" t="str">
        <v>+</v>
      </c>
      <c r="L200">
        <f>IF(D200=0,2*MAX(6*F200,75),(D200-1)*2*MAX(6*F200,75))/1000</f>
        <v>0.15</v>
      </c>
      <c r="M200" t="str">
        <v>=</v>
      </c>
      <c r="N200">
        <f>J200+L200</f>
        <v>0.27</v>
      </c>
      <c r="T200" t="str">
        <v>x</v>
      </c>
      <c r="U200">
        <f>0.006165*F200^2</f>
        <v>0</v>
      </c>
      <c r="V200" t="str">
        <v>x</v>
      </c>
      <c r="W200">
        <f>W196</f>
        <v>7</v>
      </c>
      <c r="X200" t="str">
        <v>x</v>
      </c>
      <c r="Y200">
        <f>D184</f>
        <v>2</v>
      </c>
      <c r="Z200" t="str">
        <v>=</v>
      </c>
      <c r="AA200">
        <f>N200*U200*W200*Y200</f>
        <v>0</v>
      </c>
    </row>
    <row r="204">
      <c r="A204" t="str">
        <f>A174</f>
        <v>Sloof</v>
      </c>
      <c r="B204">
        <f>B174+1</f>
        <v>7</v>
      </c>
      <c r="C204" t="str">
        <f>CONCATENATE(A204," no. ",B204)</f>
        <v>Sloof no. 7</v>
      </c>
      <c r="D204" t="str">
        <f>VLOOKUP(C204,'Data Panjang Balok'!$C$9:$N$424,2,FALSE)</f>
        <v>TBK25-1</v>
      </c>
    </row>
    <row r="205">
      <c r="C205" t="str">
        <v>Dimensi</v>
      </c>
      <c r="D205">
        <f>VLOOKUP(D204,'Detail Balok'!$C$10:$AU$110,2,FALSE)</f>
        <v>200</v>
      </c>
      <c r="F205" t="str">
        <v>x</v>
      </c>
      <c r="G205">
        <f>VLOOKUP(D204,'Detail Balok'!$C$10:$AU$110,3,FALSE)</f>
        <v>500</v>
      </c>
    </row>
    <row r="206">
      <c r="C206" t="str">
        <v>Panjang as ke as</v>
      </c>
      <c r="D206">
        <f>VLOOKUP(C204,'Data Panjang Balok'!$C$9:$N$424,4,FALSE)</f>
        <v>4830</v>
      </c>
    </row>
    <row r="207">
      <c r="C207" t="str">
        <v>Panjang netto</v>
      </c>
      <c r="D207">
        <f>VLOOKUP(C204,'Data Panjang Balok'!$C$9:$N$424,7,FALSE)</f>
        <v>4830</v>
      </c>
    </row>
    <row r="208">
      <c r="C208" t="str">
        <v>Kolom / balok kiri</v>
      </c>
      <c r="D208">
        <f>VLOOKUP(C204,'Data Panjang Balok'!$C$9:$N$424,9,FALSE)</f>
        <v>0</v>
      </c>
    </row>
    <row r="209">
      <c r="C209" t="str">
        <v>Kolom / balok kanan</v>
      </c>
      <c r="D209">
        <f>VLOOKUP(C204,'Data Panjang Balok'!$C$9:$N$424,10,FALSE)</f>
        <v>0</v>
      </c>
    </row>
    <row r="210">
      <c r="C210" t="str">
        <v>Jumlah</v>
      </c>
      <c r="D210">
        <f>VLOOKUP(C204,'Data Panjang Balok'!$C$9:$N$424,3,FALSE)</f>
        <v>0</v>
      </c>
    </row>
    <row r="211">
      <c r="A211" t="str">
        <f>A204</f>
        <v>Sloof</v>
      </c>
      <c r="B211">
        <f>B204</f>
        <v>7</v>
      </c>
      <c r="C211" t="str">
        <v>Tul Atas Tumpuan</v>
      </c>
      <c r="D211">
        <f>VLOOKUP(D204,'Detail Balok'!$C$10:$AU$110,4,FALSE)</f>
        <v>4</v>
      </c>
      <c r="E211" t="str">
        <v>D</v>
      </c>
      <c r="F211">
        <f>VLOOKUP(D204,'Detail Balok'!$C$10:$AU$110,6,FALSE)</f>
        <v>16</v>
      </c>
      <c r="I211" t="str">
        <v>(</v>
      </c>
      <c r="J211">
        <f>+D206/4/1000</f>
        <v>1.2075</v>
      </c>
      <c r="K211" t="str">
        <v>+</v>
      </c>
      <c r="L211">
        <f>MAX(VLOOKUP(F211,N$6:P$15,3,FALSE)/1000,2/3*D208/1000)+F$16*F211/1000</f>
        <v>0.192</v>
      </c>
      <c r="M211" t="str">
        <v>=</v>
      </c>
      <c r="N211">
        <f>J211+L211</f>
        <v>1.3995</v>
      </c>
      <c r="O211" t="str">
        <v>+</v>
      </c>
      <c r="P211">
        <f>D211-D212</f>
        <v>0</v>
      </c>
      <c r="Q211" t="str">
        <v>x</v>
      </c>
      <c r="R211">
        <f>IF(P211&gt;0,$F$18*F211/1000,0)</f>
        <v>0</v>
      </c>
      <c r="S211" t="str">
        <v>)</v>
      </c>
      <c r="T211" t="str">
        <v>x</v>
      </c>
      <c r="U211">
        <f>0.006165*F211^2</f>
        <v>1.57824</v>
      </c>
      <c r="X211" t="str">
        <v>x</v>
      </c>
      <c r="Y211">
        <f>D210</f>
        <v>0</v>
      </c>
      <c r="Z211" t="str">
        <v>=</v>
      </c>
      <c r="AA211">
        <f>IF(AA214=0,(D211*N211+P211*R211)*U211*Y211,0)</f>
        <v>0</v>
      </c>
    </row>
    <row r="212">
      <c r="A212" t="str">
        <f>A204</f>
        <v>Sloof</v>
      </c>
      <c r="B212">
        <f>B204</f>
        <v>7</v>
      </c>
      <c r="C212" t="str">
        <v>Tul Atas Lapangan</v>
      </c>
      <c r="D212">
        <f>VLOOKUP(D204,'Detail Balok'!$C$10:$AU$110,7,FALSE)</f>
        <v>4</v>
      </c>
      <c r="E212" t="str">
        <v>D</v>
      </c>
      <c r="F212">
        <f>VLOOKUP(D204,'Detail Balok'!$C$10:$AU$110,9,FALSE)</f>
        <v>16</v>
      </c>
      <c r="I212" t="str">
        <v>(</v>
      </c>
      <c r="J212">
        <f>+D206/2/1000</f>
        <v>2.415</v>
      </c>
      <c r="K212" t="str">
        <v>+</v>
      </c>
      <c r="M212" t="str">
        <v>=</v>
      </c>
      <c r="N212">
        <f>J212+L212</f>
        <v>2.415</v>
      </c>
      <c r="O212" t="str">
        <v>+</v>
      </c>
      <c r="P212">
        <f>MAX(D212-D211,D212-D213)</f>
        <v>0</v>
      </c>
      <c r="Q212" t="str">
        <v>x</v>
      </c>
      <c r="R212">
        <f>IF(P212&gt;0,2*(1-2*$F$19-1/2)*D207/1000,0)</f>
        <v>0</v>
      </c>
      <c r="S212" t="str">
        <v>)</v>
      </c>
      <c r="T212" t="str">
        <v>x</v>
      </c>
      <c r="U212">
        <f>0.006165*F212^2</f>
        <v>1.57824</v>
      </c>
      <c r="X212" t="str">
        <v>x</v>
      </c>
      <c r="Y212">
        <f>D210</f>
        <v>0</v>
      </c>
      <c r="Z212" t="str">
        <v>=</v>
      </c>
      <c r="AA212">
        <f>IF(AA214=0,(D212*N212+P212*R212)*U212*Y212,0)</f>
        <v>0</v>
      </c>
    </row>
    <row r="213">
      <c r="A213" t="str">
        <f>A204</f>
        <v>Sloof</v>
      </c>
      <c r="B213">
        <f>B204</f>
        <v>7</v>
      </c>
      <c r="C213" t="str">
        <v>Tul Atas Tumpuan</v>
      </c>
      <c r="D213">
        <f>VLOOKUP(D204,'Detail Balok'!$C$10:$AU$110,10,FALSE)</f>
        <v>4</v>
      </c>
      <c r="E213" t="str">
        <v>D</v>
      </c>
      <c r="F213">
        <f>VLOOKUP(D204,'Detail Balok'!$C$10:$AU$110,12,FALSE)</f>
        <v>16</v>
      </c>
      <c r="I213" t="str">
        <v>(</v>
      </c>
      <c r="J213">
        <f>+D206/4/1000</f>
        <v>1.2075</v>
      </c>
      <c r="K213" t="str">
        <v>+</v>
      </c>
      <c r="L213">
        <f>MAX(VLOOKUP(F213,N$6:P$15,3,FALSE)/1000,2/3*D208/1000)+F$16*F213/1000</f>
        <v>0.192</v>
      </c>
      <c r="M213" t="str">
        <v>=</v>
      </c>
      <c r="N213">
        <f>J213+L213</f>
        <v>1.3995</v>
      </c>
      <c r="O213" t="str">
        <v>+</v>
      </c>
      <c r="P213">
        <f>D213-D212</f>
        <v>0</v>
      </c>
      <c r="Q213" t="str">
        <v>x</v>
      </c>
      <c r="R213">
        <f>IF(P213&gt;0,$F$18*F213/1000,0)</f>
        <v>0</v>
      </c>
      <c r="S213" t="str">
        <v>)</v>
      </c>
      <c r="T213" t="str">
        <v>x</v>
      </c>
      <c r="U213">
        <f>0.006165*F213^2</f>
        <v>1.57824</v>
      </c>
      <c r="X213" t="str">
        <v>x</v>
      </c>
      <c r="Y213">
        <f>D210</f>
        <v>0</v>
      </c>
      <c r="Z213" t="str">
        <v>=</v>
      </c>
      <c r="AA213">
        <f>IF(AA214=0,(D213*N213+P213*R213)*U213*Y213,0)</f>
        <v>0</v>
      </c>
    </row>
    <row r="214">
      <c r="A214" t="str">
        <f>A204</f>
        <v>Sloof</v>
      </c>
      <c r="B214">
        <f>B204</f>
        <v>7</v>
      </c>
      <c r="D214">
        <f>IF(AND(D211=D212,D212=D213,D211=D213),D211,0)</f>
        <v>4</v>
      </c>
      <c r="E214" t="str">
        <v>D</v>
      </c>
      <c r="F214">
        <f>IF(AND(F211=F212,F211=F213,F212=F213),F211,0)</f>
        <v>16</v>
      </c>
      <c r="L214" t="str">
        <v>Total panjang per balok</v>
      </c>
      <c r="M214" t="str">
        <v>=</v>
      </c>
      <c r="N214">
        <f>IF(AND(D211=D212,D211=D213,D212=D213,F211=F212,F211=F213,F212=F213),SUM(N211:N213),0)</f>
        <v>5.2139999999999995</v>
      </c>
      <c r="O214" t="str">
        <v>+</v>
      </c>
      <c r="P214">
        <f>IF(N214&gt;12,ROUNDDOWN(N214/12,0),0)</f>
        <v>0</v>
      </c>
      <c r="Q214" t="str">
        <v>x</v>
      </c>
      <c r="R214">
        <f>IF(P214&gt;0,MAX(VLOOKUP(F214,$D$6:$G$15,3,FALSE),600),0)/1000</f>
        <v>0</v>
      </c>
      <c r="T214" t="str">
        <v>x</v>
      </c>
      <c r="U214">
        <f>U213</f>
        <v>1.57824</v>
      </c>
      <c r="V214" t="str">
        <v>x</v>
      </c>
      <c r="W214">
        <f>D214</f>
        <v>4</v>
      </c>
      <c r="X214" t="str">
        <v>x</v>
      </c>
      <c r="Y214">
        <f>Y213</f>
        <v>0</v>
      </c>
      <c r="Z214" t="str">
        <v>=</v>
      </c>
      <c r="AA214">
        <f>(N214+P214*R214/1000)*U214*W214*Y214</f>
        <v>0</v>
      </c>
    </row>
    <row r="216">
      <c r="A216" t="str">
        <f>A204</f>
        <v>Sloof</v>
      </c>
      <c r="B216">
        <f>B204</f>
        <v>7</v>
      </c>
      <c r="C216" t="str">
        <v>Tul Peminggang</v>
      </c>
      <c r="D216">
        <f>VLOOKUP(D204,'Detail Balok'!$C$10:$AU$110,13,FALSE)</f>
        <v>2</v>
      </c>
      <c r="E216" t="str">
        <v>D</v>
      </c>
      <c r="F216">
        <f>VLOOKUP(D204,'Detail Balok'!$C$10:$AU$110,15,FALSE)</f>
        <v>10</v>
      </c>
      <c r="J216">
        <f>+D206/1000</f>
        <v>4.83</v>
      </c>
      <c r="K216" t="str">
        <v>+</v>
      </c>
      <c r="L216">
        <f>2*$F$16*F216/1000</f>
        <v>0.24</v>
      </c>
      <c r="M216" t="str">
        <v>=</v>
      </c>
      <c r="N216">
        <f>J216+L216</f>
        <v>5.07</v>
      </c>
      <c r="O216" t="str">
        <v>+</v>
      </c>
      <c r="P216">
        <f>IF(N216&gt;12,ROUNDDOWN(N216/12,0),0)</f>
        <v>0</v>
      </c>
      <c r="Q216" t="str">
        <v>x</v>
      </c>
      <c r="R216">
        <f>IF(P216&gt;0,MAX(VLOOKUP(F216,$D$6:$G$15,3,FALSE),600),0)/1000</f>
        <v>0</v>
      </c>
      <c r="T216" t="str">
        <v>x</v>
      </c>
      <c r="U216">
        <f>0.006165*F216^2</f>
        <v>0.6165</v>
      </c>
      <c r="V216" t="str">
        <v>x</v>
      </c>
      <c r="W216">
        <f>+D216</f>
        <v>2</v>
      </c>
      <c r="X216" t="str">
        <v>x</v>
      </c>
      <c r="Y216">
        <f>D210</f>
        <v>0</v>
      </c>
      <c r="Z216" t="str">
        <v>=</v>
      </c>
      <c r="AA216">
        <f>(N216+P216*R216/1000)*U216*W216*Y216</f>
        <v>0</v>
      </c>
    </row>
    <row r="219">
      <c r="A219" t="str">
        <f>A204</f>
        <v>Sloof</v>
      </c>
      <c r="B219">
        <f>B204</f>
        <v>7</v>
      </c>
      <c r="C219" t="str">
        <v>Tul Bawah Tumpuan</v>
      </c>
      <c r="D219">
        <f>VLOOKUP(D204,'Detail Balok'!$C$10:$AU$110,22,FALSE)</f>
        <v>3</v>
      </c>
      <c r="E219" t="str">
        <v>D</v>
      </c>
      <c r="F219">
        <f>VLOOKUP(D204,'Detail Balok'!$C$10:$AU$110,24,FALSE)</f>
        <v>16</v>
      </c>
      <c r="I219" t="str">
        <v>(</v>
      </c>
      <c r="J219">
        <f>+J211</f>
        <v>1.2075</v>
      </c>
      <c r="K219" t="str">
        <v>+</v>
      </c>
      <c r="L219">
        <f>MAX(VLOOKUP(F219,N$6:P$15,3,FALSE)/1000,2/3*D209/1000)+F$16*F219/1000</f>
        <v>0.192</v>
      </c>
      <c r="M219" t="str">
        <v>=</v>
      </c>
      <c r="N219">
        <f>J219+L219</f>
        <v>1.3995</v>
      </c>
      <c r="O219" t="str">
        <v>+</v>
      </c>
      <c r="P219">
        <f>D219-D220</f>
        <v>0</v>
      </c>
      <c r="Q219" t="str">
        <v>x</v>
      </c>
      <c r="R219">
        <f>IF(P219&gt;0,$F$18*F219/1000,0)</f>
        <v>0</v>
      </c>
      <c r="S219" t="str">
        <v>)</v>
      </c>
      <c r="T219" t="str">
        <v>x</v>
      </c>
      <c r="U219">
        <f>0.006165*F219^2</f>
        <v>1.57824</v>
      </c>
      <c r="X219" t="str">
        <v>x</v>
      </c>
      <c r="Y219">
        <f>D210</f>
        <v>0</v>
      </c>
      <c r="Z219" t="str">
        <v>=</v>
      </c>
      <c r="AA219">
        <f>IF(AA222=0,(D219*N219+P219*R219)*U219*Y219,0)</f>
        <v>0</v>
      </c>
    </row>
    <row r="220">
      <c r="A220" t="str">
        <f>A204</f>
        <v>Sloof</v>
      </c>
      <c r="B220">
        <f>B204</f>
        <v>7</v>
      </c>
      <c r="C220" t="str">
        <v>Tul Bawah Lapangan</v>
      </c>
      <c r="D220">
        <f>VLOOKUP(D204,'Detail Balok'!$C$10:$AU$110,25,FALSE)</f>
        <v>3</v>
      </c>
      <c r="E220" t="str">
        <v>D</v>
      </c>
      <c r="F220">
        <f>VLOOKUP(D204,'Detail Balok'!$C$10:$AU$110,27,FALSE)</f>
        <v>16</v>
      </c>
      <c r="I220" t="str">
        <v>(</v>
      </c>
      <c r="J220">
        <f>+J212</f>
        <v>2.415</v>
      </c>
      <c r="K220" t="str">
        <v>+</v>
      </c>
      <c r="M220" t="str">
        <v>=</v>
      </c>
      <c r="N220">
        <f>J220+L220</f>
        <v>2.415</v>
      </c>
      <c r="O220" t="str">
        <v>+</v>
      </c>
      <c r="P220">
        <f>MAX(D220-D219,D220-D221)</f>
        <v>0</v>
      </c>
      <c r="Q220" t="str">
        <v>x</v>
      </c>
      <c r="R220">
        <f>IF(P220&gt;0,2*(1-2*$F$19-1/2)*D207/1000,0)</f>
        <v>0</v>
      </c>
      <c r="S220" t="str">
        <v>)</v>
      </c>
      <c r="T220" t="str">
        <v>x</v>
      </c>
      <c r="U220">
        <f>0.006165*F220^2</f>
        <v>1.57824</v>
      </c>
      <c r="X220" t="str">
        <v>x</v>
      </c>
      <c r="Y220">
        <f>D210</f>
        <v>0</v>
      </c>
      <c r="Z220" t="str">
        <v>=</v>
      </c>
      <c r="AA220">
        <f>IF(AA222=0,(D220*N220+P220*R220)*U220*Y220,0)</f>
        <v>0</v>
      </c>
    </row>
    <row r="221">
      <c r="A221" t="str">
        <f>A204</f>
        <v>Sloof</v>
      </c>
      <c r="B221">
        <f>B204</f>
        <v>7</v>
      </c>
      <c r="C221" t="str">
        <v>Tul Bawah Tumpuan</v>
      </c>
      <c r="D221">
        <f>VLOOKUP(D204,'Detail Balok'!$C$10:$AU$110,28,FALSE)</f>
        <v>3</v>
      </c>
      <c r="E221" t="str">
        <v>D</v>
      </c>
      <c r="F221">
        <f>VLOOKUP(D204,'Detail Balok'!$C$10:$AU$110,30,FALSE)</f>
        <v>16</v>
      </c>
      <c r="I221" t="str">
        <v>(</v>
      </c>
      <c r="J221">
        <f>+J213</f>
        <v>1.2075</v>
      </c>
      <c r="K221" t="str">
        <v>+</v>
      </c>
      <c r="L221">
        <f>MAX(VLOOKUP(F221,N$6:P$15,3,FALSE)/1000,2/3*D209/1000)+F$16*F221/1000</f>
        <v>0.192</v>
      </c>
      <c r="M221" t="str">
        <v>=</v>
      </c>
      <c r="N221">
        <f>J221+L221</f>
        <v>1.3995</v>
      </c>
      <c r="O221" t="str">
        <v>+</v>
      </c>
      <c r="P221">
        <f>D221-D220</f>
        <v>0</v>
      </c>
      <c r="Q221" t="str">
        <v>x</v>
      </c>
      <c r="R221">
        <f>IF(P221&gt;0,$F$18*F221/1000,0)</f>
        <v>0</v>
      </c>
      <c r="S221" t="str">
        <v>)</v>
      </c>
      <c r="T221" t="str">
        <v>x</v>
      </c>
      <c r="U221">
        <f>0.006165*F221^2</f>
        <v>1.57824</v>
      </c>
      <c r="X221" t="str">
        <v>x</v>
      </c>
      <c r="Y221">
        <f>D210</f>
        <v>0</v>
      </c>
      <c r="Z221" t="str">
        <v>=</v>
      </c>
      <c r="AA221">
        <f>IF(AA222=0,(D221*N221+P221*R221)*U221*Y221,0)</f>
        <v>0</v>
      </c>
    </row>
    <row r="222">
      <c r="A222" t="str">
        <f>A204</f>
        <v>Sloof</v>
      </c>
      <c r="B222">
        <f>B204</f>
        <v>7</v>
      </c>
      <c r="D222">
        <f>IF(AND(D219=D220,D220=D221,D219=D221),D219,0)</f>
        <v>3</v>
      </c>
      <c r="E222" t="str">
        <v>D</v>
      </c>
      <c r="F222">
        <f>IF(AND(F219=F220,F219=F221,F220=F221),F219,0)</f>
        <v>16</v>
      </c>
      <c r="L222" t="str">
        <v>Total panjang per balok</v>
      </c>
      <c r="M222" t="str">
        <v>=</v>
      </c>
      <c r="N222">
        <f>IF(AND(D219=D220,D219=D221,D220=D221,F219=F220,F219=F221,F220=F221),SUM(N219:N221),0)</f>
        <v>5.2139999999999995</v>
      </c>
      <c r="O222" t="str">
        <v>+</v>
      </c>
      <c r="P222">
        <f>IF(N222&gt;12,ROUNDDOWN(N222/12,0),0)</f>
        <v>0</v>
      </c>
      <c r="Q222" t="str">
        <v>x</v>
      </c>
      <c r="R222">
        <f>IF(P222&gt;0,MAX(VLOOKUP(F222,$D$6:$G$15,3,FALSE),600),0)/1000</f>
        <v>0</v>
      </c>
      <c r="T222" t="str">
        <v>x</v>
      </c>
      <c r="U222">
        <f>U221</f>
        <v>1.57824</v>
      </c>
      <c r="V222" t="str">
        <v>x</v>
      </c>
      <c r="W222">
        <f>D222</f>
        <v>3</v>
      </c>
      <c r="X222" t="str">
        <v>x</v>
      </c>
      <c r="Y222">
        <f>Y221</f>
        <v>0</v>
      </c>
      <c r="Z222" t="str">
        <v>=</v>
      </c>
      <c r="AA222">
        <f>(N222+P222*R222/1000)*U222*W222*Y222</f>
        <v>0</v>
      </c>
    </row>
    <row r="224">
      <c r="A224" t="str">
        <f>A204</f>
        <v>Sloof</v>
      </c>
      <c r="B224">
        <f>B204</f>
        <v>7</v>
      </c>
      <c r="C224" t="str">
        <v>Sengkang Tumpuan</v>
      </c>
      <c r="D224">
        <f>VLOOKUP(D204,'Detail Balok'!$C$10:$AU$110,31,FALSE)</f>
        <v>0</v>
      </c>
      <c r="E224" t="str">
        <v>D</v>
      </c>
      <c r="F224">
        <f>VLOOKUP(D204,'Detail Balok'!$C$10:$AU$110,33,FALSE)</f>
        <v>10</v>
      </c>
      <c r="G224" t="str">
        <v>-</v>
      </c>
      <c r="H224">
        <f>VLOOKUP(D204,'Detail Balok'!$C$10:$AU$110,35,FALSE)</f>
        <v>150</v>
      </c>
      <c r="J224">
        <f>(IF(D224=0,(2*(D205+G205))-(F$5*8),IF(D224=3,(2*(D205+G205))-(F$5*8)+(G205-2*F$5),IF(D224=4,(2*(D205+G205))-(F$5*8)+2*(G205-2*F$5)))))/1000</f>
        <v>1.08</v>
      </c>
      <c r="K224" t="str">
        <v>+</v>
      </c>
      <c r="L224">
        <f>IF(D224=0,2*MAX(6*F224,75),(D224-1)*2*MAX(6*F224,75))/1000</f>
        <v>0.15</v>
      </c>
      <c r="M224" t="str">
        <v>=</v>
      </c>
      <c r="N224">
        <f>J224+L224</f>
        <v>1.23</v>
      </c>
      <c r="T224" t="str">
        <v>x</v>
      </c>
      <c r="U224">
        <f>0.006165*F224^2</f>
        <v>0.6165</v>
      </c>
      <c r="V224" t="str">
        <v>x</v>
      </c>
      <c r="W224">
        <f>IF(D207&gt;4*G205,ROUND(MAX(D207/4,2*G205)/H224,0)+1,ROUND(D207/H224,0)+1)</f>
        <v>9</v>
      </c>
      <c r="X224" t="str">
        <v>x</v>
      </c>
      <c r="Y224">
        <f>D210</f>
        <v>0</v>
      </c>
      <c r="Z224" t="str">
        <v>=</v>
      </c>
      <c r="AA224">
        <f>N224*U224*W224*Y224</f>
        <v>0</v>
      </c>
    </row>
    <row r="225">
      <c r="A225" t="str">
        <f>A204</f>
        <v>Sloof</v>
      </c>
      <c r="B225">
        <f>B204</f>
        <v>7</v>
      </c>
      <c r="C225" t="str">
        <v>Sengkang Lapangan</v>
      </c>
      <c r="D225">
        <f>VLOOKUP(D204,'Detail Balok'!$C$10:$AU$110,36,FALSE)</f>
        <v>0</v>
      </c>
      <c r="E225" t="str">
        <v>D</v>
      </c>
      <c r="F225">
        <f>VLOOKUP(D204,'Detail Balok'!$C$10:$AU$110,38,FALSE)</f>
        <v>10</v>
      </c>
      <c r="G225" t="str">
        <v>-</v>
      </c>
      <c r="H225">
        <f>VLOOKUP(D204,'Detail Balok'!$C$10:$AU$110,40,FALSE)</f>
        <v>150</v>
      </c>
      <c r="J225">
        <f>(IF(D225=0,(2*(D205+G205))-(F$5*8),IF(D225=3,(2*(D205+G205))-(F$5*8)+(G205-2*F$5),IF(D225=4,(2*(D205+G205))-(F$5*8)+2*(G205-2*F$5)))))/1000</f>
        <v>1.08</v>
      </c>
      <c r="K225" t="str">
        <v>+</v>
      </c>
      <c r="L225">
        <f>IF(D225=0,2*MAX(6*F225,75),(D225-1)*2*MAX(6*F225,75))/1000</f>
        <v>0.15</v>
      </c>
      <c r="M225" t="str">
        <v>=</v>
      </c>
      <c r="N225">
        <f>J225+L225</f>
        <v>1.23</v>
      </c>
      <c r="T225" t="str">
        <v>x</v>
      </c>
      <c r="U225">
        <f>0.006165*F225^2</f>
        <v>0.6165</v>
      </c>
      <c r="V225" t="str">
        <v>x</v>
      </c>
      <c r="W225">
        <f>IF(D207-MAX(D207/4,2*G205)*2&gt;0,ROUND((D207-MAX(D207/4,2*G205)*2)/H225,0),0)</f>
        <v>16</v>
      </c>
      <c r="X225" t="str">
        <v>x</v>
      </c>
      <c r="Y225">
        <f>D210</f>
        <v>0</v>
      </c>
      <c r="Z225" t="str">
        <v>=</v>
      </c>
      <c r="AA225">
        <f>N225*U225*W225*Y225</f>
        <v>0</v>
      </c>
    </row>
    <row r="226">
      <c r="A226" t="str">
        <f>A204</f>
        <v>Sloof</v>
      </c>
      <c r="B226">
        <f>B204</f>
        <v>7</v>
      </c>
      <c r="C226" t="str">
        <v>Sengkang Tumpuan</v>
      </c>
      <c r="D226">
        <f>VLOOKUP(D204,'Detail Balok'!$C$10:$AU$110,41,FALSE)</f>
        <v>0</v>
      </c>
      <c r="E226" t="str">
        <v>D</v>
      </c>
      <c r="F226">
        <f>VLOOKUP(D204,'Detail Balok'!$C$10:$AU$110,43,FALSE)</f>
        <v>10</v>
      </c>
      <c r="G226" t="str">
        <v>-</v>
      </c>
      <c r="H226">
        <f>VLOOKUP(D204,'Detail Balok'!$C$10:$AU$110,45,FALSE)</f>
        <v>150</v>
      </c>
      <c r="J226">
        <f>(IF(D226=0,(2*(D205+G205))-(F$5*8),IF(D226=3,(2*(D205+G205))-(F$5*8)+(G205-2*F$5),IF(D226=4,(2*(D205+G205))-(F$5*8)+2*(G205-2*F$5)))))/1000</f>
        <v>1.08</v>
      </c>
      <c r="K226" t="str">
        <v>+</v>
      </c>
      <c r="L226">
        <f>IF(D226=0,2*MAX(6*F226,75),(D226-1)*2*MAX(6*F226,75))/1000</f>
        <v>0.15</v>
      </c>
      <c r="M226" t="str">
        <v>=</v>
      </c>
      <c r="N226">
        <f>J226+L226</f>
        <v>1.23</v>
      </c>
      <c r="T226" t="str">
        <v>x</v>
      </c>
      <c r="U226">
        <f>0.006165*F226^2</f>
        <v>0.6165</v>
      </c>
      <c r="V226" t="str">
        <v>x</v>
      </c>
      <c r="W226">
        <f>IF(D207&gt;4*G205,ROUND(MAX(D207/4,2*G205)/H226,0)+1,0)</f>
        <v>9</v>
      </c>
      <c r="X226" t="str">
        <v>x</v>
      </c>
      <c r="Y226">
        <f>D210</f>
        <v>0</v>
      </c>
      <c r="Z226" t="str">
        <v>=</v>
      </c>
      <c r="AA226">
        <f>N226*U226*W226*Y226</f>
        <v>0</v>
      </c>
    </row>
    <row r="228">
      <c r="A228" t="str">
        <f>A204</f>
        <v>Sloof</v>
      </c>
      <c r="B228">
        <f>B204</f>
        <v>7</v>
      </c>
      <c r="C228" t="str">
        <v>Kait Horizontal Tump.</v>
      </c>
      <c r="D228">
        <f>VLOOKUP(D204,'Detail Balok'!$C$10:$BJ$110,46,FALSE)</f>
        <v>0</v>
      </c>
      <c r="E228" t="str">
        <v>D</v>
      </c>
      <c r="F228">
        <f>VLOOKUP(D204,'Detail Balok'!$C$10:$BJ$110,48,FALSE)</f>
        <v>0</v>
      </c>
      <c r="G228" t="str">
        <v>-</v>
      </c>
      <c r="H228">
        <f>VLOOKUP(D204,'Detail Balok'!$C$10:$BJ$110,50,FALSE)</f>
        <v>100</v>
      </c>
      <c r="J228">
        <f>(D205-2*F$5)/1000</f>
        <v>0.12</v>
      </c>
      <c r="K228" t="str">
        <v>+</v>
      </c>
      <c r="L228">
        <f>IF(D228=0,2*MAX(6*F228,75),(D228-1)*2*MAX(6*F228,75))/1000</f>
        <v>0.15</v>
      </c>
      <c r="M228" t="str">
        <v>=</v>
      </c>
      <c r="N228">
        <f>J228+L228</f>
        <v>0.27</v>
      </c>
      <c r="T228" t="str">
        <v>x</v>
      </c>
      <c r="U228">
        <f>0.006165*F228^2</f>
        <v>0</v>
      </c>
      <c r="V228" t="str">
        <v>x</v>
      </c>
      <c r="W228">
        <f>W224</f>
        <v>9</v>
      </c>
      <c r="X228" t="str">
        <v>x</v>
      </c>
      <c r="Y228">
        <f>D214</f>
        <v>4</v>
      </c>
      <c r="Z228" t="str">
        <v>=</v>
      </c>
      <c r="AA228">
        <f>N228*U228*W228*Y228</f>
        <v>0</v>
      </c>
    </row>
    <row r="229">
      <c r="A229" t="str">
        <f>A204</f>
        <v>Sloof</v>
      </c>
      <c r="B229">
        <f>B204</f>
        <v>7</v>
      </c>
      <c r="C229" t="str">
        <v>Kait Horizontal Lap.</v>
      </c>
      <c r="D229">
        <f>VLOOKUP(D204,'Detail Balok'!$C$10:$BJ$110,51,FALSE)</f>
        <v>0</v>
      </c>
      <c r="E229" t="str">
        <v>D</v>
      </c>
      <c r="F229">
        <f>VLOOKUP(D204,'Detail Balok'!$C$10:$BJ$110,53,FALSE)</f>
        <v>0</v>
      </c>
      <c r="G229" t="str">
        <v>-</v>
      </c>
      <c r="H229">
        <f>VLOOKUP(D204,'Detail Balok'!$C$10:$BJ$110,55,FALSE)</f>
        <v>100</v>
      </c>
      <c r="J229">
        <f>(D205-2*F$5)/1000</f>
        <v>0.12</v>
      </c>
      <c r="K229" t="str">
        <v>+</v>
      </c>
      <c r="L229">
        <f>IF(D229=0,2*MAX(6*F229,75),(D229-1)*2*MAX(6*F229,75))/1000</f>
        <v>0.15</v>
      </c>
      <c r="M229" t="str">
        <v>=</v>
      </c>
      <c r="N229">
        <f>J229+L229</f>
        <v>0.27</v>
      </c>
      <c r="T229" t="str">
        <v>x</v>
      </c>
      <c r="U229">
        <f>0.006165*F229^2</f>
        <v>0</v>
      </c>
      <c r="V229" t="str">
        <v>x</v>
      </c>
      <c r="W229">
        <f>W225</f>
        <v>16</v>
      </c>
      <c r="X229" t="str">
        <v>x</v>
      </c>
      <c r="Y229">
        <f>D214</f>
        <v>4</v>
      </c>
      <c r="Z229" t="str">
        <v>=</v>
      </c>
      <c r="AA229">
        <f>N229*U229*W229*Y229</f>
        <v>0</v>
      </c>
    </row>
    <row r="230">
      <c r="A230" t="str">
        <f>A204</f>
        <v>Sloof</v>
      </c>
      <c r="B230">
        <f>B204</f>
        <v>7</v>
      </c>
      <c r="C230" t="str">
        <v>Kait Horizontal Tump.</v>
      </c>
      <c r="D230">
        <f>VLOOKUP(D204,'Detail Balok'!$C$10:$BJ$110,56,FALSE)</f>
        <v>0</v>
      </c>
      <c r="E230" t="str">
        <v>D</v>
      </c>
      <c r="F230">
        <f>VLOOKUP(D204,'Detail Balok'!$C$10:$BJ$110,58,FALSE)</f>
        <v>0</v>
      </c>
      <c r="G230" t="str">
        <v>-</v>
      </c>
      <c r="H230">
        <f>VLOOKUP(D204,'Detail Balok'!$C$10:$BJ$110,60,FALSE)</f>
        <v>100</v>
      </c>
      <c r="J230">
        <f>(D205-2*F$5)/1000</f>
        <v>0.12</v>
      </c>
      <c r="K230" t="str">
        <v>+</v>
      </c>
      <c r="L230">
        <f>IF(D230=0,2*MAX(6*F230,75),(D230-1)*2*MAX(6*F230,75))/1000</f>
        <v>0.15</v>
      </c>
      <c r="M230" t="str">
        <v>=</v>
      </c>
      <c r="N230">
        <f>J230+L230</f>
        <v>0.27</v>
      </c>
      <c r="T230" t="str">
        <v>x</v>
      </c>
      <c r="U230">
        <f>0.006165*F230^2</f>
        <v>0</v>
      </c>
      <c r="V230" t="str">
        <v>x</v>
      </c>
      <c r="W230">
        <f>W226</f>
        <v>9</v>
      </c>
      <c r="X230" t="str">
        <v>x</v>
      </c>
      <c r="Y230">
        <f>D214</f>
        <v>4</v>
      </c>
      <c r="Z230" t="str">
        <v>=</v>
      </c>
      <c r="AA230">
        <f>N230*U230*W230*Y230</f>
        <v>0</v>
      </c>
    </row>
    <row r="234">
      <c r="A234" t="str">
        <f>A204</f>
        <v>Sloof</v>
      </c>
      <c r="B234">
        <f>B204+1</f>
        <v>8</v>
      </c>
      <c r="C234" t="str">
        <f>CONCATENATE(A234," no. ",B234)</f>
        <v>Sloof no. 8</v>
      </c>
      <c r="D234" t="str">
        <f>VLOOKUP(C234,'Data Panjang Balok'!$C$9:$N$424,2,FALSE)</f>
        <v>TB46-1</v>
      </c>
    </row>
    <row r="235">
      <c r="C235" t="str">
        <v>Dimensi</v>
      </c>
      <c r="D235">
        <f>VLOOKUP(D234,'Detail Balok'!$C$10:$AU$110,2,FALSE)</f>
        <v>400</v>
      </c>
      <c r="F235" t="str">
        <v>x</v>
      </c>
      <c r="G235">
        <f>VLOOKUP(D234,'Detail Balok'!$C$10:$AU$110,3,FALSE)</f>
        <v>600</v>
      </c>
    </row>
    <row r="236">
      <c r="C236" t="str">
        <v>Panjang as ke as</v>
      </c>
      <c r="D236">
        <f>VLOOKUP(C234,'Data Panjang Balok'!$C$9:$N$424,4,FALSE)</f>
        <v>3600</v>
      </c>
    </row>
    <row r="237">
      <c r="C237" t="str">
        <v>Panjang netto</v>
      </c>
      <c r="D237">
        <f>VLOOKUP(C234,'Data Panjang Balok'!$C$9:$N$424,7,FALSE)</f>
        <v>3600</v>
      </c>
    </row>
    <row r="238">
      <c r="C238" t="str">
        <v>Kolom / balok kiri</v>
      </c>
      <c r="D238">
        <f>VLOOKUP(C234,'Data Panjang Balok'!$C$9:$N$424,9,FALSE)</f>
        <v>0</v>
      </c>
    </row>
    <row r="239">
      <c r="C239" t="str">
        <v>Kolom / balok kanan</v>
      </c>
      <c r="D239">
        <f>VLOOKUP(C234,'Data Panjang Balok'!$C$9:$N$424,10,FALSE)</f>
        <v>0</v>
      </c>
    </row>
    <row r="240">
      <c r="C240" t="str">
        <v>Jumlah</v>
      </c>
      <c r="D240">
        <f>VLOOKUP(C234,'Data Panjang Balok'!$C$9:$N$424,3,FALSE)</f>
        <v>1</v>
      </c>
    </row>
    <row r="241">
      <c r="A241" t="str">
        <f>A234</f>
        <v>Sloof</v>
      </c>
      <c r="B241">
        <f>B234</f>
        <v>8</v>
      </c>
      <c r="C241" t="str">
        <v>Tul Atas Tumpuan</v>
      </c>
      <c r="D241">
        <f>VLOOKUP(D234,'Detail Balok'!$C$10:$AU$110,4,FALSE)</f>
        <v>9</v>
      </c>
      <c r="E241" t="str">
        <v>D</v>
      </c>
      <c r="F241">
        <f>VLOOKUP(D234,'Detail Balok'!$C$10:$AU$110,6,FALSE)</f>
        <v>19</v>
      </c>
      <c r="I241" t="str">
        <v>(</v>
      </c>
      <c r="J241">
        <f>+D236/4/1000</f>
        <v>0.9</v>
      </c>
      <c r="K241" t="str">
        <v>+</v>
      </c>
      <c r="L241">
        <f>MAX(VLOOKUP(F241,N$6:P$15,3,FALSE)/1000,2/3*D238/1000)+F$16*F241/1000</f>
        <v>0.228</v>
      </c>
      <c r="M241" t="str">
        <v>=</v>
      </c>
      <c r="N241">
        <f>J241+L241</f>
        <v>1.1280000000000001</v>
      </c>
      <c r="O241" t="str">
        <v>+</v>
      </c>
      <c r="P241">
        <f>D241-D242</f>
        <v>0</v>
      </c>
      <c r="Q241" t="str">
        <v>x</v>
      </c>
      <c r="R241">
        <f>IF(P241&gt;0,$F$18*F241/1000,0)</f>
        <v>0</v>
      </c>
      <c r="S241" t="str">
        <v>)</v>
      </c>
      <c r="T241" t="str">
        <v>x</v>
      </c>
      <c r="U241">
        <f>0.006165*F241^2</f>
        <v>2.225565</v>
      </c>
      <c r="X241" t="str">
        <v>x</v>
      </c>
      <c r="Y241">
        <f>D240</f>
        <v>1</v>
      </c>
      <c r="Z241" t="str">
        <v>=</v>
      </c>
      <c r="AA241">
        <f>IF(AA244=0,(D241*N241+P241*R241)*U241*Y241,0)</f>
        <v>0</v>
      </c>
    </row>
    <row r="242">
      <c r="A242" t="str">
        <f>A234</f>
        <v>Sloof</v>
      </c>
      <c r="B242">
        <f>B234</f>
        <v>8</v>
      </c>
      <c r="C242" t="str">
        <v>Tul Atas Lapangan</v>
      </c>
      <c r="D242">
        <f>VLOOKUP(D234,'Detail Balok'!$C$10:$AU$110,7,FALSE)</f>
        <v>9</v>
      </c>
      <c r="E242" t="str">
        <v>D</v>
      </c>
      <c r="F242">
        <f>VLOOKUP(D234,'Detail Balok'!$C$10:$AU$110,9,FALSE)</f>
        <v>19</v>
      </c>
      <c r="I242" t="str">
        <v>(</v>
      </c>
      <c r="J242">
        <f>+D236/2/1000</f>
        <v>1.8</v>
      </c>
      <c r="K242" t="str">
        <v>+</v>
      </c>
      <c r="M242" t="str">
        <v>=</v>
      </c>
      <c r="N242">
        <f>J242+L242</f>
        <v>1.8</v>
      </c>
      <c r="O242" t="str">
        <v>+</v>
      </c>
      <c r="P242">
        <f>MAX(D242-D241,D242-D243)</f>
        <v>0</v>
      </c>
      <c r="Q242" t="str">
        <v>x</v>
      </c>
      <c r="R242">
        <f>IF(P242&gt;0,2*(1-2*$F$19-1/2)*D237/1000,0)</f>
        <v>0</v>
      </c>
      <c r="S242" t="str">
        <v>)</v>
      </c>
      <c r="T242" t="str">
        <v>x</v>
      </c>
      <c r="U242">
        <f>0.006165*F242^2</f>
        <v>2.225565</v>
      </c>
      <c r="X242" t="str">
        <v>x</v>
      </c>
      <c r="Y242">
        <f>D240</f>
        <v>1</v>
      </c>
      <c r="Z242" t="str">
        <v>=</v>
      </c>
      <c r="AA242">
        <f>IF(AA244=0,(D242*N242+P242*R242)*U242*Y242,0)</f>
        <v>0</v>
      </c>
    </row>
    <row r="243">
      <c r="A243" t="str">
        <f>A234</f>
        <v>Sloof</v>
      </c>
      <c r="B243">
        <f>B234</f>
        <v>8</v>
      </c>
      <c r="C243" t="str">
        <v>Tul Atas Tumpuan</v>
      </c>
      <c r="D243">
        <f>VLOOKUP(D234,'Detail Balok'!$C$10:$AU$110,10,FALSE)</f>
        <v>9</v>
      </c>
      <c r="E243" t="str">
        <v>D</v>
      </c>
      <c r="F243">
        <f>VLOOKUP(D234,'Detail Balok'!$C$10:$AU$110,12,FALSE)</f>
        <v>19</v>
      </c>
      <c r="I243" t="str">
        <v>(</v>
      </c>
      <c r="J243">
        <f>+D236/4/1000</f>
        <v>0.9</v>
      </c>
      <c r="K243" t="str">
        <v>+</v>
      </c>
      <c r="L243">
        <f>MAX(VLOOKUP(F243,N$6:P$15,3,FALSE)/1000,2/3*D238/1000)+F$16*F243/1000</f>
        <v>0.228</v>
      </c>
      <c r="M243" t="str">
        <v>=</v>
      </c>
      <c r="N243">
        <f>J243+L243</f>
        <v>1.1280000000000001</v>
      </c>
      <c r="O243" t="str">
        <v>+</v>
      </c>
      <c r="P243">
        <f>D243-D242</f>
        <v>0</v>
      </c>
      <c r="Q243" t="str">
        <v>x</v>
      </c>
      <c r="R243">
        <f>IF(P243&gt;0,$F$18*F243/1000,0)</f>
        <v>0</v>
      </c>
      <c r="S243" t="str">
        <v>)</v>
      </c>
      <c r="T243" t="str">
        <v>x</v>
      </c>
      <c r="U243">
        <f>0.006165*F243^2</f>
        <v>2.225565</v>
      </c>
      <c r="X243" t="str">
        <v>x</v>
      </c>
      <c r="Y243">
        <f>D240</f>
        <v>1</v>
      </c>
      <c r="Z243" t="str">
        <v>=</v>
      </c>
      <c r="AA243">
        <f>IF(AA244=0,(D243*N243+P243*R243)*U243*Y243,0)</f>
        <v>0</v>
      </c>
    </row>
    <row r="244">
      <c r="A244" t="str">
        <f>A234</f>
        <v>Sloof</v>
      </c>
      <c r="B244">
        <f>B234</f>
        <v>8</v>
      </c>
      <c r="D244">
        <f>IF(AND(D241=D242,D242=D243,D241=D243),D241,0)</f>
        <v>9</v>
      </c>
      <c r="E244" t="str">
        <v>D</v>
      </c>
      <c r="F244">
        <f>IF(AND(F241=F242,F241=F243,F242=F243),F241,0)</f>
        <v>19</v>
      </c>
      <c r="L244" t="str">
        <v>Total panjang per balok</v>
      </c>
      <c r="M244" t="str">
        <v>=</v>
      </c>
      <c r="N244">
        <f>IF(AND(D241=D242,D241=D243,D242=D243,F241=F242,F241=F243,F242=F243),SUM(N241:N243),0)</f>
        <v>4.056</v>
      </c>
      <c r="O244" t="str">
        <v>+</v>
      </c>
      <c r="P244">
        <f>IF(N244&gt;12,ROUNDDOWN(N244/12,0),0)</f>
        <v>0</v>
      </c>
      <c r="Q244" t="str">
        <v>x</v>
      </c>
      <c r="R244">
        <f>IF(P244&gt;0,MAX(VLOOKUP(F244,$D$6:$G$15,3,FALSE),600),0)/1000</f>
        <v>0</v>
      </c>
      <c r="T244" t="str">
        <v>x</v>
      </c>
      <c r="U244">
        <f>U243</f>
        <v>2.225565</v>
      </c>
      <c r="V244" t="str">
        <v>x</v>
      </c>
      <c r="W244">
        <f>D244</f>
        <v>9</v>
      </c>
      <c r="X244" t="str">
        <v>x</v>
      </c>
      <c r="Y244">
        <f>Y243</f>
        <v>1</v>
      </c>
      <c r="Z244" t="str">
        <v>=</v>
      </c>
      <c r="AA244">
        <f>(N244+P244*R244/1000)*U244*W244*Y244</f>
        <v>81.24202476</v>
      </c>
    </row>
    <row r="246">
      <c r="A246" t="str">
        <f>A234</f>
        <v>Sloof</v>
      </c>
      <c r="B246">
        <f>B234</f>
        <v>8</v>
      </c>
      <c r="C246" t="str">
        <v>Tul Peminggang</v>
      </c>
      <c r="D246">
        <f>VLOOKUP(D234,'Detail Balok'!$C$10:$AU$110,13,FALSE)</f>
        <v>2</v>
      </c>
      <c r="E246" t="str">
        <v>D</v>
      </c>
      <c r="F246">
        <f>VLOOKUP(D234,'Detail Balok'!$C$10:$AU$110,15,FALSE)</f>
        <v>10</v>
      </c>
      <c r="J246">
        <f>+D236/1000</f>
        <v>3.6</v>
      </c>
      <c r="K246" t="str">
        <v>+</v>
      </c>
      <c r="L246">
        <f>2*$F$16*F246/1000</f>
        <v>0.24</v>
      </c>
      <c r="M246" t="str">
        <v>=</v>
      </c>
      <c r="N246">
        <f>J246+L246</f>
        <v>3.84</v>
      </c>
      <c r="O246" t="str">
        <v>+</v>
      </c>
      <c r="P246">
        <f>IF(N246&gt;12,ROUNDDOWN(N246/12,0),0)</f>
        <v>0</v>
      </c>
      <c r="Q246" t="str">
        <v>x</v>
      </c>
      <c r="R246">
        <f>IF(P246&gt;0,MAX(VLOOKUP(F246,$D$6:$G$15,3,FALSE),600),0)/1000</f>
        <v>0</v>
      </c>
      <c r="T246" t="str">
        <v>x</v>
      </c>
      <c r="U246">
        <f>0.006165*F246^2</f>
        <v>0.6165</v>
      </c>
      <c r="V246" t="str">
        <v>x</v>
      </c>
      <c r="W246">
        <f>+D246</f>
        <v>2</v>
      </c>
      <c r="X246" t="str">
        <v>x</v>
      </c>
      <c r="Y246">
        <f>D240</f>
        <v>1</v>
      </c>
      <c r="Z246" t="str">
        <v>=</v>
      </c>
      <c r="AA246">
        <f>(N246+P246*R246/1000)*U246*W246*Y246</f>
        <v>4.73472</v>
      </c>
    </row>
    <row r="249">
      <c r="A249" t="str">
        <f>A234</f>
        <v>Sloof</v>
      </c>
      <c r="B249">
        <f>B234</f>
        <v>8</v>
      </c>
      <c r="C249" t="str">
        <v>Tul Bawah Tumpuan</v>
      </c>
      <c r="D249">
        <f>VLOOKUP(D234,'Detail Balok'!$C$10:$AU$110,22,FALSE)</f>
        <v>5</v>
      </c>
      <c r="E249" t="str">
        <v>D</v>
      </c>
      <c r="F249">
        <f>VLOOKUP(D234,'Detail Balok'!$C$10:$AU$110,24,FALSE)</f>
        <v>19</v>
      </c>
      <c r="I249" t="str">
        <v>(</v>
      </c>
      <c r="J249">
        <f>+J241</f>
        <v>0.9</v>
      </c>
      <c r="K249" t="str">
        <v>+</v>
      </c>
      <c r="L249">
        <f>MAX(VLOOKUP(F249,N$6:P$15,3,FALSE)/1000,2/3*D239/1000)+F$16*F249/1000</f>
        <v>0.228</v>
      </c>
      <c r="M249" t="str">
        <v>=</v>
      </c>
      <c r="N249">
        <f>J249+L249</f>
        <v>1.1280000000000001</v>
      </c>
      <c r="O249" t="str">
        <v>+</v>
      </c>
      <c r="P249">
        <f>D249-D250</f>
        <v>0</v>
      </c>
      <c r="Q249" t="str">
        <v>x</v>
      </c>
      <c r="R249">
        <f>IF(P249&gt;0,$F$18*F249/1000,0)</f>
        <v>0</v>
      </c>
      <c r="S249" t="str">
        <v>)</v>
      </c>
      <c r="T249" t="str">
        <v>x</v>
      </c>
      <c r="U249">
        <f>0.006165*F249^2</f>
        <v>2.225565</v>
      </c>
      <c r="X249" t="str">
        <v>x</v>
      </c>
      <c r="Y249">
        <f>D240</f>
        <v>1</v>
      </c>
      <c r="Z249" t="str">
        <v>=</v>
      </c>
      <c r="AA249">
        <f>IF(AA252=0,(D249*N249+P249*R249)*U249*Y249,0)</f>
        <v>0</v>
      </c>
    </row>
    <row r="250">
      <c r="A250" t="str">
        <f>A234</f>
        <v>Sloof</v>
      </c>
      <c r="B250">
        <f>B234</f>
        <v>8</v>
      </c>
      <c r="C250" t="str">
        <v>Tul Bawah Lapangan</v>
      </c>
      <c r="D250">
        <f>VLOOKUP(D234,'Detail Balok'!$C$10:$AU$110,25,FALSE)</f>
        <v>5</v>
      </c>
      <c r="E250" t="str">
        <v>D</v>
      </c>
      <c r="F250">
        <f>VLOOKUP(D234,'Detail Balok'!$C$10:$AU$110,27,FALSE)</f>
        <v>19</v>
      </c>
      <c r="I250" t="str">
        <v>(</v>
      </c>
      <c r="J250">
        <f>+J242</f>
        <v>1.8</v>
      </c>
      <c r="K250" t="str">
        <v>+</v>
      </c>
      <c r="M250" t="str">
        <v>=</v>
      </c>
      <c r="N250">
        <f>J250+L250</f>
        <v>1.8</v>
      </c>
      <c r="O250" t="str">
        <v>+</v>
      </c>
      <c r="P250">
        <f>MAX(D250-D249,D250-D251)</f>
        <v>0</v>
      </c>
      <c r="Q250" t="str">
        <v>x</v>
      </c>
      <c r="R250">
        <f>IF(P250&gt;0,2*(1-2*$F$19-1/2)*D237/1000,0)</f>
        <v>0</v>
      </c>
      <c r="S250" t="str">
        <v>)</v>
      </c>
      <c r="T250" t="str">
        <v>x</v>
      </c>
      <c r="U250">
        <f>0.006165*F250^2</f>
        <v>2.225565</v>
      </c>
      <c r="X250" t="str">
        <v>x</v>
      </c>
      <c r="Y250">
        <f>D240</f>
        <v>1</v>
      </c>
      <c r="Z250" t="str">
        <v>=</v>
      </c>
      <c r="AA250">
        <f>IF(AA252=0,(D250*N250+P250*R250)*U250*Y250,0)</f>
        <v>0</v>
      </c>
    </row>
    <row r="251">
      <c r="A251" t="str">
        <f>A234</f>
        <v>Sloof</v>
      </c>
      <c r="B251">
        <f>B234</f>
        <v>8</v>
      </c>
      <c r="C251" t="str">
        <v>Tul Bawah Tumpuan</v>
      </c>
      <c r="D251">
        <f>VLOOKUP(D234,'Detail Balok'!$C$10:$AU$110,28,FALSE)</f>
        <v>5</v>
      </c>
      <c r="E251" t="str">
        <v>D</v>
      </c>
      <c r="F251">
        <f>VLOOKUP(D234,'Detail Balok'!$C$10:$AU$110,30,FALSE)</f>
        <v>19</v>
      </c>
      <c r="I251" t="str">
        <v>(</v>
      </c>
      <c r="J251">
        <f>+J243</f>
        <v>0.9</v>
      </c>
      <c r="K251" t="str">
        <v>+</v>
      </c>
      <c r="L251">
        <f>MAX(VLOOKUP(F251,N$6:P$15,3,FALSE)/1000,2/3*D239/1000)+F$16*F251/1000</f>
        <v>0.228</v>
      </c>
      <c r="M251" t="str">
        <v>=</v>
      </c>
      <c r="N251">
        <f>J251+L251</f>
        <v>1.1280000000000001</v>
      </c>
      <c r="O251" t="str">
        <v>+</v>
      </c>
      <c r="P251">
        <f>D251-D250</f>
        <v>0</v>
      </c>
      <c r="Q251" t="str">
        <v>x</v>
      </c>
      <c r="R251">
        <f>IF(P251&gt;0,$F$18*F251/1000,0)</f>
        <v>0</v>
      </c>
      <c r="S251" t="str">
        <v>)</v>
      </c>
      <c r="T251" t="str">
        <v>x</v>
      </c>
      <c r="U251">
        <f>0.006165*F251^2</f>
        <v>2.225565</v>
      </c>
      <c r="X251" t="str">
        <v>x</v>
      </c>
      <c r="Y251">
        <f>D240</f>
        <v>1</v>
      </c>
      <c r="Z251" t="str">
        <v>=</v>
      </c>
      <c r="AA251">
        <f>IF(AA252=0,(D251*N251+P251*R251)*U251*Y251,0)</f>
        <v>0</v>
      </c>
    </row>
    <row r="252">
      <c r="A252" t="str">
        <f>A234</f>
        <v>Sloof</v>
      </c>
      <c r="B252">
        <f>B234</f>
        <v>8</v>
      </c>
      <c r="D252">
        <f>IF(AND(D249=D250,D250=D251,D249=D251),D249,0)</f>
        <v>5</v>
      </c>
      <c r="E252" t="str">
        <v>D</v>
      </c>
      <c r="F252">
        <f>IF(AND(F249=F250,F249=F251,F250=F251),F249,0)</f>
        <v>19</v>
      </c>
      <c r="L252" t="str">
        <v>Total panjang per balok</v>
      </c>
      <c r="M252" t="str">
        <v>=</v>
      </c>
      <c r="N252">
        <f>IF(AND(D249=D250,D249=D251,D250=D251,F249=F250,F249=F251,F250=F251),SUM(N249:N251),0)</f>
        <v>4.056</v>
      </c>
      <c r="O252" t="str">
        <v>+</v>
      </c>
      <c r="P252">
        <f>IF(N252&gt;12,ROUNDDOWN(N252/12,0),0)</f>
        <v>0</v>
      </c>
      <c r="Q252" t="str">
        <v>x</v>
      </c>
      <c r="R252">
        <f>IF(P252&gt;0,MAX(VLOOKUP(F252,$D$6:$G$15,3,FALSE),600),0)/1000</f>
        <v>0</v>
      </c>
      <c r="T252" t="str">
        <v>x</v>
      </c>
      <c r="U252">
        <f>U251</f>
        <v>2.225565</v>
      </c>
      <c r="V252" t="str">
        <v>x</v>
      </c>
      <c r="W252">
        <f>D252</f>
        <v>5</v>
      </c>
      <c r="X252" t="str">
        <v>x</v>
      </c>
      <c r="Y252">
        <f>Y251</f>
        <v>1</v>
      </c>
      <c r="Z252" t="str">
        <v>=</v>
      </c>
      <c r="AA252">
        <f>(N252+P252*R252/1000)*U252*W252*Y252</f>
        <v>45.134458200000005</v>
      </c>
    </row>
    <row r="254">
      <c r="A254" t="str">
        <f>A234</f>
        <v>Sloof</v>
      </c>
      <c r="B254">
        <f>B234</f>
        <v>8</v>
      </c>
      <c r="C254" t="str">
        <v>Sengkang Tumpuan</v>
      </c>
      <c r="D254">
        <f>VLOOKUP(D234,'Detail Balok'!$C$10:$AU$110,31,FALSE)</f>
        <v>0</v>
      </c>
      <c r="E254" t="str">
        <v>D</v>
      </c>
      <c r="F254">
        <f>VLOOKUP(D234,'Detail Balok'!$C$10:$AU$110,33,FALSE)</f>
        <v>10</v>
      </c>
      <c r="G254" t="str">
        <v>-</v>
      </c>
      <c r="H254">
        <f>VLOOKUP(D234,'Detail Balok'!$C$10:$AU$110,35,FALSE)</f>
        <v>200</v>
      </c>
      <c r="J254">
        <f>(IF(D254=0,(2*(D235+G235))-(F$5*8),IF(D254=3,(2*(D235+G235))-(F$5*8)+(G235-2*F$5),IF(D254=4,(2*(D235+G235))-(F$5*8)+2*(G235-2*F$5)))))/1000</f>
        <v>1.68</v>
      </c>
      <c r="K254" t="str">
        <v>+</v>
      </c>
      <c r="L254">
        <f>IF(D254=0,2*MAX(6*F254,75),(D254-1)*2*MAX(6*F254,75))/1000</f>
        <v>0.15</v>
      </c>
      <c r="M254" t="str">
        <v>=</v>
      </c>
      <c r="N254">
        <f>J254+L254</f>
        <v>1.8299999999999998</v>
      </c>
      <c r="T254" t="str">
        <v>x</v>
      </c>
      <c r="U254">
        <f>0.006165*F254^2</f>
        <v>0.6165</v>
      </c>
      <c r="V254" t="str">
        <v>x</v>
      </c>
      <c r="W254">
        <f>IF(D237&gt;4*G235,ROUND(MAX(D237/4,2*G235)/H254,0)+1,ROUND(D237/H254,0)+1)</f>
        <v>7</v>
      </c>
      <c r="X254" t="str">
        <v>x</v>
      </c>
      <c r="Y254">
        <f>D240</f>
        <v>1</v>
      </c>
      <c r="Z254" t="str">
        <v>=</v>
      </c>
      <c r="AA254">
        <f>N254*U254*W254*Y254</f>
        <v>7.897365000000001</v>
      </c>
    </row>
    <row r="255">
      <c r="A255" t="str">
        <f>A234</f>
        <v>Sloof</v>
      </c>
      <c r="B255">
        <f>B234</f>
        <v>8</v>
      </c>
      <c r="C255" t="str">
        <v>Sengkang Lapangan</v>
      </c>
      <c r="D255">
        <f>VLOOKUP(D234,'Detail Balok'!$C$10:$AU$110,36,FALSE)</f>
        <v>0</v>
      </c>
      <c r="E255" t="str">
        <v>D</v>
      </c>
      <c r="F255">
        <f>VLOOKUP(D234,'Detail Balok'!$C$10:$AU$110,38,FALSE)</f>
        <v>10</v>
      </c>
      <c r="G255" t="str">
        <v>-</v>
      </c>
      <c r="H255">
        <f>VLOOKUP(D234,'Detail Balok'!$C$10:$AU$110,40,FALSE)</f>
        <v>200</v>
      </c>
      <c r="J255">
        <f>(IF(D255=0,(2*(D235+G235))-(F$5*8),IF(D255=3,(2*(D235+G235))-(F$5*8)+(G235-2*F$5),IF(D255=4,(2*(D235+G235))-(F$5*8)+2*(G235-2*F$5)))))/1000</f>
        <v>1.68</v>
      </c>
      <c r="K255" t="str">
        <v>+</v>
      </c>
      <c r="L255">
        <f>IF(D255=0,2*MAX(6*F255,75),(D255-1)*2*MAX(6*F255,75))/1000</f>
        <v>0.15</v>
      </c>
      <c r="M255" t="str">
        <v>=</v>
      </c>
      <c r="N255">
        <f>J255+L255</f>
        <v>1.8299999999999998</v>
      </c>
      <c r="T255" t="str">
        <v>x</v>
      </c>
      <c r="U255">
        <f>0.006165*F255^2</f>
        <v>0.6165</v>
      </c>
      <c r="V255" t="str">
        <v>x</v>
      </c>
      <c r="W255">
        <f>IF(D237-MAX(D237/4,2*G235)*2&gt;0,ROUND((D237-MAX(D237/4,2*G235)*2)/H255,0),0)</f>
        <v>6</v>
      </c>
      <c r="X255" t="str">
        <v>x</v>
      </c>
      <c r="Y255">
        <f>D240</f>
        <v>1</v>
      </c>
      <c r="Z255" t="str">
        <v>=</v>
      </c>
      <c r="AA255">
        <f>N255*U255*W255*Y255</f>
        <v>6.769170000000001</v>
      </c>
    </row>
    <row r="256">
      <c r="A256" t="str">
        <f>A234</f>
        <v>Sloof</v>
      </c>
      <c r="B256">
        <f>B234</f>
        <v>8</v>
      </c>
      <c r="C256" t="str">
        <v>Sengkang Tumpuan</v>
      </c>
      <c r="D256">
        <f>VLOOKUP(D234,'Detail Balok'!$C$10:$AU$110,41,FALSE)</f>
        <v>0</v>
      </c>
      <c r="E256" t="str">
        <v>D</v>
      </c>
      <c r="F256">
        <f>VLOOKUP(D234,'Detail Balok'!$C$10:$AU$110,43,FALSE)</f>
        <v>10</v>
      </c>
      <c r="G256" t="str">
        <v>-</v>
      </c>
      <c r="H256">
        <f>VLOOKUP(D234,'Detail Balok'!$C$10:$AU$110,45,FALSE)</f>
        <v>200</v>
      </c>
      <c r="J256">
        <f>(IF(D256=0,(2*(D235+G235))-(F$5*8),IF(D256=3,(2*(D235+G235))-(F$5*8)+(G235-2*F$5),IF(D256=4,(2*(D235+G235))-(F$5*8)+2*(G235-2*F$5)))))/1000</f>
        <v>1.68</v>
      </c>
      <c r="K256" t="str">
        <v>+</v>
      </c>
      <c r="L256">
        <f>IF(D256=0,2*MAX(6*F256,75),(D256-1)*2*MAX(6*F256,75))/1000</f>
        <v>0.15</v>
      </c>
      <c r="M256" t="str">
        <v>=</v>
      </c>
      <c r="N256">
        <f>J256+L256</f>
        <v>1.8299999999999998</v>
      </c>
      <c r="T256" t="str">
        <v>x</v>
      </c>
      <c r="U256">
        <f>0.006165*F256^2</f>
        <v>0.6165</v>
      </c>
      <c r="V256" t="str">
        <v>x</v>
      </c>
      <c r="W256">
        <f>IF(D237&gt;4*G235,ROUND(MAX(D237/4,2*G235)/H256,0)+1,0)</f>
        <v>7</v>
      </c>
      <c r="X256" t="str">
        <v>x</v>
      </c>
      <c r="Y256">
        <f>D240</f>
        <v>1</v>
      </c>
      <c r="Z256" t="str">
        <v>=</v>
      </c>
      <c r="AA256">
        <f>N256*U256*W256*Y256</f>
        <v>7.897365000000001</v>
      </c>
    </row>
    <row r="258">
      <c r="A258" t="str">
        <f>A234</f>
        <v>Sloof</v>
      </c>
      <c r="B258">
        <f>B234</f>
        <v>8</v>
      </c>
      <c r="C258" t="str">
        <v>Kait Horizontal Tump.</v>
      </c>
      <c r="D258">
        <f>VLOOKUP(D234,'Detail Balok'!$C$10:$BJ$110,46,FALSE)</f>
        <v>0</v>
      </c>
      <c r="E258" t="str">
        <v>D</v>
      </c>
      <c r="F258">
        <f>VLOOKUP(D234,'Detail Balok'!$C$10:$BJ$110,48,FALSE)</f>
        <v>0</v>
      </c>
      <c r="G258" t="str">
        <v>-</v>
      </c>
      <c r="H258">
        <f>VLOOKUP(D234,'Detail Balok'!$C$10:$BJ$110,50,FALSE)</f>
        <v>100</v>
      </c>
      <c r="J258">
        <f>(D235-2*F$5)/1000</f>
        <v>0.32</v>
      </c>
      <c r="K258" t="str">
        <v>+</v>
      </c>
      <c r="L258">
        <f>IF(D258=0,2*MAX(6*F258,75),(D258-1)*2*MAX(6*F258,75))/1000</f>
        <v>0.15</v>
      </c>
      <c r="M258" t="str">
        <v>=</v>
      </c>
      <c r="N258">
        <f>J258+L258</f>
        <v>0.47</v>
      </c>
      <c r="T258" t="str">
        <v>x</v>
      </c>
      <c r="U258">
        <f>0.006165*F258^2</f>
        <v>0</v>
      </c>
      <c r="V258" t="str">
        <v>x</v>
      </c>
      <c r="W258">
        <f>W254</f>
        <v>7</v>
      </c>
      <c r="X258" t="str">
        <v>x</v>
      </c>
      <c r="Y258">
        <f>D244</f>
        <v>9</v>
      </c>
      <c r="Z258" t="str">
        <v>=</v>
      </c>
      <c r="AA258">
        <f>N258*U258*W258*Y258</f>
        <v>0</v>
      </c>
    </row>
    <row r="259">
      <c r="A259" t="str">
        <f>A234</f>
        <v>Sloof</v>
      </c>
      <c r="B259">
        <f>B234</f>
        <v>8</v>
      </c>
      <c r="C259" t="str">
        <v>Kait Horizontal Lap.</v>
      </c>
      <c r="D259">
        <f>VLOOKUP(D234,'Detail Balok'!$C$10:$BJ$110,51,FALSE)</f>
        <v>0</v>
      </c>
      <c r="E259" t="str">
        <v>D</v>
      </c>
      <c r="F259">
        <f>VLOOKUP(D234,'Detail Balok'!$C$10:$BJ$110,53,FALSE)</f>
        <v>0</v>
      </c>
      <c r="G259" t="str">
        <v>-</v>
      </c>
      <c r="H259">
        <f>VLOOKUP(D234,'Detail Balok'!$C$10:$BJ$110,55,FALSE)</f>
        <v>100</v>
      </c>
      <c r="J259">
        <f>(D235-2*F$5)/1000</f>
        <v>0.32</v>
      </c>
      <c r="K259" t="str">
        <v>+</v>
      </c>
      <c r="L259">
        <f>IF(D259=0,2*MAX(6*F259,75),(D259-1)*2*MAX(6*F259,75))/1000</f>
        <v>0.15</v>
      </c>
      <c r="M259" t="str">
        <v>=</v>
      </c>
      <c r="N259">
        <f>J259+L259</f>
        <v>0.47</v>
      </c>
      <c r="T259" t="str">
        <v>x</v>
      </c>
      <c r="U259">
        <f>0.006165*F259^2</f>
        <v>0</v>
      </c>
      <c r="V259" t="str">
        <v>x</v>
      </c>
      <c r="W259">
        <f>W255</f>
        <v>6</v>
      </c>
      <c r="X259" t="str">
        <v>x</v>
      </c>
      <c r="Y259">
        <f>D244</f>
        <v>9</v>
      </c>
      <c r="Z259" t="str">
        <v>=</v>
      </c>
      <c r="AA259">
        <f>N259*U259*W259*Y259</f>
        <v>0</v>
      </c>
    </row>
    <row r="260">
      <c r="A260" t="str">
        <f>A234</f>
        <v>Sloof</v>
      </c>
      <c r="B260">
        <f>B234</f>
        <v>8</v>
      </c>
      <c r="C260" t="str">
        <v>Kait Horizontal Tump.</v>
      </c>
      <c r="D260">
        <f>VLOOKUP(D234,'Detail Balok'!$C$10:$BJ$110,56,FALSE)</f>
        <v>0</v>
      </c>
      <c r="E260" t="str">
        <v>D</v>
      </c>
      <c r="F260">
        <f>VLOOKUP(D234,'Detail Balok'!$C$10:$BJ$110,58,FALSE)</f>
        <v>0</v>
      </c>
      <c r="G260" t="str">
        <v>-</v>
      </c>
      <c r="H260">
        <f>VLOOKUP(D234,'Detail Balok'!$C$10:$BJ$110,60,FALSE)</f>
        <v>100</v>
      </c>
      <c r="J260">
        <f>(D235-2*F$5)/1000</f>
        <v>0.32</v>
      </c>
      <c r="K260" t="str">
        <v>+</v>
      </c>
      <c r="L260">
        <f>IF(D260=0,2*MAX(6*F260,75),(D260-1)*2*MAX(6*F260,75))/1000</f>
        <v>0.15</v>
      </c>
      <c r="M260" t="str">
        <v>=</v>
      </c>
      <c r="N260">
        <f>J260+L260</f>
        <v>0.47</v>
      </c>
      <c r="T260" t="str">
        <v>x</v>
      </c>
      <c r="U260">
        <f>0.006165*F260^2</f>
        <v>0</v>
      </c>
      <c r="V260" t="str">
        <v>x</v>
      </c>
      <c r="W260">
        <f>W256</f>
        <v>7</v>
      </c>
      <c r="X260" t="str">
        <v>x</v>
      </c>
      <c r="Y260">
        <f>D244</f>
        <v>9</v>
      </c>
      <c r="Z260" t="str">
        <v>=</v>
      </c>
      <c r="AA260">
        <f>N260*U260*W260*Y260</f>
        <v>0</v>
      </c>
    </row>
    <row r="264">
      <c r="A264" t="str">
        <f>A234</f>
        <v>Sloof</v>
      </c>
      <c r="B264">
        <f>B234+1</f>
        <v>9</v>
      </c>
      <c r="C264" t="str">
        <f>CONCATENATE(A264," no. ",B264)</f>
        <v>Sloof no. 9</v>
      </c>
      <c r="D264" t="str">
        <f>VLOOKUP(C264,'Data Panjang Balok'!$C$9:$N$424,2,FALSE)</f>
        <v>TB245-1</v>
      </c>
    </row>
    <row r="265">
      <c r="C265" t="str">
        <v>Dimensi</v>
      </c>
      <c r="D265">
        <f>VLOOKUP(D264,'Detail Balok'!$C$10:$AU$110,2,FALSE)</f>
        <v>200</v>
      </c>
      <c r="F265" t="str">
        <v>x</v>
      </c>
      <c r="G265">
        <f>VLOOKUP(D264,'Detail Balok'!$C$10:$AU$110,3,FALSE)</f>
        <v>450</v>
      </c>
    </row>
    <row r="266">
      <c r="C266" t="str">
        <v>Panjang as ke as</v>
      </c>
      <c r="D266">
        <f>VLOOKUP(C264,'Data Panjang Balok'!$C$9:$N$424,4,FALSE)</f>
        <v>8700</v>
      </c>
    </row>
    <row r="267">
      <c r="C267" t="str">
        <v>Panjang netto</v>
      </c>
      <c r="D267">
        <f>VLOOKUP(C264,'Data Panjang Balok'!$C$9:$N$424,7,FALSE)</f>
        <v>8700</v>
      </c>
    </row>
    <row r="268">
      <c r="C268" t="str">
        <v>Kolom / balok kiri</v>
      </c>
      <c r="D268">
        <f>VLOOKUP(C264,'Data Panjang Balok'!$C$9:$N$424,9,FALSE)</f>
        <v>0</v>
      </c>
    </row>
    <row r="269">
      <c r="C269" t="str">
        <v>Kolom / balok kanan</v>
      </c>
      <c r="D269">
        <f>VLOOKUP(C264,'Data Panjang Balok'!$C$9:$N$424,10,FALSE)</f>
        <v>0</v>
      </c>
    </row>
    <row r="270">
      <c r="C270" t="str">
        <v>Jumlah</v>
      </c>
      <c r="D270">
        <f>VLOOKUP(C264,'Data Panjang Balok'!$C$9:$N$424,3,FALSE)</f>
        <v>1</v>
      </c>
    </row>
    <row r="271">
      <c r="A271" t="str">
        <f>A264</f>
        <v>Sloof</v>
      </c>
      <c r="B271">
        <f>B264</f>
        <v>9</v>
      </c>
      <c r="C271" t="str">
        <v>Tul Atas Tumpuan</v>
      </c>
      <c r="D271">
        <f>VLOOKUP(D264,'Detail Balok'!$C$10:$AU$110,4,FALSE)</f>
        <v>3</v>
      </c>
      <c r="E271" t="str">
        <v>D</v>
      </c>
      <c r="F271">
        <f>VLOOKUP(D264,'Detail Balok'!$C$10:$AU$110,6,FALSE)</f>
        <v>13</v>
      </c>
      <c r="I271" t="str">
        <v>(</v>
      </c>
      <c r="J271">
        <f>+D266/4/1000</f>
        <v>2.175</v>
      </c>
      <c r="K271" t="str">
        <v>+</v>
      </c>
      <c r="L271">
        <f>MAX(VLOOKUP(F271,N$6:P$15,3,FALSE)/1000,2/3*D268/1000)+F$16*F271/1000</f>
        <v>0.156</v>
      </c>
      <c r="M271" t="str">
        <v>=</v>
      </c>
      <c r="N271">
        <f>J271+L271</f>
        <v>2.331</v>
      </c>
      <c r="O271" t="str">
        <v>+</v>
      </c>
      <c r="P271">
        <f>D271-D272</f>
        <v>0</v>
      </c>
      <c r="Q271" t="str">
        <v>x</v>
      </c>
      <c r="R271">
        <f>IF(P271&gt;0,$F$18*F271/1000,0)</f>
        <v>0</v>
      </c>
      <c r="S271" t="str">
        <v>)</v>
      </c>
      <c r="T271" t="str">
        <v>x</v>
      </c>
      <c r="U271">
        <f>0.006165*F271^2</f>
        <v>1.041885</v>
      </c>
      <c r="X271" t="str">
        <v>x</v>
      </c>
      <c r="Y271">
        <f>D270</f>
        <v>1</v>
      </c>
      <c r="Z271" t="str">
        <v>=</v>
      </c>
      <c r="AA271">
        <f>IF(AA274=0,(D271*N271+P271*R271)*U271*Y271,0)</f>
        <v>0</v>
      </c>
    </row>
    <row r="272">
      <c r="A272" t="str">
        <f>A264</f>
        <v>Sloof</v>
      </c>
      <c r="B272">
        <f>B264</f>
        <v>9</v>
      </c>
      <c r="C272" t="str">
        <v>Tul Atas Lapangan</v>
      </c>
      <c r="D272">
        <f>VLOOKUP(D264,'Detail Balok'!$C$10:$AU$110,7,FALSE)</f>
        <v>3</v>
      </c>
      <c r="E272" t="str">
        <v>D</v>
      </c>
      <c r="F272">
        <f>VLOOKUP(D264,'Detail Balok'!$C$10:$AU$110,9,FALSE)</f>
        <v>13</v>
      </c>
      <c r="I272" t="str">
        <v>(</v>
      </c>
      <c r="J272">
        <f>+D266/2/1000</f>
        <v>4.35</v>
      </c>
      <c r="K272" t="str">
        <v>+</v>
      </c>
      <c r="M272" t="str">
        <v>=</v>
      </c>
      <c r="N272">
        <f>J272+L272</f>
        <v>4.35</v>
      </c>
      <c r="O272" t="str">
        <v>+</v>
      </c>
      <c r="P272">
        <f>MAX(D272-D271,D272-D273)</f>
        <v>0</v>
      </c>
      <c r="Q272" t="str">
        <v>x</v>
      </c>
      <c r="R272">
        <f>IF(P272&gt;0,2*(1-2*$F$19-1/2)*D267/1000,0)</f>
        <v>0</v>
      </c>
      <c r="S272" t="str">
        <v>)</v>
      </c>
      <c r="T272" t="str">
        <v>x</v>
      </c>
      <c r="U272">
        <f>0.006165*F272^2</f>
        <v>1.041885</v>
      </c>
      <c r="X272" t="str">
        <v>x</v>
      </c>
      <c r="Y272">
        <f>D270</f>
        <v>1</v>
      </c>
      <c r="Z272" t="str">
        <v>=</v>
      </c>
      <c r="AA272">
        <f>IF(AA274=0,(D272*N272+P272*R272)*U272*Y272,0)</f>
        <v>0</v>
      </c>
    </row>
    <row r="273">
      <c r="A273" t="str">
        <f>A264</f>
        <v>Sloof</v>
      </c>
      <c r="B273">
        <f>B264</f>
        <v>9</v>
      </c>
      <c r="C273" t="str">
        <v>Tul Atas Tumpuan</v>
      </c>
      <c r="D273">
        <f>VLOOKUP(D264,'Detail Balok'!$C$10:$AU$110,10,FALSE)</f>
        <v>3</v>
      </c>
      <c r="E273" t="str">
        <v>D</v>
      </c>
      <c r="F273">
        <f>VLOOKUP(D264,'Detail Balok'!$C$10:$AU$110,12,FALSE)</f>
        <v>13</v>
      </c>
      <c r="I273" t="str">
        <v>(</v>
      </c>
      <c r="J273">
        <f>+D266/4/1000</f>
        <v>2.175</v>
      </c>
      <c r="K273" t="str">
        <v>+</v>
      </c>
      <c r="L273">
        <f>MAX(VLOOKUP(F273,N$6:P$15,3,FALSE)/1000,2/3*D268/1000)+F$16*F273/1000</f>
        <v>0.156</v>
      </c>
      <c r="M273" t="str">
        <v>=</v>
      </c>
      <c r="N273">
        <f>J273+L273</f>
        <v>2.331</v>
      </c>
      <c r="O273" t="str">
        <v>+</v>
      </c>
      <c r="P273">
        <f>D273-D272</f>
        <v>0</v>
      </c>
      <c r="Q273" t="str">
        <v>x</v>
      </c>
      <c r="R273">
        <f>IF(P273&gt;0,$F$18*F273/1000,0)</f>
        <v>0</v>
      </c>
      <c r="S273" t="str">
        <v>)</v>
      </c>
      <c r="T273" t="str">
        <v>x</v>
      </c>
      <c r="U273">
        <f>0.006165*F273^2</f>
        <v>1.041885</v>
      </c>
      <c r="X273" t="str">
        <v>x</v>
      </c>
      <c r="Y273">
        <f>D270</f>
        <v>1</v>
      </c>
      <c r="Z273" t="str">
        <v>=</v>
      </c>
      <c r="AA273">
        <f>IF(AA274=0,(D273*N273+P273*R273)*U273*Y273,0)</f>
        <v>0</v>
      </c>
    </row>
    <row r="274">
      <c r="A274" t="str">
        <f>A264</f>
        <v>Sloof</v>
      </c>
      <c r="B274">
        <f>B264</f>
        <v>9</v>
      </c>
      <c r="D274">
        <f>IF(AND(D271=D272,D272=D273,D271=D273),D271,0)</f>
        <v>3</v>
      </c>
      <c r="E274" t="str">
        <v>D</v>
      </c>
      <c r="F274">
        <f>IF(AND(F271=F272,F271=F273,F272=F273),F271,0)</f>
        <v>13</v>
      </c>
      <c r="L274" t="str">
        <v>Total panjang per balok</v>
      </c>
      <c r="M274" t="str">
        <v>=</v>
      </c>
      <c r="N274">
        <f>IF(AND(D271=D272,D271=D273,D272=D273,F271=F272,F271=F273,F272=F273),SUM(N271:N273),0)</f>
        <v>9.011999999999999</v>
      </c>
      <c r="O274" t="str">
        <v>+</v>
      </c>
      <c r="P274">
        <f>IF(N274&gt;12,ROUNDDOWN(N274/12,0),0)</f>
        <v>0</v>
      </c>
      <c r="Q274" t="str">
        <v>x</v>
      </c>
      <c r="R274">
        <f>IF(P274&gt;0,MAX(VLOOKUP(F274,$D$6:$G$15,3,FALSE),600),0)/1000</f>
        <v>0</v>
      </c>
      <c r="T274" t="str">
        <v>x</v>
      </c>
      <c r="U274">
        <f>U273</f>
        <v>1.041885</v>
      </c>
      <c r="V274" t="str">
        <v>x</v>
      </c>
      <c r="W274">
        <f>D274</f>
        <v>3</v>
      </c>
      <c r="X274" t="str">
        <v>x</v>
      </c>
      <c r="Y274">
        <f>Y273</f>
        <v>1</v>
      </c>
      <c r="Z274" t="str">
        <v>=</v>
      </c>
      <c r="AA274">
        <f>(N274+P274*R274/1000)*U274*W274*Y274</f>
        <v>28.168402859999993</v>
      </c>
    </row>
    <row r="276">
      <c r="A276" t="str">
        <f>A264</f>
        <v>Sloof</v>
      </c>
      <c r="B276">
        <f>B264</f>
        <v>9</v>
      </c>
      <c r="C276" t="str">
        <v>Tul Peminggang</v>
      </c>
      <c r="D276">
        <f>VLOOKUP(D264,'Detail Balok'!$C$10:$AU$110,13,FALSE)</f>
        <v>2</v>
      </c>
      <c r="E276" t="str">
        <v>D</v>
      </c>
      <c r="F276">
        <f>VLOOKUP(D264,'Detail Balok'!$C$10:$AU$110,15,FALSE)</f>
        <v>8</v>
      </c>
      <c r="J276">
        <f>+D266/1000</f>
        <v>8.7</v>
      </c>
      <c r="K276" t="str">
        <v>+</v>
      </c>
      <c r="L276">
        <f>2*$F$16*F276/1000</f>
        <v>0.192</v>
      </c>
      <c r="M276" t="str">
        <v>=</v>
      </c>
      <c r="N276">
        <f>J276+L276</f>
        <v>8.892</v>
      </c>
      <c r="O276" t="str">
        <v>+</v>
      </c>
      <c r="P276">
        <f>IF(N276&gt;12,ROUNDDOWN(N276/12,0),0)</f>
        <v>0</v>
      </c>
      <c r="Q276" t="str">
        <v>x</v>
      </c>
      <c r="R276">
        <f>IF(P276&gt;0,MAX(VLOOKUP(F276,$D$6:$G$15,3,FALSE),600),0)/1000</f>
        <v>0</v>
      </c>
      <c r="T276" t="str">
        <v>x</v>
      </c>
      <c r="U276">
        <f>0.006165*F276^2</f>
        <v>0.39456</v>
      </c>
      <c r="V276" t="str">
        <v>x</v>
      </c>
      <c r="W276">
        <f>+D276</f>
        <v>2</v>
      </c>
      <c r="X276" t="str">
        <v>x</v>
      </c>
      <c r="Y276">
        <f>D270</f>
        <v>1</v>
      </c>
      <c r="Z276" t="str">
        <v>=</v>
      </c>
      <c r="AA276">
        <f>(N276+P276*R276/1000)*U276*W276*Y276</f>
        <v>7.01685504</v>
      </c>
    </row>
    <row r="279">
      <c r="A279" t="str">
        <f>A264</f>
        <v>Sloof</v>
      </c>
      <c r="B279">
        <f>B264</f>
        <v>9</v>
      </c>
      <c r="C279" t="str">
        <v>Tul Bawah Tumpuan</v>
      </c>
      <c r="D279">
        <f>VLOOKUP(D264,'Detail Balok'!$C$10:$AU$110,22,FALSE)</f>
        <v>3</v>
      </c>
      <c r="E279" t="str">
        <v>D</v>
      </c>
      <c r="F279">
        <f>VLOOKUP(D264,'Detail Balok'!$C$10:$AU$110,24,FALSE)</f>
        <v>13</v>
      </c>
      <c r="I279" t="str">
        <v>(</v>
      </c>
      <c r="J279">
        <f>+J271</f>
        <v>2.175</v>
      </c>
      <c r="K279" t="str">
        <v>+</v>
      </c>
      <c r="L279">
        <f>MAX(VLOOKUP(F279,N$6:P$15,3,FALSE)/1000,2/3*D269/1000)+F$16*F279/1000</f>
        <v>0.156</v>
      </c>
      <c r="M279" t="str">
        <v>=</v>
      </c>
      <c r="N279">
        <f>J279+L279</f>
        <v>2.331</v>
      </c>
      <c r="O279" t="str">
        <v>+</v>
      </c>
      <c r="P279">
        <f>D279-D280</f>
        <v>0</v>
      </c>
      <c r="Q279" t="str">
        <v>x</v>
      </c>
      <c r="R279">
        <f>IF(P279&gt;0,$F$18*F279/1000,0)</f>
        <v>0</v>
      </c>
      <c r="S279" t="str">
        <v>)</v>
      </c>
      <c r="T279" t="str">
        <v>x</v>
      </c>
      <c r="U279">
        <f>0.006165*F279^2</f>
        <v>1.041885</v>
      </c>
      <c r="X279" t="str">
        <v>x</v>
      </c>
      <c r="Y279">
        <f>D270</f>
        <v>1</v>
      </c>
      <c r="Z279" t="str">
        <v>=</v>
      </c>
      <c r="AA279">
        <f>IF(AA282=0,(D279*N279+P279*R279)*U279*Y279,0)</f>
        <v>0</v>
      </c>
    </row>
    <row r="280">
      <c r="A280" t="str">
        <f>A264</f>
        <v>Sloof</v>
      </c>
      <c r="B280">
        <f>B264</f>
        <v>9</v>
      </c>
      <c r="C280" t="str">
        <v>Tul Bawah Lapangan</v>
      </c>
      <c r="D280">
        <f>VLOOKUP(D264,'Detail Balok'!$C$10:$AU$110,25,FALSE)</f>
        <v>3</v>
      </c>
      <c r="E280" t="str">
        <v>D</v>
      </c>
      <c r="F280">
        <f>VLOOKUP(D264,'Detail Balok'!$C$10:$AU$110,27,FALSE)</f>
        <v>13</v>
      </c>
      <c r="I280" t="str">
        <v>(</v>
      </c>
      <c r="J280">
        <f>+J272</f>
        <v>4.35</v>
      </c>
      <c r="K280" t="str">
        <v>+</v>
      </c>
      <c r="M280" t="str">
        <v>=</v>
      </c>
      <c r="N280">
        <f>J280+L280</f>
        <v>4.35</v>
      </c>
      <c r="O280" t="str">
        <v>+</v>
      </c>
      <c r="P280">
        <f>MAX(D280-D279,D280-D281)</f>
        <v>0</v>
      </c>
      <c r="Q280" t="str">
        <v>x</v>
      </c>
      <c r="R280">
        <f>IF(P280&gt;0,2*(1-2*$F$19-1/2)*D267/1000,0)</f>
        <v>0</v>
      </c>
      <c r="S280" t="str">
        <v>)</v>
      </c>
      <c r="T280" t="str">
        <v>x</v>
      </c>
      <c r="U280">
        <f>0.006165*F280^2</f>
        <v>1.041885</v>
      </c>
      <c r="X280" t="str">
        <v>x</v>
      </c>
      <c r="Y280">
        <f>D270</f>
        <v>1</v>
      </c>
      <c r="Z280" t="str">
        <v>=</v>
      </c>
      <c r="AA280">
        <f>IF(AA282=0,(D280*N280+P280*R280)*U280*Y280,0)</f>
        <v>0</v>
      </c>
    </row>
    <row r="281">
      <c r="A281" t="str">
        <f>A264</f>
        <v>Sloof</v>
      </c>
      <c r="B281">
        <f>B264</f>
        <v>9</v>
      </c>
      <c r="C281" t="str">
        <v>Tul Bawah Tumpuan</v>
      </c>
      <c r="D281">
        <f>VLOOKUP(D264,'Detail Balok'!$C$10:$AU$110,28,FALSE)</f>
        <v>3</v>
      </c>
      <c r="E281" t="str">
        <v>D</v>
      </c>
      <c r="F281">
        <f>VLOOKUP(D264,'Detail Balok'!$C$10:$AU$110,30,FALSE)</f>
        <v>13</v>
      </c>
      <c r="I281" t="str">
        <v>(</v>
      </c>
      <c r="J281">
        <f>+J273</f>
        <v>2.175</v>
      </c>
      <c r="K281" t="str">
        <v>+</v>
      </c>
      <c r="L281">
        <f>MAX(VLOOKUP(F281,N$6:P$15,3,FALSE)/1000,2/3*D269/1000)+F$16*F281/1000</f>
        <v>0.156</v>
      </c>
      <c r="M281" t="str">
        <v>=</v>
      </c>
      <c r="N281">
        <f>J281+L281</f>
        <v>2.331</v>
      </c>
      <c r="O281" t="str">
        <v>+</v>
      </c>
      <c r="P281">
        <f>D281-D280</f>
        <v>0</v>
      </c>
      <c r="Q281" t="str">
        <v>x</v>
      </c>
      <c r="R281">
        <f>IF(P281&gt;0,$F$18*F281/1000,0)</f>
        <v>0</v>
      </c>
      <c r="S281" t="str">
        <v>)</v>
      </c>
      <c r="T281" t="str">
        <v>x</v>
      </c>
      <c r="U281">
        <f>0.006165*F281^2</f>
        <v>1.041885</v>
      </c>
      <c r="X281" t="str">
        <v>x</v>
      </c>
      <c r="Y281">
        <f>D270</f>
        <v>1</v>
      </c>
      <c r="Z281" t="str">
        <v>=</v>
      </c>
      <c r="AA281">
        <f>IF(AA282=0,(D281*N281+P281*R281)*U281*Y281,0)</f>
        <v>0</v>
      </c>
    </row>
    <row r="282">
      <c r="A282" t="str">
        <f>A264</f>
        <v>Sloof</v>
      </c>
      <c r="B282">
        <f>B264</f>
        <v>9</v>
      </c>
      <c r="D282">
        <f>IF(AND(D279=D280,D280=D281,D279=D281),D279,0)</f>
        <v>3</v>
      </c>
      <c r="E282" t="str">
        <v>D</v>
      </c>
      <c r="F282">
        <f>IF(AND(F279=F280,F279=F281,F280=F281),F279,0)</f>
        <v>13</v>
      </c>
      <c r="L282" t="str">
        <v>Total panjang per balok</v>
      </c>
      <c r="M282" t="str">
        <v>=</v>
      </c>
      <c r="N282">
        <f>IF(AND(D279=D280,D279=D281,D280=D281,F279=F280,F279=F281,F280=F281),SUM(N279:N281),0)</f>
        <v>9.011999999999999</v>
      </c>
      <c r="O282" t="str">
        <v>+</v>
      </c>
      <c r="P282">
        <f>IF(N282&gt;12,ROUNDDOWN(N282/12,0),0)</f>
        <v>0</v>
      </c>
      <c r="Q282" t="str">
        <v>x</v>
      </c>
      <c r="R282">
        <f>IF(P282&gt;0,MAX(VLOOKUP(F282,$D$6:$G$15,3,FALSE),600),0)/1000</f>
        <v>0</v>
      </c>
      <c r="T282" t="str">
        <v>x</v>
      </c>
      <c r="U282">
        <f>U281</f>
        <v>1.041885</v>
      </c>
      <c r="V282" t="str">
        <v>x</v>
      </c>
      <c r="W282">
        <f>D282</f>
        <v>3</v>
      </c>
      <c r="X282" t="str">
        <v>x</v>
      </c>
      <c r="Y282">
        <f>Y281</f>
        <v>1</v>
      </c>
      <c r="Z282" t="str">
        <v>=</v>
      </c>
      <c r="AA282">
        <f>(N282+P282*R282/1000)*U282*W282*Y282</f>
        <v>28.168402859999993</v>
      </c>
    </row>
    <row r="284">
      <c r="A284" t="str">
        <f>A264</f>
        <v>Sloof</v>
      </c>
      <c r="B284">
        <f>B264</f>
        <v>9</v>
      </c>
      <c r="C284" t="str">
        <v>Sengkang Tumpuan</v>
      </c>
      <c r="D284">
        <f>VLOOKUP(D264,'Detail Balok'!$C$10:$AU$110,31,FALSE)</f>
        <v>0</v>
      </c>
      <c r="E284" t="str">
        <v>D</v>
      </c>
      <c r="F284">
        <f>VLOOKUP(D264,'Detail Balok'!$C$10:$AU$110,33,FALSE)</f>
        <v>8</v>
      </c>
      <c r="G284" t="str">
        <v>-</v>
      </c>
      <c r="H284">
        <f>VLOOKUP(D264,'Detail Balok'!$C$10:$AU$110,35,FALSE)</f>
        <v>200</v>
      </c>
      <c r="J284">
        <f>(IF(D284=0,(2*(D265+G265))-(F$5*8),IF(D284=3,(2*(D265+G265))-(F$5*8)+(G265-2*F$5),IF(D284=4,(2*(D265+G265))-(F$5*8)+2*(G265-2*F$5)))))/1000</f>
        <v>0.98</v>
      </c>
      <c r="K284" t="str">
        <v>+</v>
      </c>
      <c r="L284">
        <f>IF(D284=0,2*MAX(6*F284,75),(D284-1)*2*MAX(6*F284,75))/1000</f>
        <v>0.15</v>
      </c>
      <c r="M284" t="str">
        <v>=</v>
      </c>
      <c r="N284">
        <f>J284+L284</f>
        <v>1.13</v>
      </c>
      <c r="T284" t="str">
        <v>x</v>
      </c>
      <c r="U284">
        <f>0.006165*F284^2</f>
        <v>0.39456</v>
      </c>
      <c r="V284" t="str">
        <v>x</v>
      </c>
      <c r="W284">
        <f>IF(D267&gt;4*G265,ROUND(MAX(D267/4,2*G265)/H284,0)+1,ROUND(D267/H284,0)+1)</f>
        <v>12</v>
      </c>
      <c r="X284" t="str">
        <v>x</v>
      </c>
      <c r="Y284">
        <f>D270</f>
        <v>1</v>
      </c>
      <c r="Z284" t="str">
        <v>=</v>
      </c>
      <c r="AA284">
        <f>N284*U284*W284*Y284</f>
        <v>5.3502336</v>
      </c>
    </row>
    <row r="285">
      <c r="A285" t="str">
        <f>A264</f>
        <v>Sloof</v>
      </c>
      <c r="B285">
        <f>B264</f>
        <v>9</v>
      </c>
      <c r="C285" t="str">
        <v>Sengkang Lapangan</v>
      </c>
      <c r="D285">
        <f>VLOOKUP(D264,'Detail Balok'!$C$10:$AU$110,36,FALSE)</f>
        <v>0</v>
      </c>
      <c r="E285" t="str">
        <v>D</v>
      </c>
      <c r="F285">
        <f>VLOOKUP(D264,'Detail Balok'!$C$10:$AU$110,38,FALSE)</f>
        <v>8</v>
      </c>
      <c r="G285" t="str">
        <v>-</v>
      </c>
      <c r="H285">
        <f>VLOOKUP(D264,'Detail Balok'!$C$10:$AU$110,40,FALSE)</f>
        <v>200</v>
      </c>
      <c r="J285">
        <f>(IF(D285=0,(2*(D265+G265))-(F$5*8),IF(D285=3,(2*(D265+G265))-(F$5*8)+(G265-2*F$5),IF(D285=4,(2*(D265+G265))-(F$5*8)+2*(G265-2*F$5)))))/1000</f>
        <v>0.98</v>
      </c>
      <c r="K285" t="str">
        <v>+</v>
      </c>
      <c r="L285">
        <f>IF(D285=0,2*MAX(6*F285,75),(D285-1)*2*MAX(6*F285,75))/1000</f>
        <v>0.15</v>
      </c>
      <c r="M285" t="str">
        <v>=</v>
      </c>
      <c r="N285">
        <f>J285+L285</f>
        <v>1.13</v>
      </c>
      <c r="T285" t="str">
        <v>x</v>
      </c>
      <c r="U285">
        <f>0.006165*F285^2</f>
        <v>0.39456</v>
      </c>
      <c r="V285" t="str">
        <v>x</v>
      </c>
      <c r="W285">
        <f>IF(D267-MAX(D267/4,2*G265)*2&gt;0,ROUND((D267-MAX(D267/4,2*G265)*2)/H285,0),0)</f>
        <v>22</v>
      </c>
      <c r="X285" t="str">
        <v>x</v>
      </c>
      <c r="Y285">
        <f>D270</f>
        <v>1</v>
      </c>
      <c r="Z285" t="str">
        <v>=</v>
      </c>
      <c r="AA285">
        <f>N285*U285*W285*Y285</f>
        <v>9.8087616</v>
      </c>
    </row>
    <row r="286">
      <c r="A286" t="str">
        <f>A264</f>
        <v>Sloof</v>
      </c>
      <c r="B286">
        <f>B264</f>
        <v>9</v>
      </c>
      <c r="C286" t="str">
        <v>Sengkang Tumpuan</v>
      </c>
      <c r="D286">
        <f>VLOOKUP(D264,'Detail Balok'!$C$10:$AU$110,41,FALSE)</f>
        <v>0</v>
      </c>
      <c r="E286" t="str">
        <v>D</v>
      </c>
      <c r="F286">
        <f>VLOOKUP(D264,'Detail Balok'!$C$10:$AU$110,43,FALSE)</f>
        <v>8</v>
      </c>
      <c r="G286" t="str">
        <v>-</v>
      </c>
      <c r="H286">
        <f>VLOOKUP(D264,'Detail Balok'!$C$10:$AU$110,45,FALSE)</f>
        <v>200</v>
      </c>
      <c r="J286">
        <f>(IF(D286=0,(2*(D265+G265))-(F$5*8),IF(D286=3,(2*(D265+G265))-(F$5*8)+(G265-2*F$5),IF(D286=4,(2*(D265+G265))-(F$5*8)+2*(G265-2*F$5)))))/1000</f>
        <v>0.98</v>
      </c>
      <c r="K286" t="str">
        <v>+</v>
      </c>
      <c r="L286">
        <f>IF(D286=0,2*MAX(6*F286,75),(D286-1)*2*MAX(6*F286,75))/1000</f>
        <v>0.15</v>
      </c>
      <c r="M286" t="str">
        <v>=</v>
      </c>
      <c r="N286">
        <f>J286+L286</f>
        <v>1.13</v>
      </c>
      <c r="T286" t="str">
        <v>x</v>
      </c>
      <c r="U286">
        <f>0.006165*F286^2</f>
        <v>0.39456</v>
      </c>
      <c r="V286" t="str">
        <v>x</v>
      </c>
      <c r="W286">
        <f>IF(D267&gt;4*G265,ROUND(MAX(D267/4,2*G265)/H286,0)+1,0)</f>
        <v>12</v>
      </c>
      <c r="X286" t="str">
        <v>x</v>
      </c>
      <c r="Y286">
        <f>D270</f>
        <v>1</v>
      </c>
      <c r="Z286" t="str">
        <v>=</v>
      </c>
      <c r="AA286">
        <f>N286*U286*W286*Y286</f>
        <v>5.3502336</v>
      </c>
    </row>
    <row r="288">
      <c r="A288" t="str">
        <f>A264</f>
        <v>Sloof</v>
      </c>
      <c r="B288">
        <f>B264</f>
        <v>9</v>
      </c>
      <c r="C288" t="str">
        <v>Kait Horizontal Tump.</v>
      </c>
      <c r="D288">
        <f>VLOOKUP(D264,'Detail Balok'!$C$10:$BJ$110,46,FALSE)</f>
        <v>0</v>
      </c>
      <c r="E288" t="str">
        <v>D</v>
      </c>
      <c r="F288">
        <f>VLOOKUP(D264,'Detail Balok'!$C$10:$BJ$110,48,FALSE)</f>
        <v>0</v>
      </c>
      <c r="G288" t="str">
        <v>-</v>
      </c>
      <c r="H288">
        <f>VLOOKUP(D264,'Detail Balok'!$C$10:$BJ$110,50,FALSE)</f>
        <v>100</v>
      </c>
      <c r="J288">
        <f>(D265-2*F$5)/1000</f>
        <v>0.12</v>
      </c>
      <c r="K288" t="str">
        <v>+</v>
      </c>
      <c r="L288">
        <f>IF(D288=0,2*MAX(6*F288,75),(D288-1)*2*MAX(6*F288,75))/1000</f>
        <v>0.15</v>
      </c>
      <c r="M288" t="str">
        <v>=</v>
      </c>
      <c r="N288">
        <f>J288+L288</f>
        <v>0.27</v>
      </c>
      <c r="T288" t="str">
        <v>x</v>
      </c>
      <c r="U288">
        <f>0.006165*F288^2</f>
        <v>0</v>
      </c>
      <c r="V288" t="str">
        <v>x</v>
      </c>
      <c r="W288">
        <f>W284</f>
        <v>12</v>
      </c>
      <c r="X288" t="str">
        <v>x</v>
      </c>
      <c r="Y288">
        <f>D274</f>
        <v>3</v>
      </c>
      <c r="Z288" t="str">
        <v>=</v>
      </c>
      <c r="AA288">
        <f>N288*U288*W288*Y288</f>
        <v>0</v>
      </c>
    </row>
    <row r="289">
      <c r="A289" t="str">
        <f>A264</f>
        <v>Sloof</v>
      </c>
      <c r="B289">
        <f>B264</f>
        <v>9</v>
      </c>
      <c r="C289" t="str">
        <v>Kait Horizontal Lap.</v>
      </c>
      <c r="D289">
        <f>VLOOKUP(D264,'Detail Balok'!$C$10:$BJ$110,51,FALSE)</f>
        <v>0</v>
      </c>
      <c r="E289" t="str">
        <v>D</v>
      </c>
      <c r="F289">
        <f>VLOOKUP(D264,'Detail Balok'!$C$10:$BJ$110,53,FALSE)</f>
        <v>0</v>
      </c>
      <c r="G289" t="str">
        <v>-</v>
      </c>
      <c r="H289">
        <f>VLOOKUP(D264,'Detail Balok'!$C$10:$BJ$110,55,FALSE)</f>
        <v>100</v>
      </c>
      <c r="J289">
        <f>(D265-2*F$5)/1000</f>
        <v>0.12</v>
      </c>
      <c r="K289" t="str">
        <v>+</v>
      </c>
      <c r="L289">
        <f>IF(D289=0,2*MAX(6*F289,75),(D289-1)*2*MAX(6*F289,75))/1000</f>
        <v>0.15</v>
      </c>
      <c r="M289" t="str">
        <v>=</v>
      </c>
      <c r="N289">
        <f>J289+L289</f>
        <v>0.27</v>
      </c>
      <c r="T289" t="str">
        <v>x</v>
      </c>
      <c r="U289">
        <f>0.006165*F289^2</f>
        <v>0</v>
      </c>
      <c r="V289" t="str">
        <v>x</v>
      </c>
      <c r="W289">
        <f>W285</f>
        <v>22</v>
      </c>
      <c r="X289" t="str">
        <v>x</v>
      </c>
      <c r="Y289">
        <f>D274</f>
        <v>3</v>
      </c>
      <c r="Z289" t="str">
        <v>=</v>
      </c>
      <c r="AA289">
        <f>N289*U289*W289*Y289</f>
        <v>0</v>
      </c>
    </row>
    <row r="290">
      <c r="A290" t="str">
        <f>A264</f>
        <v>Sloof</v>
      </c>
      <c r="B290">
        <f>B264</f>
        <v>9</v>
      </c>
      <c r="C290" t="str">
        <v>Kait Horizontal Tump.</v>
      </c>
      <c r="D290">
        <f>VLOOKUP(D264,'Detail Balok'!$C$10:$BJ$110,56,FALSE)</f>
        <v>0</v>
      </c>
      <c r="E290" t="str">
        <v>D</v>
      </c>
      <c r="F290">
        <f>VLOOKUP(D264,'Detail Balok'!$C$10:$BJ$110,58,FALSE)</f>
        <v>0</v>
      </c>
      <c r="G290" t="str">
        <v>-</v>
      </c>
      <c r="H290">
        <f>VLOOKUP(D264,'Detail Balok'!$C$10:$BJ$110,60,FALSE)</f>
        <v>100</v>
      </c>
      <c r="J290">
        <f>(D265-2*F$5)/1000</f>
        <v>0.12</v>
      </c>
      <c r="K290" t="str">
        <v>+</v>
      </c>
      <c r="L290">
        <f>IF(D290=0,2*MAX(6*F290,75),(D290-1)*2*MAX(6*F290,75))/1000</f>
        <v>0.15</v>
      </c>
      <c r="M290" t="str">
        <v>=</v>
      </c>
      <c r="N290">
        <f>J290+L290</f>
        <v>0.27</v>
      </c>
      <c r="T290" t="str">
        <v>x</v>
      </c>
      <c r="U290">
        <f>0.006165*F290^2</f>
        <v>0</v>
      </c>
      <c r="V290" t="str">
        <v>x</v>
      </c>
      <c r="W290">
        <f>W286</f>
        <v>12</v>
      </c>
      <c r="X290" t="str">
        <v>x</v>
      </c>
      <c r="Y290">
        <f>D274</f>
        <v>3</v>
      </c>
      <c r="Z290" t="str">
        <v>=</v>
      </c>
      <c r="AA290">
        <f>N290*U290*W290*Y290</f>
        <v>0</v>
      </c>
    </row>
    <row r="294">
      <c r="A294" t="str">
        <f>A264</f>
        <v>Sloof</v>
      </c>
      <c r="B294">
        <f>B264+1</f>
        <v>10</v>
      </c>
      <c r="C294" t="str">
        <f>CONCATENATE(A294," no. ",B294)</f>
        <v>Sloof no. 10</v>
      </c>
      <c r="D294" t="str">
        <f>VLOOKUP(C294,'Data Panjang Balok'!$C$9:$N$424,2,FALSE)</f>
        <v>TB25-1</v>
      </c>
    </row>
    <row r="295">
      <c r="C295" t="str">
        <v>Dimensi</v>
      </c>
      <c r="D295">
        <f>VLOOKUP(D294,'Detail Balok'!$C$10:$AU$110,2,FALSE)</f>
        <v>200</v>
      </c>
      <c r="F295" t="str">
        <v>x</v>
      </c>
      <c r="G295">
        <f>VLOOKUP(D294,'Detail Balok'!$C$10:$AU$110,3,FALSE)</f>
        <v>500</v>
      </c>
    </row>
    <row r="296">
      <c r="C296" t="str">
        <v>Panjang as ke as</v>
      </c>
      <c r="D296">
        <f>VLOOKUP(C294,'Data Panjang Balok'!$C$9:$N$424,4,FALSE)</f>
        <v>4250</v>
      </c>
    </row>
    <row r="297">
      <c r="C297" t="str">
        <v>Panjang netto</v>
      </c>
      <c r="D297">
        <f>VLOOKUP(C294,'Data Panjang Balok'!$C$9:$N$424,7,FALSE)</f>
        <v>4250</v>
      </c>
    </row>
    <row r="298">
      <c r="C298" t="str">
        <v>Kolom / balok kiri</v>
      </c>
      <c r="D298">
        <f>VLOOKUP(C294,'Data Panjang Balok'!$C$9:$N$424,9,FALSE)</f>
        <v>0</v>
      </c>
    </row>
    <row r="299">
      <c r="C299" t="str">
        <v>Kolom / balok kanan</v>
      </c>
      <c r="D299">
        <f>VLOOKUP(C294,'Data Panjang Balok'!$C$9:$N$424,10,FALSE)</f>
        <v>0</v>
      </c>
    </row>
    <row r="300">
      <c r="C300" t="str">
        <v>Jumlah</v>
      </c>
      <c r="D300">
        <f>VLOOKUP(C294,'Data Panjang Balok'!$C$9:$N$424,3,FALSE)</f>
        <v>1</v>
      </c>
    </row>
    <row r="301">
      <c r="A301" t="str">
        <f>A294</f>
        <v>Sloof</v>
      </c>
      <c r="B301">
        <f>B294</f>
        <v>10</v>
      </c>
      <c r="C301" t="str">
        <v>Tul Atas Tumpuan</v>
      </c>
      <c r="D301">
        <f>VLOOKUP(D294,'Detail Balok'!$C$10:$AU$110,4,FALSE)</f>
        <v>3</v>
      </c>
      <c r="E301" t="str">
        <v>D</v>
      </c>
      <c r="F301">
        <f>VLOOKUP(D294,'Detail Balok'!$C$10:$AU$110,6,FALSE)</f>
        <v>16</v>
      </c>
      <c r="I301" t="str">
        <v>(</v>
      </c>
      <c r="J301">
        <f>+D296/4/1000</f>
        <v>1.0625</v>
      </c>
      <c r="K301" t="str">
        <v>+</v>
      </c>
      <c r="L301">
        <f>MAX(VLOOKUP(F301,N$6:P$15,3,FALSE)/1000,2/3*D298/1000)+F$16*F301/1000</f>
        <v>0.192</v>
      </c>
      <c r="M301" t="str">
        <v>=</v>
      </c>
      <c r="N301">
        <f>J301+L301</f>
        <v>1.2545</v>
      </c>
      <c r="O301" t="str">
        <v>+</v>
      </c>
      <c r="P301">
        <f>D301-D302</f>
        <v>0</v>
      </c>
      <c r="Q301" t="str">
        <v>x</v>
      </c>
      <c r="R301">
        <f>IF(P301&gt;0,$F$18*F301/1000,0)</f>
        <v>0</v>
      </c>
      <c r="S301" t="str">
        <v>)</v>
      </c>
      <c r="T301" t="str">
        <v>x</v>
      </c>
      <c r="U301">
        <f>0.006165*F301^2</f>
        <v>1.57824</v>
      </c>
      <c r="X301" t="str">
        <v>x</v>
      </c>
      <c r="Y301">
        <f>D300</f>
        <v>1</v>
      </c>
      <c r="Z301" t="str">
        <v>=</v>
      </c>
      <c r="AA301">
        <f>IF(AA304=0,(D301*N301+P301*R301)*U301*Y301,0)</f>
        <v>0</v>
      </c>
    </row>
    <row r="302">
      <c r="A302" t="str">
        <f>A294</f>
        <v>Sloof</v>
      </c>
      <c r="B302">
        <f>B294</f>
        <v>10</v>
      </c>
      <c r="C302" t="str">
        <v>Tul Atas Lapangan</v>
      </c>
      <c r="D302">
        <f>VLOOKUP(D294,'Detail Balok'!$C$10:$AU$110,7,FALSE)</f>
        <v>3</v>
      </c>
      <c r="E302" t="str">
        <v>D</v>
      </c>
      <c r="F302">
        <f>VLOOKUP(D294,'Detail Balok'!$C$10:$AU$110,9,FALSE)</f>
        <v>16</v>
      </c>
      <c r="I302" t="str">
        <v>(</v>
      </c>
      <c r="J302">
        <f>+D296/2/1000</f>
        <v>2.125</v>
      </c>
      <c r="K302" t="str">
        <v>+</v>
      </c>
      <c r="M302" t="str">
        <v>=</v>
      </c>
      <c r="N302">
        <f>J302+L302</f>
        <v>2.125</v>
      </c>
      <c r="O302" t="str">
        <v>+</v>
      </c>
      <c r="P302">
        <f>MAX(D302-D301,D302-D303)</f>
        <v>0</v>
      </c>
      <c r="Q302" t="str">
        <v>x</v>
      </c>
      <c r="R302">
        <f>IF(P302&gt;0,2*(1-2*$F$19-1/2)*D297/1000,0)</f>
        <v>0</v>
      </c>
      <c r="S302" t="str">
        <v>)</v>
      </c>
      <c r="T302" t="str">
        <v>x</v>
      </c>
      <c r="U302">
        <f>0.006165*F302^2</f>
        <v>1.57824</v>
      </c>
      <c r="X302" t="str">
        <v>x</v>
      </c>
      <c r="Y302">
        <f>D300</f>
        <v>1</v>
      </c>
      <c r="Z302" t="str">
        <v>=</v>
      </c>
      <c r="AA302">
        <f>IF(AA304=0,(D302*N302+P302*R302)*U302*Y302,0)</f>
        <v>0</v>
      </c>
    </row>
    <row r="303">
      <c r="A303" t="str">
        <f>A294</f>
        <v>Sloof</v>
      </c>
      <c r="B303">
        <f>B294</f>
        <v>10</v>
      </c>
      <c r="C303" t="str">
        <v>Tul Atas Tumpuan</v>
      </c>
      <c r="D303">
        <f>VLOOKUP(D294,'Detail Balok'!$C$10:$AU$110,10,FALSE)</f>
        <v>3</v>
      </c>
      <c r="E303" t="str">
        <v>D</v>
      </c>
      <c r="F303">
        <f>VLOOKUP(D294,'Detail Balok'!$C$10:$AU$110,12,FALSE)</f>
        <v>16</v>
      </c>
      <c r="I303" t="str">
        <v>(</v>
      </c>
      <c r="J303">
        <f>+D296/4/1000</f>
        <v>1.0625</v>
      </c>
      <c r="K303" t="str">
        <v>+</v>
      </c>
      <c r="L303">
        <f>MAX(VLOOKUP(F303,N$6:P$15,3,FALSE)/1000,2/3*D298/1000)+F$16*F303/1000</f>
        <v>0.192</v>
      </c>
      <c r="M303" t="str">
        <v>=</v>
      </c>
      <c r="N303">
        <f>J303+L303</f>
        <v>1.2545</v>
      </c>
      <c r="O303" t="str">
        <v>+</v>
      </c>
      <c r="P303">
        <f>D303-D302</f>
        <v>0</v>
      </c>
      <c r="Q303" t="str">
        <v>x</v>
      </c>
      <c r="R303">
        <f>IF(P303&gt;0,$F$18*F303/1000,0)</f>
        <v>0</v>
      </c>
      <c r="S303" t="str">
        <v>)</v>
      </c>
      <c r="T303" t="str">
        <v>x</v>
      </c>
      <c r="U303">
        <f>0.006165*F303^2</f>
        <v>1.57824</v>
      </c>
      <c r="X303" t="str">
        <v>x</v>
      </c>
      <c r="Y303">
        <f>D300</f>
        <v>1</v>
      </c>
      <c r="Z303" t="str">
        <v>=</v>
      </c>
      <c r="AA303">
        <f>IF(AA304=0,(D303*N303+P303*R303)*U303*Y303,0)</f>
        <v>0</v>
      </c>
    </row>
    <row r="304">
      <c r="A304" t="str">
        <f>A294</f>
        <v>Sloof</v>
      </c>
      <c r="B304">
        <f>B294</f>
        <v>10</v>
      </c>
      <c r="D304">
        <f>IF(AND(D301=D302,D302=D303,D301=D303),D301,0)</f>
        <v>3</v>
      </c>
      <c r="E304" t="str">
        <v>D</v>
      </c>
      <c r="F304">
        <f>IF(AND(F301=F302,F301=F303,F302=F303),F301,0)</f>
        <v>16</v>
      </c>
      <c r="L304" t="str">
        <v>Total panjang per balok</v>
      </c>
      <c r="M304" t="str">
        <v>=</v>
      </c>
      <c r="N304">
        <f>IF(AND(D301=D302,D301=D303,D302=D303,F301=F302,F301=F303,F302=F303),SUM(N301:N303),0)</f>
        <v>4.634</v>
      </c>
      <c r="O304" t="str">
        <v>+</v>
      </c>
      <c r="P304">
        <f>IF(N304&gt;12,ROUNDDOWN(N304/12,0),0)</f>
        <v>0</v>
      </c>
      <c r="Q304" t="str">
        <v>x</v>
      </c>
      <c r="R304">
        <f>IF(P304&gt;0,MAX(VLOOKUP(F304,$D$6:$G$15,3,FALSE),600),0)/1000</f>
        <v>0</v>
      </c>
      <c r="T304" t="str">
        <v>x</v>
      </c>
      <c r="U304">
        <f>U303</f>
        <v>1.57824</v>
      </c>
      <c r="V304" t="str">
        <v>x</v>
      </c>
      <c r="W304">
        <f>D304</f>
        <v>3</v>
      </c>
      <c r="X304" t="str">
        <v>x</v>
      </c>
      <c r="Y304">
        <f>Y303</f>
        <v>1</v>
      </c>
      <c r="Z304" t="str">
        <v>=</v>
      </c>
      <c r="AA304">
        <f>(N304+P304*R304/1000)*U304*W304*Y304</f>
        <v>21.940692480000003</v>
      </c>
    </row>
    <row r="306">
      <c r="A306" t="str">
        <f>A294</f>
        <v>Sloof</v>
      </c>
      <c r="B306">
        <f>B294</f>
        <v>10</v>
      </c>
      <c r="C306" t="str">
        <v>Tul Peminggang</v>
      </c>
      <c r="D306">
        <f>VLOOKUP(D294,'Detail Balok'!$C$10:$AU$110,13,FALSE)</f>
        <v>2</v>
      </c>
      <c r="E306" t="str">
        <v>D</v>
      </c>
      <c r="F306">
        <f>VLOOKUP(D294,'Detail Balok'!$C$10:$AU$110,15,FALSE)</f>
        <v>10</v>
      </c>
      <c r="J306">
        <f>+D296/1000</f>
        <v>4.25</v>
      </c>
      <c r="K306" t="str">
        <v>+</v>
      </c>
      <c r="L306">
        <f>2*$F$16*F306/1000</f>
        <v>0.24</v>
      </c>
      <c r="M306" t="str">
        <v>=</v>
      </c>
      <c r="N306">
        <f>J306+L306</f>
        <v>4.49</v>
      </c>
      <c r="O306" t="str">
        <v>+</v>
      </c>
      <c r="P306">
        <f>IF(N306&gt;12,ROUNDDOWN(N306/12,0),0)</f>
        <v>0</v>
      </c>
      <c r="Q306" t="str">
        <v>x</v>
      </c>
      <c r="R306">
        <f>IF(P306&gt;0,MAX(VLOOKUP(F306,$D$6:$G$15,3,FALSE),600),0)/1000</f>
        <v>0</v>
      </c>
      <c r="T306" t="str">
        <v>x</v>
      </c>
      <c r="U306">
        <f>0.006165*F306^2</f>
        <v>0.6165</v>
      </c>
      <c r="V306" t="str">
        <v>x</v>
      </c>
      <c r="W306">
        <f>+D306</f>
        <v>2</v>
      </c>
      <c r="X306" t="str">
        <v>x</v>
      </c>
      <c r="Y306">
        <f>D300</f>
        <v>1</v>
      </c>
      <c r="Z306" t="str">
        <v>=</v>
      </c>
      <c r="AA306">
        <f>(N306+P306*R306/1000)*U306*W306*Y306</f>
        <v>5.53617</v>
      </c>
    </row>
    <row r="309">
      <c r="A309" t="str">
        <f>A294</f>
        <v>Sloof</v>
      </c>
      <c r="B309">
        <f>B294</f>
        <v>10</v>
      </c>
      <c r="C309" t="str">
        <v>Tul Bawah Tumpuan</v>
      </c>
      <c r="D309">
        <f>VLOOKUP(D294,'Detail Balok'!$C$10:$AU$110,22,FALSE)</f>
        <v>3</v>
      </c>
      <c r="E309" t="str">
        <v>D</v>
      </c>
      <c r="F309">
        <f>VLOOKUP(D294,'Detail Balok'!$C$10:$AU$110,24,FALSE)</f>
        <v>16</v>
      </c>
      <c r="I309" t="str">
        <v>(</v>
      </c>
      <c r="J309">
        <f>+J301</f>
        <v>1.0625</v>
      </c>
      <c r="K309" t="str">
        <v>+</v>
      </c>
      <c r="L309">
        <f>MAX(VLOOKUP(F309,N$6:P$15,3,FALSE)/1000,2/3*D299/1000)+F$16*F309/1000</f>
        <v>0.192</v>
      </c>
      <c r="M309" t="str">
        <v>=</v>
      </c>
      <c r="N309">
        <f>J309+L309</f>
        <v>1.2545</v>
      </c>
      <c r="O309" t="str">
        <v>+</v>
      </c>
      <c r="P309">
        <f>D309-D310</f>
        <v>0</v>
      </c>
      <c r="Q309" t="str">
        <v>x</v>
      </c>
      <c r="R309">
        <f>IF(P309&gt;0,$F$18*F309/1000,0)</f>
        <v>0</v>
      </c>
      <c r="S309" t="str">
        <v>)</v>
      </c>
      <c r="T309" t="str">
        <v>x</v>
      </c>
      <c r="U309">
        <f>0.006165*F309^2</f>
        <v>1.57824</v>
      </c>
      <c r="X309" t="str">
        <v>x</v>
      </c>
      <c r="Y309">
        <f>D300</f>
        <v>1</v>
      </c>
      <c r="Z309" t="str">
        <v>=</v>
      </c>
      <c r="AA309">
        <f>IF(AA312=0,(D309*N309+P309*R309)*U309*Y309,0)</f>
        <v>0</v>
      </c>
    </row>
    <row r="310">
      <c r="A310" t="str">
        <f>A294</f>
        <v>Sloof</v>
      </c>
      <c r="B310">
        <f>B294</f>
        <v>10</v>
      </c>
      <c r="C310" t="str">
        <v>Tul Bawah Lapangan</v>
      </c>
      <c r="D310">
        <f>VLOOKUP(D294,'Detail Balok'!$C$10:$AU$110,25,FALSE)</f>
        <v>3</v>
      </c>
      <c r="E310" t="str">
        <v>D</v>
      </c>
      <c r="F310">
        <f>VLOOKUP(D294,'Detail Balok'!$C$10:$AU$110,27,FALSE)</f>
        <v>16</v>
      </c>
      <c r="I310" t="str">
        <v>(</v>
      </c>
      <c r="J310">
        <f>+J302</f>
        <v>2.125</v>
      </c>
      <c r="K310" t="str">
        <v>+</v>
      </c>
      <c r="M310" t="str">
        <v>=</v>
      </c>
      <c r="N310">
        <f>J310+L310</f>
        <v>2.125</v>
      </c>
      <c r="O310" t="str">
        <v>+</v>
      </c>
      <c r="P310">
        <f>MAX(D310-D309,D310-D311)</f>
        <v>0</v>
      </c>
      <c r="Q310" t="str">
        <v>x</v>
      </c>
      <c r="R310">
        <f>IF(P310&gt;0,2*(1-2*$F$19-1/2)*D297/1000,0)</f>
        <v>0</v>
      </c>
      <c r="S310" t="str">
        <v>)</v>
      </c>
      <c r="T310" t="str">
        <v>x</v>
      </c>
      <c r="U310">
        <f>0.006165*F310^2</f>
        <v>1.57824</v>
      </c>
      <c r="X310" t="str">
        <v>x</v>
      </c>
      <c r="Y310">
        <f>D300</f>
        <v>1</v>
      </c>
      <c r="Z310" t="str">
        <v>=</v>
      </c>
      <c r="AA310">
        <f>IF(AA312=0,(D310*N310+P310*R310)*U310*Y310,0)</f>
        <v>0</v>
      </c>
    </row>
    <row r="311">
      <c r="A311" t="str">
        <f>A294</f>
        <v>Sloof</v>
      </c>
      <c r="B311">
        <f>B294</f>
        <v>10</v>
      </c>
      <c r="C311" t="str">
        <v>Tul Bawah Tumpuan</v>
      </c>
      <c r="D311">
        <f>VLOOKUP(D294,'Detail Balok'!$C$10:$AU$110,28,FALSE)</f>
        <v>3</v>
      </c>
      <c r="E311" t="str">
        <v>D</v>
      </c>
      <c r="F311">
        <f>VLOOKUP(D294,'Detail Balok'!$C$10:$AU$110,30,FALSE)</f>
        <v>16</v>
      </c>
      <c r="I311" t="str">
        <v>(</v>
      </c>
      <c r="J311">
        <f>+J303</f>
        <v>1.0625</v>
      </c>
      <c r="K311" t="str">
        <v>+</v>
      </c>
      <c r="L311">
        <f>MAX(VLOOKUP(F311,N$6:P$15,3,FALSE)/1000,2/3*D299/1000)+F$16*F311/1000</f>
        <v>0.192</v>
      </c>
      <c r="M311" t="str">
        <v>=</v>
      </c>
      <c r="N311">
        <f>J311+L311</f>
        <v>1.2545</v>
      </c>
      <c r="O311" t="str">
        <v>+</v>
      </c>
      <c r="P311">
        <f>D311-D310</f>
        <v>0</v>
      </c>
      <c r="Q311" t="str">
        <v>x</v>
      </c>
      <c r="R311">
        <f>IF(P311&gt;0,$F$18*F311/1000,0)</f>
        <v>0</v>
      </c>
      <c r="S311" t="str">
        <v>)</v>
      </c>
      <c r="T311" t="str">
        <v>x</v>
      </c>
      <c r="U311">
        <f>0.006165*F311^2</f>
        <v>1.57824</v>
      </c>
      <c r="X311" t="str">
        <v>x</v>
      </c>
      <c r="Y311">
        <f>D300</f>
        <v>1</v>
      </c>
      <c r="Z311" t="str">
        <v>=</v>
      </c>
      <c r="AA311">
        <f>IF(AA312=0,(D311*N311+P311*R311)*U311*Y311,0)</f>
        <v>0</v>
      </c>
    </row>
    <row r="312">
      <c r="A312" t="str">
        <f>A294</f>
        <v>Sloof</v>
      </c>
      <c r="B312">
        <f>B294</f>
        <v>10</v>
      </c>
      <c r="D312">
        <f>IF(AND(D309=D310,D310=D311,D309=D311),D309,0)</f>
        <v>3</v>
      </c>
      <c r="E312" t="str">
        <v>D</v>
      </c>
      <c r="F312">
        <f>IF(AND(F309=F310,F309=F311,F310=F311),F309,0)</f>
        <v>16</v>
      </c>
      <c r="L312" t="str">
        <v>Total panjang per balok</v>
      </c>
      <c r="M312" t="str">
        <v>=</v>
      </c>
      <c r="N312">
        <f>IF(AND(D309=D310,D309=D311,D310=D311,F309=F310,F309=F311,F310=F311),SUM(N309:N311),0)</f>
        <v>4.634</v>
      </c>
      <c r="O312" t="str">
        <v>+</v>
      </c>
      <c r="P312">
        <f>IF(N312&gt;12,ROUNDDOWN(N312/12,0),0)</f>
        <v>0</v>
      </c>
      <c r="Q312" t="str">
        <v>x</v>
      </c>
      <c r="R312">
        <f>IF(P312&gt;0,MAX(VLOOKUP(F312,$D$6:$G$15,3,FALSE),600),0)/1000</f>
        <v>0</v>
      </c>
      <c r="T312" t="str">
        <v>x</v>
      </c>
      <c r="U312">
        <f>U311</f>
        <v>1.57824</v>
      </c>
      <c r="V312" t="str">
        <v>x</v>
      </c>
      <c r="W312">
        <f>D312</f>
        <v>3</v>
      </c>
      <c r="X312" t="str">
        <v>x</v>
      </c>
      <c r="Y312">
        <f>Y311</f>
        <v>1</v>
      </c>
      <c r="Z312" t="str">
        <v>=</v>
      </c>
      <c r="AA312">
        <f>(N312+P312*R312/1000)*U312*W312*Y312</f>
        <v>21.940692480000003</v>
      </c>
    </row>
    <row r="314">
      <c r="A314" t="str">
        <f>A294</f>
        <v>Sloof</v>
      </c>
      <c r="B314">
        <f>B294</f>
        <v>10</v>
      </c>
      <c r="C314" t="str">
        <v>Sengkang Tumpuan</v>
      </c>
      <c r="D314">
        <f>VLOOKUP(D294,'Detail Balok'!$C$10:$AU$110,31,FALSE)</f>
        <v>0</v>
      </c>
      <c r="E314" t="str">
        <v>D</v>
      </c>
      <c r="F314">
        <f>VLOOKUP(D294,'Detail Balok'!$C$10:$AU$110,33,FALSE)</f>
        <v>10</v>
      </c>
      <c r="G314" t="str">
        <v>-</v>
      </c>
      <c r="H314">
        <f>VLOOKUP(D294,'Detail Balok'!$C$10:$AU$110,35,FALSE)</f>
        <v>200</v>
      </c>
      <c r="J314">
        <f>(IF(D314=0,(2*(D295+G295))-(F$5*8),IF(D314=3,(2*(D295+G295))-(F$5*8)+(G295-2*F$5),IF(D314=4,(2*(D295+G295))-(F$5*8)+2*(G295-2*F$5)))))/1000</f>
        <v>1.08</v>
      </c>
      <c r="K314" t="str">
        <v>+</v>
      </c>
      <c r="L314">
        <f>IF(D314=0,2*MAX(6*F314,75),(D314-1)*2*MAX(6*F314,75))/1000</f>
        <v>0.15</v>
      </c>
      <c r="M314" t="str">
        <v>=</v>
      </c>
      <c r="N314">
        <f>J314+L314</f>
        <v>1.23</v>
      </c>
      <c r="T314" t="str">
        <v>x</v>
      </c>
      <c r="U314">
        <f>0.006165*F314^2</f>
        <v>0.6165</v>
      </c>
      <c r="V314" t="str">
        <v>x</v>
      </c>
      <c r="W314">
        <f>IF(D297&gt;4*G295,ROUND(MAX(D297/4,2*G295)/H314,0)+1,ROUND(D297/H314,0)+1)</f>
        <v>6</v>
      </c>
      <c r="X314" t="str">
        <v>x</v>
      </c>
      <c r="Y314">
        <f>D300</f>
        <v>1</v>
      </c>
      <c r="Z314" t="str">
        <v>=</v>
      </c>
      <c r="AA314">
        <f>N314*U314*W314*Y314</f>
        <v>4.5497700000000005</v>
      </c>
    </row>
    <row r="315">
      <c r="A315" t="str">
        <f>A294</f>
        <v>Sloof</v>
      </c>
      <c r="B315">
        <f>B294</f>
        <v>10</v>
      </c>
      <c r="C315" t="str">
        <v>Sengkang Lapangan</v>
      </c>
      <c r="D315">
        <f>VLOOKUP(D294,'Detail Balok'!$C$10:$AU$110,36,FALSE)</f>
        <v>0</v>
      </c>
      <c r="E315" t="str">
        <v>D</v>
      </c>
      <c r="F315">
        <f>VLOOKUP(D294,'Detail Balok'!$C$10:$AU$110,38,FALSE)</f>
        <v>10</v>
      </c>
      <c r="G315" t="str">
        <v>-</v>
      </c>
      <c r="H315">
        <f>VLOOKUP(D294,'Detail Balok'!$C$10:$AU$110,40,FALSE)</f>
        <v>200</v>
      </c>
      <c r="J315">
        <f>(IF(D315=0,(2*(D295+G295))-(F$5*8),IF(D315=3,(2*(D295+G295))-(F$5*8)+(G295-2*F$5),IF(D315=4,(2*(D295+G295))-(F$5*8)+2*(G295-2*F$5)))))/1000</f>
        <v>1.08</v>
      </c>
      <c r="K315" t="str">
        <v>+</v>
      </c>
      <c r="L315">
        <f>IF(D315=0,2*MAX(6*F315,75),(D315-1)*2*MAX(6*F315,75))/1000</f>
        <v>0.15</v>
      </c>
      <c r="M315" t="str">
        <v>=</v>
      </c>
      <c r="N315">
        <f>J315+L315</f>
        <v>1.23</v>
      </c>
      <c r="T315" t="str">
        <v>x</v>
      </c>
      <c r="U315">
        <f>0.006165*F315^2</f>
        <v>0.6165</v>
      </c>
      <c r="V315" t="str">
        <v>x</v>
      </c>
      <c r="W315">
        <f>IF(D297-MAX(D297/4,2*G295)*2&gt;0,ROUND((D297-MAX(D297/4,2*G295)*2)/H315,0),0)</f>
        <v>11</v>
      </c>
      <c r="X315" t="str">
        <v>x</v>
      </c>
      <c r="Y315">
        <f>D300</f>
        <v>1</v>
      </c>
      <c r="Z315" t="str">
        <v>=</v>
      </c>
      <c r="AA315">
        <f>N315*U315*W315*Y315</f>
        <v>8.341245</v>
      </c>
    </row>
    <row r="316">
      <c r="A316" t="str">
        <f>A294</f>
        <v>Sloof</v>
      </c>
      <c r="B316">
        <f>B294</f>
        <v>10</v>
      </c>
      <c r="C316" t="str">
        <v>Sengkang Tumpuan</v>
      </c>
      <c r="D316">
        <f>VLOOKUP(D294,'Detail Balok'!$C$10:$AU$110,41,FALSE)</f>
        <v>0</v>
      </c>
      <c r="E316" t="str">
        <v>D</v>
      </c>
      <c r="F316">
        <f>VLOOKUP(D294,'Detail Balok'!$C$10:$AU$110,43,FALSE)</f>
        <v>10</v>
      </c>
      <c r="G316" t="str">
        <v>-</v>
      </c>
      <c r="H316">
        <f>VLOOKUP(D294,'Detail Balok'!$C$10:$AU$110,45,FALSE)</f>
        <v>200</v>
      </c>
      <c r="J316">
        <f>(IF(D316=0,(2*(D295+G295))-(F$5*8),IF(D316=3,(2*(D295+G295))-(F$5*8)+(G295-2*F$5),IF(D316=4,(2*(D295+G295))-(F$5*8)+2*(G295-2*F$5)))))/1000</f>
        <v>1.08</v>
      </c>
      <c r="K316" t="str">
        <v>+</v>
      </c>
      <c r="L316">
        <f>IF(D316=0,2*MAX(6*F316,75),(D316-1)*2*MAX(6*F316,75))/1000</f>
        <v>0.15</v>
      </c>
      <c r="M316" t="str">
        <v>=</v>
      </c>
      <c r="N316">
        <f>J316+L316</f>
        <v>1.23</v>
      </c>
      <c r="T316" t="str">
        <v>x</v>
      </c>
      <c r="U316">
        <f>0.006165*F316^2</f>
        <v>0.6165</v>
      </c>
      <c r="V316" t="str">
        <v>x</v>
      </c>
      <c r="W316">
        <f>IF(D297&gt;4*G295,ROUND(MAX(D297/4,2*G295)/H316,0)+1,0)</f>
        <v>6</v>
      </c>
      <c r="X316" t="str">
        <v>x</v>
      </c>
      <c r="Y316">
        <f>D300</f>
        <v>1</v>
      </c>
      <c r="Z316" t="str">
        <v>=</v>
      </c>
      <c r="AA316">
        <f>N316*U316*W316*Y316</f>
        <v>4.5497700000000005</v>
      </c>
    </row>
    <row r="318">
      <c r="A318" t="str">
        <f>A294</f>
        <v>Sloof</v>
      </c>
      <c r="B318">
        <f>B294</f>
        <v>10</v>
      </c>
      <c r="C318" t="str">
        <v>Kait Horizontal Tump.</v>
      </c>
      <c r="D318">
        <f>VLOOKUP(D294,'Detail Balok'!$C$10:$BJ$110,46,FALSE)</f>
        <v>0</v>
      </c>
      <c r="E318" t="str">
        <v>D</v>
      </c>
      <c r="F318">
        <f>VLOOKUP(D294,'Detail Balok'!$C$10:$BJ$110,48,FALSE)</f>
        <v>0</v>
      </c>
      <c r="G318" t="str">
        <v>-</v>
      </c>
      <c r="H318">
        <f>VLOOKUP(D294,'Detail Balok'!$C$10:$BJ$110,50,FALSE)</f>
        <v>100</v>
      </c>
      <c r="J318">
        <f>(D295-2*F$5)/1000</f>
        <v>0.12</v>
      </c>
      <c r="K318" t="str">
        <v>+</v>
      </c>
      <c r="L318">
        <f>IF(D318=0,2*MAX(6*F318,75),(D318-1)*2*MAX(6*F318,75))/1000</f>
        <v>0.15</v>
      </c>
      <c r="M318" t="str">
        <v>=</v>
      </c>
      <c r="N318">
        <f>J318+L318</f>
        <v>0.27</v>
      </c>
      <c r="T318" t="str">
        <v>x</v>
      </c>
      <c r="U318">
        <f>0.006165*F318^2</f>
        <v>0</v>
      </c>
      <c r="V318" t="str">
        <v>x</v>
      </c>
      <c r="W318">
        <f>W314</f>
        <v>6</v>
      </c>
      <c r="X318" t="str">
        <v>x</v>
      </c>
      <c r="Y318">
        <f>D304</f>
        <v>3</v>
      </c>
      <c r="Z318" t="str">
        <v>=</v>
      </c>
      <c r="AA318">
        <f>N318*U318*W318*Y318</f>
        <v>0</v>
      </c>
    </row>
    <row r="319">
      <c r="A319" t="str">
        <f>A294</f>
        <v>Sloof</v>
      </c>
      <c r="B319">
        <f>B294</f>
        <v>10</v>
      </c>
      <c r="C319" t="str">
        <v>Kait Horizontal Lap.</v>
      </c>
      <c r="D319">
        <f>VLOOKUP(D294,'Detail Balok'!$C$10:$BJ$110,51,FALSE)</f>
        <v>0</v>
      </c>
      <c r="E319" t="str">
        <v>D</v>
      </c>
      <c r="F319">
        <f>VLOOKUP(D294,'Detail Balok'!$C$10:$BJ$110,53,FALSE)</f>
        <v>0</v>
      </c>
      <c r="G319" t="str">
        <v>-</v>
      </c>
      <c r="H319">
        <f>VLOOKUP(D294,'Detail Balok'!$C$10:$BJ$110,55,FALSE)</f>
        <v>100</v>
      </c>
      <c r="J319">
        <f>(D295-2*F$5)/1000</f>
        <v>0.12</v>
      </c>
      <c r="K319" t="str">
        <v>+</v>
      </c>
      <c r="L319">
        <f>IF(D319=0,2*MAX(6*F319,75),(D319-1)*2*MAX(6*F319,75))/1000</f>
        <v>0.15</v>
      </c>
      <c r="M319" t="str">
        <v>=</v>
      </c>
      <c r="N319">
        <f>J319+L319</f>
        <v>0.27</v>
      </c>
      <c r="T319" t="str">
        <v>x</v>
      </c>
      <c r="U319">
        <f>0.006165*F319^2</f>
        <v>0</v>
      </c>
      <c r="V319" t="str">
        <v>x</v>
      </c>
      <c r="W319">
        <f>W315</f>
        <v>11</v>
      </c>
      <c r="X319" t="str">
        <v>x</v>
      </c>
      <c r="Y319">
        <f>D304</f>
        <v>3</v>
      </c>
      <c r="Z319" t="str">
        <v>=</v>
      </c>
      <c r="AA319">
        <f>N319*U319*W319*Y319</f>
        <v>0</v>
      </c>
    </row>
    <row r="320">
      <c r="A320" t="str">
        <f>A294</f>
        <v>Sloof</v>
      </c>
      <c r="B320">
        <f>B294</f>
        <v>10</v>
      </c>
      <c r="C320" t="str">
        <v>Kait Horizontal Tump.</v>
      </c>
      <c r="D320">
        <f>VLOOKUP(D294,'Detail Balok'!$C$10:$BJ$110,56,FALSE)</f>
        <v>0</v>
      </c>
      <c r="E320" t="str">
        <v>D</v>
      </c>
      <c r="F320">
        <f>VLOOKUP(D294,'Detail Balok'!$C$10:$BJ$110,58,FALSE)</f>
        <v>0</v>
      </c>
      <c r="G320" t="str">
        <v>-</v>
      </c>
      <c r="H320">
        <f>VLOOKUP(D294,'Detail Balok'!$C$10:$BJ$110,60,FALSE)</f>
        <v>100</v>
      </c>
      <c r="J320">
        <f>(D295-2*F$5)/1000</f>
        <v>0.12</v>
      </c>
      <c r="K320" t="str">
        <v>+</v>
      </c>
      <c r="L320">
        <f>IF(D320=0,2*MAX(6*F320,75),(D320-1)*2*MAX(6*F320,75))/1000</f>
        <v>0.15</v>
      </c>
      <c r="M320" t="str">
        <v>=</v>
      </c>
      <c r="N320">
        <f>J320+L320</f>
        <v>0.27</v>
      </c>
      <c r="T320" t="str">
        <v>x</v>
      </c>
      <c r="U320">
        <f>0.006165*F320^2</f>
        <v>0</v>
      </c>
      <c r="V320" t="str">
        <v>x</v>
      </c>
      <c r="W320">
        <f>W316</f>
        <v>6</v>
      </c>
      <c r="X320" t="str">
        <v>x</v>
      </c>
      <c r="Y320">
        <f>D304</f>
        <v>3</v>
      </c>
      <c r="Z320" t="str">
        <v>=</v>
      </c>
      <c r="AA320">
        <f>N320*U320*W320*Y320</f>
        <v>0</v>
      </c>
    </row>
    <row r="324">
      <c r="A324" t="str">
        <f>A294</f>
        <v>Sloof</v>
      </c>
      <c r="B324">
        <f>B294+1</f>
        <v>11</v>
      </c>
      <c r="C324" t="str">
        <f>CONCATENATE(A324," no. ",B324)</f>
        <v>Sloof no. 11</v>
      </c>
      <c r="D324" t="str">
        <f>VLOOKUP(C324,'Data Panjang Balok'!$C$9:$N$424,2,FALSE)</f>
        <v>Potongan S4</v>
      </c>
    </row>
    <row r="325">
      <c r="C325" t="str">
        <v>Dimensi</v>
      </c>
      <c r="D325">
        <f>VLOOKUP(D324,'Detail Balok'!$C$10:$AU$110,2,FALSE)</f>
        <v>300</v>
      </c>
      <c r="F325" t="str">
        <v>x</v>
      </c>
      <c r="G325">
        <f>VLOOKUP(D324,'Detail Balok'!$C$10:$AU$110,3,FALSE)</f>
        <v>500</v>
      </c>
    </row>
    <row r="326">
      <c r="C326" t="str">
        <v>Panjang as ke as</v>
      </c>
      <c r="D326">
        <f>VLOOKUP(C324,'Data Panjang Balok'!$C$9:$N$424,4,FALSE)</f>
        <v>2100</v>
      </c>
    </row>
    <row r="327">
      <c r="C327" t="str">
        <v>Panjang netto</v>
      </c>
      <c r="D327">
        <f>VLOOKUP(C324,'Data Panjang Balok'!$C$9:$N$424,7,FALSE)</f>
        <v>2100</v>
      </c>
    </row>
    <row r="328">
      <c r="C328" t="str">
        <v>Kolom / balok kiri</v>
      </c>
      <c r="D328">
        <f>VLOOKUP(C324,'Data Panjang Balok'!$C$9:$N$424,9,FALSE)</f>
        <v>0</v>
      </c>
    </row>
    <row r="329">
      <c r="C329" t="str">
        <v>Kolom / balok kanan</v>
      </c>
      <c r="D329">
        <f>VLOOKUP(C324,'Data Panjang Balok'!$C$9:$N$424,10,FALSE)</f>
        <v>0</v>
      </c>
    </row>
    <row r="330">
      <c r="C330" t="str">
        <v>Jumlah</v>
      </c>
      <c r="D330">
        <f>VLOOKUP(C324,'Data Panjang Balok'!$C$9:$N$424,3,FALSE)</f>
        <v>1</v>
      </c>
    </row>
    <row r="331">
      <c r="A331" t="str">
        <f>A324</f>
        <v>Sloof</v>
      </c>
      <c r="B331">
        <f>B324</f>
        <v>11</v>
      </c>
      <c r="C331" t="str">
        <v>Tul Atas Tumpuan</v>
      </c>
      <c r="D331">
        <f>VLOOKUP(D324,'Detail Balok'!$C$10:$AU$110,4,FALSE)</f>
        <v>5</v>
      </c>
      <c r="E331" t="str">
        <v>D</v>
      </c>
      <c r="F331">
        <f>VLOOKUP(D324,'Detail Balok'!$C$10:$AU$110,6,FALSE)</f>
        <v>16</v>
      </c>
      <c r="I331" t="str">
        <v>(</v>
      </c>
      <c r="J331">
        <f>+D326/4/1000</f>
        <v>0.525</v>
      </c>
      <c r="K331" t="str">
        <v>+</v>
      </c>
      <c r="L331">
        <f>MAX(VLOOKUP(F331,N$6:P$15,3,FALSE)/1000,2/3*D328/1000)+F$16*F331/1000</f>
        <v>0.192</v>
      </c>
      <c r="M331" t="str">
        <v>=</v>
      </c>
      <c r="N331">
        <f>J331+L331</f>
        <v>0.7170000000000001</v>
      </c>
      <c r="O331" t="str">
        <v>+</v>
      </c>
      <c r="P331">
        <f>D331-D332</f>
        <v>0</v>
      </c>
      <c r="Q331" t="str">
        <v>x</v>
      </c>
      <c r="R331">
        <f>IF(P331&gt;0,$F$18*F331/1000,0)</f>
        <v>0</v>
      </c>
      <c r="S331" t="str">
        <v>)</v>
      </c>
      <c r="T331" t="str">
        <v>x</v>
      </c>
      <c r="U331">
        <f>0.006165*F331^2</f>
        <v>1.57824</v>
      </c>
      <c r="X331" t="str">
        <v>x</v>
      </c>
      <c r="Y331">
        <f>D330</f>
        <v>1</v>
      </c>
      <c r="Z331" t="str">
        <v>=</v>
      </c>
      <c r="AA331">
        <f>IF(AA334=0,(D331*N331+P331*R331)*U331*Y331,0)</f>
        <v>0</v>
      </c>
    </row>
    <row r="332">
      <c r="A332" t="str">
        <f>A324</f>
        <v>Sloof</v>
      </c>
      <c r="B332">
        <f>B324</f>
        <v>11</v>
      </c>
      <c r="C332" t="str">
        <v>Tul Atas Lapangan</v>
      </c>
      <c r="D332">
        <f>VLOOKUP(D324,'Detail Balok'!$C$10:$AU$110,7,FALSE)</f>
        <v>5</v>
      </c>
      <c r="E332" t="str">
        <v>D</v>
      </c>
      <c r="F332">
        <f>VLOOKUP(D324,'Detail Balok'!$C$10:$AU$110,9,FALSE)</f>
        <v>16</v>
      </c>
      <c r="I332" t="str">
        <v>(</v>
      </c>
      <c r="J332">
        <f>+D326/2/1000</f>
        <v>1.05</v>
      </c>
      <c r="K332" t="str">
        <v>+</v>
      </c>
      <c r="M332" t="str">
        <v>=</v>
      </c>
      <c r="N332">
        <f>J332+L332</f>
        <v>1.05</v>
      </c>
      <c r="O332" t="str">
        <v>+</v>
      </c>
      <c r="P332">
        <f>MAX(D332-D331,D332-D333)</f>
        <v>0</v>
      </c>
      <c r="Q332" t="str">
        <v>x</v>
      </c>
      <c r="R332">
        <f>IF(P332&gt;0,2*(1-2*$F$19-1/2)*D327/1000,0)</f>
        <v>0</v>
      </c>
      <c r="S332" t="str">
        <v>)</v>
      </c>
      <c r="T332" t="str">
        <v>x</v>
      </c>
      <c r="U332">
        <f>0.006165*F332^2</f>
        <v>1.57824</v>
      </c>
      <c r="X332" t="str">
        <v>x</v>
      </c>
      <c r="Y332">
        <f>D330</f>
        <v>1</v>
      </c>
      <c r="Z332" t="str">
        <v>=</v>
      </c>
      <c r="AA332">
        <f>IF(AA334=0,(D332*N332+P332*R332)*U332*Y332,0)</f>
        <v>0</v>
      </c>
    </row>
    <row r="333">
      <c r="A333" t="str">
        <f>A324</f>
        <v>Sloof</v>
      </c>
      <c r="B333">
        <f>B324</f>
        <v>11</v>
      </c>
      <c r="C333" t="str">
        <v>Tul Atas Tumpuan</v>
      </c>
      <c r="D333">
        <f>VLOOKUP(D324,'Detail Balok'!$C$10:$AU$110,10,FALSE)</f>
        <v>5</v>
      </c>
      <c r="E333" t="str">
        <v>D</v>
      </c>
      <c r="F333">
        <f>VLOOKUP(D324,'Detail Balok'!$C$10:$AU$110,12,FALSE)</f>
        <v>16</v>
      </c>
      <c r="I333" t="str">
        <v>(</v>
      </c>
      <c r="J333">
        <f>+D326/4/1000</f>
        <v>0.525</v>
      </c>
      <c r="K333" t="str">
        <v>+</v>
      </c>
      <c r="L333">
        <f>MAX(VLOOKUP(F333,N$6:P$15,3,FALSE)/1000,2/3*D328/1000)+F$16*F333/1000</f>
        <v>0.192</v>
      </c>
      <c r="M333" t="str">
        <v>=</v>
      </c>
      <c r="N333">
        <f>J333+L333</f>
        <v>0.7170000000000001</v>
      </c>
      <c r="O333" t="str">
        <v>+</v>
      </c>
      <c r="P333">
        <f>D333-D332</f>
        <v>0</v>
      </c>
      <c r="Q333" t="str">
        <v>x</v>
      </c>
      <c r="R333">
        <f>IF(P333&gt;0,$F$18*F333/1000,0)</f>
        <v>0</v>
      </c>
      <c r="S333" t="str">
        <v>)</v>
      </c>
      <c r="T333" t="str">
        <v>x</v>
      </c>
      <c r="U333">
        <f>0.006165*F333^2</f>
        <v>1.57824</v>
      </c>
      <c r="X333" t="str">
        <v>x</v>
      </c>
      <c r="Y333">
        <f>D330</f>
        <v>1</v>
      </c>
      <c r="Z333" t="str">
        <v>=</v>
      </c>
      <c r="AA333">
        <f>IF(AA334=0,(D333*N333+P333*R333)*U333*Y333,0)</f>
        <v>0</v>
      </c>
    </row>
    <row r="334">
      <c r="A334" t="str">
        <f>A324</f>
        <v>Sloof</v>
      </c>
      <c r="B334">
        <f>B324</f>
        <v>11</v>
      </c>
      <c r="D334">
        <f>IF(AND(D331=D332,D332=D333,D331=D333),D331,0)</f>
        <v>5</v>
      </c>
      <c r="E334" t="str">
        <v>D</v>
      </c>
      <c r="F334">
        <f>IF(AND(F331=F332,F331=F333,F332=F333),F331,0)</f>
        <v>16</v>
      </c>
      <c r="L334" t="str">
        <v>Total panjang per balok</v>
      </c>
      <c r="M334" t="str">
        <v>=</v>
      </c>
      <c r="N334">
        <f>IF(AND(D331=D332,D331=D333,D332=D333,F331=F332,F331=F333,F332=F333),SUM(N331:N333),0)</f>
        <v>2.484</v>
      </c>
      <c r="O334" t="str">
        <v>+</v>
      </c>
      <c r="P334">
        <f>IF(N334&gt;12,ROUNDDOWN(N334/12,0),0)</f>
        <v>0</v>
      </c>
      <c r="Q334" t="str">
        <v>x</v>
      </c>
      <c r="R334">
        <f>IF(P334&gt;0,MAX(VLOOKUP(F334,$D$6:$G$15,3,FALSE),600),0)/1000</f>
        <v>0</v>
      </c>
      <c r="T334" t="str">
        <v>x</v>
      </c>
      <c r="U334">
        <f>U333</f>
        <v>1.57824</v>
      </c>
      <c r="V334" t="str">
        <v>x</v>
      </c>
      <c r="W334">
        <f>D334</f>
        <v>5</v>
      </c>
      <c r="X334" t="str">
        <v>x</v>
      </c>
      <c r="Y334">
        <f>Y333</f>
        <v>1</v>
      </c>
      <c r="Z334" t="str">
        <v>=</v>
      </c>
      <c r="AA334">
        <f>(N334+P334*R334/1000)*U334*W334*Y334</f>
        <v>19.6017408</v>
      </c>
    </row>
    <row r="336">
      <c r="A336" t="str">
        <f>A324</f>
        <v>Sloof</v>
      </c>
      <c r="B336">
        <f>B324</f>
        <v>11</v>
      </c>
      <c r="C336" t="str">
        <v>Tul Peminggang</v>
      </c>
      <c r="D336">
        <f>VLOOKUP(D324,'Detail Balok'!$C$10:$AU$110,13,FALSE)</f>
        <v>2</v>
      </c>
      <c r="E336" t="str">
        <v>D</v>
      </c>
      <c r="F336">
        <f>VLOOKUP(D324,'Detail Balok'!$C$10:$AU$110,15,FALSE)</f>
        <v>10</v>
      </c>
      <c r="J336">
        <f>+D326/1000</f>
        <v>2.1</v>
      </c>
      <c r="K336" t="str">
        <v>+</v>
      </c>
      <c r="L336">
        <f>2*$F$16*F336/1000</f>
        <v>0.24</v>
      </c>
      <c r="M336" t="str">
        <v>=</v>
      </c>
      <c r="N336">
        <f>J336+L336</f>
        <v>2.34</v>
      </c>
      <c r="O336" t="str">
        <v>+</v>
      </c>
      <c r="P336">
        <f>IF(N336&gt;12,ROUNDDOWN(N336/12,0),0)</f>
        <v>0</v>
      </c>
      <c r="Q336" t="str">
        <v>x</v>
      </c>
      <c r="R336">
        <f>IF(P336&gt;0,MAX(VLOOKUP(F336,$D$6:$G$15,3,FALSE),600),0)/1000</f>
        <v>0</v>
      </c>
      <c r="T336" t="str">
        <v>x</v>
      </c>
      <c r="U336">
        <f>0.006165*F336^2</f>
        <v>0.6165</v>
      </c>
      <c r="V336" t="str">
        <v>x</v>
      </c>
      <c r="W336">
        <f>+D336</f>
        <v>2</v>
      </c>
      <c r="X336" t="str">
        <v>x</v>
      </c>
      <c r="Y336">
        <f>D330</f>
        <v>1</v>
      </c>
      <c r="Z336" t="str">
        <v>=</v>
      </c>
      <c r="AA336">
        <f>(N336+P336*R336/1000)*U336*W336*Y336</f>
        <v>2.88522</v>
      </c>
    </row>
    <row r="339">
      <c r="A339" t="str">
        <f>A324</f>
        <v>Sloof</v>
      </c>
      <c r="B339">
        <f>B324</f>
        <v>11</v>
      </c>
      <c r="C339" t="str">
        <v>Tul Bawah Tumpuan</v>
      </c>
      <c r="D339">
        <f>VLOOKUP(D324,'Detail Balok'!$C$10:$AU$110,22,FALSE)</f>
        <v>3</v>
      </c>
      <c r="E339" t="str">
        <v>D</v>
      </c>
      <c r="F339">
        <f>VLOOKUP(D324,'Detail Balok'!$C$10:$AU$110,24,FALSE)</f>
        <v>16</v>
      </c>
      <c r="I339" t="str">
        <v>(</v>
      </c>
      <c r="J339">
        <f>+J331</f>
        <v>0.525</v>
      </c>
      <c r="K339" t="str">
        <v>+</v>
      </c>
      <c r="L339">
        <f>MAX(VLOOKUP(F339,N$6:P$15,3,FALSE)/1000,2/3*D329/1000)+F$16*F339/1000</f>
        <v>0.192</v>
      </c>
      <c r="M339" t="str">
        <v>=</v>
      </c>
      <c r="N339">
        <f>J339+L339</f>
        <v>0.7170000000000001</v>
      </c>
      <c r="O339" t="str">
        <v>+</v>
      </c>
      <c r="P339">
        <f>D339-D340</f>
        <v>0</v>
      </c>
      <c r="Q339" t="str">
        <v>x</v>
      </c>
      <c r="R339">
        <f>IF(P339&gt;0,$F$18*F339/1000,0)</f>
        <v>0</v>
      </c>
      <c r="S339" t="str">
        <v>)</v>
      </c>
      <c r="T339" t="str">
        <v>x</v>
      </c>
      <c r="U339">
        <f>0.006165*F339^2</f>
        <v>1.57824</v>
      </c>
      <c r="X339" t="str">
        <v>x</v>
      </c>
      <c r="Y339">
        <f>D330</f>
        <v>1</v>
      </c>
      <c r="Z339" t="str">
        <v>=</v>
      </c>
      <c r="AA339">
        <f>IF(AA342=0,(D339*N339+P339*R339)*U339*Y339,0)</f>
        <v>0</v>
      </c>
    </row>
    <row r="340">
      <c r="A340" t="str">
        <f>A324</f>
        <v>Sloof</v>
      </c>
      <c r="B340">
        <f>B324</f>
        <v>11</v>
      </c>
      <c r="C340" t="str">
        <v>Tul Bawah Lapangan</v>
      </c>
      <c r="D340">
        <f>VLOOKUP(D324,'Detail Balok'!$C$10:$AU$110,25,FALSE)</f>
        <v>3</v>
      </c>
      <c r="E340" t="str">
        <v>D</v>
      </c>
      <c r="F340">
        <f>VLOOKUP(D324,'Detail Balok'!$C$10:$AU$110,27,FALSE)</f>
        <v>16</v>
      </c>
      <c r="I340" t="str">
        <v>(</v>
      </c>
      <c r="J340">
        <f>+J332</f>
        <v>1.05</v>
      </c>
      <c r="K340" t="str">
        <v>+</v>
      </c>
      <c r="M340" t="str">
        <v>=</v>
      </c>
      <c r="N340">
        <f>J340+L340</f>
        <v>1.05</v>
      </c>
      <c r="O340" t="str">
        <v>+</v>
      </c>
      <c r="P340">
        <f>MAX(D340-D339,D340-D341)</f>
        <v>0</v>
      </c>
      <c r="Q340" t="str">
        <v>x</v>
      </c>
      <c r="R340">
        <f>IF(P340&gt;0,2*(1-2*$F$19-1/2)*D327/1000,0)</f>
        <v>0</v>
      </c>
      <c r="S340" t="str">
        <v>)</v>
      </c>
      <c r="T340" t="str">
        <v>x</v>
      </c>
      <c r="U340">
        <f>0.006165*F340^2</f>
        <v>1.57824</v>
      </c>
      <c r="X340" t="str">
        <v>x</v>
      </c>
      <c r="Y340">
        <f>D330</f>
        <v>1</v>
      </c>
      <c r="Z340" t="str">
        <v>=</v>
      </c>
      <c r="AA340">
        <f>IF(AA342=0,(D340*N340+P340*R340)*U340*Y340,0)</f>
        <v>0</v>
      </c>
    </row>
    <row r="341">
      <c r="A341" t="str">
        <f>A324</f>
        <v>Sloof</v>
      </c>
      <c r="B341">
        <f>B324</f>
        <v>11</v>
      </c>
      <c r="C341" t="str">
        <v>Tul Bawah Tumpuan</v>
      </c>
      <c r="D341">
        <f>VLOOKUP(D324,'Detail Balok'!$C$10:$AU$110,28,FALSE)</f>
        <v>3</v>
      </c>
      <c r="E341" t="str">
        <v>D</v>
      </c>
      <c r="F341">
        <f>VLOOKUP(D324,'Detail Balok'!$C$10:$AU$110,30,FALSE)</f>
        <v>16</v>
      </c>
      <c r="I341" t="str">
        <v>(</v>
      </c>
      <c r="J341">
        <f>+J333</f>
        <v>0.525</v>
      </c>
      <c r="K341" t="str">
        <v>+</v>
      </c>
      <c r="L341">
        <f>MAX(VLOOKUP(F341,N$6:P$15,3,FALSE)/1000,2/3*D329/1000)+F$16*F341/1000</f>
        <v>0.192</v>
      </c>
      <c r="M341" t="str">
        <v>=</v>
      </c>
      <c r="N341">
        <f>J341+L341</f>
        <v>0.7170000000000001</v>
      </c>
      <c r="O341" t="str">
        <v>+</v>
      </c>
      <c r="P341">
        <f>D341-D340</f>
        <v>0</v>
      </c>
      <c r="Q341" t="str">
        <v>x</v>
      </c>
      <c r="R341">
        <f>IF(P341&gt;0,$F$18*F341/1000,0)</f>
        <v>0</v>
      </c>
      <c r="S341" t="str">
        <v>)</v>
      </c>
      <c r="T341" t="str">
        <v>x</v>
      </c>
      <c r="U341">
        <f>0.006165*F341^2</f>
        <v>1.57824</v>
      </c>
      <c r="X341" t="str">
        <v>x</v>
      </c>
      <c r="Y341">
        <f>D330</f>
        <v>1</v>
      </c>
      <c r="Z341" t="str">
        <v>=</v>
      </c>
      <c r="AA341">
        <f>IF(AA342=0,(D341*N341+P341*R341)*U341*Y341,0)</f>
        <v>0</v>
      </c>
    </row>
    <row r="342">
      <c r="A342" t="str">
        <f>A324</f>
        <v>Sloof</v>
      </c>
      <c r="B342">
        <f>B324</f>
        <v>11</v>
      </c>
      <c r="D342">
        <f>IF(AND(D339=D340,D340=D341,D339=D341),D339,0)</f>
        <v>3</v>
      </c>
      <c r="E342" t="str">
        <v>D</v>
      </c>
      <c r="F342">
        <f>IF(AND(F339=F340,F339=F341,F340=F341),F339,0)</f>
        <v>16</v>
      </c>
      <c r="L342" t="str">
        <v>Total panjang per balok</v>
      </c>
      <c r="M342" t="str">
        <v>=</v>
      </c>
      <c r="N342">
        <f>IF(AND(D339=D340,D339=D341,D340=D341,F339=F340,F339=F341,F340=F341),SUM(N339:N341),0)</f>
        <v>2.484</v>
      </c>
      <c r="O342" t="str">
        <v>+</v>
      </c>
      <c r="P342">
        <f>IF(N342&gt;12,ROUNDDOWN(N342/12,0),0)</f>
        <v>0</v>
      </c>
      <c r="Q342" t="str">
        <v>x</v>
      </c>
      <c r="R342">
        <f>IF(P342&gt;0,MAX(VLOOKUP(F342,$D$6:$G$15,3,FALSE),600),0)/1000</f>
        <v>0</v>
      </c>
      <c r="T342" t="str">
        <v>x</v>
      </c>
      <c r="U342">
        <f>U341</f>
        <v>1.57824</v>
      </c>
      <c r="V342" t="str">
        <v>x</v>
      </c>
      <c r="W342">
        <f>D342</f>
        <v>3</v>
      </c>
      <c r="X342" t="str">
        <v>x</v>
      </c>
      <c r="Y342">
        <f>Y341</f>
        <v>1</v>
      </c>
      <c r="Z342" t="str">
        <v>=</v>
      </c>
      <c r="AA342">
        <f>(N342+P342*R342/1000)*U342*W342*Y342</f>
        <v>11.76104448</v>
      </c>
    </row>
    <row r="344">
      <c r="A344" t="str">
        <f>A324</f>
        <v>Sloof</v>
      </c>
      <c r="B344">
        <f>B324</f>
        <v>11</v>
      </c>
      <c r="C344" t="str">
        <v>Sengkang Tumpuan</v>
      </c>
      <c r="D344">
        <f>VLOOKUP(D324,'Detail Balok'!$C$10:$AU$110,31,FALSE)</f>
        <v>0</v>
      </c>
      <c r="E344" t="str">
        <v>D</v>
      </c>
      <c r="F344">
        <f>VLOOKUP(D324,'Detail Balok'!$C$10:$AU$110,33,FALSE)</f>
        <v>10</v>
      </c>
      <c r="G344" t="str">
        <v>-</v>
      </c>
      <c r="H344">
        <f>VLOOKUP(D324,'Detail Balok'!$C$10:$AU$110,35,FALSE)</f>
        <v>200</v>
      </c>
      <c r="J344">
        <f>(IF(D344=0,(2*(D325+G325))-(F$5*8),IF(D344=3,(2*(D325+G325))-(F$5*8)+(G325-2*F$5),IF(D344=4,(2*(D325+G325))-(F$5*8)+2*(G325-2*F$5)))))/1000</f>
        <v>1.28</v>
      </c>
      <c r="K344" t="str">
        <v>+</v>
      </c>
      <c r="L344">
        <f>IF(D344=0,2*MAX(6*F344,75),(D344-1)*2*MAX(6*F344,75))/1000</f>
        <v>0.15</v>
      </c>
      <c r="M344" t="str">
        <v>=</v>
      </c>
      <c r="N344">
        <f>J344+L344</f>
        <v>1.43</v>
      </c>
      <c r="T344" t="str">
        <v>x</v>
      </c>
      <c r="U344">
        <f>0.006165*F344^2</f>
        <v>0.6165</v>
      </c>
      <c r="V344" t="str">
        <v>x</v>
      </c>
      <c r="W344">
        <f>IF(D327&gt;4*G325,ROUND(MAX(D327/4,2*G325)/H344,0)+1,ROUND(D327/H344,0)+1)</f>
        <v>6</v>
      </c>
      <c r="X344" t="str">
        <v>x</v>
      </c>
      <c r="Y344">
        <f>D330</f>
        <v>1</v>
      </c>
      <c r="Z344" t="str">
        <v>=</v>
      </c>
      <c r="AA344">
        <f>N344*U344*W344*Y344</f>
        <v>5.28957</v>
      </c>
    </row>
    <row r="345">
      <c r="A345" t="str">
        <f>A324</f>
        <v>Sloof</v>
      </c>
      <c r="B345">
        <f>B324</f>
        <v>11</v>
      </c>
      <c r="C345" t="str">
        <v>Sengkang Lapangan</v>
      </c>
      <c r="D345">
        <f>VLOOKUP(D324,'Detail Balok'!$C$10:$AU$110,36,FALSE)</f>
        <v>0</v>
      </c>
      <c r="E345" t="str">
        <v>D</v>
      </c>
      <c r="F345">
        <f>VLOOKUP(D324,'Detail Balok'!$C$10:$AU$110,38,FALSE)</f>
        <v>10</v>
      </c>
      <c r="G345" t="str">
        <v>-</v>
      </c>
      <c r="H345">
        <f>VLOOKUP(D324,'Detail Balok'!$C$10:$AU$110,40,FALSE)</f>
        <v>200</v>
      </c>
      <c r="J345">
        <f>(IF(D345=0,(2*(D325+G325))-(F$5*8),IF(D345=3,(2*(D325+G325))-(F$5*8)+(G325-2*F$5),IF(D345=4,(2*(D325+G325))-(F$5*8)+2*(G325-2*F$5)))))/1000</f>
        <v>1.28</v>
      </c>
      <c r="K345" t="str">
        <v>+</v>
      </c>
      <c r="L345">
        <f>IF(D345=0,2*MAX(6*F345,75),(D345-1)*2*MAX(6*F345,75))/1000</f>
        <v>0.15</v>
      </c>
      <c r="M345" t="str">
        <v>=</v>
      </c>
      <c r="N345">
        <f>J345+L345</f>
        <v>1.43</v>
      </c>
      <c r="T345" t="str">
        <v>x</v>
      </c>
      <c r="U345">
        <f>0.006165*F345^2</f>
        <v>0.6165</v>
      </c>
      <c r="V345" t="str">
        <v>x</v>
      </c>
      <c r="W345">
        <f>IF(D327-MAX(D327/4,2*G325)*2&gt;0,ROUND((D327-MAX(D327/4,2*G325)*2)/H345,0),0)</f>
        <v>1</v>
      </c>
      <c r="X345" t="str">
        <v>x</v>
      </c>
      <c r="Y345">
        <f>D330</f>
        <v>1</v>
      </c>
      <c r="Z345" t="str">
        <v>=</v>
      </c>
      <c r="AA345">
        <f>N345*U345*W345*Y345</f>
        <v>0.881595</v>
      </c>
    </row>
    <row r="346">
      <c r="A346" t="str">
        <f>A324</f>
        <v>Sloof</v>
      </c>
      <c r="B346">
        <f>B324</f>
        <v>11</v>
      </c>
      <c r="C346" t="str">
        <v>Sengkang Tumpuan</v>
      </c>
      <c r="D346">
        <f>VLOOKUP(D324,'Detail Balok'!$C$10:$AU$110,41,FALSE)</f>
        <v>0</v>
      </c>
      <c r="E346" t="str">
        <v>D</v>
      </c>
      <c r="F346">
        <f>VLOOKUP(D324,'Detail Balok'!$C$10:$AU$110,43,FALSE)</f>
        <v>10</v>
      </c>
      <c r="G346" t="str">
        <v>-</v>
      </c>
      <c r="H346">
        <f>VLOOKUP(D324,'Detail Balok'!$C$10:$AU$110,45,FALSE)</f>
        <v>200</v>
      </c>
      <c r="J346">
        <f>(IF(D346=0,(2*(D325+G325))-(F$5*8),IF(D346=3,(2*(D325+G325))-(F$5*8)+(G325-2*F$5),IF(D346=4,(2*(D325+G325))-(F$5*8)+2*(G325-2*F$5)))))/1000</f>
        <v>1.28</v>
      </c>
      <c r="K346" t="str">
        <v>+</v>
      </c>
      <c r="L346">
        <f>IF(D346=0,2*MAX(6*F346,75),(D346-1)*2*MAX(6*F346,75))/1000</f>
        <v>0.15</v>
      </c>
      <c r="M346" t="str">
        <v>=</v>
      </c>
      <c r="N346">
        <f>J346+L346</f>
        <v>1.43</v>
      </c>
      <c r="T346" t="str">
        <v>x</v>
      </c>
      <c r="U346">
        <f>0.006165*F346^2</f>
        <v>0.6165</v>
      </c>
      <c r="V346" t="str">
        <v>x</v>
      </c>
      <c r="W346">
        <f>IF(D327&gt;4*G325,ROUND(MAX(D327/4,2*G325)/H346,0)+1,0)</f>
        <v>6</v>
      </c>
      <c r="X346" t="str">
        <v>x</v>
      </c>
      <c r="Y346">
        <f>D330</f>
        <v>1</v>
      </c>
      <c r="Z346" t="str">
        <v>=</v>
      </c>
      <c r="AA346">
        <f>N346*U346*W346*Y346</f>
        <v>5.28957</v>
      </c>
    </row>
    <row r="348">
      <c r="A348" t="str">
        <f>A324</f>
        <v>Sloof</v>
      </c>
      <c r="B348">
        <f>B324</f>
        <v>11</v>
      </c>
      <c r="C348" t="str">
        <v>Kait Horizontal Tump.</v>
      </c>
      <c r="D348">
        <f>VLOOKUP(D324,'Detail Balok'!$C$10:$BJ$110,46,FALSE)</f>
        <v>0</v>
      </c>
      <c r="E348" t="str">
        <v>D</v>
      </c>
      <c r="F348">
        <f>VLOOKUP(D324,'Detail Balok'!$C$10:$BJ$110,48,FALSE)</f>
        <v>0</v>
      </c>
      <c r="G348" t="str">
        <v>-</v>
      </c>
      <c r="H348">
        <f>VLOOKUP(D324,'Detail Balok'!$C$10:$BJ$110,50,FALSE)</f>
        <v>100</v>
      </c>
      <c r="J348">
        <f>(D325-2*F$5)/1000</f>
        <v>0.22</v>
      </c>
      <c r="K348" t="str">
        <v>+</v>
      </c>
      <c r="L348">
        <f>IF(D348=0,2*MAX(6*F348,75),(D348-1)*2*MAX(6*F348,75))/1000</f>
        <v>0.15</v>
      </c>
      <c r="M348" t="str">
        <v>=</v>
      </c>
      <c r="N348">
        <f>J348+L348</f>
        <v>0.37</v>
      </c>
      <c r="T348" t="str">
        <v>x</v>
      </c>
      <c r="U348">
        <f>0.006165*F348^2</f>
        <v>0</v>
      </c>
      <c r="V348" t="str">
        <v>x</v>
      </c>
      <c r="W348">
        <f>W344</f>
        <v>6</v>
      </c>
      <c r="X348" t="str">
        <v>x</v>
      </c>
      <c r="Y348">
        <f>D334</f>
        <v>5</v>
      </c>
      <c r="Z348" t="str">
        <v>=</v>
      </c>
      <c r="AA348">
        <f>N348*U348*W348*Y348</f>
        <v>0</v>
      </c>
    </row>
    <row r="349">
      <c r="A349" t="str">
        <f>A324</f>
        <v>Sloof</v>
      </c>
      <c r="B349">
        <f>B324</f>
        <v>11</v>
      </c>
      <c r="C349" t="str">
        <v>Kait Horizontal Lap.</v>
      </c>
      <c r="D349">
        <f>VLOOKUP(D324,'Detail Balok'!$C$10:$BJ$110,51,FALSE)</f>
        <v>0</v>
      </c>
      <c r="E349" t="str">
        <v>D</v>
      </c>
      <c r="F349">
        <f>VLOOKUP(D324,'Detail Balok'!$C$10:$BJ$110,53,FALSE)</f>
        <v>0</v>
      </c>
      <c r="G349" t="str">
        <v>-</v>
      </c>
      <c r="H349">
        <f>VLOOKUP(D324,'Detail Balok'!$C$10:$BJ$110,55,FALSE)</f>
        <v>100</v>
      </c>
      <c r="J349">
        <f>(D325-2*F$5)/1000</f>
        <v>0.22</v>
      </c>
      <c r="K349" t="str">
        <v>+</v>
      </c>
      <c r="L349">
        <f>IF(D349=0,2*MAX(6*F349,75),(D349-1)*2*MAX(6*F349,75))/1000</f>
        <v>0.15</v>
      </c>
      <c r="M349" t="str">
        <v>=</v>
      </c>
      <c r="N349">
        <f>J349+L349</f>
        <v>0.37</v>
      </c>
      <c r="T349" t="str">
        <v>x</v>
      </c>
      <c r="U349">
        <f>0.006165*F349^2</f>
        <v>0</v>
      </c>
      <c r="V349" t="str">
        <v>x</v>
      </c>
      <c r="W349">
        <f>W345</f>
        <v>1</v>
      </c>
      <c r="X349" t="str">
        <v>x</v>
      </c>
      <c r="Y349">
        <f>D334</f>
        <v>5</v>
      </c>
      <c r="Z349" t="str">
        <v>=</v>
      </c>
      <c r="AA349">
        <f>N349*U349*W349*Y349</f>
        <v>0</v>
      </c>
    </row>
    <row r="350">
      <c r="A350" t="str">
        <f>A324</f>
        <v>Sloof</v>
      </c>
      <c r="B350">
        <f>B324</f>
        <v>11</v>
      </c>
      <c r="C350" t="str">
        <v>Kait Horizontal Tump.</v>
      </c>
      <c r="D350">
        <f>VLOOKUP(D324,'Detail Balok'!$C$10:$BJ$110,56,FALSE)</f>
        <v>0</v>
      </c>
      <c r="E350" t="str">
        <v>D</v>
      </c>
      <c r="F350">
        <f>VLOOKUP(D324,'Detail Balok'!$C$10:$BJ$110,58,FALSE)</f>
        <v>0</v>
      </c>
      <c r="G350" t="str">
        <v>-</v>
      </c>
      <c r="H350">
        <f>VLOOKUP(D324,'Detail Balok'!$C$10:$BJ$110,60,FALSE)</f>
        <v>100</v>
      </c>
      <c r="J350">
        <f>(D325-2*F$5)/1000</f>
        <v>0.22</v>
      </c>
      <c r="K350" t="str">
        <v>+</v>
      </c>
      <c r="L350">
        <f>IF(D350=0,2*MAX(6*F350,75),(D350-1)*2*MAX(6*F350,75))/1000</f>
        <v>0.15</v>
      </c>
      <c r="M350" t="str">
        <v>=</v>
      </c>
      <c r="N350">
        <f>J350+L350</f>
        <v>0.37</v>
      </c>
      <c r="T350" t="str">
        <v>x</v>
      </c>
      <c r="U350">
        <f>0.006165*F350^2</f>
        <v>0</v>
      </c>
      <c r="V350" t="str">
        <v>x</v>
      </c>
      <c r="W350">
        <f>W346</f>
        <v>6</v>
      </c>
      <c r="X350" t="str">
        <v>x</v>
      </c>
      <c r="Y350">
        <f>D334</f>
        <v>5</v>
      </c>
      <c r="Z350" t="str">
        <v>=</v>
      </c>
      <c r="AA350">
        <f>N350*U350*W350*Y350</f>
        <v>0</v>
      </c>
    </row>
    <row r="354">
      <c r="A354" t="str">
        <f>A324</f>
        <v>Sloof</v>
      </c>
      <c r="B354">
        <f>B324+1</f>
        <v>12</v>
      </c>
      <c r="C354" t="str">
        <f>CONCATENATE(A354," no. ",B354)</f>
        <v>Sloof no. 12</v>
      </c>
      <c r="D354" t="str">
        <f>VLOOKUP(C354,'Data Panjang Balok'!$C$9:$N$424,2,FALSE)</f>
        <v>Potongan S4</v>
      </c>
    </row>
    <row r="355">
      <c r="C355" t="str">
        <v>Dimensi</v>
      </c>
      <c r="D355">
        <f>VLOOKUP(D354,'Detail Balok'!$C$10:$AU$110,2,FALSE)</f>
        <v>300</v>
      </c>
      <c r="F355" t="str">
        <v>x</v>
      </c>
      <c r="G355">
        <f>VLOOKUP(D354,'Detail Balok'!$C$10:$AU$110,3,FALSE)</f>
        <v>500</v>
      </c>
    </row>
    <row r="356">
      <c r="C356" t="str">
        <v>Panjang as ke as</v>
      </c>
      <c r="D356">
        <f>VLOOKUP(C354,'Data Panjang Balok'!$C$9:$N$424,4,FALSE)</f>
        <v>3335</v>
      </c>
    </row>
    <row r="357">
      <c r="C357" t="str">
        <v>Panjang netto</v>
      </c>
      <c r="D357">
        <f>VLOOKUP(C354,'Data Panjang Balok'!$C$9:$N$424,7,FALSE)</f>
        <v>3335</v>
      </c>
    </row>
    <row r="358">
      <c r="C358" t="str">
        <v>Kolom / balok kiri</v>
      </c>
      <c r="D358">
        <f>VLOOKUP(C354,'Data Panjang Balok'!$C$9:$N$424,9,FALSE)</f>
        <v>0</v>
      </c>
    </row>
    <row r="359">
      <c r="C359" t="str">
        <v>Kolom / balok kanan</v>
      </c>
      <c r="D359">
        <f>VLOOKUP(C354,'Data Panjang Balok'!$C$9:$N$424,10,FALSE)</f>
        <v>0</v>
      </c>
    </row>
    <row r="360">
      <c r="C360" t="str">
        <v>Jumlah</v>
      </c>
      <c r="D360">
        <f>VLOOKUP(C354,'Data Panjang Balok'!$C$9:$N$424,3,FALSE)</f>
        <v>1</v>
      </c>
    </row>
    <row r="361">
      <c r="A361" t="str">
        <f>A354</f>
        <v>Sloof</v>
      </c>
      <c r="B361">
        <f>B354</f>
        <v>12</v>
      </c>
      <c r="C361" t="str">
        <v>Tul Atas Tumpuan</v>
      </c>
      <c r="D361">
        <f>VLOOKUP(D354,'Detail Balok'!$C$10:$AU$110,4,FALSE)</f>
        <v>5</v>
      </c>
      <c r="E361" t="str">
        <v>D</v>
      </c>
      <c r="F361">
        <f>VLOOKUP(D354,'Detail Balok'!$C$10:$AU$110,6,FALSE)</f>
        <v>16</v>
      </c>
      <c r="I361" t="str">
        <v>(</v>
      </c>
      <c r="J361">
        <f>+D356/4/1000</f>
        <v>0.83375</v>
      </c>
      <c r="K361" t="str">
        <v>+</v>
      </c>
      <c r="L361">
        <f>MAX(VLOOKUP(F361,N$6:P$15,3,FALSE)/1000,2/3*D358/1000)+F$16*F361/1000</f>
        <v>0.192</v>
      </c>
      <c r="M361" t="str">
        <v>=</v>
      </c>
      <c r="N361">
        <f>J361+L361</f>
        <v>1.02575</v>
      </c>
      <c r="O361" t="str">
        <v>+</v>
      </c>
      <c r="P361">
        <f>D361-D362</f>
        <v>0</v>
      </c>
      <c r="Q361" t="str">
        <v>x</v>
      </c>
      <c r="R361">
        <f>IF(P361&gt;0,$F$18*F361/1000,0)</f>
        <v>0</v>
      </c>
      <c r="S361" t="str">
        <v>)</v>
      </c>
      <c r="T361" t="str">
        <v>x</v>
      </c>
      <c r="U361">
        <f>0.006165*F361^2</f>
        <v>1.57824</v>
      </c>
      <c r="X361" t="str">
        <v>x</v>
      </c>
      <c r="Y361">
        <f>D360</f>
        <v>1</v>
      </c>
      <c r="Z361" t="str">
        <v>=</v>
      </c>
      <c r="AA361">
        <f>IF(AA364=0,(D361*N361+P361*R361)*U361*Y361,0)</f>
        <v>0</v>
      </c>
    </row>
    <row r="362">
      <c r="A362" t="str">
        <f>A354</f>
        <v>Sloof</v>
      </c>
      <c r="B362">
        <f>B354</f>
        <v>12</v>
      </c>
      <c r="C362" t="str">
        <v>Tul Atas Lapangan</v>
      </c>
      <c r="D362">
        <f>VLOOKUP(D354,'Detail Balok'!$C$10:$AU$110,7,FALSE)</f>
        <v>5</v>
      </c>
      <c r="E362" t="str">
        <v>D</v>
      </c>
      <c r="F362">
        <f>VLOOKUP(D354,'Detail Balok'!$C$10:$AU$110,9,FALSE)</f>
        <v>16</v>
      </c>
      <c r="I362" t="str">
        <v>(</v>
      </c>
      <c r="J362">
        <f>+D356/2/1000</f>
        <v>1.6675</v>
      </c>
      <c r="K362" t="str">
        <v>+</v>
      </c>
      <c r="M362" t="str">
        <v>=</v>
      </c>
      <c r="N362">
        <f>J362+L362</f>
        <v>1.6675</v>
      </c>
      <c r="O362" t="str">
        <v>+</v>
      </c>
      <c r="P362">
        <f>MAX(D362-D361,D362-D363)</f>
        <v>0</v>
      </c>
      <c r="Q362" t="str">
        <v>x</v>
      </c>
      <c r="R362">
        <f>IF(P362&gt;0,2*(1-2*$F$19-1/2)*D357/1000,0)</f>
        <v>0</v>
      </c>
      <c r="S362" t="str">
        <v>)</v>
      </c>
      <c r="T362" t="str">
        <v>x</v>
      </c>
      <c r="U362">
        <f>0.006165*F362^2</f>
        <v>1.57824</v>
      </c>
      <c r="X362" t="str">
        <v>x</v>
      </c>
      <c r="Y362">
        <f>D360</f>
        <v>1</v>
      </c>
      <c r="Z362" t="str">
        <v>=</v>
      </c>
      <c r="AA362">
        <f>IF(AA364=0,(D362*N362+P362*R362)*U362*Y362,0)</f>
        <v>0</v>
      </c>
    </row>
    <row r="363">
      <c r="A363" t="str">
        <f>A354</f>
        <v>Sloof</v>
      </c>
      <c r="B363">
        <f>B354</f>
        <v>12</v>
      </c>
      <c r="C363" t="str">
        <v>Tul Atas Tumpuan</v>
      </c>
      <c r="D363">
        <f>VLOOKUP(D354,'Detail Balok'!$C$10:$AU$110,10,FALSE)</f>
        <v>5</v>
      </c>
      <c r="E363" t="str">
        <v>D</v>
      </c>
      <c r="F363">
        <f>VLOOKUP(D354,'Detail Balok'!$C$10:$AU$110,12,FALSE)</f>
        <v>16</v>
      </c>
      <c r="I363" t="str">
        <v>(</v>
      </c>
      <c r="J363">
        <f>+D356/4/1000</f>
        <v>0.83375</v>
      </c>
      <c r="K363" t="str">
        <v>+</v>
      </c>
      <c r="L363">
        <f>MAX(VLOOKUP(F363,N$6:P$15,3,FALSE)/1000,2/3*D358/1000)+F$16*F363/1000</f>
        <v>0.192</v>
      </c>
      <c r="M363" t="str">
        <v>=</v>
      </c>
      <c r="N363">
        <f>J363+L363</f>
        <v>1.02575</v>
      </c>
      <c r="O363" t="str">
        <v>+</v>
      </c>
      <c r="P363">
        <f>D363-D362</f>
        <v>0</v>
      </c>
      <c r="Q363" t="str">
        <v>x</v>
      </c>
      <c r="R363">
        <f>IF(P363&gt;0,$F$18*F363/1000,0)</f>
        <v>0</v>
      </c>
      <c r="S363" t="str">
        <v>)</v>
      </c>
      <c r="T363" t="str">
        <v>x</v>
      </c>
      <c r="U363">
        <f>0.006165*F363^2</f>
        <v>1.57824</v>
      </c>
      <c r="X363" t="str">
        <v>x</v>
      </c>
      <c r="Y363">
        <f>D360</f>
        <v>1</v>
      </c>
      <c r="Z363" t="str">
        <v>=</v>
      </c>
      <c r="AA363">
        <f>IF(AA364=0,(D363*N363+P363*R363)*U363*Y363,0)</f>
        <v>0</v>
      </c>
    </row>
    <row r="364">
      <c r="A364" t="str">
        <f>A354</f>
        <v>Sloof</v>
      </c>
      <c r="B364">
        <f>B354</f>
        <v>12</v>
      </c>
      <c r="D364">
        <f>IF(AND(D361=D362,D362=D363,D361=D363),D361,0)</f>
        <v>5</v>
      </c>
      <c r="E364" t="str">
        <v>D</v>
      </c>
      <c r="F364">
        <f>IF(AND(F361=F362,F361=F363,F362=F363),F361,0)</f>
        <v>16</v>
      </c>
      <c r="L364" t="str">
        <v>Total panjang per balok</v>
      </c>
      <c r="M364" t="str">
        <v>=</v>
      </c>
      <c r="N364">
        <f>IF(AND(D361=D362,D361=D363,D362=D363,F361=F362,F361=F363,F362=F363),SUM(N361:N363),0)</f>
        <v>3.719</v>
      </c>
      <c r="O364" t="str">
        <v>+</v>
      </c>
      <c r="P364">
        <f>IF(N364&gt;12,ROUNDDOWN(N364/12,0),0)</f>
        <v>0</v>
      </c>
      <c r="Q364" t="str">
        <v>x</v>
      </c>
      <c r="R364">
        <f>IF(P364&gt;0,MAX(VLOOKUP(F364,$D$6:$G$15,3,FALSE),600),0)/1000</f>
        <v>0</v>
      </c>
      <c r="T364" t="str">
        <v>x</v>
      </c>
      <c r="U364">
        <f>U363</f>
        <v>1.57824</v>
      </c>
      <c r="V364" t="str">
        <v>x</v>
      </c>
      <c r="W364">
        <f>D364</f>
        <v>5</v>
      </c>
      <c r="X364" t="str">
        <v>x</v>
      </c>
      <c r="Y364">
        <f>Y363</f>
        <v>1</v>
      </c>
      <c r="Z364" t="str">
        <v>=</v>
      </c>
      <c r="AA364">
        <f>(N364+P364*R364/1000)*U364*W364*Y364</f>
        <v>29.347372800000002</v>
      </c>
    </row>
    <row r="366">
      <c r="A366" t="str">
        <f>A354</f>
        <v>Sloof</v>
      </c>
      <c r="B366">
        <f>B354</f>
        <v>12</v>
      </c>
      <c r="C366" t="str">
        <v>Tul Peminggang</v>
      </c>
      <c r="D366">
        <f>VLOOKUP(D354,'Detail Balok'!$C$10:$AU$110,13,FALSE)</f>
        <v>2</v>
      </c>
      <c r="E366" t="str">
        <v>D</v>
      </c>
      <c r="F366">
        <f>VLOOKUP(D354,'Detail Balok'!$C$10:$AU$110,15,FALSE)</f>
        <v>10</v>
      </c>
      <c r="J366">
        <f>+D356/1000</f>
        <v>3.335</v>
      </c>
      <c r="K366" t="str">
        <v>+</v>
      </c>
      <c r="L366">
        <f>2*$F$16*F366/1000</f>
        <v>0.24</v>
      </c>
      <c r="M366" t="str">
        <v>=</v>
      </c>
      <c r="N366">
        <f>J366+L366</f>
        <v>3.575</v>
      </c>
      <c r="O366" t="str">
        <v>+</v>
      </c>
      <c r="P366">
        <f>IF(N366&gt;12,ROUNDDOWN(N366/12,0),0)</f>
        <v>0</v>
      </c>
      <c r="Q366" t="str">
        <v>x</v>
      </c>
      <c r="R366">
        <f>IF(P366&gt;0,MAX(VLOOKUP(F366,$D$6:$G$15,3,FALSE),600),0)/1000</f>
        <v>0</v>
      </c>
      <c r="T366" t="str">
        <v>x</v>
      </c>
      <c r="U366">
        <f>0.006165*F366^2</f>
        <v>0.6165</v>
      </c>
      <c r="V366" t="str">
        <v>x</v>
      </c>
      <c r="W366">
        <f>+D366</f>
        <v>2</v>
      </c>
      <c r="X366" t="str">
        <v>x</v>
      </c>
      <c r="Y366">
        <f>D360</f>
        <v>1</v>
      </c>
      <c r="Z366" t="str">
        <v>=</v>
      </c>
      <c r="AA366">
        <f>(N366+P366*R366/1000)*U366*W366*Y366</f>
        <v>4.407975</v>
      </c>
    </row>
    <row r="369">
      <c r="A369" t="str">
        <f>A354</f>
        <v>Sloof</v>
      </c>
      <c r="B369">
        <f>B354</f>
        <v>12</v>
      </c>
      <c r="C369" t="str">
        <v>Tul Bawah Tumpuan</v>
      </c>
      <c r="D369">
        <f>VLOOKUP(D354,'Detail Balok'!$C$10:$AU$110,22,FALSE)</f>
        <v>3</v>
      </c>
      <c r="E369" t="str">
        <v>D</v>
      </c>
      <c r="F369">
        <f>VLOOKUP(D354,'Detail Balok'!$C$10:$AU$110,24,FALSE)</f>
        <v>16</v>
      </c>
      <c r="I369" t="str">
        <v>(</v>
      </c>
      <c r="J369">
        <f>+J361</f>
        <v>0.83375</v>
      </c>
      <c r="K369" t="str">
        <v>+</v>
      </c>
      <c r="L369">
        <f>MAX(VLOOKUP(F369,N$6:P$15,3,FALSE)/1000,2/3*D359/1000)+F$16*F369/1000</f>
        <v>0.192</v>
      </c>
      <c r="M369" t="str">
        <v>=</v>
      </c>
      <c r="N369">
        <f>J369+L369</f>
        <v>1.02575</v>
      </c>
      <c r="O369" t="str">
        <v>+</v>
      </c>
      <c r="P369">
        <f>D369-D370</f>
        <v>0</v>
      </c>
      <c r="Q369" t="str">
        <v>x</v>
      </c>
      <c r="R369">
        <f>IF(P369&gt;0,$F$18*F369/1000,0)</f>
        <v>0</v>
      </c>
      <c r="S369" t="str">
        <v>)</v>
      </c>
      <c r="T369" t="str">
        <v>x</v>
      </c>
      <c r="U369">
        <f>0.006165*F369^2</f>
        <v>1.57824</v>
      </c>
      <c r="X369" t="str">
        <v>x</v>
      </c>
      <c r="Y369">
        <f>D360</f>
        <v>1</v>
      </c>
      <c r="Z369" t="str">
        <v>=</v>
      </c>
      <c r="AA369">
        <f>IF(AA372=0,(D369*N369+P369*R369)*U369*Y369,0)</f>
        <v>0</v>
      </c>
    </row>
    <row r="370">
      <c r="A370" t="str">
        <f>A354</f>
        <v>Sloof</v>
      </c>
      <c r="B370">
        <f>B354</f>
        <v>12</v>
      </c>
      <c r="C370" t="str">
        <v>Tul Bawah Lapangan</v>
      </c>
      <c r="D370">
        <f>VLOOKUP(D354,'Detail Balok'!$C$10:$AU$110,25,FALSE)</f>
        <v>3</v>
      </c>
      <c r="E370" t="str">
        <v>D</v>
      </c>
      <c r="F370">
        <f>VLOOKUP(D354,'Detail Balok'!$C$10:$AU$110,27,FALSE)</f>
        <v>16</v>
      </c>
      <c r="I370" t="str">
        <v>(</v>
      </c>
      <c r="J370">
        <f>+J362</f>
        <v>1.6675</v>
      </c>
      <c r="K370" t="str">
        <v>+</v>
      </c>
      <c r="M370" t="str">
        <v>=</v>
      </c>
      <c r="N370">
        <f>J370+L370</f>
        <v>1.6675</v>
      </c>
      <c r="O370" t="str">
        <v>+</v>
      </c>
      <c r="P370">
        <f>MAX(D370-D369,D370-D371)</f>
        <v>0</v>
      </c>
      <c r="Q370" t="str">
        <v>x</v>
      </c>
      <c r="R370">
        <f>IF(P370&gt;0,2*(1-2*$F$19-1/2)*D357/1000,0)</f>
        <v>0</v>
      </c>
      <c r="S370" t="str">
        <v>)</v>
      </c>
      <c r="T370" t="str">
        <v>x</v>
      </c>
      <c r="U370">
        <f>0.006165*F370^2</f>
        <v>1.57824</v>
      </c>
      <c r="X370" t="str">
        <v>x</v>
      </c>
      <c r="Y370">
        <f>D360</f>
        <v>1</v>
      </c>
      <c r="Z370" t="str">
        <v>=</v>
      </c>
      <c r="AA370">
        <f>IF(AA372=0,(D370*N370+P370*R370)*U370*Y370,0)</f>
        <v>0</v>
      </c>
    </row>
    <row r="371">
      <c r="A371" t="str">
        <f>A354</f>
        <v>Sloof</v>
      </c>
      <c r="B371">
        <f>B354</f>
        <v>12</v>
      </c>
      <c r="C371" t="str">
        <v>Tul Bawah Tumpuan</v>
      </c>
      <c r="D371">
        <f>VLOOKUP(D354,'Detail Balok'!$C$10:$AU$110,28,FALSE)</f>
        <v>3</v>
      </c>
      <c r="E371" t="str">
        <v>D</v>
      </c>
      <c r="F371">
        <f>VLOOKUP(D354,'Detail Balok'!$C$10:$AU$110,30,FALSE)</f>
        <v>16</v>
      </c>
      <c r="I371" t="str">
        <v>(</v>
      </c>
      <c r="J371">
        <f>+J363</f>
        <v>0.83375</v>
      </c>
      <c r="K371" t="str">
        <v>+</v>
      </c>
      <c r="L371">
        <f>MAX(VLOOKUP(F371,N$6:P$15,3,FALSE)/1000,2/3*D359/1000)+F$16*F371/1000</f>
        <v>0.192</v>
      </c>
      <c r="M371" t="str">
        <v>=</v>
      </c>
      <c r="N371">
        <f>J371+L371</f>
        <v>1.02575</v>
      </c>
      <c r="O371" t="str">
        <v>+</v>
      </c>
      <c r="P371">
        <f>D371-D370</f>
        <v>0</v>
      </c>
      <c r="Q371" t="str">
        <v>x</v>
      </c>
      <c r="R371">
        <f>IF(P371&gt;0,$F$18*F371/1000,0)</f>
        <v>0</v>
      </c>
      <c r="S371" t="str">
        <v>)</v>
      </c>
      <c r="T371" t="str">
        <v>x</v>
      </c>
      <c r="U371">
        <f>0.006165*F371^2</f>
        <v>1.57824</v>
      </c>
      <c r="X371" t="str">
        <v>x</v>
      </c>
      <c r="Y371">
        <f>D360</f>
        <v>1</v>
      </c>
      <c r="Z371" t="str">
        <v>=</v>
      </c>
      <c r="AA371">
        <f>IF(AA372=0,(D371*N371+P371*R371)*U371*Y371,0)</f>
        <v>0</v>
      </c>
    </row>
    <row r="372">
      <c r="A372" t="str">
        <f>A354</f>
        <v>Sloof</v>
      </c>
      <c r="B372">
        <f>B354</f>
        <v>12</v>
      </c>
      <c r="D372">
        <f>IF(AND(D369=D370,D370=D371,D369=D371),D369,0)</f>
        <v>3</v>
      </c>
      <c r="E372" t="str">
        <v>D</v>
      </c>
      <c r="F372">
        <f>IF(AND(F369=F370,F369=F371,F370=F371),F369,0)</f>
        <v>16</v>
      </c>
      <c r="L372" t="str">
        <v>Total panjang per balok</v>
      </c>
      <c r="M372" t="str">
        <v>=</v>
      </c>
      <c r="N372">
        <f>IF(AND(D369=D370,D369=D371,D370=D371,F369=F370,F369=F371,F370=F371),SUM(N369:N371),0)</f>
        <v>3.719</v>
      </c>
      <c r="O372" t="str">
        <v>+</v>
      </c>
      <c r="P372">
        <f>IF(N372&gt;12,ROUNDDOWN(N372/12,0),0)</f>
        <v>0</v>
      </c>
      <c r="Q372" t="str">
        <v>x</v>
      </c>
      <c r="R372">
        <f>IF(P372&gt;0,MAX(VLOOKUP(F372,$D$6:$G$15,3,FALSE),600),0)/1000</f>
        <v>0</v>
      </c>
      <c r="T372" t="str">
        <v>x</v>
      </c>
      <c r="U372">
        <f>U371</f>
        <v>1.57824</v>
      </c>
      <c r="V372" t="str">
        <v>x</v>
      </c>
      <c r="W372">
        <f>D372</f>
        <v>3</v>
      </c>
      <c r="X372" t="str">
        <v>x</v>
      </c>
      <c r="Y372">
        <f>Y371</f>
        <v>1</v>
      </c>
      <c r="Z372" t="str">
        <v>=</v>
      </c>
      <c r="AA372">
        <f>(N372+P372*R372/1000)*U372*W372*Y372</f>
        <v>17.60842368</v>
      </c>
    </row>
    <row r="374">
      <c r="A374" t="str">
        <f>A354</f>
        <v>Sloof</v>
      </c>
      <c r="B374">
        <f>B354</f>
        <v>12</v>
      </c>
      <c r="C374" t="str">
        <v>Sengkang Tumpuan</v>
      </c>
      <c r="D374">
        <f>VLOOKUP(D354,'Detail Balok'!$C$10:$AU$110,31,FALSE)</f>
        <v>0</v>
      </c>
      <c r="E374" t="str">
        <v>D</v>
      </c>
      <c r="F374">
        <f>VLOOKUP(D354,'Detail Balok'!$C$10:$AU$110,33,FALSE)</f>
        <v>10</v>
      </c>
      <c r="G374" t="str">
        <v>-</v>
      </c>
      <c r="H374">
        <f>VLOOKUP(D354,'Detail Balok'!$C$10:$AU$110,35,FALSE)</f>
        <v>200</v>
      </c>
      <c r="J374">
        <f>(IF(D374=0,(2*(D355+G355))-(F$5*8),IF(D374=3,(2*(D355+G355))-(F$5*8)+(G355-2*F$5),IF(D374=4,(2*(D355+G355))-(F$5*8)+2*(G355-2*F$5)))))/1000</f>
        <v>1.28</v>
      </c>
      <c r="K374" t="str">
        <v>+</v>
      </c>
      <c r="L374">
        <f>IF(D374=0,2*MAX(6*F374,75),(D374-1)*2*MAX(6*F374,75))/1000</f>
        <v>0.15</v>
      </c>
      <c r="M374" t="str">
        <v>=</v>
      </c>
      <c r="N374">
        <f>J374+L374</f>
        <v>1.43</v>
      </c>
      <c r="T374" t="str">
        <v>x</v>
      </c>
      <c r="U374">
        <f>0.006165*F374^2</f>
        <v>0.6165</v>
      </c>
      <c r="V374" t="str">
        <v>x</v>
      </c>
      <c r="W374">
        <f>IF(D357&gt;4*G355,ROUND(MAX(D357/4,2*G355)/H374,0)+1,ROUND(D357/H374,0)+1)</f>
        <v>6</v>
      </c>
      <c r="X374" t="str">
        <v>x</v>
      </c>
      <c r="Y374">
        <f>D360</f>
        <v>1</v>
      </c>
      <c r="Z374" t="str">
        <v>=</v>
      </c>
      <c r="AA374">
        <f>N374*U374*W374*Y374</f>
        <v>5.28957</v>
      </c>
    </row>
    <row r="375">
      <c r="A375" t="str">
        <f>A354</f>
        <v>Sloof</v>
      </c>
      <c r="B375">
        <f>B354</f>
        <v>12</v>
      </c>
      <c r="C375" t="str">
        <v>Sengkang Lapangan</v>
      </c>
      <c r="D375">
        <f>VLOOKUP(D354,'Detail Balok'!$C$10:$AU$110,36,FALSE)</f>
        <v>0</v>
      </c>
      <c r="E375" t="str">
        <v>D</v>
      </c>
      <c r="F375">
        <f>VLOOKUP(D354,'Detail Balok'!$C$10:$AU$110,38,FALSE)</f>
        <v>10</v>
      </c>
      <c r="G375" t="str">
        <v>-</v>
      </c>
      <c r="H375">
        <f>VLOOKUP(D354,'Detail Balok'!$C$10:$AU$110,40,FALSE)</f>
        <v>200</v>
      </c>
      <c r="J375">
        <f>(IF(D375=0,(2*(D355+G355))-(F$5*8),IF(D375=3,(2*(D355+G355))-(F$5*8)+(G355-2*F$5),IF(D375=4,(2*(D355+G355))-(F$5*8)+2*(G355-2*F$5)))))/1000</f>
        <v>1.28</v>
      </c>
      <c r="K375" t="str">
        <v>+</v>
      </c>
      <c r="L375">
        <f>IF(D375=0,2*MAX(6*F375,75),(D375-1)*2*MAX(6*F375,75))/1000</f>
        <v>0.15</v>
      </c>
      <c r="M375" t="str">
        <v>=</v>
      </c>
      <c r="N375">
        <f>J375+L375</f>
        <v>1.43</v>
      </c>
      <c r="T375" t="str">
        <v>x</v>
      </c>
      <c r="U375">
        <f>0.006165*F375^2</f>
        <v>0.6165</v>
      </c>
      <c r="V375" t="str">
        <v>x</v>
      </c>
      <c r="W375">
        <f>IF(D357-MAX(D357/4,2*G355)*2&gt;0,ROUND((D357-MAX(D357/4,2*G355)*2)/H375,0),0)</f>
        <v>7</v>
      </c>
      <c r="X375" t="str">
        <v>x</v>
      </c>
      <c r="Y375">
        <f>D360</f>
        <v>1</v>
      </c>
      <c r="Z375" t="str">
        <v>=</v>
      </c>
      <c r="AA375">
        <f>N375*U375*W375*Y375</f>
        <v>6.171165</v>
      </c>
    </row>
    <row r="376">
      <c r="A376" t="str">
        <f>A354</f>
        <v>Sloof</v>
      </c>
      <c r="B376">
        <f>B354</f>
        <v>12</v>
      </c>
      <c r="C376" t="str">
        <v>Sengkang Tumpuan</v>
      </c>
      <c r="D376">
        <f>VLOOKUP(D354,'Detail Balok'!$C$10:$AU$110,41,FALSE)</f>
        <v>0</v>
      </c>
      <c r="E376" t="str">
        <v>D</v>
      </c>
      <c r="F376">
        <f>VLOOKUP(D354,'Detail Balok'!$C$10:$AU$110,43,FALSE)</f>
        <v>10</v>
      </c>
      <c r="G376" t="str">
        <v>-</v>
      </c>
      <c r="H376">
        <f>VLOOKUP(D354,'Detail Balok'!$C$10:$AU$110,45,FALSE)</f>
        <v>200</v>
      </c>
      <c r="J376">
        <f>(IF(D376=0,(2*(D355+G355))-(F$5*8),IF(D376=3,(2*(D355+G355))-(F$5*8)+(G355-2*F$5),IF(D376=4,(2*(D355+G355))-(F$5*8)+2*(G355-2*F$5)))))/1000</f>
        <v>1.28</v>
      </c>
      <c r="K376" t="str">
        <v>+</v>
      </c>
      <c r="L376">
        <f>IF(D376=0,2*MAX(6*F376,75),(D376-1)*2*MAX(6*F376,75))/1000</f>
        <v>0.15</v>
      </c>
      <c r="M376" t="str">
        <v>=</v>
      </c>
      <c r="N376">
        <f>J376+L376</f>
        <v>1.43</v>
      </c>
      <c r="T376" t="str">
        <v>x</v>
      </c>
      <c r="U376">
        <f>0.006165*F376^2</f>
        <v>0.6165</v>
      </c>
      <c r="V376" t="str">
        <v>x</v>
      </c>
      <c r="W376">
        <f>IF(D357&gt;4*G355,ROUND(MAX(D357/4,2*G355)/H376,0)+1,0)</f>
        <v>6</v>
      </c>
      <c r="X376" t="str">
        <v>x</v>
      </c>
      <c r="Y376">
        <f>D360</f>
        <v>1</v>
      </c>
      <c r="Z376" t="str">
        <v>=</v>
      </c>
      <c r="AA376">
        <f>N376*U376*W376*Y376</f>
        <v>5.28957</v>
      </c>
    </row>
    <row r="378">
      <c r="A378" t="str">
        <f>A354</f>
        <v>Sloof</v>
      </c>
      <c r="B378">
        <f>B354</f>
        <v>12</v>
      </c>
      <c r="C378" t="str">
        <v>Kait Horizontal Tump.</v>
      </c>
      <c r="D378">
        <f>VLOOKUP(D354,'Detail Balok'!$C$10:$BJ$110,46,FALSE)</f>
        <v>0</v>
      </c>
      <c r="E378" t="str">
        <v>D</v>
      </c>
      <c r="F378">
        <f>VLOOKUP(D354,'Detail Balok'!$C$10:$BJ$110,48,FALSE)</f>
        <v>0</v>
      </c>
      <c r="G378" t="str">
        <v>-</v>
      </c>
      <c r="H378">
        <f>VLOOKUP(D354,'Detail Balok'!$C$10:$BJ$110,50,FALSE)</f>
        <v>100</v>
      </c>
      <c r="J378">
        <f>(D355-2*F$5)/1000</f>
        <v>0.22</v>
      </c>
      <c r="K378" t="str">
        <v>+</v>
      </c>
      <c r="L378">
        <f>IF(D378=0,2*MAX(6*F378,75),(D378-1)*2*MAX(6*F378,75))/1000</f>
        <v>0.15</v>
      </c>
      <c r="M378" t="str">
        <v>=</v>
      </c>
      <c r="N378">
        <f>J378+L378</f>
        <v>0.37</v>
      </c>
      <c r="T378" t="str">
        <v>x</v>
      </c>
      <c r="U378">
        <f>0.006165*F378^2</f>
        <v>0</v>
      </c>
      <c r="V378" t="str">
        <v>x</v>
      </c>
      <c r="W378">
        <f>W374</f>
        <v>6</v>
      </c>
      <c r="X378" t="str">
        <v>x</v>
      </c>
      <c r="Y378">
        <f>D364</f>
        <v>5</v>
      </c>
      <c r="Z378" t="str">
        <v>=</v>
      </c>
      <c r="AA378">
        <f>N378*U378*W378*Y378</f>
        <v>0</v>
      </c>
    </row>
    <row r="379">
      <c r="A379" t="str">
        <f>A354</f>
        <v>Sloof</v>
      </c>
      <c r="B379">
        <f>B354</f>
        <v>12</v>
      </c>
      <c r="C379" t="str">
        <v>Kait Horizontal Lap.</v>
      </c>
      <c r="D379">
        <f>VLOOKUP(D354,'Detail Balok'!$C$10:$BJ$110,51,FALSE)</f>
        <v>0</v>
      </c>
      <c r="E379" t="str">
        <v>D</v>
      </c>
      <c r="F379">
        <f>VLOOKUP(D354,'Detail Balok'!$C$10:$BJ$110,53,FALSE)</f>
        <v>0</v>
      </c>
      <c r="G379" t="str">
        <v>-</v>
      </c>
      <c r="H379">
        <f>VLOOKUP(D354,'Detail Balok'!$C$10:$BJ$110,55,FALSE)</f>
        <v>100</v>
      </c>
      <c r="J379">
        <f>(D355-2*F$5)/1000</f>
        <v>0.22</v>
      </c>
      <c r="K379" t="str">
        <v>+</v>
      </c>
      <c r="L379">
        <f>IF(D379=0,2*MAX(6*F379,75),(D379-1)*2*MAX(6*F379,75))/1000</f>
        <v>0.15</v>
      </c>
      <c r="M379" t="str">
        <v>=</v>
      </c>
      <c r="N379">
        <f>J379+L379</f>
        <v>0.37</v>
      </c>
      <c r="T379" t="str">
        <v>x</v>
      </c>
      <c r="U379">
        <f>0.006165*F379^2</f>
        <v>0</v>
      </c>
      <c r="V379" t="str">
        <v>x</v>
      </c>
      <c r="W379">
        <f>W375</f>
        <v>7</v>
      </c>
      <c r="X379" t="str">
        <v>x</v>
      </c>
      <c r="Y379">
        <f>D364</f>
        <v>5</v>
      </c>
      <c r="Z379" t="str">
        <v>=</v>
      </c>
      <c r="AA379">
        <f>N379*U379*W379*Y379</f>
        <v>0</v>
      </c>
    </row>
    <row r="380">
      <c r="A380" t="str">
        <f>A354</f>
        <v>Sloof</v>
      </c>
      <c r="B380">
        <f>B354</f>
        <v>12</v>
      </c>
      <c r="C380" t="str">
        <v>Kait Horizontal Tump.</v>
      </c>
      <c r="D380">
        <f>VLOOKUP(D354,'Detail Balok'!$C$10:$BJ$110,56,FALSE)</f>
        <v>0</v>
      </c>
      <c r="E380" t="str">
        <v>D</v>
      </c>
      <c r="F380">
        <f>VLOOKUP(D354,'Detail Balok'!$C$10:$BJ$110,58,FALSE)</f>
        <v>0</v>
      </c>
      <c r="G380" t="str">
        <v>-</v>
      </c>
      <c r="H380">
        <f>VLOOKUP(D354,'Detail Balok'!$C$10:$BJ$110,60,FALSE)</f>
        <v>100</v>
      </c>
      <c r="J380">
        <f>(D355-2*F$5)/1000</f>
        <v>0.22</v>
      </c>
      <c r="K380" t="str">
        <v>+</v>
      </c>
      <c r="L380">
        <f>IF(D380=0,2*MAX(6*F380,75),(D380-1)*2*MAX(6*F380,75))/1000</f>
        <v>0.15</v>
      </c>
      <c r="M380" t="str">
        <v>=</v>
      </c>
      <c r="N380">
        <f>J380+L380</f>
        <v>0.37</v>
      </c>
      <c r="T380" t="str">
        <v>x</v>
      </c>
      <c r="U380">
        <f>0.006165*F380^2</f>
        <v>0</v>
      </c>
      <c r="V380" t="str">
        <v>x</v>
      </c>
      <c r="W380">
        <f>W376</f>
        <v>6</v>
      </c>
      <c r="X380" t="str">
        <v>x</v>
      </c>
      <c r="Y380">
        <f>D364</f>
        <v>5</v>
      </c>
      <c r="Z380" t="str">
        <v>=</v>
      </c>
      <c r="AA380">
        <f>N380*U380*W380*Y380</f>
        <v>0</v>
      </c>
    </row>
    <row r="384">
      <c r="A384" t="str">
        <f>A354</f>
        <v>Sloof</v>
      </c>
      <c r="B384">
        <f>B354+1</f>
        <v>13</v>
      </c>
      <c r="C384" t="str">
        <f>CONCATENATE(A384," no. ",B384)</f>
        <v>Sloof no. 13</v>
      </c>
      <c r="D384" t="str">
        <f>VLOOKUP(C384,'Data Panjang Balok'!$C$9:$N$424,2,FALSE)</f>
        <v>TB25-2</v>
      </c>
    </row>
    <row r="385">
      <c r="C385" t="str">
        <v>Dimensi</v>
      </c>
      <c r="D385">
        <f>VLOOKUP(D384,'Detail Balok'!$C$10:$AU$110,2,FALSE)</f>
        <v>200</v>
      </c>
      <c r="F385" t="str">
        <v>x</v>
      </c>
      <c r="G385">
        <f>VLOOKUP(D384,'Detail Balok'!$C$10:$AU$110,3,FALSE)</f>
        <v>500</v>
      </c>
    </row>
    <row r="386">
      <c r="C386" t="str">
        <v>Panjang as ke as</v>
      </c>
      <c r="D386">
        <f>VLOOKUP(C384,'Data Panjang Balok'!$C$9:$N$424,4,FALSE)</f>
        <v>5265</v>
      </c>
    </row>
    <row r="387">
      <c r="C387" t="str">
        <v>Panjang netto</v>
      </c>
      <c r="D387">
        <f>VLOOKUP(C384,'Data Panjang Balok'!$C$9:$N$424,7,FALSE)</f>
        <v>5265</v>
      </c>
    </row>
    <row r="388">
      <c r="C388" t="str">
        <v>Kolom / balok kiri</v>
      </c>
      <c r="D388">
        <f>VLOOKUP(C384,'Data Panjang Balok'!$C$9:$N$424,9,FALSE)</f>
        <v>0</v>
      </c>
    </row>
    <row r="389">
      <c r="C389" t="str">
        <v>Kolom / balok kanan</v>
      </c>
      <c r="D389">
        <f>VLOOKUP(C384,'Data Panjang Balok'!$C$9:$N$424,10,FALSE)</f>
        <v>0</v>
      </c>
    </row>
    <row r="390">
      <c r="C390" t="str">
        <v>Jumlah</v>
      </c>
      <c r="D390">
        <f>VLOOKUP(C384,'Data Panjang Balok'!$C$9:$N$424,3,FALSE)</f>
        <v>1</v>
      </c>
    </row>
    <row r="391">
      <c r="A391" t="str">
        <f>A384</f>
        <v>Sloof</v>
      </c>
      <c r="B391">
        <f>B384</f>
        <v>13</v>
      </c>
      <c r="C391" t="str">
        <v>Tul Atas Tumpuan</v>
      </c>
      <c r="D391">
        <f>VLOOKUP(D384,'Detail Balok'!$C$10:$AU$110,4,FALSE)</f>
        <v>4</v>
      </c>
      <c r="E391" t="str">
        <v>D</v>
      </c>
      <c r="F391">
        <f>VLOOKUP(D384,'Detail Balok'!$C$10:$AU$110,6,FALSE)</f>
        <v>16</v>
      </c>
      <c r="I391" t="str">
        <v>(</v>
      </c>
      <c r="J391">
        <f>+D386/4/1000</f>
        <v>1.31625</v>
      </c>
      <c r="K391" t="str">
        <v>+</v>
      </c>
      <c r="L391">
        <f>MAX(VLOOKUP(F391,N$6:P$15,3,FALSE)/1000,2/3*D388/1000)+F$16*F391/1000</f>
        <v>0.192</v>
      </c>
      <c r="M391" t="str">
        <v>=</v>
      </c>
      <c r="N391">
        <f>J391+L391</f>
        <v>1.5082499999999999</v>
      </c>
      <c r="O391" t="str">
        <v>+</v>
      </c>
      <c r="P391">
        <f>D391-D392</f>
        <v>2</v>
      </c>
      <c r="Q391" t="str">
        <v>x</v>
      </c>
      <c r="R391">
        <f>IF(P391&gt;0,$F$18*F391/1000,0)</f>
        <v>0.24</v>
      </c>
      <c r="S391" t="str">
        <v>)</v>
      </c>
      <c r="T391" t="str">
        <v>x</v>
      </c>
      <c r="U391">
        <f>0.006165*F391^2</f>
        <v>1.57824</v>
      </c>
      <c r="X391" t="str">
        <v>x</v>
      </c>
      <c r="Y391">
        <f>D390</f>
        <v>1</v>
      </c>
      <c r="Z391" t="str">
        <v>=</v>
      </c>
      <c r="AA391">
        <f>IF(AA394=0,(D391*N391+P391*R391)*U391*Y391,0)</f>
        <v>10.27907712</v>
      </c>
    </row>
    <row r="392">
      <c r="A392" t="str">
        <f>A384</f>
        <v>Sloof</v>
      </c>
      <c r="B392">
        <f>B384</f>
        <v>13</v>
      </c>
      <c r="C392" t="str">
        <v>Tul Atas Lapangan</v>
      </c>
      <c r="D392">
        <f>VLOOKUP(D384,'Detail Balok'!$C$10:$AU$110,7,FALSE)</f>
        <v>2</v>
      </c>
      <c r="E392" t="str">
        <v>D</v>
      </c>
      <c r="F392">
        <f>VLOOKUP(D384,'Detail Balok'!$C$10:$AU$110,9,FALSE)</f>
        <v>16</v>
      </c>
      <c r="I392" t="str">
        <v>(</v>
      </c>
      <c r="J392">
        <f>+D386/2/1000</f>
        <v>2.6325</v>
      </c>
      <c r="K392" t="str">
        <v>+</v>
      </c>
      <c r="M392" t="str">
        <v>=</v>
      </c>
      <c r="N392">
        <f>J392+L392</f>
        <v>2.6325</v>
      </c>
      <c r="O392" t="str">
        <v>+</v>
      </c>
      <c r="P392">
        <f>MAX(D392-D391,D392-D393)</f>
        <v>-2</v>
      </c>
      <c r="Q392" t="str">
        <v>x</v>
      </c>
      <c r="R392">
        <f>IF(P392&gt;0,2*(1-2*$F$19-1/2)*D387/1000,0)</f>
        <v>0</v>
      </c>
      <c r="S392" t="str">
        <v>)</v>
      </c>
      <c r="T392" t="str">
        <v>x</v>
      </c>
      <c r="U392">
        <f>0.006165*F392^2</f>
        <v>1.57824</v>
      </c>
      <c r="X392" t="str">
        <v>x</v>
      </c>
      <c r="Y392">
        <f>D390</f>
        <v>1</v>
      </c>
      <c r="Z392" t="str">
        <v>=</v>
      </c>
      <c r="AA392">
        <f>IF(AA394=0,(D392*N392+P392*R392)*U392*Y392,0)</f>
        <v>8.3094336</v>
      </c>
    </row>
    <row r="393">
      <c r="A393" t="str">
        <f>A384</f>
        <v>Sloof</v>
      </c>
      <c r="B393">
        <f>B384</f>
        <v>13</v>
      </c>
      <c r="C393" t="str">
        <v>Tul Atas Tumpuan</v>
      </c>
      <c r="D393">
        <f>VLOOKUP(D384,'Detail Balok'!$C$10:$AU$110,10,FALSE)</f>
        <v>4</v>
      </c>
      <c r="E393" t="str">
        <v>D</v>
      </c>
      <c r="F393">
        <f>VLOOKUP(D384,'Detail Balok'!$C$10:$AU$110,12,FALSE)</f>
        <v>16</v>
      </c>
      <c r="I393" t="str">
        <v>(</v>
      </c>
      <c r="J393">
        <f>+D386/4/1000</f>
        <v>1.31625</v>
      </c>
      <c r="K393" t="str">
        <v>+</v>
      </c>
      <c r="L393">
        <f>MAX(VLOOKUP(F393,N$6:P$15,3,FALSE)/1000,2/3*D388/1000)+F$16*F393/1000</f>
        <v>0.192</v>
      </c>
      <c r="M393" t="str">
        <v>=</v>
      </c>
      <c r="N393">
        <f>J393+L393</f>
        <v>1.5082499999999999</v>
      </c>
      <c r="O393" t="str">
        <v>+</v>
      </c>
      <c r="P393">
        <f>D393-D392</f>
        <v>2</v>
      </c>
      <c r="Q393" t="str">
        <v>x</v>
      </c>
      <c r="R393">
        <f>IF(P393&gt;0,$F$18*F393/1000,0)</f>
        <v>0.24</v>
      </c>
      <c r="S393" t="str">
        <v>)</v>
      </c>
      <c r="T393" t="str">
        <v>x</v>
      </c>
      <c r="U393">
        <f>0.006165*F393^2</f>
        <v>1.57824</v>
      </c>
      <c r="X393" t="str">
        <v>x</v>
      </c>
      <c r="Y393">
        <f>D390</f>
        <v>1</v>
      </c>
      <c r="Z393" t="str">
        <v>=</v>
      </c>
      <c r="AA393">
        <f>IF(AA394=0,(D393*N393+P393*R393)*U393*Y393,0)</f>
        <v>10.27907712</v>
      </c>
    </row>
    <row r="394">
      <c r="A394" t="str">
        <f>A384</f>
        <v>Sloof</v>
      </c>
      <c r="B394">
        <f>B384</f>
        <v>13</v>
      </c>
      <c r="D394">
        <f>IF(AND(D391=D392,D392=D393,D391=D393),D391,0)</f>
        <v>0</v>
      </c>
      <c r="E394" t="str">
        <v>D</v>
      </c>
      <c r="F394">
        <f>IF(AND(F391=F392,F391=F393,F392=F393),F391,0)</f>
        <v>16</v>
      </c>
      <c r="L394" t="str">
        <v>Total panjang per balok</v>
      </c>
      <c r="M394" t="str">
        <v>=</v>
      </c>
      <c r="N394">
        <f>IF(AND(D391=D392,D391=D393,D392=D393,F391=F392,F391=F393,F392=F393),SUM(N391:N393),0)</f>
        <v>0</v>
      </c>
      <c r="O394" t="str">
        <v>+</v>
      </c>
      <c r="P394">
        <f>IF(N394&gt;12,ROUNDDOWN(N394/12,0),0)</f>
        <v>0</v>
      </c>
      <c r="Q394" t="str">
        <v>x</v>
      </c>
      <c r="R394">
        <f>IF(P394&gt;0,MAX(VLOOKUP(F394,$D$6:$G$15,3,FALSE),600),0)/1000</f>
        <v>0</v>
      </c>
      <c r="T394" t="str">
        <v>x</v>
      </c>
      <c r="U394">
        <f>U393</f>
        <v>1.57824</v>
      </c>
      <c r="V394" t="str">
        <v>x</v>
      </c>
      <c r="W394">
        <f>D394</f>
        <v>0</v>
      </c>
      <c r="X394" t="str">
        <v>x</v>
      </c>
      <c r="Y394">
        <f>Y393</f>
        <v>1</v>
      </c>
      <c r="Z394" t="str">
        <v>=</v>
      </c>
      <c r="AA394">
        <f>(N394+P394*R394/1000)*U394*W394*Y394</f>
        <v>0</v>
      </c>
    </row>
    <row r="396">
      <c r="A396" t="str">
        <f>A384</f>
        <v>Sloof</v>
      </c>
      <c r="B396">
        <f>B384</f>
        <v>13</v>
      </c>
      <c r="C396" t="str">
        <v>Tul Peminggang</v>
      </c>
      <c r="D396">
        <f>VLOOKUP(D384,'Detail Balok'!$C$10:$AU$110,13,FALSE)</f>
        <v>2</v>
      </c>
      <c r="E396" t="str">
        <v>D</v>
      </c>
      <c r="F396">
        <f>VLOOKUP(D384,'Detail Balok'!$C$10:$AU$110,15,FALSE)</f>
        <v>10</v>
      </c>
      <c r="J396">
        <f>+D386/1000</f>
        <v>5.265</v>
      </c>
      <c r="K396" t="str">
        <v>+</v>
      </c>
      <c r="L396">
        <f>2*$F$16*F396/1000</f>
        <v>0.24</v>
      </c>
      <c r="M396" t="str">
        <v>=</v>
      </c>
      <c r="N396">
        <f>J396+L396</f>
        <v>5.505</v>
      </c>
      <c r="O396" t="str">
        <v>+</v>
      </c>
      <c r="P396">
        <f>IF(N396&gt;12,ROUNDDOWN(N396/12,0),0)</f>
        <v>0</v>
      </c>
      <c r="Q396" t="str">
        <v>x</v>
      </c>
      <c r="R396">
        <f>IF(P396&gt;0,MAX(VLOOKUP(F396,$D$6:$G$15,3,FALSE),600),0)/1000</f>
        <v>0</v>
      </c>
      <c r="T396" t="str">
        <v>x</v>
      </c>
      <c r="U396">
        <f>0.006165*F396^2</f>
        <v>0.6165</v>
      </c>
      <c r="V396" t="str">
        <v>x</v>
      </c>
      <c r="W396">
        <f>+D396</f>
        <v>2</v>
      </c>
      <c r="X396" t="str">
        <v>x</v>
      </c>
      <c r="Y396">
        <f>D390</f>
        <v>1</v>
      </c>
      <c r="Z396" t="str">
        <v>=</v>
      </c>
      <c r="AA396">
        <f>(N396+P396*R396/1000)*U396*W396*Y396</f>
        <v>6.7876650000000005</v>
      </c>
    </row>
    <row r="399">
      <c r="A399" t="str">
        <f>A384</f>
        <v>Sloof</v>
      </c>
      <c r="B399">
        <f>B384</f>
        <v>13</v>
      </c>
      <c r="C399" t="str">
        <v>Tul Bawah Tumpuan</v>
      </c>
      <c r="D399">
        <f>VLOOKUP(D384,'Detail Balok'!$C$10:$AU$110,22,FALSE)</f>
        <v>4</v>
      </c>
      <c r="E399" t="str">
        <v>D</v>
      </c>
      <c r="F399">
        <f>VLOOKUP(D384,'Detail Balok'!$C$10:$AU$110,24,FALSE)</f>
        <v>16</v>
      </c>
      <c r="I399" t="str">
        <v>(</v>
      </c>
      <c r="J399">
        <f>+J391</f>
        <v>1.31625</v>
      </c>
      <c r="K399" t="str">
        <v>+</v>
      </c>
      <c r="L399">
        <f>MAX(VLOOKUP(F399,N$6:P$15,3,FALSE)/1000,2/3*D389/1000)+F$16*F399/1000</f>
        <v>0.192</v>
      </c>
      <c r="M399" t="str">
        <v>=</v>
      </c>
      <c r="N399">
        <f>J399+L399</f>
        <v>1.5082499999999999</v>
      </c>
      <c r="O399" t="str">
        <v>+</v>
      </c>
      <c r="P399">
        <f>D399-D400</f>
        <v>0</v>
      </c>
      <c r="Q399" t="str">
        <v>x</v>
      </c>
      <c r="R399">
        <f>IF(P399&gt;0,$F$18*F399/1000,0)</f>
        <v>0</v>
      </c>
      <c r="S399" t="str">
        <v>)</v>
      </c>
      <c r="T399" t="str">
        <v>x</v>
      </c>
      <c r="U399">
        <f>0.006165*F399^2</f>
        <v>1.57824</v>
      </c>
      <c r="X399" t="str">
        <v>x</v>
      </c>
      <c r="Y399">
        <f>D390</f>
        <v>1</v>
      </c>
      <c r="Z399" t="str">
        <v>=</v>
      </c>
      <c r="AA399">
        <f>IF(AA402=0,(D399*N399+P399*R399)*U399*Y399,0)</f>
        <v>0</v>
      </c>
    </row>
    <row r="400">
      <c r="A400" t="str">
        <f>A384</f>
        <v>Sloof</v>
      </c>
      <c r="B400">
        <f>B384</f>
        <v>13</v>
      </c>
      <c r="C400" t="str">
        <v>Tul Bawah Lapangan</v>
      </c>
      <c r="D400">
        <f>VLOOKUP(D384,'Detail Balok'!$C$10:$AU$110,25,FALSE)</f>
        <v>4</v>
      </c>
      <c r="E400" t="str">
        <v>D</v>
      </c>
      <c r="F400">
        <f>VLOOKUP(D384,'Detail Balok'!$C$10:$AU$110,27,FALSE)</f>
        <v>16</v>
      </c>
      <c r="I400" t="str">
        <v>(</v>
      </c>
      <c r="J400">
        <f>+J392</f>
        <v>2.6325</v>
      </c>
      <c r="K400" t="str">
        <v>+</v>
      </c>
      <c r="M400" t="str">
        <v>=</v>
      </c>
      <c r="N400">
        <f>J400+L400</f>
        <v>2.6325</v>
      </c>
      <c r="O400" t="str">
        <v>+</v>
      </c>
      <c r="P400">
        <f>MAX(D400-D399,D400-D401)</f>
        <v>0</v>
      </c>
      <c r="Q400" t="str">
        <v>x</v>
      </c>
      <c r="R400">
        <f>IF(P400&gt;0,2*(1-2*$F$19-1/2)*D387/1000,0)</f>
        <v>0</v>
      </c>
      <c r="S400" t="str">
        <v>)</v>
      </c>
      <c r="T400" t="str">
        <v>x</v>
      </c>
      <c r="U400">
        <f>0.006165*F400^2</f>
        <v>1.57824</v>
      </c>
      <c r="X400" t="str">
        <v>x</v>
      </c>
      <c r="Y400">
        <f>D390</f>
        <v>1</v>
      </c>
      <c r="Z400" t="str">
        <v>=</v>
      </c>
      <c r="AA400">
        <f>IF(AA402=0,(D400*N400+P400*R400)*U400*Y400,0)</f>
        <v>0</v>
      </c>
    </row>
    <row r="401">
      <c r="A401" t="str">
        <f>A384</f>
        <v>Sloof</v>
      </c>
      <c r="B401">
        <f>B384</f>
        <v>13</v>
      </c>
      <c r="C401" t="str">
        <v>Tul Bawah Tumpuan</v>
      </c>
      <c r="D401">
        <f>VLOOKUP(D384,'Detail Balok'!$C$10:$AU$110,28,FALSE)</f>
        <v>4</v>
      </c>
      <c r="E401" t="str">
        <v>D</v>
      </c>
      <c r="F401">
        <f>VLOOKUP(D384,'Detail Balok'!$C$10:$AU$110,30,FALSE)</f>
        <v>16</v>
      </c>
      <c r="I401" t="str">
        <v>(</v>
      </c>
      <c r="J401">
        <f>+J393</f>
        <v>1.31625</v>
      </c>
      <c r="K401" t="str">
        <v>+</v>
      </c>
      <c r="L401">
        <f>MAX(VLOOKUP(F401,N$6:P$15,3,FALSE)/1000,2/3*D389/1000)+F$16*F401/1000</f>
        <v>0.192</v>
      </c>
      <c r="M401" t="str">
        <v>=</v>
      </c>
      <c r="N401">
        <f>J401+L401</f>
        <v>1.5082499999999999</v>
      </c>
      <c r="O401" t="str">
        <v>+</v>
      </c>
      <c r="P401">
        <f>D401-D400</f>
        <v>0</v>
      </c>
      <c r="Q401" t="str">
        <v>x</v>
      </c>
      <c r="R401">
        <f>IF(P401&gt;0,$F$18*F401/1000,0)</f>
        <v>0</v>
      </c>
      <c r="S401" t="str">
        <v>)</v>
      </c>
      <c r="T401" t="str">
        <v>x</v>
      </c>
      <c r="U401">
        <f>0.006165*F401^2</f>
        <v>1.57824</v>
      </c>
      <c r="X401" t="str">
        <v>x</v>
      </c>
      <c r="Y401">
        <f>D390</f>
        <v>1</v>
      </c>
      <c r="Z401" t="str">
        <v>=</v>
      </c>
      <c r="AA401">
        <f>IF(AA402=0,(D401*N401+P401*R401)*U401*Y401,0)</f>
        <v>0</v>
      </c>
    </row>
    <row r="402">
      <c r="A402" t="str">
        <f>A384</f>
        <v>Sloof</v>
      </c>
      <c r="B402">
        <f>B384</f>
        <v>13</v>
      </c>
      <c r="D402">
        <f>IF(AND(D399=D400,D400=D401,D399=D401),D399,0)</f>
        <v>4</v>
      </c>
      <c r="E402" t="str">
        <v>D</v>
      </c>
      <c r="F402">
        <f>IF(AND(F399=F400,F399=F401,F400=F401),F399,0)</f>
        <v>16</v>
      </c>
      <c r="L402" t="str">
        <v>Total panjang per balok</v>
      </c>
      <c r="M402" t="str">
        <v>=</v>
      </c>
      <c r="N402">
        <f>IF(AND(D399=D400,D399=D401,D400=D401,F399=F400,F399=F401,F400=F401),SUM(N399:N401),0)</f>
        <v>5.648999999999999</v>
      </c>
      <c r="O402" t="str">
        <v>+</v>
      </c>
      <c r="P402">
        <f>IF(N402&gt;12,ROUNDDOWN(N402/12,0),0)</f>
        <v>0</v>
      </c>
      <c r="Q402" t="str">
        <v>x</v>
      </c>
      <c r="R402">
        <f>IF(P402&gt;0,MAX(VLOOKUP(F402,$D$6:$G$15,3,FALSE),600),0)/1000</f>
        <v>0</v>
      </c>
      <c r="T402" t="str">
        <v>x</v>
      </c>
      <c r="U402">
        <f>U401</f>
        <v>1.57824</v>
      </c>
      <c r="V402" t="str">
        <v>x</v>
      </c>
      <c r="W402">
        <f>D402</f>
        <v>4</v>
      </c>
      <c r="X402" t="str">
        <v>x</v>
      </c>
      <c r="Y402">
        <f>Y401</f>
        <v>1</v>
      </c>
      <c r="Z402" t="str">
        <v>=</v>
      </c>
      <c r="AA402">
        <f>(N402+P402*R402/1000)*U402*W402*Y402</f>
        <v>35.66191104</v>
      </c>
    </row>
    <row r="404">
      <c r="A404" t="str">
        <f>A384</f>
        <v>Sloof</v>
      </c>
      <c r="B404">
        <f>B384</f>
        <v>13</v>
      </c>
      <c r="C404" t="str">
        <v>Sengkang Tumpuan</v>
      </c>
      <c r="D404">
        <f>VLOOKUP(D384,'Detail Balok'!$C$10:$AU$110,31,FALSE)</f>
        <v>0</v>
      </c>
      <c r="E404" t="str">
        <v>D</v>
      </c>
      <c r="F404">
        <f>VLOOKUP(D384,'Detail Balok'!$C$10:$AU$110,33,FALSE)</f>
        <v>10</v>
      </c>
      <c r="G404" t="str">
        <v>-</v>
      </c>
      <c r="H404">
        <f>VLOOKUP(D384,'Detail Balok'!$C$10:$AU$110,35,FALSE)</f>
        <v>200</v>
      </c>
      <c r="J404">
        <f>(IF(D404=0,(2*(D385+G385))-(F$5*8),IF(D404=3,(2*(D385+G385))-(F$5*8)+(G385-2*F$5),IF(D404=4,(2*(D385+G385))-(F$5*8)+2*(G385-2*F$5)))))/1000</f>
        <v>1.08</v>
      </c>
      <c r="K404" t="str">
        <v>+</v>
      </c>
      <c r="L404">
        <f>IF(D404=0,2*MAX(6*F404,75),(D404-1)*2*MAX(6*F404,75))/1000</f>
        <v>0.15</v>
      </c>
      <c r="M404" t="str">
        <v>=</v>
      </c>
      <c r="N404">
        <f>J404+L404</f>
        <v>1.23</v>
      </c>
      <c r="T404" t="str">
        <v>x</v>
      </c>
      <c r="U404">
        <f>0.006165*F404^2</f>
        <v>0.6165</v>
      </c>
      <c r="V404" t="str">
        <v>x</v>
      </c>
      <c r="W404">
        <f>IF(D387&gt;4*G385,ROUND(MAX(D387/4,2*G385)/H404,0)+1,ROUND(D387/H404,0)+1)</f>
        <v>8</v>
      </c>
      <c r="X404" t="str">
        <v>x</v>
      </c>
      <c r="Y404">
        <f>D390</f>
        <v>1</v>
      </c>
      <c r="Z404" t="str">
        <v>=</v>
      </c>
      <c r="AA404">
        <f>N404*U404*W404*Y404</f>
        <v>6.06636</v>
      </c>
    </row>
    <row r="405">
      <c r="A405" t="str">
        <f>A384</f>
        <v>Sloof</v>
      </c>
      <c r="B405">
        <f>B384</f>
        <v>13</v>
      </c>
      <c r="C405" t="str">
        <v>Sengkang Lapangan</v>
      </c>
      <c r="D405">
        <f>VLOOKUP(D384,'Detail Balok'!$C$10:$AU$110,36,FALSE)</f>
        <v>0</v>
      </c>
      <c r="E405" t="str">
        <v>D</v>
      </c>
      <c r="F405">
        <f>VLOOKUP(D384,'Detail Balok'!$C$10:$AU$110,38,FALSE)</f>
        <v>10</v>
      </c>
      <c r="G405" t="str">
        <v>-</v>
      </c>
      <c r="H405">
        <f>VLOOKUP(D384,'Detail Balok'!$C$10:$AU$110,40,FALSE)</f>
        <v>200</v>
      </c>
      <c r="J405">
        <f>(IF(D405=0,(2*(D385+G385))-(F$5*8),IF(D405=3,(2*(D385+G385))-(F$5*8)+(G385-2*F$5),IF(D405=4,(2*(D385+G385))-(F$5*8)+2*(G385-2*F$5)))))/1000</f>
        <v>1.08</v>
      </c>
      <c r="K405" t="str">
        <v>+</v>
      </c>
      <c r="L405">
        <f>IF(D405=0,2*MAX(6*F405,75),(D405-1)*2*MAX(6*F405,75))/1000</f>
        <v>0.15</v>
      </c>
      <c r="M405" t="str">
        <v>=</v>
      </c>
      <c r="N405">
        <f>J405+L405</f>
        <v>1.23</v>
      </c>
      <c r="T405" t="str">
        <v>x</v>
      </c>
      <c r="U405">
        <f>0.006165*F405^2</f>
        <v>0.6165</v>
      </c>
      <c r="V405" t="str">
        <v>x</v>
      </c>
      <c r="W405">
        <f>IF(D387-MAX(D387/4,2*G385)*2&gt;0,ROUND((D387-MAX(D387/4,2*G385)*2)/H405,0),0)</f>
        <v>13</v>
      </c>
      <c r="X405" t="str">
        <v>x</v>
      </c>
      <c r="Y405">
        <f>D390</f>
        <v>1</v>
      </c>
      <c r="Z405" t="str">
        <v>=</v>
      </c>
      <c r="AA405">
        <f>N405*U405*W405*Y405</f>
        <v>9.857835000000001</v>
      </c>
    </row>
    <row r="406">
      <c r="A406" t="str">
        <f>A384</f>
        <v>Sloof</v>
      </c>
      <c r="B406">
        <f>B384</f>
        <v>13</v>
      </c>
      <c r="C406" t="str">
        <v>Sengkang Tumpuan</v>
      </c>
      <c r="D406">
        <f>VLOOKUP(D384,'Detail Balok'!$C$10:$AU$110,41,FALSE)</f>
        <v>0</v>
      </c>
      <c r="E406" t="str">
        <v>D</v>
      </c>
      <c r="F406">
        <f>VLOOKUP(D384,'Detail Balok'!$C$10:$AU$110,43,FALSE)</f>
        <v>10</v>
      </c>
      <c r="G406" t="str">
        <v>-</v>
      </c>
      <c r="H406">
        <f>VLOOKUP(D384,'Detail Balok'!$C$10:$AU$110,45,FALSE)</f>
        <v>200</v>
      </c>
      <c r="J406">
        <f>(IF(D406=0,(2*(D385+G385))-(F$5*8),IF(D406=3,(2*(D385+G385))-(F$5*8)+(G385-2*F$5),IF(D406=4,(2*(D385+G385))-(F$5*8)+2*(G385-2*F$5)))))/1000</f>
        <v>1.08</v>
      </c>
      <c r="K406" t="str">
        <v>+</v>
      </c>
      <c r="L406">
        <f>IF(D406=0,2*MAX(6*F406,75),(D406-1)*2*MAX(6*F406,75))/1000</f>
        <v>0.15</v>
      </c>
      <c r="M406" t="str">
        <v>=</v>
      </c>
      <c r="N406">
        <f>J406+L406</f>
        <v>1.23</v>
      </c>
      <c r="T406" t="str">
        <v>x</v>
      </c>
      <c r="U406">
        <f>0.006165*F406^2</f>
        <v>0.6165</v>
      </c>
      <c r="V406" t="str">
        <v>x</v>
      </c>
      <c r="W406">
        <f>IF(D387&gt;4*G385,ROUND(MAX(D387/4,2*G385)/H406,0)+1,0)</f>
        <v>8</v>
      </c>
      <c r="X406" t="str">
        <v>x</v>
      </c>
      <c r="Y406">
        <f>D390</f>
        <v>1</v>
      </c>
      <c r="Z406" t="str">
        <v>=</v>
      </c>
      <c r="AA406">
        <f>N406*U406*W406*Y406</f>
        <v>6.06636</v>
      </c>
    </row>
    <row r="408">
      <c r="A408" t="str">
        <f>A384</f>
        <v>Sloof</v>
      </c>
      <c r="B408">
        <f>B384</f>
        <v>13</v>
      </c>
      <c r="C408" t="str">
        <v>Kait Horizontal Tump.</v>
      </c>
      <c r="D408">
        <f>VLOOKUP(D384,'Detail Balok'!$C$10:$BJ$110,46,FALSE)</f>
        <v>0</v>
      </c>
      <c r="E408" t="str">
        <v>D</v>
      </c>
      <c r="F408">
        <f>VLOOKUP(D384,'Detail Balok'!$C$10:$BJ$110,48,FALSE)</f>
        <v>0</v>
      </c>
      <c r="G408" t="str">
        <v>-</v>
      </c>
      <c r="H408">
        <f>VLOOKUP(D384,'Detail Balok'!$C$10:$BJ$110,50,FALSE)</f>
        <v>100</v>
      </c>
      <c r="J408">
        <f>(D385-2*F$5)/1000</f>
        <v>0.12</v>
      </c>
      <c r="K408" t="str">
        <v>+</v>
      </c>
      <c r="L408">
        <f>IF(D408=0,2*MAX(6*F408,75),(D408-1)*2*MAX(6*F408,75))/1000</f>
        <v>0.15</v>
      </c>
      <c r="M408" t="str">
        <v>=</v>
      </c>
      <c r="N408">
        <f>J408+L408</f>
        <v>0.27</v>
      </c>
      <c r="T408" t="str">
        <v>x</v>
      </c>
      <c r="U408">
        <f>0.006165*F408^2</f>
        <v>0</v>
      </c>
      <c r="V408" t="str">
        <v>x</v>
      </c>
      <c r="W408">
        <f>W404</f>
        <v>8</v>
      </c>
      <c r="X408" t="str">
        <v>x</v>
      </c>
      <c r="Y408">
        <f>D394</f>
        <v>0</v>
      </c>
      <c r="Z408" t="str">
        <v>=</v>
      </c>
      <c r="AA408">
        <f>N408*U408*W408*Y408</f>
        <v>0</v>
      </c>
    </row>
    <row r="409">
      <c r="A409" t="str">
        <f>A384</f>
        <v>Sloof</v>
      </c>
      <c r="B409">
        <f>B384</f>
        <v>13</v>
      </c>
      <c r="C409" t="str">
        <v>Kait Horizontal Lap.</v>
      </c>
      <c r="D409">
        <f>VLOOKUP(D384,'Detail Balok'!$C$10:$BJ$110,51,FALSE)</f>
        <v>0</v>
      </c>
      <c r="E409" t="str">
        <v>D</v>
      </c>
      <c r="F409">
        <f>VLOOKUP(D384,'Detail Balok'!$C$10:$BJ$110,53,FALSE)</f>
        <v>0</v>
      </c>
      <c r="G409" t="str">
        <v>-</v>
      </c>
      <c r="H409">
        <f>VLOOKUP(D384,'Detail Balok'!$C$10:$BJ$110,55,FALSE)</f>
        <v>100</v>
      </c>
      <c r="J409">
        <f>(D385-2*F$5)/1000</f>
        <v>0.12</v>
      </c>
      <c r="K409" t="str">
        <v>+</v>
      </c>
      <c r="L409">
        <f>IF(D409=0,2*MAX(6*F409,75),(D409-1)*2*MAX(6*F409,75))/1000</f>
        <v>0.15</v>
      </c>
      <c r="M409" t="str">
        <v>=</v>
      </c>
      <c r="N409">
        <f>J409+L409</f>
        <v>0.27</v>
      </c>
      <c r="T409" t="str">
        <v>x</v>
      </c>
      <c r="U409">
        <f>0.006165*F409^2</f>
        <v>0</v>
      </c>
      <c r="V409" t="str">
        <v>x</v>
      </c>
      <c r="W409">
        <f>W405</f>
        <v>13</v>
      </c>
      <c r="X409" t="str">
        <v>x</v>
      </c>
      <c r="Y409">
        <f>D394</f>
        <v>0</v>
      </c>
      <c r="Z409" t="str">
        <v>=</v>
      </c>
      <c r="AA409">
        <f>N409*U409*W409*Y409</f>
        <v>0</v>
      </c>
    </row>
    <row r="410">
      <c r="A410" t="str">
        <f>A384</f>
        <v>Sloof</v>
      </c>
      <c r="B410">
        <f>B384</f>
        <v>13</v>
      </c>
      <c r="C410" t="str">
        <v>Kait Horizontal Tump.</v>
      </c>
      <c r="D410">
        <f>VLOOKUP(D384,'Detail Balok'!$C$10:$BJ$110,56,FALSE)</f>
        <v>0</v>
      </c>
      <c r="E410" t="str">
        <v>D</v>
      </c>
      <c r="F410">
        <f>VLOOKUP(D384,'Detail Balok'!$C$10:$BJ$110,58,FALSE)</f>
        <v>0</v>
      </c>
      <c r="G410" t="str">
        <v>-</v>
      </c>
      <c r="H410">
        <f>VLOOKUP(D384,'Detail Balok'!$C$10:$BJ$110,60,FALSE)</f>
        <v>100</v>
      </c>
      <c r="J410">
        <f>(D385-2*F$5)/1000</f>
        <v>0.12</v>
      </c>
      <c r="K410" t="str">
        <v>+</v>
      </c>
      <c r="L410">
        <f>IF(D410=0,2*MAX(6*F410,75),(D410-1)*2*MAX(6*F410,75))/1000</f>
        <v>0.15</v>
      </c>
      <c r="M410" t="str">
        <v>=</v>
      </c>
      <c r="N410">
        <f>J410+L410</f>
        <v>0.27</v>
      </c>
      <c r="T410" t="str">
        <v>x</v>
      </c>
      <c r="U410">
        <f>0.006165*F410^2</f>
        <v>0</v>
      </c>
      <c r="V410" t="str">
        <v>x</v>
      </c>
      <c r="W410">
        <f>W406</f>
        <v>8</v>
      </c>
      <c r="X410" t="str">
        <v>x</v>
      </c>
      <c r="Y410">
        <f>D394</f>
        <v>0</v>
      </c>
      <c r="Z410" t="str">
        <v>=</v>
      </c>
      <c r="AA410">
        <f>N410*U410*W410*Y410</f>
        <v>0</v>
      </c>
    </row>
    <row r="414">
      <c r="A414" t="str">
        <f>A384</f>
        <v>Sloof</v>
      </c>
      <c r="B414">
        <f>B384+1</f>
        <v>14</v>
      </c>
      <c r="C414" t="str">
        <f>CONCATENATE(A414," no. ",B414)</f>
        <v>Sloof no. 14</v>
      </c>
      <c r="D414" t="str">
        <f>VLOOKUP(C414,'Data Panjang Balok'!$C$9:$N$424,2,FALSE)</f>
        <v>TB245-1</v>
      </c>
    </row>
    <row r="415">
      <c r="C415" t="str">
        <v>Dimensi</v>
      </c>
      <c r="D415">
        <f>VLOOKUP(D414,'Detail Balok'!$C$10:$AU$110,2,FALSE)</f>
        <v>200</v>
      </c>
      <c r="F415" t="str">
        <v>x</v>
      </c>
      <c r="G415">
        <f>VLOOKUP(D414,'Detail Balok'!$C$10:$AU$110,3,FALSE)</f>
        <v>450</v>
      </c>
    </row>
    <row r="416">
      <c r="C416" t="str">
        <v>Panjang as ke as</v>
      </c>
      <c r="D416">
        <f>VLOOKUP(C414,'Data Panjang Balok'!$C$9:$N$424,4,FALSE)</f>
        <v>7750</v>
      </c>
    </row>
    <row r="417">
      <c r="C417" t="str">
        <v>Panjang netto</v>
      </c>
      <c r="D417">
        <f>VLOOKUP(C414,'Data Panjang Balok'!$C$9:$N$424,7,FALSE)</f>
        <v>7750</v>
      </c>
    </row>
    <row r="418">
      <c r="C418" t="str">
        <v>Kolom / balok kiri</v>
      </c>
      <c r="D418">
        <f>VLOOKUP(C414,'Data Panjang Balok'!$C$9:$N$424,9,FALSE)</f>
        <v>0</v>
      </c>
    </row>
    <row r="419">
      <c r="C419" t="str">
        <v>Kolom / balok kanan</v>
      </c>
      <c r="D419">
        <f>VLOOKUP(C414,'Data Panjang Balok'!$C$9:$N$424,10,FALSE)</f>
        <v>0</v>
      </c>
    </row>
    <row r="420">
      <c r="C420" t="str">
        <v>Jumlah</v>
      </c>
      <c r="D420">
        <f>VLOOKUP(C414,'Data Panjang Balok'!$C$9:$N$424,3,FALSE)</f>
        <v>1</v>
      </c>
    </row>
    <row r="421">
      <c r="A421" t="str">
        <f>A414</f>
        <v>Sloof</v>
      </c>
      <c r="B421">
        <f>B414</f>
        <v>14</v>
      </c>
      <c r="C421" t="str">
        <v>Tul Atas Tumpuan</v>
      </c>
      <c r="D421">
        <f>VLOOKUP(D414,'Detail Balok'!$C$10:$AU$110,4,FALSE)</f>
        <v>3</v>
      </c>
      <c r="E421" t="str">
        <v>D</v>
      </c>
      <c r="F421">
        <f>VLOOKUP(D414,'Detail Balok'!$C$10:$AU$110,6,FALSE)</f>
        <v>13</v>
      </c>
      <c r="I421" t="str">
        <v>(</v>
      </c>
      <c r="J421">
        <f>+D416/4/1000</f>
        <v>1.9375</v>
      </c>
      <c r="K421" t="str">
        <v>+</v>
      </c>
      <c r="L421">
        <f>MAX(VLOOKUP(F421,N$6:P$15,3,FALSE)/1000,2/3*D418/1000)+F$16*F421/1000</f>
        <v>0.156</v>
      </c>
      <c r="M421" t="str">
        <v>=</v>
      </c>
      <c r="N421">
        <f>J421+L421</f>
        <v>2.0935</v>
      </c>
      <c r="O421" t="str">
        <v>+</v>
      </c>
      <c r="P421">
        <f>D421-D422</f>
        <v>0</v>
      </c>
      <c r="Q421" t="str">
        <v>x</v>
      </c>
      <c r="R421">
        <f>IF(P421&gt;0,$F$18*F421/1000,0)</f>
        <v>0</v>
      </c>
      <c r="S421" t="str">
        <v>)</v>
      </c>
      <c r="T421" t="str">
        <v>x</v>
      </c>
      <c r="U421">
        <f>0.006165*F421^2</f>
        <v>1.041885</v>
      </c>
      <c r="X421" t="str">
        <v>x</v>
      </c>
      <c r="Y421">
        <f>D420</f>
        <v>1</v>
      </c>
      <c r="Z421" t="str">
        <v>=</v>
      </c>
      <c r="AA421">
        <f>IF(AA424=0,(D421*N421+P421*R421)*U421*Y421,0)</f>
        <v>0</v>
      </c>
    </row>
    <row r="422">
      <c r="A422" t="str">
        <f>A414</f>
        <v>Sloof</v>
      </c>
      <c r="B422">
        <f>B414</f>
        <v>14</v>
      </c>
      <c r="C422" t="str">
        <v>Tul Atas Lapangan</v>
      </c>
      <c r="D422">
        <f>VLOOKUP(D414,'Detail Balok'!$C$10:$AU$110,7,FALSE)</f>
        <v>3</v>
      </c>
      <c r="E422" t="str">
        <v>D</v>
      </c>
      <c r="F422">
        <f>VLOOKUP(D414,'Detail Balok'!$C$10:$AU$110,9,FALSE)</f>
        <v>13</v>
      </c>
      <c r="I422" t="str">
        <v>(</v>
      </c>
      <c r="J422">
        <f>+D416/2/1000</f>
        <v>3.875</v>
      </c>
      <c r="K422" t="str">
        <v>+</v>
      </c>
      <c r="M422" t="str">
        <v>=</v>
      </c>
      <c r="N422">
        <f>J422+L422</f>
        <v>3.875</v>
      </c>
      <c r="O422" t="str">
        <v>+</v>
      </c>
      <c r="P422">
        <f>MAX(D422-D421,D422-D423)</f>
        <v>0</v>
      </c>
      <c r="Q422" t="str">
        <v>x</v>
      </c>
      <c r="R422">
        <f>IF(P422&gt;0,2*(1-2*$F$19-1/2)*D417/1000,0)</f>
        <v>0</v>
      </c>
      <c r="S422" t="str">
        <v>)</v>
      </c>
      <c r="T422" t="str">
        <v>x</v>
      </c>
      <c r="U422">
        <f>0.006165*F422^2</f>
        <v>1.041885</v>
      </c>
      <c r="X422" t="str">
        <v>x</v>
      </c>
      <c r="Y422">
        <f>D420</f>
        <v>1</v>
      </c>
      <c r="Z422" t="str">
        <v>=</v>
      </c>
      <c r="AA422">
        <f>IF(AA424=0,(D422*N422+P422*R422)*U422*Y422,0)</f>
        <v>0</v>
      </c>
    </row>
    <row r="423">
      <c r="A423" t="str">
        <f>A414</f>
        <v>Sloof</v>
      </c>
      <c r="B423">
        <f>B414</f>
        <v>14</v>
      </c>
      <c r="C423" t="str">
        <v>Tul Atas Tumpuan</v>
      </c>
      <c r="D423">
        <f>VLOOKUP(D414,'Detail Balok'!$C$10:$AU$110,10,FALSE)</f>
        <v>3</v>
      </c>
      <c r="E423" t="str">
        <v>D</v>
      </c>
      <c r="F423">
        <f>VLOOKUP(D414,'Detail Balok'!$C$10:$AU$110,12,FALSE)</f>
        <v>13</v>
      </c>
      <c r="I423" t="str">
        <v>(</v>
      </c>
      <c r="J423">
        <f>+D416/4/1000</f>
        <v>1.9375</v>
      </c>
      <c r="K423" t="str">
        <v>+</v>
      </c>
      <c r="L423">
        <f>MAX(VLOOKUP(F423,N$6:P$15,3,FALSE)/1000,2/3*D418/1000)+F$16*F423/1000</f>
        <v>0.156</v>
      </c>
      <c r="M423" t="str">
        <v>=</v>
      </c>
      <c r="N423">
        <f>J423+L423</f>
        <v>2.0935</v>
      </c>
      <c r="O423" t="str">
        <v>+</v>
      </c>
      <c r="P423">
        <f>D423-D422</f>
        <v>0</v>
      </c>
      <c r="Q423" t="str">
        <v>x</v>
      </c>
      <c r="R423">
        <f>IF(P423&gt;0,$F$18*F423/1000,0)</f>
        <v>0</v>
      </c>
      <c r="S423" t="str">
        <v>)</v>
      </c>
      <c r="T423" t="str">
        <v>x</v>
      </c>
      <c r="U423">
        <f>0.006165*F423^2</f>
        <v>1.041885</v>
      </c>
      <c r="X423" t="str">
        <v>x</v>
      </c>
      <c r="Y423">
        <f>D420</f>
        <v>1</v>
      </c>
      <c r="Z423" t="str">
        <v>=</v>
      </c>
      <c r="AA423">
        <f>IF(AA424=0,(D423*N423+P423*R423)*U423*Y423,0)</f>
        <v>0</v>
      </c>
    </row>
    <row r="424">
      <c r="A424" t="str">
        <f>A414</f>
        <v>Sloof</v>
      </c>
      <c r="B424">
        <f>B414</f>
        <v>14</v>
      </c>
      <c r="D424">
        <f>IF(AND(D421=D422,D422=D423,D421=D423),D421,0)</f>
        <v>3</v>
      </c>
      <c r="E424" t="str">
        <v>D</v>
      </c>
      <c r="F424">
        <f>IF(AND(F421=F422,F421=F423,F422=F423),F421,0)</f>
        <v>13</v>
      </c>
      <c r="L424" t="str">
        <v>Total panjang per balok</v>
      </c>
      <c r="M424" t="str">
        <v>=</v>
      </c>
      <c r="N424">
        <f>IF(AND(D421=D422,D421=D423,D422=D423,F421=F422,F421=F423,F422=F423),SUM(N421:N423),0)</f>
        <v>8.062000000000001</v>
      </c>
      <c r="O424" t="str">
        <v>+</v>
      </c>
      <c r="P424">
        <f>IF(N424&gt;12,ROUNDDOWN(N424/12,0),0)</f>
        <v>0</v>
      </c>
      <c r="Q424" t="str">
        <v>x</v>
      </c>
      <c r="R424">
        <f>IF(P424&gt;0,MAX(VLOOKUP(F424,$D$6:$G$15,3,FALSE),600),0)/1000</f>
        <v>0</v>
      </c>
      <c r="T424" t="str">
        <v>x</v>
      </c>
      <c r="U424">
        <f>U423</f>
        <v>1.041885</v>
      </c>
      <c r="V424" t="str">
        <v>x</v>
      </c>
      <c r="W424">
        <f>D424</f>
        <v>3</v>
      </c>
      <c r="X424" t="str">
        <v>x</v>
      </c>
      <c r="Y424">
        <f>Y423</f>
        <v>1</v>
      </c>
      <c r="Z424" t="str">
        <v>=</v>
      </c>
      <c r="AA424">
        <f>(N424+P424*R424/1000)*U424*W424*Y424</f>
        <v>25.19903061</v>
      </c>
    </row>
    <row r="426">
      <c r="A426" t="str">
        <f>A414</f>
        <v>Sloof</v>
      </c>
      <c r="B426">
        <f>B414</f>
        <v>14</v>
      </c>
      <c r="C426" t="str">
        <v>Tul Peminggang</v>
      </c>
      <c r="D426">
        <f>VLOOKUP(D414,'Detail Balok'!$C$10:$AU$110,13,FALSE)</f>
        <v>2</v>
      </c>
      <c r="E426" t="str">
        <v>D</v>
      </c>
      <c r="F426">
        <f>VLOOKUP(D414,'Detail Balok'!$C$10:$AU$110,15,FALSE)</f>
        <v>8</v>
      </c>
      <c r="J426">
        <f>+D416/1000</f>
        <v>7.75</v>
      </c>
      <c r="K426" t="str">
        <v>+</v>
      </c>
      <c r="L426">
        <f>2*$F$16*F426/1000</f>
        <v>0.192</v>
      </c>
      <c r="M426" t="str">
        <v>=</v>
      </c>
      <c r="N426">
        <f>J426+L426</f>
        <v>7.942</v>
      </c>
      <c r="O426" t="str">
        <v>+</v>
      </c>
      <c r="P426">
        <f>IF(N426&gt;12,ROUNDDOWN(N426/12,0),0)</f>
        <v>0</v>
      </c>
      <c r="Q426" t="str">
        <v>x</v>
      </c>
      <c r="R426">
        <f>IF(P426&gt;0,MAX(VLOOKUP(F426,$D$6:$G$15,3,FALSE),600),0)/1000</f>
        <v>0</v>
      </c>
      <c r="T426" t="str">
        <v>x</v>
      </c>
      <c r="U426">
        <f>0.006165*F426^2</f>
        <v>0.39456</v>
      </c>
      <c r="V426" t="str">
        <v>x</v>
      </c>
      <c r="W426">
        <f>+D426</f>
        <v>2</v>
      </c>
      <c r="X426" t="str">
        <v>x</v>
      </c>
      <c r="Y426">
        <f>D420</f>
        <v>1</v>
      </c>
      <c r="Z426" t="str">
        <v>=</v>
      </c>
      <c r="AA426">
        <f>(N426+P426*R426/1000)*U426*W426*Y426</f>
        <v>6.26719104</v>
      </c>
    </row>
    <row r="429">
      <c r="A429" t="str">
        <f>A414</f>
        <v>Sloof</v>
      </c>
      <c r="B429">
        <f>B414</f>
        <v>14</v>
      </c>
      <c r="C429" t="str">
        <v>Tul Bawah Tumpuan</v>
      </c>
      <c r="D429">
        <f>VLOOKUP(D414,'Detail Balok'!$C$10:$AU$110,22,FALSE)</f>
        <v>3</v>
      </c>
      <c r="E429" t="str">
        <v>D</v>
      </c>
      <c r="F429">
        <f>VLOOKUP(D414,'Detail Balok'!$C$10:$AU$110,24,FALSE)</f>
        <v>13</v>
      </c>
      <c r="I429" t="str">
        <v>(</v>
      </c>
      <c r="J429">
        <f>+J421</f>
        <v>1.9375</v>
      </c>
      <c r="K429" t="str">
        <v>+</v>
      </c>
      <c r="L429">
        <f>MAX(VLOOKUP(F429,N$6:P$15,3,FALSE)/1000,2/3*D419/1000)+F$16*F429/1000</f>
        <v>0.156</v>
      </c>
      <c r="M429" t="str">
        <v>=</v>
      </c>
      <c r="N429">
        <f>J429+L429</f>
        <v>2.0935</v>
      </c>
      <c r="O429" t="str">
        <v>+</v>
      </c>
      <c r="P429">
        <f>D429-D430</f>
        <v>0</v>
      </c>
      <c r="Q429" t="str">
        <v>x</v>
      </c>
      <c r="R429">
        <f>IF(P429&gt;0,$F$18*F429/1000,0)</f>
        <v>0</v>
      </c>
      <c r="S429" t="str">
        <v>)</v>
      </c>
      <c r="T429" t="str">
        <v>x</v>
      </c>
      <c r="U429">
        <f>0.006165*F429^2</f>
        <v>1.041885</v>
      </c>
      <c r="X429" t="str">
        <v>x</v>
      </c>
      <c r="Y429">
        <f>D420</f>
        <v>1</v>
      </c>
      <c r="Z429" t="str">
        <v>=</v>
      </c>
      <c r="AA429">
        <f>IF(AA432=0,(D429*N429+P429*R429)*U429*Y429,0)</f>
        <v>0</v>
      </c>
    </row>
    <row r="430">
      <c r="A430" t="str">
        <f>A414</f>
        <v>Sloof</v>
      </c>
      <c r="B430">
        <f>B414</f>
        <v>14</v>
      </c>
      <c r="C430" t="str">
        <v>Tul Bawah Lapangan</v>
      </c>
      <c r="D430">
        <f>VLOOKUP(D414,'Detail Balok'!$C$10:$AU$110,25,FALSE)</f>
        <v>3</v>
      </c>
      <c r="E430" t="str">
        <v>D</v>
      </c>
      <c r="F430">
        <f>VLOOKUP(D414,'Detail Balok'!$C$10:$AU$110,27,FALSE)</f>
        <v>13</v>
      </c>
      <c r="I430" t="str">
        <v>(</v>
      </c>
      <c r="J430">
        <f>+J422</f>
        <v>3.875</v>
      </c>
      <c r="K430" t="str">
        <v>+</v>
      </c>
      <c r="M430" t="str">
        <v>=</v>
      </c>
      <c r="N430">
        <f>J430+L430</f>
        <v>3.875</v>
      </c>
      <c r="O430" t="str">
        <v>+</v>
      </c>
      <c r="P430">
        <f>MAX(D430-D429,D430-D431)</f>
        <v>0</v>
      </c>
      <c r="Q430" t="str">
        <v>x</v>
      </c>
      <c r="R430">
        <f>IF(P430&gt;0,2*(1-2*$F$19-1/2)*D417/1000,0)</f>
        <v>0</v>
      </c>
      <c r="S430" t="str">
        <v>)</v>
      </c>
      <c r="T430" t="str">
        <v>x</v>
      </c>
      <c r="U430">
        <f>0.006165*F430^2</f>
        <v>1.041885</v>
      </c>
      <c r="X430" t="str">
        <v>x</v>
      </c>
      <c r="Y430">
        <f>D420</f>
        <v>1</v>
      </c>
      <c r="Z430" t="str">
        <v>=</v>
      </c>
      <c r="AA430">
        <f>IF(AA432=0,(D430*N430+P430*R430)*U430*Y430,0)</f>
        <v>0</v>
      </c>
    </row>
    <row r="431">
      <c r="A431" t="str">
        <f>A414</f>
        <v>Sloof</v>
      </c>
      <c r="B431">
        <f>B414</f>
        <v>14</v>
      </c>
      <c r="C431" t="str">
        <v>Tul Bawah Tumpuan</v>
      </c>
      <c r="D431">
        <f>VLOOKUP(D414,'Detail Balok'!$C$10:$AU$110,28,FALSE)</f>
        <v>3</v>
      </c>
      <c r="E431" t="str">
        <v>D</v>
      </c>
      <c r="F431">
        <f>VLOOKUP(D414,'Detail Balok'!$C$10:$AU$110,30,FALSE)</f>
        <v>13</v>
      </c>
      <c r="I431" t="str">
        <v>(</v>
      </c>
      <c r="J431">
        <f>+J423</f>
        <v>1.9375</v>
      </c>
      <c r="K431" t="str">
        <v>+</v>
      </c>
      <c r="L431">
        <f>MAX(VLOOKUP(F431,N$6:P$15,3,FALSE)/1000,2/3*D419/1000)+F$16*F431/1000</f>
        <v>0.156</v>
      </c>
      <c r="M431" t="str">
        <v>=</v>
      </c>
      <c r="N431">
        <f>J431+L431</f>
        <v>2.0935</v>
      </c>
      <c r="O431" t="str">
        <v>+</v>
      </c>
      <c r="P431">
        <f>D431-D430</f>
        <v>0</v>
      </c>
      <c r="Q431" t="str">
        <v>x</v>
      </c>
      <c r="R431">
        <f>IF(P431&gt;0,$F$18*F431/1000,0)</f>
        <v>0</v>
      </c>
      <c r="S431" t="str">
        <v>)</v>
      </c>
      <c r="T431" t="str">
        <v>x</v>
      </c>
      <c r="U431">
        <f>0.006165*F431^2</f>
        <v>1.041885</v>
      </c>
      <c r="X431" t="str">
        <v>x</v>
      </c>
      <c r="Y431">
        <f>D420</f>
        <v>1</v>
      </c>
      <c r="Z431" t="str">
        <v>=</v>
      </c>
      <c r="AA431">
        <f>IF(AA432=0,(D431*N431+P431*R431)*U431*Y431,0)</f>
        <v>0</v>
      </c>
    </row>
    <row r="432">
      <c r="A432" t="str">
        <f>A414</f>
        <v>Sloof</v>
      </c>
      <c r="B432">
        <f>B414</f>
        <v>14</v>
      </c>
      <c r="D432">
        <f>IF(AND(D429=D430,D430=D431,D429=D431),D429,0)</f>
        <v>3</v>
      </c>
      <c r="E432" t="str">
        <v>D</v>
      </c>
      <c r="F432">
        <f>IF(AND(F429=F430,F429=F431,F430=F431),F429,0)</f>
        <v>13</v>
      </c>
      <c r="L432" t="str">
        <v>Total panjang per balok</v>
      </c>
      <c r="M432" t="str">
        <v>=</v>
      </c>
      <c r="N432">
        <f>IF(AND(D429=D430,D429=D431,D430=D431,F429=F430,F429=F431,F430=F431),SUM(N429:N431),0)</f>
        <v>8.062000000000001</v>
      </c>
      <c r="O432" t="str">
        <v>+</v>
      </c>
      <c r="P432">
        <f>IF(N432&gt;12,ROUNDDOWN(N432/12,0),0)</f>
        <v>0</v>
      </c>
      <c r="Q432" t="str">
        <v>x</v>
      </c>
      <c r="R432">
        <f>IF(P432&gt;0,MAX(VLOOKUP(F432,$D$6:$G$15,3,FALSE),600),0)/1000</f>
        <v>0</v>
      </c>
      <c r="T432" t="str">
        <v>x</v>
      </c>
      <c r="U432">
        <f>U431</f>
        <v>1.041885</v>
      </c>
      <c r="V432" t="str">
        <v>x</v>
      </c>
      <c r="W432">
        <f>D432</f>
        <v>3</v>
      </c>
      <c r="X432" t="str">
        <v>x</v>
      </c>
      <c r="Y432">
        <f>Y431</f>
        <v>1</v>
      </c>
      <c r="Z432" t="str">
        <v>=</v>
      </c>
      <c r="AA432">
        <f>(N432+P432*R432/1000)*U432*W432*Y432</f>
        <v>25.19903061</v>
      </c>
    </row>
    <row r="434">
      <c r="A434" t="str">
        <f>A414</f>
        <v>Sloof</v>
      </c>
      <c r="B434">
        <f>B414</f>
        <v>14</v>
      </c>
      <c r="C434" t="str">
        <v>Sengkang Tumpuan</v>
      </c>
      <c r="D434">
        <f>VLOOKUP(D414,'Detail Balok'!$C$10:$AU$110,31,FALSE)</f>
        <v>0</v>
      </c>
      <c r="E434" t="str">
        <v>D</v>
      </c>
      <c r="F434">
        <f>VLOOKUP(D414,'Detail Balok'!$C$10:$AU$110,33,FALSE)</f>
        <v>8</v>
      </c>
      <c r="G434" t="str">
        <v>-</v>
      </c>
      <c r="H434">
        <f>VLOOKUP(D414,'Detail Balok'!$C$10:$AU$110,35,FALSE)</f>
        <v>200</v>
      </c>
      <c r="J434">
        <f>(IF(D434=0,(2*(D415+G415))-(F$5*8),IF(D434=3,(2*(D415+G415))-(F$5*8)+(G415-2*F$5),IF(D434=4,(2*(D415+G415))-(F$5*8)+2*(G415-2*F$5)))))/1000</f>
        <v>0.98</v>
      </c>
      <c r="K434" t="str">
        <v>+</v>
      </c>
      <c r="L434">
        <f>IF(D434=0,2*MAX(6*F434,75),(D434-1)*2*MAX(6*F434,75))/1000</f>
        <v>0.15</v>
      </c>
      <c r="M434" t="str">
        <v>=</v>
      </c>
      <c r="N434">
        <f>J434+L434</f>
        <v>1.13</v>
      </c>
      <c r="T434" t="str">
        <v>x</v>
      </c>
      <c r="U434">
        <f>0.006165*F434^2</f>
        <v>0.39456</v>
      </c>
      <c r="V434" t="str">
        <v>x</v>
      </c>
      <c r="W434">
        <f>IF(D417&gt;4*G415,ROUND(MAX(D417/4,2*G415)/H434,0)+1,ROUND(D417/H434,0)+1)</f>
        <v>11</v>
      </c>
      <c r="X434" t="str">
        <v>x</v>
      </c>
      <c r="Y434">
        <f>D420</f>
        <v>1</v>
      </c>
      <c r="Z434" t="str">
        <v>=</v>
      </c>
      <c r="AA434">
        <f>N434*U434*W434*Y434</f>
        <v>4.9043808</v>
      </c>
    </row>
    <row r="435">
      <c r="A435" t="str">
        <f>A414</f>
        <v>Sloof</v>
      </c>
      <c r="B435">
        <f>B414</f>
        <v>14</v>
      </c>
      <c r="C435" t="str">
        <v>Sengkang Lapangan</v>
      </c>
      <c r="D435">
        <f>VLOOKUP(D414,'Detail Balok'!$C$10:$AU$110,36,FALSE)</f>
        <v>0</v>
      </c>
      <c r="E435" t="str">
        <v>D</v>
      </c>
      <c r="F435">
        <f>VLOOKUP(D414,'Detail Balok'!$C$10:$AU$110,38,FALSE)</f>
        <v>8</v>
      </c>
      <c r="G435" t="str">
        <v>-</v>
      </c>
      <c r="H435">
        <f>VLOOKUP(D414,'Detail Balok'!$C$10:$AU$110,40,FALSE)</f>
        <v>200</v>
      </c>
      <c r="J435">
        <f>(IF(D435=0,(2*(D415+G415))-(F$5*8),IF(D435=3,(2*(D415+G415))-(F$5*8)+(G415-2*F$5),IF(D435=4,(2*(D415+G415))-(F$5*8)+2*(G415-2*F$5)))))/1000</f>
        <v>0.98</v>
      </c>
      <c r="K435" t="str">
        <v>+</v>
      </c>
      <c r="L435">
        <f>IF(D435=0,2*MAX(6*F435,75),(D435-1)*2*MAX(6*F435,75))/1000</f>
        <v>0.15</v>
      </c>
      <c r="M435" t="str">
        <v>=</v>
      </c>
      <c r="N435">
        <f>J435+L435</f>
        <v>1.13</v>
      </c>
      <c r="T435" t="str">
        <v>x</v>
      </c>
      <c r="U435">
        <f>0.006165*F435^2</f>
        <v>0.39456</v>
      </c>
      <c r="V435" t="str">
        <v>x</v>
      </c>
      <c r="W435">
        <f>IF(D417-MAX(D417/4,2*G415)*2&gt;0,ROUND((D417-MAX(D417/4,2*G415)*2)/H435,0),0)</f>
        <v>19</v>
      </c>
      <c r="X435" t="str">
        <v>x</v>
      </c>
      <c r="Y435">
        <f>D420</f>
        <v>1</v>
      </c>
      <c r="Z435" t="str">
        <v>=</v>
      </c>
      <c r="AA435">
        <f>N435*U435*W435*Y435</f>
        <v>8.4712032</v>
      </c>
    </row>
    <row r="436">
      <c r="A436" t="str">
        <f>A414</f>
        <v>Sloof</v>
      </c>
      <c r="B436">
        <f>B414</f>
        <v>14</v>
      </c>
      <c r="C436" t="str">
        <v>Sengkang Tumpuan</v>
      </c>
      <c r="D436">
        <f>VLOOKUP(D414,'Detail Balok'!$C$10:$AU$110,41,FALSE)</f>
        <v>0</v>
      </c>
      <c r="E436" t="str">
        <v>D</v>
      </c>
      <c r="F436">
        <f>VLOOKUP(D414,'Detail Balok'!$C$10:$AU$110,43,FALSE)</f>
        <v>8</v>
      </c>
      <c r="G436" t="str">
        <v>-</v>
      </c>
      <c r="H436">
        <f>VLOOKUP(D414,'Detail Balok'!$C$10:$AU$110,45,FALSE)</f>
        <v>200</v>
      </c>
      <c r="J436">
        <f>(IF(D436=0,(2*(D415+G415))-(F$5*8),IF(D436=3,(2*(D415+G415))-(F$5*8)+(G415-2*F$5),IF(D436=4,(2*(D415+G415))-(F$5*8)+2*(G415-2*F$5)))))/1000</f>
        <v>0.98</v>
      </c>
      <c r="K436" t="str">
        <v>+</v>
      </c>
      <c r="L436">
        <f>IF(D436=0,2*MAX(6*F436,75),(D436-1)*2*MAX(6*F436,75))/1000</f>
        <v>0.15</v>
      </c>
      <c r="M436" t="str">
        <v>=</v>
      </c>
      <c r="N436">
        <f>J436+L436</f>
        <v>1.13</v>
      </c>
      <c r="T436" t="str">
        <v>x</v>
      </c>
      <c r="U436">
        <f>0.006165*F436^2</f>
        <v>0.39456</v>
      </c>
      <c r="V436" t="str">
        <v>x</v>
      </c>
      <c r="W436">
        <f>IF(D417&gt;4*G415,ROUND(MAX(D417/4,2*G415)/H436,0)+1,0)</f>
        <v>11</v>
      </c>
      <c r="X436" t="str">
        <v>x</v>
      </c>
      <c r="Y436">
        <f>D420</f>
        <v>1</v>
      </c>
      <c r="Z436" t="str">
        <v>=</v>
      </c>
      <c r="AA436">
        <f>N436*U436*W436*Y436</f>
        <v>4.9043808</v>
      </c>
    </row>
    <row r="438">
      <c r="A438" t="str">
        <f>A414</f>
        <v>Sloof</v>
      </c>
      <c r="B438">
        <f>B414</f>
        <v>14</v>
      </c>
      <c r="C438" t="str">
        <v>Kait Horizontal Tump.</v>
      </c>
      <c r="D438">
        <f>VLOOKUP(D414,'Detail Balok'!$C$10:$BJ$110,46,FALSE)</f>
        <v>0</v>
      </c>
      <c r="E438" t="str">
        <v>D</v>
      </c>
      <c r="F438">
        <f>VLOOKUP(D414,'Detail Balok'!$C$10:$BJ$110,48,FALSE)</f>
        <v>0</v>
      </c>
      <c r="G438" t="str">
        <v>-</v>
      </c>
      <c r="H438">
        <f>VLOOKUP(D414,'Detail Balok'!$C$10:$BJ$110,50,FALSE)</f>
        <v>100</v>
      </c>
      <c r="J438">
        <f>(D415-2*F$5)/1000</f>
        <v>0.12</v>
      </c>
      <c r="K438" t="str">
        <v>+</v>
      </c>
      <c r="L438">
        <f>IF(D438=0,2*MAX(6*F438,75),(D438-1)*2*MAX(6*F438,75))/1000</f>
        <v>0.15</v>
      </c>
      <c r="M438" t="str">
        <v>=</v>
      </c>
      <c r="N438">
        <f>J438+L438</f>
        <v>0.27</v>
      </c>
      <c r="T438" t="str">
        <v>x</v>
      </c>
      <c r="U438">
        <f>0.006165*F438^2</f>
        <v>0</v>
      </c>
      <c r="V438" t="str">
        <v>x</v>
      </c>
      <c r="W438">
        <f>W434</f>
        <v>11</v>
      </c>
      <c r="X438" t="str">
        <v>x</v>
      </c>
      <c r="Y438">
        <f>D424</f>
        <v>3</v>
      </c>
      <c r="Z438" t="str">
        <v>=</v>
      </c>
      <c r="AA438">
        <f>N438*U438*W438*Y438</f>
        <v>0</v>
      </c>
    </row>
    <row r="439">
      <c r="A439" t="str">
        <f>A414</f>
        <v>Sloof</v>
      </c>
      <c r="B439">
        <f>B414</f>
        <v>14</v>
      </c>
      <c r="C439" t="str">
        <v>Kait Horizontal Lap.</v>
      </c>
      <c r="D439">
        <f>VLOOKUP(D414,'Detail Balok'!$C$10:$BJ$110,51,FALSE)</f>
        <v>0</v>
      </c>
      <c r="E439" t="str">
        <v>D</v>
      </c>
      <c r="F439">
        <f>VLOOKUP(D414,'Detail Balok'!$C$10:$BJ$110,53,FALSE)</f>
        <v>0</v>
      </c>
      <c r="G439" t="str">
        <v>-</v>
      </c>
      <c r="H439">
        <f>VLOOKUP(D414,'Detail Balok'!$C$10:$BJ$110,55,FALSE)</f>
        <v>100</v>
      </c>
      <c r="J439">
        <f>(D415-2*F$5)/1000</f>
        <v>0.12</v>
      </c>
      <c r="K439" t="str">
        <v>+</v>
      </c>
      <c r="L439">
        <f>IF(D439=0,2*MAX(6*F439,75),(D439-1)*2*MAX(6*F439,75))/1000</f>
        <v>0.15</v>
      </c>
      <c r="M439" t="str">
        <v>=</v>
      </c>
      <c r="N439">
        <f>J439+L439</f>
        <v>0.27</v>
      </c>
      <c r="T439" t="str">
        <v>x</v>
      </c>
      <c r="U439">
        <f>0.006165*F439^2</f>
        <v>0</v>
      </c>
      <c r="V439" t="str">
        <v>x</v>
      </c>
      <c r="W439">
        <f>W435</f>
        <v>19</v>
      </c>
      <c r="X439" t="str">
        <v>x</v>
      </c>
      <c r="Y439">
        <f>D424</f>
        <v>3</v>
      </c>
      <c r="Z439" t="str">
        <v>=</v>
      </c>
      <c r="AA439">
        <f>N439*U439*W439*Y439</f>
        <v>0</v>
      </c>
    </row>
    <row r="440">
      <c r="A440" t="str">
        <f>A414</f>
        <v>Sloof</v>
      </c>
      <c r="B440">
        <f>B414</f>
        <v>14</v>
      </c>
      <c r="C440" t="str">
        <v>Kait Horizontal Tump.</v>
      </c>
      <c r="D440">
        <f>VLOOKUP(D414,'Detail Balok'!$C$10:$BJ$110,56,FALSE)</f>
        <v>0</v>
      </c>
      <c r="E440" t="str">
        <v>D</v>
      </c>
      <c r="F440">
        <f>VLOOKUP(D414,'Detail Balok'!$C$10:$BJ$110,58,FALSE)</f>
        <v>0</v>
      </c>
      <c r="G440" t="str">
        <v>-</v>
      </c>
      <c r="H440">
        <f>VLOOKUP(D414,'Detail Balok'!$C$10:$BJ$110,60,FALSE)</f>
        <v>100</v>
      </c>
      <c r="J440">
        <f>(D415-2*F$5)/1000</f>
        <v>0.12</v>
      </c>
      <c r="K440" t="str">
        <v>+</v>
      </c>
      <c r="L440">
        <f>IF(D440=0,2*MAX(6*F440,75),(D440-1)*2*MAX(6*F440,75))/1000</f>
        <v>0.15</v>
      </c>
      <c r="M440" t="str">
        <v>=</v>
      </c>
      <c r="N440">
        <f>J440+L440</f>
        <v>0.27</v>
      </c>
      <c r="T440" t="str">
        <v>x</v>
      </c>
      <c r="U440">
        <f>0.006165*F440^2</f>
        <v>0</v>
      </c>
      <c r="V440" t="str">
        <v>x</v>
      </c>
      <c r="W440">
        <f>W436</f>
        <v>11</v>
      </c>
      <c r="X440" t="str">
        <v>x</v>
      </c>
      <c r="Y440">
        <f>D424</f>
        <v>3</v>
      </c>
      <c r="Z440" t="str">
        <v>=</v>
      </c>
      <c r="AA440">
        <f>N440*U440*W440*Y440</f>
        <v>0</v>
      </c>
    </row>
    <row r="444">
      <c r="A444" t="str">
        <f>A414</f>
        <v>Sloof</v>
      </c>
      <c r="B444">
        <f>B414+1</f>
        <v>15</v>
      </c>
      <c r="C444" t="str">
        <f>CONCATENATE(A444," no. ",B444)</f>
        <v>Sloof no. 15</v>
      </c>
      <c r="D444" t="str">
        <f>VLOOKUP(C444,'Data Panjang Balok'!$C$9:$N$424,2,FALSE)</f>
        <v>TB24-1</v>
      </c>
    </row>
    <row r="445">
      <c r="C445" t="str">
        <v>Dimensi</v>
      </c>
      <c r="D445">
        <f>VLOOKUP(D444,'Detail Balok'!$C$10:$AU$110,2,FALSE)</f>
        <v>200</v>
      </c>
      <c r="F445" t="str">
        <v>x</v>
      </c>
      <c r="G445">
        <f>VLOOKUP(D444,'Detail Balok'!$C$10:$AU$110,3,FALSE)</f>
        <v>400</v>
      </c>
    </row>
    <row r="446">
      <c r="C446" t="str">
        <v>Panjang as ke as</v>
      </c>
      <c r="D446">
        <f>VLOOKUP(C444,'Data Panjang Balok'!$C$9:$N$424,4,FALSE)</f>
        <v>2000</v>
      </c>
    </row>
    <row r="447">
      <c r="C447" t="str">
        <v>Panjang netto</v>
      </c>
      <c r="D447">
        <f>VLOOKUP(C444,'Data Panjang Balok'!$C$9:$N$424,7,FALSE)</f>
        <v>2000</v>
      </c>
    </row>
    <row r="448">
      <c r="C448" t="str">
        <v>Kolom / balok kiri</v>
      </c>
      <c r="D448">
        <f>VLOOKUP(C444,'Data Panjang Balok'!$C$9:$N$424,9,FALSE)</f>
        <v>0</v>
      </c>
    </row>
    <row r="449">
      <c r="C449" t="str">
        <v>Kolom / balok kanan</v>
      </c>
      <c r="D449">
        <f>VLOOKUP(C444,'Data Panjang Balok'!$C$9:$N$424,10,FALSE)</f>
        <v>0</v>
      </c>
    </row>
    <row r="450">
      <c r="C450" t="str">
        <v>Jumlah</v>
      </c>
      <c r="D450">
        <f>VLOOKUP(C444,'Data Panjang Balok'!$C$9:$N$424,3,FALSE)</f>
        <v>1</v>
      </c>
    </row>
    <row r="451">
      <c r="A451" t="str">
        <f>A444</f>
        <v>Sloof</v>
      </c>
      <c r="B451">
        <f>B444</f>
        <v>15</v>
      </c>
      <c r="C451" t="str">
        <v>Tul Atas Tumpuan</v>
      </c>
      <c r="D451">
        <f>VLOOKUP(D444,'Detail Balok'!$C$10:$AU$110,4,FALSE)</f>
        <v>2</v>
      </c>
      <c r="E451" t="str">
        <v>D</v>
      </c>
      <c r="F451">
        <f>VLOOKUP(D444,'Detail Balok'!$C$10:$AU$110,6,FALSE)</f>
        <v>13</v>
      </c>
      <c r="I451" t="str">
        <v>(</v>
      </c>
      <c r="J451">
        <f>+D446/4/1000</f>
        <v>0.5</v>
      </c>
      <c r="K451" t="str">
        <v>+</v>
      </c>
      <c r="L451">
        <f>MAX(VLOOKUP(F451,N$6:P$15,3,FALSE)/1000,2/3*D448/1000)+F$16*F451/1000</f>
        <v>0.156</v>
      </c>
      <c r="M451" t="str">
        <v>=</v>
      </c>
      <c r="N451">
        <f>J451+L451</f>
        <v>0.656</v>
      </c>
      <c r="O451" t="str">
        <v>+</v>
      </c>
      <c r="P451">
        <f>D451-D452</f>
        <v>0</v>
      </c>
      <c r="Q451" t="str">
        <v>x</v>
      </c>
      <c r="R451">
        <f>IF(P451&gt;0,$F$18*F451/1000,0)</f>
        <v>0</v>
      </c>
      <c r="S451" t="str">
        <v>)</v>
      </c>
      <c r="T451" t="str">
        <v>x</v>
      </c>
      <c r="U451">
        <f>0.006165*F451^2</f>
        <v>1.041885</v>
      </c>
      <c r="X451" t="str">
        <v>x</v>
      </c>
      <c r="Y451">
        <f>D450</f>
        <v>1</v>
      </c>
      <c r="Z451" t="str">
        <v>=</v>
      </c>
      <c r="AA451">
        <f>IF(AA454=0,(D451*N451+P451*R451)*U451*Y451,0)</f>
        <v>0</v>
      </c>
    </row>
    <row r="452">
      <c r="A452" t="str">
        <f>A444</f>
        <v>Sloof</v>
      </c>
      <c r="B452">
        <f>B444</f>
        <v>15</v>
      </c>
      <c r="C452" t="str">
        <v>Tul Atas Lapangan</v>
      </c>
      <c r="D452">
        <f>VLOOKUP(D444,'Detail Balok'!$C$10:$AU$110,7,FALSE)</f>
        <v>2</v>
      </c>
      <c r="E452" t="str">
        <v>D</v>
      </c>
      <c r="F452">
        <f>VLOOKUP(D444,'Detail Balok'!$C$10:$AU$110,9,FALSE)</f>
        <v>13</v>
      </c>
      <c r="I452" t="str">
        <v>(</v>
      </c>
      <c r="J452">
        <f>+D446/2/1000</f>
        <v>1</v>
      </c>
      <c r="K452" t="str">
        <v>+</v>
      </c>
      <c r="M452" t="str">
        <v>=</v>
      </c>
      <c r="N452">
        <f>J452+L452</f>
        <v>1</v>
      </c>
      <c r="O452" t="str">
        <v>+</v>
      </c>
      <c r="P452">
        <f>MAX(D452-D451,D452-D453)</f>
        <v>0</v>
      </c>
      <c r="Q452" t="str">
        <v>x</v>
      </c>
      <c r="R452">
        <f>IF(P452&gt;0,2*(1-2*$F$19-1/2)*D447/1000,0)</f>
        <v>0</v>
      </c>
      <c r="S452" t="str">
        <v>)</v>
      </c>
      <c r="T452" t="str">
        <v>x</v>
      </c>
      <c r="U452">
        <f>0.006165*F452^2</f>
        <v>1.041885</v>
      </c>
      <c r="X452" t="str">
        <v>x</v>
      </c>
      <c r="Y452">
        <f>D450</f>
        <v>1</v>
      </c>
      <c r="Z452" t="str">
        <v>=</v>
      </c>
      <c r="AA452">
        <f>IF(AA454=0,(D452*N452+P452*R452)*U452*Y452,0)</f>
        <v>0</v>
      </c>
    </row>
    <row r="453">
      <c r="A453" t="str">
        <f>A444</f>
        <v>Sloof</v>
      </c>
      <c r="B453">
        <f>B444</f>
        <v>15</v>
      </c>
      <c r="C453" t="str">
        <v>Tul Atas Tumpuan</v>
      </c>
      <c r="D453">
        <f>VLOOKUP(D444,'Detail Balok'!$C$10:$AU$110,10,FALSE)</f>
        <v>2</v>
      </c>
      <c r="E453" t="str">
        <v>D</v>
      </c>
      <c r="F453">
        <f>VLOOKUP(D444,'Detail Balok'!$C$10:$AU$110,12,FALSE)</f>
        <v>13</v>
      </c>
      <c r="I453" t="str">
        <v>(</v>
      </c>
      <c r="J453">
        <f>+D446/4/1000</f>
        <v>0.5</v>
      </c>
      <c r="K453" t="str">
        <v>+</v>
      </c>
      <c r="L453">
        <f>MAX(VLOOKUP(F453,N$6:P$15,3,FALSE)/1000,2/3*D448/1000)+F$16*F453/1000</f>
        <v>0.156</v>
      </c>
      <c r="M453" t="str">
        <v>=</v>
      </c>
      <c r="N453">
        <f>J453+L453</f>
        <v>0.656</v>
      </c>
      <c r="O453" t="str">
        <v>+</v>
      </c>
      <c r="P453">
        <f>D453-D452</f>
        <v>0</v>
      </c>
      <c r="Q453" t="str">
        <v>x</v>
      </c>
      <c r="R453">
        <f>IF(P453&gt;0,$F$18*F453/1000,0)</f>
        <v>0</v>
      </c>
      <c r="S453" t="str">
        <v>)</v>
      </c>
      <c r="T453" t="str">
        <v>x</v>
      </c>
      <c r="U453">
        <f>0.006165*F453^2</f>
        <v>1.041885</v>
      </c>
      <c r="X453" t="str">
        <v>x</v>
      </c>
      <c r="Y453">
        <f>D450</f>
        <v>1</v>
      </c>
      <c r="Z453" t="str">
        <v>=</v>
      </c>
      <c r="AA453">
        <f>IF(AA454=0,(D453*N453+P453*R453)*U453*Y453,0)</f>
        <v>0</v>
      </c>
    </row>
    <row r="454">
      <c r="A454" t="str">
        <f>A444</f>
        <v>Sloof</v>
      </c>
      <c r="B454">
        <f>B444</f>
        <v>15</v>
      </c>
      <c r="D454">
        <f>IF(AND(D451=D452,D452=D453,D451=D453),D451,0)</f>
        <v>2</v>
      </c>
      <c r="E454" t="str">
        <v>D</v>
      </c>
      <c r="F454">
        <f>IF(AND(F451=F452,F451=F453,F452=F453),F451,0)</f>
        <v>13</v>
      </c>
      <c r="L454" t="str">
        <v>Total panjang per balok</v>
      </c>
      <c r="M454" t="str">
        <v>=</v>
      </c>
      <c r="N454">
        <f>IF(AND(D451=D452,D451=D453,D452=D453,F451=F452,F451=F453,F452=F453),SUM(N451:N453),0)</f>
        <v>2.3120000000000003</v>
      </c>
      <c r="O454" t="str">
        <v>+</v>
      </c>
      <c r="P454">
        <f>IF(N454&gt;12,ROUNDDOWN(N454/12,0),0)</f>
        <v>0</v>
      </c>
      <c r="Q454" t="str">
        <v>x</v>
      </c>
      <c r="R454">
        <f>IF(P454&gt;0,MAX(VLOOKUP(F454,$D$6:$G$15,3,FALSE),600),0)/1000</f>
        <v>0</v>
      </c>
      <c r="T454" t="str">
        <v>x</v>
      </c>
      <c r="U454">
        <f>U453</f>
        <v>1.041885</v>
      </c>
      <c r="V454" t="str">
        <v>x</v>
      </c>
      <c r="W454">
        <f>D454</f>
        <v>2</v>
      </c>
      <c r="X454" t="str">
        <v>x</v>
      </c>
      <c r="Y454">
        <f>Y453</f>
        <v>1</v>
      </c>
      <c r="Z454" t="str">
        <v>=</v>
      </c>
      <c r="AA454">
        <f>(N454+P454*R454/1000)*U454*W454*Y454</f>
        <v>4.81767624</v>
      </c>
    </row>
    <row r="456">
      <c r="A456" t="str">
        <f>A444</f>
        <v>Sloof</v>
      </c>
      <c r="B456">
        <f>B444</f>
        <v>15</v>
      </c>
      <c r="C456" t="str">
        <v>Tul Peminggang</v>
      </c>
      <c r="D456">
        <f>VLOOKUP(D444,'Detail Balok'!$C$10:$AU$110,13,FALSE)</f>
        <v>0</v>
      </c>
      <c r="E456" t="str">
        <v>D</v>
      </c>
      <c r="F456">
        <f>VLOOKUP(D444,'Detail Balok'!$C$10:$AU$110,15,FALSE)</f>
        <v>6</v>
      </c>
      <c r="J456">
        <f>+D446/1000</f>
        <v>2</v>
      </c>
      <c r="K456" t="str">
        <v>+</v>
      </c>
      <c r="L456">
        <f>2*$F$16*F456/1000</f>
        <v>0.144</v>
      </c>
      <c r="M456" t="str">
        <v>=</v>
      </c>
      <c r="N456">
        <f>J456+L456</f>
        <v>2.144</v>
      </c>
      <c r="O456" t="str">
        <v>+</v>
      </c>
      <c r="P456">
        <f>IF(N456&gt;12,ROUNDDOWN(N456/12,0),0)</f>
        <v>0</v>
      </c>
      <c r="Q456" t="str">
        <v>x</v>
      </c>
      <c r="R456">
        <f>IF(P456&gt;0,MAX(VLOOKUP(F456,$D$6:$G$15,3,FALSE),600),0)/1000</f>
        <v>0</v>
      </c>
      <c r="T456" t="str">
        <v>x</v>
      </c>
      <c r="U456">
        <f>0.006165*F456^2</f>
        <v>0.22194000000000003</v>
      </c>
      <c r="V456" t="str">
        <v>x</v>
      </c>
      <c r="W456">
        <f>+D456</f>
        <v>0</v>
      </c>
      <c r="X456" t="str">
        <v>x</v>
      </c>
      <c r="Y456">
        <f>D450</f>
        <v>1</v>
      </c>
      <c r="Z456" t="str">
        <v>=</v>
      </c>
      <c r="AA456">
        <f>(N456+P456*R456/1000)*U456*W456*Y456</f>
        <v>0</v>
      </c>
    </row>
    <row r="459">
      <c r="A459" t="str">
        <f>A444</f>
        <v>Sloof</v>
      </c>
      <c r="B459">
        <f>B444</f>
        <v>15</v>
      </c>
      <c r="C459" t="str">
        <v>Tul Bawah Tumpuan</v>
      </c>
      <c r="D459">
        <f>VLOOKUP(D444,'Detail Balok'!$C$10:$AU$110,22,FALSE)</f>
        <v>2</v>
      </c>
      <c r="E459" t="str">
        <v>D</v>
      </c>
      <c r="F459">
        <f>VLOOKUP(D444,'Detail Balok'!$C$10:$AU$110,24,FALSE)</f>
        <v>13</v>
      </c>
      <c r="I459" t="str">
        <v>(</v>
      </c>
      <c r="J459">
        <f>+J451</f>
        <v>0.5</v>
      </c>
      <c r="K459" t="str">
        <v>+</v>
      </c>
      <c r="L459">
        <f>MAX(VLOOKUP(F459,N$6:P$15,3,FALSE)/1000,2/3*D449/1000)+F$16*F459/1000</f>
        <v>0.156</v>
      </c>
      <c r="M459" t="str">
        <v>=</v>
      </c>
      <c r="N459">
        <f>J459+L459</f>
        <v>0.656</v>
      </c>
      <c r="O459" t="str">
        <v>+</v>
      </c>
      <c r="P459">
        <f>D459-D460</f>
        <v>0</v>
      </c>
      <c r="Q459" t="str">
        <v>x</v>
      </c>
      <c r="R459">
        <f>IF(P459&gt;0,$F$18*F459/1000,0)</f>
        <v>0</v>
      </c>
      <c r="S459" t="str">
        <v>)</v>
      </c>
      <c r="T459" t="str">
        <v>x</v>
      </c>
      <c r="U459">
        <f>0.006165*F459^2</f>
        <v>1.041885</v>
      </c>
      <c r="X459" t="str">
        <v>x</v>
      </c>
      <c r="Y459">
        <f>D450</f>
        <v>1</v>
      </c>
      <c r="Z459" t="str">
        <v>=</v>
      </c>
      <c r="AA459">
        <f>IF(AA462=0,(D459*N459+P459*R459)*U459*Y459,0)</f>
        <v>0</v>
      </c>
    </row>
    <row r="460">
      <c r="A460" t="str">
        <f>A444</f>
        <v>Sloof</v>
      </c>
      <c r="B460">
        <f>B444</f>
        <v>15</v>
      </c>
      <c r="C460" t="str">
        <v>Tul Bawah Lapangan</v>
      </c>
      <c r="D460">
        <f>VLOOKUP(D444,'Detail Balok'!$C$10:$AU$110,25,FALSE)</f>
        <v>2</v>
      </c>
      <c r="E460" t="str">
        <v>D</v>
      </c>
      <c r="F460">
        <f>VLOOKUP(D444,'Detail Balok'!$C$10:$AU$110,27,FALSE)</f>
        <v>13</v>
      </c>
      <c r="I460" t="str">
        <v>(</v>
      </c>
      <c r="J460">
        <f>+J452</f>
        <v>1</v>
      </c>
      <c r="K460" t="str">
        <v>+</v>
      </c>
      <c r="M460" t="str">
        <v>=</v>
      </c>
      <c r="N460">
        <f>J460+L460</f>
        <v>1</v>
      </c>
      <c r="O460" t="str">
        <v>+</v>
      </c>
      <c r="P460">
        <f>MAX(D460-D459,D460-D461)</f>
        <v>0</v>
      </c>
      <c r="Q460" t="str">
        <v>x</v>
      </c>
      <c r="R460">
        <f>IF(P460&gt;0,2*(1-2*$F$19-1/2)*D447/1000,0)</f>
        <v>0</v>
      </c>
      <c r="S460" t="str">
        <v>)</v>
      </c>
      <c r="T460" t="str">
        <v>x</v>
      </c>
      <c r="U460">
        <f>0.006165*F460^2</f>
        <v>1.041885</v>
      </c>
      <c r="X460" t="str">
        <v>x</v>
      </c>
      <c r="Y460">
        <f>D450</f>
        <v>1</v>
      </c>
      <c r="Z460" t="str">
        <v>=</v>
      </c>
      <c r="AA460">
        <f>IF(AA462=0,(D460*N460+P460*R460)*U460*Y460,0)</f>
        <v>0</v>
      </c>
    </row>
    <row r="461">
      <c r="A461" t="str">
        <f>A444</f>
        <v>Sloof</v>
      </c>
      <c r="B461">
        <f>B444</f>
        <v>15</v>
      </c>
      <c r="C461" t="str">
        <v>Tul Bawah Tumpuan</v>
      </c>
      <c r="D461">
        <f>VLOOKUP(D444,'Detail Balok'!$C$10:$AU$110,28,FALSE)</f>
        <v>2</v>
      </c>
      <c r="E461" t="str">
        <v>D</v>
      </c>
      <c r="F461">
        <f>VLOOKUP(D444,'Detail Balok'!$C$10:$AU$110,30,FALSE)</f>
        <v>13</v>
      </c>
      <c r="I461" t="str">
        <v>(</v>
      </c>
      <c r="J461">
        <f>+J453</f>
        <v>0.5</v>
      </c>
      <c r="K461" t="str">
        <v>+</v>
      </c>
      <c r="L461">
        <f>MAX(VLOOKUP(F461,N$6:P$15,3,FALSE)/1000,2/3*D449/1000)+F$16*F461/1000</f>
        <v>0.156</v>
      </c>
      <c r="M461" t="str">
        <v>=</v>
      </c>
      <c r="N461">
        <f>J461+L461</f>
        <v>0.656</v>
      </c>
      <c r="O461" t="str">
        <v>+</v>
      </c>
      <c r="P461">
        <f>D461-D460</f>
        <v>0</v>
      </c>
      <c r="Q461" t="str">
        <v>x</v>
      </c>
      <c r="R461">
        <f>IF(P461&gt;0,$F$18*F461/1000,0)</f>
        <v>0</v>
      </c>
      <c r="S461" t="str">
        <v>)</v>
      </c>
      <c r="T461" t="str">
        <v>x</v>
      </c>
      <c r="U461">
        <f>0.006165*F461^2</f>
        <v>1.041885</v>
      </c>
      <c r="X461" t="str">
        <v>x</v>
      </c>
      <c r="Y461">
        <f>D450</f>
        <v>1</v>
      </c>
      <c r="Z461" t="str">
        <v>=</v>
      </c>
      <c r="AA461">
        <f>IF(AA462=0,(D461*N461+P461*R461)*U461*Y461,0)</f>
        <v>0</v>
      </c>
    </row>
    <row r="462">
      <c r="A462" t="str">
        <f>A444</f>
        <v>Sloof</v>
      </c>
      <c r="B462">
        <f>B444</f>
        <v>15</v>
      </c>
      <c r="D462">
        <f>IF(AND(D459=D460,D460=D461,D459=D461),D459,0)</f>
        <v>2</v>
      </c>
      <c r="E462" t="str">
        <v>D</v>
      </c>
      <c r="F462">
        <f>IF(AND(F459=F460,F459=F461,F460=F461),F459,0)</f>
        <v>13</v>
      </c>
      <c r="L462" t="str">
        <v>Total panjang per balok</v>
      </c>
      <c r="M462" t="str">
        <v>=</v>
      </c>
      <c r="N462">
        <f>IF(AND(D459=D460,D459=D461,D460=D461,F459=F460,F459=F461,F460=F461),SUM(N459:N461),0)</f>
        <v>2.3120000000000003</v>
      </c>
      <c r="O462" t="str">
        <v>+</v>
      </c>
      <c r="P462">
        <f>IF(N462&gt;12,ROUNDDOWN(N462/12,0),0)</f>
        <v>0</v>
      </c>
      <c r="Q462" t="str">
        <v>x</v>
      </c>
      <c r="R462">
        <f>IF(P462&gt;0,MAX(VLOOKUP(F462,$D$6:$G$15,3,FALSE),600),0)/1000</f>
        <v>0</v>
      </c>
      <c r="T462" t="str">
        <v>x</v>
      </c>
      <c r="U462">
        <f>U461</f>
        <v>1.041885</v>
      </c>
      <c r="V462" t="str">
        <v>x</v>
      </c>
      <c r="W462">
        <f>D462</f>
        <v>2</v>
      </c>
      <c r="X462" t="str">
        <v>x</v>
      </c>
      <c r="Y462">
        <f>Y461</f>
        <v>1</v>
      </c>
      <c r="Z462" t="str">
        <v>=</v>
      </c>
      <c r="AA462">
        <f>(N462+P462*R462/1000)*U462*W462*Y462</f>
        <v>4.81767624</v>
      </c>
    </row>
    <row r="464">
      <c r="A464" t="str">
        <f>A444</f>
        <v>Sloof</v>
      </c>
      <c r="B464">
        <f>B444</f>
        <v>15</v>
      </c>
      <c r="C464" t="str">
        <v>Sengkang Tumpuan</v>
      </c>
      <c r="D464">
        <f>VLOOKUP(D444,'Detail Balok'!$C$10:$AU$110,31,FALSE)</f>
        <v>0</v>
      </c>
      <c r="E464" t="str">
        <v>D</v>
      </c>
      <c r="F464">
        <f>VLOOKUP(D444,'Detail Balok'!$C$10:$AU$110,33,FALSE)</f>
        <v>8</v>
      </c>
      <c r="G464" t="str">
        <v>-</v>
      </c>
      <c r="H464">
        <f>VLOOKUP(D444,'Detail Balok'!$C$10:$AU$110,35,FALSE)</f>
        <v>200</v>
      </c>
      <c r="J464">
        <f>(IF(D464=0,(2*(D445+G445))-(F$5*8),IF(D464=3,(2*(D445+G445))-(F$5*8)+(G445-2*F$5),IF(D464=4,(2*(D445+G445))-(F$5*8)+2*(G445-2*F$5)))))/1000</f>
        <v>0.88</v>
      </c>
      <c r="K464" t="str">
        <v>+</v>
      </c>
      <c r="L464">
        <f>IF(D464=0,2*MAX(6*F464,75),(D464-1)*2*MAX(6*F464,75))/1000</f>
        <v>0.15</v>
      </c>
      <c r="M464" t="str">
        <v>=</v>
      </c>
      <c r="N464">
        <f>J464+L464</f>
        <v>1.03</v>
      </c>
      <c r="T464" t="str">
        <v>x</v>
      </c>
      <c r="U464">
        <f>0.006165*F464^2</f>
        <v>0.39456</v>
      </c>
      <c r="V464" t="str">
        <v>x</v>
      </c>
      <c r="W464">
        <f>IF(D447&gt;4*G445,ROUND(MAX(D447/4,2*G445)/H464,0)+1,ROUND(D447/H464,0)+1)</f>
        <v>5</v>
      </c>
      <c r="X464" t="str">
        <v>x</v>
      </c>
      <c r="Y464">
        <f>D450</f>
        <v>1</v>
      </c>
      <c r="Z464" t="str">
        <v>=</v>
      </c>
      <c r="AA464">
        <f>N464*U464*W464*Y464</f>
        <v>2.0319840000000005</v>
      </c>
    </row>
    <row r="465">
      <c r="A465" t="str">
        <f>A444</f>
        <v>Sloof</v>
      </c>
      <c r="B465">
        <f>B444</f>
        <v>15</v>
      </c>
      <c r="C465" t="str">
        <v>Sengkang Lapangan</v>
      </c>
      <c r="D465">
        <f>VLOOKUP(D444,'Detail Balok'!$C$10:$AU$110,36,FALSE)</f>
        <v>0</v>
      </c>
      <c r="E465" t="str">
        <v>D</v>
      </c>
      <c r="F465">
        <f>VLOOKUP(D444,'Detail Balok'!$C$10:$AU$110,38,FALSE)</f>
        <v>8</v>
      </c>
      <c r="G465" t="str">
        <v>-</v>
      </c>
      <c r="H465">
        <f>VLOOKUP(D444,'Detail Balok'!$C$10:$AU$110,40,FALSE)</f>
        <v>200</v>
      </c>
      <c r="J465">
        <f>(IF(D465=0,(2*(D445+G445))-(F$5*8),IF(D465=3,(2*(D445+G445))-(F$5*8)+(G445-2*F$5),IF(D465=4,(2*(D445+G445))-(F$5*8)+2*(G445-2*F$5)))))/1000</f>
        <v>0.88</v>
      </c>
      <c r="K465" t="str">
        <v>+</v>
      </c>
      <c r="L465">
        <f>IF(D465=0,2*MAX(6*F465,75),(D465-1)*2*MAX(6*F465,75))/1000</f>
        <v>0.15</v>
      </c>
      <c r="M465" t="str">
        <v>=</v>
      </c>
      <c r="N465">
        <f>J465+L465</f>
        <v>1.03</v>
      </c>
      <c r="T465" t="str">
        <v>x</v>
      </c>
      <c r="U465">
        <f>0.006165*F465^2</f>
        <v>0.39456</v>
      </c>
      <c r="V465" t="str">
        <v>x</v>
      </c>
      <c r="W465">
        <f>IF(D447-MAX(D447/4,2*G445)*2&gt;0,ROUND((D447-MAX(D447/4,2*G445)*2)/H465,0),0)</f>
        <v>2</v>
      </c>
      <c r="X465" t="str">
        <v>x</v>
      </c>
      <c r="Y465">
        <f>D450</f>
        <v>1</v>
      </c>
      <c r="Z465" t="str">
        <v>=</v>
      </c>
      <c r="AA465">
        <f>N465*U465*W465*Y465</f>
        <v>0.8127936000000001</v>
      </c>
    </row>
    <row r="466">
      <c r="A466" t="str">
        <f>A444</f>
        <v>Sloof</v>
      </c>
      <c r="B466">
        <f>B444</f>
        <v>15</v>
      </c>
      <c r="C466" t="str">
        <v>Sengkang Tumpuan</v>
      </c>
      <c r="D466">
        <f>VLOOKUP(D444,'Detail Balok'!$C$10:$AU$110,41,FALSE)</f>
        <v>0</v>
      </c>
      <c r="E466" t="str">
        <v>D</v>
      </c>
      <c r="F466">
        <f>VLOOKUP(D444,'Detail Balok'!$C$10:$AU$110,43,FALSE)</f>
        <v>8</v>
      </c>
      <c r="G466" t="str">
        <v>-</v>
      </c>
      <c r="H466">
        <f>VLOOKUP(D444,'Detail Balok'!$C$10:$AU$110,45,FALSE)</f>
        <v>200</v>
      </c>
      <c r="J466">
        <f>(IF(D466=0,(2*(D445+G445))-(F$5*8),IF(D466=3,(2*(D445+G445))-(F$5*8)+(G445-2*F$5),IF(D466=4,(2*(D445+G445))-(F$5*8)+2*(G445-2*F$5)))))/1000</f>
        <v>0.88</v>
      </c>
      <c r="K466" t="str">
        <v>+</v>
      </c>
      <c r="L466">
        <f>IF(D466=0,2*MAX(6*F466,75),(D466-1)*2*MAX(6*F466,75))/1000</f>
        <v>0.15</v>
      </c>
      <c r="M466" t="str">
        <v>=</v>
      </c>
      <c r="N466">
        <f>J466+L466</f>
        <v>1.03</v>
      </c>
      <c r="T466" t="str">
        <v>x</v>
      </c>
      <c r="U466">
        <f>0.006165*F466^2</f>
        <v>0.39456</v>
      </c>
      <c r="V466" t="str">
        <v>x</v>
      </c>
      <c r="W466">
        <f>IF(D447&gt;4*G445,ROUND(MAX(D447/4,2*G445)/H466,0)+1,0)</f>
        <v>5</v>
      </c>
      <c r="X466" t="str">
        <v>x</v>
      </c>
      <c r="Y466">
        <f>D450</f>
        <v>1</v>
      </c>
      <c r="Z466" t="str">
        <v>=</v>
      </c>
      <c r="AA466">
        <f>N466*U466*W466*Y466</f>
        <v>2.0319840000000005</v>
      </c>
    </row>
    <row r="468">
      <c r="A468" t="str">
        <f>A444</f>
        <v>Sloof</v>
      </c>
      <c r="B468">
        <f>B444</f>
        <v>15</v>
      </c>
      <c r="C468" t="str">
        <v>Kait Horizontal Tump.</v>
      </c>
      <c r="D468">
        <f>VLOOKUP(D444,'Detail Balok'!$C$10:$BJ$110,46,FALSE)</f>
        <v>0</v>
      </c>
      <c r="E468" t="str">
        <v>D</v>
      </c>
      <c r="F468">
        <f>VLOOKUP(D444,'Detail Balok'!$C$10:$BJ$110,48,FALSE)</f>
        <v>0</v>
      </c>
      <c r="G468" t="str">
        <v>-</v>
      </c>
      <c r="H468">
        <f>VLOOKUP(D444,'Detail Balok'!$C$10:$BJ$110,50,FALSE)</f>
        <v>100</v>
      </c>
      <c r="J468">
        <f>(D445-2*F$5)/1000</f>
        <v>0.12</v>
      </c>
      <c r="K468" t="str">
        <v>+</v>
      </c>
      <c r="L468">
        <f>IF(D468=0,2*MAX(6*F468,75),(D468-1)*2*MAX(6*F468,75))/1000</f>
        <v>0.15</v>
      </c>
      <c r="M468" t="str">
        <v>=</v>
      </c>
      <c r="N468">
        <f>J468+L468</f>
        <v>0.27</v>
      </c>
      <c r="T468" t="str">
        <v>x</v>
      </c>
      <c r="U468">
        <f>0.006165*F468^2</f>
        <v>0</v>
      </c>
      <c r="V468" t="str">
        <v>x</v>
      </c>
      <c r="W468">
        <f>W464</f>
        <v>5</v>
      </c>
      <c r="X468" t="str">
        <v>x</v>
      </c>
      <c r="Y468">
        <f>D454</f>
        <v>2</v>
      </c>
      <c r="Z468" t="str">
        <v>=</v>
      </c>
      <c r="AA468">
        <f>N468*U468*W468*Y468</f>
        <v>0</v>
      </c>
    </row>
    <row r="469">
      <c r="A469" t="str">
        <f>A444</f>
        <v>Sloof</v>
      </c>
      <c r="B469">
        <f>B444</f>
        <v>15</v>
      </c>
      <c r="C469" t="str">
        <v>Kait Horizontal Lap.</v>
      </c>
      <c r="D469">
        <f>VLOOKUP(D444,'Detail Balok'!$C$10:$BJ$110,51,FALSE)</f>
        <v>0</v>
      </c>
      <c r="E469" t="str">
        <v>D</v>
      </c>
      <c r="F469">
        <f>VLOOKUP(D444,'Detail Balok'!$C$10:$BJ$110,53,FALSE)</f>
        <v>0</v>
      </c>
      <c r="G469" t="str">
        <v>-</v>
      </c>
      <c r="H469">
        <f>VLOOKUP(D444,'Detail Balok'!$C$10:$BJ$110,55,FALSE)</f>
        <v>100</v>
      </c>
      <c r="J469">
        <f>(D445-2*F$5)/1000</f>
        <v>0.12</v>
      </c>
      <c r="K469" t="str">
        <v>+</v>
      </c>
      <c r="L469">
        <f>IF(D469=0,2*MAX(6*F469,75),(D469-1)*2*MAX(6*F469,75))/1000</f>
        <v>0.15</v>
      </c>
      <c r="M469" t="str">
        <v>=</v>
      </c>
      <c r="N469">
        <f>J469+L469</f>
        <v>0.27</v>
      </c>
      <c r="T469" t="str">
        <v>x</v>
      </c>
      <c r="U469">
        <f>0.006165*F469^2</f>
        <v>0</v>
      </c>
      <c r="V469" t="str">
        <v>x</v>
      </c>
      <c r="W469">
        <f>W465</f>
        <v>2</v>
      </c>
      <c r="X469" t="str">
        <v>x</v>
      </c>
      <c r="Y469">
        <f>D454</f>
        <v>2</v>
      </c>
      <c r="Z469" t="str">
        <v>=</v>
      </c>
      <c r="AA469">
        <f>N469*U469*W469*Y469</f>
        <v>0</v>
      </c>
    </row>
    <row r="470">
      <c r="A470" t="str">
        <f>A444</f>
        <v>Sloof</v>
      </c>
      <c r="B470">
        <f>B444</f>
        <v>15</v>
      </c>
      <c r="C470" t="str">
        <v>Kait Horizontal Tump.</v>
      </c>
      <c r="D470">
        <f>VLOOKUP(D444,'Detail Balok'!$C$10:$BJ$110,56,FALSE)</f>
        <v>0</v>
      </c>
      <c r="E470" t="str">
        <v>D</v>
      </c>
      <c r="F470">
        <f>VLOOKUP(D444,'Detail Balok'!$C$10:$BJ$110,58,FALSE)</f>
        <v>0</v>
      </c>
      <c r="G470" t="str">
        <v>-</v>
      </c>
      <c r="H470">
        <f>VLOOKUP(D444,'Detail Balok'!$C$10:$BJ$110,60,FALSE)</f>
        <v>100</v>
      </c>
      <c r="J470">
        <f>(D445-2*F$5)/1000</f>
        <v>0.12</v>
      </c>
      <c r="K470" t="str">
        <v>+</v>
      </c>
      <c r="L470">
        <f>IF(D470=0,2*MAX(6*F470,75),(D470-1)*2*MAX(6*F470,75))/1000</f>
        <v>0.15</v>
      </c>
      <c r="M470" t="str">
        <v>=</v>
      </c>
      <c r="N470">
        <f>J470+L470</f>
        <v>0.27</v>
      </c>
      <c r="T470" t="str">
        <v>x</v>
      </c>
      <c r="U470">
        <f>0.006165*F470^2</f>
        <v>0</v>
      </c>
      <c r="V470" t="str">
        <v>x</v>
      </c>
      <c r="W470">
        <f>W466</f>
        <v>5</v>
      </c>
      <c r="X470" t="str">
        <v>x</v>
      </c>
      <c r="Y470">
        <f>D454</f>
        <v>2</v>
      </c>
      <c r="Z470" t="str">
        <v>=</v>
      </c>
      <c r="AA470">
        <f>N470*U470*W470*Y470</f>
        <v>0</v>
      </c>
    </row>
    <row r="474">
      <c r="A474" t="str">
        <f>A444</f>
        <v>Sloof</v>
      </c>
      <c r="B474">
        <f>B444+1</f>
        <v>16</v>
      </c>
      <c r="C474" t="str">
        <f>CONCATENATE(A474," no. ",B474)</f>
        <v>Sloof no. 16</v>
      </c>
      <c r="D474" t="str">
        <f>VLOOKUP(C474,'Data Panjang Balok'!$C$9:$N$424,2,FALSE)</f>
        <v>Potongan S4</v>
      </c>
    </row>
    <row r="475">
      <c r="C475" t="str">
        <v>Dimensi</v>
      </c>
      <c r="D475">
        <f>VLOOKUP(D474,'Detail Balok'!$C$10:$AU$110,2,FALSE)</f>
        <v>300</v>
      </c>
      <c r="F475" t="str">
        <v>x</v>
      </c>
      <c r="G475">
        <f>VLOOKUP(D474,'Detail Balok'!$C$10:$AU$110,3,FALSE)</f>
        <v>500</v>
      </c>
    </row>
    <row r="476">
      <c r="C476" t="str">
        <v>Panjang as ke as</v>
      </c>
      <c r="D476">
        <f>VLOOKUP(C474,'Data Panjang Balok'!$C$9:$N$424,4,FALSE)</f>
        <v>2160</v>
      </c>
    </row>
    <row r="477">
      <c r="C477" t="str">
        <v>Panjang netto</v>
      </c>
      <c r="D477">
        <f>VLOOKUP(C474,'Data Panjang Balok'!$C$9:$N$424,7,FALSE)</f>
        <v>2160</v>
      </c>
    </row>
    <row r="478">
      <c r="C478" t="str">
        <v>Kolom / balok kiri</v>
      </c>
      <c r="D478">
        <f>VLOOKUP(C474,'Data Panjang Balok'!$C$9:$N$424,9,FALSE)</f>
        <v>0</v>
      </c>
    </row>
    <row r="479">
      <c r="C479" t="str">
        <v>Kolom / balok kanan</v>
      </c>
      <c r="D479">
        <f>VLOOKUP(C474,'Data Panjang Balok'!$C$9:$N$424,10,FALSE)</f>
        <v>0</v>
      </c>
    </row>
    <row r="480">
      <c r="C480" t="str">
        <v>Jumlah</v>
      </c>
      <c r="D480">
        <f>VLOOKUP(C474,'Data Panjang Balok'!$C$9:$N$424,3,FALSE)</f>
        <v>1</v>
      </c>
    </row>
    <row r="481">
      <c r="A481" t="str">
        <f>A474</f>
        <v>Sloof</v>
      </c>
      <c r="B481">
        <f>B474</f>
        <v>16</v>
      </c>
      <c r="C481" t="str">
        <v>Tul Atas Tumpuan</v>
      </c>
      <c r="D481">
        <f>VLOOKUP(D474,'Detail Balok'!$C$10:$AU$110,4,FALSE)</f>
        <v>5</v>
      </c>
      <c r="E481" t="str">
        <v>D</v>
      </c>
      <c r="F481">
        <f>VLOOKUP(D474,'Detail Balok'!$C$10:$AU$110,6,FALSE)</f>
        <v>16</v>
      </c>
      <c r="I481" t="str">
        <v>(</v>
      </c>
      <c r="J481">
        <f>+D476/4/1000</f>
        <v>0.54</v>
      </c>
      <c r="K481" t="str">
        <v>+</v>
      </c>
      <c r="L481">
        <f>MAX(VLOOKUP(F481,N$6:P$15,3,FALSE)/1000,2/3*D478/1000)+F$16*F481/1000</f>
        <v>0.192</v>
      </c>
      <c r="M481" t="str">
        <v>=</v>
      </c>
      <c r="N481">
        <f>J481+L481</f>
        <v>0.732</v>
      </c>
      <c r="O481" t="str">
        <v>+</v>
      </c>
      <c r="P481">
        <f>D481-D482</f>
        <v>0</v>
      </c>
      <c r="Q481" t="str">
        <v>x</v>
      </c>
      <c r="R481">
        <f>IF(P481&gt;0,$F$18*F481/1000,0)</f>
        <v>0</v>
      </c>
      <c r="S481" t="str">
        <v>)</v>
      </c>
      <c r="T481" t="str">
        <v>x</v>
      </c>
      <c r="U481">
        <f>0.006165*F481^2</f>
        <v>1.57824</v>
      </c>
      <c r="X481" t="str">
        <v>x</v>
      </c>
      <c r="Y481">
        <f>D480</f>
        <v>1</v>
      </c>
      <c r="Z481" t="str">
        <v>=</v>
      </c>
      <c r="AA481">
        <f>IF(AA484=0,(D481*N481+P481*R481)*U481*Y481,0)</f>
        <v>0</v>
      </c>
    </row>
    <row r="482">
      <c r="A482" t="str">
        <f>A474</f>
        <v>Sloof</v>
      </c>
      <c r="B482">
        <f>B474</f>
        <v>16</v>
      </c>
      <c r="C482" t="str">
        <v>Tul Atas Lapangan</v>
      </c>
      <c r="D482">
        <f>VLOOKUP(D474,'Detail Balok'!$C$10:$AU$110,7,FALSE)</f>
        <v>5</v>
      </c>
      <c r="E482" t="str">
        <v>D</v>
      </c>
      <c r="F482">
        <f>VLOOKUP(D474,'Detail Balok'!$C$10:$AU$110,9,FALSE)</f>
        <v>16</v>
      </c>
      <c r="I482" t="str">
        <v>(</v>
      </c>
      <c r="J482">
        <f>+D476/2/1000</f>
        <v>1.08</v>
      </c>
      <c r="K482" t="str">
        <v>+</v>
      </c>
      <c r="M482" t="str">
        <v>=</v>
      </c>
      <c r="N482">
        <f>J482+L482</f>
        <v>1.08</v>
      </c>
      <c r="O482" t="str">
        <v>+</v>
      </c>
      <c r="P482">
        <f>MAX(D482-D481,D482-D483)</f>
        <v>0</v>
      </c>
      <c r="Q482" t="str">
        <v>x</v>
      </c>
      <c r="R482">
        <f>IF(P482&gt;0,2*(1-2*$F$19-1/2)*D477/1000,0)</f>
        <v>0</v>
      </c>
      <c r="S482" t="str">
        <v>)</v>
      </c>
      <c r="T482" t="str">
        <v>x</v>
      </c>
      <c r="U482">
        <f>0.006165*F482^2</f>
        <v>1.57824</v>
      </c>
      <c r="X482" t="str">
        <v>x</v>
      </c>
      <c r="Y482">
        <f>D480</f>
        <v>1</v>
      </c>
      <c r="Z482" t="str">
        <v>=</v>
      </c>
      <c r="AA482">
        <f>IF(AA484=0,(D482*N482+P482*R482)*U482*Y482,0)</f>
        <v>0</v>
      </c>
    </row>
    <row r="483">
      <c r="A483" t="str">
        <f>A474</f>
        <v>Sloof</v>
      </c>
      <c r="B483">
        <f>B474</f>
        <v>16</v>
      </c>
      <c r="C483" t="str">
        <v>Tul Atas Tumpuan</v>
      </c>
      <c r="D483">
        <f>VLOOKUP(D474,'Detail Balok'!$C$10:$AU$110,10,FALSE)</f>
        <v>5</v>
      </c>
      <c r="E483" t="str">
        <v>D</v>
      </c>
      <c r="F483">
        <f>VLOOKUP(D474,'Detail Balok'!$C$10:$AU$110,12,FALSE)</f>
        <v>16</v>
      </c>
      <c r="I483" t="str">
        <v>(</v>
      </c>
      <c r="J483">
        <f>+D476/4/1000</f>
        <v>0.54</v>
      </c>
      <c r="K483" t="str">
        <v>+</v>
      </c>
      <c r="L483">
        <f>MAX(VLOOKUP(F483,N$6:P$15,3,FALSE)/1000,2/3*D478/1000)+F$16*F483/1000</f>
        <v>0.192</v>
      </c>
      <c r="M483" t="str">
        <v>=</v>
      </c>
      <c r="N483">
        <f>J483+L483</f>
        <v>0.732</v>
      </c>
      <c r="O483" t="str">
        <v>+</v>
      </c>
      <c r="P483">
        <f>D483-D482</f>
        <v>0</v>
      </c>
      <c r="Q483" t="str">
        <v>x</v>
      </c>
      <c r="R483">
        <f>IF(P483&gt;0,$F$18*F483/1000,0)</f>
        <v>0</v>
      </c>
      <c r="S483" t="str">
        <v>)</v>
      </c>
      <c r="T483" t="str">
        <v>x</v>
      </c>
      <c r="U483">
        <f>0.006165*F483^2</f>
        <v>1.57824</v>
      </c>
      <c r="X483" t="str">
        <v>x</v>
      </c>
      <c r="Y483">
        <f>D480</f>
        <v>1</v>
      </c>
      <c r="Z483" t="str">
        <v>=</v>
      </c>
      <c r="AA483">
        <f>IF(AA484=0,(D483*N483+P483*R483)*U483*Y483,0)</f>
        <v>0</v>
      </c>
    </row>
    <row r="484">
      <c r="A484" t="str">
        <f>A474</f>
        <v>Sloof</v>
      </c>
      <c r="B484">
        <f>B474</f>
        <v>16</v>
      </c>
      <c r="D484">
        <f>IF(AND(D481=D482,D482=D483,D481=D483),D481,0)</f>
        <v>5</v>
      </c>
      <c r="E484" t="str">
        <v>D</v>
      </c>
      <c r="F484">
        <f>IF(AND(F481=F482,F481=F483,F482=F483),F481,0)</f>
        <v>16</v>
      </c>
      <c r="L484" t="str">
        <v>Total panjang per balok</v>
      </c>
      <c r="M484" t="str">
        <v>=</v>
      </c>
      <c r="N484">
        <f>IF(AND(D481=D482,D481=D483,D482=D483,F481=F482,F481=F483,F482=F483),SUM(N481:N483),0)</f>
        <v>2.544</v>
      </c>
      <c r="O484" t="str">
        <v>+</v>
      </c>
      <c r="P484">
        <f>IF(N484&gt;12,ROUNDDOWN(N484/12,0),0)</f>
        <v>0</v>
      </c>
      <c r="Q484" t="str">
        <v>x</v>
      </c>
      <c r="R484">
        <f>IF(P484&gt;0,MAX(VLOOKUP(F484,$D$6:$G$15,3,FALSE),600),0)/1000</f>
        <v>0</v>
      </c>
      <c r="T484" t="str">
        <v>x</v>
      </c>
      <c r="U484">
        <f>U483</f>
        <v>1.57824</v>
      </c>
      <c r="V484" t="str">
        <v>x</v>
      </c>
      <c r="W484">
        <f>D484</f>
        <v>5</v>
      </c>
      <c r="X484" t="str">
        <v>x</v>
      </c>
      <c r="Y484">
        <f>Y483</f>
        <v>1</v>
      </c>
      <c r="Z484" t="str">
        <v>=</v>
      </c>
      <c r="AA484">
        <f>(N484+P484*R484/1000)*U484*W484*Y484</f>
        <v>20.075212800000003</v>
      </c>
    </row>
    <row r="486">
      <c r="A486" t="str">
        <f>A474</f>
        <v>Sloof</v>
      </c>
      <c r="B486">
        <f>B474</f>
        <v>16</v>
      </c>
      <c r="C486" t="str">
        <v>Tul Peminggang</v>
      </c>
      <c r="D486">
        <f>VLOOKUP(D474,'Detail Balok'!$C$10:$AU$110,13,FALSE)</f>
        <v>2</v>
      </c>
      <c r="E486" t="str">
        <v>D</v>
      </c>
      <c r="F486">
        <f>VLOOKUP(D474,'Detail Balok'!$C$10:$AU$110,15,FALSE)</f>
        <v>10</v>
      </c>
      <c r="J486">
        <f>+D476/1000</f>
        <v>2.16</v>
      </c>
      <c r="K486" t="str">
        <v>+</v>
      </c>
      <c r="L486">
        <f>2*$F$16*F486/1000</f>
        <v>0.24</v>
      </c>
      <c r="M486" t="str">
        <v>=</v>
      </c>
      <c r="N486">
        <f>J486+L486</f>
        <v>2.4000000000000004</v>
      </c>
      <c r="O486" t="str">
        <v>+</v>
      </c>
      <c r="P486">
        <f>IF(N486&gt;12,ROUNDDOWN(N486/12,0),0)</f>
        <v>0</v>
      </c>
      <c r="Q486" t="str">
        <v>x</v>
      </c>
      <c r="R486">
        <f>IF(P486&gt;0,MAX(VLOOKUP(F486,$D$6:$G$15,3,FALSE),600),0)/1000</f>
        <v>0</v>
      </c>
      <c r="T486" t="str">
        <v>x</v>
      </c>
      <c r="U486">
        <f>0.006165*F486^2</f>
        <v>0.6165</v>
      </c>
      <c r="V486" t="str">
        <v>x</v>
      </c>
      <c r="W486">
        <f>+D486</f>
        <v>2</v>
      </c>
      <c r="X486" t="str">
        <v>x</v>
      </c>
      <c r="Y486">
        <f>D480</f>
        <v>1</v>
      </c>
      <c r="Z486" t="str">
        <v>=</v>
      </c>
      <c r="AA486">
        <f>(N486+P486*R486/1000)*U486*W486*Y486</f>
        <v>2.9592000000000005</v>
      </c>
    </row>
    <row r="489">
      <c r="A489" t="str">
        <f>A474</f>
        <v>Sloof</v>
      </c>
      <c r="B489">
        <f>B474</f>
        <v>16</v>
      </c>
      <c r="C489" t="str">
        <v>Tul Bawah Tumpuan</v>
      </c>
      <c r="D489">
        <f>VLOOKUP(D474,'Detail Balok'!$C$10:$AU$110,22,FALSE)</f>
        <v>3</v>
      </c>
      <c r="E489" t="str">
        <v>D</v>
      </c>
      <c r="F489">
        <f>VLOOKUP(D474,'Detail Balok'!$C$10:$AU$110,24,FALSE)</f>
        <v>16</v>
      </c>
      <c r="I489" t="str">
        <v>(</v>
      </c>
      <c r="J489">
        <f>+J481</f>
        <v>0.54</v>
      </c>
      <c r="K489" t="str">
        <v>+</v>
      </c>
      <c r="L489">
        <f>MAX(VLOOKUP(F489,N$6:P$15,3,FALSE)/1000,2/3*D479/1000)+F$16*F489/1000</f>
        <v>0.192</v>
      </c>
      <c r="M489" t="str">
        <v>=</v>
      </c>
      <c r="N489">
        <f>J489+L489</f>
        <v>0.732</v>
      </c>
      <c r="O489" t="str">
        <v>+</v>
      </c>
      <c r="P489">
        <f>D489-D490</f>
        <v>0</v>
      </c>
      <c r="Q489" t="str">
        <v>x</v>
      </c>
      <c r="R489">
        <f>IF(P489&gt;0,$F$18*F489/1000,0)</f>
        <v>0</v>
      </c>
      <c r="S489" t="str">
        <v>)</v>
      </c>
      <c r="T489" t="str">
        <v>x</v>
      </c>
      <c r="U489">
        <f>0.006165*F489^2</f>
        <v>1.57824</v>
      </c>
      <c r="X489" t="str">
        <v>x</v>
      </c>
      <c r="Y489">
        <f>D480</f>
        <v>1</v>
      </c>
      <c r="Z489" t="str">
        <v>=</v>
      </c>
      <c r="AA489">
        <f>IF(AA492=0,(D489*N489+P489*R489)*U489*Y489,0)</f>
        <v>0</v>
      </c>
    </row>
    <row r="490">
      <c r="A490" t="str">
        <f>A474</f>
        <v>Sloof</v>
      </c>
      <c r="B490">
        <f>B474</f>
        <v>16</v>
      </c>
      <c r="C490" t="str">
        <v>Tul Bawah Lapangan</v>
      </c>
      <c r="D490">
        <f>VLOOKUP(D474,'Detail Balok'!$C$10:$AU$110,25,FALSE)</f>
        <v>3</v>
      </c>
      <c r="E490" t="str">
        <v>D</v>
      </c>
      <c r="F490">
        <f>VLOOKUP(D474,'Detail Balok'!$C$10:$AU$110,27,FALSE)</f>
        <v>16</v>
      </c>
      <c r="I490" t="str">
        <v>(</v>
      </c>
      <c r="J490">
        <f>+J482</f>
        <v>1.08</v>
      </c>
      <c r="K490" t="str">
        <v>+</v>
      </c>
      <c r="M490" t="str">
        <v>=</v>
      </c>
      <c r="N490">
        <f>J490+L490</f>
        <v>1.08</v>
      </c>
      <c r="O490" t="str">
        <v>+</v>
      </c>
      <c r="P490">
        <f>MAX(D490-D489,D490-D491)</f>
        <v>0</v>
      </c>
      <c r="Q490" t="str">
        <v>x</v>
      </c>
      <c r="R490">
        <f>IF(P490&gt;0,2*(1-2*$F$19-1/2)*D477/1000,0)</f>
        <v>0</v>
      </c>
      <c r="S490" t="str">
        <v>)</v>
      </c>
      <c r="T490" t="str">
        <v>x</v>
      </c>
      <c r="U490">
        <f>0.006165*F490^2</f>
        <v>1.57824</v>
      </c>
      <c r="X490" t="str">
        <v>x</v>
      </c>
      <c r="Y490">
        <f>D480</f>
        <v>1</v>
      </c>
      <c r="Z490" t="str">
        <v>=</v>
      </c>
      <c r="AA490">
        <f>IF(AA492=0,(D490*N490+P490*R490)*U490*Y490,0)</f>
        <v>0</v>
      </c>
    </row>
    <row r="491">
      <c r="A491" t="str">
        <f>A474</f>
        <v>Sloof</v>
      </c>
      <c r="B491">
        <f>B474</f>
        <v>16</v>
      </c>
      <c r="C491" t="str">
        <v>Tul Bawah Tumpuan</v>
      </c>
      <c r="D491">
        <f>VLOOKUP(D474,'Detail Balok'!$C$10:$AU$110,28,FALSE)</f>
        <v>3</v>
      </c>
      <c r="E491" t="str">
        <v>D</v>
      </c>
      <c r="F491">
        <f>VLOOKUP(D474,'Detail Balok'!$C$10:$AU$110,30,FALSE)</f>
        <v>16</v>
      </c>
      <c r="I491" t="str">
        <v>(</v>
      </c>
      <c r="J491">
        <f>+J483</f>
        <v>0.54</v>
      </c>
      <c r="K491" t="str">
        <v>+</v>
      </c>
      <c r="L491">
        <f>MAX(VLOOKUP(F491,N$6:P$15,3,FALSE)/1000,2/3*D479/1000)+F$16*F491/1000</f>
        <v>0.192</v>
      </c>
      <c r="M491" t="str">
        <v>=</v>
      </c>
      <c r="N491">
        <f>J491+L491</f>
        <v>0.732</v>
      </c>
      <c r="O491" t="str">
        <v>+</v>
      </c>
      <c r="P491">
        <f>D491-D490</f>
        <v>0</v>
      </c>
      <c r="Q491" t="str">
        <v>x</v>
      </c>
      <c r="R491">
        <f>IF(P491&gt;0,$F$18*F491/1000,0)</f>
        <v>0</v>
      </c>
      <c r="S491" t="str">
        <v>)</v>
      </c>
      <c r="T491" t="str">
        <v>x</v>
      </c>
      <c r="U491">
        <f>0.006165*F491^2</f>
        <v>1.57824</v>
      </c>
      <c r="X491" t="str">
        <v>x</v>
      </c>
      <c r="Y491">
        <f>D480</f>
        <v>1</v>
      </c>
      <c r="Z491" t="str">
        <v>=</v>
      </c>
      <c r="AA491">
        <f>IF(AA492=0,(D491*N491+P491*R491)*U491*Y491,0)</f>
        <v>0</v>
      </c>
    </row>
    <row r="492">
      <c r="A492" t="str">
        <f>A474</f>
        <v>Sloof</v>
      </c>
      <c r="B492">
        <f>B474</f>
        <v>16</v>
      </c>
      <c r="D492">
        <f>IF(AND(D489=D490,D490=D491,D489=D491),D489,0)</f>
        <v>3</v>
      </c>
      <c r="E492" t="str">
        <v>D</v>
      </c>
      <c r="F492">
        <f>IF(AND(F489=F490,F489=F491,F490=F491),F489,0)</f>
        <v>16</v>
      </c>
      <c r="L492" t="str">
        <v>Total panjang per balok</v>
      </c>
      <c r="M492" t="str">
        <v>=</v>
      </c>
      <c r="N492">
        <f>IF(AND(D489=D490,D489=D491,D490=D491,F489=F490,F489=F491,F490=F491),SUM(N489:N491),0)</f>
        <v>2.544</v>
      </c>
      <c r="O492" t="str">
        <v>+</v>
      </c>
      <c r="P492">
        <f>IF(N492&gt;12,ROUNDDOWN(N492/12,0),0)</f>
        <v>0</v>
      </c>
      <c r="Q492" t="str">
        <v>x</v>
      </c>
      <c r="R492">
        <f>IF(P492&gt;0,MAX(VLOOKUP(F492,$D$6:$G$15,3,FALSE),600),0)/1000</f>
        <v>0</v>
      </c>
      <c r="T492" t="str">
        <v>x</v>
      </c>
      <c r="U492">
        <f>U491</f>
        <v>1.57824</v>
      </c>
      <c r="V492" t="str">
        <v>x</v>
      </c>
      <c r="W492">
        <f>D492</f>
        <v>3</v>
      </c>
      <c r="X492" t="str">
        <v>x</v>
      </c>
      <c r="Y492">
        <f>Y491</f>
        <v>1</v>
      </c>
      <c r="Z492" t="str">
        <v>=</v>
      </c>
      <c r="AA492">
        <f>(N492+P492*R492/1000)*U492*W492*Y492</f>
        <v>12.04512768</v>
      </c>
    </row>
    <row r="494">
      <c r="A494" t="str">
        <f>A474</f>
        <v>Sloof</v>
      </c>
      <c r="B494">
        <f>B474</f>
        <v>16</v>
      </c>
      <c r="C494" t="str">
        <v>Sengkang Tumpuan</v>
      </c>
      <c r="D494">
        <f>VLOOKUP(D474,'Detail Balok'!$C$10:$AU$110,31,FALSE)</f>
        <v>0</v>
      </c>
      <c r="E494" t="str">
        <v>D</v>
      </c>
      <c r="F494">
        <f>VLOOKUP(D474,'Detail Balok'!$C$10:$AU$110,33,FALSE)</f>
        <v>10</v>
      </c>
      <c r="G494" t="str">
        <v>-</v>
      </c>
      <c r="H494">
        <f>VLOOKUP(D474,'Detail Balok'!$C$10:$AU$110,35,FALSE)</f>
        <v>200</v>
      </c>
      <c r="J494">
        <f>(IF(D494=0,(2*(D475+G475))-(F$5*8),IF(D494=3,(2*(D475+G475))-(F$5*8)+(G475-2*F$5),IF(D494=4,(2*(D475+G475))-(F$5*8)+2*(G475-2*F$5)))))/1000</f>
        <v>1.28</v>
      </c>
      <c r="K494" t="str">
        <v>+</v>
      </c>
      <c r="L494">
        <f>IF(D494=0,2*MAX(6*F494,75),(D494-1)*2*MAX(6*F494,75))/1000</f>
        <v>0.15</v>
      </c>
      <c r="M494" t="str">
        <v>=</v>
      </c>
      <c r="N494">
        <f>J494+L494</f>
        <v>1.43</v>
      </c>
      <c r="T494" t="str">
        <v>x</v>
      </c>
      <c r="U494">
        <f>0.006165*F494^2</f>
        <v>0.6165</v>
      </c>
      <c r="V494" t="str">
        <v>x</v>
      </c>
      <c r="W494">
        <f>IF(D477&gt;4*G475,ROUND(MAX(D477/4,2*G475)/H494,0)+1,ROUND(D477/H494,0)+1)</f>
        <v>6</v>
      </c>
      <c r="X494" t="str">
        <v>x</v>
      </c>
      <c r="Y494">
        <f>D480</f>
        <v>1</v>
      </c>
      <c r="Z494" t="str">
        <v>=</v>
      </c>
      <c r="AA494">
        <f>N494*U494*W494*Y494</f>
        <v>5.28957</v>
      </c>
    </row>
    <row r="495">
      <c r="A495" t="str">
        <f>A474</f>
        <v>Sloof</v>
      </c>
      <c r="B495">
        <f>B474</f>
        <v>16</v>
      </c>
      <c r="C495" t="str">
        <v>Sengkang Lapangan</v>
      </c>
      <c r="D495">
        <f>VLOOKUP(D474,'Detail Balok'!$C$10:$AU$110,36,FALSE)</f>
        <v>0</v>
      </c>
      <c r="E495" t="str">
        <v>D</v>
      </c>
      <c r="F495">
        <f>VLOOKUP(D474,'Detail Balok'!$C$10:$AU$110,38,FALSE)</f>
        <v>10</v>
      </c>
      <c r="G495" t="str">
        <v>-</v>
      </c>
      <c r="H495">
        <f>VLOOKUP(D474,'Detail Balok'!$C$10:$AU$110,40,FALSE)</f>
        <v>200</v>
      </c>
      <c r="J495">
        <f>(IF(D495=0,(2*(D475+G475))-(F$5*8),IF(D495=3,(2*(D475+G475))-(F$5*8)+(G475-2*F$5),IF(D495=4,(2*(D475+G475))-(F$5*8)+2*(G475-2*F$5)))))/1000</f>
        <v>1.28</v>
      </c>
      <c r="K495" t="str">
        <v>+</v>
      </c>
      <c r="L495">
        <f>IF(D495=0,2*MAX(6*F495,75),(D495-1)*2*MAX(6*F495,75))/1000</f>
        <v>0.15</v>
      </c>
      <c r="M495" t="str">
        <v>=</v>
      </c>
      <c r="N495">
        <f>J495+L495</f>
        <v>1.43</v>
      </c>
      <c r="T495" t="str">
        <v>x</v>
      </c>
      <c r="U495">
        <f>0.006165*F495^2</f>
        <v>0.6165</v>
      </c>
      <c r="V495" t="str">
        <v>x</v>
      </c>
      <c r="W495">
        <f>IF(D477-MAX(D477/4,2*G475)*2&gt;0,ROUND((D477-MAX(D477/4,2*G475)*2)/H495,0),0)</f>
        <v>1</v>
      </c>
      <c r="X495" t="str">
        <v>x</v>
      </c>
      <c r="Y495">
        <f>D480</f>
        <v>1</v>
      </c>
      <c r="Z495" t="str">
        <v>=</v>
      </c>
      <c r="AA495">
        <f>N495*U495*W495*Y495</f>
        <v>0.881595</v>
      </c>
    </row>
    <row r="496">
      <c r="A496" t="str">
        <f>A474</f>
        <v>Sloof</v>
      </c>
      <c r="B496">
        <f>B474</f>
        <v>16</v>
      </c>
      <c r="C496" t="str">
        <v>Sengkang Tumpuan</v>
      </c>
      <c r="D496">
        <f>VLOOKUP(D474,'Detail Balok'!$C$10:$AU$110,41,FALSE)</f>
        <v>0</v>
      </c>
      <c r="E496" t="str">
        <v>D</v>
      </c>
      <c r="F496">
        <f>VLOOKUP(D474,'Detail Balok'!$C$10:$AU$110,43,FALSE)</f>
        <v>10</v>
      </c>
      <c r="G496" t="str">
        <v>-</v>
      </c>
      <c r="H496">
        <f>VLOOKUP(D474,'Detail Balok'!$C$10:$AU$110,45,FALSE)</f>
        <v>200</v>
      </c>
      <c r="J496">
        <f>(IF(D496=0,(2*(D475+G475))-(F$5*8),IF(D496=3,(2*(D475+G475))-(F$5*8)+(G475-2*F$5),IF(D496=4,(2*(D475+G475))-(F$5*8)+2*(G475-2*F$5)))))/1000</f>
        <v>1.28</v>
      </c>
      <c r="K496" t="str">
        <v>+</v>
      </c>
      <c r="L496">
        <f>IF(D496=0,2*MAX(6*F496,75),(D496-1)*2*MAX(6*F496,75))/1000</f>
        <v>0.15</v>
      </c>
      <c r="M496" t="str">
        <v>=</v>
      </c>
      <c r="N496">
        <f>J496+L496</f>
        <v>1.43</v>
      </c>
      <c r="T496" t="str">
        <v>x</v>
      </c>
      <c r="U496">
        <f>0.006165*F496^2</f>
        <v>0.6165</v>
      </c>
      <c r="V496" t="str">
        <v>x</v>
      </c>
      <c r="W496">
        <f>IF(D477&gt;4*G475,ROUND(MAX(D477/4,2*G475)/H496,0)+1,0)</f>
        <v>6</v>
      </c>
      <c r="X496" t="str">
        <v>x</v>
      </c>
      <c r="Y496">
        <f>D480</f>
        <v>1</v>
      </c>
      <c r="Z496" t="str">
        <v>=</v>
      </c>
      <c r="AA496">
        <f>N496*U496*W496*Y496</f>
        <v>5.28957</v>
      </c>
    </row>
    <row r="498">
      <c r="A498" t="str">
        <f>A474</f>
        <v>Sloof</v>
      </c>
      <c r="B498">
        <f>B474</f>
        <v>16</v>
      </c>
      <c r="C498" t="str">
        <v>Kait Horizontal Tump.</v>
      </c>
      <c r="D498">
        <f>VLOOKUP(D474,'Detail Balok'!$C$10:$BJ$110,46,FALSE)</f>
        <v>0</v>
      </c>
      <c r="E498" t="str">
        <v>D</v>
      </c>
      <c r="F498">
        <f>VLOOKUP(D474,'Detail Balok'!$C$10:$BJ$110,48,FALSE)</f>
        <v>0</v>
      </c>
      <c r="G498" t="str">
        <v>-</v>
      </c>
      <c r="H498">
        <f>VLOOKUP(D474,'Detail Balok'!$C$10:$BJ$110,50,FALSE)</f>
        <v>100</v>
      </c>
      <c r="J498">
        <f>(D475-2*F$5)/1000</f>
        <v>0.22</v>
      </c>
      <c r="K498" t="str">
        <v>+</v>
      </c>
      <c r="L498">
        <f>IF(D498=0,2*MAX(6*F498,75),(D498-1)*2*MAX(6*F498,75))/1000</f>
        <v>0.15</v>
      </c>
      <c r="M498" t="str">
        <v>=</v>
      </c>
      <c r="N498">
        <f>J498+L498</f>
        <v>0.37</v>
      </c>
      <c r="T498" t="str">
        <v>x</v>
      </c>
      <c r="U498">
        <f>0.006165*F498^2</f>
        <v>0</v>
      </c>
      <c r="V498" t="str">
        <v>x</v>
      </c>
      <c r="W498">
        <f>W494</f>
        <v>6</v>
      </c>
      <c r="X498" t="str">
        <v>x</v>
      </c>
      <c r="Y498">
        <f>D484</f>
        <v>5</v>
      </c>
      <c r="Z498" t="str">
        <v>=</v>
      </c>
      <c r="AA498">
        <f>N498*U498*W498*Y498</f>
        <v>0</v>
      </c>
    </row>
    <row r="499">
      <c r="A499" t="str">
        <f>A474</f>
        <v>Sloof</v>
      </c>
      <c r="B499">
        <f>B474</f>
        <v>16</v>
      </c>
      <c r="C499" t="str">
        <v>Kait Horizontal Lap.</v>
      </c>
      <c r="D499">
        <f>VLOOKUP(D474,'Detail Balok'!$C$10:$BJ$110,51,FALSE)</f>
        <v>0</v>
      </c>
      <c r="E499" t="str">
        <v>D</v>
      </c>
      <c r="F499">
        <f>VLOOKUP(D474,'Detail Balok'!$C$10:$BJ$110,53,FALSE)</f>
        <v>0</v>
      </c>
      <c r="G499" t="str">
        <v>-</v>
      </c>
      <c r="H499">
        <f>VLOOKUP(D474,'Detail Balok'!$C$10:$BJ$110,55,FALSE)</f>
        <v>100</v>
      </c>
      <c r="J499">
        <f>(D475-2*F$5)/1000</f>
        <v>0.22</v>
      </c>
      <c r="K499" t="str">
        <v>+</v>
      </c>
      <c r="L499">
        <f>IF(D499=0,2*MAX(6*F499,75),(D499-1)*2*MAX(6*F499,75))/1000</f>
        <v>0.15</v>
      </c>
      <c r="M499" t="str">
        <v>=</v>
      </c>
      <c r="N499">
        <f>J499+L499</f>
        <v>0.37</v>
      </c>
      <c r="T499" t="str">
        <v>x</v>
      </c>
      <c r="U499">
        <f>0.006165*F499^2</f>
        <v>0</v>
      </c>
      <c r="V499" t="str">
        <v>x</v>
      </c>
      <c r="W499">
        <f>W495</f>
        <v>1</v>
      </c>
      <c r="X499" t="str">
        <v>x</v>
      </c>
      <c r="Y499">
        <f>D484</f>
        <v>5</v>
      </c>
      <c r="Z499" t="str">
        <v>=</v>
      </c>
      <c r="AA499">
        <f>N499*U499*W499*Y499</f>
        <v>0</v>
      </c>
    </row>
    <row r="500">
      <c r="A500" t="str">
        <f>A474</f>
        <v>Sloof</v>
      </c>
      <c r="B500">
        <f>B474</f>
        <v>16</v>
      </c>
      <c r="C500" t="str">
        <v>Kait Horizontal Tump.</v>
      </c>
      <c r="D500">
        <f>VLOOKUP(D474,'Detail Balok'!$C$10:$BJ$110,56,FALSE)</f>
        <v>0</v>
      </c>
      <c r="E500" t="str">
        <v>D</v>
      </c>
      <c r="F500">
        <f>VLOOKUP(D474,'Detail Balok'!$C$10:$BJ$110,58,FALSE)</f>
        <v>0</v>
      </c>
      <c r="G500" t="str">
        <v>-</v>
      </c>
      <c r="H500">
        <f>VLOOKUP(D474,'Detail Balok'!$C$10:$BJ$110,60,FALSE)</f>
        <v>100</v>
      </c>
      <c r="J500">
        <f>(D475-2*F$5)/1000</f>
        <v>0.22</v>
      </c>
      <c r="K500" t="str">
        <v>+</v>
      </c>
      <c r="L500">
        <f>IF(D500=0,2*MAX(6*F500,75),(D500-1)*2*MAX(6*F500,75))/1000</f>
        <v>0.15</v>
      </c>
      <c r="M500" t="str">
        <v>=</v>
      </c>
      <c r="N500">
        <f>J500+L500</f>
        <v>0.37</v>
      </c>
      <c r="T500" t="str">
        <v>x</v>
      </c>
      <c r="U500">
        <f>0.006165*F500^2</f>
        <v>0</v>
      </c>
      <c r="V500" t="str">
        <v>x</v>
      </c>
      <c r="W500">
        <f>W496</f>
        <v>6</v>
      </c>
      <c r="X500" t="str">
        <v>x</v>
      </c>
      <c r="Y500">
        <f>D484</f>
        <v>5</v>
      </c>
      <c r="Z500" t="str">
        <v>=</v>
      </c>
      <c r="AA500">
        <f>N500*U500*W500*Y500</f>
        <v>0</v>
      </c>
    </row>
    <row r="504">
      <c r="A504" t="str">
        <f>A474</f>
        <v>Sloof</v>
      </c>
      <c r="B504" t="str">
        <v>16A</v>
      </c>
      <c r="C504" t="str">
        <f>CONCATENATE(A504," no. ",B504)</f>
        <v>Sloof no. 16A</v>
      </c>
      <c r="D504" t="str">
        <f>VLOOKUP(C504,'Data Panjang Balok'!$C$9:$N$424,2,FALSE)</f>
        <v>BB</v>
      </c>
    </row>
    <row r="505">
      <c r="C505" t="str">
        <v>Dimensi</v>
      </c>
      <c r="D505">
        <f>VLOOKUP(D504,'Detail Balok'!$C$10:$AU$110,2,FALSE)</f>
        <v>200</v>
      </c>
      <c r="F505" t="str">
        <v>x</v>
      </c>
      <c r="G505">
        <f>VLOOKUP(D504,'Detail Balok'!$C$10:$AU$110,3,FALSE)</f>
        <v>150</v>
      </c>
    </row>
    <row r="506">
      <c r="C506" t="str">
        <v>Panjang as ke as</v>
      </c>
      <c r="D506">
        <f>VLOOKUP(C504,'Data Panjang Balok'!$C$9:$N$424,4,FALSE)</f>
        <v>5200</v>
      </c>
    </row>
    <row r="507">
      <c r="C507" t="str">
        <v>Panjang netto</v>
      </c>
      <c r="D507">
        <f>VLOOKUP(C504,'Data Panjang Balok'!$C$9:$N$424,7,FALSE)</f>
        <v>5200</v>
      </c>
    </row>
    <row r="508">
      <c r="C508" t="str">
        <v>Kolom / balok kiri</v>
      </c>
      <c r="D508">
        <f>VLOOKUP(C504,'Data Panjang Balok'!$C$9:$N$424,9,FALSE)</f>
        <v>0</v>
      </c>
    </row>
    <row r="509">
      <c r="C509" t="str">
        <v>Kolom / balok kanan</v>
      </c>
      <c r="D509">
        <f>VLOOKUP(C504,'Data Panjang Balok'!$C$9:$N$424,10,FALSE)</f>
        <v>0</v>
      </c>
    </row>
    <row r="510">
      <c r="C510" t="str">
        <v>Jumlah</v>
      </c>
      <c r="D510">
        <f>VLOOKUP(C504,'Data Panjang Balok'!$C$9:$N$424,3,FALSE)</f>
        <v>1</v>
      </c>
    </row>
    <row r="511">
      <c r="A511" t="str">
        <f>A504</f>
        <v>Sloof</v>
      </c>
      <c r="B511" t="str">
        <f>B504</f>
        <v>16A</v>
      </c>
      <c r="C511" t="str">
        <v>Tul Atas Tumpuan</v>
      </c>
      <c r="D511">
        <f>VLOOKUP(D504,'Detail Balok'!$C$10:$AU$110,4,FALSE)</f>
        <v>2</v>
      </c>
      <c r="E511" t="str">
        <v>D</v>
      </c>
      <c r="F511">
        <f>VLOOKUP(D504,'Detail Balok'!$C$10:$AU$110,6,FALSE)</f>
        <v>10</v>
      </c>
      <c r="I511" t="str">
        <v>(</v>
      </c>
      <c r="J511">
        <f>+D506/4/1000</f>
        <v>1.3</v>
      </c>
      <c r="K511" t="str">
        <v>+</v>
      </c>
      <c r="L511">
        <f>MAX(VLOOKUP(F511,N$6:P$15,3,FALSE)/1000,2/3*D508/1000)+F$16*F511/1000</f>
        <v>0.12</v>
      </c>
      <c r="M511" t="str">
        <v>=</v>
      </c>
      <c r="N511">
        <f>J511+L511</f>
        <v>1.42</v>
      </c>
      <c r="O511" t="str">
        <v>+</v>
      </c>
      <c r="P511">
        <f>D511-D512</f>
        <v>0</v>
      </c>
      <c r="Q511" t="str">
        <v>x</v>
      </c>
      <c r="R511">
        <f>IF(P511&gt;0,$F$18*F511/1000,0)</f>
        <v>0</v>
      </c>
      <c r="S511" t="str">
        <v>)</v>
      </c>
      <c r="T511" t="str">
        <v>x</v>
      </c>
      <c r="U511">
        <f>0.006165*F511^2</f>
        <v>0.6165</v>
      </c>
      <c r="X511" t="str">
        <v>x</v>
      </c>
      <c r="Y511">
        <f>D510</f>
        <v>1</v>
      </c>
      <c r="Z511" t="str">
        <v>=</v>
      </c>
      <c r="AA511">
        <f>IF(AA514=0,(D511*N511+P511*R511)*U511*Y511,0)</f>
        <v>0</v>
      </c>
    </row>
    <row r="512">
      <c r="A512" t="str">
        <f>A504</f>
        <v>Sloof</v>
      </c>
      <c r="B512" t="str">
        <f>B504</f>
        <v>16A</v>
      </c>
      <c r="C512" t="str">
        <v>Tul Atas Lapangan</v>
      </c>
      <c r="D512">
        <f>VLOOKUP(D504,'Detail Balok'!$C$10:$AU$110,7,FALSE)</f>
        <v>2</v>
      </c>
      <c r="E512" t="str">
        <v>D</v>
      </c>
      <c r="F512">
        <f>VLOOKUP(D504,'Detail Balok'!$C$10:$AU$110,9,FALSE)</f>
        <v>10</v>
      </c>
      <c r="I512" t="str">
        <v>(</v>
      </c>
      <c r="J512">
        <f>+D506/2/1000</f>
        <v>2.6</v>
      </c>
      <c r="K512" t="str">
        <v>+</v>
      </c>
      <c r="M512" t="str">
        <v>=</v>
      </c>
      <c r="N512">
        <f>J512+L512</f>
        <v>2.6</v>
      </c>
      <c r="O512" t="str">
        <v>+</v>
      </c>
      <c r="P512">
        <f>MAX(D512-D511,D512-D513)</f>
        <v>0</v>
      </c>
      <c r="Q512" t="str">
        <v>x</v>
      </c>
      <c r="R512">
        <f>IF(P512&gt;0,2*(1-2*$F$19-1/2)*D507/1000,0)</f>
        <v>0</v>
      </c>
      <c r="S512" t="str">
        <v>)</v>
      </c>
      <c r="T512" t="str">
        <v>x</v>
      </c>
      <c r="U512">
        <f>0.006165*F512^2</f>
        <v>0.6165</v>
      </c>
      <c r="X512" t="str">
        <v>x</v>
      </c>
      <c r="Y512">
        <f>D510</f>
        <v>1</v>
      </c>
      <c r="Z512" t="str">
        <v>=</v>
      </c>
      <c r="AA512">
        <f>IF(AA514=0,(D512*N512+P512*R512)*U512*Y512,0)</f>
        <v>0</v>
      </c>
    </row>
    <row r="513">
      <c r="A513" t="str">
        <f>A504</f>
        <v>Sloof</v>
      </c>
      <c r="B513" t="str">
        <f>B504</f>
        <v>16A</v>
      </c>
      <c r="C513" t="str">
        <v>Tul Atas Tumpuan</v>
      </c>
      <c r="D513">
        <f>VLOOKUP(D504,'Detail Balok'!$C$10:$AU$110,10,FALSE)</f>
        <v>2</v>
      </c>
      <c r="E513" t="str">
        <v>D</v>
      </c>
      <c r="F513">
        <f>VLOOKUP(D504,'Detail Balok'!$C$10:$AU$110,12,FALSE)</f>
        <v>10</v>
      </c>
      <c r="I513" t="str">
        <v>(</v>
      </c>
      <c r="J513">
        <f>+D506/4/1000</f>
        <v>1.3</v>
      </c>
      <c r="K513" t="str">
        <v>+</v>
      </c>
      <c r="L513">
        <f>MAX(VLOOKUP(F513,N$6:P$15,3,FALSE)/1000,2/3*D508/1000)+F$16*F513/1000</f>
        <v>0.12</v>
      </c>
      <c r="M513" t="str">
        <v>=</v>
      </c>
      <c r="N513">
        <f>J513+L513</f>
        <v>1.42</v>
      </c>
      <c r="O513" t="str">
        <v>+</v>
      </c>
      <c r="P513">
        <f>D513-D512</f>
        <v>0</v>
      </c>
      <c r="Q513" t="str">
        <v>x</v>
      </c>
      <c r="R513">
        <f>IF(P513&gt;0,$F$18*F513/1000,0)</f>
        <v>0</v>
      </c>
      <c r="S513" t="str">
        <v>)</v>
      </c>
      <c r="T513" t="str">
        <v>x</v>
      </c>
      <c r="U513">
        <f>0.006165*F513^2</f>
        <v>0.6165</v>
      </c>
      <c r="X513" t="str">
        <v>x</v>
      </c>
      <c r="Y513">
        <f>D510</f>
        <v>1</v>
      </c>
      <c r="Z513" t="str">
        <v>=</v>
      </c>
      <c r="AA513">
        <f>IF(AA514=0,(D513*N513+P513*R513)*U513*Y513,0)</f>
        <v>0</v>
      </c>
    </row>
    <row r="514">
      <c r="A514" t="str">
        <f>A504</f>
        <v>Sloof</v>
      </c>
      <c r="B514" t="str">
        <f>B504</f>
        <v>16A</v>
      </c>
      <c r="D514">
        <f>IF(AND(D511=D512,D512=D513,D511=D513),D511,0)</f>
        <v>2</v>
      </c>
      <c r="E514" t="str">
        <v>D</v>
      </c>
      <c r="F514">
        <f>IF(AND(F511=F512,F511=F513,F512=F513),F511,0)</f>
        <v>10</v>
      </c>
      <c r="L514" t="str">
        <v>Total panjang per balok</v>
      </c>
      <c r="M514" t="str">
        <v>=</v>
      </c>
      <c r="N514">
        <f>IF(AND(D511=D512,D511=D513,D512=D513,F511=F512,F511=F513,F512=F513),SUM(N511:N513),0)</f>
        <v>5.4399999999999995</v>
      </c>
      <c r="O514" t="str">
        <v>+</v>
      </c>
      <c r="P514">
        <f>IF(N514&gt;12,ROUNDDOWN(N514/12,0),0)</f>
        <v>0</v>
      </c>
      <c r="Q514" t="str">
        <v>x</v>
      </c>
      <c r="R514">
        <f>IF(P514&gt;0,MAX(VLOOKUP(F514,$D$6:$G$15,3,FALSE),600),0)/1000</f>
        <v>0</v>
      </c>
      <c r="T514" t="str">
        <v>x</v>
      </c>
      <c r="U514">
        <f>U513</f>
        <v>0.6165</v>
      </c>
      <c r="V514" t="str">
        <v>x</v>
      </c>
      <c r="W514">
        <f>D514</f>
        <v>2</v>
      </c>
      <c r="X514" t="str">
        <v>x</v>
      </c>
      <c r="Y514">
        <f>Y513</f>
        <v>1</v>
      </c>
      <c r="Z514" t="str">
        <v>=</v>
      </c>
      <c r="AA514">
        <f>(N514+P514*R514/1000)*U514*W514*Y514</f>
        <v>6.70752</v>
      </c>
    </row>
    <row r="516">
      <c r="A516" t="str">
        <f>A504</f>
        <v>Sloof</v>
      </c>
      <c r="B516" t="str">
        <f>B504</f>
        <v>16A</v>
      </c>
      <c r="C516" t="str">
        <v>Tul Peminggang</v>
      </c>
      <c r="D516">
        <f>VLOOKUP(D504,'Detail Balok'!$C$10:$AU$110,13,FALSE)</f>
        <v>0</v>
      </c>
      <c r="E516" t="str">
        <v>D</v>
      </c>
      <c r="F516">
        <f>VLOOKUP(D504,'Detail Balok'!$C$10:$AU$110,15,FALSE)</f>
        <v>6</v>
      </c>
      <c r="J516">
        <f>+D506/1000</f>
        <v>5.2</v>
      </c>
      <c r="K516" t="str">
        <v>+</v>
      </c>
      <c r="L516">
        <f>2*$F$16*F516/1000</f>
        <v>0.144</v>
      </c>
      <c r="M516" t="str">
        <v>=</v>
      </c>
      <c r="N516">
        <f>J516+L516</f>
        <v>5.344</v>
      </c>
      <c r="O516" t="str">
        <v>+</v>
      </c>
      <c r="P516">
        <f>IF(N516&gt;12,ROUNDDOWN(N516/12,0),0)</f>
        <v>0</v>
      </c>
      <c r="Q516" t="str">
        <v>x</v>
      </c>
      <c r="R516">
        <f>IF(P516&gt;0,MAX(VLOOKUP(F516,$D$6:$G$15,3,FALSE),600),0)/1000</f>
        <v>0</v>
      </c>
      <c r="T516" t="str">
        <v>x</v>
      </c>
      <c r="U516">
        <f>0.006165*F516^2</f>
        <v>0.22194000000000003</v>
      </c>
      <c r="V516" t="str">
        <v>x</v>
      </c>
      <c r="W516">
        <f>+D516</f>
        <v>0</v>
      </c>
      <c r="X516" t="str">
        <v>x</v>
      </c>
      <c r="Y516">
        <f>D510</f>
        <v>1</v>
      </c>
      <c r="Z516" t="str">
        <v>=</v>
      </c>
      <c r="AA516">
        <f>(N516+P516*R516/1000)*U516*W516*Y516</f>
        <v>0</v>
      </c>
    </row>
    <row r="519">
      <c r="A519" t="str">
        <f>A504</f>
        <v>Sloof</v>
      </c>
      <c r="B519" t="str">
        <f>B504</f>
        <v>16A</v>
      </c>
      <c r="C519" t="str">
        <v>Tul Bawah Tumpuan</v>
      </c>
      <c r="D519">
        <f>VLOOKUP(D504,'Detail Balok'!$C$10:$AU$110,22,FALSE)</f>
        <v>2</v>
      </c>
      <c r="E519" t="str">
        <v>D</v>
      </c>
      <c r="F519">
        <f>VLOOKUP(D504,'Detail Balok'!$C$10:$AU$110,24,FALSE)</f>
        <v>10</v>
      </c>
      <c r="I519" t="str">
        <v>(</v>
      </c>
      <c r="J519">
        <f>+J511</f>
        <v>1.3</v>
      </c>
      <c r="K519" t="str">
        <v>+</v>
      </c>
      <c r="L519">
        <f>MAX(VLOOKUP(F519,N$6:P$15,3,FALSE)/1000,2/3*D509/1000)+F$16*F519/1000</f>
        <v>0.12</v>
      </c>
      <c r="M519" t="str">
        <v>=</v>
      </c>
      <c r="N519">
        <f>J519+L519</f>
        <v>1.42</v>
      </c>
      <c r="O519" t="str">
        <v>+</v>
      </c>
      <c r="P519">
        <f>D519-D520</f>
        <v>0</v>
      </c>
      <c r="Q519" t="str">
        <v>x</v>
      </c>
      <c r="R519">
        <f>IF(P519&gt;0,$F$18*F519/1000,0)</f>
        <v>0</v>
      </c>
      <c r="S519" t="str">
        <v>)</v>
      </c>
      <c r="T519" t="str">
        <v>x</v>
      </c>
      <c r="U519">
        <f>0.006165*F519^2</f>
        <v>0.6165</v>
      </c>
      <c r="X519" t="str">
        <v>x</v>
      </c>
      <c r="Y519">
        <f>D510</f>
        <v>1</v>
      </c>
      <c r="Z519" t="str">
        <v>=</v>
      </c>
      <c r="AA519">
        <f>IF(AA522=0,(D519*N519+P519*R519)*U519*Y519,0)</f>
        <v>0</v>
      </c>
    </row>
    <row r="520">
      <c r="A520" t="str">
        <f>A504</f>
        <v>Sloof</v>
      </c>
      <c r="B520" t="str">
        <f>B504</f>
        <v>16A</v>
      </c>
      <c r="C520" t="str">
        <v>Tul Bawah Lapangan</v>
      </c>
      <c r="D520">
        <f>VLOOKUP(D504,'Detail Balok'!$C$10:$AU$110,25,FALSE)</f>
        <v>2</v>
      </c>
      <c r="E520" t="str">
        <v>D</v>
      </c>
      <c r="F520">
        <f>VLOOKUP(D504,'Detail Balok'!$C$10:$AU$110,27,FALSE)</f>
        <v>10</v>
      </c>
      <c r="I520" t="str">
        <v>(</v>
      </c>
      <c r="J520">
        <f>+J512</f>
        <v>2.6</v>
      </c>
      <c r="K520" t="str">
        <v>+</v>
      </c>
      <c r="M520" t="str">
        <v>=</v>
      </c>
      <c r="N520">
        <f>J520+L520</f>
        <v>2.6</v>
      </c>
      <c r="O520" t="str">
        <v>+</v>
      </c>
      <c r="P520">
        <f>MAX(D520-D519,D520-D521)</f>
        <v>0</v>
      </c>
      <c r="Q520" t="str">
        <v>x</v>
      </c>
      <c r="R520">
        <f>IF(P520&gt;0,2*(1-2*$F$19-1/2)*D507/1000,0)</f>
        <v>0</v>
      </c>
      <c r="S520" t="str">
        <v>)</v>
      </c>
      <c r="T520" t="str">
        <v>x</v>
      </c>
      <c r="U520">
        <f>0.006165*F520^2</f>
        <v>0.6165</v>
      </c>
      <c r="X520" t="str">
        <v>x</v>
      </c>
      <c r="Y520">
        <f>D510</f>
        <v>1</v>
      </c>
      <c r="Z520" t="str">
        <v>=</v>
      </c>
      <c r="AA520">
        <f>IF(AA522=0,(D520*N520+P520*R520)*U520*Y520,0)</f>
        <v>0</v>
      </c>
    </row>
    <row r="521">
      <c r="A521" t="str">
        <f>A504</f>
        <v>Sloof</v>
      </c>
      <c r="B521" t="str">
        <f>B504</f>
        <v>16A</v>
      </c>
      <c r="C521" t="str">
        <v>Tul Bawah Tumpuan</v>
      </c>
      <c r="D521">
        <f>VLOOKUP(D504,'Detail Balok'!$C$10:$AU$110,28,FALSE)</f>
        <v>2</v>
      </c>
      <c r="E521" t="str">
        <v>D</v>
      </c>
      <c r="F521">
        <f>VLOOKUP(D504,'Detail Balok'!$C$10:$AU$110,30,FALSE)</f>
        <v>10</v>
      </c>
      <c r="I521" t="str">
        <v>(</v>
      </c>
      <c r="J521">
        <f>+J513</f>
        <v>1.3</v>
      </c>
      <c r="K521" t="str">
        <v>+</v>
      </c>
      <c r="L521">
        <f>MAX(VLOOKUP(F521,N$6:P$15,3,FALSE)/1000,2/3*D509/1000)+F$16*F521/1000</f>
        <v>0.12</v>
      </c>
      <c r="M521" t="str">
        <v>=</v>
      </c>
      <c r="N521">
        <f>J521+L521</f>
        <v>1.42</v>
      </c>
      <c r="O521" t="str">
        <v>+</v>
      </c>
      <c r="P521">
        <f>D521-D520</f>
        <v>0</v>
      </c>
      <c r="Q521" t="str">
        <v>x</v>
      </c>
      <c r="R521">
        <f>IF(P521&gt;0,$F$18*F521/1000,0)</f>
        <v>0</v>
      </c>
      <c r="S521" t="str">
        <v>)</v>
      </c>
      <c r="T521" t="str">
        <v>x</v>
      </c>
      <c r="U521">
        <f>0.006165*F521^2</f>
        <v>0.6165</v>
      </c>
      <c r="X521" t="str">
        <v>x</v>
      </c>
      <c r="Y521">
        <f>D510</f>
        <v>1</v>
      </c>
      <c r="Z521" t="str">
        <v>=</v>
      </c>
      <c r="AA521">
        <f>IF(AA522=0,(D521*N521+P521*R521)*U521*Y521,0)</f>
        <v>0</v>
      </c>
    </row>
    <row r="522">
      <c r="A522" t="str">
        <f>A504</f>
        <v>Sloof</v>
      </c>
      <c r="B522" t="str">
        <f>B504</f>
        <v>16A</v>
      </c>
      <c r="D522">
        <f>IF(AND(D519=D520,D520=D521,D519=D521),D519,0)</f>
        <v>2</v>
      </c>
      <c r="E522" t="str">
        <v>D</v>
      </c>
      <c r="F522">
        <f>IF(AND(F519=F520,F519=F521,F520=F521),F519,0)</f>
        <v>10</v>
      </c>
      <c r="L522" t="str">
        <v>Total panjang per balok</v>
      </c>
      <c r="M522" t="str">
        <v>=</v>
      </c>
      <c r="N522">
        <f>IF(AND(D519=D520,D519=D521,D520=D521,F519=F520,F519=F521,F520=F521),SUM(N519:N521),0)</f>
        <v>5.4399999999999995</v>
      </c>
      <c r="O522" t="str">
        <v>+</v>
      </c>
      <c r="P522">
        <f>IF(N522&gt;12,ROUNDDOWN(N522/12,0),0)</f>
        <v>0</v>
      </c>
      <c r="Q522" t="str">
        <v>x</v>
      </c>
      <c r="R522">
        <f>IF(P522&gt;0,MAX(VLOOKUP(F522,$D$6:$G$15,3,FALSE),600),0)/1000</f>
        <v>0</v>
      </c>
      <c r="T522" t="str">
        <v>x</v>
      </c>
      <c r="U522">
        <f>U521</f>
        <v>0.6165</v>
      </c>
      <c r="V522" t="str">
        <v>x</v>
      </c>
      <c r="W522">
        <f>D522</f>
        <v>2</v>
      </c>
      <c r="X522" t="str">
        <v>x</v>
      </c>
      <c r="Y522">
        <f>Y521</f>
        <v>1</v>
      </c>
      <c r="Z522" t="str">
        <v>=</v>
      </c>
      <c r="AA522">
        <f>(N522+P522*R522/1000)*U522*W522*Y522</f>
        <v>6.70752</v>
      </c>
    </row>
    <row r="524">
      <c r="A524" t="str">
        <f>A504</f>
        <v>Sloof</v>
      </c>
      <c r="B524" t="str">
        <f>B504</f>
        <v>16A</v>
      </c>
      <c r="C524" t="str">
        <v>Sengkang Tumpuan</v>
      </c>
      <c r="D524">
        <f>VLOOKUP(D504,'Detail Balok'!$C$10:$AU$110,31,FALSE)</f>
        <v>0</v>
      </c>
      <c r="E524" t="str">
        <v>D</v>
      </c>
      <c r="F524">
        <f>VLOOKUP(D504,'Detail Balok'!$C$10:$AU$110,33,FALSE)</f>
        <v>8</v>
      </c>
      <c r="G524" t="str">
        <v>-</v>
      </c>
      <c r="H524">
        <f>VLOOKUP(D504,'Detail Balok'!$C$10:$AU$110,35,FALSE)</f>
        <v>100</v>
      </c>
      <c r="J524">
        <f>(IF(D524=0,(2*(D505+G505))-(F$5*8),IF(D524=3,(2*(D505+G505))-(F$5*8)+(G505-2*F$5),IF(D524=4,(2*(D505+G505))-(F$5*8)+2*(G505-2*F$5)))))/1000</f>
        <v>0.38</v>
      </c>
      <c r="K524" t="str">
        <v>+</v>
      </c>
      <c r="L524">
        <f>IF(D524=0,2*MAX(6*F524,75),(D524-1)*2*MAX(6*F524,75))/1000</f>
        <v>0.15</v>
      </c>
      <c r="M524" t="str">
        <v>=</v>
      </c>
      <c r="N524">
        <f>J524+L524</f>
        <v>0.53</v>
      </c>
      <c r="T524" t="str">
        <v>x</v>
      </c>
      <c r="U524">
        <f>0.006165*F524^2</f>
        <v>0.39456</v>
      </c>
      <c r="V524" t="str">
        <v>x</v>
      </c>
      <c r="W524">
        <f>IF(D507&gt;4*G505,ROUND(MAX(D507/4,2*G505)/H524,0)+1,ROUND(D507/H524,0)+1)</f>
        <v>14</v>
      </c>
      <c r="X524" t="str">
        <v>x</v>
      </c>
      <c r="Y524">
        <f>D510</f>
        <v>1</v>
      </c>
      <c r="Z524" t="str">
        <v>=</v>
      </c>
      <c r="AA524">
        <f>N524*U524*W524*Y524</f>
        <v>2.9276352</v>
      </c>
    </row>
    <row r="525">
      <c r="A525" t="str">
        <f>A504</f>
        <v>Sloof</v>
      </c>
      <c r="B525" t="str">
        <f>B504</f>
        <v>16A</v>
      </c>
      <c r="C525" t="str">
        <v>Sengkang Lapangan</v>
      </c>
      <c r="D525">
        <f>VLOOKUP(D504,'Detail Balok'!$C$10:$AU$110,36,FALSE)</f>
        <v>0</v>
      </c>
      <c r="E525" t="str">
        <v>D</v>
      </c>
      <c r="F525">
        <f>VLOOKUP(D504,'Detail Balok'!$C$10:$AU$110,38,FALSE)</f>
        <v>8</v>
      </c>
      <c r="G525" t="str">
        <v>-</v>
      </c>
      <c r="H525">
        <f>VLOOKUP(D504,'Detail Balok'!$C$10:$AU$110,40,FALSE)</f>
        <v>100</v>
      </c>
      <c r="J525">
        <f>(IF(D525=0,(2*(D505+G505))-(F$5*8),IF(D525=3,(2*(D505+G505))-(F$5*8)+(G505-2*F$5),IF(D525=4,(2*(D505+G505))-(F$5*8)+2*(G505-2*F$5)))))/1000</f>
        <v>0.38</v>
      </c>
      <c r="K525" t="str">
        <v>+</v>
      </c>
      <c r="L525">
        <f>IF(D525=0,2*MAX(6*F525,75),(D525-1)*2*MAX(6*F525,75))/1000</f>
        <v>0.15</v>
      </c>
      <c r="M525" t="str">
        <v>=</v>
      </c>
      <c r="N525">
        <f>J525+L525</f>
        <v>0.53</v>
      </c>
      <c r="T525" t="str">
        <v>x</v>
      </c>
      <c r="U525">
        <f>0.006165*F525^2</f>
        <v>0.39456</v>
      </c>
      <c r="V525" t="str">
        <v>x</v>
      </c>
      <c r="W525">
        <f>IF(D507-MAX(D507/4,2*G505)*2&gt;0,ROUND((D507-MAX(D507/4,2*G505)*2)/H525,0),0)</f>
        <v>26</v>
      </c>
      <c r="X525" t="str">
        <v>x</v>
      </c>
      <c r="Y525">
        <f>D510</f>
        <v>1</v>
      </c>
      <c r="Z525" t="str">
        <v>=</v>
      </c>
      <c r="AA525">
        <f>N525*U525*W525*Y525</f>
        <v>5.4370368000000004</v>
      </c>
    </row>
    <row r="526">
      <c r="A526" t="str">
        <f>A504</f>
        <v>Sloof</v>
      </c>
      <c r="B526" t="str">
        <f>B504</f>
        <v>16A</v>
      </c>
      <c r="C526" t="str">
        <v>Sengkang Tumpuan</v>
      </c>
      <c r="D526">
        <f>VLOOKUP(D504,'Detail Balok'!$C$10:$AU$110,41,FALSE)</f>
        <v>0</v>
      </c>
      <c r="E526" t="str">
        <v>D</v>
      </c>
      <c r="F526">
        <f>VLOOKUP(D504,'Detail Balok'!$C$10:$AU$110,43,FALSE)</f>
        <v>8</v>
      </c>
      <c r="G526" t="str">
        <v>-</v>
      </c>
      <c r="H526">
        <f>VLOOKUP(D504,'Detail Balok'!$C$10:$AU$110,45,FALSE)</f>
        <v>100</v>
      </c>
      <c r="J526">
        <f>(IF(D526=0,(2*(D505+G505))-(F$5*8),IF(D526=3,(2*(D505+G505))-(F$5*8)+(G505-2*F$5),IF(D526=4,(2*(D505+G505))-(F$5*8)+2*(G505-2*F$5)))))/1000</f>
        <v>0.38</v>
      </c>
      <c r="K526" t="str">
        <v>+</v>
      </c>
      <c r="L526">
        <f>IF(D526=0,2*MAX(6*F526,75),(D526-1)*2*MAX(6*F526,75))/1000</f>
        <v>0.15</v>
      </c>
      <c r="M526" t="str">
        <v>=</v>
      </c>
      <c r="N526">
        <f>J526+L526</f>
        <v>0.53</v>
      </c>
      <c r="T526" t="str">
        <v>x</v>
      </c>
      <c r="U526">
        <f>0.006165*F526^2</f>
        <v>0.39456</v>
      </c>
      <c r="V526" t="str">
        <v>x</v>
      </c>
      <c r="W526">
        <f>IF(D507&gt;4*G505,ROUND(MAX(D507/4,2*G505)/H526,0)+1,0)</f>
        <v>14</v>
      </c>
      <c r="X526" t="str">
        <v>x</v>
      </c>
      <c r="Y526">
        <f>D510</f>
        <v>1</v>
      </c>
      <c r="Z526" t="str">
        <v>=</v>
      </c>
      <c r="AA526">
        <f>N526*U526*W526*Y526</f>
        <v>2.9276352</v>
      </c>
    </row>
    <row r="528">
      <c r="A528" t="str">
        <f>A504</f>
        <v>Sloof</v>
      </c>
      <c r="B528" t="str">
        <f>B504</f>
        <v>16A</v>
      </c>
      <c r="C528" t="str">
        <v>Kait Horizontal Tump.</v>
      </c>
      <c r="D528">
        <f>VLOOKUP(D504,'Detail Balok'!$C$10:$BJ$110,46,FALSE)</f>
        <v>0</v>
      </c>
      <c r="E528" t="str">
        <v>D</v>
      </c>
      <c r="F528">
        <f>VLOOKUP(D504,'Detail Balok'!$C$10:$BJ$110,48,FALSE)</f>
        <v>0</v>
      </c>
      <c r="G528" t="str">
        <v>-</v>
      </c>
      <c r="H528">
        <f>VLOOKUP(D504,'Detail Balok'!$C$10:$BJ$110,50,FALSE)</f>
        <v>100</v>
      </c>
      <c r="J528">
        <f>(D505-2*F$5)/1000</f>
        <v>0.12</v>
      </c>
      <c r="K528" t="str">
        <v>+</v>
      </c>
      <c r="L528">
        <f>IF(D528=0,2*MAX(6*F528,75),(D528-1)*2*MAX(6*F528,75))/1000</f>
        <v>0.15</v>
      </c>
      <c r="M528" t="str">
        <v>=</v>
      </c>
      <c r="N528">
        <f>J528+L528</f>
        <v>0.27</v>
      </c>
      <c r="T528" t="str">
        <v>x</v>
      </c>
      <c r="U528">
        <f>0.006165*F528^2</f>
        <v>0</v>
      </c>
      <c r="V528" t="str">
        <v>x</v>
      </c>
      <c r="W528">
        <f>W524</f>
        <v>14</v>
      </c>
      <c r="X528" t="str">
        <v>x</v>
      </c>
      <c r="Y528">
        <f>D514</f>
        <v>2</v>
      </c>
      <c r="Z528" t="str">
        <v>=</v>
      </c>
      <c r="AA528">
        <f>N528*U528*W528*Y528</f>
        <v>0</v>
      </c>
    </row>
    <row r="529">
      <c r="A529" t="str">
        <f>A504</f>
        <v>Sloof</v>
      </c>
      <c r="B529" t="str">
        <f>B504</f>
        <v>16A</v>
      </c>
      <c r="C529" t="str">
        <v>Kait Horizontal Lap.</v>
      </c>
      <c r="D529">
        <f>VLOOKUP(D504,'Detail Balok'!$C$10:$BJ$110,51,FALSE)</f>
        <v>0</v>
      </c>
      <c r="E529" t="str">
        <v>D</v>
      </c>
      <c r="F529">
        <f>VLOOKUP(D504,'Detail Balok'!$C$10:$BJ$110,53,FALSE)</f>
        <v>0</v>
      </c>
      <c r="G529" t="str">
        <v>-</v>
      </c>
      <c r="H529">
        <f>VLOOKUP(D504,'Detail Balok'!$C$10:$BJ$110,55,FALSE)</f>
        <v>100</v>
      </c>
      <c r="J529">
        <f>(D505-2*F$5)/1000</f>
        <v>0.12</v>
      </c>
      <c r="K529" t="str">
        <v>+</v>
      </c>
      <c r="L529">
        <f>IF(D529=0,2*MAX(6*F529,75),(D529-1)*2*MAX(6*F529,75))/1000</f>
        <v>0.15</v>
      </c>
      <c r="M529" t="str">
        <v>=</v>
      </c>
      <c r="N529">
        <f>J529+L529</f>
        <v>0.27</v>
      </c>
      <c r="T529" t="str">
        <v>x</v>
      </c>
      <c r="U529">
        <f>0.006165*F529^2</f>
        <v>0</v>
      </c>
      <c r="V529" t="str">
        <v>x</v>
      </c>
      <c r="W529">
        <f>W525</f>
        <v>26</v>
      </c>
      <c r="X529" t="str">
        <v>x</v>
      </c>
      <c r="Y529">
        <f>D514</f>
        <v>2</v>
      </c>
      <c r="Z529" t="str">
        <v>=</v>
      </c>
      <c r="AA529">
        <f>N529*U529*W529*Y529</f>
        <v>0</v>
      </c>
    </row>
    <row r="530">
      <c r="A530" t="str">
        <f>A504</f>
        <v>Sloof</v>
      </c>
      <c r="B530" t="str">
        <f>B504</f>
        <v>16A</v>
      </c>
      <c r="C530" t="str">
        <v>Kait Horizontal Tump.</v>
      </c>
      <c r="D530">
        <f>VLOOKUP(D504,'Detail Balok'!$C$10:$BJ$110,56,FALSE)</f>
        <v>0</v>
      </c>
      <c r="E530" t="str">
        <v>D</v>
      </c>
      <c r="F530">
        <f>VLOOKUP(D504,'Detail Balok'!$C$10:$BJ$110,58,FALSE)</f>
        <v>0</v>
      </c>
      <c r="G530" t="str">
        <v>-</v>
      </c>
      <c r="H530">
        <f>VLOOKUP(D504,'Detail Balok'!$C$10:$BJ$110,60,FALSE)</f>
        <v>100</v>
      </c>
      <c r="J530">
        <f>(D505-2*F$5)/1000</f>
        <v>0.12</v>
      </c>
      <c r="K530" t="str">
        <v>+</v>
      </c>
      <c r="L530">
        <f>IF(D530=0,2*MAX(6*F530,75),(D530-1)*2*MAX(6*F530,75))/1000</f>
        <v>0.15</v>
      </c>
      <c r="M530" t="str">
        <v>=</v>
      </c>
      <c r="N530">
        <f>J530+L530</f>
        <v>0.27</v>
      </c>
      <c r="T530" t="str">
        <v>x</v>
      </c>
      <c r="U530">
        <f>0.006165*F530^2</f>
        <v>0</v>
      </c>
      <c r="V530" t="str">
        <v>x</v>
      </c>
      <c r="W530">
        <f>W526</f>
        <v>14</v>
      </c>
      <c r="X530" t="str">
        <v>x</v>
      </c>
      <c r="Y530">
        <f>D514</f>
        <v>2</v>
      </c>
      <c r="Z530" t="str">
        <v>=</v>
      </c>
      <c r="AA530">
        <f>N530*U530*W530*Y530</f>
        <v>0</v>
      </c>
    </row>
    <row r="534">
      <c r="A534" t="str">
        <f>A504</f>
        <v>Sloof</v>
      </c>
      <c r="B534">
        <v>17</v>
      </c>
      <c r="C534" t="str">
        <f>CONCATENATE(A534," no. ",B534)</f>
        <v>Sloof no. 17</v>
      </c>
      <c r="D534" t="str">
        <f>VLOOKUP(C534,'Data Panjang Balok'!$C$9:$N$424,2,FALSE)</f>
        <v>TB46-1</v>
      </c>
    </row>
    <row r="535">
      <c r="C535" t="str">
        <v>Dimensi</v>
      </c>
      <c r="D535">
        <f>VLOOKUP(D534,'Detail Balok'!$C$10:$AU$110,2,FALSE)</f>
        <v>400</v>
      </c>
      <c r="F535" t="str">
        <v>x</v>
      </c>
      <c r="G535">
        <f>VLOOKUP(D534,'Detail Balok'!$C$10:$AU$110,3,FALSE)</f>
        <v>600</v>
      </c>
    </row>
    <row r="536">
      <c r="C536" t="str">
        <v>Panjang as ke as</v>
      </c>
      <c r="D536">
        <f>VLOOKUP(C534,'Data Panjang Balok'!$C$9:$N$424,4,FALSE)</f>
        <v>3335</v>
      </c>
    </row>
    <row r="537">
      <c r="C537" t="str">
        <v>Panjang netto</v>
      </c>
      <c r="D537">
        <f>VLOOKUP(C534,'Data Panjang Balok'!$C$9:$N$424,7,FALSE)</f>
        <v>3335</v>
      </c>
    </row>
    <row r="538">
      <c r="C538" t="str">
        <v>Kolom / balok kiri</v>
      </c>
      <c r="D538">
        <f>VLOOKUP(C534,'Data Panjang Balok'!$C$9:$N$424,9,FALSE)</f>
        <v>0</v>
      </c>
    </row>
    <row r="539">
      <c r="C539" t="str">
        <v>Kolom / balok kanan</v>
      </c>
      <c r="D539">
        <f>VLOOKUP(C534,'Data Panjang Balok'!$C$9:$N$424,10,FALSE)</f>
        <v>0</v>
      </c>
    </row>
    <row r="540">
      <c r="C540" t="str">
        <v>Jumlah</v>
      </c>
      <c r="D540">
        <f>VLOOKUP(C534,'Data Panjang Balok'!$C$9:$N$424,3,FALSE)</f>
        <v>1</v>
      </c>
    </row>
    <row r="541">
      <c r="A541" t="str">
        <f>A534</f>
        <v>Sloof</v>
      </c>
      <c r="B541">
        <f>B534</f>
        <v>17</v>
      </c>
      <c r="C541" t="str">
        <v>Tul Atas Tumpuan</v>
      </c>
      <c r="D541">
        <f>VLOOKUP(D534,'Detail Balok'!$C$10:$AU$110,4,FALSE)</f>
        <v>9</v>
      </c>
      <c r="E541" t="str">
        <v>D</v>
      </c>
      <c r="F541">
        <f>VLOOKUP(D534,'Detail Balok'!$C$10:$AU$110,6,FALSE)</f>
        <v>19</v>
      </c>
      <c r="I541" t="str">
        <v>(</v>
      </c>
      <c r="J541">
        <f>+D536/4/1000</f>
        <v>0.83375</v>
      </c>
      <c r="K541" t="str">
        <v>+</v>
      </c>
      <c r="L541">
        <f>MAX(VLOOKUP(F541,N$6:P$15,3,FALSE)/1000,2/3*D538/1000)+F$16*F541/1000</f>
        <v>0.228</v>
      </c>
      <c r="M541" t="str">
        <v>=</v>
      </c>
      <c r="N541">
        <f>J541+L541</f>
        <v>1.06175</v>
      </c>
      <c r="O541" t="str">
        <v>+</v>
      </c>
      <c r="P541">
        <f>D541-D542</f>
        <v>0</v>
      </c>
      <c r="Q541" t="str">
        <v>x</v>
      </c>
      <c r="R541">
        <f>IF(P541&gt;0,$F$18*F541/1000,0)</f>
        <v>0</v>
      </c>
      <c r="S541" t="str">
        <v>)</v>
      </c>
      <c r="T541" t="str">
        <v>x</v>
      </c>
      <c r="U541">
        <f>0.006165*F541^2</f>
        <v>2.225565</v>
      </c>
      <c r="X541" t="str">
        <v>x</v>
      </c>
      <c r="Y541">
        <f>D540</f>
        <v>1</v>
      </c>
      <c r="Z541" t="str">
        <v>=</v>
      </c>
      <c r="AA541">
        <f>IF(AA544=0,(D541*N541+P541*R541)*U541*Y541,0)</f>
        <v>0</v>
      </c>
    </row>
    <row r="542">
      <c r="A542" t="str">
        <f>A534</f>
        <v>Sloof</v>
      </c>
      <c r="B542">
        <f>B534</f>
        <v>17</v>
      </c>
      <c r="C542" t="str">
        <v>Tul Atas Lapangan</v>
      </c>
      <c r="D542">
        <f>VLOOKUP(D534,'Detail Balok'!$C$10:$AU$110,7,FALSE)</f>
        <v>9</v>
      </c>
      <c r="E542" t="str">
        <v>D</v>
      </c>
      <c r="F542">
        <f>VLOOKUP(D534,'Detail Balok'!$C$10:$AU$110,9,FALSE)</f>
        <v>19</v>
      </c>
      <c r="I542" t="str">
        <v>(</v>
      </c>
      <c r="J542">
        <f>+D536/2/1000</f>
        <v>1.6675</v>
      </c>
      <c r="K542" t="str">
        <v>+</v>
      </c>
      <c r="M542" t="str">
        <v>=</v>
      </c>
      <c r="N542">
        <f>J542+L542</f>
        <v>1.6675</v>
      </c>
      <c r="O542" t="str">
        <v>+</v>
      </c>
      <c r="P542">
        <f>MAX(D542-D541,D542-D543)</f>
        <v>0</v>
      </c>
      <c r="Q542" t="str">
        <v>x</v>
      </c>
      <c r="R542">
        <f>IF(P542&gt;0,2*(1-2*$F$19-1/2)*D537/1000,0)</f>
        <v>0</v>
      </c>
      <c r="S542" t="str">
        <v>)</v>
      </c>
      <c r="T542" t="str">
        <v>x</v>
      </c>
      <c r="U542">
        <f>0.006165*F542^2</f>
        <v>2.225565</v>
      </c>
      <c r="X542" t="str">
        <v>x</v>
      </c>
      <c r="Y542">
        <f>D540</f>
        <v>1</v>
      </c>
      <c r="Z542" t="str">
        <v>=</v>
      </c>
      <c r="AA542">
        <f>IF(AA544=0,(D542*N542+P542*R542)*U542*Y542,0)</f>
        <v>0</v>
      </c>
    </row>
    <row r="543">
      <c r="A543" t="str">
        <f>A534</f>
        <v>Sloof</v>
      </c>
      <c r="B543">
        <f>B534</f>
        <v>17</v>
      </c>
      <c r="C543" t="str">
        <v>Tul Atas Tumpuan</v>
      </c>
      <c r="D543">
        <f>VLOOKUP(D534,'Detail Balok'!$C$10:$AU$110,10,FALSE)</f>
        <v>9</v>
      </c>
      <c r="E543" t="str">
        <v>D</v>
      </c>
      <c r="F543">
        <f>VLOOKUP(D534,'Detail Balok'!$C$10:$AU$110,12,FALSE)</f>
        <v>19</v>
      </c>
      <c r="I543" t="str">
        <v>(</v>
      </c>
      <c r="J543">
        <f>+D536/4/1000</f>
        <v>0.83375</v>
      </c>
      <c r="K543" t="str">
        <v>+</v>
      </c>
      <c r="L543">
        <f>MAX(VLOOKUP(F543,N$6:P$15,3,FALSE)/1000,2/3*D538/1000)+F$16*F543/1000</f>
        <v>0.228</v>
      </c>
      <c r="M543" t="str">
        <v>=</v>
      </c>
      <c r="N543">
        <f>J543+L543</f>
        <v>1.06175</v>
      </c>
      <c r="O543" t="str">
        <v>+</v>
      </c>
      <c r="P543">
        <f>D543-D542</f>
        <v>0</v>
      </c>
      <c r="Q543" t="str">
        <v>x</v>
      </c>
      <c r="R543">
        <f>IF(P543&gt;0,$F$18*F543/1000,0)</f>
        <v>0</v>
      </c>
      <c r="S543" t="str">
        <v>)</v>
      </c>
      <c r="T543" t="str">
        <v>x</v>
      </c>
      <c r="U543">
        <f>0.006165*F543^2</f>
        <v>2.225565</v>
      </c>
      <c r="X543" t="str">
        <v>x</v>
      </c>
      <c r="Y543">
        <f>D540</f>
        <v>1</v>
      </c>
      <c r="Z543" t="str">
        <v>=</v>
      </c>
      <c r="AA543">
        <f>IF(AA544=0,(D543*N543+P543*R543)*U543*Y543,0)</f>
        <v>0</v>
      </c>
    </row>
    <row r="544">
      <c r="A544" t="str">
        <f>A534</f>
        <v>Sloof</v>
      </c>
      <c r="B544">
        <f>B534</f>
        <v>17</v>
      </c>
      <c r="D544">
        <f>IF(AND(D541=D542,D542=D543,D541=D543),D541,0)</f>
        <v>9</v>
      </c>
      <c r="E544" t="str">
        <v>D</v>
      </c>
      <c r="F544">
        <f>IF(AND(F541=F542,F541=F543,F542=F543),F541,0)</f>
        <v>19</v>
      </c>
      <c r="L544" t="str">
        <v>Total panjang per balok</v>
      </c>
      <c r="M544" t="str">
        <v>=</v>
      </c>
      <c r="N544">
        <f>IF(AND(D541=D542,D541=D543,D542=D543,F541=F542,F541=F543,F542=F543),SUM(N541:N543),0)</f>
        <v>3.791</v>
      </c>
      <c r="O544" t="str">
        <v>+</v>
      </c>
      <c r="P544">
        <f>IF(N544&gt;12,ROUNDDOWN(N544/12,0),0)</f>
        <v>0</v>
      </c>
      <c r="Q544" t="str">
        <v>x</v>
      </c>
      <c r="R544">
        <f>IF(P544&gt;0,MAX(VLOOKUP(F544,$D$6:$G$15,3,FALSE),600),0)/1000</f>
        <v>0</v>
      </c>
      <c r="T544" t="str">
        <v>x</v>
      </c>
      <c r="U544">
        <f>U543</f>
        <v>2.225565</v>
      </c>
      <c r="V544" t="str">
        <v>x</v>
      </c>
      <c r="W544">
        <f>D544</f>
        <v>9</v>
      </c>
      <c r="X544" t="str">
        <v>x</v>
      </c>
      <c r="Y544">
        <f>Y543</f>
        <v>1</v>
      </c>
      <c r="Z544" t="str">
        <v>=</v>
      </c>
      <c r="AA544">
        <f>(N544+P544*R544/1000)*U544*W544*Y544</f>
        <v>75.93405223500001</v>
      </c>
    </row>
    <row r="546">
      <c r="A546" t="str">
        <f>A534</f>
        <v>Sloof</v>
      </c>
      <c r="B546">
        <f>B534</f>
        <v>17</v>
      </c>
      <c r="C546" t="str">
        <v>Tul Peminggang</v>
      </c>
      <c r="D546">
        <f>VLOOKUP(D534,'Detail Balok'!$C$10:$AU$110,13,FALSE)</f>
        <v>2</v>
      </c>
      <c r="E546" t="str">
        <v>D</v>
      </c>
      <c r="F546">
        <f>VLOOKUP(D534,'Detail Balok'!$C$10:$AU$110,15,FALSE)</f>
        <v>10</v>
      </c>
      <c r="J546">
        <f>+D536/1000</f>
        <v>3.335</v>
      </c>
      <c r="K546" t="str">
        <v>+</v>
      </c>
      <c r="L546">
        <f>2*$F$16*F546/1000</f>
        <v>0.24</v>
      </c>
      <c r="M546" t="str">
        <v>=</v>
      </c>
      <c r="N546">
        <f>J546+L546</f>
        <v>3.575</v>
      </c>
      <c r="O546" t="str">
        <v>+</v>
      </c>
      <c r="P546">
        <f>IF(N546&gt;12,ROUNDDOWN(N546/12,0),0)</f>
        <v>0</v>
      </c>
      <c r="Q546" t="str">
        <v>x</v>
      </c>
      <c r="R546">
        <f>IF(P546&gt;0,MAX(VLOOKUP(F546,$D$6:$G$15,3,FALSE),600),0)/1000</f>
        <v>0</v>
      </c>
      <c r="T546" t="str">
        <v>x</v>
      </c>
      <c r="U546">
        <f>0.006165*F546^2</f>
        <v>0.6165</v>
      </c>
      <c r="V546" t="str">
        <v>x</v>
      </c>
      <c r="W546">
        <f>+D546</f>
        <v>2</v>
      </c>
      <c r="X546" t="str">
        <v>x</v>
      </c>
      <c r="Y546">
        <f>D540</f>
        <v>1</v>
      </c>
      <c r="Z546" t="str">
        <v>=</v>
      </c>
      <c r="AA546">
        <f>(N546+P546*R546/1000)*U546*W546*Y546</f>
        <v>4.407975</v>
      </c>
    </row>
    <row r="549">
      <c r="A549" t="str">
        <f>A534</f>
        <v>Sloof</v>
      </c>
      <c r="B549">
        <f>B534</f>
        <v>17</v>
      </c>
      <c r="C549" t="str">
        <v>Tul Bawah Tumpuan</v>
      </c>
      <c r="D549">
        <f>VLOOKUP(D534,'Detail Balok'!$C$10:$AU$110,22,FALSE)</f>
        <v>5</v>
      </c>
      <c r="E549" t="str">
        <v>D</v>
      </c>
      <c r="F549">
        <f>VLOOKUP(D534,'Detail Balok'!$C$10:$AU$110,24,FALSE)</f>
        <v>19</v>
      </c>
      <c r="I549" t="str">
        <v>(</v>
      </c>
      <c r="J549">
        <f>+J541</f>
        <v>0.83375</v>
      </c>
      <c r="K549" t="str">
        <v>+</v>
      </c>
      <c r="L549">
        <f>MAX(VLOOKUP(F549,N$6:P$15,3,FALSE)/1000,2/3*D539/1000)+F$16*F549/1000</f>
        <v>0.228</v>
      </c>
      <c r="M549" t="str">
        <v>=</v>
      </c>
      <c r="N549">
        <f>J549+L549</f>
        <v>1.06175</v>
      </c>
      <c r="O549" t="str">
        <v>+</v>
      </c>
      <c r="P549">
        <f>D549-D550</f>
        <v>0</v>
      </c>
      <c r="Q549" t="str">
        <v>x</v>
      </c>
      <c r="R549">
        <f>IF(P549&gt;0,$F$18*F549/1000,0)</f>
        <v>0</v>
      </c>
      <c r="S549" t="str">
        <v>)</v>
      </c>
      <c r="T549" t="str">
        <v>x</v>
      </c>
      <c r="U549">
        <f>0.006165*F549^2</f>
        <v>2.225565</v>
      </c>
      <c r="X549" t="str">
        <v>x</v>
      </c>
      <c r="Y549">
        <f>D540</f>
        <v>1</v>
      </c>
      <c r="Z549" t="str">
        <v>=</v>
      </c>
      <c r="AA549">
        <f>IF(AA552=0,(D549*N549+P549*R549)*U549*Y549,0)</f>
        <v>0</v>
      </c>
    </row>
    <row r="550">
      <c r="A550" t="str">
        <f>A534</f>
        <v>Sloof</v>
      </c>
      <c r="B550">
        <f>B534</f>
        <v>17</v>
      </c>
      <c r="C550" t="str">
        <v>Tul Bawah Lapangan</v>
      </c>
      <c r="D550">
        <f>VLOOKUP(D534,'Detail Balok'!$C$10:$AU$110,25,FALSE)</f>
        <v>5</v>
      </c>
      <c r="E550" t="str">
        <v>D</v>
      </c>
      <c r="F550">
        <f>VLOOKUP(D534,'Detail Balok'!$C$10:$AU$110,27,FALSE)</f>
        <v>19</v>
      </c>
      <c r="I550" t="str">
        <v>(</v>
      </c>
      <c r="J550">
        <f>+J542</f>
        <v>1.6675</v>
      </c>
      <c r="K550" t="str">
        <v>+</v>
      </c>
      <c r="M550" t="str">
        <v>=</v>
      </c>
      <c r="N550">
        <f>J550+L550</f>
        <v>1.6675</v>
      </c>
      <c r="O550" t="str">
        <v>+</v>
      </c>
      <c r="P550">
        <f>MAX(D550-D549,D550-D551)</f>
        <v>0</v>
      </c>
      <c r="Q550" t="str">
        <v>x</v>
      </c>
      <c r="R550">
        <f>IF(P550&gt;0,2*(1-2*$F$19-1/2)*D537/1000,0)</f>
        <v>0</v>
      </c>
      <c r="S550" t="str">
        <v>)</v>
      </c>
      <c r="T550" t="str">
        <v>x</v>
      </c>
      <c r="U550">
        <f>0.006165*F550^2</f>
        <v>2.225565</v>
      </c>
      <c r="X550" t="str">
        <v>x</v>
      </c>
      <c r="Y550">
        <f>D540</f>
        <v>1</v>
      </c>
      <c r="Z550" t="str">
        <v>=</v>
      </c>
      <c r="AA550">
        <f>IF(AA552=0,(D550*N550+P550*R550)*U550*Y550,0)</f>
        <v>0</v>
      </c>
    </row>
    <row r="551">
      <c r="A551" t="str">
        <f>A534</f>
        <v>Sloof</v>
      </c>
      <c r="B551">
        <f>B534</f>
        <v>17</v>
      </c>
      <c r="C551" t="str">
        <v>Tul Bawah Tumpuan</v>
      </c>
      <c r="D551">
        <f>VLOOKUP(D534,'Detail Balok'!$C$10:$AU$110,28,FALSE)</f>
        <v>5</v>
      </c>
      <c r="E551" t="str">
        <v>D</v>
      </c>
      <c r="F551">
        <f>VLOOKUP(D534,'Detail Balok'!$C$10:$AU$110,30,FALSE)</f>
        <v>19</v>
      </c>
      <c r="I551" t="str">
        <v>(</v>
      </c>
      <c r="J551">
        <f>+J543</f>
        <v>0.83375</v>
      </c>
      <c r="K551" t="str">
        <v>+</v>
      </c>
      <c r="L551">
        <f>MAX(VLOOKUP(F551,N$6:P$15,3,FALSE)/1000,2/3*D539/1000)+F$16*F551/1000</f>
        <v>0.228</v>
      </c>
      <c r="M551" t="str">
        <v>=</v>
      </c>
      <c r="N551">
        <f>J551+L551</f>
        <v>1.06175</v>
      </c>
      <c r="O551" t="str">
        <v>+</v>
      </c>
      <c r="P551">
        <f>D551-D550</f>
        <v>0</v>
      </c>
      <c r="Q551" t="str">
        <v>x</v>
      </c>
      <c r="R551">
        <f>IF(P551&gt;0,$F$18*F551/1000,0)</f>
        <v>0</v>
      </c>
      <c r="S551" t="str">
        <v>)</v>
      </c>
      <c r="T551" t="str">
        <v>x</v>
      </c>
      <c r="U551">
        <f>0.006165*F551^2</f>
        <v>2.225565</v>
      </c>
      <c r="X551" t="str">
        <v>x</v>
      </c>
      <c r="Y551">
        <f>D540</f>
        <v>1</v>
      </c>
      <c r="Z551" t="str">
        <v>=</v>
      </c>
      <c r="AA551">
        <f>IF(AA552=0,(D551*N551+P551*R551)*U551*Y551,0)</f>
        <v>0</v>
      </c>
    </row>
    <row r="552">
      <c r="A552" t="str">
        <f>A534</f>
        <v>Sloof</v>
      </c>
      <c r="B552">
        <f>B534</f>
        <v>17</v>
      </c>
      <c r="D552">
        <f>IF(AND(D549=D550,D550=D551,D549=D551),D549,0)</f>
        <v>5</v>
      </c>
      <c r="E552" t="str">
        <v>D</v>
      </c>
      <c r="F552">
        <f>IF(AND(F549=F550,F549=F551,F550=F551),F549,0)</f>
        <v>19</v>
      </c>
      <c r="L552" t="str">
        <v>Total panjang per balok</v>
      </c>
      <c r="M552" t="str">
        <v>=</v>
      </c>
      <c r="N552">
        <f>IF(AND(D549=D550,D549=D551,D550=D551,F549=F550,F549=F551,F550=F551),SUM(N549:N551),0)</f>
        <v>3.791</v>
      </c>
      <c r="O552" t="str">
        <v>+</v>
      </c>
      <c r="P552">
        <f>IF(N552&gt;12,ROUNDDOWN(N552/12,0),0)</f>
        <v>0</v>
      </c>
      <c r="Q552" t="str">
        <v>x</v>
      </c>
      <c r="R552">
        <f>IF(P552&gt;0,MAX(VLOOKUP(F552,$D$6:$G$15,3,FALSE),600),0)/1000</f>
        <v>0</v>
      </c>
      <c r="T552" t="str">
        <v>x</v>
      </c>
      <c r="U552">
        <f>U551</f>
        <v>2.225565</v>
      </c>
      <c r="V552" t="str">
        <v>x</v>
      </c>
      <c r="W552">
        <f>D552</f>
        <v>5</v>
      </c>
      <c r="X552" t="str">
        <v>x</v>
      </c>
      <c r="Y552">
        <f>Y551</f>
        <v>1</v>
      </c>
      <c r="Z552" t="str">
        <v>=</v>
      </c>
      <c r="AA552">
        <f>(N552+P552*R552/1000)*U552*W552*Y552</f>
        <v>42.18558457500001</v>
      </c>
    </row>
    <row r="554">
      <c r="A554" t="str">
        <f>A534</f>
        <v>Sloof</v>
      </c>
      <c r="B554">
        <f>B534</f>
        <v>17</v>
      </c>
      <c r="C554" t="str">
        <v>Sengkang Tumpuan</v>
      </c>
      <c r="D554">
        <f>VLOOKUP(D534,'Detail Balok'!$C$10:$AU$110,31,FALSE)</f>
        <v>0</v>
      </c>
      <c r="E554" t="str">
        <v>D</v>
      </c>
      <c r="F554">
        <f>VLOOKUP(D534,'Detail Balok'!$C$10:$AU$110,33,FALSE)</f>
        <v>10</v>
      </c>
      <c r="G554" t="str">
        <v>-</v>
      </c>
      <c r="H554">
        <f>VLOOKUP(D534,'Detail Balok'!$C$10:$AU$110,35,FALSE)</f>
        <v>200</v>
      </c>
      <c r="J554">
        <f>(IF(D554=0,(2*(D535+G535))-(F$5*8),IF(D554=3,(2*(D535+G535))-(F$5*8)+(G535-2*F$5),IF(D554=4,(2*(D535+G535))-(F$5*8)+2*(G535-2*F$5)))))/1000</f>
        <v>1.68</v>
      </c>
      <c r="K554" t="str">
        <v>+</v>
      </c>
      <c r="L554">
        <f>IF(D554=0,2*MAX(6*F554,75),(D554-1)*2*MAX(6*F554,75))/1000</f>
        <v>0.15</v>
      </c>
      <c r="M554" t="str">
        <v>=</v>
      </c>
      <c r="N554">
        <f>J554+L554</f>
        <v>1.8299999999999998</v>
      </c>
      <c r="T554" t="str">
        <v>x</v>
      </c>
      <c r="U554">
        <f>0.006165*F554^2</f>
        <v>0.6165</v>
      </c>
      <c r="V554" t="str">
        <v>x</v>
      </c>
      <c r="W554">
        <f>IF(D537&gt;4*G535,ROUND(MAX(D537/4,2*G535)/H554,0)+1,ROUND(D537/H554,0)+1)</f>
        <v>7</v>
      </c>
      <c r="X554" t="str">
        <v>x</v>
      </c>
      <c r="Y554">
        <f>D540</f>
        <v>1</v>
      </c>
      <c r="Z554" t="str">
        <v>=</v>
      </c>
      <c r="AA554">
        <f>N554*U554*W554*Y554</f>
        <v>7.897365000000001</v>
      </c>
    </row>
    <row r="555">
      <c r="A555" t="str">
        <f>A534</f>
        <v>Sloof</v>
      </c>
      <c r="B555">
        <f>B534</f>
        <v>17</v>
      </c>
      <c r="C555" t="str">
        <v>Sengkang Lapangan</v>
      </c>
      <c r="D555">
        <f>VLOOKUP(D534,'Detail Balok'!$C$10:$AU$110,36,FALSE)</f>
        <v>0</v>
      </c>
      <c r="E555" t="str">
        <v>D</v>
      </c>
      <c r="F555">
        <f>VLOOKUP(D534,'Detail Balok'!$C$10:$AU$110,38,FALSE)</f>
        <v>10</v>
      </c>
      <c r="G555" t="str">
        <v>-</v>
      </c>
      <c r="H555">
        <f>VLOOKUP(D534,'Detail Balok'!$C$10:$AU$110,40,FALSE)</f>
        <v>200</v>
      </c>
      <c r="J555">
        <f>(IF(D555=0,(2*(D535+G535))-(F$5*8),IF(D555=3,(2*(D535+G535))-(F$5*8)+(G535-2*F$5),IF(D555=4,(2*(D535+G535))-(F$5*8)+2*(G535-2*F$5)))))/1000</f>
        <v>1.68</v>
      </c>
      <c r="K555" t="str">
        <v>+</v>
      </c>
      <c r="L555">
        <f>IF(D555=0,2*MAX(6*F555,75),(D555-1)*2*MAX(6*F555,75))/1000</f>
        <v>0.15</v>
      </c>
      <c r="M555" t="str">
        <v>=</v>
      </c>
      <c r="N555">
        <f>J555+L555</f>
        <v>1.8299999999999998</v>
      </c>
      <c r="T555" t="str">
        <v>x</v>
      </c>
      <c r="U555">
        <f>0.006165*F555^2</f>
        <v>0.6165</v>
      </c>
      <c r="V555" t="str">
        <v>x</v>
      </c>
      <c r="W555">
        <f>IF(D537-MAX(D537/4,2*G535)*2&gt;0,ROUND((D537-MAX(D537/4,2*G535)*2)/H555,0),0)</f>
        <v>5</v>
      </c>
      <c r="X555" t="str">
        <v>x</v>
      </c>
      <c r="Y555">
        <f>D540</f>
        <v>1</v>
      </c>
      <c r="Z555" t="str">
        <v>=</v>
      </c>
      <c r="AA555">
        <f>N555*U555*W555*Y555</f>
        <v>5.640975</v>
      </c>
    </row>
    <row r="556">
      <c r="A556" t="str">
        <f>A534</f>
        <v>Sloof</v>
      </c>
      <c r="B556">
        <f>B534</f>
        <v>17</v>
      </c>
      <c r="C556" t="str">
        <v>Sengkang Tumpuan</v>
      </c>
      <c r="D556">
        <f>VLOOKUP(D534,'Detail Balok'!$C$10:$AU$110,41,FALSE)</f>
        <v>0</v>
      </c>
      <c r="E556" t="str">
        <v>D</v>
      </c>
      <c r="F556">
        <f>VLOOKUP(D534,'Detail Balok'!$C$10:$AU$110,43,FALSE)</f>
        <v>10</v>
      </c>
      <c r="G556" t="str">
        <v>-</v>
      </c>
      <c r="H556">
        <f>VLOOKUP(D534,'Detail Balok'!$C$10:$AU$110,45,FALSE)</f>
        <v>200</v>
      </c>
      <c r="J556">
        <f>(IF(D556=0,(2*(D535+G535))-(F$5*8),IF(D556=3,(2*(D535+G535))-(F$5*8)+(G535-2*F$5),IF(D556=4,(2*(D535+G535))-(F$5*8)+2*(G535-2*F$5)))))/1000</f>
        <v>1.68</v>
      </c>
      <c r="K556" t="str">
        <v>+</v>
      </c>
      <c r="L556">
        <f>IF(D556=0,2*MAX(6*F556,75),(D556-1)*2*MAX(6*F556,75))/1000</f>
        <v>0.15</v>
      </c>
      <c r="M556" t="str">
        <v>=</v>
      </c>
      <c r="N556">
        <f>J556+L556</f>
        <v>1.8299999999999998</v>
      </c>
      <c r="T556" t="str">
        <v>x</v>
      </c>
      <c r="U556">
        <f>0.006165*F556^2</f>
        <v>0.6165</v>
      </c>
      <c r="V556" t="str">
        <v>x</v>
      </c>
      <c r="W556">
        <f>IF(D537&gt;4*G535,ROUND(MAX(D537/4,2*G535)/H556,0)+1,0)</f>
        <v>7</v>
      </c>
      <c r="X556" t="str">
        <v>x</v>
      </c>
      <c r="Y556">
        <f>D540</f>
        <v>1</v>
      </c>
      <c r="Z556" t="str">
        <v>=</v>
      </c>
      <c r="AA556">
        <f>N556*U556*W556*Y556</f>
        <v>7.897365000000001</v>
      </c>
    </row>
    <row r="558">
      <c r="A558" t="str">
        <f>A534</f>
        <v>Sloof</v>
      </c>
      <c r="B558">
        <f>B534</f>
        <v>17</v>
      </c>
      <c r="C558" t="str">
        <v>Kait Horizontal Tump.</v>
      </c>
      <c r="D558">
        <f>VLOOKUP(D534,'Detail Balok'!$C$10:$BJ$110,46,FALSE)</f>
        <v>0</v>
      </c>
      <c r="E558" t="str">
        <v>D</v>
      </c>
      <c r="F558">
        <f>VLOOKUP(D534,'Detail Balok'!$C$10:$BJ$110,48,FALSE)</f>
        <v>0</v>
      </c>
      <c r="G558" t="str">
        <v>-</v>
      </c>
      <c r="H558">
        <f>VLOOKUP(D534,'Detail Balok'!$C$10:$BJ$110,50,FALSE)</f>
        <v>100</v>
      </c>
      <c r="J558">
        <f>(D535-2*F$5)/1000</f>
        <v>0.32</v>
      </c>
      <c r="K558" t="str">
        <v>+</v>
      </c>
      <c r="L558">
        <f>IF(D558=0,2*MAX(6*F558,75),(D558-1)*2*MAX(6*F558,75))/1000</f>
        <v>0.15</v>
      </c>
      <c r="M558" t="str">
        <v>=</v>
      </c>
      <c r="N558">
        <f>J558+L558</f>
        <v>0.47</v>
      </c>
      <c r="T558" t="str">
        <v>x</v>
      </c>
      <c r="U558">
        <f>0.006165*F558^2</f>
        <v>0</v>
      </c>
      <c r="V558" t="str">
        <v>x</v>
      </c>
      <c r="W558">
        <f>W554</f>
        <v>7</v>
      </c>
      <c r="X558" t="str">
        <v>x</v>
      </c>
      <c r="Y558">
        <f>D544</f>
        <v>9</v>
      </c>
      <c r="Z558" t="str">
        <v>=</v>
      </c>
      <c r="AA558">
        <f>N558*U558*W558*Y558</f>
        <v>0</v>
      </c>
    </row>
    <row r="559">
      <c r="A559" t="str">
        <f>A534</f>
        <v>Sloof</v>
      </c>
      <c r="B559">
        <f>B534</f>
        <v>17</v>
      </c>
      <c r="C559" t="str">
        <v>Kait Horizontal Lap.</v>
      </c>
      <c r="D559">
        <f>VLOOKUP(D534,'Detail Balok'!$C$10:$BJ$110,51,FALSE)</f>
        <v>0</v>
      </c>
      <c r="E559" t="str">
        <v>D</v>
      </c>
      <c r="F559">
        <f>VLOOKUP(D534,'Detail Balok'!$C$10:$BJ$110,53,FALSE)</f>
        <v>0</v>
      </c>
      <c r="G559" t="str">
        <v>-</v>
      </c>
      <c r="H559">
        <f>VLOOKUP(D534,'Detail Balok'!$C$10:$BJ$110,55,FALSE)</f>
        <v>100</v>
      </c>
      <c r="J559">
        <f>(D535-2*F$5)/1000</f>
        <v>0.32</v>
      </c>
      <c r="K559" t="str">
        <v>+</v>
      </c>
      <c r="L559">
        <f>IF(D559=0,2*MAX(6*F559,75),(D559-1)*2*MAX(6*F559,75))/1000</f>
        <v>0.15</v>
      </c>
      <c r="M559" t="str">
        <v>=</v>
      </c>
      <c r="N559">
        <f>J559+L559</f>
        <v>0.47</v>
      </c>
      <c r="T559" t="str">
        <v>x</v>
      </c>
      <c r="U559">
        <f>0.006165*F559^2</f>
        <v>0</v>
      </c>
      <c r="V559" t="str">
        <v>x</v>
      </c>
      <c r="W559">
        <f>W555</f>
        <v>5</v>
      </c>
      <c r="X559" t="str">
        <v>x</v>
      </c>
      <c r="Y559">
        <f>D544</f>
        <v>9</v>
      </c>
      <c r="Z559" t="str">
        <v>=</v>
      </c>
      <c r="AA559">
        <f>N559*U559*W559*Y559</f>
        <v>0</v>
      </c>
    </row>
    <row r="560">
      <c r="A560" t="str">
        <f>A534</f>
        <v>Sloof</v>
      </c>
      <c r="B560">
        <f>B534</f>
        <v>17</v>
      </c>
      <c r="C560" t="str">
        <v>Kait Horizontal Tump.</v>
      </c>
      <c r="D560">
        <f>VLOOKUP(D534,'Detail Balok'!$C$10:$BJ$110,56,FALSE)</f>
        <v>0</v>
      </c>
      <c r="E560" t="str">
        <v>D</v>
      </c>
      <c r="F560">
        <f>VLOOKUP(D534,'Detail Balok'!$C$10:$BJ$110,58,FALSE)</f>
        <v>0</v>
      </c>
      <c r="G560" t="str">
        <v>-</v>
      </c>
      <c r="H560">
        <f>VLOOKUP(D534,'Detail Balok'!$C$10:$BJ$110,60,FALSE)</f>
        <v>100</v>
      </c>
      <c r="J560">
        <f>(D535-2*F$5)/1000</f>
        <v>0.32</v>
      </c>
      <c r="K560" t="str">
        <v>+</v>
      </c>
      <c r="L560">
        <f>IF(D560=0,2*MAX(6*F560,75),(D560-1)*2*MAX(6*F560,75))/1000</f>
        <v>0.15</v>
      </c>
      <c r="M560" t="str">
        <v>=</v>
      </c>
      <c r="N560">
        <f>J560+L560</f>
        <v>0.47</v>
      </c>
      <c r="T560" t="str">
        <v>x</v>
      </c>
      <c r="U560">
        <f>0.006165*F560^2</f>
        <v>0</v>
      </c>
      <c r="V560" t="str">
        <v>x</v>
      </c>
      <c r="W560">
        <f>W556</f>
        <v>7</v>
      </c>
      <c r="X560" t="str">
        <v>x</v>
      </c>
      <c r="Y560">
        <f>D544</f>
        <v>9</v>
      </c>
      <c r="Z560" t="str">
        <v>=</v>
      </c>
      <c r="AA560">
        <f>N560*U560*W560*Y560</f>
        <v>0</v>
      </c>
    </row>
    <row r="564">
      <c r="A564" t="str">
        <f>A534</f>
        <v>Sloof</v>
      </c>
      <c r="B564">
        <f>B534+1</f>
        <v>18</v>
      </c>
      <c r="C564" t="str">
        <f>CONCATENATE(A564," no. ",B564)</f>
        <v>Sloof no. 18</v>
      </c>
      <c r="D564" t="str">
        <f>VLOOKUP(C564,'Data Panjang Balok'!$C$9:$N$424,2,FALSE)</f>
        <v>TB25-2</v>
      </c>
    </row>
    <row r="565">
      <c r="C565" t="str">
        <v>Dimensi</v>
      </c>
      <c r="D565">
        <f>VLOOKUP(D564,'Detail Balok'!$C$10:$AU$110,2,FALSE)</f>
        <v>200</v>
      </c>
      <c r="F565" t="str">
        <v>x</v>
      </c>
      <c r="G565">
        <f>VLOOKUP(D564,'Detail Balok'!$C$10:$AU$110,3,FALSE)</f>
        <v>500</v>
      </c>
    </row>
    <row r="566">
      <c r="C566" t="str">
        <v>Panjang as ke as</v>
      </c>
      <c r="D566">
        <f>VLOOKUP(C564,'Data Panjang Balok'!$C$9:$N$424,4,FALSE)</f>
        <v>5165</v>
      </c>
    </row>
    <row r="567">
      <c r="C567" t="str">
        <v>Panjang netto</v>
      </c>
      <c r="D567">
        <f>VLOOKUP(C564,'Data Panjang Balok'!$C$9:$N$424,7,FALSE)</f>
        <v>5165</v>
      </c>
    </row>
    <row r="568">
      <c r="C568" t="str">
        <v>Kolom / balok kiri</v>
      </c>
      <c r="D568">
        <f>VLOOKUP(C564,'Data Panjang Balok'!$C$9:$N$424,9,FALSE)</f>
        <v>0</v>
      </c>
    </row>
    <row r="569">
      <c r="C569" t="str">
        <v>Kolom / balok kanan</v>
      </c>
      <c r="D569">
        <f>VLOOKUP(C564,'Data Panjang Balok'!$C$9:$N$424,10,FALSE)</f>
        <v>0</v>
      </c>
    </row>
    <row r="570">
      <c r="C570" t="str">
        <v>Jumlah</v>
      </c>
      <c r="D570">
        <f>VLOOKUP(C564,'Data Panjang Balok'!$C$9:$N$424,3,FALSE)</f>
        <v>1</v>
      </c>
    </row>
    <row r="571">
      <c r="A571" t="str">
        <f>A564</f>
        <v>Sloof</v>
      </c>
      <c r="B571">
        <f>B564</f>
        <v>18</v>
      </c>
      <c r="C571" t="str">
        <v>Tul Atas Tumpuan</v>
      </c>
      <c r="D571">
        <f>VLOOKUP(D564,'Detail Balok'!$C$10:$AU$110,4,FALSE)</f>
        <v>4</v>
      </c>
      <c r="E571" t="str">
        <v>D</v>
      </c>
      <c r="F571">
        <f>VLOOKUP(D564,'Detail Balok'!$C$10:$AU$110,6,FALSE)</f>
        <v>16</v>
      </c>
      <c r="I571" t="str">
        <v>(</v>
      </c>
      <c r="J571">
        <f>+D566/4/1000</f>
        <v>1.29125</v>
      </c>
      <c r="K571" t="str">
        <v>+</v>
      </c>
      <c r="L571">
        <f>MAX(VLOOKUP(F571,N$6:P$15,3,FALSE)/1000,2/3*D568/1000)+F$16*F571/1000</f>
        <v>0.192</v>
      </c>
      <c r="M571" t="str">
        <v>=</v>
      </c>
      <c r="N571">
        <f>J571+L571</f>
        <v>1.48325</v>
      </c>
      <c r="O571" t="str">
        <v>+</v>
      </c>
      <c r="P571">
        <f>D571-D572</f>
        <v>2</v>
      </c>
      <c r="Q571" t="str">
        <v>x</v>
      </c>
      <c r="R571">
        <f>IF(P571&gt;0,$F$18*F571/1000,0)</f>
        <v>0.24</v>
      </c>
      <c r="S571" t="str">
        <v>)</v>
      </c>
      <c r="T571" t="str">
        <v>x</v>
      </c>
      <c r="U571">
        <f>0.006165*F571^2</f>
        <v>1.57824</v>
      </c>
      <c r="X571" t="str">
        <v>x</v>
      </c>
      <c r="Y571">
        <f>D570</f>
        <v>1</v>
      </c>
      <c r="Z571" t="str">
        <v>=</v>
      </c>
      <c r="AA571">
        <f>IF(AA574=0,(D571*N571+P571*R571)*U571*Y571,0)</f>
        <v>10.12125312</v>
      </c>
    </row>
    <row r="572">
      <c r="A572" t="str">
        <f>A564</f>
        <v>Sloof</v>
      </c>
      <c r="B572">
        <f>B564</f>
        <v>18</v>
      </c>
      <c r="C572" t="str">
        <v>Tul Atas Lapangan</v>
      </c>
      <c r="D572">
        <f>VLOOKUP(D564,'Detail Balok'!$C$10:$AU$110,7,FALSE)</f>
        <v>2</v>
      </c>
      <c r="E572" t="str">
        <v>D</v>
      </c>
      <c r="F572">
        <f>VLOOKUP(D564,'Detail Balok'!$C$10:$AU$110,9,FALSE)</f>
        <v>16</v>
      </c>
      <c r="I572" t="str">
        <v>(</v>
      </c>
      <c r="J572">
        <f>+D566/2/1000</f>
        <v>2.5825</v>
      </c>
      <c r="K572" t="str">
        <v>+</v>
      </c>
      <c r="M572" t="str">
        <v>=</v>
      </c>
      <c r="N572">
        <f>J572+L572</f>
        <v>2.5825</v>
      </c>
      <c r="O572" t="str">
        <v>+</v>
      </c>
      <c r="P572">
        <f>MAX(D572-D571,D572-D573)</f>
        <v>-2</v>
      </c>
      <c r="Q572" t="str">
        <v>x</v>
      </c>
      <c r="R572">
        <f>IF(P572&gt;0,2*(1-2*$F$19-1/2)*D567/1000,0)</f>
        <v>0</v>
      </c>
      <c r="S572" t="str">
        <v>)</v>
      </c>
      <c r="T572" t="str">
        <v>x</v>
      </c>
      <c r="U572">
        <f>0.006165*F572^2</f>
        <v>1.57824</v>
      </c>
      <c r="X572" t="str">
        <v>x</v>
      </c>
      <c r="Y572">
        <f>D570</f>
        <v>1</v>
      </c>
      <c r="Z572" t="str">
        <v>=</v>
      </c>
      <c r="AA572">
        <f>IF(AA574=0,(D572*N572+P572*R572)*U572*Y572,0)</f>
        <v>8.1516096</v>
      </c>
    </row>
    <row r="573">
      <c r="A573" t="str">
        <f>A564</f>
        <v>Sloof</v>
      </c>
      <c r="B573">
        <f>B564</f>
        <v>18</v>
      </c>
      <c r="C573" t="str">
        <v>Tul Atas Tumpuan</v>
      </c>
      <c r="D573">
        <f>VLOOKUP(D564,'Detail Balok'!$C$10:$AU$110,10,FALSE)</f>
        <v>4</v>
      </c>
      <c r="E573" t="str">
        <v>D</v>
      </c>
      <c r="F573">
        <f>VLOOKUP(D564,'Detail Balok'!$C$10:$AU$110,12,FALSE)</f>
        <v>16</v>
      </c>
      <c r="I573" t="str">
        <v>(</v>
      </c>
      <c r="J573">
        <f>+D566/4/1000</f>
        <v>1.29125</v>
      </c>
      <c r="K573" t="str">
        <v>+</v>
      </c>
      <c r="L573">
        <f>MAX(VLOOKUP(F573,N$6:P$15,3,FALSE)/1000,2/3*D568/1000)+F$16*F573/1000</f>
        <v>0.192</v>
      </c>
      <c r="M573" t="str">
        <v>=</v>
      </c>
      <c r="N573">
        <f>J573+L573</f>
        <v>1.48325</v>
      </c>
      <c r="O573" t="str">
        <v>+</v>
      </c>
      <c r="P573">
        <f>D573-D572</f>
        <v>2</v>
      </c>
      <c r="Q573" t="str">
        <v>x</v>
      </c>
      <c r="R573">
        <f>IF(P573&gt;0,$F$18*F573/1000,0)</f>
        <v>0.24</v>
      </c>
      <c r="S573" t="str">
        <v>)</v>
      </c>
      <c r="T573" t="str">
        <v>x</v>
      </c>
      <c r="U573">
        <f>0.006165*F573^2</f>
        <v>1.57824</v>
      </c>
      <c r="X573" t="str">
        <v>x</v>
      </c>
      <c r="Y573">
        <f>D570</f>
        <v>1</v>
      </c>
      <c r="Z573" t="str">
        <v>=</v>
      </c>
      <c r="AA573">
        <f>IF(AA574=0,(D573*N573+P573*R573)*U573*Y573,0)</f>
        <v>10.12125312</v>
      </c>
    </row>
    <row r="574">
      <c r="A574" t="str">
        <f>A564</f>
        <v>Sloof</v>
      </c>
      <c r="B574">
        <f>B564</f>
        <v>18</v>
      </c>
      <c r="D574">
        <f>IF(AND(D571=D572,D572=D573,D571=D573),D571,0)</f>
        <v>0</v>
      </c>
      <c r="E574" t="str">
        <v>D</v>
      </c>
      <c r="F574">
        <f>IF(AND(F571=F572,F571=F573,F572=F573),F571,0)</f>
        <v>16</v>
      </c>
      <c r="L574" t="str">
        <v>Total panjang per balok</v>
      </c>
      <c r="M574" t="str">
        <v>=</v>
      </c>
      <c r="N574">
        <f>IF(AND(D571=D572,D571=D573,D572=D573,F571=F572,F571=F573,F572=F573),SUM(N571:N573),0)</f>
        <v>0</v>
      </c>
      <c r="O574" t="str">
        <v>+</v>
      </c>
      <c r="P574">
        <f>IF(N574&gt;12,ROUNDDOWN(N574/12,0),0)</f>
        <v>0</v>
      </c>
      <c r="Q574" t="str">
        <v>x</v>
      </c>
      <c r="R574">
        <f>IF(P574&gt;0,MAX(VLOOKUP(F574,$D$6:$G$15,3,FALSE),600),0)/1000</f>
        <v>0</v>
      </c>
      <c r="T574" t="str">
        <v>x</v>
      </c>
      <c r="U574">
        <f>U573</f>
        <v>1.57824</v>
      </c>
      <c r="V574" t="str">
        <v>x</v>
      </c>
      <c r="W574">
        <f>D574</f>
        <v>0</v>
      </c>
      <c r="X574" t="str">
        <v>x</v>
      </c>
      <c r="Y574">
        <f>Y573</f>
        <v>1</v>
      </c>
      <c r="Z574" t="str">
        <v>=</v>
      </c>
      <c r="AA574">
        <f>(N574+P574*R574/1000)*U574*W574*Y574</f>
        <v>0</v>
      </c>
    </row>
    <row r="576">
      <c r="A576" t="str">
        <f>A564</f>
        <v>Sloof</v>
      </c>
      <c r="B576">
        <f>B564</f>
        <v>18</v>
      </c>
      <c r="C576" t="str">
        <v>Tul Peminggang</v>
      </c>
      <c r="D576">
        <f>VLOOKUP(D564,'Detail Balok'!$C$10:$AU$110,13,FALSE)</f>
        <v>2</v>
      </c>
      <c r="E576" t="str">
        <v>D</v>
      </c>
      <c r="F576">
        <f>VLOOKUP(D564,'Detail Balok'!$C$10:$AU$110,15,FALSE)</f>
        <v>10</v>
      </c>
      <c r="J576">
        <f>+D566/1000</f>
        <v>5.165</v>
      </c>
      <c r="K576" t="str">
        <v>+</v>
      </c>
      <c r="L576">
        <f>2*$F$16*F576/1000</f>
        <v>0.24</v>
      </c>
      <c r="M576" t="str">
        <v>=</v>
      </c>
      <c r="N576">
        <f>J576+L576</f>
        <v>5.405</v>
      </c>
      <c r="O576" t="str">
        <v>+</v>
      </c>
      <c r="P576">
        <f>IF(N576&gt;12,ROUNDDOWN(N576/12,0),0)</f>
        <v>0</v>
      </c>
      <c r="Q576" t="str">
        <v>x</v>
      </c>
      <c r="R576">
        <f>IF(P576&gt;0,MAX(VLOOKUP(F576,$D$6:$G$15,3,FALSE),600),0)/1000</f>
        <v>0</v>
      </c>
      <c r="T576" t="str">
        <v>x</v>
      </c>
      <c r="U576">
        <f>0.006165*F576^2</f>
        <v>0.6165</v>
      </c>
      <c r="V576" t="str">
        <v>x</v>
      </c>
      <c r="W576">
        <f>+D576</f>
        <v>2</v>
      </c>
      <c r="X576" t="str">
        <v>x</v>
      </c>
      <c r="Y576">
        <f>D570</f>
        <v>1</v>
      </c>
      <c r="Z576" t="str">
        <v>=</v>
      </c>
      <c r="AA576">
        <f>(N576+P576*R576/1000)*U576*W576*Y576</f>
        <v>6.664365000000001</v>
      </c>
    </row>
    <row r="579">
      <c r="A579" t="str">
        <f>A564</f>
        <v>Sloof</v>
      </c>
      <c r="B579">
        <f>B564</f>
        <v>18</v>
      </c>
      <c r="C579" t="str">
        <v>Tul Bawah Tumpuan</v>
      </c>
      <c r="D579">
        <f>VLOOKUP(D564,'Detail Balok'!$C$10:$AU$110,22,FALSE)</f>
        <v>4</v>
      </c>
      <c r="E579" t="str">
        <v>D</v>
      </c>
      <c r="F579">
        <f>VLOOKUP(D564,'Detail Balok'!$C$10:$AU$110,24,FALSE)</f>
        <v>16</v>
      </c>
      <c r="I579" t="str">
        <v>(</v>
      </c>
      <c r="J579">
        <f>+J571</f>
        <v>1.29125</v>
      </c>
      <c r="K579" t="str">
        <v>+</v>
      </c>
      <c r="L579">
        <f>MAX(VLOOKUP(F579,N$6:P$15,3,FALSE)/1000,2/3*D569/1000)+F$16*F579/1000</f>
        <v>0.192</v>
      </c>
      <c r="M579" t="str">
        <v>=</v>
      </c>
      <c r="N579">
        <f>J579+L579</f>
        <v>1.48325</v>
      </c>
      <c r="O579" t="str">
        <v>+</v>
      </c>
      <c r="P579">
        <f>D579-D580</f>
        <v>0</v>
      </c>
      <c r="Q579" t="str">
        <v>x</v>
      </c>
      <c r="R579">
        <f>IF(P579&gt;0,$F$18*F579/1000,0)</f>
        <v>0</v>
      </c>
      <c r="S579" t="str">
        <v>)</v>
      </c>
      <c r="T579" t="str">
        <v>x</v>
      </c>
      <c r="U579">
        <f>0.006165*F579^2</f>
        <v>1.57824</v>
      </c>
      <c r="X579" t="str">
        <v>x</v>
      </c>
      <c r="Y579">
        <f>D570</f>
        <v>1</v>
      </c>
      <c r="Z579" t="str">
        <v>=</v>
      </c>
      <c r="AA579">
        <f>IF(AA582=0,(D579*N579+P579*R579)*U579*Y579,0)</f>
        <v>0</v>
      </c>
    </row>
    <row r="580">
      <c r="A580" t="str">
        <f>A564</f>
        <v>Sloof</v>
      </c>
      <c r="B580">
        <f>B564</f>
        <v>18</v>
      </c>
      <c r="C580" t="str">
        <v>Tul Bawah Lapangan</v>
      </c>
      <c r="D580">
        <f>VLOOKUP(D564,'Detail Balok'!$C$10:$AU$110,25,FALSE)</f>
        <v>4</v>
      </c>
      <c r="E580" t="str">
        <v>D</v>
      </c>
      <c r="F580">
        <f>VLOOKUP(D564,'Detail Balok'!$C$10:$AU$110,27,FALSE)</f>
        <v>16</v>
      </c>
      <c r="I580" t="str">
        <v>(</v>
      </c>
      <c r="J580">
        <f>+J572</f>
        <v>2.5825</v>
      </c>
      <c r="K580" t="str">
        <v>+</v>
      </c>
      <c r="M580" t="str">
        <v>=</v>
      </c>
      <c r="N580">
        <f>J580+L580</f>
        <v>2.5825</v>
      </c>
      <c r="O580" t="str">
        <v>+</v>
      </c>
      <c r="P580">
        <f>MAX(D580-D579,D580-D581)</f>
        <v>0</v>
      </c>
      <c r="Q580" t="str">
        <v>x</v>
      </c>
      <c r="R580">
        <f>IF(P580&gt;0,2*(1-2*$F$19-1/2)*D567/1000,0)</f>
        <v>0</v>
      </c>
      <c r="S580" t="str">
        <v>)</v>
      </c>
      <c r="T580" t="str">
        <v>x</v>
      </c>
      <c r="U580">
        <f>0.006165*F580^2</f>
        <v>1.57824</v>
      </c>
      <c r="X580" t="str">
        <v>x</v>
      </c>
      <c r="Y580">
        <f>D570</f>
        <v>1</v>
      </c>
      <c r="Z580" t="str">
        <v>=</v>
      </c>
      <c r="AA580">
        <f>IF(AA582=0,(D580*N580+P580*R580)*U580*Y580,0)</f>
        <v>0</v>
      </c>
    </row>
    <row r="581">
      <c r="A581" t="str">
        <f>A564</f>
        <v>Sloof</v>
      </c>
      <c r="B581">
        <f>B564</f>
        <v>18</v>
      </c>
      <c r="C581" t="str">
        <v>Tul Bawah Tumpuan</v>
      </c>
      <c r="D581">
        <f>VLOOKUP(D564,'Detail Balok'!$C$10:$AU$110,28,FALSE)</f>
        <v>4</v>
      </c>
      <c r="E581" t="str">
        <v>D</v>
      </c>
      <c r="F581">
        <f>VLOOKUP(D564,'Detail Balok'!$C$10:$AU$110,30,FALSE)</f>
        <v>16</v>
      </c>
      <c r="I581" t="str">
        <v>(</v>
      </c>
      <c r="J581">
        <f>+J573</f>
        <v>1.29125</v>
      </c>
      <c r="K581" t="str">
        <v>+</v>
      </c>
      <c r="L581">
        <f>MAX(VLOOKUP(F581,N$6:P$15,3,FALSE)/1000,2/3*D569/1000)+F$16*F581/1000</f>
        <v>0.192</v>
      </c>
      <c r="M581" t="str">
        <v>=</v>
      </c>
      <c r="N581">
        <f>J581+L581</f>
        <v>1.48325</v>
      </c>
      <c r="O581" t="str">
        <v>+</v>
      </c>
      <c r="P581">
        <f>D581-D580</f>
        <v>0</v>
      </c>
      <c r="Q581" t="str">
        <v>x</v>
      </c>
      <c r="R581">
        <f>IF(P581&gt;0,$F$18*F581/1000,0)</f>
        <v>0</v>
      </c>
      <c r="S581" t="str">
        <v>)</v>
      </c>
      <c r="T581" t="str">
        <v>x</v>
      </c>
      <c r="U581">
        <f>0.006165*F581^2</f>
        <v>1.57824</v>
      </c>
      <c r="X581" t="str">
        <v>x</v>
      </c>
      <c r="Y581">
        <f>D570</f>
        <v>1</v>
      </c>
      <c r="Z581" t="str">
        <v>=</v>
      </c>
      <c r="AA581">
        <f>IF(AA582=0,(D581*N581+P581*R581)*U581*Y581,0)</f>
        <v>0</v>
      </c>
    </row>
    <row r="582">
      <c r="A582" t="str">
        <f>A564</f>
        <v>Sloof</v>
      </c>
      <c r="B582">
        <f>B564</f>
        <v>18</v>
      </c>
      <c r="D582">
        <f>IF(AND(D579=D580,D580=D581,D579=D581),D579,0)</f>
        <v>4</v>
      </c>
      <c r="E582" t="str">
        <v>D</v>
      </c>
      <c r="F582">
        <f>IF(AND(F579=F580,F579=F581,F580=F581),F579,0)</f>
        <v>16</v>
      </c>
      <c r="L582" t="str">
        <v>Total panjang per balok</v>
      </c>
      <c r="M582" t="str">
        <v>=</v>
      </c>
      <c r="N582">
        <f>IF(AND(D579=D580,D579=D581,D580=D581,F579=F580,F579=F581,F580=F581),SUM(N579:N581),0)</f>
        <v>5.5489999999999995</v>
      </c>
      <c r="O582" t="str">
        <v>+</v>
      </c>
      <c r="P582">
        <f>IF(N582&gt;12,ROUNDDOWN(N582/12,0),0)</f>
        <v>0</v>
      </c>
      <c r="Q582" t="str">
        <v>x</v>
      </c>
      <c r="R582">
        <f>IF(P582&gt;0,MAX(VLOOKUP(F582,$D$6:$G$15,3,FALSE),600),0)/1000</f>
        <v>0</v>
      </c>
      <c r="T582" t="str">
        <v>x</v>
      </c>
      <c r="U582">
        <f>U581</f>
        <v>1.57824</v>
      </c>
      <c r="V582" t="str">
        <v>x</v>
      </c>
      <c r="W582">
        <f>D582</f>
        <v>4</v>
      </c>
      <c r="X582" t="str">
        <v>x</v>
      </c>
      <c r="Y582">
        <f>Y581</f>
        <v>1</v>
      </c>
      <c r="Z582" t="str">
        <v>=</v>
      </c>
      <c r="AA582">
        <f>(N582+P582*R582/1000)*U582*W582*Y582</f>
        <v>35.03061504</v>
      </c>
    </row>
    <row r="584">
      <c r="A584" t="str">
        <f>A564</f>
        <v>Sloof</v>
      </c>
      <c r="B584">
        <f>B564</f>
        <v>18</v>
      </c>
      <c r="C584" t="str">
        <v>Sengkang Tumpuan</v>
      </c>
      <c r="D584">
        <f>VLOOKUP(D564,'Detail Balok'!$C$10:$AU$110,31,FALSE)</f>
        <v>0</v>
      </c>
      <c r="E584" t="str">
        <v>D</v>
      </c>
      <c r="F584">
        <f>VLOOKUP(D564,'Detail Balok'!$C$10:$AU$110,33,FALSE)</f>
        <v>10</v>
      </c>
      <c r="G584" t="str">
        <v>-</v>
      </c>
      <c r="H584">
        <f>VLOOKUP(D564,'Detail Balok'!$C$10:$AU$110,35,FALSE)</f>
        <v>200</v>
      </c>
      <c r="J584">
        <f>(IF(D584=0,(2*(D565+G565))-(F$5*8),IF(D584=3,(2*(D565+G565))-(F$5*8)+(G565-2*F$5),IF(D584=4,(2*(D565+G565))-(F$5*8)+2*(G565-2*F$5)))))/1000</f>
        <v>1.08</v>
      </c>
      <c r="K584" t="str">
        <v>+</v>
      </c>
      <c r="L584">
        <f>IF(D584=0,2*MAX(6*F584,75),(D584-1)*2*MAX(6*F584,75))/1000</f>
        <v>0.15</v>
      </c>
      <c r="M584" t="str">
        <v>=</v>
      </c>
      <c r="N584">
        <f>J584+L584</f>
        <v>1.23</v>
      </c>
      <c r="T584" t="str">
        <v>x</v>
      </c>
      <c r="U584">
        <f>0.006165*F584^2</f>
        <v>0.6165</v>
      </c>
      <c r="V584" t="str">
        <v>x</v>
      </c>
      <c r="W584">
        <f>IF(D567&gt;4*G565,ROUND(MAX(D567/4,2*G565)/H584,0)+1,ROUND(D567/H584,0)+1)</f>
        <v>7</v>
      </c>
      <c r="X584" t="str">
        <v>x</v>
      </c>
      <c r="Y584">
        <f>D570</f>
        <v>1</v>
      </c>
      <c r="Z584" t="str">
        <v>=</v>
      </c>
      <c r="AA584">
        <f>N584*U584*W584*Y584</f>
        <v>5.308065</v>
      </c>
    </row>
    <row r="585">
      <c r="A585" t="str">
        <f>A564</f>
        <v>Sloof</v>
      </c>
      <c r="B585">
        <f>B564</f>
        <v>18</v>
      </c>
      <c r="C585" t="str">
        <v>Sengkang Lapangan</v>
      </c>
      <c r="D585">
        <f>VLOOKUP(D564,'Detail Balok'!$C$10:$AU$110,36,FALSE)</f>
        <v>0</v>
      </c>
      <c r="E585" t="str">
        <v>D</v>
      </c>
      <c r="F585">
        <f>VLOOKUP(D564,'Detail Balok'!$C$10:$AU$110,38,FALSE)</f>
        <v>10</v>
      </c>
      <c r="G585" t="str">
        <v>-</v>
      </c>
      <c r="H585">
        <f>VLOOKUP(D564,'Detail Balok'!$C$10:$AU$110,40,FALSE)</f>
        <v>200</v>
      </c>
      <c r="J585">
        <f>(IF(D585=0,(2*(D565+G565))-(F$5*8),IF(D585=3,(2*(D565+G565))-(F$5*8)+(G565-2*F$5),IF(D585=4,(2*(D565+G565))-(F$5*8)+2*(G565-2*F$5)))))/1000</f>
        <v>1.08</v>
      </c>
      <c r="K585" t="str">
        <v>+</v>
      </c>
      <c r="L585">
        <f>IF(D585=0,2*MAX(6*F585,75),(D585-1)*2*MAX(6*F585,75))/1000</f>
        <v>0.15</v>
      </c>
      <c r="M585" t="str">
        <v>=</v>
      </c>
      <c r="N585">
        <f>J585+L585</f>
        <v>1.23</v>
      </c>
      <c r="T585" t="str">
        <v>x</v>
      </c>
      <c r="U585">
        <f>0.006165*F585^2</f>
        <v>0.6165</v>
      </c>
      <c r="V585" t="str">
        <v>x</v>
      </c>
      <c r="W585">
        <f>IF(D567-MAX(D567/4,2*G565)*2&gt;0,ROUND((D567-MAX(D567/4,2*G565)*2)/H585,0),0)</f>
        <v>13</v>
      </c>
      <c r="X585" t="str">
        <v>x</v>
      </c>
      <c r="Y585">
        <f>D570</f>
        <v>1</v>
      </c>
      <c r="Z585" t="str">
        <v>=</v>
      </c>
      <c r="AA585">
        <f>N585*U585*W585*Y585</f>
        <v>9.857835000000001</v>
      </c>
    </row>
    <row r="586">
      <c r="A586" t="str">
        <f>A564</f>
        <v>Sloof</v>
      </c>
      <c r="B586">
        <f>B564</f>
        <v>18</v>
      </c>
      <c r="C586" t="str">
        <v>Sengkang Tumpuan</v>
      </c>
      <c r="D586">
        <f>VLOOKUP(D564,'Detail Balok'!$C$10:$AU$110,41,FALSE)</f>
        <v>0</v>
      </c>
      <c r="E586" t="str">
        <v>D</v>
      </c>
      <c r="F586">
        <f>VLOOKUP(D564,'Detail Balok'!$C$10:$AU$110,43,FALSE)</f>
        <v>10</v>
      </c>
      <c r="G586" t="str">
        <v>-</v>
      </c>
      <c r="H586">
        <f>VLOOKUP(D564,'Detail Balok'!$C$10:$AU$110,45,FALSE)</f>
        <v>200</v>
      </c>
      <c r="J586">
        <f>(IF(D586=0,(2*(D565+G565))-(F$5*8),IF(D586=3,(2*(D565+G565))-(F$5*8)+(G565-2*F$5),IF(D586=4,(2*(D565+G565))-(F$5*8)+2*(G565-2*F$5)))))/1000</f>
        <v>1.08</v>
      </c>
      <c r="K586" t="str">
        <v>+</v>
      </c>
      <c r="L586">
        <f>IF(D586=0,2*MAX(6*F586,75),(D586-1)*2*MAX(6*F586,75))/1000</f>
        <v>0.15</v>
      </c>
      <c r="M586" t="str">
        <v>=</v>
      </c>
      <c r="N586">
        <f>J586+L586</f>
        <v>1.23</v>
      </c>
      <c r="T586" t="str">
        <v>x</v>
      </c>
      <c r="U586">
        <f>0.006165*F586^2</f>
        <v>0.6165</v>
      </c>
      <c r="V586" t="str">
        <v>x</v>
      </c>
      <c r="W586">
        <f>IF(D567&gt;4*G565,ROUND(MAX(D567/4,2*G565)/H586,0)+1,0)</f>
        <v>7</v>
      </c>
      <c r="X586" t="str">
        <v>x</v>
      </c>
      <c r="Y586">
        <f>D570</f>
        <v>1</v>
      </c>
      <c r="Z586" t="str">
        <v>=</v>
      </c>
      <c r="AA586">
        <f>N586*U586*W586*Y586</f>
        <v>5.308065</v>
      </c>
    </row>
    <row r="588">
      <c r="A588" t="str">
        <f>A564</f>
        <v>Sloof</v>
      </c>
      <c r="B588">
        <f>B564</f>
        <v>18</v>
      </c>
      <c r="C588" t="str">
        <v>Kait Horizontal Tump.</v>
      </c>
      <c r="D588">
        <f>VLOOKUP(D564,'Detail Balok'!$C$10:$BJ$110,46,FALSE)</f>
        <v>0</v>
      </c>
      <c r="E588" t="str">
        <v>D</v>
      </c>
      <c r="F588">
        <f>VLOOKUP(D564,'Detail Balok'!$C$10:$BJ$110,48,FALSE)</f>
        <v>0</v>
      </c>
      <c r="G588" t="str">
        <v>-</v>
      </c>
      <c r="H588">
        <f>VLOOKUP(D564,'Detail Balok'!$C$10:$BJ$110,50,FALSE)</f>
        <v>100</v>
      </c>
      <c r="J588">
        <f>(D565-2*F$5)/1000</f>
        <v>0.12</v>
      </c>
      <c r="K588" t="str">
        <v>+</v>
      </c>
      <c r="L588">
        <f>IF(D588=0,2*MAX(6*F588,75),(D588-1)*2*MAX(6*F588,75))/1000</f>
        <v>0.15</v>
      </c>
      <c r="M588" t="str">
        <v>=</v>
      </c>
      <c r="N588">
        <f>J588+L588</f>
        <v>0.27</v>
      </c>
      <c r="T588" t="str">
        <v>x</v>
      </c>
      <c r="U588">
        <f>0.006165*F588^2</f>
        <v>0</v>
      </c>
      <c r="V588" t="str">
        <v>x</v>
      </c>
      <c r="W588">
        <f>W584</f>
        <v>7</v>
      </c>
      <c r="X588" t="str">
        <v>x</v>
      </c>
      <c r="Y588">
        <f>D574</f>
        <v>0</v>
      </c>
      <c r="Z588" t="str">
        <v>=</v>
      </c>
      <c r="AA588">
        <f>N588*U588*W588*Y588</f>
        <v>0</v>
      </c>
    </row>
    <row r="589">
      <c r="A589" t="str">
        <f>A564</f>
        <v>Sloof</v>
      </c>
      <c r="B589">
        <f>B564</f>
        <v>18</v>
      </c>
      <c r="C589" t="str">
        <v>Kait Horizontal Lap.</v>
      </c>
      <c r="D589">
        <f>VLOOKUP(D564,'Detail Balok'!$C$10:$BJ$110,51,FALSE)</f>
        <v>0</v>
      </c>
      <c r="E589" t="str">
        <v>D</v>
      </c>
      <c r="F589">
        <f>VLOOKUP(D564,'Detail Balok'!$C$10:$BJ$110,53,FALSE)</f>
        <v>0</v>
      </c>
      <c r="G589" t="str">
        <v>-</v>
      </c>
      <c r="H589">
        <f>VLOOKUP(D564,'Detail Balok'!$C$10:$BJ$110,55,FALSE)</f>
        <v>100</v>
      </c>
      <c r="J589">
        <f>(D565-2*F$5)/1000</f>
        <v>0.12</v>
      </c>
      <c r="K589" t="str">
        <v>+</v>
      </c>
      <c r="L589">
        <f>IF(D589=0,2*MAX(6*F589,75),(D589-1)*2*MAX(6*F589,75))/1000</f>
        <v>0.15</v>
      </c>
      <c r="M589" t="str">
        <v>=</v>
      </c>
      <c r="N589">
        <f>J589+L589</f>
        <v>0.27</v>
      </c>
      <c r="T589" t="str">
        <v>x</v>
      </c>
      <c r="U589">
        <f>0.006165*F589^2</f>
        <v>0</v>
      </c>
      <c r="V589" t="str">
        <v>x</v>
      </c>
      <c r="W589">
        <f>W585</f>
        <v>13</v>
      </c>
      <c r="X589" t="str">
        <v>x</v>
      </c>
      <c r="Y589">
        <f>D574</f>
        <v>0</v>
      </c>
      <c r="Z589" t="str">
        <v>=</v>
      </c>
      <c r="AA589">
        <f>N589*U589*W589*Y589</f>
        <v>0</v>
      </c>
    </row>
    <row r="590">
      <c r="A590" t="str">
        <f>A564</f>
        <v>Sloof</v>
      </c>
      <c r="B590">
        <f>B564</f>
        <v>18</v>
      </c>
      <c r="C590" t="str">
        <v>Kait Horizontal Tump.</v>
      </c>
      <c r="D590">
        <f>VLOOKUP(D564,'Detail Balok'!$C$10:$BJ$110,56,FALSE)</f>
        <v>0</v>
      </c>
      <c r="E590" t="str">
        <v>D</v>
      </c>
      <c r="F590">
        <f>VLOOKUP(D564,'Detail Balok'!$C$10:$BJ$110,58,FALSE)</f>
        <v>0</v>
      </c>
      <c r="G590" t="str">
        <v>-</v>
      </c>
      <c r="H590">
        <f>VLOOKUP(D564,'Detail Balok'!$C$10:$BJ$110,60,FALSE)</f>
        <v>100</v>
      </c>
      <c r="J590">
        <f>(D565-2*F$5)/1000</f>
        <v>0.12</v>
      </c>
      <c r="K590" t="str">
        <v>+</v>
      </c>
      <c r="L590">
        <f>IF(D590=0,2*MAX(6*F590,75),(D590-1)*2*MAX(6*F590,75))/1000</f>
        <v>0.15</v>
      </c>
      <c r="M590" t="str">
        <v>=</v>
      </c>
      <c r="N590">
        <f>J590+L590</f>
        <v>0.27</v>
      </c>
      <c r="T590" t="str">
        <v>x</v>
      </c>
      <c r="U590">
        <f>0.006165*F590^2</f>
        <v>0</v>
      </c>
      <c r="V590" t="str">
        <v>x</v>
      </c>
      <c r="W590">
        <f>W586</f>
        <v>7</v>
      </c>
      <c r="X590" t="str">
        <v>x</v>
      </c>
      <c r="Y590">
        <f>D574</f>
        <v>0</v>
      </c>
      <c r="Z590" t="str">
        <v>=</v>
      </c>
      <c r="AA590">
        <f>N590*U590*W590*Y590</f>
        <v>0</v>
      </c>
    </row>
    <row r="594">
      <c r="A594" t="str">
        <f>A564</f>
        <v>Sloof</v>
      </c>
      <c r="B594">
        <f>B564+1</f>
        <v>19</v>
      </c>
      <c r="C594" t="str">
        <f>CONCATENATE(A594," no. ",B594)</f>
        <v>Sloof no. 19</v>
      </c>
      <c r="D594" t="str">
        <f>VLOOKUP(C594,'Data Panjang Balok'!$C$9:$N$424,2,FALSE)</f>
        <v>TB245-2</v>
      </c>
    </row>
    <row r="595">
      <c r="C595" t="str">
        <v>Dimensi</v>
      </c>
      <c r="D595">
        <f>VLOOKUP(D594,'Detail Balok'!$C$10:$AU$110,2,FALSE)</f>
        <v>200</v>
      </c>
      <c r="F595" t="str">
        <v>x</v>
      </c>
      <c r="G595">
        <f>VLOOKUP(D594,'Detail Balok'!$C$10:$AU$110,3,FALSE)</f>
        <v>450</v>
      </c>
    </row>
    <row r="596">
      <c r="C596" t="str">
        <v>Panjang as ke as</v>
      </c>
      <c r="D596">
        <f>VLOOKUP(C594,'Data Panjang Balok'!$C$9:$N$424,4,FALSE)</f>
        <v>2150</v>
      </c>
    </row>
    <row r="597">
      <c r="C597" t="str">
        <v>Panjang netto</v>
      </c>
      <c r="D597">
        <f>VLOOKUP(C594,'Data Panjang Balok'!$C$9:$N$424,7,FALSE)</f>
        <v>2150</v>
      </c>
    </row>
    <row r="598">
      <c r="C598" t="str">
        <v>Kolom / balok kiri</v>
      </c>
      <c r="D598">
        <f>VLOOKUP(C594,'Data Panjang Balok'!$C$9:$N$424,9,FALSE)</f>
        <v>0</v>
      </c>
    </row>
    <row r="599">
      <c r="C599" t="str">
        <v>Kolom / balok kanan</v>
      </c>
      <c r="D599">
        <f>VLOOKUP(C594,'Data Panjang Balok'!$C$9:$N$424,10,FALSE)</f>
        <v>0</v>
      </c>
    </row>
    <row r="600">
      <c r="C600" t="str">
        <v>Jumlah</v>
      </c>
      <c r="D600">
        <f>VLOOKUP(C594,'Data Panjang Balok'!$C$9:$N$424,3,FALSE)</f>
        <v>1</v>
      </c>
    </row>
    <row r="601">
      <c r="A601" t="str">
        <f>A594</f>
        <v>Sloof</v>
      </c>
      <c r="B601">
        <f>B594</f>
        <v>19</v>
      </c>
      <c r="C601" t="str">
        <v>Tul Atas Tumpuan</v>
      </c>
      <c r="D601">
        <f>VLOOKUP(D594,'Detail Balok'!$C$10:$AU$110,4,FALSE)</f>
        <v>4</v>
      </c>
      <c r="E601" t="str">
        <v>D</v>
      </c>
      <c r="F601">
        <f>VLOOKUP(D594,'Detail Balok'!$C$10:$AU$110,6,FALSE)</f>
        <v>13</v>
      </c>
      <c r="I601" t="str">
        <v>(</v>
      </c>
      <c r="J601">
        <f>+D596/4/1000</f>
        <v>0.5375</v>
      </c>
      <c r="K601" t="str">
        <v>+</v>
      </c>
      <c r="L601">
        <f>MAX(VLOOKUP(F601,N$6:P$15,3,FALSE)/1000,2/3*D598/1000)+F$16*F601/1000</f>
        <v>0.156</v>
      </c>
      <c r="M601" t="str">
        <v>=</v>
      </c>
      <c r="N601">
        <f>J601+L601</f>
        <v>0.6935</v>
      </c>
      <c r="O601" t="str">
        <v>+</v>
      </c>
      <c r="P601">
        <f>D601-D602</f>
        <v>2</v>
      </c>
      <c r="Q601" t="str">
        <v>x</v>
      </c>
      <c r="R601">
        <f>IF(P601&gt;0,$F$18*F601/1000,0)</f>
        <v>0.195</v>
      </c>
      <c r="S601" t="str">
        <v>)</v>
      </c>
      <c r="T601" t="str">
        <v>x</v>
      </c>
      <c r="U601">
        <f>0.006165*F601^2</f>
        <v>1.041885</v>
      </c>
      <c r="X601" t="str">
        <v>x</v>
      </c>
      <c r="Y601">
        <f>D600</f>
        <v>1</v>
      </c>
      <c r="Z601" t="str">
        <v>=</v>
      </c>
      <c r="AA601">
        <f>IF(AA604=0,(D601*N601+P601*R601)*U601*Y601,0)</f>
        <v>3.29652414</v>
      </c>
    </row>
    <row r="602">
      <c r="A602" t="str">
        <f>A594</f>
        <v>Sloof</v>
      </c>
      <c r="B602">
        <f>B594</f>
        <v>19</v>
      </c>
      <c r="C602" t="str">
        <v>Tul Atas Lapangan</v>
      </c>
      <c r="D602">
        <f>VLOOKUP(D594,'Detail Balok'!$C$10:$AU$110,7,FALSE)</f>
        <v>2</v>
      </c>
      <c r="E602" t="str">
        <v>D</v>
      </c>
      <c r="F602">
        <f>VLOOKUP(D594,'Detail Balok'!$C$10:$AU$110,9,FALSE)</f>
        <v>13</v>
      </c>
      <c r="I602" t="str">
        <v>(</v>
      </c>
      <c r="J602">
        <f>+D596/2/1000</f>
        <v>1.075</v>
      </c>
      <c r="K602" t="str">
        <v>+</v>
      </c>
      <c r="M602" t="str">
        <v>=</v>
      </c>
      <c r="N602">
        <f>J602+L602</f>
        <v>1.075</v>
      </c>
      <c r="O602" t="str">
        <v>+</v>
      </c>
      <c r="P602">
        <f>MAX(D602-D601,D602-D603)</f>
        <v>-2</v>
      </c>
      <c r="Q602" t="str">
        <v>x</v>
      </c>
      <c r="R602">
        <f>IF(P602&gt;0,2*(1-2*$F$19-1/2)*D597/1000,0)</f>
        <v>0</v>
      </c>
      <c r="S602" t="str">
        <v>)</v>
      </c>
      <c r="T602" t="str">
        <v>x</v>
      </c>
      <c r="U602">
        <f>0.006165*F602^2</f>
        <v>1.041885</v>
      </c>
      <c r="X602" t="str">
        <v>x</v>
      </c>
      <c r="Y602">
        <f>D600</f>
        <v>1</v>
      </c>
      <c r="Z602" t="str">
        <v>=</v>
      </c>
      <c r="AA602">
        <f>IF(AA604=0,(D602*N602+P602*R602)*U602*Y602,0)</f>
        <v>2.24005275</v>
      </c>
    </row>
    <row r="603">
      <c r="A603" t="str">
        <f>A594</f>
        <v>Sloof</v>
      </c>
      <c r="B603">
        <f>B594</f>
        <v>19</v>
      </c>
      <c r="C603" t="str">
        <v>Tul Atas Tumpuan</v>
      </c>
      <c r="D603">
        <f>VLOOKUP(D594,'Detail Balok'!$C$10:$AU$110,10,FALSE)</f>
        <v>4</v>
      </c>
      <c r="E603" t="str">
        <v>D</v>
      </c>
      <c r="F603">
        <f>VLOOKUP(D594,'Detail Balok'!$C$10:$AU$110,12,FALSE)</f>
        <v>13</v>
      </c>
      <c r="I603" t="str">
        <v>(</v>
      </c>
      <c r="J603">
        <f>+D596/4/1000</f>
        <v>0.5375</v>
      </c>
      <c r="K603" t="str">
        <v>+</v>
      </c>
      <c r="L603">
        <f>MAX(VLOOKUP(F603,N$6:P$15,3,FALSE)/1000,2/3*D598/1000)+F$16*F603/1000</f>
        <v>0.156</v>
      </c>
      <c r="M603" t="str">
        <v>=</v>
      </c>
      <c r="N603">
        <f>J603+L603</f>
        <v>0.6935</v>
      </c>
      <c r="O603" t="str">
        <v>+</v>
      </c>
      <c r="P603">
        <f>D603-D602</f>
        <v>2</v>
      </c>
      <c r="Q603" t="str">
        <v>x</v>
      </c>
      <c r="R603">
        <f>IF(P603&gt;0,$F$18*F603/1000,0)</f>
        <v>0.195</v>
      </c>
      <c r="S603" t="str">
        <v>)</v>
      </c>
      <c r="T603" t="str">
        <v>x</v>
      </c>
      <c r="U603">
        <f>0.006165*F603^2</f>
        <v>1.041885</v>
      </c>
      <c r="X603" t="str">
        <v>x</v>
      </c>
      <c r="Y603">
        <f>D600</f>
        <v>1</v>
      </c>
      <c r="Z603" t="str">
        <v>=</v>
      </c>
      <c r="AA603">
        <f>IF(AA604=0,(D603*N603+P603*R603)*U603*Y603,0)</f>
        <v>3.29652414</v>
      </c>
    </row>
    <row r="604">
      <c r="A604" t="str">
        <f>A594</f>
        <v>Sloof</v>
      </c>
      <c r="B604">
        <f>B594</f>
        <v>19</v>
      </c>
      <c r="D604">
        <f>IF(AND(D601=D602,D602=D603,D601=D603),D601,0)</f>
        <v>0</v>
      </c>
      <c r="E604" t="str">
        <v>D</v>
      </c>
      <c r="F604">
        <f>IF(AND(F601=F602,F601=F603,F602=F603),F601,0)</f>
        <v>13</v>
      </c>
      <c r="L604" t="str">
        <v>Total panjang per balok</v>
      </c>
      <c r="M604" t="str">
        <v>=</v>
      </c>
      <c r="N604">
        <f>IF(AND(D601=D602,D601=D603,D602=D603,F601=F602,F601=F603,F602=F603),SUM(N601:N603),0)</f>
        <v>0</v>
      </c>
      <c r="O604" t="str">
        <v>+</v>
      </c>
      <c r="P604">
        <f>IF(N604&gt;12,ROUNDDOWN(N604/12,0),0)</f>
        <v>0</v>
      </c>
      <c r="Q604" t="str">
        <v>x</v>
      </c>
      <c r="R604">
        <f>IF(P604&gt;0,MAX(VLOOKUP(F604,$D$6:$G$15,3,FALSE),600),0)/1000</f>
        <v>0</v>
      </c>
      <c r="T604" t="str">
        <v>x</v>
      </c>
      <c r="U604">
        <f>U603</f>
        <v>1.041885</v>
      </c>
      <c r="V604" t="str">
        <v>x</v>
      </c>
      <c r="W604">
        <f>D604</f>
        <v>0</v>
      </c>
      <c r="X604" t="str">
        <v>x</v>
      </c>
      <c r="Y604">
        <f>Y603</f>
        <v>1</v>
      </c>
      <c r="Z604" t="str">
        <v>=</v>
      </c>
      <c r="AA604">
        <f>(N604+P604*R604/1000)*U604*W604*Y604</f>
        <v>0</v>
      </c>
    </row>
    <row r="606">
      <c r="A606" t="str">
        <f>A594</f>
        <v>Sloof</v>
      </c>
      <c r="B606">
        <f>B594</f>
        <v>19</v>
      </c>
      <c r="C606" t="str">
        <v>Tul Peminggang</v>
      </c>
      <c r="D606">
        <f>VLOOKUP(D594,'Detail Balok'!$C$10:$AU$110,13,FALSE)</f>
        <v>2</v>
      </c>
      <c r="E606" t="str">
        <v>D</v>
      </c>
      <c r="F606">
        <f>VLOOKUP(D594,'Detail Balok'!$C$10:$AU$110,15,FALSE)</f>
        <v>8</v>
      </c>
      <c r="J606">
        <f>+D596/1000</f>
        <v>2.15</v>
      </c>
      <c r="K606" t="str">
        <v>+</v>
      </c>
      <c r="L606">
        <f>2*$F$16*F606/1000</f>
        <v>0.192</v>
      </c>
      <c r="M606" t="str">
        <v>=</v>
      </c>
      <c r="N606">
        <f>J606+L606</f>
        <v>2.342</v>
      </c>
      <c r="O606" t="str">
        <v>+</v>
      </c>
      <c r="P606">
        <f>IF(N606&gt;12,ROUNDDOWN(N606/12,0),0)</f>
        <v>0</v>
      </c>
      <c r="Q606" t="str">
        <v>x</v>
      </c>
      <c r="R606">
        <f>IF(P606&gt;0,MAX(VLOOKUP(F606,$D$6:$G$15,3,FALSE),600),0)/1000</f>
        <v>0</v>
      </c>
      <c r="T606" t="str">
        <v>x</v>
      </c>
      <c r="U606">
        <f>0.006165*F606^2</f>
        <v>0.39456</v>
      </c>
      <c r="V606" t="str">
        <v>x</v>
      </c>
      <c r="W606">
        <f>+D606</f>
        <v>2</v>
      </c>
      <c r="X606" t="str">
        <v>x</v>
      </c>
      <c r="Y606">
        <f>D600</f>
        <v>1</v>
      </c>
      <c r="Z606" t="str">
        <v>=</v>
      </c>
      <c r="AA606">
        <f>(N606+P606*R606/1000)*U606*W606*Y606</f>
        <v>1.8481190400000003</v>
      </c>
    </row>
    <row r="609">
      <c r="A609" t="str">
        <f>A594</f>
        <v>Sloof</v>
      </c>
      <c r="B609">
        <f>B594</f>
        <v>19</v>
      </c>
      <c r="C609" t="str">
        <v>Tul Bawah Tumpuan</v>
      </c>
      <c r="D609">
        <f>VLOOKUP(D594,'Detail Balok'!$C$10:$AU$110,22,FALSE)</f>
        <v>4</v>
      </c>
      <c r="E609" t="str">
        <v>D</v>
      </c>
      <c r="F609">
        <f>VLOOKUP(D594,'Detail Balok'!$C$10:$AU$110,24,FALSE)</f>
        <v>13</v>
      </c>
      <c r="I609" t="str">
        <v>(</v>
      </c>
      <c r="J609">
        <f>+J601</f>
        <v>0.5375</v>
      </c>
      <c r="K609" t="str">
        <v>+</v>
      </c>
      <c r="L609">
        <f>MAX(VLOOKUP(F609,N$6:P$15,3,FALSE)/1000,2/3*D599/1000)+F$16*F609/1000</f>
        <v>0.156</v>
      </c>
      <c r="M609" t="str">
        <v>=</v>
      </c>
      <c r="N609">
        <f>J609+L609</f>
        <v>0.6935</v>
      </c>
      <c r="O609" t="str">
        <v>+</v>
      </c>
      <c r="P609">
        <f>D609-D610</f>
        <v>0</v>
      </c>
      <c r="Q609" t="str">
        <v>x</v>
      </c>
      <c r="R609">
        <f>IF(P609&gt;0,$F$18*F609/1000,0)</f>
        <v>0</v>
      </c>
      <c r="S609" t="str">
        <v>)</v>
      </c>
      <c r="T609" t="str">
        <v>x</v>
      </c>
      <c r="U609">
        <f>0.006165*F609^2</f>
        <v>1.041885</v>
      </c>
      <c r="X609" t="str">
        <v>x</v>
      </c>
      <c r="Y609">
        <f>D600</f>
        <v>1</v>
      </c>
      <c r="Z609" t="str">
        <v>=</v>
      </c>
      <c r="AA609">
        <f>IF(AA612=0,(D609*N609+P609*R609)*U609*Y609,0)</f>
        <v>0</v>
      </c>
    </row>
    <row r="610">
      <c r="A610" t="str">
        <f>A594</f>
        <v>Sloof</v>
      </c>
      <c r="B610">
        <f>B594</f>
        <v>19</v>
      </c>
      <c r="C610" t="str">
        <v>Tul Bawah Lapangan</v>
      </c>
      <c r="D610">
        <f>VLOOKUP(D594,'Detail Balok'!$C$10:$AU$110,25,FALSE)</f>
        <v>4</v>
      </c>
      <c r="E610" t="str">
        <v>D</v>
      </c>
      <c r="F610">
        <f>VLOOKUP(D594,'Detail Balok'!$C$10:$AU$110,27,FALSE)</f>
        <v>13</v>
      </c>
      <c r="I610" t="str">
        <v>(</v>
      </c>
      <c r="J610">
        <f>+J602</f>
        <v>1.075</v>
      </c>
      <c r="K610" t="str">
        <v>+</v>
      </c>
      <c r="M610" t="str">
        <v>=</v>
      </c>
      <c r="N610">
        <f>J610+L610</f>
        <v>1.075</v>
      </c>
      <c r="O610" t="str">
        <v>+</v>
      </c>
      <c r="P610">
        <f>MAX(D610-D609,D610-D611)</f>
        <v>0</v>
      </c>
      <c r="Q610" t="str">
        <v>x</v>
      </c>
      <c r="R610">
        <f>IF(P610&gt;0,2*(1-2*$F$19-1/2)*D597/1000,0)</f>
        <v>0</v>
      </c>
      <c r="S610" t="str">
        <v>)</v>
      </c>
      <c r="T610" t="str">
        <v>x</v>
      </c>
      <c r="U610">
        <f>0.006165*F610^2</f>
        <v>1.041885</v>
      </c>
      <c r="X610" t="str">
        <v>x</v>
      </c>
      <c r="Y610">
        <f>D600</f>
        <v>1</v>
      </c>
      <c r="Z610" t="str">
        <v>=</v>
      </c>
      <c r="AA610">
        <f>IF(AA612=0,(D610*N610+P610*R610)*U610*Y610,0)</f>
        <v>0</v>
      </c>
    </row>
    <row r="611">
      <c r="A611" t="str">
        <f>A594</f>
        <v>Sloof</v>
      </c>
      <c r="B611">
        <f>B594</f>
        <v>19</v>
      </c>
      <c r="C611" t="str">
        <v>Tul Bawah Tumpuan</v>
      </c>
      <c r="D611">
        <f>VLOOKUP(D594,'Detail Balok'!$C$10:$AU$110,28,FALSE)</f>
        <v>4</v>
      </c>
      <c r="E611" t="str">
        <v>D</v>
      </c>
      <c r="F611">
        <f>VLOOKUP(D594,'Detail Balok'!$C$10:$AU$110,30,FALSE)</f>
        <v>13</v>
      </c>
      <c r="I611" t="str">
        <v>(</v>
      </c>
      <c r="J611">
        <f>+J603</f>
        <v>0.5375</v>
      </c>
      <c r="K611" t="str">
        <v>+</v>
      </c>
      <c r="L611">
        <f>MAX(VLOOKUP(F611,N$6:P$15,3,FALSE)/1000,2/3*D599/1000)+F$16*F611/1000</f>
        <v>0.156</v>
      </c>
      <c r="M611" t="str">
        <v>=</v>
      </c>
      <c r="N611">
        <f>J611+L611</f>
        <v>0.6935</v>
      </c>
      <c r="O611" t="str">
        <v>+</v>
      </c>
      <c r="P611">
        <f>D611-D610</f>
        <v>0</v>
      </c>
      <c r="Q611" t="str">
        <v>x</v>
      </c>
      <c r="R611">
        <f>IF(P611&gt;0,$F$18*F611/1000,0)</f>
        <v>0</v>
      </c>
      <c r="S611" t="str">
        <v>)</v>
      </c>
      <c r="T611" t="str">
        <v>x</v>
      </c>
      <c r="U611">
        <f>0.006165*F611^2</f>
        <v>1.041885</v>
      </c>
      <c r="X611" t="str">
        <v>x</v>
      </c>
      <c r="Y611">
        <f>D600</f>
        <v>1</v>
      </c>
      <c r="Z611" t="str">
        <v>=</v>
      </c>
      <c r="AA611">
        <f>IF(AA612=0,(D611*N611+P611*R611)*U611*Y611,0)</f>
        <v>0</v>
      </c>
    </row>
    <row r="612">
      <c r="A612" t="str">
        <f>A594</f>
        <v>Sloof</v>
      </c>
      <c r="B612">
        <f>B594</f>
        <v>19</v>
      </c>
      <c r="D612">
        <f>IF(AND(D609=D610,D610=D611,D609=D611),D609,0)</f>
        <v>4</v>
      </c>
      <c r="E612" t="str">
        <v>D</v>
      </c>
      <c r="F612">
        <f>IF(AND(F609=F610,F609=F611,F610=F611),F609,0)</f>
        <v>13</v>
      </c>
      <c r="L612" t="str">
        <v>Total panjang per balok</v>
      </c>
      <c r="M612" t="str">
        <v>=</v>
      </c>
      <c r="N612">
        <f>IF(AND(D609=D610,D609=D611,D610=D611,F609=F610,F609=F611,F610=F611),SUM(N609:N611),0)</f>
        <v>2.4619999999999997</v>
      </c>
      <c r="O612" t="str">
        <v>+</v>
      </c>
      <c r="P612">
        <f>IF(N612&gt;12,ROUNDDOWN(N612/12,0),0)</f>
        <v>0</v>
      </c>
      <c r="Q612" t="str">
        <v>x</v>
      </c>
      <c r="R612">
        <f>IF(P612&gt;0,MAX(VLOOKUP(F612,$D$6:$G$15,3,FALSE),600),0)/1000</f>
        <v>0</v>
      </c>
      <c r="T612" t="str">
        <v>x</v>
      </c>
      <c r="U612">
        <f>U611</f>
        <v>1.041885</v>
      </c>
      <c r="V612" t="str">
        <v>x</v>
      </c>
      <c r="W612">
        <f>D612</f>
        <v>4</v>
      </c>
      <c r="X612" t="str">
        <v>x</v>
      </c>
      <c r="Y612">
        <f>Y611</f>
        <v>1</v>
      </c>
      <c r="Z612" t="str">
        <v>=</v>
      </c>
      <c r="AA612">
        <f>(N612+P612*R612/1000)*U612*W612*Y612</f>
        <v>10.260483479999998</v>
      </c>
    </row>
    <row r="614">
      <c r="A614" t="str">
        <f>A594</f>
        <v>Sloof</v>
      </c>
      <c r="B614">
        <f>B594</f>
        <v>19</v>
      </c>
      <c r="C614" t="str">
        <v>Sengkang Tumpuan</v>
      </c>
      <c r="D614">
        <f>VLOOKUP(D594,'Detail Balok'!$C$10:$AU$110,31,FALSE)</f>
        <v>0</v>
      </c>
      <c r="E614" t="str">
        <v>D</v>
      </c>
      <c r="F614">
        <f>VLOOKUP(D594,'Detail Balok'!$C$10:$AU$110,33,FALSE)</f>
        <v>8</v>
      </c>
      <c r="G614" t="str">
        <v>-</v>
      </c>
      <c r="H614">
        <f>VLOOKUP(D594,'Detail Balok'!$C$10:$AU$110,35,FALSE)</f>
        <v>125</v>
      </c>
      <c r="J614">
        <f>(IF(D614=0,(2*(D595+G595))-(F$5*8),IF(D614=3,(2*(D595+G595))-(F$5*8)+(G595-2*F$5),IF(D614=4,(2*(D595+G595))-(F$5*8)+2*(G595-2*F$5)))))/1000</f>
        <v>0.98</v>
      </c>
      <c r="K614" t="str">
        <v>+</v>
      </c>
      <c r="L614">
        <f>IF(D614=0,2*MAX(6*F614,75),(D614-1)*2*MAX(6*F614,75))/1000</f>
        <v>0.15</v>
      </c>
      <c r="M614" t="str">
        <v>=</v>
      </c>
      <c r="N614">
        <f>J614+L614</f>
        <v>1.13</v>
      </c>
      <c r="T614" t="str">
        <v>x</v>
      </c>
      <c r="U614">
        <f>0.006165*F614^2</f>
        <v>0.39456</v>
      </c>
      <c r="V614" t="str">
        <v>x</v>
      </c>
      <c r="W614">
        <f>IF(D597&gt;4*G595,ROUND(MAX(D597/4,2*G595)/H614,0)+1,ROUND(D597/H614,0)+1)</f>
        <v>8</v>
      </c>
      <c r="X614" t="str">
        <v>x</v>
      </c>
      <c r="Y614">
        <f>D600</f>
        <v>1</v>
      </c>
      <c r="Z614" t="str">
        <v>=</v>
      </c>
      <c r="AA614">
        <f>N614*U614*W614*Y614</f>
        <v>3.5668224</v>
      </c>
    </row>
    <row r="615">
      <c r="A615" t="str">
        <f>A594</f>
        <v>Sloof</v>
      </c>
      <c r="B615">
        <f>B594</f>
        <v>19</v>
      </c>
      <c r="C615" t="str">
        <v>Sengkang Lapangan</v>
      </c>
      <c r="D615">
        <f>VLOOKUP(D594,'Detail Balok'!$C$10:$AU$110,36,FALSE)</f>
        <v>0</v>
      </c>
      <c r="E615" t="str">
        <v>D</v>
      </c>
      <c r="F615">
        <f>VLOOKUP(D594,'Detail Balok'!$C$10:$AU$110,38,FALSE)</f>
        <v>8</v>
      </c>
      <c r="G615" t="str">
        <v>-</v>
      </c>
      <c r="H615">
        <f>VLOOKUP(D594,'Detail Balok'!$C$10:$AU$110,40,FALSE)</f>
        <v>150</v>
      </c>
      <c r="J615">
        <f>(IF(D615=0,(2*(D595+G595))-(F$5*8),IF(D615=3,(2*(D595+G595))-(F$5*8)+(G595-2*F$5),IF(D615=4,(2*(D595+G595))-(F$5*8)+2*(G595-2*F$5)))))/1000</f>
        <v>0.98</v>
      </c>
      <c r="K615" t="str">
        <v>+</v>
      </c>
      <c r="L615">
        <f>IF(D615=0,2*MAX(6*F615,75),(D615-1)*2*MAX(6*F615,75))/1000</f>
        <v>0.15</v>
      </c>
      <c r="M615" t="str">
        <v>=</v>
      </c>
      <c r="N615">
        <f>J615+L615</f>
        <v>1.13</v>
      </c>
      <c r="T615" t="str">
        <v>x</v>
      </c>
      <c r="U615">
        <f>0.006165*F615^2</f>
        <v>0.39456</v>
      </c>
      <c r="V615" t="str">
        <v>x</v>
      </c>
      <c r="W615">
        <f>IF(D597-MAX(D597/4,2*G595)*2&gt;0,ROUND((D597-MAX(D597/4,2*G595)*2)/H615,0),0)</f>
        <v>2</v>
      </c>
      <c r="X615" t="str">
        <v>x</v>
      </c>
      <c r="Y615">
        <f>D600</f>
        <v>1</v>
      </c>
      <c r="Z615" t="str">
        <v>=</v>
      </c>
      <c r="AA615">
        <f>N615*U615*W615*Y615</f>
        <v>0.8917056</v>
      </c>
    </row>
    <row r="616">
      <c r="A616" t="str">
        <f>A594</f>
        <v>Sloof</v>
      </c>
      <c r="B616">
        <f>B594</f>
        <v>19</v>
      </c>
      <c r="C616" t="str">
        <v>Sengkang Tumpuan</v>
      </c>
      <c r="D616">
        <f>VLOOKUP(D594,'Detail Balok'!$C$10:$AU$110,41,FALSE)</f>
        <v>0</v>
      </c>
      <c r="E616" t="str">
        <v>D</v>
      </c>
      <c r="F616">
        <f>VLOOKUP(D594,'Detail Balok'!$C$10:$AU$110,43,FALSE)</f>
        <v>8</v>
      </c>
      <c r="G616" t="str">
        <v>-</v>
      </c>
      <c r="H616">
        <f>VLOOKUP(D594,'Detail Balok'!$C$10:$AU$110,45,FALSE)</f>
        <v>125</v>
      </c>
      <c r="J616">
        <f>(IF(D616=0,(2*(D595+G595))-(F$5*8),IF(D616=3,(2*(D595+G595))-(F$5*8)+(G595-2*F$5),IF(D616=4,(2*(D595+G595))-(F$5*8)+2*(G595-2*F$5)))))/1000</f>
        <v>0.98</v>
      </c>
      <c r="K616" t="str">
        <v>+</v>
      </c>
      <c r="L616">
        <f>IF(D616=0,2*MAX(6*F616,75),(D616-1)*2*MAX(6*F616,75))/1000</f>
        <v>0.15</v>
      </c>
      <c r="M616" t="str">
        <v>=</v>
      </c>
      <c r="N616">
        <f>J616+L616</f>
        <v>1.13</v>
      </c>
      <c r="T616" t="str">
        <v>x</v>
      </c>
      <c r="U616">
        <f>0.006165*F616^2</f>
        <v>0.39456</v>
      </c>
      <c r="V616" t="str">
        <v>x</v>
      </c>
      <c r="W616">
        <f>IF(D597&gt;4*G595,ROUND(MAX(D597/4,2*G595)/H616,0)+1,0)</f>
        <v>8</v>
      </c>
      <c r="X616" t="str">
        <v>x</v>
      </c>
      <c r="Y616">
        <f>D600</f>
        <v>1</v>
      </c>
      <c r="Z616" t="str">
        <v>=</v>
      </c>
      <c r="AA616">
        <f>N616*U616*W616*Y616</f>
        <v>3.5668224</v>
      </c>
    </row>
    <row r="618">
      <c r="A618" t="str">
        <f>A594</f>
        <v>Sloof</v>
      </c>
      <c r="B618">
        <f>B594</f>
        <v>19</v>
      </c>
      <c r="C618" t="str">
        <v>Kait Horizontal Tump.</v>
      </c>
      <c r="D618">
        <f>VLOOKUP(D594,'Detail Balok'!$C$10:$BJ$110,46,FALSE)</f>
        <v>0</v>
      </c>
      <c r="E618" t="str">
        <v>D</v>
      </c>
      <c r="F618">
        <f>VLOOKUP(D594,'Detail Balok'!$C$10:$BJ$110,48,FALSE)</f>
        <v>0</v>
      </c>
      <c r="G618" t="str">
        <v>-</v>
      </c>
      <c r="H618">
        <f>VLOOKUP(D594,'Detail Balok'!$C$10:$BJ$110,50,FALSE)</f>
        <v>100</v>
      </c>
      <c r="J618">
        <f>(D595-2*F$5)/1000</f>
        <v>0.12</v>
      </c>
      <c r="K618" t="str">
        <v>+</v>
      </c>
      <c r="L618">
        <f>IF(D618=0,2*MAX(6*F618,75),(D618-1)*2*MAX(6*F618,75))/1000</f>
        <v>0.15</v>
      </c>
      <c r="M618" t="str">
        <v>=</v>
      </c>
      <c r="N618">
        <f>J618+L618</f>
        <v>0.27</v>
      </c>
      <c r="T618" t="str">
        <v>x</v>
      </c>
      <c r="U618">
        <f>0.006165*F618^2</f>
        <v>0</v>
      </c>
      <c r="V618" t="str">
        <v>x</v>
      </c>
      <c r="W618">
        <f>W614</f>
        <v>8</v>
      </c>
      <c r="X618" t="str">
        <v>x</v>
      </c>
      <c r="Y618">
        <f>D604</f>
        <v>0</v>
      </c>
      <c r="Z618" t="str">
        <v>=</v>
      </c>
      <c r="AA618">
        <f>N618*U618*W618*Y618</f>
        <v>0</v>
      </c>
    </row>
    <row r="619">
      <c r="A619" t="str">
        <f>A594</f>
        <v>Sloof</v>
      </c>
      <c r="B619">
        <f>B594</f>
        <v>19</v>
      </c>
      <c r="C619" t="str">
        <v>Kait Horizontal Lap.</v>
      </c>
      <c r="D619">
        <f>VLOOKUP(D594,'Detail Balok'!$C$10:$BJ$110,51,FALSE)</f>
        <v>0</v>
      </c>
      <c r="E619" t="str">
        <v>D</v>
      </c>
      <c r="F619">
        <f>VLOOKUP(D594,'Detail Balok'!$C$10:$BJ$110,53,FALSE)</f>
        <v>0</v>
      </c>
      <c r="G619" t="str">
        <v>-</v>
      </c>
      <c r="H619">
        <f>VLOOKUP(D594,'Detail Balok'!$C$10:$BJ$110,55,FALSE)</f>
        <v>100</v>
      </c>
      <c r="J619">
        <f>(D595-2*F$5)/1000</f>
        <v>0.12</v>
      </c>
      <c r="K619" t="str">
        <v>+</v>
      </c>
      <c r="L619">
        <f>IF(D619=0,2*MAX(6*F619,75),(D619-1)*2*MAX(6*F619,75))/1000</f>
        <v>0.15</v>
      </c>
      <c r="M619" t="str">
        <v>=</v>
      </c>
      <c r="N619">
        <f>J619+L619</f>
        <v>0.27</v>
      </c>
      <c r="T619" t="str">
        <v>x</v>
      </c>
      <c r="U619">
        <f>0.006165*F619^2</f>
        <v>0</v>
      </c>
      <c r="V619" t="str">
        <v>x</v>
      </c>
      <c r="W619">
        <f>W615</f>
        <v>2</v>
      </c>
      <c r="X619" t="str">
        <v>x</v>
      </c>
      <c r="Y619">
        <f>D604</f>
        <v>0</v>
      </c>
      <c r="Z619" t="str">
        <v>=</v>
      </c>
      <c r="AA619">
        <f>N619*U619*W619*Y619</f>
        <v>0</v>
      </c>
    </row>
    <row r="620">
      <c r="A620" t="str">
        <f>A594</f>
        <v>Sloof</v>
      </c>
      <c r="B620">
        <f>B594</f>
        <v>19</v>
      </c>
      <c r="C620" t="str">
        <v>Kait Horizontal Tump.</v>
      </c>
      <c r="D620">
        <f>VLOOKUP(D594,'Detail Balok'!$C$10:$BJ$110,56,FALSE)</f>
        <v>0</v>
      </c>
      <c r="E620" t="str">
        <v>D</v>
      </c>
      <c r="F620">
        <f>VLOOKUP(D594,'Detail Balok'!$C$10:$BJ$110,58,FALSE)</f>
        <v>0</v>
      </c>
      <c r="G620" t="str">
        <v>-</v>
      </c>
      <c r="H620">
        <f>VLOOKUP(D594,'Detail Balok'!$C$10:$BJ$110,60,FALSE)</f>
        <v>100</v>
      </c>
      <c r="J620">
        <f>(D595-2*F$5)/1000</f>
        <v>0.12</v>
      </c>
      <c r="K620" t="str">
        <v>+</v>
      </c>
      <c r="L620">
        <f>IF(D620=0,2*MAX(6*F620,75),(D620-1)*2*MAX(6*F620,75))/1000</f>
        <v>0.15</v>
      </c>
      <c r="M620" t="str">
        <v>=</v>
      </c>
      <c r="N620">
        <f>J620+L620</f>
        <v>0.27</v>
      </c>
      <c r="T620" t="str">
        <v>x</v>
      </c>
      <c r="U620">
        <f>0.006165*F620^2</f>
        <v>0</v>
      </c>
      <c r="V620" t="str">
        <v>x</v>
      </c>
      <c r="W620">
        <f>W616</f>
        <v>8</v>
      </c>
      <c r="X620" t="str">
        <v>x</v>
      </c>
      <c r="Y620">
        <f>D604</f>
        <v>0</v>
      </c>
      <c r="Z620" t="str">
        <v>=</v>
      </c>
      <c r="AA620">
        <f>N620*U620*W620*Y620</f>
        <v>0</v>
      </c>
    </row>
    <row r="624">
      <c r="A624" t="str">
        <f>A594</f>
        <v>Sloof</v>
      </c>
      <c r="B624">
        <f>B594+1</f>
        <v>20</v>
      </c>
      <c r="C624" t="str">
        <f>CONCATENATE(A624," no. ",B624)</f>
        <v>Sloof no. 20</v>
      </c>
      <c r="D624" t="str">
        <f>VLOOKUP(C624,'Data Panjang Balok'!$C$9:$N$424,2,FALSE)</f>
        <v>TB47-2</v>
      </c>
    </row>
    <row r="625">
      <c r="C625" t="str">
        <v>Dimensi</v>
      </c>
      <c r="D625">
        <f>VLOOKUP(D624,'Detail Balok'!$C$10:$AU$110,2,FALSE)</f>
        <v>400</v>
      </c>
      <c r="F625" t="str">
        <v>x</v>
      </c>
      <c r="G625">
        <f>VLOOKUP(D624,'Detail Balok'!$C$10:$AU$110,3,FALSE)</f>
        <v>700</v>
      </c>
    </row>
    <row r="626">
      <c r="C626" t="str">
        <v>Panjang as ke as</v>
      </c>
      <c r="D626">
        <f>VLOOKUP(C624,'Data Panjang Balok'!$C$9:$N$424,4,FALSE)</f>
        <v>7350</v>
      </c>
    </row>
    <row r="627">
      <c r="C627" t="str">
        <v>Panjang netto</v>
      </c>
      <c r="D627">
        <f>VLOOKUP(C624,'Data Panjang Balok'!$C$9:$N$424,7,FALSE)</f>
        <v>7350</v>
      </c>
    </row>
    <row r="628">
      <c r="C628" t="str">
        <v>Kolom / balok kiri</v>
      </c>
      <c r="D628">
        <f>VLOOKUP(C624,'Data Panjang Balok'!$C$9:$N$424,9,FALSE)</f>
        <v>0</v>
      </c>
    </row>
    <row r="629">
      <c r="C629" t="str">
        <v>Kolom / balok kanan</v>
      </c>
      <c r="D629">
        <f>VLOOKUP(C624,'Data Panjang Balok'!$C$9:$N$424,10,FALSE)</f>
        <v>0</v>
      </c>
    </row>
    <row r="630">
      <c r="C630" t="str">
        <v>Jumlah</v>
      </c>
      <c r="D630">
        <f>VLOOKUP(C624,'Data Panjang Balok'!$C$9:$N$424,3,FALSE)</f>
        <v>1</v>
      </c>
    </row>
    <row r="631">
      <c r="A631" t="str">
        <f>A624</f>
        <v>Sloof</v>
      </c>
      <c r="B631">
        <f>B624</f>
        <v>20</v>
      </c>
      <c r="C631" t="str">
        <v>Tul Atas Tumpuan</v>
      </c>
      <c r="D631">
        <f>VLOOKUP(D624,'Detail Balok'!$C$10:$AU$110,4,FALSE)</f>
        <v>8</v>
      </c>
      <c r="E631" t="str">
        <v>D</v>
      </c>
      <c r="F631">
        <f>VLOOKUP(D624,'Detail Balok'!$C$10:$AU$110,6,FALSE)</f>
        <v>22</v>
      </c>
      <c r="I631" t="str">
        <v>(</v>
      </c>
      <c r="J631">
        <f>+D626/4/1000</f>
        <v>1.8375</v>
      </c>
      <c r="K631" t="str">
        <v>+</v>
      </c>
      <c r="L631">
        <f>MAX(VLOOKUP(F631,N$6:P$15,3,FALSE)/1000,2/3*D628/1000)+F$16*F631/1000</f>
        <v>0.264</v>
      </c>
      <c r="M631" t="str">
        <v>=</v>
      </c>
      <c r="N631">
        <f>J631+L631</f>
        <v>2.1014999999999997</v>
      </c>
      <c r="O631" t="str">
        <v>+</v>
      </c>
      <c r="P631">
        <f>D631-D632</f>
        <v>3</v>
      </c>
      <c r="Q631" t="str">
        <v>x</v>
      </c>
      <c r="R631">
        <f>IF(P631&gt;0,$F$18*F631/1000,0)</f>
        <v>0.33</v>
      </c>
      <c r="S631" t="str">
        <v>)</v>
      </c>
      <c r="T631" t="str">
        <v>x</v>
      </c>
      <c r="U631">
        <f>0.006165*F631^2</f>
        <v>2.98386</v>
      </c>
      <c r="X631" t="str">
        <v>x</v>
      </c>
      <c r="Y631">
        <f>D630</f>
        <v>1</v>
      </c>
      <c r="Z631" t="str">
        <v>=</v>
      </c>
      <c r="AA631">
        <f>IF(AA634=0,(D631*N631+P631*R631)*U631*Y631,0)</f>
        <v>53.118675719999985</v>
      </c>
    </row>
    <row r="632">
      <c r="A632" t="str">
        <f>A624</f>
        <v>Sloof</v>
      </c>
      <c r="B632">
        <f>B624</f>
        <v>20</v>
      </c>
      <c r="C632" t="str">
        <v>Tul Atas Lapangan</v>
      </c>
      <c r="D632">
        <f>VLOOKUP(D624,'Detail Balok'!$C$10:$AU$110,7,FALSE)</f>
        <v>5</v>
      </c>
      <c r="E632" t="str">
        <v>D</v>
      </c>
      <c r="F632">
        <f>VLOOKUP(D624,'Detail Balok'!$C$10:$AU$110,9,FALSE)</f>
        <v>22</v>
      </c>
      <c r="I632" t="str">
        <v>(</v>
      </c>
      <c r="J632">
        <f>+D626/2/1000</f>
        <v>3.675</v>
      </c>
      <c r="K632" t="str">
        <v>+</v>
      </c>
      <c r="M632" t="str">
        <v>=</v>
      </c>
      <c r="N632">
        <f>J632+L632</f>
        <v>3.675</v>
      </c>
      <c r="O632" t="str">
        <v>+</v>
      </c>
      <c r="P632">
        <f>MAX(D632-D631,D632-D633)</f>
        <v>0</v>
      </c>
      <c r="Q632" t="str">
        <v>x</v>
      </c>
      <c r="R632">
        <f>IF(P632&gt;0,2*(1-2*$F$19-1/2)*D627/1000,0)</f>
        <v>0</v>
      </c>
      <c r="S632" t="str">
        <v>)</v>
      </c>
      <c r="T632" t="str">
        <v>x</v>
      </c>
      <c r="U632">
        <f>0.006165*F632^2</f>
        <v>2.98386</v>
      </c>
      <c r="X632" t="str">
        <v>x</v>
      </c>
      <c r="Y632">
        <f>D630</f>
        <v>1</v>
      </c>
      <c r="Z632" t="str">
        <v>=</v>
      </c>
      <c r="AA632">
        <f>IF(AA634=0,(D632*N632+P632*R632)*U632*Y632,0)</f>
        <v>54.8284275</v>
      </c>
    </row>
    <row r="633">
      <c r="A633" t="str">
        <f>A624</f>
        <v>Sloof</v>
      </c>
      <c r="B633">
        <f>B624</f>
        <v>20</v>
      </c>
      <c r="C633" t="str">
        <v>Tul Atas Tumpuan</v>
      </c>
      <c r="D633">
        <f>VLOOKUP(D624,'Detail Balok'!$C$10:$AU$110,10,FALSE)</f>
        <v>5</v>
      </c>
      <c r="E633" t="str">
        <v>D</v>
      </c>
      <c r="F633">
        <f>VLOOKUP(D624,'Detail Balok'!$C$10:$AU$110,12,FALSE)</f>
        <v>22</v>
      </c>
      <c r="I633" t="str">
        <v>(</v>
      </c>
      <c r="J633">
        <f>+D626/4/1000</f>
        <v>1.8375</v>
      </c>
      <c r="K633" t="str">
        <v>+</v>
      </c>
      <c r="L633">
        <f>MAX(VLOOKUP(F633,N$6:P$15,3,FALSE)/1000,2/3*D628/1000)+F$16*F633/1000</f>
        <v>0.264</v>
      </c>
      <c r="M633" t="str">
        <v>=</v>
      </c>
      <c r="N633">
        <f>J633+L633</f>
        <v>2.1014999999999997</v>
      </c>
      <c r="O633" t="str">
        <v>+</v>
      </c>
      <c r="P633">
        <f>D633-D632</f>
        <v>0</v>
      </c>
      <c r="Q633" t="str">
        <v>x</v>
      </c>
      <c r="R633">
        <f>IF(P633&gt;0,$F$18*F633/1000,0)</f>
        <v>0</v>
      </c>
      <c r="S633" t="str">
        <v>)</v>
      </c>
      <c r="T633" t="str">
        <v>x</v>
      </c>
      <c r="U633">
        <f>0.006165*F633^2</f>
        <v>2.98386</v>
      </c>
      <c r="X633" t="str">
        <v>x</v>
      </c>
      <c r="Y633">
        <f>D630</f>
        <v>1</v>
      </c>
      <c r="Z633" t="str">
        <v>=</v>
      </c>
      <c r="AA633">
        <f>IF(AA634=0,(D633*N633+P633*R633)*U633*Y633,0)</f>
        <v>31.352908949999996</v>
      </c>
    </row>
    <row r="634">
      <c r="A634" t="str">
        <f>A624</f>
        <v>Sloof</v>
      </c>
      <c r="B634">
        <f>B624</f>
        <v>20</v>
      </c>
      <c r="D634">
        <f>IF(AND(D631=D632,D632=D633,D631=D633),D631,0)</f>
        <v>0</v>
      </c>
      <c r="E634" t="str">
        <v>D</v>
      </c>
      <c r="F634">
        <f>IF(AND(F631=F632,F631=F633,F632=F633),F631,0)</f>
        <v>22</v>
      </c>
      <c r="L634" t="str">
        <v>Total panjang per balok</v>
      </c>
      <c r="M634" t="str">
        <v>=</v>
      </c>
      <c r="N634">
        <f>IF(AND(D631=D632,D631=D633,D632=D633,F631=F632,F631=F633,F632=F633),SUM(N631:N633),0)</f>
        <v>0</v>
      </c>
      <c r="O634" t="str">
        <v>+</v>
      </c>
      <c r="P634">
        <f>IF(N634&gt;12,ROUNDDOWN(N634/12,0),0)</f>
        <v>0</v>
      </c>
      <c r="Q634" t="str">
        <v>x</v>
      </c>
      <c r="R634">
        <f>IF(P634&gt;0,MAX(VLOOKUP(F634,$D$6:$G$15,3,FALSE),600),0)/1000</f>
        <v>0</v>
      </c>
      <c r="T634" t="str">
        <v>x</v>
      </c>
      <c r="U634">
        <f>U633</f>
        <v>2.98386</v>
      </c>
      <c r="V634" t="str">
        <v>x</v>
      </c>
      <c r="W634">
        <f>D634</f>
        <v>0</v>
      </c>
      <c r="X634" t="str">
        <v>x</v>
      </c>
      <c r="Y634">
        <f>Y633</f>
        <v>1</v>
      </c>
      <c r="Z634" t="str">
        <v>=</v>
      </c>
      <c r="AA634">
        <f>(N634+P634*R634/1000)*U634*W634*Y634</f>
        <v>0</v>
      </c>
    </row>
    <row r="636">
      <c r="A636" t="str">
        <f>A624</f>
        <v>Sloof</v>
      </c>
      <c r="B636">
        <f>B624</f>
        <v>20</v>
      </c>
      <c r="C636" t="str">
        <v>Tul Peminggang</v>
      </c>
      <c r="D636">
        <f>VLOOKUP(D624,'Detail Balok'!$C$10:$AU$110,13,FALSE)</f>
        <v>2</v>
      </c>
      <c r="E636" t="str">
        <v>D</v>
      </c>
      <c r="F636">
        <f>VLOOKUP(D624,'Detail Balok'!$C$10:$AU$110,15,FALSE)</f>
        <v>10</v>
      </c>
      <c r="J636">
        <f>+D626/1000</f>
        <v>7.35</v>
      </c>
      <c r="K636" t="str">
        <v>+</v>
      </c>
      <c r="L636">
        <f>2*$F$16*F636/1000</f>
        <v>0.24</v>
      </c>
      <c r="M636" t="str">
        <v>=</v>
      </c>
      <c r="N636">
        <f>J636+L636</f>
        <v>7.59</v>
      </c>
      <c r="O636" t="str">
        <v>+</v>
      </c>
      <c r="P636">
        <f>IF(N636&gt;12,ROUNDDOWN(N636/12,0),0)</f>
        <v>0</v>
      </c>
      <c r="Q636" t="str">
        <v>x</v>
      </c>
      <c r="R636">
        <f>IF(P636&gt;0,MAX(VLOOKUP(F636,$D$6:$G$15,3,FALSE),600),0)/1000</f>
        <v>0</v>
      </c>
      <c r="T636" t="str">
        <v>x</v>
      </c>
      <c r="U636">
        <f>0.006165*F636^2</f>
        <v>0.6165</v>
      </c>
      <c r="V636" t="str">
        <v>x</v>
      </c>
      <c r="W636">
        <f>+D636</f>
        <v>2</v>
      </c>
      <c r="X636" t="str">
        <v>x</v>
      </c>
      <c r="Y636">
        <f>D630</f>
        <v>1</v>
      </c>
      <c r="Z636" t="str">
        <v>=</v>
      </c>
      <c r="AA636">
        <f>(N636+P636*R636/1000)*U636*W636*Y636</f>
        <v>9.35847</v>
      </c>
    </row>
    <row r="639">
      <c r="A639" t="str">
        <f>A624</f>
        <v>Sloof</v>
      </c>
      <c r="B639">
        <f>B624</f>
        <v>20</v>
      </c>
      <c r="C639" t="str">
        <v>Tul Bawah Tumpuan</v>
      </c>
      <c r="D639">
        <f>VLOOKUP(D624,'Detail Balok'!$C$10:$AU$110,22,FALSE)</f>
        <v>4</v>
      </c>
      <c r="E639" t="str">
        <v>D</v>
      </c>
      <c r="F639">
        <f>VLOOKUP(D624,'Detail Balok'!$C$10:$AU$110,24,FALSE)</f>
        <v>22</v>
      </c>
      <c r="I639" t="str">
        <v>(</v>
      </c>
      <c r="J639">
        <f>+J631</f>
        <v>1.8375</v>
      </c>
      <c r="K639" t="str">
        <v>+</v>
      </c>
      <c r="L639">
        <f>MAX(VLOOKUP(F639,N$6:P$15,3,FALSE)/1000,2/3*D629/1000)+F$16*F639/1000</f>
        <v>0.264</v>
      </c>
      <c r="M639" t="str">
        <v>=</v>
      </c>
      <c r="N639">
        <f>J639+L639</f>
        <v>2.1014999999999997</v>
      </c>
      <c r="O639" t="str">
        <v>+</v>
      </c>
      <c r="P639">
        <f>D639-D640</f>
        <v>0</v>
      </c>
      <c r="Q639" t="str">
        <v>x</v>
      </c>
      <c r="R639">
        <f>IF(P639&gt;0,$F$18*F639/1000,0)</f>
        <v>0</v>
      </c>
      <c r="S639" t="str">
        <v>)</v>
      </c>
      <c r="T639" t="str">
        <v>x</v>
      </c>
      <c r="U639">
        <f>0.006165*F639^2</f>
        <v>2.98386</v>
      </c>
      <c r="X639" t="str">
        <v>x</v>
      </c>
      <c r="Y639">
        <f>D630</f>
        <v>1</v>
      </c>
      <c r="Z639" t="str">
        <v>=</v>
      </c>
      <c r="AA639">
        <f>IF(AA642=0,(D639*N639+P639*R639)*U639*Y639,0)</f>
        <v>0</v>
      </c>
    </row>
    <row r="640">
      <c r="A640" t="str">
        <f>A624</f>
        <v>Sloof</v>
      </c>
      <c r="B640">
        <f>B624</f>
        <v>20</v>
      </c>
      <c r="C640" t="str">
        <v>Tul Bawah Lapangan</v>
      </c>
      <c r="D640">
        <f>VLOOKUP(D624,'Detail Balok'!$C$10:$AU$110,25,FALSE)</f>
        <v>4</v>
      </c>
      <c r="E640" t="str">
        <v>D</v>
      </c>
      <c r="F640">
        <f>VLOOKUP(D624,'Detail Balok'!$C$10:$AU$110,27,FALSE)</f>
        <v>22</v>
      </c>
      <c r="I640" t="str">
        <v>(</v>
      </c>
      <c r="J640">
        <f>+J632</f>
        <v>3.675</v>
      </c>
      <c r="K640" t="str">
        <v>+</v>
      </c>
      <c r="M640" t="str">
        <v>=</v>
      </c>
      <c r="N640">
        <f>J640+L640</f>
        <v>3.675</v>
      </c>
      <c r="O640" t="str">
        <v>+</v>
      </c>
      <c r="P640">
        <f>MAX(D640-D639,D640-D641)</f>
        <v>0</v>
      </c>
      <c r="Q640" t="str">
        <v>x</v>
      </c>
      <c r="R640">
        <f>IF(P640&gt;0,2*(1-2*$F$19-1/2)*D627/1000,0)</f>
        <v>0</v>
      </c>
      <c r="S640" t="str">
        <v>)</v>
      </c>
      <c r="T640" t="str">
        <v>x</v>
      </c>
      <c r="U640">
        <f>0.006165*F640^2</f>
        <v>2.98386</v>
      </c>
      <c r="X640" t="str">
        <v>x</v>
      </c>
      <c r="Y640">
        <f>D630</f>
        <v>1</v>
      </c>
      <c r="Z640" t="str">
        <v>=</v>
      </c>
      <c r="AA640">
        <f>IF(AA642=0,(D640*N640+P640*R640)*U640*Y640,0)</f>
        <v>0</v>
      </c>
    </row>
    <row r="641">
      <c r="A641" t="str">
        <f>A624</f>
        <v>Sloof</v>
      </c>
      <c r="B641">
        <f>B624</f>
        <v>20</v>
      </c>
      <c r="C641" t="str">
        <v>Tul Bawah Tumpuan</v>
      </c>
      <c r="D641">
        <f>VLOOKUP(D624,'Detail Balok'!$C$10:$AU$110,28,FALSE)</f>
        <v>4</v>
      </c>
      <c r="E641" t="str">
        <v>D</v>
      </c>
      <c r="F641">
        <f>VLOOKUP(D624,'Detail Balok'!$C$10:$AU$110,30,FALSE)</f>
        <v>22</v>
      </c>
      <c r="I641" t="str">
        <v>(</v>
      </c>
      <c r="J641">
        <f>+J633</f>
        <v>1.8375</v>
      </c>
      <c r="K641" t="str">
        <v>+</v>
      </c>
      <c r="L641">
        <f>MAX(VLOOKUP(F641,N$6:P$15,3,FALSE)/1000,2/3*D629/1000)+F$16*F641/1000</f>
        <v>0.264</v>
      </c>
      <c r="M641" t="str">
        <v>=</v>
      </c>
      <c r="N641">
        <f>J641+L641</f>
        <v>2.1014999999999997</v>
      </c>
      <c r="O641" t="str">
        <v>+</v>
      </c>
      <c r="P641">
        <f>D641-D640</f>
        <v>0</v>
      </c>
      <c r="Q641" t="str">
        <v>x</v>
      </c>
      <c r="R641">
        <f>IF(P641&gt;0,$F$18*F641/1000,0)</f>
        <v>0</v>
      </c>
      <c r="S641" t="str">
        <v>)</v>
      </c>
      <c r="T641" t="str">
        <v>x</v>
      </c>
      <c r="U641">
        <f>0.006165*F641^2</f>
        <v>2.98386</v>
      </c>
      <c r="X641" t="str">
        <v>x</v>
      </c>
      <c r="Y641">
        <f>D630</f>
        <v>1</v>
      </c>
      <c r="Z641" t="str">
        <v>=</v>
      </c>
      <c r="AA641">
        <f>IF(AA642=0,(D641*N641+P641*R641)*U641*Y641,0)</f>
        <v>0</v>
      </c>
    </row>
    <row r="642">
      <c r="A642" t="str">
        <f>A624</f>
        <v>Sloof</v>
      </c>
      <c r="B642">
        <f>B624</f>
        <v>20</v>
      </c>
      <c r="D642">
        <f>IF(AND(D639=D640,D640=D641,D639=D641),D639,0)</f>
        <v>4</v>
      </c>
      <c r="E642" t="str">
        <v>D</v>
      </c>
      <c r="F642">
        <f>IF(AND(F639=F640,F639=F641,F640=F641),F639,0)</f>
        <v>22</v>
      </c>
      <c r="L642" t="str">
        <v>Total panjang per balok</v>
      </c>
      <c r="M642" t="str">
        <v>=</v>
      </c>
      <c r="N642">
        <f>IF(AND(D639=D640,D639=D641,D640=D641,F639=F640,F639=F641,F640=F641),SUM(N639:N641),0)</f>
        <v>7.877999999999999</v>
      </c>
      <c r="O642" t="str">
        <v>+</v>
      </c>
      <c r="P642">
        <f>IF(N642&gt;12,ROUNDDOWN(N642/12,0),0)</f>
        <v>0</v>
      </c>
      <c r="Q642" t="str">
        <v>x</v>
      </c>
      <c r="R642">
        <f>IF(P642&gt;0,MAX(VLOOKUP(F642,$D$6:$G$15,3,FALSE),600),0)/1000</f>
        <v>0</v>
      </c>
      <c r="T642" t="str">
        <v>x</v>
      </c>
      <c r="U642">
        <f>U641</f>
        <v>2.98386</v>
      </c>
      <c r="V642" t="str">
        <v>x</v>
      </c>
      <c r="W642">
        <f>D642</f>
        <v>4</v>
      </c>
      <c r="X642" t="str">
        <v>x</v>
      </c>
      <c r="Y642">
        <f>Y641</f>
        <v>1</v>
      </c>
      <c r="Z642" t="str">
        <v>=</v>
      </c>
      <c r="AA642">
        <f>(N642+P642*R642/1000)*U642*W642*Y642</f>
        <v>94.02739632</v>
      </c>
    </row>
    <row r="644">
      <c r="A644" t="str">
        <f>A624</f>
        <v>Sloof</v>
      </c>
      <c r="B644">
        <f>B624</f>
        <v>20</v>
      </c>
      <c r="C644" t="str">
        <v>Sengkang Tumpuan</v>
      </c>
      <c r="D644">
        <f>VLOOKUP(D624,'Detail Balok'!$C$10:$AU$110,31,FALSE)</f>
        <v>0</v>
      </c>
      <c r="E644" t="str">
        <v>D</v>
      </c>
      <c r="F644">
        <f>VLOOKUP(D624,'Detail Balok'!$C$10:$AU$110,33,FALSE)</f>
        <v>10</v>
      </c>
      <c r="G644" t="str">
        <v>-</v>
      </c>
      <c r="H644">
        <f>VLOOKUP(D624,'Detail Balok'!$C$10:$AU$110,35,FALSE)</f>
        <v>200</v>
      </c>
      <c r="J644">
        <f>(IF(D644=0,(2*(D625+G625))-(F$5*8),IF(D644=3,(2*(D625+G625))-(F$5*8)+(G625-2*F$5),IF(D644=4,(2*(D625+G625))-(F$5*8)+2*(G625-2*F$5)))))/1000</f>
        <v>1.88</v>
      </c>
      <c r="K644" t="str">
        <v>+</v>
      </c>
      <c r="L644">
        <f>IF(D644=0,2*MAX(6*F644,75),(D644-1)*2*MAX(6*F644,75))/1000</f>
        <v>0.15</v>
      </c>
      <c r="M644" t="str">
        <v>=</v>
      </c>
      <c r="N644">
        <f>J644+L644</f>
        <v>2.03</v>
      </c>
      <c r="T644" t="str">
        <v>x</v>
      </c>
      <c r="U644">
        <f>0.006165*F644^2</f>
        <v>0.6165</v>
      </c>
      <c r="V644" t="str">
        <v>x</v>
      </c>
      <c r="W644">
        <f>IF(D627&gt;4*G625,ROUND(MAX(D627/4,2*G625)/H644,0)+1,ROUND(D627/H644,0)+1)</f>
        <v>10</v>
      </c>
      <c r="X644" t="str">
        <v>x</v>
      </c>
      <c r="Y644">
        <f>D630</f>
        <v>1</v>
      </c>
      <c r="Z644" t="str">
        <v>=</v>
      </c>
      <c r="AA644">
        <f>N644*U644*W644*Y644</f>
        <v>12.51495</v>
      </c>
    </row>
    <row r="645">
      <c r="A645" t="str">
        <f>A624</f>
        <v>Sloof</v>
      </c>
      <c r="B645">
        <f>B624</f>
        <v>20</v>
      </c>
      <c r="C645" t="str">
        <v>Sengkang Lapangan</v>
      </c>
      <c r="D645">
        <f>VLOOKUP(D624,'Detail Balok'!$C$10:$AU$110,36,FALSE)</f>
        <v>0</v>
      </c>
      <c r="E645" t="str">
        <v>D</v>
      </c>
      <c r="F645">
        <f>VLOOKUP(D624,'Detail Balok'!$C$10:$AU$110,38,FALSE)</f>
        <v>10</v>
      </c>
      <c r="G645" t="str">
        <v>-</v>
      </c>
      <c r="H645">
        <f>VLOOKUP(D624,'Detail Balok'!$C$10:$AU$110,40,FALSE)</f>
        <v>200</v>
      </c>
      <c r="J645">
        <f>(IF(D645=0,(2*(D625+G625))-(F$5*8),IF(D645=3,(2*(D625+G625))-(F$5*8)+(G625-2*F$5),IF(D645=4,(2*(D625+G625))-(F$5*8)+2*(G625-2*F$5)))))/1000</f>
        <v>1.88</v>
      </c>
      <c r="K645" t="str">
        <v>+</v>
      </c>
      <c r="L645">
        <f>IF(D645=0,2*MAX(6*F645,75),(D645-1)*2*MAX(6*F645,75))/1000</f>
        <v>0.15</v>
      </c>
      <c r="M645" t="str">
        <v>=</v>
      </c>
      <c r="N645">
        <f>J645+L645</f>
        <v>2.03</v>
      </c>
      <c r="T645" t="str">
        <v>x</v>
      </c>
      <c r="U645">
        <f>0.006165*F645^2</f>
        <v>0.6165</v>
      </c>
      <c r="V645" t="str">
        <v>x</v>
      </c>
      <c r="W645">
        <f>IF(D627-MAX(D627/4,2*G625)*2&gt;0,ROUND((D627-MAX(D627/4,2*G625)*2)/H645,0),0)</f>
        <v>18</v>
      </c>
      <c r="X645" t="str">
        <v>x</v>
      </c>
      <c r="Y645">
        <f>D630</f>
        <v>1</v>
      </c>
      <c r="Z645" t="str">
        <v>=</v>
      </c>
      <c r="AA645">
        <f>N645*U645*W645*Y645</f>
        <v>22.52691</v>
      </c>
    </row>
    <row r="646">
      <c r="A646" t="str">
        <f>A624</f>
        <v>Sloof</v>
      </c>
      <c r="B646">
        <f>B624</f>
        <v>20</v>
      </c>
      <c r="C646" t="str">
        <v>Sengkang Tumpuan</v>
      </c>
      <c r="D646">
        <f>VLOOKUP(D624,'Detail Balok'!$C$10:$AU$110,41,FALSE)</f>
        <v>0</v>
      </c>
      <c r="E646" t="str">
        <v>D</v>
      </c>
      <c r="F646">
        <f>VLOOKUP(D624,'Detail Balok'!$C$10:$AU$110,43,FALSE)</f>
        <v>10</v>
      </c>
      <c r="G646" t="str">
        <v>-</v>
      </c>
      <c r="H646">
        <f>VLOOKUP(D624,'Detail Balok'!$C$10:$AU$110,45,FALSE)</f>
        <v>200</v>
      </c>
      <c r="J646">
        <f>(IF(D646=0,(2*(D625+G625))-(F$5*8),IF(D646=3,(2*(D625+G625))-(F$5*8)+(G625-2*F$5),IF(D646=4,(2*(D625+G625))-(F$5*8)+2*(G625-2*F$5)))))/1000</f>
        <v>1.88</v>
      </c>
      <c r="K646" t="str">
        <v>+</v>
      </c>
      <c r="L646">
        <f>IF(D646=0,2*MAX(6*F646,75),(D646-1)*2*MAX(6*F646,75))/1000</f>
        <v>0.15</v>
      </c>
      <c r="M646" t="str">
        <v>=</v>
      </c>
      <c r="N646">
        <f>J646+L646</f>
        <v>2.03</v>
      </c>
      <c r="T646" t="str">
        <v>x</v>
      </c>
      <c r="U646">
        <f>0.006165*F646^2</f>
        <v>0.6165</v>
      </c>
      <c r="V646" t="str">
        <v>x</v>
      </c>
      <c r="W646">
        <f>IF(D627&gt;4*G625,ROUND(MAX(D627/4,2*G625)/H646,0)+1,0)</f>
        <v>10</v>
      </c>
      <c r="X646" t="str">
        <v>x</v>
      </c>
      <c r="Y646">
        <f>D630</f>
        <v>1</v>
      </c>
      <c r="Z646" t="str">
        <v>=</v>
      </c>
      <c r="AA646">
        <f>N646*U646*W646*Y646</f>
        <v>12.51495</v>
      </c>
    </row>
    <row r="648">
      <c r="A648" t="str">
        <f>A624</f>
        <v>Sloof</v>
      </c>
      <c r="B648">
        <f>B624</f>
        <v>20</v>
      </c>
      <c r="C648" t="str">
        <v>Kait Horizontal Tump.</v>
      </c>
      <c r="D648">
        <f>VLOOKUP(D624,'Detail Balok'!$C$10:$BJ$110,46,FALSE)</f>
        <v>0</v>
      </c>
      <c r="E648" t="str">
        <v>D</v>
      </c>
      <c r="F648">
        <f>VLOOKUP(D624,'Detail Balok'!$C$10:$BJ$110,48,FALSE)</f>
        <v>0</v>
      </c>
      <c r="G648" t="str">
        <v>-</v>
      </c>
      <c r="H648">
        <f>VLOOKUP(D624,'Detail Balok'!$C$10:$BJ$110,50,FALSE)</f>
        <v>100</v>
      </c>
      <c r="J648">
        <f>(D625-2*F$5)/1000</f>
        <v>0.32</v>
      </c>
      <c r="K648" t="str">
        <v>+</v>
      </c>
      <c r="L648">
        <f>IF(D648=0,2*MAX(6*F648,75),(D648-1)*2*MAX(6*F648,75))/1000</f>
        <v>0.15</v>
      </c>
      <c r="M648" t="str">
        <v>=</v>
      </c>
      <c r="N648">
        <f>J648+L648</f>
        <v>0.47</v>
      </c>
      <c r="T648" t="str">
        <v>x</v>
      </c>
      <c r="U648">
        <f>0.006165*F648^2</f>
        <v>0</v>
      </c>
      <c r="V648" t="str">
        <v>x</v>
      </c>
      <c r="W648">
        <f>W644</f>
        <v>10</v>
      </c>
      <c r="X648" t="str">
        <v>x</v>
      </c>
      <c r="Y648">
        <f>D634</f>
        <v>0</v>
      </c>
      <c r="Z648" t="str">
        <v>=</v>
      </c>
      <c r="AA648">
        <f>N648*U648*W648*Y648</f>
        <v>0</v>
      </c>
    </row>
    <row r="649">
      <c r="A649" t="str">
        <f>A624</f>
        <v>Sloof</v>
      </c>
      <c r="B649">
        <f>B624</f>
        <v>20</v>
      </c>
      <c r="C649" t="str">
        <v>Kait Horizontal Lap.</v>
      </c>
      <c r="D649">
        <f>VLOOKUP(D624,'Detail Balok'!$C$10:$BJ$110,51,FALSE)</f>
        <v>0</v>
      </c>
      <c r="E649" t="str">
        <v>D</v>
      </c>
      <c r="F649">
        <f>VLOOKUP(D624,'Detail Balok'!$C$10:$BJ$110,53,FALSE)</f>
        <v>0</v>
      </c>
      <c r="G649" t="str">
        <v>-</v>
      </c>
      <c r="H649">
        <f>VLOOKUP(D624,'Detail Balok'!$C$10:$BJ$110,55,FALSE)</f>
        <v>100</v>
      </c>
      <c r="J649">
        <f>(D625-2*F$5)/1000</f>
        <v>0.32</v>
      </c>
      <c r="K649" t="str">
        <v>+</v>
      </c>
      <c r="L649">
        <f>IF(D649=0,2*MAX(6*F649,75),(D649-1)*2*MAX(6*F649,75))/1000</f>
        <v>0.15</v>
      </c>
      <c r="M649" t="str">
        <v>=</v>
      </c>
      <c r="N649">
        <f>J649+L649</f>
        <v>0.47</v>
      </c>
      <c r="T649" t="str">
        <v>x</v>
      </c>
      <c r="U649">
        <f>0.006165*F649^2</f>
        <v>0</v>
      </c>
      <c r="V649" t="str">
        <v>x</v>
      </c>
      <c r="W649">
        <f>W645</f>
        <v>18</v>
      </c>
      <c r="X649" t="str">
        <v>x</v>
      </c>
      <c r="Y649">
        <f>D634</f>
        <v>0</v>
      </c>
      <c r="Z649" t="str">
        <v>=</v>
      </c>
      <c r="AA649">
        <f>N649*U649*W649*Y649</f>
        <v>0</v>
      </c>
    </row>
    <row r="650">
      <c r="A650" t="str">
        <f>A624</f>
        <v>Sloof</v>
      </c>
      <c r="B650">
        <f>B624</f>
        <v>20</v>
      </c>
      <c r="C650" t="str">
        <v>Kait Horizontal Tump.</v>
      </c>
      <c r="D650">
        <f>VLOOKUP(D624,'Detail Balok'!$C$10:$BJ$110,56,FALSE)</f>
        <v>0</v>
      </c>
      <c r="E650" t="str">
        <v>D</v>
      </c>
      <c r="F650">
        <f>VLOOKUP(D624,'Detail Balok'!$C$10:$BJ$110,58,FALSE)</f>
        <v>0</v>
      </c>
      <c r="G650" t="str">
        <v>-</v>
      </c>
      <c r="H650">
        <f>VLOOKUP(D624,'Detail Balok'!$C$10:$BJ$110,60,FALSE)</f>
        <v>100</v>
      </c>
      <c r="J650">
        <f>(D625-2*F$5)/1000</f>
        <v>0.32</v>
      </c>
      <c r="K650" t="str">
        <v>+</v>
      </c>
      <c r="L650">
        <f>IF(D650=0,2*MAX(6*F650,75),(D650-1)*2*MAX(6*F650,75))/1000</f>
        <v>0.15</v>
      </c>
      <c r="M650" t="str">
        <v>=</v>
      </c>
      <c r="N650">
        <f>J650+L650</f>
        <v>0.47</v>
      </c>
      <c r="T650" t="str">
        <v>x</v>
      </c>
      <c r="U650">
        <f>0.006165*F650^2</f>
        <v>0</v>
      </c>
      <c r="V650" t="str">
        <v>x</v>
      </c>
      <c r="W650">
        <f>W646</f>
        <v>10</v>
      </c>
      <c r="X650" t="str">
        <v>x</v>
      </c>
      <c r="Y650">
        <f>D634</f>
        <v>0</v>
      </c>
      <c r="Z650" t="str">
        <v>=</v>
      </c>
      <c r="AA650">
        <f>N650*U650*W650*Y650</f>
        <v>0</v>
      </c>
    </row>
    <row r="654">
      <c r="A654" t="str">
        <f>A624</f>
        <v>Sloof</v>
      </c>
      <c r="B654">
        <f>B624+1</f>
        <v>21</v>
      </c>
      <c r="C654" t="str">
        <f>CONCATENATE(A654," no. ",B654)</f>
        <v>Sloof no. 21</v>
      </c>
      <c r="D654" t="str">
        <f>VLOOKUP(C654,'Data Panjang Balok'!$C$9:$N$424,2,FALSE)</f>
        <v>Potongan S2</v>
      </c>
    </row>
    <row r="655">
      <c r="C655" t="str">
        <v>Dimensi</v>
      </c>
      <c r="D655">
        <f>VLOOKUP(D654,'Detail Balok'!$C$10:$AU$110,2,FALSE)</f>
        <v>300</v>
      </c>
      <c r="F655" t="str">
        <v>x</v>
      </c>
      <c r="G655">
        <f>VLOOKUP(D654,'Detail Balok'!$C$10:$AU$110,3,FALSE)</f>
        <v>600</v>
      </c>
    </row>
    <row r="656">
      <c r="C656" t="str">
        <v>Panjang as ke as</v>
      </c>
      <c r="D656">
        <f>VLOOKUP(C654,'Data Panjang Balok'!$C$9:$N$424,4,FALSE)</f>
        <v>4000</v>
      </c>
    </row>
    <row r="657">
      <c r="C657" t="str">
        <v>Panjang netto</v>
      </c>
      <c r="D657">
        <f>VLOOKUP(C654,'Data Panjang Balok'!$C$9:$N$424,7,FALSE)</f>
        <v>4000</v>
      </c>
    </row>
    <row r="658">
      <c r="C658" t="str">
        <v>Kolom / balok kiri</v>
      </c>
      <c r="D658">
        <f>VLOOKUP(C654,'Data Panjang Balok'!$C$9:$N$424,9,FALSE)</f>
        <v>0</v>
      </c>
    </row>
    <row r="659">
      <c r="C659" t="str">
        <v>Kolom / balok kanan</v>
      </c>
      <c r="D659">
        <f>VLOOKUP(C654,'Data Panjang Balok'!$C$9:$N$424,10,FALSE)</f>
        <v>0</v>
      </c>
    </row>
    <row r="660">
      <c r="C660" t="str">
        <v>Jumlah</v>
      </c>
      <c r="D660">
        <f>VLOOKUP(C654,'Data Panjang Balok'!$C$9:$N$424,3,FALSE)</f>
        <v>1</v>
      </c>
    </row>
    <row r="661">
      <c r="A661" t="str">
        <f>A654</f>
        <v>Sloof</v>
      </c>
      <c r="B661">
        <f>B654</f>
        <v>21</v>
      </c>
      <c r="C661" t="str">
        <v>Tul Atas Tumpuan</v>
      </c>
      <c r="D661">
        <f>VLOOKUP(D654,'Detail Balok'!$C$10:$AU$110,4,FALSE)</f>
        <v>7</v>
      </c>
      <c r="E661" t="str">
        <v>D</v>
      </c>
      <c r="F661">
        <f>VLOOKUP(D654,'Detail Balok'!$C$10:$AU$110,6,FALSE)</f>
        <v>19</v>
      </c>
      <c r="I661" t="str">
        <v>(</v>
      </c>
      <c r="J661">
        <f>+D656/4/1000</f>
        <v>1</v>
      </c>
      <c r="K661" t="str">
        <v>+</v>
      </c>
      <c r="L661">
        <f>MAX(VLOOKUP(F661,N$6:P$15,3,FALSE)/1000,2/3*D658/1000)+F$16*F661/1000</f>
        <v>0.228</v>
      </c>
      <c r="M661" t="str">
        <v>=</v>
      </c>
      <c r="N661">
        <f>J661+L661</f>
        <v>1.228</v>
      </c>
      <c r="O661" t="str">
        <v>+</v>
      </c>
      <c r="P661">
        <f>D661-D662</f>
        <v>0</v>
      </c>
      <c r="Q661" t="str">
        <v>x</v>
      </c>
      <c r="R661">
        <f>IF(P661&gt;0,$F$18*F661/1000,0)</f>
        <v>0</v>
      </c>
      <c r="S661" t="str">
        <v>)</v>
      </c>
      <c r="T661" t="str">
        <v>x</v>
      </c>
      <c r="U661">
        <f>0.006165*F661^2</f>
        <v>2.225565</v>
      </c>
      <c r="X661" t="str">
        <v>x</v>
      </c>
      <c r="Y661">
        <f>D660</f>
        <v>1</v>
      </c>
      <c r="Z661" t="str">
        <v>=</v>
      </c>
      <c r="AA661">
        <f>IF(AA664=0,(D661*N661+P661*R661)*U661*Y661,0)</f>
        <v>0</v>
      </c>
    </row>
    <row r="662">
      <c r="A662" t="str">
        <f>A654</f>
        <v>Sloof</v>
      </c>
      <c r="B662">
        <f>B654</f>
        <v>21</v>
      </c>
      <c r="C662" t="str">
        <v>Tul Atas Lapangan</v>
      </c>
      <c r="D662">
        <f>VLOOKUP(D654,'Detail Balok'!$C$10:$AU$110,7,FALSE)</f>
        <v>7</v>
      </c>
      <c r="E662" t="str">
        <v>D</v>
      </c>
      <c r="F662">
        <f>VLOOKUP(D654,'Detail Balok'!$C$10:$AU$110,9,FALSE)</f>
        <v>19</v>
      </c>
      <c r="I662" t="str">
        <v>(</v>
      </c>
      <c r="J662">
        <f>+D656/2/1000</f>
        <v>2</v>
      </c>
      <c r="K662" t="str">
        <v>+</v>
      </c>
      <c r="M662" t="str">
        <v>=</v>
      </c>
      <c r="N662">
        <f>J662+L662</f>
        <v>2</v>
      </c>
      <c r="O662" t="str">
        <v>+</v>
      </c>
      <c r="P662">
        <f>MAX(D662-D661,D662-D663)</f>
        <v>0</v>
      </c>
      <c r="Q662" t="str">
        <v>x</v>
      </c>
      <c r="R662">
        <f>IF(P662&gt;0,2*(1-2*$F$19-1/2)*D657/1000,0)</f>
        <v>0</v>
      </c>
      <c r="S662" t="str">
        <v>)</v>
      </c>
      <c r="T662" t="str">
        <v>x</v>
      </c>
      <c r="U662">
        <f>0.006165*F662^2</f>
        <v>2.225565</v>
      </c>
      <c r="X662" t="str">
        <v>x</v>
      </c>
      <c r="Y662">
        <f>D660</f>
        <v>1</v>
      </c>
      <c r="Z662" t="str">
        <v>=</v>
      </c>
      <c r="AA662">
        <f>IF(AA664=0,(D662*N662+P662*R662)*U662*Y662,0)</f>
        <v>0</v>
      </c>
    </row>
    <row r="663">
      <c r="A663" t="str">
        <f>A654</f>
        <v>Sloof</v>
      </c>
      <c r="B663">
        <f>B654</f>
        <v>21</v>
      </c>
      <c r="C663" t="str">
        <v>Tul Atas Tumpuan</v>
      </c>
      <c r="D663">
        <f>VLOOKUP(D654,'Detail Balok'!$C$10:$AU$110,10,FALSE)</f>
        <v>7</v>
      </c>
      <c r="E663" t="str">
        <v>D</v>
      </c>
      <c r="F663">
        <f>VLOOKUP(D654,'Detail Balok'!$C$10:$AU$110,12,FALSE)</f>
        <v>19</v>
      </c>
      <c r="I663" t="str">
        <v>(</v>
      </c>
      <c r="J663">
        <f>+D656/4/1000</f>
        <v>1</v>
      </c>
      <c r="K663" t="str">
        <v>+</v>
      </c>
      <c r="L663">
        <f>MAX(VLOOKUP(F663,N$6:P$15,3,FALSE)/1000,2/3*D658/1000)+F$16*F663/1000</f>
        <v>0.228</v>
      </c>
      <c r="M663" t="str">
        <v>=</v>
      </c>
      <c r="N663">
        <f>J663+L663</f>
        <v>1.228</v>
      </c>
      <c r="O663" t="str">
        <v>+</v>
      </c>
      <c r="P663">
        <f>D663-D662</f>
        <v>0</v>
      </c>
      <c r="Q663" t="str">
        <v>x</v>
      </c>
      <c r="R663">
        <f>IF(P663&gt;0,$F$18*F663/1000,0)</f>
        <v>0</v>
      </c>
      <c r="S663" t="str">
        <v>)</v>
      </c>
      <c r="T663" t="str">
        <v>x</v>
      </c>
      <c r="U663">
        <f>0.006165*F663^2</f>
        <v>2.225565</v>
      </c>
      <c r="X663" t="str">
        <v>x</v>
      </c>
      <c r="Y663">
        <f>D660</f>
        <v>1</v>
      </c>
      <c r="Z663" t="str">
        <v>=</v>
      </c>
      <c r="AA663">
        <f>IF(AA664=0,(D663*N663+P663*R663)*U663*Y663,0)</f>
        <v>0</v>
      </c>
    </row>
    <row r="664">
      <c r="A664" t="str">
        <f>A654</f>
        <v>Sloof</v>
      </c>
      <c r="B664">
        <f>B654</f>
        <v>21</v>
      </c>
      <c r="D664">
        <f>IF(AND(D661=D662,D662=D663,D661=D663),D661,0)</f>
        <v>7</v>
      </c>
      <c r="E664" t="str">
        <v>D</v>
      </c>
      <c r="F664">
        <f>IF(AND(F661=F662,F661=F663,F662=F663),F661,0)</f>
        <v>19</v>
      </c>
      <c r="L664" t="str">
        <v>Total panjang per balok</v>
      </c>
      <c r="M664" t="str">
        <v>=</v>
      </c>
      <c r="N664">
        <f>IF(AND(D661=D662,D661=D663,D662=D663,F661=F662,F661=F663,F662=F663),SUM(N661:N663),0)</f>
        <v>4.4559999999999995</v>
      </c>
      <c r="O664" t="str">
        <v>+</v>
      </c>
      <c r="P664">
        <f>IF(N664&gt;12,ROUNDDOWN(N664/12,0),0)</f>
        <v>0</v>
      </c>
      <c r="Q664" t="str">
        <v>x</v>
      </c>
      <c r="R664">
        <f>IF(P664&gt;0,MAX(VLOOKUP(F664,$D$6:$G$15,3,FALSE),600),0)/1000</f>
        <v>0</v>
      </c>
      <c r="T664" t="str">
        <v>x</v>
      </c>
      <c r="U664">
        <f>U663</f>
        <v>2.225565</v>
      </c>
      <c r="V664" t="str">
        <v>x</v>
      </c>
      <c r="W664">
        <f>D664</f>
        <v>7</v>
      </c>
      <c r="X664" t="str">
        <v>x</v>
      </c>
      <c r="Y664">
        <f>Y663</f>
        <v>1</v>
      </c>
      <c r="Z664" t="str">
        <v>=</v>
      </c>
      <c r="AA664">
        <f>(N664+P664*R664/1000)*U664*W664*Y664</f>
        <v>69.41982347999999</v>
      </c>
    </row>
    <row r="666">
      <c r="A666" t="str">
        <f>A654</f>
        <v>Sloof</v>
      </c>
      <c r="B666">
        <f>B654</f>
        <v>21</v>
      </c>
      <c r="C666" t="str">
        <v>Tul Peminggang</v>
      </c>
      <c r="D666">
        <f>VLOOKUP(D654,'Detail Balok'!$C$10:$AU$110,13,FALSE)</f>
        <v>2</v>
      </c>
      <c r="E666" t="str">
        <v>D</v>
      </c>
      <c r="F666">
        <f>VLOOKUP(D654,'Detail Balok'!$C$10:$AU$110,15,FALSE)</f>
        <v>10</v>
      </c>
      <c r="J666">
        <f>+D656/1000</f>
        <v>4</v>
      </c>
      <c r="K666" t="str">
        <v>+</v>
      </c>
      <c r="L666">
        <f>2*$F$16*F666/1000</f>
        <v>0.24</v>
      </c>
      <c r="M666" t="str">
        <v>=</v>
      </c>
      <c r="N666">
        <f>J666+L666</f>
        <v>4.24</v>
      </c>
      <c r="O666" t="str">
        <v>+</v>
      </c>
      <c r="P666">
        <f>IF(N666&gt;12,ROUNDDOWN(N666/12,0),0)</f>
        <v>0</v>
      </c>
      <c r="Q666" t="str">
        <v>x</v>
      </c>
      <c r="R666">
        <f>IF(P666&gt;0,MAX(VLOOKUP(F666,$D$6:$G$15,3,FALSE),600),0)/1000</f>
        <v>0</v>
      </c>
      <c r="T666" t="str">
        <v>x</v>
      </c>
      <c r="U666">
        <f>0.006165*F666^2</f>
        <v>0.6165</v>
      </c>
      <c r="V666" t="str">
        <v>x</v>
      </c>
      <c r="W666">
        <f>+D666</f>
        <v>2</v>
      </c>
      <c r="X666" t="str">
        <v>x</v>
      </c>
      <c r="Y666">
        <f>D660</f>
        <v>1</v>
      </c>
      <c r="Z666" t="str">
        <v>=</v>
      </c>
      <c r="AA666">
        <f>(N666+P666*R666/1000)*U666*W666*Y666</f>
        <v>5.227920000000001</v>
      </c>
    </row>
    <row r="669">
      <c r="A669" t="str">
        <f>A654</f>
        <v>Sloof</v>
      </c>
      <c r="B669">
        <f>B654</f>
        <v>21</v>
      </c>
      <c r="C669" t="str">
        <v>Tul Bawah Tumpuan</v>
      </c>
      <c r="D669">
        <f>VLOOKUP(D654,'Detail Balok'!$C$10:$AU$110,22,FALSE)</f>
        <v>4</v>
      </c>
      <c r="E669" t="str">
        <v>D</v>
      </c>
      <c r="F669">
        <f>VLOOKUP(D654,'Detail Balok'!$C$10:$AU$110,24,FALSE)</f>
        <v>19</v>
      </c>
      <c r="I669" t="str">
        <v>(</v>
      </c>
      <c r="J669">
        <f>+J661</f>
        <v>1</v>
      </c>
      <c r="K669" t="str">
        <v>+</v>
      </c>
      <c r="L669">
        <f>MAX(VLOOKUP(F669,N$6:P$15,3,FALSE)/1000,2/3*D659/1000)+F$16*F669/1000</f>
        <v>0.228</v>
      </c>
      <c r="M669" t="str">
        <v>=</v>
      </c>
      <c r="N669">
        <f>J669+L669</f>
        <v>1.228</v>
      </c>
      <c r="O669" t="str">
        <v>+</v>
      </c>
      <c r="P669">
        <f>D669-D670</f>
        <v>0</v>
      </c>
      <c r="Q669" t="str">
        <v>x</v>
      </c>
      <c r="R669">
        <f>IF(P669&gt;0,$F$18*F669/1000,0)</f>
        <v>0</v>
      </c>
      <c r="S669" t="str">
        <v>)</v>
      </c>
      <c r="T669" t="str">
        <v>x</v>
      </c>
      <c r="U669">
        <f>0.006165*F669^2</f>
        <v>2.225565</v>
      </c>
      <c r="X669" t="str">
        <v>x</v>
      </c>
      <c r="Y669">
        <f>D660</f>
        <v>1</v>
      </c>
      <c r="Z669" t="str">
        <v>=</v>
      </c>
      <c r="AA669">
        <f>IF(AA672=0,(D669*N669+P669*R669)*U669*Y669,0)</f>
        <v>0</v>
      </c>
    </row>
    <row r="670">
      <c r="A670" t="str">
        <f>A654</f>
        <v>Sloof</v>
      </c>
      <c r="B670">
        <f>B654</f>
        <v>21</v>
      </c>
      <c r="C670" t="str">
        <v>Tul Bawah Lapangan</v>
      </c>
      <c r="D670">
        <f>VLOOKUP(D654,'Detail Balok'!$C$10:$AU$110,25,FALSE)</f>
        <v>4</v>
      </c>
      <c r="E670" t="str">
        <v>D</v>
      </c>
      <c r="F670">
        <f>VLOOKUP(D654,'Detail Balok'!$C$10:$AU$110,27,FALSE)</f>
        <v>19</v>
      </c>
      <c r="I670" t="str">
        <v>(</v>
      </c>
      <c r="J670">
        <f>+J662</f>
        <v>2</v>
      </c>
      <c r="K670" t="str">
        <v>+</v>
      </c>
      <c r="M670" t="str">
        <v>=</v>
      </c>
      <c r="N670">
        <f>J670+L670</f>
        <v>2</v>
      </c>
      <c r="O670" t="str">
        <v>+</v>
      </c>
      <c r="P670">
        <f>MAX(D670-D669,D670-D671)</f>
        <v>0</v>
      </c>
      <c r="Q670" t="str">
        <v>x</v>
      </c>
      <c r="R670">
        <f>IF(P670&gt;0,2*(1-2*$F$19-1/2)*D657/1000,0)</f>
        <v>0</v>
      </c>
      <c r="S670" t="str">
        <v>)</v>
      </c>
      <c r="T670" t="str">
        <v>x</v>
      </c>
      <c r="U670">
        <f>0.006165*F670^2</f>
        <v>2.225565</v>
      </c>
      <c r="X670" t="str">
        <v>x</v>
      </c>
      <c r="Y670">
        <f>D660</f>
        <v>1</v>
      </c>
      <c r="Z670" t="str">
        <v>=</v>
      </c>
      <c r="AA670">
        <f>IF(AA672=0,(D670*N670+P670*R670)*U670*Y670,0)</f>
        <v>0</v>
      </c>
    </row>
    <row r="671">
      <c r="A671" t="str">
        <f>A654</f>
        <v>Sloof</v>
      </c>
      <c r="B671">
        <f>B654</f>
        <v>21</v>
      </c>
      <c r="C671" t="str">
        <v>Tul Bawah Tumpuan</v>
      </c>
      <c r="D671">
        <f>VLOOKUP(D654,'Detail Balok'!$C$10:$AU$110,28,FALSE)</f>
        <v>4</v>
      </c>
      <c r="E671" t="str">
        <v>D</v>
      </c>
      <c r="F671">
        <f>VLOOKUP(D654,'Detail Balok'!$C$10:$AU$110,30,FALSE)</f>
        <v>19</v>
      </c>
      <c r="I671" t="str">
        <v>(</v>
      </c>
      <c r="J671">
        <f>+J663</f>
        <v>1</v>
      </c>
      <c r="K671" t="str">
        <v>+</v>
      </c>
      <c r="L671">
        <f>MAX(VLOOKUP(F671,N$6:P$15,3,FALSE)/1000,2/3*D659/1000)+F$16*F671/1000</f>
        <v>0.228</v>
      </c>
      <c r="M671" t="str">
        <v>=</v>
      </c>
      <c r="N671">
        <f>J671+L671</f>
        <v>1.228</v>
      </c>
      <c r="O671" t="str">
        <v>+</v>
      </c>
      <c r="P671">
        <f>D671-D670</f>
        <v>0</v>
      </c>
      <c r="Q671" t="str">
        <v>x</v>
      </c>
      <c r="R671">
        <f>IF(P671&gt;0,$F$18*F671/1000,0)</f>
        <v>0</v>
      </c>
      <c r="S671" t="str">
        <v>)</v>
      </c>
      <c r="T671" t="str">
        <v>x</v>
      </c>
      <c r="U671">
        <f>0.006165*F671^2</f>
        <v>2.225565</v>
      </c>
      <c r="X671" t="str">
        <v>x</v>
      </c>
      <c r="Y671">
        <f>D660</f>
        <v>1</v>
      </c>
      <c r="Z671" t="str">
        <v>=</v>
      </c>
      <c r="AA671">
        <f>IF(AA672=0,(D671*N671+P671*R671)*U671*Y671,0)</f>
        <v>0</v>
      </c>
    </row>
    <row r="672">
      <c r="A672" t="str">
        <f>A654</f>
        <v>Sloof</v>
      </c>
      <c r="B672">
        <f>B654</f>
        <v>21</v>
      </c>
      <c r="D672">
        <f>IF(AND(D669=D670,D670=D671,D669=D671),D669,0)</f>
        <v>4</v>
      </c>
      <c r="E672" t="str">
        <v>D</v>
      </c>
      <c r="F672">
        <f>IF(AND(F669=F670,F669=F671,F670=F671),F669,0)</f>
        <v>19</v>
      </c>
      <c r="L672" t="str">
        <v>Total panjang per balok</v>
      </c>
      <c r="M672" t="str">
        <v>=</v>
      </c>
      <c r="N672">
        <f>IF(AND(D669=D670,D669=D671,D670=D671,F669=F670,F669=F671,F670=F671),SUM(N669:N671),0)</f>
        <v>4.4559999999999995</v>
      </c>
      <c r="O672" t="str">
        <v>+</v>
      </c>
      <c r="P672">
        <f>IF(N672&gt;12,ROUNDDOWN(N672/12,0),0)</f>
        <v>0</v>
      </c>
      <c r="Q672" t="str">
        <v>x</v>
      </c>
      <c r="R672">
        <f>IF(P672&gt;0,MAX(VLOOKUP(F672,$D$6:$G$15,3,FALSE),600),0)/1000</f>
        <v>0</v>
      </c>
      <c r="T672" t="str">
        <v>x</v>
      </c>
      <c r="U672">
        <f>U671</f>
        <v>2.225565</v>
      </c>
      <c r="V672" t="str">
        <v>x</v>
      </c>
      <c r="W672">
        <f>D672</f>
        <v>4</v>
      </c>
      <c r="X672" t="str">
        <v>x</v>
      </c>
      <c r="Y672">
        <f>Y671</f>
        <v>1</v>
      </c>
      <c r="Z672" t="str">
        <v>=</v>
      </c>
      <c r="AA672">
        <f>(N672+P672*R672/1000)*U672*W672*Y672</f>
        <v>39.668470559999996</v>
      </c>
    </row>
    <row r="674">
      <c r="A674" t="str">
        <f>A654</f>
        <v>Sloof</v>
      </c>
      <c r="B674">
        <f>B654</f>
        <v>21</v>
      </c>
      <c r="C674" t="str">
        <v>Sengkang Tumpuan</v>
      </c>
      <c r="D674">
        <f>VLOOKUP(D654,'Detail Balok'!$C$10:$AU$110,31,FALSE)</f>
        <v>0</v>
      </c>
      <c r="E674" t="str">
        <v>D</v>
      </c>
      <c r="F674">
        <f>VLOOKUP(D654,'Detail Balok'!$C$10:$AU$110,33,FALSE)</f>
        <v>10</v>
      </c>
      <c r="G674" t="str">
        <v>-</v>
      </c>
      <c r="H674">
        <f>VLOOKUP(D654,'Detail Balok'!$C$10:$AU$110,35,FALSE)</f>
        <v>200</v>
      </c>
      <c r="J674">
        <f>(IF(D674=0,(2*(D655+G655))-(F$5*8),IF(D674=3,(2*(D655+G655))-(F$5*8)+(G655-2*F$5),IF(D674=4,(2*(D655+G655))-(F$5*8)+2*(G655-2*F$5)))))/1000</f>
        <v>1.48</v>
      </c>
      <c r="K674" t="str">
        <v>+</v>
      </c>
      <c r="L674">
        <f>IF(D674=0,2*MAX(6*F674,75),(D674-1)*2*MAX(6*F674,75))/1000</f>
        <v>0.15</v>
      </c>
      <c r="M674" t="str">
        <v>=</v>
      </c>
      <c r="N674">
        <f>J674+L674</f>
        <v>1.63</v>
      </c>
      <c r="T674" t="str">
        <v>x</v>
      </c>
      <c r="U674">
        <f>0.006165*F674^2</f>
        <v>0.6165</v>
      </c>
      <c r="V674" t="str">
        <v>x</v>
      </c>
      <c r="W674">
        <f>IF(D657&gt;4*G655,ROUND(MAX(D657/4,2*G655)/H674,0)+1,ROUND(D657/H674,0)+1)</f>
        <v>7</v>
      </c>
      <c r="X674" t="str">
        <v>x</v>
      </c>
      <c r="Y674">
        <f>D660</f>
        <v>1</v>
      </c>
      <c r="Z674" t="str">
        <v>=</v>
      </c>
      <c r="AA674">
        <f>N674*U674*W674*Y674</f>
        <v>7.034265</v>
      </c>
    </row>
    <row r="675">
      <c r="A675" t="str">
        <f>A654</f>
        <v>Sloof</v>
      </c>
      <c r="B675">
        <f>B654</f>
        <v>21</v>
      </c>
      <c r="C675" t="str">
        <v>Sengkang Lapangan</v>
      </c>
      <c r="D675">
        <f>VLOOKUP(D654,'Detail Balok'!$C$10:$AU$110,36,FALSE)</f>
        <v>0</v>
      </c>
      <c r="E675" t="str">
        <v>D</v>
      </c>
      <c r="F675">
        <f>VLOOKUP(D654,'Detail Balok'!$C$10:$AU$110,38,FALSE)</f>
        <v>10</v>
      </c>
      <c r="G675" t="str">
        <v>-</v>
      </c>
      <c r="H675">
        <f>VLOOKUP(D654,'Detail Balok'!$C$10:$AU$110,40,FALSE)</f>
        <v>200</v>
      </c>
      <c r="J675">
        <f>(IF(D675=0,(2*(D655+G655))-(F$5*8),IF(D675=3,(2*(D655+G655))-(F$5*8)+(G655-2*F$5),IF(D675=4,(2*(D655+G655))-(F$5*8)+2*(G655-2*F$5)))))/1000</f>
        <v>1.48</v>
      </c>
      <c r="K675" t="str">
        <v>+</v>
      </c>
      <c r="L675">
        <f>IF(D675=0,2*MAX(6*F675,75),(D675-1)*2*MAX(6*F675,75))/1000</f>
        <v>0.15</v>
      </c>
      <c r="M675" t="str">
        <v>=</v>
      </c>
      <c r="N675">
        <f>J675+L675</f>
        <v>1.63</v>
      </c>
      <c r="T675" t="str">
        <v>x</v>
      </c>
      <c r="U675">
        <f>0.006165*F675^2</f>
        <v>0.6165</v>
      </c>
      <c r="V675" t="str">
        <v>x</v>
      </c>
      <c r="W675">
        <f>IF(D657-MAX(D657/4,2*G655)*2&gt;0,ROUND((D657-MAX(D657/4,2*G655)*2)/H675,0),0)</f>
        <v>8</v>
      </c>
      <c r="X675" t="str">
        <v>x</v>
      </c>
      <c r="Y675">
        <f>D660</f>
        <v>1</v>
      </c>
      <c r="Z675" t="str">
        <v>=</v>
      </c>
      <c r="AA675">
        <f>N675*U675*W675*Y675</f>
        <v>8.03916</v>
      </c>
    </row>
    <row r="676">
      <c r="A676" t="str">
        <f>A654</f>
        <v>Sloof</v>
      </c>
      <c r="B676">
        <f>B654</f>
        <v>21</v>
      </c>
      <c r="C676" t="str">
        <v>Sengkang Tumpuan</v>
      </c>
      <c r="D676">
        <f>VLOOKUP(D654,'Detail Balok'!$C$10:$AU$110,41,FALSE)</f>
        <v>0</v>
      </c>
      <c r="E676" t="str">
        <v>D</v>
      </c>
      <c r="F676">
        <f>VLOOKUP(D654,'Detail Balok'!$C$10:$AU$110,43,FALSE)</f>
        <v>10</v>
      </c>
      <c r="G676" t="str">
        <v>-</v>
      </c>
      <c r="H676">
        <f>VLOOKUP(D654,'Detail Balok'!$C$10:$AU$110,45,FALSE)</f>
        <v>200</v>
      </c>
      <c r="J676">
        <f>(IF(D676=0,(2*(D655+G655))-(F$5*8),IF(D676=3,(2*(D655+G655))-(F$5*8)+(G655-2*F$5),IF(D676=4,(2*(D655+G655))-(F$5*8)+2*(G655-2*F$5)))))/1000</f>
        <v>1.48</v>
      </c>
      <c r="K676" t="str">
        <v>+</v>
      </c>
      <c r="L676">
        <f>IF(D676=0,2*MAX(6*F676,75),(D676-1)*2*MAX(6*F676,75))/1000</f>
        <v>0.15</v>
      </c>
      <c r="M676" t="str">
        <v>=</v>
      </c>
      <c r="N676">
        <f>J676+L676</f>
        <v>1.63</v>
      </c>
      <c r="T676" t="str">
        <v>x</v>
      </c>
      <c r="U676">
        <f>0.006165*F676^2</f>
        <v>0.6165</v>
      </c>
      <c r="V676" t="str">
        <v>x</v>
      </c>
      <c r="W676">
        <f>IF(D657&gt;4*G655,ROUND(MAX(D657/4,2*G655)/H676,0)+1,0)</f>
        <v>7</v>
      </c>
      <c r="X676" t="str">
        <v>x</v>
      </c>
      <c r="Y676">
        <f>D660</f>
        <v>1</v>
      </c>
      <c r="Z676" t="str">
        <v>=</v>
      </c>
      <c r="AA676">
        <f>N676*U676*W676*Y676</f>
        <v>7.034265</v>
      </c>
    </row>
    <row r="678">
      <c r="A678" t="str">
        <f>A654</f>
        <v>Sloof</v>
      </c>
      <c r="B678">
        <f>B654</f>
        <v>21</v>
      </c>
      <c r="C678" t="str">
        <v>Kait Horizontal Tump.</v>
      </c>
      <c r="D678">
        <f>VLOOKUP(D654,'Detail Balok'!$C$10:$BJ$110,46,FALSE)</f>
        <v>0</v>
      </c>
      <c r="E678" t="str">
        <v>D</v>
      </c>
      <c r="F678">
        <f>VLOOKUP(D654,'Detail Balok'!$C$10:$BJ$110,48,FALSE)</f>
        <v>0</v>
      </c>
      <c r="G678" t="str">
        <v>-</v>
      </c>
      <c r="H678">
        <f>VLOOKUP(D654,'Detail Balok'!$C$10:$BJ$110,50,FALSE)</f>
        <v>100</v>
      </c>
      <c r="J678">
        <f>(D655-2*F$5)/1000</f>
        <v>0.22</v>
      </c>
      <c r="K678" t="str">
        <v>+</v>
      </c>
      <c r="L678">
        <f>IF(D678=0,2*MAX(6*F678,75),(D678-1)*2*MAX(6*F678,75))/1000</f>
        <v>0.15</v>
      </c>
      <c r="M678" t="str">
        <v>=</v>
      </c>
      <c r="N678">
        <f>J678+L678</f>
        <v>0.37</v>
      </c>
      <c r="T678" t="str">
        <v>x</v>
      </c>
      <c r="U678">
        <f>0.006165*F678^2</f>
        <v>0</v>
      </c>
      <c r="V678" t="str">
        <v>x</v>
      </c>
      <c r="W678">
        <f>W674</f>
        <v>7</v>
      </c>
      <c r="X678" t="str">
        <v>x</v>
      </c>
      <c r="Y678">
        <f>D664</f>
        <v>7</v>
      </c>
      <c r="Z678" t="str">
        <v>=</v>
      </c>
      <c r="AA678">
        <f>N678*U678*W678*Y678</f>
        <v>0</v>
      </c>
    </row>
    <row r="679">
      <c r="A679" t="str">
        <f>A654</f>
        <v>Sloof</v>
      </c>
      <c r="B679">
        <f>B654</f>
        <v>21</v>
      </c>
      <c r="C679" t="str">
        <v>Kait Horizontal Lap.</v>
      </c>
      <c r="D679">
        <f>VLOOKUP(D654,'Detail Balok'!$C$10:$BJ$110,51,FALSE)</f>
        <v>0</v>
      </c>
      <c r="E679" t="str">
        <v>D</v>
      </c>
      <c r="F679">
        <f>VLOOKUP(D654,'Detail Balok'!$C$10:$BJ$110,53,FALSE)</f>
        <v>0</v>
      </c>
      <c r="G679" t="str">
        <v>-</v>
      </c>
      <c r="H679">
        <f>VLOOKUP(D654,'Detail Balok'!$C$10:$BJ$110,55,FALSE)</f>
        <v>100</v>
      </c>
      <c r="J679">
        <f>(D655-2*F$5)/1000</f>
        <v>0.22</v>
      </c>
      <c r="K679" t="str">
        <v>+</v>
      </c>
      <c r="L679">
        <f>IF(D679=0,2*MAX(6*F679,75),(D679-1)*2*MAX(6*F679,75))/1000</f>
        <v>0.15</v>
      </c>
      <c r="M679" t="str">
        <v>=</v>
      </c>
      <c r="N679">
        <f>J679+L679</f>
        <v>0.37</v>
      </c>
      <c r="T679" t="str">
        <v>x</v>
      </c>
      <c r="U679">
        <f>0.006165*F679^2</f>
        <v>0</v>
      </c>
      <c r="V679" t="str">
        <v>x</v>
      </c>
      <c r="W679">
        <f>W675</f>
        <v>8</v>
      </c>
      <c r="X679" t="str">
        <v>x</v>
      </c>
      <c r="Y679">
        <f>D664</f>
        <v>7</v>
      </c>
      <c r="Z679" t="str">
        <v>=</v>
      </c>
      <c r="AA679">
        <f>N679*U679*W679*Y679</f>
        <v>0</v>
      </c>
    </row>
    <row r="680">
      <c r="A680" t="str">
        <f>A654</f>
        <v>Sloof</v>
      </c>
      <c r="B680">
        <f>B654</f>
        <v>21</v>
      </c>
      <c r="C680" t="str">
        <v>Kait Horizontal Tump.</v>
      </c>
      <c r="D680">
        <f>VLOOKUP(D654,'Detail Balok'!$C$10:$BJ$110,56,FALSE)</f>
        <v>0</v>
      </c>
      <c r="E680" t="str">
        <v>D</v>
      </c>
      <c r="F680">
        <f>VLOOKUP(D654,'Detail Balok'!$C$10:$BJ$110,58,FALSE)</f>
        <v>0</v>
      </c>
      <c r="G680" t="str">
        <v>-</v>
      </c>
      <c r="H680">
        <f>VLOOKUP(D654,'Detail Balok'!$C$10:$BJ$110,60,FALSE)</f>
        <v>100</v>
      </c>
      <c r="J680">
        <f>(D655-2*F$5)/1000</f>
        <v>0.22</v>
      </c>
      <c r="K680" t="str">
        <v>+</v>
      </c>
      <c r="L680">
        <f>IF(D680=0,2*MAX(6*F680,75),(D680-1)*2*MAX(6*F680,75))/1000</f>
        <v>0.15</v>
      </c>
      <c r="M680" t="str">
        <v>=</v>
      </c>
      <c r="N680">
        <f>J680+L680</f>
        <v>0.37</v>
      </c>
      <c r="T680" t="str">
        <v>x</v>
      </c>
      <c r="U680">
        <f>0.006165*F680^2</f>
        <v>0</v>
      </c>
      <c r="V680" t="str">
        <v>x</v>
      </c>
      <c r="W680">
        <f>W676</f>
        <v>7</v>
      </c>
      <c r="X680" t="str">
        <v>x</v>
      </c>
      <c r="Y680">
        <f>D664</f>
        <v>7</v>
      </c>
      <c r="Z680" t="str">
        <v>=</v>
      </c>
      <c r="AA680">
        <f>N680*U680*W680*Y680</f>
        <v>0</v>
      </c>
    </row>
    <row r="684">
      <c r="A684" t="str">
        <f>A654</f>
        <v>Sloof</v>
      </c>
      <c r="B684">
        <f>B654+1</f>
        <v>22</v>
      </c>
      <c r="C684" t="str">
        <f>CONCATENATE(A684," no. ",B684)</f>
        <v>Sloof no. 22</v>
      </c>
      <c r="D684" t="str">
        <f>VLOOKUP(C684,'Data Panjang Balok'!$C$9:$N$424,2,FALSE)</f>
        <v>TB245-1</v>
      </c>
    </row>
    <row r="685">
      <c r="C685" t="str">
        <v>Dimensi</v>
      </c>
      <c r="D685">
        <f>VLOOKUP(D684,'Detail Balok'!$C$10:$AU$110,2,FALSE)</f>
        <v>200</v>
      </c>
      <c r="F685" t="str">
        <v>x</v>
      </c>
      <c r="G685">
        <f>VLOOKUP(D684,'Detail Balok'!$C$10:$AU$110,3,FALSE)</f>
        <v>450</v>
      </c>
    </row>
    <row r="686">
      <c r="C686" t="str">
        <v>Panjang as ke as</v>
      </c>
      <c r="D686">
        <f>VLOOKUP(C684,'Data Panjang Balok'!$C$9:$N$424,4,FALSE)</f>
        <v>3400</v>
      </c>
    </row>
    <row r="687">
      <c r="C687" t="str">
        <v>Panjang netto</v>
      </c>
      <c r="D687">
        <f>VLOOKUP(C684,'Data Panjang Balok'!$C$9:$N$424,7,FALSE)</f>
        <v>3400</v>
      </c>
    </row>
    <row r="688">
      <c r="C688" t="str">
        <v>Kolom / balok kiri</v>
      </c>
      <c r="D688">
        <f>VLOOKUP(C684,'Data Panjang Balok'!$C$9:$N$424,9,FALSE)</f>
        <v>0</v>
      </c>
    </row>
    <row r="689">
      <c r="C689" t="str">
        <v>Kolom / balok kanan</v>
      </c>
      <c r="D689">
        <f>VLOOKUP(C684,'Data Panjang Balok'!$C$9:$N$424,10,FALSE)</f>
        <v>0</v>
      </c>
    </row>
    <row r="690">
      <c r="C690" t="str">
        <v>Jumlah</v>
      </c>
      <c r="D690">
        <f>VLOOKUP(C684,'Data Panjang Balok'!$C$9:$N$424,3,FALSE)</f>
        <v>1</v>
      </c>
    </row>
    <row r="691">
      <c r="A691" t="str">
        <f>A684</f>
        <v>Sloof</v>
      </c>
      <c r="B691">
        <f>B684</f>
        <v>22</v>
      </c>
      <c r="C691" t="str">
        <v>Tul Atas Tumpuan</v>
      </c>
      <c r="D691">
        <f>VLOOKUP(D684,'Detail Balok'!$C$10:$AU$110,4,FALSE)</f>
        <v>3</v>
      </c>
      <c r="E691" t="str">
        <v>D</v>
      </c>
      <c r="F691">
        <f>VLOOKUP(D684,'Detail Balok'!$C$10:$AU$110,6,FALSE)</f>
        <v>13</v>
      </c>
      <c r="I691" t="str">
        <v>(</v>
      </c>
      <c r="J691">
        <f>+D686/4/1000</f>
        <v>0.85</v>
      </c>
      <c r="K691" t="str">
        <v>+</v>
      </c>
      <c r="L691">
        <f>MAX(VLOOKUP(F691,N$6:P$15,3,FALSE)/1000,2/3*D688/1000)+F$16*F691/1000</f>
        <v>0.156</v>
      </c>
      <c r="M691" t="str">
        <v>=</v>
      </c>
      <c r="N691">
        <f>J691+L691</f>
        <v>1.006</v>
      </c>
      <c r="O691" t="str">
        <v>+</v>
      </c>
      <c r="P691">
        <f>D691-D692</f>
        <v>0</v>
      </c>
      <c r="Q691" t="str">
        <v>x</v>
      </c>
      <c r="R691">
        <f>IF(P691&gt;0,$F$18*F691/1000,0)</f>
        <v>0</v>
      </c>
      <c r="S691" t="str">
        <v>)</v>
      </c>
      <c r="T691" t="str">
        <v>x</v>
      </c>
      <c r="U691">
        <f>0.006165*F691^2</f>
        <v>1.041885</v>
      </c>
      <c r="X691" t="str">
        <v>x</v>
      </c>
      <c r="Y691">
        <f>D690</f>
        <v>1</v>
      </c>
      <c r="Z691" t="str">
        <v>=</v>
      </c>
      <c r="AA691">
        <f>IF(AA694=0,(D691*N691+P691*R691)*U691*Y691,0)</f>
        <v>0</v>
      </c>
    </row>
    <row r="692">
      <c r="A692" t="str">
        <f>A684</f>
        <v>Sloof</v>
      </c>
      <c r="B692">
        <f>B684</f>
        <v>22</v>
      </c>
      <c r="C692" t="str">
        <v>Tul Atas Lapangan</v>
      </c>
      <c r="D692">
        <f>VLOOKUP(D684,'Detail Balok'!$C$10:$AU$110,7,FALSE)</f>
        <v>3</v>
      </c>
      <c r="E692" t="str">
        <v>D</v>
      </c>
      <c r="F692">
        <f>VLOOKUP(D684,'Detail Balok'!$C$10:$AU$110,9,FALSE)</f>
        <v>13</v>
      </c>
      <c r="I692" t="str">
        <v>(</v>
      </c>
      <c r="J692">
        <f>+D686/2/1000</f>
        <v>1.7</v>
      </c>
      <c r="K692" t="str">
        <v>+</v>
      </c>
      <c r="M692" t="str">
        <v>=</v>
      </c>
      <c r="N692">
        <f>J692+L692</f>
        <v>1.7</v>
      </c>
      <c r="O692" t="str">
        <v>+</v>
      </c>
      <c r="P692">
        <f>MAX(D692-D691,D692-D693)</f>
        <v>0</v>
      </c>
      <c r="Q692" t="str">
        <v>x</v>
      </c>
      <c r="R692">
        <f>IF(P692&gt;0,2*(1-2*$F$19-1/2)*D687/1000,0)</f>
        <v>0</v>
      </c>
      <c r="S692" t="str">
        <v>)</v>
      </c>
      <c r="T692" t="str">
        <v>x</v>
      </c>
      <c r="U692">
        <f>0.006165*F692^2</f>
        <v>1.041885</v>
      </c>
      <c r="X692" t="str">
        <v>x</v>
      </c>
      <c r="Y692">
        <f>D690</f>
        <v>1</v>
      </c>
      <c r="Z692" t="str">
        <v>=</v>
      </c>
      <c r="AA692">
        <f>IF(AA694=0,(D692*N692+P692*R692)*U692*Y692,0)</f>
        <v>0</v>
      </c>
    </row>
    <row r="693">
      <c r="A693" t="str">
        <f>A684</f>
        <v>Sloof</v>
      </c>
      <c r="B693">
        <f>B684</f>
        <v>22</v>
      </c>
      <c r="C693" t="str">
        <v>Tul Atas Tumpuan</v>
      </c>
      <c r="D693">
        <f>VLOOKUP(D684,'Detail Balok'!$C$10:$AU$110,10,FALSE)</f>
        <v>3</v>
      </c>
      <c r="E693" t="str">
        <v>D</v>
      </c>
      <c r="F693">
        <f>VLOOKUP(D684,'Detail Balok'!$C$10:$AU$110,12,FALSE)</f>
        <v>13</v>
      </c>
      <c r="I693" t="str">
        <v>(</v>
      </c>
      <c r="J693">
        <f>+D686/4/1000</f>
        <v>0.85</v>
      </c>
      <c r="K693" t="str">
        <v>+</v>
      </c>
      <c r="L693">
        <f>MAX(VLOOKUP(F693,N$6:P$15,3,FALSE)/1000,2/3*D688/1000)+F$16*F693/1000</f>
        <v>0.156</v>
      </c>
      <c r="M693" t="str">
        <v>=</v>
      </c>
      <c r="N693">
        <f>J693+L693</f>
        <v>1.006</v>
      </c>
      <c r="O693" t="str">
        <v>+</v>
      </c>
      <c r="P693">
        <f>D693-D692</f>
        <v>0</v>
      </c>
      <c r="Q693" t="str">
        <v>x</v>
      </c>
      <c r="R693">
        <f>IF(P693&gt;0,$F$18*F693/1000,0)</f>
        <v>0</v>
      </c>
      <c r="S693" t="str">
        <v>)</v>
      </c>
      <c r="T693" t="str">
        <v>x</v>
      </c>
      <c r="U693">
        <f>0.006165*F693^2</f>
        <v>1.041885</v>
      </c>
      <c r="X693" t="str">
        <v>x</v>
      </c>
      <c r="Y693">
        <f>D690</f>
        <v>1</v>
      </c>
      <c r="Z693" t="str">
        <v>=</v>
      </c>
      <c r="AA693">
        <f>IF(AA694=0,(D693*N693+P693*R693)*U693*Y693,0)</f>
        <v>0</v>
      </c>
    </row>
    <row r="694">
      <c r="A694" t="str">
        <f>A684</f>
        <v>Sloof</v>
      </c>
      <c r="B694">
        <f>B684</f>
        <v>22</v>
      </c>
      <c r="D694">
        <f>IF(AND(D691=D692,D692=D693,D691=D693),D691,0)</f>
        <v>3</v>
      </c>
      <c r="E694" t="str">
        <v>D</v>
      </c>
      <c r="F694">
        <f>IF(AND(F691=F692,F691=F693,F692=F693),F691,0)</f>
        <v>13</v>
      </c>
      <c r="L694" t="str">
        <v>Total panjang per balok</v>
      </c>
      <c r="M694" t="str">
        <v>=</v>
      </c>
      <c r="N694">
        <f>IF(AND(D691=D692,D691=D693,D692=D693,F691=F692,F691=F693,F692=F693),SUM(N691:N693),0)</f>
        <v>3.7119999999999997</v>
      </c>
      <c r="O694" t="str">
        <v>+</v>
      </c>
      <c r="P694">
        <f>IF(N694&gt;12,ROUNDDOWN(N694/12,0),0)</f>
        <v>0</v>
      </c>
      <c r="Q694" t="str">
        <v>x</v>
      </c>
      <c r="R694">
        <f>IF(P694&gt;0,MAX(VLOOKUP(F694,$D$6:$G$15,3,FALSE),600),0)/1000</f>
        <v>0</v>
      </c>
      <c r="T694" t="str">
        <v>x</v>
      </c>
      <c r="U694">
        <f>U693</f>
        <v>1.041885</v>
      </c>
      <c r="V694" t="str">
        <v>x</v>
      </c>
      <c r="W694">
        <f>D694</f>
        <v>3</v>
      </c>
      <c r="X694" t="str">
        <v>x</v>
      </c>
      <c r="Y694">
        <f>Y693</f>
        <v>1</v>
      </c>
      <c r="Z694" t="str">
        <v>=</v>
      </c>
      <c r="AA694">
        <f>(N694+P694*R694/1000)*U694*W694*Y694</f>
        <v>11.602431359999999</v>
      </c>
    </row>
    <row r="696">
      <c r="A696" t="str">
        <f>A684</f>
        <v>Sloof</v>
      </c>
      <c r="B696">
        <f>B684</f>
        <v>22</v>
      </c>
      <c r="C696" t="str">
        <v>Tul Peminggang</v>
      </c>
      <c r="D696">
        <f>VLOOKUP(D684,'Detail Balok'!$C$10:$AU$110,13,FALSE)</f>
        <v>2</v>
      </c>
      <c r="E696" t="str">
        <v>D</v>
      </c>
      <c r="F696">
        <f>VLOOKUP(D684,'Detail Balok'!$C$10:$AU$110,15,FALSE)</f>
        <v>8</v>
      </c>
      <c r="J696">
        <f>+D686/1000</f>
        <v>3.4</v>
      </c>
      <c r="K696" t="str">
        <v>+</v>
      </c>
      <c r="L696">
        <f>2*$F$16*F696/1000</f>
        <v>0.192</v>
      </c>
      <c r="M696" t="str">
        <v>=</v>
      </c>
      <c r="N696">
        <f>J696+L696</f>
        <v>3.592</v>
      </c>
      <c r="O696" t="str">
        <v>+</v>
      </c>
      <c r="P696">
        <f>IF(N696&gt;12,ROUNDDOWN(N696/12,0),0)</f>
        <v>0</v>
      </c>
      <c r="Q696" t="str">
        <v>x</v>
      </c>
      <c r="R696">
        <f>IF(P696&gt;0,MAX(VLOOKUP(F696,$D$6:$G$15,3,FALSE),600),0)/1000</f>
        <v>0</v>
      </c>
      <c r="T696" t="str">
        <v>x</v>
      </c>
      <c r="U696">
        <f>0.006165*F696^2</f>
        <v>0.39456</v>
      </c>
      <c r="V696" t="str">
        <v>x</v>
      </c>
      <c r="W696">
        <f>+D696</f>
        <v>2</v>
      </c>
      <c r="X696" t="str">
        <v>x</v>
      </c>
      <c r="Y696">
        <f>D690</f>
        <v>1</v>
      </c>
      <c r="Z696" t="str">
        <v>=</v>
      </c>
      <c r="AA696">
        <f>(N696+P696*R696/1000)*U696*W696*Y696</f>
        <v>2.8345190400000004</v>
      </c>
    </row>
    <row r="699">
      <c r="A699" t="str">
        <f>A684</f>
        <v>Sloof</v>
      </c>
      <c r="B699">
        <f>B684</f>
        <v>22</v>
      </c>
      <c r="C699" t="str">
        <v>Tul Bawah Tumpuan</v>
      </c>
      <c r="D699">
        <f>VLOOKUP(D684,'Detail Balok'!$C$10:$AU$110,22,FALSE)</f>
        <v>3</v>
      </c>
      <c r="E699" t="str">
        <v>D</v>
      </c>
      <c r="F699">
        <f>VLOOKUP(D684,'Detail Balok'!$C$10:$AU$110,24,FALSE)</f>
        <v>13</v>
      </c>
      <c r="I699" t="str">
        <v>(</v>
      </c>
      <c r="J699">
        <f>+J691</f>
        <v>0.85</v>
      </c>
      <c r="K699" t="str">
        <v>+</v>
      </c>
      <c r="L699">
        <f>MAX(VLOOKUP(F699,N$6:P$15,3,FALSE)/1000,2/3*D689/1000)+F$16*F699/1000</f>
        <v>0.156</v>
      </c>
      <c r="M699" t="str">
        <v>=</v>
      </c>
      <c r="N699">
        <f>J699+L699</f>
        <v>1.006</v>
      </c>
      <c r="O699" t="str">
        <v>+</v>
      </c>
      <c r="P699">
        <f>D699-D700</f>
        <v>0</v>
      </c>
      <c r="Q699" t="str">
        <v>x</v>
      </c>
      <c r="R699">
        <f>IF(P699&gt;0,$F$18*F699/1000,0)</f>
        <v>0</v>
      </c>
      <c r="S699" t="str">
        <v>)</v>
      </c>
      <c r="T699" t="str">
        <v>x</v>
      </c>
      <c r="U699">
        <f>0.006165*F699^2</f>
        <v>1.041885</v>
      </c>
      <c r="X699" t="str">
        <v>x</v>
      </c>
      <c r="Y699">
        <f>D690</f>
        <v>1</v>
      </c>
      <c r="Z699" t="str">
        <v>=</v>
      </c>
      <c r="AA699">
        <f>IF(AA702=0,(D699*N699+P699*R699)*U699*Y699,0)</f>
        <v>0</v>
      </c>
    </row>
    <row r="700">
      <c r="A700" t="str">
        <f>A684</f>
        <v>Sloof</v>
      </c>
      <c r="B700">
        <f>B684</f>
        <v>22</v>
      </c>
      <c r="C700" t="str">
        <v>Tul Bawah Lapangan</v>
      </c>
      <c r="D700">
        <f>VLOOKUP(D684,'Detail Balok'!$C$10:$AU$110,25,FALSE)</f>
        <v>3</v>
      </c>
      <c r="E700" t="str">
        <v>D</v>
      </c>
      <c r="F700">
        <f>VLOOKUP(D684,'Detail Balok'!$C$10:$AU$110,27,FALSE)</f>
        <v>13</v>
      </c>
      <c r="I700" t="str">
        <v>(</v>
      </c>
      <c r="J700">
        <f>+J692</f>
        <v>1.7</v>
      </c>
      <c r="K700" t="str">
        <v>+</v>
      </c>
      <c r="M700" t="str">
        <v>=</v>
      </c>
      <c r="N700">
        <f>J700+L700</f>
        <v>1.7</v>
      </c>
      <c r="O700" t="str">
        <v>+</v>
      </c>
      <c r="P700">
        <f>MAX(D700-D699,D700-D701)</f>
        <v>0</v>
      </c>
      <c r="Q700" t="str">
        <v>x</v>
      </c>
      <c r="R700">
        <f>IF(P700&gt;0,2*(1-2*$F$19-1/2)*D687/1000,0)</f>
        <v>0</v>
      </c>
      <c r="S700" t="str">
        <v>)</v>
      </c>
      <c r="T700" t="str">
        <v>x</v>
      </c>
      <c r="U700">
        <f>0.006165*F700^2</f>
        <v>1.041885</v>
      </c>
      <c r="X700" t="str">
        <v>x</v>
      </c>
      <c r="Y700">
        <f>D690</f>
        <v>1</v>
      </c>
      <c r="Z700" t="str">
        <v>=</v>
      </c>
      <c r="AA700">
        <f>IF(AA702=0,(D700*N700+P700*R700)*U700*Y700,0)</f>
        <v>0</v>
      </c>
    </row>
    <row r="701">
      <c r="A701" t="str">
        <f>A684</f>
        <v>Sloof</v>
      </c>
      <c r="B701">
        <f>B684</f>
        <v>22</v>
      </c>
      <c r="C701" t="str">
        <v>Tul Bawah Tumpuan</v>
      </c>
      <c r="D701">
        <f>VLOOKUP(D684,'Detail Balok'!$C$10:$AU$110,28,FALSE)</f>
        <v>3</v>
      </c>
      <c r="E701" t="str">
        <v>D</v>
      </c>
      <c r="F701">
        <f>VLOOKUP(D684,'Detail Balok'!$C$10:$AU$110,30,FALSE)</f>
        <v>13</v>
      </c>
      <c r="I701" t="str">
        <v>(</v>
      </c>
      <c r="J701">
        <f>+J693</f>
        <v>0.85</v>
      </c>
      <c r="K701" t="str">
        <v>+</v>
      </c>
      <c r="L701">
        <f>MAX(VLOOKUP(F701,N$6:P$15,3,FALSE)/1000,2/3*D689/1000)+F$16*F701/1000</f>
        <v>0.156</v>
      </c>
      <c r="M701" t="str">
        <v>=</v>
      </c>
      <c r="N701">
        <f>J701+L701</f>
        <v>1.006</v>
      </c>
      <c r="O701" t="str">
        <v>+</v>
      </c>
      <c r="P701">
        <f>D701-D700</f>
        <v>0</v>
      </c>
      <c r="Q701" t="str">
        <v>x</v>
      </c>
      <c r="R701">
        <f>IF(P701&gt;0,$F$18*F701/1000,0)</f>
        <v>0</v>
      </c>
      <c r="S701" t="str">
        <v>)</v>
      </c>
      <c r="T701" t="str">
        <v>x</v>
      </c>
      <c r="U701">
        <f>0.006165*F701^2</f>
        <v>1.041885</v>
      </c>
      <c r="X701" t="str">
        <v>x</v>
      </c>
      <c r="Y701">
        <f>D690</f>
        <v>1</v>
      </c>
      <c r="Z701" t="str">
        <v>=</v>
      </c>
      <c r="AA701">
        <f>IF(AA702=0,(D701*N701+P701*R701)*U701*Y701,0)</f>
        <v>0</v>
      </c>
    </row>
    <row r="702">
      <c r="A702" t="str">
        <f>A684</f>
        <v>Sloof</v>
      </c>
      <c r="B702">
        <f>B684</f>
        <v>22</v>
      </c>
      <c r="D702">
        <f>IF(AND(D699=D700,D700=D701,D699=D701),D699,0)</f>
        <v>3</v>
      </c>
      <c r="E702" t="str">
        <v>D</v>
      </c>
      <c r="F702">
        <f>IF(AND(F699=F700,F699=F701,F700=F701),F699,0)</f>
        <v>13</v>
      </c>
      <c r="L702" t="str">
        <v>Total panjang per balok</v>
      </c>
      <c r="M702" t="str">
        <v>=</v>
      </c>
      <c r="N702">
        <f>IF(AND(D699=D700,D699=D701,D700=D701,F699=F700,F699=F701,F700=F701),SUM(N699:N701),0)</f>
        <v>3.7119999999999997</v>
      </c>
      <c r="O702" t="str">
        <v>+</v>
      </c>
      <c r="P702">
        <f>IF(N702&gt;12,ROUNDDOWN(N702/12,0),0)</f>
        <v>0</v>
      </c>
      <c r="Q702" t="str">
        <v>x</v>
      </c>
      <c r="R702">
        <f>IF(P702&gt;0,MAX(VLOOKUP(F702,$D$6:$G$15,3,FALSE),600),0)/1000</f>
        <v>0</v>
      </c>
      <c r="T702" t="str">
        <v>x</v>
      </c>
      <c r="U702">
        <f>U701</f>
        <v>1.041885</v>
      </c>
      <c r="V702" t="str">
        <v>x</v>
      </c>
      <c r="W702">
        <f>D702</f>
        <v>3</v>
      </c>
      <c r="X702" t="str">
        <v>x</v>
      </c>
      <c r="Y702">
        <f>Y701</f>
        <v>1</v>
      </c>
      <c r="Z702" t="str">
        <v>=</v>
      </c>
      <c r="AA702">
        <f>(N702+P702*R702/1000)*U702*W702*Y702</f>
        <v>11.602431359999999</v>
      </c>
    </row>
    <row r="704">
      <c r="A704" t="str">
        <f>A684</f>
        <v>Sloof</v>
      </c>
      <c r="B704">
        <f>B684</f>
        <v>22</v>
      </c>
      <c r="C704" t="str">
        <v>Sengkang Tumpuan</v>
      </c>
      <c r="D704">
        <f>VLOOKUP(D684,'Detail Balok'!$C$10:$AU$110,31,FALSE)</f>
        <v>0</v>
      </c>
      <c r="E704" t="str">
        <v>D</v>
      </c>
      <c r="F704">
        <f>VLOOKUP(D684,'Detail Balok'!$C$10:$AU$110,33,FALSE)</f>
        <v>8</v>
      </c>
      <c r="G704" t="str">
        <v>-</v>
      </c>
      <c r="H704">
        <f>VLOOKUP(D684,'Detail Balok'!$C$10:$AU$110,35,FALSE)</f>
        <v>200</v>
      </c>
      <c r="J704">
        <f>(IF(D704=0,(2*(D685+G685))-(F$5*8),IF(D704=3,(2*(D685+G685))-(F$5*8)+(G685-2*F$5),IF(D704=4,(2*(D685+G685))-(F$5*8)+2*(G685-2*F$5)))))/1000</f>
        <v>0.98</v>
      </c>
      <c r="K704" t="str">
        <v>+</v>
      </c>
      <c r="L704">
        <f>IF(D704=0,2*MAX(6*F704,75),(D704-1)*2*MAX(6*F704,75))/1000</f>
        <v>0.15</v>
      </c>
      <c r="M704" t="str">
        <v>=</v>
      </c>
      <c r="N704">
        <f>J704+L704</f>
        <v>1.13</v>
      </c>
      <c r="T704" t="str">
        <v>x</v>
      </c>
      <c r="U704">
        <f>0.006165*F704^2</f>
        <v>0.39456</v>
      </c>
      <c r="V704" t="str">
        <v>x</v>
      </c>
      <c r="W704">
        <f>IF(D687&gt;4*G685,ROUND(MAX(D687/4,2*G685)/H704,0)+1,ROUND(D687/H704,0)+1)</f>
        <v>6</v>
      </c>
      <c r="X704" t="str">
        <v>x</v>
      </c>
      <c r="Y704">
        <f>D690</f>
        <v>1</v>
      </c>
      <c r="Z704" t="str">
        <v>=</v>
      </c>
      <c r="AA704">
        <f>N704*U704*W704*Y704</f>
        <v>2.6751168</v>
      </c>
    </row>
    <row r="705">
      <c r="A705" t="str">
        <f>A684</f>
        <v>Sloof</v>
      </c>
      <c r="B705">
        <f>B684</f>
        <v>22</v>
      </c>
      <c r="C705" t="str">
        <v>Sengkang Lapangan</v>
      </c>
      <c r="D705">
        <f>VLOOKUP(D684,'Detail Balok'!$C$10:$AU$110,36,FALSE)</f>
        <v>0</v>
      </c>
      <c r="E705" t="str">
        <v>D</v>
      </c>
      <c r="F705">
        <f>VLOOKUP(D684,'Detail Balok'!$C$10:$AU$110,38,FALSE)</f>
        <v>8</v>
      </c>
      <c r="G705" t="str">
        <v>-</v>
      </c>
      <c r="H705">
        <f>VLOOKUP(D684,'Detail Balok'!$C$10:$AU$110,40,FALSE)</f>
        <v>200</v>
      </c>
      <c r="J705">
        <f>(IF(D705=0,(2*(D685+G685))-(F$5*8),IF(D705=3,(2*(D685+G685))-(F$5*8)+(G685-2*F$5),IF(D705=4,(2*(D685+G685))-(F$5*8)+2*(G685-2*F$5)))))/1000</f>
        <v>0.98</v>
      </c>
      <c r="K705" t="str">
        <v>+</v>
      </c>
      <c r="L705">
        <f>IF(D705=0,2*MAX(6*F705,75),(D705-1)*2*MAX(6*F705,75))/1000</f>
        <v>0.15</v>
      </c>
      <c r="M705" t="str">
        <v>=</v>
      </c>
      <c r="N705">
        <f>J705+L705</f>
        <v>1.13</v>
      </c>
      <c r="T705" t="str">
        <v>x</v>
      </c>
      <c r="U705">
        <f>0.006165*F705^2</f>
        <v>0.39456</v>
      </c>
      <c r="V705" t="str">
        <v>x</v>
      </c>
      <c r="W705">
        <f>IF(D687-MAX(D687/4,2*G685)*2&gt;0,ROUND((D687-MAX(D687/4,2*G685)*2)/H705,0),0)</f>
        <v>8</v>
      </c>
      <c r="X705" t="str">
        <v>x</v>
      </c>
      <c r="Y705">
        <f>D690</f>
        <v>1</v>
      </c>
      <c r="Z705" t="str">
        <v>=</v>
      </c>
      <c r="AA705">
        <f>N705*U705*W705*Y705</f>
        <v>3.5668224</v>
      </c>
    </row>
    <row r="706">
      <c r="A706" t="str">
        <f>A684</f>
        <v>Sloof</v>
      </c>
      <c r="B706">
        <f>B684</f>
        <v>22</v>
      </c>
      <c r="C706" t="str">
        <v>Sengkang Tumpuan</v>
      </c>
      <c r="D706">
        <f>VLOOKUP(D684,'Detail Balok'!$C$10:$AU$110,41,FALSE)</f>
        <v>0</v>
      </c>
      <c r="E706" t="str">
        <v>D</v>
      </c>
      <c r="F706">
        <f>VLOOKUP(D684,'Detail Balok'!$C$10:$AU$110,43,FALSE)</f>
        <v>8</v>
      </c>
      <c r="G706" t="str">
        <v>-</v>
      </c>
      <c r="H706">
        <f>VLOOKUP(D684,'Detail Balok'!$C$10:$AU$110,45,FALSE)</f>
        <v>200</v>
      </c>
      <c r="J706">
        <f>(IF(D706=0,(2*(D685+G685))-(F$5*8),IF(D706=3,(2*(D685+G685))-(F$5*8)+(G685-2*F$5),IF(D706=4,(2*(D685+G685))-(F$5*8)+2*(G685-2*F$5)))))/1000</f>
        <v>0.98</v>
      </c>
      <c r="K706" t="str">
        <v>+</v>
      </c>
      <c r="L706">
        <f>IF(D706=0,2*MAX(6*F706,75),(D706-1)*2*MAX(6*F706,75))/1000</f>
        <v>0.15</v>
      </c>
      <c r="M706" t="str">
        <v>=</v>
      </c>
      <c r="N706">
        <f>J706+L706</f>
        <v>1.13</v>
      </c>
      <c r="T706" t="str">
        <v>x</v>
      </c>
      <c r="U706">
        <f>0.006165*F706^2</f>
        <v>0.39456</v>
      </c>
      <c r="V706" t="str">
        <v>x</v>
      </c>
      <c r="W706">
        <f>IF(D687&gt;4*G685,ROUND(MAX(D687/4,2*G685)/H706,0)+1,0)</f>
        <v>6</v>
      </c>
      <c r="X706" t="str">
        <v>x</v>
      </c>
      <c r="Y706">
        <f>D690</f>
        <v>1</v>
      </c>
      <c r="Z706" t="str">
        <v>=</v>
      </c>
      <c r="AA706">
        <f>N706*U706*W706*Y706</f>
        <v>2.6751168</v>
      </c>
    </row>
    <row r="708">
      <c r="A708" t="str">
        <f>A684</f>
        <v>Sloof</v>
      </c>
      <c r="B708">
        <f>B684</f>
        <v>22</v>
      </c>
      <c r="C708" t="str">
        <v>Kait Horizontal Tump.</v>
      </c>
      <c r="D708">
        <f>VLOOKUP(D684,'Detail Balok'!$C$10:$BJ$110,46,FALSE)</f>
        <v>0</v>
      </c>
      <c r="E708" t="str">
        <v>D</v>
      </c>
      <c r="F708">
        <f>VLOOKUP(D684,'Detail Balok'!$C$10:$BJ$110,48,FALSE)</f>
        <v>0</v>
      </c>
      <c r="G708" t="str">
        <v>-</v>
      </c>
      <c r="H708">
        <f>VLOOKUP(D684,'Detail Balok'!$C$10:$BJ$110,50,FALSE)</f>
        <v>100</v>
      </c>
      <c r="J708">
        <f>(D685-2*F$5)/1000</f>
        <v>0.12</v>
      </c>
      <c r="K708" t="str">
        <v>+</v>
      </c>
      <c r="L708">
        <f>IF(D708=0,2*MAX(6*F708,75),(D708-1)*2*MAX(6*F708,75))/1000</f>
        <v>0.15</v>
      </c>
      <c r="M708" t="str">
        <v>=</v>
      </c>
      <c r="N708">
        <f>J708+L708</f>
        <v>0.27</v>
      </c>
      <c r="T708" t="str">
        <v>x</v>
      </c>
      <c r="U708">
        <f>0.006165*F708^2</f>
        <v>0</v>
      </c>
      <c r="V708" t="str">
        <v>x</v>
      </c>
      <c r="W708">
        <f>W704</f>
        <v>6</v>
      </c>
      <c r="X708" t="str">
        <v>x</v>
      </c>
      <c r="Y708">
        <f>D694</f>
        <v>3</v>
      </c>
      <c r="Z708" t="str">
        <v>=</v>
      </c>
      <c r="AA708">
        <f>N708*U708*W708*Y708</f>
        <v>0</v>
      </c>
    </row>
    <row r="709">
      <c r="A709" t="str">
        <f>A684</f>
        <v>Sloof</v>
      </c>
      <c r="B709">
        <f>B684</f>
        <v>22</v>
      </c>
      <c r="C709" t="str">
        <v>Kait Horizontal Lap.</v>
      </c>
      <c r="D709">
        <f>VLOOKUP(D684,'Detail Balok'!$C$10:$BJ$110,51,FALSE)</f>
        <v>0</v>
      </c>
      <c r="E709" t="str">
        <v>D</v>
      </c>
      <c r="F709">
        <f>VLOOKUP(D684,'Detail Balok'!$C$10:$BJ$110,53,FALSE)</f>
        <v>0</v>
      </c>
      <c r="G709" t="str">
        <v>-</v>
      </c>
      <c r="H709">
        <f>VLOOKUP(D684,'Detail Balok'!$C$10:$BJ$110,55,FALSE)</f>
        <v>100</v>
      </c>
      <c r="J709">
        <f>(D685-2*F$5)/1000</f>
        <v>0.12</v>
      </c>
      <c r="K709" t="str">
        <v>+</v>
      </c>
      <c r="L709">
        <f>IF(D709=0,2*MAX(6*F709,75),(D709-1)*2*MAX(6*F709,75))/1000</f>
        <v>0.15</v>
      </c>
      <c r="M709" t="str">
        <v>=</v>
      </c>
      <c r="N709">
        <f>J709+L709</f>
        <v>0.27</v>
      </c>
      <c r="T709" t="str">
        <v>x</v>
      </c>
      <c r="U709">
        <f>0.006165*F709^2</f>
        <v>0</v>
      </c>
      <c r="V709" t="str">
        <v>x</v>
      </c>
      <c r="W709">
        <f>W705</f>
        <v>8</v>
      </c>
      <c r="X709" t="str">
        <v>x</v>
      </c>
      <c r="Y709">
        <f>D694</f>
        <v>3</v>
      </c>
      <c r="Z709" t="str">
        <v>=</v>
      </c>
      <c r="AA709">
        <f>N709*U709*W709*Y709</f>
        <v>0</v>
      </c>
    </row>
    <row r="710">
      <c r="A710" t="str">
        <f>A684</f>
        <v>Sloof</v>
      </c>
      <c r="B710">
        <f>B684</f>
        <v>22</v>
      </c>
      <c r="C710" t="str">
        <v>Kait Horizontal Tump.</v>
      </c>
      <c r="D710">
        <f>VLOOKUP(D684,'Detail Balok'!$C$10:$BJ$110,56,FALSE)</f>
        <v>0</v>
      </c>
      <c r="E710" t="str">
        <v>D</v>
      </c>
      <c r="F710">
        <f>VLOOKUP(D684,'Detail Balok'!$C$10:$BJ$110,58,FALSE)</f>
        <v>0</v>
      </c>
      <c r="G710" t="str">
        <v>-</v>
      </c>
      <c r="H710">
        <f>VLOOKUP(D684,'Detail Balok'!$C$10:$BJ$110,60,FALSE)</f>
        <v>100</v>
      </c>
      <c r="J710">
        <f>(D685-2*F$5)/1000</f>
        <v>0.12</v>
      </c>
      <c r="K710" t="str">
        <v>+</v>
      </c>
      <c r="L710">
        <f>IF(D710=0,2*MAX(6*F710,75),(D710-1)*2*MAX(6*F710,75))/1000</f>
        <v>0.15</v>
      </c>
      <c r="M710" t="str">
        <v>=</v>
      </c>
      <c r="N710">
        <f>J710+L710</f>
        <v>0.27</v>
      </c>
      <c r="T710" t="str">
        <v>x</v>
      </c>
      <c r="U710">
        <f>0.006165*F710^2</f>
        <v>0</v>
      </c>
      <c r="V710" t="str">
        <v>x</v>
      </c>
      <c r="W710">
        <f>W706</f>
        <v>6</v>
      </c>
      <c r="X710" t="str">
        <v>x</v>
      </c>
      <c r="Y710">
        <f>D694</f>
        <v>3</v>
      </c>
      <c r="Z710" t="str">
        <v>=</v>
      </c>
      <c r="AA710">
        <f>N710*U710*W710*Y710</f>
        <v>0</v>
      </c>
    </row>
    <row r="714">
      <c r="A714" t="str">
        <f>A684</f>
        <v>Sloof</v>
      </c>
      <c r="B714">
        <f>B684+1</f>
        <v>23</v>
      </c>
      <c r="C714" t="str">
        <f>CONCATENATE(A714," no. ",B714)</f>
        <v>Sloof no. 23</v>
      </c>
      <c r="D714" t="str">
        <f>VLOOKUP(C714,'Data Panjang Balok'!$C$9:$N$424,2,FALSE)</f>
        <v>TB245-1</v>
      </c>
    </row>
    <row r="715">
      <c r="C715" t="str">
        <v>Dimensi</v>
      </c>
      <c r="D715">
        <f>VLOOKUP(D714,'Detail Balok'!$C$10:$AU$110,2,FALSE)</f>
        <v>200</v>
      </c>
      <c r="F715" t="str">
        <v>x</v>
      </c>
      <c r="G715">
        <f>VLOOKUP(D714,'Detail Balok'!$C$10:$AU$110,3,FALSE)</f>
        <v>450</v>
      </c>
    </row>
    <row r="716">
      <c r="C716" t="str">
        <v>Panjang as ke as</v>
      </c>
      <c r="D716">
        <f>VLOOKUP(C714,'Data Panjang Balok'!$C$9:$N$424,4,FALSE)</f>
        <v>7435</v>
      </c>
    </row>
    <row r="717">
      <c r="C717" t="str">
        <v>Panjang netto</v>
      </c>
      <c r="D717">
        <f>VLOOKUP(C714,'Data Panjang Balok'!$C$9:$N$424,7,FALSE)</f>
        <v>7435</v>
      </c>
    </row>
    <row r="718">
      <c r="C718" t="str">
        <v>Kolom / balok kiri</v>
      </c>
      <c r="D718">
        <f>VLOOKUP(C714,'Data Panjang Balok'!$C$9:$N$424,9,FALSE)</f>
        <v>0</v>
      </c>
    </row>
    <row r="719">
      <c r="C719" t="str">
        <v>Kolom / balok kanan</v>
      </c>
      <c r="D719">
        <f>VLOOKUP(C714,'Data Panjang Balok'!$C$9:$N$424,10,FALSE)</f>
        <v>0</v>
      </c>
    </row>
    <row r="720">
      <c r="C720" t="str">
        <v>Jumlah</v>
      </c>
      <c r="D720">
        <f>VLOOKUP(C714,'Data Panjang Balok'!$C$9:$N$424,3,FALSE)</f>
        <v>1</v>
      </c>
    </row>
    <row r="721">
      <c r="A721" t="str">
        <f>A714</f>
        <v>Sloof</v>
      </c>
      <c r="B721">
        <f>B714</f>
        <v>23</v>
      </c>
      <c r="C721" t="str">
        <v>Tul Atas Tumpuan</v>
      </c>
      <c r="D721">
        <f>VLOOKUP(D714,'Detail Balok'!$C$10:$AU$110,4,FALSE)</f>
        <v>3</v>
      </c>
      <c r="E721" t="str">
        <v>D</v>
      </c>
      <c r="F721">
        <f>VLOOKUP(D714,'Detail Balok'!$C$10:$AU$110,6,FALSE)</f>
        <v>13</v>
      </c>
      <c r="I721" t="str">
        <v>(</v>
      </c>
      <c r="J721">
        <f>+D716/4/1000</f>
        <v>1.85875</v>
      </c>
      <c r="K721" t="str">
        <v>+</v>
      </c>
      <c r="L721">
        <f>MAX(VLOOKUP(F721,N$6:P$15,3,FALSE)/1000,2/3*D718/1000)+F$16*F721/1000</f>
        <v>0.156</v>
      </c>
      <c r="M721" t="str">
        <v>=</v>
      </c>
      <c r="N721">
        <f>J721+L721</f>
        <v>2.01475</v>
      </c>
      <c r="O721" t="str">
        <v>+</v>
      </c>
      <c r="P721">
        <f>D721-D722</f>
        <v>0</v>
      </c>
      <c r="Q721" t="str">
        <v>x</v>
      </c>
      <c r="R721">
        <f>IF(P721&gt;0,$F$18*F721/1000,0)</f>
        <v>0</v>
      </c>
      <c r="S721" t="str">
        <v>)</v>
      </c>
      <c r="T721" t="str">
        <v>x</v>
      </c>
      <c r="U721">
        <f>0.006165*F721^2</f>
        <v>1.041885</v>
      </c>
      <c r="X721" t="str">
        <v>x</v>
      </c>
      <c r="Y721">
        <f>D720</f>
        <v>1</v>
      </c>
      <c r="Z721" t="str">
        <v>=</v>
      </c>
      <c r="AA721">
        <f>IF(AA724=0,(D721*N721+P721*R721)*U721*Y721,0)</f>
        <v>0</v>
      </c>
    </row>
    <row r="722">
      <c r="A722" t="str">
        <f>A714</f>
        <v>Sloof</v>
      </c>
      <c r="B722">
        <f>B714</f>
        <v>23</v>
      </c>
      <c r="C722" t="str">
        <v>Tul Atas Lapangan</v>
      </c>
      <c r="D722">
        <f>VLOOKUP(D714,'Detail Balok'!$C$10:$AU$110,7,FALSE)</f>
        <v>3</v>
      </c>
      <c r="E722" t="str">
        <v>D</v>
      </c>
      <c r="F722">
        <f>VLOOKUP(D714,'Detail Balok'!$C$10:$AU$110,9,FALSE)</f>
        <v>13</v>
      </c>
      <c r="I722" t="str">
        <v>(</v>
      </c>
      <c r="J722">
        <f>+D716/2/1000</f>
        <v>3.7175</v>
      </c>
      <c r="K722" t="str">
        <v>+</v>
      </c>
      <c r="M722" t="str">
        <v>=</v>
      </c>
      <c r="N722">
        <f>J722+L722</f>
        <v>3.7175</v>
      </c>
      <c r="O722" t="str">
        <v>+</v>
      </c>
      <c r="P722">
        <f>MAX(D722-D721,D722-D723)</f>
        <v>0</v>
      </c>
      <c r="Q722" t="str">
        <v>x</v>
      </c>
      <c r="R722">
        <f>IF(P722&gt;0,2*(1-2*$F$19-1/2)*D717/1000,0)</f>
        <v>0</v>
      </c>
      <c r="S722" t="str">
        <v>)</v>
      </c>
      <c r="T722" t="str">
        <v>x</v>
      </c>
      <c r="U722">
        <f>0.006165*F722^2</f>
        <v>1.041885</v>
      </c>
      <c r="X722" t="str">
        <v>x</v>
      </c>
      <c r="Y722">
        <f>D720</f>
        <v>1</v>
      </c>
      <c r="Z722" t="str">
        <v>=</v>
      </c>
      <c r="AA722">
        <f>IF(AA724=0,(D722*N722+P722*R722)*U722*Y722,0)</f>
        <v>0</v>
      </c>
    </row>
    <row r="723">
      <c r="A723" t="str">
        <f>A714</f>
        <v>Sloof</v>
      </c>
      <c r="B723">
        <f>B714</f>
        <v>23</v>
      </c>
      <c r="C723" t="str">
        <v>Tul Atas Tumpuan</v>
      </c>
      <c r="D723">
        <f>VLOOKUP(D714,'Detail Balok'!$C$10:$AU$110,10,FALSE)</f>
        <v>3</v>
      </c>
      <c r="E723" t="str">
        <v>D</v>
      </c>
      <c r="F723">
        <f>VLOOKUP(D714,'Detail Balok'!$C$10:$AU$110,12,FALSE)</f>
        <v>13</v>
      </c>
      <c r="I723" t="str">
        <v>(</v>
      </c>
      <c r="J723">
        <f>+D716/4/1000</f>
        <v>1.85875</v>
      </c>
      <c r="K723" t="str">
        <v>+</v>
      </c>
      <c r="L723">
        <f>MAX(VLOOKUP(F723,N$6:P$15,3,FALSE)/1000,2/3*D718/1000)+F$16*F723/1000</f>
        <v>0.156</v>
      </c>
      <c r="M723" t="str">
        <v>=</v>
      </c>
      <c r="N723">
        <f>J723+L723</f>
        <v>2.01475</v>
      </c>
      <c r="O723" t="str">
        <v>+</v>
      </c>
      <c r="P723">
        <f>D723-D722</f>
        <v>0</v>
      </c>
      <c r="Q723" t="str">
        <v>x</v>
      </c>
      <c r="R723">
        <f>IF(P723&gt;0,$F$18*F723/1000,0)</f>
        <v>0</v>
      </c>
      <c r="S723" t="str">
        <v>)</v>
      </c>
      <c r="T723" t="str">
        <v>x</v>
      </c>
      <c r="U723">
        <f>0.006165*F723^2</f>
        <v>1.041885</v>
      </c>
      <c r="X723" t="str">
        <v>x</v>
      </c>
      <c r="Y723">
        <f>D720</f>
        <v>1</v>
      </c>
      <c r="Z723" t="str">
        <v>=</v>
      </c>
      <c r="AA723">
        <f>IF(AA724=0,(D723*N723+P723*R723)*U723*Y723,0)</f>
        <v>0</v>
      </c>
    </row>
    <row r="724">
      <c r="A724" t="str">
        <f>A714</f>
        <v>Sloof</v>
      </c>
      <c r="B724">
        <f>B714</f>
        <v>23</v>
      </c>
      <c r="D724">
        <f>IF(AND(D721=D722,D722=D723,D721=D723),D721,0)</f>
        <v>3</v>
      </c>
      <c r="E724" t="str">
        <v>D</v>
      </c>
      <c r="F724">
        <f>IF(AND(F721=F722,F721=F723,F722=F723),F721,0)</f>
        <v>13</v>
      </c>
      <c r="L724" t="str">
        <v>Total panjang per balok</v>
      </c>
      <c r="M724" t="str">
        <v>=</v>
      </c>
      <c r="N724">
        <f>IF(AND(D721=D722,D721=D723,D722=D723,F721=F722,F721=F723,F722=F723),SUM(N721:N723),0)</f>
        <v>7.747</v>
      </c>
      <c r="O724" t="str">
        <v>+</v>
      </c>
      <c r="P724">
        <f>IF(N724&gt;12,ROUNDDOWN(N724/12,0),0)</f>
        <v>0</v>
      </c>
      <c r="Q724" t="str">
        <v>x</v>
      </c>
      <c r="R724">
        <f>IF(P724&gt;0,MAX(VLOOKUP(F724,$D$6:$G$15,3,FALSE),600),0)/1000</f>
        <v>0</v>
      </c>
      <c r="T724" t="str">
        <v>x</v>
      </c>
      <c r="U724">
        <f>U723</f>
        <v>1.041885</v>
      </c>
      <c r="V724" t="str">
        <v>x</v>
      </c>
      <c r="W724">
        <f>D724</f>
        <v>3</v>
      </c>
      <c r="X724" t="str">
        <v>x</v>
      </c>
      <c r="Y724">
        <f>Y723</f>
        <v>1</v>
      </c>
      <c r="Z724" t="str">
        <v>=</v>
      </c>
      <c r="AA724">
        <f>(N724+P724*R724/1000)*U724*W724*Y724</f>
        <v>24.214449285</v>
      </c>
    </row>
    <row r="726">
      <c r="A726" t="str">
        <f>A714</f>
        <v>Sloof</v>
      </c>
      <c r="B726">
        <f>B714</f>
        <v>23</v>
      </c>
      <c r="C726" t="str">
        <v>Tul Peminggang</v>
      </c>
      <c r="D726">
        <f>VLOOKUP(D714,'Detail Balok'!$C$10:$AU$110,13,FALSE)</f>
        <v>2</v>
      </c>
      <c r="E726" t="str">
        <v>D</v>
      </c>
      <c r="F726">
        <f>VLOOKUP(D714,'Detail Balok'!$C$10:$AU$110,15,FALSE)</f>
        <v>8</v>
      </c>
      <c r="J726">
        <f>+D716/1000</f>
        <v>7.435</v>
      </c>
      <c r="K726" t="str">
        <v>+</v>
      </c>
      <c r="L726">
        <f>2*$F$16*F726/1000</f>
        <v>0.192</v>
      </c>
      <c r="M726" t="str">
        <v>=</v>
      </c>
      <c r="N726">
        <f>J726+L726</f>
        <v>7.627</v>
      </c>
      <c r="O726" t="str">
        <v>+</v>
      </c>
      <c r="P726">
        <f>IF(N726&gt;12,ROUNDDOWN(N726/12,0),0)</f>
        <v>0</v>
      </c>
      <c r="Q726" t="str">
        <v>x</v>
      </c>
      <c r="R726">
        <f>IF(P726&gt;0,MAX(VLOOKUP(F726,$D$6:$G$15,3,FALSE),600),0)/1000</f>
        <v>0</v>
      </c>
      <c r="T726" t="str">
        <v>x</v>
      </c>
      <c r="U726">
        <f>0.006165*F726^2</f>
        <v>0.39456</v>
      </c>
      <c r="V726" t="str">
        <v>x</v>
      </c>
      <c r="W726">
        <f>+D726</f>
        <v>2</v>
      </c>
      <c r="X726" t="str">
        <v>x</v>
      </c>
      <c r="Y726">
        <f>D720</f>
        <v>1</v>
      </c>
      <c r="Z726" t="str">
        <v>=</v>
      </c>
      <c r="AA726">
        <f>(N726+P726*R726/1000)*U726*W726*Y726</f>
        <v>6.01861824</v>
      </c>
    </row>
    <row r="729">
      <c r="A729" t="str">
        <f>A714</f>
        <v>Sloof</v>
      </c>
      <c r="B729">
        <f>B714</f>
        <v>23</v>
      </c>
      <c r="C729" t="str">
        <v>Tul Bawah Tumpuan</v>
      </c>
      <c r="D729">
        <f>VLOOKUP(D714,'Detail Balok'!$C$10:$AU$110,22,FALSE)</f>
        <v>3</v>
      </c>
      <c r="E729" t="str">
        <v>D</v>
      </c>
      <c r="F729">
        <f>VLOOKUP(D714,'Detail Balok'!$C$10:$AU$110,24,FALSE)</f>
        <v>13</v>
      </c>
      <c r="I729" t="str">
        <v>(</v>
      </c>
      <c r="J729">
        <f>+J721</f>
        <v>1.85875</v>
      </c>
      <c r="K729" t="str">
        <v>+</v>
      </c>
      <c r="L729">
        <f>MAX(VLOOKUP(F729,N$6:P$15,3,FALSE)/1000,2/3*D719/1000)+F$16*F729/1000</f>
        <v>0.156</v>
      </c>
      <c r="M729" t="str">
        <v>=</v>
      </c>
      <c r="N729">
        <f>J729+L729</f>
        <v>2.01475</v>
      </c>
      <c r="O729" t="str">
        <v>+</v>
      </c>
      <c r="P729">
        <f>D729-D730</f>
        <v>0</v>
      </c>
      <c r="Q729" t="str">
        <v>x</v>
      </c>
      <c r="R729">
        <f>IF(P729&gt;0,$F$18*F729/1000,0)</f>
        <v>0</v>
      </c>
      <c r="S729" t="str">
        <v>)</v>
      </c>
      <c r="T729" t="str">
        <v>x</v>
      </c>
      <c r="U729">
        <f>0.006165*F729^2</f>
        <v>1.041885</v>
      </c>
      <c r="X729" t="str">
        <v>x</v>
      </c>
      <c r="Y729">
        <f>D720</f>
        <v>1</v>
      </c>
      <c r="Z729" t="str">
        <v>=</v>
      </c>
      <c r="AA729">
        <f>IF(AA732=0,(D729*N729+P729*R729)*U729*Y729,0)</f>
        <v>0</v>
      </c>
    </row>
    <row r="730">
      <c r="A730" t="str">
        <f>A714</f>
        <v>Sloof</v>
      </c>
      <c r="B730">
        <f>B714</f>
        <v>23</v>
      </c>
      <c r="C730" t="str">
        <v>Tul Bawah Lapangan</v>
      </c>
      <c r="D730">
        <f>VLOOKUP(D714,'Detail Balok'!$C$10:$AU$110,25,FALSE)</f>
        <v>3</v>
      </c>
      <c r="E730" t="str">
        <v>D</v>
      </c>
      <c r="F730">
        <f>VLOOKUP(D714,'Detail Balok'!$C$10:$AU$110,27,FALSE)</f>
        <v>13</v>
      </c>
      <c r="I730" t="str">
        <v>(</v>
      </c>
      <c r="J730">
        <f>+J722</f>
        <v>3.7175</v>
      </c>
      <c r="K730" t="str">
        <v>+</v>
      </c>
      <c r="M730" t="str">
        <v>=</v>
      </c>
      <c r="N730">
        <f>J730+L730</f>
        <v>3.7175</v>
      </c>
      <c r="O730" t="str">
        <v>+</v>
      </c>
      <c r="P730">
        <f>MAX(D730-D729,D730-D731)</f>
        <v>0</v>
      </c>
      <c r="Q730" t="str">
        <v>x</v>
      </c>
      <c r="R730">
        <f>IF(P730&gt;0,2*(1-2*$F$19-1/2)*D717/1000,0)</f>
        <v>0</v>
      </c>
      <c r="S730" t="str">
        <v>)</v>
      </c>
      <c r="T730" t="str">
        <v>x</v>
      </c>
      <c r="U730">
        <f>0.006165*F730^2</f>
        <v>1.041885</v>
      </c>
      <c r="X730" t="str">
        <v>x</v>
      </c>
      <c r="Y730">
        <f>D720</f>
        <v>1</v>
      </c>
      <c r="Z730" t="str">
        <v>=</v>
      </c>
      <c r="AA730">
        <f>IF(AA732=0,(D730*N730+P730*R730)*U730*Y730,0)</f>
        <v>0</v>
      </c>
    </row>
    <row r="731">
      <c r="A731" t="str">
        <f>A714</f>
        <v>Sloof</v>
      </c>
      <c r="B731">
        <f>B714</f>
        <v>23</v>
      </c>
      <c r="C731" t="str">
        <v>Tul Bawah Tumpuan</v>
      </c>
      <c r="D731">
        <f>VLOOKUP(D714,'Detail Balok'!$C$10:$AU$110,28,FALSE)</f>
        <v>3</v>
      </c>
      <c r="E731" t="str">
        <v>D</v>
      </c>
      <c r="F731">
        <f>VLOOKUP(D714,'Detail Balok'!$C$10:$AU$110,30,FALSE)</f>
        <v>13</v>
      </c>
      <c r="I731" t="str">
        <v>(</v>
      </c>
      <c r="J731">
        <f>+J723</f>
        <v>1.85875</v>
      </c>
      <c r="K731" t="str">
        <v>+</v>
      </c>
      <c r="L731">
        <f>MAX(VLOOKUP(F731,N$6:P$15,3,FALSE)/1000,2/3*D719/1000)+F$16*F731/1000</f>
        <v>0.156</v>
      </c>
      <c r="M731" t="str">
        <v>=</v>
      </c>
      <c r="N731">
        <f>J731+L731</f>
        <v>2.01475</v>
      </c>
      <c r="O731" t="str">
        <v>+</v>
      </c>
      <c r="P731">
        <f>D731-D730</f>
        <v>0</v>
      </c>
      <c r="Q731" t="str">
        <v>x</v>
      </c>
      <c r="R731">
        <f>IF(P731&gt;0,$F$18*F731/1000,0)</f>
        <v>0</v>
      </c>
      <c r="S731" t="str">
        <v>)</v>
      </c>
      <c r="T731" t="str">
        <v>x</v>
      </c>
      <c r="U731">
        <f>0.006165*F731^2</f>
        <v>1.041885</v>
      </c>
      <c r="X731" t="str">
        <v>x</v>
      </c>
      <c r="Y731">
        <f>D720</f>
        <v>1</v>
      </c>
      <c r="Z731" t="str">
        <v>=</v>
      </c>
      <c r="AA731">
        <f>IF(AA732=0,(D731*N731+P731*R731)*U731*Y731,0)</f>
        <v>0</v>
      </c>
    </row>
    <row r="732">
      <c r="A732" t="str">
        <f>A714</f>
        <v>Sloof</v>
      </c>
      <c r="B732">
        <f>B714</f>
        <v>23</v>
      </c>
      <c r="D732">
        <f>IF(AND(D729=D730,D730=D731,D729=D731),D729,0)</f>
        <v>3</v>
      </c>
      <c r="E732" t="str">
        <v>D</v>
      </c>
      <c r="F732">
        <f>IF(AND(F729=F730,F729=F731,F730=F731),F729,0)</f>
        <v>13</v>
      </c>
      <c r="L732" t="str">
        <v>Total panjang per balok</v>
      </c>
      <c r="M732" t="str">
        <v>=</v>
      </c>
      <c r="N732">
        <f>IF(AND(D729=D730,D729=D731,D730=D731,F729=F730,F729=F731,F730=F731),SUM(N729:N731),0)</f>
        <v>7.747</v>
      </c>
      <c r="O732" t="str">
        <v>+</v>
      </c>
      <c r="P732">
        <f>IF(N732&gt;12,ROUNDDOWN(N732/12,0),0)</f>
        <v>0</v>
      </c>
      <c r="Q732" t="str">
        <v>x</v>
      </c>
      <c r="R732">
        <f>IF(P732&gt;0,MAX(VLOOKUP(F732,$D$6:$G$15,3,FALSE),600),0)/1000</f>
        <v>0</v>
      </c>
      <c r="T732" t="str">
        <v>x</v>
      </c>
      <c r="U732">
        <f>U731</f>
        <v>1.041885</v>
      </c>
      <c r="V732" t="str">
        <v>x</v>
      </c>
      <c r="W732">
        <f>D732</f>
        <v>3</v>
      </c>
      <c r="X732" t="str">
        <v>x</v>
      </c>
      <c r="Y732">
        <f>Y731</f>
        <v>1</v>
      </c>
      <c r="Z732" t="str">
        <v>=</v>
      </c>
      <c r="AA732">
        <f>(N732+P732*R732/1000)*U732*W732*Y732</f>
        <v>24.214449285</v>
      </c>
    </row>
    <row r="734">
      <c r="A734" t="str">
        <f>A714</f>
        <v>Sloof</v>
      </c>
      <c r="B734">
        <f>B714</f>
        <v>23</v>
      </c>
      <c r="C734" t="str">
        <v>Sengkang Tumpuan</v>
      </c>
      <c r="D734">
        <f>VLOOKUP(D714,'Detail Balok'!$C$10:$AU$110,31,FALSE)</f>
        <v>0</v>
      </c>
      <c r="E734" t="str">
        <v>D</v>
      </c>
      <c r="F734">
        <f>VLOOKUP(D714,'Detail Balok'!$C$10:$AU$110,33,FALSE)</f>
        <v>8</v>
      </c>
      <c r="G734" t="str">
        <v>-</v>
      </c>
      <c r="H734">
        <f>VLOOKUP(D714,'Detail Balok'!$C$10:$AU$110,35,FALSE)</f>
        <v>200</v>
      </c>
      <c r="J734">
        <f>(IF(D734=0,(2*(D715+G715))-(F$5*8),IF(D734=3,(2*(D715+G715))-(F$5*8)+(G715-2*F$5),IF(D734=4,(2*(D715+G715))-(F$5*8)+2*(G715-2*F$5)))))/1000</f>
        <v>0.98</v>
      </c>
      <c r="K734" t="str">
        <v>+</v>
      </c>
      <c r="L734">
        <f>IF(D734=0,2*MAX(6*F734,75),(D734-1)*2*MAX(6*F734,75))/1000</f>
        <v>0.15</v>
      </c>
      <c r="M734" t="str">
        <v>=</v>
      </c>
      <c r="N734">
        <f>J734+L734</f>
        <v>1.13</v>
      </c>
      <c r="T734" t="str">
        <v>x</v>
      </c>
      <c r="U734">
        <f>0.006165*F734^2</f>
        <v>0.39456</v>
      </c>
      <c r="V734" t="str">
        <v>x</v>
      </c>
      <c r="W734">
        <f>IF(D717&gt;4*G715,ROUND(MAX(D717/4,2*G715)/H734,0)+1,ROUND(D717/H734,0)+1)</f>
        <v>10</v>
      </c>
      <c r="X734" t="str">
        <v>x</v>
      </c>
      <c r="Y734">
        <f>D720</f>
        <v>1</v>
      </c>
      <c r="Z734" t="str">
        <v>=</v>
      </c>
      <c r="AA734">
        <f>N734*U734*W734*Y734</f>
        <v>4.458528</v>
      </c>
    </row>
    <row r="735">
      <c r="A735" t="str">
        <f>A714</f>
        <v>Sloof</v>
      </c>
      <c r="B735">
        <f>B714</f>
        <v>23</v>
      </c>
      <c r="C735" t="str">
        <v>Sengkang Lapangan</v>
      </c>
      <c r="D735">
        <f>VLOOKUP(D714,'Detail Balok'!$C$10:$AU$110,36,FALSE)</f>
        <v>0</v>
      </c>
      <c r="E735" t="str">
        <v>D</v>
      </c>
      <c r="F735">
        <f>VLOOKUP(D714,'Detail Balok'!$C$10:$AU$110,38,FALSE)</f>
        <v>8</v>
      </c>
      <c r="G735" t="str">
        <v>-</v>
      </c>
      <c r="H735">
        <f>VLOOKUP(D714,'Detail Balok'!$C$10:$AU$110,40,FALSE)</f>
        <v>200</v>
      </c>
      <c r="J735">
        <f>(IF(D735=0,(2*(D715+G715))-(F$5*8),IF(D735=3,(2*(D715+G715))-(F$5*8)+(G715-2*F$5),IF(D735=4,(2*(D715+G715))-(F$5*8)+2*(G715-2*F$5)))))/1000</f>
        <v>0.98</v>
      </c>
      <c r="K735" t="str">
        <v>+</v>
      </c>
      <c r="L735">
        <f>IF(D735=0,2*MAX(6*F735,75),(D735-1)*2*MAX(6*F735,75))/1000</f>
        <v>0.15</v>
      </c>
      <c r="M735" t="str">
        <v>=</v>
      </c>
      <c r="N735">
        <f>J735+L735</f>
        <v>1.13</v>
      </c>
      <c r="T735" t="str">
        <v>x</v>
      </c>
      <c r="U735">
        <f>0.006165*F735^2</f>
        <v>0.39456</v>
      </c>
      <c r="V735" t="str">
        <v>x</v>
      </c>
      <c r="W735">
        <f>IF(D717-MAX(D717/4,2*G715)*2&gt;0,ROUND((D717-MAX(D717/4,2*G715)*2)/H735,0),0)</f>
        <v>19</v>
      </c>
      <c r="X735" t="str">
        <v>x</v>
      </c>
      <c r="Y735">
        <f>D720</f>
        <v>1</v>
      </c>
      <c r="Z735" t="str">
        <v>=</v>
      </c>
      <c r="AA735">
        <f>N735*U735*W735*Y735</f>
        <v>8.4712032</v>
      </c>
    </row>
    <row r="736">
      <c r="A736" t="str">
        <f>A714</f>
        <v>Sloof</v>
      </c>
      <c r="B736">
        <f>B714</f>
        <v>23</v>
      </c>
      <c r="C736" t="str">
        <v>Sengkang Tumpuan</v>
      </c>
      <c r="D736">
        <f>VLOOKUP(D714,'Detail Balok'!$C$10:$AU$110,41,FALSE)</f>
        <v>0</v>
      </c>
      <c r="E736" t="str">
        <v>D</v>
      </c>
      <c r="F736">
        <f>VLOOKUP(D714,'Detail Balok'!$C$10:$AU$110,43,FALSE)</f>
        <v>8</v>
      </c>
      <c r="G736" t="str">
        <v>-</v>
      </c>
      <c r="H736">
        <f>VLOOKUP(D714,'Detail Balok'!$C$10:$AU$110,45,FALSE)</f>
        <v>200</v>
      </c>
      <c r="J736">
        <f>(IF(D736=0,(2*(D715+G715))-(F$5*8),IF(D736=3,(2*(D715+G715))-(F$5*8)+(G715-2*F$5),IF(D736=4,(2*(D715+G715))-(F$5*8)+2*(G715-2*F$5)))))/1000</f>
        <v>0.98</v>
      </c>
      <c r="K736" t="str">
        <v>+</v>
      </c>
      <c r="L736">
        <f>IF(D736=0,2*MAX(6*F736,75),(D736-1)*2*MAX(6*F736,75))/1000</f>
        <v>0.15</v>
      </c>
      <c r="M736" t="str">
        <v>=</v>
      </c>
      <c r="N736">
        <f>J736+L736</f>
        <v>1.13</v>
      </c>
      <c r="T736" t="str">
        <v>x</v>
      </c>
      <c r="U736">
        <f>0.006165*F736^2</f>
        <v>0.39456</v>
      </c>
      <c r="V736" t="str">
        <v>x</v>
      </c>
      <c r="W736">
        <f>IF(D717&gt;4*G715,ROUND(MAX(D717/4,2*G715)/H736,0)+1,0)</f>
        <v>10</v>
      </c>
      <c r="X736" t="str">
        <v>x</v>
      </c>
      <c r="Y736">
        <f>D720</f>
        <v>1</v>
      </c>
      <c r="Z736" t="str">
        <v>=</v>
      </c>
      <c r="AA736">
        <f>N736*U736*W736*Y736</f>
        <v>4.458528</v>
      </c>
    </row>
    <row r="738">
      <c r="A738" t="str">
        <f>A714</f>
        <v>Sloof</v>
      </c>
      <c r="B738">
        <f>B714</f>
        <v>23</v>
      </c>
      <c r="C738" t="str">
        <v>Kait Horizontal Tump.</v>
      </c>
      <c r="D738">
        <f>VLOOKUP(D714,'Detail Balok'!$C$10:$BJ$110,46,FALSE)</f>
        <v>0</v>
      </c>
      <c r="E738" t="str">
        <v>D</v>
      </c>
      <c r="F738">
        <f>VLOOKUP(D714,'Detail Balok'!$C$10:$BJ$110,48,FALSE)</f>
        <v>0</v>
      </c>
      <c r="G738" t="str">
        <v>-</v>
      </c>
      <c r="H738">
        <f>VLOOKUP(D714,'Detail Balok'!$C$10:$BJ$110,50,FALSE)</f>
        <v>100</v>
      </c>
      <c r="J738">
        <f>(D715-2*F$5)/1000</f>
        <v>0.12</v>
      </c>
      <c r="K738" t="str">
        <v>+</v>
      </c>
      <c r="L738">
        <f>IF(D738=0,2*MAX(6*F738,75),(D738-1)*2*MAX(6*F738,75))/1000</f>
        <v>0.15</v>
      </c>
      <c r="M738" t="str">
        <v>=</v>
      </c>
      <c r="N738">
        <f>J738+L738</f>
        <v>0.27</v>
      </c>
      <c r="T738" t="str">
        <v>x</v>
      </c>
      <c r="U738">
        <f>0.006165*F738^2</f>
        <v>0</v>
      </c>
      <c r="V738" t="str">
        <v>x</v>
      </c>
      <c r="W738">
        <f>W734</f>
        <v>10</v>
      </c>
      <c r="X738" t="str">
        <v>x</v>
      </c>
      <c r="Y738">
        <f>D724</f>
        <v>3</v>
      </c>
      <c r="Z738" t="str">
        <v>=</v>
      </c>
      <c r="AA738">
        <f>N738*U738*W738*Y738</f>
        <v>0</v>
      </c>
    </row>
    <row r="739">
      <c r="A739" t="str">
        <f>A714</f>
        <v>Sloof</v>
      </c>
      <c r="B739">
        <f>B714</f>
        <v>23</v>
      </c>
      <c r="C739" t="str">
        <v>Kait Horizontal Lap.</v>
      </c>
      <c r="D739">
        <f>VLOOKUP(D714,'Detail Balok'!$C$10:$BJ$110,51,FALSE)</f>
        <v>0</v>
      </c>
      <c r="E739" t="str">
        <v>D</v>
      </c>
      <c r="F739">
        <f>VLOOKUP(D714,'Detail Balok'!$C$10:$BJ$110,53,FALSE)</f>
        <v>0</v>
      </c>
      <c r="G739" t="str">
        <v>-</v>
      </c>
      <c r="H739">
        <f>VLOOKUP(D714,'Detail Balok'!$C$10:$BJ$110,55,FALSE)</f>
        <v>100</v>
      </c>
      <c r="J739">
        <f>(D715-2*F$5)/1000</f>
        <v>0.12</v>
      </c>
      <c r="K739" t="str">
        <v>+</v>
      </c>
      <c r="L739">
        <f>IF(D739=0,2*MAX(6*F739,75),(D739-1)*2*MAX(6*F739,75))/1000</f>
        <v>0.15</v>
      </c>
      <c r="M739" t="str">
        <v>=</v>
      </c>
      <c r="N739">
        <f>J739+L739</f>
        <v>0.27</v>
      </c>
      <c r="T739" t="str">
        <v>x</v>
      </c>
      <c r="U739">
        <f>0.006165*F739^2</f>
        <v>0</v>
      </c>
      <c r="V739" t="str">
        <v>x</v>
      </c>
      <c r="W739">
        <f>W735</f>
        <v>19</v>
      </c>
      <c r="X739" t="str">
        <v>x</v>
      </c>
      <c r="Y739">
        <f>D724</f>
        <v>3</v>
      </c>
      <c r="Z739" t="str">
        <v>=</v>
      </c>
      <c r="AA739">
        <f>N739*U739*W739*Y739</f>
        <v>0</v>
      </c>
    </row>
    <row r="740">
      <c r="A740" t="str">
        <f>A714</f>
        <v>Sloof</v>
      </c>
      <c r="B740">
        <f>B714</f>
        <v>23</v>
      </c>
      <c r="C740" t="str">
        <v>Kait Horizontal Tump.</v>
      </c>
      <c r="D740">
        <f>VLOOKUP(D714,'Detail Balok'!$C$10:$BJ$110,56,FALSE)</f>
        <v>0</v>
      </c>
      <c r="E740" t="str">
        <v>D</v>
      </c>
      <c r="F740">
        <f>VLOOKUP(D714,'Detail Balok'!$C$10:$BJ$110,58,FALSE)</f>
        <v>0</v>
      </c>
      <c r="G740" t="str">
        <v>-</v>
      </c>
      <c r="H740">
        <f>VLOOKUP(D714,'Detail Balok'!$C$10:$BJ$110,60,FALSE)</f>
        <v>100</v>
      </c>
      <c r="J740">
        <f>(D715-2*F$5)/1000</f>
        <v>0.12</v>
      </c>
      <c r="K740" t="str">
        <v>+</v>
      </c>
      <c r="L740">
        <f>IF(D740=0,2*MAX(6*F740,75),(D740-1)*2*MAX(6*F740,75))/1000</f>
        <v>0.15</v>
      </c>
      <c r="M740" t="str">
        <v>=</v>
      </c>
      <c r="N740">
        <f>J740+L740</f>
        <v>0.27</v>
      </c>
      <c r="T740" t="str">
        <v>x</v>
      </c>
      <c r="U740">
        <f>0.006165*F740^2</f>
        <v>0</v>
      </c>
      <c r="V740" t="str">
        <v>x</v>
      </c>
      <c r="W740">
        <f>W736</f>
        <v>10</v>
      </c>
      <c r="X740" t="str">
        <v>x</v>
      </c>
      <c r="Y740">
        <f>D724</f>
        <v>3</v>
      </c>
      <c r="Z740" t="str">
        <v>=</v>
      </c>
      <c r="AA740">
        <f>N740*U740*W740*Y740</f>
        <v>0</v>
      </c>
    </row>
    <row r="744">
      <c r="A744" t="str">
        <f>A714</f>
        <v>Sloof</v>
      </c>
      <c r="B744">
        <f>B714+1</f>
        <v>24</v>
      </c>
      <c r="C744" t="str">
        <f>CONCATENATE(A744," no. ",B744)</f>
        <v>Sloof no. 24</v>
      </c>
      <c r="D744" t="str">
        <f>VLOOKUP(C744,'Data Panjang Balok'!$C$9:$N$424,2,FALSE)</f>
        <v>TB47-1</v>
      </c>
    </row>
    <row r="745">
      <c r="C745" t="str">
        <v>Dimensi</v>
      </c>
      <c r="D745">
        <f>VLOOKUP(D744,'Detail Balok'!$C$10:$AU$110,2,FALSE)</f>
        <v>400</v>
      </c>
      <c r="F745" t="str">
        <v>x</v>
      </c>
      <c r="G745">
        <f>VLOOKUP(D744,'Detail Balok'!$C$10:$AU$110,3,FALSE)</f>
        <v>700</v>
      </c>
    </row>
    <row r="746">
      <c r="C746" t="str">
        <v>Panjang as ke as</v>
      </c>
      <c r="D746">
        <f>VLOOKUP(C744,'Data Panjang Balok'!$C$9:$N$424,4,FALSE)</f>
        <v>3665</v>
      </c>
    </row>
    <row r="747">
      <c r="C747" t="str">
        <v>Panjang netto</v>
      </c>
      <c r="D747">
        <f>VLOOKUP(C744,'Data Panjang Balok'!$C$9:$N$424,7,FALSE)</f>
        <v>3665</v>
      </c>
    </row>
    <row r="748">
      <c r="C748" t="str">
        <v>Kolom / balok kiri</v>
      </c>
      <c r="D748">
        <f>VLOOKUP(C744,'Data Panjang Balok'!$C$9:$N$424,9,FALSE)</f>
        <v>0</v>
      </c>
    </row>
    <row r="749">
      <c r="C749" t="str">
        <v>Kolom / balok kanan</v>
      </c>
      <c r="D749">
        <f>VLOOKUP(C744,'Data Panjang Balok'!$C$9:$N$424,10,FALSE)</f>
        <v>0</v>
      </c>
    </row>
    <row r="750">
      <c r="C750" t="str">
        <v>Jumlah</v>
      </c>
      <c r="D750">
        <f>VLOOKUP(C744,'Data Panjang Balok'!$C$9:$N$424,3,FALSE)</f>
        <v>1</v>
      </c>
    </row>
    <row r="751">
      <c r="A751" t="str">
        <f>A744</f>
        <v>Sloof</v>
      </c>
      <c r="B751">
        <f>B744</f>
        <v>24</v>
      </c>
      <c r="C751" t="str">
        <v>Tul Atas Tumpuan</v>
      </c>
      <c r="D751">
        <f>VLOOKUP(D744,'Detail Balok'!$C$10:$AU$110,4,FALSE)</f>
        <v>9</v>
      </c>
      <c r="E751" t="str">
        <v>D</v>
      </c>
      <c r="F751">
        <f>VLOOKUP(D744,'Detail Balok'!$C$10:$AU$110,6,FALSE)</f>
        <v>22</v>
      </c>
      <c r="I751" t="str">
        <v>(</v>
      </c>
      <c r="J751">
        <f>+D746/4/1000</f>
        <v>0.91625</v>
      </c>
      <c r="K751" t="str">
        <v>+</v>
      </c>
      <c r="L751">
        <f>MAX(VLOOKUP(F751,N$6:P$15,3,FALSE)/1000,2/3*D748/1000)+F$16*F751/1000</f>
        <v>0.264</v>
      </c>
      <c r="M751" t="str">
        <v>=</v>
      </c>
      <c r="N751">
        <f>J751+L751</f>
        <v>1.18025</v>
      </c>
      <c r="O751" t="str">
        <v>+</v>
      </c>
      <c r="P751">
        <f>D751-D752</f>
        <v>0</v>
      </c>
      <c r="Q751" t="str">
        <v>x</v>
      </c>
      <c r="R751">
        <f>IF(P751&gt;0,$F$18*F751/1000,0)</f>
        <v>0</v>
      </c>
      <c r="S751" t="str">
        <v>)</v>
      </c>
      <c r="T751" t="str">
        <v>x</v>
      </c>
      <c r="U751">
        <f>0.006165*F751^2</f>
        <v>2.98386</v>
      </c>
      <c r="X751" t="str">
        <v>x</v>
      </c>
      <c r="Y751">
        <f>D750</f>
        <v>1</v>
      </c>
      <c r="Z751" t="str">
        <v>=</v>
      </c>
      <c r="AA751">
        <f>IF(AA754=0,(D751*N751+P751*R751)*U751*Y751,0)</f>
        <v>0</v>
      </c>
    </row>
    <row r="752">
      <c r="A752" t="str">
        <f>A744</f>
        <v>Sloof</v>
      </c>
      <c r="B752">
        <f>B744</f>
        <v>24</v>
      </c>
      <c r="C752" t="str">
        <v>Tul Atas Lapangan</v>
      </c>
      <c r="D752">
        <f>VLOOKUP(D744,'Detail Balok'!$C$10:$AU$110,7,FALSE)</f>
        <v>9</v>
      </c>
      <c r="E752" t="str">
        <v>D</v>
      </c>
      <c r="F752">
        <f>VLOOKUP(D744,'Detail Balok'!$C$10:$AU$110,9,FALSE)</f>
        <v>22</v>
      </c>
      <c r="I752" t="str">
        <v>(</v>
      </c>
      <c r="J752">
        <f>+D746/2/1000</f>
        <v>1.8325</v>
      </c>
      <c r="K752" t="str">
        <v>+</v>
      </c>
      <c r="M752" t="str">
        <v>=</v>
      </c>
      <c r="N752">
        <f>J752+L752</f>
        <v>1.8325</v>
      </c>
      <c r="O752" t="str">
        <v>+</v>
      </c>
      <c r="P752">
        <f>MAX(D752-D751,D752-D753)</f>
        <v>0</v>
      </c>
      <c r="Q752" t="str">
        <v>x</v>
      </c>
      <c r="R752">
        <f>IF(P752&gt;0,2*(1-2*$F$19-1/2)*D747/1000,0)</f>
        <v>0</v>
      </c>
      <c r="S752" t="str">
        <v>)</v>
      </c>
      <c r="T752" t="str">
        <v>x</v>
      </c>
      <c r="U752">
        <f>0.006165*F752^2</f>
        <v>2.98386</v>
      </c>
      <c r="X752" t="str">
        <v>x</v>
      </c>
      <c r="Y752">
        <f>D750</f>
        <v>1</v>
      </c>
      <c r="Z752" t="str">
        <v>=</v>
      </c>
      <c r="AA752">
        <f>IF(AA754=0,(D752*N752+P752*R752)*U752*Y752,0)</f>
        <v>0</v>
      </c>
    </row>
    <row r="753">
      <c r="A753" t="str">
        <f>A744</f>
        <v>Sloof</v>
      </c>
      <c r="B753">
        <f>B744</f>
        <v>24</v>
      </c>
      <c r="C753" t="str">
        <v>Tul Atas Tumpuan</v>
      </c>
      <c r="D753">
        <f>VLOOKUP(D744,'Detail Balok'!$C$10:$AU$110,10,FALSE)</f>
        <v>9</v>
      </c>
      <c r="E753" t="str">
        <v>D</v>
      </c>
      <c r="F753">
        <f>VLOOKUP(D744,'Detail Balok'!$C$10:$AU$110,12,FALSE)</f>
        <v>22</v>
      </c>
      <c r="I753" t="str">
        <v>(</v>
      </c>
      <c r="J753">
        <f>+D746/4/1000</f>
        <v>0.91625</v>
      </c>
      <c r="K753" t="str">
        <v>+</v>
      </c>
      <c r="L753">
        <f>MAX(VLOOKUP(F753,N$6:P$15,3,FALSE)/1000,2/3*D748/1000)+F$16*F753/1000</f>
        <v>0.264</v>
      </c>
      <c r="M753" t="str">
        <v>=</v>
      </c>
      <c r="N753">
        <f>J753+L753</f>
        <v>1.18025</v>
      </c>
      <c r="O753" t="str">
        <v>+</v>
      </c>
      <c r="P753">
        <f>D753-D752</f>
        <v>0</v>
      </c>
      <c r="Q753" t="str">
        <v>x</v>
      </c>
      <c r="R753">
        <f>IF(P753&gt;0,$F$18*F753/1000,0)</f>
        <v>0</v>
      </c>
      <c r="S753" t="str">
        <v>)</v>
      </c>
      <c r="T753" t="str">
        <v>x</v>
      </c>
      <c r="U753">
        <f>0.006165*F753^2</f>
        <v>2.98386</v>
      </c>
      <c r="X753" t="str">
        <v>x</v>
      </c>
      <c r="Y753">
        <f>D750</f>
        <v>1</v>
      </c>
      <c r="Z753" t="str">
        <v>=</v>
      </c>
      <c r="AA753">
        <f>IF(AA754=0,(D753*N753+P753*R753)*U753*Y753,0)</f>
        <v>0</v>
      </c>
    </row>
    <row r="754">
      <c r="A754" t="str">
        <f>A744</f>
        <v>Sloof</v>
      </c>
      <c r="B754">
        <f>B744</f>
        <v>24</v>
      </c>
      <c r="D754">
        <f>IF(AND(D751=D752,D752=D753,D751=D753),D751,0)</f>
        <v>9</v>
      </c>
      <c r="E754" t="str">
        <v>D</v>
      </c>
      <c r="F754">
        <f>IF(AND(F751=F752,F751=F753,F752=F753),F751,0)</f>
        <v>22</v>
      </c>
      <c r="L754" t="str">
        <v>Total panjang per balok</v>
      </c>
      <c r="M754" t="str">
        <v>=</v>
      </c>
      <c r="N754">
        <f>IF(AND(D751=D752,D751=D753,D752=D753,F751=F752,F751=F753,F752=F753),SUM(N751:N753),0)</f>
        <v>4.193</v>
      </c>
      <c r="O754" t="str">
        <v>+</v>
      </c>
      <c r="P754">
        <f>IF(N754&gt;12,ROUNDDOWN(N754/12,0),0)</f>
        <v>0</v>
      </c>
      <c r="Q754" t="str">
        <v>x</v>
      </c>
      <c r="R754">
        <f>IF(P754&gt;0,MAX(VLOOKUP(F754,$D$6:$G$15,3,FALSE),600),0)/1000</f>
        <v>0</v>
      </c>
      <c r="T754" t="str">
        <v>x</v>
      </c>
      <c r="U754">
        <f>U753</f>
        <v>2.98386</v>
      </c>
      <c r="V754" t="str">
        <v>x</v>
      </c>
      <c r="W754">
        <f>D754</f>
        <v>9</v>
      </c>
      <c r="X754" t="str">
        <v>x</v>
      </c>
      <c r="Y754">
        <f>Y753</f>
        <v>1</v>
      </c>
      <c r="Z754" t="str">
        <v>=</v>
      </c>
      <c r="AA754">
        <f>(N754+P754*R754/1000)*U754*W754*Y754</f>
        <v>112.60192482</v>
      </c>
    </row>
    <row r="756">
      <c r="A756" t="str">
        <f>A744</f>
        <v>Sloof</v>
      </c>
      <c r="B756">
        <f>B744</f>
        <v>24</v>
      </c>
      <c r="C756" t="str">
        <v>Tul Peminggang</v>
      </c>
      <c r="D756">
        <f>VLOOKUP(D744,'Detail Balok'!$C$10:$AU$110,13,FALSE)</f>
        <v>2</v>
      </c>
      <c r="E756" t="str">
        <v>D</v>
      </c>
      <c r="F756">
        <f>VLOOKUP(D744,'Detail Balok'!$C$10:$AU$110,15,FALSE)</f>
        <v>10</v>
      </c>
      <c r="J756">
        <f>+D746/1000</f>
        <v>3.665</v>
      </c>
      <c r="K756" t="str">
        <v>+</v>
      </c>
      <c r="L756">
        <f>2*$F$16*F756/1000</f>
        <v>0.24</v>
      </c>
      <c r="M756" t="str">
        <v>=</v>
      </c>
      <c r="N756">
        <f>J756+L756</f>
        <v>3.9050000000000002</v>
      </c>
      <c r="O756" t="str">
        <v>+</v>
      </c>
      <c r="P756">
        <f>IF(N756&gt;12,ROUNDDOWN(N756/12,0),0)</f>
        <v>0</v>
      </c>
      <c r="Q756" t="str">
        <v>x</v>
      </c>
      <c r="R756">
        <f>IF(P756&gt;0,MAX(VLOOKUP(F756,$D$6:$G$15,3,FALSE),600),0)/1000</f>
        <v>0</v>
      </c>
      <c r="T756" t="str">
        <v>x</v>
      </c>
      <c r="U756">
        <f>0.006165*F756^2</f>
        <v>0.6165</v>
      </c>
      <c r="V756" t="str">
        <v>x</v>
      </c>
      <c r="W756">
        <f>+D756</f>
        <v>2</v>
      </c>
      <c r="X756" t="str">
        <v>x</v>
      </c>
      <c r="Y756">
        <f>D750</f>
        <v>1</v>
      </c>
      <c r="Z756" t="str">
        <v>=</v>
      </c>
      <c r="AA756">
        <f>(N756+P756*R756/1000)*U756*W756*Y756</f>
        <v>4.814865000000001</v>
      </c>
    </row>
    <row r="759">
      <c r="A759" t="str">
        <f>A744</f>
        <v>Sloof</v>
      </c>
      <c r="B759">
        <f>B744</f>
        <v>24</v>
      </c>
      <c r="C759" t="str">
        <v>Tul Bawah Tumpuan</v>
      </c>
      <c r="D759">
        <f>VLOOKUP(D744,'Detail Balok'!$C$10:$AU$110,22,FALSE)</f>
        <v>5</v>
      </c>
      <c r="E759" t="str">
        <v>D</v>
      </c>
      <c r="F759">
        <f>VLOOKUP(D744,'Detail Balok'!$C$10:$AU$110,24,FALSE)</f>
        <v>22</v>
      </c>
      <c r="I759" t="str">
        <v>(</v>
      </c>
      <c r="J759">
        <f>+J751</f>
        <v>0.91625</v>
      </c>
      <c r="K759" t="str">
        <v>+</v>
      </c>
      <c r="L759">
        <f>MAX(VLOOKUP(F759,N$6:P$15,3,FALSE)/1000,2/3*D749/1000)+F$16*F759/1000</f>
        <v>0.264</v>
      </c>
      <c r="M759" t="str">
        <v>=</v>
      </c>
      <c r="N759">
        <f>J759+L759</f>
        <v>1.18025</v>
      </c>
      <c r="O759" t="str">
        <v>+</v>
      </c>
      <c r="P759">
        <f>D759-D760</f>
        <v>0</v>
      </c>
      <c r="Q759" t="str">
        <v>x</v>
      </c>
      <c r="R759">
        <f>IF(P759&gt;0,$F$18*F759/1000,0)</f>
        <v>0</v>
      </c>
      <c r="S759" t="str">
        <v>)</v>
      </c>
      <c r="T759" t="str">
        <v>x</v>
      </c>
      <c r="U759">
        <f>0.006165*F759^2</f>
        <v>2.98386</v>
      </c>
      <c r="X759" t="str">
        <v>x</v>
      </c>
      <c r="Y759">
        <f>D750</f>
        <v>1</v>
      </c>
      <c r="Z759" t="str">
        <v>=</v>
      </c>
      <c r="AA759">
        <f>IF(AA762=0,(D759*N759+P759*R759)*U759*Y759,0)</f>
        <v>0</v>
      </c>
    </row>
    <row r="760">
      <c r="A760" t="str">
        <f>A744</f>
        <v>Sloof</v>
      </c>
      <c r="B760">
        <f>B744</f>
        <v>24</v>
      </c>
      <c r="C760" t="str">
        <v>Tul Bawah Lapangan</v>
      </c>
      <c r="D760">
        <f>VLOOKUP(D744,'Detail Balok'!$C$10:$AU$110,25,FALSE)</f>
        <v>5</v>
      </c>
      <c r="E760" t="str">
        <v>D</v>
      </c>
      <c r="F760">
        <f>VLOOKUP(D744,'Detail Balok'!$C$10:$AU$110,27,FALSE)</f>
        <v>22</v>
      </c>
      <c r="I760" t="str">
        <v>(</v>
      </c>
      <c r="J760">
        <f>+J752</f>
        <v>1.8325</v>
      </c>
      <c r="K760" t="str">
        <v>+</v>
      </c>
      <c r="M760" t="str">
        <v>=</v>
      </c>
      <c r="N760">
        <f>J760+L760</f>
        <v>1.8325</v>
      </c>
      <c r="O760" t="str">
        <v>+</v>
      </c>
      <c r="P760">
        <f>MAX(D760-D759,D760-D761)</f>
        <v>0</v>
      </c>
      <c r="Q760" t="str">
        <v>x</v>
      </c>
      <c r="R760">
        <f>IF(P760&gt;0,2*(1-2*$F$19-1/2)*D747/1000,0)</f>
        <v>0</v>
      </c>
      <c r="S760" t="str">
        <v>)</v>
      </c>
      <c r="T760" t="str">
        <v>x</v>
      </c>
      <c r="U760">
        <f>0.006165*F760^2</f>
        <v>2.98386</v>
      </c>
      <c r="X760" t="str">
        <v>x</v>
      </c>
      <c r="Y760">
        <f>D750</f>
        <v>1</v>
      </c>
      <c r="Z760" t="str">
        <v>=</v>
      </c>
      <c r="AA760">
        <f>IF(AA762=0,(D760*N760+P760*R760)*U760*Y760,0)</f>
        <v>0</v>
      </c>
    </row>
    <row r="761">
      <c r="A761" t="str">
        <f>A744</f>
        <v>Sloof</v>
      </c>
      <c r="B761">
        <f>B744</f>
        <v>24</v>
      </c>
      <c r="C761" t="str">
        <v>Tul Bawah Tumpuan</v>
      </c>
      <c r="D761">
        <f>VLOOKUP(D744,'Detail Balok'!$C$10:$AU$110,28,FALSE)</f>
        <v>5</v>
      </c>
      <c r="E761" t="str">
        <v>D</v>
      </c>
      <c r="F761">
        <f>VLOOKUP(D744,'Detail Balok'!$C$10:$AU$110,30,FALSE)</f>
        <v>22</v>
      </c>
      <c r="I761" t="str">
        <v>(</v>
      </c>
      <c r="J761">
        <f>+J753</f>
        <v>0.91625</v>
      </c>
      <c r="K761" t="str">
        <v>+</v>
      </c>
      <c r="L761">
        <f>MAX(VLOOKUP(F761,N$6:P$15,3,FALSE)/1000,2/3*D749/1000)+F$16*F761/1000</f>
        <v>0.264</v>
      </c>
      <c r="M761" t="str">
        <v>=</v>
      </c>
      <c r="N761">
        <f>J761+L761</f>
        <v>1.18025</v>
      </c>
      <c r="O761" t="str">
        <v>+</v>
      </c>
      <c r="P761">
        <f>D761-D760</f>
        <v>0</v>
      </c>
      <c r="Q761" t="str">
        <v>x</v>
      </c>
      <c r="R761">
        <f>IF(P761&gt;0,$F$18*F761/1000,0)</f>
        <v>0</v>
      </c>
      <c r="S761" t="str">
        <v>)</v>
      </c>
      <c r="T761" t="str">
        <v>x</v>
      </c>
      <c r="U761">
        <f>0.006165*F761^2</f>
        <v>2.98386</v>
      </c>
      <c r="X761" t="str">
        <v>x</v>
      </c>
      <c r="Y761">
        <f>D750</f>
        <v>1</v>
      </c>
      <c r="Z761" t="str">
        <v>=</v>
      </c>
      <c r="AA761">
        <f>IF(AA762=0,(D761*N761+P761*R761)*U761*Y761,0)</f>
        <v>0</v>
      </c>
    </row>
    <row r="762">
      <c r="A762" t="str">
        <f>A744</f>
        <v>Sloof</v>
      </c>
      <c r="B762">
        <f>B744</f>
        <v>24</v>
      </c>
      <c r="D762">
        <f>IF(AND(D759=D760,D760=D761,D759=D761),D759,0)</f>
        <v>5</v>
      </c>
      <c r="E762" t="str">
        <v>D</v>
      </c>
      <c r="F762">
        <f>IF(AND(F759=F760,F759=F761,F760=F761),F759,0)</f>
        <v>22</v>
      </c>
      <c r="L762" t="str">
        <v>Total panjang per balok</v>
      </c>
      <c r="M762" t="str">
        <v>=</v>
      </c>
      <c r="N762">
        <f>IF(AND(D759=D760,D759=D761,D760=D761,F759=F760,F759=F761,F760=F761),SUM(N759:N761),0)</f>
        <v>4.193</v>
      </c>
      <c r="O762" t="str">
        <v>+</v>
      </c>
      <c r="P762">
        <f>IF(N762&gt;12,ROUNDDOWN(N762/12,0),0)</f>
        <v>0</v>
      </c>
      <c r="Q762" t="str">
        <v>x</v>
      </c>
      <c r="R762">
        <f>IF(P762&gt;0,MAX(VLOOKUP(F762,$D$6:$G$15,3,FALSE),600),0)/1000</f>
        <v>0</v>
      </c>
      <c r="T762" t="str">
        <v>x</v>
      </c>
      <c r="U762">
        <f>U761</f>
        <v>2.98386</v>
      </c>
      <c r="V762" t="str">
        <v>x</v>
      </c>
      <c r="W762">
        <f>D762</f>
        <v>5</v>
      </c>
      <c r="X762" t="str">
        <v>x</v>
      </c>
      <c r="Y762">
        <f>Y761</f>
        <v>1</v>
      </c>
      <c r="Z762" t="str">
        <v>=</v>
      </c>
      <c r="AA762">
        <f>(N762+P762*R762/1000)*U762*W762*Y762</f>
        <v>62.556624899999996</v>
      </c>
    </row>
    <row r="764">
      <c r="A764" t="str">
        <f>A744</f>
        <v>Sloof</v>
      </c>
      <c r="B764">
        <f>B744</f>
        <v>24</v>
      </c>
      <c r="C764" t="str">
        <v>Sengkang Tumpuan</v>
      </c>
      <c r="D764">
        <f>VLOOKUP(D744,'Detail Balok'!$C$10:$AU$110,31,FALSE)</f>
        <v>0</v>
      </c>
      <c r="E764" t="str">
        <v>D</v>
      </c>
      <c r="F764">
        <f>VLOOKUP(D744,'Detail Balok'!$C$10:$AU$110,33,FALSE)</f>
        <v>10</v>
      </c>
      <c r="G764" t="str">
        <v>-</v>
      </c>
      <c r="H764">
        <f>VLOOKUP(D744,'Detail Balok'!$C$10:$AU$110,35,FALSE)</f>
        <v>200</v>
      </c>
      <c r="J764">
        <f>(IF(D764=0,(2*(D745+G745))-(F$5*8),IF(D764=3,(2*(D745+G745))-(F$5*8)+(G745-2*F$5),IF(D764=4,(2*(D745+G745))-(F$5*8)+2*(G745-2*F$5)))))/1000</f>
        <v>1.88</v>
      </c>
      <c r="K764" t="str">
        <v>+</v>
      </c>
      <c r="L764">
        <f>IF(D764=0,2*MAX(6*F764,75),(D764-1)*2*MAX(6*F764,75))/1000</f>
        <v>0.15</v>
      </c>
      <c r="M764" t="str">
        <v>=</v>
      </c>
      <c r="N764">
        <f>J764+L764</f>
        <v>2.03</v>
      </c>
      <c r="T764" t="str">
        <v>x</v>
      </c>
      <c r="U764">
        <f>0.006165*F764^2</f>
        <v>0.6165</v>
      </c>
      <c r="V764" t="str">
        <v>x</v>
      </c>
      <c r="W764">
        <f>IF(D747&gt;4*G745,ROUND(MAX(D747/4,2*G745)/H764,0)+1,ROUND(D747/H764,0)+1)</f>
        <v>8</v>
      </c>
      <c r="X764" t="str">
        <v>x</v>
      </c>
      <c r="Y764">
        <f>D750</f>
        <v>1</v>
      </c>
      <c r="Z764" t="str">
        <v>=</v>
      </c>
      <c r="AA764">
        <f>N764*U764*W764*Y764</f>
        <v>10.01196</v>
      </c>
    </row>
    <row r="765">
      <c r="A765" t="str">
        <f>A744</f>
        <v>Sloof</v>
      </c>
      <c r="B765">
        <f>B744</f>
        <v>24</v>
      </c>
      <c r="C765" t="str">
        <v>Sengkang Lapangan</v>
      </c>
      <c r="D765">
        <f>VLOOKUP(D744,'Detail Balok'!$C$10:$AU$110,36,FALSE)</f>
        <v>0</v>
      </c>
      <c r="E765" t="str">
        <v>D</v>
      </c>
      <c r="F765">
        <f>VLOOKUP(D744,'Detail Balok'!$C$10:$AU$110,38,FALSE)</f>
        <v>10</v>
      </c>
      <c r="G765" t="str">
        <v>-</v>
      </c>
      <c r="H765">
        <f>VLOOKUP(D744,'Detail Balok'!$C$10:$AU$110,40,FALSE)</f>
        <v>200</v>
      </c>
      <c r="J765">
        <f>(IF(D765=0,(2*(D745+G745))-(F$5*8),IF(D765=3,(2*(D745+G745))-(F$5*8)+(G745-2*F$5),IF(D765=4,(2*(D745+G745))-(F$5*8)+2*(G745-2*F$5)))))/1000</f>
        <v>1.88</v>
      </c>
      <c r="K765" t="str">
        <v>+</v>
      </c>
      <c r="L765">
        <f>IF(D765=0,2*MAX(6*F765,75),(D765-1)*2*MAX(6*F765,75))/1000</f>
        <v>0.15</v>
      </c>
      <c r="M765" t="str">
        <v>=</v>
      </c>
      <c r="N765">
        <f>J765+L765</f>
        <v>2.03</v>
      </c>
      <c r="T765" t="str">
        <v>x</v>
      </c>
      <c r="U765">
        <f>0.006165*F765^2</f>
        <v>0.6165</v>
      </c>
      <c r="V765" t="str">
        <v>x</v>
      </c>
      <c r="W765">
        <f>IF(D747-MAX(D747/4,2*G745)*2&gt;0,ROUND((D747-MAX(D747/4,2*G745)*2)/H765,0),0)</f>
        <v>4</v>
      </c>
      <c r="X765" t="str">
        <v>x</v>
      </c>
      <c r="Y765">
        <f>D750</f>
        <v>1</v>
      </c>
      <c r="Z765" t="str">
        <v>=</v>
      </c>
      <c r="AA765">
        <f>N765*U765*W765*Y765</f>
        <v>5.00598</v>
      </c>
    </row>
    <row r="766">
      <c r="A766" t="str">
        <f>A744</f>
        <v>Sloof</v>
      </c>
      <c r="B766">
        <f>B744</f>
        <v>24</v>
      </c>
      <c r="C766" t="str">
        <v>Sengkang Tumpuan</v>
      </c>
      <c r="D766">
        <f>VLOOKUP(D744,'Detail Balok'!$C$10:$AU$110,41,FALSE)</f>
        <v>0</v>
      </c>
      <c r="E766" t="str">
        <v>D</v>
      </c>
      <c r="F766">
        <f>VLOOKUP(D744,'Detail Balok'!$C$10:$AU$110,43,FALSE)</f>
        <v>10</v>
      </c>
      <c r="G766" t="str">
        <v>-</v>
      </c>
      <c r="H766">
        <f>VLOOKUP(D744,'Detail Balok'!$C$10:$AU$110,45,FALSE)</f>
        <v>200</v>
      </c>
      <c r="J766">
        <f>(IF(D766=0,(2*(D745+G745))-(F$5*8),IF(D766=3,(2*(D745+G745))-(F$5*8)+(G745-2*F$5),IF(D766=4,(2*(D745+G745))-(F$5*8)+2*(G745-2*F$5)))))/1000</f>
        <v>1.88</v>
      </c>
      <c r="K766" t="str">
        <v>+</v>
      </c>
      <c r="L766">
        <f>IF(D766=0,2*MAX(6*F766,75),(D766-1)*2*MAX(6*F766,75))/1000</f>
        <v>0.15</v>
      </c>
      <c r="M766" t="str">
        <v>=</v>
      </c>
      <c r="N766">
        <f>J766+L766</f>
        <v>2.03</v>
      </c>
      <c r="T766" t="str">
        <v>x</v>
      </c>
      <c r="U766">
        <f>0.006165*F766^2</f>
        <v>0.6165</v>
      </c>
      <c r="V766" t="str">
        <v>x</v>
      </c>
      <c r="W766">
        <f>IF(D747&gt;4*G745,ROUND(MAX(D747/4,2*G745)/H766,0)+1,0)</f>
        <v>8</v>
      </c>
      <c r="X766" t="str">
        <v>x</v>
      </c>
      <c r="Y766">
        <f>D750</f>
        <v>1</v>
      </c>
      <c r="Z766" t="str">
        <v>=</v>
      </c>
      <c r="AA766">
        <f>N766*U766*W766*Y766</f>
        <v>10.01196</v>
      </c>
    </row>
    <row r="768">
      <c r="A768" t="str">
        <f>A744</f>
        <v>Sloof</v>
      </c>
      <c r="B768">
        <f>B744</f>
        <v>24</v>
      </c>
      <c r="C768" t="str">
        <v>Kait Horizontal Tump.</v>
      </c>
      <c r="D768">
        <f>VLOOKUP(D744,'Detail Balok'!$C$10:$BJ$110,46,FALSE)</f>
        <v>0</v>
      </c>
      <c r="E768" t="str">
        <v>D</v>
      </c>
      <c r="F768">
        <f>VLOOKUP(D744,'Detail Balok'!$C$10:$BJ$110,48,FALSE)</f>
        <v>0</v>
      </c>
      <c r="G768" t="str">
        <v>-</v>
      </c>
      <c r="H768">
        <f>VLOOKUP(D744,'Detail Balok'!$C$10:$BJ$110,50,FALSE)</f>
        <v>100</v>
      </c>
      <c r="J768">
        <f>(D745-2*F$5)/1000</f>
        <v>0.32</v>
      </c>
      <c r="K768" t="str">
        <v>+</v>
      </c>
      <c r="L768">
        <f>IF(D768=0,2*MAX(6*F768,75),(D768-1)*2*MAX(6*F768,75))/1000</f>
        <v>0.15</v>
      </c>
      <c r="M768" t="str">
        <v>=</v>
      </c>
      <c r="N768">
        <f>J768+L768</f>
        <v>0.47</v>
      </c>
      <c r="T768" t="str">
        <v>x</v>
      </c>
      <c r="U768">
        <f>0.006165*F768^2</f>
        <v>0</v>
      </c>
      <c r="V768" t="str">
        <v>x</v>
      </c>
      <c r="W768">
        <f>W764</f>
        <v>8</v>
      </c>
      <c r="X768" t="str">
        <v>x</v>
      </c>
      <c r="Y768">
        <f>D754</f>
        <v>9</v>
      </c>
      <c r="Z768" t="str">
        <v>=</v>
      </c>
      <c r="AA768">
        <f>N768*U768*W768*Y768</f>
        <v>0</v>
      </c>
    </row>
    <row r="769">
      <c r="A769" t="str">
        <f>A744</f>
        <v>Sloof</v>
      </c>
      <c r="B769">
        <f>B744</f>
        <v>24</v>
      </c>
      <c r="C769" t="str">
        <v>Kait Horizontal Lap.</v>
      </c>
      <c r="D769">
        <f>VLOOKUP(D744,'Detail Balok'!$C$10:$BJ$110,51,FALSE)</f>
        <v>0</v>
      </c>
      <c r="E769" t="str">
        <v>D</v>
      </c>
      <c r="F769">
        <f>VLOOKUP(D744,'Detail Balok'!$C$10:$BJ$110,53,FALSE)</f>
        <v>0</v>
      </c>
      <c r="G769" t="str">
        <v>-</v>
      </c>
      <c r="H769">
        <f>VLOOKUP(D744,'Detail Balok'!$C$10:$BJ$110,55,FALSE)</f>
        <v>100</v>
      </c>
      <c r="J769">
        <f>(D745-2*F$5)/1000</f>
        <v>0.32</v>
      </c>
      <c r="K769" t="str">
        <v>+</v>
      </c>
      <c r="L769">
        <f>IF(D769=0,2*MAX(6*F769,75),(D769-1)*2*MAX(6*F769,75))/1000</f>
        <v>0.15</v>
      </c>
      <c r="M769" t="str">
        <v>=</v>
      </c>
      <c r="N769">
        <f>J769+L769</f>
        <v>0.47</v>
      </c>
      <c r="T769" t="str">
        <v>x</v>
      </c>
      <c r="U769">
        <f>0.006165*F769^2</f>
        <v>0</v>
      </c>
      <c r="V769" t="str">
        <v>x</v>
      </c>
      <c r="W769">
        <f>W765</f>
        <v>4</v>
      </c>
      <c r="X769" t="str">
        <v>x</v>
      </c>
      <c r="Y769">
        <f>D754</f>
        <v>9</v>
      </c>
      <c r="Z769" t="str">
        <v>=</v>
      </c>
      <c r="AA769">
        <f>N769*U769*W769*Y769</f>
        <v>0</v>
      </c>
    </row>
    <row r="770">
      <c r="A770" t="str">
        <f>A744</f>
        <v>Sloof</v>
      </c>
      <c r="B770">
        <f>B744</f>
        <v>24</v>
      </c>
      <c r="C770" t="str">
        <v>Kait Horizontal Tump.</v>
      </c>
      <c r="D770">
        <f>VLOOKUP(D744,'Detail Balok'!$C$10:$BJ$110,56,FALSE)</f>
        <v>0</v>
      </c>
      <c r="E770" t="str">
        <v>D</v>
      </c>
      <c r="F770">
        <f>VLOOKUP(D744,'Detail Balok'!$C$10:$BJ$110,58,FALSE)</f>
        <v>0</v>
      </c>
      <c r="G770" t="str">
        <v>-</v>
      </c>
      <c r="H770">
        <f>VLOOKUP(D744,'Detail Balok'!$C$10:$BJ$110,60,FALSE)</f>
        <v>100</v>
      </c>
      <c r="J770">
        <f>(D745-2*F$5)/1000</f>
        <v>0.32</v>
      </c>
      <c r="K770" t="str">
        <v>+</v>
      </c>
      <c r="L770">
        <f>IF(D770=0,2*MAX(6*F770,75),(D770-1)*2*MAX(6*F770,75))/1000</f>
        <v>0.15</v>
      </c>
      <c r="M770" t="str">
        <v>=</v>
      </c>
      <c r="N770">
        <f>J770+L770</f>
        <v>0.47</v>
      </c>
      <c r="T770" t="str">
        <v>x</v>
      </c>
      <c r="U770">
        <f>0.006165*F770^2</f>
        <v>0</v>
      </c>
      <c r="V770" t="str">
        <v>x</v>
      </c>
      <c r="W770">
        <f>W766</f>
        <v>8</v>
      </c>
      <c r="X770" t="str">
        <v>x</v>
      </c>
      <c r="Y770">
        <f>D754</f>
        <v>9</v>
      </c>
      <c r="Z770" t="str">
        <v>=</v>
      </c>
      <c r="AA770">
        <f>N770*U770*W770*Y770</f>
        <v>0</v>
      </c>
    </row>
    <row r="774">
      <c r="A774" t="str">
        <f>A744</f>
        <v>Sloof</v>
      </c>
      <c r="B774">
        <f>B744+1</f>
        <v>25</v>
      </c>
      <c r="C774" t="str">
        <f>CONCATENATE(A774," no. ",B774)</f>
        <v>Sloof no. 25</v>
      </c>
      <c r="D774" t="str">
        <f>VLOOKUP(C774,'Data Panjang Balok'!$C$9:$N$424,2,FALSE)</f>
        <v>TB25-1</v>
      </c>
    </row>
    <row r="775">
      <c r="C775" t="str">
        <v>Dimensi</v>
      </c>
      <c r="D775">
        <f>VLOOKUP(D774,'Detail Balok'!$C$10:$AU$110,2,FALSE)</f>
        <v>200</v>
      </c>
      <c r="F775" t="str">
        <v>x</v>
      </c>
      <c r="G775">
        <f>VLOOKUP(D774,'Detail Balok'!$C$10:$AU$110,3,FALSE)</f>
        <v>500</v>
      </c>
    </row>
    <row r="776">
      <c r="C776" t="str">
        <v>Panjang as ke as</v>
      </c>
      <c r="D776">
        <f>VLOOKUP(C774,'Data Panjang Balok'!$C$9:$N$424,4,FALSE)</f>
        <v>4000</v>
      </c>
    </row>
    <row r="777">
      <c r="C777" t="str">
        <v>Panjang netto</v>
      </c>
      <c r="D777">
        <f>VLOOKUP(C774,'Data Panjang Balok'!$C$9:$N$424,7,FALSE)</f>
        <v>4000</v>
      </c>
    </row>
    <row r="778">
      <c r="C778" t="str">
        <v>Kolom / balok kiri</v>
      </c>
      <c r="D778">
        <f>VLOOKUP(C774,'Data Panjang Balok'!$C$9:$N$424,9,FALSE)</f>
        <v>0</v>
      </c>
    </row>
    <row r="779">
      <c r="C779" t="str">
        <v>Kolom / balok kanan</v>
      </c>
      <c r="D779">
        <f>VLOOKUP(C774,'Data Panjang Balok'!$C$9:$N$424,10,FALSE)</f>
        <v>0</v>
      </c>
    </row>
    <row r="780">
      <c r="C780" t="str">
        <v>Jumlah</v>
      </c>
      <c r="D780">
        <f>VLOOKUP(C774,'Data Panjang Balok'!$C$9:$N$424,3,FALSE)</f>
        <v>1</v>
      </c>
    </row>
    <row r="781">
      <c r="A781" t="str">
        <f>A774</f>
        <v>Sloof</v>
      </c>
      <c r="B781">
        <f>B774</f>
        <v>25</v>
      </c>
      <c r="C781" t="str">
        <v>Tul Atas Tumpuan</v>
      </c>
      <c r="D781">
        <f>VLOOKUP(D774,'Detail Balok'!$C$10:$AU$110,4,FALSE)</f>
        <v>3</v>
      </c>
      <c r="E781" t="str">
        <v>D</v>
      </c>
      <c r="F781">
        <f>VLOOKUP(D774,'Detail Balok'!$C$10:$AU$110,6,FALSE)</f>
        <v>16</v>
      </c>
      <c r="I781" t="str">
        <v>(</v>
      </c>
      <c r="J781">
        <f>+D776/4/1000</f>
        <v>1</v>
      </c>
      <c r="K781" t="str">
        <v>+</v>
      </c>
      <c r="L781">
        <f>MAX(VLOOKUP(F781,N$6:P$15,3,FALSE)/1000,2/3*D778/1000)+F$16*F781/1000</f>
        <v>0.192</v>
      </c>
      <c r="M781" t="str">
        <v>=</v>
      </c>
      <c r="N781">
        <f>J781+L781</f>
        <v>1.192</v>
      </c>
      <c r="O781" t="str">
        <v>+</v>
      </c>
      <c r="P781">
        <f>D781-D782</f>
        <v>0</v>
      </c>
      <c r="Q781" t="str">
        <v>x</v>
      </c>
      <c r="R781">
        <f>IF(P781&gt;0,$F$18*F781/1000,0)</f>
        <v>0</v>
      </c>
      <c r="S781" t="str">
        <v>)</v>
      </c>
      <c r="T781" t="str">
        <v>x</v>
      </c>
      <c r="U781">
        <f>0.006165*F781^2</f>
        <v>1.57824</v>
      </c>
      <c r="X781" t="str">
        <v>x</v>
      </c>
      <c r="Y781">
        <f>D780</f>
        <v>1</v>
      </c>
      <c r="Z781" t="str">
        <v>=</v>
      </c>
      <c r="AA781">
        <f>IF(AA784=0,(D781*N781+P781*R781)*U781*Y781,0)</f>
        <v>0</v>
      </c>
    </row>
    <row r="782">
      <c r="A782" t="str">
        <f>A774</f>
        <v>Sloof</v>
      </c>
      <c r="B782">
        <f>B774</f>
        <v>25</v>
      </c>
      <c r="C782" t="str">
        <v>Tul Atas Lapangan</v>
      </c>
      <c r="D782">
        <f>VLOOKUP(D774,'Detail Balok'!$C$10:$AU$110,7,FALSE)</f>
        <v>3</v>
      </c>
      <c r="E782" t="str">
        <v>D</v>
      </c>
      <c r="F782">
        <f>VLOOKUP(D774,'Detail Balok'!$C$10:$AU$110,9,FALSE)</f>
        <v>16</v>
      </c>
      <c r="I782" t="str">
        <v>(</v>
      </c>
      <c r="J782">
        <f>+D776/2/1000</f>
        <v>2</v>
      </c>
      <c r="K782" t="str">
        <v>+</v>
      </c>
      <c r="M782" t="str">
        <v>=</v>
      </c>
      <c r="N782">
        <f>J782+L782</f>
        <v>2</v>
      </c>
      <c r="O782" t="str">
        <v>+</v>
      </c>
      <c r="P782">
        <f>MAX(D782-D781,D782-D783)</f>
        <v>0</v>
      </c>
      <c r="Q782" t="str">
        <v>x</v>
      </c>
      <c r="R782">
        <f>IF(P782&gt;0,2*(1-2*$F$19-1/2)*D777/1000,0)</f>
        <v>0</v>
      </c>
      <c r="S782" t="str">
        <v>)</v>
      </c>
      <c r="T782" t="str">
        <v>x</v>
      </c>
      <c r="U782">
        <f>0.006165*F782^2</f>
        <v>1.57824</v>
      </c>
      <c r="X782" t="str">
        <v>x</v>
      </c>
      <c r="Y782">
        <f>D780</f>
        <v>1</v>
      </c>
      <c r="Z782" t="str">
        <v>=</v>
      </c>
      <c r="AA782">
        <f>IF(AA784=0,(D782*N782+P782*R782)*U782*Y782,0)</f>
        <v>0</v>
      </c>
    </row>
    <row r="783">
      <c r="A783" t="str">
        <f>A774</f>
        <v>Sloof</v>
      </c>
      <c r="B783">
        <f>B774</f>
        <v>25</v>
      </c>
      <c r="C783" t="str">
        <v>Tul Atas Tumpuan</v>
      </c>
      <c r="D783">
        <f>VLOOKUP(D774,'Detail Balok'!$C$10:$AU$110,10,FALSE)</f>
        <v>3</v>
      </c>
      <c r="E783" t="str">
        <v>D</v>
      </c>
      <c r="F783">
        <f>VLOOKUP(D774,'Detail Balok'!$C$10:$AU$110,12,FALSE)</f>
        <v>16</v>
      </c>
      <c r="I783" t="str">
        <v>(</v>
      </c>
      <c r="J783">
        <f>+D776/4/1000</f>
        <v>1</v>
      </c>
      <c r="K783" t="str">
        <v>+</v>
      </c>
      <c r="L783">
        <f>MAX(VLOOKUP(F783,N$6:P$15,3,FALSE)/1000,2/3*D778/1000)+F$16*F783/1000</f>
        <v>0.192</v>
      </c>
      <c r="M783" t="str">
        <v>=</v>
      </c>
      <c r="N783">
        <f>J783+L783</f>
        <v>1.192</v>
      </c>
      <c r="O783" t="str">
        <v>+</v>
      </c>
      <c r="P783">
        <f>D783-D782</f>
        <v>0</v>
      </c>
      <c r="Q783" t="str">
        <v>x</v>
      </c>
      <c r="R783">
        <f>IF(P783&gt;0,$F$18*F783/1000,0)</f>
        <v>0</v>
      </c>
      <c r="S783" t="str">
        <v>)</v>
      </c>
      <c r="T783" t="str">
        <v>x</v>
      </c>
      <c r="U783">
        <f>0.006165*F783^2</f>
        <v>1.57824</v>
      </c>
      <c r="X783" t="str">
        <v>x</v>
      </c>
      <c r="Y783">
        <f>D780</f>
        <v>1</v>
      </c>
      <c r="Z783" t="str">
        <v>=</v>
      </c>
      <c r="AA783">
        <f>IF(AA784=0,(D783*N783+P783*R783)*U783*Y783,0)</f>
        <v>0</v>
      </c>
    </row>
    <row r="784">
      <c r="A784" t="str">
        <f>A774</f>
        <v>Sloof</v>
      </c>
      <c r="B784">
        <f>B774</f>
        <v>25</v>
      </c>
      <c r="D784">
        <f>IF(AND(D781=D782,D782=D783,D781=D783),D781,0)</f>
        <v>3</v>
      </c>
      <c r="E784" t="str">
        <v>D</v>
      </c>
      <c r="F784">
        <f>IF(AND(F781=F782,F781=F783,F782=F783),F781,0)</f>
        <v>16</v>
      </c>
      <c r="L784" t="str">
        <v>Total panjang per balok</v>
      </c>
      <c r="M784" t="str">
        <v>=</v>
      </c>
      <c r="N784">
        <f>IF(AND(D781=D782,D781=D783,D782=D783,F781=F782,F781=F783,F782=F783),SUM(N781:N783),0)</f>
        <v>4.384</v>
      </c>
      <c r="O784" t="str">
        <v>+</v>
      </c>
      <c r="P784">
        <f>IF(N784&gt;12,ROUNDDOWN(N784/12,0),0)</f>
        <v>0</v>
      </c>
      <c r="Q784" t="str">
        <v>x</v>
      </c>
      <c r="R784">
        <f>IF(P784&gt;0,MAX(VLOOKUP(F784,$D$6:$G$15,3,FALSE),600),0)/1000</f>
        <v>0</v>
      </c>
      <c r="T784" t="str">
        <v>x</v>
      </c>
      <c r="U784">
        <f>U783</f>
        <v>1.57824</v>
      </c>
      <c r="V784" t="str">
        <v>x</v>
      </c>
      <c r="W784">
        <f>D784</f>
        <v>3</v>
      </c>
      <c r="X784" t="str">
        <v>x</v>
      </c>
      <c r="Y784">
        <f>Y783</f>
        <v>1</v>
      </c>
      <c r="Z784" t="str">
        <v>=</v>
      </c>
      <c r="AA784">
        <f>(N784+P784*R784/1000)*U784*W784*Y784</f>
        <v>20.757012480000004</v>
      </c>
    </row>
    <row r="786">
      <c r="A786" t="str">
        <f>A774</f>
        <v>Sloof</v>
      </c>
      <c r="B786">
        <f>B774</f>
        <v>25</v>
      </c>
      <c r="C786" t="str">
        <v>Tul Peminggang</v>
      </c>
      <c r="D786">
        <f>VLOOKUP(D774,'Detail Balok'!$C$10:$AU$110,13,FALSE)</f>
        <v>2</v>
      </c>
      <c r="E786" t="str">
        <v>D</v>
      </c>
      <c r="F786">
        <f>VLOOKUP(D774,'Detail Balok'!$C$10:$AU$110,15,FALSE)</f>
        <v>10</v>
      </c>
      <c r="J786">
        <f>+D776/1000</f>
        <v>4</v>
      </c>
      <c r="K786" t="str">
        <v>+</v>
      </c>
      <c r="L786">
        <f>2*$F$16*F786/1000</f>
        <v>0.24</v>
      </c>
      <c r="M786" t="str">
        <v>=</v>
      </c>
      <c r="N786">
        <f>J786+L786</f>
        <v>4.24</v>
      </c>
      <c r="O786" t="str">
        <v>+</v>
      </c>
      <c r="P786">
        <f>IF(N786&gt;12,ROUNDDOWN(N786/12,0),0)</f>
        <v>0</v>
      </c>
      <c r="Q786" t="str">
        <v>x</v>
      </c>
      <c r="R786">
        <f>IF(P786&gt;0,MAX(VLOOKUP(F786,$D$6:$G$15,3,FALSE),600),0)/1000</f>
        <v>0</v>
      </c>
      <c r="T786" t="str">
        <v>x</v>
      </c>
      <c r="U786">
        <f>0.006165*F786^2</f>
        <v>0.6165</v>
      </c>
      <c r="V786" t="str">
        <v>x</v>
      </c>
      <c r="W786">
        <f>+D786</f>
        <v>2</v>
      </c>
      <c r="X786" t="str">
        <v>x</v>
      </c>
      <c r="Y786">
        <f>D780</f>
        <v>1</v>
      </c>
      <c r="Z786" t="str">
        <v>=</v>
      </c>
      <c r="AA786">
        <f>(N786+P786*R786/1000)*U786*W786*Y786</f>
        <v>5.227920000000001</v>
      </c>
    </row>
    <row r="789">
      <c r="A789" t="str">
        <f>A774</f>
        <v>Sloof</v>
      </c>
      <c r="B789">
        <f>B774</f>
        <v>25</v>
      </c>
      <c r="C789" t="str">
        <v>Tul Bawah Tumpuan</v>
      </c>
      <c r="D789">
        <f>VLOOKUP(D774,'Detail Balok'!$C$10:$AU$110,22,FALSE)</f>
        <v>3</v>
      </c>
      <c r="E789" t="str">
        <v>D</v>
      </c>
      <c r="F789">
        <f>VLOOKUP(D774,'Detail Balok'!$C$10:$AU$110,24,FALSE)</f>
        <v>16</v>
      </c>
      <c r="I789" t="str">
        <v>(</v>
      </c>
      <c r="J789">
        <f>+J781</f>
        <v>1</v>
      </c>
      <c r="K789" t="str">
        <v>+</v>
      </c>
      <c r="L789">
        <f>MAX(VLOOKUP(F789,N$6:P$15,3,FALSE)/1000,2/3*D779/1000)+F$16*F789/1000</f>
        <v>0.192</v>
      </c>
      <c r="M789" t="str">
        <v>=</v>
      </c>
      <c r="N789">
        <f>J789+L789</f>
        <v>1.192</v>
      </c>
      <c r="O789" t="str">
        <v>+</v>
      </c>
      <c r="P789">
        <f>D789-D790</f>
        <v>0</v>
      </c>
      <c r="Q789" t="str">
        <v>x</v>
      </c>
      <c r="R789">
        <f>IF(P789&gt;0,$F$18*F789/1000,0)</f>
        <v>0</v>
      </c>
      <c r="S789" t="str">
        <v>)</v>
      </c>
      <c r="T789" t="str">
        <v>x</v>
      </c>
      <c r="U789">
        <f>0.006165*F789^2</f>
        <v>1.57824</v>
      </c>
      <c r="X789" t="str">
        <v>x</v>
      </c>
      <c r="Y789">
        <f>D780</f>
        <v>1</v>
      </c>
      <c r="Z789" t="str">
        <v>=</v>
      </c>
      <c r="AA789">
        <f>IF(AA792=0,(D789*N789+P789*R789)*U789*Y789,0)</f>
        <v>0</v>
      </c>
    </row>
    <row r="790">
      <c r="A790" t="str">
        <f>A774</f>
        <v>Sloof</v>
      </c>
      <c r="B790">
        <f>B774</f>
        <v>25</v>
      </c>
      <c r="C790" t="str">
        <v>Tul Bawah Lapangan</v>
      </c>
      <c r="D790">
        <f>VLOOKUP(D774,'Detail Balok'!$C$10:$AU$110,25,FALSE)</f>
        <v>3</v>
      </c>
      <c r="E790" t="str">
        <v>D</v>
      </c>
      <c r="F790">
        <f>VLOOKUP(D774,'Detail Balok'!$C$10:$AU$110,27,FALSE)</f>
        <v>16</v>
      </c>
      <c r="I790" t="str">
        <v>(</v>
      </c>
      <c r="J790">
        <f>+J782</f>
        <v>2</v>
      </c>
      <c r="K790" t="str">
        <v>+</v>
      </c>
      <c r="M790" t="str">
        <v>=</v>
      </c>
      <c r="N790">
        <f>J790+L790</f>
        <v>2</v>
      </c>
      <c r="O790" t="str">
        <v>+</v>
      </c>
      <c r="P790">
        <f>MAX(D790-D789,D790-D791)</f>
        <v>0</v>
      </c>
      <c r="Q790" t="str">
        <v>x</v>
      </c>
      <c r="R790">
        <f>IF(P790&gt;0,2*(1-2*$F$19-1/2)*D777/1000,0)</f>
        <v>0</v>
      </c>
      <c r="S790" t="str">
        <v>)</v>
      </c>
      <c r="T790" t="str">
        <v>x</v>
      </c>
      <c r="U790">
        <f>0.006165*F790^2</f>
        <v>1.57824</v>
      </c>
      <c r="X790" t="str">
        <v>x</v>
      </c>
      <c r="Y790">
        <f>D780</f>
        <v>1</v>
      </c>
      <c r="Z790" t="str">
        <v>=</v>
      </c>
      <c r="AA790">
        <f>IF(AA792=0,(D790*N790+P790*R790)*U790*Y790,0)</f>
        <v>0</v>
      </c>
    </row>
    <row r="791">
      <c r="A791" t="str">
        <f>A774</f>
        <v>Sloof</v>
      </c>
      <c r="B791">
        <f>B774</f>
        <v>25</v>
      </c>
      <c r="C791" t="str">
        <v>Tul Bawah Tumpuan</v>
      </c>
      <c r="D791">
        <f>VLOOKUP(D774,'Detail Balok'!$C$10:$AU$110,28,FALSE)</f>
        <v>3</v>
      </c>
      <c r="E791" t="str">
        <v>D</v>
      </c>
      <c r="F791">
        <f>VLOOKUP(D774,'Detail Balok'!$C$10:$AU$110,30,FALSE)</f>
        <v>16</v>
      </c>
      <c r="I791" t="str">
        <v>(</v>
      </c>
      <c r="J791">
        <f>+J783</f>
        <v>1</v>
      </c>
      <c r="K791" t="str">
        <v>+</v>
      </c>
      <c r="L791">
        <f>MAX(VLOOKUP(F791,N$6:P$15,3,FALSE)/1000,2/3*D779/1000)+F$16*F791/1000</f>
        <v>0.192</v>
      </c>
      <c r="M791" t="str">
        <v>=</v>
      </c>
      <c r="N791">
        <f>J791+L791</f>
        <v>1.192</v>
      </c>
      <c r="O791" t="str">
        <v>+</v>
      </c>
      <c r="P791">
        <f>D791-D790</f>
        <v>0</v>
      </c>
      <c r="Q791" t="str">
        <v>x</v>
      </c>
      <c r="R791">
        <f>IF(P791&gt;0,$F$18*F791/1000,0)</f>
        <v>0</v>
      </c>
      <c r="S791" t="str">
        <v>)</v>
      </c>
      <c r="T791" t="str">
        <v>x</v>
      </c>
      <c r="U791">
        <f>0.006165*F791^2</f>
        <v>1.57824</v>
      </c>
      <c r="X791" t="str">
        <v>x</v>
      </c>
      <c r="Y791">
        <f>D780</f>
        <v>1</v>
      </c>
      <c r="Z791" t="str">
        <v>=</v>
      </c>
      <c r="AA791">
        <f>IF(AA792=0,(D791*N791+P791*R791)*U791*Y791,0)</f>
        <v>0</v>
      </c>
    </row>
    <row r="792">
      <c r="A792" t="str">
        <f>A774</f>
        <v>Sloof</v>
      </c>
      <c r="B792">
        <f>B774</f>
        <v>25</v>
      </c>
      <c r="D792">
        <f>IF(AND(D789=D790,D790=D791,D789=D791),D789,0)</f>
        <v>3</v>
      </c>
      <c r="E792" t="str">
        <v>D</v>
      </c>
      <c r="F792">
        <f>IF(AND(F789=F790,F789=F791,F790=F791),F789,0)</f>
        <v>16</v>
      </c>
      <c r="L792" t="str">
        <v>Total panjang per balok</v>
      </c>
      <c r="M792" t="str">
        <v>=</v>
      </c>
      <c r="N792">
        <f>IF(AND(D789=D790,D789=D791,D790=D791,F789=F790,F789=F791,F790=F791),SUM(N789:N791),0)</f>
        <v>4.384</v>
      </c>
      <c r="O792" t="str">
        <v>+</v>
      </c>
      <c r="P792">
        <f>IF(N792&gt;12,ROUNDDOWN(N792/12,0),0)</f>
        <v>0</v>
      </c>
      <c r="Q792" t="str">
        <v>x</v>
      </c>
      <c r="R792">
        <f>IF(P792&gt;0,MAX(VLOOKUP(F792,$D$6:$G$15,3,FALSE),600),0)/1000</f>
        <v>0</v>
      </c>
      <c r="T792" t="str">
        <v>x</v>
      </c>
      <c r="U792">
        <f>U791</f>
        <v>1.57824</v>
      </c>
      <c r="V792" t="str">
        <v>x</v>
      </c>
      <c r="W792">
        <f>D792</f>
        <v>3</v>
      </c>
      <c r="X792" t="str">
        <v>x</v>
      </c>
      <c r="Y792">
        <f>Y791</f>
        <v>1</v>
      </c>
      <c r="Z792" t="str">
        <v>=</v>
      </c>
      <c r="AA792">
        <f>(N792+P792*R792/1000)*U792*W792*Y792</f>
        <v>20.757012480000004</v>
      </c>
    </row>
    <row r="794">
      <c r="A794" t="str">
        <f>A774</f>
        <v>Sloof</v>
      </c>
      <c r="B794">
        <f>B774</f>
        <v>25</v>
      </c>
      <c r="C794" t="str">
        <v>Sengkang Tumpuan</v>
      </c>
      <c r="D794">
        <f>VLOOKUP(D774,'Detail Balok'!$C$10:$AU$110,31,FALSE)</f>
        <v>0</v>
      </c>
      <c r="E794" t="str">
        <v>D</v>
      </c>
      <c r="F794">
        <f>VLOOKUP(D774,'Detail Balok'!$C$10:$AU$110,33,FALSE)</f>
        <v>10</v>
      </c>
      <c r="G794" t="str">
        <v>-</v>
      </c>
      <c r="H794">
        <f>VLOOKUP(D774,'Detail Balok'!$C$10:$AU$110,35,FALSE)</f>
        <v>200</v>
      </c>
      <c r="J794">
        <f>(IF(D794=0,(2*(D775+G775))-(F$5*8),IF(D794=3,(2*(D775+G775))-(F$5*8)+(G775-2*F$5),IF(D794=4,(2*(D775+G775))-(F$5*8)+2*(G775-2*F$5)))))/1000</f>
        <v>1.08</v>
      </c>
      <c r="K794" t="str">
        <v>+</v>
      </c>
      <c r="L794">
        <f>IF(D794=0,2*MAX(6*F794,75),(D794-1)*2*MAX(6*F794,75))/1000</f>
        <v>0.15</v>
      </c>
      <c r="M794" t="str">
        <v>=</v>
      </c>
      <c r="N794">
        <f>J794+L794</f>
        <v>1.23</v>
      </c>
      <c r="T794" t="str">
        <v>x</v>
      </c>
      <c r="U794">
        <f>0.006165*F794^2</f>
        <v>0.6165</v>
      </c>
      <c r="V794" t="str">
        <v>x</v>
      </c>
      <c r="W794">
        <f>IF(D777&gt;4*G775,ROUND(MAX(D777/4,2*G775)/H794,0)+1,ROUND(D777/H794,0)+1)</f>
        <v>6</v>
      </c>
      <c r="X794" t="str">
        <v>x</v>
      </c>
      <c r="Y794">
        <f>D780</f>
        <v>1</v>
      </c>
      <c r="Z794" t="str">
        <v>=</v>
      </c>
      <c r="AA794">
        <f>N794*U794*W794*Y794</f>
        <v>4.5497700000000005</v>
      </c>
    </row>
    <row r="795">
      <c r="A795" t="str">
        <f>A774</f>
        <v>Sloof</v>
      </c>
      <c r="B795">
        <f>B774</f>
        <v>25</v>
      </c>
      <c r="C795" t="str">
        <v>Sengkang Lapangan</v>
      </c>
      <c r="D795">
        <f>VLOOKUP(D774,'Detail Balok'!$C$10:$AU$110,36,FALSE)</f>
        <v>0</v>
      </c>
      <c r="E795" t="str">
        <v>D</v>
      </c>
      <c r="F795">
        <f>VLOOKUP(D774,'Detail Balok'!$C$10:$AU$110,38,FALSE)</f>
        <v>10</v>
      </c>
      <c r="G795" t="str">
        <v>-</v>
      </c>
      <c r="H795">
        <f>VLOOKUP(D774,'Detail Balok'!$C$10:$AU$110,40,FALSE)</f>
        <v>200</v>
      </c>
      <c r="J795">
        <f>(IF(D795=0,(2*(D775+G775))-(F$5*8),IF(D795=3,(2*(D775+G775))-(F$5*8)+(G775-2*F$5),IF(D795=4,(2*(D775+G775))-(F$5*8)+2*(G775-2*F$5)))))/1000</f>
        <v>1.08</v>
      </c>
      <c r="K795" t="str">
        <v>+</v>
      </c>
      <c r="L795">
        <f>IF(D795=0,2*MAX(6*F795,75),(D795-1)*2*MAX(6*F795,75))/1000</f>
        <v>0.15</v>
      </c>
      <c r="M795" t="str">
        <v>=</v>
      </c>
      <c r="N795">
        <f>J795+L795</f>
        <v>1.23</v>
      </c>
      <c r="T795" t="str">
        <v>x</v>
      </c>
      <c r="U795">
        <f>0.006165*F795^2</f>
        <v>0.6165</v>
      </c>
      <c r="V795" t="str">
        <v>x</v>
      </c>
      <c r="W795">
        <f>IF(D777-MAX(D777/4,2*G775)*2&gt;0,ROUND((D777-MAX(D777/4,2*G775)*2)/H795,0),0)</f>
        <v>10</v>
      </c>
      <c r="X795" t="str">
        <v>x</v>
      </c>
      <c r="Y795">
        <f>D780</f>
        <v>1</v>
      </c>
      <c r="Z795" t="str">
        <v>=</v>
      </c>
      <c r="AA795">
        <f>N795*U795*W795*Y795</f>
        <v>7.58295</v>
      </c>
    </row>
    <row r="796">
      <c r="A796" t="str">
        <f>A774</f>
        <v>Sloof</v>
      </c>
      <c r="B796">
        <f>B774</f>
        <v>25</v>
      </c>
      <c r="C796" t="str">
        <v>Sengkang Tumpuan</v>
      </c>
      <c r="D796">
        <f>VLOOKUP(D774,'Detail Balok'!$C$10:$AU$110,41,FALSE)</f>
        <v>0</v>
      </c>
      <c r="E796" t="str">
        <v>D</v>
      </c>
      <c r="F796">
        <f>VLOOKUP(D774,'Detail Balok'!$C$10:$AU$110,43,FALSE)</f>
        <v>10</v>
      </c>
      <c r="G796" t="str">
        <v>-</v>
      </c>
      <c r="H796">
        <f>VLOOKUP(D774,'Detail Balok'!$C$10:$AU$110,45,FALSE)</f>
        <v>200</v>
      </c>
      <c r="J796">
        <f>(IF(D796=0,(2*(D775+G775))-(F$5*8),IF(D796=3,(2*(D775+G775))-(F$5*8)+(G775-2*F$5),IF(D796=4,(2*(D775+G775))-(F$5*8)+2*(G775-2*F$5)))))/1000</f>
        <v>1.08</v>
      </c>
      <c r="K796" t="str">
        <v>+</v>
      </c>
      <c r="L796">
        <f>IF(D796=0,2*MAX(6*F796,75),(D796-1)*2*MAX(6*F796,75))/1000</f>
        <v>0.15</v>
      </c>
      <c r="M796" t="str">
        <v>=</v>
      </c>
      <c r="N796">
        <f>J796+L796</f>
        <v>1.23</v>
      </c>
      <c r="T796" t="str">
        <v>x</v>
      </c>
      <c r="U796">
        <f>0.006165*F796^2</f>
        <v>0.6165</v>
      </c>
      <c r="V796" t="str">
        <v>x</v>
      </c>
      <c r="W796">
        <f>IF(D777&gt;4*G775,ROUND(MAX(D777/4,2*G775)/H796,0)+1,0)</f>
        <v>6</v>
      </c>
      <c r="X796" t="str">
        <v>x</v>
      </c>
      <c r="Y796">
        <f>D780</f>
        <v>1</v>
      </c>
      <c r="Z796" t="str">
        <v>=</v>
      </c>
      <c r="AA796">
        <f>N796*U796*W796*Y796</f>
        <v>4.5497700000000005</v>
      </c>
    </row>
    <row r="798">
      <c r="A798" t="str">
        <f>A774</f>
        <v>Sloof</v>
      </c>
      <c r="B798">
        <f>B774</f>
        <v>25</v>
      </c>
      <c r="C798" t="str">
        <v>Kait Horizontal Tump.</v>
      </c>
      <c r="D798">
        <f>VLOOKUP(D774,'Detail Balok'!$C$10:$BJ$110,46,FALSE)</f>
        <v>0</v>
      </c>
      <c r="E798" t="str">
        <v>D</v>
      </c>
      <c r="F798">
        <f>VLOOKUP(D774,'Detail Balok'!$C$10:$BJ$110,48,FALSE)</f>
        <v>0</v>
      </c>
      <c r="G798" t="str">
        <v>-</v>
      </c>
      <c r="H798">
        <f>VLOOKUP(D774,'Detail Balok'!$C$10:$BJ$110,50,FALSE)</f>
        <v>100</v>
      </c>
      <c r="J798">
        <f>(D775-2*F$5)/1000</f>
        <v>0.12</v>
      </c>
      <c r="K798" t="str">
        <v>+</v>
      </c>
      <c r="L798">
        <f>IF(D798=0,2*MAX(6*F798,75),(D798-1)*2*MAX(6*F798,75))/1000</f>
        <v>0.15</v>
      </c>
      <c r="M798" t="str">
        <v>=</v>
      </c>
      <c r="N798">
        <f>J798+L798</f>
        <v>0.27</v>
      </c>
      <c r="T798" t="str">
        <v>x</v>
      </c>
      <c r="U798">
        <f>0.006165*F798^2</f>
        <v>0</v>
      </c>
      <c r="V798" t="str">
        <v>x</v>
      </c>
      <c r="W798">
        <f>W794</f>
        <v>6</v>
      </c>
      <c r="X798" t="str">
        <v>x</v>
      </c>
      <c r="Y798">
        <f>D784</f>
        <v>3</v>
      </c>
      <c r="Z798" t="str">
        <v>=</v>
      </c>
      <c r="AA798">
        <f>N798*U798*W798*Y798</f>
        <v>0</v>
      </c>
    </row>
    <row r="799">
      <c r="A799" t="str">
        <f>A774</f>
        <v>Sloof</v>
      </c>
      <c r="B799">
        <f>B774</f>
        <v>25</v>
      </c>
      <c r="C799" t="str">
        <v>Kait Horizontal Lap.</v>
      </c>
      <c r="D799">
        <f>VLOOKUP(D774,'Detail Balok'!$C$10:$BJ$110,51,FALSE)</f>
        <v>0</v>
      </c>
      <c r="E799" t="str">
        <v>D</v>
      </c>
      <c r="F799">
        <f>VLOOKUP(D774,'Detail Balok'!$C$10:$BJ$110,53,FALSE)</f>
        <v>0</v>
      </c>
      <c r="G799" t="str">
        <v>-</v>
      </c>
      <c r="H799">
        <f>VLOOKUP(D774,'Detail Balok'!$C$10:$BJ$110,55,FALSE)</f>
        <v>100</v>
      </c>
      <c r="J799">
        <f>(D775-2*F$5)/1000</f>
        <v>0.12</v>
      </c>
      <c r="K799" t="str">
        <v>+</v>
      </c>
      <c r="L799">
        <f>IF(D799=0,2*MAX(6*F799,75),(D799-1)*2*MAX(6*F799,75))/1000</f>
        <v>0.15</v>
      </c>
      <c r="M799" t="str">
        <v>=</v>
      </c>
      <c r="N799">
        <f>J799+L799</f>
        <v>0.27</v>
      </c>
      <c r="T799" t="str">
        <v>x</v>
      </c>
      <c r="U799">
        <f>0.006165*F799^2</f>
        <v>0</v>
      </c>
      <c r="V799" t="str">
        <v>x</v>
      </c>
      <c r="W799">
        <f>W795</f>
        <v>10</v>
      </c>
      <c r="X799" t="str">
        <v>x</v>
      </c>
      <c r="Y799">
        <f>D784</f>
        <v>3</v>
      </c>
      <c r="Z799" t="str">
        <v>=</v>
      </c>
      <c r="AA799">
        <f>N799*U799*W799*Y799</f>
        <v>0</v>
      </c>
    </row>
    <row r="800">
      <c r="A800" t="str">
        <f>A774</f>
        <v>Sloof</v>
      </c>
      <c r="B800">
        <f>B774</f>
        <v>25</v>
      </c>
      <c r="C800" t="str">
        <v>Kait Horizontal Tump.</v>
      </c>
      <c r="D800">
        <f>VLOOKUP(D774,'Detail Balok'!$C$10:$BJ$110,56,FALSE)</f>
        <v>0</v>
      </c>
      <c r="E800" t="str">
        <v>D</v>
      </c>
      <c r="F800">
        <f>VLOOKUP(D774,'Detail Balok'!$C$10:$BJ$110,58,FALSE)</f>
        <v>0</v>
      </c>
      <c r="G800" t="str">
        <v>-</v>
      </c>
      <c r="H800">
        <f>VLOOKUP(D774,'Detail Balok'!$C$10:$BJ$110,60,FALSE)</f>
        <v>100</v>
      </c>
      <c r="J800">
        <f>(D775-2*F$5)/1000</f>
        <v>0.12</v>
      </c>
      <c r="K800" t="str">
        <v>+</v>
      </c>
      <c r="L800">
        <f>IF(D800=0,2*MAX(6*F800,75),(D800-1)*2*MAX(6*F800,75))/1000</f>
        <v>0.15</v>
      </c>
      <c r="M800" t="str">
        <v>=</v>
      </c>
      <c r="N800">
        <f>J800+L800</f>
        <v>0.27</v>
      </c>
      <c r="T800" t="str">
        <v>x</v>
      </c>
      <c r="U800">
        <f>0.006165*F800^2</f>
        <v>0</v>
      </c>
      <c r="V800" t="str">
        <v>x</v>
      </c>
      <c r="W800">
        <f>W796</f>
        <v>6</v>
      </c>
      <c r="X800" t="str">
        <v>x</v>
      </c>
      <c r="Y800">
        <f>D784</f>
        <v>3</v>
      </c>
      <c r="Z800" t="str">
        <v>=</v>
      </c>
      <c r="AA800">
        <f>N800*U800*W800*Y800</f>
        <v>0</v>
      </c>
    </row>
    <row r="804">
      <c r="A804" t="str">
        <f>A774</f>
        <v>Sloof</v>
      </c>
      <c r="B804">
        <f>B774+1</f>
        <v>26</v>
      </c>
      <c r="C804" t="str">
        <f>CONCATENATE(A804," no. ",B804)</f>
        <v>Sloof no. 26</v>
      </c>
      <c r="D804" t="str">
        <f>VLOOKUP(C804,'Data Panjang Balok'!$C$9:$N$424,2,FALSE)</f>
        <v>TB245-2</v>
      </c>
    </row>
    <row r="805">
      <c r="C805" t="str">
        <v>Dimensi</v>
      </c>
      <c r="D805">
        <f>VLOOKUP(D804,'Detail Balok'!$C$10:$AU$110,2,FALSE)</f>
        <v>200</v>
      </c>
      <c r="F805" t="str">
        <v>x</v>
      </c>
      <c r="G805">
        <f>VLOOKUP(D804,'Detail Balok'!$C$10:$AU$110,3,FALSE)</f>
        <v>450</v>
      </c>
    </row>
    <row r="806">
      <c r="C806" t="str">
        <v>Panjang as ke as</v>
      </c>
      <c r="D806">
        <f>VLOOKUP(C804,'Data Panjang Balok'!$C$9:$N$424,4,FALSE)</f>
        <v>3400</v>
      </c>
    </row>
    <row r="807">
      <c r="C807" t="str">
        <v>Panjang netto</v>
      </c>
      <c r="D807">
        <f>VLOOKUP(C804,'Data Panjang Balok'!$C$9:$N$424,7,FALSE)</f>
        <v>3400</v>
      </c>
    </row>
    <row r="808">
      <c r="C808" t="str">
        <v>Kolom / balok kiri</v>
      </c>
      <c r="D808">
        <f>VLOOKUP(C804,'Data Panjang Balok'!$C$9:$N$424,9,FALSE)</f>
        <v>0</v>
      </c>
    </row>
    <row r="809">
      <c r="C809" t="str">
        <v>Kolom / balok kanan</v>
      </c>
      <c r="D809">
        <f>VLOOKUP(C804,'Data Panjang Balok'!$C$9:$N$424,10,FALSE)</f>
        <v>0</v>
      </c>
    </row>
    <row r="810">
      <c r="C810" t="str">
        <v>Jumlah</v>
      </c>
      <c r="D810">
        <f>VLOOKUP(C804,'Data Panjang Balok'!$C$9:$N$424,3,FALSE)</f>
        <v>1</v>
      </c>
    </row>
    <row r="811">
      <c r="A811" t="str">
        <f>A804</f>
        <v>Sloof</v>
      </c>
      <c r="B811">
        <f>B804</f>
        <v>26</v>
      </c>
      <c r="C811" t="str">
        <v>Tul Atas Tumpuan</v>
      </c>
      <c r="D811">
        <f>VLOOKUP(D804,'Detail Balok'!$C$10:$AU$110,4,FALSE)</f>
        <v>4</v>
      </c>
      <c r="E811" t="str">
        <v>D</v>
      </c>
      <c r="F811">
        <f>VLOOKUP(D804,'Detail Balok'!$C$10:$AU$110,6,FALSE)</f>
        <v>13</v>
      </c>
      <c r="I811" t="str">
        <v>(</v>
      </c>
      <c r="J811">
        <f>+D806/4/1000</f>
        <v>0.85</v>
      </c>
      <c r="K811" t="str">
        <v>+</v>
      </c>
      <c r="L811">
        <f>MAX(VLOOKUP(F811,N$6:P$15,3,FALSE)/1000,2/3*D808/1000)+F$16*F811/1000</f>
        <v>0.156</v>
      </c>
      <c r="M811" t="str">
        <v>=</v>
      </c>
      <c r="N811">
        <f>J811+L811</f>
        <v>1.006</v>
      </c>
      <c r="O811" t="str">
        <v>+</v>
      </c>
      <c r="P811">
        <f>D811-D812</f>
        <v>2</v>
      </c>
      <c r="Q811" t="str">
        <v>x</v>
      </c>
      <c r="R811">
        <f>IF(P811&gt;0,$F$18*F811/1000,0)</f>
        <v>0.195</v>
      </c>
      <c r="S811" t="str">
        <v>)</v>
      </c>
      <c r="T811" t="str">
        <v>x</v>
      </c>
      <c r="U811">
        <f>0.006165*F811^2</f>
        <v>1.041885</v>
      </c>
      <c r="X811" t="str">
        <v>x</v>
      </c>
      <c r="Y811">
        <f>D810</f>
        <v>1</v>
      </c>
      <c r="Z811" t="str">
        <v>=</v>
      </c>
      <c r="AA811">
        <f>IF(AA814=0,(D811*N811+P811*R811)*U811*Y811,0)</f>
        <v>4.59888039</v>
      </c>
    </row>
    <row r="812">
      <c r="A812" t="str">
        <f>A804</f>
        <v>Sloof</v>
      </c>
      <c r="B812">
        <f>B804</f>
        <v>26</v>
      </c>
      <c r="C812" t="str">
        <v>Tul Atas Lapangan</v>
      </c>
      <c r="D812">
        <f>VLOOKUP(D804,'Detail Balok'!$C$10:$AU$110,7,FALSE)</f>
        <v>2</v>
      </c>
      <c r="E812" t="str">
        <v>D</v>
      </c>
      <c r="F812">
        <f>VLOOKUP(D804,'Detail Balok'!$C$10:$AU$110,9,FALSE)</f>
        <v>13</v>
      </c>
      <c r="I812" t="str">
        <v>(</v>
      </c>
      <c r="J812">
        <f>+D806/2/1000</f>
        <v>1.7</v>
      </c>
      <c r="K812" t="str">
        <v>+</v>
      </c>
      <c r="M812" t="str">
        <v>=</v>
      </c>
      <c r="N812">
        <f>J812+L812</f>
        <v>1.7</v>
      </c>
      <c r="O812" t="str">
        <v>+</v>
      </c>
      <c r="P812">
        <f>MAX(D812-D811,D812-D813)</f>
        <v>-2</v>
      </c>
      <c r="Q812" t="str">
        <v>x</v>
      </c>
      <c r="R812">
        <f>IF(P812&gt;0,2*(1-2*$F$19-1/2)*D807/1000,0)</f>
        <v>0</v>
      </c>
      <c r="S812" t="str">
        <v>)</v>
      </c>
      <c r="T812" t="str">
        <v>x</v>
      </c>
      <c r="U812">
        <f>0.006165*F812^2</f>
        <v>1.041885</v>
      </c>
      <c r="X812" t="str">
        <v>x</v>
      </c>
      <c r="Y812">
        <f>D810</f>
        <v>1</v>
      </c>
      <c r="Z812" t="str">
        <v>=</v>
      </c>
      <c r="AA812">
        <f>IF(AA814=0,(D812*N812+P812*R812)*U812*Y812,0)</f>
        <v>3.5424089999999997</v>
      </c>
    </row>
    <row r="813">
      <c r="A813" t="str">
        <f>A804</f>
        <v>Sloof</v>
      </c>
      <c r="B813">
        <f>B804</f>
        <v>26</v>
      </c>
      <c r="C813" t="str">
        <v>Tul Atas Tumpuan</v>
      </c>
      <c r="D813">
        <f>VLOOKUP(D804,'Detail Balok'!$C$10:$AU$110,10,FALSE)</f>
        <v>4</v>
      </c>
      <c r="E813" t="str">
        <v>D</v>
      </c>
      <c r="F813">
        <f>VLOOKUP(D804,'Detail Balok'!$C$10:$AU$110,12,FALSE)</f>
        <v>13</v>
      </c>
      <c r="I813" t="str">
        <v>(</v>
      </c>
      <c r="J813">
        <f>+D806/4/1000</f>
        <v>0.85</v>
      </c>
      <c r="K813" t="str">
        <v>+</v>
      </c>
      <c r="L813">
        <f>MAX(VLOOKUP(F813,N$6:P$15,3,FALSE)/1000,2/3*D808/1000)+F$16*F813/1000</f>
        <v>0.156</v>
      </c>
      <c r="M813" t="str">
        <v>=</v>
      </c>
      <c r="N813">
        <f>J813+L813</f>
        <v>1.006</v>
      </c>
      <c r="O813" t="str">
        <v>+</v>
      </c>
      <c r="P813">
        <f>D813-D812</f>
        <v>2</v>
      </c>
      <c r="Q813" t="str">
        <v>x</v>
      </c>
      <c r="R813">
        <f>IF(P813&gt;0,$F$18*F813/1000,0)</f>
        <v>0.195</v>
      </c>
      <c r="S813" t="str">
        <v>)</v>
      </c>
      <c r="T813" t="str">
        <v>x</v>
      </c>
      <c r="U813">
        <f>0.006165*F813^2</f>
        <v>1.041885</v>
      </c>
      <c r="X813" t="str">
        <v>x</v>
      </c>
      <c r="Y813">
        <f>D810</f>
        <v>1</v>
      </c>
      <c r="Z813" t="str">
        <v>=</v>
      </c>
      <c r="AA813">
        <f>IF(AA814=0,(D813*N813+P813*R813)*U813*Y813,0)</f>
        <v>4.59888039</v>
      </c>
    </row>
    <row r="814">
      <c r="A814" t="str">
        <f>A804</f>
        <v>Sloof</v>
      </c>
      <c r="B814">
        <f>B804</f>
        <v>26</v>
      </c>
      <c r="D814">
        <f>IF(AND(D811=D812,D812=D813,D811=D813),D811,0)</f>
        <v>0</v>
      </c>
      <c r="E814" t="str">
        <v>D</v>
      </c>
      <c r="F814">
        <f>IF(AND(F811=F812,F811=F813,F812=F813),F811,0)</f>
        <v>13</v>
      </c>
      <c r="L814" t="str">
        <v>Total panjang per balok</v>
      </c>
      <c r="M814" t="str">
        <v>=</v>
      </c>
      <c r="N814">
        <f>IF(AND(D811=D812,D811=D813,D812=D813,F811=F812,F811=F813,F812=F813),SUM(N811:N813),0)</f>
        <v>0</v>
      </c>
      <c r="O814" t="str">
        <v>+</v>
      </c>
      <c r="P814">
        <f>IF(N814&gt;12,ROUNDDOWN(N814/12,0),0)</f>
        <v>0</v>
      </c>
      <c r="Q814" t="str">
        <v>x</v>
      </c>
      <c r="R814">
        <f>IF(P814&gt;0,MAX(VLOOKUP(F814,$D$6:$G$15,3,FALSE),600),0)/1000</f>
        <v>0</v>
      </c>
      <c r="T814" t="str">
        <v>x</v>
      </c>
      <c r="U814">
        <f>U813</f>
        <v>1.041885</v>
      </c>
      <c r="V814" t="str">
        <v>x</v>
      </c>
      <c r="W814">
        <f>D814</f>
        <v>0</v>
      </c>
      <c r="X814" t="str">
        <v>x</v>
      </c>
      <c r="Y814">
        <f>Y813</f>
        <v>1</v>
      </c>
      <c r="Z814" t="str">
        <v>=</v>
      </c>
      <c r="AA814">
        <f>(N814+P814*R814/1000)*U814*W814*Y814</f>
        <v>0</v>
      </c>
    </row>
    <row r="816">
      <c r="A816" t="str">
        <f>A804</f>
        <v>Sloof</v>
      </c>
      <c r="B816">
        <f>B804</f>
        <v>26</v>
      </c>
      <c r="C816" t="str">
        <v>Tul Peminggang</v>
      </c>
      <c r="D816">
        <f>VLOOKUP(D804,'Detail Balok'!$C$10:$AU$110,13,FALSE)</f>
        <v>2</v>
      </c>
      <c r="E816" t="str">
        <v>D</v>
      </c>
      <c r="F816">
        <f>VLOOKUP(D804,'Detail Balok'!$C$10:$AU$110,15,FALSE)</f>
        <v>8</v>
      </c>
      <c r="J816">
        <f>+D806/1000</f>
        <v>3.4</v>
      </c>
      <c r="K816" t="str">
        <v>+</v>
      </c>
      <c r="L816">
        <f>2*$F$16*F816/1000</f>
        <v>0.192</v>
      </c>
      <c r="M816" t="str">
        <v>=</v>
      </c>
      <c r="N816">
        <f>J816+L816</f>
        <v>3.592</v>
      </c>
      <c r="O816" t="str">
        <v>+</v>
      </c>
      <c r="P816">
        <f>IF(N816&gt;12,ROUNDDOWN(N816/12,0),0)</f>
        <v>0</v>
      </c>
      <c r="Q816" t="str">
        <v>x</v>
      </c>
      <c r="R816">
        <f>IF(P816&gt;0,MAX(VLOOKUP(F816,$D$6:$G$15,3,FALSE),600),0)/1000</f>
        <v>0</v>
      </c>
      <c r="T816" t="str">
        <v>x</v>
      </c>
      <c r="U816">
        <f>0.006165*F816^2</f>
        <v>0.39456</v>
      </c>
      <c r="V816" t="str">
        <v>x</v>
      </c>
      <c r="W816">
        <f>+D816</f>
        <v>2</v>
      </c>
      <c r="X816" t="str">
        <v>x</v>
      </c>
      <c r="Y816">
        <f>D810</f>
        <v>1</v>
      </c>
      <c r="Z816" t="str">
        <v>=</v>
      </c>
      <c r="AA816">
        <f>(N816+P816*R816/1000)*U816*W816*Y816</f>
        <v>2.8345190400000004</v>
      </c>
    </row>
    <row r="819">
      <c r="A819" t="str">
        <f>A804</f>
        <v>Sloof</v>
      </c>
      <c r="B819">
        <f>B804</f>
        <v>26</v>
      </c>
      <c r="C819" t="str">
        <v>Tul Bawah Tumpuan</v>
      </c>
      <c r="D819">
        <f>VLOOKUP(D804,'Detail Balok'!$C$10:$AU$110,22,FALSE)</f>
        <v>4</v>
      </c>
      <c r="E819" t="str">
        <v>D</v>
      </c>
      <c r="F819">
        <f>VLOOKUP(D804,'Detail Balok'!$C$10:$AU$110,24,FALSE)</f>
        <v>13</v>
      </c>
      <c r="I819" t="str">
        <v>(</v>
      </c>
      <c r="J819">
        <f>+J811</f>
        <v>0.85</v>
      </c>
      <c r="K819" t="str">
        <v>+</v>
      </c>
      <c r="L819">
        <f>MAX(VLOOKUP(F819,N$6:P$15,3,FALSE)/1000,2/3*D809/1000)+F$16*F819/1000</f>
        <v>0.156</v>
      </c>
      <c r="M819" t="str">
        <v>=</v>
      </c>
      <c r="N819">
        <f>J819+L819</f>
        <v>1.006</v>
      </c>
      <c r="O819" t="str">
        <v>+</v>
      </c>
      <c r="P819">
        <f>D819-D820</f>
        <v>0</v>
      </c>
      <c r="Q819" t="str">
        <v>x</v>
      </c>
      <c r="R819">
        <f>IF(P819&gt;0,$F$18*F819/1000,0)</f>
        <v>0</v>
      </c>
      <c r="S819" t="str">
        <v>)</v>
      </c>
      <c r="T819" t="str">
        <v>x</v>
      </c>
      <c r="U819">
        <f>0.006165*F819^2</f>
        <v>1.041885</v>
      </c>
      <c r="X819" t="str">
        <v>x</v>
      </c>
      <c r="Y819">
        <f>D810</f>
        <v>1</v>
      </c>
      <c r="Z819" t="str">
        <v>=</v>
      </c>
      <c r="AA819">
        <f>IF(AA822=0,(D819*N819+P819*R819)*U819*Y819,0)</f>
        <v>0</v>
      </c>
    </row>
    <row r="820">
      <c r="A820" t="str">
        <f>A804</f>
        <v>Sloof</v>
      </c>
      <c r="B820">
        <f>B804</f>
        <v>26</v>
      </c>
      <c r="C820" t="str">
        <v>Tul Bawah Lapangan</v>
      </c>
      <c r="D820">
        <f>VLOOKUP(D804,'Detail Balok'!$C$10:$AU$110,25,FALSE)</f>
        <v>4</v>
      </c>
      <c r="E820" t="str">
        <v>D</v>
      </c>
      <c r="F820">
        <f>VLOOKUP(D804,'Detail Balok'!$C$10:$AU$110,27,FALSE)</f>
        <v>13</v>
      </c>
      <c r="I820" t="str">
        <v>(</v>
      </c>
      <c r="J820">
        <f>+J812</f>
        <v>1.7</v>
      </c>
      <c r="K820" t="str">
        <v>+</v>
      </c>
      <c r="M820" t="str">
        <v>=</v>
      </c>
      <c r="N820">
        <f>J820+L820</f>
        <v>1.7</v>
      </c>
      <c r="O820" t="str">
        <v>+</v>
      </c>
      <c r="P820">
        <f>MAX(D820-D819,D820-D821)</f>
        <v>0</v>
      </c>
      <c r="Q820" t="str">
        <v>x</v>
      </c>
      <c r="R820">
        <f>IF(P820&gt;0,2*(1-2*$F$19-1/2)*D807/1000,0)</f>
        <v>0</v>
      </c>
      <c r="S820" t="str">
        <v>)</v>
      </c>
      <c r="T820" t="str">
        <v>x</v>
      </c>
      <c r="U820">
        <f>0.006165*F820^2</f>
        <v>1.041885</v>
      </c>
      <c r="X820" t="str">
        <v>x</v>
      </c>
      <c r="Y820">
        <f>D810</f>
        <v>1</v>
      </c>
      <c r="Z820" t="str">
        <v>=</v>
      </c>
      <c r="AA820">
        <f>IF(AA822=0,(D820*N820+P820*R820)*U820*Y820,0)</f>
        <v>0</v>
      </c>
    </row>
    <row r="821">
      <c r="A821" t="str">
        <f>A804</f>
        <v>Sloof</v>
      </c>
      <c r="B821">
        <f>B804</f>
        <v>26</v>
      </c>
      <c r="C821" t="str">
        <v>Tul Bawah Tumpuan</v>
      </c>
      <c r="D821">
        <f>VLOOKUP(D804,'Detail Balok'!$C$10:$AU$110,28,FALSE)</f>
        <v>4</v>
      </c>
      <c r="E821" t="str">
        <v>D</v>
      </c>
      <c r="F821">
        <f>VLOOKUP(D804,'Detail Balok'!$C$10:$AU$110,30,FALSE)</f>
        <v>13</v>
      </c>
      <c r="I821" t="str">
        <v>(</v>
      </c>
      <c r="J821">
        <f>+J813</f>
        <v>0.85</v>
      </c>
      <c r="K821" t="str">
        <v>+</v>
      </c>
      <c r="L821">
        <f>MAX(VLOOKUP(F821,N$6:P$15,3,FALSE)/1000,2/3*D809/1000)+F$16*F821/1000</f>
        <v>0.156</v>
      </c>
      <c r="M821" t="str">
        <v>=</v>
      </c>
      <c r="N821">
        <f>J821+L821</f>
        <v>1.006</v>
      </c>
      <c r="O821" t="str">
        <v>+</v>
      </c>
      <c r="P821">
        <f>D821-D820</f>
        <v>0</v>
      </c>
      <c r="Q821" t="str">
        <v>x</v>
      </c>
      <c r="R821">
        <f>IF(P821&gt;0,$F$18*F821/1000,0)</f>
        <v>0</v>
      </c>
      <c r="S821" t="str">
        <v>)</v>
      </c>
      <c r="T821" t="str">
        <v>x</v>
      </c>
      <c r="U821">
        <f>0.006165*F821^2</f>
        <v>1.041885</v>
      </c>
      <c r="X821" t="str">
        <v>x</v>
      </c>
      <c r="Y821">
        <f>D810</f>
        <v>1</v>
      </c>
      <c r="Z821" t="str">
        <v>=</v>
      </c>
      <c r="AA821">
        <f>IF(AA822=0,(D821*N821+P821*R821)*U821*Y821,0)</f>
        <v>0</v>
      </c>
    </row>
    <row r="822">
      <c r="A822" t="str">
        <f>A804</f>
        <v>Sloof</v>
      </c>
      <c r="B822">
        <f>B804</f>
        <v>26</v>
      </c>
      <c r="D822">
        <f>IF(AND(D819=D820,D820=D821,D819=D821),D819,0)</f>
        <v>4</v>
      </c>
      <c r="E822" t="str">
        <v>D</v>
      </c>
      <c r="F822">
        <f>IF(AND(F819=F820,F819=F821,F820=F821),F819,0)</f>
        <v>13</v>
      </c>
      <c r="L822" t="str">
        <v>Total panjang per balok</v>
      </c>
      <c r="M822" t="str">
        <v>=</v>
      </c>
      <c r="N822">
        <f>IF(AND(D819=D820,D819=D821,D820=D821,F819=F820,F819=F821,F820=F821),SUM(N819:N821),0)</f>
        <v>3.7119999999999997</v>
      </c>
      <c r="O822" t="str">
        <v>+</v>
      </c>
      <c r="P822">
        <f>IF(N822&gt;12,ROUNDDOWN(N822/12,0),0)</f>
        <v>0</v>
      </c>
      <c r="Q822" t="str">
        <v>x</v>
      </c>
      <c r="R822">
        <f>IF(P822&gt;0,MAX(VLOOKUP(F822,$D$6:$G$15,3,FALSE),600),0)/1000</f>
        <v>0</v>
      </c>
      <c r="T822" t="str">
        <v>x</v>
      </c>
      <c r="U822">
        <f>U821</f>
        <v>1.041885</v>
      </c>
      <c r="V822" t="str">
        <v>x</v>
      </c>
      <c r="W822">
        <f>D822</f>
        <v>4</v>
      </c>
      <c r="X822" t="str">
        <v>x</v>
      </c>
      <c r="Y822">
        <f>Y821</f>
        <v>1</v>
      </c>
      <c r="Z822" t="str">
        <v>=</v>
      </c>
      <c r="AA822">
        <f>(N822+P822*R822/1000)*U822*W822*Y822</f>
        <v>15.469908479999999</v>
      </c>
    </row>
    <row r="824">
      <c r="A824" t="str">
        <f>A804</f>
        <v>Sloof</v>
      </c>
      <c r="B824">
        <f>B804</f>
        <v>26</v>
      </c>
      <c r="C824" t="str">
        <v>Sengkang Tumpuan</v>
      </c>
      <c r="D824">
        <f>VLOOKUP(D804,'Detail Balok'!$C$10:$AU$110,31,FALSE)</f>
        <v>0</v>
      </c>
      <c r="E824" t="str">
        <v>D</v>
      </c>
      <c r="F824">
        <f>VLOOKUP(D804,'Detail Balok'!$C$10:$AU$110,33,FALSE)</f>
        <v>8</v>
      </c>
      <c r="G824" t="str">
        <v>-</v>
      </c>
      <c r="H824">
        <f>VLOOKUP(D804,'Detail Balok'!$C$10:$AU$110,35,FALSE)</f>
        <v>125</v>
      </c>
      <c r="J824">
        <f>(IF(D824=0,(2*(D805+G805))-(F$5*8),IF(D824=3,(2*(D805+G805))-(F$5*8)+(G805-2*F$5),IF(D824=4,(2*(D805+G805))-(F$5*8)+2*(G805-2*F$5)))))/1000</f>
        <v>0.98</v>
      </c>
      <c r="K824" t="str">
        <v>+</v>
      </c>
      <c r="L824">
        <f>IF(D824=0,2*MAX(6*F824,75),(D824-1)*2*MAX(6*F824,75))/1000</f>
        <v>0.15</v>
      </c>
      <c r="M824" t="str">
        <v>=</v>
      </c>
      <c r="N824">
        <f>J824+L824</f>
        <v>1.13</v>
      </c>
      <c r="T824" t="str">
        <v>x</v>
      </c>
      <c r="U824">
        <f>0.006165*F824^2</f>
        <v>0.39456</v>
      </c>
      <c r="V824" t="str">
        <v>x</v>
      </c>
      <c r="W824">
        <f>IF(D807&gt;4*G805,ROUND(MAX(D807/4,2*G805)/H824,0)+1,ROUND(D807/H824,0)+1)</f>
        <v>8</v>
      </c>
      <c r="X824" t="str">
        <v>x</v>
      </c>
      <c r="Y824">
        <f>D810</f>
        <v>1</v>
      </c>
      <c r="Z824" t="str">
        <v>=</v>
      </c>
      <c r="AA824">
        <f>N824*U824*W824*Y824</f>
        <v>3.5668224</v>
      </c>
    </row>
    <row r="825">
      <c r="A825" t="str">
        <f>A804</f>
        <v>Sloof</v>
      </c>
      <c r="B825">
        <f>B804</f>
        <v>26</v>
      </c>
      <c r="C825" t="str">
        <v>Sengkang Lapangan</v>
      </c>
      <c r="D825">
        <f>VLOOKUP(D804,'Detail Balok'!$C$10:$AU$110,36,FALSE)</f>
        <v>0</v>
      </c>
      <c r="E825" t="str">
        <v>D</v>
      </c>
      <c r="F825">
        <f>VLOOKUP(D804,'Detail Balok'!$C$10:$AU$110,38,FALSE)</f>
        <v>8</v>
      </c>
      <c r="G825" t="str">
        <v>-</v>
      </c>
      <c r="H825">
        <f>VLOOKUP(D804,'Detail Balok'!$C$10:$AU$110,40,FALSE)</f>
        <v>150</v>
      </c>
      <c r="J825">
        <f>(IF(D825=0,(2*(D805+G805))-(F$5*8),IF(D825=3,(2*(D805+G805))-(F$5*8)+(G805-2*F$5),IF(D825=4,(2*(D805+G805))-(F$5*8)+2*(G805-2*F$5)))))/1000</f>
        <v>0.98</v>
      </c>
      <c r="K825" t="str">
        <v>+</v>
      </c>
      <c r="L825">
        <f>IF(D825=0,2*MAX(6*F825,75),(D825-1)*2*MAX(6*F825,75))/1000</f>
        <v>0.15</v>
      </c>
      <c r="M825" t="str">
        <v>=</v>
      </c>
      <c r="N825">
        <f>J825+L825</f>
        <v>1.13</v>
      </c>
      <c r="T825" t="str">
        <v>x</v>
      </c>
      <c r="U825">
        <f>0.006165*F825^2</f>
        <v>0.39456</v>
      </c>
      <c r="V825" t="str">
        <v>x</v>
      </c>
      <c r="W825">
        <f>IF(D807-MAX(D807/4,2*G805)*2&gt;0,ROUND((D807-MAX(D807/4,2*G805)*2)/H825,0),0)</f>
        <v>11</v>
      </c>
      <c r="X825" t="str">
        <v>x</v>
      </c>
      <c r="Y825">
        <f>D810</f>
        <v>1</v>
      </c>
      <c r="Z825" t="str">
        <v>=</v>
      </c>
      <c r="AA825">
        <f>N825*U825*W825*Y825</f>
        <v>4.9043808</v>
      </c>
    </row>
    <row r="826">
      <c r="A826" t="str">
        <f>A804</f>
        <v>Sloof</v>
      </c>
      <c r="B826">
        <f>B804</f>
        <v>26</v>
      </c>
      <c r="C826" t="str">
        <v>Sengkang Tumpuan</v>
      </c>
      <c r="D826">
        <f>VLOOKUP(D804,'Detail Balok'!$C$10:$AU$110,41,FALSE)</f>
        <v>0</v>
      </c>
      <c r="E826" t="str">
        <v>D</v>
      </c>
      <c r="F826">
        <f>VLOOKUP(D804,'Detail Balok'!$C$10:$AU$110,43,FALSE)</f>
        <v>8</v>
      </c>
      <c r="G826" t="str">
        <v>-</v>
      </c>
      <c r="H826">
        <f>VLOOKUP(D804,'Detail Balok'!$C$10:$AU$110,45,FALSE)</f>
        <v>125</v>
      </c>
      <c r="J826">
        <f>(IF(D826=0,(2*(D805+G805))-(F$5*8),IF(D826=3,(2*(D805+G805))-(F$5*8)+(G805-2*F$5),IF(D826=4,(2*(D805+G805))-(F$5*8)+2*(G805-2*F$5)))))/1000</f>
        <v>0.98</v>
      </c>
      <c r="K826" t="str">
        <v>+</v>
      </c>
      <c r="L826">
        <f>IF(D826=0,2*MAX(6*F826,75),(D826-1)*2*MAX(6*F826,75))/1000</f>
        <v>0.15</v>
      </c>
      <c r="M826" t="str">
        <v>=</v>
      </c>
      <c r="N826">
        <f>J826+L826</f>
        <v>1.13</v>
      </c>
      <c r="T826" t="str">
        <v>x</v>
      </c>
      <c r="U826">
        <f>0.006165*F826^2</f>
        <v>0.39456</v>
      </c>
      <c r="V826" t="str">
        <v>x</v>
      </c>
      <c r="W826">
        <f>IF(D807&gt;4*G805,ROUND(MAX(D807/4,2*G805)/H826,0)+1,0)</f>
        <v>8</v>
      </c>
      <c r="X826" t="str">
        <v>x</v>
      </c>
      <c r="Y826">
        <f>D810</f>
        <v>1</v>
      </c>
      <c r="Z826" t="str">
        <v>=</v>
      </c>
      <c r="AA826">
        <f>N826*U826*W826*Y826</f>
        <v>3.5668224</v>
      </c>
    </row>
    <row r="828">
      <c r="A828" t="str">
        <f>A804</f>
        <v>Sloof</v>
      </c>
      <c r="B828">
        <f>B804</f>
        <v>26</v>
      </c>
      <c r="C828" t="str">
        <v>Kait Horizontal Tump.</v>
      </c>
      <c r="D828">
        <f>VLOOKUP(D804,'Detail Balok'!$C$10:$BJ$110,46,FALSE)</f>
        <v>0</v>
      </c>
      <c r="E828" t="str">
        <v>D</v>
      </c>
      <c r="F828">
        <f>VLOOKUP(D804,'Detail Balok'!$C$10:$BJ$110,48,FALSE)</f>
        <v>0</v>
      </c>
      <c r="G828" t="str">
        <v>-</v>
      </c>
      <c r="H828">
        <f>VLOOKUP(D804,'Detail Balok'!$C$10:$BJ$110,50,FALSE)</f>
        <v>100</v>
      </c>
      <c r="J828">
        <f>(D805-2*F$5)/1000</f>
        <v>0.12</v>
      </c>
      <c r="K828" t="str">
        <v>+</v>
      </c>
      <c r="L828">
        <f>IF(D828=0,2*MAX(6*F828,75),(D828-1)*2*MAX(6*F828,75))/1000</f>
        <v>0.15</v>
      </c>
      <c r="M828" t="str">
        <v>=</v>
      </c>
      <c r="N828">
        <f>J828+L828</f>
        <v>0.27</v>
      </c>
      <c r="T828" t="str">
        <v>x</v>
      </c>
      <c r="U828">
        <f>0.006165*F828^2</f>
        <v>0</v>
      </c>
      <c r="V828" t="str">
        <v>x</v>
      </c>
      <c r="W828">
        <f>W824</f>
        <v>8</v>
      </c>
      <c r="X828" t="str">
        <v>x</v>
      </c>
      <c r="Y828">
        <f>D814</f>
        <v>0</v>
      </c>
      <c r="Z828" t="str">
        <v>=</v>
      </c>
      <c r="AA828">
        <f>N828*U828*W828*Y828</f>
        <v>0</v>
      </c>
    </row>
    <row r="829">
      <c r="A829" t="str">
        <f>A804</f>
        <v>Sloof</v>
      </c>
      <c r="B829">
        <f>B804</f>
        <v>26</v>
      </c>
      <c r="C829" t="str">
        <v>Kait Horizontal Lap.</v>
      </c>
      <c r="D829">
        <f>VLOOKUP(D804,'Detail Balok'!$C$10:$BJ$110,51,FALSE)</f>
        <v>0</v>
      </c>
      <c r="E829" t="str">
        <v>D</v>
      </c>
      <c r="F829">
        <f>VLOOKUP(D804,'Detail Balok'!$C$10:$BJ$110,53,FALSE)</f>
        <v>0</v>
      </c>
      <c r="G829" t="str">
        <v>-</v>
      </c>
      <c r="H829">
        <f>VLOOKUP(D804,'Detail Balok'!$C$10:$BJ$110,55,FALSE)</f>
        <v>100</v>
      </c>
      <c r="J829">
        <f>(D805-2*F$5)/1000</f>
        <v>0.12</v>
      </c>
      <c r="K829" t="str">
        <v>+</v>
      </c>
      <c r="L829">
        <f>IF(D829=0,2*MAX(6*F829,75),(D829-1)*2*MAX(6*F829,75))/1000</f>
        <v>0.15</v>
      </c>
      <c r="M829" t="str">
        <v>=</v>
      </c>
      <c r="N829">
        <f>J829+L829</f>
        <v>0.27</v>
      </c>
      <c r="T829" t="str">
        <v>x</v>
      </c>
      <c r="U829">
        <f>0.006165*F829^2</f>
        <v>0</v>
      </c>
      <c r="V829" t="str">
        <v>x</v>
      </c>
      <c r="W829">
        <f>W825</f>
        <v>11</v>
      </c>
      <c r="X829" t="str">
        <v>x</v>
      </c>
      <c r="Y829">
        <f>D814</f>
        <v>0</v>
      </c>
      <c r="Z829" t="str">
        <v>=</v>
      </c>
      <c r="AA829">
        <f>N829*U829*W829*Y829</f>
        <v>0</v>
      </c>
    </row>
    <row r="830">
      <c r="A830" t="str">
        <f>A804</f>
        <v>Sloof</v>
      </c>
      <c r="B830">
        <f>B804</f>
        <v>26</v>
      </c>
      <c r="C830" t="str">
        <v>Kait Horizontal Tump.</v>
      </c>
      <c r="D830">
        <f>VLOOKUP(D804,'Detail Balok'!$C$10:$BJ$110,56,FALSE)</f>
        <v>0</v>
      </c>
      <c r="E830" t="str">
        <v>D</v>
      </c>
      <c r="F830">
        <f>VLOOKUP(D804,'Detail Balok'!$C$10:$BJ$110,58,FALSE)</f>
        <v>0</v>
      </c>
      <c r="G830" t="str">
        <v>-</v>
      </c>
      <c r="H830">
        <f>VLOOKUP(D804,'Detail Balok'!$C$10:$BJ$110,60,FALSE)</f>
        <v>100</v>
      </c>
      <c r="J830">
        <f>(D805-2*F$5)/1000</f>
        <v>0.12</v>
      </c>
      <c r="K830" t="str">
        <v>+</v>
      </c>
      <c r="L830">
        <f>IF(D830=0,2*MAX(6*F830,75),(D830-1)*2*MAX(6*F830,75))/1000</f>
        <v>0.15</v>
      </c>
      <c r="M830" t="str">
        <v>=</v>
      </c>
      <c r="N830">
        <f>J830+L830</f>
        <v>0.27</v>
      </c>
      <c r="T830" t="str">
        <v>x</v>
      </c>
      <c r="U830">
        <f>0.006165*F830^2</f>
        <v>0</v>
      </c>
      <c r="V830" t="str">
        <v>x</v>
      </c>
      <c r="W830">
        <f>W826</f>
        <v>8</v>
      </c>
      <c r="X830" t="str">
        <v>x</v>
      </c>
      <c r="Y830">
        <f>D814</f>
        <v>0</v>
      </c>
      <c r="Z830" t="str">
        <v>=</v>
      </c>
      <c r="AA830">
        <f>N830*U830*W830*Y830</f>
        <v>0</v>
      </c>
    </row>
    <row r="834">
      <c r="A834" t="str">
        <f>A804</f>
        <v>Sloof</v>
      </c>
      <c r="B834">
        <f>B804+1</f>
        <v>27</v>
      </c>
      <c r="C834" t="str">
        <f>CONCATENATE(A834," no. ",B834)</f>
        <v>Sloof no. 27</v>
      </c>
      <c r="D834" t="str">
        <f>VLOOKUP(C834,'Data Panjang Balok'!$C$9:$N$424,2,FALSE)</f>
        <v>TB25-1</v>
      </c>
    </row>
    <row r="835">
      <c r="C835" t="str">
        <v>Dimensi</v>
      </c>
      <c r="D835">
        <f>VLOOKUP(D834,'Detail Balok'!$C$10:$AU$110,2,FALSE)</f>
        <v>200</v>
      </c>
      <c r="F835" t="str">
        <v>x</v>
      </c>
      <c r="G835">
        <f>VLOOKUP(D834,'Detail Balok'!$C$10:$AU$110,3,FALSE)</f>
        <v>500</v>
      </c>
    </row>
    <row r="836">
      <c r="C836" t="str">
        <v>Panjang as ke as</v>
      </c>
      <c r="D836">
        <f>VLOOKUP(C834,'Data Panjang Balok'!$C$9:$N$424,4,FALSE)</f>
        <v>7085</v>
      </c>
    </row>
    <row r="837">
      <c r="C837" t="str">
        <v>Panjang netto</v>
      </c>
      <c r="D837">
        <f>VLOOKUP(C834,'Data Panjang Balok'!$C$9:$N$424,7,FALSE)</f>
        <v>7085</v>
      </c>
    </row>
    <row r="838">
      <c r="C838" t="str">
        <v>Kolom / balok kiri</v>
      </c>
      <c r="D838">
        <f>VLOOKUP(C834,'Data Panjang Balok'!$C$9:$N$424,9,FALSE)</f>
        <v>0</v>
      </c>
    </row>
    <row r="839">
      <c r="C839" t="str">
        <v>Kolom / balok kanan</v>
      </c>
      <c r="D839">
        <f>VLOOKUP(C834,'Data Panjang Balok'!$C$9:$N$424,10,FALSE)</f>
        <v>0</v>
      </c>
    </row>
    <row r="840">
      <c r="C840" t="str">
        <v>Jumlah</v>
      </c>
      <c r="D840">
        <f>VLOOKUP(C834,'Data Panjang Balok'!$C$9:$N$424,3,FALSE)</f>
        <v>1</v>
      </c>
    </row>
    <row r="841">
      <c r="A841" t="str">
        <f>A834</f>
        <v>Sloof</v>
      </c>
      <c r="B841">
        <f>B834</f>
        <v>27</v>
      </c>
      <c r="C841" t="str">
        <v>Tul Atas Tumpuan</v>
      </c>
      <c r="D841">
        <f>VLOOKUP(D834,'Detail Balok'!$C$10:$AU$110,4,FALSE)</f>
        <v>3</v>
      </c>
      <c r="E841" t="str">
        <v>D</v>
      </c>
      <c r="F841">
        <f>VLOOKUP(D834,'Detail Balok'!$C$10:$AU$110,6,FALSE)</f>
        <v>16</v>
      </c>
      <c r="I841" t="str">
        <v>(</v>
      </c>
      <c r="J841">
        <f>+D836/4/1000</f>
        <v>1.77125</v>
      </c>
      <c r="K841" t="str">
        <v>+</v>
      </c>
      <c r="L841">
        <f>MAX(VLOOKUP(F841,N$6:P$15,3,FALSE)/1000,2/3*D838/1000)+F$16*F841/1000</f>
        <v>0.192</v>
      </c>
      <c r="M841" t="str">
        <v>=</v>
      </c>
      <c r="N841">
        <f>J841+L841</f>
        <v>1.96325</v>
      </c>
      <c r="O841" t="str">
        <v>+</v>
      </c>
      <c r="P841">
        <f>D841-D842</f>
        <v>0</v>
      </c>
      <c r="Q841" t="str">
        <v>x</v>
      </c>
      <c r="R841">
        <f>IF(P841&gt;0,$F$18*F841/1000,0)</f>
        <v>0</v>
      </c>
      <c r="S841" t="str">
        <v>)</v>
      </c>
      <c r="T841" t="str">
        <v>x</v>
      </c>
      <c r="U841">
        <f>0.006165*F841^2</f>
        <v>1.57824</v>
      </c>
      <c r="X841" t="str">
        <v>x</v>
      </c>
      <c r="Y841">
        <f>D840</f>
        <v>1</v>
      </c>
      <c r="Z841" t="str">
        <v>=</v>
      </c>
      <c r="AA841">
        <f>IF(AA844=0,(D841*N841+P841*R841)*U841*Y841,0)</f>
        <v>0</v>
      </c>
    </row>
    <row r="842">
      <c r="A842" t="str">
        <f>A834</f>
        <v>Sloof</v>
      </c>
      <c r="B842">
        <f>B834</f>
        <v>27</v>
      </c>
      <c r="C842" t="str">
        <v>Tul Atas Lapangan</v>
      </c>
      <c r="D842">
        <f>VLOOKUP(D834,'Detail Balok'!$C$10:$AU$110,7,FALSE)</f>
        <v>3</v>
      </c>
      <c r="E842" t="str">
        <v>D</v>
      </c>
      <c r="F842">
        <f>VLOOKUP(D834,'Detail Balok'!$C$10:$AU$110,9,FALSE)</f>
        <v>16</v>
      </c>
      <c r="I842" t="str">
        <v>(</v>
      </c>
      <c r="J842">
        <f>+D836/2/1000</f>
        <v>3.5425</v>
      </c>
      <c r="K842" t="str">
        <v>+</v>
      </c>
      <c r="M842" t="str">
        <v>=</v>
      </c>
      <c r="N842">
        <f>J842+L842</f>
        <v>3.5425</v>
      </c>
      <c r="O842" t="str">
        <v>+</v>
      </c>
      <c r="P842">
        <f>MAX(D842-D841,D842-D843)</f>
        <v>0</v>
      </c>
      <c r="Q842" t="str">
        <v>x</v>
      </c>
      <c r="R842">
        <f>IF(P842&gt;0,2*(1-2*$F$19-1/2)*D837/1000,0)</f>
        <v>0</v>
      </c>
      <c r="S842" t="str">
        <v>)</v>
      </c>
      <c r="T842" t="str">
        <v>x</v>
      </c>
      <c r="U842">
        <f>0.006165*F842^2</f>
        <v>1.57824</v>
      </c>
      <c r="X842" t="str">
        <v>x</v>
      </c>
      <c r="Y842">
        <f>D840</f>
        <v>1</v>
      </c>
      <c r="Z842" t="str">
        <v>=</v>
      </c>
      <c r="AA842">
        <f>IF(AA844=0,(D842*N842+P842*R842)*U842*Y842,0)</f>
        <v>0</v>
      </c>
    </row>
    <row r="843">
      <c r="A843" t="str">
        <f>A834</f>
        <v>Sloof</v>
      </c>
      <c r="B843">
        <f>B834</f>
        <v>27</v>
      </c>
      <c r="C843" t="str">
        <v>Tul Atas Tumpuan</v>
      </c>
      <c r="D843">
        <f>VLOOKUP(D834,'Detail Balok'!$C$10:$AU$110,10,FALSE)</f>
        <v>3</v>
      </c>
      <c r="E843" t="str">
        <v>D</v>
      </c>
      <c r="F843">
        <f>VLOOKUP(D834,'Detail Balok'!$C$10:$AU$110,12,FALSE)</f>
        <v>16</v>
      </c>
      <c r="I843" t="str">
        <v>(</v>
      </c>
      <c r="J843">
        <f>+D836/4/1000</f>
        <v>1.77125</v>
      </c>
      <c r="K843" t="str">
        <v>+</v>
      </c>
      <c r="L843">
        <f>MAX(VLOOKUP(F843,N$6:P$15,3,FALSE)/1000,2/3*D838/1000)+F$16*F843/1000</f>
        <v>0.192</v>
      </c>
      <c r="M843" t="str">
        <v>=</v>
      </c>
      <c r="N843">
        <f>J843+L843</f>
        <v>1.96325</v>
      </c>
      <c r="O843" t="str">
        <v>+</v>
      </c>
      <c r="P843">
        <f>D843-D842</f>
        <v>0</v>
      </c>
      <c r="Q843" t="str">
        <v>x</v>
      </c>
      <c r="R843">
        <f>IF(P843&gt;0,$F$18*F843/1000,0)</f>
        <v>0</v>
      </c>
      <c r="S843" t="str">
        <v>)</v>
      </c>
      <c r="T843" t="str">
        <v>x</v>
      </c>
      <c r="U843">
        <f>0.006165*F843^2</f>
        <v>1.57824</v>
      </c>
      <c r="X843" t="str">
        <v>x</v>
      </c>
      <c r="Y843">
        <f>D840</f>
        <v>1</v>
      </c>
      <c r="Z843" t="str">
        <v>=</v>
      </c>
      <c r="AA843">
        <f>IF(AA844=0,(D843*N843+P843*R843)*U843*Y843,0)</f>
        <v>0</v>
      </c>
    </row>
    <row r="844">
      <c r="A844" t="str">
        <f>A834</f>
        <v>Sloof</v>
      </c>
      <c r="B844">
        <f>B834</f>
        <v>27</v>
      </c>
      <c r="D844">
        <f>IF(AND(D841=D842,D842=D843,D841=D843),D841,0)</f>
        <v>3</v>
      </c>
      <c r="E844" t="str">
        <v>D</v>
      </c>
      <c r="F844">
        <f>IF(AND(F841=F842,F841=F843,F842=F843),F841,0)</f>
        <v>16</v>
      </c>
      <c r="L844" t="str">
        <v>Total panjang per balok</v>
      </c>
      <c r="M844" t="str">
        <v>=</v>
      </c>
      <c r="N844">
        <f>IF(AND(D841=D842,D841=D843,D842=D843,F841=F842,F841=F843,F842=F843),SUM(N841:N843),0)</f>
        <v>7.468999999999999</v>
      </c>
      <c r="O844" t="str">
        <v>+</v>
      </c>
      <c r="P844">
        <f>IF(N844&gt;12,ROUNDDOWN(N844/12,0),0)</f>
        <v>0</v>
      </c>
      <c r="Q844" t="str">
        <v>x</v>
      </c>
      <c r="R844">
        <f>IF(P844&gt;0,MAX(VLOOKUP(F844,$D$6:$G$15,3,FALSE),600),0)/1000</f>
        <v>0</v>
      </c>
      <c r="T844" t="str">
        <v>x</v>
      </c>
      <c r="U844">
        <f>U843</f>
        <v>1.57824</v>
      </c>
      <c r="V844" t="str">
        <v>x</v>
      </c>
      <c r="W844">
        <f>D844</f>
        <v>3</v>
      </c>
      <c r="X844" t="str">
        <v>x</v>
      </c>
      <c r="Y844">
        <f>Y843</f>
        <v>1</v>
      </c>
      <c r="Z844" t="str">
        <v>=</v>
      </c>
      <c r="AA844">
        <f>(N844+P844*R844/1000)*U844*W844*Y844</f>
        <v>35.36362368</v>
      </c>
    </row>
    <row r="846">
      <c r="A846" t="str">
        <f>A834</f>
        <v>Sloof</v>
      </c>
      <c r="B846">
        <f>B834</f>
        <v>27</v>
      </c>
      <c r="C846" t="str">
        <v>Tul Peminggang</v>
      </c>
      <c r="D846">
        <f>VLOOKUP(D834,'Detail Balok'!$C$10:$AU$110,13,FALSE)</f>
        <v>2</v>
      </c>
      <c r="E846" t="str">
        <v>D</v>
      </c>
      <c r="F846">
        <f>VLOOKUP(D834,'Detail Balok'!$C$10:$AU$110,15,FALSE)</f>
        <v>10</v>
      </c>
      <c r="J846">
        <f>+D836/1000</f>
        <v>7.085</v>
      </c>
      <c r="K846" t="str">
        <v>+</v>
      </c>
      <c r="L846">
        <f>2*$F$16*F846/1000</f>
        <v>0.24</v>
      </c>
      <c r="M846" t="str">
        <v>=</v>
      </c>
      <c r="N846">
        <f>J846+L846</f>
        <v>7.325</v>
      </c>
      <c r="O846" t="str">
        <v>+</v>
      </c>
      <c r="P846">
        <f>IF(N846&gt;12,ROUNDDOWN(N846/12,0),0)</f>
        <v>0</v>
      </c>
      <c r="Q846" t="str">
        <v>x</v>
      </c>
      <c r="R846">
        <f>IF(P846&gt;0,MAX(VLOOKUP(F846,$D$6:$G$15,3,FALSE),600),0)/1000</f>
        <v>0</v>
      </c>
      <c r="T846" t="str">
        <v>x</v>
      </c>
      <c r="U846">
        <f>0.006165*F846^2</f>
        <v>0.6165</v>
      </c>
      <c r="V846" t="str">
        <v>x</v>
      </c>
      <c r="W846">
        <f>+D846</f>
        <v>2</v>
      </c>
      <c r="X846" t="str">
        <v>x</v>
      </c>
      <c r="Y846">
        <f>D840</f>
        <v>1</v>
      </c>
      <c r="Z846" t="str">
        <v>=</v>
      </c>
      <c r="AA846">
        <f>(N846+P846*R846/1000)*U846*W846*Y846</f>
        <v>9.031725000000002</v>
      </c>
    </row>
    <row r="849">
      <c r="A849" t="str">
        <f>A834</f>
        <v>Sloof</v>
      </c>
      <c r="B849">
        <f>B834</f>
        <v>27</v>
      </c>
      <c r="C849" t="str">
        <v>Tul Bawah Tumpuan</v>
      </c>
      <c r="D849">
        <f>VLOOKUP(D834,'Detail Balok'!$C$10:$AU$110,22,FALSE)</f>
        <v>3</v>
      </c>
      <c r="E849" t="str">
        <v>D</v>
      </c>
      <c r="F849">
        <f>VLOOKUP(D834,'Detail Balok'!$C$10:$AU$110,24,FALSE)</f>
        <v>16</v>
      </c>
      <c r="I849" t="str">
        <v>(</v>
      </c>
      <c r="J849">
        <f>+J841</f>
        <v>1.77125</v>
      </c>
      <c r="K849" t="str">
        <v>+</v>
      </c>
      <c r="L849">
        <f>MAX(VLOOKUP(F849,N$6:P$15,3,FALSE)/1000,2/3*D839/1000)+F$16*F849/1000</f>
        <v>0.192</v>
      </c>
      <c r="M849" t="str">
        <v>=</v>
      </c>
      <c r="N849">
        <f>J849+L849</f>
        <v>1.96325</v>
      </c>
      <c r="O849" t="str">
        <v>+</v>
      </c>
      <c r="P849">
        <f>D849-D850</f>
        <v>0</v>
      </c>
      <c r="Q849" t="str">
        <v>x</v>
      </c>
      <c r="R849">
        <f>IF(P849&gt;0,$F$18*F849/1000,0)</f>
        <v>0</v>
      </c>
      <c r="S849" t="str">
        <v>)</v>
      </c>
      <c r="T849" t="str">
        <v>x</v>
      </c>
      <c r="U849">
        <f>0.006165*F849^2</f>
        <v>1.57824</v>
      </c>
      <c r="X849" t="str">
        <v>x</v>
      </c>
      <c r="Y849">
        <f>D840</f>
        <v>1</v>
      </c>
      <c r="Z849" t="str">
        <v>=</v>
      </c>
      <c r="AA849">
        <f>IF(AA852=0,(D849*N849+P849*R849)*U849*Y849,0)</f>
        <v>0</v>
      </c>
    </row>
    <row r="850">
      <c r="A850" t="str">
        <f>A834</f>
        <v>Sloof</v>
      </c>
      <c r="B850">
        <f>B834</f>
        <v>27</v>
      </c>
      <c r="C850" t="str">
        <v>Tul Bawah Lapangan</v>
      </c>
      <c r="D850">
        <f>VLOOKUP(D834,'Detail Balok'!$C$10:$AU$110,25,FALSE)</f>
        <v>3</v>
      </c>
      <c r="E850" t="str">
        <v>D</v>
      </c>
      <c r="F850">
        <f>VLOOKUP(D834,'Detail Balok'!$C$10:$AU$110,27,FALSE)</f>
        <v>16</v>
      </c>
      <c r="I850" t="str">
        <v>(</v>
      </c>
      <c r="J850">
        <f>+J842</f>
        <v>3.5425</v>
      </c>
      <c r="K850" t="str">
        <v>+</v>
      </c>
      <c r="M850" t="str">
        <v>=</v>
      </c>
      <c r="N850">
        <f>J850+L850</f>
        <v>3.5425</v>
      </c>
      <c r="O850" t="str">
        <v>+</v>
      </c>
      <c r="P850">
        <f>MAX(D850-D849,D850-D851)</f>
        <v>0</v>
      </c>
      <c r="Q850" t="str">
        <v>x</v>
      </c>
      <c r="R850">
        <f>IF(P850&gt;0,2*(1-2*$F$19-1/2)*D837/1000,0)</f>
        <v>0</v>
      </c>
      <c r="S850" t="str">
        <v>)</v>
      </c>
      <c r="T850" t="str">
        <v>x</v>
      </c>
      <c r="U850">
        <f>0.006165*F850^2</f>
        <v>1.57824</v>
      </c>
      <c r="X850" t="str">
        <v>x</v>
      </c>
      <c r="Y850">
        <f>D840</f>
        <v>1</v>
      </c>
      <c r="Z850" t="str">
        <v>=</v>
      </c>
      <c r="AA850">
        <f>IF(AA852=0,(D850*N850+P850*R850)*U850*Y850,0)</f>
        <v>0</v>
      </c>
    </row>
    <row r="851">
      <c r="A851" t="str">
        <f>A834</f>
        <v>Sloof</v>
      </c>
      <c r="B851">
        <f>B834</f>
        <v>27</v>
      </c>
      <c r="C851" t="str">
        <v>Tul Bawah Tumpuan</v>
      </c>
      <c r="D851">
        <f>VLOOKUP(D834,'Detail Balok'!$C$10:$AU$110,28,FALSE)</f>
        <v>3</v>
      </c>
      <c r="E851" t="str">
        <v>D</v>
      </c>
      <c r="F851">
        <f>VLOOKUP(D834,'Detail Balok'!$C$10:$AU$110,30,FALSE)</f>
        <v>16</v>
      </c>
      <c r="I851" t="str">
        <v>(</v>
      </c>
      <c r="J851">
        <f>+J843</f>
        <v>1.77125</v>
      </c>
      <c r="K851" t="str">
        <v>+</v>
      </c>
      <c r="L851">
        <f>MAX(VLOOKUP(F851,N$6:P$15,3,FALSE)/1000,2/3*D839/1000)+F$16*F851/1000</f>
        <v>0.192</v>
      </c>
      <c r="M851" t="str">
        <v>=</v>
      </c>
      <c r="N851">
        <f>J851+L851</f>
        <v>1.96325</v>
      </c>
      <c r="O851" t="str">
        <v>+</v>
      </c>
      <c r="P851">
        <f>D851-D850</f>
        <v>0</v>
      </c>
      <c r="Q851" t="str">
        <v>x</v>
      </c>
      <c r="R851">
        <f>IF(P851&gt;0,$F$18*F851/1000,0)</f>
        <v>0</v>
      </c>
      <c r="S851" t="str">
        <v>)</v>
      </c>
      <c r="T851" t="str">
        <v>x</v>
      </c>
      <c r="U851">
        <f>0.006165*F851^2</f>
        <v>1.57824</v>
      </c>
      <c r="X851" t="str">
        <v>x</v>
      </c>
      <c r="Y851">
        <f>D840</f>
        <v>1</v>
      </c>
      <c r="Z851" t="str">
        <v>=</v>
      </c>
      <c r="AA851">
        <f>IF(AA852=0,(D851*N851+P851*R851)*U851*Y851,0)</f>
        <v>0</v>
      </c>
    </row>
    <row r="852">
      <c r="A852" t="str">
        <f>A834</f>
        <v>Sloof</v>
      </c>
      <c r="B852">
        <f>B834</f>
        <v>27</v>
      </c>
      <c r="D852">
        <f>IF(AND(D849=D850,D850=D851,D849=D851),D849,0)</f>
        <v>3</v>
      </c>
      <c r="E852" t="str">
        <v>D</v>
      </c>
      <c r="F852">
        <f>IF(AND(F849=F850,F849=F851,F850=F851),F849,0)</f>
        <v>16</v>
      </c>
      <c r="L852" t="str">
        <v>Total panjang per balok</v>
      </c>
      <c r="M852" t="str">
        <v>=</v>
      </c>
      <c r="N852">
        <f>IF(AND(D849=D850,D849=D851,D850=D851,F849=F850,F849=F851,F850=F851),SUM(N849:N851),0)</f>
        <v>7.468999999999999</v>
      </c>
      <c r="O852" t="str">
        <v>+</v>
      </c>
      <c r="P852">
        <f>IF(N852&gt;12,ROUNDDOWN(N852/12,0),0)</f>
        <v>0</v>
      </c>
      <c r="Q852" t="str">
        <v>x</v>
      </c>
      <c r="R852">
        <f>IF(P852&gt;0,MAX(VLOOKUP(F852,$D$6:$G$15,3,FALSE),600),0)/1000</f>
        <v>0</v>
      </c>
      <c r="T852" t="str">
        <v>x</v>
      </c>
      <c r="U852">
        <f>U851</f>
        <v>1.57824</v>
      </c>
      <c r="V852" t="str">
        <v>x</v>
      </c>
      <c r="W852">
        <f>D852</f>
        <v>3</v>
      </c>
      <c r="X852" t="str">
        <v>x</v>
      </c>
      <c r="Y852">
        <f>Y851</f>
        <v>1</v>
      </c>
      <c r="Z852" t="str">
        <v>=</v>
      </c>
      <c r="AA852">
        <f>(N852+P852*R852/1000)*U852*W852*Y852</f>
        <v>35.36362368</v>
      </c>
    </row>
    <row r="854">
      <c r="A854" t="str">
        <f>A834</f>
        <v>Sloof</v>
      </c>
      <c r="B854">
        <f>B834</f>
        <v>27</v>
      </c>
      <c r="C854" t="str">
        <v>Sengkang Tumpuan</v>
      </c>
      <c r="D854">
        <f>VLOOKUP(D834,'Detail Balok'!$C$10:$AU$110,31,FALSE)</f>
        <v>0</v>
      </c>
      <c r="E854" t="str">
        <v>D</v>
      </c>
      <c r="F854">
        <f>VLOOKUP(D834,'Detail Balok'!$C$10:$AU$110,33,FALSE)</f>
        <v>10</v>
      </c>
      <c r="G854" t="str">
        <v>-</v>
      </c>
      <c r="H854">
        <f>VLOOKUP(D834,'Detail Balok'!$C$10:$AU$110,35,FALSE)</f>
        <v>200</v>
      </c>
      <c r="J854">
        <f>(IF(D854=0,(2*(D835+G835))-(F$5*8),IF(D854=3,(2*(D835+G835))-(F$5*8)+(G835-2*F$5),IF(D854=4,(2*(D835+G835))-(F$5*8)+2*(G835-2*F$5)))))/1000</f>
        <v>1.08</v>
      </c>
      <c r="K854" t="str">
        <v>+</v>
      </c>
      <c r="L854">
        <f>IF(D854=0,2*MAX(6*F854,75),(D854-1)*2*MAX(6*F854,75))/1000</f>
        <v>0.15</v>
      </c>
      <c r="M854" t="str">
        <v>=</v>
      </c>
      <c r="N854">
        <f>J854+L854</f>
        <v>1.23</v>
      </c>
      <c r="T854" t="str">
        <v>x</v>
      </c>
      <c r="U854">
        <f>0.006165*F854^2</f>
        <v>0.6165</v>
      </c>
      <c r="V854" t="str">
        <v>x</v>
      </c>
      <c r="W854">
        <f>IF(D837&gt;4*G835,ROUND(MAX(D837/4,2*G835)/H854,0)+1,ROUND(D837/H854,0)+1)</f>
        <v>10</v>
      </c>
      <c r="X854" t="str">
        <v>x</v>
      </c>
      <c r="Y854">
        <f>D840</f>
        <v>1</v>
      </c>
      <c r="Z854" t="str">
        <v>=</v>
      </c>
      <c r="AA854">
        <f>N854*U854*W854*Y854</f>
        <v>7.58295</v>
      </c>
    </row>
    <row r="855">
      <c r="A855" t="str">
        <f>A834</f>
        <v>Sloof</v>
      </c>
      <c r="B855">
        <f>B834</f>
        <v>27</v>
      </c>
      <c r="C855" t="str">
        <v>Sengkang Lapangan</v>
      </c>
      <c r="D855">
        <f>VLOOKUP(D834,'Detail Balok'!$C$10:$AU$110,36,FALSE)</f>
        <v>0</v>
      </c>
      <c r="E855" t="str">
        <v>D</v>
      </c>
      <c r="F855">
        <f>VLOOKUP(D834,'Detail Balok'!$C$10:$AU$110,38,FALSE)</f>
        <v>10</v>
      </c>
      <c r="G855" t="str">
        <v>-</v>
      </c>
      <c r="H855">
        <f>VLOOKUP(D834,'Detail Balok'!$C$10:$AU$110,40,FALSE)</f>
        <v>200</v>
      </c>
      <c r="J855">
        <f>(IF(D855=0,(2*(D835+G835))-(F$5*8),IF(D855=3,(2*(D835+G835))-(F$5*8)+(G835-2*F$5),IF(D855=4,(2*(D835+G835))-(F$5*8)+2*(G835-2*F$5)))))/1000</f>
        <v>1.08</v>
      </c>
      <c r="K855" t="str">
        <v>+</v>
      </c>
      <c r="L855">
        <f>IF(D855=0,2*MAX(6*F855,75),(D855-1)*2*MAX(6*F855,75))/1000</f>
        <v>0.15</v>
      </c>
      <c r="M855" t="str">
        <v>=</v>
      </c>
      <c r="N855">
        <f>J855+L855</f>
        <v>1.23</v>
      </c>
      <c r="T855" t="str">
        <v>x</v>
      </c>
      <c r="U855">
        <f>0.006165*F855^2</f>
        <v>0.6165</v>
      </c>
      <c r="V855" t="str">
        <v>x</v>
      </c>
      <c r="W855">
        <f>IF(D837-MAX(D837/4,2*G835)*2&gt;0,ROUND((D837-MAX(D837/4,2*G835)*2)/H855,0),0)</f>
        <v>18</v>
      </c>
      <c r="X855" t="str">
        <v>x</v>
      </c>
      <c r="Y855">
        <f>D840</f>
        <v>1</v>
      </c>
      <c r="Z855" t="str">
        <v>=</v>
      </c>
      <c r="AA855">
        <f>N855*U855*W855*Y855</f>
        <v>13.649310000000002</v>
      </c>
    </row>
    <row r="856">
      <c r="A856" t="str">
        <f>A834</f>
        <v>Sloof</v>
      </c>
      <c r="B856">
        <f>B834</f>
        <v>27</v>
      </c>
      <c r="C856" t="str">
        <v>Sengkang Tumpuan</v>
      </c>
      <c r="D856">
        <f>VLOOKUP(D834,'Detail Balok'!$C$10:$AU$110,41,FALSE)</f>
        <v>0</v>
      </c>
      <c r="E856" t="str">
        <v>D</v>
      </c>
      <c r="F856">
        <f>VLOOKUP(D834,'Detail Balok'!$C$10:$AU$110,43,FALSE)</f>
        <v>10</v>
      </c>
      <c r="G856" t="str">
        <v>-</v>
      </c>
      <c r="H856">
        <f>VLOOKUP(D834,'Detail Balok'!$C$10:$AU$110,45,FALSE)</f>
        <v>200</v>
      </c>
      <c r="J856">
        <f>(IF(D856=0,(2*(D835+G835))-(F$5*8),IF(D856=3,(2*(D835+G835))-(F$5*8)+(G835-2*F$5),IF(D856=4,(2*(D835+G835))-(F$5*8)+2*(G835-2*F$5)))))/1000</f>
        <v>1.08</v>
      </c>
      <c r="K856" t="str">
        <v>+</v>
      </c>
      <c r="L856">
        <f>IF(D856=0,2*MAX(6*F856,75),(D856-1)*2*MAX(6*F856,75))/1000</f>
        <v>0.15</v>
      </c>
      <c r="M856" t="str">
        <v>=</v>
      </c>
      <c r="N856">
        <f>J856+L856</f>
        <v>1.23</v>
      </c>
      <c r="T856" t="str">
        <v>x</v>
      </c>
      <c r="U856">
        <f>0.006165*F856^2</f>
        <v>0.6165</v>
      </c>
      <c r="V856" t="str">
        <v>x</v>
      </c>
      <c r="W856">
        <f>IF(D837&gt;4*G835,ROUND(MAX(D837/4,2*G835)/H856,0)+1,0)</f>
        <v>10</v>
      </c>
      <c r="X856" t="str">
        <v>x</v>
      </c>
      <c r="Y856">
        <f>D840</f>
        <v>1</v>
      </c>
      <c r="Z856" t="str">
        <v>=</v>
      </c>
      <c r="AA856">
        <f>N856*U856*W856*Y856</f>
        <v>7.58295</v>
      </c>
    </row>
    <row r="858">
      <c r="A858" t="str">
        <f>A834</f>
        <v>Sloof</v>
      </c>
      <c r="B858">
        <f>B834</f>
        <v>27</v>
      </c>
      <c r="C858" t="str">
        <v>Kait Horizontal Tump.</v>
      </c>
      <c r="D858">
        <f>VLOOKUP(D834,'Detail Balok'!$C$10:$BJ$110,46,FALSE)</f>
        <v>0</v>
      </c>
      <c r="E858" t="str">
        <v>D</v>
      </c>
      <c r="F858">
        <f>VLOOKUP(D834,'Detail Balok'!$C$10:$BJ$110,48,FALSE)</f>
        <v>0</v>
      </c>
      <c r="G858" t="str">
        <v>-</v>
      </c>
      <c r="H858">
        <f>VLOOKUP(D834,'Detail Balok'!$C$10:$BJ$110,50,FALSE)</f>
        <v>100</v>
      </c>
      <c r="J858">
        <f>(D835-2*F$5)/1000</f>
        <v>0.12</v>
      </c>
      <c r="K858" t="str">
        <v>+</v>
      </c>
      <c r="L858">
        <f>IF(D858=0,2*MAX(6*F858,75),(D858-1)*2*MAX(6*F858,75))/1000</f>
        <v>0.15</v>
      </c>
      <c r="M858" t="str">
        <v>=</v>
      </c>
      <c r="N858">
        <f>J858+L858</f>
        <v>0.27</v>
      </c>
      <c r="T858" t="str">
        <v>x</v>
      </c>
      <c r="U858">
        <f>0.006165*F858^2</f>
        <v>0</v>
      </c>
      <c r="V858" t="str">
        <v>x</v>
      </c>
      <c r="W858">
        <f>W854</f>
        <v>10</v>
      </c>
      <c r="X858" t="str">
        <v>x</v>
      </c>
      <c r="Y858">
        <f>D844</f>
        <v>3</v>
      </c>
      <c r="Z858" t="str">
        <v>=</v>
      </c>
      <c r="AA858">
        <f>N858*U858*W858*Y858</f>
        <v>0</v>
      </c>
    </row>
    <row r="859">
      <c r="A859" t="str">
        <f>A834</f>
        <v>Sloof</v>
      </c>
      <c r="B859">
        <f>B834</f>
        <v>27</v>
      </c>
      <c r="C859" t="str">
        <v>Kait Horizontal Lap.</v>
      </c>
      <c r="D859">
        <f>VLOOKUP(D834,'Detail Balok'!$C$10:$BJ$110,51,FALSE)</f>
        <v>0</v>
      </c>
      <c r="E859" t="str">
        <v>D</v>
      </c>
      <c r="F859">
        <f>VLOOKUP(D834,'Detail Balok'!$C$10:$BJ$110,53,FALSE)</f>
        <v>0</v>
      </c>
      <c r="G859" t="str">
        <v>-</v>
      </c>
      <c r="H859">
        <f>VLOOKUP(D834,'Detail Balok'!$C$10:$BJ$110,55,FALSE)</f>
        <v>100</v>
      </c>
      <c r="J859">
        <f>(D835-2*F$5)/1000</f>
        <v>0.12</v>
      </c>
      <c r="K859" t="str">
        <v>+</v>
      </c>
      <c r="L859">
        <f>IF(D859=0,2*MAX(6*F859,75),(D859-1)*2*MAX(6*F859,75))/1000</f>
        <v>0.15</v>
      </c>
      <c r="M859" t="str">
        <v>=</v>
      </c>
      <c r="N859">
        <f>J859+L859</f>
        <v>0.27</v>
      </c>
      <c r="T859" t="str">
        <v>x</v>
      </c>
      <c r="U859">
        <f>0.006165*F859^2</f>
        <v>0</v>
      </c>
      <c r="V859" t="str">
        <v>x</v>
      </c>
      <c r="W859">
        <f>W855</f>
        <v>18</v>
      </c>
      <c r="X859" t="str">
        <v>x</v>
      </c>
      <c r="Y859">
        <f>D844</f>
        <v>3</v>
      </c>
      <c r="Z859" t="str">
        <v>=</v>
      </c>
      <c r="AA859">
        <f>N859*U859*W859*Y859</f>
        <v>0</v>
      </c>
    </row>
    <row r="860">
      <c r="A860" t="str">
        <f>A834</f>
        <v>Sloof</v>
      </c>
      <c r="B860">
        <f>B834</f>
        <v>27</v>
      </c>
      <c r="C860" t="str">
        <v>Kait Horizontal Tump.</v>
      </c>
      <c r="D860">
        <f>VLOOKUP(D834,'Detail Balok'!$C$10:$BJ$110,56,FALSE)</f>
        <v>0</v>
      </c>
      <c r="E860" t="str">
        <v>D</v>
      </c>
      <c r="F860">
        <f>VLOOKUP(D834,'Detail Balok'!$C$10:$BJ$110,58,FALSE)</f>
        <v>0</v>
      </c>
      <c r="G860" t="str">
        <v>-</v>
      </c>
      <c r="H860">
        <f>VLOOKUP(D834,'Detail Balok'!$C$10:$BJ$110,60,FALSE)</f>
        <v>100</v>
      </c>
      <c r="J860">
        <f>(D835-2*F$5)/1000</f>
        <v>0.12</v>
      </c>
      <c r="K860" t="str">
        <v>+</v>
      </c>
      <c r="L860">
        <f>IF(D860=0,2*MAX(6*F860,75),(D860-1)*2*MAX(6*F860,75))/1000</f>
        <v>0.15</v>
      </c>
      <c r="M860" t="str">
        <v>=</v>
      </c>
      <c r="N860">
        <f>J860+L860</f>
        <v>0.27</v>
      </c>
      <c r="T860" t="str">
        <v>x</v>
      </c>
      <c r="U860">
        <f>0.006165*F860^2</f>
        <v>0</v>
      </c>
      <c r="V860" t="str">
        <v>x</v>
      </c>
      <c r="W860">
        <f>W856</f>
        <v>10</v>
      </c>
      <c r="X860" t="str">
        <v>x</v>
      </c>
      <c r="Y860">
        <f>D844</f>
        <v>3</v>
      </c>
      <c r="Z860" t="str">
        <v>=</v>
      </c>
      <c r="AA860">
        <f>N860*U860*W860*Y860</f>
        <v>0</v>
      </c>
    </row>
    <row r="864">
      <c r="A864" t="str">
        <f>A834</f>
        <v>Sloof</v>
      </c>
      <c r="B864">
        <f>B834+1</f>
        <v>28</v>
      </c>
      <c r="C864" t="str">
        <f>CONCATENATE(A864," no. ",B864)</f>
        <v>Sloof no. 28</v>
      </c>
      <c r="D864" t="str">
        <f>VLOOKUP(C864,'Data Panjang Balok'!$C$9:$N$424,2,FALSE)</f>
        <v>TB245-2</v>
      </c>
    </row>
    <row r="865">
      <c r="C865" t="str">
        <v>Dimensi</v>
      </c>
      <c r="D865">
        <f>VLOOKUP(D864,'Detail Balok'!$C$10:$AU$110,2,FALSE)</f>
        <v>200</v>
      </c>
      <c r="F865" t="str">
        <v>x</v>
      </c>
      <c r="G865">
        <f>VLOOKUP(D864,'Detail Balok'!$C$10:$AU$110,3,FALSE)</f>
        <v>450</v>
      </c>
    </row>
    <row r="866">
      <c r="C866" t="str">
        <v>Panjang as ke as</v>
      </c>
      <c r="D866">
        <f>VLOOKUP(C864,'Data Panjang Balok'!$C$9:$N$424,4,FALSE)</f>
        <v>7435</v>
      </c>
    </row>
    <row r="867">
      <c r="C867" t="str">
        <v>Panjang netto</v>
      </c>
      <c r="D867">
        <f>VLOOKUP(C864,'Data Panjang Balok'!$C$9:$N$424,7,FALSE)</f>
        <v>7435</v>
      </c>
    </row>
    <row r="868">
      <c r="C868" t="str">
        <v>Kolom / balok kiri</v>
      </c>
      <c r="D868">
        <f>VLOOKUP(C864,'Data Panjang Balok'!$C$9:$N$424,9,FALSE)</f>
        <v>0</v>
      </c>
    </row>
    <row r="869">
      <c r="C869" t="str">
        <v>Kolom / balok kanan</v>
      </c>
      <c r="D869">
        <f>VLOOKUP(C864,'Data Panjang Balok'!$C$9:$N$424,10,FALSE)</f>
        <v>0</v>
      </c>
    </row>
    <row r="870">
      <c r="C870" t="str">
        <v>Jumlah</v>
      </c>
      <c r="D870">
        <f>VLOOKUP(C864,'Data Panjang Balok'!$C$9:$N$424,3,FALSE)</f>
        <v>1</v>
      </c>
    </row>
    <row r="871">
      <c r="A871" t="str">
        <f>A864</f>
        <v>Sloof</v>
      </c>
      <c r="B871">
        <f>B864</f>
        <v>28</v>
      </c>
      <c r="C871" t="str">
        <v>Tul Atas Tumpuan</v>
      </c>
      <c r="D871">
        <f>VLOOKUP(D864,'Detail Balok'!$C$10:$AU$110,4,FALSE)</f>
        <v>4</v>
      </c>
      <c r="E871" t="str">
        <v>D</v>
      </c>
      <c r="F871">
        <f>VLOOKUP(D864,'Detail Balok'!$C$10:$AU$110,6,FALSE)</f>
        <v>13</v>
      </c>
      <c r="I871" t="str">
        <v>(</v>
      </c>
      <c r="J871">
        <f>+D866/4/1000</f>
        <v>1.85875</v>
      </c>
      <c r="K871" t="str">
        <v>+</v>
      </c>
      <c r="L871">
        <f>MAX(VLOOKUP(F871,N$6:P$15,3,FALSE)/1000,2/3*D868/1000)+F$16*F871/1000</f>
        <v>0.156</v>
      </c>
      <c r="M871" t="str">
        <v>=</v>
      </c>
      <c r="N871">
        <f>J871+L871</f>
        <v>2.01475</v>
      </c>
      <c r="O871" t="str">
        <v>+</v>
      </c>
      <c r="P871">
        <f>D871-D872</f>
        <v>2</v>
      </c>
      <c r="Q871" t="str">
        <v>x</v>
      </c>
      <c r="R871">
        <f>IF(P871&gt;0,$F$18*F871/1000,0)</f>
        <v>0.195</v>
      </c>
      <c r="S871" t="str">
        <v>)</v>
      </c>
      <c r="T871" t="str">
        <v>x</v>
      </c>
      <c r="U871">
        <f>0.006165*F871^2</f>
        <v>1.041885</v>
      </c>
      <c r="X871" t="str">
        <v>x</v>
      </c>
      <c r="Y871">
        <f>D870</f>
        <v>1</v>
      </c>
      <c r="Z871" t="str">
        <v>=</v>
      </c>
      <c r="AA871">
        <f>IF(AA874=0,(D871*N871+P871*R871)*U871*Y871,0)</f>
        <v>8.802886364999999</v>
      </c>
    </row>
    <row r="872">
      <c r="A872" t="str">
        <f>A864</f>
        <v>Sloof</v>
      </c>
      <c r="B872">
        <f>B864</f>
        <v>28</v>
      </c>
      <c r="C872" t="str">
        <v>Tul Atas Lapangan</v>
      </c>
      <c r="D872">
        <f>VLOOKUP(D864,'Detail Balok'!$C$10:$AU$110,7,FALSE)</f>
        <v>2</v>
      </c>
      <c r="E872" t="str">
        <v>D</v>
      </c>
      <c r="F872">
        <f>VLOOKUP(D864,'Detail Balok'!$C$10:$AU$110,9,FALSE)</f>
        <v>13</v>
      </c>
      <c r="I872" t="str">
        <v>(</v>
      </c>
      <c r="J872">
        <f>+D866/2/1000</f>
        <v>3.7175</v>
      </c>
      <c r="K872" t="str">
        <v>+</v>
      </c>
      <c r="M872" t="str">
        <v>=</v>
      </c>
      <c r="N872">
        <f>J872+L872</f>
        <v>3.7175</v>
      </c>
      <c r="O872" t="str">
        <v>+</v>
      </c>
      <c r="P872">
        <f>MAX(D872-D871,D872-D873)</f>
        <v>-2</v>
      </c>
      <c r="Q872" t="str">
        <v>x</v>
      </c>
      <c r="R872">
        <f>IF(P872&gt;0,2*(1-2*$F$19-1/2)*D867/1000,0)</f>
        <v>0</v>
      </c>
      <c r="S872" t="str">
        <v>)</v>
      </c>
      <c r="T872" t="str">
        <v>x</v>
      </c>
      <c r="U872">
        <f>0.006165*F872^2</f>
        <v>1.041885</v>
      </c>
      <c r="X872" t="str">
        <v>x</v>
      </c>
      <c r="Y872">
        <f>D870</f>
        <v>1</v>
      </c>
      <c r="Z872" t="str">
        <v>=</v>
      </c>
      <c r="AA872">
        <f>IF(AA874=0,(D872*N872+P872*R872)*U872*Y872,0)</f>
        <v>7.7464149749999995</v>
      </c>
    </row>
    <row r="873">
      <c r="A873" t="str">
        <f>A864</f>
        <v>Sloof</v>
      </c>
      <c r="B873">
        <f>B864</f>
        <v>28</v>
      </c>
      <c r="C873" t="str">
        <v>Tul Atas Tumpuan</v>
      </c>
      <c r="D873">
        <f>VLOOKUP(D864,'Detail Balok'!$C$10:$AU$110,10,FALSE)</f>
        <v>4</v>
      </c>
      <c r="E873" t="str">
        <v>D</v>
      </c>
      <c r="F873">
        <f>VLOOKUP(D864,'Detail Balok'!$C$10:$AU$110,12,FALSE)</f>
        <v>13</v>
      </c>
      <c r="I873" t="str">
        <v>(</v>
      </c>
      <c r="J873">
        <f>+D866/4/1000</f>
        <v>1.85875</v>
      </c>
      <c r="K873" t="str">
        <v>+</v>
      </c>
      <c r="L873">
        <f>MAX(VLOOKUP(F873,N$6:P$15,3,FALSE)/1000,2/3*D868/1000)+F$16*F873/1000</f>
        <v>0.156</v>
      </c>
      <c r="M873" t="str">
        <v>=</v>
      </c>
      <c r="N873">
        <f>J873+L873</f>
        <v>2.01475</v>
      </c>
      <c r="O873" t="str">
        <v>+</v>
      </c>
      <c r="P873">
        <f>D873-D872</f>
        <v>2</v>
      </c>
      <c r="Q873" t="str">
        <v>x</v>
      </c>
      <c r="R873">
        <f>IF(P873&gt;0,$F$18*F873/1000,0)</f>
        <v>0.195</v>
      </c>
      <c r="S873" t="str">
        <v>)</v>
      </c>
      <c r="T873" t="str">
        <v>x</v>
      </c>
      <c r="U873">
        <f>0.006165*F873^2</f>
        <v>1.041885</v>
      </c>
      <c r="X873" t="str">
        <v>x</v>
      </c>
      <c r="Y873">
        <f>D870</f>
        <v>1</v>
      </c>
      <c r="Z873" t="str">
        <v>=</v>
      </c>
      <c r="AA873">
        <f>IF(AA874=0,(D873*N873+P873*R873)*U873*Y873,0)</f>
        <v>8.802886364999999</v>
      </c>
    </row>
    <row r="874">
      <c r="A874" t="str">
        <f>A864</f>
        <v>Sloof</v>
      </c>
      <c r="B874">
        <f>B864</f>
        <v>28</v>
      </c>
      <c r="D874">
        <f>IF(AND(D871=D872,D872=D873,D871=D873),D871,0)</f>
        <v>0</v>
      </c>
      <c r="E874" t="str">
        <v>D</v>
      </c>
      <c r="F874">
        <f>IF(AND(F871=F872,F871=F873,F872=F873),F871,0)</f>
        <v>13</v>
      </c>
      <c r="L874" t="str">
        <v>Total panjang per balok</v>
      </c>
      <c r="M874" t="str">
        <v>=</v>
      </c>
      <c r="N874">
        <f>IF(AND(D871=D872,D871=D873,D872=D873,F871=F872,F871=F873,F872=F873),SUM(N871:N873),0)</f>
        <v>0</v>
      </c>
      <c r="O874" t="str">
        <v>+</v>
      </c>
      <c r="P874">
        <f>IF(N874&gt;12,ROUNDDOWN(N874/12,0),0)</f>
        <v>0</v>
      </c>
      <c r="Q874" t="str">
        <v>x</v>
      </c>
      <c r="R874">
        <f>IF(P874&gt;0,MAX(VLOOKUP(F874,$D$6:$G$15,3,FALSE),600),0)/1000</f>
        <v>0</v>
      </c>
      <c r="T874" t="str">
        <v>x</v>
      </c>
      <c r="U874">
        <f>U873</f>
        <v>1.041885</v>
      </c>
      <c r="V874" t="str">
        <v>x</v>
      </c>
      <c r="W874">
        <f>D874</f>
        <v>0</v>
      </c>
      <c r="X874" t="str">
        <v>x</v>
      </c>
      <c r="Y874">
        <f>Y873</f>
        <v>1</v>
      </c>
      <c r="Z874" t="str">
        <v>=</v>
      </c>
      <c r="AA874">
        <f>(N874+P874*R874/1000)*U874*W874*Y874</f>
        <v>0</v>
      </c>
    </row>
    <row r="876">
      <c r="A876" t="str">
        <f>A864</f>
        <v>Sloof</v>
      </c>
      <c r="B876">
        <f>B864</f>
        <v>28</v>
      </c>
      <c r="C876" t="str">
        <v>Tul Peminggang</v>
      </c>
      <c r="D876">
        <f>VLOOKUP(D864,'Detail Balok'!$C$10:$AU$110,13,FALSE)</f>
        <v>2</v>
      </c>
      <c r="E876" t="str">
        <v>D</v>
      </c>
      <c r="F876">
        <f>VLOOKUP(D864,'Detail Balok'!$C$10:$AU$110,15,FALSE)</f>
        <v>8</v>
      </c>
      <c r="J876">
        <f>+D866/1000</f>
        <v>7.435</v>
      </c>
      <c r="K876" t="str">
        <v>+</v>
      </c>
      <c r="L876">
        <f>2*$F$16*F876/1000</f>
        <v>0.192</v>
      </c>
      <c r="M876" t="str">
        <v>=</v>
      </c>
      <c r="N876">
        <f>J876+L876</f>
        <v>7.627</v>
      </c>
      <c r="O876" t="str">
        <v>+</v>
      </c>
      <c r="P876">
        <f>IF(N876&gt;12,ROUNDDOWN(N876/12,0),0)</f>
        <v>0</v>
      </c>
      <c r="Q876" t="str">
        <v>x</v>
      </c>
      <c r="R876">
        <f>IF(P876&gt;0,MAX(VLOOKUP(F876,$D$6:$G$15,3,FALSE),600),0)/1000</f>
        <v>0</v>
      </c>
      <c r="T876" t="str">
        <v>x</v>
      </c>
      <c r="U876">
        <f>0.006165*F876^2</f>
        <v>0.39456</v>
      </c>
      <c r="V876" t="str">
        <v>x</v>
      </c>
      <c r="W876">
        <f>+D876</f>
        <v>2</v>
      </c>
      <c r="X876" t="str">
        <v>x</v>
      </c>
      <c r="Y876">
        <f>D870</f>
        <v>1</v>
      </c>
      <c r="Z876" t="str">
        <v>=</v>
      </c>
      <c r="AA876">
        <f>(N876+P876*R876/1000)*U876*W876*Y876</f>
        <v>6.01861824</v>
      </c>
    </row>
    <row r="879">
      <c r="A879" t="str">
        <f>A864</f>
        <v>Sloof</v>
      </c>
      <c r="B879">
        <f>B864</f>
        <v>28</v>
      </c>
      <c r="C879" t="str">
        <v>Tul Bawah Tumpuan</v>
      </c>
      <c r="D879">
        <f>VLOOKUP(D864,'Detail Balok'!$C$10:$AU$110,22,FALSE)</f>
        <v>4</v>
      </c>
      <c r="E879" t="str">
        <v>D</v>
      </c>
      <c r="F879">
        <f>VLOOKUP(D864,'Detail Balok'!$C$10:$AU$110,24,FALSE)</f>
        <v>13</v>
      </c>
      <c r="I879" t="str">
        <v>(</v>
      </c>
      <c r="J879">
        <f>+J871</f>
        <v>1.85875</v>
      </c>
      <c r="K879" t="str">
        <v>+</v>
      </c>
      <c r="L879">
        <f>MAX(VLOOKUP(F879,N$6:P$15,3,FALSE)/1000,2/3*D869/1000)+F$16*F879/1000</f>
        <v>0.156</v>
      </c>
      <c r="M879" t="str">
        <v>=</v>
      </c>
      <c r="N879">
        <f>J879+L879</f>
        <v>2.01475</v>
      </c>
      <c r="O879" t="str">
        <v>+</v>
      </c>
      <c r="P879">
        <f>D879-D880</f>
        <v>0</v>
      </c>
      <c r="Q879" t="str">
        <v>x</v>
      </c>
      <c r="R879">
        <f>IF(P879&gt;0,$F$18*F879/1000,0)</f>
        <v>0</v>
      </c>
      <c r="S879" t="str">
        <v>)</v>
      </c>
      <c r="T879" t="str">
        <v>x</v>
      </c>
      <c r="U879">
        <f>0.006165*F879^2</f>
        <v>1.041885</v>
      </c>
      <c r="X879" t="str">
        <v>x</v>
      </c>
      <c r="Y879">
        <f>D870</f>
        <v>1</v>
      </c>
      <c r="Z879" t="str">
        <v>=</v>
      </c>
      <c r="AA879">
        <f>IF(AA882=0,(D879*N879+P879*R879)*U879*Y879,0)</f>
        <v>0</v>
      </c>
    </row>
    <row r="880">
      <c r="A880" t="str">
        <f>A864</f>
        <v>Sloof</v>
      </c>
      <c r="B880">
        <f>B864</f>
        <v>28</v>
      </c>
      <c r="C880" t="str">
        <v>Tul Bawah Lapangan</v>
      </c>
      <c r="D880">
        <f>VLOOKUP(D864,'Detail Balok'!$C$10:$AU$110,25,FALSE)</f>
        <v>4</v>
      </c>
      <c r="E880" t="str">
        <v>D</v>
      </c>
      <c r="F880">
        <f>VLOOKUP(D864,'Detail Balok'!$C$10:$AU$110,27,FALSE)</f>
        <v>13</v>
      </c>
      <c r="I880" t="str">
        <v>(</v>
      </c>
      <c r="J880">
        <f>+J872</f>
        <v>3.7175</v>
      </c>
      <c r="K880" t="str">
        <v>+</v>
      </c>
      <c r="M880" t="str">
        <v>=</v>
      </c>
      <c r="N880">
        <f>J880+L880</f>
        <v>3.7175</v>
      </c>
      <c r="O880" t="str">
        <v>+</v>
      </c>
      <c r="P880">
        <f>MAX(D880-D879,D880-D881)</f>
        <v>0</v>
      </c>
      <c r="Q880" t="str">
        <v>x</v>
      </c>
      <c r="R880">
        <f>IF(P880&gt;0,2*(1-2*$F$19-1/2)*D867/1000,0)</f>
        <v>0</v>
      </c>
      <c r="S880" t="str">
        <v>)</v>
      </c>
      <c r="T880" t="str">
        <v>x</v>
      </c>
      <c r="U880">
        <f>0.006165*F880^2</f>
        <v>1.041885</v>
      </c>
      <c r="X880" t="str">
        <v>x</v>
      </c>
      <c r="Y880">
        <f>D870</f>
        <v>1</v>
      </c>
      <c r="Z880" t="str">
        <v>=</v>
      </c>
      <c r="AA880">
        <f>IF(AA882=0,(D880*N880+P880*R880)*U880*Y880,0)</f>
        <v>0</v>
      </c>
    </row>
    <row r="881">
      <c r="A881" t="str">
        <f>A864</f>
        <v>Sloof</v>
      </c>
      <c r="B881">
        <f>B864</f>
        <v>28</v>
      </c>
      <c r="C881" t="str">
        <v>Tul Bawah Tumpuan</v>
      </c>
      <c r="D881">
        <f>VLOOKUP(D864,'Detail Balok'!$C$10:$AU$110,28,FALSE)</f>
        <v>4</v>
      </c>
      <c r="E881" t="str">
        <v>D</v>
      </c>
      <c r="F881">
        <f>VLOOKUP(D864,'Detail Balok'!$C$10:$AU$110,30,FALSE)</f>
        <v>13</v>
      </c>
      <c r="I881" t="str">
        <v>(</v>
      </c>
      <c r="J881">
        <f>+J873</f>
        <v>1.85875</v>
      </c>
      <c r="K881" t="str">
        <v>+</v>
      </c>
      <c r="L881">
        <f>MAX(VLOOKUP(F881,N$6:P$15,3,FALSE)/1000,2/3*D869/1000)+F$16*F881/1000</f>
        <v>0.156</v>
      </c>
      <c r="M881" t="str">
        <v>=</v>
      </c>
      <c r="N881">
        <f>J881+L881</f>
        <v>2.01475</v>
      </c>
      <c r="O881" t="str">
        <v>+</v>
      </c>
      <c r="P881">
        <f>D881-D880</f>
        <v>0</v>
      </c>
      <c r="Q881" t="str">
        <v>x</v>
      </c>
      <c r="R881">
        <f>IF(P881&gt;0,$F$18*F881/1000,0)</f>
        <v>0</v>
      </c>
      <c r="S881" t="str">
        <v>)</v>
      </c>
      <c r="T881" t="str">
        <v>x</v>
      </c>
      <c r="U881">
        <f>0.006165*F881^2</f>
        <v>1.041885</v>
      </c>
      <c r="X881" t="str">
        <v>x</v>
      </c>
      <c r="Y881">
        <f>D870</f>
        <v>1</v>
      </c>
      <c r="Z881" t="str">
        <v>=</v>
      </c>
      <c r="AA881">
        <f>IF(AA882=0,(D881*N881+P881*R881)*U881*Y881,0)</f>
        <v>0</v>
      </c>
    </row>
    <row r="882">
      <c r="A882" t="str">
        <f>A864</f>
        <v>Sloof</v>
      </c>
      <c r="B882">
        <f>B864</f>
        <v>28</v>
      </c>
      <c r="D882">
        <f>IF(AND(D879=D880,D880=D881,D879=D881),D879,0)</f>
        <v>4</v>
      </c>
      <c r="E882" t="str">
        <v>D</v>
      </c>
      <c r="F882">
        <f>IF(AND(F879=F880,F879=F881,F880=F881),F879,0)</f>
        <v>13</v>
      </c>
      <c r="L882" t="str">
        <v>Total panjang per balok</v>
      </c>
      <c r="M882" t="str">
        <v>=</v>
      </c>
      <c r="N882">
        <f>IF(AND(D879=D880,D879=D881,D880=D881,F879=F880,F879=F881,F880=F881),SUM(N879:N881),0)</f>
        <v>7.747</v>
      </c>
      <c r="O882" t="str">
        <v>+</v>
      </c>
      <c r="P882">
        <f>IF(N882&gt;12,ROUNDDOWN(N882/12,0),0)</f>
        <v>0</v>
      </c>
      <c r="Q882" t="str">
        <v>x</v>
      </c>
      <c r="R882">
        <f>IF(P882&gt;0,MAX(VLOOKUP(F882,$D$6:$G$15,3,FALSE),600),0)/1000</f>
        <v>0</v>
      </c>
      <c r="T882" t="str">
        <v>x</v>
      </c>
      <c r="U882">
        <f>U881</f>
        <v>1.041885</v>
      </c>
      <c r="V882" t="str">
        <v>x</v>
      </c>
      <c r="W882">
        <f>D882</f>
        <v>4</v>
      </c>
      <c r="X882" t="str">
        <v>x</v>
      </c>
      <c r="Y882">
        <f>Y881</f>
        <v>1</v>
      </c>
      <c r="Z882" t="str">
        <v>=</v>
      </c>
      <c r="AA882">
        <f>(N882+P882*R882/1000)*U882*W882*Y882</f>
        <v>32.28593238</v>
      </c>
    </row>
    <row r="884">
      <c r="A884" t="str">
        <f>A864</f>
        <v>Sloof</v>
      </c>
      <c r="B884">
        <f>B864</f>
        <v>28</v>
      </c>
      <c r="C884" t="str">
        <v>Sengkang Tumpuan</v>
      </c>
      <c r="D884">
        <f>VLOOKUP(D864,'Detail Balok'!$C$10:$AU$110,31,FALSE)</f>
        <v>0</v>
      </c>
      <c r="E884" t="str">
        <v>D</v>
      </c>
      <c r="F884">
        <f>VLOOKUP(D864,'Detail Balok'!$C$10:$AU$110,33,FALSE)</f>
        <v>8</v>
      </c>
      <c r="G884" t="str">
        <v>-</v>
      </c>
      <c r="H884">
        <f>VLOOKUP(D864,'Detail Balok'!$C$10:$AU$110,35,FALSE)</f>
        <v>125</v>
      </c>
      <c r="J884">
        <f>(IF(D884=0,(2*(D865+G865))-(F$5*8),IF(D884=3,(2*(D865+G865))-(F$5*8)+(G865-2*F$5),IF(D884=4,(2*(D865+G865))-(F$5*8)+2*(G865-2*F$5)))))/1000</f>
        <v>0.98</v>
      </c>
      <c r="K884" t="str">
        <v>+</v>
      </c>
      <c r="L884">
        <f>IF(D884=0,2*MAX(6*F884,75),(D884-1)*2*MAX(6*F884,75))/1000</f>
        <v>0.15</v>
      </c>
      <c r="M884" t="str">
        <v>=</v>
      </c>
      <c r="N884">
        <f>J884+L884</f>
        <v>1.13</v>
      </c>
      <c r="T884" t="str">
        <v>x</v>
      </c>
      <c r="U884">
        <f>0.006165*F884^2</f>
        <v>0.39456</v>
      </c>
      <c r="V884" t="str">
        <v>x</v>
      </c>
      <c r="W884">
        <f>IF(D867&gt;4*G865,ROUND(MAX(D867/4,2*G865)/H884,0)+1,ROUND(D867/H884,0)+1)</f>
        <v>16</v>
      </c>
      <c r="X884" t="str">
        <v>x</v>
      </c>
      <c r="Y884">
        <f>D870</f>
        <v>1</v>
      </c>
      <c r="Z884" t="str">
        <v>=</v>
      </c>
      <c r="AA884">
        <f>N884*U884*W884*Y884</f>
        <v>7.1336448</v>
      </c>
    </row>
    <row r="885">
      <c r="A885" t="str">
        <f>A864</f>
        <v>Sloof</v>
      </c>
      <c r="B885">
        <f>B864</f>
        <v>28</v>
      </c>
      <c r="C885" t="str">
        <v>Sengkang Lapangan</v>
      </c>
      <c r="D885">
        <f>VLOOKUP(D864,'Detail Balok'!$C$10:$AU$110,36,FALSE)</f>
        <v>0</v>
      </c>
      <c r="E885" t="str">
        <v>D</v>
      </c>
      <c r="F885">
        <f>VLOOKUP(D864,'Detail Balok'!$C$10:$AU$110,38,FALSE)</f>
        <v>8</v>
      </c>
      <c r="G885" t="str">
        <v>-</v>
      </c>
      <c r="H885">
        <f>VLOOKUP(D864,'Detail Balok'!$C$10:$AU$110,40,FALSE)</f>
        <v>150</v>
      </c>
      <c r="J885">
        <f>(IF(D885=0,(2*(D865+G865))-(F$5*8),IF(D885=3,(2*(D865+G865))-(F$5*8)+(G865-2*F$5),IF(D885=4,(2*(D865+G865))-(F$5*8)+2*(G865-2*F$5)))))/1000</f>
        <v>0.98</v>
      </c>
      <c r="K885" t="str">
        <v>+</v>
      </c>
      <c r="L885">
        <f>IF(D885=0,2*MAX(6*F885,75),(D885-1)*2*MAX(6*F885,75))/1000</f>
        <v>0.15</v>
      </c>
      <c r="M885" t="str">
        <v>=</v>
      </c>
      <c r="N885">
        <f>J885+L885</f>
        <v>1.13</v>
      </c>
      <c r="T885" t="str">
        <v>x</v>
      </c>
      <c r="U885">
        <f>0.006165*F885^2</f>
        <v>0.39456</v>
      </c>
      <c r="V885" t="str">
        <v>x</v>
      </c>
      <c r="W885">
        <f>IF(D867-MAX(D867/4,2*G865)*2&gt;0,ROUND((D867-MAX(D867/4,2*G865)*2)/H885,0),0)</f>
        <v>25</v>
      </c>
      <c r="X885" t="str">
        <v>x</v>
      </c>
      <c r="Y885">
        <f>D870</f>
        <v>1</v>
      </c>
      <c r="Z885" t="str">
        <v>=</v>
      </c>
      <c r="AA885">
        <f>N885*U885*W885*Y885</f>
        <v>11.14632</v>
      </c>
    </row>
    <row r="886">
      <c r="A886" t="str">
        <f>A864</f>
        <v>Sloof</v>
      </c>
      <c r="B886">
        <f>B864</f>
        <v>28</v>
      </c>
      <c r="C886" t="str">
        <v>Sengkang Tumpuan</v>
      </c>
      <c r="D886">
        <f>VLOOKUP(D864,'Detail Balok'!$C$10:$AU$110,41,FALSE)</f>
        <v>0</v>
      </c>
      <c r="E886" t="str">
        <v>D</v>
      </c>
      <c r="F886">
        <f>VLOOKUP(D864,'Detail Balok'!$C$10:$AU$110,43,FALSE)</f>
        <v>8</v>
      </c>
      <c r="G886" t="str">
        <v>-</v>
      </c>
      <c r="H886">
        <f>VLOOKUP(D864,'Detail Balok'!$C$10:$AU$110,45,FALSE)</f>
        <v>125</v>
      </c>
      <c r="J886">
        <f>(IF(D886=0,(2*(D865+G865))-(F$5*8),IF(D886=3,(2*(D865+G865))-(F$5*8)+(G865-2*F$5),IF(D886=4,(2*(D865+G865))-(F$5*8)+2*(G865-2*F$5)))))/1000</f>
        <v>0.98</v>
      </c>
      <c r="K886" t="str">
        <v>+</v>
      </c>
      <c r="L886">
        <f>IF(D886=0,2*MAX(6*F886,75),(D886-1)*2*MAX(6*F886,75))/1000</f>
        <v>0.15</v>
      </c>
      <c r="M886" t="str">
        <v>=</v>
      </c>
      <c r="N886">
        <f>J886+L886</f>
        <v>1.13</v>
      </c>
      <c r="T886" t="str">
        <v>x</v>
      </c>
      <c r="U886">
        <f>0.006165*F886^2</f>
        <v>0.39456</v>
      </c>
      <c r="V886" t="str">
        <v>x</v>
      </c>
      <c r="W886">
        <f>IF(D867&gt;4*G865,ROUND(MAX(D867/4,2*G865)/H886,0)+1,0)</f>
        <v>16</v>
      </c>
      <c r="X886" t="str">
        <v>x</v>
      </c>
      <c r="Y886">
        <f>D870</f>
        <v>1</v>
      </c>
      <c r="Z886" t="str">
        <v>=</v>
      </c>
      <c r="AA886">
        <f>N886*U886*W886*Y886</f>
        <v>7.1336448</v>
      </c>
    </row>
    <row r="888">
      <c r="A888" t="str">
        <f>A864</f>
        <v>Sloof</v>
      </c>
      <c r="B888">
        <f>B864</f>
        <v>28</v>
      </c>
      <c r="C888" t="str">
        <v>Kait Horizontal Tump.</v>
      </c>
      <c r="D888">
        <f>VLOOKUP(D864,'Detail Balok'!$C$10:$BJ$110,46,FALSE)</f>
        <v>0</v>
      </c>
      <c r="E888" t="str">
        <v>D</v>
      </c>
      <c r="F888">
        <f>VLOOKUP(D864,'Detail Balok'!$C$10:$BJ$110,48,FALSE)</f>
        <v>0</v>
      </c>
      <c r="G888" t="str">
        <v>-</v>
      </c>
      <c r="H888">
        <f>VLOOKUP(D864,'Detail Balok'!$C$10:$BJ$110,50,FALSE)</f>
        <v>100</v>
      </c>
      <c r="J888">
        <f>(D865-2*F$5)/1000</f>
        <v>0.12</v>
      </c>
      <c r="K888" t="str">
        <v>+</v>
      </c>
      <c r="L888">
        <f>IF(D888=0,2*MAX(6*F888,75),(D888-1)*2*MAX(6*F888,75))/1000</f>
        <v>0.15</v>
      </c>
      <c r="M888" t="str">
        <v>=</v>
      </c>
      <c r="N888">
        <f>J888+L888</f>
        <v>0.27</v>
      </c>
      <c r="T888" t="str">
        <v>x</v>
      </c>
      <c r="U888">
        <f>0.006165*F888^2</f>
        <v>0</v>
      </c>
      <c r="V888" t="str">
        <v>x</v>
      </c>
      <c r="W888">
        <f>W884</f>
        <v>16</v>
      </c>
      <c r="X888" t="str">
        <v>x</v>
      </c>
      <c r="Y888">
        <f>D874</f>
        <v>0</v>
      </c>
      <c r="Z888" t="str">
        <v>=</v>
      </c>
      <c r="AA888">
        <f>N888*U888*W888*Y888</f>
        <v>0</v>
      </c>
    </row>
    <row r="889">
      <c r="A889" t="str">
        <f>A864</f>
        <v>Sloof</v>
      </c>
      <c r="B889">
        <f>B864</f>
        <v>28</v>
      </c>
      <c r="C889" t="str">
        <v>Kait Horizontal Lap.</v>
      </c>
      <c r="D889">
        <f>VLOOKUP(D864,'Detail Balok'!$C$10:$BJ$110,51,FALSE)</f>
        <v>0</v>
      </c>
      <c r="E889" t="str">
        <v>D</v>
      </c>
      <c r="F889">
        <f>VLOOKUP(D864,'Detail Balok'!$C$10:$BJ$110,53,FALSE)</f>
        <v>0</v>
      </c>
      <c r="G889" t="str">
        <v>-</v>
      </c>
      <c r="H889">
        <f>VLOOKUP(D864,'Detail Balok'!$C$10:$BJ$110,55,FALSE)</f>
        <v>100</v>
      </c>
      <c r="J889">
        <f>(D865-2*F$5)/1000</f>
        <v>0.12</v>
      </c>
      <c r="K889" t="str">
        <v>+</v>
      </c>
      <c r="L889">
        <f>IF(D889=0,2*MAX(6*F889,75),(D889-1)*2*MAX(6*F889,75))/1000</f>
        <v>0.15</v>
      </c>
      <c r="M889" t="str">
        <v>=</v>
      </c>
      <c r="N889">
        <f>J889+L889</f>
        <v>0.27</v>
      </c>
      <c r="T889" t="str">
        <v>x</v>
      </c>
      <c r="U889">
        <f>0.006165*F889^2</f>
        <v>0</v>
      </c>
      <c r="V889" t="str">
        <v>x</v>
      </c>
      <c r="W889">
        <f>W885</f>
        <v>25</v>
      </c>
      <c r="X889" t="str">
        <v>x</v>
      </c>
      <c r="Y889">
        <f>D874</f>
        <v>0</v>
      </c>
      <c r="Z889" t="str">
        <v>=</v>
      </c>
      <c r="AA889">
        <f>N889*U889*W889*Y889</f>
        <v>0</v>
      </c>
    </row>
    <row r="890">
      <c r="A890" t="str">
        <f>A864</f>
        <v>Sloof</v>
      </c>
      <c r="B890">
        <f>B864</f>
        <v>28</v>
      </c>
      <c r="C890" t="str">
        <v>Kait Horizontal Tump.</v>
      </c>
      <c r="D890">
        <f>VLOOKUP(D864,'Detail Balok'!$C$10:$BJ$110,56,FALSE)</f>
        <v>0</v>
      </c>
      <c r="E890" t="str">
        <v>D</v>
      </c>
      <c r="F890">
        <f>VLOOKUP(D864,'Detail Balok'!$C$10:$BJ$110,58,FALSE)</f>
        <v>0</v>
      </c>
      <c r="G890" t="str">
        <v>-</v>
      </c>
      <c r="H890">
        <f>VLOOKUP(D864,'Detail Balok'!$C$10:$BJ$110,60,FALSE)</f>
        <v>100</v>
      </c>
      <c r="J890">
        <f>(D865-2*F$5)/1000</f>
        <v>0.12</v>
      </c>
      <c r="K890" t="str">
        <v>+</v>
      </c>
      <c r="L890">
        <f>IF(D890=0,2*MAX(6*F890,75),(D890-1)*2*MAX(6*F890,75))/1000</f>
        <v>0.15</v>
      </c>
      <c r="M890" t="str">
        <v>=</v>
      </c>
      <c r="N890">
        <f>J890+L890</f>
        <v>0.27</v>
      </c>
      <c r="T890" t="str">
        <v>x</v>
      </c>
      <c r="U890">
        <f>0.006165*F890^2</f>
        <v>0</v>
      </c>
      <c r="V890" t="str">
        <v>x</v>
      </c>
      <c r="W890">
        <f>W886</f>
        <v>16</v>
      </c>
      <c r="X890" t="str">
        <v>x</v>
      </c>
      <c r="Y890">
        <f>D874</f>
        <v>0</v>
      </c>
      <c r="Z890" t="str">
        <v>=</v>
      </c>
      <c r="AA890">
        <f>N890*U890*W890*Y890</f>
        <v>0</v>
      </c>
    </row>
    <row r="894">
      <c r="A894" t="str">
        <f>A864</f>
        <v>Sloof</v>
      </c>
      <c r="B894">
        <f>B864+1</f>
        <v>29</v>
      </c>
      <c r="C894" t="str">
        <f>CONCATENATE(A894," no. ",B894)</f>
        <v>Sloof no. 29</v>
      </c>
      <c r="D894" t="str">
        <f>VLOOKUP(C894,'Data Panjang Balok'!$C$9:$N$424,2,FALSE)</f>
        <v>TB47-1</v>
      </c>
    </row>
    <row r="895">
      <c r="C895" t="str">
        <v>Dimensi</v>
      </c>
      <c r="D895">
        <f>VLOOKUP(D894,'Detail Balok'!$C$10:$AU$110,2,FALSE)</f>
        <v>400</v>
      </c>
      <c r="F895" t="str">
        <v>x</v>
      </c>
      <c r="G895">
        <f>VLOOKUP(D894,'Detail Balok'!$C$10:$AU$110,3,FALSE)</f>
        <v>700</v>
      </c>
    </row>
    <row r="896">
      <c r="C896" t="str">
        <v>Panjang as ke as</v>
      </c>
      <c r="D896">
        <f>VLOOKUP(C894,'Data Panjang Balok'!$C$9:$N$424,4,FALSE)</f>
        <v>3665</v>
      </c>
    </row>
    <row r="897">
      <c r="C897" t="str">
        <v>Panjang netto</v>
      </c>
      <c r="D897">
        <f>VLOOKUP(C894,'Data Panjang Balok'!$C$9:$N$424,7,FALSE)</f>
        <v>3665</v>
      </c>
    </row>
    <row r="898">
      <c r="C898" t="str">
        <v>Kolom / balok kiri</v>
      </c>
      <c r="D898">
        <f>VLOOKUP(C894,'Data Panjang Balok'!$C$9:$N$424,9,FALSE)</f>
        <v>0</v>
      </c>
    </row>
    <row r="899">
      <c r="C899" t="str">
        <v>Kolom / balok kanan</v>
      </c>
      <c r="D899">
        <f>VLOOKUP(C894,'Data Panjang Balok'!$C$9:$N$424,10,FALSE)</f>
        <v>0</v>
      </c>
    </row>
    <row r="900">
      <c r="C900" t="str">
        <v>Jumlah</v>
      </c>
      <c r="D900">
        <f>VLOOKUP(C894,'Data Panjang Balok'!$C$9:$N$424,3,FALSE)</f>
        <v>1</v>
      </c>
    </row>
    <row r="901">
      <c r="A901" t="str">
        <f>A894</f>
        <v>Sloof</v>
      </c>
      <c r="B901">
        <f>B894</f>
        <v>29</v>
      </c>
      <c r="C901" t="str">
        <v>Tul Atas Tumpuan</v>
      </c>
      <c r="D901">
        <f>VLOOKUP(D894,'Detail Balok'!$C$10:$AU$110,4,FALSE)</f>
        <v>9</v>
      </c>
      <c r="E901" t="str">
        <v>D</v>
      </c>
      <c r="F901">
        <f>VLOOKUP(D894,'Detail Balok'!$C$10:$AU$110,6,FALSE)</f>
        <v>22</v>
      </c>
      <c r="I901" t="str">
        <v>(</v>
      </c>
      <c r="J901">
        <f>+D896/4/1000</f>
        <v>0.91625</v>
      </c>
      <c r="K901" t="str">
        <v>+</v>
      </c>
      <c r="L901">
        <f>MAX(VLOOKUP(F901,N$6:P$15,3,FALSE)/1000,2/3*D898/1000)+F$16*F901/1000</f>
        <v>0.264</v>
      </c>
      <c r="M901" t="str">
        <v>=</v>
      </c>
      <c r="N901">
        <f>J901+L901</f>
        <v>1.18025</v>
      </c>
      <c r="O901" t="str">
        <v>+</v>
      </c>
      <c r="P901">
        <f>D901-D902</f>
        <v>0</v>
      </c>
      <c r="Q901" t="str">
        <v>x</v>
      </c>
      <c r="R901">
        <f>IF(P901&gt;0,$F$18*F901/1000,0)</f>
        <v>0</v>
      </c>
      <c r="S901" t="str">
        <v>)</v>
      </c>
      <c r="T901" t="str">
        <v>x</v>
      </c>
      <c r="U901">
        <f>0.006165*F901^2</f>
        <v>2.98386</v>
      </c>
      <c r="X901" t="str">
        <v>x</v>
      </c>
      <c r="Y901">
        <f>D900</f>
        <v>1</v>
      </c>
      <c r="Z901" t="str">
        <v>=</v>
      </c>
      <c r="AA901">
        <f>IF(AA904=0,(D901*N901+P901*R901)*U901*Y901,0)</f>
        <v>0</v>
      </c>
    </row>
    <row r="902">
      <c r="A902" t="str">
        <f>A894</f>
        <v>Sloof</v>
      </c>
      <c r="B902">
        <f>B894</f>
        <v>29</v>
      </c>
      <c r="C902" t="str">
        <v>Tul Atas Lapangan</v>
      </c>
      <c r="D902">
        <f>VLOOKUP(D894,'Detail Balok'!$C$10:$AU$110,7,FALSE)</f>
        <v>9</v>
      </c>
      <c r="E902" t="str">
        <v>D</v>
      </c>
      <c r="F902">
        <f>VLOOKUP(D894,'Detail Balok'!$C$10:$AU$110,9,FALSE)</f>
        <v>22</v>
      </c>
      <c r="I902" t="str">
        <v>(</v>
      </c>
      <c r="J902">
        <f>+D896/2/1000</f>
        <v>1.8325</v>
      </c>
      <c r="K902" t="str">
        <v>+</v>
      </c>
      <c r="M902" t="str">
        <v>=</v>
      </c>
      <c r="N902">
        <f>J902+L902</f>
        <v>1.8325</v>
      </c>
      <c r="O902" t="str">
        <v>+</v>
      </c>
      <c r="P902">
        <f>MAX(D902-D901,D902-D903)</f>
        <v>0</v>
      </c>
      <c r="Q902" t="str">
        <v>x</v>
      </c>
      <c r="R902">
        <f>IF(P902&gt;0,2*(1-2*$F$19-1/2)*D897/1000,0)</f>
        <v>0</v>
      </c>
      <c r="S902" t="str">
        <v>)</v>
      </c>
      <c r="T902" t="str">
        <v>x</v>
      </c>
      <c r="U902">
        <f>0.006165*F902^2</f>
        <v>2.98386</v>
      </c>
      <c r="X902" t="str">
        <v>x</v>
      </c>
      <c r="Y902">
        <f>D900</f>
        <v>1</v>
      </c>
      <c r="Z902" t="str">
        <v>=</v>
      </c>
      <c r="AA902">
        <f>IF(AA904=0,(D902*N902+P902*R902)*U902*Y902,0)</f>
        <v>0</v>
      </c>
    </row>
    <row r="903">
      <c r="A903" t="str">
        <f>A894</f>
        <v>Sloof</v>
      </c>
      <c r="B903">
        <f>B894</f>
        <v>29</v>
      </c>
      <c r="C903" t="str">
        <v>Tul Atas Tumpuan</v>
      </c>
      <c r="D903">
        <f>VLOOKUP(D894,'Detail Balok'!$C$10:$AU$110,10,FALSE)</f>
        <v>9</v>
      </c>
      <c r="E903" t="str">
        <v>D</v>
      </c>
      <c r="F903">
        <f>VLOOKUP(D894,'Detail Balok'!$C$10:$AU$110,12,FALSE)</f>
        <v>22</v>
      </c>
      <c r="I903" t="str">
        <v>(</v>
      </c>
      <c r="J903">
        <f>+D896/4/1000</f>
        <v>0.91625</v>
      </c>
      <c r="K903" t="str">
        <v>+</v>
      </c>
      <c r="L903">
        <f>MAX(VLOOKUP(F903,N$6:P$15,3,FALSE)/1000,2/3*D898/1000)+F$16*F903/1000</f>
        <v>0.264</v>
      </c>
      <c r="M903" t="str">
        <v>=</v>
      </c>
      <c r="N903">
        <f>J903+L903</f>
        <v>1.18025</v>
      </c>
      <c r="O903" t="str">
        <v>+</v>
      </c>
      <c r="P903">
        <f>D903-D902</f>
        <v>0</v>
      </c>
      <c r="Q903" t="str">
        <v>x</v>
      </c>
      <c r="R903">
        <f>IF(P903&gt;0,$F$18*F903/1000,0)</f>
        <v>0</v>
      </c>
      <c r="S903" t="str">
        <v>)</v>
      </c>
      <c r="T903" t="str">
        <v>x</v>
      </c>
      <c r="U903">
        <f>0.006165*F903^2</f>
        <v>2.98386</v>
      </c>
      <c r="X903" t="str">
        <v>x</v>
      </c>
      <c r="Y903">
        <f>D900</f>
        <v>1</v>
      </c>
      <c r="Z903" t="str">
        <v>=</v>
      </c>
      <c r="AA903">
        <f>IF(AA904=0,(D903*N903+P903*R903)*U903*Y903,0)</f>
        <v>0</v>
      </c>
    </row>
    <row r="904">
      <c r="A904" t="str">
        <f>A894</f>
        <v>Sloof</v>
      </c>
      <c r="B904">
        <f>B894</f>
        <v>29</v>
      </c>
      <c r="D904">
        <f>IF(AND(D901=D902,D902=D903,D901=D903),D901,0)</f>
        <v>9</v>
      </c>
      <c r="E904" t="str">
        <v>D</v>
      </c>
      <c r="F904">
        <f>IF(AND(F901=F902,F901=F903,F902=F903),F901,0)</f>
        <v>22</v>
      </c>
      <c r="L904" t="str">
        <v>Total panjang per balok</v>
      </c>
      <c r="M904" t="str">
        <v>=</v>
      </c>
      <c r="N904">
        <f>IF(AND(D901=D902,D901=D903,D902=D903,F901=F902,F901=F903,F902=F903),SUM(N901:N903),0)</f>
        <v>4.193</v>
      </c>
      <c r="O904" t="str">
        <v>+</v>
      </c>
      <c r="P904">
        <f>IF(N904&gt;12,ROUNDDOWN(N904/12,0),0)</f>
        <v>0</v>
      </c>
      <c r="Q904" t="str">
        <v>x</v>
      </c>
      <c r="R904">
        <f>IF(P904&gt;0,MAX(VLOOKUP(F904,$D$6:$G$15,3,FALSE),600),0)/1000</f>
        <v>0</v>
      </c>
      <c r="T904" t="str">
        <v>x</v>
      </c>
      <c r="U904">
        <f>U903</f>
        <v>2.98386</v>
      </c>
      <c r="V904" t="str">
        <v>x</v>
      </c>
      <c r="W904">
        <f>D904</f>
        <v>9</v>
      </c>
      <c r="X904" t="str">
        <v>x</v>
      </c>
      <c r="Y904">
        <f>Y903</f>
        <v>1</v>
      </c>
      <c r="Z904" t="str">
        <v>=</v>
      </c>
      <c r="AA904">
        <f>(N904+P904*R904/1000)*U904*W904*Y904</f>
        <v>112.60192482</v>
      </c>
    </row>
    <row r="906">
      <c r="A906" t="str">
        <f>A894</f>
        <v>Sloof</v>
      </c>
      <c r="B906">
        <f>B894</f>
        <v>29</v>
      </c>
      <c r="C906" t="str">
        <v>Tul Peminggang</v>
      </c>
      <c r="D906">
        <f>VLOOKUP(D894,'Detail Balok'!$C$10:$AU$110,13,FALSE)</f>
        <v>2</v>
      </c>
      <c r="E906" t="str">
        <v>D</v>
      </c>
      <c r="F906">
        <f>VLOOKUP(D894,'Detail Balok'!$C$10:$AU$110,15,FALSE)</f>
        <v>10</v>
      </c>
      <c r="J906">
        <f>+D896/1000</f>
        <v>3.665</v>
      </c>
      <c r="K906" t="str">
        <v>+</v>
      </c>
      <c r="L906">
        <f>2*$F$16*F906/1000</f>
        <v>0.24</v>
      </c>
      <c r="M906" t="str">
        <v>=</v>
      </c>
      <c r="N906">
        <f>J906+L906</f>
        <v>3.9050000000000002</v>
      </c>
      <c r="O906" t="str">
        <v>+</v>
      </c>
      <c r="P906">
        <f>IF(N906&gt;12,ROUNDDOWN(N906/12,0),0)</f>
        <v>0</v>
      </c>
      <c r="Q906" t="str">
        <v>x</v>
      </c>
      <c r="R906">
        <f>IF(P906&gt;0,MAX(VLOOKUP(F906,$D$6:$G$15,3,FALSE),600),0)/1000</f>
        <v>0</v>
      </c>
      <c r="T906" t="str">
        <v>x</v>
      </c>
      <c r="U906">
        <f>0.006165*F906^2</f>
        <v>0.6165</v>
      </c>
      <c r="V906" t="str">
        <v>x</v>
      </c>
      <c r="W906">
        <f>+D906</f>
        <v>2</v>
      </c>
      <c r="X906" t="str">
        <v>x</v>
      </c>
      <c r="Y906">
        <f>D900</f>
        <v>1</v>
      </c>
      <c r="Z906" t="str">
        <v>=</v>
      </c>
      <c r="AA906">
        <f>(N906+P906*R906/1000)*U906*W906*Y906</f>
        <v>4.814865000000001</v>
      </c>
    </row>
    <row r="909">
      <c r="A909" t="str">
        <f>A894</f>
        <v>Sloof</v>
      </c>
      <c r="B909">
        <f>B894</f>
        <v>29</v>
      </c>
      <c r="C909" t="str">
        <v>Tul Bawah Tumpuan</v>
      </c>
      <c r="D909">
        <f>VLOOKUP(D894,'Detail Balok'!$C$10:$AU$110,22,FALSE)</f>
        <v>5</v>
      </c>
      <c r="E909" t="str">
        <v>D</v>
      </c>
      <c r="F909">
        <f>VLOOKUP(D894,'Detail Balok'!$C$10:$AU$110,24,FALSE)</f>
        <v>22</v>
      </c>
      <c r="I909" t="str">
        <v>(</v>
      </c>
      <c r="J909">
        <f>+J901</f>
        <v>0.91625</v>
      </c>
      <c r="K909" t="str">
        <v>+</v>
      </c>
      <c r="L909">
        <f>MAX(VLOOKUP(F909,N$6:P$15,3,FALSE)/1000,2/3*D899/1000)+F$16*F909/1000</f>
        <v>0.264</v>
      </c>
      <c r="M909" t="str">
        <v>=</v>
      </c>
      <c r="N909">
        <f>J909+L909</f>
        <v>1.18025</v>
      </c>
      <c r="O909" t="str">
        <v>+</v>
      </c>
      <c r="P909">
        <f>D909-D910</f>
        <v>0</v>
      </c>
      <c r="Q909" t="str">
        <v>x</v>
      </c>
      <c r="R909">
        <f>IF(P909&gt;0,$F$18*F909/1000,0)</f>
        <v>0</v>
      </c>
      <c r="S909" t="str">
        <v>)</v>
      </c>
      <c r="T909" t="str">
        <v>x</v>
      </c>
      <c r="U909">
        <f>0.006165*F909^2</f>
        <v>2.98386</v>
      </c>
      <c r="X909" t="str">
        <v>x</v>
      </c>
      <c r="Y909">
        <f>D900</f>
        <v>1</v>
      </c>
      <c r="Z909" t="str">
        <v>=</v>
      </c>
      <c r="AA909">
        <f>IF(AA912=0,(D909*N909+P909*R909)*U909*Y909,0)</f>
        <v>0</v>
      </c>
    </row>
    <row r="910">
      <c r="A910" t="str">
        <f>A894</f>
        <v>Sloof</v>
      </c>
      <c r="B910">
        <f>B894</f>
        <v>29</v>
      </c>
      <c r="C910" t="str">
        <v>Tul Bawah Lapangan</v>
      </c>
      <c r="D910">
        <f>VLOOKUP(D894,'Detail Balok'!$C$10:$AU$110,25,FALSE)</f>
        <v>5</v>
      </c>
      <c r="E910" t="str">
        <v>D</v>
      </c>
      <c r="F910">
        <f>VLOOKUP(D894,'Detail Balok'!$C$10:$AU$110,27,FALSE)</f>
        <v>22</v>
      </c>
      <c r="I910" t="str">
        <v>(</v>
      </c>
      <c r="J910">
        <f>+J902</f>
        <v>1.8325</v>
      </c>
      <c r="K910" t="str">
        <v>+</v>
      </c>
      <c r="M910" t="str">
        <v>=</v>
      </c>
      <c r="N910">
        <f>J910+L910</f>
        <v>1.8325</v>
      </c>
      <c r="O910" t="str">
        <v>+</v>
      </c>
      <c r="P910">
        <f>MAX(D910-D909,D910-D911)</f>
        <v>0</v>
      </c>
      <c r="Q910" t="str">
        <v>x</v>
      </c>
      <c r="R910">
        <f>IF(P910&gt;0,2*(1-2*$F$19-1/2)*D897/1000,0)</f>
        <v>0</v>
      </c>
      <c r="S910" t="str">
        <v>)</v>
      </c>
      <c r="T910" t="str">
        <v>x</v>
      </c>
      <c r="U910">
        <f>0.006165*F910^2</f>
        <v>2.98386</v>
      </c>
      <c r="X910" t="str">
        <v>x</v>
      </c>
      <c r="Y910">
        <f>D900</f>
        <v>1</v>
      </c>
      <c r="Z910" t="str">
        <v>=</v>
      </c>
      <c r="AA910">
        <f>IF(AA912=0,(D910*N910+P910*R910)*U910*Y910,0)</f>
        <v>0</v>
      </c>
    </row>
    <row r="911">
      <c r="A911" t="str">
        <f>A894</f>
        <v>Sloof</v>
      </c>
      <c r="B911">
        <f>B894</f>
        <v>29</v>
      </c>
      <c r="C911" t="str">
        <v>Tul Bawah Tumpuan</v>
      </c>
      <c r="D911">
        <f>VLOOKUP(D894,'Detail Balok'!$C$10:$AU$110,28,FALSE)</f>
        <v>5</v>
      </c>
      <c r="E911" t="str">
        <v>D</v>
      </c>
      <c r="F911">
        <f>VLOOKUP(D894,'Detail Balok'!$C$10:$AU$110,30,FALSE)</f>
        <v>22</v>
      </c>
      <c r="I911" t="str">
        <v>(</v>
      </c>
      <c r="J911">
        <f>+J903</f>
        <v>0.91625</v>
      </c>
      <c r="K911" t="str">
        <v>+</v>
      </c>
      <c r="L911">
        <f>MAX(VLOOKUP(F911,N$6:P$15,3,FALSE)/1000,2/3*D899/1000)+F$16*F911/1000</f>
        <v>0.264</v>
      </c>
      <c r="M911" t="str">
        <v>=</v>
      </c>
      <c r="N911">
        <f>J911+L911</f>
        <v>1.18025</v>
      </c>
      <c r="O911" t="str">
        <v>+</v>
      </c>
      <c r="P911">
        <f>D911-D910</f>
        <v>0</v>
      </c>
      <c r="Q911" t="str">
        <v>x</v>
      </c>
      <c r="R911">
        <f>IF(P911&gt;0,$F$18*F911/1000,0)</f>
        <v>0</v>
      </c>
      <c r="S911" t="str">
        <v>)</v>
      </c>
      <c r="T911" t="str">
        <v>x</v>
      </c>
      <c r="U911">
        <f>0.006165*F911^2</f>
        <v>2.98386</v>
      </c>
      <c r="X911" t="str">
        <v>x</v>
      </c>
      <c r="Y911">
        <f>D900</f>
        <v>1</v>
      </c>
      <c r="Z911" t="str">
        <v>=</v>
      </c>
      <c r="AA911">
        <f>IF(AA912=0,(D911*N911+P911*R911)*U911*Y911,0)</f>
        <v>0</v>
      </c>
    </row>
    <row r="912">
      <c r="A912" t="str">
        <f>A894</f>
        <v>Sloof</v>
      </c>
      <c r="B912">
        <f>B894</f>
        <v>29</v>
      </c>
      <c r="D912">
        <f>IF(AND(D909=D910,D910=D911,D909=D911),D909,0)</f>
        <v>5</v>
      </c>
      <c r="E912" t="str">
        <v>D</v>
      </c>
      <c r="F912">
        <f>IF(AND(F909=F910,F909=F911,F910=F911),F909,0)</f>
        <v>22</v>
      </c>
      <c r="L912" t="str">
        <v>Total panjang per balok</v>
      </c>
      <c r="M912" t="str">
        <v>=</v>
      </c>
      <c r="N912">
        <f>IF(AND(D909=D910,D909=D911,D910=D911,F909=F910,F909=F911,F910=F911),SUM(N909:N911),0)</f>
        <v>4.193</v>
      </c>
      <c r="O912" t="str">
        <v>+</v>
      </c>
      <c r="P912">
        <f>IF(N912&gt;12,ROUNDDOWN(N912/12,0),0)</f>
        <v>0</v>
      </c>
      <c r="Q912" t="str">
        <v>x</v>
      </c>
      <c r="R912">
        <f>IF(P912&gt;0,MAX(VLOOKUP(F912,$D$6:$G$15,3,FALSE),600),0)/1000</f>
        <v>0</v>
      </c>
      <c r="T912" t="str">
        <v>x</v>
      </c>
      <c r="U912">
        <f>U911</f>
        <v>2.98386</v>
      </c>
      <c r="V912" t="str">
        <v>x</v>
      </c>
      <c r="W912">
        <f>D912</f>
        <v>5</v>
      </c>
      <c r="X912" t="str">
        <v>x</v>
      </c>
      <c r="Y912">
        <f>Y911</f>
        <v>1</v>
      </c>
      <c r="Z912" t="str">
        <v>=</v>
      </c>
      <c r="AA912">
        <f>(N912+P912*R912/1000)*U912*W912*Y912</f>
        <v>62.556624899999996</v>
      </c>
    </row>
    <row r="914">
      <c r="A914" t="str">
        <f>A894</f>
        <v>Sloof</v>
      </c>
      <c r="B914">
        <f>B894</f>
        <v>29</v>
      </c>
      <c r="C914" t="str">
        <v>Sengkang Tumpuan</v>
      </c>
      <c r="D914">
        <f>VLOOKUP(D894,'Detail Balok'!$C$10:$AU$110,31,FALSE)</f>
        <v>0</v>
      </c>
      <c r="E914" t="str">
        <v>D</v>
      </c>
      <c r="F914">
        <f>VLOOKUP(D894,'Detail Balok'!$C$10:$AU$110,33,FALSE)</f>
        <v>10</v>
      </c>
      <c r="G914" t="str">
        <v>-</v>
      </c>
      <c r="H914">
        <f>VLOOKUP(D894,'Detail Balok'!$C$10:$AU$110,35,FALSE)</f>
        <v>200</v>
      </c>
      <c r="J914">
        <f>(IF(D914=0,(2*(D895+G895))-(F$5*8),IF(D914=3,(2*(D895+G895))-(F$5*8)+(G895-2*F$5),IF(D914=4,(2*(D895+G895))-(F$5*8)+2*(G895-2*F$5)))))/1000</f>
        <v>1.88</v>
      </c>
      <c r="K914" t="str">
        <v>+</v>
      </c>
      <c r="L914">
        <f>IF(D914=0,2*MAX(6*F914,75),(D914-1)*2*MAX(6*F914,75))/1000</f>
        <v>0.15</v>
      </c>
      <c r="M914" t="str">
        <v>=</v>
      </c>
      <c r="N914">
        <f>J914+L914</f>
        <v>2.03</v>
      </c>
      <c r="T914" t="str">
        <v>x</v>
      </c>
      <c r="U914">
        <f>0.006165*F914^2</f>
        <v>0.6165</v>
      </c>
      <c r="V914" t="str">
        <v>x</v>
      </c>
      <c r="W914">
        <f>IF(D897&gt;4*G895,ROUND(MAX(D897/4,2*G895)/H914,0)+1,ROUND(D897/H914,0)+1)</f>
        <v>8</v>
      </c>
      <c r="X914" t="str">
        <v>x</v>
      </c>
      <c r="Y914">
        <f>D900</f>
        <v>1</v>
      </c>
      <c r="Z914" t="str">
        <v>=</v>
      </c>
      <c r="AA914">
        <f>N914*U914*W914*Y914</f>
        <v>10.01196</v>
      </c>
    </row>
    <row r="915">
      <c r="A915" t="str">
        <f>A894</f>
        <v>Sloof</v>
      </c>
      <c r="B915">
        <f>B894</f>
        <v>29</v>
      </c>
      <c r="C915" t="str">
        <v>Sengkang Lapangan</v>
      </c>
      <c r="D915">
        <f>VLOOKUP(D894,'Detail Balok'!$C$10:$AU$110,36,FALSE)</f>
        <v>0</v>
      </c>
      <c r="E915" t="str">
        <v>D</v>
      </c>
      <c r="F915">
        <f>VLOOKUP(D894,'Detail Balok'!$C$10:$AU$110,38,FALSE)</f>
        <v>10</v>
      </c>
      <c r="G915" t="str">
        <v>-</v>
      </c>
      <c r="H915">
        <f>VLOOKUP(D894,'Detail Balok'!$C$10:$AU$110,40,FALSE)</f>
        <v>200</v>
      </c>
      <c r="J915">
        <f>(IF(D915=0,(2*(D895+G895))-(F$5*8),IF(D915=3,(2*(D895+G895))-(F$5*8)+(G895-2*F$5),IF(D915=4,(2*(D895+G895))-(F$5*8)+2*(G895-2*F$5)))))/1000</f>
        <v>1.88</v>
      </c>
      <c r="K915" t="str">
        <v>+</v>
      </c>
      <c r="L915">
        <f>IF(D915=0,2*MAX(6*F915,75),(D915-1)*2*MAX(6*F915,75))/1000</f>
        <v>0.15</v>
      </c>
      <c r="M915" t="str">
        <v>=</v>
      </c>
      <c r="N915">
        <f>J915+L915</f>
        <v>2.03</v>
      </c>
      <c r="T915" t="str">
        <v>x</v>
      </c>
      <c r="U915">
        <f>0.006165*F915^2</f>
        <v>0.6165</v>
      </c>
      <c r="V915" t="str">
        <v>x</v>
      </c>
      <c r="W915">
        <f>IF(D897-MAX(D897/4,2*G895)*2&gt;0,ROUND((D897-MAX(D897/4,2*G895)*2)/H915,0),0)</f>
        <v>4</v>
      </c>
      <c r="X915" t="str">
        <v>x</v>
      </c>
      <c r="Y915">
        <f>D900</f>
        <v>1</v>
      </c>
      <c r="Z915" t="str">
        <v>=</v>
      </c>
      <c r="AA915">
        <f>N915*U915*W915*Y915</f>
        <v>5.00598</v>
      </c>
    </row>
    <row r="916">
      <c r="A916" t="str">
        <f>A894</f>
        <v>Sloof</v>
      </c>
      <c r="B916">
        <f>B894</f>
        <v>29</v>
      </c>
      <c r="C916" t="str">
        <v>Sengkang Tumpuan</v>
      </c>
      <c r="D916">
        <f>VLOOKUP(D894,'Detail Balok'!$C$10:$AU$110,41,FALSE)</f>
        <v>0</v>
      </c>
      <c r="E916" t="str">
        <v>D</v>
      </c>
      <c r="F916">
        <f>VLOOKUP(D894,'Detail Balok'!$C$10:$AU$110,43,FALSE)</f>
        <v>10</v>
      </c>
      <c r="G916" t="str">
        <v>-</v>
      </c>
      <c r="H916">
        <f>VLOOKUP(D894,'Detail Balok'!$C$10:$AU$110,45,FALSE)</f>
        <v>200</v>
      </c>
      <c r="J916">
        <f>(IF(D916=0,(2*(D895+G895))-(F$5*8),IF(D916=3,(2*(D895+G895))-(F$5*8)+(G895-2*F$5),IF(D916=4,(2*(D895+G895))-(F$5*8)+2*(G895-2*F$5)))))/1000</f>
        <v>1.88</v>
      </c>
      <c r="K916" t="str">
        <v>+</v>
      </c>
      <c r="L916">
        <f>IF(D916=0,2*MAX(6*F916,75),(D916-1)*2*MAX(6*F916,75))/1000</f>
        <v>0.15</v>
      </c>
      <c r="M916" t="str">
        <v>=</v>
      </c>
      <c r="N916">
        <f>J916+L916</f>
        <v>2.03</v>
      </c>
      <c r="T916" t="str">
        <v>x</v>
      </c>
      <c r="U916">
        <f>0.006165*F916^2</f>
        <v>0.6165</v>
      </c>
      <c r="V916" t="str">
        <v>x</v>
      </c>
      <c r="W916">
        <f>IF(D897&gt;4*G895,ROUND(MAX(D897/4,2*G895)/H916,0)+1,0)</f>
        <v>8</v>
      </c>
      <c r="X916" t="str">
        <v>x</v>
      </c>
      <c r="Y916">
        <f>D900</f>
        <v>1</v>
      </c>
      <c r="Z916" t="str">
        <v>=</v>
      </c>
      <c r="AA916">
        <f>N916*U916*W916*Y916</f>
        <v>10.01196</v>
      </c>
    </row>
    <row r="918">
      <c r="A918" t="str">
        <f>A894</f>
        <v>Sloof</v>
      </c>
      <c r="B918">
        <f>B894</f>
        <v>29</v>
      </c>
      <c r="C918" t="str">
        <v>Kait Horizontal Tump.</v>
      </c>
      <c r="D918">
        <f>VLOOKUP(D894,'Detail Balok'!$C$10:$BJ$110,46,FALSE)</f>
        <v>0</v>
      </c>
      <c r="E918" t="str">
        <v>D</v>
      </c>
      <c r="F918">
        <f>VLOOKUP(D894,'Detail Balok'!$C$10:$BJ$110,48,FALSE)</f>
        <v>0</v>
      </c>
      <c r="G918" t="str">
        <v>-</v>
      </c>
      <c r="H918">
        <f>VLOOKUP(D894,'Detail Balok'!$C$10:$BJ$110,50,FALSE)</f>
        <v>100</v>
      </c>
      <c r="J918">
        <f>(D895-2*F$5)/1000</f>
        <v>0.32</v>
      </c>
      <c r="K918" t="str">
        <v>+</v>
      </c>
      <c r="L918">
        <f>IF(D918=0,2*MAX(6*F918,75),(D918-1)*2*MAX(6*F918,75))/1000</f>
        <v>0.15</v>
      </c>
      <c r="M918" t="str">
        <v>=</v>
      </c>
      <c r="N918">
        <f>J918+L918</f>
        <v>0.47</v>
      </c>
      <c r="T918" t="str">
        <v>x</v>
      </c>
      <c r="U918">
        <f>0.006165*F918^2</f>
        <v>0</v>
      </c>
      <c r="V918" t="str">
        <v>x</v>
      </c>
      <c r="W918">
        <f>W914</f>
        <v>8</v>
      </c>
      <c r="X918" t="str">
        <v>x</v>
      </c>
      <c r="Y918">
        <f>D904</f>
        <v>9</v>
      </c>
      <c r="Z918" t="str">
        <v>=</v>
      </c>
      <c r="AA918">
        <f>N918*U918*W918*Y918</f>
        <v>0</v>
      </c>
    </row>
    <row r="919">
      <c r="A919" t="str">
        <f>A894</f>
        <v>Sloof</v>
      </c>
      <c r="B919">
        <f>B894</f>
        <v>29</v>
      </c>
      <c r="C919" t="str">
        <v>Kait Horizontal Lap.</v>
      </c>
      <c r="D919">
        <f>VLOOKUP(D894,'Detail Balok'!$C$10:$BJ$110,51,FALSE)</f>
        <v>0</v>
      </c>
      <c r="E919" t="str">
        <v>D</v>
      </c>
      <c r="F919">
        <f>VLOOKUP(D894,'Detail Balok'!$C$10:$BJ$110,53,FALSE)</f>
        <v>0</v>
      </c>
      <c r="G919" t="str">
        <v>-</v>
      </c>
      <c r="H919">
        <f>VLOOKUP(D894,'Detail Balok'!$C$10:$BJ$110,55,FALSE)</f>
        <v>100</v>
      </c>
      <c r="J919">
        <f>(D895-2*F$5)/1000</f>
        <v>0.32</v>
      </c>
      <c r="K919" t="str">
        <v>+</v>
      </c>
      <c r="L919">
        <f>IF(D919=0,2*MAX(6*F919,75),(D919-1)*2*MAX(6*F919,75))/1000</f>
        <v>0.15</v>
      </c>
      <c r="M919" t="str">
        <v>=</v>
      </c>
      <c r="N919">
        <f>J919+L919</f>
        <v>0.47</v>
      </c>
      <c r="T919" t="str">
        <v>x</v>
      </c>
      <c r="U919">
        <f>0.006165*F919^2</f>
        <v>0</v>
      </c>
      <c r="V919" t="str">
        <v>x</v>
      </c>
      <c r="W919">
        <f>W915</f>
        <v>4</v>
      </c>
      <c r="X919" t="str">
        <v>x</v>
      </c>
      <c r="Y919">
        <f>D904</f>
        <v>9</v>
      </c>
      <c r="Z919" t="str">
        <v>=</v>
      </c>
      <c r="AA919">
        <f>N919*U919*W919*Y919</f>
        <v>0</v>
      </c>
    </row>
    <row r="920">
      <c r="A920" t="str">
        <f>A894</f>
        <v>Sloof</v>
      </c>
      <c r="B920">
        <f>B894</f>
        <v>29</v>
      </c>
      <c r="C920" t="str">
        <v>Kait Horizontal Tump.</v>
      </c>
      <c r="D920">
        <f>VLOOKUP(D894,'Detail Balok'!$C$10:$BJ$110,56,FALSE)</f>
        <v>0</v>
      </c>
      <c r="E920" t="str">
        <v>D</v>
      </c>
      <c r="F920">
        <f>VLOOKUP(D894,'Detail Balok'!$C$10:$BJ$110,58,FALSE)</f>
        <v>0</v>
      </c>
      <c r="G920" t="str">
        <v>-</v>
      </c>
      <c r="H920">
        <f>VLOOKUP(D894,'Detail Balok'!$C$10:$BJ$110,60,FALSE)</f>
        <v>100</v>
      </c>
      <c r="J920">
        <f>(D895-2*F$5)/1000</f>
        <v>0.32</v>
      </c>
      <c r="K920" t="str">
        <v>+</v>
      </c>
      <c r="L920">
        <f>IF(D920=0,2*MAX(6*F920,75),(D920-1)*2*MAX(6*F920,75))/1000</f>
        <v>0.15</v>
      </c>
      <c r="M920" t="str">
        <v>=</v>
      </c>
      <c r="N920">
        <f>J920+L920</f>
        <v>0.47</v>
      </c>
      <c r="T920" t="str">
        <v>x</v>
      </c>
      <c r="U920">
        <f>0.006165*F920^2</f>
        <v>0</v>
      </c>
      <c r="V920" t="str">
        <v>x</v>
      </c>
      <c r="W920">
        <f>W916</f>
        <v>8</v>
      </c>
      <c r="X920" t="str">
        <v>x</v>
      </c>
      <c r="Y920">
        <f>D904</f>
        <v>9</v>
      </c>
      <c r="Z920" t="str">
        <v>=</v>
      </c>
      <c r="AA920">
        <f>N920*U920*W920*Y920</f>
        <v>0</v>
      </c>
    </row>
    <row r="924">
      <c r="A924" t="str">
        <f>A894</f>
        <v>Sloof</v>
      </c>
      <c r="B924" t="str">
        <v>29A</v>
      </c>
      <c r="C924" t="str">
        <f>CONCATENATE(A924," no. ",B924)</f>
        <v>Sloof no. 29A</v>
      </c>
      <c r="D924" t="str">
        <f>VLOOKUP(C924,'Data Panjang Balok'!$C$9:$N$424,2,FALSE)</f>
        <v>TB245-1</v>
      </c>
    </row>
    <row r="925">
      <c r="C925" t="str">
        <v>Dimensi</v>
      </c>
      <c r="D925">
        <f>VLOOKUP(D924,'Detail Balok'!$C$10:$AU$110,2,FALSE)</f>
        <v>200</v>
      </c>
      <c r="F925" t="str">
        <v>x</v>
      </c>
      <c r="G925">
        <f>VLOOKUP(D924,'Detail Balok'!$C$10:$AU$110,3,FALSE)</f>
        <v>450</v>
      </c>
    </row>
    <row r="926">
      <c r="C926" t="str">
        <v>Panjang as ke as</v>
      </c>
      <c r="D926">
        <f>VLOOKUP(C924,'Data Panjang Balok'!$C$9:$N$424,4,FALSE)</f>
        <v>2370</v>
      </c>
    </row>
    <row r="927">
      <c r="C927" t="str">
        <v>Panjang netto</v>
      </c>
      <c r="D927">
        <f>VLOOKUP(C924,'Data Panjang Balok'!$C$9:$N$424,7,FALSE)</f>
        <v>2370</v>
      </c>
    </row>
    <row r="928">
      <c r="C928" t="str">
        <v>Kolom / balok kiri</v>
      </c>
      <c r="D928">
        <f>VLOOKUP(C924,'Data Panjang Balok'!$C$9:$N$424,9,FALSE)</f>
        <v>0</v>
      </c>
    </row>
    <row r="929">
      <c r="C929" t="str">
        <v>Kolom / balok kanan</v>
      </c>
      <c r="D929">
        <f>VLOOKUP(C924,'Data Panjang Balok'!$C$9:$N$424,10,FALSE)</f>
        <v>0</v>
      </c>
    </row>
    <row r="930">
      <c r="C930" t="str">
        <v>Jumlah</v>
      </c>
      <c r="D930">
        <f>VLOOKUP(C924,'Data Panjang Balok'!$C$9:$N$424,3,FALSE)</f>
        <v>1</v>
      </c>
    </row>
    <row r="931">
      <c r="A931" t="str">
        <f>A924</f>
        <v>Sloof</v>
      </c>
      <c r="B931" t="str">
        <f>B924</f>
        <v>29A</v>
      </c>
      <c r="C931" t="str">
        <v>Tul Atas Tumpuan</v>
      </c>
      <c r="D931">
        <f>VLOOKUP(D924,'Detail Balok'!$C$10:$AU$110,4,FALSE)</f>
        <v>3</v>
      </c>
      <c r="E931" t="str">
        <v>D</v>
      </c>
      <c r="F931">
        <f>VLOOKUP(D924,'Detail Balok'!$C$10:$AU$110,6,FALSE)</f>
        <v>13</v>
      </c>
      <c r="I931" t="str">
        <v>(</v>
      </c>
      <c r="J931">
        <f>+D926/4/1000</f>
        <v>0.5925</v>
      </c>
      <c r="K931" t="str">
        <v>+</v>
      </c>
      <c r="L931">
        <f>MAX(VLOOKUP(F931,N$6:P$15,3,FALSE)/1000,2/3*D928/1000)+F$16*F931/1000</f>
        <v>0.156</v>
      </c>
      <c r="M931" t="str">
        <v>=</v>
      </c>
      <c r="N931">
        <f>J931+L931</f>
        <v>0.7485</v>
      </c>
      <c r="O931" t="str">
        <v>+</v>
      </c>
      <c r="P931">
        <f>D931-D932</f>
        <v>0</v>
      </c>
      <c r="Q931" t="str">
        <v>x</v>
      </c>
      <c r="R931">
        <f>IF(P931&gt;0,$F$18*F931/1000,0)</f>
        <v>0</v>
      </c>
      <c r="S931" t="str">
        <v>)</v>
      </c>
      <c r="T931" t="str">
        <v>x</v>
      </c>
      <c r="U931">
        <f>0.006165*F931^2</f>
        <v>1.041885</v>
      </c>
      <c r="X931" t="str">
        <v>x</v>
      </c>
      <c r="Y931">
        <f>D930</f>
        <v>1</v>
      </c>
      <c r="Z931" t="str">
        <v>=</v>
      </c>
      <c r="AA931">
        <f>IF(AA934=0,(D931*N931+P931*R931)*U931*Y931,0)</f>
        <v>0</v>
      </c>
    </row>
    <row r="932">
      <c r="A932" t="str">
        <f>A924</f>
        <v>Sloof</v>
      </c>
      <c r="B932" t="str">
        <f>B924</f>
        <v>29A</v>
      </c>
      <c r="C932" t="str">
        <v>Tul Atas Lapangan</v>
      </c>
      <c r="D932">
        <f>VLOOKUP(D924,'Detail Balok'!$C$10:$AU$110,7,FALSE)</f>
        <v>3</v>
      </c>
      <c r="E932" t="str">
        <v>D</v>
      </c>
      <c r="F932">
        <f>VLOOKUP(D924,'Detail Balok'!$C$10:$AU$110,9,FALSE)</f>
        <v>13</v>
      </c>
      <c r="I932" t="str">
        <v>(</v>
      </c>
      <c r="J932">
        <f>+D926/2/1000</f>
        <v>1.185</v>
      </c>
      <c r="K932" t="str">
        <v>+</v>
      </c>
      <c r="M932" t="str">
        <v>=</v>
      </c>
      <c r="N932">
        <f>J932+L932</f>
        <v>1.185</v>
      </c>
      <c r="O932" t="str">
        <v>+</v>
      </c>
      <c r="P932">
        <f>MAX(D932-D931,D932-D933)</f>
        <v>0</v>
      </c>
      <c r="Q932" t="str">
        <v>x</v>
      </c>
      <c r="R932">
        <f>IF(P932&gt;0,2*(1-2*$F$19-1/2)*D927/1000,0)</f>
        <v>0</v>
      </c>
      <c r="S932" t="str">
        <v>)</v>
      </c>
      <c r="T932" t="str">
        <v>x</v>
      </c>
      <c r="U932">
        <f>0.006165*F932^2</f>
        <v>1.041885</v>
      </c>
      <c r="X932" t="str">
        <v>x</v>
      </c>
      <c r="Y932">
        <f>D930</f>
        <v>1</v>
      </c>
      <c r="Z932" t="str">
        <v>=</v>
      </c>
      <c r="AA932">
        <f>IF(AA934=0,(D932*N932+P932*R932)*U932*Y932,0)</f>
        <v>0</v>
      </c>
    </row>
    <row r="933">
      <c r="A933" t="str">
        <f>A924</f>
        <v>Sloof</v>
      </c>
      <c r="B933" t="str">
        <f>B924</f>
        <v>29A</v>
      </c>
      <c r="C933" t="str">
        <v>Tul Atas Tumpuan</v>
      </c>
      <c r="D933">
        <f>VLOOKUP(D924,'Detail Balok'!$C$10:$AU$110,10,FALSE)</f>
        <v>3</v>
      </c>
      <c r="E933" t="str">
        <v>D</v>
      </c>
      <c r="F933">
        <f>VLOOKUP(D924,'Detail Balok'!$C$10:$AU$110,12,FALSE)</f>
        <v>13</v>
      </c>
      <c r="I933" t="str">
        <v>(</v>
      </c>
      <c r="J933">
        <f>+D926/4/1000</f>
        <v>0.5925</v>
      </c>
      <c r="K933" t="str">
        <v>+</v>
      </c>
      <c r="L933">
        <f>MAX(VLOOKUP(F933,N$6:P$15,3,FALSE)/1000,2/3*D928/1000)+F$16*F933/1000</f>
        <v>0.156</v>
      </c>
      <c r="M933" t="str">
        <v>=</v>
      </c>
      <c r="N933">
        <f>J933+L933</f>
        <v>0.7485</v>
      </c>
      <c r="O933" t="str">
        <v>+</v>
      </c>
      <c r="P933">
        <f>D933-D932</f>
        <v>0</v>
      </c>
      <c r="Q933" t="str">
        <v>x</v>
      </c>
      <c r="R933">
        <f>IF(P933&gt;0,$F$18*F933/1000,0)</f>
        <v>0</v>
      </c>
      <c r="S933" t="str">
        <v>)</v>
      </c>
      <c r="T933" t="str">
        <v>x</v>
      </c>
      <c r="U933">
        <f>0.006165*F933^2</f>
        <v>1.041885</v>
      </c>
      <c r="X933" t="str">
        <v>x</v>
      </c>
      <c r="Y933">
        <f>D930</f>
        <v>1</v>
      </c>
      <c r="Z933" t="str">
        <v>=</v>
      </c>
      <c r="AA933">
        <f>IF(AA934=0,(D933*N933+P933*R933)*U933*Y933,0)</f>
        <v>0</v>
      </c>
    </row>
    <row r="934">
      <c r="A934" t="str">
        <f>A924</f>
        <v>Sloof</v>
      </c>
      <c r="B934" t="str">
        <f>B924</f>
        <v>29A</v>
      </c>
      <c r="D934">
        <f>IF(AND(D931=D932,D932=D933,D931=D933),D931,0)</f>
        <v>3</v>
      </c>
      <c r="E934" t="str">
        <v>D</v>
      </c>
      <c r="F934">
        <f>IF(AND(F931=F932,F931=F933,F932=F933),F931,0)</f>
        <v>13</v>
      </c>
      <c r="L934" t="str">
        <v>Total panjang per balok</v>
      </c>
      <c r="M934" t="str">
        <v>=</v>
      </c>
      <c r="N934">
        <f>IF(AND(D931=D932,D931=D933,D932=D933,F931=F932,F931=F933,F932=F933),SUM(N931:N933),0)</f>
        <v>2.682</v>
      </c>
      <c r="O934" t="str">
        <v>+</v>
      </c>
      <c r="P934">
        <f>IF(N934&gt;12,ROUNDDOWN(N934/12,0),0)</f>
        <v>0</v>
      </c>
      <c r="Q934" t="str">
        <v>x</v>
      </c>
      <c r="R934">
        <f>IF(P934&gt;0,MAX(VLOOKUP(F934,$D$6:$G$15,3,FALSE),600),0)/1000</f>
        <v>0</v>
      </c>
      <c r="T934" t="str">
        <v>x</v>
      </c>
      <c r="U934">
        <f>U933</f>
        <v>1.041885</v>
      </c>
      <c r="V934" t="str">
        <v>x</v>
      </c>
      <c r="W934">
        <f>D934</f>
        <v>3</v>
      </c>
      <c r="X934" t="str">
        <v>x</v>
      </c>
      <c r="Y934">
        <f>Y933</f>
        <v>1</v>
      </c>
      <c r="Z934" t="str">
        <v>=</v>
      </c>
      <c r="AA934">
        <f>(N934+P934*R934/1000)*U934*W934*Y934</f>
        <v>8.38300671</v>
      </c>
    </row>
    <row r="936">
      <c r="A936" t="str">
        <f>A924</f>
        <v>Sloof</v>
      </c>
      <c r="B936" t="str">
        <f>B924</f>
        <v>29A</v>
      </c>
      <c r="C936" t="str">
        <v>Tul Peminggang</v>
      </c>
      <c r="D936">
        <f>VLOOKUP(D924,'Detail Balok'!$C$10:$AU$110,13,FALSE)</f>
        <v>2</v>
      </c>
      <c r="E936" t="str">
        <v>D</v>
      </c>
      <c r="F936">
        <f>VLOOKUP(D924,'Detail Balok'!$C$10:$AU$110,15,FALSE)</f>
        <v>8</v>
      </c>
      <c r="J936">
        <f>+D926/1000</f>
        <v>2.37</v>
      </c>
      <c r="K936" t="str">
        <v>+</v>
      </c>
      <c r="L936">
        <f>2*$F$16*F936/1000</f>
        <v>0.192</v>
      </c>
      <c r="M936" t="str">
        <v>=</v>
      </c>
      <c r="N936">
        <f>J936+L936</f>
        <v>2.5620000000000003</v>
      </c>
      <c r="O936" t="str">
        <v>+</v>
      </c>
      <c r="P936">
        <f>IF(N936&gt;12,ROUNDDOWN(N936/12,0),0)</f>
        <v>0</v>
      </c>
      <c r="Q936" t="str">
        <v>x</v>
      </c>
      <c r="R936">
        <f>IF(P936&gt;0,MAX(VLOOKUP(F936,$D$6:$G$15,3,FALSE),600),0)/1000</f>
        <v>0</v>
      </c>
      <c r="T936" t="str">
        <v>x</v>
      </c>
      <c r="U936">
        <f>0.006165*F936^2</f>
        <v>0.39456</v>
      </c>
      <c r="V936" t="str">
        <v>x</v>
      </c>
      <c r="W936">
        <f>+D936</f>
        <v>2</v>
      </c>
      <c r="X936" t="str">
        <v>x</v>
      </c>
      <c r="Y936">
        <f>D930</f>
        <v>1</v>
      </c>
      <c r="Z936" t="str">
        <v>=</v>
      </c>
      <c r="AA936">
        <f>(N936+P936*R936/1000)*U936*W936*Y936</f>
        <v>2.0217254400000004</v>
      </c>
    </row>
    <row r="939">
      <c r="A939" t="str">
        <f>A924</f>
        <v>Sloof</v>
      </c>
      <c r="B939" t="str">
        <f>B924</f>
        <v>29A</v>
      </c>
      <c r="C939" t="str">
        <v>Tul Bawah Tumpuan</v>
      </c>
      <c r="D939">
        <f>VLOOKUP(D924,'Detail Balok'!$C$10:$AU$110,22,FALSE)</f>
        <v>3</v>
      </c>
      <c r="E939" t="str">
        <v>D</v>
      </c>
      <c r="F939">
        <f>VLOOKUP(D924,'Detail Balok'!$C$10:$AU$110,24,FALSE)</f>
        <v>13</v>
      </c>
      <c r="I939" t="str">
        <v>(</v>
      </c>
      <c r="J939">
        <f>+J931</f>
        <v>0.5925</v>
      </c>
      <c r="K939" t="str">
        <v>+</v>
      </c>
      <c r="L939">
        <f>MAX(VLOOKUP(F939,N$6:P$15,3,FALSE)/1000,2/3*D929/1000)+F$16*F939/1000</f>
        <v>0.156</v>
      </c>
      <c r="M939" t="str">
        <v>=</v>
      </c>
      <c r="N939">
        <f>J939+L939</f>
        <v>0.7485</v>
      </c>
      <c r="O939" t="str">
        <v>+</v>
      </c>
      <c r="P939">
        <f>D939-D940</f>
        <v>0</v>
      </c>
      <c r="Q939" t="str">
        <v>x</v>
      </c>
      <c r="R939">
        <f>IF(P939&gt;0,$F$18*F939/1000,0)</f>
        <v>0</v>
      </c>
      <c r="S939" t="str">
        <v>)</v>
      </c>
      <c r="T939" t="str">
        <v>x</v>
      </c>
      <c r="U939">
        <f>0.006165*F939^2</f>
        <v>1.041885</v>
      </c>
      <c r="X939" t="str">
        <v>x</v>
      </c>
      <c r="Y939">
        <f>D930</f>
        <v>1</v>
      </c>
      <c r="Z939" t="str">
        <v>=</v>
      </c>
      <c r="AA939">
        <f>IF(AA942=0,(D939*N939+P939*R939)*U939*Y939,0)</f>
        <v>0</v>
      </c>
    </row>
    <row r="940">
      <c r="A940" t="str">
        <f>A924</f>
        <v>Sloof</v>
      </c>
      <c r="B940" t="str">
        <f>B924</f>
        <v>29A</v>
      </c>
      <c r="C940" t="str">
        <v>Tul Bawah Lapangan</v>
      </c>
      <c r="D940">
        <f>VLOOKUP(D924,'Detail Balok'!$C$10:$AU$110,25,FALSE)</f>
        <v>3</v>
      </c>
      <c r="E940" t="str">
        <v>D</v>
      </c>
      <c r="F940">
        <f>VLOOKUP(D924,'Detail Balok'!$C$10:$AU$110,27,FALSE)</f>
        <v>13</v>
      </c>
      <c r="I940" t="str">
        <v>(</v>
      </c>
      <c r="J940">
        <f>+J932</f>
        <v>1.185</v>
      </c>
      <c r="K940" t="str">
        <v>+</v>
      </c>
      <c r="M940" t="str">
        <v>=</v>
      </c>
      <c r="N940">
        <f>J940+L940</f>
        <v>1.185</v>
      </c>
      <c r="O940" t="str">
        <v>+</v>
      </c>
      <c r="P940">
        <f>MAX(D940-D939,D940-D941)</f>
        <v>0</v>
      </c>
      <c r="Q940" t="str">
        <v>x</v>
      </c>
      <c r="R940">
        <f>IF(P940&gt;0,2*(1-2*$F$19-1/2)*D927/1000,0)</f>
        <v>0</v>
      </c>
      <c r="S940" t="str">
        <v>)</v>
      </c>
      <c r="T940" t="str">
        <v>x</v>
      </c>
      <c r="U940">
        <f>0.006165*F940^2</f>
        <v>1.041885</v>
      </c>
      <c r="X940" t="str">
        <v>x</v>
      </c>
      <c r="Y940">
        <f>D930</f>
        <v>1</v>
      </c>
      <c r="Z940" t="str">
        <v>=</v>
      </c>
      <c r="AA940">
        <f>IF(AA942=0,(D940*N940+P940*R940)*U940*Y940,0)</f>
        <v>0</v>
      </c>
    </row>
    <row r="941">
      <c r="A941" t="str">
        <f>A924</f>
        <v>Sloof</v>
      </c>
      <c r="B941" t="str">
        <f>B924</f>
        <v>29A</v>
      </c>
      <c r="C941" t="str">
        <v>Tul Bawah Tumpuan</v>
      </c>
      <c r="D941">
        <f>VLOOKUP(D924,'Detail Balok'!$C$10:$AU$110,28,FALSE)</f>
        <v>3</v>
      </c>
      <c r="E941" t="str">
        <v>D</v>
      </c>
      <c r="F941">
        <f>VLOOKUP(D924,'Detail Balok'!$C$10:$AU$110,30,FALSE)</f>
        <v>13</v>
      </c>
      <c r="I941" t="str">
        <v>(</v>
      </c>
      <c r="J941">
        <f>+J933</f>
        <v>0.5925</v>
      </c>
      <c r="K941" t="str">
        <v>+</v>
      </c>
      <c r="L941">
        <f>MAX(VLOOKUP(F941,N$6:P$15,3,FALSE)/1000,2/3*D929/1000)+F$16*F941/1000</f>
        <v>0.156</v>
      </c>
      <c r="M941" t="str">
        <v>=</v>
      </c>
      <c r="N941">
        <f>J941+L941</f>
        <v>0.7485</v>
      </c>
      <c r="O941" t="str">
        <v>+</v>
      </c>
      <c r="P941">
        <f>D941-D940</f>
        <v>0</v>
      </c>
      <c r="Q941" t="str">
        <v>x</v>
      </c>
      <c r="R941">
        <f>IF(P941&gt;0,$F$18*F941/1000,0)</f>
        <v>0</v>
      </c>
      <c r="S941" t="str">
        <v>)</v>
      </c>
      <c r="T941" t="str">
        <v>x</v>
      </c>
      <c r="U941">
        <f>0.006165*F941^2</f>
        <v>1.041885</v>
      </c>
      <c r="X941" t="str">
        <v>x</v>
      </c>
      <c r="Y941">
        <f>D930</f>
        <v>1</v>
      </c>
      <c r="Z941" t="str">
        <v>=</v>
      </c>
      <c r="AA941">
        <f>IF(AA942=0,(D941*N941+P941*R941)*U941*Y941,0)</f>
        <v>0</v>
      </c>
    </row>
    <row r="942">
      <c r="A942" t="str">
        <f>A924</f>
        <v>Sloof</v>
      </c>
      <c r="B942" t="str">
        <f>B924</f>
        <v>29A</v>
      </c>
      <c r="D942">
        <f>IF(AND(D939=D940,D940=D941,D939=D941),D939,0)</f>
        <v>3</v>
      </c>
      <c r="E942" t="str">
        <v>D</v>
      </c>
      <c r="F942">
        <f>IF(AND(F939=F940,F939=F941,F940=F941),F939,0)</f>
        <v>13</v>
      </c>
      <c r="L942" t="str">
        <v>Total panjang per balok</v>
      </c>
      <c r="M942" t="str">
        <v>=</v>
      </c>
      <c r="N942">
        <f>IF(AND(D939=D940,D939=D941,D940=D941,F939=F940,F939=F941,F940=F941),SUM(N939:N941),0)</f>
        <v>2.682</v>
      </c>
      <c r="O942" t="str">
        <v>+</v>
      </c>
      <c r="P942">
        <f>IF(N942&gt;12,ROUNDDOWN(N942/12,0),0)</f>
        <v>0</v>
      </c>
      <c r="Q942" t="str">
        <v>x</v>
      </c>
      <c r="R942">
        <f>IF(P942&gt;0,MAX(VLOOKUP(F942,$D$6:$G$15,3,FALSE),600),0)/1000</f>
        <v>0</v>
      </c>
      <c r="T942" t="str">
        <v>x</v>
      </c>
      <c r="U942">
        <f>U941</f>
        <v>1.041885</v>
      </c>
      <c r="V942" t="str">
        <v>x</v>
      </c>
      <c r="W942">
        <f>D942</f>
        <v>3</v>
      </c>
      <c r="X942" t="str">
        <v>x</v>
      </c>
      <c r="Y942">
        <f>Y941</f>
        <v>1</v>
      </c>
      <c r="Z942" t="str">
        <v>=</v>
      </c>
      <c r="AA942">
        <f>(N942+P942*R942/1000)*U942*W942*Y942</f>
        <v>8.38300671</v>
      </c>
    </row>
    <row r="944">
      <c r="A944" t="str">
        <f>A924</f>
        <v>Sloof</v>
      </c>
      <c r="B944" t="str">
        <f>B924</f>
        <v>29A</v>
      </c>
      <c r="C944" t="str">
        <v>Sengkang Tumpuan</v>
      </c>
      <c r="D944">
        <f>VLOOKUP(D924,'Detail Balok'!$C$10:$AU$110,31,FALSE)</f>
        <v>0</v>
      </c>
      <c r="E944" t="str">
        <v>D</v>
      </c>
      <c r="F944">
        <f>VLOOKUP(D924,'Detail Balok'!$C$10:$AU$110,33,FALSE)</f>
        <v>8</v>
      </c>
      <c r="G944" t="str">
        <v>-</v>
      </c>
      <c r="H944">
        <f>VLOOKUP(D924,'Detail Balok'!$C$10:$AU$110,35,FALSE)</f>
        <v>200</v>
      </c>
      <c r="J944">
        <f>(IF(D944=0,(2*(D925+G925))-(F$5*8),IF(D944=3,(2*(D925+G925))-(F$5*8)+(G925-2*F$5),IF(D944=4,(2*(D925+G925))-(F$5*8)+2*(G925-2*F$5)))))/1000</f>
        <v>0.98</v>
      </c>
      <c r="K944" t="str">
        <v>+</v>
      </c>
      <c r="L944">
        <f>IF(D944=0,2*MAX(6*F944,75),(D944-1)*2*MAX(6*F944,75))/1000</f>
        <v>0.15</v>
      </c>
      <c r="M944" t="str">
        <v>=</v>
      </c>
      <c r="N944">
        <f>J944+L944</f>
        <v>1.13</v>
      </c>
      <c r="T944" t="str">
        <v>x</v>
      </c>
      <c r="U944">
        <f>0.006165*F944^2</f>
        <v>0.39456</v>
      </c>
      <c r="V944" t="str">
        <v>x</v>
      </c>
      <c r="W944">
        <f>IF(D927&gt;4*G925,ROUND(MAX(D927/4,2*G925)/H944,0)+1,ROUND(D927/H944,0)+1)</f>
        <v>6</v>
      </c>
      <c r="X944" t="str">
        <v>x</v>
      </c>
      <c r="Y944">
        <f>D930</f>
        <v>1</v>
      </c>
      <c r="Z944" t="str">
        <v>=</v>
      </c>
      <c r="AA944">
        <f>N944*U944*W944*Y944</f>
        <v>2.6751168</v>
      </c>
    </row>
    <row r="945">
      <c r="A945" t="str">
        <f>A924</f>
        <v>Sloof</v>
      </c>
      <c r="B945" t="str">
        <f>B924</f>
        <v>29A</v>
      </c>
      <c r="C945" t="str">
        <v>Sengkang Lapangan</v>
      </c>
      <c r="D945">
        <f>VLOOKUP(D924,'Detail Balok'!$C$10:$AU$110,36,FALSE)</f>
        <v>0</v>
      </c>
      <c r="E945" t="str">
        <v>D</v>
      </c>
      <c r="F945">
        <f>VLOOKUP(D924,'Detail Balok'!$C$10:$AU$110,38,FALSE)</f>
        <v>8</v>
      </c>
      <c r="G945" t="str">
        <v>-</v>
      </c>
      <c r="H945">
        <f>VLOOKUP(D924,'Detail Balok'!$C$10:$AU$110,40,FALSE)</f>
        <v>200</v>
      </c>
      <c r="J945">
        <f>(IF(D945=0,(2*(D925+G925))-(F$5*8),IF(D945=3,(2*(D925+G925))-(F$5*8)+(G925-2*F$5),IF(D945=4,(2*(D925+G925))-(F$5*8)+2*(G925-2*F$5)))))/1000</f>
        <v>0.98</v>
      </c>
      <c r="K945" t="str">
        <v>+</v>
      </c>
      <c r="L945">
        <f>IF(D945=0,2*MAX(6*F945,75),(D945-1)*2*MAX(6*F945,75))/1000</f>
        <v>0.15</v>
      </c>
      <c r="M945" t="str">
        <v>=</v>
      </c>
      <c r="N945">
        <f>J945+L945</f>
        <v>1.13</v>
      </c>
      <c r="T945" t="str">
        <v>x</v>
      </c>
      <c r="U945">
        <f>0.006165*F945^2</f>
        <v>0.39456</v>
      </c>
      <c r="V945" t="str">
        <v>x</v>
      </c>
      <c r="W945">
        <f>IF(D927-MAX(D927/4,2*G925)*2&gt;0,ROUND((D927-MAX(D927/4,2*G925)*2)/H945,0),0)</f>
        <v>3</v>
      </c>
      <c r="X945" t="str">
        <v>x</v>
      </c>
      <c r="Y945">
        <f>D930</f>
        <v>1</v>
      </c>
      <c r="Z945" t="str">
        <v>=</v>
      </c>
      <c r="AA945">
        <f>N945*U945*W945*Y945</f>
        <v>1.3375584</v>
      </c>
    </row>
    <row r="946">
      <c r="A946" t="str">
        <f>A924</f>
        <v>Sloof</v>
      </c>
      <c r="B946" t="str">
        <f>B924</f>
        <v>29A</v>
      </c>
      <c r="C946" t="str">
        <v>Sengkang Tumpuan</v>
      </c>
      <c r="D946">
        <f>VLOOKUP(D924,'Detail Balok'!$C$10:$AU$110,41,FALSE)</f>
        <v>0</v>
      </c>
      <c r="E946" t="str">
        <v>D</v>
      </c>
      <c r="F946">
        <f>VLOOKUP(D924,'Detail Balok'!$C$10:$AU$110,43,FALSE)</f>
        <v>8</v>
      </c>
      <c r="G946" t="str">
        <v>-</v>
      </c>
      <c r="H946">
        <f>VLOOKUP(D924,'Detail Balok'!$C$10:$AU$110,45,FALSE)</f>
        <v>200</v>
      </c>
      <c r="J946">
        <f>(IF(D946=0,(2*(D925+G925))-(F$5*8),IF(D946=3,(2*(D925+G925))-(F$5*8)+(G925-2*F$5),IF(D946=4,(2*(D925+G925))-(F$5*8)+2*(G925-2*F$5)))))/1000</f>
        <v>0.98</v>
      </c>
      <c r="K946" t="str">
        <v>+</v>
      </c>
      <c r="L946">
        <f>IF(D946=0,2*MAX(6*F946,75),(D946-1)*2*MAX(6*F946,75))/1000</f>
        <v>0.15</v>
      </c>
      <c r="M946" t="str">
        <v>=</v>
      </c>
      <c r="N946">
        <f>J946+L946</f>
        <v>1.13</v>
      </c>
      <c r="T946" t="str">
        <v>x</v>
      </c>
      <c r="U946">
        <f>0.006165*F946^2</f>
        <v>0.39456</v>
      </c>
      <c r="V946" t="str">
        <v>x</v>
      </c>
      <c r="W946">
        <f>IF(D927&gt;4*G925,ROUND(MAX(D927/4,2*G925)/H946,0)+1,0)</f>
        <v>6</v>
      </c>
      <c r="X946" t="str">
        <v>x</v>
      </c>
      <c r="Y946">
        <f>D930</f>
        <v>1</v>
      </c>
      <c r="Z946" t="str">
        <v>=</v>
      </c>
      <c r="AA946">
        <f>N946*U946*W946*Y946</f>
        <v>2.6751168</v>
      </c>
    </row>
    <row r="948">
      <c r="A948" t="str">
        <f>A924</f>
        <v>Sloof</v>
      </c>
      <c r="B948" t="str">
        <f>B924</f>
        <v>29A</v>
      </c>
      <c r="C948" t="str">
        <v>Kait Horizontal Tump.</v>
      </c>
      <c r="D948">
        <f>VLOOKUP(D924,'Detail Balok'!$C$10:$BJ$110,46,FALSE)</f>
        <v>0</v>
      </c>
      <c r="E948" t="str">
        <v>D</v>
      </c>
      <c r="F948">
        <f>VLOOKUP(D924,'Detail Balok'!$C$10:$BJ$110,48,FALSE)</f>
        <v>0</v>
      </c>
      <c r="G948" t="str">
        <v>-</v>
      </c>
      <c r="H948">
        <f>VLOOKUP(D924,'Detail Balok'!$C$10:$BJ$110,50,FALSE)</f>
        <v>100</v>
      </c>
      <c r="J948">
        <f>(D925-2*F$5)/1000</f>
        <v>0.12</v>
      </c>
      <c r="K948" t="str">
        <v>+</v>
      </c>
      <c r="L948">
        <f>IF(D948=0,2*MAX(6*F948,75),(D948-1)*2*MAX(6*F948,75))/1000</f>
        <v>0.15</v>
      </c>
      <c r="M948" t="str">
        <v>=</v>
      </c>
      <c r="N948">
        <f>J948+L948</f>
        <v>0.27</v>
      </c>
      <c r="T948" t="str">
        <v>x</v>
      </c>
      <c r="U948">
        <f>0.006165*F948^2</f>
        <v>0</v>
      </c>
      <c r="V948" t="str">
        <v>x</v>
      </c>
      <c r="W948">
        <f>W944</f>
        <v>6</v>
      </c>
      <c r="X948" t="str">
        <v>x</v>
      </c>
      <c r="Y948">
        <f>D934</f>
        <v>3</v>
      </c>
      <c r="Z948" t="str">
        <v>=</v>
      </c>
      <c r="AA948">
        <f>N948*U948*W948*Y948</f>
        <v>0</v>
      </c>
    </row>
    <row r="949">
      <c r="A949" t="str">
        <f>A924</f>
        <v>Sloof</v>
      </c>
      <c r="B949" t="str">
        <f>B924</f>
        <v>29A</v>
      </c>
      <c r="C949" t="str">
        <v>Kait Horizontal Lap.</v>
      </c>
      <c r="D949">
        <f>VLOOKUP(D924,'Detail Balok'!$C$10:$BJ$110,51,FALSE)</f>
        <v>0</v>
      </c>
      <c r="E949" t="str">
        <v>D</v>
      </c>
      <c r="F949">
        <f>VLOOKUP(D924,'Detail Balok'!$C$10:$BJ$110,53,FALSE)</f>
        <v>0</v>
      </c>
      <c r="G949" t="str">
        <v>-</v>
      </c>
      <c r="H949">
        <f>VLOOKUP(D924,'Detail Balok'!$C$10:$BJ$110,55,FALSE)</f>
        <v>100</v>
      </c>
      <c r="J949">
        <f>(D925-2*F$5)/1000</f>
        <v>0.12</v>
      </c>
      <c r="K949" t="str">
        <v>+</v>
      </c>
      <c r="L949">
        <f>IF(D949=0,2*MAX(6*F949,75),(D949-1)*2*MAX(6*F949,75))/1000</f>
        <v>0.15</v>
      </c>
      <c r="M949" t="str">
        <v>=</v>
      </c>
      <c r="N949">
        <f>J949+L949</f>
        <v>0.27</v>
      </c>
      <c r="T949" t="str">
        <v>x</v>
      </c>
      <c r="U949">
        <f>0.006165*F949^2</f>
        <v>0</v>
      </c>
      <c r="V949" t="str">
        <v>x</v>
      </c>
      <c r="W949">
        <f>W945</f>
        <v>3</v>
      </c>
      <c r="X949" t="str">
        <v>x</v>
      </c>
      <c r="Y949">
        <f>D934</f>
        <v>3</v>
      </c>
      <c r="Z949" t="str">
        <v>=</v>
      </c>
      <c r="AA949">
        <f>N949*U949*W949*Y949</f>
        <v>0</v>
      </c>
    </row>
    <row r="950">
      <c r="A950" t="str">
        <f>A924</f>
        <v>Sloof</v>
      </c>
      <c r="B950" t="str">
        <f>B924</f>
        <v>29A</v>
      </c>
      <c r="C950" t="str">
        <v>Kait Horizontal Tump.</v>
      </c>
      <c r="D950">
        <f>VLOOKUP(D924,'Detail Balok'!$C$10:$BJ$110,56,FALSE)</f>
        <v>0</v>
      </c>
      <c r="E950" t="str">
        <v>D</v>
      </c>
      <c r="F950">
        <f>VLOOKUP(D924,'Detail Balok'!$C$10:$BJ$110,58,FALSE)</f>
        <v>0</v>
      </c>
      <c r="G950" t="str">
        <v>-</v>
      </c>
      <c r="H950">
        <f>VLOOKUP(D924,'Detail Balok'!$C$10:$BJ$110,60,FALSE)</f>
        <v>100</v>
      </c>
      <c r="J950">
        <f>(D925-2*F$5)/1000</f>
        <v>0.12</v>
      </c>
      <c r="K950" t="str">
        <v>+</v>
      </c>
      <c r="L950">
        <f>IF(D950=0,2*MAX(6*F950,75),(D950-1)*2*MAX(6*F950,75))/1000</f>
        <v>0.15</v>
      </c>
      <c r="M950" t="str">
        <v>=</v>
      </c>
      <c r="N950">
        <f>J950+L950</f>
        <v>0.27</v>
      </c>
      <c r="T950" t="str">
        <v>x</v>
      </c>
      <c r="U950">
        <f>0.006165*F950^2</f>
        <v>0</v>
      </c>
      <c r="V950" t="str">
        <v>x</v>
      </c>
      <c r="W950">
        <f>W946</f>
        <v>6</v>
      </c>
      <c r="X950" t="str">
        <v>x</v>
      </c>
      <c r="Y950">
        <f>D934</f>
        <v>3</v>
      </c>
      <c r="Z950" t="str">
        <v>=</v>
      </c>
      <c r="AA950">
        <f>N950*U950*W950*Y950</f>
        <v>0</v>
      </c>
    </row>
    <row r="954">
      <c r="A954" t="str">
        <f>A924</f>
        <v>Sloof</v>
      </c>
      <c r="B954" t="str">
        <v>29B</v>
      </c>
      <c r="C954" t="str">
        <f>CONCATENATE(A954," no. ",B954)</f>
        <v>Sloof no. 29B</v>
      </c>
      <c r="D954" t="str">
        <f>VLOOKUP(C954,'Data Panjang Balok'!$C$9:$N$424,2,FALSE)</f>
        <v>TB24-2</v>
      </c>
    </row>
    <row r="955">
      <c r="C955" t="str">
        <v>Dimensi</v>
      </c>
      <c r="D955">
        <f>VLOOKUP(D954,'Detail Balok'!$C$10:$AU$110,2,FALSE)</f>
        <v>200</v>
      </c>
      <c r="F955" t="str">
        <v>x</v>
      </c>
      <c r="G955">
        <f>VLOOKUP(D954,'Detail Balok'!$C$10:$AU$110,3,FALSE)</f>
        <v>400</v>
      </c>
    </row>
    <row r="956">
      <c r="C956" t="str">
        <v>Panjang as ke as</v>
      </c>
      <c r="D956">
        <f>VLOOKUP(C954,'Data Panjang Balok'!$C$9:$N$424,4,FALSE)</f>
        <v>1845</v>
      </c>
    </row>
    <row r="957">
      <c r="C957" t="str">
        <v>Panjang netto</v>
      </c>
      <c r="D957">
        <f>VLOOKUP(C954,'Data Panjang Balok'!$C$9:$N$424,7,FALSE)</f>
        <v>1845</v>
      </c>
    </row>
    <row r="958">
      <c r="C958" t="str">
        <v>Kolom / balok kiri</v>
      </c>
      <c r="D958">
        <f>VLOOKUP(C954,'Data Panjang Balok'!$C$9:$N$424,9,FALSE)</f>
        <v>0</v>
      </c>
    </row>
    <row r="959">
      <c r="C959" t="str">
        <v>Kolom / balok kanan</v>
      </c>
      <c r="D959">
        <f>VLOOKUP(C954,'Data Panjang Balok'!$C$9:$N$424,10,FALSE)</f>
        <v>0</v>
      </c>
    </row>
    <row r="960">
      <c r="C960" t="str">
        <v>Jumlah</v>
      </c>
      <c r="D960">
        <f>VLOOKUP(C954,'Data Panjang Balok'!$C$9:$N$424,3,FALSE)</f>
        <v>1</v>
      </c>
    </row>
    <row r="961">
      <c r="A961" t="str">
        <f>A954</f>
        <v>Sloof</v>
      </c>
      <c r="B961" t="str">
        <f>B954</f>
        <v>29B</v>
      </c>
      <c r="C961" t="str">
        <v>Tul Atas Tumpuan</v>
      </c>
      <c r="D961">
        <f>VLOOKUP(D954,'Detail Balok'!$C$10:$AU$110,4,FALSE)</f>
        <v>4</v>
      </c>
      <c r="E961" t="str">
        <v>D</v>
      </c>
      <c r="F961">
        <f>VLOOKUP(D954,'Detail Balok'!$C$10:$AU$110,6,FALSE)</f>
        <v>13</v>
      </c>
      <c r="I961" t="str">
        <v>(</v>
      </c>
      <c r="J961">
        <f>+D956/4/1000</f>
        <v>0.46125</v>
      </c>
      <c r="K961" t="str">
        <v>+</v>
      </c>
      <c r="L961">
        <f>MAX(VLOOKUP(F961,N$6:P$15,3,FALSE)/1000,2/3*D958/1000)+F$16*F961/1000</f>
        <v>0.156</v>
      </c>
      <c r="M961" t="str">
        <v>=</v>
      </c>
      <c r="N961">
        <f>J961+L961</f>
        <v>0.61725</v>
      </c>
      <c r="O961" t="str">
        <v>+</v>
      </c>
      <c r="P961">
        <f>D961-D962</f>
        <v>2</v>
      </c>
      <c r="Q961" t="str">
        <v>x</v>
      </c>
      <c r="R961">
        <f>IF(P961&gt;0,$F$18*F961/1000,0)</f>
        <v>0.195</v>
      </c>
      <c r="S961" t="str">
        <v>)</v>
      </c>
      <c r="T961" t="str">
        <v>x</v>
      </c>
      <c r="U961">
        <f>0.006165*F961^2</f>
        <v>1.041885</v>
      </c>
      <c r="X961" t="str">
        <v>x</v>
      </c>
      <c r="Y961">
        <f>D960</f>
        <v>1</v>
      </c>
      <c r="Z961" t="str">
        <v>=</v>
      </c>
      <c r="AA961">
        <f>IF(AA964=0,(D961*N961+P961*R961)*U961*Y961,0)</f>
        <v>2.9787492149999997</v>
      </c>
    </row>
    <row r="962">
      <c r="A962" t="str">
        <f>A954</f>
        <v>Sloof</v>
      </c>
      <c r="B962" t="str">
        <f>B954</f>
        <v>29B</v>
      </c>
      <c r="C962" t="str">
        <v>Tul Atas Lapangan</v>
      </c>
      <c r="D962">
        <f>VLOOKUP(D954,'Detail Balok'!$C$10:$AU$110,7,FALSE)</f>
        <v>2</v>
      </c>
      <c r="E962" t="str">
        <v>D</v>
      </c>
      <c r="F962">
        <f>VLOOKUP(D954,'Detail Balok'!$C$10:$AU$110,9,FALSE)</f>
        <v>13</v>
      </c>
      <c r="I962" t="str">
        <v>(</v>
      </c>
      <c r="J962">
        <f>+D956/2/1000</f>
        <v>0.9225</v>
      </c>
      <c r="K962" t="str">
        <v>+</v>
      </c>
      <c r="M962" t="str">
        <v>=</v>
      </c>
      <c r="N962">
        <f>J962+L962</f>
        <v>0.9225</v>
      </c>
      <c r="O962" t="str">
        <v>+</v>
      </c>
      <c r="P962">
        <f>MAX(D962-D961,D962-D963)</f>
        <v>-2</v>
      </c>
      <c r="Q962" t="str">
        <v>x</v>
      </c>
      <c r="R962">
        <f>IF(P962&gt;0,2*(1-2*$F$19-1/2)*D957/1000,0)</f>
        <v>0</v>
      </c>
      <c r="S962" t="str">
        <v>)</v>
      </c>
      <c r="T962" t="str">
        <v>x</v>
      </c>
      <c r="U962">
        <f>0.006165*F962^2</f>
        <v>1.041885</v>
      </c>
      <c r="X962" t="str">
        <v>x</v>
      </c>
      <c r="Y962">
        <f>D960</f>
        <v>1</v>
      </c>
      <c r="Z962" t="str">
        <v>=</v>
      </c>
      <c r="AA962">
        <f>IF(AA964=0,(D962*N962+P962*R962)*U962*Y962,0)</f>
        <v>1.9222778249999999</v>
      </c>
    </row>
    <row r="963">
      <c r="A963" t="str">
        <f>A954</f>
        <v>Sloof</v>
      </c>
      <c r="B963" t="str">
        <f>B954</f>
        <v>29B</v>
      </c>
      <c r="C963" t="str">
        <v>Tul Atas Tumpuan</v>
      </c>
      <c r="D963">
        <f>VLOOKUP(D954,'Detail Balok'!$C$10:$AU$110,10,FALSE)</f>
        <v>4</v>
      </c>
      <c r="E963" t="str">
        <v>D</v>
      </c>
      <c r="F963">
        <f>VLOOKUP(D954,'Detail Balok'!$C$10:$AU$110,12,FALSE)</f>
        <v>13</v>
      </c>
      <c r="I963" t="str">
        <v>(</v>
      </c>
      <c r="J963">
        <f>+D956/4/1000</f>
        <v>0.46125</v>
      </c>
      <c r="K963" t="str">
        <v>+</v>
      </c>
      <c r="L963">
        <f>MAX(VLOOKUP(F963,N$6:P$15,3,FALSE)/1000,2/3*D958/1000)+F$16*F963/1000</f>
        <v>0.156</v>
      </c>
      <c r="M963" t="str">
        <v>=</v>
      </c>
      <c r="N963">
        <f>J963+L963</f>
        <v>0.61725</v>
      </c>
      <c r="O963" t="str">
        <v>+</v>
      </c>
      <c r="P963">
        <f>D963-D962</f>
        <v>2</v>
      </c>
      <c r="Q963" t="str">
        <v>x</v>
      </c>
      <c r="R963">
        <f>IF(P963&gt;0,$F$18*F963/1000,0)</f>
        <v>0.195</v>
      </c>
      <c r="S963" t="str">
        <v>)</v>
      </c>
      <c r="T963" t="str">
        <v>x</v>
      </c>
      <c r="U963">
        <f>0.006165*F963^2</f>
        <v>1.041885</v>
      </c>
      <c r="X963" t="str">
        <v>x</v>
      </c>
      <c r="Y963">
        <f>D960</f>
        <v>1</v>
      </c>
      <c r="Z963" t="str">
        <v>=</v>
      </c>
      <c r="AA963">
        <f>IF(AA964=0,(D963*N963+P963*R963)*U963*Y963,0)</f>
        <v>2.9787492149999997</v>
      </c>
    </row>
    <row r="964">
      <c r="A964" t="str">
        <f>A954</f>
        <v>Sloof</v>
      </c>
      <c r="B964" t="str">
        <f>B954</f>
        <v>29B</v>
      </c>
      <c r="D964">
        <f>IF(AND(D961=D962,D962=D963,D961=D963),D961,0)</f>
        <v>0</v>
      </c>
      <c r="E964" t="str">
        <v>D</v>
      </c>
      <c r="F964">
        <f>IF(AND(F961=F962,F961=F963,F962=F963),F961,0)</f>
        <v>13</v>
      </c>
      <c r="L964" t="str">
        <v>Total panjang per balok</v>
      </c>
      <c r="M964" t="str">
        <v>=</v>
      </c>
      <c r="N964">
        <f>IF(AND(D961=D962,D961=D963,D962=D963,F961=F962,F961=F963,F962=F963),SUM(N961:N963),0)</f>
        <v>0</v>
      </c>
      <c r="O964" t="str">
        <v>+</v>
      </c>
      <c r="P964">
        <f>IF(N964&gt;12,ROUNDDOWN(N964/12,0),0)</f>
        <v>0</v>
      </c>
      <c r="Q964" t="str">
        <v>x</v>
      </c>
      <c r="R964">
        <f>IF(P964&gt;0,MAX(VLOOKUP(F964,$D$6:$G$15,3,FALSE),600),0)/1000</f>
        <v>0</v>
      </c>
      <c r="T964" t="str">
        <v>x</v>
      </c>
      <c r="U964">
        <f>U963</f>
        <v>1.041885</v>
      </c>
      <c r="V964" t="str">
        <v>x</v>
      </c>
      <c r="W964">
        <f>D964</f>
        <v>0</v>
      </c>
      <c r="X964" t="str">
        <v>x</v>
      </c>
      <c r="Y964">
        <f>Y963</f>
        <v>1</v>
      </c>
      <c r="Z964" t="str">
        <v>=</v>
      </c>
      <c r="AA964">
        <f>(N964+P964*R964/1000)*U964*W964*Y964</f>
        <v>0</v>
      </c>
    </row>
    <row r="966">
      <c r="A966" t="str">
        <f>A954</f>
        <v>Sloof</v>
      </c>
      <c r="B966" t="str">
        <f>B954</f>
        <v>29B</v>
      </c>
      <c r="C966" t="str">
        <v>Tul Peminggang</v>
      </c>
      <c r="D966">
        <f>VLOOKUP(D954,'Detail Balok'!$C$10:$AU$110,13,FALSE)</f>
        <v>0</v>
      </c>
      <c r="E966" t="str">
        <v>D</v>
      </c>
      <c r="F966">
        <f>VLOOKUP(D954,'Detail Balok'!$C$10:$AU$110,15,FALSE)</f>
        <v>6</v>
      </c>
      <c r="J966">
        <f>+D956/1000</f>
        <v>1.845</v>
      </c>
      <c r="K966" t="str">
        <v>+</v>
      </c>
      <c r="L966">
        <f>2*$F$16*F966/1000</f>
        <v>0.144</v>
      </c>
      <c r="M966" t="str">
        <v>=</v>
      </c>
      <c r="N966">
        <f>J966+L966</f>
        <v>1.9889999999999999</v>
      </c>
      <c r="O966" t="str">
        <v>+</v>
      </c>
      <c r="P966">
        <f>IF(N966&gt;12,ROUNDDOWN(N966/12,0),0)</f>
        <v>0</v>
      </c>
      <c r="Q966" t="str">
        <v>x</v>
      </c>
      <c r="R966">
        <f>IF(P966&gt;0,MAX(VLOOKUP(F966,$D$6:$G$15,3,FALSE),600),0)/1000</f>
        <v>0</v>
      </c>
      <c r="T966" t="str">
        <v>x</v>
      </c>
      <c r="U966">
        <f>0.006165*F966^2</f>
        <v>0.22194000000000003</v>
      </c>
      <c r="V966" t="str">
        <v>x</v>
      </c>
      <c r="W966">
        <f>+D966</f>
        <v>0</v>
      </c>
      <c r="X966" t="str">
        <v>x</v>
      </c>
      <c r="Y966">
        <f>D960</f>
        <v>1</v>
      </c>
      <c r="Z966" t="str">
        <v>=</v>
      </c>
      <c r="AA966">
        <f>(N966+P966*R966/1000)*U966*W966*Y966</f>
        <v>0</v>
      </c>
    </row>
    <row r="969">
      <c r="A969" t="str">
        <f>A954</f>
        <v>Sloof</v>
      </c>
      <c r="B969" t="str">
        <f>B954</f>
        <v>29B</v>
      </c>
      <c r="C969" t="str">
        <v>Tul Bawah Tumpuan</v>
      </c>
      <c r="D969">
        <f>VLOOKUP(D954,'Detail Balok'!$C$10:$AU$110,22,FALSE)</f>
        <v>3</v>
      </c>
      <c r="E969" t="str">
        <v>D</v>
      </c>
      <c r="F969">
        <f>VLOOKUP(D954,'Detail Balok'!$C$10:$AU$110,24,FALSE)</f>
        <v>13</v>
      </c>
      <c r="I969" t="str">
        <v>(</v>
      </c>
      <c r="J969">
        <f>+J961</f>
        <v>0.46125</v>
      </c>
      <c r="K969" t="str">
        <v>+</v>
      </c>
      <c r="L969">
        <f>MAX(VLOOKUP(F969,N$6:P$15,3,FALSE)/1000,2/3*D959/1000)+F$16*F969/1000</f>
        <v>0.156</v>
      </c>
      <c r="M969" t="str">
        <v>=</v>
      </c>
      <c r="N969">
        <f>J969+L969</f>
        <v>0.61725</v>
      </c>
      <c r="O969" t="str">
        <v>+</v>
      </c>
      <c r="P969">
        <f>D969-D970</f>
        <v>0</v>
      </c>
      <c r="Q969" t="str">
        <v>x</v>
      </c>
      <c r="R969">
        <f>IF(P969&gt;0,$F$18*F969/1000,0)</f>
        <v>0</v>
      </c>
      <c r="S969" t="str">
        <v>)</v>
      </c>
      <c r="T969" t="str">
        <v>x</v>
      </c>
      <c r="U969">
        <f>0.006165*F969^2</f>
        <v>1.041885</v>
      </c>
      <c r="X969" t="str">
        <v>x</v>
      </c>
      <c r="Y969">
        <f>D960</f>
        <v>1</v>
      </c>
      <c r="Z969" t="str">
        <v>=</v>
      </c>
      <c r="AA969">
        <f>IF(AA972=0,(D969*N969+P969*R969)*U969*Y969,0)</f>
        <v>0</v>
      </c>
    </row>
    <row r="970">
      <c r="A970" t="str">
        <f>A954</f>
        <v>Sloof</v>
      </c>
      <c r="B970" t="str">
        <f>B954</f>
        <v>29B</v>
      </c>
      <c r="C970" t="str">
        <v>Tul Bawah Lapangan</v>
      </c>
      <c r="D970">
        <f>VLOOKUP(D954,'Detail Balok'!$C$10:$AU$110,25,FALSE)</f>
        <v>3</v>
      </c>
      <c r="E970" t="str">
        <v>D</v>
      </c>
      <c r="F970">
        <f>VLOOKUP(D954,'Detail Balok'!$C$10:$AU$110,27,FALSE)</f>
        <v>13</v>
      </c>
      <c r="I970" t="str">
        <v>(</v>
      </c>
      <c r="J970">
        <f>+J962</f>
        <v>0.9225</v>
      </c>
      <c r="K970" t="str">
        <v>+</v>
      </c>
      <c r="M970" t="str">
        <v>=</v>
      </c>
      <c r="N970">
        <f>J970+L970</f>
        <v>0.9225</v>
      </c>
      <c r="O970" t="str">
        <v>+</v>
      </c>
      <c r="P970">
        <f>MAX(D970-D969,D970-D971)</f>
        <v>0</v>
      </c>
      <c r="Q970" t="str">
        <v>x</v>
      </c>
      <c r="R970">
        <f>IF(P970&gt;0,2*(1-2*$F$19-1/2)*D957/1000,0)</f>
        <v>0</v>
      </c>
      <c r="S970" t="str">
        <v>)</v>
      </c>
      <c r="T970" t="str">
        <v>x</v>
      </c>
      <c r="U970">
        <f>0.006165*F970^2</f>
        <v>1.041885</v>
      </c>
      <c r="X970" t="str">
        <v>x</v>
      </c>
      <c r="Y970">
        <f>D960</f>
        <v>1</v>
      </c>
      <c r="Z970" t="str">
        <v>=</v>
      </c>
      <c r="AA970">
        <f>IF(AA972=0,(D970*N970+P970*R970)*U970*Y970,0)</f>
        <v>0</v>
      </c>
    </row>
    <row r="971">
      <c r="A971" t="str">
        <f>A954</f>
        <v>Sloof</v>
      </c>
      <c r="B971" t="str">
        <f>B954</f>
        <v>29B</v>
      </c>
      <c r="C971" t="str">
        <v>Tul Bawah Tumpuan</v>
      </c>
      <c r="D971">
        <f>VLOOKUP(D954,'Detail Balok'!$C$10:$AU$110,28,FALSE)</f>
        <v>3</v>
      </c>
      <c r="E971" t="str">
        <v>D</v>
      </c>
      <c r="F971">
        <f>VLOOKUP(D954,'Detail Balok'!$C$10:$AU$110,30,FALSE)</f>
        <v>13</v>
      </c>
      <c r="I971" t="str">
        <v>(</v>
      </c>
      <c r="J971">
        <f>+J963</f>
        <v>0.46125</v>
      </c>
      <c r="K971" t="str">
        <v>+</v>
      </c>
      <c r="L971">
        <f>MAX(VLOOKUP(F971,N$6:P$15,3,FALSE)/1000,2/3*D959/1000)+F$16*F971/1000</f>
        <v>0.156</v>
      </c>
      <c r="M971" t="str">
        <v>=</v>
      </c>
      <c r="N971">
        <f>J971+L971</f>
        <v>0.61725</v>
      </c>
      <c r="O971" t="str">
        <v>+</v>
      </c>
      <c r="P971">
        <f>D971-D970</f>
        <v>0</v>
      </c>
      <c r="Q971" t="str">
        <v>x</v>
      </c>
      <c r="R971">
        <f>IF(P971&gt;0,$F$18*F971/1000,0)</f>
        <v>0</v>
      </c>
      <c r="S971" t="str">
        <v>)</v>
      </c>
      <c r="T971" t="str">
        <v>x</v>
      </c>
      <c r="U971">
        <f>0.006165*F971^2</f>
        <v>1.041885</v>
      </c>
      <c r="X971" t="str">
        <v>x</v>
      </c>
      <c r="Y971">
        <f>D960</f>
        <v>1</v>
      </c>
      <c r="Z971" t="str">
        <v>=</v>
      </c>
      <c r="AA971">
        <f>IF(AA972=0,(D971*N971+P971*R971)*U971*Y971,0)</f>
        <v>0</v>
      </c>
    </row>
    <row r="972">
      <c r="A972" t="str">
        <f>A954</f>
        <v>Sloof</v>
      </c>
      <c r="B972" t="str">
        <f>B954</f>
        <v>29B</v>
      </c>
      <c r="D972">
        <f>IF(AND(D969=D970,D970=D971,D969=D971),D969,0)</f>
        <v>3</v>
      </c>
      <c r="E972" t="str">
        <v>D</v>
      </c>
      <c r="F972">
        <f>IF(AND(F969=F970,F969=F971,F970=F971),F969,0)</f>
        <v>13</v>
      </c>
      <c r="L972" t="str">
        <v>Total panjang per balok</v>
      </c>
      <c r="M972" t="str">
        <v>=</v>
      </c>
      <c r="N972">
        <f>IF(AND(D969=D970,D969=D971,D970=D971,F969=F970,F969=F971,F970=F971),SUM(N969:N971),0)</f>
        <v>2.157</v>
      </c>
      <c r="O972" t="str">
        <v>+</v>
      </c>
      <c r="P972">
        <f>IF(N972&gt;12,ROUNDDOWN(N972/12,0),0)</f>
        <v>0</v>
      </c>
      <c r="Q972" t="str">
        <v>x</v>
      </c>
      <c r="R972">
        <f>IF(P972&gt;0,MAX(VLOOKUP(F972,$D$6:$G$15,3,FALSE),600),0)/1000</f>
        <v>0</v>
      </c>
      <c r="T972" t="str">
        <v>x</v>
      </c>
      <c r="U972">
        <f>U971</f>
        <v>1.041885</v>
      </c>
      <c r="V972" t="str">
        <v>x</v>
      </c>
      <c r="W972">
        <f>D972</f>
        <v>3</v>
      </c>
      <c r="X972" t="str">
        <v>x</v>
      </c>
      <c r="Y972">
        <f>Y971</f>
        <v>1</v>
      </c>
      <c r="Z972" t="str">
        <v>=</v>
      </c>
      <c r="AA972">
        <f>(N972+P972*R972/1000)*U972*W972*Y972</f>
        <v>6.742037835</v>
      </c>
    </row>
    <row r="974">
      <c r="A974" t="str">
        <f>A954</f>
        <v>Sloof</v>
      </c>
      <c r="B974" t="str">
        <f>B954</f>
        <v>29B</v>
      </c>
      <c r="C974" t="str">
        <v>Sengkang Tumpuan</v>
      </c>
      <c r="D974">
        <f>VLOOKUP(D954,'Detail Balok'!$C$10:$AU$110,31,FALSE)</f>
        <v>0</v>
      </c>
      <c r="E974" t="str">
        <v>D</v>
      </c>
      <c r="F974">
        <f>VLOOKUP(D954,'Detail Balok'!$C$10:$AU$110,33,FALSE)</f>
        <v>8</v>
      </c>
      <c r="G974" t="str">
        <v>-</v>
      </c>
      <c r="H974">
        <f>VLOOKUP(D954,'Detail Balok'!$C$10:$AU$110,35,FALSE)</f>
        <v>150</v>
      </c>
      <c r="J974">
        <f>(IF(D974=0,(2*(D955+G955))-(F$5*8),IF(D974=3,(2*(D955+G955))-(F$5*8)+(G955-2*F$5),IF(D974=4,(2*(D955+G955))-(F$5*8)+2*(G955-2*F$5)))))/1000</f>
        <v>0.88</v>
      </c>
      <c r="K974" t="str">
        <v>+</v>
      </c>
      <c r="L974">
        <f>IF(D974=0,2*MAX(6*F974,75),(D974-1)*2*MAX(6*F974,75))/1000</f>
        <v>0.15</v>
      </c>
      <c r="M974" t="str">
        <v>=</v>
      </c>
      <c r="N974">
        <f>J974+L974</f>
        <v>1.03</v>
      </c>
      <c r="T974" t="str">
        <v>x</v>
      </c>
      <c r="U974">
        <f>0.006165*F974^2</f>
        <v>0.39456</v>
      </c>
      <c r="V974" t="str">
        <v>x</v>
      </c>
      <c r="W974">
        <f>IF(D957&gt;4*G955,ROUND(MAX(D957/4,2*G955)/H974,0)+1,ROUND(D957/H974,0)+1)</f>
        <v>6</v>
      </c>
      <c r="X974" t="str">
        <v>x</v>
      </c>
      <c r="Y974">
        <f>D960</f>
        <v>1</v>
      </c>
      <c r="Z974" t="str">
        <v>=</v>
      </c>
      <c r="AA974">
        <f>N974*U974*W974*Y974</f>
        <v>2.4383808000000005</v>
      </c>
    </row>
    <row r="975">
      <c r="A975" t="str">
        <f>A954</f>
        <v>Sloof</v>
      </c>
      <c r="B975" t="str">
        <f>B954</f>
        <v>29B</v>
      </c>
      <c r="C975" t="str">
        <v>Sengkang Lapangan</v>
      </c>
      <c r="D975">
        <f>VLOOKUP(D954,'Detail Balok'!$C$10:$AU$110,36,FALSE)</f>
        <v>0</v>
      </c>
      <c r="E975" t="str">
        <v>D</v>
      </c>
      <c r="F975">
        <f>VLOOKUP(D954,'Detail Balok'!$C$10:$AU$110,38,FALSE)</f>
        <v>8</v>
      </c>
      <c r="G975" t="str">
        <v>-</v>
      </c>
      <c r="H975">
        <f>VLOOKUP(D954,'Detail Balok'!$C$10:$AU$110,40,FALSE)</f>
        <v>200</v>
      </c>
      <c r="J975">
        <f>(IF(D975=0,(2*(D955+G955))-(F$5*8),IF(D975=3,(2*(D955+G955))-(F$5*8)+(G955-2*F$5),IF(D975=4,(2*(D955+G955))-(F$5*8)+2*(G955-2*F$5)))))/1000</f>
        <v>0.88</v>
      </c>
      <c r="K975" t="str">
        <v>+</v>
      </c>
      <c r="L975">
        <f>IF(D975=0,2*MAX(6*F975,75),(D975-1)*2*MAX(6*F975,75))/1000</f>
        <v>0.15</v>
      </c>
      <c r="M975" t="str">
        <v>=</v>
      </c>
      <c r="N975">
        <f>J975+L975</f>
        <v>1.03</v>
      </c>
      <c r="T975" t="str">
        <v>x</v>
      </c>
      <c r="U975">
        <f>0.006165*F975^2</f>
        <v>0.39456</v>
      </c>
      <c r="V975" t="str">
        <v>x</v>
      </c>
      <c r="W975">
        <f>IF(D957-MAX(D957/4,2*G955)*2&gt;0,ROUND((D957-MAX(D957/4,2*G955)*2)/H975,0),0)</f>
        <v>1</v>
      </c>
      <c r="X975" t="str">
        <v>x</v>
      </c>
      <c r="Y975">
        <f>D960</f>
        <v>1</v>
      </c>
      <c r="Z975" t="str">
        <v>=</v>
      </c>
      <c r="AA975">
        <f>N975*U975*W975*Y975</f>
        <v>0.40639680000000006</v>
      </c>
    </row>
    <row r="976">
      <c r="A976" t="str">
        <f>A954</f>
        <v>Sloof</v>
      </c>
      <c r="B976" t="str">
        <f>B954</f>
        <v>29B</v>
      </c>
      <c r="C976" t="str">
        <v>Sengkang Tumpuan</v>
      </c>
      <c r="D976">
        <f>VLOOKUP(D954,'Detail Balok'!$C$10:$AU$110,41,FALSE)</f>
        <v>0</v>
      </c>
      <c r="E976" t="str">
        <v>D</v>
      </c>
      <c r="F976">
        <f>VLOOKUP(D954,'Detail Balok'!$C$10:$AU$110,43,FALSE)</f>
        <v>8</v>
      </c>
      <c r="G976" t="str">
        <v>-</v>
      </c>
      <c r="H976">
        <f>VLOOKUP(D954,'Detail Balok'!$C$10:$AU$110,45,FALSE)</f>
        <v>150</v>
      </c>
      <c r="J976">
        <f>(IF(D976=0,(2*(D955+G955))-(F$5*8),IF(D976=3,(2*(D955+G955))-(F$5*8)+(G955-2*F$5),IF(D976=4,(2*(D955+G955))-(F$5*8)+2*(G955-2*F$5)))))/1000</f>
        <v>0.88</v>
      </c>
      <c r="K976" t="str">
        <v>+</v>
      </c>
      <c r="L976">
        <f>IF(D976=0,2*MAX(6*F976,75),(D976-1)*2*MAX(6*F976,75))/1000</f>
        <v>0.15</v>
      </c>
      <c r="M976" t="str">
        <v>=</v>
      </c>
      <c r="N976">
        <f>J976+L976</f>
        <v>1.03</v>
      </c>
      <c r="T976" t="str">
        <v>x</v>
      </c>
      <c r="U976">
        <f>0.006165*F976^2</f>
        <v>0.39456</v>
      </c>
      <c r="V976" t="str">
        <v>x</v>
      </c>
      <c r="W976">
        <f>IF(D957&gt;4*G955,ROUND(MAX(D957/4,2*G955)/H976,0)+1,0)</f>
        <v>6</v>
      </c>
      <c r="X976" t="str">
        <v>x</v>
      </c>
      <c r="Y976">
        <f>D960</f>
        <v>1</v>
      </c>
      <c r="Z976" t="str">
        <v>=</v>
      </c>
      <c r="AA976">
        <f>N976*U976*W976*Y976</f>
        <v>2.4383808000000005</v>
      </c>
    </row>
    <row r="978">
      <c r="A978" t="str">
        <f>A954</f>
        <v>Sloof</v>
      </c>
      <c r="B978" t="str">
        <f>B954</f>
        <v>29B</v>
      </c>
      <c r="C978" t="str">
        <v>Kait Horizontal Tump.</v>
      </c>
      <c r="D978">
        <f>VLOOKUP(D954,'Detail Balok'!$C$10:$BJ$110,46,FALSE)</f>
        <v>0</v>
      </c>
      <c r="E978" t="str">
        <v>D</v>
      </c>
      <c r="F978">
        <f>VLOOKUP(D954,'Detail Balok'!$C$10:$BJ$110,48,FALSE)</f>
        <v>0</v>
      </c>
      <c r="G978" t="str">
        <v>-</v>
      </c>
      <c r="H978">
        <f>VLOOKUP(D954,'Detail Balok'!$C$10:$BJ$110,50,FALSE)</f>
        <v>100</v>
      </c>
      <c r="J978">
        <f>(D955-2*F$5)/1000</f>
        <v>0.12</v>
      </c>
      <c r="K978" t="str">
        <v>+</v>
      </c>
      <c r="L978">
        <f>IF(D978=0,2*MAX(6*F978,75),(D978-1)*2*MAX(6*F978,75))/1000</f>
        <v>0.15</v>
      </c>
      <c r="M978" t="str">
        <v>=</v>
      </c>
      <c r="N978">
        <f>J978+L978</f>
        <v>0.27</v>
      </c>
      <c r="T978" t="str">
        <v>x</v>
      </c>
      <c r="U978">
        <f>0.006165*F978^2</f>
        <v>0</v>
      </c>
      <c r="V978" t="str">
        <v>x</v>
      </c>
      <c r="W978">
        <f>W974</f>
        <v>6</v>
      </c>
      <c r="X978" t="str">
        <v>x</v>
      </c>
      <c r="Y978">
        <f>D964</f>
        <v>0</v>
      </c>
      <c r="Z978" t="str">
        <v>=</v>
      </c>
      <c r="AA978">
        <f>N978*U978*W978*Y978</f>
        <v>0</v>
      </c>
    </row>
    <row r="979">
      <c r="A979" t="str">
        <f>A954</f>
        <v>Sloof</v>
      </c>
      <c r="B979" t="str">
        <f>B954</f>
        <v>29B</v>
      </c>
      <c r="C979" t="str">
        <v>Kait Horizontal Lap.</v>
      </c>
      <c r="D979">
        <f>VLOOKUP(D954,'Detail Balok'!$C$10:$BJ$110,51,FALSE)</f>
        <v>0</v>
      </c>
      <c r="E979" t="str">
        <v>D</v>
      </c>
      <c r="F979">
        <f>VLOOKUP(D954,'Detail Balok'!$C$10:$BJ$110,53,FALSE)</f>
        <v>0</v>
      </c>
      <c r="G979" t="str">
        <v>-</v>
      </c>
      <c r="H979">
        <f>VLOOKUP(D954,'Detail Balok'!$C$10:$BJ$110,55,FALSE)</f>
        <v>100</v>
      </c>
      <c r="J979">
        <f>(D955-2*F$5)/1000</f>
        <v>0.12</v>
      </c>
      <c r="K979" t="str">
        <v>+</v>
      </c>
      <c r="L979">
        <f>IF(D979=0,2*MAX(6*F979,75),(D979-1)*2*MAX(6*F979,75))/1000</f>
        <v>0.15</v>
      </c>
      <c r="M979" t="str">
        <v>=</v>
      </c>
      <c r="N979">
        <f>J979+L979</f>
        <v>0.27</v>
      </c>
      <c r="T979" t="str">
        <v>x</v>
      </c>
      <c r="U979">
        <f>0.006165*F979^2</f>
        <v>0</v>
      </c>
      <c r="V979" t="str">
        <v>x</v>
      </c>
      <c r="W979">
        <f>W975</f>
        <v>1</v>
      </c>
      <c r="X979" t="str">
        <v>x</v>
      </c>
      <c r="Y979">
        <f>D964</f>
        <v>0</v>
      </c>
      <c r="Z979" t="str">
        <v>=</v>
      </c>
      <c r="AA979">
        <f>N979*U979*W979*Y979</f>
        <v>0</v>
      </c>
    </row>
    <row r="980">
      <c r="A980" t="str">
        <f>A954</f>
        <v>Sloof</v>
      </c>
      <c r="B980" t="str">
        <f>B954</f>
        <v>29B</v>
      </c>
      <c r="C980" t="str">
        <v>Kait Horizontal Tump.</v>
      </c>
      <c r="D980">
        <f>VLOOKUP(D954,'Detail Balok'!$C$10:$BJ$110,56,FALSE)</f>
        <v>0</v>
      </c>
      <c r="E980" t="str">
        <v>D</v>
      </c>
      <c r="F980">
        <f>VLOOKUP(D954,'Detail Balok'!$C$10:$BJ$110,58,FALSE)</f>
        <v>0</v>
      </c>
      <c r="G980" t="str">
        <v>-</v>
      </c>
      <c r="H980">
        <f>VLOOKUP(D954,'Detail Balok'!$C$10:$BJ$110,60,FALSE)</f>
        <v>100</v>
      </c>
      <c r="J980">
        <f>(D955-2*F$5)/1000</f>
        <v>0.12</v>
      </c>
      <c r="K980" t="str">
        <v>+</v>
      </c>
      <c r="L980">
        <f>IF(D980=0,2*MAX(6*F980,75),(D980-1)*2*MAX(6*F980,75))/1000</f>
        <v>0.15</v>
      </c>
      <c r="M980" t="str">
        <v>=</v>
      </c>
      <c r="N980">
        <f>J980+L980</f>
        <v>0.27</v>
      </c>
      <c r="T980" t="str">
        <v>x</v>
      </c>
      <c r="U980">
        <f>0.006165*F980^2</f>
        <v>0</v>
      </c>
      <c r="V980" t="str">
        <v>x</v>
      </c>
      <c r="W980">
        <f>W976</f>
        <v>6</v>
      </c>
      <c r="X980" t="str">
        <v>x</v>
      </c>
      <c r="Y980">
        <f>D964</f>
        <v>0</v>
      </c>
      <c r="Z980" t="str">
        <v>=</v>
      </c>
      <c r="AA980">
        <f>N980*U980*W980*Y980</f>
        <v>0</v>
      </c>
    </row>
    <row r="984">
      <c r="A984" t="str">
        <f>A894</f>
        <v>Sloof</v>
      </c>
      <c r="B984">
        <f>B894+1</f>
        <v>30</v>
      </c>
      <c r="C984" t="str">
        <f>CONCATENATE(A984," no. ",B984)</f>
        <v>Sloof no. 30</v>
      </c>
      <c r="D984" t="str">
        <f>VLOOKUP(C984,'Data Panjang Balok'!$C$9:$N$424,2,FALSE)</f>
        <v>TB35-1</v>
      </c>
    </row>
    <row r="985">
      <c r="C985" t="str">
        <v>Dimensi</v>
      </c>
      <c r="D985">
        <f>VLOOKUP(D984,'Detail Balok'!$C$10:$AU$110,2,FALSE)</f>
        <v>300</v>
      </c>
      <c r="F985" t="str">
        <v>x</v>
      </c>
      <c r="G985">
        <f>VLOOKUP(D984,'Detail Balok'!$C$10:$AU$110,3,FALSE)</f>
        <v>500</v>
      </c>
    </row>
    <row r="986">
      <c r="C986" t="str">
        <v>Panjang as ke as</v>
      </c>
      <c r="D986">
        <f>VLOOKUP(C984,'Data Panjang Balok'!$C$9:$N$424,4,FALSE)</f>
        <v>5100</v>
      </c>
    </row>
    <row r="987">
      <c r="C987" t="str">
        <v>Panjang netto</v>
      </c>
      <c r="D987">
        <f>VLOOKUP(C984,'Data Panjang Balok'!$C$9:$N$424,7,FALSE)</f>
        <v>5100</v>
      </c>
    </row>
    <row r="988">
      <c r="C988" t="str">
        <v>Kolom / balok kiri</v>
      </c>
      <c r="D988">
        <f>VLOOKUP(C984,'Data Panjang Balok'!$C$9:$N$424,9,FALSE)</f>
        <v>0</v>
      </c>
    </row>
    <row r="989">
      <c r="C989" t="str">
        <v>Kolom / balok kanan</v>
      </c>
      <c r="D989">
        <f>VLOOKUP(C984,'Data Panjang Balok'!$C$9:$N$424,10,FALSE)</f>
        <v>0</v>
      </c>
    </row>
    <row r="990">
      <c r="C990" t="str">
        <v>Jumlah</v>
      </c>
      <c r="D990">
        <f>VLOOKUP(C984,'Data Panjang Balok'!$C$9:$N$424,3,FALSE)</f>
        <v>1</v>
      </c>
    </row>
    <row r="991">
      <c r="A991" t="str">
        <f>A984</f>
        <v>Sloof</v>
      </c>
      <c r="B991">
        <f>B984</f>
        <v>30</v>
      </c>
      <c r="C991" t="str">
        <v>Tul Atas Tumpuan</v>
      </c>
      <c r="D991">
        <f>VLOOKUP(D984,'Detail Balok'!$C$10:$AU$110,4,FALSE)</f>
        <v>6</v>
      </c>
      <c r="E991" t="str">
        <v>D</v>
      </c>
      <c r="F991">
        <f>VLOOKUP(D984,'Detail Balok'!$C$10:$AU$110,6,FALSE)</f>
        <v>16</v>
      </c>
      <c r="I991" t="str">
        <v>(</v>
      </c>
      <c r="J991">
        <f>+D986/4/1000</f>
        <v>1.275</v>
      </c>
      <c r="K991" t="str">
        <v>+</v>
      </c>
      <c r="L991">
        <f>MAX(VLOOKUP(F991,N$6:P$15,3,FALSE)/1000,2/3*D988/1000)+F$16*F991/1000</f>
        <v>0.192</v>
      </c>
      <c r="M991" t="str">
        <v>=</v>
      </c>
      <c r="N991">
        <f>J991+L991</f>
        <v>1.4669999999999999</v>
      </c>
      <c r="O991" t="str">
        <v>+</v>
      </c>
      <c r="P991">
        <f>D991-D992</f>
        <v>3</v>
      </c>
      <c r="Q991" t="str">
        <v>x</v>
      </c>
      <c r="R991">
        <f>IF(P991&gt;0,$F$18*F991/1000,0)</f>
        <v>0.24</v>
      </c>
      <c r="S991" t="str">
        <v>)</v>
      </c>
      <c r="T991" t="str">
        <v>x</v>
      </c>
      <c r="U991">
        <f>0.006165*F991^2</f>
        <v>1.57824</v>
      </c>
      <c r="X991" t="str">
        <v>x</v>
      </c>
      <c r="Y991">
        <f>D990</f>
        <v>1</v>
      </c>
      <c r="Z991" t="str">
        <v>=</v>
      </c>
      <c r="AA991">
        <f>IF(AA994=0,(D991*N991+P991*R991)*U991*Y991,0)</f>
        <v>15.028001280000002</v>
      </c>
    </row>
    <row r="992">
      <c r="A992" t="str">
        <f>A984</f>
        <v>Sloof</v>
      </c>
      <c r="B992">
        <f>B984</f>
        <v>30</v>
      </c>
      <c r="C992" t="str">
        <v>Tul Atas Lapangan</v>
      </c>
      <c r="D992">
        <f>VLOOKUP(D984,'Detail Balok'!$C$10:$AU$110,7,FALSE)</f>
        <v>3</v>
      </c>
      <c r="E992" t="str">
        <v>D</v>
      </c>
      <c r="F992">
        <f>VLOOKUP(D984,'Detail Balok'!$C$10:$AU$110,9,FALSE)</f>
        <v>16</v>
      </c>
      <c r="I992" t="str">
        <v>(</v>
      </c>
      <c r="J992">
        <f>+D986/2/1000</f>
        <v>2.55</v>
      </c>
      <c r="K992" t="str">
        <v>+</v>
      </c>
      <c r="M992" t="str">
        <v>=</v>
      </c>
      <c r="N992">
        <f>J992+L992</f>
        <v>2.55</v>
      </c>
      <c r="O992" t="str">
        <v>+</v>
      </c>
      <c r="P992">
        <f>MAX(D992-D991,D992-D993)</f>
        <v>-3</v>
      </c>
      <c r="Q992" t="str">
        <v>x</v>
      </c>
      <c r="R992">
        <f>IF(P992&gt;0,2*(1-2*$F$19-1/2)*D987/1000,0)</f>
        <v>0</v>
      </c>
      <c r="S992" t="str">
        <v>)</v>
      </c>
      <c r="T992" t="str">
        <v>x</v>
      </c>
      <c r="U992">
        <f>0.006165*F992^2</f>
        <v>1.57824</v>
      </c>
      <c r="X992" t="str">
        <v>x</v>
      </c>
      <c r="Y992">
        <f>D990</f>
        <v>1</v>
      </c>
      <c r="Z992" t="str">
        <v>=</v>
      </c>
      <c r="AA992">
        <f>IF(AA994=0,(D992*N992+P992*R992)*U992*Y992,0)</f>
        <v>12.073536</v>
      </c>
    </row>
    <row r="993">
      <c r="A993" t="str">
        <f>A984</f>
        <v>Sloof</v>
      </c>
      <c r="B993">
        <f>B984</f>
        <v>30</v>
      </c>
      <c r="C993" t="str">
        <v>Tul Atas Tumpuan</v>
      </c>
      <c r="D993">
        <f>VLOOKUP(D984,'Detail Balok'!$C$10:$AU$110,10,FALSE)</f>
        <v>6</v>
      </c>
      <c r="E993" t="str">
        <v>D</v>
      </c>
      <c r="F993">
        <f>VLOOKUP(D984,'Detail Balok'!$C$10:$AU$110,12,FALSE)</f>
        <v>16</v>
      </c>
      <c r="I993" t="str">
        <v>(</v>
      </c>
      <c r="J993">
        <f>+D986/4/1000</f>
        <v>1.275</v>
      </c>
      <c r="K993" t="str">
        <v>+</v>
      </c>
      <c r="L993">
        <f>MAX(VLOOKUP(F993,N$6:P$15,3,FALSE)/1000,2/3*D988/1000)+F$16*F993/1000</f>
        <v>0.192</v>
      </c>
      <c r="M993" t="str">
        <v>=</v>
      </c>
      <c r="N993">
        <f>J993+L993</f>
        <v>1.4669999999999999</v>
      </c>
      <c r="O993" t="str">
        <v>+</v>
      </c>
      <c r="P993">
        <f>D993-D992</f>
        <v>3</v>
      </c>
      <c r="Q993" t="str">
        <v>x</v>
      </c>
      <c r="R993">
        <f>IF(P993&gt;0,$F$18*F993/1000,0)</f>
        <v>0.24</v>
      </c>
      <c r="S993" t="str">
        <v>)</v>
      </c>
      <c r="T993" t="str">
        <v>x</v>
      </c>
      <c r="U993">
        <f>0.006165*F993^2</f>
        <v>1.57824</v>
      </c>
      <c r="X993" t="str">
        <v>x</v>
      </c>
      <c r="Y993">
        <f>D990</f>
        <v>1</v>
      </c>
      <c r="Z993" t="str">
        <v>=</v>
      </c>
      <c r="AA993">
        <f>IF(AA994=0,(D993*N993+P993*R993)*U993*Y993,0)</f>
        <v>15.028001280000002</v>
      </c>
    </row>
    <row r="994">
      <c r="A994" t="str">
        <f>A984</f>
        <v>Sloof</v>
      </c>
      <c r="B994">
        <f>B984</f>
        <v>30</v>
      </c>
      <c r="D994">
        <f>IF(AND(D991=D992,D992=D993,D991=D993),D991,0)</f>
        <v>0</v>
      </c>
      <c r="E994" t="str">
        <v>D</v>
      </c>
      <c r="F994">
        <f>IF(AND(F991=F992,F991=F993,F992=F993),F991,0)</f>
        <v>16</v>
      </c>
      <c r="L994" t="str">
        <v>Total panjang per balok</v>
      </c>
      <c r="M994" t="str">
        <v>=</v>
      </c>
      <c r="N994">
        <f>IF(AND(D991=D992,D991=D993,D992=D993,F991=F992,F991=F993,F992=F993),SUM(N991:N993),0)</f>
        <v>0</v>
      </c>
      <c r="O994" t="str">
        <v>+</v>
      </c>
      <c r="P994">
        <f>IF(N994&gt;12,ROUNDDOWN(N994/12,0),0)</f>
        <v>0</v>
      </c>
      <c r="Q994" t="str">
        <v>x</v>
      </c>
      <c r="R994">
        <f>IF(P994&gt;0,MAX(VLOOKUP(F994,$D$6:$G$15,3,FALSE),600),0)/1000</f>
        <v>0</v>
      </c>
      <c r="T994" t="str">
        <v>x</v>
      </c>
      <c r="U994">
        <f>U993</f>
        <v>1.57824</v>
      </c>
      <c r="V994" t="str">
        <v>x</v>
      </c>
      <c r="W994">
        <f>D994</f>
        <v>0</v>
      </c>
      <c r="X994" t="str">
        <v>x</v>
      </c>
      <c r="Y994">
        <f>Y993</f>
        <v>1</v>
      </c>
      <c r="Z994" t="str">
        <v>=</v>
      </c>
      <c r="AA994">
        <f>(N994+P994*R994/1000)*U994*W994*Y994</f>
        <v>0</v>
      </c>
    </row>
    <row r="996">
      <c r="A996" t="str">
        <f>A984</f>
        <v>Sloof</v>
      </c>
      <c r="B996">
        <f>B984</f>
        <v>30</v>
      </c>
      <c r="C996" t="str">
        <v>Tul Peminggang</v>
      </c>
      <c r="D996">
        <f>VLOOKUP(D984,'Detail Balok'!$C$10:$AU$110,13,FALSE)</f>
        <v>2</v>
      </c>
      <c r="E996" t="str">
        <v>D</v>
      </c>
      <c r="F996">
        <f>VLOOKUP(D984,'Detail Balok'!$C$10:$AU$110,15,FALSE)</f>
        <v>10</v>
      </c>
      <c r="J996">
        <f>+D986/1000</f>
        <v>5.1</v>
      </c>
      <c r="K996" t="str">
        <v>+</v>
      </c>
      <c r="L996">
        <f>2*$F$16*F996/1000</f>
        <v>0.24</v>
      </c>
      <c r="M996" t="str">
        <v>=</v>
      </c>
      <c r="N996">
        <f>J996+L996</f>
        <v>5.34</v>
      </c>
      <c r="O996" t="str">
        <v>+</v>
      </c>
      <c r="P996">
        <f>IF(N996&gt;12,ROUNDDOWN(N996/12,0),0)</f>
        <v>0</v>
      </c>
      <c r="Q996" t="str">
        <v>x</v>
      </c>
      <c r="R996">
        <f>IF(P996&gt;0,MAX(VLOOKUP(F996,$D$6:$G$15,3,FALSE),600),0)/1000</f>
        <v>0</v>
      </c>
      <c r="T996" t="str">
        <v>x</v>
      </c>
      <c r="U996">
        <f>0.006165*F996^2</f>
        <v>0.6165</v>
      </c>
      <c r="V996" t="str">
        <v>x</v>
      </c>
      <c r="W996">
        <f>+D996</f>
        <v>2</v>
      </c>
      <c r="X996" t="str">
        <v>x</v>
      </c>
      <c r="Y996">
        <f>D990</f>
        <v>1</v>
      </c>
      <c r="Z996" t="str">
        <v>=</v>
      </c>
      <c r="AA996">
        <f>(N996+P996*R996/1000)*U996*W996*Y996</f>
        <v>6.58422</v>
      </c>
    </row>
    <row r="999">
      <c r="A999" t="str">
        <f>A984</f>
        <v>Sloof</v>
      </c>
      <c r="B999">
        <f>B984</f>
        <v>30</v>
      </c>
      <c r="C999" t="str">
        <v>Tul Bawah Tumpuan</v>
      </c>
      <c r="D999">
        <f>VLOOKUP(D984,'Detail Balok'!$C$10:$AU$110,22,FALSE)</f>
        <v>3</v>
      </c>
      <c r="E999" t="str">
        <v>D</v>
      </c>
      <c r="F999">
        <f>VLOOKUP(D984,'Detail Balok'!$C$10:$AU$110,24,FALSE)</f>
        <v>16</v>
      </c>
      <c r="I999" t="str">
        <v>(</v>
      </c>
      <c r="J999">
        <f>+J991</f>
        <v>1.275</v>
      </c>
      <c r="K999" t="str">
        <v>+</v>
      </c>
      <c r="L999">
        <f>MAX(VLOOKUP(F999,N$6:P$15,3,FALSE)/1000,2/3*D989/1000)+F$16*F999/1000</f>
        <v>0.192</v>
      </c>
      <c r="M999" t="str">
        <v>=</v>
      </c>
      <c r="N999">
        <f>J999+L999</f>
        <v>1.4669999999999999</v>
      </c>
      <c r="O999" t="str">
        <v>+</v>
      </c>
      <c r="P999">
        <f>D999-D1000</f>
        <v>-2</v>
      </c>
      <c r="Q999" t="str">
        <v>x</v>
      </c>
      <c r="R999">
        <f>IF(P999&gt;0,$F$18*F999/1000,0)</f>
        <v>0</v>
      </c>
      <c r="S999" t="str">
        <v>)</v>
      </c>
      <c r="T999" t="str">
        <v>x</v>
      </c>
      <c r="U999">
        <f>0.006165*F999^2</f>
        <v>1.57824</v>
      </c>
      <c r="X999" t="str">
        <v>x</v>
      </c>
      <c r="Y999">
        <f>D990</f>
        <v>1</v>
      </c>
      <c r="Z999" t="str">
        <v>=</v>
      </c>
      <c r="AA999">
        <f>IF(AA1002=0,(D999*N999+P999*R999)*U999*Y999,0)</f>
        <v>6.94583424</v>
      </c>
    </row>
    <row r="1000">
      <c r="A1000" t="str">
        <f>A984</f>
        <v>Sloof</v>
      </c>
      <c r="B1000">
        <f>B984</f>
        <v>30</v>
      </c>
      <c r="C1000" t="str">
        <v>Tul Bawah Lapangan</v>
      </c>
      <c r="D1000">
        <f>VLOOKUP(D984,'Detail Balok'!$C$10:$AU$110,25,FALSE)</f>
        <v>5</v>
      </c>
      <c r="E1000" t="str">
        <v>D</v>
      </c>
      <c r="F1000">
        <f>VLOOKUP(D984,'Detail Balok'!$C$10:$AU$110,27,FALSE)</f>
        <v>16</v>
      </c>
      <c r="I1000" t="str">
        <v>(</v>
      </c>
      <c r="J1000">
        <f>+J992</f>
        <v>2.55</v>
      </c>
      <c r="K1000" t="str">
        <v>+</v>
      </c>
      <c r="M1000" t="str">
        <v>=</v>
      </c>
      <c r="N1000">
        <f>J1000+L1000</f>
        <v>2.55</v>
      </c>
      <c r="O1000" t="str">
        <v>+</v>
      </c>
      <c r="P1000">
        <f>MAX(D1000-D999,D1000-D1001)</f>
        <v>2</v>
      </c>
      <c r="Q1000" t="str">
        <v>x</v>
      </c>
      <c r="R1000">
        <f>IF(P1000&gt;0,2*(1-2*$F$19-1/2)*D987/1000,0)</f>
        <v>1.0199999999999998</v>
      </c>
      <c r="S1000" t="str">
        <v>)</v>
      </c>
      <c r="T1000" t="str">
        <v>x</v>
      </c>
      <c r="U1000">
        <f>0.006165*F1000^2</f>
        <v>1.57824</v>
      </c>
      <c r="X1000" t="str">
        <v>x</v>
      </c>
      <c r="Y1000">
        <f>D990</f>
        <v>1</v>
      </c>
      <c r="Z1000" t="str">
        <v>=</v>
      </c>
      <c r="AA1000">
        <f>IF(AA1002=0,(D1000*N1000+P1000*R1000)*U1000*Y1000,0)</f>
        <v>23.3421696</v>
      </c>
    </row>
    <row r="1001">
      <c r="A1001" t="str">
        <f>A984</f>
        <v>Sloof</v>
      </c>
      <c r="B1001">
        <f>B984</f>
        <v>30</v>
      </c>
      <c r="C1001" t="str">
        <v>Tul Bawah Tumpuan</v>
      </c>
      <c r="D1001">
        <f>VLOOKUP(D984,'Detail Balok'!$C$10:$AU$110,28,FALSE)</f>
        <v>3</v>
      </c>
      <c r="E1001" t="str">
        <v>D</v>
      </c>
      <c r="F1001">
        <f>VLOOKUP(D984,'Detail Balok'!$C$10:$AU$110,30,FALSE)</f>
        <v>16</v>
      </c>
      <c r="I1001" t="str">
        <v>(</v>
      </c>
      <c r="J1001">
        <f>+J993</f>
        <v>1.275</v>
      </c>
      <c r="K1001" t="str">
        <v>+</v>
      </c>
      <c r="L1001">
        <f>MAX(VLOOKUP(F1001,N$6:P$15,3,FALSE)/1000,2/3*D989/1000)+F$16*F1001/1000</f>
        <v>0.192</v>
      </c>
      <c r="M1001" t="str">
        <v>=</v>
      </c>
      <c r="N1001">
        <f>J1001+L1001</f>
        <v>1.4669999999999999</v>
      </c>
      <c r="O1001" t="str">
        <v>+</v>
      </c>
      <c r="P1001">
        <f>D1001-D1000</f>
        <v>-2</v>
      </c>
      <c r="Q1001" t="str">
        <v>x</v>
      </c>
      <c r="R1001">
        <f>IF(P1001&gt;0,$F$18*F1001/1000,0)</f>
        <v>0</v>
      </c>
      <c r="S1001" t="str">
        <v>)</v>
      </c>
      <c r="T1001" t="str">
        <v>x</v>
      </c>
      <c r="U1001">
        <f>0.006165*F1001^2</f>
        <v>1.57824</v>
      </c>
      <c r="X1001" t="str">
        <v>x</v>
      </c>
      <c r="Y1001">
        <f>D990</f>
        <v>1</v>
      </c>
      <c r="Z1001" t="str">
        <v>=</v>
      </c>
      <c r="AA1001">
        <f>IF(AA1002=0,(D1001*N1001+P1001*R1001)*U1001*Y1001,0)</f>
        <v>6.94583424</v>
      </c>
    </row>
    <row r="1002">
      <c r="A1002" t="str">
        <f>A984</f>
        <v>Sloof</v>
      </c>
      <c r="B1002">
        <f>B984</f>
        <v>30</v>
      </c>
      <c r="D1002">
        <f>IF(AND(D999=D1000,D1000=D1001,D999=D1001),D999,0)</f>
        <v>0</v>
      </c>
      <c r="E1002" t="str">
        <v>D</v>
      </c>
      <c r="F1002">
        <f>IF(AND(F999=F1000,F999=F1001,F1000=F1001),F999,0)</f>
        <v>16</v>
      </c>
      <c r="L1002" t="str">
        <v>Total panjang per balok</v>
      </c>
      <c r="M1002" t="str">
        <v>=</v>
      </c>
      <c r="N1002">
        <f>IF(AND(D999=D1000,D999=D1001,D1000=D1001,F999=F1000,F999=F1001,F1000=F1001),SUM(N999:N1001),0)</f>
        <v>0</v>
      </c>
      <c r="O1002" t="str">
        <v>+</v>
      </c>
      <c r="P1002">
        <f>IF(N1002&gt;12,ROUNDDOWN(N1002/12,0),0)</f>
        <v>0</v>
      </c>
      <c r="Q1002" t="str">
        <v>x</v>
      </c>
      <c r="R1002">
        <f>IF(P1002&gt;0,MAX(VLOOKUP(F1002,$D$6:$G$15,3,FALSE),600),0)/1000</f>
        <v>0</v>
      </c>
      <c r="T1002" t="str">
        <v>x</v>
      </c>
      <c r="U1002">
        <f>U1001</f>
        <v>1.57824</v>
      </c>
      <c r="V1002" t="str">
        <v>x</v>
      </c>
      <c r="W1002">
        <f>D1002</f>
        <v>0</v>
      </c>
      <c r="X1002" t="str">
        <v>x</v>
      </c>
      <c r="Y1002">
        <f>Y1001</f>
        <v>1</v>
      </c>
      <c r="Z1002" t="str">
        <v>=</v>
      </c>
      <c r="AA1002">
        <f>(N1002+P1002*R1002/1000)*U1002*W1002*Y1002</f>
        <v>0</v>
      </c>
    </row>
    <row r="1004">
      <c r="A1004" t="str">
        <f>A984</f>
        <v>Sloof</v>
      </c>
      <c r="B1004">
        <f>B984</f>
        <v>30</v>
      </c>
      <c r="C1004" t="str">
        <v>Sengkang Tumpuan</v>
      </c>
      <c r="D1004">
        <f>VLOOKUP(D984,'Detail Balok'!$C$10:$AU$110,31,FALSE)</f>
        <v>0</v>
      </c>
      <c r="E1004" t="str">
        <v>D</v>
      </c>
      <c r="F1004">
        <f>VLOOKUP(D984,'Detail Balok'!$C$10:$AU$110,33,FALSE)</f>
        <v>10</v>
      </c>
      <c r="G1004" t="str">
        <v>-</v>
      </c>
      <c r="H1004">
        <f>VLOOKUP(D984,'Detail Balok'!$C$10:$AU$110,35,FALSE)</f>
        <v>200</v>
      </c>
      <c r="J1004">
        <f>(IF(D1004=0,(2*(D985+G985))-(F$5*8),IF(D1004=3,(2*(D985+G985))-(F$5*8)+(G985-2*F$5),IF(D1004=4,(2*(D985+G985))-(F$5*8)+2*(G985-2*F$5)))))/1000</f>
        <v>1.28</v>
      </c>
      <c r="K1004" t="str">
        <v>+</v>
      </c>
      <c r="L1004">
        <f>IF(D1004=0,2*MAX(6*F1004,75),(D1004-1)*2*MAX(6*F1004,75))/1000</f>
        <v>0.15</v>
      </c>
      <c r="M1004" t="str">
        <v>=</v>
      </c>
      <c r="N1004">
        <f>J1004+L1004</f>
        <v>1.43</v>
      </c>
      <c r="T1004" t="str">
        <v>x</v>
      </c>
      <c r="U1004">
        <f>0.006165*F1004^2</f>
        <v>0.6165</v>
      </c>
      <c r="V1004" t="str">
        <v>x</v>
      </c>
      <c r="W1004">
        <f>IF(D987&gt;4*G985,ROUND(MAX(D987/4,2*G985)/H1004,0)+1,ROUND(D987/H1004,0)+1)</f>
        <v>7</v>
      </c>
      <c r="X1004" t="str">
        <v>x</v>
      </c>
      <c r="Y1004">
        <f>D990</f>
        <v>1</v>
      </c>
      <c r="Z1004" t="str">
        <v>=</v>
      </c>
      <c r="AA1004">
        <f>N1004*U1004*W1004*Y1004</f>
        <v>6.171165</v>
      </c>
    </row>
    <row r="1005">
      <c r="A1005" t="str">
        <f>A984</f>
        <v>Sloof</v>
      </c>
      <c r="B1005">
        <f>B984</f>
        <v>30</v>
      </c>
      <c r="C1005" t="str">
        <v>Sengkang Lapangan</v>
      </c>
      <c r="D1005">
        <f>VLOOKUP(D984,'Detail Balok'!$C$10:$AU$110,36,FALSE)</f>
        <v>0</v>
      </c>
      <c r="E1005" t="str">
        <v>D</v>
      </c>
      <c r="F1005">
        <f>VLOOKUP(D984,'Detail Balok'!$C$10:$AU$110,38,FALSE)</f>
        <v>10</v>
      </c>
      <c r="G1005" t="str">
        <v>-</v>
      </c>
      <c r="H1005">
        <f>VLOOKUP(D984,'Detail Balok'!$C$10:$AU$110,40,FALSE)</f>
        <v>200</v>
      </c>
      <c r="J1005">
        <f>(IF(D1005=0,(2*(D985+G985))-(F$5*8),IF(D1005=3,(2*(D985+G985))-(F$5*8)+(G985-2*F$5),IF(D1005=4,(2*(D985+G985))-(F$5*8)+2*(G985-2*F$5)))))/1000</f>
        <v>1.28</v>
      </c>
      <c r="K1005" t="str">
        <v>+</v>
      </c>
      <c r="L1005">
        <f>IF(D1005=0,2*MAX(6*F1005,75),(D1005-1)*2*MAX(6*F1005,75))/1000</f>
        <v>0.15</v>
      </c>
      <c r="M1005" t="str">
        <v>=</v>
      </c>
      <c r="N1005">
        <f>J1005+L1005</f>
        <v>1.43</v>
      </c>
      <c r="T1005" t="str">
        <v>x</v>
      </c>
      <c r="U1005">
        <f>0.006165*F1005^2</f>
        <v>0.6165</v>
      </c>
      <c r="V1005" t="str">
        <v>x</v>
      </c>
      <c r="W1005">
        <f>IF(D987-MAX(D987/4,2*G985)*2&gt;0,ROUND((D987-MAX(D987/4,2*G985)*2)/H1005,0),0)</f>
        <v>13</v>
      </c>
      <c r="X1005" t="str">
        <v>x</v>
      </c>
      <c r="Y1005">
        <f>D990</f>
        <v>1</v>
      </c>
      <c r="Z1005" t="str">
        <v>=</v>
      </c>
      <c r="AA1005">
        <f>N1005*U1005*W1005*Y1005</f>
        <v>11.460735</v>
      </c>
    </row>
    <row r="1006">
      <c r="A1006" t="str">
        <f>A984</f>
        <v>Sloof</v>
      </c>
      <c r="B1006">
        <f>B984</f>
        <v>30</v>
      </c>
      <c r="C1006" t="str">
        <v>Sengkang Tumpuan</v>
      </c>
      <c r="D1006">
        <f>VLOOKUP(D984,'Detail Balok'!$C$10:$AU$110,41,FALSE)</f>
        <v>0</v>
      </c>
      <c r="E1006" t="str">
        <v>D</v>
      </c>
      <c r="F1006">
        <f>VLOOKUP(D984,'Detail Balok'!$C$10:$AU$110,43,FALSE)</f>
        <v>10</v>
      </c>
      <c r="G1006" t="str">
        <v>-</v>
      </c>
      <c r="H1006">
        <f>VLOOKUP(D984,'Detail Balok'!$C$10:$AU$110,45,FALSE)</f>
        <v>200</v>
      </c>
      <c r="J1006">
        <f>(IF(D1006=0,(2*(D985+G985))-(F$5*8),IF(D1006=3,(2*(D985+G985))-(F$5*8)+(G985-2*F$5),IF(D1006=4,(2*(D985+G985))-(F$5*8)+2*(G985-2*F$5)))))/1000</f>
        <v>1.28</v>
      </c>
      <c r="K1006" t="str">
        <v>+</v>
      </c>
      <c r="L1006">
        <f>IF(D1006=0,2*MAX(6*F1006,75),(D1006-1)*2*MAX(6*F1006,75))/1000</f>
        <v>0.15</v>
      </c>
      <c r="M1006" t="str">
        <v>=</v>
      </c>
      <c r="N1006">
        <f>J1006+L1006</f>
        <v>1.43</v>
      </c>
      <c r="T1006" t="str">
        <v>x</v>
      </c>
      <c r="U1006">
        <f>0.006165*F1006^2</f>
        <v>0.6165</v>
      </c>
      <c r="V1006" t="str">
        <v>x</v>
      </c>
      <c r="W1006">
        <f>IF(D987&gt;4*G985,ROUND(MAX(D987/4,2*G985)/H1006,0)+1,0)</f>
        <v>7</v>
      </c>
      <c r="X1006" t="str">
        <v>x</v>
      </c>
      <c r="Y1006">
        <f>D990</f>
        <v>1</v>
      </c>
      <c r="Z1006" t="str">
        <v>=</v>
      </c>
      <c r="AA1006">
        <f>N1006*U1006*W1006*Y1006</f>
        <v>6.171165</v>
      </c>
    </row>
    <row r="1008">
      <c r="A1008" t="str">
        <f>A984</f>
        <v>Sloof</v>
      </c>
      <c r="B1008">
        <f>B984</f>
        <v>30</v>
      </c>
      <c r="C1008" t="str">
        <v>Kait Horizontal Tump.</v>
      </c>
      <c r="D1008">
        <f>VLOOKUP(D984,'Detail Balok'!$C$10:$BJ$110,46,FALSE)</f>
        <v>0</v>
      </c>
      <c r="E1008" t="str">
        <v>D</v>
      </c>
      <c r="F1008">
        <f>VLOOKUP(D984,'Detail Balok'!$C$10:$BJ$110,48,FALSE)</f>
        <v>0</v>
      </c>
      <c r="G1008" t="str">
        <v>-</v>
      </c>
      <c r="H1008">
        <f>VLOOKUP(D984,'Detail Balok'!$C$10:$BJ$110,50,FALSE)</f>
        <v>100</v>
      </c>
      <c r="J1008">
        <f>(D985-2*F$5)/1000</f>
        <v>0.22</v>
      </c>
      <c r="K1008" t="str">
        <v>+</v>
      </c>
      <c r="L1008">
        <f>IF(D1008=0,2*MAX(6*F1008,75),(D1008-1)*2*MAX(6*F1008,75))/1000</f>
        <v>0.15</v>
      </c>
      <c r="M1008" t="str">
        <v>=</v>
      </c>
      <c r="N1008">
        <f>J1008+L1008</f>
        <v>0.37</v>
      </c>
      <c r="T1008" t="str">
        <v>x</v>
      </c>
      <c r="U1008">
        <f>0.006165*F1008^2</f>
        <v>0</v>
      </c>
      <c r="V1008" t="str">
        <v>x</v>
      </c>
      <c r="W1008">
        <f>W1004</f>
        <v>7</v>
      </c>
      <c r="X1008" t="str">
        <v>x</v>
      </c>
      <c r="Y1008">
        <f>D994</f>
        <v>0</v>
      </c>
      <c r="Z1008" t="str">
        <v>=</v>
      </c>
      <c r="AA1008">
        <f>N1008*U1008*W1008*Y1008</f>
        <v>0</v>
      </c>
    </row>
    <row r="1009">
      <c r="A1009" t="str">
        <f>A984</f>
        <v>Sloof</v>
      </c>
      <c r="B1009">
        <f>B984</f>
        <v>30</v>
      </c>
      <c r="C1009" t="str">
        <v>Kait Horizontal Lap.</v>
      </c>
      <c r="D1009">
        <f>VLOOKUP(D984,'Detail Balok'!$C$10:$BJ$110,51,FALSE)</f>
        <v>0</v>
      </c>
      <c r="E1009" t="str">
        <v>D</v>
      </c>
      <c r="F1009">
        <f>VLOOKUP(D984,'Detail Balok'!$C$10:$BJ$110,53,FALSE)</f>
        <v>0</v>
      </c>
      <c r="G1009" t="str">
        <v>-</v>
      </c>
      <c r="H1009">
        <f>VLOOKUP(D984,'Detail Balok'!$C$10:$BJ$110,55,FALSE)</f>
        <v>100</v>
      </c>
      <c r="J1009">
        <f>(D985-2*F$5)/1000</f>
        <v>0.22</v>
      </c>
      <c r="K1009" t="str">
        <v>+</v>
      </c>
      <c r="L1009">
        <f>IF(D1009=0,2*MAX(6*F1009,75),(D1009-1)*2*MAX(6*F1009,75))/1000</f>
        <v>0.15</v>
      </c>
      <c r="M1009" t="str">
        <v>=</v>
      </c>
      <c r="N1009">
        <f>J1009+L1009</f>
        <v>0.37</v>
      </c>
      <c r="T1009" t="str">
        <v>x</v>
      </c>
      <c r="U1009">
        <f>0.006165*F1009^2</f>
        <v>0</v>
      </c>
      <c r="V1009" t="str">
        <v>x</v>
      </c>
      <c r="W1009">
        <f>W1005</f>
        <v>13</v>
      </c>
      <c r="X1009" t="str">
        <v>x</v>
      </c>
      <c r="Y1009">
        <f>D994</f>
        <v>0</v>
      </c>
      <c r="Z1009" t="str">
        <v>=</v>
      </c>
      <c r="AA1009">
        <f>N1009*U1009*W1009*Y1009</f>
        <v>0</v>
      </c>
    </row>
    <row r="1010">
      <c r="A1010" t="str">
        <f>A984</f>
        <v>Sloof</v>
      </c>
      <c r="B1010">
        <f>B984</f>
        <v>30</v>
      </c>
      <c r="C1010" t="str">
        <v>Kait Horizontal Tump.</v>
      </c>
      <c r="D1010">
        <f>VLOOKUP(D984,'Detail Balok'!$C$10:$BJ$110,56,FALSE)</f>
        <v>0</v>
      </c>
      <c r="E1010" t="str">
        <v>D</v>
      </c>
      <c r="F1010">
        <f>VLOOKUP(D984,'Detail Balok'!$C$10:$BJ$110,58,FALSE)</f>
        <v>0</v>
      </c>
      <c r="G1010" t="str">
        <v>-</v>
      </c>
      <c r="H1010">
        <f>VLOOKUP(D984,'Detail Balok'!$C$10:$BJ$110,60,FALSE)</f>
        <v>100</v>
      </c>
      <c r="J1010">
        <f>(D985-2*F$5)/1000</f>
        <v>0.22</v>
      </c>
      <c r="K1010" t="str">
        <v>+</v>
      </c>
      <c r="L1010">
        <f>IF(D1010=0,2*MAX(6*F1010,75),(D1010-1)*2*MAX(6*F1010,75))/1000</f>
        <v>0.15</v>
      </c>
      <c r="M1010" t="str">
        <v>=</v>
      </c>
      <c r="N1010">
        <f>J1010+L1010</f>
        <v>0.37</v>
      </c>
      <c r="T1010" t="str">
        <v>x</v>
      </c>
      <c r="U1010">
        <f>0.006165*F1010^2</f>
        <v>0</v>
      </c>
      <c r="V1010" t="str">
        <v>x</v>
      </c>
      <c r="W1010">
        <f>W1006</f>
        <v>7</v>
      </c>
      <c r="X1010" t="str">
        <v>x</v>
      </c>
      <c r="Y1010">
        <f>D994</f>
        <v>0</v>
      </c>
      <c r="Z1010" t="str">
        <v>=</v>
      </c>
      <c r="AA1010">
        <f>N1010*U1010*W1010*Y1010</f>
        <v>0</v>
      </c>
    </row>
    <row r="1014">
      <c r="A1014" t="str">
        <f>A984</f>
        <v>Sloof</v>
      </c>
      <c r="B1014" t="str">
        <v>30A</v>
      </c>
      <c r="C1014" t="str">
        <f>CONCATENATE(A1014," no. ",B1014)</f>
        <v>Sloof no. 30A</v>
      </c>
      <c r="D1014" t="str">
        <f>VLOOKUP(C1014,'Data Panjang Balok'!$C$9:$N$424,2,FALSE)</f>
        <v>TB24-1</v>
      </c>
    </row>
    <row r="1015">
      <c r="C1015" t="str">
        <v>Dimensi</v>
      </c>
      <c r="D1015">
        <f>VLOOKUP(D1014,'Detail Balok'!$C$10:$AU$110,2,FALSE)</f>
        <v>200</v>
      </c>
      <c r="F1015" t="str">
        <v>x</v>
      </c>
      <c r="G1015">
        <f>VLOOKUP(D1014,'Detail Balok'!$C$10:$AU$110,3,FALSE)</f>
        <v>400</v>
      </c>
    </row>
    <row r="1016">
      <c r="C1016" t="str">
        <v>Panjang as ke as</v>
      </c>
      <c r="D1016">
        <f>VLOOKUP(C1014,'Data Panjang Balok'!$C$9:$N$424,4,FALSE)</f>
        <v>2185</v>
      </c>
    </row>
    <row r="1017">
      <c r="C1017" t="str">
        <v>Panjang netto</v>
      </c>
      <c r="D1017">
        <f>VLOOKUP(C1014,'Data Panjang Balok'!$C$9:$N$424,7,FALSE)</f>
        <v>2185</v>
      </c>
    </row>
    <row r="1018">
      <c r="C1018" t="str">
        <v>Kolom / balok kiri</v>
      </c>
      <c r="D1018">
        <f>VLOOKUP(C1014,'Data Panjang Balok'!$C$9:$N$424,9,FALSE)</f>
        <v>0</v>
      </c>
    </row>
    <row r="1019">
      <c r="C1019" t="str">
        <v>Kolom / balok kanan</v>
      </c>
      <c r="D1019">
        <f>VLOOKUP(C1014,'Data Panjang Balok'!$C$9:$N$424,10,FALSE)</f>
        <v>0</v>
      </c>
    </row>
    <row r="1020">
      <c r="C1020" t="str">
        <v>Jumlah</v>
      </c>
      <c r="D1020">
        <f>VLOOKUP(C1014,'Data Panjang Balok'!$C$9:$N$424,3,FALSE)</f>
        <v>1</v>
      </c>
    </row>
    <row r="1021">
      <c r="A1021" t="str">
        <f>A1014</f>
        <v>Sloof</v>
      </c>
      <c r="B1021" t="str">
        <f>B1014</f>
        <v>30A</v>
      </c>
      <c r="C1021" t="str">
        <v>Tul Atas Tumpuan</v>
      </c>
      <c r="D1021">
        <f>VLOOKUP(D1014,'Detail Balok'!$C$10:$AU$110,4,FALSE)</f>
        <v>2</v>
      </c>
      <c r="E1021" t="str">
        <v>D</v>
      </c>
      <c r="F1021">
        <f>VLOOKUP(D1014,'Detail Balok'!$C$10:$AU$110,6,FALSE)</f>
        <v>13</v>
      </c>
      <c r="I1021" t="str">
        <v>(</v>
      </c>
      <c r="J1021">
        <f>+D1016/4/1000</f>
        <v>0.54625</v>
      </c>
      <c r="K1021" t="str">
        <v>+</v>
      </c>
      <c r="L1021">
        <f>MAX(VLOOKUP(F1021,N$6:P$15,3,FALSE)/1000,2/3*D1018/1000)+F$16*F1021/1000</f>
        <v>0.156</v>
      </c>
      <c r="M1021" t="str">
        <v>=</v>
      </c>
      <c r="N1021">
        <f>J1021+L1021</f>
        <v>0.70225</v>
      </c>
      <c r="O1021" t="str">
        <v>+</v>
      </c>
      <c r="P1021">
        <f>D1021-D1022</f>
        <v>0</v>
      </c>
      <c r="Q1021" t="str">
        <v>x</v>
      </c>
      <c r="R1021">
        <f>IF(P1021&gt;0,$F$18*F1021/1000,0)</f>
        <v>0</v>
      </c>
      <c r="S1021" t="str">
        <v>)</v>
      </c>
      <c r="T1021" t="str">
        <v>x</v>
      </c>
      <c r="U1021">
        <f>0.006165*F1021^2</f>
        <v>1.041885</v>
      </c>
      <c r="X1021" t="str">
        <v>x</v>
      </c>
      <c r="Y1021">
        <f>D1020</f>
        <v>1</v>
      </c>
      <c r="Z1021" t="str">
        <v>=</v>
      </c>
      <c r="AA1021">
        <f>IF(AA1024=0,(D1021*N1021+P1021*R1021)*U1021*Y1021,0)</f>
        <v>0</v>
      </c>
    </row>
    <row r="1022">
      <c r="A1022" t="str">
        <f>A1014</f>
        <v>Sloof</v>
      </c>
      <c r="B1022" t="str">
        <f>B1014</f>
        <v>30A</v>
      </c>
      <c r="C1022" t="str">
        <v>Tul Atas Lapangan</v>
      </c>
      <c r="D1022">
        <f>VLOOKUP(D1014,'Detail Balok'!$C$10:$AU$110,7,FALSE)</f>
        <v>2</v>
      </c>
      <c r="E1022" t="str">
        <v>D</v>
      </c>
      <c r="F1022">
        <f>VLOOKUP(D1014,'Detail Balok'!$C$10:$AU$110,9,FALSE)</f>
        <v>13</v>
      </c>
      <c r="I1022" t="str">
        <v>(</v>
      </c>
      <c r="J1022">
        <f>+D1016/2/1000</f>
        <v>1.0925</v>
      </c>
      <c r="K1022" t="str">
        <v>+</v>
      </c>
      <c r="M1022" t="str">
        <v>=</v>
      </c>
      <c r="N1022">
        <f>J1022+L1022</f>
        <v>1.0925</v>
      </c>
      <c r="O1022" t="str">
        <v>+</v>
      </c>
      <c r="P1022">
        <f>MAX(D1022-D1021,D1022-D1023)</f>
        <v>0</v>
      </c>
      <c r="Q1022" t="str">
        <v>x</v>
      </c>
      <c r="R1022">
        <f>IF(P1022&gt;0,2*(1-2*$F$19-1/2)*D1017/1000,0)</f>
        <v>0</v>
      </c>
      <c r="S1022" t="str">
        <v>)</v>
      </c>
      <c r="T1022" t="str">
        <v>x</v>
      </c>
      <c r="U1022">
        <f>0.006165*F1022^2</f>
        <v>1.041885</v>
      </c>
      <c r="X1022" t="str">
        <v>x</v>
      </c>
      <c r="Y1022">
        <f>D1020</f>
        <v>1</v>
      </c>
      <c r="Z1022" t="str">
        <v>=</v>
      </c>
      <c r="AA1022">
        <f>IF(AA1024=0,(D1022*N1022+P1022*R1022)*U1022*Y1022,0)</f>
        <v>0</v>
      </c>
    </row>
    <row r="1023">
      <c r="A1023" t="str">
        <f>A1014</f>
        <v>Sloof</v>
      </c>
      <c r="B1023" t="str">
        <f>B1014</f>
        <v>30A</v>
      </c>
      <c r="C1023" t="str">
        <v>Tul Atas Tumpuan</v>
      </c>
      <c r="D1023">
        <f>VLOOKUP(D1014,'Detail Balok'!$C$10:$AU$110,10,FALSE)</f>
        <v>2</v>
      </c>
      <c r="E1023" t="str">
        <v>D</v>
      </c>
      <c r="F1023">
        <f>VLOOKUP(D1014,'Detail Balok'!$C$10:$AU$110,12,FALSE)</f>
        <v>13</v>
      </c>
      <c r="I1023" t="str">
        <v>(</v>
      </c>
      <c r="J1023">
        <f>+D1016/4/1000</f>
        <v>0.54625</v>
      </c>
      <c r="K1023" t="str">
        <v>+</v>
      </c>
      <c r="L1023">
        <f>MAX(VLOOKUP(F1023,N$6:P$15,3,FALSE)/1000,2/3*D1018/1000)+F$16*F1023/1000</f>
        <v>0.156</v>
      </c>
      <c r="M1023" t="str">
        <v>=</v>
      </c>
      <c r="N1023">
        <f>J1023+L1023</f>
        <v>0.70225</v>
      </c>
      <c r="O1023" t="str">
        <v>+</v>
      </c>
      <c r="P1023">
        <f>D1023-D1022</f>
        <v>0</v>
      </c>
      <c r="Q1023" t="str">
        <v>x</v>
      </c>
      <c r="R1023">
        <f>IF(P1023&gt;0,$F$18*F1023/1000,0)</f>
        <v>0</v>
      </c>
      <c r="S1023" t="str">
        <v>)</v>
      </c>
      <c r="T1023" t="str">
        <v>x</v>
      </c>
      <c r="U1023">
        <f>0.006165*F1023^2</f>
        <v>1.041885</v>
      </c>
      <c r="X1023" t="str">
        <v>x</v>
      </c>
      <c r="Y1023">
        <f>D1020</f>
        <v>1</v>
      </c>
      <c r="Z1023" t="str">
        <v>=</v>
      </c>
      <c r="AA1023">
        <f>IF(AA1024=0,(D1023*N1023+P1023*R1023)*U1023*Y1023,0)</f>
        <v>0</v>
      </c>
    </row>
    <row r="1024">
      <c r="A1024" t="str">
        <f>A1014</f>
        <v>Sloof</v>
      </c>
      <c r="B1024" t="str">
        <f>B1014</f>
        <v>30A</v>
      </c>
      <c r="D1024">
        <f>IF(AND(D1021=D1022,D1022=D1023,D1021=D1023),D1021,0)</f>
        <v>2</v>
      </c>
      <c r="E1024" t="str">
        <v>D</v>
      </c>
      <c r="F1024">
        <f>IF(AND(F1021=F1022,F1021=F1023,F1022=F1023),F1021,0)</f>
        <v>13</v>
      </c>
      <c r="L1024" t="str">
        <v>Total panjang per balok</v>
      </c>
      <c r="M1024" t="str">
        <v>=</v>
      </c>
      <c r="N1024">
        <f>IF(AND(D1021=D1022,D1021=D1023,D1022=D1023,F1021=F1022,F1021=F1023,F1022=F1023),SUM(N1021:N1023),0)</f>
        <v>2.497</v>
      </c>
      <c r="O1024" t="str">
        <v>+</v>
      </c>
      <c r="P1024">
        <f>IF(N1024&gt;12,ROUNDDOWN(N1024/12,0),0)</f>
        <v>0</v>
      </c>
      <c r="Q1024" t="str">
        <v>x</v>
      </c>
      <c r="R1024">
        <f>IF(P1024&gt;0,MAX(VLOOKUP(F1024,$D$6:$G$15,3,FALSE),600),0)/1000</f>
        <v>0</v>
      </c>
      <c r="T1024" t="str">
        <v>x</v>
      </c>
      <c r="U1024">
        <f>U1023</f>
        <v>1.041885</v>
      </c>
      <c r="V1024" t="str">
        <v>x</v>
      </c>
      <c r="W1024">
        <f>D1024</f>
        <v>2</v>
      </c>
      <c r="X1024" t="str">
        <v>x</v>
      </c>
      <c r="Y1024">
        <f>Y1023</f>
        <v>1</v>
      </c>
      <c r="Z1024" t="str">
        <v>=</v>
      </c>
      <c r="AA1024">
        <f>(N1024+P1024*R1024/1000)*U1024*W1024*Y1024</f>
        <v>5.20317369</v>
      </c>
    </row>
    <row r="1026">
      <c r="A1026" t="str">
        <f>A1014</f>
        <v>Sloof</v>
      </c>
      <c r="B1026" t="str">
        <f>B1014</f>
        <v>30A</v>
      </c>
      <c r="C1026" t="str">
        <v>Tul Peminggang</v>
      </c>
      <c r="D1026">
        <f>VLOOKUP(D1014,'Detail Balok'!$C$10:$AU$110,13,FALSE)</f>
        <v>0</v>
      </c>
      <c r="E1026" t="str">
        <v>D</v>
      </c>
      <c r="F1026">
        <f>VLOOKUP(D1014,'Detail Balok'!$C$10:$AU$110,15,FALSE)</f>
        <v>6</v>
      </c>
      <c r="J1026">
        <f>+D1016/1000</f>
        <v>2.185</v>
      </c>
      <c r="K1026" t="str">
        <v>+</v>
      </c>
      <c r="L1026">
        <f>2*$F$16*F1026/1000</f>
        <v>0.144</v>
      </c>
      <c r="M1026" t="str">
        <v>=</v>
      </c>
      <c r="N1026">
        <f>J1026+L1026</f>
        <v>2.329</v>
      </c>
      <c r="O1026" t="str">
        <v>+</v>
      </c>
      <c r="P1026">
        <f>IF(N1026&gt;12,ROUNDDOWN(N1026/12,0),0)</f>
        <v>0</v>
      </c>
      <c r="Q1026" t="str">
        <v>x</v>
      </c>
      <c r="R1026">
        <f>IF(P1026&gt;0,MAX(VLOOKUP(F1026,$D$6:$G$15,3,FALSE),600),0)/1000</f>
        <v>0</v>
      </c>
      <c r="T1026" t="str">
        <v>x</v>
      </c>
      <c r="U1026">
        <f>0.006165*F1026^2</f>
        <v>0.22194000000000003</v>
      </c>
      <c r="V1026" t="str">
        <v>x</v>
      </c>
      <c r="W1026">
        <f>+D1026</f>
        <v>0</v>
      </c>
      <c r="X1026" t="str">
        <v>x</v>
      </c>
      <c r="Y1026">
        <f>D1020</f>
        <v>1</v>
      </c>
      <c r="Z1026" t="str">
        <v>=</v>
      </c>
      <c r="AA1026">
        <f>(N1026+P1026*R1026/1000)*U1026*W1026*Y1026</f>
        <v>0</v>
      </c>
    </row>
    <row r="1029">
      <c r="A1029" t="str">
        <f>A1014</f>
        <v>Sloof</v>
      </c>
      <c r="B1029" t="str">
        <f>B1014</f>
        <v>30A</v>
      </c>
      <c r="C1029" t="str">
        <v>Tul Bawah Tumpuan</v>
      </c>
      <c r="D1029">
        <f>VLOOKUP(D1014,'Detail Balok'!$C$10:$AU$110,22,FALSE)</f>
        <v>2</v>
      </c>
      <c r="E1029" t="str">
        <v>D</v>
      </c>
      <c r="F1029">
        <f>VLOOKUP(D1014,'Detail Balok'!$C$10:$AU$110,24,FALSE)</f>
        <v>13</v>
      </c>
      <c r="I1029" t="str">
        <v>(</v>
      </c>
      <c r="J1029">
        <f>+J1021</f>
        <v>0.54625</v>
      </c>
      <c r="K1029" t="str">
        <v>+</v>
      </c>
      <c r="L1029">
        <f>MAX(VLOOKUP(F1029,N$6:P$15,3,FALSE)/1000,2/3*D1019/1000)+F$16*F1029/1000</f>
        <v>0.156</v>
      </c>
      <c r="M1029" t="str">
        <v>=</v>
      </c>
      <c r="N1029">
        <f>J1029+L1029</f>
        <v>0.70225</v>
      </c>
      <c r="O1029" t="str">
        <v>+</v>
      </c>
      <c r="P1029">
        <f>D1029-D1030</f>
        <v>0</v>
      </c>
      <c r="Q1029" t="str">
        <v>x</v>
      </c>
      <c r="R1029">
        <f>IF(P1029&gt;0,$F$18*F1029/1000,0)</f>
        <v>0</v>
      </c>
      <c r="S1029" t="str">
        <v>)</v>
      </c>
      <c r="T1029" t="str">
        <v>x</v>
      </c>
      <c r="U1029">
        <f>0.006165*F1029^2</f>
        <v>1.041885</v>
      </c>
      <c r="X1029" t="str">
        <v>x</v>
      </c>
      <c r="Y1029">
        <f>D1020</f>
        <v>1</v>
      </c>
      <c r="Z1029" t="str">
        <v>=</v>
      </c>
      <c r="AA1029">
        <f>IF(AA1032=0,(D1029*N1029+P1029*R1029)*U1029*Y1029,0)</f>
        <v>0</v>
      </c>
    </row>
    <row r="1030">
      <c r="A1030" t="str">
        <f>A1014</f>
        <v>Sloof</v>
      </c>
      <c r="B1030" t="str">
        <f>B1014</f>
        <v>30A</v>
      </c>
      <c r="C1030" t="str">
        <v>Tul Bawah Lapangan</v>
      </c>
      <c r="D1030">
        <f>VLOOKUP(D1014,'Detail Balok'!$C$10:$AU$110,25,FALSE)</f>
        <v>2</v>
      </c>
      <c r="E1030" t="str">
        <v>D</v>
      </c>
      <c r="F1030">
        <f>VLOOKUP(D1014,'Detail Balok'!$C$10:$AU$110,27,FALSE)</f>
        <v>13</v>
      </c>
      <c r="I1030" t="str">
        <v>(</v>
      </c>
      <c r="J1030">
        <f>+J1022</f>
        <v>1.0925</v>
      </c>
      <c r="K1030" t="str">
        <v>+</v>
      </c>
      <c r="M1030" t="str">
        <v>=</v>
      </c>
      <c r="N1030">
        <f>J1030+L1030</f>
        <v>1.0925</v>
      </c>
      <c r="O1030" t="str">
        <v>+</v>
      </c>
      <c r="P1030">
        <f>MAX(D1030-D1029,D1030-D1031)</f>
        <v>0</v>
      </c>
      <c r="Q1030" t="str">
        <v>x</v>
      </c>
      <c r="R1030">
        <f>IF(P1030&gt;0,2*(1-2*$F$19-1/2)*D1017/1000,0)</f>
        <v>0</v>
      </c>
      <c r="S1030" t="str">
        <v>)</v>
      </c>
      <c r="T1030" t="str">
        <v>x</v>
      </c>
      <c r="U1030">
        <f>0.006165*F1030^2</f>
        <v>1.041885</v>
      </c>
      <c r="X1030" t="str">
        <v>x</v>
      </c>
      <c r="Y1030">
        <f>D1020</f>
        <v>1</v>
      </c>
      <c r="Z1030" t="str">
        <v>=</v>
      </c>
      <c r="AA1030">
        <f>IF(AA1032=0,(D1030*N1030+P1030*R1030)*U1030*Y1030,0)</f>
        <v>0</v>
      </c>
    </row>
    <row r="1031">
      <c r="A1031" t="str">
        <f>A1014</f>
        <v>Sloof</v>
      </c>
      <c r="B1031" t="str">
        <f>B1014</f>
        <v>30A</v>
      </c>
      <c r="C1031" t="str">
        <v>Tul Bawah Tumpuan</v>
      </c>
      <c r="D1031">
        <f>VLOOKUP(D1014,'Detail Balok'!$C$10:$AU$110,28,FALSE)</f>
        <v>2</v>
      </c>
      <c r="E1031" t="str">
        <v>D</v>
      </c>
      <c r="F1031">
        <f>VLOOKUP(D1014,'Detail Balok'!$C$10:$AU$110,30,FALSE)</f>
        <v>13</v>
      </c>
      <c r="I1031" t="str">
        <v>(</v>
      </c>
      <c r="J1031">
        <f>+J1023</f>
        <v>0.54625</v>
      </c>
      <c r="K1031" t="str">
        <v>+</v>
      </c>
      <c r="L1031">
        <f>MAX(VLOOKUP(F1031,N$6:P$15,3,FALSE)/1000,2/3*D1019/1000)+F$16*F1031/1000</f>
        <v>0.156</v>
      </c>
      <c r="M1031" t="str">
        <v>=</v>
      </c>
      <c r="N1031">
        <f>J1031+L1031</f>
        <v>0.70225</v>
      </c>
      <c r="O1031" t="str">
        <v>+</v>
      </c>
      <c r="P1031">
        <f>D1031-D1030</f>
        <v>0</v>
      </c>
      <c r="Q1031" t="str">
        <v>x</v>
      </c>
      <c r="R1031">
        <f>IF(P1031&gt;0,$F$18*F1031/1000,0)</f>
        <v>0</v>
      </c>
      <c r="S1031" t="str">
        <v>)</v>
      </c>
      <c r="T1031" t="str">
        <v>x</v>
      </c>
      <c r="U1031">
        <f>0.006165*F1031^2</f>
        <v>1.041885</v>
      </c>
      <c r="X1031" t="str">
        <v>x</v>
      </c>
      <c r="Y1031">
        <f>D1020</f>
        <v>1</v>
      </c>
      <c r="Z1031" t="str">
        <v>=</v>
      </c>
      <c r="AA1031">
        <f>IF(AA1032=0,(D1031*N1031+P1031*R1031)*U1031*Y1031,0)</f>
        <v>0</v>
      </c>
    </row>
    <row r="1032">
      <c r="A1032" t="str">
        <f>A1014</f>
        <v>Sloof</v>
      </c>
      <c r="B1032" t="str">
        <f>B1014</f>
        <v>30A</v>
      </c>
      <c r="D1032">
        <f>IF(AND(D1029=D1030,D1030=D1031,D1029=D1031),D1029,0)</f>
        <v>2</v>
      </c>
      <c r="E1032" t="str">
        <v>D</v>
      </c>
      <c r="F1032">
        <f>IF(AND(F1029=F1030,F1029=F1031,F1030=F1031),F1029,0)</f>
        <v>13</v>
      </c>
      <c r="L1032" t="str">
        <v>Total panjang per balok</v>
      </c>
      <c r="M1032" t="str">
        <v>=</v>
      </c>
      <c r="N1032">
        <f>IF(AND(D1029=D1030,D1029=D1031,D1030=D1031,F1029=F1030,F1029=F1031,F1030=F1031),SUM(N1029:N1031),0)</f>
        <v>2.497</v>
      </c>
      <c r="O1032" t="str">
        <v>+</v>
      </c>
      <c r="P1032">
        <f>IF(N1032&gt;12,ROUNDDOWN(N1032/12,0),0)</f>
        <v>0</v>
      </c>
      <c r="Q1032" t="str">
        <v>x</v>
      </c>
      <c r="R1032">
        <f>IF(P1032&gt;0,MAX(VLOOKUP(F1032,$D$6:$G$15,3,FALSE),600),0)/1000</f>
        <v>0</v>
      </c>
      <c r="T1032" t="str">
        <v>x</v>
      </c>
      <c r="U1032">
        <f>U1031</f>
        <v>1.041885</v>
      </c>
      <c r="V1032" t="str">
        <v>x</v>
      </c>
      <c r="W1032">
        <f>D1032</f>
        <v>2</v>
      </c>
      <c r="X1032" t="str">
        <v>x</v>
      </c>
      <c r="Y1032">
        <f>Y1031</f>
        <v>1</v>
      </c>
      <c r="Z1032" t="str">
        <v>=</v>
      </c>
      <c r="AA1032">
        <f>(N1032+P1032*R1032/1000)*U1032*W1032*Y1032</f>
        <v>5.20317369</v>
      </c>
    </row>
    <row r="1034">
      <c r="A1034" t="str">
        <f>A1014</f>
        <v>Sloof</v>
      </c>
      <c r="B1034" t="str">
        <f>B1014</f>
        <v>30A</v>
      </c>
      <c r="C1034" t="str">
        <v>Sengkang Tumpuan</v>
      </c>
      <c r="D1034">
        <f>VLOOKUP(D1014,'Detail Balok'!$C$10:$AU$110,31,FALSE)</f>
        <v>0</v>
      </c>
      <c r="E1034" t="str">
        <v>D</v>
      </c>
      <c r="F1034">
        <f>VLOOKUP(D1014,'Detail Balok'!$C$10:$AU$110,33,FALSE)</f>
        <v>8</v>
      </c>
      <c r="G1034" t="str">
        <v>-</v>
      </c>
      <c r="H1034">
        <f>VLOOKUP(D1014,'Detail Balok'!$C$10:$AU$110,35,FALSE)</f>
        <v>200</v>
      </c>
      <c r="J1034">
        <f>(IF(D1034=0,(2*(D1015+G1015))-(F$5*8),IF(D1034=3,(2*(D1015+G1015))-(F$5*8)+(G1015-2*F$5),IF(D1034=4,(2*(D1015+G1015))-(F$5*8)+2*(G1015-2*F$5)))))/1000</f>
        <v>0.88</v>
      </c>
      <c r="K1034" t="str">
        <v>+</v>
      </c>
      <c r="L1034">
        <f>IF(D1034=0,2*MAX(6*F1034,75),(D1034-1)*2*MAX(6*F1034,75))/1000</f>
        <v>0.15</v>
      </c>
      <c r="M1034" t="str">
        <v>=</v>
      </c>
      <c r="N1034">
        <f>J1034+L1034</f>
        <v>1.03</v>
      </c>
      <c r="T1034" t="str">
        <v>x</v>
      </c>
      <c r="U1034">
        <f>0.006165*F1034^2</f>
        <v>0.39456</v>
      </c>
      <c r="V1034" t="str">
        <v>x</v>
      </c>
      <c r="W1034">
        <f>IF(D1017&gt;4*G1015,ROUND(MAX(D1017/4,2*G1015)/H1034,0)+1,ROUND(D1017/H1034,0)+1)</f>
        <v>5</v>
      </c>
      <c r="X1034" t="str">
        <v>x</v>
      </c>
      <c r="Y1034">
        <f>D1020</f>
        <v>1</v>
      </c>
      <c r="Z1034" t="str">
        <v>=</v>
      </c>
      <c r="AA1034">
        <f>N1034*U1034*W1034*Y1034</f>
        <v>2.0319840000000005</v>
      </c>
    </row>
    <row r="1035">
      <c r="A1035" t="str">
        <f>A1014</f>
        <v>Sloof</v>
      </c>
      <c r="B1035" t="str">
        <f>B1014</f>
        <v>30A</v>
      </c>
      <c r="C1035" t="str">
        <v>Sengkang Lapangan</v>
      </c>
      <c r="D1035">
        <f>VLOOKUP(D1014,'Detail Balok'!$C$10:$AU$110,36,FALSE)</f>
        <v>0</v>
      </c>
      <c r="E1035" t="str">
        <v>D</v>
      </c>
      <c r="F1035">
        <f>VLOOKUP(D1014,'Detail Balok'!$C$10:$AU$110,38,FALSE)</f>
        <v>8</v>
      </c>
      <c r="G1035" t="str">
        <v>-</v>
      </c>
      <c r="H1035">
        <f>VLOOKUP(D1014,'Detail Balok'!$C$10:$AU$110,40,FALSE)</f>
        <v>200</v>
      </c>
      <c r="J1035">
        <f>(IF(D1035=0,(2*(D1015+G1015))-(F$5*8),IF(D1035=3,(2*(D1015+G1015))-(F$5*8)+(G1015-2*F$5),IF(D1035=4,(2*(D1015+G1015))-(F$5*8)+2*(G1015-2*F$5)))))/1000</f>
        <v>0.88</v>
      </c>
      <c r="K1035" t="str">
        <v>+</v>
      </c>
      <c r="L1035">
        <f>IF(D1035=0,2*MAX(6*F1035,75),(D1035-1)*2*MAX(6*F1035,75))/1000</f>
        <v>0.15</v>
      </c>
      <c r="M1035" t="str">
        <v>=</v>
      </c>
      <c r="N1035">
        <f>J1035+L1035</f>
        <v>1.03</v>
      </c>
      <c r="T1035" t="str">
        <v>x</v>
      </c>
      <c r="U1035">
        <f>0.006165*F1035^2</f>
        <v>0.39456</v>
      </c>
      <c r="V1035" t="str">
        <v>x</v>
      </c>
      <c r="W1035">
        <f>IF(D1017-MAX(D1017/4,2*G1015)*2&gt;0,ROUND((D1017-MAX(D1017/4,2*G1015)*2)/H1035,0),0)</f>
        <v>3</v>
      </c>
      <c r="X1035" t="str">
        <v>x</v>
      </c>
      <c r="Y1035">
        <f>D1020</f>
        <v>1</v>
      </c>
      <c r="Z1035" t="str">
        <v>=</v>
      </c>
      <c r="AA1035">
        <f>N1035*U1035*W1035*Y1035</f>
        <v>1.2191904000000002</v>
      </c>
    </row>
    <row r="1036">
      <c r="A1036" t="str">
        <f>A1014</f>
        <v>Sloof</v>
      </c>
      <c r="B1036" t="str">
        <f>B1014</f>
        <v>30A</v>
      </c>
      <c r="C1036" t="str">
        <v>Sengkang Tumpuan</v>
      </c>
      <c r="D1036">
        <f>VLOOKUP(D1014,'Detail Balok'!$C$10:$AU$110,41,FALSE)</f>
        <v>0</v>
      </c>
      <c r="E1036" t="str">
        <v>D</v>
      </c>
      <c r="F1036">
        <f>VLOOKUP(D1014,'Detail Balok'!$C$10:$AU$110,43,FALSE)</f>
        <v>8</v>
      </c>
      <c r="G1036" t="str">
        <v>-</v>
      </c>
      <c r="H1036">
        <f>VLOOKUP(D1014,'Detail Balok'!$C$10:$AU$110,45,FALSE)</f>
        <v>200</v>
      </c>
      <c r="J1036">
        <f>(IF(D1036=0,(2*(D1015+G1015))-(F$5*8),IF(D1036=3,(2*(D1015+G1015))-(F$5*8)+(G1015-2*F$5),IF(D1036=4,(2*(D1015+G1015))-(F$5*8)+2*(G1015-2*F$5)))))/1000</f>
        <v>0.88</v>
      </c>
      <c r="K1036" t="str">
        <v>+</v>
      </c>
      <c r="L1036">
        <f>IF(D1036=0,2*MAX(6*F1036,75),(D1036-1)*2*MAX(6*F1036,75))/1000</f>
        <v>0.15</v>
      </c>
      <c r="M1036" t="str">
        <v>=</v>
      </c>
      <c r="N1036">
        <f>J1036+L1036</f>
        <v>1.03</v>
      </c>
      <c r="T1036" t="str">
        <v>x</v>
      </c>
      <c r="U1036">
        <f>0.006165*F1036^2</f>
        <v>0.39456</v>
      </c>
      <c r="V1036" t="str">
        <v>x</v>
      </c>
      <c r="W1036">
        <f>IF(D1017&gt;4*G1015,ROUND(MAX(D1017/4,2*G1015)/H1036,0)+1,0)</f>
        <v>5</v>
      </c>
      <c r="X1036" t="str">
        <v>x</v>
      </c>
      <c r="Y1036">
        <f>D1020</f>
        <v>1</v>
      </c>
      <c r="Z1036" t="str">
        <v>=</v>
      </c>
      <c r="AA1036">
        <f>N1036*U1036*W1036*Y1036</f>
        <v>2.0319840000000005</v>
      </c>
    </row>
    <row r="1038">
      <c r="A1038" t="str">
        <f>A1014</f>
        <v>Sloof</v>
      </c>
      <c r="B1038" t="str">
        <f>B1014</f>
        <v>30A</v>
      </c>
      <c r="C1038" t="str">
        <v>Kait Horizontal Tump.</v>
      </c>
      <c r="D1038">
        <f>VLOOKUP(D1014,'Detail Balok'!$C$10:$BJ$110,46,FALSE)</f>
        <v>0</v>
      </c>
      <c r="E1038" t="str">
        <v>D</v>
      </c>
      <c r="F1038">
        <f>VLOOKUP(D1014,'Detail Balok'!$C$10:$BJ$110,48,FALSE)</f>
        <v>0</v>
      </c>
      <c r="G1038" t="str">
        <v>-</v>
      </c>
      <c r="H1038">
        <f>VLOOKUP(D1014,'Detail Balok'!$C$10:$BJ$110,50,FALSE)</f>
        <v>100</v>
      </c>
      <c r="J1038">
        <f>(D1015-2*F$5)/1000</f>
        <v>0.12</v>
      </c>
      <c r="K1038" t="str">
        <v>+</v>
      </c>
      <c r="L1038">
        <f>IF(D1038=0,2*MAX(6*F1038,75),(D1038-1)*2*MAX(6*F1038,75))/1000</f>
        <v>0.15</v>
      </c>
      <c r="M1038" t="str">
        <v>=</v>
      </c>
      <c r="N1038">
        <f>J1038+L1038</f>
        <v>0.27</v>
      </c>
      <c r="T1038" t="str">
        <v>x</v>
      </c>
      <c r="U1038">
        <f>0.006165*F1038^2</f>
        <v>0</v>
      </c>
      <c r="V1038" t="str">
        <v>x</v>
      </c>
      <c r="W1038">
        <f>W1034</f>
        <v>5</v>
      </c>
      <c r="X1038" t="str">
        <v>x</v>
      </c>
      <c r="Y1038">
        <f>D1024</f>
        <v>2</v>
      </c>
      <c r="Z1038" t="str">
        <v>=</v>
      </c>
      <c r="AA1038">
        <f>N1038*U1038*W1038*Y1038</f>
        <v>0</v>
      </c>
    </row>
    <row r="1039">
      <c r="A1039" t="str">
        <f>A1014</f>
        <v>Sloof</v>
      </c>
      <c r="B1039" t="str">
        <f>B1014</f>
        <v>30A</v>
      </c>
      <c r="C1039" t="str">
        <v>Kait Horizontal Lap.</v>
      </c>
      <c r="D1039">
        <f>VLOOKUP(D1014,'Detail Balok'!$C$10:$BJ$110,51,FALSE)</f>
        <v>0</v>
      </c>
      <c r="E1039" t="str">
        <v>D</v>
      </c>
      <c r="F1039">
        <f>VLOOKUP(D1014,'Detail Balok'!$C$10:$BJ$110,53,FALSE)</f>
        <v>0</v>
      </c>
      <c r="G1039" t="str">
        <v>-</v>
      </c>
      <c r="H1039">
        <f>VLOOKUP(D1014,'Detail Balok'!$C$10:$BJ$110,55,FALSE)</f>
        <v>100</v>
      </c>
      <c r="J1039">
        <f>(D1015-2*F$5)/1000</f>
        <v>0.12</v>
      </c>
      <c r="K1039" t="str">
        <v>+</v>
      </c>
      <c r="L1039">
        <f>IF(D1039=0,2*MAX(6*F1039,75),(D1039-1)*2*MAX(6*F1039,75))/1000</f>
        <v>0.15</v>
      </c>
      <c r="M1039" t="str">
        <v>=</v>
      </c>
      <c r="N1039">
        <f>J1039+L1039</f>
        <v>0.27</v>
      </c>
      <c r="T1039" t="str">
        <v>x</v>
      </c>
      <c r="U1039">
        <f>0.006165*F1039^2</f>
        <v>0</v>
      </c>
      <c r="V1039" t="str">
        <v>x</v>
      </c>
      <c r="W1039">
        <f>W1035</f>
        <v>3</v>
      </c>
      <c r="X1039" t="str">
        <v>x</v>
      </c>
      <c r="Y1039">
        <f>D1024</f>
        <v>2</v>
      </c>
      <c r="Z1039" t="str">
        <v>=</v>
      </c>
      <c r="AA1039">
        <f>N1039*U1039*W1039*Y1039</f>
        <v>0</v>
      </c>
    </row>
    <row r="1040">
      <c r="A1040" t="str">
        <f>A1014</f>
        <v>Sloof</v>
      </c>
      <c r="B1040" t="str">
        <f>B1014</f>
        <v>30A</v>
      </c>
      <c r="C1040" t="str">
        <v>Kait Horizontal Tump.</v>
      </c>
      <c r="D1040">
        <f>VLOOKUP(D1014,'Detail Balok'!$C$10:$BJ$110,56,FALSE)</f>
        <v>0</v>
      </c>
      <c r="E1040" t="str">
        <v>D</v>
      </c>
      <c r="F1040">
        <f>VLOOKUP(D1014,'Detail Balok'!$C$10:$BJ$110,58,FALSE)</f>
        <v>0</v>
      </c>
      <c r="G1040" t="str">
        <v>-</v>
      </c>
      <c r="H1040">
        <f>VLOOKUP(D1014,'Detail Balok'!$C$10:$BJ$110,60,FALSE)</f>
        <v>100</v>
      </c>
      <c r="J1040">
        <f>(D1015-2*F$5)/1000</f>
        <v>0.12</v>
      </c>
      <c r="K1040" t="str">
        <v>+</v>
      </c>
      <c r="L1040">
        <f>IF(D1040=0,2*MAX(6*F1040,75),(D1040-1)*2*MAX(6*F1040,75))/1000</f>
        <v>0.15</v>
      </c>
      <c r="M1040" t="str">
        <v>=</v>
      </c>
      <c r="N1040">
        <f>J1040+L1040</f>
        <v>0.27</v>
      </c>
      <c r="T1040" t="str">
        <v>x</v>
      </c>
      <c r="U1040">
        <f>0.006165*F1040^2</f>
        <v>0</v>
      </c>
      <c r="V1040" t="str">
        <v>x</v>
      </c>
      <c r="W1040">
        <f>W1036</f>
        <v>5</v>
      </c>
      <c r="X1040" t="str">
        <v>x</v>
      </c>
      <c r="Y1040">
        <f>D1024</f>
        <v>2</v>
      </c>
      <c r="Z1040" t="str">
        <v>=</v>
      </c>
      <c r="AA1040">
        <f>N1040*U1040*W1040*Y1040</f>
        <v>0</v>
      </c>
    </row>
    <row r="1044">
      <c r="A1044" t="str">
        <f>A1014</f>
        <v>Sloof</v>
      </c>
      <c r="B1044">
        <v>31</v>
      </c>
      <c r="C1044" t="str">
        <f>CONCATENATE(A1044," no. ",B1044)</f>
        <v>Sloof no. 31</v>
      </c>
      <c r="D1044" t="str">
        <f>VLOOKUP(C1044,'Data Panjang Balok'!$C$9:$N$424,2,FALSE)</f>
        <v>TB25-3</v>
      </c>
    </row>
    <row r="1045">
      <c r="C1045" t="str">
        <v>Dimensi</v>
      </c>
      <c r="D1045">
        <f>VLOOKUP(D1044,'Detail Balok'!$C$10:$AU$110,2,FALSE)</f>
        <v>200</v>
      </c>
      <c r="F1045" t="str">
        <v>x</v>
      </c>
      <c r="G1045">
        <f>VLOOKUP(D1044,'Detail Balok'!$C$10:$AU$110,3,FALSE)</f>
        <v>500</v>
      </c>
    </row>
    <row r="1046">
      <c r="C1046" t="str">
        <v>Panjang as ke as</v>
      </c>
      <c r="D1046">
        <f>VLOOKUP(C1044,'Data Panjang Balok'!$C$9:$N$424,4,FALSE)</f>
        <v>3280</v>
      </c>
    </row>
    <row r="1047">
      <c r="C1047" t="str">
        <v>Panjang netto</v>
      </c>
      <c r="D1047">
        <f>VLOOKUP(C1044,'Data Panjang Balok'!$C$9:$N$424,7,FALSE)</f>
        <v>3280</v>
      </c>
    </row>
    <row r="1048">
      <c r="C1048" t="str">
        <v>Kolom / balok kiri</v>
      </c>
      <c r="D1048">
        <f>VLOOKUP(C1044,'Data Panjang Balok'!$C$9:$N$424,9,FALSE)</f>
        <v>0</v>
      </c>
    </row>
    <row r="1049">
      <c r="C1049" t="str">
        <v>Kolom / balok kanan</v>
      </c>
      <c r="D1049">
        <f>VLOOKUP(C1044,'Data Panjang Balok'!$C$9:$N$424,10,FALSE)</f>
        <v>0</v>
      </c>
    </row>
    <row r="1050">
      <c r="C1050" t="str">
        <v>Jumlah</v>
      </c>
      <c r="D1050">
        <f>VLOOKUP(C1044,'Data Panjang Balok'!$C$9:$N$424,3,FALSE)</f>
        <v>1</v>
      </c>
    </row>
    <row r="1051">
      <c r="A1051" t="str">
        <f>A1044</f>
        <v>Sloof</v>
      </c>
      <c r="B1051">
        <f>B1044</f>
        <v>31</v>
      </c>
      <c r="C1051" t="str">
        <v>Tul Atas Tumpuan</v>
      </c>
      <c r="D1051">
        <f>VLOOKUP(D1044,'Detail Balok'!$C$10:$AU$110,4,FALSE)</f>
        <v>5</v>
      </c>
      <c r="E1051" t="str">
        <v>D</v>
      </c>
      <c r="F1051">
        <f>VLOOKUP(D1044,'Detail Balok'!$C$10:$AU$110,6,FALSE)</f>
        <v>16</v>
      </c>
      <c r="I1051" t="str">
        <v>(</v>
      </c>
      <c r="J1051">
        <f>+D1046/4/1000</f>
        <v>0.82</v>
      </c>
      <c r="K1051" t="str">
        <v>+</v>
      </c>
      <c r="L1051">
        <f>MAX(VLOOKUP(F1051,N$6:P$15,3,FALSE)/1000,2/3*D1048/1000)+F$16*F1051/1000</f>
        <v>0.192</v>
      </c>
      <c r="M1051" t="str">
        <v>=</v>
      </c>
      <c r="N1051">
        <f>J1051+L1051</f>
        <v>1.012</v>
      </c>
      <c r="O1051" t="str">
        <v>+</v>
      </c>
      <c r="P1051">
        <f>D1051-D1052</f>
        <v>3</v>
      </c>
      <c r="Q1051" t="str">
        <v>x</v>
      </c>
      <c r="R1051">
        <f>IF(P1051&gt;0,$F$18*F1051/1000,0)</f>
        <v>0.24</v>
      </c>
      <c r="S1051" t="str">
        <v>)</v>
      </c>
      <c r="T1051" t="str">
        <v>x</v>
      </c>
      <c r="U1051">
        <f>0.006165*F1051^2</f>
        <v>1.57824</v>
      </c>
      <c r="X1051" t="str">
        <v>x</v>
      </c>
      <c r="Y1051">
        <f>D1050</f>
        <v>1</v>
      </c>
      <c r="Z1051" t="str">
        <v>=</v>
      </c>
      <c r="AA1051">
        <f>IF(AA1054=0,(D1051*N1051+P1051*R1051)*U1051*Y1051,0)</f>
        <v>9.122227200000001</v>
      </c>
    </row>
    <row r="1052">
      <c r="A1052" t="str">
        <f>A1044</f>
        <v>Sloof</v>
      </c>
      <c r="B1052">
        <f>B1044</f>
        <v>31</v>
      </c>
      <c r="C1052" t="str">
        <v>Tul Atas Lapangan</v>
      </c>
      <c r="D1052">
        <f>VLOOKUP(D1044,'Detail Balok'!$C$10:$AU$110,7,FALSE)</f>
        <v>2</v>
      </c>
      <c r="E1052" t="str">
        <v>D</v>
      </c>
      <c r="F1052">
        <f>VLOOKUP(D1044,'Detail Balok'!$C$10:$AU$110,9,FALSE)</f>
        <v>16</v>
      </c>
      <c r="I1052" t="str">
        <v>(</v>
      </c>
      <c r="J1052">
        <f>+D1046/2/1000</f>
        <v>1.64</v>
      </c>
      <c r="K1052" t="str">
        <v>+</v>
      </c>
      <c r="M1052" t="str">
        <v>=</v>
      </c>
      <c r="N1052">
        <f>J1052+L1052</f>
        <v>1.64</v>
      </c>
      <c r="O1052" t="str">
        <v>+</v>
      </c>
      <c r="P1052">
        <f>MAX(D1052-D1051,D1052-D1053)</f>
        <v>-3</v>
      </c>
      <c r="Q1052" t="str">
        <v>x</v>
      </c>
      <c r="R1052">
        <f>IF(P1052&gt;0,2*(1-2*$F$19-1/2)*D1047/1000,0)</f>
        <v>0</v>
      </c>
      <c r="S1052" t="str">
        <v>)</v>
      </c>
      <c r="T1052" t="str">
        <v>x</v>
      </c>
      <c r="U1052">
        <f>0.006165*F1052^2</f>
        <v>1.57824</v>
      </c>
      <c r="X1052" t="str">
        <v>x</v>
      </c>
      <c r="Y1052">
        <f>D1050</f>
        <v>1</v>
      </c>
      <c r="Z1052" t="str">
        <v>=</v>
      </c>
      <c r="AA1052">
        <f>IF(AA1054=0,(D1052*N1052+P1052*R1052)*U1052*Y1052,0)</f>
        <v>5.1766271999999995</v>
      </c>
    </row>
    <row r="1053">
      <c r="A1053" t="str">
        <f>A1044</f>
        <v>Sloof</v>
      </c>
      <c r="B1053">
        <f>B1044</f>
        <v>31</v>
      </c>
      <c r="C1053" t="str">
        <v>Tul Atas Tumpuan</v>
      </c>
      <c r="D1053">
        <f>VLOOKUP(D1044,'Detail Balok'!$C$10:$AU$110,10,FALSE)</f>
        <v>5</v>
      </c>
      <c r="E1053" t="str">
        <v>D</v>
      </c>
      <c r="F1053">
        <f>VLOOKUP(D1044,'Detail Balok'!$C$10:$AU$110,12,FALSE)</f>
        <v>16</v>
      </c>
      <c r="I1053" t="str">
        <v>(</v>
      </c>
      <c r="J1053">
        <f>+D1046/4/1000</f>
        <v>0.82</v>
      </c>
      <c r="K1053" t="str">
        <v>+</v>
      </c>
      <c r="L1053">
        <f>MAX(VLOOKUP(F1053,N$6:P$15,3,FALSE)/1000,2/3*D1048/1000)+F$16*F1053/1000</f>
        <v>0.192</v>
      </c>
      <c r="M1053" t="str">
        <v>=</v>
      </c>
      <c r="N1053">
        <f>J1053+L1053</f>
        <v>1.012</v>
      </c>
      <c r="O1053" t="str">
        <v>+</v>
      </c>
      <c r="P1053">
        <f>D1053-D1052</f>
        <v>3</v>
      </c>
      <c r="Q1053" t="str">
        <v>x</v>
      </c>
      <c r="R1053">
        <f>IF(P1053&gt;0,$F$18*F1053/1000,0)</f>
        <v>0.24</v>
      </c>
      <c r="S1053" t="str">
        <v>)</v>
      </c>
      <c r="T1053" t="str">
        <v>x</v>
      </c>
      <c r="U1053">
        <f>0.006165*F1053^2</f>
        <v>1.57824</v>
      </c>
      <c r="X1053" t="str">
        <v>x</v>
      </c>
      <c r="Y1053">
        <f>D1050</f>
        <v>1</v>
      </c>
      <c r="Z1053" t="str">
        <v>=</v>
      </c>
      <c r="AA1053">
        <f>IF(AA1054=0,(D1053*N1053+P1053*R1053)*U1053*Y1053,0)</f>
        <v>9.122227200000001</v>
      </c>
    </row>
    <row r="1054">
      <c r="A1054" t="str">
        <f>A1044</f>
        <v>Sloof</v>
      </c>
      <c r="B1054">
        <f>B1044</f>
        <v>31</v>
      </c>
      <c r="D1054">
        <f>IF(AND(D1051=D1052,D1052=D1053,D1051=D1053),D1051,0)</f>
        <v>0</v>
      </c>
      <c r="E1054" t="str">
        <v>D</v>
      </c>
      <c r="F1054">
        <f>IF(AND(F1051=F1052,F1051=F1053,F1052=F1053),F1051,0)</f>
        <v>16</v>
      </c>
      <c r="L1054" t="str">
        <v>Total panjang per balok</v>
      </c>
      <c r="M1054" t="str">
        <v>=</v>
      </c>
      <c r="N1054">
        <f>IF(AND(D1051=D1052,D1051=D1053,D1052=D1053,F1051=F1052,F1051=F1053,F1052=F1053),SUM(N1051:N1053),0)</f>
        <v>0</v>
      </c>
      <c r="O1054" t="str">
        <v>+</v>
      </c>
      <c r="P1054">
        <f>IF(N1054&gt;12,ROUNDDOWN(N1054/12,0),0)</f>
        <v>0</v>
      </c>
      <c r="Q1054" t="str">
        <v>x</v>
      </c>
      <c r="R1054">
        <f>IF(P1054&gt;0,MAX(VLOOKUP(F1054,$D$6:$G$15,3,FALSE),600),0)/1000</f>
        <v>0</v>
      </c>
      <c r="T1054" t="str">
        <v>x</v>
      </c>
      <c r="U1054">
        <f>U1053</f>
        <v>1.57824</v>
      </c>
      <c r="V1054" t="str">
        <v>x</v>
      </c>
      <c r="W1054">
        <f>D1054</f>
        <v>0</v>
      </c>
      <c r="X1054" t="str">
        <v>x</v>
      </c>
      <c r="Y1054">
        <f>Y1053</f>
        <v>1</v>
      </c>
      <c r="Z1054" t="str">
        <v>=</v>
      </c>
      <c r="AA1054">
        <f>(N1054+P1054*R1054/1000)*U1054*W1054*Y1054</f>
        <v>0</v>
      </c>
    </row>
    <row r="1056">
      <c r="A1056" t="str">
        <f>A1044</f>
        <v>Sloof</v>
      </c>
      <c r="B1056">
        <f>B1044</f>
        <v>31</v>
      </c>
      <c r="C1056" t="str">
        <v>Tul Peminggang</v>
      </c>
      <c r="D1056">
        <f>VLOOKUP(D1044,'Detail Balok'!$C$10:$AU$110,13,FALSE)</f>
        <v>2</v>
      </c>
      <c r="E1056" t="str">
        <v>D</v>
      </c>
      <c r="F1056">
        <f>VLOOKUP(D1044,'Detail Balok'!$C$10:$AU$110,15,FALSE)</f>
        <v>10</v>
      </c>
      <c r="J1056">
        <f>+D1046/1000</f>
        <v>3.28</v>
      </c>
      <c r="K1056" t="str">
        <v>+</v>
      </c>
      <c r="L1056">
        <f>2*$F$16*F1056/1000</f>
        <v>0.24</v>
      </c>
      <c r="M1056" t="str">
        <v>=</v>
      </c>
      <c r="N1056">
        <f>J1056+L1056</f>
        <v>3.5199999999999996</v>
      </c>
      <c r="O1056" t="str">
        <v>+</v>
      </c>
      <c r="P1056">
        <f>IF(N1056&gt;12,ROUNDDOWN(N1056/12,0),0)</f>
        <v>0</v>
      </c>
      <c r="Q1056" t="str">
        <v>x</v>
      </c>
      <c r="R1056">
        <f>IF(P1056&gt;0,MAX(VLOOKUP(F1056,$D$6:$G$15,3,FALSE),600),0)/1000</f>
        <v>0</v>
      </c>
      <c r="T1056" t="str">
        <v>x</v>
      </c>
      <c r="U1056">
        <f>0.006165*F1056^2</f>
        <v>0.6165</v>
      </c>
      <c r="V1056" t="str">
        <v>x</v>
      </c>
      <c r="W1056">
        <f>+D1056</f>
        <v>2</v>
      </c>
      <c r="X1056" t="str">
        <v>x</v>
      </c>
      <c r="Y1056">
        <f>D1050</f>
        <v>1</v>
      </c>
      <c r="Z1056" t="str">
        <v>=</v>
      </c>
      <c r="AA1056">
        <f>(N1056+P1056*R1056/1000)*U1056*W1056*Y1056</f>
        <v>4.34016</v>
      </c>
    </row>
    <row r="1059">
      <c r="A1059" t="str">
        <f>A1044</f>
        <v>Sloof</v>
      </c>
      <c r="B1059">
        <f>B1044</f>
        <v>31</v>
      </c>
      <c r="C1059" t="str">
        <v>Tul Bawah Tumpuan</v>
      </c>
      <c r="D1059">
        <f>VLOOKUP(D1044,'Detail Balok'!$C$10:$AU$110,22,FALSE)</f>
        <v>4</v>
      </c>
      <c r="E1059" t="str">
        <v>D</v>
      </c>
      <c r="F1059">
        <f>VLOOKUP(D1044,'Detail Balok'!$C$10:$AU$110,24,FALSE)</f>
        <v>16</v>
      </c>
      <c r="I1059" t="str">
        <v>(</v>
      </c>
      <c r="J1059">
        <f>+J1051</f>
        <v>0.82</v>
      </c>
      <c r="K1059" t="str">
        <v>+</v>
      </c>
      <c r="L1059">
        <f>MAX(VLOOKUP(F1059,N$6:P$15,3,FALSE)/1000,2/3*D1049/1000)+F$16*F1059/1000</f>
        <v>0.192</v>
      </c>
      <c r="M1059" t="str">
        <v>=</v>
      </c>
      <c r="N1059">
        <f>J1059+L1059</f>
        <v>1.012</v>
      </c>
      <c r="O1059" t="str">
        <v>+</v>
      </c>
      <c r="P1059">
        <f>D1059-D1060</f>
        <v>0</v>
      </c>
      <c r="Q1059" t="str">
        <v>x</v>
      </c>
      <c r="R1059">
        <f>IF(P1059&gt;0,$F$18*F1059/1000,0)</f>
        <v>0</v>
      </c>
      <c r="S1059" t="str">
        <v>)</v>
      </c>
      <c r="T1059" t="str">
        <v>x</v>
      </c>
      <c r="U1059">
        <f>0.006165*F1059^2</f>
        <v>1.57824</v>
      </c>
      <c r="X1059" t="str">
        <v>x</v>
      </c>
      <c r="Y1059">
        <f>D1050</f>
        <v>1</v>
      </c>
      <c r="Z1059" t="str">
        <v>=</v>
      </c>
      <c r="AA1059">
        <f>IF(AA1062=0,(D1059*N1059+P1059*R1059)*U1059*Y1059,0)</f>
        <v>0</v>
      </c>
    </row>
    <row r="1060">
      <c r="A1060" t="str">
        <f>A1044</f>
        <v>Sloof</v>
      </c>
      <c r="B1060">
        <f>B1044</f>
        <v>31</v>
      </c>
      <c r="C1060" t="str">
        <v>Tul Bawah Lapangan</v>
      </c>
      <c r="D1060">
        <f>VLOOKUP(D1044,'Detail Balok'!$C$10:$AU$110,25,FALSE)</f>
        <v>4</v>
      </c>
      <c r="E1060" t="str">
        <v>D</v>
      </c>
      <c r="F1060">
        <f>VLOOKUP(D1044,'Detail Balok'!$C$10:$AU$110,27,FALSE)</f>
        <v>16</v>
      </c>
      <c r="I1060" t="str">
        <v>(</v>
      </c>
      <c r="J1060">
        <f>+J1052</f>
        <v>1.64</v>
      </c>
      <c r="K1060" t="str">
        <v>+</v>
      </c>
      <c r="M1060" t="str">
        <v>=</v>
      </c>
      <c r="N1060">
        <f>J1060+L1060</f>
        <v>1.64</v>
      </c>
      <c r="O1060" t="str">
        <v>+</v>
      </c>
      <c r="P1060">
        <f>MAX(D1060-D1059,D1060-D1061)</f>
        <v>0</v>
      </c>
      <c r="Q1060" t="str">
        <v>x</v>
      </c>
      <c r="R1060">
        <f>IF(P1060&gt;0,2*(1-2*$F$19-1/2)*D1047/1000,0)</f>
        <v>0</v>
      </c>
      <c r="S1060" t="str">
        <v>)</v>
      </c>
      <c r="T1060" t="str">
        <v>x</v>
      </c>
      <c r="U1060">
        <f>0.006165*F1060^2</f>
        <v>1.57824</v>
      </c>
      <c r="X1060" t="str">
        <v>x</v>
      </c>
      <c r="Y1060">
        <f>D1050</f>
        <v>1</v>
      </c>
      <c r="Z1060" t="str">
        <v>=</v>
      </c>
      <c r="AA1060">
        <f>IF(AA1062=0,(D1060*N1060+P1060*R1060)*U1060*Y1060,0)</f>
        <v>0</v>
      </c>
    </row>
    <row r="1061">
      <c r="A1061" t="str">
        <f>A1044</f>
        <v>Sloof</v>
      </c>
      <c r="B1061">
        <f>B1044</f>
        <v>31</v>
      </c>
      <c r="C1061" t="str">
        <v>Tul Bawah Tumpuan</v>
      </c>
      <c r="D1061">
        <f>VLOOKUP(D1044,'Detail Balok'!$C$10:$AU$110,28,FALSE)</f>
        <v>4</v>
      </c>
      <c r="E1061" t="str">
        <v>D</v>
      </c>
      <c r="F1061">
        <f>VLOOKUP(D1044,'Detail Balok'!$C$10:$AU$110,30,FALSE)</f>
        <v>16</v>
      </c>
      <c r="I1061" t="str">
        <v>(</v>
      </c>
      <c r="J1061">
        <f>+J1053</f>
        <v>0.82</v>
      </c>
      <c r="K1061" t="str">
        <v>+</v>
      </c>
      <c r="L1061">
        <f>MAX(VLOOKUP(F1061,N$6:P$15,3,FALSE)/1000,2/3*D1049/1000)+F$16*F1061/1000</f>
        <v>0.192</v>
      </c>
      <c r="M1061" t="str">
        <v>=</v>
      </c>
      <c r="N1061">
        <f>J1061+L1061</f>
        <v>1.012</v>
      </c>
      <c r="O1061" t="str">
        <v>+</v>
      </c>
      <c r="P1061">
        <f>D1061-D1060</f>
        <v>0</v>
      </c>
      <c r="Q1061" t="str">
        <v>x</v>
      </c>
      <c r="R1061">
        <f>IF(P1061&gt;0,$F$18*F1061/1000,0)</f>
        <v>0</v>
      </c>
      <c r="S1061" t="str">
        <v>)</v>
      </c>
      <c r="T1061" t="str">
        <v>x</v>
      </c>
      <c r="U1061">
        <f>0.006165*F1061^2</f>
        <v>1.57824</v>
      </c>
      <c r="X1061" t="str">
        <v>x</v>
      </c>
      <c r="Y1061">
        <f>D1050</f>
        <v>1</v>
      </c>
      <c r="Z1061" t="str">
        <v>=</v>
      </c>
      <c r="AA1061">
        <f>IF(AA1062=0,(D1061*N1061+P1061*R1061)*U1061*Y1061,0)</f>
        <v>0</v>
      </c>
    </row>
    <row r="1062">
      <c r="A1062" t="str">
        <f>A1044</f>
        <v>Sloof</v>
      </c>
      <c r="B1062">
        <f>B1044</f>
        <v>31</v>
      </c>
      <c r="D1062">
        <f>IF(AND(D1059=D1060,D1060=D1061,D1059=D1061),D1059,0)</f>
        <v>4</v>
      </c>
      <c r="E1062" t="str">
        <v>D</v>
      </c>
      <c r="F1062">
        <f>IF(AND(F1059=F1060,F1059=F1061,F1060=F1061),F1059,0)</f>
        <v>16</v>
      </c>
      <c r="L1062" t="str">
        <v>Total panjang per balok</v>
      </c>
      <c r="M1062" t="str">
        <v>=</v>
      </c>
      <c r="N1062">
        <f>IF(AND(D1059=D1060,D1059=D1061,D1060=D1061,F1059=F1060,F1059=F1061,F1060=F1061),SUM(N1059:N1061),0)</f>
        <v>3.664</v>
      </c>
      <c r="O1062" t="str">
        <v>+</v>
      </c>
      <c r="P1062">
        <f>IF(N1062&gt;12,ROUNDDOWN(N1062/12,0),0)</f>
        <v>0</v>
      </c>
      <c r="Q1062" t="str">
        <v>x</v>
      </c>
      <c r="R1062">
        <f>IF(P1062&gt;0,MAX(VLOOKUP(F1062,$D$6:$G$15,3,FALSE),600),0)/1000</f>
        <v>0</v>
      </c>
      <c r="T1062" t="str">
        <v>x</v>
      </c>
      <c r="U1062">
        <f>U1061</f>
        <v>1.57824</v>
      </c>
      <c r="V1062" t="str">
        <v>x</v>
      </c>
      <c r="W1062">
        <f>D1062</f>
        <v>4</v>
      </c>
      <c r="X1062" t="str">
        <v>x</v>
      </c>
      <c r="Y1062">
        <f>Y1061</f>
        <v>1</v>
      </c>
      <c r="Z1062" t="str">
        <v>=</v>
      </c>
      <c r="AA1062">
        <f>(N1062+P1062*R1062/1000)*U1062*W1062*Y1062</f>
        <v>23.13068544</v>
      </c>
    </row>
    <row r="1064">
      <c r="A1064" t="str">
        <f>A1044</f>
        <v>Sloof</v>
      </c>
      <c r="B1064">
        <f>B1044</f>
        <v>31</v>
      </c>
      <c r="C1064" t="str">
        <v>Sengkang Tumpuan</v>
      </c>
      <c r="D1064">
        <f>VLOOKUP(D1044,'Detail Balok'!$C$10:$AU$110,31,FALSE)</f>
        <v>0</v>
      </c>
      <c r="E1064" t="str">
        <v>D</v>
      </c>
      <c r="F1064">
        <f>VLOOKUP(D1044,'Detail Balok'!$C$10:$AU$110,33,FALSE)</f>
        <v>10</v>
      </c>
      <c r="G1064" t="str">
        <v>-</v>
      </c>
      <c r="H1064">
        <f>VLOOKUP(D1044,'Detail Balok'!$C$10:$AU$110,35,FALSE)</f>
        <v>200</v>
      </c>
      <c r="J1064">
        <f>(IF(D1064=0,(2*(D1045+G1045))-(F$5*8),IF(D1064=3,(2*(D1045+G1045))-(F$5*8)+(G1045-2*F$5),IF(D1064=4,(2*(D1045+G1045))-(F$5*8)+2*(G1045-2*F$5)))))/1000</f>
        <v>1.08</v>
      </c>
      <c r="K1064" t="str">
        <v>+</v>
      </c>
      <c r="L1064">
        <f>IF(D1064=0,2*MAX(6*F1064,75),(D1064-1)*2*MAX(6*F1064,75))/1000</f>
        <v>0.15</v>
      </c>
      <c r="M1064" t="str">
        <v>=</v>
      </c>
      <c r="N1064">
        <f>J1064+L1064</f>
        <v>1.23</v>
      </c>
      <c r="T1064" t="str">
        <v>x</v>
      </c>
      <c r="U1064">
        <f>0.006165*F1064^2</f>
        <v>0.6165</v>
      </c>
      <c r="V1064" t="str">
        <v>x</v>
      </c>
      <c r="W1064">
        <f>IF(D1047&gt;4*G1045,ROUND(MAX(D1047/4,2*G1045)/H1064,0)+1,ROUND(D1047/H1064,0)+1)</f>
        <v>6</v>
      </c>
      <c r="X1064" t="str">
        <v>x</v>
      </c>
      <c r="Y1064">
        <f>D1050</f>
        <v>1</v>
      </c>
      <c r="Z1064" t="str">
        <v>=</v>
      </c>
      <c r="AA1064">
        <f>N1064*U1064*W1064*Y1064</f>
        <v>4.5497700000000005</v>
      </c>
    </row>
    <row r="1065">
      <c r="A1065" t="str">
        <f>A1044</f>
        <v>Sloof</v>
      </c>
      <c r="B1065">
        <f>B1044</f>
        <v>31</v>
      </c>
      <c r="C1065" t="str">
        <v>Sengkang Lapangan</v>
      </c>
      <c r="D1065">
        <f>VLOOKUP(D1044,'Detail Balok'!$C$10:$AU$110,36,FALSE)</f>
        <v>0</v>
      </c>
      <c r="E1065" t="str">
        <v>D</v>
      </c>
      <c r="F1065">
        <f>VLOOKUP(D1044,'Detail Balok'!$C$10:$AU$110,38,FALSE)</f>
        <v>10</v>
      </c>
      <c r="G1065" t="str">
        <v>-</v>
      </c>
      <c r="H1065">
        <f>VLOOKUP(D1044,'Detail Balok'!$C$10:$AU$110,40,FALSE)</f>
        <v>200</v>
      </c>
      <c r="J1065">
        <f>(IF(D1065=0,(2*(D1045+G1045))-(F$5*8),IF(D1065=3,(2*(D1045+G1045))-(F$5*8)+(G1045-2*F$5),IF(D1065=4,(2*(D1045+G1045))-(F$5*8)+2*(G1045-2*F$5)))))/1000</f>
        <v>1.08</v>
      </c>
      <c r="K1065" t="str">
        <v>+</v>
      </c>
      <c r="L1065">
        <f>IF(D1065=0,2*MAX(6*F1065,75),(D1065-1)*2*MAX(6*F1065,75))/1000</f>
        <v>0.15</v>
      </c>
      <c r="M1065" t="str">
        <v>=</v>
      </c>
      <c r="N1065">
        <f>J1065+L1065</f>
        <v>1.23</v>
      </c>
      <c r="T1065" t="str">
        <v>x</v>
      </c>
      <c r="U1065">
        <f>0.006165*F1065^2</f>
        <v>0.6165</v>
      </c>
      <c r="V1065" t="str">
        <v>x</v>
      </c>
      <c r="W1065">
        <f>IF(D1047-MAX(D1047/4,2*G1045)*2&gt;0,ROUND((D1047-MAX(D1047/4,2*G1045)*2)/H1065,0),0)</f>
        <v>6</v>
      </c>
      <c r="X1065" t="str">
        <v>x</v>
      </c>
      <c r="Y1065">
        <f>D1050</f>
        <v>1</v>
      </c>
      <c r="Z1065" t="str">
        <v>=</v>
      </c>
      <c r="AA1065">
        <f>N1065*U1065*W1065*Y1065</f>
        <v>4.5497700000000005</v>
      </c>
    </row>
    <row r="1066">
      <c r="A1066" t="str">
        <f>A1044</f>
        <v>Sloof</v>
      </c>
      <c r="B1066">
        <f>B1044</f>
        <v>31</v>
      </c>
      <c r="C1066" t="str">
        <v>Sengkang Tumpuan</v>
      </c>
      <c r="D1066">
        <f>VLOOKUP(D1044,'Detail Balok'!$C$10:$AU$110,41,FALSE)</f>
        <v>0</v>
      </c>
      <c r="E1066" t="str">
        <v>D</v>
      </c>
      <c r="F1066">
        <f>VLOOKUP(D1044,'Detail Balok'!$C$10:$AU$110,43,FALSE)</f>
        <v>10</v>
      </c>
      <c r="G1066" t="str">
        <v>-</v>
      </c>
      <c r="H1066">
        <f>VLOOKUP(D1044,'Detail Balok'!$C$10:$AU$110,45,FALSE)</f>
        <v>200</v>
      </c>
      <c r="J1066">
        <f>(IF(D1066=0,(2*(D1045+G1045))-(F$5*8),IF(D1066=3,(2*(D1045+G1045))-(F$5*8)+(G1045-2*F$5),IF(D1066=4,(2*(D1045+G1045))-(F$5*8)+2*(G1045-2*F$5)))))/1000</f>
        <v>1.08</v>
      </c>
      <c r="K1066" t="str">
        <v>+</v>
      </c>
      <c r="L1066">
        <f>IF(D1066=0,2*MAX(6*F1066,75),(D1066-1)*2*MAX(6*F1066,75))/1000</f>
        <v>0.15</v>
      </c>
      <c r="M1066" t="str">
        <v>=</v>
      </c>
      <c r="N1066">
        <f>J1066+L1066</f>
        <v>1.23</v>
      </c>
      <c r="T1066" t="str">
        <v>x</v>
      </c>
      <c r="U1066">
        <f>0.006165*F1066^2</f>
        <v>0.6165</v>
      </c>
      <c r="V1066" t="str">
        <v>x</v>
      </c>
      <c r="W1066">
        <f>IF(D1047&gt;4*G1045,ROUND(MAX(D1047/4,2*G1045)/H1066,0)+1,0)</f>
        <v>6</v>
      </c>
      <c r="X1066" t="str">
        <v>x</v>
      </c>
      <c r="Y1066">
        <f>D1050</f>
        <v>1</v>
      </c>
      <c r="Z1066" t="str">
        <v>=</v>
      </c>
      <c r="AA1066">
        <f>N1066*U1066*W1066*Y1066</f>
        <v>4.5497700000000005</v>
      </c>
    </row>
    <row r="1068">
      <c r="A1068" t="str">
        <f>A1044</f>
        <v>Sloof</v>
      </c>
      <c r="B1068">
        <f>B1044</f>
        <v>31</v>
      </c>
      <c r="C1068" t="str">
        <v>Kait Horizontal Tump.</v>
      </c>
      <c r="D1068">
        <f>VLOOKUP(D1044,'Detail Balok'!$C$10:$BJ$110,46,FALSE)</f>
        <v>0</v>
      </c>
      <c r="E1068" t="str">
        <v>D</v>
      </c>
      <c r="F1068">
        <f>VLOOKUP(D1044,'Detail Balok'!$C$10:$BJ$110,48,FALSE)</f>
        <v>0</v>
      </c>
      <c r="G1068" t="str">
        <v>-</v>
      </c>
      <c r="H1068">
        <f>VLOOKUP(D1044,'Detail Balok'!$C$10:$BJ$110,50,FALSE)</f>
        <v>100</v>
      </c>
      <c r="J1068">
        <f>(D1045-2*F$5)/1000</f>
        <v>0.12</v>
      </c>
      <c r="K1068" t="str">
        <v>+</v>
      </c>
      <c r="L1068">
        <f>IF(D1068=0,2*MAX(6*F1068,75),(D1068-1)*2*MAX(6*F1068,75))/1000</f>
        <v>0.15</v>
      </c>
      <c r="M1068" t="str">
        <v>=</v>
      </c>
      <c r="N1068">
        <f>J1068+L1068</f>
        <v>0.27</v>
      </c>
      <c r="T1068" t="str">
        <v>x</v>
      </c>
      <c r="U1068">
        <f>0.006165*F1068^2</f>
        <v>0</v>
      </c>
      <c r="V1068" t="str">
        <v>x</v>
      </c>
      <c r="W1068">
        <f>W1064</f>
        <v>6</v>
      </c>
      <c r="X1068" t="str">
        <v>x</v>
      </c>
      <c r="Y1068">
        <f>D1054</f>
        <v>0</v>
      </c>
      <c r="Z1068" t="str">
        <v>=</v>
      </c>
      <c r="AA1068">
        <f>N1068*U1068*W1068*Y1068</f>
        <v>0</v>
      </c>
    </row>
    <row r="1069">
      <c r="A1069" t="str">
        <f>A1044</f>
        <v>Sloof</v>
      </c>
      <c r="B1069">
        <f>B1044</f>
        <v>31</v>
      </c>
      <c r="C1069" t="str">
        <v>Kait Horizontal Lap.</v>
      </c>
      <c r="D1069">
        <f>VLOOKUP(D1044,'Detail Balok'!$C$10:$BJ$110,51,FALSE)</f>
        <v>0</v>
      </c>
      <c r="E1069" t="str">
        <v>D</v>
      </c>
      <c r="F1069">
        <f>VLOOKUP(D1044,'Detail Balok'!$C$10:$BJ$110,53,FALSE)</f>
        <v>0</v>
      </c>
      <c r="G1069" t="str">
        <v>-</v>
      </c>
      <c r="H1069">
        <f>VLOOKUP(D1044,'Detail Balok'!$C$10:$BJ$110,55,FALSE)</f>
        <v>100</v>
      </c>
      <c r="J1069">
        <f>(D1045-2*F$5)/1000</f>
        <v>0.12</v>
      </c>
      <c r="K1069" t="str">
        <v>+</v>
      </c>
      <c r="L1069">
        <f>IF(D1069=0,2*MAX(6*F1069,75),(D1069-1)*2*MAX(6*F1069,75))/1000</f>
        <v>0.15</v>
      </c>
      <c r="M1069" t="str">
        <v>=</v>
      </c>
      <c r="N1069">
        <f>J1069+L1069</f>
        <v>0.27</v>
      </c>
      <c r="T1069" t="str">
        <v>x</v>
      </c>
      <c r="U1069">
        <f>0.006165*F1069^2</f>
        <v>0</v>
      </c>
      <c r="V1069" t="str">
        <v>x</v>
      </c>
      <c r="W1069">
        <f>W1065</f>
        <v>6</v>
      </c>
      <c r="X1069" t="str">
        <v>x</v>
      </c>
      <c r="Y1069">
        <f>D1054</f>
        <v>0</v>
      </c>
      <c r="Z1069" t="str">
        <v>=</v>
      </c>
      <c r="AA1069">
        <f>N1069*U1069*W1069*Y1069</f>
        <v>0</v>
      </c>
    </row>
    <row r="1070">
      <c r="A1070" t="str">
        <f>A1044</f>
        <v>Sloof</v>
      </c>
      <c r="B1070">
        <f>B1044</f>
        <v>31</v>
      </c>
      <c r="C1070" t="str">
        <v>Kait Horizontal Tump.</v>
      </c>
      <c r="D1070">
        <f>VLOOKUP(D1044,'Detail Balok'!$C$10:$BJ$110,56,FALSE)</f>
        <v>0</v>
      </c>
      <c r="E1070" t="str">
        <v>D</v>
      </c>
      <c r="F1070">
        <f>VLOOKUP(D1044,'Detail Balok'!$C$10:$BJ$110,58,FALSE)</f>
        <v>0</v>
      </c>
      <c r="G1070" t="str">
        <v>-</v>
      </c>
      <c r="H1070">
        <f>VLOOKUP(D1044,'Detail Balok'!$C$10:$BJ$110,60,FALSE)</f>
        <v>100</v>
      </c>
      <c r="J1070">
        <f>(D1045-2*F$5)/1000</f>
        <v>0.12</v>
      </c>
      <c r="K1070" t="str">
        <v>+</v>
      </c>
      <c r="L1070">
        <f>IF(D1070=0,2*MAX(6*F1070,75),(D1070-1)*2*MAX(6*F1070,75))/1000</f>
        <v>0.15</v>
      </c>
      <c r="M1070" t="str">
        <v>=</v>
      </c>
      <c r="N1070">
        <f>J1070+L1070</f>
        <v>0.27</v>
      </c>
      <c r="T1070" t="str">
        <v>x</v>
      </c>
      <c r="U1070">
        <f>0.006165*F1070^2</f>
        <v>0</v>
      </c>
      <c r="V1070" t="str">
        <v>x</v>
      </c>
      <c r="W1070">
        <f>W1066</f>
        <v>6</v>
      </c>
      <c r="X1070" t="str">
        <v>x</v>
      </c>
      <c r="Y1070">
        <f>D1054</f>
        <v>0</v>
      </c>
      <c r="Z1070" t="str">
        <v>=</v>
      </c>
      <c r="AA1070">
        <f>N1070*U1070*W1070*Y1070</f>
        <v>0</v>
      </c>
    </row>
    <row r="1074">
      <c r="A1074" t="str">
        <f>A1044</f>
        <v>Sloof</v>
      </c>
      <c r="B1074">
        <f>B1044+1</f>
        <v>32</v>
      </c>
      <c r="C1074" t="str">
        <f>CONCATENATE(A1074," no. ",B1074)</f>
        <v>Sloof no. 32</v>
      </c>
      <c r="D1074" t="str">
        <f>VLOOKUP(C1074,'Data Panjang Balok'!$C$9:$N$424,2,FALSE)</f>
        <v>TB25-3</v>
      </c>
    </row>
    <row r="1075">
      <c r="C1075" t="str">
        <v>Dimensi</v>
      </c>
      <c r="D1075">
        <f>VLOOKUP(D1074,'Detail Balok'!$C$10:$AU$110,2,FALSE)</f>
        <v>200</v>
      </c>
      <c r="F1075" t="str">
        <v>x</v>
      </c>
      <c r="G1075">
        <f>VLOOKUP(D1074,'Detail Balok'!$C$10:$AU$110,3,FALSE)</f>
        <v>500</v>
      </c>
    </row>
    <row r="1076">
      <c r="C1076" t="str">
        <v>Panjang as ke as</v>
      </c>
      <c r="D1076">
        <f>VLOOKUP(C1074,'Data Panjang Balok'!$C$9:$N$424,4,FALSE)</f>
        <v>3900</v>
      </c>
    </row>
    <row r="1077">
      <c r="C1077" t="str">
        <v>Panjang netto</v>
      </c>
      <c r="D1077">
        <f>VLOOKUP(C1074,'Data Panjang Balok'!$C$9:$N$424,7,FALSE)</f>
        <v>3900</v>
      </c>
    </row>
    <row r="1078">
      <c r="C1078" t="str">
        <v>Kolom / balok kiri</v>
      </c>
      <c r="D1078">
        <f>VLOOKUP(C1074,'Data Panjang Balok'!$C$9:$N$424,9,FALSE)</f>
        <v>0</v>
      </c>
    </row>
    <row r="1079">
      <c r="C1079" t="str">
        <v>Kolom / balok kanan</v>
      </c>
      <c r="D1079">
        <f>VLOOKUP(C1074,'Data Panjang Balok'!$C$9:$N$424,10,FALSE)</f>
        <v>0</v>
      </c>
    </row>
    <row r="1080">
      <c r="C1080" t="str">
        <v>Jumlah</v>
      </c>
      <c r="D1080">
        <f>VLOOKUP(C1074,'Data Panjang Balok'!$C$9:$N$424,3,FALSE)</f>
        <v>1</v>
      </c>
    </row>
    <row r="1081">
      <c r="A1081" t="str">
        <f>A1074</f>
        <v>Sloof</v>
      </c>
      <c r="B1081">
        <f>B1074</f>
        <v>32</v>
      </c>
      <c r="C1081" t="str">
        <v>Tul Atas Tumpuan</v>
      </c>
      <c r="D1081">
        <f>VLOOKUP(D1074,'Detail Balok'!$C$10:$AU$110,4,FALSE)</f>
        <v>5</v>
      </c>
      <c r="E1081" t="str">
        <v>D</v>
      </c>
      <c r="F1081">
        <f>VLOOKUP(D1074,'Detail Balok'!$C$10:$AU$110,6,FALSE)</f>
        <v>16</v>
      </c>
      <c r="I1081" t="str">
        <v>(</v>
      </c>
      <c r="J1081">
        <f>+D1076/4/1000</f>
        <v>0.975</v>
      </c>
      <c r="K1081" t="str">
        <v>+</v>
      </c>
      <c r="L1081">
        <f>MAX(VLOOKUP(F1081,N$6:P$15,3,FALSE)/1000,2/3*D1078/1000)+F$16*F1081/1000</f>
        <v>0.192</v>
      </c>
      <c r="M1081" t="str">
        <v>=</v>
      </c>
      <c r="N1081">
        <f>J1081+L1081</f>
        <v>1.167</v>
      </c>
      <c r="O1081" t="str">
        <v>+</v>
      </c>
      <c r="P1081">
        <f>D1081-D1082</f>
        <v>3</v>
      </c>
      <c r="Q1081" t="str">
        <v>x</v>
      </c>
      <c r="R1081">
        <f>IF(P1081&gt;0,$F$18*F1081/1000,0)</f>
        <v>0.24</v>
      </c>
      <c r="S1081" t="str">
        <v>)</v>
      </c>
      <c r="T1081" t="str">
        <v>x</v>
      </c>
      <c r="U1081">
        <f>0.006165*F1081^2</f>
        <v>1.57824</v>
      </c>
      <c r="X1081" t="str">
        <v>x</v>
      </c>
      <c r="Y1081">
        <f>D1080</f>
        <v>1</v>
      </c>
      <c r="Z1081" t="str">
        <v>=</v>
      </c>
      <c r="AA1081">
        <f>IF(AA1084=0,(D1081*N1081+P1081*R1081)*U1081*Y1081,0)</f>
        <v>10.3453632</v>
      </c>
    </row>
    <row r="1082">
      <c r="A1082" t="str">
        <f>A1074</f>
        <v>Sloof</v>
      </c>
      <c r="B1082">
        <f>B1074</f>
        <v>32</v>
      </c>
      <c r="C1082" t="str">
        <v>Tul Atas Lapangan</v>
      </c>
      <c r="D1082">
        <f>VLOOKUP(D1074,'Detail Balok'!$C$10:$AU$110,7,FALSE)</f>
        <v>2</v>
      </c>
      <c r="E1082" t="str">
        <v>D</v>
      </c>
      <c r="F1082">
        <f>VLOOKUP(D1074,'Detail Balok'!$C$10:$AU$110,9,FALSE)</f>
        <v>16</v>
      </c>
      <c r="I1082" t="str">
        <v>(</v>
      </c>
      <c r="J1082">
        <f>+D1076/2/1000</f>
        <v>1.95</v>
      </c>
      <c r="K1082" t="str">
        <v>+</v>
      </c>
      <c r="M1082" t="str">
        <v>=</v>
      </c>
      <c r="N1082">
        <f>J1082+L1082</f>
        <v>1.95</v>
      </c>
      <c r="O1082" t="str">
        <v>+</v>
      </c>
      <c r="P1082">
        <f>MAX(D1082-D1081,D1082-D1083)</f>
        <v>-3</v>
      </c>
      <c r="Q1082" t="str">
        <v>x</v>
      </c>
      <c r="R1082">
        <f>IF(P1082&gt;0,2*(1-2*$F$19-1/2)*D1077/1000,0)</f>
        <v>0</v>
      </c>
      <c r="S1082" t="str">
        <v>)</v>
      </c>
      <c r="T1082" t="str">
        <v>x</v>
      </c>
      <c r="U1082">
        <f>0.006165*F1082^2</f>
        <v>1.57824</v>
      </c>
      <c r="X1082" t="str">
        <v>x</v>
      </c>
      <c r="Y1082">
        <f>D1080</f>
        <v>1</v>
      </c>
      <c r="Z1082" t="str">
        <v>=</v>
      </c>
      <c r="AA1082">
        <f>IF(AA1084=0,(D1082*N1082+P1082*R1082)*U1082*Y1082,0)</f>
        <v>6.155136000000001</v>
      </c>
    </row>
    <row r="1083">
      <c r="A1083" t="str">
        <f>A1074</f>
        <v>Sloof</v>
      </c>
      <c r="B1083">
        <f>B1074</f>
        <v>32</v>
      </c>
      <c r="C1083" t="str">
        <v>Tul Atas Tumpuan</v>
      </c>
      <c r="D1083">
        <f>VLOOKUP(D1074,'Detail Balok'!$C$10:$AU$110,10,FALSE)</f>
        <v>5</v>
      </c>
      <c r="E1083" t="str">
        <v>D</v>
      </c>
      <c r="F1083">
        <f>VLOOKUP(D1074,'Detail Balok'!$C$10:$AU$110,12,FALSE)</f>
        <v>16</v>
      </c>
      <c r="I1083" t="str">
        <v>(</v>
      </c>
      <c r="J1083">
        <f>+D1076/4/1000</f>
        <v>0.975</v>
      </c>
      <c r="K1083" t="str">
        <v>+</v>
      </c>
      <c r="L1083">
        <f>MAX(VLOOKUP(F1083,N$6:P$15,3,FALSE)/1000,2/3*D1078/1000)+F$16*F1083/1000</f>
        <v>0.192</v>
      </c>
      <c r="M1083" t="str">
        <v>=</v>
      </c>
      <c r="N1083">
        <f>J1083+L1083</f>
        <v>1.167</v>
      </c>
      <c r="O1083" t="str">
        <v>+</v>
      </c>
      <c r="P1083">
        <f>D1083-D1082</f>
        <v>3</v>
      </c>
      <c r="Q1083" t="str">
        <v>x</v>
      </c>
      <c r="R1083">
        <f>IF(P1083&gt;0,$F$18*F1083/1000,0)</f>
        <v>0.24</v>
      </c>
      <c r="S1083" t="str">
        <v>)</v>
      </c>
      <c r="T1083" t="str">
        <v>x</v>
      </c>
      <c r="U1083">
        <f>0.006165*F1083^2</f>
        <v>1.57824</v>
      </c>
      <c r="X1083" t="str">
        <v>x</v>
      </c>
      <c r="Y1083">
        <f>D1080</f>
        <v>1</v>
      </c>
      <c r="Z1083" t="str">
        <v>=</v>
      </c>
      <c r="AA1083">
        <f>IF(AA1084=0,(D1083*N1083+P1083*R1083)*U1083*Y1083,0)</f>
        <v>10.3453632</v>
      </c>
    </row>
    <row r="1084">
      <c r="A1084" t="str">
        <f>A1074</f>
        <v>Sloof</v>
      </c>
      <c r="B1084">
        <f>B1074</f>
        <v>32</v>
      </c>
      <c r="D1084">
        <f>IF(AND(D1081=D1082,D1082=D1083,D1081=D1083),D1081,0)</f>
        <v>0</v>
      </c>
      <c r="E1084" t="str">
        <v>D</v>
      </c>
      <c r="F1084">
        <f>IF(AND(F1081=F1082,F1081=F1083,F1082=F1083),F1081,0)</f>
        <v>16</v>
      </c>
      <c r="L1084" t="str">
        <v>Total panjang per balok</v>
      </c>
      <c r="M1084" t="str">
        <v>=</v>
      </c>
      <c r="N1084">
        <f>IF(AND(D1081=D1082,D1081=D1083,D1082=D1083,F1081=F1082,F1081=F1083,F1082=F1083),SUM(N1081:N1083),0)</f>
        <v>0</v>
      </c>
      <c r="O1084" t="str">
        <v>+</v>
      </c>
      <c r="P1084">
        <f>IF(N1084&gt;12,ROUNDDOWN(N1084/12,0),0)</f>
        <v>0</v>
      </c>
      <c r="Q1084" t="str">
        <v>x</v>
      </c>
      <c r="R1084">
        <f>IF(P1084&gt;0,MAX(VLOOKUP(F1084,$D$6:$G$15,3,FALSE),600),0)/1000</f>
        <v>0</v>
      </c>
      <c r="T1084" t="str">
        <v>x</v>
      </c>
      <c r="U1084">
        <f>U1083</f>
        <v>1.57824</v>
      </c>
      <c r="V1084" t="str">
        <v>x</v>
      </c>
      <c r="W1084">
        <f>D1084</f>
        <v>0</v>
      </c>
      <c r="X1084" t="str">
        <v>x</v>
      </c>
      <c r="Y1084">
        <f>Y1083</f>
        <v>1</v>
      </c>
      <c r="Z1084" t="str">
        <v>=</v>
      </c>
      <c r="AA1084">
        <f>(N1084+P1084*R1084/1000)*U1084*W1084*Y1084</f>
        <v>0</v>
      </c>
    </row>
    <row r="1086">
      <c r="A1086" t="str">
        <f>A1074</f>
        <v>Sloof</v>
      </c>
      <c r="B1086">
        <f>B1074</f>
        <v>32</v>
      </c>
      <c r="C1086" t="str">
        <v>Tul Peminggang</v>
      </c>
      <c r="D1086">
        <f>VLOOKUP(D1074,'Detail Balok'!$C$10:$AU$110,13,FALSE)</f>
        <v>2</v>
      </c>
      <c r="E1086" t="str">
        <v>D</v>
      </c>
      <c r="F1086">
        <f>VLOOKUP(D1074,'Detail Balok'!$C$10:$AU$110,15,FALSE)</f>
        <v>10</v>
      </c>
      <c r="J1086">
        <f>+D1076/1000</f>
        <v>3.9</v>
      </c>
      <c r="K1086" t="str">
        <v>+</v>
      </c>
      <c r="L1086">
        <f>2*$F$16*F1086/1000</f>
        <v>0.24</v>
      </c>
      <c r="M1086" t="str">
        <v>=</v>
      </c>
      <c r="N1086">
        <f>J1086+L1086</f>
        <v>4.14</v>
      </c>
      <c r="O1086" t="str">
        <v>+</v>
      </c>
      <c r="P1086">
        <f>IF(N1086&gt;12,ROUNDDOWN(N1086/12,0),0)</f>
        <v>0</v>
      </c>
      <c r="Q1086" t="str">
        <v>x</v>
      </c>
      <c r="R1086">
        <f>IF(P1086&gt;0,MAX(VLOOKUP(F1086,$D$6:$G$15,3,FALSE),600),0)/1000</f>
        <v>0</v>
      </c>
      <c r="T1086" t="str">
        <v>x</v>
      </c>
      <c r="U1086">
        <f>0.006165*F1086^2</f>
        <v>0.6165</v>
      </c>
      <c r="V1086" t="str">
        <v>x</v>
      </c>
      <c r="W1086">
        <f>+D1086</f>
        <v>2</v>
      </c>
      <c r="X1086" t="str">
        <v>x</v>
      </c>
      <c r="Y1086">
        <f>D1080</f>
        <v>1</v>
      </c>
      <c r="Z1086" t="str">
        <v>=</v>
      </c>
      <c r="AA1086">
        <f>(N1086+P1086*R1086/1000)*U1086*W1086*Y1086</f>
        <v>5.10462</v>
      </c>
    </row>
    <row r="1089">
      <c r="A1089" t="str">
        <f>A1074</f>
        <v>Sloof</v>
      </c>
      <c r="B1089">
        <f>B1074</f>
        <v>32</v>
      </c>
      <c r="C1089" t="str">
        <v>Tul Bawah Tumpuan</v>
      </c>
      <c r="D1089">
        <f>VLOOKUP(D1074,'Detail Balok'!$C$10:$AU$110,22,FALSE)</f>
        <v>4</v>
      </c>
      <c r="E1089" t="str">
        <v>D</v>
      </c>
      <c r="F1089">
        <f>VLOOKUP(D1074,'Detail Balok'!$C$10:$AU$110,24,FALSE)</f>
        <v>16</v>
      </c>
      <c r="I1089" t="str">
        <v>(</v>
      </c>
      <c r="J1089">
        <f>+J1081</f>
        <v>0.975</v>
      </c>
      <c r="K1089" t="str">
        <v>+</v>
      </c>
      <c r="L1089">
        <f>MAX(VLOOKUP(F1089,N$6:P$15,3,FALSE)/1000,2/3*D1079/1000)+F$16*F1089/1000</f>
        <v>0.192</v>
      </c>
      <c r="M1089" t="str">
        <v>=</v>
      </c>
      <c r="N1089">
        <f>J1089+L1089</f>
        <v>1.167</v>
      </c>
      <c r="O1089" t="str">
        <v>+</v>
      </c>
      <c r="P1089">
        <f>D1089-D1090</f>
        <v>0</v>
      </c>
      <c r="Q1089" t="str">
        <v>x</v>
      </c>
      <c r="R1089">
        <f>IF(P1089&gt;0,$F$18*F1089/1000,0)</f>
        <v>0</v>
      </c>
      <c r="S1089" t="str">
        <v>)</v>
      </c>
      <c r="T1089" t="str">
        <v>x</v>
      </c>
      <c r="U1089">
        <f>0.006165*F1089^2</f>
        <v>1.57824</v>
      </c>
      <c r="X1089" t="str">
        <v>x</v>
      </c>
      <c r="Y1089">
        <f>D1080</f>
        <v>1</v>
      </c>
      <c r="Z1089" t="str">
        <v>=</v>
      </c>
      <c r="AA1089">
        <f>IF(AA1092=0,(D1089*N1089+P1089*R1089)*U1089*Y1089,0)</f>
        <v>0</v>
      </c>
    </row>
    <row r="1090">
      <c r="A1090" t="str">
        <f>A1074</f>
        <v>Sloof</v>
      </c>
      <c r="B1090">
        <f>B1074</f>
        <v>32</v>
      </c>
      <c r="C1090" t="str">
        <v>Tul Bawah Lapangan</v>
      </c>
      <c r="D1090">
        <f>VLOOKUP(D1074,'Detail Balok'!$C$10:$AU$110,25,FALSE)</f>
        <v>4</v>
      </c>
      <c r="E1090" t="str">
        <v>D</v>
      </c>
      <c r="F1090">
        <f>VLOOKUP(D1074,'Detail Balok'!$C$10:$AU$110,27,FALSE)</f>
        <v>16</v>
      </c>
      <c r="I1090" t="str">
        <v>(</v>
      </c>
      <c r="J1090">
        <f>+J1082</f>
        <v>1.95</v>
      </c>
      <c r="K1090" t="str">
        <v>+</v>
      </c>
      <c r="M1090" t="str">
        <v>=</v>
      </c>
      <c r="N1090">
        <f>J1090+L1090</f>
        <v>1.95</v>
      </c>
      <c r="O1090" t="str">
        <v>+</v>
      </c>
      <c r="P1090">
        <f>MAX(D1090-D1089,D1090-D1091)</f>
        <v>0</v>
      </c>
      <c r="Q1090" t="str">
        <v>x</v>
      </c>
      <c r="R1090">
        <f>IF(P1090&gt;0,2*(1-2*$F$19-1/2)*D1077/1000,0)</f>
        <v>0</v>
      </c>
      <c r="S1090" t="str">
        <v>)</v>
      </c>
      <c r="T1090" t="str">
        <v>x</v>
      </c>
      <c r="U1090">
        <f>0.006165*F1090^2</f>
        <v>1.57824</v>
      </c>
      <c r="X1090" t="str">
        <v>x</v>
      </c>
      <c r="Y1090">
        <f>D1080</f>
        <v>1</v>
      </c>
      <c r="Z1090" t="str">
        <v>=</v>
      </c>
      <c r="AA1090">
        <f>IF(AA1092=0,(D1090*N1090+P1090*R1090)*U1090*Y1090,0)</f>
        <v>0</v>
      </c>
    </row>
    <row r="1091">
      <c r="A1091" t="str">
        <f>A1074</f>
        <v>Sloof</v>
      </c>
      <c r="B1091">
        <f>B1074</f>
        <v>32</v>
      </c>
      <c r="C1091" t="str">
        <v>Tul Bawah Tumpuan</v>
      </c>
      <c r="D1091">
        <f>VLOOKUP(D1074,'Detail Balok'!$C$10:$AU$110,28,FALSE)</f>
        <v>4</v>
      </c>
      <c r="E1091" t="str">
        <v>D</v>
      </c>
      <c r="F1091">
        <f>VLOOKUP(D1074,'Detail Balok'!$C$10:$AU$110,30,FALSE)</f>
        <v>16</v>
      </c>
      <c r="I1091" t="str">
        <v>(</v>
      </c>
      <c r="J1091">
        <f>+J1083</f>
        <v>0.975</v>
      </c>
      <c r="K1091" t="str">
        <v>+</v>
      </c>
      <c r="L1091">
        <f>MAX(VLOOKUP(F1091,N$6:P$15,3,FALSE)/1000,2/3*D1079/1000)+F$16*F1091/1000</f>
        <v>0.192</v>
      </c>
      <c r="M1091" t="str">
        <v>=</v>
      </c>
      <c r="N1091">
        <f>J1091+L1091</f>
        <v>1.167</v>
      </c>
      <c r="O1091" t="str">
        <v>+</v>
      </c>
      <c r="P1091">
        <f>D1091-D1090</f>
        <v>0</v>
      </c>
      <c r="Q1091" t="str">
        <v>x</v>
      </c>
      <c r="R1091">
        <f>IF(P1091&gt;0,$F$18*F1091/1000,0)</f>
        <v>0</v>
      </c>
      <c r="S1091" t="str">
        <v>)</v>
      </c>
      <c r="T1091" t="str">
        <v>x</v>
      </c>
      <c r="U1091">
        <f>0.006165*F1091^2</f>
        <v>1.57824</v>
      </c>
      <c r="X1091" t="str">
        <v>x</v>
      </c>
      <c r="Y1091">
        <f>D1080</f>
        <v>1</v>
      </c>
      <c r="Z1091" t="str">
        <v>=</v>
      </c>
      <c r="AA1091">
        <f>IF(AA1092=0,(D1091*N1091+P1091*R1091)*U1091*Y1091,0)</f>
        <v>0</v>
      </c>
    </row>
    <row r="1092">
      <c r="A1092" t="str">
        <f>A1074</f>
        <v>Sloof</v>
      </c>
      <c r="B1092">
        <f>B1074</f>
        <v>32</v>
      </c>
      <c r="D1092">
        <f>IF(AND(D1089=D1090,D1090=D1091,D1089=D1091),D1089,0)</f>
        <v>4</v>
      </c>
      <c r="E1092" t="str">
        <v>D</v>
      </c>
      <c r="F1092">
        <f>IF(AND(F1089=F1090,F1089=F1091,F1090=F1091),F1089,0)</f>
        <v>16</v>
      </c>
      <c r="L1092" t="str">
        <v>Total panjang per balok</v>
      </c>
      <c r="M1092" t="str">
        <v>=</v>
      </c>
      <c r="N1092">
        <f>IF(AND(D1089=D1090,D1089=D1091,D1090=D1091,F1089=F1090,F1089=F1091,F1090=F1091),SUM(N1089:N1091),0)</f>
        <v>4.284</v>
      </c>
      <c r="O1092" t="str">
        <v>+</v>
      </c>
      <c r="P1092">
        <f>IF(N1092&gt;12,ROUNDDOWN(N1092/12,0),0)</f>
        <v>0</v>
      </c>
      <c r="Q1092" t="str">
        <v>x</v>
      </c>
      <c r="R1092">
        <f>IF(P1092&gt;0,MAX(VLOOKUP(F1092,$D$6:$G$15,3,FALSE),600),0)/1000</f>
        <v>0</v>
      </c>
      <c r="T1092" t="str">
        <v>x</v>
      </c>
      <c r="U1092">
        <f>U1091</f>
        <v>1.57824</v>
      </c>
      <c r="V1092" t="str">
        <v>x</v>
      </c>
      <c r="W1092">
        <f>D1092</f>
        <v>4</v>
      </c>
      <c r="X1092" t="str">
        <v>x</v>
      </c>
      <c r="Y1092">
        <f>Y1091</f>
        <v>1</v>
      </c>
      <c r="Z1092" t="str">
        <v>=</v>
      </c>
      <c r="AA1092">
        <f>(N1092+P1092*R1092/1000)*U1092*W1092*Y1092</f>
        <v>27.04472064</v>
      </c>
    </row>
    <row r="1094">
      <c r="A1094" t="str">
        <f>A1074</f>
        <v>Sloof</v>
      </c>
      <c r="B1094">
        <f>B1074</f>
        <v>32</v>
      </c>
      <c r="C1094" t="str">
        <v>Sengkang Tumpuan</v>
      </c>
      <c r="D1094">
        <f>VLOOKUP(D1074,'Detail Balok'!$C$10:$AU$110,31,FALSE)</f>
        <v>0</v>
      </c>
      <c r="E1094" t="str">
        <v>D</v>
      </c>
      <c r="F1094">
        <f>VLOOKUP(D1074,'Detail Balok'!$C$10:$AU$110,33,FALSE)</f>
        <v>10</v>
      </c>
      <c r="G1094" t="str">
        <v>-</v>
      </c>
      <c r="H1094">
        <f>VLOOKUP(D1074,'Detail Balok'!$C$10:$AU$110,35,FALSE)</f>
        <v>200</v>
      </c>
      <c r="J1094">
        <f>(IF(D1094=0,(2*(D1075+G1075))-(F$5*8),IF(D1094=3,(2*(D1075+G1075))-(F$5*8)+(G1075-2*F$5),IF(D1094=4,(2*(D1075+G1075))-(F$5*8)+2*(G1075-2*F$5)))))/1000</f>
        <v>1.08</v>
      </c>
      <c r="K1094" t="str">
        <v>+</v>
      </c>
      <c r="L1094">
        <f>IF(D1094=0,2*MAX(6*F1094,75),(D1094-1)*2*MAX(6*F1094,75))/1000</f>
        <v>0.15</v>
      </c>
      <c r="M1094" t="str">
        <v>=</v>
      </c>
      <c r="N1094">
        <f>J1094+L1094</f>
        <v>1.23</v>
      </c>
      <c r="T1094" t="str">
        <v>x</v>
      </c>
      <c r="U1094">
        <f>0.006165*F1094^2</f>
        <v>0.6165</v>
      </c>
      <c r="V1094" t="str">
        <v>x</v>
      </c>
      <c r="W1094">
        <f>IF(D1077&gt;4*G1075,ROUND(MAX(D1077/4,2*G1075)/H1094,0)+1,ROUND(D1077/H1094,0)+1)</f>
        <v>6</v>
      </c>
      <c r="X1094" t="str">
        <v>x</v>
      </c>
      <c r="Y1094">
        <f>D1080</f>
        <v>1</v>
      </c>
      <c r="Z1094" t="str">
        <v>=</v>
      </c>
      <c r="AA1094">
        <f>N1094*U1094*W1094*Y1094</f>
        <v>4.5497700000000005</v>
      </c>
    </row>
    <row r="1095">
      <c r="A1095" t="str">
        <f>A1074</f>
        <v>Sloof</v>
      </c>
      <c r="B1095">
        <f>B1074</f>
        <v>32</v>
      </c>
      <c r="C1095" t="str">
        <v>Sengkang Lapangan</v>
      </c>
      <c r="D1095">
        <f>VLOOKUP(D1074,'Detail Balok'!$C$10:$AU$110,36,FALSE)</f>
        <v>0</v>
      </c>
      <c r="E1095" t="str">
        <v>D</v>
      </c>
      <c r="F1095">
        <f>VLOOKUP(D1074,'Detail Balok'!$C$10:$AU$110,38,FALSE)</f>
        <v>10</v>
      </c>
      <c r="G1095" t="str">
        <v>-</v>
      </c>
      <c r="H1095">
        <f>VLOOKUP(D1074,'Detail Balok'!$C$10:$AU$110,40,FALSE)</f>
        <v>200</v>
      </c>
      <c r="J1095">
        <f>(IF(D1095=0,(2*(D1075+G1075))-(F$5*8),IF(D1095=3,(2*(D1075+G1075))-(F$5*8)+(G1075-2*F$5),IF(D1095=4,(2*(D1075+G1075))-(F$5*8)+2*(G1075-2*F$5)))))/1000</f>
        <v>1.08</v>
      </c>
      <c r="K1095" t="str">
        <v>+</v>
      </c>
      <c r="L1095">
        <f>IF(D1095=0,2*MAX(6*F1095,75),(D1095-1)*2*MAX(6*F1095,75))/1000</f>
        <v>0.15</v>
      </c>
      <c r="M1095" t="str">
        <v>=</v>
      </c>
      <c r="N1095">
        <f>J1095+L1095</f>
        <v>1.23</v>
      </c>
      <c r="T1095" t="str">
        <v>x</v>
      </c>
      <c r="U1095">
        <f>0.006165*F1095^2</f>
        <v>0.6165</v>
      </c>
      <c r="V1095" t="str">
        <v>x</v>
      </c>
      <c r="W1095">
        <f>IF(D1077-MAX(D1077/4,2*G1075)*2&gt;0,ROUND((D1077-MAX(D1077/4,2*G1075)*2)/H1095,0),0)</f>
        <v>10</v>
      </c>
      <c r="X1095" t="str">
        <v>x</v>
      </c>
      <c r="Y1095">
        <f>D1080</f>
        <v>1</v>
      </c>
      <c r="Z1095" t="str">
        <v>=</v>
      </c>
      <c r="AA1095">
        <f>N1095*U1095*W1095*Y1095</f>
        <v>7.58295</v>
      </c>
    </row>
    <row r="1096">
      <c r="A1096" t="str">
        <f>A1074</f>
        <v>Sloof</v>
      </c>
      <c r="B1096">
        <f>B1074</f>
        <v>32</v>
      </c>
      <c r="C1096" t="str">
        <v>Sengkang Tumpuan</v>
      </c>
      <c r="D1096">
        <f>VLOOKUP(D1074,'Detail Balok'!$C$10:$AU$110,41,FALSE)</f>
        <v>0</v>
      </c>
      <c r="E1096" t="str">
        <v>D</v>
      </c>
      <c r="F1096">
        <f>VLOOKUP(D1074,'Detail Balok'!$C$10:$AU$110,43,FALSE)</f>
        <v>10</v>
      </c>
      <c r="G1096" t="str">
        <v>-</v>
      </c>
      <c r="H1096">
        <f>VLOOKUP(D1074,'Detail Balok'!$C$10:$AU$110,45,FALSE)</f>
        <v>200</v>
      </c>
      <c r="J1096">
        <f>(IF(D1096=0,(2*(D1075+G1075))-(F$5*8),IF(D1096=3,(2*(D1075+G1075))-(F$5*8)+(G1075-2*F$5),IF(D1096=4,(2*(D1075+G1075))-(F$5*8)+2*(G1075-2*F$5)))))/1000</f>
        <v>1.08</v>
      </c>
      <c r="K1096" t="str">
        <v>+</v>
      </c>
      <c r="L1096">
        <f>IF(D1096=0,2*MAX(6*F1096,75),(D1096-1)*2*MAX(6*F1096,75))/1000</f>
        <v>0.15</v>
      </c>
      <c r="M1096" t="str">
        <v>=</v>
      </c>
      <c r="N1096">
        <f>J1096+L1096</f>
        <v>1.23</v>
      </c>
      <c r="T1096" t="str">
        <v>x</v>
      </c>
      <c r="U1096">
        <f>0.006165*F1096^2</f>
        <v>0.6165</v>
      </c>
      <c r="V1096" t="str">
        <v>x</v>
      </c>
      <c r="W1096">
        <f>IF(D1077&gt;4*G1075,ROUND(MAX(D1077/4,2*G1075)/H1096,0)+1,0)</f>
        <v>6</v>
      </c>
      <c r="X1096" t="str">
        <v>x</v>
      </c>
      <c r="Y1096">
        <f>D1080</f>
        <v>1</v>
      </c>
      <c r="Z1096" t="str">
        <v>=</v>
      </c>
      <c r="AA1096">
        <f>N1096*U1096*W1096*Y1096</f>
        <v>4.5497700000000005</v>
      </c>
    </row>
    <row r="1098">
      <c r="A1098" t="str">
        <f>A1074</f>
        <v>Sloof</v>
      </c>
      <c r="B1098">
        <f>B1074</f>
        <v>32</v>
      </c>
      <c r="C1098" t="str">
        <v>Kait Horizontal Tump.</v>
      </c>
      <c r="D1098">
        <f>VLOOKUP(D1074,'Detail Balok'!$C$10:$BJ$110,46,FALSE)</f>
        <v>0</v>
      </c>
      <c r="E1098" t="str">
        <v>D</v>
      </c>
      <c r="F1098">
        <f>VLOOKUP(D1074,'Detail Balok'!$C$10:$BJ$110,48,FALSE)</f>
        <v>0</v>
      </c>
      <c r="G1098" t="str">
        <v>-</v>
      </c>
      <c r="H1098">
        <f>VLOOKUP(D1074,'Detail Balok'!$C$10:$BJ$110,50,FALSE)</f>
        <v>100</v>
      </c>
      <c r="J1098">
        <f>(D1075-2*F$5)/1000</f>
        <v>0.12</v>
      </c>
      <c r="K1098" t="str">
        <v>+</v>
      </c>
      <c r="L1098">
        <f>IF(D1098=0,2*MAX(6*F1098,75),(D1098-1)*2*MAX(6*F1098,75))/1000</f>
        <v>0.15</v>
      </c>
      <c r="M1098" t="str">
        <v>=</v>
      </c>
      <c r="N1098">
        <f>J1098+L1098</f>
        <v>0.27</v>
      </c>
      <c r="T1098" t="str">
        <v>x</v>
      </c>
      <c r="U1098">
        <f>0.006165*F1098^2</f>
        <v>0</v>
      </c>
      <c r="V1098" t="str">
        <v>x</v>
      </c>
      <c r="W1098">
        <f>W1094</f>
        <v>6</v>
      </c>
      <c r="X1098" t="str">
        <v>x</v>
      </c>
      <c r="Y1098">
        <f>D1084</f>
        <v>0</v>
      </c>
      <c r="Z1098" t="str">
        <v>=</v>
      </c>
      <c r="AA1098">
        <f>N1098*U1098*W1098*Y1098</f>
        <v>0</v>
      </c>
    </row>
    <row r="1099">
      <c r="A1099" t="str">
        <f>A1074</f>
        <v>Sloof</v>
      </c>
      <c r="B1099">
        <f>B1074</f>
        <v>32</v>
      </c>
      <c r="C1099" t="str">
        <v>Kait Horizontal Lap.</v>
      </c>
      <c r="D1099">
        <f>VLOOKUP(D1074,'Detail Balok'!$C$10:$BJ$110,51,FALSE)</f>
        <v>0</v>
      </c>
      <c r="E1099" t="str">
        <v>D</v>
      </c>
      <c r="F1099">
        <f>VLOOKUP(D1074,'Detail Balok'!$C$10:$BJ$110,53,FALSE)</f>
        <v>0</v>
      </c>
      <c r="G1099" t="str">
        <v>-</v>
      </c>
      <c r="H1099">
        <f>VLOOKUP(D1074,'Detail Balok'!$C$10:$BJ$110,55,FALSE)</f>
        <v>100</v>
      </c>
      <c r="J1099">
        <f>(D1075-2*F$5)/1000</f>
        <v>0.12</v>
      </c>
      <c r="K1099" t="str">
        <v>+</v>
      </c>
      <c r="L1099">
        <f>IF(D1099=0,2*MAX(6*F1099,75),(D1099-1)*2*MAX(6*F1099,75))/1000</f>
        <v>0.15</v>
      </c>
      <c r="M1099" t="str">
        <v>=</v>
      </c>
      <c r="N1099">
        <f>J1099+L1099</f>
        <v>0.27</v>
      </c>
      <c r="T1099" t="str">
        <v>x</v>
      </c>
      <c r="U1099">
        <f>0.006165*F1099^2</f>
        <v>0</v>
      </c>
      <c r="V1099" t="str">
        <v>x</v>
      </c>
      <c r="W1099">
        <f>W1095</f>
        <v>10</v>
      </c>
      <c r="X1099" t="str">
        <v>x</v>
      </c>
      <c r="Y1099">
        <f>D1084</f>
        <v>0</v>
      </c>
      <c r="Z1099" t="str">
        <v>=</v>
      </c>
      <c r="AA1099">
        <f>N1099*U1099*W1099*Y1099</f>
        <v>0</v>
      </c>
    </row>
    <row r="1100">
      <c r="A1100" t="str">
        <f>A1074</f>
        <v>Sloof</v>
      </c>
      <c r="B1100">
        <f>B1074</f>
        <v>32</v>
      </c>
      <c r="C1100" t="str">
        <v>Kait Horizontal Tump.</v>
      </c>
      <c r="D1100">
        <f>VLOOKUP(D1074,'Detail Balok'!$C$10:$BJ$110,56,FALSE)</f>
        <v>0</v>
      </c>
      <c r="E1100" t="str">
        <v>D</v>
      </c>
      <c r="F1100">
        <f>VLOOKUP(D1074,'Detail Balok'!$C$10:$BJ$110,58,FALSE)</f>
        <v>0</v>
      </c>
      <c r="G1100" t="str">
        <v>-</v>
      </c>
      <c r="H1100">
        <f>VLOOKUP(D1074,'Detail Balok'!$C$10:$BJ$110,60,FALSE)</f>
        <v>100</v>
      </c>
      <c r="J1100">
        <f>(D1075-2*F$5)/1000</f>
        <v>0.12</v>
      </c>
      <c r="K1100" t="str">
        <v>+</v>
      </c>
      <c r="L1100">
        <f>IF(D1100=0,2*MAX(6*F1100,75),(D1100-1)*2*MAX(6*F1100,75))/1000</f>
        <v>0.15</v>
      </c>
      <c r="M1100" t="str">
        <v>=</v>
      </c>
      <c r="N1100">
        <f>J1100+L1100</f>
        <v>0.27</v>
      </c>
      <c r="T1100" t="str">
        <v>x</v>
      </c>
      <c r="U1100">
        <f>0.006165*F1100^2</f>
        <v>0</v>
      </c>
      <c r="V1100" t="str">
        <v>x</v>
      </c>
      <c r="W1100">
        <f>W1096</f>
        <v>6</v>
      </c>
      <c r="X1100" t="str">
        <v>x</v>
      </c>
      <c r="Y1100">
        <f>D1084</f>
        <v>0</v>
      </c>
      <c r="Z1100" t="str">
        <v>=</v>
      </c>
      <c r="AA1100">
        <f>N1100*U1100*W1100*Y1100</f>
        <v>0</v>
      </c>
    </row>
    <row r="1104">
      <c r="A1104" t="str">
        <f>A1074</f>
        <v>Sloof</v>
      </c>
      <c r="B1104">
        <f>B1074+1</f>
        <v>33</v>
      </c>
      <c r="C1104" t="str">
        <f>CONCATENATE(A1104," no. ",B1104)</f>
        <v>Sloof no. 33</v>
      </c>
      <c r="D1104" t="str">
        <f>VLOOKUP(C1104,'Data Panjang Balok'!$C$9:$N$424,2,FALSE)</f>
        <v>TB47-1</v>
      </c>
    </row>
    <row r="1105">
      <c r="C1105" t="str">
        <v>Dimensi</v>
      </c>
      <c r="D1105">
        <f>VLOOKUP(D1104,'Detail Balok'!$C$10:$AU$110,2,FALSE)</f>
        <v>400</v>
      </c>
      <c r="F1105" t="str">
        <v>x</v>
      </c>
      <c r="G1105">
        <f>VLOOKUP(D1104,'Detail Balok'!$C$10:$AU$110,3,FALSE)</f>
        <v>700</v>
      </c>
    </row>
    <row r="1106">
      <c r="C1106" t="str">
        <v>Panjang as ke as</v>
      </c>
      <c r="D1106">
        <f>VLOOKUP(C1104,'Data Panjang Balok'!$C$9:$N$424,4,FALSE)</f>
        <v>3915</v>
      </c>
    </row>
    <row r="1107">
      <c r="C1107" t="str">
        <v>Panjang netto</v>
      </c>
      <c r="D1107">
        <f>VLOOKUP(C1104,'Data Panjang Balok'!$C$9:$N$424,7,FALSE)</f>
        <v>3915</v>
      </c>
    </row>
    <row r="1108">
      <c r="C1108" t="str">
        <v>Kolom / balok kiri</v>
      </c>
      <c r="D1108">
        <f>VLOOKUP(C1104,'Data Panjang Balok'!$C$9:$N$424,9,FALSE)</f>
        <v>0</v>
      </c>
    </row>
    <row r="1109">
      <c r="C1109" t="str">
        <v>Kolom / balok kanan</v>
      </c>
      <c r="D1109">
        <f>VLOOKUP(C1104,'Data Panjang Balok'!$C$9:$N$424,10,FALSE)</f>
        <v>0</v>
      </c>
    </row>
    <row r="1110">
      <c r="C1110" t="str">
        <v>Jumlah</v>
      </c>
      <c r="D1110">
        <f>VLOOKUP(C1104,'Data Panjang Balok'!$C$9:$N$424,3,FALSE)</f>
        <v>1</v>
      </c>
    </row>
    <row r="1111">
      <c r="A1111" t="str">
        <f>A1104</f>
        <v>Sloof</v>
      </c>
      <c r="B1111">
        <f>B1104</f>
        <v>33</v>
      </c>
      <c r="C1111" t="str">
        <v>Tul Atas Tumpuan</v>
      </c>
      <c r="D1111">
        <f>VLOOKUP(D1104,'Detail Balok'!$C$10:$AU$110,4,FALSE)</f>
        <v>9</v>
      </c>
      <c r="E1111" t="str">
        <v>D</v>
      </c>
      <c r="F1111">
        <f>VLOOKUP(D1104,'Detail Balok'!$C$10:$AU$110,6,FALSE)</f>
        <v>22</v>
      </c>
      <c r="I1111" t="str">
        <v>(</v>
      </c>
      <c r="J1111">
        <f>+D1106/4/1000</f>
        <v>0.97875</v>
      </c>
      <c r="K1111" t="str">
        <v>+</v>
      </c>
      <c r="L1111">
        <f>MAX(VLOOKUP(F1111,N$6:P$15,3,FALSE)/1000,2/3*D1108/1000)+F$16*F1111/1000</f>
        <v>0.264</v>
      </c>
      <c r="M1111" t="str">
        <v>=</v>
      </c>
      <c r="N1111">
        <f>J1111+L1111</f>
        <v>1.24275</v>
      </c>
      <c r="O1111" t="str">
        <v>+</v>
      </c>
      <c r="P1111">
        <f>D1111-D1112</f>
        <v>0</v>
      </c>
      <c r="Q1111" t="str">
        <v>x</v>
      </c>
      <c r="R1111">
        <f>IF(P1111&gt;0,$F$18*F1111/1000,0)</f>
        <v>0</v>
      </c>
      <c r="S1111" t="str">
        <v>)</v>
      </c>
      <c r="T1111" t="str">
        <v>x</v>
      </c>
      <c r="U1111">
        <f>0.006165*F1111^2</f>
        <v>2.98386</v>
      </c>
      <c r="X1111" t="str">
        <v>x</v>
      </c>
      <c r="Y1111">
        <f>D1110</f>
        <v>1</v>
      </c>
      <c r="Z1111" t="str">
        <v>=</v>
      </c>
      <c r="AA1111">
        <f>IF(AA1114=0,(D1111*N1111+P1111*R1111)*U1111*Y1111,0)</f>
        <v>0</v>
      </c>
    </row>
    <row r="1112">
      <c r="A1112" t="str">
        <f>A1104</f>
        <v>Sloof</v>
      </c>
      <c r="B1112">
        <f>B1104</f>
        <v>33</v>
      </c>
      <c r="C1112" t="str">
        <v>Tul Atas Lapangan</v>
      </c>
      <c r="D1112">
        <f>VLOOKUP(D1104,'Detail Balok'!$C$10:$AU$110,7,FALSE)</f>
        <v>9</v>
      </c>
      <c r="E1112" t="str">
        <v>D</v>
      </c>
      <c r="F1112">
        <f>VLOOKUP(D1104,'Detail Balok'!$C$10:$AU$110,9,FALSE)</f>
        <v>22</v>
      </c>
      <c r="I1112" t="str">
        <v>(</v>
      </c>
      <c r="J1112">
        <f>+D1106/2/1000</f>
        <v>1.9575</v>
      </c>
      <c r="K1112" t="str">
        <v>+</v>
      </c>
      <c r="M1112" t="str">
        <v>=</v>
      </c>
      <c r="N1112">
        <f>J1112+L1112</f>
        <v>1.9575</v>
      </c>
      <c r="O1112" t="str">
        <v>+</v>
      </c>
      <c r="P1112">
        <f>MAX(D1112-D1111,D1112-D1113)</f>
        <v>0</v>
      </c>
      <c r="Q1112" t="str">
        <v>x</v>
      </c>
      <c r="R1112">
        <f>IF(P1112&gt;0,2*(1-2*$F$19-1/2)*D1107/1000,0)</f>
        <v>0</v>
      </c>
      <c r="S1112" t="str">
        <v>)</v>
      </c>
      <c r="T1112" t="str">
        <v>x</v>
      </c>
      <c r="U1112">
        <f>0.006165*F1112^2</f>
        <v>2.98386</v>
      </c>
      <c r="X1112" t="str">
        <v>x</v>
      </c>
      <c r="Y1112">
        <f>D1110</f>
        <v>1</v>
      </c>
      <c r="Z1112" t="str">
        <v>=</v>
      </c>
      <c r="AA1112">
        <f>IF(AA1114=0,(D1112*N1112+P1112*R1112)*U1112*Y1112,0)</f>
        <v>0</v>
      </c>
    </row>
    <row r="1113">
      <c r="A1113" t="str">
        <f>A1104</f>
        <v>Sloof</v>
      </c>
      <c r="B1113">
        <f>B1104</f>
        <v>33</v>
      </c>
      <c r="C1113" t="str">
        <v>Tul Atas Tumpuan</v>
      </c>
      <c r="D1113">
        <f>VLOOKUP(D1104,'Detail Balok'!$C$10:$AU$110,10,FALSE)</f>
        <v>9</v>
      </c>
      <c r="E1113" t="str">
        <v>D</v>
      </c>
      <c r="F1113">
        <f>VLOOKUP(D1104,'Detail Balok'!$C$10:$AU$110,12,FALSE)</f>
        <v>22</v>
      </c>
      <c r="I1113" t="str">
        <v>(</v>
      </c>
      <c r="J1113">
        <f>+D1106/4/1000</f>
        <v>0.97875</v>
      </c>
      <c r="K1113" t="str">
        <v>+</v>
      </c>
      <c r="L1113">
        <f>MAX(VLOOKUP(F1113,N$6:P$15,3,FALSE)/1000,2/3*D1108/1000)+F$16*F1113/1000</f>
        <v>0.264</v>
      </c>
      <c r="M1113" t="str">
        <v>=</v>
      </c>
      <c r="N1113">
        <f>J1113+L1113</f>
        <v>1.24275</v>
      </c>
      <c r="O1113" t="str">
        <v>+</v>
      </c>
      <c r="P1113">
        <f>D1113-D1112</f>
        <v>0</v>
      </c>
      <c r="Q1113" t="str">
        <v>x</v>
      </c>
      <c r="R1113">
        <f>IF(P1113&gt;0,$F$18*F1113/1000,0)</f>
        <v>0</v>
      </c>
      <c r="S1113" t="str">
        <v>)</v>
      </c>
      <c r="T1113" t="str">
        <v>x</v>
      </c>
      <c r="U1113">
        <f>0.006165*F1113^2</f>
        <v>2.98386</v>
      </c>
      <c r="X1113" t="str">
        <v>x</v>
      </c>
      <c r="Y1113">
        <f>D1110</f>
        <v>1</v>
      </c>
      <c r="Z1113" t="str">
        <v>=</v>
      </c>
      <c r="AA1113">
        <f>IF(AA1114=0,(D1113*N1113+P1113*R1113)*U1113*Y1113,0)</f>
        <v>0</v>
      </c>
    </row>
    <row r="1114">
      <c r="A1114" t="str">
        <f>A1104</f>
        <v>Sloof</v>
      </c>
      <c r="B1114">
        <f>B1104</f>
        <v>33</v>
      </c>
      <c r="D1114">
        <f>IF(AND(D1111=D1112,D1112=D1113,D1111=D1113),D1111,0)</f>
        <v>9</v>
      </c>
      <c r="E1114" t="str">
        <v>D</v>
      </c>
      <c r="F1114">
        <f>IF(AND(F1111=F1112,F1111=F1113,F1112=F1113),F1111,0)</f>
        <v>22</v>
      </c>
      <c r="L1114" t="str">
        <v>Total panjang per balok</v>
      </c>
      <c r="M1114" t="str">
        <v>=</v>
      </c>
      <c r="N1114">
        <f>IF(AND(D1111=D1112,D1111=D1113,D1112=D1113,F1111=F1112,F1111=F1113,F1112=F1113),SUM(N1111:N1113),0)</f>
        <v>4.443</v>
      </c>
      <c r="O1114" t="str">
        <v>+</v>
      </c>
      <c r="P1114">
        <f>IF(N1114&gt;12,ROUNDDOWN(N1114/12,0),0)</f>
        <v>0</v>
      </c>
      <c r="Q1114" t="str">
        <v>x</v>
      </c>
      <c r="R1114">
        <f>IF(P1114&gt;0,MAX(VLOOKUP(F1114,$D$6:$G$15,3,FALSE),600),0)/1000</f>
        <v>0</v>
      </c>
      <c r="T1114" t="str">
        <v>x</v>
      </c>
      <c r="U1114">
        <f>U1113</f>
        <v>2.98386</v>
      </c>
      <c r="V1114" t="str">
        <v>x</v>
      </c>
      <c r="W1114">
        <f>D1114</f>
        <v>9</v>
      </c>
      <c r="X1114" t="str">
        <v>x</v>
      </c>
      <c r="Y1114">
        <f>Y1113</f>
        <v>1</v>
      </c>
      <c r="Z1114" t="str">
        <v>=</v>
      </c>
      <c r="AA1114">
        <f>(N1114+P1114*R1114/1000)*U1114*W1114*Y1114</f>
        <v>119.31560981999999</v>
      </c>
    </row>
    <row r="1116">
      <c r="A1116" t="str">
        <f>A1104</f>
        <v>Sloof</v>
      </c>
      <c r="B1116">
        <f>B1104</f>
        <v>33</v>
      </c>
      <c r="C1116" t="str">
        <v>Tul Peminggang</v>
      </c>
      <c r="D1116">
        <f>VLOOKUP(D1104,'Detail Balok'!$C$10:$AU$110,13,FALSE)</f>
        <v>2</v>
      </c>
      <c r="E1116" t="str">
        <v>D</v>
      </c>
      <c r="F1116">
        <f>VLOOKUP(D1104,'Detail Balok'!$C$10:$AU$110,15,FALSE)</f>
        <v>10</v>
      </c>
      <c r="J1116">
        <f>+D1106/1000</f>
        <v>3.915</v>
      </c>
      <c r="K1116" t="str">
        <v>+</v>
      </c>
      <c r="L1116">
        <f>2*$F$16*F1116/1000</f>
        <v>0.24</v>
      </c>
      <c r="M1116" t="str">
        <v>=</v>
      </c>
      <c r="N1116">
        <f>J1116+L1116</f>
        <v>4.155</v>
      </c>
      <c r="O1116" t="str">
        <v>+</v>
      </c>
      <c r="P1116">
        <f>IF(N1116&gt;12,ROUNDDOWN(N1116/12,0),0)</f>
        <v>0</v>
      </c>
      <c r="Q1116" t="str">
        <v>x</v>
      </c>
      <c r="R1116">
        <f>IF(P1116&gt;0,MAX(VLOOKUP(F1116,$D$6:$G$15,3,FALSE),600),0)/1000</f>
        <v>0</v>
      </c>
      <c r="T1116" t="str">
        <v>x</v>
      </c>
      <c r="U1116">
        <f>0.006165*F1116^2</f>
        <v>0.6165</v>
      </c>
      <c r="V1116" t="str">
        <v>x</v>
      </c>
      <c r="W1116">
        <f>+D1116</f>
        <v>2</v>
      </c>
      <c r="X1116" t="str">
        <v>x</v>
      </c>
      <c r="Y1116">
        <f>D1110</f>
        <v>1</v>
      </c>
      <c r="Z1116" t="str">
        <v>=</v>
      </c>
      <c r="AA1116">
        <f>(N1116+P1116*R1116/1000)*U1116*W1116*Y1116</f>
        <v>5.123115</v>
      </c>
    </row>
    <row r="1119">
      <c r="A1119" t="str">
        <f>A1104</f>
        <v>Sloof</v>
      </c>
      <c r="B1119">
        <f>B1104</f>
        <v>33</v>
      </c>
      <c r="C1119" t="str">
        <v>Tul Bawah Tumpuan</v>
      </c>
      <c r="D1119">
        <f>VLOOKUP(D1104,'Detail Balok'!$C$10:$AU$110,22,FALSE)</f>
        <v>5</v>
      </c>
      <c r="E1119" t="str">
        <v>D</v>
      </c>
      <c r="F1119">
        <f>VLOOKUP(D1104,'Detail Balok'!$C$10:$AU$110,24,FALSE)</f>
        <v>22</v>
      </c>
      <c r="I1119" t="str">
        <v>(</v>
      </c>
      <c r="J1119">
        <f>+J1111</f>
        <v>0.97875</v>
      </c>
      <c r="K1119" t="str">
        <v>+</v>
      </c>
      <c r="L1119">
        <f>MAX(VLOOKUP(F1119,N$6:P$15,3,FALSE)/1000,2/3*D1109/1000)+F$16*F1119/1000</f>
        <v>0.264</v>
      </c>
      <c r="M1119" t="str">
        <v>=</v>
      </c>
      <c r="N1119">
        <f>J1119+L1119</f>
        <v>1.24275</v>
      </c>
      <c r="O1119" t="str">
        <v>+</v>
      </c>
      <c r="P1119">
        <f>D1119-D1120</f>
        <v>0</v>
      </c>
      <c r="Q1119" t="str">
        <v>x</v>
      </c>
      <c r="R1119">
        <f>IF(P1119&gt;0,$F$18*F1119/1000,0)</f>
        <v>0</v>
      </c>
      <c r="S1119" t="str">
        <v>)</v>
      </c>
      <c r="T1119" t="str">
        <v>x</v>
      </c>
      <c r="U1119">
        <f>0.006165*F1119^2</f>
        <v>2.98386</v>
      </c>
      <c r="X1119" t="str">
        <v>x</v>
      </c>
      <c r="Y1119">
        <f>D1110</f>
        <v>1</v>
      </c>
      <c r="Z1119" t="str">
        <v>=</v>
      </c>
      <c r="AA1119">
        <f>IF(AA1122=0,(D1119*N1119+P1119*R1119)*U1119*Y1119,0)</f>
        <v>0</v>
      </c>
    </row>
    <row r="1120">
      <c r="A1120" t="str">
        <f>A1104</f>
        <v>Sloof</v>
      </c>
      <c r="B1120">
        <f>B1104</f>
        <v>33</v>
      </c>
      <c r="C1120" t="str">
        <v>Tul Bawah Lapangan</v>
      </c>
      <c r="D1120">
        <f>VLOOKUP(D1104,'Detail Balok'!$C$10:$AU$110,25,FALSE)</f>
        <v>5</v>
      </c>
      <c r="E1120" t="str">
        <v>D</v>
      </c>
      <c r="F1120">
        <f>VLOOKUP(D1104,'Detail Balok'!$C$10:$AU$110,27,FALSE)</f>
        <v>22</v>
      </c>
      <c r="I1120" t="str">
        <v>(</v>
      </c>
      <c r="J1120">
        <f>+J1112</f>
        <v>1.9575</v>
      </c>
      <c r="K1120" t="str">
        <v>+</v>
      </c>
      <c r="M1120" t="str">
        <v>=</v>
      </c>
      <c r="N1120">
        <f>J1120+L1120</f>
        <v>1.9575</v>
      </c>
      <c r="O1120" t="str">
        <v>+</v>
      </c>
      <c r="P1120">
        <f>MAX(D1120-D1119,D1120-D1121)</f>
        <v>0</v>
      </c>
      <c r="Q1120" t="str">
        <v>x</v>
      </c>
      <c r="R1120">
        <f>IF(P1120&gt;0,2*(1-2*$F$19-1/2)*D1107/1000,0)</f>
        <v>0</v>
      </c>
      <c r="S1120" t="str">
        <v>)</v>
      </c>
      <c r="T1120" t="str">
        <v>x</v>
      </c>
      <c r="U1120">
        <f>0.006165*F1120^2</f>
        <v>2.98386</v>
      </c>
      <c r="X1120" t="str">
        <v>x</v>
      </c>
      <c r="Y1120">
        <f>D1110</f>
        <v>1</v>
      </c>
      <c r="Z1120" t="str">
        <v>=</v>
      </c>
      <c r="AA1120">
        <f>IF(AA1122=0,(D1120*N1120+P1120*R1120)*U1120*Y1120,0)</f>
        <v>0</v>
      </c>
    </row>
    <row r="1121">
      <c r="A1121" t="str">
        <f>A1104</f>
        <v>Sloof</v>
      </c>
      <c r="B1121">
        <f>B1104</f>
        <v>33</v>
      </c>
      <c r="C1121" t="str">
        <v>Tul Bawah Tumpuan</v>
      </c>
      <c r="D1121">
        <f>VLOOKUP(D1104,'Detail Balok'!$C$10:$AU$110,28,FALSE)</f>
        <v>5</v>
      </c>
      <c r="E1121" t="str">
        <v>D</v>
      </c>
      <c r="F1121">
        <f>VLOOKUP(D1104,'Detail Balok'!$C$10:$AU$110,30,FALSE)</f>
        <v>22</v>
      </c>
      <c r="I1121" t="str">
        <v>(</v>
      </c>
      <c r="J1121">
        <f>+J1113</f>
        <v>0.97875</v>
      </c>
      <c r="K1121" t="str">
        <v>+</v>
      </c>
      <c r="L1121">
        <f>MAX(VLOOKUP(F1121,N$6:P$15,3,FALSE)/1000,2/3*D1109/1000)+F$16*F1121/1000</f>
        <v>0.264</v>
      </c>
      <c r="M1121" t="str">
        <v>=</v>
      </c>
      <c r="N1121">
        <f>J1121+L1121</f>
        <v>1.24275</v>
      </c>
      <c r="O1121" t="str">
        <v>+</v>
      </c>
      <c r="P1121">
        <f>D1121-D1120</f>
        <v>0</v>
      </c>
      <c r="Q1121" t="str">
        <v>x</v>
      </c>
      <c r="R1121">
        <f>IF(P1121&gt;0,$F$18*F1121/1000,0)</f>
        <v>0</v>
      </c>
      <c r="S1121" t="str">
        <v>)</v>
      </c>
      <c r="T1121" t="str">
        <v>x</v>
      </c>
      <c r="U1121">
        <f>0.006165*F1121^2</f>
        <v>2.98386</v>
      </c>
      <c r="X1121" t="str">
        <v>x</v>
      </c>
      <c r="Y1121">
        <f>D1110</f>
        <v>1</v>
      </c>
      <c r="Z1121" t="str">
        <v>=</v>
      </c>
      <c r="AA1121">
        <f>IF(AA1122=0,(D1121*N1121+P1121*R1121)*U1121*Y1121,0)</f>
        <v>0</v>
      </c>
    </row>
    <row r="1122">
      <c r="A1122" t="str">
        <f>A1104</f>
        <v>Sloof</v>
      </c>
      <c r="B1122">
        <f>B1104</f>
        <v>33</v>
      </c>
      <c r="D1122">
        <f>IF(AND(D1119=D1120,D1120=D1121,D1119=D1121),D1119,0)</f>
        <v>5</v>
      </c>
      <c r="E1122" t="str">
        <v>D</v>
      </c>
      <c r="F1122">
        <f>IF(AND(F1119=F1120,F1119=F1121,F1120=F1121),F1119,0)</f>
        <v>22</v>
      </c>
      <c r="L1122" t="str">
        <v>Total panjang per balok</v>
      </c>
      <c r="M1122" t="str">
        <v>=</v>
      </c>
      <c r="N1122">
        <f>IF(AND(D1119=D1120,D1119=D1121,D1120=D1121,F1119=F1120,F1119=F1121,F1120=F1121),SUM(N1119:N1121),0)</f>
        <v>4.443</v>
      </c>
      <c r="O1122" t="str">
        <v>+</v>
      </c>
      <c r="P1122">
        <f>IF(N1122&gt;12,ROUNDDOWN(N1122/12,0),0)</f>
        <v>0</v>
      </c>
      <c r="Q1122" t="str">
        <v>x</v>
      </c>
      <c r="R1122">
        <f>IF(P1122&gt;0,MAX(VLOOKUP(F1122,$D$6:$G$15,3,FALSE),600),0)/1000</f>
        <v>0</v>
      </c>
      <c r="T1122" t="str">
        <v>x</v>
      </c>
      <c r="U1122">
        <f>U1121</f>
        <v>2.98386</v>
      </c>
      <c r="V1122" t="str">
        <v>x</v>
      </c>
      <c r="W1122">
        <f>D1122</f>
        <v>5</v>
      </c>
      <c r="X1122" t="str">
        <v>x</v>
      </c>
      <c r="Y1122">
        <f>Y1121</f>
        <v>1</v>
      </c>
      <c r="Z1122" t="str">
        <v>=</v>
      </c>
      <c r="AA1122">
        <f>(N1122+P1122*R1122/1000)*U1122*W1122*Y1122</f>
        <v>66.2864499</v>
      </c>
    </row>
    <row r="1124">
      <c r="A1124" t="str">
        <f>A1104</f>
        <v>Sloof</v>
      </c>
      <c r="B1124">
        <f>B1104</f>
        <v>33</v>
      </c>
      <c r="C1124" t="str">
        <v>Sengkang Tumpuan</v>
      </c>
      <c r="D1124">
        <f>VLOOKUP(D1104,'Detail Balok'!$C$10:$AU$110,31,FALSE)</f>
        <v>0</v>
      </c>
      <c r="E1124" t="str">
        <v>D</v>
      </c>
      <c r="F1124">
        <f>VLOOKUP(D1104,'Detail Balok'!$C$10:$AU$110,33,FALSE)</f>
        <v>10</v>
      </c>
      <c r="G1124" t="str">
        <v>-</v>
      </c>
      <c r="H1124">
        <f>VLOOKUP(D1104,'Detail Balok'!$C$10:$AU$110,35,FALSE)</f>
        <v>200</v>
      </c>
      <c r="J1124">
        <f>(IF(D1124=0,(2*(D1105+G1105))-(F$5*8),IF(D1124=3,(2*(D1105+G1105))-(F$5*8)+(G1105-2*F$5),IF(D1124=4,(2*(D1105+G1105))-(F$5*8)+2*(G1105-2*F$5)))))/1000</f>
        <v>1.88</v>
      </c>
      <c r="K1124" t="str">
        <v>+</v>
      </c>
      <c r="L1124">
        <f>IF(D1124=0,2*MAX(6*F1124,75),(D1124-1)*2*MAX(6*F1124,75))/1000</f>
        <v>0.15</v>
      </c>
      <c r="M1124" t="str">
        <v>=</v>
      </c>
      <c r="N1124">
        <f>J1124+L1124</f>
        <v>2.03</v>
      </c>
      <c r="T1124" t="str">
        <v>x</v>
      </c>
      <c r="U1124">
        <f>0.006165*F1124^2</f>
        <v>0.6165</v>
      </c>
      <c r="V1124" t="str">
        <v>x</v>
      </c>
      <c r="W1124">
        <f>IF(D1107&gt;4*G1105,ROUND(MAX(D1107/4,2*G1105)/H1124,0)+1,ROUND(D1107/H1124,0)+1)</f>
        <v>8</v>
      </c>
      <c r="X1124" t="str">
        <v>x</v>
      </c>
      <c r="Y1124">
        <f>D1110</f>
        <v>1</v>
      </c>
      <c r="Z1124" t="str">
        <v>=</v>
      </c>
      <c r="AA1124">
        <f>N1124*U1124*W1124*Y1124</f>
        <v>10.01196</v>
      </c>
    </row>
    <row r="1125">
      <c r="A1125" t="str">
        <f>A1104</f>
        <v>Sloof</v>
      </c>
      <c r="B1125">
        <f>B1104</f>
        <v>33</v>
      </c>
      <c r="C1125" t="str">
        <v>Sengkang Lapangan</v>
      </c>
      <c r="D1125">
        <f>VLOOKUP(D1104,'Detail Balok'!$C$10:$AU$110,36,FALSE)</f>
        <v>0</v>
      </c>
      <c r="E1125" t="str">
        <v>D</v>
      </c>
      <c r="F1125">
        <f>VLOOKUP(D1104,'Detail Balok'!$C$10:$AU$110,38,FALSE)</f>
        <v>10</v>
      </c>
      <c r="G1125" t="str">
        <v>-</v>
      </c>
      <c r="H1125">
        <f>VLOOKUP(D1104,'Detail Balok'!$C$10:$AU$110,40,FALSE)</f>
        <v>200</v>
      </c>
      <c r="J1125">
        <f>(IF(D1125=0,(2*(D1105+G1105))-(F$5*8),IF(D1125=3,(2*(D1105+G1105))-(F$5*8)+(G1105-2*F$5),IF(D1125=4,(2*(D1105+G1105))-(F$5*8)+2*(G1105-2*F$5)))))/1000</f>
        <v>1.88</v>
      </c>
      <c r="K1125" t="str">
        <v>+</v>
      </c>
      <c r="L1125">
        <f>IF(D1125=0,2*MAX(6*F1125,75),(D1125-1)*2*MAX(6*F1125,75))/1000</f>
        <v>0.15</v>
      </c>
      <c r="M1125" t="str">
        <v>=</v>
      </c>
      <c r="N1125">
        <f>J1125+L1125</f>
        <v>2.03</v>
      </c>
      <c r="T1125" t="str">
        <v>x</v>
      </c>
      <c r="U1125">
        <f>0.006165*F1125^2</f>
        <v>0.6165</v>
      </c>
      <c r="V1125" t="str">
        <v>x</v>
      </c>
      <c r="W1125">
        <f>IF(D1107-MAX(D1107/4,2*G1105)*2&gt;0,ROUND((D1107-MAX(D1107/4,2*G1105)*2)/H1125,0),0)</f>
        <v>6</v>
      </c>
      <c r="X1125" t="str">
        <v>x</v>
      </c>
      <c r="Y1125">
        <f>D1110</f>
        <v>1</v>
      </c>
      <c r="Z1125" t="str">
        <v>=</v>
      </c>
      <c r="AA1125">
        <f>N1125*U1125*W1125*Y1125</f>
        <v>7.50897</v>
      </c>
    </row>
    <row r="1126">
      <c r="A1126" t="str">
        <f>A1104</f>
        <v>Sloof</v>
      </c>
      <c r="B1126">
        <f>B1104</f>
        <v>33</v>
      </c>
      <c r="C1126" t="str">
        <v>Sengkang Tumpuan</v>
      </c>
      <c r="D1126">
        <f>VLOOKUP(D1104,'Detail Balok'!$C$10:$AU$110,41,FALSE)</f>
        <v>0</v>
      </c>
      <c r="E1126" t="str">
        <v>D</v>
      </c>
      <c r="F1126">
        <f>VLOOKUP(D1104,'Detail Balok'!$C$10:$AU$110,43,FALSE)</f>
        <v>10</v>
      </c>
      <c r="G1126" t="str">
        <v>-</v>
      </c>
      <c r="H1126">
        <f>VLOOKUP(D1104,'Detail Balok'!$C$10:$AU$110,45,FALSE)</f>
        <v>200</v>
      </c>
      <c r="J1126">
        <f>(IF(D1126=0,(2*(D1105+G1105))-(F$5*8),IF(D1126=3,(2*(D1105+G1105))-(F$5*8)+(G1105-2*F$5),IF(D1126=4,(2*(D1105+G1105))-(F$5*8)+2*(G1105-2*F$5)))))/1000</f>
        <v>1.88</v>
      </c>
      <c r="K1126" t="str">
        <v>+</v>
      </c>
      <c r="L1126">
        <f>IF(D1126=0,2*MAX(6*F1126,75),(D1126-1)*2*MAX(6*F1126,75))/1000</f>
        <v>0.15</v>
      </c>
      <c r="M1126" t="str">
        <v>=</v>
      </c>
      <c r="N1126">
        <f>J1126+L1126</f>
        <v>2.03</v>
      </c>
      <c r="T1126" t="str">
        <v>x</v>
      </c>
      <c r="U1126">
        <f>0.006165*F1126^2</f>
        <v>0.6165</v>
      </c>
      <c r="V1126" t="str">
        <v>x</v>
      </c>
      <c r="W1126">
        <f>IF(D1107&gt;4*G1105,ROUND(MAX(D1107/4,2*G1105)/H1126,0)+1,0)</f>
        <v>8</v>
      </c>
      <c r="X1126" t="str">
        <v>x</v>
      </c>
      <c r="Y1126">
        <f>D1110</f>
        <v>1</v>
      </c>
      <c r="Z1126" t="str">
        <v>=</v>
      </c>
      <c r="AA1126">
        <f>N1126*U1126*W1126*Y1126</f>
        <v>10.01196</v>
      </c>
    </row>
    <row r="1128">
      <c r="A1128" t="str">
        <f>A1104</f>
        <v>Sloof</v>
      </c>
      <c r="B1128">
        <f>B1104</f>
        <v>33</v>
      </c>
      <c r="C1128" t="str">
        <v>Kait Horizontal Tump.</v>
      </c>
      <c r="D1128">
        <f>VLOOKUP(D1104,'Detail Balok'!$C$10:$BJ$110,46,FALSE)</f>
        <v>0</v>
      </c>
      <c r="E1128" t="str">
        <v>D</v>
      </c>
      <c r="F1128">
        <f>VLOOKUP(D1104,'Detail Balok'!$C$10:$BJ$110,48,FALSE)</f>
        <v>0</v>
      </c>
      <c r="G1128" t="str">
        <v>-</v>
      </c>
      <c r="H1128">
        <f>VLOOKUP(D1104,'Detail Balok'!$C$10:$BJ$110,50,FALSE)</f>
        <v>100</v>
      </c>
      <c r="J1128">
        <f>(D1105-2*F$5)/1000</f>
        <v>0.32</v>
      </c>
      <c r="K1128" t="str">
        <v>+</v>
      </c>
      <c r="L1128">
        <f>IF(D1128=0,2*MAX(6*F1128,75),(D1128-1)*2*MAX(6*F1128,75))/1000</f>
        <v>0.15</v>
      </c>
      <c r="M1128" t="str">
        <v>=</v>
      </c>
      <c r="N1128">
        <f>J1128+L1128</f>
        <v>0.47</v>
      </c>
      <c r="T1128" t="str">
        <v>x</v>
      </c>
      <c r="U1128">
        <f>0.006165*F1128^2</f>
        <v>0</v>
      </c>
      <c r="V1128" t="str">
        <v>x</v>
      </c>
      <c r="W1128">
        <f>W1124</f>
        <v>8</v>
      </c>
      <c r="X1128" t="str">
        <v>x</v>
      </c>
      <c r="Y1128">
        <f>D1114</f>
        <v>9</v>
      </c>
      <c r="Z1128" t="str">
        <v>=</v>
      </c>
      <c r="AA1128">
        <f>N1128*U1128*W1128*Y1128</f>
        <v>0</v>
      </c>
    </row>
    <row r="1129">
      <c r="A1129" t="str">
        <f>A1104</f>
        <v>Sloof</v>
      </c>
      <c r="B1129">
        <f>B1104</f>
        <v>33</v>
      </c>
      <c r="C1129" t="str">
        <v>Kait Horizontal Lap.</v>
      </c>
      <c r="D1129">
        <f>VLOOKUP(D1104,'Detail Balok'!$C$10:$BJ$110,51,FALSE)</f>
        <v>0</v>
      </c>
      <c r="E1129" t="str">
        <v>D</v>
      </c>
      <c r="F1129">
        <f>VLOOKUP(D1104,'Detail Balok'!$C$10:$BJ$110,53,FALSE)</f>
        <v>0</v>
      </c>
      <c r="G1129" t="str">
        <v>-</v>
      </c>
      <c r="H1129">
        <f>VLOOKUP(D1104,'Detail Balok'!$C$10:$BJ$110,55,FALSE)</f>
        <v>100</v>
      </c>
      <c r="J1129">
        <f>(D1105-2*F$5)/1000</f>
        <v>0.32</v>
      </c>
      <c r="K1129" t="str">
        <v>+</v>
      </c>
      <c r="L1129">
        <f>IF(D1129=0,2*MAX(6*F1129,75),(D1129-1)*2*MAX(6*F1129,75))/1000</f>
        <v>0.15</v>
      </c>
      <c r="M1129" t="str">
        <v>=</v>
      </c>
      <c r="N1129">
        <f>J1129+L1129</f>
        <v>0.47</v>
      </c>
      <c r="T1129" t="str">
        <v>x</v>
      </c>
      <c r="U1129">
        <f>0.006165*F1129^2</f>
        <v>0</v>
      </c>
      <c r="V1129" t="str">
        <v>x</v>
      </c>
      <c r="W1129">
        <f>W1125</f>
        <v>6</v>
      </c>
      <c r="X1129" t="str">
        <v>x</v>
      </c>
      <c r="Y1129">
        <f>D1114</f>
        <v>9</v>
      </c>
      <c r="Z1129" t="str">
        <v>=</v>
      </c>
      <c r="AA1129">
        <f>N1129*U1129*W1129*Y1129</f>
        <v>0</v>
      </c>
    </row>
    <row r="1130">
      <c r="A1130" t="str">
        <f>A1104</f>
        <v>Sloof</v>
      </c>
      <c r="B1130">
        <f>B1104</f>
        <v>33</v>
      </c>
      <c r="C1130" t="str">
        <v>Kait Horizontal Tump.</v>
      </c>
      <c r="D1130">
        <f>VLOOKUP(D1104,'Detail Balok'!$C$10:$BJ$110,56,FALSE)</f>
        <v>0</v>
      </c>
      <c r="E1130" t="str">
        <v>D</v>
      </c>
      <c r="F1130">
        <f>VLOOKUP(D1104,'Detail Balok'!$C$10:$BJ$110,58,FALSE)</f>
        <v>0</v>
      </c>
      <c r="G1130" t="str">
        <v>-</v>
      </c>
      <c r="H1130">
        <f>VLOOKUP(D1104,'Detail Balok'!$C$10:$BJ$110,60,FALSE)</f>
        <v>100</v>
      </c>
      <c r="J1130">
        <f>(D1105-2*F$5)/1000</f>
        <v>0.32</v>
      </c>
      <c r="K1130" t="str">
        <v>+</v>
      </c>
      <c r="L1130">
        <f>IF(D1130=0,2*MAX(6*F1130,75),(D1130-1)*2*MAX(6*F1130,75))/1000</f>
        <v>0.15</v>
      </c>
      <c r="M1130" t="str">
        <v>=</v>
      </c>
      <c r="N1130">
        <f>J1130+L1130</f>
        <v>0.47</v>
      </c>
      <c r="T1130" t="str">
        <v>x</v>
      </c>
      <c r="U1130">
        <f>0.006165*F1130^2</f>
        <v>0</v>
      </c>
      <c r="V1130" t="str">
        <v>x</v>
      </c>
      <c r="W1130">
        <f>W1126</f>
        <v>8</v>
      </c>
      <c r="X1130" t="str">
        <v>x</v>
      </c>
      <c r="Y1130">
        <f>D1114</f>
        <v>9</v>
      </c>
      <c r="Z1130" t="str">
        <v>=</v>
      </c>
      <c r="AA1130">
        <f>N1130*U1130*W1130*Y1130</f>
        <v>0</v>
      </c>
    </row>
    <row r="1134">
      <c r="A1134" t="str">
        <f>A1104</f>
        <v>Sloof</v>
      </c>
      <c r="B1134" t="str">
        <v>33A</v>
      </c>
      <c r="C1134" t="str">
        <f>CONCATENATE(A1134," no. ",B1134)</f>
        <v>Sloof no. 33A</v>
      </c>
      <c r="D1134" t="str">
        <f>VLOOKUP(C1134,'Data Panjang Balok'!$C$9:$N$424,2,FALSE)</f>
        <v>Potongan S1</v>
      </c>
    </row>
    <row r="1135">
      <c r="C1135" t="str">
        <v>Dimensi</v>
      </c>
      <c r="D1135">
        <f>VLOOKUP(D1134,'Detail Balok'!$C$10:$AU$110,2,FALSE)</f>
        <v>300</v>
      </c>
      <c r="F1135" t="str">
        <v>x</v>
      </c>
      <c r="G1135">
        <f>VLOOKUP(D1134,'Detail Balok'!$C$10:$AU$110,3,FALSE)</f>
        <v>500</v>
      </c>
    </row>
    <row r="1136">
      <c r="C1136" t="str">
        <v>Panjang as ke as</v>
      </c>
      <c r="D1136">
        <f>VLOOKUP(C1134,'Data Panjang Balok'!$C$9:$N$424,4,FALSE)</f>
        <v>1505</v>
      </c>
    </row>
    <row r="1137">
      <c r="C1137" t="str">
        <v>Panjang netto</v>
      </c>
      <c r="D1137">
        <f>VLOOKUP(C1134,'Data Panjang Balok'!$C$9:$N$424,7,FALSE)</f>
        <v>1505</v>
      </c>
    </row>
    <row r="1138">
      <c r="C1138" t="str">
        <v>Kolom / balok kiri</v>
      </c>
      <c r="D1138">
        <f>VLOOKUP(C1134,'Data Panjang Balok'!$C$9:$N$424,9,FALSE)</f>
        <v>0</v>
      </c>
    </row>
    <row r="1139">
      <c r="C1139" t="str">
        <v>Kolom / balok kanan</v>
      </c>
      <c r="D1139">
        <f>VLOOKUP(C1134,'Data Panjang Balok'!$C$9:$N$424,10,FALSE)</f>
        <v>0</v>
      </c>
    </row>
    <row r="1140">
      <c r="C1140" t="str">
        <v>Jumlah</v>
      </c>
      <c r="D1140">
        <f>VLOOKUP(C1134,'Data Panjang Balok'!$C$9:$N$424,3,FALSE)</f>
        <v>1</v>
      </c>
    </row>
    <row r="1141">
      <c r="A1141" t="str">
        <f>A1134</f>
        <v>Sloof</v>
      </c>
      <c r="B1141" t="str">
        <f>B1134</f>
        <v>33A</v>
      </c>
      <c r="C1141" t="str">
        <v>Tul Atas Tumpuan</v>
      </c>
      <c r="D1141">
        <f>VLOOKUP(D1134,'Detail Balok'!$C$10:$AU$110,4,FALSE)</f>
        <v>7</v>
      </c>
      <c r="E1141" t="str">
        <v>D</v>
      </c>
      <c r="F1141">
        <f>VLOOKUP(D1134,'Detail Balok'!$C$10:$AU$110,6,FALSE)</f>
        <v>16</v>
      </c>
      <c r="I1141" t="str">
        <v>(</v>
      </c>
      <c r="J1141">
        <f>+D1136/4/1000</f>
        <v>0.37625</v>
      </c>
      <c r="K1141" t="str">
        <v>+</v>
      </c>
      <c r="L1141">
        <f>MAX(VLOOKUP(F1141,N$6:P$15,3,FALSE)/1000,2/3*D1138/1000)+F$16*F1141/1000</f>
        <v>0.192</v>
      </c>
      <c r="M1141" t="str">
        <v>=</v>
      </c>
      <c r="N1141">
        <f>J1141+L1141</f>
        <v>0.5682499999999999</v>
      </c>
      <c r="O1141" t="str">
        <v>+</v>
      </c>
      <c r="P1141">
        <f>D1141-D1142</f>
        <v>0</v>
      </c>
      <c r="Q1141" t="str">
        <v>x</v>
      </c>
      <c r="R1141">
        <f>IF(P1141&gt;0,$F$18*F1141/1000,0)</f>
        <v>0</v>
      </c>
      <c r="S1141" t="str">
        <v>)</v>
      </c>
      <c r="T1141" t="str">
        <v>x</v>
      </c>
      <c r="U1141">
        <f>0.006165*F1141^2</f>
        <v>1.57824</v>
      </c>
      <c r="X1141" t="str">
        <v>x</v>
      </c>
      <c r="Y1141">
        <f>D1140</f>
        <v>1</v>
      </c>
      <c r="Z1141" t="str">
        <v>=</v>
      </c>
      <c r="AA1141">
        <f>IF(AA1144=0,(D1141*N1141+P1141*R1141)*U1141*Y1141,0)</f>
        <v>0</v>
      </c>
    </row>
    <row r="1142">
      <c r="A1142" t="str">
        <f>A1134</f>
        <v>Sloof</v>
      </c>
      <c r="B1142" t="str">
        <f>B1134</f>
        <v>33A</v>
      </c>
      <c r="C1142" t="str">
        <v>Tul Atas Lapangan</v>
      </c>
      <c r="D1142">
        <f>VLOOKUP(D1134,'Detail Balok'!$C$10:$AU$110,7,FALSE)</f>
        <v>7</v>
      </c>
      <c r="E1142" t="str">
        <v>D</v>
      </c>
      <c r="F1142">
        <f>VLOOKUP(D1134,'Detail Balok'!$C$10:$AU$110,9,FALSE)</f>
        <v>16</v>
      </c>
      <c r="I1142" t="str">
        <v>(</v>
      </c>
      <c r="J1142">
        <f>+D1136/2/1000</f>
        <v>0.7525</v>
      </c>
      <c r="K1142" t="str">
        <v>+</v>
      </c>
      <c r="M1142" t="str">
        <v>=</v>
      </c>
      <c r="N1142">
        <f>J1142+L1142</f>
        <v>0.7525</v>
      </c>
      <c r="O1142" t="str">
        <v>+</v>
      </c>
      <c r="P1142">
        <f>MAX(D1142-D1141,D1142-D1143)</f>
        <v>0</v>
      </c>
      <c r="Q1142" t="str">
        <v>x</v>
      </c>
      <c r="R1142">
        <f>IF(P1142&gt;0,2*(1-2*$F$19-1/2)*D1137/1000,0)</f>
        <v>0</v>
      </c>
      <c r="S1142" t="str">
        <v>)</v>
      </c>
      <c r="T1142" t="str">
        <v>x</v>
      </c>
      <c r="U1142">
        <f>0.006165*F1142^2</f>
        <v>1.57824</v>
      </c>
      <c r="X1142" t="str">
        <v>x</v>
      </c>
      <c r="Y1142">
        <f>D1140</f>
        <v>1</v>
      </c>
      <c r="Z1142" t="str">
        <v>=</v>
      </c>
      <c r="AA1142">
        <f>IF(AA1144=0,(D1142*N1142+P1142*R1142)*U1142*Y1142,0)</f>
        <v>0</v>
      </c>
    </row>
    <row r="1143">
      <c r="A1143" t="str">
        <f>A1134</f>
        <v>Sloof</v>
      </c>
      <c r="B1143" t="str">
        <f>B1134</f>
        <v>33A</v>
      </c>
      <c r="C1143" t="str">
        <v>Tul Atas Tumpuan</v>
      </c>
      <c r="D1143">
        <f>VLOOKUP(D1134,'Detail Balok'!$C$10:$AU$110,10,FALSE)</f>
        <v>7</v>
      </c>
      <c r="E1143" t="str">
        <v>D</v>
      </c>
      <c r="F1143">
        <f>VLOOKUP(D1134,'Detail Balok'!$C$10:$AU$110,12,FALSE)</f>
        <v>16</v>
      </c>
      <c r="I1143" t="str">
        <v>(</v>
      </c>
      <c r="J1143">
        <f>+D1136/4/1000</f>
        <v>0.37625</v>
      </c>
      <c r="K1143" t="str">
        <v>+</v>
      </c>
      <c r="L1143">
        <f>MAX(VLOOKUP(F1143,N$6:P$15,3,FALSE)/1000,2/3*D1138/1000)+F$16*F1143/1000</f>
        <v>0.192</v>
      </c>
      <c r="M1143" t="str">
        <v>=</v>
      </c>
      <c r="N1143">
        <f>J1143+L1143</f>
        <v>0.5682499999999999</v>
      </c>
      <c r="O1143" t="str">
        <v>+</v>
      </c>
      <c r="P1143">
        <f>D1143-D1142</f>
        <v>0</v>
      </c>
      <c r="Q1143" t="str">
        <v>x</v>
      </c>
      <c r="R1143">
        <f>IF(P1143&gt;0,$F$18*F1143/1000,0)</f>
        <v>0</v>
      </c>
      <c r="S1143" t="str">
        <v>)</v>
      </c>
      <c r="T1143" t="str">
        <v>x</v>
      </c>
      <c r="U1143">
        <f>0.006165*F1143^2</f>
        <v>1.57824</v>
      </c>
      <c r="X1143" t="str">
        <v>x</v>
      </c>
      <c r="Y1143">
        <f>D1140</f>
        <v>1</v>
      </c>
      <c r="Z1143" t="str">
        <v>=</v>
      </c>
      <c r="AA1143">
        <f>IF(AA1144=0,(D1143*N1143+P1143*R1143)*U1143*Y1143,0)</f>
        <v>0</v>
      </c>
    </row>
    <row r="1144">
      <c r="A1144" t="str">
        <f>A1134</f>
        <v>Sloof</v>
      </c>
      <c r="B1144" t="str">
        <f>B1134</f>
        <v>33A</v>
      </c>
      <c r="D1144">
        <f>IF(AND(D1141=D1142,D1142=D1143,D1141=D1143),D1141,0)</f>
        <v>7</v>
      </c>
      <c r="E1144" t="str">
        <v>D</v>
      </c>
      <c r="F1144">
        <f>IF(AND(F1141=F1142,F1141=F1143,F1142=F1143),F1141,0)</f>
        <v>16</v>
      </c>
      <c r="L1144" t="str">
        <v>Total panjang per balok</v>
      </c>
      <c r="M1144" t="str">
        <v>=</v>
      </c>
      <c r="N1144">
        <f>IF(AND(D1141=D1142,D1141=D1143,D1142=D1143,F1141=F1142,F1141=F1143,F1142=F1143),SUM(N1141:N1143),0)</f>
        <v>1.8889999999999998</v>
      </c>
      <c r="O1144" t="str">
        <v>+</v>
      </c>
      <c r="P1144">
        <f>IF(N1144&gt;12,ROUNDDOWN(N1144/12,0),0)</f>
        <v>0</v>
      </c>
      <c r="Q1144" t="str">
        <v>x</v>
      </c>
      <c r="R1144">
        <f>IF(P1144&gt;0,MAX(VLOOKUP(F1144,$D$6:$G$15,3,FALSE),600),0)/1000</f>
        <v>0</v>
      </c>
      <c r="T1144" t="str">
        <v>x</v>
      </c>
      <c r="U1144">
        <f>U1143</f>
        <v>1.57824</v>
      </c>
      <c r="V1144" t="str">
        <v>x</v>
      </c>
      <c r="W1144">
        <f>D1144</f>
        <v>7</v>
      </c>
      <c r="X1144" t="str">
        <v>x</v>
      </c>
      <c r="Y1144">
        <f>Y1143</f>
        <v>1</v>
      </c>
      <c r="Z1144" t="str">
        <v>=</v>
      </c>
      <c r="AA1144">
        <f>(N1144+P1144*R1144/1000)*U1144*W1144*Y1144</f>
        <v>20.869067519999998</v>
      </c>
    </row>
    <row r="1146">
      <c r="A1146" t="str">
        <f>A1134</f>
        <v>Sloof</v>
      </c>
      <c r="B1146" t="str">
        <f>B1134</f>
        <v>33A</v>
      </c>
      <c r="C1146" t="str">
        <v>Tul Peminggang</v>
      </c>
      <c r="D1146">
        <f>VLOOKUP(D1134,'Detail Balok'!$C$10:$AU$110,13,FALSE)</f>
        <v>2</v>
      </c>
      <c r="E1146" t="str">
        <v>D</v>
      </c>
      <c r="F1146">
        <f>VLOOKUP(D1134,'Detail Balok'!$C$10:$AU$110,15,FALSE)</f>
        <v>10</v>
      </c>
      <c r="J1146">
        <f>+D1136/1000</f>
        <v>1.505</v>
      </c>
      <c r="K1146" t="str">
        <v>+</v>
      </c>
      <c r="L1146">
        <f>2*$F$16*F1146/1000</f>
        <v>0.24</v>
      </c>
      <c r="M1146" t="str">
        <v>=</v>
      </c>
      <c r="N1146">
        <f>J1146+L1146</f>
        <v>1.7449999999999999</v>
      </c>
      <c r="O1146" t="str">
        <v>+</v>
      </c>
      <c r="P1146">
        <f>IF(N1146&gt;12,ROUNDDOWN(N1146/12,0),0)</f>
        <v>0</v>
      </c>
      <c r="Q1146" t="str">
        <v>x</v>
      </c>
      <c r="R1146">
        <f>IF(P1146&gt;0,MAX(VLOOKUP(F1146,$D$6:$G$15,3,FALSE),600),0)/1000</f>
        <v>0</v>
      </c>
      <c r="T1146" t="str">
        <v>x</v>
      </c>
      <c r="U1146">
        <f>0.006165*F1146^2</f>
        <v>0.6165</v>
      </c>
      <c r="V1146" t="str">
        <v>x</v>
      </c>
      <c r="W1146">
        <f>+D1146</f>
        <v>2</v>
      </c>
      <c r="X1146" t="str">
        <v>x</v>
      </c>
      <c r="Y1146">
        <f>D1140</f>
        <v>1</v>
      </c>
      <c r="Z1146" t="str">
        <v>=</v>
      </c>
      <c r="AA1146">
        <f>(N1146+P1146*R1146/1000)*U1146*W1146*Y1146</f>
        <v>2.151585</v>
      </c>
    </row>
    <row r="1149">
      <c r="A1149" t="str">
        <f>A1134</f>
        <v>Sloof</v>
      </c>
      <c r="B1149" t="str">
        <f>B1134</f>
        <v>33A</v>
      </c>
      <c r="C1149" t="str">
        <v>Tul Bawah Tumpuan</v>
      </c>
      <c r="D1149">
        <f>VLOOKUP(D1134,'Detail Balok'!$C$10:$AU$110,22,FALSE)</f>
        <v>4</v>
      </c>
      <c r="E1149" t="str">
        <v>D</v>
      </c>
      <c r="F1149">
        <f>VLOOKUP(D1134,'Detail Balok'!$C$10:$AU$110,24,FALSE)</f>
        <v>16</v>
      </c>
      <c r="I1149" t="str">
        <v>(</v>
      </c>
      <c r="J1149">
        <f>+J1141</f>
        <v>0.37625</v>
      </c>
      <c r="K1149" t="str">
        <v>+</v>
      </c>
      <c r="L1149">
        <f>MAX(VLOOKUP(F1149,N$6:P$15,3,FALSE)/1000,2/3*D1139/1000)+F$16*F1149/1000</f>
        <v>0.192</v>
      </c>
      <c r="M1149" t="str">
        <v>=</v>
      </c>
      <c r="N1149">
        <f>J1149+L1149</f>
        <v>0.5682499999999999</v>
      </c>
      <c r="O1149" t="str">
        <v>+</v>
      </c>
      <c r="P1149">
        <f>D1149-D1150</f>
        <v>0</v>
      </c>
      <c r="Q1149" t="str">
        <v>x</v>
      </c>
      <c r="R1149">
        <f>IF(P1149&gt;0,$F$18*F1149/1000,0)</f>
        <v>0</v>
      </c>
      <c r="S1149" t="str">
        <v>)</v>
      </c>
      <c r="T1149" t="str">
        <v>x</v>
      </c>
      <c r="U1149">
        <f>0.006165*F1149^2</f>
        <v>1.57824</v>
      </c>
      <c r="X1149" t="str">
        <v>x</v>
      </c>
      <c r="Y1149">
        <f>D1140</f>
        <v>1</v>
      </c>
      <c r="Z1149" t="str">
        <v>=</v>
      </c>
      <c r="AA1149">
        <f>IF(AA1152=0,(D1149*N1149+P1149*R1149)*U1149*Y1149,0)</f>
        <v>0</v>
      </c>
    </row>
    <row r="1150">
      <c r="A1150" t="str">
        <f>A1134</f>
        <v>Sloof</v>
      </c>
      <c r="B1150" t="str">
        <f>B1134</f>
        <v>33A</v>
      </c>
      <c r="C1150" t="str">
        <v>Tul Bawah Lapangan</v>
      </c>
      <c r="D1150">
        <f>VLOOKUP(D1134,'Detail Balok'!$C$10:$AU$110,25,FALSE)</f>
        <v>4</v>
      </c>
      <c r="E1150" t="str">
        <v>D</v>
      </c>
      <c r="F1150">
        <f>VLOOKUP(D1134,'Detail Balok'!$C$10:$AU$110,27,FALSE)</f>
        <v>16</v>
      </c>
      <c r="I1150" t="str">
        <v>(</v>
      </c>
      <c r="J1150">
        <f>+J1142</f>
        <v>0.7525</v>
      </c>
      <c r="K1150" t="str">
        <v>+</v>
      </c>
      <c r="M1150" t="str">
        <v>=</v>
      </c>
      <c r="N1150">
        <f>J1150+L1150</f>
        <v>0.7525</v>
      </c>
      <c r="O1150" t="str">
        <v>+</v>
      </c>
      <c r="P1150">
        <f>MAX(D1150-D1149,D1150-D1151)</f>
        <v>0</v>
      </c>
      <c r="Q1150" t="str">
        <v>x</v>
      </c>
      <c r="R1150">
        <f>IF(P1150&gt;0,2*(1-2*$F$19-1/2)*D1137/1000,0)</f>
        <v>0</v>
      </c>
      <c r="S1150" t="str">
        <v>)</v>
      </c>
      <c r="T1150" t="str">
        <v>x</v>
      </c>
      <c r="U1150">
        <f>0.006165*F1150^2</f>
        <v>1.57824</v>
      </c>
      <c r="X1150" t="str">
        <v>x</v>
      </c>
      <c r="Y1150">
        <f>D1140</f>
        <v>1</v>
      </c>
      <c r="Z1150" t="str">
        <v>=</v>
      </c>
      <c r="AA1150">
        <f>IF(AA1152=0,(D1150*N1150+P1150*R1150)*U1150*Y1150,0)</f>
        <v>0</v>
      </c>
    </row>
    <row r="1151">
      <c r="A1151" t="str">
        <f>A1134</f>
        <v>Sloof</v>
      </c>
      <c r="B1151" t="str">
        <f>B1134</f>
        <v>33A</v>
      </c>
      <c r="C1151" t="str">
        <v>Tul Bawah Tumpuan</v>
      </c>
      <c r="D1151">
        <f>VLOOKUP(D1134,'Detail Balok'!$C$10:$AU$110,28,FALSE)</f>
        <v>4</v>
      </c>
      <c r="E1151" t="str">
        <v>D</v>
      </c>
      <c r="F1151">
        <f>VLOOKUP(D1134,'Detail Balok'!$C$10:$AU$110,30,FALSE)</f>
        <v>16</v>
      </c>
      <c r="I1151" t="str">
        <v>(</v>
      </c>
      <c r="J1151">
        <f>+J1143</f>
        <v>0.37625</v>
      </c>
      <c r="K1151" t="str">
        <v>+</v>
      </c>
      <c r="L1151">
        <f>MAX(VLOOKUP(F1151,N$6:P$15,3,FALSE)/1000,2/3*D1139/1000)+F$16*F1151/1000</f>
        <v>0.192</v>
      </c>
      <c r="M1151" t="str">
        <v>=</v>
      </c>
      <c r="N1151">
        <f>J1151+L1151</f>
        <v>0.5682499999999999</v>
      </c>
      <c r="O1151" t="str">
        <v>+</v>
      </c>
      <c r="P1151">
        <f>D1151-D1150</f>
        <v>0</v>
      </c>
      <c r="Q1151" t="str">
        <v>x</v>
      </c>
      <c r="R1151">
        <f>IF(P1151&gt;0,$F$18*F1151/1000,0)</f>
        <v>0</v>
      </c>
      <c r="S1151" t="str">
        <v>)</v>
      </c>
      <c r="T1151" t="str">
        <v>x</v>
      </c>
      <c r="U1151">
        <f>0.006165*F1151^2</f>
        <v>1.57824</v>
      </c>
      <c r="X1151" t="str">
        <v>x</v>
      </c>
      <c r="Y1151">
        <f>D1140</f>
        <v>1</v>
      </c>
      <c r="Z1151" t="str">
        <v>=</v>
      </c>
      <c r="AA1151">
        <f>IF(AA1152=0,(D1151*N1151+P1151*R1151)*U1151*Y1151,0)</f>
        <v>0</v>
      </c>
    </row>
    <row r="1152">
      <c r="A1152" t="str">
        <f>A1134</f>
        <v>Sloof</v>
      </c>
      <c r="B1152" t="str">
        <f>B1134</f>
        <v>33A</v>
      </c>
      <c r="D1152">
        <f>IF(AND(D1149=D1150,D1150=D1151,D1149=D1151),D1149,0)</f>
        <v>4</v>
      </c>
      <c r="E1152" t="str">
        <v>D</v>
      </c>
      <c r="F1152">
        <f>IF(AND(F1149=F1150,F1149=F1151,F1150=F1151),F1149,0)</f>
        <v>16</v>
      </c>
      <c r="L1152" t="str">
        <v>Total panjang per balok</v>
      </c>
      <c r="M1152" t="str">
        <v>=</v>
      </c>
      <c r="N1152">
        <f>IF(AND(D1149=D1150,D1149=D1151,D1150=D1151,F1149=F1150,F1149=F1151,F1150=F1151),SUM(N1149:N1151),0)</f>
        <v>1.8889999999999998</v>
      </c>
      <c r="O1152" t="str">
        <v>+</v>
      </c>
      <c r="P1152">
        <f>IF(N1152&gt;12,ROUNDDOWN(N1152/12,0),0)</f>
        <v>0</v>
      </c>
      <c r="Q1152" t="str">
        <v>x</v>
      </c>
      <c r="R1152">
        <f>IF(P1152&gt;0,MAX(VLOOKUP(F1152,$D$6:$G$15,3,FALSE),600),0)/1000</f>
        <v>0</v>
      </c>
      <c r="T1152" t="str">
        <v>x</v>
      </c>
      <c r="U1152">
        <f>U1151</f>
        <v>1.57824</v>
      </c>
      <c r="V1152" t="str">
        <v>x</v>
      </c>
      <c r="W1152">
        <f>D1152</f>
        <v>4</v>
      </c>
      <c r="X1152" t="str">
        <v>x</v>
      </c>
      <c r="Y1152">
        <f>Y1151</f>
        <v>1</v>
      </c>
      <c r="Z1152" t="str">
        <v>=</v>
      </c>
      <c r="AA1152">
        <f>(N1152+P1152*R1152/1000)*U1152*W1152*Y1152</f>
        <v>11.92518144</v>
      </c>
    </row>
    <row r="1154">
      <c r="A1154" t="str">
        <f>A1134</f>
        <v>Sloof</v>
      </c>
      <c r="B1154" t="str">
        <f>B1134</f>
        <v>33A</v>
      </c>
      <c r="C1154" t="str">
        <v>Sengkang Tumpuan</v>
      </c>
      <c r="D1154">
        <f>VLOOKUP(D1134,'Detail Balok'!$C$10:$AU$110,31,FALSE)</f>
        <v>0</v>
      </c>
      <c r="E1154" t="str">
        <v>D</v>
      </c>
      <c r="F1154">
        <f>VLOOKUP(D1134,'Detail Balok'!$C$10:$AU$110,33,FALSE)</f>
        <v>10</v>
      </c>
      <c r="G1154" t="str">
        <v>-</v>
      </c>
      <c r="H1154">
        <f>VLOOKUP(D1134,'Detail Balok'!$C$10:$AU$110,35,FALSE)</f>
        <v>200</v>
      </c>
      <c r="J1154">
        <f>(IF(D1154=0,(2*(D1135+G1135))-(F$5*8),IF(D1154=3,(2*(D1135+G1135))-(F$5*8)+(G1135-2*F$5),IF(D1154=4,(2*(D1135+G1135))-(F$5*8)+2*(G1135-2*F$5)))))/1000</f>
        <v>1.28</v>
      </c>
      <c r="K1154" t="str">
        <v>+</v>
      </c>
      <c r="L1154">
        <f>IF(D1154=0,2*MAX(6*F1154,75),(D1154-1)*2*MAX(6*F1154,75))/1000</f>
        <v>0.15</v>
      </c>
      <c r="M1154" t="str">
        <v>=</v>
      </c>
      <c r="N1154">
        <f>J1154+L1154</f>
        <v>1.43</v>
      </c>
      <c r="T1154" t="str">
        <v>x</v>
      </c>
      <c r="U1154">
        <f>0.006165*F1154^2</f>
        <v>0.6165</v>
      </c>
      <c r="V1154" t="str">
        <v>x</v>
      </c>
      <c r="W1154">
        <f>IF(D1137&gt;4*G1135,ROUND(MAX(D1137/4,2*G1135)/H1154,0)+1,ROUND(D1137/H1154,0)+1)</f>
        <v>9</v>
      </c>
      <c r="X1154" t="str">
        <v>x</v>
      </c>
      <c r="Y1154">
        <f>D1140</f>
        <v>1</v>
      </c>
      <c r="Z1154" t="str">
        <v>=</v>
      </c>
      <c r="AA1154">
        <f>N1154*U1154*W1154*Y1154</f>
        <v>7.934355</v>
      </c>
    </row>
    <row r="1155">
      <c r="A1155" t="str">
        <f>A1134</f>
        <v>Sloof</v>
      </c>
      <c r="B1155" t="str">
        <f>B1134</f>
        <v>33A</v>
      </c>
      <c r="C1155" t="str">
        <v>Sengkang Lapangan</v>
      </c>
      <c r="D1155">
        <f>VLOOKUP(D1134,'Detail Balok'!$C$10:$AU$110,36,FALSE)</f>
        <v>0</v>
      </c>
      <c r="E1155" t="str">
        <v>D</v>
      </c>
      <c r="F1155">
        <f>VLOOKUP(D1134,'Detail Balok'!$C$10:$AU$110,38,FALSE)</f>
        <v>10</v>
      </c>
      <c r="G1155" t="str">
        <v>-</v>
      </c>
      <c r="H1155">
        <f>VLOOKUP(D1134,'Detail Balok'!$C$10:$AU$110,40,FALSE)</f>
        <v>200</v>
      </c>
      <c r="J1155">
        <f>(IF(D1155=0,(2*(D1135+G1135))-(F$5*8),IF(D1155=3,(2*(D1135+G1135))-(F$5*8)+(G1135-2*F$5),IF(D1155=4,(2*(D1135+G1135))-(F$5*8)+2*(G1135-2*F$5)))))/1000</f>
        <v>1.28</v>
      </c>
      <c r="K1155" t="str">
        <v>+</v>
      </c>
      <c r="L1155">
        <f>IF(D1155=0,2*MAX(6*F1155,75),(D1155-1)*2*MAX(6*F1155,75))/1000</f>
        <v>0.15</v>
      </c>
      <c r="M1155" t="str">
        <v>=</v>
      </c>
      <c r="N1155">
        <f>J1155+L1155</f>
        <v>1.43</v>
      </c>
      <c r="T1155" t="str">
        <v>x</v>
      </c>
      <c r="U1155">
        <f>0.006165*F1155^2</f>
        <v>0.6165</v>
      </c>
      <c r="V1155" t="str">
        <v>x</v>
      </c>
      <c r="W1155">
        <f>IF(D1137-MAX(D1137/4,2*G1135)*2&gt;0,ROUND((D1137-MAX(D1137/4,2*G1135)*2)/H1155,0),0)</f>
        <v>0</v>
      </c>
      <c r="X1155" t="str">
        <v>x</v>
      </c>
      <c r="Y1155">
        <f>D1140</f>
        <v>1</v>
      </c>
      <c r="Z1155" t="str">
        <v>=</v>
      </c>
      <c r="AA1155">
        <f>N1155*U1155*W1155*Y1155</f>
        <v>0</v>
      </c>
    </row>
    <row r="1156">
      <c r="A1156" t="str">
        <f>A1134</f>
        <v>Sloof</v>
      </c>
      <c r="B1156" t="str">
        <f>B1134</f>
        <v>33A</v>
      </c>
      <c r="C1156" t="str">
        <v>Sengkang Tumpuan</v>
      </c>
      <c r="D1156">
        <f>VLOOKUP(D1134,'Detail Balok'!$C$10:$AU$110,41,FALSE)</f>
        <v>0</v>
      </c>
      <c r="E1156" t="str">
        <v>D</v>
      </c>
      <c r="F1156">
        <f>VLOOKUP(D1134,'Detail Balok'!$C$10:$AU$110,43,FALSE)</f>
        <v>10</v>
      </c>
      <c r="G1156" t="str">
        <v>-</v>
      </c>
      <c r="H1156">
        <f>VLOOKUP(D1134,'Detail Balok'!$C$10:$AU$110,45,FALSE)</f>
        <v>200</v>
      </c>
      <c r="J1156">
        <f>(IF(D1156=0,(2*(D1135+G1135))-(F$5*8),IF(D1156=3,(2*(D1135+G1135))-(F$5*8)+(G1135-2*F$5),IF(D1156=4,(2*(D1135+G1135))-(F$5*8)+2*(G1135-2*F$5)))))/1000</f>
        <v>1.28</v>
      </c>
      <c r="K1156" t="str">
        <v>+</v>
      </c>
      <c r="L1156">
        <f>IF(D1156=0,2*MAX(6*F1156,75),(D1156-1)*2*MAX(6*F1156,75))/1000</f>
        <v>0.15</v>
      </c>
      <c r="M1156" t="str">
        <v>=</v>
      </c>
      <c r="N1156">
        <f>J1156+L1156</f>
        <v>1.43</v>
      </c>
      <c r="T1156" t="str">
        <v>x</v>
      </c>
      <c r="U1156">
        <f>0.006165*F1156^2</f>
        <v>0.6165</v>
      </c>
      <c r="V1156" t="str">
        <v>x</v>
      </c>
      <c r="W1156">
        <f>IF(D1137&gt;4*G1135,ROUND(MAX(D1137/4,2*G1135)/H1156,0)+1,0)</f>
        <v>0</v>
      </c>
      <c r="X1156" t="str">
        <v>x</v>
      </c>
      <c r="Y1156">
        <f>D1140</f>
        <v>1</v>
      </c>
      <c r="Z1156" t="str">
        <v>=</v>
      </c>
      <c r="AA1156">
        <f>N1156*U1156*W1156*Y1156</f>
        <v>0</v>
      </c>
    </row>
    <row r="1158">
      <c r="A1158" t="str">
        <f>A1134</f>
        <v>Sloof</v>
      </c>
      <c r="B1158" t="str">
        <f>B1134</f>
        <v>33A</v>
      </c>
      <c r="C1158" t="str">
        <v>Kait Horizontal Tump.</v>
      </c>
      <c r="D1158">
        <f>VLOOKUP(D1134,'Detail Balok'!$C$10:$BJ$110,46,FALSE)</f>
        <v>0</v>
      </c>
      <c r="E1158" t="str">
        <v>D</v>
      </c>
      <c r="F1158">
        <f>VLOOKUP(D1134,'Detail Balok'!$C$10:$BJ$110,48,FALSE)</f>
        <v>0</v>
      </c>
      <c r="G1158" t="str">
        <v>-</v>
      </c>
      <c r="H1158">
        <f>VLOOKUP(D1134,'Detail Balok'!$C$10:$BJ$110,50,FALSE)</f>
        <v>100</v>
      </c>
      <c r="J1158">
        <f>(D1135-2*F$5)/1000</f>
        <v>0.22</v>
      </c>
      <c r="K1158" t="str">
        <v>+</v>
      </c>
      <c r="L1158">
        <f>IF(D1158=0,2*MAX(6*F1158,75),(D1158-1)*2*MAX(6*F1158,75))/1000</f>
        <v>0.15</v>
      </c>
      <c r="M1158" t="str">
        <v>=</v>
      </c>
      <c r="N1158">
        <f>J1158+L1158</f>
        <v>0.37</v>
      </c>
      <c r="T1158" t="str">
        <v>x</v>
      </c>
      <c r="U1158">
        <f>0.006165*F1158^2</f>
        <v>0</v>
      </c>
      <c r="V1158" t="str">
        <v>x</v>
      </c>
      <c r="W1158">
        <f>W1154</f>
        <v>9</v>
      </c>
      <c r="X1158" t="str">
        <v>x</v>
      </c>
      <c r="Y1158">
        <f>D1144</f>
        <v>7</v>
      </c>
      <c r="Z1158" t="str">
        <v>=</v>
      </c>
      <c r="AA1158">
        <f>N1158*U1158*W1158*Y1158</f>
        <v>0</v>
      </c>
    </row>
    <row r="1159">
      <c r="A1159" t="str">
        <f>A1134</f>
        <v>Sloof</v>
      </c>
      <c r="B1159" t="str">
        <f>B1134</f>
        <v>33A</v>
      </c>
      <c r="C1159" t="str">
        <v>Kait Horizontal Lap.</v>
      </c>
      <c r="D1159">
        <f>VLOOKUP(D1134,'Detail Balok'!$C$10:$BJ$110,51,FALSE)</f>
        <v>0</v>
      </c>
      <c r="E1159" t="str">
        <v>D</v>
      </c>
      <c r="F1159">
        <f>VLOOKUP(D1134,'Detail Balok'!$C$10:$BJ$110,53,FALSE)</f>
        <v>0</v>
      </c>
      <c r="G1159" t="str">
        <v>-</v>
      </c>
      <c r="H1159">
        <f>VLOOKUP(D1134,'Detail Balok'!$C$10:$BJ$110,55,FALSE)</f>
        <v>100</v>
      </c>
      <c r="J1159">
        <f>(D1135-2*F$5)/1000</f>
        <v>0.22</v>
      </c>
      <c r="K1159" t="str">
        <v>+</v>
      </c>
      <c r="L1159">
        <f>IF(D1159=0,2*MAX(6*F1159,75),(D1159-1)*2*MAX(6*F1159,75))/1000</f>
        <v>0.15</v>
      </c>
      <c r="M1159" t="str">
        <v>=</v>
      </c>
      <c r="N1159">
        <f>J1159+L1159</f>
        <v>0.37</v>
      </c>
      <c r="T1159" t="str">
        <v>x</v>
      </c>
      <c r="U1159">
        <f>0.006165*F1159^2</f>
        <v>0</v>
      </c>
      <c r="V1159" t="str">
        <v>x</v>
      </c>
      <c r="W1159">
        <f>W1155</f>
        <v>0</v>
      </c>
      <c r="X1159" t="str">
        <v>x</v>
      </c>
      <c r="Y1159">
        <f>D1144</f>
        <v>7</v>
      </c>
      <c r="Z1159" t="str">
        <v>=</v>
      </c>
      <c r="AA1159">
        <f>N1159*U1159*W1159*Y1159</f>
        <v>0</v>
      </c>
    </row>
    <row r="1160">
      <c r="A1160" t="str">
        <f>A1134</f>
        <v>Sloof</v>
      </c>
      <c r="B1160" t="str">
        <f>B1134</f>
        <v>33A</v>
      </c>
      <c r="C1160" t="str">
        <v>Kait Horizontal Tump.</v>
      </c>
      <c r="D1160">
        <f>VLOOKUP(D1134,'Detail Balok'!$C$10:$BJ$110,56,FALSE)</f>
        <v>0</v>
      </c>
      <c r="E1160" t="str">
        <v>D</v>
      </c>
      <c r="F1160">
        <f>VLOOKUP(D1134,'Detail Balok'!$C$10:$BJ$110,58,FALSE)</f>
        <v>0</v>
      </c>
      <c r="G1160" t="str">
        <v>-</v>
      </c>
      <c r="H1160">
        <f>VLOOKUP(D1134,'Detail Balok'!$C$10:$BJ$110,60,FALSE)</f>
        <v>100</v>
      </c>
      <c r="J1160">
        <f>(D1135-2*F$5)/1000</f>
        <v>0.22</v>
      </c>
      <c r="K1160" t="str">
        <v>+</v>
      </c>
      <c r="L1160">
        <f>IF(D1160=0,2*MAX(6*F1160,75),(D1160-1)*2*MAX(6*F1160,75))/1000</f>
        <v>0.15</v>
      </c>
      <c r="M1160" t="str">
        <v>=</v>
      </c>
      <c r="N1160">
        <f>J1160+L1160</f>
        <v>0.37</v>
      </c>
      <c r="T1160" t="str">
        <v>x</v>
      </c>
      <c r="U1160">
        <f>0.006165*F1160^2</f>
        <v>0</v>
      </c>
      <c r="V1160" t="str">
        <v>x</v>
      </c>
      <c r="W1160">
        <f>W1156</f>
        <v>0</v>
      </c>
      <c r="X1160" t="str">
        <v>x</v>
      </c>
      <c r="Y1160">
        <f>D1144</f>
        <v>7</v>
      </c>
      <c r="Z1160" t="str">
        <v>=</v>
      </c>
      <c r="AA1160">
        <f>N1160*U1160*W1160*Y1160</f>
        <v>0</v>
      </c>
    </row>
    <row r="1164">
      <c r="A1164" t="str">
        <f>A1104</f>
        <v>Sloof</v>
      </c>
      <c r="B1164">
        <f>B1104+1</f>
        <v>34</v>
      </c>
      <c r="C1164" t="str">
        <f>CONCATENATE(A1164," no. ",B1164)</f>
        <v>Sloof no. 34</v>
      </c>
      <c r="D1164" t="str">
        <f>VLOOKUP(C1164,'Data Panjang Balok'!$C$9:$N$424,2,FALSE)</f>
        <v>TB245-1</v>
      </c>
    </row>
    <row r="1165">
      <c r="C1165" t="str">
        <v>Dimensi</v>
      </c>
      <c r="D1165">
        <f>VLOOKUP(D1164,'Detail Balok'!$C$10:$AU$110,2,FALSE)</f>
        <v>200</v>
      </c>
      <c r="F1165" t="str">
        <v>x</v>
      </c>
      <c r="G1165">
        <f>VLOOKUP(D1164,'Detail Balok'!$C$10:$AU$110,3,FALSE)</f>
        <v>450</v>
      </c>
    </row>
    <row r="1166">
      <c r="C1166" t="str">
        <v>Panjang as ke as</v>
      </c>
      <c r="D1166">
        <f>VLOOKUP(C1164,'Data Panjang Balok'!$C$9:$N$424,4,FALSE)</f>
        <v>2790</v>
      </c>
    </row>
    <row r="1167">
      <c r="C1167" t="str">
        <v>Panjang netto</v>
      </c>
      <c r="D1167">
        <f>VLOOKUP(C1164,'Data Panjang Balok'!$C$9:$N$424,7,FALSE)</f>
        <v>2790</v>
      </c>
    </row>
    <row r="1168">
      <c r="C1168" t="str">
        <v>Kolom / balok kiri</v>
      </c>
      <c r="D1168">
        <f>VLOOKUP(C1164,'Data Panjang Balok'!$C$9:$N$424,9,FALSE)</f>
        <v>0</v>
      </c>
    </row>
    <row r="1169">
      <c r="C1169" t="str">
        <v>Kolom / balok kanan</v>
      </c>
      <c r="D1169">
        <f>VLOOKUP(C1164,'Data Panjang Balok'!$C$9:$N$424,10,FALSE)</f>
        <v>0</v>
      </c>
    </row>
    <row r="1170">
      <c r="C1170" t="str">
        <v>Jumlah</v>
      </c>
      <c r="D1170">
        <f>VLOOKUP(C1164,'Data Panjang Balok'!$C$9:$N$424,3,FALSE)</f>
        <v>1</v>
      </c>
    </row>
    <row r="1171">
      <c r="A1171" t="str">
        <f>A1164</f>
        <v>Sloof</v>
      </c>
      <c r="B1171">
        <f>B1164</f>
        <v>34</v>
      </c>
      <c r="C1171" t="str">
        <v>Tul Atas Tumpuan</v>
      </c>
      <c r="D1171">
        <f>VLOOKUP(D1164,'Detail Balok'!$C$10:$AU$110,4,FALSE)</f>
        <v>3</v>
      </c>
      <c r="E1171" t="str">
        <v>D</v>
      </c>
      <c r="F1171">
        <f>VLOOKUP(D1164,'Detail Balok'!$C$10:$AU$110,6,FALSE)</f>
        <v>13</v>
      </c>
      <c r="I1171" t="str">
        <v>(</v>
      </c>
      <c r="J1171">
        <f>+D1166/4/1000</f>
        <v>0.6975</v>
      </c>
      <c r="K1171" t="str">
        <v>+</v>
      </c>
      <c r="L1171">
        <f>MAX(VLOOKUP(F1171,N$6:P$15,3,FALSE)/1000,2/3*D1168/1000)+F$16*F1171/1000</f>
        <v>0.156</v>
      </c>
      <c r="M1171" t="str">
        <v>=</v>
      </c>
      <c r="N1171">
        <f>J1171+L1171</f>
        <v>0.8535</v>
      </c>
      <c r="O1171" t="str">
        <v>+</v>
      </c>
      <c r="P1171">
        <f>D1171-D1172</f>
        <v>0</v>
      </c>
      <c r="Q1171" t="str">
        <v>x</v>
      </c>
      <c r="R1171">
        <f>IF(P1171&gt;0,$F$18*F1171/1000,0)</f>
        <v>0</v>
      </c>
      <c r="S1171" t="str">
        <v>)</v>
      </c>
      <c r="T1171" t="str">
        <v>x</v>
      </c>
      <c r="U1171">
        <f>0.006165*F1171^2</f>
        <v>1.041885</v>
      </c>
      <c r="X1171" t="str">
        <v>x</v>
      </c>
      <c r="Y1171">
        <f>D1170</f>
        <v>1</v>
      </c>
      <c r="Z1171" t="str">
        <v>=</v>
      </c>
      <c r="AA1171">
        <f>IF(AA1174=0,(D1171*N1171+P1171*R1171)*U1171*Y1171,0)</f>
        <v>0</v>
      </c>
    </row>
    <row r="1172">
      <c r="A1172" t="str">
        <f>A1164</f>
        <v>Sloof</v>
      </c>
      <c r="B1172">
        <f>B1164</f>
        <v>34</v>
      </c>
      <c r="C1172" t="str">
        <v>Tul Atas Lapangan</v>
      </c>
      <c r="D1172">
        <f>VLOOKUP(D1164,'Detail Balok'!$C$10:$AU$110,7,FALSE)</f>
        <v>3</v>
      </c>
      <c r="E1172" t="str">
        <v>D</v>
      </c>
      <c r="F1172">
        <f>VLOOKUP(D1164,'Detail Balok'!$C$10:$AU$110,9,FALSE)</f>
        <v>13</v>
      </c>
      <c r="I1172" t="str">
        <v>(</v>
      </c>
      <c r="J1172">
        <f>+D1166/2/1000</f>
        <v>1.395</v>
      </c>
      <c r="K1172" t="str">
        <v>+</v>
      </c>
      <c r="M1172" t="str">
        <v>=</v>
      </c>
      <c r="N1172">
        <f>J1172+L1172</f>
        <v>1.395</v>
      </c>
      <c r="O1172" t="str">
        <v>+</v>
      </c>
      <c r="P1172">
        <f>MAX(D1172-D1171,D1172-D1173)</f>
        <v>0</v>
      </c>
      <c r="Q1172" t="str">
        <v>x</v>
      </c>
      <c r="R1172">
        <f>IF(P1172&gt;0,2*(1-2*$F$19-1/2)*D1167/1000,0)</f>
        <v>0</v>
      </c>
      <c r="S1172" t="str">
        <v>)</v>
      </c>
      <c r="T1172" t="str">
        <v>x</v>
      </c>
      <c r="U1172">
        <f>0.006165*F1172^2</f>
        <v>1.041885</v>
      </c>
      <c r="X1172" t="str">
        <v>x</v>
      </c>
      <c r="Y1172">
        <f>D1170</f>
        <v>1</v>
      </c>
      <c r="Z1172" t="str">
        <v>=</v>
      </c>
      <c r="AA1172">
        <f>IF(AA1174=0,(D1172*N1172+P1172*R1172)*U1172*Y1172,0)</f>
        <v>0</v>
      </c>
    </row>
    <row r="1173">
      <c r="A1173" t="str">
        <f>A1164</f>
        <v>Sloof</v>
      </c>
      <c r="B1173">
        <f>B1164</f>
        <v>34</v>
      </c>
      <c r="C1173" t="str">
        <v>Tul Atas Tumpuan</v>
      </c>
      <c r="D1173">
        <f>VLOOKUP(D1164,'Detail Balok'!$C$10:$AU$110,10,FALSE)</f>
        <v>3</v>
      </c>
      <c r="E1173" t="str">
        <v>D</v>
      </c>
      <c r="F1173">
        <f>VLOOKUP(D1164,'Detail Balok'!$C$10:$AU$110,12,FALSE)</f>
        <v>13</v>
      </c>
      <c r="I1173" t="str">
        <v>(</v>
      </c>
      <c r="J1173">
        <f>+D1166/4/1000</f>
        <v>0.6975</v>
      </c>
      <c r="K1173" t="str">
        <v>+</v>
      </c>
      <c r="L1173">
        <f>MAX(VLOOKUP(F1173,N$6:P$15,3,FALSE)/1000,2/3*D1168/1000)+F$16*F1173/1000</f>
        <v>0.156</v>
      </c>
      <c r="M1173" t="str">
        <v>=</v>
      </c>
      <c r="N1173">
        <f>J1173+L1173</f>
        <v>0.8535</v>
      </c>
      <c r="O1173" t="str">
        <v>+</v>
      </c>
      <c r="P1173">
        <f>D1173-D1172</f>
        <v>0</v>
      </c>
      <c r="Q1173" t="str">
        <v>x</v>
      </c>
      <c r="R1173">
        <f>IF(P1173&gt;0,$F$18*F1173/1000,0)</f>
        <v>0</v>
      </c>
      <c r="S1173" t="str">
        <v>)</v>
      </c>
      <c r="T1173" t="str">
        <v>x</v>
      </c>
      <c r="U1173">
        <f>0.006165*F1173^2</f>
        <v>1.041885</v>
      </c>
      <c r="X1173" t="str">
        <v>x</v>
      </c>
      <c r="Y1173">
        <f>D1170</f>
        <v>1</v>
      </c>
      <c r="Z1173" t="str">
        <v>=</v>
      </c>
      <c r="AA1173">
        <f>IF(AA1174=0,(D1173*N1173+P1173*R1173)*U1173*Y1173,0)</f>
        <v>0</v>
      </c>
    </row>
    <row r="1174">
      <c r="A1174" t="str">
        <f>A1164</f>
        <v>Sloof</v>
      </c>
      <c r="B1174">
        <f>B1164</f>
        <v>34</v>
      </c>
      <c r="D1174">
        <f>IF(AND(D1171=D1172,D1172=D1173,D1171=D1173),D1171,0)</f>
        <v>3</v>
      </c>
      <c r="E1174" t="str">
        <v>D</v>
      </c>
      <c r="F1174">
        <f>IF(AND(F1171=F1172,F1171=F1173,F1172=F1173),F1171,0)</f>
        <v>13</v>
      </c>
      <c r="L1174" t="str">
        <v>Total panjang per balok</v>
      </c>
      <c r="M1174" t="str">
        <v>=</v>
      </c>
      <c r="N1174">
        <f>IF(AND(D1171=D1172,D1171=D1173,D1172=D1173,F1171=F1172,F1171=F1173,F1172=F1173),SUM(N1171:N1173),0)</f>
        <v>3.102</v>
      </c>
      <c r="O1174" t="str">
        <v>+</v>
      </c>
      <c r="P1174">
        <f>IF(N1174&gt;12,ROUNDDOWN(N1174/12,0),0)</f>
        <v>0</v>
      </c>
      <c r="Q1174" t="str">
        <v>x</v>
      </c>
      <c r="R1174">
        <f>IF(P1174&gt;0,MAX(VLOOKUP(F1174,$D$6:$G$15,3,FALSE),600),0)/1000</f>
        <v>0</v>
      </c>
      <c r="T1174" t="str">
        <v>x</v>
      </c>
      <c r="U1174">
        <f>U1173</f>
        <v>1.041885</v>
      </c>
      <c r="V1174" t="str">
        <v>x</v>
      </c>
      <c r="W1174">
        <f>D1174</f>
        <v>3</v>
      </c>
      <c r="X1174" t="str">
        <v>x</v>
      </c>
      <c r="Y1174">
        <f>Y1173</f>
        <v>1</v>
      </c>
      <c r="Z1174" t="str">
        <v>=</v>
      </c>
      <c r="AA1174">
        <f>(N1174+P1174*R1174/1000)*U1174*W1174*Y1174</f>
        <v>9.69578181</v>
      </c>
    </row>
    <row r="1176">
      <c r="A1176" t="str">
        <f>A1164</f>
        <v>Sloof</v>
      </c>
      <c r="B1176">
        <f>B1164</f>
        <v>34</v>
      </c>
      <c r="C1176" t="str">
        <v>Tul Peminggang</v>
      </c>
      <c r="D1176">
        <f>VLOOKUP(D1164,'Detail Balok'!$C$10:$AU$110,13,FALSE)</f>
        <v>2</v>
      </c>
      <c r="E1176" t="str">
        <v>D</v>
      </c>
      <c r="F1176">
        <f>VLOOKUP(D1164,'Detail Balok'!$C$10:$AU$110,15,FALSE)</f>
        <v>8</v>
      </c>
      <c r="J1176">
        <f>+D1166/1000</f>
        <v>2.79</v>
      </c>
      <c r="K1176" t="str">
        <v>+</v>
      </c>
      <c r="L1176">
        <f>2*$F$16*F1176/1000</f>
        <v>0.192</v>
      </c>
      <c r="M1176" t="str">
        <v>=</v>
      </c>
      <c r="N1176">
        <f>J1176+L1176</f>
        <v>2.982</v>
      </c>
      <c r="O1176" t="str">
        <v>+</v>
      </c>
      <c r="P1176">
        <f>IF(N1176&gt;12,ROUNDDOWN(N1176/12,0),0)</f>
        <v>0</v>
      </c>
      <c r="Q1176" t="str">
        <v>x</v>
      </c>
      <c r="R1176">
        <f>IF(P1176&gt;0,MAX(VLOOKUP(F1176,$D$6:$G$15,3,FALSE),600),0)/1000</f>
        <v>0</v>
      </c>
      <c r="T1176" t="str">
        <v>x</v>
      </c>
      <c r="U1176">
        <f>0.006165*F1176^2</f>
        <v>0.39456</v>
      </c>
      <c r="V1176" t="str">
        <v>x</v>
      </c>
      <c r="W1176">
        <f>+D1176</f>
        <v>2</v>
      </c>
      <c r="X1176" t="str">
        <v>x</v>
      </c>
      <c r="Y1176">
        <f>D1170</f>
        <v>1</v>
      </c>
      <c r="Z1176" t="str">
        <v>=</v>
      </c>
      <c r="AA1176">
        <f>(N1176+P1176*R1176/1000)*U1176*W1176*Y1176</f>
        <v>2.3531558400000003</v>
      </c>
    </row>
    <row r="1179">
      <c r="A1179" t="str">
        <f>A1164</f>
        <v>Sloof</v>
      </c>
      <c r="B1179">
        <f>B1164</f>
        <v>34</v>
      </c>
      <c r="C1179" t="str">
        <v>Tul Bawah Tumpuan</v>
      </c>
      <c r="D1179">
        <f>VLOOKUP(D1164,'Detail Balok'!$C$10:$AU$110,22,FALSE)</f>
        <v>3</v>
      </c>
      <c r="E1179" t="str">
        <v>D</v>
      </c>
      <c r="F1179">
        <f>VLOOKUP(D1164,'Detail Balok'!$C$10:$AU$110,24,FALSE)</f>
        <v>13</v>
      </c>
      <c r="I1179" t="str">
        <v>(</v>
      </c>
      <c r="J1179">
        <f>+J1171</f>
        <v>0.6975</v>
      </c>
      <c r="K1179" t="str">
        <v>+</v>
      </c>
      <c r="L1179">
        <f>MAX(VLOOKUP(F1179,N$6:P$15,3,FALSE)/1000,2/3*D1169/1000)+F$16*F1179/1000</f>
        <v>0.156</v>
      </c>
      <c r="M1179" t="str">
        <v>=</v>
      </c>
      <c r="N1179">
        <f>J1179+L1179</f>
        <v>0.8535</v>
      </c>
      <c r="O1179" t="str">
        <v>+</v>
      </c>
      <c r="P1179">
        <f>D1179-D1180</f>
        <v>0</v>
      </c>
      <c r="Q1179" t="str">
        <v>x</v>
      </c>
      <c r="R1179">
        <f>IF(P1179&gt;0,$F$18*F1179/1000,0)</f>
        <v>0</v>
      </c>
      <c r="S1179" t="str">
        <v>)</v>
      </c>
      <c r="T1179" t="str">
        <v>x</v>
      </c>
      <c r="U1179">
        <f>0.006165*F1179^2</f>
        <v>1.041885</v>
      </c>
      <c r="X1179" t="str">
        <v>x</v>
      </c>
      <c r="Y1179">
        <f>D1170</f>
        <v>1</v>
      </c>
      <c r="Z1179" t="str">
        <v>=</v>
      </c>
      <c r="AA1179">
        <f>IF(AA1182=0,(D1179*N1179+P1179*R1179)*U1179*Y1179,0)</f>
        <v>0</v>
      </c>
    </row>
    <row r="1180">
      <c r="A1180" t="str">
        <f>A1164</f>
        <v>Sloof</v>
      </c>
      <c r="B1180">
        <f>B1164</f>
        <v>34</v>
      </c>
      <c r="C1180" t="str">
        <v>Tul Bawah Lapangan</v>
      </c>
      <c r="D1180">
        <f>VLOOKUP(D1164,'Detail Balok'!$C$10:$AU$110,25,FALSE)</f>
        <v>3</v>
      </c>
      <c r="E1180" t="str">
        <v>D</v>
      </c>
      <c r="F1180">
        <f>VLOOKUP(D1164,'Detail Balok'!$C$10:$AU$110,27,FALSE)</f>
        <v>13</v>
      </c>
      <c r="I1180" t="str">
        <v>(</v>
      </c>
      <c r="J1180">
        <f>+J1172</f>
        <v>1.395</v>
      </c>
      <c r="K1180" t="str">
        <v>+</v>
      </c>
      <c r="M1180" t="str">
        <v>=</v>
      </c>
      <c r="N1180">
        <f>J1180+L1180</f>
        <v>1.395</v>
      </c>
      <c r="O1180" t="str">
        <v>+</v>
      </c>
      <c r="P1180">
        <f>MAX(D1180-D1179,D1180-D1181)</f>
        <v>0</v>
      </c>
      <c r="Q1180" t="str">
        <v>x</v>
      </c>
      <c r="R1180">
        <f>IF(P1180&gt;0,2*(1-2*$F$19-1/2)*D1167/1000,0)</f>
        <v>0</v>
      </c>
      <c r="S1180" t="str">
        <v>)</v>
      </c>
      <c r="T1180" t="str">
        <v>x</v>
      </c>
      <c r="U1180">
        <f>0.006165*F1180^2</f>
        <v>1.041885</v>
      </c>
      <c r="X1180" t="str">
        <v>x</v>
      </c>
      <c r="Y1180">
        <f>D1170</f>
        <v>1</v>
      </c>
      <c r="Z1180" t="str">
        <v>=</v>
      </c>
      <c r="AA1180">
        <f>IF(AA1182=0,(D1180*N1180+P1180*R1180)*U1180*Y1180,0)</f>
        <v>0</v>
      </c>
    </row>
    <row r="1181">
      <c r="A1181" t="str">
        <f>A1164</f>
        <v>Sloof</v>
      </c>
      <c r="B1181">
        <f>B1164</f>
        <v>34</v>
      </c>
      <c r="C1181" t="str">
        <v>Tul Bawah Tumpuan</v>
      </c>
      <c r="D1181">
        <f>VLOOKUP(D1164,'Detail Balok'!$C$10:$AU$110,28,FALSE)</f>
        <v>3</v>
      </c>
      <c r="E1181" t="str">
        <v>D</v>
      </c>
      <c r="F1181">
        <f>VLOOKUP(D1164,'Detail Balok'!$C$10:$AU$110,30,FALSE)</f>
        <v>13</v>
      </c>
      <c r="I1181" t="str">
        <v>(</v>
      </c>
      <c r="J1181">
        <f>+J1173</f>
        <v>0.6975</v>
      </c>
      <c r="K1181" t="str">
        <v>+</v>
      </c>
      <c r="L1181">
        <f>MAX(VLOOKUP(F1181,N$6:P$15,3,FALSE)/1000,2/3*D1169/1000)+F$16*F1181/1000</f>
        <v>0.156</v>
      </c>
      <c r="M1181" t="str">
        <v>=</v>
      </c>
      <c r="N1181">
        <f>J1181+L1181</f>
        <v>0.8535</v>
      </c>
      <c r="O1181" t="str">
        <v>+</v>
      </c>
      <c r="P1181">
        <f>D1181-D1180</f>
        <v>0</v>
      </c>
      <c r="Q1181" t="str">
        <v>x</v>
      </c>
      <c r="R1181">
        <f>IF(P1181&gt;0,$F$18*F1181/1000,0)</f>
        <v>0</v>
      </c>
      <c r="S1181" t="str">
        <v>)</v>
      </c>
      <c r="T1181" t="str">
        <v>x</v>
      </c>
      <c r="U1181">
        <f>0.006165*F1181^2</f>
        <v>1.041885</v>
      </c>
      <c r="X1181" t="str">
        <v>x</v>
      </c>
      <c r="Y1181">
        <f>D1170</f>
        <v>1</v>
      </c>
      <c r="Z1181" t="str">
        <v>=</v>
      </c>
      <c r="AA1181">
        <f>IF(AA1182=0,(D1181*N1181+P1181*R1181)*U1181*Y1181,0)</f>
        <v>0</v>
      </c>
    </row>
    <row r="1182">
      <c r="A1182" t="str">
        <f>A1164</f>
        <v>Sloof</v>
      </c>
      <c r="B1182">
        <f>B1164</f>
        <v>34</v>
      </c>
      <c r="D1182">
        <f>IF(AND(D1179=D1180,D1180=D1181,D1179=D1181),D1179,0)</f>
        <v>3</v>
      </c>
      <c r="E1182" t="str">
        <v>D</v>
      </c>
      <c r="F1182">
        <f>IF(AND(F1179=F1180,F1179=F1181,F1180=F1181),F1179,0)</f>
        <v>13</v>
      </c>
      <c r="L1182" t="str">
        <v>Total panjang per balok</v>
      </c>
      <c r="M1182" t="str">
        <v>=</v>
      </c>
      <c r="N1182">
        <f>IF(AND(D1179=D1180,D1179=D1181,D1180=D1181,F1179=F1180,F1179=F1181,F1180=F1181),SUM(N1179:N1181),0)</f>
        <v>3.102</v>
      </c>
      <c r="O1182" t="str">
        <v>+</v>
      </c>
      <c r="P1182">
        <f>IF(N1182&gt;12,ROUNDDOWN(N1182/12,0),0)</f>
        <v>0</v>
      </c>
      <c r="Q1182" t="str">
        <v>x</v>
      </c>
      <c r="R1182">
        <f>IF(P1182&gt;0,MAX(VLOOKUP(F1182,$D$6:$G$15,3,FALSE),600),0)/1000</f>
        <v>0</v>
      </c>
      <c r="T1182" t="str">
        <v>x</v>
      </c>
      <c r="U1182">
        <f>U1181</f>
        <v>1.041885</v>
      </c>
      <c r="V1182" t="str">
        <v>x</v>
      </c>
      <c r="W1182">
        <f>D1182</f>
        <v>3</v>
      </c>
      <c r="X1182" t="str">
        <v>x</v>
      </c>
      <c r="Y1182">
        <f>Y1181</f>
        <v>1</v>
      </c>
      <c r="Z1182" t="str">
        <v>=</v>
      </c>
      <c r="AA1182">
        <f>(N1182+P1182*R1182/1000)*U1182*W1182*Y1182</f>
        <v>9.69578181</v>
      </c>
    </row>
    <row r="1184">
      <c r="A1184" t="str">
        <f>A1164</f>
        <v>Sloof</v>
      </c>
      <c r="B1184">
        <f>B1164</f>
        <v>34</v>
      </c>
      <c r="C1184" t="str">
        <v>Sengkang Tumpuan</v>
      </c>
      <c r="D1184">
        <f>VLOOKUP(D1164,'Detail Balok'!$C$10:$AU$110,31,FALSE)</f>
        <v>0</v>
      </c>
      <c r="E1184" t="str">
        <v>D</v>
      </c>
      <c r="F1184">
        <f>VLOOKUP(D1164,'Detail Balok'!$C$10:$AU$110,33,FALSE)</f>
        <v>8</v>
      </c>
      <c r="G1184" t="str">
        <v>-</v>
      </c>
      <c r="H1184">
        <f>VLOOKUP(D1164,'Detail Balok'!$C$10:$AU$110,35,FALSE)</f>
        <v>200</v>
      </c>
      <c r="J1184">
        <f>(IF(D1184=0,(2*(D1165+G1165))-(F$5*8),IF(D1184=3,(2*(D1165+G1165))-(F$5*8)+(G1165-2*F$5),IF(D1184=4,(2*(D1165+G1165))-(F$5*8)+2*(G1165-2*F$5)))))/1000</f>
        <v>0.98</v>
      </c>
      <c r="K1184" t="str">
        <v>+</v>
      </c>
      <c r="L1184">
        <f>IF(D1184=0,2*MAX(6*F1184,75),(D1184-1)*2*MAX(6*F1184,75))/1000</f>
        <v>0.15</v>
      </c>
      <c r="M1184" t="str">
        <v>=</v>
      </c>
      <c r="N1184">
        <f>J1184+L1184</f>
        <v>1.13</v>
      </c>
      <c r="T1184" t="str">
        <v>x</v>
      </c>
      <c r="U1184">
        <f>0.006165*F1184^2</f>
        <v>0.39456</v>
      </c>
      <c r="V1184" t="str">
        <v>x</v>
      </c>
      <c r="W1184">
        <f>IF(D1167&gt;4*G1165,ROUND(MAX(D1167/4,2*G1165)/H1184,0)+1,ROUND(D1167/H1184,0)+1)</f>
        <v>6</v>
      </c>
      <c r="X1184" t="str">
        <v>x</v>
      </c>
      <c r="Y1184">
        <f>D1170</f>
        <v>1</v>
      </c>
      <c r="Z1184" t="str">
        <v>=</v>
      </c>
      <c r="AA1184">
        <f>N1184*U1184*W1184*Y1184</f>
        <v>2.6751168</v>
      </c>
    </row>
    <row r="1185">
      <c r="A1185" t="str">
        <f>A1164</f>
        <v>Sloof</v>
      </c>
      <c r="B1185">
        <f>B1164</f>
        <v>34</v>
      </c>
      <c r="C1185" t="str">
        <v>Sengkang Lapangan</v>
      </c>
      <c r="D1185">
        <f>VLOOKUP(D1164,'Detail Balok'!$C$10:$AU$110,36,FALSE)</f>
        <v>0</v>
      </c>
      <c r="E1185" t="str">
        <v>D</v>
      </c>
      <c r="F1185">
        <f>VLOOKUP(D1164,'Detail Balok'!$C$10:$AU$110,38,FALSE)</f>
        <v>8</v>
      </c>
      <c r="G1185" t="str">
        <v>-</v>
      </c>
      <c r="H1185">
        <f>VLOOKUP(D1164,'Detail Balok'!$C$10:$AU$110,40,FALSE)</f>
        <v>200</v>
      </c>
      <c r="J1185">
        <f>(IF(D1185=0,(2*(D1165+G1165))-(F$5*8),IF(D1185=3,(2*(D1165+G1165))-(F$5*8)+(G1165-2*F$5),IF(D1185=4,(2*(D1165+G1165))-(F$5*8)+2*(G1165-2*F$5)))))/1000</f>
        <v>0.98</v>
      </c>
      <c r="K1185" t="str">
        <v>+</v>
      </c>
      <c r="L1185">
        <f>IF(D1185=0,2*MAX(6*F1185,75),(D1185-1)*2*MAX(6*F1185,75))/1000</f>
        <v>0.15</v>
      </c>
      <c r="M1185" t="str">
        <v>=</v>
      </c>
      <c r="N1185">
        <f>J1185+L1185</f>
        <v>1.13</v>
      </c>
      <c r="T1185" t="str">
        <v>x</v>
      </c>
      <c r="U1185">
        <f>0.006165*F1185^2</f>
        <v>0.39456</v>
      </c>
      <c r="V1185" t="str">
        <v>x</v>
      </c>
      <c r="W1185">
        <f>IF(D1167-MAX(D1167/4,2*G1165)*2&gt;0,ROUND((D1167-MAX(D1167/4,2*G1165)*2)/H1185,0),0)</f>
        <v>5</v>
      </c>
      <c r="X1185" t="str">
        <v>x</v>
      </c>
      <c r="Y1185">
        <f>D1170</f>
        <v>1</v>
      </c>
      <c r="Z1185" t="str">
        <v>=</v>
      </c>
      <c r="AA1185">
        <f>N1185*U1185*W1185*Y1185</f>
        <v>2.229264</v>
      </c>
    </row>
    <row r="1186">
      <c r="A1186" t="str">
        <f>A1164</f>
        <v>Sloof</v>
      </c>
      <c r="B1186">
        <f>B1164</f>
        <v>34</v>
      </c>
      <c r="C1186" t="str">
        <v>Sengkang Tumpuan</v>
      </c>
      <c r="D1186">
        <f>VLOOKUP(D1164,'Detail Balok'!$C$10:$AU$110,41,FALSE)</f>
        <v>0</v>
      </c>
      <c r="E1186" t="str">
        <v>D</v>
      </c>
      <c r="F1186">
        <f>VLOOKUP(D1164,'Detail Balok'!$C$10:$AU$110,43,FALSE)</f>
        <v>8</v>
      </c>
      <c r="G1186" t="str">
        <v>-</v>
      </c>
      <c r="H1186">
        <f>VLOOKUP(D1164,'Detail Balok'!$C$10:$AU$110,45,FALSE)</f>
        <v>200</v>
      </c>
      <c r="J1186">
        <f>(IF(D1186=0,(2*(D1165+G1165))-(F$5*8),IF(D1186=3,(2*(D1165+G1165))-(F$5*8)+(G1165-2*F$5),IF(D1186=4,(2*(D1165+G1165))-(F$5*8)+2*(G1165-2*F$5)))))/1000</f>
        <v>0.98</v>
      </c>
      <c r="K1186" t="str">
        <v>+</v>
      </c>
      <c r="L1186">
        <f>IF(D1186=0,2*MAX(6*F1186,75),(D1186-1)*2*MAX(6*F1186,75))/1000</f>
        <v>0.15</v>
      </c>
      <c r="M1186" t="str">
        <v>=</v>
      </c>
      <c r="N1186">
        <f>J1186+L1186</f>
        <v>1.13</v>
      </c>
      <c r="T1186" t="str">
        <v>x</v>
      </c>
      <c r="U1186">
        <f>0.006165*F1186^2</f>
        <v>0.39456</v>
      </c>
      <c r="V1186" t="str">
        <v>x</v>
      </c>
      <c r="W1186">
        <f>IF(D1167&gt;4*G1165,ROUND(MAX(D1167/4,2*G1165)/H1186,0)+1,0)</f>
        <v>6</v>
      </c>
      <c r="X1186" t="str">
        <v>x</v>
      </c>
      <c r="Y1186">
        <f>D1170</f>
        <v>1</v>
      </c>
      <c r="Z1186" t="str">
        <v>=</v>
      </c>
      <c r="AA1186">
        <f>N1186*U1186*W1186*Y1186</f>
        <v>2.6751168</v>
      </c>
    </row>
    <row r="1188">
      <c r="A1188" t="str">
        <f>A1164</f>
        <v>Sloof</v>
      </c>
      <c r="B1188">
        <f>B1164</f>
        <v>34</v>
      </c>
      <c r="C1188" t="str">
        <v>Kait Horizontal Tump.</v>
      </c>
      <c r="D1188">
        <f>VLOOKUP(D1164,'Detail Balok'!$C$10:$BJ$110,46,FALSE)</f>
        <v>0</v>
      </c>
      <c r="E1188" t="str">
        <v>D</v>
      </c>
      <c r="F1188">
        <f>VLOOKUP(D1164,'Detail Balok'!$C$10:$BJ$110,48,FALSE)</f>
        <v>0</v>
      </c>
      <c r="G1188" t="str">
        <v>-</v>
      </c>
      <c r="H1188">
        <f>VLOOKUP(D1164,'Detail Balok'!$C$10:$BJ$110,50,FALSE)</f>
        <v>100</v>
      </c>
      <c r="J1188">
        <f>(D1165-2*F$5)/1000</f>
        <v>0.12</v>
      </c>
      <c r="K1188" t="str">
        <v>+</v>
      </c>
      <c r="L1188">
        <f>IF(D1188=0,2*MAX(6*F1188,75),(D1188-1)*2*MAX(6*F1188,75))/1000</f>
        <v>0.15</v>
      </c>
      <c r="M1188" t="str">
        <v>=</v>
      </c>
      <c r="N1188">
        <f>J1188+L1188</f>
        <v>0.27</v>
      </c>
      <c r="T1188" t="str">
        <v>x</v>
      </c>
      <c r="U1188">
        <f>0.006165*F1188^2</f>
        <v>0</v>
      </c>
      <c r="V1188" t="str">
        <v>x</v>
      </c>
      <c r="W1188">
        <f>W1184</f>
        <v>6</v>
      </c>
      <c r="X1188" t="str">
        <v>x</v>
      </c>
      <c r="Y1188">
        <f>D1174</f>
        <v>3</v>
      </c>
      <c r="Z1188" t="str">
        <v>=</v>
      </c>
      <c r="AA1188">
        <f>N1188*U1188*W1188*Y1188</f>
        <v>0</v>
      </c>
    </row>
    <row r="1189">
      <c r="A1189" t="str">
        <f>A1164</f>
        <v>Sloof</v>
      </c>
      <c r="B1189">
        <f>B1164</f>
        <v>34</v>
      </c>
      <c r="C1189" t="str">
        <v>Kait Horizontal Lap.</v>
      </c>
      <c r="D1189">
        <f>VLOOKUP(D1164,'Detail Balok'!$C$10:$BJ$110,51,FALSE)</f>
        <v>0</v>
      </c>
      <c r="E1189" t="str">
        <v>D</v>
      </c>
      <c r="F1189">
        <f>VLOOKUP(D1164,'Detail Balok'!$C$10:$BJ$110,53,FALSE)</f>
        <v>0</v>
      </c>
      <c r="G1189" t="str">
        <v>-</v>
      </c>
      <c r="H1189">
        <f>VLOOKUP(D1164,'Detail Balok'!$C$10:$BJ$110,55,FALSE)</f>
        <v>100</v>
      </c>
      <c r="J1189">
        <f>(D1165-2*F$5)/1000</f>
        <v>0.12</v>
      </c>
      <c r="K1189" t="str">
        <v>+</v>
      </c>
      <c r="L1189">
        <f>IF(D1189=0,2*MAX(6*F1189,75),(D1189-1)*2*MAX(6*F1189,75))/1000</f>
        <v>0.15</v>
      </c>
      <c r="M1189" t="str">
        <v>=</v>
      </c>
      <c r="N1189">
        <f>J1189+L1189</f>
        <v>0.27</v>
      </c>
      <c r="T1189" t="str">
        <v>x</v>
      </c>
      <c r="U1189">
        <f>0.006165*F1189^2</f>
        <v>0</v>
      </c>
      <c r="V1189" t="str">
        <v>x</v>
      </c>
      <c r="W1189">
        <f>W1185</f>
        <v>5</v>
      </c>
      <c r="X1189" t="str">
        <v>x</v>
      </c>
      <c r="Y1189">
        <f>D1174</f>
        <v>3</v>
      </c>
      <c r="Z1189" t="str">
        <v>=</v>
      </c>
      <c r="AA1189">
        <f>N1189*U1189*W1189*Y1189</f>
        <v>0</v>
      </c>
    </row>
    <row r="1190">
      <c r="A1190" t="str">
        <f>A1164</f>
        <v>Sloof</v>
      </c>
      <c r="B1190">
        <f>B1164</f>
        <v>34</v>
      </c>
      <c r="C1190" t="str">
        <v>Kait Horizontal Tump.</v>
      </c>
      <c r="D1190">
        <f>VLOOKUP(D1164,'Detail Balok'!$C$10:$BJ$110,56,FALSE)</f>
        <v>0</v>
      </c>
      <c r="E1190" t="str">
        <v>D</v>
      </c>
      <c r="F1190">
        <f>VLOOKUP(D1164,'Detail Balok'!$C$10:$BJ$110,58,FALSE)</f>
        <v>0</v>
      </c>
      <c r="G1190" t="str">
        <v>-</v>
      </c>
      <c r="H1190">
        <f>VLOOKUP(D1164,'Detail Balok'!$C$10:$BJ$110,60,FALSE)</f>
        <v>100</v>
      </c>
      <c r="J1190">
        <f>(D1165-2*F$5)/1000</f>
        <v>0.12</v>
      </c>
      <c r="K1190" t="str">
        <v>+</v>
      </c>
      <c r="L1190">
        <f>IF(D1190=0,2*MAX(6*F1190,75),(D1190-1)*2*MAX(6*F1190,75))/1000</f>
        <v>0.15</v>
      </c>
      <c r="M1190" t="str">
        <v>=</v>
      </c>
      <c r="N1190">
        <f>J1190+L1190</f>
        <v>0.27</v>
      </c>
      <c r="T1190" t="str">
        <v>x</v>
      </c>
      <c r="U1190">
        <f>0.006165*F1190^2</f>
        <v>0</v>
      </c>
      <c r="V1190" t="str">
        <v>x</v>
      </c>
      <c r="W1190">
        <f>W1186</f>
        <v>6</v>
      </c>
      <c r="X1190" t="str">
        <v>x</v>
      </c>
      <c r="Y1190">
        <f>D1174</f>
        <v>3</v>
      </c>
      <c r="Z1190" t="str">
        <v>=</v>
      </c>
      <c r="AA1190">
        <f>N1190*U1190*W1190*Y1190</f>
        <v>0</v>
      </c>
    </row>
    <row r="1194">
      <c r="A1194" t="str">
        <f>A1164</f>
        <v>Sloof</v>
      </c>
      <c r="B1194">
        <f>B1164+1</f>
        <v>35</v>
      </c>
      <c r="C1194" t="str">
        <f>CONCATENATE(A1194," no. ",B1194)</f>
        <v>Sloof no. 35</v>
      </c>
      <c r="D1194" t="str">
        <f>VLOOKUP(C1194,'Data Panjang Balok'!$C$9:$N$424,2,FALSE)</f>
        <v>TB24-2</v>
      </c>
    </row>
    <row r="1195">
      <c r="C1195" t="str">
        <v>Dimensi</v>
      </c>
      <c r="D1195">
        <f>VLOOKUP(D1194,'Detail Balok'!$C$10:$AU$110,2,FALSE)</f>
        <v>200</v>
      </c>
      <c r="F1195" t="str">
        <v>x</v>
      </c>
      <c r="G1195">
        <f>VLOOKUP(D1194,'Detail Balok'!$C$10:$AU$110,3,FALSE)</f>
        <v>400</v>
      </c>
    </row>
    <row r="1196">
      <c r="C1196" t="str">
        <v>Panjang as ke as</v>
      </c>
      <c r="D1196">
        <f>VLOOKUP(C1194,'Data Panjang Balok'!$C$9:$N$424,4,FALSE)</f>
        <v>3120</v>
      </c>
    </row>
    <row r="1197">
      <c r="C1197" t="str">
        <v>Panjang netto</v>
      </c>
      <c r="D1197">
        <f>VLOOKUP(C1194,'Data Panjang Balok'!$C$9:$N$424,7,FALSE)</f>
        <v>3120</v>
      </c>
    </row>
    <row r="1198">
      <c r="C1198" t="str">
        <v>Kolom / balok kiri</v>
      </c>
      <c r="D1198">
        <f>VLOOKUP(C1194,'Data Panjang Balok'!$C$9:$N$424,9,FALSE)</f>
        <v>0</v>
      </c>
    </row>
    <row r="1199">
      <c r="C1199" t="str">
        <v>Kolom / balok kanan</v>
      </c>
      <c r="D1199">
        <f>VLOOKUP(C1194,'Data Panjang Balok'!$C$9:$N$424,10,FALSE)</f>
        <v>0</v>
      </c>
    </row>
    <row r="1200">
      <c r="C1200" t="str">
        <v>Jumlah</v>
      </c>
      <c r="D1200">
        <f>VLOOKUP(C1194,'Data Panjang Balok'!$C$9:$N$424,3,FALSE)</f>
        <v>1</v>
      </c>
    </row>
    <row r="1201">
      <c r="A1201" t="str">
        <f>A1194</f>
        <v>Sloof</v>
      </c>
      <c r="B1201">
        <f>B1194</f>
        <v>35</v>
      </c>
      <c r="C1201" t="str">
        <v>Tul Atas Tumpuan</v>
      </c>
      <c r="D1201">
        <f>VLOOKUP(D1194,'Detail Balok'!$C$10:$AU$110,4,FALSE)</f>
        <v>4</v>
      </c>
      <c r="E1201" t="str">
        <v>D</v>
      </c>
      <c r="F1201">
        <f>VLOOKUP(D1194,'Detail Balok'!$C$10:$AU$110,6,FALSE)</f>
        <v>13</v>
      </c>
      <c r="I1201" t="str">
        <v>(</v>
      </c>
      <c r="J1201">
        <f>+D1196/4/1000</f>
        <v>0.78</v>
      </c>
      <c r="K1201" t="str">
        <v>+</v>
      </c>
      <c r="L1201">
        <f>MAX(VLOOKUP(F1201,N$6:P$15,3,FALSE)/1000,2/3*D1198/1000)+F$16*F1201/1000</f>
        <v>0.156</v>
      </c>
      <c r="M1201" t="str">
        <v>=</v>
      </c>
      <c r="N1201">
        <f>J1201+L1201</f>
        <v>0.936</v>
      </c>
      <c r="O1201" t="str">
        <v>+</v>
      </c>
      <c r="P1201">
        <f>D1201-D1202</f>
        <v>2</v>
      </c>
      <c r="Q1201" t="str">
        <v>x</v>
      </c>
      <c r="R1201">
        <f>IF(P1201&gt;0,$F$18*F1201/1000,0)</f>
        <v>0.195</v>
      </c>
      <c r="S1201" t="str">
        <v>)</v>
      </c>
      <c r="T1201" t="str">
        <v>x</v>
      </c>
      <c r="U1201">
        <f>0.006165*F1201^2</f>
        <v>1.041885</v>
      </c>
      <c r="X1201" t="str">
        <v>x</v>
      </c>
      <c r="Y1201">
        <f>D1200</f>
        <v>1</v>
      </c>
      <c r="Z1201" t="str">
        <v>=</v>
      </c>
      <c r="AA1201">
        <f>IF(AA1204=0,(D1201*N1201+P1201*R1201)*U1201*Y1201,0)</f>
        <v>4.30715259</v>
      </c>
    </row>
    <row r="1202">
      <c r="A1202" t="str">
        <f>A1194</f>
        <v>Sloof</v>
      </c>
      <c r="B1202">
        <f>B1194</f>
        <v>35</v>
      </c>
      <c r="C1202" t="str">
        <v>Tul Atas Lapangan</v>
      </c>
      <c r="D1202">
        <f>VLOOKUP(D1194,'Detail Balok'!$C$10:$AU$110,7,FALSE)</f>
        <v>2</v>
      </c>
      <c r="E1202" t="str">
        <v>D</v>
      </c>
      <c r="F1202">
        <f>VLOOKUP(D1194,'Detail Balok'!$C$10:$AU$110,9,FALSE)</f>
        <v>13</v>
      </c>
      <c r="I1202" t="str">
        <v>(</v>
      </c>
      <c r="J1202">
        <f>+D1196/2/1000</f>
        <v>1.56</v>
      </c>
      <c r="K1202" t="str">
        <v>+</v>
      </c>
      <c r="M1202" t="str">
        <v>=</v>
      </c>
      <c r="N1202">
        <f>J1202+L1202</f>
        <v>1.56</v>
      </c>
      <c r="O1202" t="str">
        <v>+</v>
      </c>
      <c r="P1202">
        <f>MAX(D1202-D1201,D1202-D1203)</f>
        <v>-2</v>
      </c>
      <c r="Q1202" t="str">
        <v>x</v>
      </c>
      <c r="R1202">
        <f>IF(P1202&gt;0,2*(1-2*$F$19-1/2)*D1197/1000,0)</f>
        <v>0</v>
      </c>
      <c r="S1202" t="str">
        <v>)</v>
      </c>
      <c r="T1202" t="str">
        <v>x</v>
      </c>
      <c r="U1202">
        <f>0.006165*F1202^2</f>
        <v>1.041885</v>
      </c>
      <c r="X1202" t="str">
        <v>x</v>
      </c>
      <c r="Y1202">
        <f>D1200</f>
        <v>1</v>
      </c>
      <c r="Z1202" t="str">
        <v>=</v>
      </c>
      <c r="AA1202">
        <f>IF(AA1204=0,(D1202*N1202+P1202*R1202)*U1202*Y1202,0)</f>
        <v>3.2506812</v>
      </c>
    </row>
    <row r="1203">
      <c r="A1203" t="str">
        <f>A1194</f>
        <v>Sloof</v>
      </c>
      <c r="B1203">
        <f>B1194</f>
        <v>35</v>
      </c>
      <c r="C1203" t="str">
        <v>Tul Atas Tumpuan</v>
      </c>
      <c r="D1203">
        <f>VLOOKUP(D1194,'Detail Balok'!$C$10:$AU$110,10,FALSE)</f>
        <v>4</v>
      </c>
      <c r="E1203" t="str">
        <v>D</v>
      </c>
      <c r="F1203">
        <f>VLOOKUP(D1194,'Detail Balok'!$C$10:$AU$110,12,FALSE)</f>
        <v>13</v>
      </c>
      <c r="I1203" t="str">
        <v>(</v>
      </c>
      <c r="J1203">
        <f>+D1196/4/1000</f>
        <v>0.78</v>
      </c>
      <c r="K1203" t="str">
        <v>+</v>
      </c>
      <c r="L1203">
        <f>MAX(VLOOKUP(F1203,N$6:P$15,3,FALSE)/1000,2/3*D1198/1000)+F$16*F1203/1000</f>
        <v>0.156</v>
      </c>
      <c r="M1203" t="str">
        <v>=</v>
      </c>
      <c r="N1203">
        <f>J1203+L1203</f>
        <v>0.936</v>
      </c>
      <c r="O1203" t="str">
        <v>+</v>
      </c>
      <c r="P1203">
        <f>D1203-D1202</f>
        <v>2</v>
      </c>
      <c r="Q1203" t="str">
        <v>x</v>
      </c>
      <c r="R1203">
        <f>IF(P1203&gt;0,$F$18*F1203/1000,0)</f>
        <v>0.195</v>
      </c>
      <c r="S1203" t="str">
        <v>)</v>
      </c>
      <c r="T1203" t="str">
        <v>x</v>
      </c>
      <c r="U1203">
        <f>0.006165*F1203^2</f>
        <v>1.041885</v>
      </c>
      <c r="X1203" t="str">
        <v>x</v>
      </c>
      <c r="Y1203">
        <f>D1200</f>
        <v>1</v>
      </c>
      <c r="Z1203" t="str">
        <v>=</v>
      </c>
      <c r="AA1203">
        <f>IF(AA1204=0,(D1203*N1203+P1203*R1203)*U1203*Y1203,0)</f>
        <v>4.30715259</v>
      </c>
    </row>
    <row r="1204">
      <c r="A1204" t="str">
        <f>A1194</f>
        <v>Sloof</v>
      </c>
      <c r="B1204">
        <f>B1194</f>
        <v>35</v>
      </c>
      <c r="D1204">
        <f>IF(AND(D1201=D1202,D1202=D1203,D1201=D1203),D1201,0)</f>
        <v>0</v>
      </c>
      <c r="E1204" t="str">
        <v>D</v>
      </c>
      <c r="F1204">
        <f>IF(AND(F1201=F1202,F1201=F1203,F1202=F1203),F1201,0)</f>
        <v>13</v>
      </c>
      <c r="L1204" t="str">
        <v>Total panjang per balok</v>
      </c>
      <c r="M1204" t="str">
        <v>=</v>
      </c>
      <c r="N1204">
        <f>IF(AND(D1201=D1202,D1201=D1203,D1202=D1203,F1201=F1202,F1201=F1203,F1202=F1203),SUM(N1201:N1203),0)</f>
        <v>0</v>
      </c>
      <c r="O1204" t="str">
        <v>+</v>
      </c>
      <c r="P1204">
        <f>IF(N1204&gt;12,ROUNDDOWN(N1204/12,0),0)</f>
        <v>0</v>
      </c>
      <c r="Q1204" t="str">
        <v>x</v>
      </c>
      <c r="R1204">
        <f>IF(P1204&gt;0,MAX(VLOOKUP(F1204,$D$6:$G$15,3,FALSE),600),0)/1000</f>
        <v>0</v>
      </c>
      <c r="T1204" t="str">
        <v>x</v>
      </c>
      <c r="U1204">
        <f>U1203</f>
        <v>1.041885</v>
      </c>
      <c r="V1204" t="str">
        <v>x</v>
      </c>
      <c r="W1204">
        <f>D1204</f>
        <v>0</v>
      </c>
      <c r="X1204" t="str">
        <v>x</v>
      </c>
      <c r="Y1204">
        <f>Y1203</f>
        <v>1</v>
      </c>
      <c r="Z1204" t="str">
        <v>=</v>
      </c>
      <c r="AA1204">
        <f>(N1204+P1204*R1204/1000)*U1204*W1204*Y1204</f>
        <v>0</v>
      </c>
    </row>
    <row r="1206">
      <c r="A1206" t="str">
        <f>A1194</f>
        <v>Sloof</v>
      </c>
      <c r="B1206">
        <f>B1194</f>
        <v>35</v>
      </c>
      <c r="C1206" t="str">
        <v>Tul Peminggang</v>
      </c>
      <c r="D1206">
        <f>VLOOKUP(D1194,'Detail Balok'!$C$10:$AU$110,13,FALSE)</f>
        <v>0</v>
      </c>
      <c r="E1206" t="str">
        <v>D</v>
      </c>
      <c r="F1206">
        <f>VLOOKUP(D1194,'Detail Balok'!$C$10:$AU$110,15,FALSE)</f>
        <v>6</v>
      </c>
      <c r="J1206">
        <f>+D1196/1000</f>
        <v>3.12</v>
      </c>
      <c r="K1206" t="str">
        <v>+</v>
      </c>
      <c r="L1206">
        <f>2*$F$16*F1206/1000</f>
        <v>0.144</v>
      </c>
      <c r="M1206" t="str">
        <v>=</v>
      </c>
      <c r="N1206">
        <f>J1206+L1206</f>
        <v>3.2640000000000002</v>
      </c>
      <c r="O1206" t="str">
        <v>+</v>
      </c>
      <c r="P1206">
        <f>IF(N1206&gt;12,ROUNDDOWN(N1206/12,0),0)</f>
        <v>0</v>
      </c>
      <c r="Q1206" t="str">
        <v>x</v>
      </c>
      <c r="R1206">
        <f>IF(P1206&gt;0,MAX(VLOOKUP(F1206,$D$6:$G$15,3,FALSE),600),0)/1000</f>
        <v>0</v>
      </c>
      <c r="T1206" t="str">
        <v>x</v>
      </c>
      <c r="U1206">
        <f>0.006165*F1206^2</f>
        <v>0.22194000000000003</v>
      </c>
      <c r="V1206" t="str">
        <v>x</v>
      </c>
      <c r="W1206">
        <f>+D1206</f>
        <v>0</v>
      </c>
      <c r="X1206" t="str">
        <v>x</v>
      </c>
      <c r="Y1206">
        <f>D1200</f>
        <v>1</v>
      </c>
      <c r="Z1206" t="str">
        <v>=</v>
      </c>
      <c r="AA1206">
        <f>(N1206+P1206*R1206/1000)*U1206*W1206*Y1206</f>
        <v>0</v>
      </c>
    </row>
    <row r="1209">
      <c r="A1209" t="str">
        <f>A1194</f>
        <v>Sloof</v>
      </c>
      <c r="B1209">
        <f>B1194</f>
        <v>35</v>
      </c>
      <c r="C1209" t="str">
        <v>Tul Bawah Tumpuan</v>
      </c>
      <c r="D1209">
        <f>VLOOKUP(D1194,'Detail Balok'!$C$10:$AU$110,22,FALSE)</f>
        <v>3</v>
      </c>
      <c r="E1209" t="str">
        <v>D</v>
      </c>
      <c r="F1209">
        <f>VLOOKUP(D1194,'Detail Balok'!$C$10:$AU$110,24,FALSE)</f>
        <v>13</v>
      </c>
      <c r="I1209" t="str">
        <v>(</v>
      </c>
      <c r="J1209">
        <f>+J1201</f>
        <v>0.78</v>
      </c>
      <c r="K1209" t="str">
        <v>+</v>
      </c>
      <c r="L1209">
        <f>MAX(VLOOKUP(F1209,N$6:P$15,3,FALSE)/1000,2/3*D1199/1000)+F$16*F1209/1000</f>
        <v>0.156</v>
      </c>
      <c r="M1209" t="str">
        <v>=</v>
      </c>
      <c r="N1209">
        <f>J1209+L1209</f>
        <v>0.936</v>
      </c>
      <c r="O1209" t="str">
        <v>+</v>
      </c>
      <c r="P1209">
        <f>D1209-D1210</f>
        <v>0</v>
      </c>
      <c r="Q1209" t="str">
        <v>x</v>
      </c>
      <c r="R1209">
        <f>IF(P1209&gt;0,$F$18*F1209/1000,0)</f>
        <v>0</v>
      </c>
      <c r="S1209" t="str">
        <v>)</v>
      </c>
      <c r="T1209" t="str">
        <v>x</v>
      </c>
      <c r="U1209">
        <f>0.006165*F1209^2</f>
        <v>1.041885</v>
      </c>
      <c r="X1209" t="str">
        <v>x</v>
      </c>
      <c r="Y1209">
        <f>D1200</f>
        <v>1</v>
      </c>
      <c r="Z1209" t="str">
        <v>=</v>
      </c>
      <c r="AA1209">
        <f>IF(AA1212=0,(D1209*N1209+P1209*R1209)*U1209*Y1209,0)</f>
        <v>0</v>
      </c>
    </row>
    <row r="1210">
      <c r="A1210" t="str">
        <f>A1194</f>
        <v>Sloof</v>
      </c>
      <c r="B1210">
        <f>B1194</f>
        <v>35</v>
      </c>
      <c r="C1210" t="str">
        <v>Tul Bawah Lapangan</v>
      </c>
      <c r="D1210">
        <f>VLOOKUP(D1194,'Detail Balok'!$C$10:$AU$110,25,FALSE)</f>
        <v>3</v>
      </c>
      <c r="E1210" t="str">
        <v>D</v>
      </c>
      <c r="F1210">
        <f>VLOOKUP(D1194,'Detail Balok'!$C$10:$AU$110,27,FALSE)</f>
        <v>13</v>
      </c>
      <c r="I1210" t="str">
        <v>(</v>
      </c>
      <c r="J1210">
        <f>+J1202</f>
        <v>1.56</v>
      </c>
      <c r="K1210" t="str">
        <v>+</v>
      </c>
      <c r="M1210" t="str">
        <v>=</v>
      </c>
      <c r="N1210">
        <f>J1210+L1210</f>
        <v>1.56</v>
      </c>
      <c r="O1210" t="str">
        <v>+</v>
      </c>
      <c r="P1210">
        <f>MAX(D1210-D1209,D1210-D1211)</f>
        <v>0</v>
      </c>
      <c r="Q1210" t="str">
        <v>x</v>
      </c>
      <c r="R1210">
        <f>IF(P1210&gt;0,2*(1-2*$F$19-1/2)*D1197/1000,0)</f>
        <v>0</v>
      </c>
      <c r="S1210" t="str">
        <v>)</v>
      </c>
      <c r="T1210" t="str">
        <v>x</v>
      </c>
      <c r="U1210">
        <f>0.006165*F1210^2</f>
        <v>1.041885</v>
      </c>
      <c r="X1210" t="str">
        <v>x</v>
      </c>
      <c r="Y1210">
        <f>D1200</f>
        <v>1</v>
      </c>
      <c r="Z1210" t="str">
        <v>=</v>
      </c>
      <c r="AA1210">
        <f>IF(AA1212=0,(D1210*N1210+P1210*R1210)*U1210*Y1210,0)</f>
        <v>0</v>
      </c>
    </row>
    <row r="1211">
      <c r="A1211" t="str">
        <f>A1194</f>
        <v>Sloof</v>
      </c>
      <c r="B1211">
        <f>B1194</f>
        <v>35</v>
      </c>
      <c r="C1211" t="str">
        <v>Tul Bawah Tumpuan</v>
      </c>
      <c r="D1211">
        <f>VLOOKUP(D1194,'Detail Balok'!$C$10:$AU$110,28,FALSE)</f>
        <v>3</v>
      </c>
      <c r="E1211" t="str">
        <v>D</v>
      </c>
      <c r="F1211">
        <f>VLOOKUP(D1194,'Detail Balok'!$C$10:$AU$110,30,FALSE)</f>
        <v>13</v>
      </c>
      <c r="I1211" t="str">
        <v>(</v>
      </c>
      <c r="J1211">
        <f>+J1203</f>
        <v>0.78</v>
      </c>
      <c r="K1211" t="str">
        <v>+</v>
      </c>
      <c r="L1211">
        <f>MAX(VLOOKUP(F1211,N$6:P$15,3,FALSE)/1000,2/3*D1199/1000)+F$16*F1211/1000</f>
        <v>0.156</v>
      </c>
      <c r="M1211" t="str">
        <v>=</v>
      </c>
      <c r="N1211">
        <f>J1211+L1211</f>
        <v>0.936</v>
      </c>
      <c r="O1211" t="str">
        <v>+</v>
      </c>
      <c r="P1211">
        <f>D1211-D1210</f>
        <v>0</v>
      </c>
      <c r="Q1211" t="str">
        <v>x</v>
      </c>
      <c r="R1211">
        <f>IF(P1211&gt;0,$F$18*F1211/1000,0)</f>
        <v>0</v>
      </c>
      <c r="S1211" t="str">
        <v>)</v>
      </c>
      <c r="T1211" t="str">
        <v>x</v>
      </c>
      <c r="U1211">
        <f>0.006165*F1211^2</f>
        <v>1.041885</v>
      </c>
      <c r="X1211" t="str">
        <v>x</v>
      </c>
      <c r="Y1211">
        <f>D1200</f>
        <v>1</v>
      </c>
      <c r="Z1211" t="str">
        <v>=</v>
      </c>
      <c r="AA1211">
        <f>IF(AA1212=0,(D1211*N1211+P1211*R1211)*U1211*Y1211,0)</f>
        <v>0</v>
      </c>
    </row>
    <row r="1212">
      <c r="A1212" t="str">
        <f>A1194</f>
        <v>Sloof</v>
      </c>
      <c r="B1212">
        <f>B1194</f>
        <v>35</v>
      </c>
      <c r="D1212">
        <f>IF(AND(D1209=D1210,D1210=D1211,D1209=D1211),D1209,0)</f>
        <v>3</v>
      </c>
      <c r="E1212" t="str">
        <v>D</v>
      </c>
      <c r="F1212">
        <f>IF(AND(F1209=F1210,F1209=F1211,F1210=F1211),F1209,0)</f>
        <v>13</v>
      </c>
      <c r="L1212" t="str">
        <v>Total panjang per balok</v>
      </c>
      <c r="M1212" t="str">
        <v>=</v>
      </c>
      <c r="N1212">
        <f>IF(AND(D1209=D1210,D1209=D1211,D1210=D1211,F1209=F1210,F1209=F1211,F1210=F1211),SUM(N1209:N1211),0)</f>
        <v>3.432</v>
      </c>
      <c r="O1212" t="str">
        <v>+</v>
      </c>
      <c r="P1212">
        <f>IF(N1212&gt;12,ROUNDDOWN(N1212/12,0),0)</f>
        <v>0</v>
      </c>
      <c r="Q1212" t="str">
        <v>x</v>
      </c>
      <c r="R1212">
        <f>IF(P1212&gt;0,MAX(VLOOKUP(F1212,$D$6:$G$15,3,FALSE),600),0)/1000</f>
        <v>0</v>
      </c>
      <c r="T1212" t="str">
        <v>x</v>
      </c>
      <c r="U1212">
        <f>U1211</f>
        <v>1.041885</v>
      </c>
      <c r="V1212" t="str">
        <v>x</v>
      </c>
      <c r="W1212">
        <f>D1212</f>
        <v>3</v>
      </c>
      <c r="X1212" t="str">
        <v>x</v>
      </c>
      <c r="Y1212">
        <f>Y1211</f>
        <v>1</v>
      </c>
      <c r="Z1212" t="str">
        <v>=</v>
      </c>
      <c r="AA1212">
        <f>(N1212+P1212*R1212/1000)*U1212*W1212*Y1212</f>
        <v>10.72724796</v>
      </c>
    </row>
    <row r="1214">
      <c r="A1214" t="str">
        <f>A1194</f>
        <v>Sloof</v>
      </c>
      <c r="B1214">
        <f>B1194</f>
        <v>35</v>
      </c>
      <c r="C1214" t="str">
        <v>Sengkang Tumpuan</v>
      </c>
      <c r="D1214">
        <f>VLOOKUP(D1194,'Detail Balok'!$C$10:$AU$110,31,FALSE)</f>
        <v>0</v>
      </c>
      <c r="E1214" t="str">
        <v>D</v>
      </c>
      <c r="F1214">
        <f>VLOOKUP(D1194,'Detail Balok'!$C$10:$AU$110,33,FALSE)</f>
        <v>8</v>
      </c>
      <c r="G1214" t="str">
        <v>-</v>
      </c>
      <c r="H1214">
        <f>VLOOKUP(D1194,'Detail Balok'!$C$10:$AU$110,35,FALSE)</f>
        <v>150</v>
      </c>
      <c r="J1214">
        <f>(IF(D1214=0,(2*(D1195+G1195))-(F$5*8),IF(D1214=3,(2*(D1195+G1195))-(F$5*8)+(G1195-2*F$5),IF(D1214=4,(2*(D1195+G1195))-(F$5*8)+2*(G1195-2*F$5)))))/1000</f>
        <v>0.88</v>
      </c>
      <c r="K1214" t="str">
        <v>+</v>
      </c>
      <c r="L1214">
        <f>IF(D1214=0,2*MAX(6*F1214,75),(D1214-1)*2*MAX(6*F1214,75))/1000</f>
        <v>0.15</v>
      </c>
      <c r="M1214" t="str">
        <v>=</v>
      </c>
      <c r="N1214">
        <f>J1214+L1214</f>
        <v>1.03</v>
      </c>
      <c r="T1214" t="str">
        <v>x</v>
      </c>
      <c r="U1214">
        <f>0.006165*F1214^2</f>
        <v>0.39456</v>
      </c>
      <c r="V1214" t="str">
        <v>x</v>
      </c>
      <c r="W1214">
        <f>IF(D1197&gt;4*G1195,ROUND(MAX(D1197/4,2*G1195)/H1214,0)+1,ROUND(D1197/H1214,0)+1)</f>
        <v>6</v>
      </c>
      <c r="X1214" t="str">
        <v>x</v>
      </c>
      <c r="Y1214">
        <f>D1200</f>
        <v>1</v>
      </c>
      <c r="Z1214" t="str">
        <v>=</v>
      </c>
      <c r="AA1214">
        <f>N1214*U1214*W1214*Y1214</f>
        <v>2.4383808000000005</v>
      </c>
    </row>
    <row r="1215">
      <c r="A1215" t="str">
        <f>A1194</f>
        <v>Sloof</v>
      </c>
      <c r="B1215">
        <f>B1194</f>
        <v>35</v>
      </c>
      <c r="C1215" t="str">
        <v>Sengkang Lapangan</v>
      </c>
      <c r="D1215">
        <f>VLOOKUP(D1194,'Detail Balok'!$C$10:$AU$110,36,FALSE)</f>
        <v>0</v>
      </c>
      <c r="E1215" t="str">
        <v>D</v>
      </c>
      <c r="F1215">
        <f>VLOOKUP(D1194,'Detail Balok'!$C$10:$AU$110,38,FALSE)</f>
        <v>8</v>
      </c>
      <c r="G1215" t="str">
        <v>-</v>
      </c>
      <c r="H1215">
        <f>VLOOKUP(D1194,'Detail Balok'!$C$10:$AU$110,40,FALSE)</f>
        <v>200</v>
      </c>
      <c r="J1215">
        <f>(IF(D1215=0,(2*(D1195+G1195))-(F$5*8),IF(D1215=3,(2*(D1195+G1195))-(F$5*8)+(G1195-2*F$5),IF(D1215=4,(2*(D1195+G1195))-(F$5*8)+2*(G1195-2*F$5)))))/1000</f>
        <v>0.88</v>
      </c>
      <c r="K1215" t="str">
        <v>+</v>
      </c>
      <c r="L1215">
        <f>IF(D1215=0,2*MAX(6*F1215,75),(D1215-1)*2*MAX(6*F1215,75))/1000</f>
        <v>0.15</v>
      </c>
      <c r="M1215" t="str">
        <v>=</v>
      </c>
      <c r="N1215">
        <f>J1215+L1215</f>
        <v>1.03</v>
      </c>
      <c r="T1215" t="str">
        <v>x</v>
      </c>
      <c r="U1215">
        <f>0.006165*F1215^2</f>
        <v>0.39456</v>
      </c>
      <c r="V1215" t="str">
        <v>x</v>
      </c>
      <c r="W1215">
        <f>IF(D1197-MAX(D1197/4,2*G1195)*2&gt;0,ROUND((D1197-MAX(D1197/4,2*G1195)*2)/H1215,0),0)</f>
        <v>8</v>
      </c>
      <c r="X1215" t="str">
        <v>x</v>
      </c>
      <c r="Y1215">
        <f>D1200</f>
        <v>1</v>
      </c>
      <c r="Z1215" t="str">
        <v>=</v>
      </c>
      <c r="AA1215">
        <f>N1215*U1215*W1215*Y1215</f>
        <v>3.2511744000000005</v>
      </c>
    </row>
    <row r="1216">
      <c r="A1216" t="str">
        <f>A1194</f>
        <v>Sloof</v>
      </c>
      <c r="B1216">
        <f>B1194</f>
        <v>35</v>
      </c>
      <c r="C1216" t="str">
        <v>Sengkang Tumpuan</v>
      </c>
      <c r="D1216">
        <f>VLOOKUP(D1194,'Detail Balok'!$C$10:$AU$110,41,FALSE)</f>
        <v>0</v>
      </c>
      <c r="E1216" t="str">
        <v>D</v>
      </c>
      <c r="F1216">
        <f>VLOOKUP(D1194,'Detail Balok'!$C$10:$AU$110,43,FALSE)</f>
        <v>8</v>
      </c>
      <c r="G1216" t="str">
        <v>-</v>
      </c>
      <c r="H1216">
        <f>VLOOKUP(D1194,'Detail Balok'!$C$10:$AU$110,45,FALSE)</f>
        <v>150</v>
      </c>
      <c r="J1216">
        <f>(IF(D1216=0,(2*(D1195+G1195))-(F$5*8),IF(D1216=3,(2*(D1195+G1195))-(F$5*8)+(G1195-2*F$5),IF(D1216=4,(2*(D1195+G1195))-(F$5*8)+2*(G1195-2*F$5)))))/1000</f>
        <v>0.88</v>
      </c>
      <c r="K1216" t="str">
        <v>+</v>
      </c>
      <c r="L1216">
        <f>IF(D1216=0,2*MAX(6*F1216,75),(D1216-1)*2*MAX(6*F1216,75))/1000</f>
        <v>0.15</v>
      </c>
      <c r="M1216" t="str">
        <v>=</v>
      </c>
      <c r="N1216">
        <f>J1216+L1216</f>
        <v>1.03</v>
      </c>
      <c r="T1216" t="str">
        <v>x</v>
      </c>
      <c r="U1216">
        <f>0.006165*F1216^2</f>
        <v>0.39456</v>
      </c>
      <c r="V1216" t="str">
        <v>x</v>
      </c>
      <c r="W1216">
        <f>IF(D1197&gt;4*G1195,ROUND(MAX(D1197/4,2*G1195)/H1216,0)+1,0)</f>
        <v>6</v>
      </c>
      <c r="X1216" t="str">
        <v>x</v>
      </c>
      <c r="Y1216">
        <f>D1200</f>
        <v>1</v>
      </c>
      <c r="Z1216" t="str">
        <v>=</v>
      </c>
      <c r="AA1216">
        <f>N1216*U1216*W1216*Y1216</f>
        <v>2.4383808000000005</v>
      </c>
    </row>
    <row r="1218">
      <c r="A1218" t="str">
        <f>A1194</f>
        <v>Sloof</v>
      </c>
      <c r="B1218">
        <f>B1194</f>
        <v>35</v>
      </c>
      <c r="C1218" t="str">
        <v>Kait Horizontal Tump.</v>
      </c>
      <c r="D1218">
        <f>VLOOKUP(D1194,'Detail Balok'!$C$10:$BJ$110,46,FALSE)</f>
        <v>0</v>
      </c>
      <c r="E1218" t="str">
        <v>D</v>
      </c>
      <c r="F1218">
        <f>VLOOKUP(D1194,'Detail Balok'!$C$10:$BJ$110,48,FALSE)</f>
        <v>0</v>
      </c>
      <c r="G1218" t="str">
        <v>-</v>
      </c>
      <c r="H1218">
        <f>VLOOKUP(D1194,'Detail Balok'!$C$10:$BJ$110,50,FALSE)</f>
        <v>100</v>
      </c>
      <c r="J1218">
        <f>(D1195-2*F$5)/1000</f>
        <v>0.12</v>
      </c>
      <c r="K1218" t="str">
        <v>+</v>
      </c>
      <c r="L1218">
        <f>IF(D1218=0,2*MAX(6*F1218,75),(D1218-1)*2*MAX(6*F1218,75))/1000</f>
        <v>0.15</v>
      </c>
      <c r="M1218" t="str">
        <v>=</v>
      </c>
      <c r="N1218">
        <f>J1218+L1218</f>
        <v>0.27</v>
      </c>
      <c r="T1218" t="str">
        <v>x</v>
      </c>
      <c r="U1218">
        <f>0.006165*F1218^2</f>
        <v>0</v>
      </c>
      <c r="V1218" t="str">
        <v>x</v>
      </c>
      <c r="W1218">
        <f>W1214</f>
        <v>6</v>
      </c>
      <c r="X1218" t="str">
        <v>x</v>
      </c>
      <c r="Y1218">
        <f>D1204</f>
        <v>0</v>
      </c>
      <c r="Z1218" t="str">
        <v>=</v>
      </c>
      <c r="AA1218">
        <f>N1218*U1218*W1218*Y1218</f>
        <v>0</v>
      </c>
    </row>
    <row r="1219">
      <c r="A1219" t="str">
        <f>A1194</f>
        <v>Sloof</v>
      </c>
      <c r="B1219">
        <f>B1194</f>
        <v>35</v>
      </c>
      <c r="C1219" t="str">
        <v>Kait Horizontal Lap.</v>
      </c>
      <c r="D1219">
        <f>VLOOKUP(D1194,'Detail Balok'!$C$10:$BJ$110,51,FALSE)</f>
        <v>0</v>
      </c>
      <c r="E1219" t="str">
        <v>D</v>
      </c>
      <c r="F1219">
        <f>VLOOKUP(D1194,'Detail Balok'!$C$10:$BJ$110,53,FALSE)</f>
        <v>0</v>
      </c>
      <c r="G1219" t="str">
        <v>-</v>
      </c>
      <c r="H1219">
        <f>VLOOKUP(D1194,'Detail Balok'!$C$10:$BJ$110,55,FALSE)</f>
        <v>100</v>
      </c>
      <c r="J1219">
        <f>(D1195-2*F$5)/1000</f>
        <v>0.12</v>
      </c>
      <c r="K1219" t="str">
        <v>+</v>
      </c>
      <c r="L1219">
        <f>IF(D1219=0,2*MAX(6*F1219,75),(D1219-1)*2*MAX(6*F1219,75))/1000</f>
        <v>0.15</v>
      </c>
      <c r="M1219" t="str">
        <v>=</v>
      </c>
      <c r="N1219">
        <f>J1219+L1219</f>
        <v>0.27</v>
      </c>
      <c r="T1219" t="str">
        <v>x</v>
      </c>
      <c r="U1219">
        <f>0.006165*F1219^2</f>
        <v>0</v>
      </c>
      <c r="V1219" t="str">
        <v>x</v>
      </c>
      <c r="W1219">
        <f>W1215</f>
        <v>8</v>
      </c>
      <c r="X1219" t="str">
        <v>x</v>
      </c>
      <c r="Y1219">
        <f>D1204</f>
        <v>0</v>
      </c>
      <c r="Z1219" t="str">
        <v>=</v>
      </c>
      <c r="AA1219">
        <f>N1219*U1219*W1219*Y1219</f>
        <v>0</v>
      </c>
    </row>
    <row r="1220">
      <c r="A1220" t="str">
        <f>A1194</f>
        <v>Sloof</v>
      </c>
      <c r="B1220">
        <f>B1194</f>
        <v>35</v>
      </c>
      <c r="C1220" t="str">
        <v>Kait Horizontal Tump.</v>
      </c>
      <c r="D1220">
        <f>VLOOKUP(D1194,'Detail Balok'!$C$10:$BJ$110,56,FALSE)</f>
        <v>0</v>
      </c>
      <c r="E1220" t="str">
        <v>D</v>
      </c>
      <c r="F1220">
        <f>VLOOKUP(D1194,'Detail Balok'!$C$10:$BJ$110,58,FALSE)</f>
        <v>0</v>
      </c>
      <c r="G1220" t="str">
        <v>-</v>
      </c>
      <c r="H1220">
        <f>VLOOKUP(D1194,'Detail Balok'!$C$10:$BJ$110,60,FALSE)</f>
        <v>100</v>
      </c>
      <c r="J1220">
        <f>(D1195-2*F$5)/1000</f>
        <v>0.12</v>
      </c>
      <c r="K1220" t="str">
        <v>+</v>
      </c>
      <c r="L1220">
        <f>IF(D1220=0,2*MAX(6*F1220,75),(D1220-1)*2*MAX(6*F1220,75))/1000</f>
        <v>0.15</v>
      </c>
      <c r="M1220" t="str">
        <v>=</v>
      </c>
      <c r="N1220">
        <f>J1220+L1220</f>
        <v>0.27</v>
      </c>
      <c r="T1220" t="str">
        <v>x</v>
      </c>
      <c r="U1220">
        <f>0.006165*F1220^2</f>
        <v>0</v>
      </c>
      <c r="V1220" t="str">
        <v>x</v>
      </c>
      <c r="W1220">
        <f>W1216</f>
        <v>6</v>
      </c>
      <c r="X1220" t="str">
        <v>x</v>
      </c>
      <c r="Y1220">
        <f>D1204</f>
        <v>0</v>
      </c>
      <c r="Z1220" t="str">
        <v>=</v>
      </c>
      <c r="AA1220">
        <f>N1220*U1220*W1220*Y1220</f>
        <v>0</v>
      </c>
    </row>
    <row r="1224">
      <c r="A1224" t="str">
        <f>A1194</f>
        <v>Sloof</v>
      </c>
      <c r="B1224">
        <f>B1194+1</f>
        <v>36</v>
      </c>
      <c r="C1224" t="str">
        <f>CONCATENATE(A1224," no. ",B1224)</f>
        <v>Sloof no. 36</v>
      </c>
      <c r="D1224" t="str">
        <f>VLOOKUP(C1224,'Data Panjang Balok'!$C$9:$N$424,2,FALSE)</f>
        <v>TB35-1</v>
      </c>
    </row>
    <row r="1225">
      <c r="C1225" t="str">
        <v>Dimensi</v>
      </c>
      <c r="D1225">
        <f>VLOOKUP(D1224,'Detail Balok'!$C$10:$AU$110,2,FALSE)</f>
        <v>300</v>
      </c>
      <c r="F1225" t="str">
        <v>x</v>
      </c>
      <c r="G1225">
        <f>VLOOKUP(D1224,'Detail Balok'!$C$10:$AU$110,3,FALSE)</f>
        <v>500</v>
      </c>
    </row>
    <row r="1226">
      <c r="C1226" t="str">
        <v>Panjang as ke as</v>
      </c>
      <c r="D1226">
        <f>VLOOKUP(C1224,'Data Panjang Balok'!$C$9:$N$424,4,FALSE)</f>
        <v>4600</v>
      </c>
    </row>
    <row r="1227">
      <c r="C1227" t="str">
        <v>Panjang netto</v>
      </c>
      <c r="D1227">
        <f>VLOOKUP(C1224,'Data Panjang Balok'!$C$9:$N$424,7,FALSE)</f>
        <v>4600</v>
      </c>
    </row>
    <row r="1228">
      <c r="C1228" t="str">
        <v>Kolom / balok kiri</v>
      </c>
      <c r="D1228">
        <f>VLOOKUP(C1224,'Data Panjang Balok'!$C$9:$N$424,9,FALSE)</f>
        <v>0</v>
      </c>
    </row>
    <row r="1229">
      <c r="C1229" t="str">
        <v>Kolom / balok kanan</v>
      </c>
      <c r="D1229">
        <f>VLOOKUP(C1224,'Data Panjang Balok'!$C$9:$N$424,10,FALSE)</f>
        <v>0</v>
      </c>
    </row>
    <row r="1230">
      <c r="C1230" t="str">
        <v>Jumlah</v>
      </c>
      <c r="D1230">
        <f>VLOOKUP(C1224,'Data Panjang Balok'!$C$9:$N$424,3,FALSE)</f>
        <v>1</v>
      </c>
    </row>
    <row r="1231">
      <c r="A1231" t="str">
        <f>A1224</f>
        <v>Sloof</v>
      </c>
      <c r="B1231">
        <f>B1224</f>
        <v>36</v>
      </c>
      <c r="C1231" t="str">
        <v>Tul Atas Tumpuan</v>
      </c>
      <c r="D1231">
        <f>VLOOKUP(D1224,'Detail Balok'!$C$10:$AU$110,4,FALSE)</f>
        <v>6</v>
      </c>
      <c r="E1231" t="str">
        <v>D</v>
      </c>
      <c r="F1231">
        <f>VLOOKUP(D1224,'Detail Balok'!$C$10:$AU$110,6,FALSE)</f>
        <v>16</v>
      </c>
      <c r="I1231" t="str">
        <v>(</v>
      </c>
      <c r="J1231">
        <f>+D1226/4/1000</f>
        <v>1.15</v>
      </c>
      <c r="K1231" t="str">
        <v>+</v>
      </c>
      <c r="L1231">
        <f>MAX(VLOOKUP(F1231,N$6:P$15,3,FALSE)/1000,2/3*D1228/1000)+F$16*F1231/1000</f>
        <v>0.192</v>
      </c>
      <c r="M1231" t="str">
        <v>=</v>
      </c>
      <c r="N1231">
        <f>J1231+L1231</f>
        <v>1.3419999999999999</v>
      </c>
      <c r="O1231" t="str">
        <v>+</v>
      </c>
      <c r="P1231">
        <f>D1231-D1232</f>
        <v>3</v>
      </c>
      <c r="Q1231" t="str">
        <v>x</v>
      </c>
      <c r="R1231">
        <f>IF(P1231&gt;0,$F$18*F1231/1000,0)</f>
        <v>0.24</v>
      </c>
      <c r="S1231" t="str">
        <v>)</v>
      </c>
      <c r="T1231" t="str">
        <v>x</v>
      </c>
      <c r="U1231">
        <f>0.006165*F1231^2</f>
        <v>1.57824</v>
      </c>
      <c r="X1231" t="str">
        <v>x</v>
      </c>
      <c r="Y1231">
        <f>D1230</f>
        <v>1</v>
      </c>
      <c r="Z1231" t="str">
        <v>=</v>
      </c>
      <c r="AA1231">
        <f>IF(AA1234=0,(D1231*N1231+P1231*R1231)*U1231*Y1231,0)</f>
        <v>13.84432128</v>
      </c>
    </row>
    <row r="1232">
      <c r="A1232" t="str">
        <f>A1224</f>
        <v>Sloof</v>
      </c>
      <c r="B1232">
        <f>B1224</f>
        <v>36</v>
      </c>
      <c r="C1232" t="str">
        <v>Tul Atas Lapangan</v>
      </c>
      <c r="D1232">
        <f>VLOOKUP(D1224,'Detail Balok'!$C$10:$AU$110,7,FALSE)</f>
        <v>3</v>
      </c>
      <c r="E1232" t="str">
        <v>D</v>
      </c>
      <c r="F1232">
        <f>VLOOKUP(D1224,'Detail Balok'!$C$10:$AU$110,9,FALSE)</f>
        <v>16</v>
      </c>
      <c r="I1232" t="str">
        <v>(</v>
      </c>
      <c r="J1232">
        <f>+D1226/2/1000</f>
        <v>2.3</v>
      </c>
      <c r="K1232" t="str">
        <v>+</v>
      </c>
      <c r="M1232" t="str">
        <v>=</v>
      </c>
      <c r="N1232">
        <f>J1232+L1232</f>
        <v>2.3</v>
      </c>
      <c r="O1232" t="str">
        <v>+</v>
      </c>
      <c r="P1232">
        <f>MAX(D1232-D1231,D1232-D1233)</f>
        <v>-3</v>
      </c>
      <c r="Q1232" t="str">
        <v>x</v>
      </c>
      <c r="R1232">
        <f>IF(P1232&gt;0,2*(1-2*$F$19-1/2)*D1227/1000,0)</f>
        <v>0</v>
      </c>
      <c r="S1232" t="str">
        <v>)</v>
      </c>
      <c r="T1232" t="str">
        <v>x</v>
      </c>
      <c r="U1232">
        <f>0.006165*F1232^2</f>
        <v>1.57824</v>
      </c>
      <c r="X1232" t="str">
        <v>x</v>
      </c>
      <c r="Y1232">
        <f>D1230</f>
        <v>1</v>
      </c>
      <c r="Z1232" t="str">
        <v>=</v>
      </c>
      <c r="AA1232">
        <f>IF(AA1234=0,(D1232*N1232+P1232*R1232)*U1232*Y1232,0)</f>
        <v>10.889856</v>
      </c>
    </row>
    <row r="1233">
      <c r="A1233" t="str">
        <f>A1224</f>
        <v>Sloof</v>
      </c>
      <c r="B1233">
        <f>B1224</f>
        <v>36</v>
      </c>
      <c r="C1233" t="str">
        <v>Tul Atas Tumpuan</v>
      </c>
      <c r="D1233">
        <f>VLOOKUP(D1224,'Detail Balok'!$C$10:$AU$110,10,FALSE)</f>
        <v>6</v>
      </c>
      <c r="E1233" t="str">
        <v>D</v>
      </c>
      <c r="F1233">
        <f>VLOOKUP(D1224,'Detail Balok'!$C$10:$AU$110,12,FALSE)</f>
        <v>16</v>
      </c>
      <c r="I1233" t="str">
        <v>(</v>
      </c>
      <c r="J1233">
        <f>+D1226/4/1000</f>
        <v>1.15</v>
      </c>
      <c r="K1233" t="str">
        <v>+</v>
      </c>
      <c r="L1233">
        <f>MAX(VLOOKUP(F1233,N$6:P$15,3,FALSE)/1000,2/3*D1228/1000)+F$16*F1233/1000</f>
        <v>0.192</v>
      </c>
      <c r="M1233" t="str">
        <v>=</v>
      </c>
      <c r="N1233">
        <f>J1233+L1233</f>
        <v>1.3419999999999999</v>
      </c>
      <c r="O1233" t="str">
        <v>+</v>
      </c>
      <c r="P1233">
        <f>D1233-D1232</f>
        <v>3</v>
      </c>
      <c r="Q1233" t="str">
        <v>x</v>
      </c>
      <c r="R1233">
        <f>IF(P1233&gt;0,$F$18*F1233/1000,0)</f>
        <v>0.24</v>
      </c>
      <c r="S1233" t="str">
        <v>)</v>
      </c>
      <c r="T1233" t="str">
        <v>x</v>
      </c>
      <c r="U1233">
        <f>0.006165*F1233^2</f>
        <v>1.57824</v>
      </c>
      <c r="X1233" t="str">
        <v>x</v>
      </c>
      <c r="Y1233">
        <f>D1230</f>
        <v>1</v>
      </c>
      <c r="Z1233" t="str">
        <v>=</v>
      </c>
      <c r="AA1233">
        <f>IF(AA1234=0,(D1233*N1233+P1233*R1233)*U1233*Y1233,0)</f>
        <v>13.84432128</v>
      </c>
    </row>
    <row r="1234">
      <c r="A1234" t="str">
        <f>A1224</f>
        <v>Sloof</v>
      </c>
      <c r="B1234">
        <f>B1224</f>
        <v>36</v>
      </c>
      <c r="D1234">
        <f>IF(AND(D1231=D1232,D1232=D1233,D1231=D1233),D1231,0)</f>
        <v>0</v>
      </c>
      <c r="E1234" t="str">
        <v>D</v>
      </c>
      <c r="F1234">
        <f>IF(AND(F1231=F1232,F1231=F1233,F1232=F1233),F1231,0)</f>
        <v>16</v>
      </c>
      <c r="L1234" t="str">
        <v>Total panjang per balok</v>
      </c>
      <c r="M1234" t="str">
        <v>=</v>
      </c>
      <c r="N1234">
        <f>IF(AND(D1231=D1232,D1231=D1233,D1232=D1233,F1231=F1232,F1231=F1233,F1232=F1233),SUM(N1231:N1233),0)</f>
        <v>0</v>
      </c>
      <c r="O1234" t="str">
        <v>+</v>
      </c>
      <c r="P1234">
        <f>IF(N1234&gt;12,ROUNDDOWN(N1234/12,0),0)</f>
        <v>0</v>
      </c>
      <c r="Q1234" t="str">
        <v>x</v>
      </c>
      <c r="R1234">
        <f>IF(P1234&gt;0,MAX(VLOOKUP(F1234,$D$6:$G$15,3,FALSE),600),0)/1000</f>
        <v>0</v>
      </c>
      <c r="T1234" t="str">
        <v>x</v>
      </c>
      <c r="U1234">
        <f>U1233</f>
        <v>1.57824</v>
      </c>
      <c r="V1234" t="str">
        <v>x</v>
      </c>
      <c r="W1234">
        <f>D1234</f>
        <v>0</v>
      </c>
      <c r="X1234" t="str">
        <v>x</v>
      </c>
      <c r="Y1234">
        <f>Y1233</f>
        <v>1</v>
      </c>
      <c r="Z1234" t="str">
        <v>=</v>
      </c>
      <c r="AA1234">
        <f>(N1234+P1234*R1234/1000)*U1234*W1234*Y1234</f>
        <v>0</v>
      </c>
    </row>
    <row r="1236">
      <c r="A1236" t="str">
        <f>A1224</f>
        <v>Sloof</v>
      </c>
      <c r="B1236">
        <f>B1224</f>
        <v>36</v>
      </c>
      <c r="C1236" t="str">
        <v>Tul Peminggang</v>
      </c>
      <c r="D1236">
        <f>VLOOKUP(D1224,'Detail Balok'!$C$10:$AU$110,13,FALSE)</f>
        <v>2</v>
      </c>
      <c r="E1236" t="str">
        <v>D</v>
      </c>
      <c r="F1236">
        <f>VLOOKUP(D1224,'Detail Balok'!$C$10:$AU$110,15,FALSE)</f>
        <v>10</v>
      </c>
      <c r="J1236">
        <f>+D1226/1000</f>
        <v>4.6</v>
      </c>
      <c r="K1236" t="str">
        <v>+</v>
      </c>
      <c r="L1236">
        <f>2*$F$16*F1236/1000</f>
        <v>0.24</v>
      </c>
      <c r="M1236" t="str">
        <v>=</v>
      </c>
      <c r="N1236">
        <f>J1236+L1236</f>
        <v>4.84</v>
      </c>
      <c r="O1236" t="str">
        <v>+</v>
      </c>
      <c r="P1236">
        <f>IF(N1236&gt;12,ROUNDDOWN(N1236/12,0),0)</f>
        <v>0</v>
      </c>
      <c r="Q1236" t="str">
        <v>x</v>
      </c>
      <c r="R1236">
        <f>IF(P1236&gt;0,MAX(VLOOKUP(F1236,$D$6:$G$15,3,FALSE),600),0)/1000</f>
        <v>0</v>
      </c>
      <c r="T1236" t="str">
        <v>x</v>
      </c>
      <c r="U1236">
        <f>0.006165*F1236^2</f>
        <v>0.6165</v>
      </c>
      <c r="V1236" t="str">
        <v>x</v>
      </c>
      <c r="W1236">
        <f>+D1236</f>
        <v>2</v>
      </c>
      <c r="X1236" t="str">
        <v>x</v>
      </c>
      <c r="Y1236">
        <f>D1230</f>
        <v>1</v>
      </c>
      <c r="Z1236" t="str">
        <v>=</v>
      </c>
      <c r="AA1236">
        <f>(N1236+P1236*R1236/1000)*U1236*W1236*Y1236</f>
        <v>5.96772</v>
      </c>
    </row>
    <row r="1239">
      <c r="A1239" t="str">
        <f>A1224</f>
        <v>Sloof</v>
      </c>
      <c r="B1239">
        <f>B1224</f>
        <v>36</v>
      </c>
      <c r="C1239" t="str">
        <v>Tul Bawah Tumpuan</v>
      </c>
      <c r="D1239">
        <f>VLOOKUP(D1224,'Detail Balok'!$C$10:$AU$110,22,FALSE)</f>
        <v>3</v>
      </c>
      <c r="E1239" t="str">
        <v>D</v>
      </c>
      <c r="F1239">
        <f>VLOOKUP(D1224,'Detail Balok'!$C$10:$AU$110,24,FALSE)</f>
        <v>16</v>
      </c>
      <c r="I1239" t="str">
        <v>(</v>
      </c>
      <c r="J1239">
        <f>+J1231</f>
        <v>1.15</v>
      </c>
      <c r="K1239" t="str">
        <v>+</v>
      </c>
      <c r="L1239">
        <f>MAX(VLOOKUP(F1239,N$6:P$15,3,FALSE)/1000,2/3*D1229/1000)+F$16*F1239/1000</f>
        <v>0.192</v>
      </c>
      <c r="M1239" t="str">
        <v>=</v>
      </c>
      <c r="N1239">
        <f>J1239+L1239</f>
        <v>1.3419999999999999</v>
      </c>
      <c r="O1239" t="str">
        <v>+</v>
      </c>
      <c r="P1239">
        <f>D1239-D1240</f>
        <v>-2</v>
      </c>
      <c r="Q1239" t="str">
        <v>x</v>
      </c>
      <c r="R1239">
        <f>IF(P1239&gt;0,$F$18*F1239/1000,0)</f>
        <v>0</v>
      </c>
      <c r="S1239" t="str">
        <v>)</v>
      </c>
      <c r="T1239" t="str">
        <v>x</v>
      </c>
      <c r="U1239">
        <f>0.006165*F1239^2</f>
        <v>1.57824</v>
      </c>
      <c r="X1239" t="str">
        <v>x</v>
      </c>
      <c r="Y1239">
        <f>D1230</f>
        <v>1</v>
      </c>
      <c r="Z1239" t="str">
        <v>=</v>
      </c>
      <c r="AA1239">
        <f>IF(AA1242=0,(D1239*N1239+P1239*R1239)*U1239*Y1239,0)</f>
        <v>6.3539942400000005</v>
      </c>
    </row>
    <row r="1240">
      <c r="A1240" t="str">
        <f>A1224</f>
        <v>Sloof</v>
      </c>
      <c r="B1240">
        <f>B1224</f>
        <v>36</v>
      </c>
      <c r="C1240" t="str">
        <v>Tul Bawah Lapangan</v>
      </c>
      <c r="D1240">
        <f>VLOOKUP(D1224,'Detail Balok'!$C$10:$AU$110,25,FALSE)</f>
        <v>5</v>
      </c>
      <c r="E1240" t="str">
        <v>D</v>
      </c>
      <c r="F1240">
        <f>VLOOKUP(D1224,'Detail Balok'!$C$10:$AU$110,27,FALSE)</f>
        <v>16</v>
      </c>
      <c r="I1240" t="str">
        <v>(</v>
      </c>
      <c r="J1240">
        <f>+J1232</f>
        <v>2.3</v>
      </c>
      <c r="K1240" t="str">
        <v>+</v>
      </c>
      <c r="M1240" t="str">
        <v>=</v>
      </c>
      <c r="N1240">
        <f>J1240+L1240</f>
        <v>2.3</v>
      </c>
      <c r="O1240" t="str">
        <v>+</v>
      </c>
      <c r="P1240">
        <f>MAX(D1240-D1239,D1240-D1241)</f>
        <v>2</v>
      </c>
      <c r="Q1240" t="str">
        <v>x</v>
      </c>
      <c r="R1240">
        <f>IF(P1240&gt;0,2*(1-2*$F$19-1/2)*D1227/1000,0)</f>
        <v>0.9199999999999998</v>
      </c>
      <c r="S1240" t="str">
        <v>)</v>
      </c>
      <c r="T1240" t="str">
        <v>x</v>
      </c>
      <c r="U1240">
        <f>0.006165*F1240^2</f>
        <v>1.57824</v>
      </c>
      <c r="X1240" t="str">
        <v>x</v>
      </c>
      <c r="Y1240">
        <f>D1230</f>
        <v>1</v>
      </c>
      <c r="Z1240" t="str">
        <v>=</v>
      </c>
      <c r="AA1240">
        <f>IF(AA1242=0,(D1240*N1240+P1240*R1240)*U1240*Y1240,0)</f>
        <v>21.0537216</v>
      </c>
    </row>
    <row r="1241">
      <c r="A1241" t="str">
        <f>A1224</f>
        <v>Sloof</v>
      </c>
      <c r="B1241">
        <f>B1224</f>
        <v>36</v>
      </c>
      <c r="C1241" t="str">
        <v>Tul Bawah Tumpuan</v>
      </c>
      <c r="D1241">
        <f>VLOOKUP(D1224,'Detail Balok'!$C$10:$AU$110,28,FALSE)</f>
        <v>3</v>
      </c>
      <c r="E1241" t="str">
        <v>D</v>
      </c>
      <c r="F1241">
        <f>VLOOKUP(D1224,'Detail Balok'!$C$10:$AU$110,30,FALSE)</f>
        <v>16</v>
      </c>
      <c r="I1241" t="str">
        <v>(</v>
      </c>
      <c r="J1241">
        <f>+J1233</f>
        <v>1.15</v>
      </c>
      <c r="K1241" t="str">
        <v>+</v>
      </c>
      <c r="L1241">
        <f>MAX(VLOOKUP(F1241,N$6:P$15,3,FALSE)/1000,2/3*D1229/1000)+F$16*F1241/1000</f>
        <v>0.192</v>
      </c>
      <c r="M1241" t="str">
        <v>=</v>
      </c>
      <c r="N1241">
        <f>J1241+L1241</f>
        <v>1.3419999999999999</v>
      </c>
      <c r="O1241" t="str">
        <v>+</v>
      </c>
      <c r="P1241">
        <f>D1241-D1240</f>
        <v>-2</v>
      </c>
      <c r="Q1241" t="str">
        <v>x</v>
      </c>
      <c r="R1241">
        <f>IF(P1241&gt;0,$F$18*F1241/1000,0)</f>
        <v>0</v>
      </c>
      <c r="S1241" t="str">
        <v>)</v>
      </c>
      <c r="T1241" t="str">
        <v>x</v>
      </c>
      <c r="U1241">
        <f>0.006165*F1241^2</f>
        <v>1.57824</v>
      </c>
      <c r="X1241" t="str">
        <v>x</v>
      </c>
      <c r="Y1241">
        <f>D1230</f>
        <v>1</v>
      </c>
      <c r="Z1241" t="str">
        <v>=</v>
      </c>
      <c r="AA1241">
        <f>IF(AA1242=0,(D1241*N1241+P1241*R1241)*U1241*Y1241,0)</f>
        <v>6.3539942400000005</v>
      </c>
    </row>
    <row r="1242">
      <c r="A1242" t="str">
        <f>A1224</f>
        <v>Sloof</v>
      </c>
      <c r="B1242">
        <f>B1224</f>
        <v>36</v>
      </c>
      <c r="D1242">
        <f>IF(AND(D1239=D1240,D1240=D1241,D1239=D1241),D1239,0)</f>
        <v>0</v>
      </c>
      <c r="E1242" t="str">
        <v>D</v>
      </c>
      <c r="F1242">
        <f>IF(AND(F1239=F1240,F1239=F1241,F1240=F1241),F1239,0)</f>
        <v>16</v>
      </c>
      <c r="L1242" t="str">
        <v>Total panjang per balok</v>
      </c>
      <c r="M1242" t="str">
        <v>=</v>
      </c>
      <c r="N1242">
        <f>IF(AND(D1239=D1240,D1239=D1241,D1240=D1241,F1239=F1240,F1239=F1241,F1240=F1241),SUM(N1239:N1241),0)</f>
        <v>0</v>
      </c>
      <c r="O1242" t="str">
        <v>+</v>
      </c>
      <c r="P1242">
        <f>IF(N1242&gt;12,ROUNDDOWN(N1242/12,0),0)</f>
        <v>0</v>
      </c>
      <c r="Q1242" t="str">
        <v>x</v>
      </c>
      <c r="R1242">
        <f>IF(P1242&gt;0,MAX(VLOOKUP(F1242,$D$6:$G$15,3,FALSE),600),0)/1000</f>
        <v>0</v>
      </c>
      <c r="T1242" t="str">
        <v>x</v>
      </c>
      <c r="U1242">
        <f>U1241</f>
        <v>1.57824</v>
      </c>
      <c r="V1242" t="str">
        <v>x</v>
      </c>
      <c r="W1242">
        <f>D1242</f>
        <v>0</v>
      </c>
      <c r="X1242" t="str">
        <v>x</v>
      </c>
      <c r="Y1242">
        <f>Y1241</f>
        <v>1</v>
      </c>
      <c r="Z1242" t="str">
        <v>=</v>
      </c>
      <c r="AA1242">
        <f>(N1242+P1242*R1242/1000)*U1242*W1242*Y1242</f>
        <v>0</v>
      </c>
    </row>
    <row r="1244">
      <c r="A1244" t="str">
        <f>A1224</f>
        <v>Sloof</v>
      </c>
      <c r="B1244">
        <f>B1224</f>
        <v>36</v>
      </c>
      <c r="C1244" t="str">
        <v>Sengkang Tumpuan</v>
      </c>
      <c r="D1244">
        <f>VLOOKUP(D1224,'Detail Balok'!$C$10:$AU$110,31,FALSE)</f>
        <v>0</v>
      </c>
      <c r="E1244" t="str">
        <v>D</v>
      </c>
      <c r="F1244">
        <f>VLOOKUP(D1224,'Detail Balok'!$C$10:$AU$110,33,FALSE)</f>
        <v>10</v>
      </c>
      <c r="G1244" t="str">
        <v>-</v>
      </c>
      <c r="H1244">
        <f>VLOOKUP(D1224,'Detail Balok'!$C$10:$AU$110,35,FALSE)</f>
        <v>200</v>
      </c>
      <c r="J1244">
        <f>(IF(D1244=0,(2*(D1225+G1225))-(F$5*8),IF(D1244=3,(2*(D1225+G1225))-(F$5*8)+(G1225-2*F$5),IF(D1244=4,(2*(D1225+G1225))-(F$5*8)+2*(G1225-2*F$5)))))/1000</f>
        <v>1.28</v>
      </c>
      <c r="K1244" t="str">
        <v>+</v>
      </c>
      <c r="L1244">
        <f>IF(D1244=0,2*MAX(6*F1244,75),(D1244-1)*2*MAX(6*F1244,75))/1000</f>
        <v>0.15</v>
      </c>
      <c r="M1244" t="str">
        <v>=</v>
      </c>
      <c r="N1244">
        <f>J1244+L1244</f>
        <v>1.43</v>
      </c>
      <c r="T1244" t="str">
        <v>x</v>
      </c>
      <c r="U1244">
        <f>0.006165*F1244^2</f>
        <v>0.6165</v>
      </c>
      <c r="V1244" t="str">
        <v>x</v>
      </c>
      <c r="W1244">
        <f>IF(D1227&gt;4*G1225,ROUND(MAX(D1227/4,2*G1225)/H1244,0)+1,ROUND(D1227/H1244,0)+1)</f>
        <v>7</v>
      </c>
      <c r="X1244" t="str">
        <v>x</v>
      </c>
      <c r="Y1244">
        <f>D1230</f>
        <v>1</v>
      </c>
      <c r="Z1244" t="str">
        <v>=</v>
      </c>
      <c r="AA1244">
        <f>N1244*U1244*W1244*Y1244</f>
        <v>6.171165</v>
      </c>
    </row>
    <row r="1245">
      <c r="A1245" t="str">
        <f>A1224</f>
        <v>Sloof</v>
      </c>
      <c r="B1245">
        <f>B1224</f>
        <v>36</v>
      </c>
      <c r="C1245" t="str">
        <v>Sengkang Lapangan</v>
      </c>
      <c r="D1245">
        <f>VLOOKUP(D1224,'Detail Balok'!$C$10:$AU$110,36,FALSE)</f>
        <v>0</v>
      </c>
      <c r="E1245" t="str">
        <v>D</v>
      </c>
      <c r="F1245">
        <f>VLOOKUP(D1224,'Detail Balok'!$C$10:$AU$110,38,FALSE)</f>
        <v>10</v>
      </c>
      <c r="G1245" t="str">
        <v>-</v>
      </c>
      <c r="H1245">
        <f>VLOOKUP(D1224,'Detail Balok'!$C$10:$AU$110,40,FALSE)</f>
        <v>200</v>
      </c>
      <c r="J1245">
        <f>(IF(D1245=0,(2*(D1225+G1225))-(F$5*8),IF(D1245=3,(2*(D1225+G1225))-(F$5*8)+(G1225-2*F$5),IF(D1245=4,(2*(D1225+G1225))-(F$5*8)+2*(G1225-2*F$5)))))/1000</f>
        <v>1.28</v>
      </c>
      <c r="K1245" t="str">
        <v>+</v>
      </c>
      <c r="L1245">
        <f>IF(D1245=0,2*MAX(6*F1245,75),(D1245-1)*2*MAX(6*F1245,75))/1000</f>
        <v>0.15</v>
      </c>
      <c r="M1245" t="str">
        <v>=</v>
      </c>
      <c r="N1245">
        <f>J1245+L1245</f>
        <v>1.43</v>
      </c>
      <c r="T1245" t="str">
        <v>x</v>
      </c>
      <c r="U1245">
        <f>0.006165*F1245^2</f>
        <v>0.6165</v>
      </c>
      <c r="V1245" t="str">
        <v>x</v>
      </c>
      <c r="W1245">
        <f>IF(D1227-MAX(D1227/4,2*G1225)*2&gt;0,ROUND((D1227-MAX(D1227/4,2*G1225)*2)/H1245,0),0)</f>
        <v>12</v>
      </c>
      <c r="X1245" t="str">
        <v>x</v>
      </c>
      <c r="Y1245">
        <f>D1230</f>
        <v>1</v>
      </c>
      <c r="Z1245" t="str">
        <v>=</v>
      </c>
      <c r="AA1245">
        <f>N1245*U1245*W1245*Y1245</f>
        <v>10.57914</v>
      </c>
    </row>
    <row r="1246">
      <c r="A1246" t="str">
        <f>A1224</f>
        <v>Sloof</v>
      </c>
      <c r="B1246">
        <f>B1224</f>
        <v>36</v>
      </c>
      <c r="C1246" t="str">
        <v>Sengkang Tumpuan</v>
      </c>
      <c r="D1246">
        <f>VLOOKUP(D1224,'Detail Balok'!$C$10:$AU$110,41,FALSE)</f>
        <v>0</v>
      </c>
      <c r="E1246" t="str">
        <v>D</v>
      </c>
      <c r="F1246">
        <f>VLOOKUP(D1224,'Detail Balok'!$C$10:$AU$110,43,FALSE)</f>
        <v>10</v>
      </c>
      <c r="G1246" t="str">
        <v>-</v>
      </c>
      <c r="H1246">
        <f>VLOOKUP(D1224,'Detail Balok'!$C$10:$AU$110,45,FALSE)</f>
        <v>200</v>
      </c>
      <c r="J1246">
        <f>(IF(D1246=0,(2*(D1225+G1225))-(F$5*8),IF(D1246=3,(2*(D1225+G1225))-(F$5*8)+(G1225-2*F$5),IF(D1246=4,(2*(D1225+G1225))-(F$5*8)+2*(G1225-2*F$5)))))/1000</f>
        <v>1.28</v>
      </c>
      <c r="K1246" t="str">
        <v>+</v>
      </c>
      <c r="L1246">
        <f>IF(D1246=0,2*MAX(6*F1246,75),(D1246-1)*2*MAX(6*F1246,75))/1000</f>
        <v>0.15</v>
      </c>
      <c r="M1246" t="str">
        <v>=</v>
      </c>
      <c r="N1246">
        <f>J1246+L1246</f>
        <v>1.43</v>
      </c>
      <c r="T1246" t="str">
        <v>x</v>
      </c>
      <c r="U1246">
        <f>0.006165*F1246^2</f>
        <v>0.6165</v>
      </c>
      <c r="V1246" t="str">
        <v>x</v>
      </c>
      <c r="W1246">
        <f>IF(D1227&gt;4*G1225,ROUND(MAX(D1227/4,2*G1225)/H1246,0)+1,0)</f>
        <v>7</v>
      </c>
      <c r="X1246" t="str">
        <v>x</v>
      </c>
      <c r="Y1246">
        <f>D1230</f>
        <v>1</v>
      </c>
      <c r="Z1246" t="str">
        <v>=</v>
      </c>
      <c r="AA1246">
        <f>N1246*U1246*W1246*Y1246</f>
        <v>6.171165</v>
      </c>
    </row>
    <row r="1248">
      <c r="A1248" t="str">
        <f>A1224</f>
        <v>Sloof</v>
      </c>
      <c r="B1248">
        <f>B1224</f>
        <v>36</v>
      </c>
      <c r="C1248" t="str">
        <v>Kait Horizontal Tump.</v>
      </c>
      <c r="D1248">
        <f>VLOOKUP(D1224,'Detail Balok'!$C$10:$BJ$110,46,FALSE)</f>
        <v>0</v>
      </c>
      <c r="E1248" t="str">
        <v>D</v>
      </c>
      <c r="F1248">
        <f>VLOOKUP(D1224,'Detail Balok'!$C$10:$BJ$110,48,FALSE)</f>
        <v>0</v>
      </c>
      <c r="G1248" t="str">
        <v>-</v>
      </c>
      <c r="H1248">
        <f>VLOOKUP(D1224,'Detail Balok'!$C$10:$BJ$110,50,FALSE)</f>
        <v>100</v>
      </c>
      <c r="J1248">
        <f>(D1225-2*F$5)/1000</f>
        <v>0.22</v>
      </c>
      <c r="K1248" t="str">
        <v>+</v>
      </c>
      <c r="L1248">
        <f>IF(D1248=0,2*MAX(6*F1248,75),(D1248-1)*2*MAX(6*F1248,75))/1000</f>
        <v>0.15</v>
      </c>
      <c r="M1248" t="str">
        <v>=</v>
      </c>
      <c r="N1248">
        <f>J1248+L1248</f>
        <v>0.37</v>
      </c>
      <c r="T1248" t="str">
        <v>x</v>
      </c>
      <c r="U1248">
        <f>0.006165*F1248^2</f>
        <v>0</v>
      </c>
      <c r="V1248" t="str">
        <v>x</v>
      </c>
      <c r="W1248">
        <f>W1244</f>
        <v>7</v>
      </c>
      <c r="X1248" t="str">
        <v>x</v>
      </c>
      <c r="Y1248">
        <f>D1234</f>
        <v>0</v>
      </c>
      <c r="Z1248" t="str">
        <v>=</v>
      </c>
      <c r="AA1248">
        <f>N1248*U1248*W1248*Y1248</f>
        <v>0</v>
      </c>
    </row>
    <row r="1249">
      <c r="A1249" t="str">
        <f>A1224</f>
        <v>Sloof</v>
      </c>
      <c r="B1249">
        <f>B1224</f>
        <v>36</v>
      </c>
      <c r="C1249" t="str">
        <v>Kait Horizontal Lap.</v>
      </c>
      <c r="D1249">
        <f>VLOOKUP(D1224,'Detail Balok'!$C$10:$BJ$110,51,FALSE)</f>
        <v>0</v>
      </c>
      <c r="E1249" t="str">
        <v>D</v>
      </c>
      <c r="F1249">
        <f>VLOOKUP(D1224,'Detail Balok'!$C$10:$BJ$110,53,FALSE)</f>
        <v>0</v>
      </c>
      <c r="G1249" t="str">
        <v>-</v>
      </c>
      <c r="H1249">
        <f>VLOOKUP(D1224,'Detail Balok'!$C$10:$BJ$110,55,FALSE)</f>
        <v>100</v>
      </c>
      <c r="J1249">
        <f>(D1225-2*F$5)/1000</f>
        <v>0.22</v>
      </c>
      <c r="K1249" t="str">
        <v>+</v>
      </c>
      <c r="L1249">
        <f>IF(D1249=0,2*MAX(6*F1249,75),(D1249-1)*2*MAX(6*F1249,75))/1000</f>
        <v>0.15</v>
      </c>
      <c r="M1249" t="str">
        <v>=</v>
      </c>
      <c r="N1249">
        <f>J1249+L1249</f>
        <v>0.37</v>
      </c>
      <c r="T1249" t="str">
        <v>x</v>
      </c>
      <c r="U1249">
        <f>0.006165*F1249^2</f>
        <v>0</v>
      </c>
      <c r="V1249" t="str">
        <v>x</v>
      </c>
      <c r="W1249">
        <f>W1245</f>
        <v>12</v>
      </c>
      <c r="X1249" t="str">
        <v>x</v>
      </c>
      <c r="Y1249">
        <f>D1234</f>
        <v>0</v>
      </c>
      <c r="Z1249" t="str">
        <v>=</v>
      </c>
      <c r="AA1249">
        <f>N1249*U1249*W1249*Y1249</f>
        <v>0</v>
      </c>
    </row>
    <row r="1250">
      <c r="A1250" t="str">
        <f>A1224</f>
        <v>Sloof</v>
      </c>
      <c r="B1250">
        <f>B1224</f>
        <v>36</v>
      </c>
      <c r="C1250" t="str">
        <v>Kait Horizontal Tump.</v>
      </c>
      <c r="D1250">
        <f>VLOOKUP(D1224,'Detail Balok'!$C$10:$BJ$110,56,FALSE)</f>
        <v>0</v>
      </c>
      <c r="E1250" t="str">
        <v>D</v>
      </c>
      <c r="F1250">
        <f>VLOOKUP(D1224,'Detail Balok'!$C$10:$BJ$110,58,FALSE)</f>
        <v>0</v>
      </c>
      <c r="G1250" t="str">
        <v>-</v>
      </c>
      <c r="H1250">
        <f>VLOOKUP(D1224,'Detail Balok'!$C$10:$BJ$110,60,FALSE)</f>
        <v>100</v>
      </c>
      <c r="J1250">
        <f>(D1225-2*F$5)/1000</f>
        <v>0.22</v>
      </c>
      <c r="K1250" t="str">
        <v>+</v>
      </c>
      <c r="L1250">
        <f>IF(D1250=0,2*MAX(6*F1250,75),(D1250-1)*2*MAX(6*F1250,75))/1000</f>
        <v>0.15</v>
      </c>
      <c r="M1250" t="str">
        <v>=</v>
      </c>
      <c r="N1250">
        <f>J1250+L1250</f>
        <v>0.37</v>
      </c>
      <c r="T1250" t="str">
        <v>x</v>
      </c>
      <c r="U1250">
        <f>0.006165*F1250^2</f>
        <v>0</v>
      </c>
      <c r="V1250" t="str">
        <v>x</v>
      </c>
      <c r="W1250">
        <f>W1246</f>
        <v>7</v>
      </c>
      <c r="X1250" t="str">
        <v>x</v>
      </c>
      <c r="Y1250">
        <f>D1234</f>
        <v>0</v>
      </c>
      <c r="Z1250" t="str">
        <v>=</v>
      </c>
      <c r="AA1250">
        <f>N1250*U1250*W1250*Y1250</f>
        <v>0</v>
      </c>
    </row>
    <row r="1254">
      <c r="A1254" t="str">
        <f>A1224</f>
        <v>Sloof</v>
      </c>
      <c r="B1254">
        <f>B1224+1</f>
        <v>37</v>
      </c>
      <c r="C1254" t="str">
        <f>CONCATENATE(A1254," no. ",B1254)</f>
        <v>Sloof no. 37</v>
      </c>
      <c r="D1254" t="str">
        <f>VLOOKUP(C1254,'Data Panjang Balok'!$C$9:$N$424,2,FALSE)</f>
        <v>TB36-1</v>
      </c>
    </row>
    <row r="1255">
      <c r="C1255" t="str">
        <v>Dimensi</v>
      </c>
      <c r="D1255">
        <f>VLOOKUP(D1254,'Detail Balok'!$C$10:$AU$110,2,FALSE)</f>
        <v>300</v>
      </c>
      <c r="F1255" t="str">
        <v>x</v>
      </c>
      <c r="G1255">
        <f>VLOOKUP(D1254,'Detail Balok'!$C$10:$AU$110,3,FALSE)</f>
        <v>600</v>
      </c>
    </row>
    <row r="1256">
      <c r="C1256" t="str">
        <v>Panjang as ke as</v>
      </c>
      <c r="D1256">
        <f>VLOOKUP(C1254,'Data Panjang Balok'!$C$9:$N$424,4,FALSE)</f>
        <v>6500</v>
      </c>
    </row>
    <row r="1257">
      <c r="C1257" t="str">
        <v>Panjang netto</v>
      </c>
      <c r="D1257">
        <f>VLOOKUP(C1254,'Data Panjang Balok'!$C$9:$N$424,7,FALSE)</f>
        <v>6500</v>
      </c>
    </row>
    <row r="1258">
      <c r="C1258" t="str">
        <v>Kolom / balok kiri</v>
      </c>
      <c r="D1258">
        <f>VLOOKUP(C1254,'Data Panjang Balok'!$C$9:$N$424,9,FALSE)</f>
        <v>0</v>
      </c>
    </row>
    <row r="1259">
      <c r="C1259" t="str">
        <v>Kolom / balok kanan</v>
      </c>
      <c r="D1259">
        <f>VLOOKUP(C1254,'Data Panjang Balok'!$C$9:$N$424,10,FALSE)</f>
        <v>0</v>
      </c>
    </row>
    <row r="1260">
      <c r="C1260" t="str">
        <v>Jumlah</v>
      </c>
      <c r="D1260">
        <f>VLOOKUP(C1254,'Data Panjang Balok'!$C$9:$N$424,3,FALSE)</f>
        <v>1</v>
      </c>
    </row>
    <row r="1261">
      <c r="A1261" t="str">
        <f>A1254</f>
        <v>Sloof</v>
      </c>
      <c r="B1261">
        <f>B1254</f>
        <v>37</v>
      </c>
      <c r="C1261" t="str">
        <v>Tul Atas Tumpuan</v>
      </c>
      <c r="D1261">
        <f>VLOOKUP(D1254,'Detail Balok'!$C$10:$AU$110,4,FALSE)</f>
        <v>7</v>
      </c>
      <c r="E1261" t="str">
        <v>D</v>
      </c>
      <c r="F1261">
        <f>VLOOKUP(D1254,'Detail Balok'!$C$10:$AU$110,6,FALSE)</f>
        <v>19</v>
      </c>
      <c r="I1261" t="str">
        <v>(</v>
      </c>
      <c r="J1261">
        <f>+D1256/4/1000</f>
        <v>1.625</v>
      </c>
      <c r="K1261" t="str">
        <v>+</v>
      </c>
      <c r="L1261">
        <f>MAX(VLOOKUP(F1261,N$6:P$15,3,FALSE)/1000,2/3*D1258/1000)+F$16*F1261/1000</f>
        <v>0.228</v>
      </c>
      <c r="M1261" t="str">
        <v>=</v>
      </c>
      <c r="N1261">
        <f>J1261+L1261</f>
        <v>1.853</v>
      </c>
      <c r="O1261" t="str">
        <v>+</v>
      </c>
      <c r="P1261">
        <f>D1261-D1262</f>
        <v>3</v>
      </c>
      <c r="Q1261" t="str">
        <v>x</v>
      </c>
      <c r="R1261">
        <f>IF(P1261&gt;0,$F$18*F1261/1000,0)</f>
        <v>0.285</v>
      </c>
      <c r="S1261" t="str">
        <v>)</v>
      </c>
      <c r="T1261" t="str">
        <v>x</v>
      </c>
      <c r="U1261">
        <f>0.006165*F1261^2</f>
        <v>2.225565</v>
      </c>
      <c r="X1261" t="str">
        <v>x</v>
      </c>
      <c r="Y1261">
        <f>D1260</f>
        <v>1</v>
      </c>
      <c r="Z1261" t="str">
        <v>=</v>
      </c>
      <c r="AA1261">
        <f>IF(AA1264=0,(D1261*N1261+P1261*R1261)*U1261*Y1261,0)</f>
        <v>30.77066169</v>
      </c>
    </row>
    <row r="1262">
      <c r="A1262" t="str">
        <f>A1254</f>
        <v>Sloof</v>
      </c>
      <c r="B1262">
        <f>B1254</f>
        <v>37</v>
      </c>
      <c r="C1262" t="str">
        <v>Tul Atas Lapangan</v>
      </c>
      <c r="D1262">
        <f>VLOOKUP(D1254,'Detail Balok'!$C$10:$AU$110,7,FALSE)</f>
        <v>4</v>
      </c>
      <c r="E1262" t="str">
        <v>D</v>
      </c>
      <c r="F1262">
        <f>VLOOKUP(D1254,'Detail Balok'!$C$10:$AU$110,9,FALSE)</f>
        <v>19</v>
      </c>
      <c r="I1262" t="str">
        <v>(</v>
      </c>
      <c r="J1262">
        <f>+D1256/2/1000</f>
        <v>3.25</v>
      </c>
      <c r="K1262" t="str">
        <v>+</v>
      </c>
      <c r="M1262" t="str">
        <v>=</v>
      </c>
      <c r="N1262">
        <f>J1262+L1262</f>
        <v>3.25</v>
      </c>
      <c r="O1262" t="str">
        <v>+</v>
      </c>
      <c r="P1262">
        <f>MAX(D1262-D1261,D1262-D1263)</f>
        <v>0</v>
      </c>
      <c r="Q1262" t="str">
        <v>x</v>
      </c>
      <c r="R1262">
        <f>IF(P1262&gt;0,2*(1-2*$F$19-1/2)*D1257/1000,0)</f>
        <v>0</v>
      </c>
      <c r="S1262" t="str">
        <v>)</v>
      </c>
      <c r="T1262" t="str">
        <v>x</v>
      </c>
      <c r="U1262">
        <f>0.006165*F1262^2</f>
        <v>2.225565</v>
      </c>
      <c r="X1262" t="str">
        <v>x</v>
      </c>
      <c r="Y1262">
        <f>D1260</f>
        <v>1</v>
      </c>
      <c r="Z1262" t="str">
        <v>=</v>
      </c>
      <c r="AA1262">
        <f>IF(AA1264=0,(D1262*N1262+P1262*R1262)*U1262*Y1262,0)</f>
        <v>28.932345</v>
      </c>
    </row>
    <row r="1263">
      <c r="A1263" t="str">
        <f>A1254</f>
        <v>Sloof</v>
      </c>
      <c r="B1263">
        <f>B1254</f>
        <v>37</v>
      </c>
      <c r="C1263" t="str">
        <v>Tul Atas Tumpuan</v>
      </c>
      <c r="D1263">
        <f>VLOOKUP(D1254,'Detail Balok'!$C$10:$AU$110,10,FALSE)</f>
        <v>4</v>
      </c>
      <c r="E1263" t="str">
        <v>D</v>
      </c>
      <c r="F1263">
        <f>VLOOKUP(D1254,'Detail Balok'!$C$10:$AU$110,12,FALSE)</f>
        <v>19</v>
      </c>
      <c r="I1263" t="str">
        <v>(</v>
      </c>
      <c r="J1263">
        <f>+D1256/4/1000</f>
        <v>1.625</v>
      </c>
      <c r="K1263" t="str">
        <v>+</v>
      </c>
      <c r="L1263">
        <f>MAX(VLOOKUP(F1263,N$6:P$15,3,FALSE)/1000,2/3*D1258/1000)+F$16*F1263/1000</f>
        <v>0.228</v>
      </c>
      <c r="M1263" t="str">
        <v>=</v>
      </c>
      <c r="N1263">
        <f>J1263+L1263</f>
        <v>1.853</v>
      </c>
      <c r="O1263" t="str">
        <v>+</v>
      </c>
      <c r="P1263">
        <f>D1263-D1262</f>
        <v>0</v>
      </c>
      <c r="Q1263" t="str">
        <v>x</v>
      </c>
      <c r="R1263">
        <f>IF(P1263&gt;0,$F$18*F1263/1000,0)</f>
        <v>0</v>
      </c>
      <c r="S1263" t="str">
        <v>)</v>
      </c>
      <c r="T1263" t="str">
        <v>x</v>
      </c>
      <c r="U1263">
        <f>0.006165*F1263^2</f>
        <v>2.225565</v>
      </c>
      <c r="X1263" t="str">
        <v>x</v>
      </c>
      <c r="Y1263">
        <f>D1260</f>
        <v>1</v>
      </c>
      <c r="Z1263" t="str">
        <v>=</v>
      </c>
      <c r="AA1263">
        <f>IF(AA1264=0,(D1263*N1263+P1263*R1263)*U1263*Y1263,0)</f>
        <v>16.49588778</v>
      </c>
    </row>
    <row r="1264">
      <c r="A1264" t="str">
        <f>A1254</f>
        <v>Sloof</v>
      </c>
      <c r="B1264">
        <f>B1254</f>
        <v>37</v>
      </c>
      <c r="D1264">
        <f>IF(AND(D1261=D1262,D1262=D1263,D1261=D1263),D1261,0)</f>
        <v>0</v>
      </c>
      <c r="E1264" t="str">
        <v>D</v>
      </c>
      <c r="F1264">
        <f>IF(AND(F1261=F1262,F1261=F1263,F1262=F1263),F1261,0)</f>
        <v>19</v>
      </c>
      <c r="L1264" t="str">
        <v>Total panjang per balok</v>
      </c>
      <c r="M1264" t="str">
        <v>=</v>
      </c>
      <c r="N1264">
        <f>IF(AND(D1261=D1262,D1261=D1263,D1262=D1263,F1261=F1262,F1261=F1263,F1262=F1263),SUM(N1261:N1263),0)</f>
        <v>0</v>
      </c>
      <c r="O1264" t="str">
        <v>+</v>
      </c>
      <c r="P1264">
        <f>IF(N1264&gt;12,ROUNDDOWN(N1264/12,0),0)</f>
        <v>0</v>
      </c>
      <c r="Q1264" t="str">
        <v>x</v>
      </c>
      <c r="R1264">
        <f>IF(P1264&gt;0,MAX(VLOOKUP(F1264,$D$6:$G$15,3,FALSE),600),0)/1000</f>
        <v>0</v>
      </c>
      <c r="T1264" t="str">
        <v>x</v>
      </c>
      <c r="U1264">
        <f>U1263</f>
        <v>2.225565</v>
      </c>
      <c r="V1264" t="str">
        <v>x</v>
      </c>
      <c r="W1264">
        <f>D1264</f>
        <v>0</v>
      </c>
      <c r="X1264" t="str">
        <v>x</v>
      </c>
      <c r="Y1264">
        <f>Y1263</f>
        <v>1</v>
      </c>
      <c r="Z1264" t="str">
        <v>=</v>
      </c>
      <c r="AA1264">
        <f>(N1264+P1264*R1264/1000)*U1264*W1264*Y1264</f>
        <v>0</v>
      </c>
    </row>
    <row r="1266">
      <c r="A1266" t="str">
        <f>A1254</f>
        <v>Sloof</v>
      </c>
      <c r="B1266">
        <f>B1254</f>
        <v>37</v>
      </c>
      <c r="C1266" t="str">
        <v>Tul Peminggang</v>
      </c>
      <c r="D1266">
        <f>VLOOKUP(D1254,'Detail Balok'!$C$10:$AU$110,13,FALSE)</f>
        <v>2</v>
      </c>
      <c r="E1266" t="str">
        <v>D</v>
      </c>
      <c r="F1266">
        <f>VLOOKUP(D1254,'Detail Balok'!$C$10:$AU$110,15,FALSE)</f>
        <v>10</v>
      </c>
      <c r="J1266">
        <f>+D1256/1000</f>
        <v>6.5</v>
      </c>
      <c r="K1266" t="str">
        <v>+</v>
      </c>
      <c r="L1266">
        <f>2*$F$16*F1266/1000</f>
        <v>0.24</v>
      </c>
      <c r="M1266" t="str">
        <v>=</v>
      </c>
      <c r="N1266">
        <f>J1266+L1266</f>
        <v>6.74</v>
      </c>
      <c r="O1266" t="str">
        <v>+</v>
      </c>
      <c r="P1266">
        <f>IF(N1266&gt;12,ROUNDDOWN(N1266/12,0),0)</f>
        <v>0</v>
      </c>
      <c r="Q1266" t="str">
        <v>x</v>
      </c>
      <c r="R1266">
        <f>IF(P1266&gt;0,MAX(VLOOKUP(F1266,$D$6:$G$15,3,FALSE),600),0)/1000</f>
        <v>0</v>
      </c>
      <c r="T1266" t="str">
        <v>x</v>
      </c>
      <c r="U1266">
        <f>0.006165*F1266^2</f>
        <v>0.6165</v>
      </c>
      <c r="V1266" t="str">
        <v>x</v>
      </c>
      <c r="W1266">
        <f>+D1266</f>
        <v>2</v>
      </c>
      <c r="X1266" t="str">
        <v>x</v>
      </c>
      <c r="Y1266">
        <f>D1260</f>
        <v>1</v>
      </c>
      <c r="Z1266" t="str">
        <v>=</v>
      </c>
      <c r="AA1266">
        <f>(N1266+P1266*R1266/1000)*U1266*W1266*Y1266</f>
        <v>8.31042</v>
      </c>
    </row>
    <row r="1269">
      <c r="A1269" t="str">
        <f>A1254</f>
        <v>Sloof</v>
      </c>
      <c r="B1269">
        <f>B1254</f>
        <v>37</v>
      </c>
      <c r="C1269" t="str">
        <v>Tul Bawah Tumpuan</v>
      </c>
      <c r="D1269">
        <f>VLOOKUP(D1254,'Detail Balok'!$C$10:$AU$110,22,FALSE)</f>
        <v>4</v>
      </c>
      <c r="E1269" t="str">
        <v>D</v>
      </c>
      <c r="F1269">
        <f>VLOOKUP(D1254,'Detail Balok'!$C$10:$AU$110,24,FALSE)</f>
        <v>19</v>
      </c>
      <c r="I1269" t="str">
        <v>(</v>
      </c>
      <c r="J1269">
        <f>+J1261</f>
        <v>1.625</v>
      </c>
      <c r="K1269" t="str">
        <v>+</v>
      </c>
      <c r="L1269">
        <f>MAX(VLOOKUP(F1269,N$6:P$15,3,FALSE)/1000,2/3*D1259/1000)+F$16*F1269/1000</f>
        <v>0.228</v>
      </c>
      <c r="M1269" t="str">
        <v>=</v>
      </c>
      <c r="N1269">
        <f>J1269+L1269</f>
        <v>1.853</v>
      </c>
      <c r="O1269" t="str">
        <v>+</v>
      </c>
      <c r="P1269">
        <f>D1269-D1270</f>
        <v>0</v>
      </c>
      <c r="Q1269" t="str">
        <v>x</v>
      </c>
      <c r="R1269">
        <f>IF(P1269&gt;0,$F$18*F1269/1000,0)</f>
        <v>0</v>
      </c>
      <c r="S1269" t="str">
        <v>)</v>
      </c>
      <c r="T1269" t="str">
        <v>x</v>
      </c>
      <c r="U1269">
        <f>0.006165*F1269^2</f>
        <v>2.225565</v>
      </c>
      <c r="X1269" t="str">
        <v>x</v>
      </c>
      <c r="Y1269">
        <f>D1260</f>
        <v>1</v>
      </c>
      <c r="Z1269" t="str">
        <v>=</v>
      </c>
      <c r="AA1269">
        <f>IF(AA1272=0,(D1269*N1269+P1269*R1269)*U1269*Y1269,0)</f>
        <v>0</v>
      </c>
    </row>
    <row r="1270">
      <c r="A1270" t="str">
        <f>A1254</f>
        <v>Sloof</v>
      </c>
      <c r="B1270">
        <f>B1254</f>
        <v>37</v>
      </c>
      <c r="C1270" t="str">
        <v>Tul Bawah Lapangan</v>
      </c>
      <c r="D1270">
        <f>VLOOKUP(D1254,'Detail Balok'!$C$10:$AU$110,25,FALSE)</f>
        <v>4</v>
      </c>
      <c r="E1270" t="str">
        <v>D</v>
      </c>
      <c r="F1270">
        <f>VLOOKUP(D1254,'Detail Balok'!$C$10:$AU$110,27,FALSE)</f>
        <v>19</v>
      </c>
      <c r="I1270" t="str">
        <v>(</v>
      </c>
      <c r="J1270">
        <f>+J1262</f>
        <v>3.25</v>
      </c>
      <c r="K1270" t="str">
        <v>+</v>
      </c>
      <c r="M1270" t="str">
        <v>=</v>
      </c>
      <c r="N1270">
        <f>J1270+L1270</f>
        <v>3.25</v>
      </c>
      <c r="O1270" t="str">
        <v>+</v>
      </c>
      <c r="P1270">
        <f>MAX(D1270-D1269,D1270-D1271)</f>
        <v>0</v>
      </c>
      <c r="Q1270" t="str">
        <v>x</v>
      </c>
      <c r="R1270">
        <f>IF(P1270&gt;0,2*(1-2*$F$19-1/2)*D1257/1000,0)</f>
        <v>0</v>
      </c>
      <c r="S1270" t="str">
        <v>)</v>
      </c>
      <c r="T1270" t="str">
        <v>x</v>
      </c>
      <c r="U1270">
        <f>0.006165*F1270^2</f>
        <v>2.225565</v>
      </c>
      <c r="X1270" t="str">
        <v>x</v>
      </c>
      <c r="Y1270">
        <f>D1260</f>
        <v>1</v>
      </c>
      <c r="Z1270" t="str">
        <v>=</v>
      </c>
      <c r="AA1270">
        <f>IF(AA1272=0,(D1270*N1270+P1270*R1270)*U1270*Y1270,0)</f>
        <v>0</v>
      </c>
    </row>
    <row r="1271">
      <c r="A1271" t="str">
        <f>A1254</f>
        <v>Sloof</v>
      </c>
      <c r="B1271">
        <f>B1254</f>
        <v>37</v>
      </c>
      <c r="C1271" t="str">
        <v>Tul Bawah Tumpuan</v>
      </c>
      <c r="D1271">
        <f>VLOOKUP(D1254,'Detail Balok'!$C$10:$AU$110,28,FALSE)</f>
        <v>4</v>
      </c>
      <c r="E1271" t="str">
        <v>D</v>
      </c>
      <c r="F1271">
        <f>VLOOKUP(D1254,'Detail Balok'!$C$10:$AU$110,30,FALSE)</f>
        <v>19</v>
      </c>
      <c r="I1271" t="str">
        <v>(</v>
      </c>
      <c r="J1271">
        <f>+J1263</f>
        <v>1.625</v>
      </c>
      <c r="K1271" t="str">
        <v>+</v>
      </c>
      <c r="L1271">
        <f>MAX(VLOOKUP(F1271,N$6:P$15,3,FALSE)/1000,2/3*D1259/1000)+F$16*F1271/1000</f>
        <v>0.228</v>
      </c>
      <c r="M1271" t="str">
        <v>=</v>
      </c>
      <c r="N1271">
        <f>J1271+L1271</f>
        <v>1.853</v>
      </c>
      <c r="O1271" t="str">
        <v>+</v>
      </c>
      <c r="P1271">
        <f>D1271-D1270</f>
        <v>0</v>
      </c>
      <c r="Q1271" t="str">
        <v>x</v>
      </c>
      <c r="R1271">
        <f>IF(P1271&gt;0,$F$18*F1271/1000,0)</f>
        <v>0</v>
      </c>
      <c r="S1271" t="str">
        <v>)</v>
      </c>
      <c r="T1271" t="str">
        <v>x</v>
      </c>
      <c r="U1271">
        <f>0.006165*F1271^2</f>
        <v>2.225565</v>
      </c>
      <c r="X1271" t="str">
        <v>x</v>
      </c>
      <c r="Y1271">
        <f>D1260</f>
        <v>1</v>
      </c>
      <c r="Z1271" t="str">
        <v>=</v>
      </c>
      <c r="AA1271">
        <f>IF(AA1272=0,(D1271*N1271+P1271*R1271)*U1271*Y1271,0)</f>
        <v>0</v>
      </c>
    </row>
    <row r="1272">
      <c r="A1272" t="str">
        <f>A1254</f>
        <v>Sloof</v>
      </c>
      <c r="B1272">
        <f>B1254</f>
        <v>37</v>
      </c>
      <c r="D1272">
        <f>IF(AND(D1269=D1270,D1270=D1271,D1269=D1271),D1269,0)</f>
        <v>4</v>
      </c>
      <c r="E1272" t="str">
        <v>D</v>
      </c>
      <c r="F1272">
        <f>IF(AND(F1269=F1270,F1269=F1271,F1270=F1271),F1269,0)</f>
        <v>19</v>
      </c>
      <c r="L1272" t="str">
        <v>Total panjang per balok</v>
      </c>
      <c r="M1272" t="str">
        <v>=</v>
      </c>
      <c r="N1272">
        <f>IF(AND(D1269=D1270,D1269=D1271,D1270=D1271,F1269=F1270,F1269=F1271,F1270=F1271),SUM(N1269:N1271),0)</f>
        <v>6.9559999999999995</v>
      </c>
      <c r="O1272" t="str">
        <v>+</v>
      </c>
      <c r="P1272">
        <f>IF(N1272&gt;12,ROUNDDOWN(N1272/12,0),0)</f>
        <v>0</v>
      </c>
      <c r="Q1272" t="str">
        <v>x</v>
      </c>
      <c r="R1272">
        <f>IF(P1272&gt;0,MAX(VLOOKUP(F1272,$D$6:$G$15,3,FALSE),600),0)/1000</f>
        <v>0</v>
      </c>
      <c r="T1272" t="str">
        <v>x</v>
      </c>
      <c r="U1272">
        <f>U1271</f>
        <v>2.225565</v>
      </c>
      <c r="V1272" t="str">
        <v>x</v>
      </c>
      <c r="W1272">
        <f>D1272</f>
        <v>4</v>
      </c>
      <c r="X1272" t="str">
        <v>x</v>
      </c>
      <c r="Y1272">
        <f>Y1271</f>
        <v>1</v>
      </c>
      <c r="Z1272" t="str">
        <v>=</v>
      </c>
      <c r="AA1272">
        <f>(N1272+P1272*R1272/1000)*U1272*W1272*Y1272</f>
        <v>61.92412056</v>
      </c>
    </row>
    <row r="1274">
      <c r="A1274" t="str">
        <f>A1254</f>
        <v>Sloof</v>
      </c>
      <c r="B1274">
        <f>B1254</f>
        <v>37</v>
      </c>
      <c r="C1274" t="str">
        <v>Sengkang Tumpuan</v>
      </c>
      <c r="D1274">
        <f>VLOOKUP(D1254,'Detail Balok'!$C$10:$AU$110,31,FALSE)</f>
        <v>0</v>
      </c>
      <c r="E1274" t="str">
        <v>D</v>
      </c>
      <c r="F1274">
        <f>VLOOKUP(D1254,'Detail Balok'!$C$10:$AU$110,33,FALSE)</f>
        <v>10</v>
      </c>
      <c r="G1274" t="str">
        <v>-</v>
      </c>
      <c r="H1274">
        <f>VLOOKUP(D1254,'Detail Balok'!$C$10:$AU$110,35,FALSE)</f>
        <v>175</v>
      </c>
      <c r="J1274">
        <f>(IF(D1274=0,(2*(D1255+G1255))-(F$5*8),IF(D1274=3,(2*(D1255+G1255))-(F$5*8)+(G1255-2*F$5),IF(D1274=4,(2*(D1255+G1255))-(F$5*8)+2*(G1255-2*F$5)))))/1000</f>
        <v>1.48</v>
      </c>
      <c r="K1274" t="str">
        <v>+</v>
      </c>
      <c r="L1274">
        <f>IF(D1274=0,2*MAX(6*F1274,75),(D1274-1)*2*MAX(6*F1274,75))/1000</f>
        <v>0.15</v>
      </c>
      <c r="M1274" t="str">
        <v>=</v>
      </c>
      <c r="N1274">
        <f>J1274+L1274</f>
        <v>1.63</v>
      </c>
      <c r="T1274" t="str">
        <v>x</v>
      </c>
      <c r="U1274">
        <f>0.006165*F1274^2</f>
        <v>0.6165</v>
      </c>
      <c r="V1274" t="str">
        <v>x</v>
      </c>
      <c r="W1274">
        <f>IF(D1257&gt;4*G1255,ROUND(MAX(D1257/4,2*G1255)/H1274,0)+1,ROUND(D1257/H1274,0)+1)</f>
        <v>10</v>
      </c>
      <c r="X1274" t="str">
        <v>x</v>
      </c>
      <c r="Y1274">
        <f>D1260</f>
        <v>1</v>
      </c>
      <c r="Z1274" t="str">
        <v>=</v>
      </c>
      <c r="AA1274">
        <f>N1274*U1274*W1274*Y1274</f>
        <v>10.048950000000001</v>
      </c>
    </row>
    <row r="1275">
      <c r="A1275" t="str">
        <f>A1254</f>
        <v>Sloof</v>
      </c>
      <c r="B1275">
        <f>B1254</f>
        <v>37</v>
      </c>
      <c r="C1275" t="str">
        <v>Sengkang Lapangan</v>
      </c>
      <c r="D1275">
        <f>VLOOKUP(D1254,'Detail Balok'!$C$10:$AU$110,36,FALSE)</f>
        <v>0</v>
      </c>
      <c r="E1275" t="str">
        <v>D</v>
      </c>
      <c r="F1275">
        <f>VLOOKUP(D1254,'Detail Balok'!$C$10:$AU$110,38,FALSE)</f>
        <v>10</v>
      </c>
      <c r="G1275" t="str">
        <v>-</v>
      </c>
      <c r="H1275">
        <f>VLOOKUP(D1254,'Detail Balok'!$C$10:$AU$110,40,FALSE)</f>
        <v>200</v>
      </c>
      <c r="J1275">
        <f>(IF(D1275=0,(2*(D1255+G1255))-(F$5*8),IF(D1275=3,(2*(D1255+G1255))-(F$5*8)+(G1255-2*F$5),IF(D1275=4,(2*(D1255+G1255))-(F$5*8)+2*(G1255-2*F$5)))))/1000</f>
        <v>1.48</v>
      </c>
      <c r="K1275" t="str">
        <v>+</v>
      </c>
      <c r="L1275">
        <f>IF(D1275=0,2*MAX(6*F1275,75),(D1275-1)*2*MAX(6*F1275,75))/1000</f>
        <v>0.15</v>
      </c>
      <c r="M1275" t="str">
        <v>=</v>
      </c>
      <c r="N1275">
        <f>J1275+L1275</f>
        <v>1.63</v>
      </c>
      <c r="T1275" t="str">
        <v>x</v>
      </c>
      <c r="U1275">
        <f>0.006165*F1275^2</f>
        <v>0.6165</v>
      </c>
      <c r="V1275" t="str">
        <v>x</v>
      </c>
      <c r="W1275">
        <f>IF(D1257-MAX(D1257/4,2*G1255)*2&gt;0,ROUND((D1257-MAX(D1257/4,2*G1255)*2)/H1275,0),0)</f>
        <v>16</v>
      </c>
      <c r="X1275" t="str">
        <v>x</v>
      </c>
      <c r="Y1275">
        <f>D1260</f>
        <v>1</v>
      </c>
      <c r="Z1275" t="str">
        <v>=</v>
      </c>
      <c r="AA1275">
        <f>N1275*U1275*W1275*Y1275</f>
        <v>16.07832</v>
      </c>
    </row>
    <row r="1276">
      <c r="A1276" t="str">
        <f>A1254</f>
        <v>Sloof</v>
      </c>
      <c r="B1276">
        <f>B1254</f>
        <v>37</v>
      </c>
      <c r="C1276" t="str">
        <v>Sengkang Tumpuan</v>
      </c>
      <c r="D1276">
        <f>VLOOKUP(D1254,'Detail Balok'!$C$10:$AU$110,41,FALSE)</f>
        <v>0</v>
      </c>
      <c r="E1276" t="str">
        <v>D</v>
      </c>
      <c r="F1276">
        <f>VLOOKUP(D1254,'Detail Balok'!$C$10:$AU$110,43,FALSE)</f>
        <v>10</v>
      </c>
      <c r="G1276" t="str">
        <v>-</v>
      </c>
      <c r="H1276">
        <f>VLOOKUP(D1254,'Detail Balok'!$C$10:$AU$110,45,FALSE)</f>
        <v>175</v>
      </c>
      <c r="J1276">
        <f>(IF(D1276=0,(2*(D1255+G1255))-(F$5*8),IF(D1276=3,(2*(D1255+G1255))-(F$5*8)+(G1255-2*F$5),IF(D1276=4,(2*(D1255+G1255))-(F$5*8)+2*(G1255-2*F$5)))))/1000</f>
        <v>1.48</v>
      </c>
      <c r="K1276" t="str">
        <v>+</v>
      </c>
      <c r="L1276">
        <f>IF(D1276=0,2*MAX(6*F1276,75),(D1276-1)*2*MAX(6*F1276,75))/1000</f>
        <v>0.15</v>
      </c>
      <c r="M1276" t="str">
        <v>=</v>
      </c>
      <c r="N1276">
        <f>J1276+L1276</f>
        <v>1.63</v>
      </c>
      <c r="T1276" t="str">
        <v>x</v>
      </c>
      <c r="U1276">
        <f>0.006165*F1276^2</f>
        <v>0.6165</v>
      </c>
      <c r="V1276" t="str">
        <v>x</v>
      </c>
      <c r="W1276">
        <f>IF(D1257&gt;4*G1255,ROUND(MAX(D1257/4,2*G1255)/H1276,0)+1,0)</f>
        <v>10</v>
      </c>
      <c r="X1276" t="str">
        <v>x</v>
      </c>
      <c r="Y1276">
        <f>D1260</f>
        <v>1</v>
      </c>
      <c r="Z1276" t="str">
        <v>=</v>
      </c>
      <c r="AA1276">
        <f>N1276*U1276*W1276*Y1276</f>
        <v>10.048950000000001</v>
      </c>
    </row>
    <row r="1278">
      <c r="A1278" t="str">
        <f>A1254</f>
        <v>Sloof</v>
      </c>
      <c r="B1278">
        <f>B1254</f>
        <v>37</v>
      </c>
      <c r="C1278" t="str">
        <v>Kait Horizontal Tump.</v>
      </c>
      <c r="D1278">
        <f>VLOOKUP(D1254,'Detail Balok'!$C$10:$BJ$110,46,FALSE)</f>
        <v>0</v>
      </c>
      <c r="E1278" t="str">
        <v>D</v>
      </c>
      <c r="F1278">
        <f>VLOOKUP(D1254,'Detail Balok'!$C$10:$BJ$110,48,FALSE)</f>
        <v>0</v>
      </c>
      <c r="G1278" t="str">
        <v>-</v>
      </c>
      <c r="H1278">
        <f>VLOOKUP(D1254,'Detail Balok'!$C$10:$BJ$110,50,FALSE)</f>
        <v>100</v>
      </c>
      <c r="J1278">
        <f>(D1255-2*F$5)/1000</f>
        <v>0.22</v>
      </c>
      <c r="K1278" t="str">
        <v>+</v>
      </c>
      <c r="L1278">
        <f>IF(D1278=0,2*MAX(6*F1278,75),(D1278-1)*2*MAX(6*F1278,75))/1000</f>
        <v>0.15</v>
      </c>
      <c r="M1278" t="str">
        <v>=</v>
      </c>
      <c r="N1278">
        <f>J1278+L1278</f>
        <v>0.37</v>
      </c>
      <c r="T1278" t="str">
        <v>x</v>
      </c>
      <c r="U1278">
        <f>0.006165*F1278^2</f>
        <v>0</v>
      </c>
      <c r="V1278" t="str">
        <v>x</v>
      </c>
      <c r="W1278">
        <f>W1274</f>
        <v>10</v>
      </c>
      <c r="X1278" t="str">
        <v>x</v>
      </c>
      <c r="Y1278">
        <f>D1264</f>
        <v>0</v>
      </c>
      <c r="Z1278" t="str">
        <v>=</v>
      </c>
      <c r="AA1278">
        <f>N1278*U1278*W1278*Y1278</f>
        <v>0</v>
      </c>
    </row>
    <row r="1279">
      <c r="A1279" t="str">
        <f>A1254</f>
        <v>Sloof</v>
      </c>
      <c r="B1279">
        <f>B1254</f>
        <v>37</v>
      </c>
      <c r="C1279" t="str">
        <v>Kait Horizontal Lap.</v>
      </c>
      <c r="D1279">
        <f>VLOOKUP(D1254,'Detail Balok'!$C$10:$BJ$110,51,FALSE)</f>
        <v>0</v>
      </c>
      <c r="E1279" t="str">
        <v>D</v>
      </c>
      <c r="F1279">
        <f>VLOOKUP(D1254,'Detail Balok'!$C$10:$BJ$110,53,FALSE)</f>
        <v>0</v>
      </c>
      <c r="G1279" t="str">
        <v>-</v>
      </c>
      <c r="H1279">
        <f>VLOOKUP(D1254,'Detail Balok'!$C$10:$BJ$110,55,FALSE)</f>
        <v>100</v>
      </c>
      <c r="J1279">
        <f>(D1255-2*F$5)/1000</f>
        <v>0.22</v>
      </c>
      <c r="K1279" t="str">
        <v>+</v>
      </c>
      <c r="L1279">
        <f>IF(D1279=0,2*MAX(6*F1279,75),(D1279-1)*2*MAX(6*F1279,75))/1000</f>
        <v>0.15</v>
      </c>
      <c r="M1279" t="str">
        <v>=</v>
      </c>
      <c r="N1279">
        <f>J1279+L1279</f>
        <v>0.37</v>
      </c>
      <c r="T1279" t="str">
        <v>x</v>
      </c>
      <c r="U1279">
        <f>0.006165*F1279^2</f>
        <v>0</v>
      </c>
      <c r="V1279" t="str">
        <v>x</v>
      </c>
      <c r="W1279">
        <f>W1275</f>
        <v>16</v>
      </c>
      <c r="X1279" t="str">
        <v>x</v>
      </c>
      <c r="Y1279">
        <f>D1264</f>
        <v>0</v>
      </c>
      <c r="Z1279" t="str">
        <v>=</v>
      </c>
      <c r="AA1279">
        <f>N1279*U1279*W1279*Y1279</f>
        <v>0</v>
      </c>
    </row>
    <row r="1280">
      <c r="A1280" t="str">
        <f>A1254</f>
        <v>Sloof</v>
      </c>
      <c r="B1280">
        <f>B1254</f>
        <v>37</v>
      </c>
      <c r="C1280" t="str">
        <v>Kait Horizontal Tump.</v>
      </c>
      <c r="D1280">
        <f>VLOOKUP(D1254,'Detail Balok'!$C$10:$BJ$110,56,FALSE)</f>
        <v>0</v>
      </c>
      <c r="E1280" t="str">
        <v>D</v>
      </c>
      <c r="F1280">
        <f>VLOOKUP(D1254,'Detail Balok'!$C$10:$BJ$110,58,FALSE)</f>
        <v>0</v>
      </c>
      <c r="G1280" t="str">
        <v>-</v>
      </c>
      <c r="H1280">
        <f>VLOOKUP(D1254,'Detail Balok'!$C$10:$BJ$110,60,FALSE)</f>
        <v>100</v>
      </c>
      <c r="J1280">
        <f>(D1255-2*F$5)/1000</f>
        <v>0.22</v>
      </c>
      <c r="K1280" t="str">
        <v>+</v>
      </c>
      <c r="L1280">
        <f>IF(D1280=0,2*MAX(6*F1280,75),(D1280-1)*2*MAX(6*F1280,75))/1000</f>
        <v>0.15</v>
      </c>
      <c r="M1280" t="str">
        <v>=</v>
      </c>
      <c r="N1280">
        <f>J1280+L1280</f>
        <v>0.37</v>
      </c>
      <c r="T1280" t="str">
        <v>x</v>
      </c>
      <c r="U1280">
        <f>0.006165*F1280^2</f>
        <v>0</v>
      </c>
      <c r="V1280" t="str">
        <v>x</v>
      </c>
      <c r="W1280">
        <f>W1276</f>
        <v>10</v>
      </c>
      <c r="X1280" t="str">
        <v>x</v>
      </c>
      <c r="Y1280">
        <f>D1264</f>
        <v>0</v>
      </c>
      <c r="Z1280" t="str">
        <v>=</v>
      </c>
      <c r="AA1280">
        <f>N1280*U1280*W1280*Y1280</f>
        <v>0</v>
      </c>
    </row>
    <row r="1284">
      <c r="A1284" t="str">
        <f>A1254</f>
        <v>Sloof</v>
      </c>
      <c r="B1284" t="str">
        <v>37A</v>
      </c>
      <c r="C1284" t="str">
        <f>CONCATENATE(A1284," no. ",B1284)</f>
        <v>Sloof no. 37A</v>
      </c>
      <c r="D1284" t="str">
        <f>VLOOKUP(C1284,'Data Panjang Balok'!$C$9:$N$424,2,FALSE)</f>
        <v>TB245-1</v>
      </c>
    </row>
    <row r="1285">
      <c r="C1285" t="str">
        <v>Dimensi</v>
      </c>
      <c r="D1285">
        <f>VLOOKUP(D1284,'Detail Balok'!$C$10:$AU$110,2,FALSE)</f>
        <v>200</v>
      </c>
      <c r="F1285" t="str">
        <v>x</v>
      </c>
      <c r="G1285">
        <f>VLOOKUP(D1284,'Detail Balok'!$C$10:$AU$110,3,FALSE)</f>
        <v>450</v>
      </c>
    </row>
    <row r="1286">
      <c r="C1286" t="str">
        <v>Panjang as ke as</v>
      </c>
      <c r="D1286">
        <f>VLOOKUP(C1284,'Data Panjang Balok'!$C$9:$N$424,4,FALSE)</f>
        <v>7415</v>
      </c>
    </row>
    <row r="1287">
      <c r="C1287" t="str">
        <v>Panjang netto</v>
      </c>
      <c r="D1287">
        <f>VLOOKUP(C1284,'Data Panjang Balok'!$C$9:$N$424,7,FALSE)</f>
        <v>7415</v>
      </c>
    </row>
    <row r="1288">
      <c r="C1288" t="str">
        <v>Kolom / balok kiri</v>
      </c>
      <c r="D1288">
        <f>VLOOKUP(C1284,'Data Panjang Balok'!$C$9:$N$424,9,FALSE)</f>
        <v>0</v>
      </c>
    </row>
    <row r="1289">
      <c r="C1289" t="str">
        <v>Kolom / balok kanan</v>
      </c>
      <c r="D1289">
        <f>VLOOKUP(C1284,'Data Panjang Balok'!$C$9:$N$424,10,FALSE)</f>
        <v>0</v>
      </c>
    </row>
    <row r="1290">
      <c r="C1290" t="str">
        <v>Jumlah</v>
      </c>
      <c r="D1290">
        <f>VLOOKUP(C1284,'Data Panjang Balok'!$C$9:$N$424,3,FALSE)</f>
        <v>1</v>
      </c>
    </row>
    <row r="1291">
      <c r="A1291" t="str">
        <f>A1284</f>
        <v>Sloof</v>
      </c>
      <c r="B1291" t="str">
        <f>B1284</f>
        <v>37A</v>
      </c>
      <c r="C1291" t="str">
        <v>Tul Atas Tumpuan</v>
      </c>
      <c r="D1291">
        <f>VLOOKUP(D1284,'Detail Balok'!$C$10:$AU$110,4,FALSE)</f>
        <v>3</v>
      </c>
      <c r="E1291" t="str">
        <v>D</v>
      </c>
      <c r="F1291">
        <f>VLOOKUP(D1284,'Detail Balok'!$C$10:$AU$110,6,FALSE)</f>
        <v>13</v>
      </c>
      <c r="I1291" t="str">
        <v>(</v>
      </c>
      <c r="J1291">
        <f>+D1286/4/1000</f>
        <v>1.85375</v>
      </c>
      <c r="K1291" t="str">
        <v>+</v>
      </c>
      <c r="L1291">
        <f>MAX(VLOOKUP(F1291,N$6:P$15,3,FALSE)/1000,2/3*D1288/1000)+F$16*F1291/1000</f>
        <v>0.156</v>
      </c>
      <c r="M1291" t="str">
        <v>=</v>
      </c>
      <c r="N1291">
        <f>J1291+L1291</f>
        <v>2.00975</v>
      </c>
      <c r="O1291" t="str">
        <v>+</v>
      </c>
      <c r="P1291">
        <f>D1291-D1292</f>
        <v>0</v>
      </c>
      <c r="Q1291" t="str">
        <v>x</v>
      </c>
      <c r="R1291">
        <f>IF(P1291&gt;0,$F$18*F1291/1000,0)</f>
        <v>0</v>
      </c>
      <c r="S1291" t="str">
        <v>)</v>
      </c>
      <c r="T1291" t="str">
        <v>x</v>
      </c>
      <c r="U1291">
        <f>0.006165*F1291^2</f>
        <v>1.041885</v>
      </c>
      <c r="X1291" t="str">
        <v>x</v>
      </c>
      <c r="Y1291">
        <f>D1290</f>
        <v>1</v>
      </c>
      <c r="Z1291" t="str">
        <v>=</v>
      </c>
      <c r="AA1291">
        <f>IF(AA1294=0,(D1291*N1291+P1291*R1291)*U1291*Y1291,0)</f>
        <v>0</v>
      </c>
    </row>
    <row r="1292">
      <c r="A1292" t="str">
        <f>A1284</f>
        <v>Sloof</v>
      </c>
      <c r="B1292" t="str">
        <f>B1284</f>
        <v>37A</v>
      </c>
      <c r="C1292" t="str">
        <v>Tul Atas Lapangan</v>
      </c>
      <c r="D1292">
        <f>VLOOKUP(D1284,'Detail Balok'!$C$10:$AU$110,7,FALSE)</f>
        <v>3</v>
      </c>
      <c r="E1292" t="str">
        <v>D</v>
      </c>
      <c r="F1292">
        <f>VLOOKUP(D1284,'Detail Balok'!$C$10:$AU$110,9,FALSE)</f>
        <v>13</v>
      </c>
      <c r="I1292" t="str">
        <v>(</v>
      </c>
      <c r="J1292">
        <f>+D1286/2/1000</f>
        <v>3.7075</v>
      </c>
      <c r="K1292" t="str">
        <v>+</v>
      </c>
      <c r="M1292" t="str">
        <v>=</v>
      </c>
      <c r="N1292">
        <f>J1292+L1292</f>
        <v>3.7075</v>
      </c>
      <c r="O1292" t="str">
        <v>+</v>
      </c>
      <c r="P1292">
        <f>MAX(D1292-D1291,D1292-D1293)</f>
        <v>0</v>
      </c>
      <c r="Q1292" t="str">
        <v>x</v>
      </c>
      <c r="R1292">
        <f>IF(P1292&gt;0,2*(1-2*$F$19-1/2)*D1287/1000,0)</f>
        <v>0</v>
      </c>
      <c r="S1292" t="str">
        <v>)</v>
      </c>
      <c r="T1292" t="str">
        <v>x</v>
      </c>
      <c r="U1292">
        <f>0.006165*F1292^2</f>
        <v>1.041885</v>
      </c>
      <c r="X1292" t="str">
        <v>x</v>
      </c>
      <c r="Y1292">
        <f>D1290</f>
        <v>1</v>
      </c>
      <c r="Z1292" t="str">
        <v>=</v>
      </c>
      <c r="AA1292">
        <f>IF(AA1294=0,(D1292*N1292+P1292*R1292)*U1292*Y1292,0)</f>
        <v>0</v>
      </c>
    </row>
    <row r="1293">
      <c r="A1293" t="str">
        <f>A1284</f>
        <v>Sloof</v>
      </c>
      <c r="B1293" t="str">
        <f>B1284</f>
        <v>37A</v>
      </c>
      <c r="C1293" t="str">
        <v>Tul Atas Tumpuan</v>
      </c>
      <c r="D1293">
        <f>VLOOKUP(D1284,'Detail Balok'!$C$10:$AU$110,10,FALSE)</f>
        <v>3</v>
      </c>
      <c r="E1293" t="str">
        <v>D</v>
      </c>
      <c r="F1293">
        <f>VLOOKUP(D1284,'Detail Balok'!$C$10:$AU$110,12,FALSE)</f>
        <v>13</v>
      </c>
      <c r="I1293" t="str">
        <v>(</v>
      </c>
      <c r="J1293">
        <f>+D1286/4/1000</f>
        <v>1.85375</v>
      </c>
      <c r="K1293" t="str">
        <v>+</v>
      </c>
      <c r="L1293">
        <f>MAX(VLOOKUP(F1293,N$6:P$15,3,FALSE)/1000,2/3*D1288/1000)+F$16*F1293/1000</f>
        <v>0.156</v>
      </c>
      <c r="M1293" t="str">
        <v>=</v>
      </c>
      <c r="N1293">
        <f>J1293+L1293</f>
        <v>2.00975</v>
      </c>
      <c r="O1293" t="str">
        <v>+</v>
      </c>
      <c r="P1293">
        <f>D1293-D1292</f>
        <v>0</v>
      </c>
      <c r="Q1293" t="str">
        <v>x</v>
      </c>
      <c r="R1293">
        <f>IF(P1293&gt;0,$F$18*F1293/1000,0)</f>
        <v>0</v>
      </c>
      <c r="S1293" t="str">
        <v>)</v>
      </c>
      <c r="T1293" t="str">
        <v>x</v>
      </c>
      <c r="U1293">
        <f>0.006165*F1293^2</f>
        <v>1.041885</v>
      </c>
      <c r="X1293" t="str">
        <v>x</v>
      </c>
      <c r="Y1293">
        <f>D1290</f>
        <v>1</v>
      </c>
      <c r="Z1293" t="str">
        <v>=</v>
      </c>
      <c r="AA1293">
        <f>IF(AA1294=0,(D1293*N1293+P1293*R1293)*U1293*Y1293,0)</f>
        <v>0</v>
      </c>
    </row>
    <row r="1294">
      <c r="A1294" t="str">
        <f>A1284</f>
        <v>Sloof</v>
      </c>
      <c r="B1294" t="str">
        <f>B1284</f>
        <v>37A</v>
      </c>
      <c r="D1294">
        <f>IF(AND(D1291=D1292,D1292=D1293,D1291=D1293),D1291,0)</f>
        <v>3</v>
      </c>
      <c r="E1294" t="str">
        <v>D</v>
      </c>
      <c r="F1294">
        <f>IF(AND(F1291=F1292,F1291=F1293,F1292=F1293),F1291,0)</f>
        <v>13</v>
      </c>
      <c r="L1294" t="str">
        <v>Total panjang per balok</v>
      </c>
      <c r="M1294" t="str">
        <v>=</v>
      </c>
      <c r="N1294">
        <f>IF(AND(D1291=D1292,D1291=D1293,D1292=D1293,F1291=F1292,F1291=F1293,F1292=F1293),SUM(N1291:N1293),0)</f>
        <v>7.727</v>
      </c>
      <c r="O1294" t="str">
        <v>+</v>
      </c>
      <c r="P1294">
        <f>IF(N1294&gt;12,ROUNDDOWN(N1294/12,0),0)</f>
        <v>0</v>
      </c>
      <c r="Q1294" t="str">
        <v>x</v>
      </c>
      <c r="R1294">
        <f>IF(P1294&gt;0,MAX(VLOOKUP(F1294,$D$6:$G$15,3,FALSE),600),0)/1000</f>
        <v>0</v>
      </c>
      <c r="T1294" t="str">
        <v>x</v>
      </c>
      <c r="U1294">
        <f>U1293</f>
        <v>1.041885</v>
      </c>
      <c r="V1294" t="str">
        <v>x</v>
      </c>
      <c r="W1294">
        <f>D1294</f>
        <v>3</v>
      </c>
      <c r="X1294" t="str">
        <v>x</v>
      </c>
      <c r="Y1294">
        <f>Y1293</f>
        <v>1</v>
      </c>
      <c r="Z1294" t="str">
        <v>=</v>
      </c>
      <c r="AA1294">
        <f>(N1294+P1294*R1294/1000)*U1294*W1294*Y1294</f>
        <v>24.151936185</v>
      </c>
    </row>
    <row r="1296">
      <c r="A1296" t="str">
        <f>A1284</f>
        <v>Sloof</v>
      </c>
      <c r="B1296" t="str">
        <f>B1284</f>
        <v>37A</v>
      </c>
      <c r="C1296" t="str">
        <v>Tul Peminggang</v>
      </c>
      <c r="D1296">
        <f>VLOOKUP(D1284,'Detail Balok'!$C$10:$AU$110,13,FALSE)</f>
        <v>2</v>
      </c>
      <c r="E1296" t="str">
        <v>D</v>
      </c>
      <c r="F1296">
        <f>VLOOKUP(D1284,'Detail Balok'!$C$10:$AU$110,15,FALSE)</f>
        <v>8</v>
      </c>
      <c r="J1296">
        <f>+D1286/1000</f>
        <v>7.415</v>
      </c>
      <c r="K1296" t="str">
        <v>+</v>
      </c>
      <c r="L1296">
        <f>2*$F$16*F1296/1000</f>
        <v>0.192</v>
      </c>
      <c r="M1296" t="str">
        <v>=</v>
      </c>
      <c r="N1296">
        <f>J1296+L1296</f>
        <v>7.607</v>
      </c>
      <c r="O1296" t="str">
        <v>+</v>
      </c>
      <c r="P1296">
        <f>IF(N1296&gt;12,ROUNDDOWN(N1296/12,0),0)</f>
        <v>0</v>
      </c>
      <c r="Q1296" t="str">
        <v>x</v>
      </c>
      <c r="R1296">
        <f>IF(P1296&gt;0,MAX(VLOOKUP(F1296,$D$6:$G$15,3,FALSE),600),0)/1000</f>
        <v>0</v>
      </c>
      <c r="T1296" t="str">
        <v>x</v>
      </c>
      <c r="U1296">
        <f>0.006165*F1296^2</f>
        <v>0.39456</v>
      </c>
      <c r="V1296" t="str">
        <v>x</v>
      </c>
      <c r="W1296">
        <f>+D1296</f>
        <v>2</v>
      </c>
      <c r="X1296" t="str">
        <v>x</v>
      </c>
      <c r="Y1296">
        <f>D1290</f>
        <v>1</v>
      </c>
      <c r="Z1296" t="str">
        <v>=</v>
      </c>
      <c r="AA1296">
        <f>(N1296+P1296*R1296/1000)*U1296*W1296*Y1296</f>
        <v>6.00283584</v>
      </c>
    </row>
    <row r="1299">
      <c r="A1299" t="str">
        <f>A1284</f>
        <v>Sloof</v>
      </c>
      <c r="B1299" t="str">
        <f>B1284</f>
        <v>37A</v>
      </c>
      <c r="C1299" t="str">
        <v>Tul Bawah Tumpuan</v>
      </c>
      <c r="D1299">
        <f>VLOOKUP(D1284,'Detail Balok'!$C$10:$AU$110,22,FALSE)</f>
        <v>3</v>
      </c>
      <c r="E1299" t="str">
        <v>D</v>
      </c>
      <c r="F1299">
        <f>VLOOKUP(D1284,'Detail Balok'!$C$10:$AU$110,24,FALSE)</f>
        <v>13</v>
      </c>
      <c r="I1299" t="str">
        <v>(</v>
      </c>
      <c r="J1299">
        <f>+J1291</f>
        <v>1.85375</v>
      </c>
      <c r="K1299" t="str">
        <v>+</v>
      </c>
      <c r="L1299">
        <f>MAX(VLOOKUP(F1299,N$6:P$15,3,FALSE)/1000,2/3*D1289/1000)+F$16*F1299/1000</f>
        <v>0.156</v>
      </c>
      <c r="M1299" t="str">
        <v>=</v>
      </c>
      <c r="N1299">
        <f>J1299+L1299</f>
        <v>2.00975</v>
      </c>
      <c r="O1299" t="str">
        <v>+</v>
      </c>
      <c r="P1299">
        <f>D1299-D1300</f>
        <v>0</v>
      </c>
      <c r="Q1299" t="str">
        <v>x</v>
      </c>
      <c r="R1299">
        <f>IF(P1299&gt;0,$F$18*F1299/1000,0)</f>
        <v>0</v>
      </c>
      <c r="S1299" t="str">
        <v>)</v>
      </c>
      <c r="T1299" t="str">
        <v>x</v>
      </c>
      <c r="U1299">
        <f>0.006165*F1299^2</f>
        <v>1.041885</v>
      </c>
      <c r="X1299" t="str">
        <v>x</v>
      </c>
      <c r="Y1299">
        <f>D1290</f>
        <v>1</v>
      </c>
      <c r="Z1299" t="str">
        <v>=</v>
      </c>
      <c r="AA1299">
        <f>IF(AA1302=0,(D1299*N1299+P1299*R1299)*U1299*Y1299,0)</f>
        <v>0</v>
      </c>
    </row>
    <row r="1300">
      <c r="A1300" t="str">
        <f>A1284</f>
        <v>Sloof</v>
      </c>
      <c r="B1300" t="str">
        <f>B1284</f>
        <v>37A</v>
      </c>
      <c r="C1300" t="str">
        <v>Tul Bawah Lapangan</v>
      </c>
      <c r="D1300">
        <f>VLOOKUP(D1284,'Detail Balok'!$C$10:$AU$110,25,FALSE)</f>
        <v>3</v>
      </c>
      <c r="E1300" t="str">
        <v>D</v>
      </c>
      <c r="F1300">
        <f>VLOOKUP(D1284,'Detail Balok'!$C$10:$AU$110,27,FALSE)</f>
        <v>13</v>
      </c>
      <c r="I1300" t="str">
        <v>(</v>
      </c>
      <c r="J1300">
        <f>+J1292</f>
        <v>3.7075</v>
      </c>
      <c r="K1300" t="str">
        <v>+</v>
      </c>
      <c r="M1300" t="str">
        <v>=</v>
      </c>
      <c r="N1300">
        <f>J1300+L1300</f>
        <v>3.7075</v>
      </c>
      <c r="O1300" t="str">
        <v>+</v>
      </c>
      <c r="P1300">
        <f>MAX(D1300-D1299,D1300-D1301)</f>
        <v>0</v>
      </c>
      <c r="Q1300" t="str">
        <v>x</v>
      </c>
      <c r="R1300">
        <f>IF(P1300&gt;0,2*(1-2*$F$19-1/2)*D1287/1000,0)</f>
        <v>0</v>
      </c>
      <c r="S1300" t="str">
        <v>)</v>
      </c>
      <c r="T1300" t="str">
        <v>x</v>
      </c>
      <c r="U1300">
        <f>0.006165*F1300^2</f>
        <v>1.041885</v>
      </c>
      <c r="X1300" t="str">
        <v>x</v>
      </c>
      <c r="Y1300">
        <f>D1290</f>
        <v>1</v>
      </c>
      <c r="Z1300" t="str">
        <v>=</v>
      </c>
      <c r="AA1300">
        <f>IF(AA1302=0,(D1300*N1300+P1300*R1300)*U1300*Y1300,0)</f>
        <v>0</v>
      </c>
    </row>
    <row r="1301">
      <c r="A1301" t="str">
        <f>A1284</f>
        <v>Sloof</v>
      </c>
      <c r="B1301" t="str">
        <f>B1284</f>
        <v>37A</v>
      </c>
      <c r="C1301" t="str">
        <v>Tul Bawah Tumpuan</v>
      </c>
      <c r="D1301">
        <f>VLOOKUP(D1284,'Detail Balok'!$C$10:$AU$110,28,FALSE)</f>
        <v>3</v>
      </c>
      <c r="E1301" t="str">
        <v>D</v>
      </c>
      <c r="F1301">
        <f>VLOOKUP(D1284,'Detail Balok'!$C$10:$AU$110,30,FALSE)</f>
        <v>13</v>
      </c>
      <c r="I1301" t="str">
        <v>(</v>
      </c>
      <c r="J1301">
        <f>+J1293</f>
        <v>1.85375</v>
      </c>
      <c r="K1301" t="str">
        <v>+</v>
      </c>
      <c r="L1301">
        <f>MAX(VLOOKUP(F1301,N$6:P$15,3,FALSE)/1000,2/3*D1289/1000)+F$16*F1301/1000</f>
        <v>0.156</v>
      </c>
      <c r="M1301" t="str">
        <v>=</v>
      </c>
      <c r="N1301">
        <f>J1301+L1301</f>
        <v>2.00975</v>
      </c>
      <c r="O1301" t="str">
        <v>+</v>
      </c>
      <c r="P1301">
        <f>D1301-D1300</f>
        <v>0</v>
      </c>
      <c r="Q1301" t="str">
        <v>x</v>
      </c>
      <c r="R1301">
        <f>IF(P1301&gt;0,$F$18*F1301/1000,0)</f>
        <v>0</v>
      </c>
      <c r="S1301" t="str">
        <v>)</v>
      </c>
      <c r="T1301" t="str">
        <v>x</v>
      </c>
      <c r="U1301">
        <f>0.006165*F1301^2</f>
        <v>1.041885</v>
      </c>
      <c r="X1301" t="str">
        <v>x</v>
      </c>
      <c r="Y1301">
        <f>D1290</f>
        <v>1</v>
      </c>
      <c r="Z1301" t="str">
        <v>=</v>
      </c>
      <c r="AA1301">
        <f>IF(AA1302=0,(D1301*N1301+P1301*R1301)*U1301*Y1301,0)</f>
        <v>0</v>
      </c>
    </row>
    <row r="1302">
      <c r="A1302" t="str">
        <f>A1284</f>
        <v>Sloof</v>
      </c>
      <c r="B1302" t="str">
        <f>B1284</f>
        <v>37A</v>
      </c>
      <c r="D1302">
        <f>IF(AND(D1299=D1300,D1300=D1301,D1299=D1301),D1299,0)</f>
        <v>3</v>
      </c>
      <c r="E1302" t="str">
        <v>D</v>
      </c>
      <c r="F1302">
        <f>IF(AND(F1299=F1300,F1299=F1301,F1300=F1301),F1299,0)</f>
        <v>13</v>
      </c>
      <c r="L1302" t="str">
        <v>Total panjang per balok</v>
      </c>
      <c r="M1302" t="str">
        <v>=</v>
      </c>
      <c r="N1302">
        <f>IF(AND(D1299=D1300,D1299=D1301,D1300=D1301,F1299=F1300,F1299=F1301,F1300=F1301),SUM(N1299:N1301),0)</f>
        <v>7.727</v>
      </c>
      <c r="O1302" t="str">
        <v>+</v>
      </c>
      <c r="P1302">
        <f>IF(N1302&gt;12,ROUNDDOWN(N1302/12,0),0)</f>
        <v>0</v>
      </c>
      <c r="Q1302" t="str">
        <v>x</v>
      </c>
      <c r="R1302">
        <f>IF(P1302&gt;0,MAX(VLOOKUP(F1302,$D$6:$G$15,3,FALSE),600),0)/1000</f>
        <v>0</v>
      </c>
      <c r="T1302" t="str">
        <v>x</v>
      </c>
      <c r="U1302">
        <f>U1301</f>
        <v>1.041885</v>
      </c>
      <c r="V1302" t="str">
        <v>x</v>
      </c>
      <c r="W1302">
        <f>D1302</f>
        <v>3</v>
      </c>
      <c r="X1302" t="str">
        <v>x</v>
      </c>
      <c r="Y1302">
        <f>Y1301</f>
        <v>1</v>
      </c>
      <c r="Z1302" t="str">
        <v>=</v>
      </c>
      <c r="AA1302">
        <f>(N1302+P1302*R1302/1000)*U1302*W1302*Y1302</f>
        <v>24.151936185</v>
      </c>
    </row>
    <row r="1304">
      <c r="A1304" t="str">
        <f>A1284</f>
        <v>Sloof</v>
      </c>
      <c r="B1304" t="str">
        <f>B1284</f>
        <v>37A</v>
      </c>
      <c r="C1304" t="str">
        <v>Sengkang Tumpuan</v>
      </c>
      <c r="D1304">
        <f>VLOOKUP(D1284,'Detail Balok'!$C$10:$AU$110,31,FALSE)</f>
        <v>0</v>
      </c>
      <c r="E1304" t="str">
        <v>D</v>
      </c>
      <c r="F1304">
        <f>VLOOKUP(D1284,'Detail Balok'!$C$10:$AU$110,33,FALSE)</f>
        <v>8</v>
      </c>
      <c r="G1304" t="str">
        <v>-</v>
      </c>
      <c r="H1304">
        <f>VLOOKUP(D1284,'Detail Balok'!$C$10:$AU$110,35,FALSE)</f>
        <v>200</v>
      </c>
      <c r="J1304">
        <f>(IF(D1304=0,(2*(D1285+G1285))-(F$5*8),IF(D1304=3,(2*(D1285+G1285))-(F$5*8)+(G1285-2*F$5),IF(D1304=4,(2*(D1285+G1285))-(F$5*8)+2*(G1285-2*F$5)))))/1000</f>
        <v>0.98</v>
      </c>
      <c r="K1304" t="str">
        <v>+</v>
      </c>
      <c r="L1304">
        <f>IF(D1304=0,2*MAX(6*F1304,75),(D1304-1)*2*MAX(6*F1304,75))/1000</f>
        <v>0.15</v>
      </c>
      <c r="M1304" t="str">
        <v>=</v>
      </c>
      <c r="N1304">
        <f>J1304+L1304</f>
        <v>1.13</v>
      </c>
      <c r="T1304" t="str">
        <v>x</v>
      </c>
      <c r="U1304">
        <f>0.006165*F1304^2</f>
        <v>0.39456</v>
      </c>
      <c r="V1304" t="str">
        <v>x</v>
      </c>
      <c r="W1304">
        <f>IF(D1287&gt;4*G1285,ROUND(MAX(D1287/4,2*G1285)/H1304,0)+1,ROUND(D1287/H1304,0)+1)</f>
        <v>10</v>
      </c>
      <c r="X1304" t="str">
        <v>x</v>
      </c>
      <c r="Y1304">
        <f>D1290</f>
        <v>1</v>
      </c>
      <c r="Z1304" t="str">
        <v>=</v>
      </c>
      <c r="AA1304">
        <f>N1304*U1304*W1304*Y1304</f>
        <v>4.458528</v>
      </c>
    </row>
    <row r="1305">
      <c r="A1305" t="str">
        <f>A1284</f>
        <v>Sloof</v>
      </c>
      <c r="B1305" t="str">
        <f>B1284</f>
        <v>37A</v>
      </c>
      <c r="C1305" t="str">
        <v>Sengkang Lapangan</v>
      </c>
      <c r="D1305">
        <f>VLOOKUP(D1284,'Detail Balok'!$C$10:$AU$110,36,FALSE)</f>
        <v>0</v>
      </c>
      <c r="E1305" t="str">
        <v>D</v>
      </c>
      <c r="F1305">
        <f>VLOOKUP(D1284,'Detail Balok'!$C$10:$AU$110,38,FALSE)</f>
        <v>8</v>
      </c>
      <c r="G1305" t="str">
        <v>-</v>
      </c>
      <c r="H1305">
        <f>VLOOKUP(D1284,'Detail Balok'!$C$10:$AU$110,40,FALSE)</f>
        <v>200</v>
      </c>
      <c r="J1305">
        <f>(IF(D1305=0,(2*(D1285+G1285))-(F$5*8),IF(D1305=3,(2*(D1285+G1285))-(F$5*8)+(G1285-2*F$5),IF(D1305=4,(2*(D1285+G1285))-(F$5*8)+2*(G1285-2*F$5)))))/1000</f>
        <v>0.98</v>
      </c>
      <c r="K1305" t="str">
        <v>+</v>
      </c>
      <c r="L1305">
        <f>IF(D1305=0,2*MAX(6*F1305,75),(D1305-1)*2*MAX(6*F1305,75))/1000</f>
        <v>0.15</v>
      </c>
      <c r="M1305" t="str">
        <v>=</v>
      </c>
      <c r="N1305">
        <f>J1305+L1305</f>
        <v>1.13</v>
      </c>
      <c r="T1305" t="str">
        <v>x</v>
      </c>
      <c r="U1305">
        <f>0.006165*F1305^2</f>
        <v>0.39456</v>
      </c>
      <c r="V1305" t="str">
        <v>x</v>
      </c>
      <c r="W1305">
        <f>IF(D1287-MAX(D1287/4,2*G1285)*2&gt;0,ROUND((D1287-MAX(D1287/4,2*G1285)*2)/H1305,0),0)</f>
        <v>19</v>
      </c>
      <c r="X1305" t="str">
        <v>x</v>
      </c>
      <c r="Y1305">
        <f>D1290</f>
        <v>1</v>
      </c>
      <c r="Z1305" t="str">
        <v>=</v>
      </c>
      <c r="AA1305">
        <f>N1305*U1305*W1305*Y1305</f>
        <v>8.4712032</v>
      </c>
    </row>
    <row r="1306">
      <c r="A1306" t="str">
        <f>A1284</f>
        <v>Sloof</v>
      </c>
      <c r="B1306" t="str">
        <f>B1284</f>
        <v>37A</v>
      </c>
      <c r="C1306" t="str">
        <v>Sengkang Tumpuan</v>
      </c>
      <c r="D1306">
        <f>VLOOKUP(D1284,'Detail Balok'!$C$10:$AU$110,41,FALSE)</f>
        <v>0</v>
      </c>
      <c r="E1306" t="str">
        <v>D</v>
      </c>
      <c r="F1306">
        <f>VLOOKUP(D1284,'Detail Balok'!$C$10:$AU$110,43,FALSE)</f>
        <v>8</v>
      </c>
      <c r="G1306" t="str">
        <v>-</v>
      </c>
      <c r="H1306">
        <f>VLOOKUP(D1284,'Detail Balok'!$C$10:$AU$110,45,FALSE)</f>
        <v>200</v>
      </c>
      <c r="J1306">
        <f>(IF(D1306=0,(2*(D1285+G1285))-(F$5*8),IF(D1306=3,(2*(D1285+G1285))-(F$5*8)+(G1285-2*F$5),IF(D1306=4,(2*(D1285+G1285))-(F$5*8)+2*(G1285-2*F$5)))))/1000</f>
        <v>0.98</v>
      </c>
      <c r="K1306" t="str">
        <v>+</v>
      </c>
      <c r="L1306">
        <f>IF(D1306=0,2*MAX(6*F1306,75),(D1306-1)*2*MAX(6*F1306,75))/1000</f>
        <v>0.15</v>
      </c>
      <c r="M1306" t="str">
        <v>=</v>
      </c>
      <c r="N1306">
        <f>J1306+L1306</f>
        <v>1.13</v>
      </c>
      <c r="T1306" t="str">
        <v>x</v>
      </c>
      <c r="U1306">
        <f>0.006165*F1306^2</f>
        <v>0.39456</v>
      </c>
      <c r="V1306" t="str">
        <v>x</v>
      </c>
      <c r="W1306">
        <f>IF(D1287&gt;4*G1285,ROUND(MAX(D1287/4,2*G1285)/H1306,0)+1,0)</f>
        <v>10</v>
      </c>
      <c r="X1306" t="str">
        <v>x</v>
      </c>
      <c r="Y1306">
        <f>D1290</f>
        <v>1</v>
      </c>
      <c r="Z1306" t="str">
        <v>=</v>
      </c>
      <c r="AA1306">
        <f>N1306*U1306*W1306*Y1306</f>
        <v>4.458528</v>
      </c>
    </row>
    <row r="1308">
      <c r="A1308" t="str">
        <f>A1284</f>
        <v>Sloof</v>
      </c>
      <c r="B1308" t="str">
        <f>B1284</f>
        <v>37A</v>
      </c>
      <c r="C1308" t="str">
        <v>Kait Horizontal Tump.</v>
      </c>
      <c r="D1308">
        <f>VLOOKUP(D1284,'Detail Balok'!$C$10:$BJ$110,46,FALSE)</f>
        <v>0</v>
      </c>
      <c r="E1308" t="str">
        <v>D</v>
      </c>
      <c r="F1308">
        <f>VLOOKUP(D1284,'Detail Balok'!$C$10:$BJ$110,48,FALSE)</f>
        <v>0</v>
      </c>
      <c r="G1308" t="str">
        <v>-</v>
      </c>
      <c r="H1308">
        <f>VLOOKUP(D1284,'Detail Balok'!$C$10:$BJ$110,50,FALSE)</f>
        <v>100</v>
      </c>
      <c r="J1308">
        <f>(D1285-2*F$5)/1000</f>
        <v>0.12</v>
      </c>
      <c r="K1308" t="str">
        <v>+</v>
      </c>
      <c r="L1308">
        <f>IF(D1308=0,2*MAX(6*F1308,75),(D1308-1)*2*MAX(6*F1308,75))/1000</f>
        <v>0.15</v>
      </c>
      <c r="M1308" t="str">
        <v>=</v>
      </c>
      <c r="N1308">
        <f>J1308+L1308</f>
        <v>0.27</v>
      </c>
      <c r="T1308" t="str">
        <v>x</v>
      </c>
      <c r="U1308">
        <f>0.006165*F1308^2</f>
        <v>0</v>
      </c>
      <c r="V1308" t="str">
        <v>x</v>
      </c>
      <c r="W1308">
        <f>W1304</f>
        <v>10</v>
      </c>
      <c r="X1308" t="str">
        <v>x</v>
      </c>
      <c r="Y1308">
        <f>D1294</f>
        <v>3</v>
      </c>
      <c r="Z1308" t="str">
        <v>=</v>
      </c>
      <c r="AA1308">
        <f>N1308*U1308*W1308*Y1308</f>
        <v>0</v>
      </c>
    </row>
    <row r="1309">
      <c r="A1309" t="str">
        <f>A1284</f>
        <v>Sloof</v>
      </c>
      <c r="B1309" t="str">
        <f>B1284</f>
        <v>37A</v>
      </c>
      <c r="C1309" t="str">
        <v>Kait Horizontal Lap.</v>
      </c>
      <c r="D1309">
        <f>VLOOKUP(D1284,'Detail Balok'!$C$10:$BJ$110,51,FALSE)</f>
        <v>0</v>
      </c>
      <c r="E1309" t="str">
        <v>D</v>
      </c>
      <c r="F1309">
        <f>VLOOKUP(D1284,'Detail Balok'!$C$10:$BJ$110,53,FALSE)</f>
        <v>0</v>
      </c>
      <c r="G1309" t="str">
        <v>-</v>
      </c>
      <c r="H1309">
        <f>VLOOKUP(D1284,'Detail Balok'!$C$10:$BJ$110,55,FALSE)</f>
        <v>100</v>
      </c>
      <c r="J1309">
        <f>(D1285-2*F$5)/1000</f>
        <v>0.12</v>
      </c>
      <c r="K1309" t="str">
        <v>+</v>
      </c>
      <c r="L1309">
        <f>IF(D1309=0,2*MAX(6*F1309,75),(D1309-1)*2*MAX(6*F1309,75))/1000</f>
        <v>0.15</v>
      </c>
      <c r="M1309" t="str">
        <v>=</v>
      </c>
      <c r="N1309">
        <f>J1309+L1309</f>
        <v>0.27</v>
      </c>
      <c r="T1309" t="str">
        <v>x</v>
      </c>
      <c r="U1309">
        <f>0.006165*F1309^2</f>
        <v>0</v>
      </c>
      <c r="V1309" t="str">
        <v>x</v>
      </c>
      <c r="W1309">
        <f>W1305</f>
        <v>19</v>
      </c>
      <c r="X1309" t="str">
        <v>x</v>
      </c>
      <c r="Y1309">
        <f>D1294</f>
        <v>3</v>
      </c>
      <c r="Z1309" t="str">
        <v>=</v>
      </c>
      <c r="AA1309">
        <f>N1309*U1309*W1309*Y1309</f>
        <v>0</v>
      </c>
    </row>
    <row r="1310">
      <c r="A1310" t="str">
        <f>A1284</f>
        <v>Sloof</v>
      </c>
      <c r="B1310" t="str">
        <f>B1284</f>
        <v>37A</v>
      </c>
      <c r="C1310" t="str">
        <v>Kait Horizontal Tump.</v>
      </c>
      <c r="D1310">
        <f>VLOOKUP(D1284,'Detail Balok'!$C$10:$BJ$110,56,FALSE)</f>
        <v>0</v>
      </c>
      <c r="E1310" t="str">
        <v>D</v>
      </c>
      <c r="F1310">
        <f>VLOOKUP(D1284,'Detail Balok'!$C$10:$BJ$110,58,FALSE)</f>
        <v>0</v>
      </c>
      <c r="G1310" t="str">
        <v>-</v>
      </c>
      <c r="H1310">
        <f>VLOOKUP(D1284,'Detail Balok'!$C$10:$BJ$110,60,FALSE)</f>
        <v>100</v>
      </c>
      <c r="J1310">
        <f>(D1285-2*F$5)/1000</f>
        <v>0.12</v>
      </c>
      <c r="K1310" t="str">
        <v>+</v>
      </c>
      <c r="L1310">
        <f>IF(D1310=0,2*MAX(6*F1310,75),(D1310-1)*2*MAX(6*F1310,75))/1000</f>
        <v>0.15</v>
      </c>
      <c r="M1310" t="str">
        <v>=</v>
      </c>
      <c r="N1310">
        <f>J1310+L1310</f>
        <v>0.27</v>
      </c>
      <c r="T1310" t="str">
        <v>x</v>
      </c>
      <c r="U1310">
        <f>0.006165*F1310^2</f>
        <v>0</v>
      </c>
      <c r="V1310" t="str">
        <v>x</v>
      </c>
      <c r="W1310">
        <f>W1306</f>
        <v>10</v>
      </c>
      <c r="X1310" t="str">
        <v>x</v>
      </c>
      <c r="Y1310">
        <f>D1294</f>
        <v>3</v>
      </c>
      <c r="Z1310" t="str">
        <v>=</v>
      </c>
      <c r="AA1310">
        <f>N1310*U1310*W1310*Y1310</f>
        <v>0</v>
      </c>
    </row>
    <row r="1314">
      <c r="A1314" t="str">
        <f>A1254</f>
        <v>Sloof</v>
      </c>
      <c r="B1314">
        <f>B1254+1</f>
        <v>38</v>
      </c>
      <c r="C1314" t="str">
        <f>CONCATENATE(A1314," no. ",B1314)</f>
        <v>Sloof no. 38</v>
      </c>
      <c r="D1314" t="str">
        <f>VLOOKUP(C1314,'Data Panjang Balok'!$C$9:$N$424,2,FALSE)</f>
        <v>TB25-2</v>
      </c>
    </row>
    <row r="1315">
      <c r="C1315" t="str">
        <v>Dimensi</v>
      </c>
      <c r="D1315">
        <f>VLOOKUP(D1314,'Detail Balok'!$C$10:$AU$110,2,FALSE)</f>
        <v>200</v>
      </c>
      <c r="F1315" t="str">
        <v>x</v>
      </c>
      <c r="G1315">
        <f>VLOOKUP(D1314,'Detail Balok'!$C$10:$AU$110,3,FALSE)</f>
        <v>500</v>
      </c>
    </row>
    <row r="1316">
      <c r="C1316" t="str">
        <v>Panjang as ke as</v>
      </c>
      <c r="D1316">
        <f>VLOOKUP(C1314,'Data Panjang Balok'!$C$9:$N$424,4,FALSE)</f>
        <v>7100</v>
      </c>
    </row>
    <row r="1317">
      <c r="C1317" t="str">
        <v>Panjang netto</v>
      </c>
      <c r="D1317">
        <f>VLOOKUP(C1314,'Data Panjang Balok'!$C$9:$N$424,7,FALSE)</f>
        <v>7100</v>
      </c>
    </row>
    <row r="1318">
      <c r="C1318" t="str">
        <v>Kolom / balok kiri</v>
      </c>
      <c r="D1318">
        <f>VLOOKUP(C1314,'Data Panjang Balok'!$C$9:$N$424,9,FALSE)</f>
        <v>0</v>
      </c>
    </row>
    <row r="1319">
      <c r="C1319" t="str">
        <v>Kolom / balok kanan</v>
      </c>
      <c r="D1319">
        <f>VLOOKUP(C1314,'Data Panjang Balok'!$C$9:$N$424,10,FALSE)</f>
        <v>0</v>
      </c>
    </row>
    <row r="1320">
      <c r="C1320" t="str">
        <v>Jumlah</v>
      </c>
      <c r="D1320">
        <f>VLOOKUP(C1314,'Data Panjang Balok'!$C$9:$N$424,3,FALSE)</f>
        <v>1</v>
      </c>
    </row>
    <row r="1321">
      <c r="A1321" t="str">
        <f>A1314</f>
        <v>Sloof</v>
      </c>
      <c r="B1321">
        <f>B1314</f>
        <v>38</v>
      </c>
      <c r="C1321" t="str">
        <v>Tul Atas Tumpuan</v>
      </c>
      <c r="D1321">
        <f>VLOOKUP(D1314,'Detail Balok'!$C$10:$AU$110,4,FALSE)</f>
        <v>4</v>
      </c>
      <c r="E1321" t="str">
        <v>D</v>
      </c>
      <c r="F1321">
        <f>VLOOKUP(D1314,'Detail Balok'!$C$10:$AU$110,6,FALSE)</f>
        <v>16</v>
      </c>
      <c r="I1321" t="str">
        <v>(</v>
      </c>
      <c r="J1321">
        <f>+D1316/4/1000</f>
        <v>1.775</v>
      </c>
      <c r="K1321" t="str">
        <v>+</v>
      </c>
      <c r="L1321">
        <f>MAX(VLOOKUP(F1321,N$6:P$15,3,FALSE)/1000,2/3*D1318/1000)+F$16*F1321/1000</f>
        <v>0.192</v>
      </c>
      <c r="M1321" t="str">
        <v>=</v>
      </c>
      <c r="N1321">
        <f>J1321+L1321</f>
        <v>1.9669999999999999</v>
      </c>
      <c r="O1321" t="str">
        <v>+</v>
      </c>
      <c r="P1321">
        <f>D1321-D1322</f>
        <v>2</v>
      </c>
      <c r="Q1321" t="str">
        <v>x</v>
      </c>
      <c r="R1321">
        <f>IF(P1321&gt;0,$F$18*F1321/1000,0)</f>
        <v>0.24</v>
      </c>
      <c r="S1321" t="str">
        <v>)</v>
      </c>
      <c r="T1321" t="str">
        <v>x</v>
      </c>
      <c r="U1321">
        <f>0.006165*F1321^2</f>
        <v>1.57824</v>
      </c>
      <c r="X1321" t="str">
        <v>x</v>
      </c>
      <c r="Y1321">
        <f>D1320</f>
        <v>1</v>
      </c>
      <c r="Z1321" t="str">
        <v>=</v>
      </c>
      <c r="AA1321">
        <f>IF(AA1324=0,(D1321*N1321+P1321*R1321)*U1321*Y1321,0)</f>
        <v>13.17514752</v>
      </c>
    </row>
    <row r="1322">
      <c r="A1322" t="str">
        <f>A1314</f>
        <v>Sloof</v>
      </c>
      <c r="B1322">
        <f>B1314</f>
        <v>38</v>
      </c>
      <c r="C1322" t="str">
        <v>Tul Atas Lapangan</v>
      </c>
      <c r="D1322">
        <f>VLOOKUP(D1314,'Detail Balok'!$C$10:$AU$110,7,FALSE)</f>
        <v>2</v>
      </c>
      <c r="E1322" t="str">
        <v>D</v>
      </c>
      <c r="F1322">
        <f>VLOOKUP(D1314,'Detail Balok'!$C$10:$AU$110,9,FALSE)</f>
        <v>16</v>
      </c>
      <c r="I1322" t="str">
        <v>(</v>
      </c>
      <c r="J1322">
        <f>+D1316/2/1000</f>
        <v>3.55</v>
      </c>
      <c r="K1322" t="str">
        <v>+</v>
      </c>
      <c r="M1322" t="str">
        <v>=</v>
      </c>
      <c r="N1322">
        <f>J1322+L1322</f>
        <v>3.55</v>
      </c>
      <c r="O1322" t="str">
        <v>+</v>
      </c>
      <c r="P1322">
        <f>MAX(D1322-D1321,D1322-D1323)</f>
        <v>-2</v>
      </c>
      <c r="Q1322" t="str">
        <v>x</v>
      </c>
      <c r="R1322">
        <f>IF(P1322&gt;0,2*(1-2*$F$19-1/2)*D1317/1000,0)</f>
        <v>0</v>
      </c>
      <c r="S1322" t="str">
        <v>)</v>
      </c>
      <c r="T1322" t="str">
        <v>x</v>
      </c>
      <c r="U1322">
        <f>0.006165*F1322^2</f>
        <v>1.57824</v>
      </c>
      <c r="X1322" t="str">
        <v>x</v>
      </c>
      <c r="Y1322">
        <f>D1320</f>
        <v>1</v>
      </c>
      <c r="Z1322" t="str">
        <v>=</v>
      </c>
      <c r="AA1322">
        <f>IF(AA1324=0,(D1322*N1322+P1322*R1322)*U1322*Y1322,0)</f>
        <v>11.205504</v>
      </c>
    </row>
    <row r="1323">
      <c r="A1323" t="str">
        <f>A1314</f>
        <v>Sloof</v>
      </c>
      <c r="B1323">
        <f>B1314</f>
        <v>38</v>
      </c>
      <c r="C1323" t="str">
        <v>Tul Atas Tumpuan</v>
      </c>
      <c r="D1323">
        <f>VLOOKUP(D1314,'Detail Balok'!$C$10:$AU$110,10,FALSE)</f>
        <v>4</v>
      </c>
      <c r="E1323" t="str">
        <v>D</v>
      </c>
      <c r="F1323">
        <f>VLOOKUP(D1314,'Detail Balok'!$C$10:$AU$110,12,FALSE)</f>
        <v>16</v>
      </c>
      <c r="I1323" t="str">
        <v>(</v>
      </c>
      <c r="J1323">
        <f>+D1316/4/1000</f>
        <v>1.775</v>
      </c>
      <c r="K1323" t="str">
        <v>+</v>
      </c>
      <c r="L1323">
        <f>MAX(VLOOKUP(F1323,N$6:P$15,3,FALSE)/1000,2/3*D1318/1000)+F$16*F1323/1000</f>
        <v>0.192</v>
      </c>
      <c r="M1323" t="str">
        <v>=</v>
      </c>
      <c r="N1323">
        <f>J1323+L1323</f>
        <v>1.9669999999999999</v>
      </c>
      <c r="O1323" t="str">
        <v>+</v>
      </c>
      <c r="P1323">
        <f>D1323-D1322</f>
        <v>2</v>
      </c>
      <c r="Q1323" t="str">
        <v>x</v>
      </c>
      <c r="R1323">
        <f>IF(P1323&gt;0,$F$18*F1323/1000,0)</f>
        <v>0.24</v>
      </c>
      <c r="S1323" t="str">
        <v>)</v>
      </c>
      <c r="T1323" t="str">
        <v>x</v>
      </c>
      <c r="U1323">
        <f>0.006165*F1323^2</f>
        <v>1.57824</v>
      </c>
      <c r="X1323" t="str">
        <v>x</v>
      </c>
      <c r="Y1323">
        <f>D1320</f>
        <v>1</v>
      </c>
      <c r="Z1323" t="str">
        <v>=</v>
      </c>
      <c r="AA1323">
        <f>IF(AA1324=0,(D1323*N1323+P1323*R1323)*U1323*Y1323,0)</f>
        <v>13.17514752</v>
      </c>
    </row>
    <row r="1324">
      <c r="A1324" t="str">
        <f>A1314</f>
        <v>Sloof</v>
      </c>
      <c r="B1324">
        <f>B1314</f>
        <v>38</v>
      </c>
      <c r="D1324">
        <f>IF(AND(D1321=D1322,D1322=D1323,D1321=D1323),D1321,0)</f>
        <v>0</v>
      </c>
      <c r="E1324" t="str">
        <v>D</v>
      </c>
      <c r="F1324">
        <f>IF(AND(F1321=F1322,F1321=F1323,F1322=F1323),F1321,0)</f>
        <v>16</v>
      </c>
      <c r="L1324" t="str">
        <v>Total panjang per balok</v>
      </c>
      <c r="M1324" t="str">
        <v>=</v>
      </c>
      <c r="N1324">
        <f>IF(AND(D1321=D1322,D1321=D1323,D1322=D1323,F1321=F1322,F1321=F1323,F1322=F1323),SUM(N1321:N1323),0)</f>
        <v>0</v>
      </c>
      <c r="O1324" t="str">
        <v>+</v>
      </c>
      <c r="P1324">
        <f>IF(N1324&gt;12,ROUNDDOWN(N1324/12,0),0)</f>
        <v>0</v>
      </c>
      <c r="Q1324" t="str">
        <v>x</v>
      </c>
      <c r="R1324">
        <f>IF(P1324&gt;0,MAX(VLOOKUP(F1324,$D$6:$G$15,3,FALSE),600),0)/1000</f>
        <v>0</v>
      </c>
      <c r="T1324" t="str">
        <v>x</v>
      </c>
      <c r="U1324">
        <f>U1323</f>
        <v>1.57824</v>
      </c>
      <c r="V1324" t="str">
        <v>x</v>
      </c>
      <c r="W1324">
        <f>D1324</f>
        <v>0</v>
      </c>
      <c r="X1324" t="str">
        <v>x</v>
      </c>
      <c r="Y1324">
        <f>Y1323</f>
        <v>1</v>
      </c>
      <c r="Z1324" t="str">
        <v>=</v>
      </c>
      <c r="AA1324">
        <f>(N1324+P1324*R1324/1000)*U1324*W1324*Y1324</f>
        <v>0</v>
      </c>
    </row>
    <row r="1326">
      <c r="A1326" t="str">
        <f>A1314</f>
        <v>Sloof</v>
      </c>
      <c r="B1326">
        <f>B1314</f>
        <v>38</v>
      </c>
      <c r="C1326" t="str">
        <v>Tul Peminggang</v>
      </c>
      <c r="D1326">
        <f>VLOOKUP(D1314,'Detail Balok'!$C$10:$AU$110,13,FALSE)</f>
        <v>2</v>
      </c>
      <c r="E1326" t="str">
        <v>D</v>
      </c>
      <c r="F1326">
        <f>VLOOKUP(D1314,'Detail Balok'!$C$10:$AU$110,15,FALSE)</f>
        <v>10</v>
      </c>
      <c r="J1326">
        <f>+D1316/1000</f>
        <v>7.1</v>
      </c>
      <c r="K1326" t="str">
        <v>+</v>
      </c>
      <c r="L1326">
        <f>2*$F$16*F1326/1000</f>
        <v>0.24</v>
      </c>
      <c r="M1326" t="str">
        <v>=</v>
      </c>
      <c r="N1326">
        <f>J1326+L1326</f>
        <v>7.34</v>
      </c>
      <c r="O1326" t="str">
        <v>+</v>
      </c>
      <c r="P1326">
        <f>IF(N1326&gt;12,ROUNDDOWN(N1326/12,0),0)</f>
        <v>0</v>
      </c>
      <c r="Q1326" t="str">
        <v>x</v>
      </c>
      <c r="R1326">
        <f>IF(P1326&gt;0,MAX(VLOOKUP(F1326,$D$6:$G$15,3,FALSE),600),0)/1000</f>
        <v>0</v>
      </c>
      <c r="T1326" t="str">
        <v>x</v>
      </c>
      <c r="U1326">
        <f>0.006165*F1326^2</f>
        <v>0.6165</v>
      </c>
      <c r="V1326" t="str">
        <v>x</v>
      </c>
      <c r="W1326">
        <f>+D1326</f>
        <v>2</v>
      </c>
      <c r="X1326" t="str">
        <v>x</v>
      </c>
      <c r="Y1326">
        <f>D1320</f>
        <v>1</v>
      </c>
      <c r="Z1326" t="str">
        <v>=</v>
      </c>
      <c r="AA1326">
        <f>(N1326+P1326*R1326/1000)*U1326*W1326*Y1326</f>
        <v>9.050220000000001</v>
      </c>
    </row>
    <row r="1329">
      <c r="A1329" t="str">
        <f>A1314</f>
        <v>Sloof</v>
      </c>
      <c r="B1329">
        <f>B1314</f>
        <v>38</v>
      </c>
      <c r="C1329" t="str">
        <v>Tul Bawah Tumpuan</v>
      </c>
      <c r="D1329">
        <f>VLOOKUP(D1314,'Detail Balok'!$C$10:$AU$110,22,FALSE)</f>
        <v>4</v>
      </c>
      <c r="E1329" t="str">
        <v>D</v>
      </c>
      <c r="F1329">
        <f>VLOOKUP(D1314,'Detail Balok'!$C$10:$AU$110,24,FALSE)</f>
        <v>16</v>
      </c>
      <c r="I1329" t="str">
        <v>(</v>
      </c>
      <c r="J1329">
        <f>+J1321</f>
        <v>1.775</v>
      </c>
      <c r="K1329" t="str">
        <v>+</v>
      </c>
      <c r="L1329">
        <f>MAX(VLOOKUP(F1329,N$6:P$15,3,FALSE)/1000,2/3*D1319/1000)+F$16*F1329/1000</f>
        <v>0.192</v>
      </c>
      <c r="M1329" t="str">
        <v>=</v>
      </c>
      <c r="N1329">
        <f>J1329+L1329</f>
        <v>1.9669999999999999</v>
      </c>
      <c r="O1329" t="str">
        <v>+</v>
      </c>
      <c r="P1329">
        <f>D1329-D1330</f>
        <v>0</v>
      </c>
      <c r="Q1329" t="str">
        <v>x</v>
      </c>
      <c r="R1329">
        <f>IF(P1329&gt;0,$F$18*F1329/1000,0)</f>
        <v>0</v>
      </c>
      <c r="S1329" t="str">
        <v>)</v>
      </c>
      <c r="T1329" t="str">
        <v>x</v>
      </c>
      <c r="U1329">
        <f>0.006165*F1329^2</f>
        <v>1.57824</v>
      </c>
      <c r="X1329" t="str">
        <v>x</v>
      </c>
      <c r="Y1329">
        <f>D1320</f>
        <v>1</v>
      </c>
      <c r="Z1329" t="str">
        <v>=</v>
      </c>
      <c r="AA1329">
        <f>IF(AA1332=0,(D1329*N1329+P1329*R1329)*U1329*Y1329,0)</f>
        <v>0</v>
      </c>
    </row>
    <row r="1330">
      <c r="A1330" t="str">
        <f>A1314</f>
        <v>Sloof</v>
      </c>
      <c r="B1330">
        <f>B1314</f>
        <v>38</v>
      </c>
      <c r="C1330" t="str">
        <v>Tul Bawah Lapangan</v>
      </c>
      <c r="D1330">
        <f>VLOOKUP(D1314,'Detail Balok'!$C$10:$AU$110,25,FALSE)</f>
        <v>4</v>
      </c>
      <c r="E1330" t="str">
        <v>D</v>
      </c>
      <c r="F1330">
        <f>VLOOKUP(D1314,'Detail Balok'!$C$10:$AU$110,27,FALSE)</f>
        <v>16</v>
      </c>
      <c r="I1330" t="str">
        <v>(</v>
      </c>
      <c r="J1330">
        <f>+J1322</f>
        <v>3.55</v>
      </c>
      <c r="K1330" t="str">
        <v>+</v>
      </c>
      <c r="M1330" t="str">
        <v>=</v>
      </c>
      <c r="N1330">
        <f>J1330+L1330</f>
        <v>3.55</v>
      </c>
      <c r="O1330" t="str">
        <v>+</v>
      </c>
      <c r="P1330">
        <f>MAX(D1330-D1329,D1330-D1331)</f>
        <v>0</v>
      </c>
      <c r="Q1330" t="str">
        <v>x</v>
      </c>
      <c r="R1330">
        <f>IF(P1330&gt;0,2*(1-2*$F$19-1/2)*D1317/1000,0)</f>
        <v>0</v>
      </c>
      <c r="S1330" t="str">
        <v>)</v>
      </c>
      <c r="T1330" t="str">
        <v>x</v>
      </c>
      <c r="U1330">
        <f>0.006165*F1330^2</f>
        <v>1.57824</v>
      </c>
      <c r="X1330" t="str">
        <v>x</v>
      </c>
      <c r="Y1330">
        <f>D1320</f>
        <v>1</v>
      </c>
      <c r="Z1330" t="str">
        <v>=</v>
      </c>
      <c r="AA1330">
        <f>IF(AA1332=0,(D1330*N1330+P1330*R1330)*U1330*Y1330,0)</f>
        <v>0</v>
      </c>
    </row>
    <row r="1331">
      <c r="A1331" t="str">
        <f>A1314</f>
        <v>Sloof</v>
      </c>
      <c r="B1331">
        <f>B1314</f>
        <v>38</v>
      </c>
      <c r="C1331" t="str">
        <v>Tul Bawah Tumpuan</v>
      </c>
      <c r="D1331">
        <f>VLOOKUP(D1314,'Detail Balok'!$C$10:$AU$110,28,FALSE)</f>
        <v>4</v>
      </c>
      <c r="E1331" t="str">
        <v>D</v>
      </c>
      <c r="F1331">
        <f>VLOOKUP(D1314,'Detail Balok'!$C$10:$AU$110,30,FALSE)</f>
        <v>16</v>
      </c>
      <c r="I1331" t="str">
        <v>(</v>
      </c>
      <c r="J1331">
        <f>+J1323</f>
        <v>1.775</v>
      </c>
      <c r="K1331" t="str">
        <v>+</v>
      </c>
      <c r="L1331">
        <f>MAX(VLOOKUP(F1331,N$6:P$15,3,FALSE)/1000,2/3*D1319/1000)+F$16*F1331/1000</f>
        <v>0.192</v>
      </c>
      <c r="M1331" t="str">
        <v>=</v>
      </c>
      <c r="N1331">
        <f>J1331+L1331</f>
        <v>1.9669999999999999</v>
      </c>
      <c r="O1331" t="str">
        <v>+</v>
      </c>
      <c r="P1331">
        <f>D1331-D1330</f>
        <v>0</v>
      </c>
      <c r="Q1331" t="str">
        <v>x</v>
      </c>
      <c r="R1331">
        <f>IF(P1331&gt;0,$F$18*F1331/1000,0)</f>
        <v>0</v>
      </c>
      <c r="S1331" t="str">
        <v>)</v>
      </c>
      <c r="T1331" t="str">
        <v>x</v>
      </c>
      <c r="U1331">
        <f>0.006165*F1331^2</f>
        <v>1.57824</v>
      </c>
      <c r="X1331" t="str">
        <v>x</v>
      </c>
      <c r="Y1331">
        <f>D1320</f>
        <v>1</v>
      </c>
      <c r="Z1331" t="str">
        <v>=</v>
      </c>
      <c r="AA1331">
        <f>IF(AA1332=0,(D1331*N1331+P1331*R1331)*U1331*Y1331,0)</f>
        <v>0</v>
      </c>
    </row>
    <row r="1332">
      <c r="A1332" t="str">
        <f>A1314</f>
        <v>Sloof</v>
      </c>
      <c r="B1332">
        <f>B1314</f>
        <v>38</v>
      </c>
      <c r="D1332">
        <f>IF(AND(D1329=D1330,D1330=D1331,D1329=D1331),D1329,0)</f>
        <v>4</v>
      </c>
      <c r="E1332" t="str">
        <v>D</v>
      </c>
      <c r="F1332">
        <f>IF(AND(F1329=F1330,F1329=F1331,F1330=F1331),F1329,0)</f>
        <v>16</v>
      </c>
      <c r="L1332" t="str">
        <v>Total panjang per balok</v>
      </c>
      <c r="M1332" t="str">
        <v>=</v>
      </c>
      <c r="N1332">
        <f>IF(AND(D1329=D1330,D1329=D1331,D1330=D1331,F1329=F1330,F1329=F1331,F1330=F1331),SUM(N1329:N1331),0)</f>
        <v>7.483999999999999</v>
      </c>
      <c r="O1332" t="str">
        <v>+</v>
      </c>
      <c r="P1332">
        <f>IF(N1332&gt;12,ROUNDDOWN(N1332/12,0),0)</f>
        <v>0</v>
      </c>
      <c r="Q1332" t="str">
        <v>x</v>
      </c>
      <c r="R1332">
        <f>IF(P1332&gt;0,MAX(VLOOKUP(F1332,$D$6:$G$15,3,FALSE),600),0)/1000</f>
        <v>0</v>
      </c>
      <c r="T1332" t="str">
        <v>x</v>
      </c>
      <c r="U1332">
        <f>U1331</f>
        <v>1.57824</v>
      </c>
      <c r="V1332" t="str">
        <v>x</v>
      </c>
      <c r="W1332">
        <f>D1332</f>
        <v>4</v>
      </c>
      <c r="X1332" t="str">
        <v>x</v>
      </c>
      <c r="Y1332">
        <f>Y1331</f>
        <v>1</v>
      </c>
      <c r="Z1332" t="str">
        <v>=</v>
      </c>
      <c r="AA1332">
        <f>(N1332+P1332*R1332/1000)*U1332*W1332*Y1332</f>
        <v>47.24619264</v>
      </c>
    </row>
    <row r="1334">
      <c r="A1334" t="str">
        <f>A1314</f>
        <v>Sloof</v>
      </c>
      <c r="B1334">
        <f>B1314</f>
        <v>38</v>
      </c>
      <c r="C1334" t="str">
        <v>Sengkang Tumpuan</v>
      </c>
      <c r="D1334">
        <f>VLOOKUP(D1314,'Detail Balok'!$C$10:$AU$110,31,FALSE)</f>
        <v>0</v>
      </c>
      <c r="E1334" t="str">
        <v>D</v>
      </c>
      <c r="F1334">
        <f>VLOOKUP(D1314,'Detail Balok'!$C$10:$AU$110,33,FALSE)</f>
        <v>10</v>
      </c>
      <c r="G1334" t="str">
        <v>-</v>
      </c>
      <c r="H1334">
        <f>VLOOKUP(D1314,'Detail Balok'!$C$10:$AU$110,35,FALSE)</f>
        <v>200</v>
      </c>
      <c r="J1334">
        <f>(IF(D1334=0,(2*(D1315+G1315))-(F$5*8),IF(D1334=3,(2*(D1315+G1315))-(F$5*8)+(G1315-2*F$5),IF(D1334=4,(2*(D1315+G1315))-(F$5*8)+2*(G1315-2*F$5)))))/1000</f>
        <v>1.08</v>
      </c>
      <c r="K1334" t="str">
        <v>+</v>
      </c>
      <c r="L1334">
        <f>IF(D1334=0,2*MAX(6*F1334,75),(D1334-1)*2*MAX(6*F1334,75))/1000</f>
        <v>0.15</v>
      </c>
      <c r="M1334" t="str">
        <v>=</v>
      </c>
      <c r="N1334">
        <f>J1334+L1334</f>
        <v>1.23</v>
      </c>
      <c r="T1334" t="str">
        <v>x</v>
      </c>
      <c r="U1334">
        <f>0.006165*F1334^2</f>
        <v>0.6165</v>
      </c>
      <c r="V1334" t="str">
        <v>x</v>
      </c>
      <c r="W1334">
        <f>IF(D1317&gt;4*G1315,ROUND(MAX(D1317/4,2*G1315)/H1334,0)+1,ROUND(D1317/H1334,0)+1)</f>
        <v>10</v>
      </c>
      <c r="X1334" t="str">
        <v>x</v>
      </c>
      <c r="Y1334">
        <f>D1320</f>
        <v>1</v>
      </c>
      <c r="Z1334" t="str">
        <v>=</v>
      </c>
      <c r="AA1334">
        <f>N1334*U1334*W1334*Y1334</f>
        <v>7.58295</v>
      </c>
    </row>
    <row r="1335">
      <c r="A1335" t="str">
        <f>A1314</f>
        <v>Sloof</v>
      </c>
      <c r="B1335">
        <f>B1314</f>
        <v>38</v>
      </c>
      <c r="C1335" t="str">
        <v>Sengkang Lapangan</v>
      </c>
      <c r="D1335">
        <f>VLOOKUP(D1314,'Detail Balok'!$C$10:$AU$110,36,FALSE)</f>
        <v>0</v>
      </c>
      <c r="E1335" t="str">
        <v>D</v>
      </c>
      <c r="F1335">
        <f>VLOOKUP(D1314,'Detail Balok'!$C$10:$AU$110,38,FALSE)</f>
        <v>10</v>
      </c>
      <c r="G1335" t="str">
        <v>-</v>
      </c>
      <c r="H1335">
        <f>VLOOKUP(D1314,'Detail Balok'!$C$10:$AU$110,40,FALSE)</f>
        <v>200</v>
      </c>
      <c r="J1335">
        <f>(IF(D1335=0,(2*(D1315+G1315))-(F$5*8),IF(D1335=3,(2*(D1315+G1315))-(F$5*8)+(G1315-2*F$5),IF(D1335=4,(2*(D1315+G1315))-(F$5*8)+2*(G1315-2*F$5)))))/1000</f>
        <v>1.08</v>
      </c>
      <c r="K1335" t="str">
        <v>+</v>
      </c>
      <c r="L1335">
        <f>IF(D1335=0,2*MAX(6*F1335,75),(D1335-1)*2*MAX(6*F1335,75))/1000</f>
        <v>0.15</v>
      </c>
      <c r="M1335" t="str">
        <v>=</v>
      </c>
      <c r="N1335">
        <f>J1335+L1335</f>
        <v>1.23</v>
      </c>
      <c r="T1335" t="str">
        <v>x</v>
      </c>
      <c r="U1335">
        <f>0.006165*F1335^2</f>
        <v>0.6165</v>
      </c>
      <c r="V1335" t="str">
        <v>x</v>
      </c>
      <c r="W1335">
        <f>IF(D1317-MAX(D1317/4,2*G1315)*2&gt;0,ROUND((D1317-MAX(D1317/4,2*G1315)*2)/H1335,0),0)</f>
        <v>18</v>
      </c>
      <c r="X1335" t="str">
        <v>x</v>
      </c>
      <c r="Y1335">
        <f>D1320</f>
        <v>1</v>
      </c>
      <c r="Z1335" t="str">
        <v>=</v>
      </c>
      <c r="AA1335">
        <f>N1335*U1335*W1335*Y1335</f>
        <v>13.649310000000002</v>
      </c>
    </row>
    <row r="1336">
      <c r="A1336" t="str">
        <f>A1314</f>
        <v>Sloof</v>
      </c>
      <c r="B1336">
        <f>B1314</f>
        <v>38</v>
      </c>
      <c r="C1336" t="str">
        <v>Sengkang Tumpuan</v>
      </c>
      <c r="D1336">
        <f>VLOOKUP(D1314,'Detail Balok'!$C$10:$AU$110,41,FALSE)</f>
        <v>0</v>
      </c>
      <c r="E1336" t="str">
        <v>D</v>
      </c>
      <c r="F1336">
        <f>VLOOKUP(D1314,'Detail Balok'!$C$10:$AU$110,43,FALSE)</f>
        <v>10</v>
      </c>
      <c r="G1336" t="str">
        <v>-</v>
      </c>
      <c r="H1336">
        <f>VLOOKUP(D1314,'Detail Balok'!$C$10:$AU$110,45,FALSE)</f>
        <v>200</v>
      </c>
      <c r="J1336">
        <f>(IF(D1336=0,(2*(D1315+G1315))-(F$5*8),IF(D1336=3,(2*(D1315+G1315))-(F$5*8)+(G1315-2*F$5),IF(D1336=4,(2*(D1315+G1315))-(F$5*8)+2*(G1315-2*F$5)))))/1000</f>
        <v>1.08</v>
      </c>
      <c r="K1336" t="str">
        <v>+</v>
      </c>
      <c r="L1336">
        <f>IF(D1336=0,2*MAX(6*F1336,75),(D1336-1)*2*MAX(6*F1336,75))/1000</f>
        <v>0.15</v>
      </c>
      <c r="M1336" t="str">
        <v>=</v>
      </c>
      <c r="N1336">
        <f>J1336+L1336</f>
        <v>1.23</v>
      </c>
      <c r="T1336" t="str">
        <v>x</v>
      </c>
      <c r="U1336">
        <f>0.006165*F1336^2</f>
        <v>0.6165</v>
      </c>
      <c r="V1336" t="str">
        <v>x</v>
      </c>
      <c r="W1336">
        <f>IF(D1317&gt;4*G1315,ROUND(MAX(D1317/4,2*G1315)/H1336,0)+1,0)</f>
        <v>10</v>
      </c>
      <c r="X1336" t="str">
        <v>x</v>
      </c>
      <c r="Y1336">
        <f>D1320</f>
        <v>1</v>
      </c>
      <c r="Z1336" t="str">
        <v>=</v>
      </c>
      <c r="AA1336">
        <f>N1336*U1336*W1336*Y1336</f>
        <v>7.58295</v>
      </c>
    </row>
    <row r="1338">
      <c r="A1338" t="str">
        <f>A1314</f>
        <v>Sloof</v>
      </c>
      <c r="B1338">
        <f>B1314</f>
        <v>38</v>
      </c>
      <c r="C1338" t="str">
        <v>Kait Horizontal Tump.</v>
      </c>
      <c r="D1338">
        <f>VLOOKUP(D1314,'Detail Balok'!$C$10:$BJ$110,46,FALSE)</f>
        <v>0</v>
      </c>
      <c r="E1338" t="str">
        <v>D</v>
      </c>
      <c r="F1338">
        <f>VLOOKUP(D1314,'Detail Balok'!$C$10:$BJ$110,48,FALSE)</f>
        <v>0</v>
      </c>
      <c r="G1338" t="str">
        <v>-</v>
      </c>
      <c r="H1338">
        <f>VLOOKUP(D1314,'Detail Balok'!$C$10:$BJ$110,50,FALSE)</f>
        <v>100</v>
      </c>
      <c r="J1338">
        <f>(D1315-2*F$5)/1000</f>
        <v>0.12</v>
      </c>
      <c r="K1338" t="str">
        <v>+</v>
      </c>
      <c r="L1338">
        <f>IF(D1338=0,2*MAX(6*F1338,75),(D1338-1)*2*MAX(6*F1338,75))/1000</f>
        <v>0.15</v>
      </c>
      <c r="M1338" t="str">
        <v>=</v>
      </c>
      <c r="N1338">
        <f>J1338+L1338</f>
        <v>0.27</v>
      </c>
      <c r="T1338" t="str">
        <v>x</v>
      </c>
      <c r="U1338">
        <f>0.006165*F1338^2</f>
        <v>0</v>
      </c>
      <c r="V1338" t="str">
        <v>x</v>
      </c>
      <c r="W1338">
        <f>W1334</f>
        <v>10</v>
      </c>
      <c r="X1338" t="str">
        <v>x</v>
      </c>
      <c r="Y1338">
        <f>D1324</f>
        <v>0</v>
      </c>
      <c r="Z1338" t="str">
        <v>=</v>
      </c>
      <c r="AA1338">
        <f>N1338*U1338*W1338*Y1338</f>
        <v>0</v>
      </c>
    </row>
    <row r="1339">
      <c r="A1339" t="str">
        <f>A1314</f>
        <v>Sloof</v>
      </c>
      <c r="B1339">
        <f>B1314</f>
        <v>38</v>
      </c>
      <c r="C1339" t="str">
        <v>Kait Horizontal Lap.</v>
      </c>
      <c r="D1339">
        <f>VLOOKUP(D1314,'Detail Balok'!$C$10:$BJ$110,51,FALSE)</f>
        <v>0</v>
      </c>
      <c r="E1339" t="str">
        <v>D</v>
      </c>
      <c r="F1339">
        <f>VLOOKUP(D1314,'Detail Balok'!$C$10:$BJ$110,53,FALSE)</f>
        <v>0</v>
      </c>
      <c r="G1339" t="str">
        <v>-</v>
      </c>
      <c r="H1339">
        <f>VLOOKUP(D1314,'Detail Balok'!$C$10:$BJ$110,55,FALSE)</f>
        <v>100</v>
      </c>
      <c r="J1339">
        <f>(D1315-2*F$5)/1000</f>
        <v>0.12</v>
      </c>
      <c r="K1339" t="str">
        <v>+</v>
      </c>
      <c r="L1339">
        <f>IF(D1339=0,2*MAX(6*F1339,75),(D1339-1)*2*MAX(6*F1339,75))/1000</f>
        <v>0.15</v>
      </c>
      <c r="M1339" t="str">
        <v>=</v>
      </c>
      <c r="N1339">
        <f>J1339+L1339</f>
        <v>0.27</v>
      </c>
      <c r="T1339" t="str">
        <v>x</v>
      </c>
      <c r="U1339">
        <f>0.006165*F1339^2</f>
        <v>0</v>
      </c>
      <c r="V1339" t="str">
        <v>x</v>
      </c>
      <c r="W1339">
        <f>W1335</f>
        <v>18</v>
      </c>
      <c r="X1339" t="str">
        <v>x</v>
      </c>
      <c r="Y1339">
        <f>D1324</f>
        <v>0</v>
      </c>
      <c r="Z1339" t="str">
        <v>=</v>
      </c>
      <c r="AA1339">
        <f>N1339*U1339*W1339*Y1339</f>
        <v>0</v>
      </c>
    </row>
    <row r="1340">
      <c r="A1340" t="str">
        <f>A1314</f>
        <v>Sloof</v>
      </c>
      <c r="B1340">
        <f>B1314</f>
        <v>38</v>
      </c>
      <c r="C1340" t="str">
        <v>Kait Horizontal Tump.</v>
      </c>
      <c r="D1340">
        <f>VLOOKUP(D1314,'Detail Balok'!$C$10:$BJ$110,56,FALSE)</f>
        <v>0</v>
      </c>
      <c r="E1340" t="str">
        <v>D</v>
      </c>
      <c r="F1340">
        <f>VLOOKUP(D1314,'Detail Balok'!$C$10:$BJ$110,58,FALSE)</f>
        <v>0</v>
      </c>
      <c r="G1340" t="str">
        <v>-</v>
      </c>
      <c r="H1340">
        <f>VLOOKUP(D1314,'Detail Balok'!$C$10:$BJ$110,60,FALSE)</f>
        <v>100</v>
      </c>
      <c r="J1340">
        <f>(D1315-2*F$5)/1000</f>
        <v>0.12</v>
      </c>
      <c r="K1340" t="str">
        <v>+</v>
      </c>
      <c r="L1340">
        <f>IF(D1340=0,2*MAX(6*F1340,75),(D1340-1)*2*MAX(6*F1340,75))/1000</f>
        <v>0.15</v>
      </c>
      <c r="M1340" t="str">
        <v>=</v>
      </c>
      <c r="N1340">
        <f>J1340+L1340</f>
        <v>0.27</v>
      </c>
      <c r="T1340" t="str">
        <v>x</v>
      </c>
      <c r="U1340">
        <f>0.006165*F1340^2</f>
        <v>0</v>
      </c>
      <c r="V1340" t="str">
        <v>x</v>
      </c>
      <c r="W1340">
        <f>W1336</f>
        <v>10</v>
      </c>
      <c r="X1340" t="str">
        <v>x</v>
      </c>
      <c r="Y1340">
        <f>D1324</f>
        <v>0</v>
      </c>
      <c r="Z1340" t="str">
        <v>=</v>
      </c>
      <c r="AA1340">
        <f>N1340*U1340*W1340*Y1340</f>
        <v>0</v>
      </c>
    </row>
    <row r="1344">
      <c r="A1344" t="str">
        <f>A1314</f>
        <v>Sloof</v>
      </c>
      <c r="B1344">
        <f>B1314+1</f>
        <v>39</v>
      </c>
      <c r="C1344" t="str">
        <f>CONCATENATE(A1344," no. ",B1344)</f>
        <v>Sloof no. 39</v>
      </c>
      <c r="D1344" t="str">
        <f>VLOOKUP(C1344,'Data Panjang Balok'!$C$9:$N$424,2,FALSE)</f>
        <v>TB35-1</v>
      </c>
    </row>
    <row r="1345">
      <c r="C1345" t="str">
        <v>Dimensi</v>
      </c>
      <c r="D1345">
        <f>VLOOKUP(D1344,'Detail Balok'!$C$10:$AU$110,2,FALSE)</f>
        <v>300</v>
      </c>
      <c r="F1345" t="str">
        <v>x</v>
      </c>
      <c r="G1345">
        <f>VLOOKUP(D1344,'Detail Balok'!$C$10:$AU$110,3,FALSE)</f>
        <v>500</v>
      </c>
    </row>
    <row r="1346">
      <c r="C1346" t="str">
        <v>Panjang as ke as</v>
      </c>
      <c r="D1346">
        <f>VLOOKUP(C1344,'Data Panjang Balok'!$C$9:$N$424,4,FALSE)</f>
        <v>6885</v>
      </c>
    </row>
    <row r="1347">
      <c r="C1347" t="str">
        <v>Panjang netto</v>
      </c>
      <c r="D1347">
        <f>VLOOKUP(C1344,'Data Panjang Balok'!$C$9:$N$424,7,FALSE)</f>
        <v>6885</v>
      </c>
    </row>
    <row r="1348">
      <c r="C1348" t="str">
        <v>Kolom / balok kiri</v>
      </c>
      <c r="D1348">
        <f>VLOOKUP(C1344,'Data Panjang Balok'!$C$9:$N$424,9,FALSE)</f>
        <v>0</v>
      </c>
    </row>
    <row r="1349">
      <c r="C1349" t="str">
        <v>Kolom / balok kanan</v>
      </c>
      <c r="D1349">
        <f>VLOOKUP(C1344,'Data Panjang Balok'!$C$9:$N$424,10,FALSE)</f>
        <v>0</v>
      </c>
    </row>
    <row r="1350">
      <c r="C1350" t="str">
        <v>Jumlah</v>
      </c>
      <c r="D1350">
        <f>VLOOKUP(C1344,'Data Panjang Balok'!$C$9:$N$424,3,FALSE)</f>
        <v>1</v>
      </c>
    </row>
    <row r="1351">
      <c r="A1351" t="str">
        <f>A1344</f>
        <v>Sloof</v>
      </c>
      <c r="B1351">
        <f>B1344</f>
        <v>39</v>
      </c>
      <c r="C1351" t="str">
        <v>Tul Atas Tumpuan</v>
      </c>
      <c r="D1351">
        <f>VLOOKUP(D1344,'Detail Balok'!$C$10:$AU$110,4,FALSE)</f>
        <v>6</v>
      </c>
      <c r="E1351" t="str">
        <v>D</v>
      </c>
      <c r="F1351">
        <f>VLOOKUP(D1344,'Detail Balok'!$C$10:$AU$110,6,FALSE)</f>
        <v>16</v>
      </c>
      <c r="I1351" t="str">
        <v>(</v>
      </c>
      <c r="J1351">
        <f>+D1346/4/1000</f>
        <v>1.72125</v>
      </c>
      <c r="K1351" t="str">
        <v>+</v>
      </c>
      <c r="L1351">
        <f>MAX(VLOOKUP(F1351,N$6:P$15,3,FALSE)/1000,2/3*D1348/1000)+F$16*F1351/1000</f>
        <v>0.192</v>
      </c>
      <c r="M1351" t="str">
        <v>=</v>
      </c>
      <c r="N1351">
        <f>J1351+L1351</f>
        <v>1.91325</v>
      </c>
      <c r="O1351" t="str">
        <v>+</v>
      </c>
      <c r="P1351">
        <f>D1351-D1352</f>
        <v>3</v>
      </c>
      <c r="Q1351" t="str">
        <v>x</v>
      </c>
      <c r="R1351">
        <f>IF(P1351&gt;0,$F$18*F1351/1000,0)</f>
        <v>0.24</v>
      </c>
      <c r="S1351" t="str">
        <v>)</v>
      </c>
      <c r="T1351" t="str">
        <v>x</v>
      </c>
      <c r="U1351">
        <f>0.006165*F1351^2</f>
        <v>1.57824</v>
      </c>
      <c r="X1351" t="str">
        <v>x</v>
      </c>
      <c r="Y1351">
        <f>D1350</f>
        <v>1</v>
      </c>
      <c r="Z1351" t="str">
        <v>=</v>
      </c>
      <c r="AA1351">
        <f>IF(AA1354=0,(D1351*N1351+P1351*R1351)*U1351*Y1351,0)</f>
        <v>19.25373888</v>
      </c>
    </row>
    <row r="1352">
      <c r="A1352" t="str">
        <f>A1344</f>
        <v>Sloof</v>
      </c>
      <c r="B1352">
        <f>B1344</f>
        <v>39</v>
      </c>
      <c r="C1352" t="str">
        <v>Tul Atas Lapangan</v>
      </c>
      <c r="D1352">
        <f>VLOOKUP(D1344,'Detail Balok'!$C$10:$AU$110,7,FALSE)</f>
        <v>3</v>
      </c>
      <c r="E1352" t="str">
        <v>D</v>
      </c>
      <c r="F1352">
        <f>VLOOKUP(D1344,'Detail Balok'!$C$10:$AU$110,9,FALSE)</f>
        <v>16</v>
      </c>
      <c r="I1352" t="str">
        <v>(</v>
      </c>
      <c r="J1352">
        <f>+D1346/2/1000</f>
        <v>3.4425</v>
      </c>
      <c r="K1352" t="str">
        <v>+</v>
      </c>
      <c r="M1352" t="str">
        <v>=</v>
      </c>
      <c r="N1352">
        <f>J1352+L1352</f>
        <v>3.4425</v>
      </c>
      <c r="O1352" t="str">
        <v>+</v>
      </c>
      <c r="P1352">
        <f>MAX(D1352-D1351,D1352-D1353)</f>
        <v>-3</v>
      </c>
      <c r="Q1352" t="str">
        <v>x</v>
      </c>
      <c r="R1352">
        <f>IF(P1352&gt;0,2*(1-2*$F$19-1/2)*D1347/1000,0)</f>
        <v>0</v>
      </c>
      <c r="S1352" t="str">
        <v>)</v>
      </c>
      <c r="T1352" t="str">
        <v>x</v>
      </c>
      <c r="U1352">
        <f>0.006165*F1352^2</f>
        <v>1.57824</v>
      </c>
      <c r="X1352" t="str">
        <v>x</v>
      </c>
      <c r="Y1352">
        <f>D1350</f>
        <v>1</v>
      </c>
      <c r="Z1352" t="str">
        <v>=</v>
      </c>
      <c r="AA1352">
        <f>IF(AA1354=0,(D1352*N1352+P1352*R1352)*U1352*Y1352,0)</f>
        <v>16.299273600000003</v>
      </c>
    </row>
    <row r="1353">
      <c r="A1353" t="str">
        <f>A1344</f>
        <v>Sloof</v>
      </c>
      <c r="B1353">
        <f>B1344</f>
        <v>39</v>
      </c>
      <c r="C1353" t="str">
        <v>Tul Atas Tumpuan</v>
      </c>
      <c r="D1353">
        <f>VLOOKUP(D1344,'Detail Balok'!$C$10:$AU$110,10,FALSE)</f>
        <v>6</v>
      </c>
      <c r="E1353" t="str">
        <v>D</v>
      </c>
      <c r="F1353">
        <f>VLOOKUP(D1344,'Detail Balok'!$C$10:$AU$110,12,FALSE)</f>
        <v>16</v>
      </c>
      <c r="I1353" t="str">
        <v>(</v>
      </c>
      <c r="J1353">
        <f>+D1346/4/1000</f>
        <v>1.72125</v>
      </c>
      <c r="K1353" t="str">
        <v>+</v>
      </c>
      <c r="L1353">
        <f>MAX(VLOOKUP(F1353,N$6:P$15,3,FALSE)/1000,2/3*D1348/1000)+F$16*F1353/1000</f>
        <v>0.192</v>
      </c>
      <c r="M1353" t="str">
        <v>=</v>
      </c>
      <c r="N1353">
        <f>J1353+L1353</f>
        <v>1.91325</v>
      </c>
      <c r="O1353" t="str">
        <v>+</v>
      </c>
      <c r="P1353">
        <f>D1353-D1352</f>
        <v>3</v>
      </c>
      <c r="Q1353" t="str">
        <v>x</v>
      </c>
      <c r="R1353">
        <f>IF(P1353&gt;0,$F$18*F1353/1000,0)</f>
        <v>0.24</v>
      </c>
      <c r="S1353" t="str">
        <v>)</v>
      </c>
      <c r="T1353" t="str">
        <v>x</v>
      </c>
      <c r="U1353">
        <f>0.006165*F1353^2</f>
        <v>1.57824</v>
      </c>
      <c r="X1353" t="str">
        <v>x</v>
      </c>
      <c r="Y1353">
        <f>D1350</f>
        <v>1</v>
      </c>
      <c r="Z1353" t="str">
        <v>=</v>
      </c>
      <c r="AA1353">
        <f>IF(AA1354=0,(D1353*N1353+P1353*R1353)*U1353*Y1353,0)</f>
        <v>19.25373888</v>
      </c>
    </row>
    <row r="1354">
      <c r="A1354" t="str">
        <f>A1344</f>
        <v>Sloof</v>
      </c>
      <c r="B1354">
        <f>B1344</f>
        <v>39</v>
      </c>
      <c r="D1354">
        <f>IF(AND(D1351=D1352,D1352=D1353,D1351=D1353),D1351,0)</f>
        <v>0</v>
      </c>
      <c r="E1354" t="str">
        <v>D</v>
      </c>
      <c r="F1354">
        <f>IF(AND(F1351=F1352,F1351=F1353,F1352=F1353),F1351,0)</f>
        <v>16</v>
      </c>
      <c r="L1354" t="str">
        <v>Total panjang per balok</v>
      </c>
      <c r="M1354" t="str">
        <v>=</v>
      </c>
      <c r="N1354">
        <f>IF(AND(D1351=D1352,D1351=D1353,D1352=D1353,F1351=F1352,F1351=F1353,F1352=F1353),SUM(N1351:N1353),0)</f>
        <v>0</v>
      </c>
      <c r="O1354" t="str">
        <v>+</v>
      </c>
      <c r="P1354">
        <f>IF(N1354&gt;12,ROUNDDOWN(N1354/12,0),0)</f>
        <v>0</v>
      </c>
      <c r="Q1354" t="str">
        <v>x</v>
      </c>
      <c r="R1354">
        <f>IF(P1354&gt;0,MAX(VLOOKUP(F1354,$D$6:$G$15,3,FALSE),600),0)/1000</f>
        <v>0</v>
      </c>
      <c r="T1354" t="str">
        <v>x</v>
      </c>
      <c r="U1354">
        <f>U1353</f>
        <v>1.57824</v>
      </c>
      <c r="V1354" t="str">
        <v>x</v>
      </c>
      <c r="W1354">
        <f>D1354</f>
        <v>0</v>
      </c>
      <c r="X1354" t="str">
        <v>x</v>
      </c>
      <c r="Y1354">
        <f>Y1353</f>
        <v>1</v>
      </c>
      <c r="Z1354" t="str">
        <v>=</v>
      </c>
      <c r="AA1354">
        <f>(N1354+P1354*R1354/1000)*U1354*W1354*Y1354</f>
        <v>0</v>
      </c>
    </row>
    <row r="1356">
      <c r="A1356" t="str">
        <f>A1344</f>
        <v>Sloof</v>
      </c>
      <c r="B1356">
        <f>B1344</f>
        <v>39</v>
      </c>
      <c r="C1356" t="str">
        <v>Tul Peminggang</v>
      </c>
      <c r="D1356">
        <f>VLOOKUP(D1344,'Detail Balok'!$C$10:$AU$110,13,FALSE)</f>
        <v>2</v>
      </c>
      <c r="E1356" t="str">
        <v>D</v>
      </c>
      <c r="F1356">
        <f>VLOOKUP(D1344,'Detail Balok'!$C$10:$AU$110,15,FALSE)</f>
        <v>10</v>
      </c>
      <c r="J1356">
        <f>+D1346/1000</f>
        <v>6.885</v>
      </c>
      <c r="K1356" t="str">
        <v>+</v>
      </c>
      <c r="L1356">
        <f>2*$F$16*F1356/1000</f>
        <v>0.24</v>
      </c>
      <c r="M1356" t="str">
        <v>=</v>
      </c>
      <c r="N1356">
        <f>J1356+L1356</f>
        <v>7.125</v>
      </c>
      <c r="O1356" t="str">
        <v>+</v>
      </c>
      <c r="P1356">
        <f>IF(N1356&gt;12,ROUNDDOWN(N1356/12,0),0)</f>
        <v>0</v>
      </c>
      <c r="Q1356" t="str">
        <v>x</v>
      </c>
      <c r="R1356">
        <f>IF(P1356&gt;0,MAX(VLOOKUP(F1356,$D$6:$G$15,3,FALSE),600),0)/1000</f>
        <v>0</v>
      </c>
      <c r="T1356" t="str">
        <v>x</v>
      </c>
      <c r="U1356">
        <f>0.006165*F1356^2</f>
        <v>0.6165</v>
      </c>
      <c r="V1356" t="str">
        <v>x</v>
      </c>
      <c r="W1356">
        <f>+D1356</f>
        <v>2</v>
      </c>
      <c r="X1356" t="str">
        <v>x</v>
      </c>
      <c r="Y1356">
        <f>D1350</f>
        <v>1</v>
      </c>
      <c r="Z1356" t="str">
        <v>=</v>
      </c>
      <c r="AA1356">
        <f>(N1356+P1356*R1356/1000)*U1356*W1356*Y1356</f>
        <v>8.785125</v>
      </c>
    </row>
    <row r="1359">
      <c r="A1359" t="str">
        <f>A1344</f>
        <v>Sloof</v>
      </c>
      <c r="B1359">
        <f>B1344</f>
        <v>39</v>
      </c>
      <c r="C1359" t="str">
        <v>Tul Bawah Tumpuan</v>
      </c>
      <c r="D1359">
        <f>VLOOKUP(D1344,'Detail Balok'!$C$10:$AU$110,22,FALSE)</f>
        <v>3</v>
      </c>
      <c r="E1359" t="str">
        <v>D</v>
      </c>
      <c r="F1359">
        <f>VLOOKUP(D1344,'Detail Balok'!$C$10:$AU$110,24,FALSE)</f>
        <v>16</v>
      </c>
      <c r="I1359" t="str">
        <v>(</v>
      </c>
      <c r="J1359">
        <f>+J1351</f>
        <v>1.72125</v>
      </c>
      <c r="K1359" t="str">
        <v>+</v>
      </c>
      <c r="L1359">
        <f>MAX(VLOOKUP(F1359,N$6:P$15,3,FALSE)/1000,2/3*D1349/1000)+F$16*F1359/1000</f>
        <v>0.192</v>
      </c>
      <c r="M1359" t="str">
        <v>=</v>
      </c>
      <c r="N1359">
        <f>J1359+L1359</f>
        <v>1.91325</v>
      </c>
      <c r="O1359" t="str">
        <v>+</v>
      </c>
      <c r="P1359">
        <f>D1359-D1360</f>
        <v>-2</v>
      </c>
      <c r="Q1359" t="str">
        <v>x</v>
      </c>
      <c r="R1359">
        <f>IF(P1359&gt;0,$F$18*F1359/1000,0)</f>
        <v>0</v>
      </c>
      <c r="S1359" t="str">
        <v>)</v>
      </c>
      <c r="T1359" t="str">
        <v>x</v>
      </c>
      <c r="U1359">
        <f>0.006165*F1359^2</f>
        <v>1.57824</v>
      </c>
      <c r="X1359" t="str">
        <v>x</v>
      </c>
      <c r="Y1359">
        <f>D1350</f>
        <v>1</v>
      </c>
      <c r="Z1359" t="str">
        <v>=</v>
      </c>
      <c r="AA1359">
        <f>IF(AA1362=0,(D1359*N1359+P1359*R1359)*U1359*Y1359,0)</f>
        <v>9.058703040000001</v>
      </c>
    </row>
    <row r="1360">
      <c r="A1360" t="str">
        <f>A1344</f>
        <v>Sloof</v>
      </c>
      <c r="B1360">
        <f>B1344</f>
        <v>39</v>
      </c>
      <c r="C1360" t="str">
        <v>Tul Bawah Lapangan</v>
      </c>
      <c r="D1360">
        <f>VLOOKUP(D1344,'Detail Balok'!$C$10:$AU$110,25,FALSE)</f>
        <v>5</v>
      </c>
      <c r="E1360" t="str">
        <v>D</v>
      </c>
      <c r="F1360">
        <f>VLOOKUP(D1344,'Detail Balok'!$C$10:$AU$110,27,FALSE)</f>
        <v>16</v>
      </c>
      <c r="I1360" t="str">
        <v>(</v>
      </c>
      <c r="J1360">
        <f>+J1352</f>
        <v>3.4425</v>
      </c>
      <c r="K1360" t="str">
        <v>+</v>
      </c>
      <c r="M1360" t="str">
        <v>=</v>
      </c>
      <c r="N1360">
        <f>J1360+L1360</f>
        <v>3.4425</v>
      </c>
      <c r="O1360" t="str">
        <v>+</v>
      </c>
      <c r="P1360">
        <f>MAX(D1360-D1359,D1360-D1361)</f>
        <v>2</v>
      </c>
      <c r="Q1360" t="str">
        <v>x</v>
      </c>
      <c r="R1360">
        <f>IF(P1360&gt;0,2*(1-2*$F$19-1/2)*D1347/1000,0)</f>
        <v>1.3769999999999998</v>
      </c>
      <c r="S1360" t="str">
        <v>)</v>
      </c>
      <c r="T1360" t="str">
        <v>x</v>
      </c>
      <c r="U1360">
        <f>0.006165*F1360^2</f>
        <v>1.57824</v>
      </c>
      <c r="X1360" t="str">
        <v>x</v>
      </c>
      <c r="Y1360">
        <f>D1350</f>
        <v>1</v>
      </c>
      <c r="Z1360" t="str">
        <v>=</v>
      </c>
      <c r="AA1360">
        <f>IF(AA1362=0,(D1360*N1360+P1360*R1360)*U1360*Y1360,0)</f>
        <v>31.511928959999995</v>
      </c>
    </row>
    <row r="1361">
      <c r="A1361" t="str">
        <f>A1344</f>
        <v>Sloof</v>
      </c>
      <c r="B1361">
        <f>B1344</f>
        <v>39</v>
      </c>
      <c r="C1361" t="str">
        <v>Tul Bawah Tumpuan</v>
      </c>
      <c r="D1361">
        <f>VLOOKUP(D1344,'Detail Balok'!$C$10:$AU$110,28,FALSE)</f>
        <v>3</v>
      </c>
      <c r="E1361" t="str">
        <v>D</v>
      </c>
      <c r="F1361">
        <f>VLOOKUP(D1344,'Detail Balok'!$C$10:$AU$110,30,FALSE)</f>
        <v>16</v>
      </c>
      <c r="I1361" t="str">
        <v>(</v>
      </c>
      <c r="J1361">
        <f>+J1353</f>
        <v>1.72125</v>
      </c>
      <c r="K1361" t="str">
        <v>+</v>
      </c>
      <c r="L1361">
        <f>MAX(VLOOKUP(F1361,N$6:P$15,3,FALSE)/1000,2/3*D1349/1000)+F$16*F1361/1000</f>
        <v>0.192</v>
      </c>
      <c r="M1361" t="str">
        <v>=</v>
      </c>
      <c r="N1361">
        <f>J1361+L1361</f>
        <v>1.91325</v>
      </c>
      <c r="O1361" t="str">
        <v>+</v>
      </c>
      <c r="P1361">
        <f>D1361-D1360</f>
        <v>-2</v>
      </c>
      <c r="Q1361" t="str">
        <v>x</v>
      </c>
      <c r="R1361">
        <f>IF(P1361&gt;0,$F$18*F1361/1000,0)</f>
        <v>0</v>
      </c>
      <c r="S1361" t="str">
        <v>)</v>
      </c>
      <c r="T1361" t="str">
        <v>x</v>
      </c>
      <c r="U1361">
        <f>0.006165*F1361^2</f>
        <v>1.57824</v>
      </c>
      <c r="X1361" t="str">
        <v>x</v>
      </c>
      <c r="Y1361">
        <f>D1350</f>
        <v>1</v>
      </c>
      <c r="Z1361" t="str">
        <v>=</v>
      </c>
      <c r="AA1361">
        <f>IF(AA1362=0,(D1361*N1361+P1361*R1361)*U1361*Y1361,0)</f>
        <v>9.058703040000001</v>
      </c>
    </row>
    <row r="1362">
      <c r="A1362" t="str">
        <f>A1344</f>
        <v>Sloof</v>
      </c>
      <c r="B1362">
        <f>B1344</f>
        <v>39</v>
      </c>
      <c r="D1362">
        <f>IF(AND(D1359=D1360,D1360=D1361,D1359=D1361),D1359,0)</f>
        <v>0</v>
      </c>
      <c r="E1362" t="str">
        <v>D</v>
      </c>
      <c r="F1362">
        <f>IF(AND(F1359=F1360,F1359=F1361,F1360=F1361),F1359,0)</f>
        <v>16</v>
      </c>
      <c r="L1362" t="str">
        <v>Total panjang per balok</v>
      </c>
      <c r="M1362" t="str">
        <v>=</v>
      </c>
      <c r="N1362">
        <f>IF(AND(D1359=D1360,D1359=D1361,D1360=D1361,F1359=F1360,F1359=F1361,F1360=F1361),SUM(N1359:N1361),0)</f>
        <v>0</v>
      </c>
      <c r="O1362" t="str">
        <v>+</v>
      </c>
      <c r="P1362">
        <f>IF(N1362&gt;12,ROUNDDOWN(N1362/12,0),0)</f>
        <v>0</v>
      </c>
      <c r="Q1362" t="str">
        <v>x</v>
      </c>
      <c r="R1362">
        <f>IF(P1362&gt;0,MAX(VLOOKUP(F1362,$D$6:$G$15,3,FALSE),600),0)/1000</f>
        <v>0</v>
      </c>
      <c r="T1362" t="str">
        <v>x</v>
      </c>
      <c r="U1362">
        <f>U1361</f>
        <v>1.57824</v>
      </c>
      <c r="V1362" t="str">
        <v>x</v>
      </c>
      <c r="W1362">
        <f>D1362</f>
        <v>0</v>
      </c>
      <c r="X1362" t="str">
        <v>x</v>
      </c>
      <c r="Y1362">
        <f>Y1361</f>
        <v>1</v>
      </c>
      <c r="Z1362" t="str">
        <v>=</v>
      </c>
      <c r="AA1362">
        <f>(N1362+P1362*R1362/1000)*U1362*W1362*Y1362</f>
        <v>0</v>
      </c>
    </row>
    <row r="1364">
      <c r="A1364" t="str">
        <f>A1344</f>
        <v>Sloof</v>
      </c>
      <c r="B1364">
        <f>B1344</f>
        <v>39</v>
      </c>
      <c r="C1364" t="str">
        <v>Sengkang Tumpuan</v>
      </c>
      <c r="D1364">
        <f>VLOOKUP(D1344,'Detail Balok'!$C$10:$AU$110,31,FALSE)</f>
        <v>0</v>
      </c>
      <c r="E1364" t="str">
        <v>D</v>
      </c>
      <c r="F1364">
        <f>VLOOKUP(D1344,'Detail Balok'!$C$10:$AU$110,33,FALSE)</f>
        <v>10</v>
      </c>
      <c r="G1364" t="str">
        <v>-</v>
      </c>
      <c r="H1364">
        <f>VLOOKUP(D1344,'Detail Balok'!$C$10:$AU$110,35,FALSE)</f>
        <v>200</v>
      </c>
      <c r="J1364">
        <f>(IF(D1364=0,(2*(D1345+G1345))-(F$5*8),IF(D1364=3,(2*(D1345+G1345))-(F$5*8)+(G1345-2*F$5),IF(D1364=4,(2*(D1345+G1345))-(F$5*8)+2*(G1345-2*F$5)))))/1000</f>
        <v>1.28</v>
      </c>
      <c r="K1364" t="str">
        <v>+</v>
      </c>
      <c r="L1364">
        <f>IF(D1364=0,2*MAX(6*F1364,75),(D1364-1)*2*MAX(6*F1364,75))/1000</f>
        <v>0.15</v>
      </c>
      <c r="M1364" t="str">
        <v>=</v>
      </c>
      <c r="N1364">
        <f>J1364+L1364</f>
        <v>1.43</v>
      </c>
      <c r="T1364" t="str">
        <v>x</v>
      </c>
      <c r="U1364">
        <f>0.006165*F1364^2</f>
        <v>0.6165</v>
      </c>
      <c r="V1364" t="str">
        <v>x</v>
      </c>
      <c r="W1364">
        <f>IF(D1347&gt;4*G1345,ROUND(MAX(D1347/4,2*G1345)/H1364,0)+1,ROUND(D1347/H1364,0)+1)</f>
        <v>10</v>
      </c>
      <c r="X1364" t="str">
        <v>x</v>
      </c>
      <c r="Y1364">
        <f>D1350</f>
        <v>1</v>
      </c>
      <c r="Z1364" t="str">
        <v>=</v>
      </c>
      <c r="AA1364">
        <f>N1364*U1364*W1364*Y1364</f>
        <v>8.81595</v>
      </c>
    </row>
    <row r="1365">
      <c r="A1365" t="str">
        <f>A1344</f>
        <v>Sloof</v>
      </c>
      <c r="B1365">
        <f>B1344</f>
        <v>39</v>
      </c>
      <c r="C1365" t="str">
        <v>Sengkang Lapangan</v>
      </c>
      <c r="D1365">
        <f>VLOOKUP(D1344,'Detail Balok'!$C$10:$AU$110,36,FALSE)</f>
        <v>0</v>
      </c>
      <c r="E1365" t="str">
        <v>D</v>
      </c>
      <c r="F1365">
        <f>VLOOKUP(D1344,'Detail Balok'!$C$10:$AU$110,38,FALSE)</f>
        <v>10</v>
      </c>
      <c r="G1365" t="str">
        <v>-</v>
      </c>
      <c r="H1365">
        <f>VLOOKUP(D1344,'Detail Balok'!$C$10:$AU$110,40,FALSE)</f>
        <v>200</v>
      </c>
      <c r="J1365">
        <f>(IF(D1365=0,(2*(D1345+G1345))-(F$5*8),IF(D1365=3,(2*(D1345+G1345))-(F$5*8)+(G1345-2*F$5),IF(D1365=4,(2*(D1345+G1345))-(F$5*8)+2*(G1345-2*F$5)))))/1000</f>
        <v>1.28</v>
      </c>
      <c r="K1365" t="str">
        <v>+</v>
      </c>
      <c r="L1365">
        <f>IF(D1365=0,2*MAX(6*F1365,75),(D1365-1)*2*MAX(6*F1365,75))/1000</f>
        <v>0.15</v>
      </c>
      <c r="M1365" t="str">
        <v>=</v>
      </c>
      <c r="N1365">
        <f>J1365+L1365</f>
        <v>1.43</v>
      </c>
      <c r="T1365" t="str">
        <v>x</v>
      </c>
      <c r="U1365">
        <f>0.006165*F1365^2</f>
        <v>0.6165</v>
      </c>
      <c r="V1365" t="str">
        <v>x</v>
      </c>
      <c r="W1365">
        <f>IF(D1347-MAX(D1347/4,2*G1345)*2&gt;0,ROUND((D1347-MAX(D1347/4,2*G1345)*2)/H1365,0),0)</f>
        <v>17</v>
      </c>
      <c r="X1365" t="str">
        <v>x</v>
      </c>
      <c r="Y1365">
        <f>D1350</f>
        <v>1</v>
      </c>
      <c r="Z1365" t="str">
        <v>=</v>
      </c>
      <c r="AA1365">
        <f>N1365*U1365*W1365*Y1365</f>
        <v>14.987115000000001</v>
      </c>
    </row>
    <row r="1366">
      <c r="A1366" t="str">
        <f>A1344</f>
        <v>Sloof</v>
      </c>
      <c r="B1366">
        <f>B1344</f>
        <v>39</v>
      </c>
      <c r="C1366" t="str">
        <v>Sengkang Tumpuan</v>
      </c>
      <c r="D1366">
        <f>VLOOKUP(D1344,'Detail Balok'!$C$10:$AU$110,41,FALSE)</f>
        <v>0</v>
      </c>
      <c r="E1366" t="str">
        <v>D</v>
      </c>
      <c r="F1366">
        <f>VLOOKUP(D1344,'Detail Balok'!$C$10:$AU$110,43,FALSE)</f>
        <v>10</v>
      </c>
      <c r="G1366" t="str">
        <v>-</v>
      </c>
      <c r="H1366">
        <f>VLOOKUP(D1344,'Detail Balok'!$C$10:$AU$110,45,FALSE)</f>
        <v>200</v>
      </c>
      <c r="J1366">
        <f>(IF(D1366=0,(2*(D1345+G1345))-(F$5*8),IF(D1366=3,(2*(D1345+G1345))-(F$5*8)+(G1345-2*F$5),IF(D1366=4,(2*(D1345+G1345))-(F$5*8)+2*(G1345-2*F$5)))))/1000</f>
        <v>1.28</v>
      </c>
      <c r="K1366" t="str">
        <v>+</v>
      </c>
      <c r="L1366">
        <f>IF(D1366=0,2*MAX(6*F1366,75),(D1366-1)*2*MAX(6*F1366,75))/1000</f>
        <v>0.15</v>
      </c>
      <c r="M1366" t="str">
        <v>=</v>
      </c>
      <c r="N1366">
        <f>J1366+L1366</f>
        <v>1.43</v>
      </c>
      <c r="T1366" t="str">
        <v>x</v>
      </c>
      <c r="U1366">
        <f>0.006165*F1366^2</f>
        <v>0.6165</v>
      </c>
      <c r="V1366" t="str">
        <v>x</v>
      </c>
      <c r="W1366">
        <f>IF(D1347&gt;4*G1345,ROUND(MAX(D1347/4,2*G1345)/H1366,0)+1,0)</f>
        <v>10</v>
      </c>
      <c r="X1366" t="str">
        <v>x</v>
      </c>
      <c r="Y1366">
        <f>D1350</f>
        <v>1</v>
      </c>
      <c r="Z1366" t="str">
        <v>=</v>
      </c>
      <c r="AA1366">
        <f>N1366*U1366*W1366*Y1366</f>
        <v>8.81595</v>
      </c>
    </row>
    <row r="1368">
      <c r="A1368" t="str">
        <f>A1344</f>
        <v>Sloof</v>
      </c>
      <c r="B1368">
        <f>B1344</f>
        <v>39</v>
      </c>
      <c r="C1368" t="str">
        <v>Kait Horizontal Tump.</v>
      </c>
      <c r="D1368">
        <f>VLOOKUP(D1344,'Detail Balok'!$C$10:$BJ$110,46,FALSE)</f>
        <v>0</v>
      </c>
      <c r="E1368" t="str">
        <v>D</v>
      </c>
      <c r="F1368">
        <f>VLOOKUP(D1344,'Detail Balok'!$C$10:$BJ$110,48,FALSE)</f>
        <v>0</v>
      </c>
      <c r="G1368" t="str">
        <v>-</v>
      </c>
      <c r="H1368">
        <f>VLOOKUP(D1344,'Detail Balok'!$C$10:$BJ$110,50,FALSE)</f>
        <v>100</v>
      </c>
      <c r="J1368">
        <f>(D1345-2*F$5)/1000</f>
        <v>0.22</v>
      </c>
      <c r="K1368" t="str">
        <v>+</v>
      </c>
      <c r="L1368">
        <f>IF(D1368=0,2*MAX(6*F1368,75),(D1368-1)*2*MAX(6*F1368,75))/1000</f>
        <v>0.15</v>
      </c>
      <c r="M1368" t="str">
        <v>=</v>
      </c>
      <c r="N1368">
        <f>J1368+L1368</f>
        <v>0.37</v>
      </c>
      <c r="T1368" t="str">
        <v>x</v>
      </c>
      <c r="U1368">
        <f>0.006165*F1368^2</f>
        <v>0</v>
      </c>
      <c r="V1368" t="str">
        <v>x</v>
      </c>
      <c r="W1368">
        <f>W1364</f>
        <v>10</v>
      </c>
      <c r="X1368" t="str">
        <v>x</v>
      </c>
      <c r="Y1368">
        <f>D1354</f>
        <v>0</v>
      </c>
      <c r="Z1368" t="str">
        <v>=</v>
      </c>
      <c r="AA1368">
        <f>N1368*U1368*W1368*Y1368</f>
        <v>0</v>
      </c>
    </row>
    <row r="1369">
      <c r="A1369" t="str">
        <f>A1344</f>
        <v>Sloof</v>
      </c>
      <c r="B1369">
        <f>B1344</f>
        <v>39</v>
      </c>
      <c r="C1369" t="str">
        <v>Kait Horizontal Lap.</v>
      </c>
      <c r="D1369">
        <f>VLOOKUP(D1344,'Detail Balok'!$C$10:$BJ$110,51,FALSE)</f>
        <v>0</v>
      </c>
      <c r="E1369" t="str">
        <v>D</v>
      </c>
      <c r="F1369">
        <f>VLOOKUP(D1344,'Detail Balok'!$C$10:$BJ$110,53,FALSE)</f>
        <v>0</v>
      </c>
      <c r="G1369" t="str">
        <v>-</v>
      </c>
      <c r="H1369">
        <f>VLOOKUP(D1344,'Detail Balok'!$C$10:$BJ$110,55,FALSE)</f>
        <v>100</v>
      </c>
      <c r="J1369">
        <f>(D1345-2*F$5)/1000</f>
        <v>0.22</v>
      </c>
      <c r="K1369" t="str">
        <v>+</v>
      </c>
      <c r="L1369">
        <f>IF(D1369=0,2*MAX(6*F1369,75),(D1369-1)*2*MAX(6*F1369,75))/1000</f>
        <v>0.15</v>
      </c>
      <c r="M1369" t="str">
        <v>=</v>
      </c>
      <c r="N1369">
        <f>J1369+L1369</f>
        <v>0.37</v>
      </c>
      <c r="T1369" t="str">
        <v>x</v>
      </c>
      <c r="U1369">
        <f>0.006165*F1369^2</f>
        <v>0</v>
      </c>
      <c r="V1369" t="str">
        <v>x</v>
      </c>
      <c r="W1369">
        <f>W1365</f>
        <v>17</v>
      </c>
      <c r="X1369" t="str">
        <v>x</v>
      </c>
      <c r="Y1369">
        <f>D1354</f>
        <v>0</v>
      </c>
      <c r="Z1369" t="str">
        <v>=</v>
      </c>
      <c r="AA1369">
        <f>N1369*U1369*W1369*Y1369</f>
        <v>0</v>
      </c>
    </row>
    <row r="1370">
      <c r="A1370" t="str">
        <f>A1344</f>
        <v>Sloof</v>
      </c>
      <c r="B1370">
        <f>B1344</f>
        <v>39</v>
      </c>
      <c r="C1370" t="str">
        <v>Kait Horizontal Tump.</v>
      </c>
      <c r="D1370">
        <f>VLOOKUP(D1344,'Detail Balok'!$C$10:$BJ$110,56,FALSE)</f>
        <v>0</v>
      </c>
      <c r="E1370" t="str">
        <v>D</v>
      </c>
      <c r="F1370">
        <f>VLOOKUP(D1344,'Detail Balok'!$C$10:$BJ$110,58,FALSE)</f>
        <v>0</v>
      </c>
      <c r="G1370" t="str">
        <v>-</v>
      </c>
      <c r="H1370">
        <f>VLOOKUP(D1344,'Detail Balok'!$C$10:$BJ$110,60,FALSE)</f>
        <v>100</v>
      </c>
      <c r="J1370">
        <f>(D1345-2*F$5)/1000</f>
        <v>0.22</v>
      </c>
      <c r="K1370" t="str">
        <v>+</v>
      </c>
      <c r="L1370">
        <f>IF(D1370=0,2*MAX(6*F1370,75),(D1370-1)*2*MAX(6*F1370,75))/1000</f>
        <v>0.15</v>
      </c>
      <c r="M1370" t="str">
        <v>=</v>
      </c>
      <c r="N1370">
        <f>J1370+L1370</f>
        <v>0.37</v>
      </c>
      <c r="T1370" t="str">
        <v>x</v>
      </c>
      <c r="U1370">
        <f>0.006165*F1370^2</f>
        <v>0</v>
      </c>
      <c r="V1370" t="str">
        <v>x</v>
      </c>
      <c r="W1370">
        <f>W1366</f>
        <v>10</v>
      </c>
      <c r="X1370" t="str">
        <v>x</v>
      </c>
      <c r="Y1370">
        <f>D1354</f>
        <v>0</v>
      </c>
      <c r="Z1370" t="str">
        <v>=</v>
      </c>
      <c r="AA1370">
        <f>N1370*U1370*W1370*Y1370</f>
        <v>0</v>
      </c>
    </row>
    <row r="1374">
      <c r="A1374" t="str">
        <f>A1344</f>
        <v>Sloof</v>
      </c>
      <c r="B1374" t="str">
        <v>39A</v>
      </c>
      <c r="C1374" t="str">
        <f>CONCATENATE(A1374," no. ",B1374)</f>
        <v>Sloof no. 39A</v>
      </c>
      <c r="D1374" t="str">
        <f>VLOOKUP(C1374,'Data Panjang Balok'!$C$9:$N$424,2,FALSE)</f>
        <v>TB23-1</v>
      </c>
    </row>
    <row r="1375">
      <c r="C1375" t="str">
        <v>Dimensi</v>
      </c>
      <c r="D1375">
        <f>VLOOKUP(D1374,'Detail Balok'!$C$10:$AU$110,2,FALSE)</f>
        <v>200</v>
      </c>
      <c r="F1375" t="str">
        <v>x</v>
      </c>
      <c r="G1375">
        <f>VLOOKUP(D1374,'Detail Balok'!$C$10:$AU$110,3,FALSE)</f>
        <v>300</v>
      </c>
    </row>
    <row r="1376">
      <c r="C1376" t="str">
        <v>Panjang as ke as</v>
      </c>
      <c r="D1376">
        <f>VLOOKUP(C1374,'Data Panjang Balok'!$C$9:$N$424,4,FALSE)</f>
        <v>1770</v>
      </c>
    </row>
    <row r="1377">
      <c r="C1377" t="str">
        <v>Panjang netto</v>
      </c>
      <c r="D1377">
        <f>VLOOKUP(C1374,'Data Panjang Balok'!$C$9:$N$424,7,FALSE)</f>
        <v>1770</v>
      </c>
    </row>
    <row r="1378">
      <c r="C1378" t="str">
        <v>Kolom / balok kiri</v>
      </c>
      <c r="D1378">
        <f>VLOOKUP(C1374,'Data Panjang Balok'!$C$9:$N$424,9,FALSE)</f>
        <v>0</v>
      </c>
    </row>
    <row r="1379">
      <c r="C1379" t="str">
        <v>Kolom / balok kanan</v>
      </c>
      <c r="D1379">
        <f>VLOOKUP(C1374,'Data Panjang Balok'!$C$9:$N$424,10,FALSE)</f>
        <v>0</v>
      </c>
    </row>
    <row r="1380">
      <c r="C1380" t="str">
        <v>Jumlah</v>
      </c>
      <c r="D1380">
        <f>VLOOKUP(C1374,'Data Panjang Balok'!$C$9:$N$424,3,FALSE)</f>
        <v>1</v>
      </c>
    </row>
    <row r="1381">
      <c r="A1381" t="str">
        <f>A1374</f>
        <v>Sloof</v>
      </c>
      <c r="B1381" t="str">
        <f>B1374</f>
        <v>39A</v>
      </c>
      <c r="C1381" t="str">
        <v>Tul Atas Tumpuan</v>
      </c>
      <c r="D1381">
        <f>VLOOKUP(D1374,'Detail Balok'!$C$10:$AU$110,4,FALSE)</f>
        <v>2</v>
      </c>
      <c r="E1381" t="str">
        <v>D</v>
      </c>
      <c r="F1381">
        <f>VLOOKUP(D1374,'Detail Balok'!$C$10:$AU$110,6,FALSE)</f>
        <v>13</v>
      </c>
      <c r="I1381" t="str">
        <v>(</v>
      </c>
      <c r="J1381">
        <f>+D1376/4/1000</f>
        <v>0.4425</v>
      </c>
      <c r="K1381" t="str">
        <v>+</v>
      </c>
      <c r="L1381">
        <f>MAX(VLOOKUP(F1381,N$6:P$15,3,FALSE)/1000,2/3*D1378/1000)+F$16*F1381/1000</f>
        <v>0.156</v>
      </c>
      <c r="M1381" t="str">
        <v>=</v>
      </c>
      <c r="N1381">
        <f>J1381+L1381</f>
        <v>0.5985</v>
      </c>
      <c r="O1381" t="str">
        <v>+</v>
      </c>
      <c r="P1381">
        <f>D1381-D1382</f>
        <v>0</v>
      </c>
      <c r="Q1381" t="str">
        <v>x</v>
      </c>
      <c r="R1381">
        <f>IF(P1381&gt;0,$F$18*F1381/1000,0)</f>
        <v>0</v>
      </c>
      <c r="S1381" t="str">
        <v>)</v>
      </c>
      <c r="T1381" t="str">
        <v>x</v>
      </c>
      <c r="U1381">
        <f>0.006165*F1381^2</f>
        <v>1.041885</v>
      </c>
      <c r="X1381" t="str">
        <v>x</v>
      </c>
      <c r="Y1381">
        <f>D1380</f>
        <v>1</v>
      </c>
      <c r="Z1381" t="str">
        <v>=</v>
      </c>
      <c r="AA1381">
        <f>IF(AA1384=0,(D1381*N1381+P1381*R1381)*U1381*Y1381,0)</f>
        <v>0</v>
      </c>
    </row>
    <row r="1382">
      <c r="A1382" t="str">
        <f>A1374</f>
        <v>Sloof</v>
      </c>
      <c r="B1382" t="str">
        <f>B1374</f>
        <v>39A</v>
      </c>
      <c r="C1382" t="str">
        <v>Tul Atas Lapangan</v>
      </c>
      <c r="D1382">
        <f>VLOOKUP(D1374,'Detail Balok'!$C$10:$AU$110,7,FALSE)</f>
        <v>2</v>
      </c>
      <c r="E1382" t="str">
        <v>D</v>
      </c>
      <c r="F1382">
        <f>VLOOKUP(D1374,'Detail Balok'!$C$10:$AU$110,9,FALSE)</f>
        <v>13</v>
      </c>
      <c r="I1382" t="str">
        <v>(</v>
      </c>
      <c r="J1382">
        <f>+D1376/2/1000</f>
        <v>0.885</v>
      </c>
      <c r="K1382" t="str">
        <v>+</v>
      </c>
      <c r="M1382" t="str">
        <v>=</v>
      </c>
      <c r="N1382">
        <f>J1382+L1382</f>
        <v>0.885</v>
      </c>
      <c r="O1382" t="str">
        <v>+</v>
      </c>
      <c r="P1382">
        <f>MAX(D1382-D1381,D1382-D1383)</f>
        <v>0</v>
      </c>
      <c r="Q1382" t="str">
        <v>x</v>
      </c>
      <c r="R1382">
        <f>IF(P1382&gt;0,2*(1-2*$F$19-1/2)*D1377/1000,0)</f>
        <v>0</v>
      </c>
      <c r="S1382" t="str">
        <v>)</v>
      </c>
      <c r="T1382" t="str">
        <v>x</v>
      </c>
      <c r="U1382">
        <f>0.006165*F1382^2</f>
        <v>1.041885</v>
      </c>
      <c r="X1382" t="str">
        <v>x</v>
      </c>
      <c r="Y1382">
        <f>D1380</f>
        <v>1</v>
      </c>
      <c r="Z1382" t="str">
        <v>=</v>
      </c>
      <c r="AA1382">
        <f>IF(AA1384=0,(D1382*N1382+P1382*R1382)*U1382*Y1382,0)</f>
        <v>0</v>
      </c>
    </row>
    <row r="1383">
      <c r="A1383" t="str">
        <f>A1374</f>
        <v>Sloof</v>
      </c>
      <c r="B1383" t="str">
        <f>B1374</f>
        <v>39A</v>
      </c>
      <c r="C1383" t="str">
        <v>Tul Atas Tumpuan</v>
      </c>
      <c r="D1383">
        <f>VLOOKUP(D1374,'Detail Balok'!$C$10:$AU$110,10,FALSE)</f>
        <v>2</v>
      </c>
      <c r="E1383" t="str">
        <v>D</v>
      </c>
      <c r="F1383">
        <f>VLOOKUP(D1374,'Detail Balok'!$C$10:$AU$110,12,FALSE)</f>
        <v>13</v>
      </c>
      <c r="I1383" t="str">
        <v>(</v>
      </c>
      <c r="J1383">
        <f>+D1376/4/1000</f>
        <v>0.4425</v>
      </c>
      <c r="K1383" t="str">
        <v>+</v>
      </c>
      <c r="L1383">
        <f>MAX(VLOOKUP(F1383,N$6:P$15,3,FALSE)/1000,2/3*D1378/1000)+F$16*F1383/1000</f>
        <v>0.156</v>
      </c>
      <c r="M1383" t="str">
        <v>=</v>
      </c>
      <c r="N1383">
        <f>J1383+L1383</f>
        <v>0.5985</v>
      </c>
      <c r="O1383" t="str">
        <v>+</v>
      </c>
      <c r="P1383">
        <f>D1383-D1382</f>
        <v>0</v>
      </c>
      <c r="Q1383" t="str">
        <v>x</v>
      </c>
      <c r="R1383">
        <f>IF(P1383&gt;0,$F$18*F1383/1000,0)</f>
        <v>0</v>
      </c>
      <c r="S1383" t="str">
        <v>)</v>
      </c>
      <c r="T1383" t="str">
        <v>x</v>
      </c>
      <c r="U1383">
        <f>0.006165*F1383^2</f>
        <v>1.041885</v>
      </c>
      <c r="X1383" t="str">
        <v>x</v>
      </c>
      <c r="Y1383">
        <f>D1380</f>
        <v>1</v>
      </c>
      <c r="Z1383" t="str">
        <v>=</v>
      </c>
      <c r="AA1383">
        <f>IF(AA1384=0,(D1383*N1383+P1383*R1383)*U1383*Y1383,0)</f>
        <v>0</v>
      </c>
    </row>
    <row r="1384">
      <c r="A1384" t="str">
        <f>A1374</f>
        <v>Sloof</v>
      </c>
      <c r="B1384" t="str">
        <f>B1374</f>
        <v>39A</v>
      </c>
      <c r="D1384">
        <f>IF(AND(D1381=D1382,D1382=D1383,D1381=D1383),D1381,0)</f>
        <v>2</v>
      </c>
      <c r="E1384" t="str">
        <v>D</v>
      </c>
      <c r="F1384">
        <f>IF(AND(F1381=F1382,F1381=F1383,F1382=F1383),F1381,0)</f>
        <v>13</v>
      </c>
      <c r="L1384" t="str">
        <v>Total panjang per balok</v>
      </c>
      <c r="M1384" t="str">
        <v>=</v>
      </c>
      <c r="N1384">
        <f>IF(AND(D1381=D1382,D1381=D1383,D1382=D1383,F1381=F1382,F1381=F1383,F1382=F1383),SUM(N1381:N1383),0)</f>
        <v>2.082</v>
      </c>
      <c r="O1384" t="str">
        <v>+</v>
      </c>
      <c r="P1384">
        <f>IF(N1384&gt;12,ROUNDDOWN(N1384/12,0),0)</f>
        <v>0</v>
      </c>
      <c r="Q1384" t="str">
        <v>x</v>
      </c>
      <c r="R1384">
        <f>IF(P1384&gt;0,MAX(VLOOKUP(F1384,$D$6:$G$15,3,FALSE),600),0)/1000</f>
        <v>0</v>
      </c>
      <c r="T1384" t="str">
        <v>x</v>
      </c>
      <c r="U1384">
        <f>U1383</f>
        <v>1.041885</v>
      </c>
      <c r="V1384" t="str">
        <v>x</v>
      </c>
      <c r="W1384">
        <f>D1384</f>
        <v>2</v>
      </c>
      <c r="X1384" t="str">
        <v>x</v>
      </c>
      <c r="Y1384">
        <f>Y1383</f>
        <v>1</v>
      </c>
      <c r="Z1384" t="str">
        <v>=</v>
      </c>
      <c r="AA1384">
        <f>(N1384+P1384*R1384/1000)*U1384*W1384*Y1384</f>
        <v>4.3384091399999996</v>
      </c>
    </row>
    <row r="1386">
      <c r="A1386" t="str">
        <f>A1374</f>
        <v>Sloof</v>
      </c>
      <c r="B1386" t="str">
        <f>B1374</f>
        <v>39A</v>
      </c>
      <c r="C1386" t="str">
        <v>Tul Peminggang</v>
      </c>
      <c r="D1386">
        <f>VLOOKUP(D1374,'Detail Balok'!$C$10:$AU$110,13,FALSE)</f>
        <v>0</v>
      </c>
      <c r="E1386" t="str">
        <v>D</v>
      </c>
      <c r="F1386">
        <f>VLOOKUP(D1374,'Detail Balok'!$C$10:$AU$110,15,FALSE)</f>
        <v>6</v>
      </c>
      <c r="J1386">
        <f>+D1376/1000</f>
        <v>1.77</v>
      </c>
      <c r="K1386" t="str">
        <v>+</v>
      </c>
      <c r="L1386">
        <f>2*$F$16*F1386/1000</f>
        <v>0.144</v>
      </c>
      <c r="M1386" t="str">
        <v>=</v>
      </c>
      <c r="N1386">
        <f>J1386+L1386</f>
        <v>1.914</v>
      </c>
      <c r="O1386" t="str">
        <v>+</v>
      </c>
      <c r="P1386">
        <f>IF(N1386&gt;12,ROUNDDOWN(N1386/12,0),0)</f>
        <v>0</v>
      </c>
      <c r="Q1386" t="str">
        <v>x</v>
      </c>
      <c r="R1386">
        <f>IF(P1386&gt;0,MAX(VLOOKUP(F1386,$D$6:$G$15,3,FALSE),600),0)/1000</f>
        <v>0</v>
      </c>
      <c r="T1386" t="str">
        <v>x</v>
      </c>
      <c r="U1386">
        <f>0.006165*F1386^2</f>
        <v>0.22194000000000003</v>
      </c>
      <c r="V1386" t="str">
        <v>x</v>
      </c>
      <c r="W1386">
        <f>+D1386</f>
        <v>0</v>
      </c>
      <c r="X1386" t="str">
        <v>x</v>
      </c>
      <c r="Y1386">
        <f>D1380</f>
        <v>1</v>
      </c>
      <c r="Z1386" t="str">
        <v>=</v>
      </c>
      <c r="AA1386">
        <f>(N1386+P1386*R1386/1000)*U1386*W1386*Y1386</f>
        <v>0</v>
      </c>
    </row>
    <row r="1389">
      <c r="A1389" t="str">
        <f>A1374</f>
        <v>Sloof</v>
      </c>
      <c r="B1389" t="str">
        <f>B1374</f>
        <v>39A</v>
      </c>
      <c r="C1389" t="str">
        <v>Tul Bawah Tumpuan</v>
      </c>
      <c r="D1389">
        <f>VLOOKUP(D1374,'Detail Balok'!$C$10:$AU$110,22,FALSE)</f>
        <v>2</v>
      </c>
      <c r="E1389" t="str">
        <v>D</v>
      </c>
      <c r="F1389">
        <f>VLOOKUP(D1374,'Detail Balok'!$C$10:$AU$110,24,FALSE)</f>
        <v>13</v>
      </c>
      <c r="I1389" t="str">
        <v>(</v>
      </c>
      <c r="J1389">
        <f>+J1381</f>
        <v>0.4425</v>
      </c>
      <c r="K1389" t="str">
        <v>+</v>
      </c>
      <c r="L1389">
        <f>MAX(VLOOKUP(F1389,N$6:P$15,3,FALSE)/1000,2/3*D1379/1000)+F$16*F1389/1000</f>
        <v>0.156</v>
      </c>
      <c r="M1389" t="str">
        <v>=</v>
      </c>
      <c r="N1389">
        <f>J1389+L1389</f>
        <v>0.5985</v>
      </c>
      <c r="O1389" t="str">
        <v>+</v>
      </c>
      <c r="P1389">
        <f>D1389-D1390</f>
        <v>0</v>
      </c>
      <c r="Q1389" t="str">
        <v>x</v>
      </c>
      <c r="R1389">
        <f>IF(P1389&gt;0,$F$18*F1389/1000,0)</f>
        <v>0</v>
      </c>
      <c r="S1389" t="str">
        <v>)</v>
      </c>
      <c r="T1389" t="str">
        <v>x</v>
      </c>
      <c r="U1389">
        <f>0.006165*F1389^2</f>
        <v>1.041885</v>
      </c>
      <c r="X1389" t="str">
        <v>x</v>
      </c>
      <c r="Y1389">
        <f>D1380</f>
        <v>1</v>
      </c>
      <c r="Z1389" t="str">
        <v>=</v>
      </c>
      <c r="AA1389">
        <f>IF(AA1392=0,(D1389*N1389+P1389*R1389)*U1389*Y1389,0)</f>
        <v>0</v>
      </c>
    </row>
    <row r="1390">
      <c r="A1390" t="str">
        <f>A1374</f>
        <v>Sloof</v>
      </c>
      <c r="B1390" t="str">
        <f>B1374</f>
        <v>39A</v>
      </c>
      <c r="C1390" t="str">
        <v>Tul Bawah Lapangan</v>
      </c>
      <c r="D1390">
        <f>VLOOKUP(D1374,'Detail Balok'!$C$10:$AU$110,25,FALSE)</f>
        <v>2</v>
      </c>
      <c r="E1390" t="str">
        <v>D</v>
      </c>
      <c r="F1390">
        <f>VLOOKUP(D1374,'Detail Balok'!$C$10:$AU$110,27,FALSE)</f>
        <v>13</v>
      </c>
      <c r="I1390" t="str">
        <v>(</v>
      </c>
      <c r="J1390">
        <f>+J1382</f>
        <v>0.885</v>
      </c>
      <c r="K1390" t="str">
        <v>+</v>
      </c>
      <c r="M1390" t="str">
        <v>=</v>
      </c>
      <c r="N1390">
        <f>J1390+L1390</f>
        <v>0.885</v>
      </c>
      <c r="O1390" t="str">
        <v>+</v>
      </c>
      <c r="P1390">
        <f>MAX(D1390-D1389,D1390-D1391)</f>
        <v>0</v>
      </c>
      <c r="Q1390" t="str">
        <v>x</v>
      </c>
      <c r="R1390">
        <f>IF(P1390&gt;0,2*(1-2*$F$19-1/2)*D1377/1000,0)</f>
        <v>0</v>
      </c>
      <c r="S1390" t="str">
        <v>)</v>
      </c>
      <c r="T1390" t="str">
        <v>x</v>
      </c>
      <c r="U1390">
        <f>0.006165*F1390^2</f>
        <v>1.041885</v>
      </c>
      <c r="X1390" t="str">
        <v>x</v>
      </c>
      <c r="Y1390">
        <f>D1380</f>
        <v>1</v>
      </c>
      <c r="Z1390" t="str">
        <v>=</v>
      </c>
      <c r="AA1390">
        <f>IF(AA1392=0,(D1390*N1390+P1390*R1390)*U1390*Y1390,0)</f>
        <v>0</v>
      </c>
    </row>
    <row r="1391">
      <c r="A1391" t="str">
        <f>A1374</f>
        <v>Sloof</v>
      </c>
      <c r="B1391" t="str">
        <f>B1374</f>
        <v>39A</v>
      </c>
      <c r="C1391" t="str">
        <v>Tul Bawah Tumpuan</v>
      </c>
      <c r="D1391">
        <f>VLOOKUP(D1374,'Detail Balok'!$C$10:$AU$110,28,FALSE)</f>
        <v>2</v>
      </c>
      <c r="E1391" t="str">
        <v>D</v>
      </c>
      <c r="F1391">
        <f>VLOOKUP(D1374,'Detail Balok'!$C$10:$AU$110,30,FALSE)</f>
        <v>13</v>
      </c>
      <c r="I1391" t="str">
        <v>(</v>
      </c>
      <c r="J1391">
        <f>+J1383</f>
        <v>0.4425</v>
      </c>
      <c r="K1391" t="str">
        <v>+</v>
      </c>
      <c r="L1391">
        <f>MAX(VLOOKUP(F1391,N$6:P$15,3,FALSE)/1000,2/3*D1379/1000)+F$16*F1391/1000</f>
        <v>0.156</v>
      </c>
      <c r="M1391" t="str">
        <v>=</v>
      </c>
      <c r="N1391">
        <f>J1391+L1391</f>
        <v>0.5985</v>
      </c>
      <c r="O1391" t="str">
        <v>+</v>
      </c>
      <c r="P1391">
        <f>D1391-D1390</f>
        <v>0</v>
      </c>
      <c r="Q1391" t="str">
        <v>x</v>
      </c>
      <c r="R1391">
        <f>IF(P1391&gt;0,$F$18*F1391/1000,0)</f>
        <v>0</v>
      </c>
      <c r="S1391" t="str">
        <v>)</v>
      </c>
      <c r="T1391" t="str">
        <v>x</v>
      </c>
      <c r="U1391">
        <f>0.006165*F1391^2</f>
        <v>1.041885</v>
      </c>
      <c r="X1391" t="str">
        <v>x</v>
      </c>
      <c r="Y1391">
        <f>D1380</f>
        <v>1</v>
      </c>
      <c r="Z1391" t="str">
        <v>=</v>
      </c>
      <c r="AA1391">
        <f>IF(AA1392=0,(D1391*N1391+P1391*R1391)*U1391*Y1391,0)</f>
        <v>0</v>
      </c>
    </row>
    <row r="1392">
      <c r="A1392" t="str">
        <f>A1374</f>
        <v>Sloof</v>
      </c>
      <c r="B1392" t="str">
        <f>B1374</f>
        <v>39A</v>
      </c>
      <c r="D1392">
        <f>IF(AND(D1389=D1390,D1390=D1391,D1389=D1391),D1389,0)</f>
        <v>2</v>
      </c>
      <c r="E1392" t="str">
        <v>D</v>
      </c>
      <c r="F1392">
        <f>IF(AND(F1389=F1390,F1389=F1391,F1390=F1391),F1389,0)</f>
        <v>13</v>
      </c>
      <c r="L1392" t="str">
        <v>Total panjang per balok</v>
      </c>
      <c r="M1392" t="str">
        <v>=</v>
      </c>
      <c r="N1392">
        <f>IF(AND(D1389=D1390,D1389=D1391,D1390=D1391,F1389=F1390,F1389=F1391,F1390=F1391),SUM(N1389:N1391),0)</f>
        <v>2.082</v>
      </c>
      <c r="O1392" t="str">
        <v>+</v>
      </c>
      <c r="P1392">
        <f>IF(N1392&gt;12,ROUNDDOWN(N1392/12,0),0)</f>
        <v>0</v>
      </c>
      <c r="Q1392" t="str">
        <v>x</v>
      </c>
      <c r="R1392">
        <f>IF(P1392&gt;0,MAX(VLOOKUP(F1392,$D$6:$G$15,3,FALSE),600),0)/1000</f>
        <v>0</v>
      </c>
      <c r="T1392" t="str">
        <v>x</v>
      </c>
      <c r="U1392">
        <f>U1391</f>
        <v>1.041885</v>
      </c>
      <c r="V1392" t="str">
        <v>x</v>
      </c>
      <c r="W1392">
        <f>D1392</f>
        <v>2</v>
      </c>
      <c r="X1392" t="str">
        <v>x</v>
      </c>
      <c r="Y1392">
        <f>Y1391</f>
        <v>1</v>
      </c>
      <c r="Z1392" t="str">
        <v>=</v>
      </c>
      <c r="AA1392">
        <f>(N1392+P1392*R1392/1000)*U1392*W1392*Y1392</f>
        <v>4.3384091399999996</v>
      </c>
    </row>
    <row r="1394">
      <c r="A1394" t="str">
        <f>A1374</f>
        <v>Sloof</v>
      </c>
      <c r="B1394" t="str">
        <f>B1374</f>
        <v>39A</v>
      </c>
      <c r="C1394" t="str">
        <v>Sengkang Tumpuan</v>
      </c>
      <c r="D1394">
        <f>VLOOKUP(D1374,'Detail Balok'!$C$10:$AU$110,31,FALSE)</f>
        <v>0</v>
      </c>
      <c r="E1394" t="str">
        <v>D</v>
      </c>
      <c r="F1394">
        <f>VLOOKUP(D1374,'Detail Balok'!$C$10:$AU$110,33,FALSE)</f>
        <v>8</v>
      </c>
      <c r="G1394" t="str">
        <v>-</v>
      </c>
      <c r="H1394">
        <f>VLOOKUP(D1374,'Detail Balok'!$C$10:$AU$110,35,FALSE)</f>
        <v>150</v>
      </c>
      <c r="J1394">
        <f>(IF(D1394=0,(2*(D1375+G1375))-(F$5*8),IF(D1394=3,(2*(D1375+G1375))-(F$5*8)+(G1375-2*F$5),IF(D1394=4,(2*(D1375+G1375))-(F$5*8)+2*(G1375-2*F$5)))))/1000</f>
        <v>0.68</v>
      </c>
      <c r="K1394" t="str">
        <v>+</v>
      </c>
      <c r="L1394">
        <f>IF(D1394=0,2*MAX(6*F1394,75),(D1394-1)*2*MAX(6*F1394,75))/1000</f>
        <v>0.15</v>
      </c>
      <c r="M1394" t="str">
        <v>=</v>
      </c>
      <c r="N1394">
        <f>J1394+L1394</f>
        <v>0.8300000000000001</v>
      </c>
      <c r="T1394" t="str">
        <v>x</v>
      </c>
      <c r="U1394">
        <f>0.006165*F1394^2</f>
        <v>0.39456</v>
      </c>
      <c r="V1394" t="str">
        <v>x</v>
      </c>
      <c r="W1394">
        <f>IF(D1377&gt;4*G1375,ROUND(MAX(D1377/4,2*G1375)/H1394,0)+1,ROUND(D1377/H1394,0)+1)</f>
        <v>5</v>
      </c>
      <c r="X1394" t="str">
        <v>x</v>
      </c>
      <c r="Y1394">
        <f>D1380</f>
        <v>1</v>
      </c>
      <c r="Z1394" t="str">
        <v>=</v>
      </c>
      <c r="AA1394">
        <f>N1394*U1394*W1394*Y1394</f>
        <v>1.6374240000000002</v>
      </c>
    </row>
    <row r="1395">
      <c r="A1395" t="str">
        <f>A1374</f>
        <v>Sloof</v>
      </c>
      <c r="B1395" t="str">
        <f>B1374</f>
        <v>39A</v>
      </c>
      <c r="C1395" t="str">
        <v>Sengkang Lapangan</v>
      </c>
      <c r="D1395">
        <f>VLOOKUP(D1374,'Detail Balok'!$C$10:$AU$110,36,FALSE)</f>
        <v>0</v>
      </c>
      <c r="E1395" t="str">
        <v>D</v>
      </c>
      <c r="F1395">
        <f>VLOOKUP(D1374,'Detail Balok'!$C$10:$AU$110,38,FALSE)</f>
        <v>8</v>
      </c>
      <c r="G1395" t="str">
        <v>-</v>
      </c>
      <c r="H1395">
        <f>VLOOKUP(D1374,'Detail Balok'!$C$10:$AU$110,40,FALSE)</f>
        <v>150</v>
      </c>
      <c r="J1395">
        <f>(IF(D1395=0,(2*(D1375+G1375))-(F$5*8),IF(D1395=3,(2*(D1375+G1375))-(F$5*8)+(G1375-2*F$5),IF(D1395=4,(2*(D1375+G1375))-(F$5*8)+2*(G1375-2*F$5)))))/1000</f>
        <v>0.68</v>
      </c>
      <c r="K1395" t="str">
        <v>+</v>
      </c>
      <c r="L1395">
        <f>IF(D1395=0,2*MAX(6*F1395,75),(D1395-1)*2*MAX(6*F1395,75))/1000</f>
        <v>0.15</v>
      </c>
      <c r="M1395" t="str">
        <v>=</v>
      </c>
      <c r="N1395">
        <f>J1395+L1395</f>
        <v>0.8300000000000001</v>
      </c>
      <c r="T1395" t="str">
        <v>x</v>
      </c>
      <c r="U1395">
        <f>0.006165*F1395^2</f>
        <v>0.39456</v>
      </c>
      <c r="V1395" t="str">
        <v>x</v>
      </c>
      <c r="W1395">
        <f>IF(D1377-MAX(D1377/4,2*G1375)*2&gt;0,ROUND((D1377-MAX(D1377/4,2*G1375)*2)/H1395,0),0)</f>
        <v>4</v>
      </c>
      <c r="X1395" t="str">
        <v>x</v>
      </c>
      <c r="Y1395">
        <f>D1380</f>
        <v>1</v>
      </c>
      <c r="Z1395" t="str">
        <v>=</v>
      </c>
      <c r="AA1395">
        <f>N1395*U1395*W1395*Y1395</f>
        <v>1.3099392</v>
      </c>
    </row>
    <row r="1396">
      <c r="A1396" t="str">
        <f>A1374</f>
        <v>Sloof</v>
      </c>
      <c r="B1396" t="str">
        <f>B1374</f>
        <v>39A</v>
      </c>
      <c r="C1396" t="str">
        <v>Sengkang Tumpuan</v>
      </c>
      <c r="D1396">
        <f>VLOOKUP(D1374,'Detail Balok'!$C$10:$AU$110,41,FALSE)</f>
        <v>0</v>
      </c>
      <c r="E1396" t="str">
        <v>D</v>
      </c>
      <c r="F1396">
        <f>VLOOKUP(D1374,'Detail Balok'!$C$10:$AU$110,43,FALSE)</f>
        <v>8</v>
      </c>
      <c r="G1396" t="str">
        <v>-</v>
      </c>
      <c r="H1396">
        <f>VLOOKUP(D1374,'Detail Balok'!$C$10:$AU$110,45,FALSE)</f>
        <v>150</v>
      </c>
      <c r="J1396">
        <f>(IF(D1396=0,(2*(D1375+G1375))-(F$5*8),IF(D1396=3,(2*(D1375+G1375))-(F$5*8)+(G1375-2*F$5),IF(D1396=4,(2*(D1375+G1375))-(F$5*8)+2*(G1375-2*F$5)))))/1000</f>
        <v>0.68</v>
      </c>
      <c r="K1396" t="str">
        <v>+</v>
      </c>
      <c r="L1396">
        <f>IF(D1396=0,2*MAX(6*F1396,75),(D1396-1)*2*MAX(6*F1396,75))/1000</f>
        <v>0.15</v>
      </c>
      <c r="M1396" t="str">
        <v>=</v>
      </c>
      <c r="N1396">
        <f>J1396+L1396</f>
        <v>0.8300000000000001</v>
      </c>
      <c r="T1396" t="str">
        <v>x</v>
      </c>
      <c r="U1396">
        <f>0.006165*F1396^2</f>
        <v>0.39456</v>
      </c>
      <c r="V1396" t="str">
        <v>x</v>
      </c>
      <c r="W1396">
        <f>IF(D1377&gt;4*G1375,ROUND(MAX(D1377/4,2*G1375)/H1396,0)+1,0)</f>
        <v>5</v>
      </c>
      <c r="X1396" t="str">
        <v>x</v>
      </c>
      <c r="Y1396">
        <f>D1380</f>
        <v>1</v>
      </c>
      <c r="Z1396" t="str">
        <v>=</v>
      </c>
      <c r="AA1396">
        <f>N1396*U1396*W1396*Y1396</f>
        <v>1.6374240000000002</v>
      </c>
    </row>
    <row r="1398">
      <c r="A1398" t="str">
        <f>A1374</f>
        <v>Sloof</v>
      </c>
      <c r="B1398" t="str">
        <f>B1374</f>
        <v>39A</v>
      </c>
      <c r="C1398" t="str">
        <v>Kait Horizontal Tump.</v>
      </c>
      <c r="D1398">
        <f>VLOOKUP(D1374,'Detail Balok'!$C$10:$BJ$110,46,FALSE)</f>
        <v>0</v>
      </c>
      <c r="E1398" t="str">
        <v>D</v>
      </c>
      <c r="F1398">
        <f>VLOOKUP(D1374,'Detail Balok'!$C$10:$BJ$110,48,FALSE)</f>
        <v>0</v>
      </c>
      <c r="G1398" t="str">
        <v>-</v>
      </c>
      <c r="H1398">
        <f>VLOOKUP(D1374,'Detail Balok'!$C$10:$BJ$110,50,FALSE)</f>
        <v>100</v>
      </c>
      <c r="J1398">
        <f>(D1375-2*F$5)/1000</f>
        <v>0.12</v>
      </c>
      <c r="K1398" t="str">
        <v>+</v>
      </c>
      <c r="L1398">
        <f>IF(D1398=0,2*MAX(6*F1398,75),(D1398-1)*2*MAX(6*F1398,75))/1000</f>
        <v>0.15</v>
      </c>
      <c r="M1398" t="str">
        <v>=</v>
      </c>
      <c r="N1398">
        <f>J1398+L1398</f>
        <v>0.27</v>
      </c>
      <c r="T1398" t="str">
        <v>x</v>
      </c>
      <c r="U1398">
        <f>0.006165*F1398^2</f>
        <v>0</v>
      </c>
      <c r="V1398" t="str">
        <v>x</v>
      </c>
      <c r="W1398">
        <f>W1394</f>
        <v>5</v>
      </c>
      <c r="X1398" t="str">
        <v>x</v>
      </c>
      <c r="Y1398">
        <f>D1384</f>
        <v>2</v>
      </c>
      <c r="Z1398" t="str">
        <v>=</v>
      </c>
      <c r="AA1398">
        <f>N1398*U1398*W1398*Y1398</f>
        <v>0</v>
      </c>
    </row>
    <row r="1399">
      <c r="A1399" t="str">
        <f>A1374</f>
        <v>Sloof</v>
      </c>
      <c r="B1399" t="str">
        <f>B1374</f>
        <v>39A</v>
      </c>
      <c r="C1399" t="str">
        <v>Kait Horizontal Lap.</v>
      </c>
      <c r="D1399">
        <f>VLOOKUP(D1374,'Detail Balok'!$C$10:$BJ$110,51,FALSE)</f>
        <v>0</v>
      </c>
      <c r="E1399" t="str">
        <v>D</v>
      </c>
      <c r="F1399">
        <f>VLOOKUP(D1374,'Detail Balok'!$C$10:$BJ$110,53,FALSE)</f>
        <v>0</v>
      </c>
      <c r="G1399" t="str">
        <v>-</v>
      </c>
      <c r="H1399">
        <f>VLOOKUP(D1374,'Detail Balok'!$C$10:$BJ$110,55,FALSE)</f>
        <v>100</v>
      </c>
      <c r="J1399">
        <f>(D1375-2*F$5)/1000</f>
        <v>0.12</v>
      </c>
      <c r="K1399" t="str">
        <v>+</v>
      </c>
      <c r="L1399">
        <f>IF(D1399=0,2*MAX(6*F1399,75),(D1399-1)*2*MAX(6*F1399,75))/1000</f>
        <v>0.15</v>
      </c>
      <c r="M1399" t="str">
        <v>=</v>
      </c>
      <c r="N1399">
        <f>J1399+L1399</f>
        <v>0.27</v>
      </c>
      <c r="T1399" t="str">
        <v>x</v>
      </c>
      <c r="U1399">
        <f>0.006165*F1399^2</f>
        <v>0</v>
      </c>
      <c r="V1399" t="str">
        <v>x</v>
      </c>
      <c r="W1399">
        <f>W1395</f>
        <v>4</v>
      </c>
      <c r="X1399" t="str">
        <v>x</v>
      </c>
      <c r="Y1399">
        <f>D1384</f>
        <v>2</v>
      </c>
      <c r="Z1399" t="str">
        <v>=</v>
      </c>
      <c r="AA1399">
        <f>N1399*U1399*W1399*Y1399</f>
        <v>0</v>
      </c>
    </row>
    <row r="1400">
      <c r="A1400" t="str">
        <f>A1374</f>
        <v>Sloof</v>
      </c>
      <c r="B1400" t="str">
        <f>B1374</f>
        <v>39A</v>
      </c>
      <c r="C1400" t="str">
        <v>Kait Horizontal Tump.</v>
      </c>
      <c r="D1400">
        <f>VLOOKUP(D1374,'Detail Balok'!$C$10:$BJ$110,56,FALSE)</f>
        <v>0</v>
      </c>
      <c r="E1400" t="str">
        <v>D</v>
      </c>
      <c r="F1400">
        <f>VLOOKUP(D1374,'Detail Balok'!$C$10:$BJ$110,58,FALSE)</f>
        <v>0</v>
      </c>
      <c r="G1400" t="str">
        <v>-</v>
      </c>
      <c r="H1400">
        <f>VLOOKUP(D1374,'Detail Balok'!$C$10:$BJ$110,60,FALSE)</f>
        <v>100</v>
      </c>
      <c r="J1400">
        <f>(D1375-2*F$5)/1000</f>
        <v>0.12</v>
      </c>
      <c r="K1400" t="str">
        <v>+</v>
      </c>
      <c r="L1400">
        <f>IF(D1400=0,2*MAX(6*F1400,75),(D1400-1)*2*MAX(6*F1400,75))/1000</f>
        <v>0.15</v>
      </c>
      <c r="M1400" t="str">
        <v>=</v>
      </c>
      <c r="N1400">
        <f>J1400+L1400</f>
        <v>0.27</v>
      </c>
      <c r="T1400" t="str">
        <v>x</v>
      </c>
      <c r="U1400">
        <f>0.006165*F1400^2</f>
        <v>0</v>
      </c>
      <c r="V1400" t="str">
        <v>x</v>
      </c>
      <c r="W1400">
        <f>W1396</f>
        <v>5</v>
      </c>
      <c r="X1400" t="str">
        <v>x</v>
      </c>
      <c r="Y1400">
        <f>D1384</f>
        <v>2</v>
      </c>
      <c r="Z1400" t="str">
        <v>=</v>
      </c>
      <c r="AA1400">
        <f>N1400*U1400*W1400*Y1400</f>
        <v>0</v>
      </c>
    </row>
    <row r="1404">
      <c r="A1404" t="str">
        <f>A1344</f>
        <v>Sloof</v>
      </c>
      <c r="B1404">
        <f>B1344+1</f>
        <v>40</v>
      </c>
      <c r="C1404" t="str">
        <f>CONCATENATE(A1404," no. ",B1404)</f>
        <v>Sloof no. 40</v>
      </c>
      <c r="D1404" t="str">
        <f>VLOOKUP(C1404,'Data Panjang Balok'!$C$9:$N$424,2,FALSE)</f>
        <v>TB245-1</v>
      </c>
    </row>
    <row r="1405">
      <c r="C1405" t="str">
        <v>Dimensi</v>
      </c>
      <c r="D1405">
        <f>VLOOKUP(D1404,'Detail Balok'!$C$10:$AU$110,2,FALSE)</f>
        <v>200</v>
      </c>
      <c r="F1405" t="str">
        <v>x</v>
      </c>
      <c r="G1405">
        <f>VLOOKUP(D1404,'Detail Balok'!$C$10:$AU$110,3,FALSE)</f>
        <v>450</v>
      </c>
    </row>
    <row r="1406">
      <c r="C1406" t="str">
        <v>Panjang as ke as</v>
      </c>
      <c r="D1406">
        <f>VLOOKUP(C1404,'Data Panjang Balok'!$C$9:$N$424,4,FALSE)</f>
        <v>2660</v>
      </c>
    </row>
    <row r="1407">
      <c r="C1407" t="str">
        <v>Panjang netto</v>
      </c>
      <c r="D1407">
        <f>VLOOKUP(C1404,'Data Panjang Balok'!$C$9:$N$424,7,FALSE)</f>
        <v>2660</v>
      </c>
    </row>
    <row r="1408">
      <c r="C1408" t="str">
        <v>Kolom / balok kiri</v>
      </c>
      <c r="D1408">
        <f>VLOOKUP(C1404,'Data Panjang Balok'!$C$9:$N$424,9,FALSE)</f>
        <v>0</v>
      </c>
    </row>
    <row r="1409">
      <c r="C1409" t="str">
        <v>Kolom / balok kanan</v>
      </c>
      <c r="D1409">
        <f>VLOOKUP(C1404,'Data Panjang Balok'!$C$9:$N$424,10,FALSE)</f>
        <v>0</v>
      </c>
    </row>
    <row r="1410">
      <c r="C1410" t="str">
        <v>Jumlah</v>
      </c>
      <c r="D1410">
        <f>VLOOKUP(C1404,'Data Panjang Balok'!$C$9:$N$424,3,FALSE)</f>
        <v>1</v>
      </c>
    </row>
    <row r="1411">
      <c r="A1411" t="str">
        <f>A1404</f>
        <v>Sloof</v>
      </c>
      <c r="B1411">
        <f>B1404</f>
        <v>40</v>
      </c>
      <c r="C1411" t="str">
        <v>Tul Atas Tumpuan</v>
      </c>
      <c r="D1411">
        <f>VLOOKUP(D1404,'Detail Balok'!$C$10:$AU$110,4,FALSE)</f>
        <v>3</v>
      </c>
      <c r="E1411" t="str">
        <v>D</v>
      </c>
      <c r="F1411">
        <f>VLOOKUP(D1404,'Detail Balok'!$C$10:$AU$110,6,FALSE)</f>
        <v>13</v>
      </c>
      <c r="I1411" t="str">
        <v>(</v>
      </c>
      <c r="J1411">
        <f>+D1406/4/1000</f>
        <v>0.665</v>
      </c>
      <c r="K1411" t="str">
        <v>+</v>
      </c>
      <c r="L1411">
        <f>MAX(VLOOKUP(F1411,N$6:P$15,3,FALSE)/1000,2/3*D1408/1000)+F$16*F1411/1000</f>
        <v>0.156</v>
      </c>
      <c r="M1411" t="str">
        <v>=</v>
      </c>
      <c r="N1411">
        <f>J1411+L1411</f>
        <v>0.8210000000000001</v>
      </c>
      <c r="O1411" t="str">
        <v>+</v>
      </c>
      <c r="P1411">
        <f>D1411-D1412</f>
        <v>0</v>
      </c>
      <c r="Q1411" t="str">
        <v>x</v>
      </c>
      <c r="R1411">
        <f>IF(P1411&gt;0,$F$18*F1411/1000,0)</f>
        <v>0</v>
      </c>
      <c r="S1411" t="str">
        <v>)</v>
      </c>
      <c r="T1411" t="str">
        <v>x</v>
      </c>
      <c r="U1411">
        <f>0.006165*F1411^2</f>
        <v>1.041885</v>
      </c>
      <c r="X1411" t="str">
        <v>x</v>
      </c>
      <c r="Y1411">
        <f>D1410</f>
        <v>1</v>
      </c>
      <c r="Z1411" t="str">
        <v>=</v>
      </c>
      <c r="AA1411">
        <f>IF(AA1414=0,(D1411*N1411+P1411*R1411)*U1411*Y1411,0)</f>
        <v>0</v>
      </c>
    </row>
    <row r="1412">
      <c r="A1412" t="str">
        <f>A1404</f>
        <v>Sloof</v>
      </c>
      <c r="B1412">
        <f>B1404</f>
        <v>40</v>
      </c>
      <c r="C1412" t="str">
        <v>Tul Atas Lapangan</v>
      </c>
      <c r="D1412">
        <f>VLOOKUP(D1404,'Detail Balok'!$C$10:$AU$110,7,FALSE)</f>
        <v>3</v>
      </c>
      <c r="E1412" t="str">
        <v>D</v>
      </c>
      <c r="F1412">
        <f>VLOOKUP(D1404,'Detail Balok'!$C$10:$AU$110,9,FALSE)</f>
        <v>13</v>
      </c>
      <c r="I1412" t="str">
        <v>(</v>
      </c>
      <c r="J1412">
        <f>+D1406/2/1000</f>
        <v>1.33</v>
      </c>
      <c r="K1412" t="str">
        <v>+</v>
      </c>
      <c r="M1412" t="str">
        <v>=</v>
      </c>
      <c r="N1412">
        <f>J1412+L1412</f>
        <v>1.33</v>
      </c>
      <c r="O1412" t="str">
        <v>+</v>
      </c>
      <c r="P1412">
        <f>MAX(D1412-D1411,D1412-D1413)</f>
        <v>0</v>
      </c>
      <c r="Q1412" t="str">
        <v>x</v>
      </c>
      <c r="R1412">
        <f>IF(P1412&gt;0,2*(1-2*$F$19-1/2)*D1407/1000,0)</f>
        <v>0</v>
      </c>
      <c r="S1412" t="str">
        <v>)</v>
      </c>
      <c r="T1412" t="str">
        <v>x</v>
      </c>
      <c r="U1412">
        <f>0.006165*F1412^2</f>
        <v>1.041885</v>
      </c>
      <c r="X1412" t="str">
        <v>x</v>
      </c>
      <c r="Y1412">
        <f>D1410</f>
        <v>1</v>
      </c>
      <c r="Z1412" t="str">
        <v>=</v>
      </c>
      <c r="AA1412">
        <f>IF(AA1414=0,(D1412*N1412+P1412*R1412)*U1412*Y1412,0)</f>
        <v>0</v>
      </c>
    </row>
    <row r="1413">
      <c r="A1413" t="str">
        <f>A1404</f>
        <v>Sloof</v>
      </c>
      <c r="B1413">
        <f>B1404</f>
        <v>40</v>
      </c>
      <c r="C1413" t="str">
        <v>Tul Atas Tumpuan</v>
      </c>
      <c r="D1413">
        <f>VLOOKUP(D1404,'Detail Balok'!$C$10:$AU$110,10,FALSE)</f>
        <v>3</v>
      </c>
      <c r="E1413" t="str">
        <v>D</v>
      </c>
      <c r="F1413">
        <f>VLOOKUP(D1404,'Detail Balok'!$C$10:$AU$110,12,FALSE)</f>
        <v>13</v>
      </c>
      <c r="I1413" t="str">
        <v>(</v>
      </c>
      <c r="J1413">
        <f>+D1406/4/1000</f>
        <v>0.665</v>
      </c>
      <c r="K1413" t="str">
        <v>+</v>
      </c>
      <c r="L1413">
        <f>MAX(VLOOKUP(F1413,N$6:P$15,3,FALSE)/1000,2/3*D1408/1000)+F$16*F1413/1000</f>
        <v>0.156</v>
      </c>
      <c r="M1413" t="str">
        <v>=</v>
      </c>
      <c r="N1413">
        <f>J1413+L1413</f>
        <v>0.8210000000000001</v>
      </c>
      <c r="O1413" t="str">
        <v>+</v>
      </c>
      <c r="P1413">
        <f>D1413-D1412</f>
        <v>0</v>
      </c>
      <c r="Q1413" t="str">
        <v>x</v>
      </c>
      <c r="R1413">
        <f>IF(P1413&gt;0,$F$18*F1413/1000,0)</f>
        <v>0</v>
      </c>
      <c r="S1413" t="str">
        <v>)</v>
      </c>
      <c r="T1413" t="str">
        <v>x</v>
      </c>
      <c r="U1413">
        <f>0.006165*F1413^2</f>
        <v>1.041885</v>
      </c>
      <c r="X1413" t="str">
        <v>x</v>
      </c>
      <c r="Y1413">
        <f>D1410</f>
        <v>1</v>
      </c>
      <c r="Z1413" t="str">
        <v>=</v>
      </c>
      <c r="AA1413">
        <f>IF(AA1414=0,(D1413*N1413+P1413*R1413)*U1413*Y1413,0)</f>
        <v>0</v>
      </c>
    </row>
    <row r="1414">
      <c r="A1414" t="str">
        <f>A1404</f>
        <v>Sloof</v>
      </c>
      <c r="B1414">
        <f>B1404</f>
        <v>40</v>
      </c>
      <c r="D1414">
        <f>IF(AND(D1411=D1412,D1412=D1413,D1411=D1413),D1411,0)</f>
        <v>3</v>
      </c>
      <c r="E1414" t="str">
        <v>D</v>
      </c>
      <c r="F1414">
        <f>IF(AND(F1411=F1412,F1411=F1413,F1412=F1413),F1411,0)</f>
        <v>13</v>
      </c>
      <c r="L1414" t="str">
        <v>Total panjang per balok</v>
      </c>
      <c r="M1414" t="str">
        <v>=</v>
      </c>
      <c r="N1414">
        <f>IF(AND(D1411=D1412,D1411=D1413,D1412=D1413,F1411=F1412,F1411=F1413,F1412=F1413),SUM(N1411:N1413),0)</f>
        <v>2.9720000000000004</v>
      </c>
      <c r="O1414" t="str">
        <v>+</v>
      </c>
      <c r="P1414">
        <f>IF(N1414&gt;12,ROUNDDOWN(N1414/12,0),0)</f>
        <v>0</v>
      </c>
      <c r="Q1414" t="str">
        <v>x</v>
      </c>
      <c r="R1414">
        <f>IF(P1414&gt;0,MAX(VLOOKUP(F1414,$D$6:$G$15,3,FALSE),600),0)/1000</f>
        <v>0</v>
      </c>
      <c r="T1414" t="str">
        <v>x</v>
      </c>
      <c r="U1414">
        <f>U1413</f>
        <v>1.041885</v>
      </c>
      <c r="V1414" t="str">
        <v>x</v>
      </c>
      <c r="W1414">
        <f>D1414</f>
        <v>3</v>
      </c>
      <c r="X1414" t="str">
        <v>x</v>
      </c>
      <c r="Y1414">
        <f>Y1413</f>
        <v>1</v>
      </c>
      <c r="Z1414" t="str">
        <v>=</v>
      </c>
      <c r="AA1414">
        <f>(N1414+P1414*R1414/1000)*U1414*W1414*Y1414</f>
        <v>9.289446660000001</v>
      </c>
    </row>
    <row r="1416">
      <c r="A1416" t="str">
        <f>A1404</f>
        <v>Sloof</v>
      </c>
      <c r="B1416">
        <f>B1404</f>
        <v>40</v>
      </c>
      <c r="C1416" t="str">
        <v>Tul Peminggang</v>
      </c>
      <c r="D1416">
        <f>VLOOKUP(D1404,'Detail Balok'!$C$10:$AU$110,13,FALSE)</f>
        <v>2</v>
      </c>
      <c r="E1416" t="str">
        <v>D</v>
      </c>
      <c r="F1416">
        <f>VLOOKUP(D1404,'Detail Balok'!$C$10:$AU$110,15,FALSE)</f>
        <v>8</v>
      </c>
      <c r="J1416">
        <f>+D1406/1000</f>
        <v>2.66</v>
      </c>
      <c r="K1416" t="str">
        <v>+</v>
      </c>
      <c r="L1416">
        <f>2*$F$16*F1416/1000</f>
        <v>0.192</v>
      </c>
      <c r="M1416" t="str">
        <v>=</v>
      </c>
      <c r="N1416">
        <f>J1416+L1416</f>
        <v>2.8520000000000003</v>
      </c>
      <c r="O1416" t="str">
        <v>+</v>
      </c>
      <c r="P1416">
        <f>IF(N1416&gt;12,ROUNDDOWN(N1416/12,0),0)</f>
        <v>0</v>
      </c>
      <c r="Q1416" t="str">
        <v>x</v>
      </c>
      <c r="R1416">
        <f>IF(P1416&gt;0,MAX(VLOOKUP(F1416,$D$6:$G$15,3,FALSE),600),0)/1000</f>
        <v>0</v>
      </c>
      <c r="T1416" t="str">
        <v>x</v>
      </c>
      <c r="U1416">
        <f>0.006165*F1416^2</f>
        <v>0.39456</v>
      </c>
      <c r="V1416" t="str">
        <v>x</v>
      </c>
      <c r="W1416">
        <f>+D1416</f>
        <v>2</v>
      </c>
      <c r="X1416" t="str">
        <v>x</v>
      </c>
      <c r="Y1416">
        <f>D1410</f>
        <v>1</v>
      </c>
      <c r="Z1416" t="str">
        <v>=</v>
      </c>
      <c r="AA1416">
        <f>(N1416+P1416*R1416/1000)*U1416*W1416*Y1416</f>
        <v>2.2505702400000005</v>
      </c>
    </row>
    <row r="1419">
      <c r="A1419" t="str">
        <f>A1404</f>
        <v>Sloof</v>
      </c>
      <c r="B1419">
        <f>B1404</f>
        <v>40</v>
      </c>
      <c r="C1419" t="str">
        <v>Tul Bawah Tumpuan</v>
      </c>
      <c r="D1419">
        <f>VLOOKUP(D1404,'Detail Balok'!$C$10:$AU$110,22,FALSE)</f>
        <v>3</v>
      </c>
      <c r="E1419" t="str">
        <v>D</v>
      </c>
      <c r="F1419">
        <f>VLOOKUP(D1404,'Detail Balok'!$C$10:$AU$110,24,FALSE)</f>
        <v>13</v>
      </c>
      <c r="I1419" t="str">
        <v>(</v>
      </c>
      <c r="J1419">
        <f>+J1411</f>
        <v>0.665</v>
      </c>
      <c r="K1419" t="str">
        <v>+</v>
      </c>
      <c r="L1419">
        <f>MAX(VLOOKUP(F1419,N$6:P$15,3,FALSE)/1000,2/3*D1409/1000)+F$16*F1419/1000</f>
        <v>0.156</v>
      </c>
      <c r="M1419" t="str">
        <v>=</v>
      </c>
      <c r="N1419">
        <f>J1419+L1419</f>
        <v>0.8210000000000001</v>
      </c>
      <c r="O1419" t="str">
        <v>+</v>
      </c>
      <c r="P1419">
        <f>D1419-D1420</f>
        <v>0</v>
      </c>
      <c r="Q1419" t="str">
        <v>x</v>
      </c>
      <c r="R1419">
        <f>IF(P1419&gt;0,$F$18*F1419/1000,0)</f>
        <v>0</v>
      </c>
      <c r="S1419" t="str">
        <v>)</v>
      </c>
      <c r="T1419" t="str">
        <v>x</v>
      </c>
      <c r="U1419">
        <f>0.006165*F1419^2</f>
        <v>1.041885</v>
      </c>
      <c r="X1419" t="str">
        <v>x</v>
      </c>
      <c r="Y1419">
        <f>D1410</f>
        <v>1</v>
      </c>
      <c r="Z1419" t="str">
        <v>=</v>
      </c>
      <c r="AA1419">
        <f>IF(AA1422=0,(D1419*N1419+P1419*R1419)*U1419*Y1419,0)</f>
        <v>0</v>
      </c>
    </row>
    <row r="1420">
      <c r="A1420" t="str">
        <f>A1404</f>
        <v>Sloof</v>
      </c>
      <c r="B1420">
        <f>B1404</f>
        <v>40</v>
      </c>
      <c r="C1420" t="str">
        <v>Tul Bawah Lapangan</v>
      </c>
      <c r="D1420">
        <f>VLOOKUP(D1404,'Detail Balok'!$C$10:$AU$110,25,FALSE)</f>
        <v>3</v>
      </c>
      <c r="E1420" t="str">
        <v>D</v>
      </c>
      <c r="F1420">
        <f>VLOOKUP(D1404,'Detail Balok'!$C$10:$AU$110,27,FALSE)</f>
        <v>13</v>
      </c>
      <c r="I1420" t="str">
        <v>(</v>
      </c>
      <c r="J1420">
        <f>+J1412</f>
        <v>1.33</v>
      </c>
      <c r="K1420" t="str">
        <v>+</v>
      </c>
      <c r="M1420" t="str">
        <v>=</v>
      </c>
      <c r="N1420">
        <f>J1420+L1420</f>
        <v>1.33</v>
      </c>
      <c r="O1420" t="str">
        <v>+</v>
      </c>
      <c r="P1420">
        <f>MAX(D1420-D1419,D1420-D1421)</f>
        <v>0</v>
      </c>
      <c r="Q1420" t="str">
        <v>x</v>
      </c>
      <c r="R1420">
        <f>IF(P1420&gt;0,2*(1-2*$F$19-1/2)*D1407/1000,0)</f>
        <v>0</v>
      </c>
      <c r="S1420" t="str">
        <v>)</v>
      </c>
      <c r="T1420" t="str">
        <v>x</v>
      </c>
      <c r="U1420">
        <f>0.006165*F1420^2</f>
        <v>1.041885</v>
      </c>
      <c r="X1420" t="str">
        <v>x</v>
      </c>
      <c r="Y1420">
        <f>D1410</f>
        <v>1</v>
      </c>
      <c r="Z1420" t="str">
        <v>=</v>
      </c>
      <c r="AA1420">
        <f>IF(AA1422=0,(D1420*N1420+P1420*R1420)*U1420*Y1420,0)</f>
        <v>0</v>
      </c>
    </row>
    <row r="1421">
      <c r="A1421" t="str">
        <f>A1404</f>
        <v>Sloof</v>
      </c>
      <c r="B1421">
        <f>B1404</f>
        <v>40</v>
      </c>
      <c r="C1421" t="str">
        <v>Tul Bawah Tumpuan</v>
      </c>
      <c r="D1421">
        <f>VLOOKUP(D1404,'Detail Balok'!$C$10:$AU$110,28,FALSE)</f>
        <v>3</v>
      </c>
      <c r="E1421" t="str">
        <v>D</v>
      </c>
      <c r="F1421">
        <f>VLOOKUP(D1404,'Detail Balok'!$C$10:$AU$110,30,FALSE)</f>
        <v>13</v>
      </c>
      <c r="I1421" t="str">
        <v>(</v>
      </c>
      <c r="J1421">
        <f>+J1413</f>
        <v>0.665</v>
      </c>
      <c r="K1421" t="str">
        <v>+</v>
      </c>
      <c r="L1421">
        <f>MAX(VLOOKUP(F1421,N$6:P$15,3,FALSE)/1000,2/3*D1409/1000)+F$16*F1421/1000</f>
        <v>0.156</v>
      </c>
      <c r="M1421" t="str">
        <v>=</v>
      </c>
      <c r="N1421">
        <f>J1421+L1421</f>
        <v>0.8210000000000001</v>
      </c>
      <c r="O1421" t="str">
        <v>+</v>
      </c>
      <c r="P1421">
        <f>D1421-D1420</f>
        <v>0</v>
      </c>
      <c r="Q1421" t="str">
        <v>x</v>
      </c>
      <c r="R1421">
        <f>IF(P1421&gt;0,$F$18*F1421/1000,0)</f>
        <v>0</v>
      </c>
      <c r="S1421" t="str">
        <v>)</v>
      </c>
      <c r="T1421" t="str">
        <v>x</v>
      </c>
      <c r="U1421">
        <f>0.006165*F1421^2</f>
        <v>1.041885</v>
      </c>
      <c r="X1421" t="str">
        <v>x</v>
      </c>
      <c r="Y1421">
        <f>D1410</f>
        <v>1</v>
      </c>
      <c r="Z1421" t="str">
        <v>=</v>
      </c>
      <c r="AA1421">
        <f>IF(AA1422=0,(D1421*N1421+P1421*R1421)*U1421*Y1421,0)</f>
        <v>0</v>
      </c>
    </row>
    <row r="1422">
      <c r="A1422" t="str">
        <f>A1404</f>
        <v>Sloof</v>
      </c>
      <c r="B1422">
        <f>B1404</f>
        <v>40</v>
      </c>
      <c r="D1422">
        <f>IF(AND(D1419=D1420,D1420=D1421,D1419=D1421),D1419,0)</f>
        <v>3</v>
      </c>
      <c r="E1422" t="str">
        <v>D</v>
      </c>
      <c r="F1422">
        <f>IF(AND(F1419=F1420,F1419=F1421,F1420=F1421),F1419,0)</f>
        <v>13</v>
      </c>
      <c r="L1422" t="str">
        <v>Total panjang per balok</v>
      </c>
      <c r="M1422" t="str">
        <v>=</v>
      </c>
      <c r="N1422">
        <f>IF(AND(D1419=D1420,D1419=D1421,D1420=D1421,F1419=F1420,F1419=F1421,F1420=F1421),SUM(N1419:N1421),0)</f>
        <v>2.9720000000000004</v>
      </c>
      <c r="O1422" t="str">
        <v>+</v>
      </c>
      <c r="P1422">
        <f>IF(N1422&gt;12,ROUNDDOWN(N1422/12,0),0)</f>
        <v>0</v>
      </c>
      <c r="Q1422" t="str">
        <v>x</v>
      </c>
      <c r="R1422">
        <f>IF(P1422&gt;0,MAX(VLOOKUP(F1422,$D$6:$G$15,3,FALSE),600),0)/1000</f>
        <v>0</v>
      </c>
      <c r="T1422" t="str">
        <v>x</v>
      </c>
      <c r="U1422">
        <f>U1421</f>
        <v>1.041885</v>
      </c>
      <c r="V1422" t="str">
        <v>x</v>
      </c>
      <c r="W1422">
        <f>D1422</f>
        <v>3</v>
      </c>
      <c r="X1422" t="str">
        <v>x</v>
      </c>
      <c r="Y1422">
        <f>Y1421</f>
        <v>1</v>
      </c>
      <c r="Z1422" t="str">
        <v>=</v>
      </c>
      <c r="AA1422">
        <f>(N1422+P1422*R1422/1000)*U1422*W1422*Y1422</f>
        <v>9.289446660000001</v>
      </c>
    </row>
    <row r="1424">
      <c r="A1424" t="str">
        <f>A1404</f>
        <v>Sloof</v>
      </c>
      <c r="B1424">
        <f>B1404</f>
        <v>40</v>
      </c>
      <c r="C1424" t="str">
        <v>Sengkang Tumpuan</v>
      </c>
      <c r="D1424">
        <f>VLOOKUP(D1404,'Detail Balok'!$C$10:$AU$110,31,FALSE)</f>
        <v>0</v>
      </c>
      <c r="E1424" t="str">
        <v>D</v>
      </c>
      <c r="F1424">
        <f>VLOOKUP(D1404,'Detail Balok'!$C$10:$AU$110,33,FALSE)</f>
        <v>8</v>
      </c>
      <c r="G1424" t="str">
        <v>-</v>
      </c>
      <c r="H1424">
        <f>VLOOKUP(D1404,'Detail Balok'!$C$10:$AU$110,35,FALSE)</f>
        <v>200</v>
      </c>
      <c r="J1424">
        <f>(IF(D1424=0,(2*(D1405+G1405))-(F$5*8),IF(D1424=3,(2*(D1405+G1405))-(F$5*8)+(G1405-2*F$5),IF(D1424=4,(2*(D1405+G1405))-(F$5*8)+2*(G1405-2*F$5)))))/1000</f>
        <v>0.98</v>
      </c>
      <c r="K1424" t="str">
        <v>+</v>
      </c>
      <c r="L1424">
        <f>IF(D1424=0,2*MAX(6*F1424,75),(D1424-1)*2*MAX(6*F1424,75))/1000</f>
        <v>0.15</v>
      </c>
      <c r="M1424" t="str">
        <v>=</v>
      </c>
      <c r="N1424">
        <f>J1424+L1424</f>
        <v>1.13</v>
      </c>
      <c r="T1424" t="str">
        <v>x</v>
      </c>
      <c r="U1424">
        <f>0.006165*F1424^2</f>
        <v>0.39456</v>
      </c>
      <c r="V1424" t="str">
        <v>x</v>
      </c>
      <c r="W1424">
        <f>IF(D1407&gt;4*G1405,ROUND(MAX(D1407/4,2*G1405)/H1424,0)+1,ROUND(D1407/H1424,0)+1)</f>
        <v>6</v>
      </c>
      <c r="X1424" t="str">
        <v>x</v>
      </c>
      <c r="Y1424">
        <f>D1410</f>
        <v>1</v>
      </c>
      <c r="Z1424" t="str">
        <v>=</v>
      </c>
      <c r="AA1424">
        <f>N1424*U1424*W1424*Y1424</f>
        <v>2.6751168</v>
      </c>
    </row>
    <row r="1425">
      <c r="A1425" t="str">
        <f>A1404</f>
        <v>Sloof</v>
      </c>
      <c r="B1425">
        <f>B1404</f>
        <v>40</v>
      </c>
      <c r="C1425" t="str">
        <v>Sengkang Lapangan</v>
      </c>
      <c r="D1425">
        <f>VLOOKUP(D1404,'Detail Balok'!$C$10:$AU$110,36,FALSE)</f>
        <v>0</v>
      </c>
      <c r="E1425" t="str">
        <v>D</v>
      </c>
      <c r="F1425">
        <f>VLOOKUP(D1404,'Detail Balok'!$C$10:$AU$110,38,FALSE)</f>
        <v>8</v>
      </c>
      <c r="G1425" t="str">
        <v>-</v>
      </c>
      <c r="H1425">
        <f>VLOOKUP(D1404,'Detail Balok'!$C$10:$AU$110,40,FALSE)</f>
        <v>200</v>
      </c>
      <c r="J1425">
        <f>(IF(D1425=0,(2*(D1405+G1405))-(F$5*8),IF(D1425=3,(2*(D1405+G1405))-(F$5*8)+(G1405-2*F$5),IF(D1425=4,(2*(D1405+G1405))-(F$5*8)+2*(G1405-2*F$5)))))/1000</f>
        <v>0.98</v>
      </c>
      <c r="K1425" t="str">
        <v>+</v>
      </c>
      <c r="L1425">
        <f>IF(D1425=0,2*MAX(6*F1425,75),(D1425-1)*2*MAX(6*F1425,75))/1000</f>
        <v>0.15</v>
      </c>
      <c r="M1425" t="str">
        <v>=</v>
      </c>
      <c r="N1425">
        <f>J1425+L1425</f>
        <v>1.13</v>
      </c>
      <c r="T1425" t="str">
        <v>x</v>
      </c>
      <c r="U1425">
        <f>0.006165*F1425^2</f>
        <v>0.39456</v>
      </c>
      <c r="V1425" t="str">
        <v>x</v>
      </c>
      <c r="W1425">
        <f>IF(D1407-MAX(D1407/4,2*G1405)*2&gt;0,ROUND((D1407-MAX(D1407/4,2*G1405)*2)/H1425,0),0)</f>
        <v>4</v>
      </c>
      <c r="X1425" t="str">
        <v>x</v>
      </c>
      <c r="Y1425">
        <f>D1410</f>
        <v>1</v>
      </c>
      <c r="Z1425" t="str">
        <v>=</v>
      </c>
      <c r="AA1425">
        <f>N1425*U1425*W1425*Y1425</f>
        <v>1.7834112</v>
      </c>
    </row>
    <row r="1426">
      <c r="A1426" t="str">
        <f>A1404</f>
        <v>Sloof</v>
      </c>
      <c r="B1426">
        <f>B1404</f>
        <v>40</v>
      </c>
      <c r="C1426" t="str">
        <v>Sengkang Tumpuan</v>
      </c>
      <c r="D1426">
        <f>VLOOKUP(D1404,'Detail Balok'!$C$10:$AU$110,41,FALSE)</f>
        <v>0</v>
      </c>
      <c r="E1426" t="str">
        <v>D</v>
      </c>
      <c r="F1426">
        <f>VLOOKUP(D1404,'Detail Balok'!$C$10:$AU$110,43,FALSE)</f>
        <v>8</v>
      </c>
      <c r="G1426" t="str">
        <v>-</v>
      </c>
      <c r="H1426">
        <f>VLOOKUP(D1404,'Detail Balok'!$C$10:$AU$110,45,FALSE)</f>
        <v>200</v>
      </c>
      <c r="J1426">
        <f>(IF(D1426=0,(2*(D1405+G1405))-(F$5*8),IF(D1426=3,(2*(D1405+G1405))-(F$5*8)+(G1405-2*F$5),IF(D1426=4,(2*(D1405+G1405))-(F$5*8)+2*(G1405-2*F$5)))))/1000</f>
        <v>0.98</v>
      </c>
      <c r="K1426" t="str">
        <v>+</v>
      </c>
      <c r="L1426">
        <f>IF(D1426=0,2*MAX(6*F1426,75),(D1426-1)*2*MAX(6*F1426,75))/1000</f>
        <v>0.15</v>
      </c>
      <c r="M1426" t="str">
        <v>=</v>
      </c>
      <c r="N1426">
        <f>J1426+L1426</f>
        <v>1.13</v>
      </c>
      <c r="T1426" t="str">
        <v>x</v>
      </c>
      <c r="U1426">
        <f>0.006165*F1426^2</f>
        <v>0.39456</v>
      </c>
      <c r="V1426" t="str">
        <v>x</v>
      </c>
      <c r="W1426">
        <f>IF(D1407&gt;4*G1405,ROUND(MAX(D1407/4,2*G1405)/H1426,0)+1,0)</f>
        <v>6</v>
      </c>
      <c r="X1426" t="str">
        <v>x</v>
      </c>
      <c r="Y1426">
        <f>D1410</f>
        <v>1</v>
      </c>
      <c r="Z1426" t="str">
        <v>=</v>
      </c>
      <c r="AA1426">
        <f>N1426*U1426*W1426*Y1426</f>
        <v>2.6751168</v>
      </c>
    </row>
    <row r="1428">
      <c r="A1428" t="str">
        <f>A1404</f>
        <v>Sloof</v>
      </c>
      <c r="B1428">
        <f>B1404</f>
        <v>40</v>
      </c>
      <c r="C1428" t="str">
        <v>Kait Horizontal Tump.</v>
      </c>
      <c r="D1428">
        <f>VLOOKUP(D1404,'Detail Balok'!$C$10:$BJ$110,46,FALSE)</f>
        <v>0</v>
      </c>
      <c r="E1428" t="str">
        <v>D</v>
      </c>
      <c r="F1428">
        <f>VLOOKUP(D1404,'Detail Balok'!$C$10:$BJ$110,48,FALSE)</f>
        <v>0</v>
      </c>
      <c r="G1428" t="str">
        <v>-</v>
      </c>
      <c r="H1428">
        <f>VLOOKUP(D1404,'Detail Balok'!$C$10:$BJ$110,50,FALSE)</f>
        <v>100</v>
      </c>
      <c r="J1428">
        <f>(D1405-2*F$5)/1000</f>
        <v>0.12</v>
      </c>
      <c r="K1428" t="str">
        <v>+</v>
      </c>
      <c r="L1428">
        <f>IF(D1428=0,2*MAX(6*F1428,75),(D1428-1)*2*MAX(6*F1428,75))/1000</f>
        <v>0.15</v>
      </c>
      <c r="M1428" t="str">
        <v>=</v>
      </c>
      <c r="N1428">
        <f>J1428+L1428</f>
        <v>0.27</v>
      </c>
      <c r="T1428" t="str">
        <v>x</v>
      </c>
      <c r="U1428">
        <f>0.006165*F1428^2</f>
        <v>0</v>
      </c>
      <c r="V1428" t="str">
        <v>x</v>
      </c>
      <c r="W1428">
        <f>W1424</f>
        <v>6</v>
      </c>
      <c r="X1428" t="str">
        <v>x</v>
      </c>
      <c r="Y1428">
        <f>D1414</f>
        <v>3</v>
      </c>
      <c r="Z1428" t="str">
        <v>=</v>
      </c>
      <c r="AA1428">
        <f>N1428*U1428*W1428*Y1428</f>
        <v>0</v>
      </c>
    </row>
    <row r="1429">
      <c r="A1429" t="str">
        <f>A1404</f>
        <v>Sloof</v>
      </c>
      <c r="B1429">
        <f>B1404</f>
        <v>40</v>
      </c>
      <c r="C1429" t="str">
        <v>Kait Horizontal Lap.</v>
      </c>
      <c r="D1429">
        <f>VLOOKUP(D1404,'Detail Balok'!$C$10:$BJ$110,51,FALSE)</f>
        <v>0</v>
      </c>
      <c r="E1429" t="str">
        <v>D</v>
      </c>
      <c r="F1429">
        <f>VLOOKUP(D1404,'Detail Balok'!$C$10:$BJ$110,53,FALSE)</f>
        <v>0</v>
      </c>
      <c r="G1429" t="str">
        <v>-</v>
      </c>
      <c r="H1429">
        <f>VLOOKUP(D1404,'Detail Balok'!$C$10:$BJ$110,55,FALSE)</f>
        <v>100</v>
      </c>
      <c r="J1429">
        <f>(D1405-2*F$5)/1000</f>
        <v>0.12</v>
      </c>
      <c r="K1429" t="str">
        <v>+</v>
      </c>
      <c r="L1429">
        <f>IF(D1429=0,2*MAX(6*F1429,75),(D1429-1)*2*MAX(6*F1429,75))/1000</f>
        <v>0.15</v>
      </c>
      <c r="M1429" t="str">
        <v>=</v>
      </c>
      <c r="N1429">
        <f>J1429+L1429</f>
        <v>0.27</v>
      </c>
      <c r="T1429" t="str">
        <v>x</v>
      </c>
      <c r="U1429">
        <f>0.006165*F1429^2</f>
        <v>0</v>
      </c>
      <c r="V1429" t="str">
        <v>x</v>
      </c>
      <c r="W1429">
        <f>W1425</f>
        <v>4</v>
      </c>
      <c r="X1429" t="str">
        <v>x</v>
      </c>
      <c r="Y1429">
        <f>D1414</f>
        <v>3</v>
      </c>
      <c r="Z1429" t="str">
        <v>=</v>
      </c>
      <c r="AA1429">
        <f>N1429*U1429*W1429*Y1429</f>
        <v>0</v>
      </c>
    </row>
    <row r="1430">
      <c r="A1430" t="str">
        <f>A1404</f>
        <v>Sloof</v>
      </c>
      <c r="B1430">
        <f>B1404</f>
        <v>40</v>
      </c>
      <c r="C1430" t="str">
        <v>Kait Horizontal Tump.</v>
      </c>
      <c r="D1430">
        <f>VLOOKUP(D1404,'Detail Balok'!$C$10:$BJ$110,56,FALSE)</f>
        <v>0</v>
      </c>
      <c r="E1430" t="str">
        <v>D</v>
      </c>
      <c r="F1430">
        <f>VLOOKUP(D1404,'Detail Balok'!$C$10:$BJ$110,58,FALSE)</f>
        <v>0</v>
      </c>
      <c r="G1430" t="str">
        <v>-</v>
      </c>
      <c r="H1430">
        <f>VLOOKUP(D1404,'Detail Balok'!$C$10:$BJ$110,60,FALSE)</f>
        <v>100</v>
      </c>
      <c r="J1430">
        <f>(D1405-2*F$5)/1000</f>
        <v>0.12</v>
      </c>
      <c r="K1430" t="str">
        <v>+</v>
      </c>
      <c r="L1430">
        <f>IF(D1430=0,2*MAX(6*F1430,75),(D1430-1)*2*MAX(6*F1430,75))/1000</f>
        <v>0.15</v>
      </c>
      <c r="M1430" t="str">
        <v>=</v>
      </c>
      <c r="N1430">
        <f>J1430+L1430</f>
        <v>0.27</v>
      </c>
      <c r="T1430" t="str">
        <v>x</v>
      </c>
      <c r="U1430">
        <f>0.006165*F1430^2</f>
        <v>0</v>
      </c>
      <c r="V1430" t="str">
        <v>x</v>
      </c>
      <c r="W1430">
        <f>W1426</f>
        <v>6</v>
      </c>
      <c r="X1430" t="str">
        <v>x</v>
      </c>
      <c r="Y1430">
        <f>D1414</f>
        <v>3</v>
      </c>
      <c r="Z1430" t="str">
        <v>=</v>
      </c>
      <c r="AA1430">
        <f>N1430*U1430*W1430*Y1430</f>
        <v>0</v>
      </c>
    </row>
    <row r="1434">
      <c r="A1434" t="str">
        <f>A1404</f>
        <v>Sloof</v>
      </c>
      <c r="B1434">
        <f>B1404+1</f>
        <v>41</v>
      </c>
      <c r="C1434" t="str">
        <f>CONCATENATE(A1434," no. ",B1434)</f>
        <v>Sloof no. 41</v>
      </c>
      <c r="D1434" t="str">
        <f>VLOOKUP(C1434,'Data Panjang Balok'!$C$9:$N$424,2,FALSE)</f>
        <v>TB245-2</v>
      </c>
    </row>
    <row r="1435">
      <c r="C1435" t="str">
        <v>Dimensi</v>
      </c>
      <c r="D1435">
        <f>VLOOKUP(D1434,'Detail Balok'!$C$10:$AU$110,2,FALSE)</f>
        <v>200</v>
      </c>
      <c r="F1435" t="str">
        <v>x</v>
      </c>
      <c r="G1435">
        <f>VLOOKUP(D1434,'Detail Balok'!$C$10:$AU$110,3,FALSE)</f>
        <v>450</v>
      </c>
    </row>
    <row r="1436">
      <c r="C1436" t="str">
        <v>Panjang as ke as</v>
      </c>
      <c r="D1436">
        <f>VLOOKUP(C1434,'Data Panjang Balok'!$C$9:$N$424,4,FALSE)</f>
        <v>7220</v>
      </c>
    </row>
    <row r="1437">
      <c r="C1437" t="str">
        <v>Panjang netto</v>
      </c>
      <c r="D1437">
        <f>VLOOKUP(C1434,'Data Panjang Balok'!$C$9:$N$424,7,FALSE)</f>
        <v>7220</v>
      </c>
    </row>
    <row r="1438">
      <c r="C1438" t="str">
        <v>Kolom / balok kiri</v>
      </c>
      <c r="D1438">
        <f>VLOOKUP(C1434,'Data Panjang Balok'!$C$9:$N$424,9,FALSE)</f>
        <v>0</v>
      </c>
    </row>
    <row r="1439">
      <c r="C1439" t="str">
        <v>Kolom / balok kanan</v>
      </c>
      <c r="D1439">
        <f>VLOOKUP(C1434,'Data Panjang Balok'!$C$9:$N$424,10,FALSE)</f>
        <v>0</v>
      </c>
    </row>
    <row r="1440">
      <c r="C1440" t="str">
        <v>Jumlah</v>
      </c>
      <c r="D1440">
        <f>VLOOKUP(C1434,'Data Panjang Balok'!$C$9:$N$424,3,FALSE)</f>
        <v>1</v>
      </c>
    </row>
    <row r="1441">
      <c r="A1441" t="str">
        <f>A1434</f>
        <v>Sloof</v>
      </c>
      <c r="B1441">
        <f>B1434</f>
        <v>41</v>
      </c>
      <c r="C1441" t="str">
        <v>Tul Atas Tumpuan</v>
      </c>
      <c r="D1441">
        <f>VLOOKUP(D1434,'Detail Balok'!$C$10:$AU$110,4,FALSE)</f>
        <v>4</v>
      </c>
      <c r="E1441" t="str">
        <v>D</v>
      </c>
      <c r="F1441">
        <f>VLOOKUP(D1434,'Detail Balok'!$C$10:$AU$110,6,FALSE)</f>
        <v>13</v>
      </c>
      <c r="I1441" t="str">
        <v>(</v>
      </c>
      <c r="J1441">
        <f>+D1436/4/1000</f>
        <v>1.805</v>
      </c>
      <c r="K1441" t="str">
        <v>+</v>
      </c>
      <c r="L1441">
        <f>MAX(VLOOKUP(F1441,N$6:P$15,3,FALSE)/1000,2/3*D1438/1000)+F$16*F1441/1000</f>
        <v>0.156</v>
      </c>
      <c r="M1441" t="str">
        <v>=</v>
      </c>
      <c r="N1441">
        <f>J1441+L1441</f>
        <v>1.9609999999999999</v>
      </c>
      <c r="O1441" t="str">
        <v>+</v>
      </c>
      <c r="P1441">
        <f>D1441-D1442</f>
        <v>2</v>
      </c>
      <c r="Q1441" t="str">
        <v>x</v>
      </c>
      <c r="R1441">
        <f>IF(P1441&gt;0,$F$18*F1441/1000,0)</f>
        <v>0.195</v>
      </c>
      <c r="S1441" t="str">
        <v>)</v>
      </c>
      <c r="T1441" t="str">
        <v>x</v>
      </c>
      <c r="U1441">
        <f>0.006165*F1441^2</f>
        <v>1.041885</v>
      </c>
      <c r="X1441" t="str">
        <v>x</v>
      </c>
      <c r="Y1441">
        <f>D1440</f>
        <v>1</v>
      </c>
      <c r="Z1441" t="str">
        <v>=</v>
      </c>
      <c r="AA1441">
        <f>IF(AA1444=0,(D1441*N1441+P1441*R1441)*U1441*Y1441,0)</f>
        <v>8.57888109</v>
      </c>
    </row>
    <row r="1442">
      <c r="A1442" t="str">
        <f>A1434</f>
        <v>Sloof</v>
      </c>
      <c r="B1442">
        <f>B1434</f>
        <v>41</v>
      </c>
      <c r="C1442" t="str">
        <v>Tul Atas Lapangan</v>
      </c>
      <c r="D1442">
        <f>VLOOKUP(D1434,'Detail Balok'!$C$10:$AU$110,7,FALSE)</f>
        <v>2</v>
      </c>
      <c r="E1442" t="str">
        <v>D</v>
      </c>
      <c r="F1442">
        <f>VLOOKUP(D1434,'Detail Balok'!$C$10:$AU$110,9,FALSE)</f>
        <v>13</v>
      </c>
      <c r="I1442" t="str">
        <v>(</v>
      </c>
      <c r="J1442">
        <f>+D1436/2/1000</f>
        <v>3.61</v>
      </c>
      <c r="K1442" t="str">
        <v>+</v>
      </c>
      <c r="M1442" t="str">
        <v>=</v>
      </c>
      <c r="N1442">
        <f>J1442+L1442</f>
        <v>3.61</v>
      </c>
      <c r="O1442" t="str">
        <v>+</v>
      </c>
      <c r="P1442">
        <f>MAX(D1442-D1441,D1442-D1443)</f>
        <v>-2</v>
      </c>
      <c r="Q1442" t="str">
        <v>x</v>
      </c>
      <c r="R1442">
        <f>IF(P1442&gt;0,2*(1-2*$F$19-1/2)*D1437/1000,0)</f>
        <v>0</v>
      </c>
      <c r="S1442" t="str">
        <v>)</v>
      </c>
      <c r="T1442" t="str">
        <v>x</v>
      </c>
      <c r="U1442">
        <f>0.006165*F1442^2</f>
        <v>1.041885</v>
      </c>
      <c r="X1442" t="str">
        <v>x</v>
      </c>
      <c r="Y1442">
        <f>D1440</f>
        <v>1</v>
      </c>
      <c r="Z1442" t="str">
        <v>=</v>
      </c>
      <c r="AA1442">
        <f>IF(AA1444=0,(D1442*N1442+P1442*R1442)*U1442*Y1442,0)</f>
        <v>7.522409699999999</v>
      </c>
    </row>
    <row r="1443">
      <c r="A1443" t="str">
        <f>A1434</f>
        <v>Sloof</v>
      </c>
      <c r="B1443">
        <f>B1434</f>
        <v>41</v>
      </c>
      <c r="C1443" t="str">
        <v>Tul Atas Tumpuan</v>
      </c>
      <c r="D1443">
        <f>VLOOKUP(D1434,'Detail Balok'!$C$10:$AU$110,10,FALSE)</f>
        <v>4</v>
      </c>
      <c r="E1443" t="str">
        <v>D</v>
      </c>
      <c r="F1443">
        <f>VLOOKUP(D1434,'Detail Balok'!$C$10:$AU$110,12,FALSE)</f>
        <v>13</v>
      </c>
      <c r="I1443" t="str">
        <v>(</v>
      </c>
      <c r="J1443">
        <f>+D1436/4/1000</f>
        <v>1.805</v>
      </c>
      <c r="K1443" t="str">
        <v>+</v>
      </c>
      <c r="L1443">
        <f>MAX(VLOOKUP(F1443,N$6:P$15,3,FALSE)/1000,2/3*D1438/1000)+F$16*F1443/1000</f>
        <v>0.156</v>
      </c>
      <c r="M1443" t="str">
        <v>=</v>
      </c>
      <c r="N1443">
        <f>J1443+L1443</f>
        <v>1.9609999999999999</v>
      </c>
      <c r="O1443" t="str">
        <v>+</v>
      </c>
      <c r="P1443">
        <f>D1443-D1442</f>
        <v>2</v>
      </c>
      <c r="Q1443" t="str">
        <v>x</v>
      </c>
      <c r="R1443">
        <f>IF(P1443&gt;0,$F$18*F1443/1000,0)</f>
        <v>0.195</v>
      </c>
      <c r="S1443" t="str">
        <v>)</v>
      </c>
      <c r="T1443" t="str">
        <v>x</v>
      </c>
      <c r="U1443">
        <f>0.006165*F1443^2</f>
        <v>1.041885</v>
      </c>
      <c r="X1443" t="str">
        <v>x</v>
      </c>
      <c r="Y1443">
        <f>D1440</f>
        <v>1</v>
      </c>
      <c r="Z1443" t="str">
        <v>=</v>
      </c>
      <c r="AA1443">
        <f>IF(AA1444=0,(D1443*N1443+P1443*R1443)*U1443*Y1443,0)</f>
        <v>8.57888109</v>
      </c>
    </row>
    <row r="1444">
      <c r="A1444" t="str">
        <f>A1434</f>
        <v>Sloof</v>
      </c>
      <c r="B1444">
        <f>B1434</f>
        <v>41</v>
      </c>
      <c r="D1444">
        <f>IF(AND(D1441=D1442,D1442=D1443,D1441=D1443),D1441,0)</f>
        <v>0</v>
      </c>
      <c r="E1444" t="str">
        <v>D</v>
      </c>
      <c r="F1444">
        <f>IF(AND(F1441=F1442,F1441=F1443,F1442=F1443),F1441,0)</f>
        <v>13</v>
      </c>
      <c r="L1444" t="str">
        <v>Total panjang per balok</v>
      </c>
      <c r="M1444" t="str">
        <v>=</v>
      </c>
      <c r="N1444">
        <f>IF(AND(D1441=D1442,D1441=D1443,D1442=D1443,F1441=F1442,F1441=F1443,F1442=F1443),SUM(N1441:N1443),0)</f>
        <v>0</v>
      </c>
      <c r="O1444" t="str">
        <v>+</v>
      </c>
      <c r="P1444">
        <f>IF(N1444&gt;12,ROUNDDOWN(N1444/12,0),0)</f>
        <v>0</v>
      </c>
      <c r="Q1444" t="str">
        <v>x</v>
      </c>
      <c r="R1444">
        <f>IF(P1444&gt;0,MAX(VLOOKUP(F1444,$D$6:$G$15,3,FALSE),600),0)/1000</f>
        <v>0</v>
      </c>
      <c r="T1444" t="str">
        <v>x</v>
      </c>
      <c r="U1444">
        <f>U1443</f>
        <v>1.041885</v>
      </c>
      <c r="V1444" t="str">
        <v>x</v>
      </c>
      <c r="W1444">
        <f>D1444</f>
        <v>0</v>
      </c>
      <c r="X1444" t="str">
        <v>x</v>
      </c>
      <c r="Y1444">
        <f>Y1443</f>
        <v>1</v>
      </c>
      <c r="Z1444" t="str">
        <v>=</v>
      </c>
      <c r="AA1444">
        <f>(N1444+P1444*R1444/1000)*U1444*W1444*Y1444</f>
        <v>0</v>
      </c>
    </row>
    <row r="1446">
      <c r="A1446" t="str">
        <f>A1434</f>
        <v>Sloof</v>
      </c>
      <c r="B1446">
        <f>B1434</f>
        <v>41</v>
      </c>
      <c r="C1446" t="str">
        <v>Tul Peminggang</v>
      </c>
      <c r="D1446">
        <f>VLOOKUP(D1434,'Detail Balok'!$C$10:$AU$110,13,FALSE)</f>
        <v>2</v>
      </c>
      <c r="E1446" t="str">
        <v>D</v>
      </c>
      <c r="F1446">
        <f>VLOOKUP(D1434,'Detail Balok'!$C$10:$AU$110,15,FALSE)</f>
        <v>8</v>
      </c>
      <c r="J1446">
        <f>+D1436/1000</f>
        <v>7.22</v>
      </c>
      <c r="K1446" t="str">
        <v>+</v>
      </c>
      <c r="L1446">
        <f>2*$F$16*F1446/1000</f>
        <v>0.192</v>
      </c>
      <c r="M1446" t="str">
        <v>=</v>
      </c>
      <c r="N1446">
        <f>J1446+L1446</f>
        <v>7.412</v>
      </c>
      <c r="O1446" t="str">
        <v>+</v>
      </c>
      <c r="P1446">
        <f>IF(N1446&gt;12,ROUNDDOWN(N1446/12,0),0)</f>
        <v>0</v>
      </c>
      <c r="Q1446" t="str">
        <v>x</v>
      </c>
      <c r="R1446">
        <f>IF(P1446&gt;0,MAX(VLOOKUP(F1446,$D$6:$G$15,3,FALSE),600),0)/1000</f>
        <v>0</v>
      </c>
      <c r="T1446" t="str">
        <v>x</v>
      </c>
      <c r="U1446">
        <f>0.006165*F1446^2</f>
        <v>0.39456</v>
      </c>
      <c r="V1446" t="str">
        <v>x</v>
      </c>
      <c r="W1446">
        <f>+D1446</f>
        <v>2</v>
      </c>
      <c r="X1446" t="str">
        <v>x</v>
      </c>
      <c r="Y1446">
        <f>D1440</f>
        <v>1</v>
      </c>
      <c r="Z1446" t="str">
        <v>=</v>
      </c>
      <c r="AA1446">
        <f>(N1446+P1446*R1446/1000)*U1446*W1446*Y1446</f>
        <v>5.84895744</v>
      </c>
    </row>
    <row r="1449">
      <c r="A1449" t="str">
        <f>A1434</f>
        <v>Sloof</v>
      </c>
      <c r="B1449">
        <f>B1434</f>
        <v>41</v>
      </c>
      <c r="C1449" t="str">
        <v>Tul Bawah Tumpuan</v>
      </c>
      <c r="D1449">
        <f>VLOOKUP(D1434,'Detail Balok'!$C$10:$AU$110,22,FALSE)</f>
        <v>4</v>
      </c>
      <c r="E1449" t="str">
        <v>D</v>
      </c>
      <c r="F1449">
        <f>VLOOKUP(D1434,'Detail Balok'!$C$10:$AU$110,24,FALSE)</f>
        <v>13</v>
      </c>
      <c r="I1449" t="str">
        <v>(</v>
      </c>
      <c r="J1449">
        <f>+J1441</f>
        <v>1.805</v>
      </c>
      <c r="K1449" t="str">
        <v>+</v>
      </c>
      <c r="L1449">
        <f>MAX(VLOOKUP(F1449,N$6:P$15,3,FALSE)/1000,2/3*D1439/1000)+F$16*F1449/1000</f>
        <v>0.156</v>
      </c>
      <c r="M1449" t="str">
        <v>=</v>
      </c>
      <c r="N1449">
        <f>J1449+L1449</f>
        <v>1.9609999999999999</v>
      </c>
      <c r="O1449" t="str">
        <v>+</v>
      </c>
      <c r="P1449">
        <f>D1449-D1450</f>
        <v>0</v>
      </c>
      <c r="Q1449" t="str">
        <v>x</v>
      </c>
      <c r="R1449">
        <f>IF(P1449&gt;0,$F$18*F1449/1000,0)</f>
        <v>0</v>
      </c>
      <c r="S1449" t="str">
        <v>)</v>
      </c>
      <c r="T1449" t="str">
        <v>x</v>
      </c>
      <c r="U1449">
        <f>0.006165*F1449^2</f>
        <v>1.041885</v>
      </c>
      <c r="X1449" t="str">
        <v>x</v>
      </c>
      <c r="Y1449">
        <f>D1440</f>
        <v>1</v>
      </c>
      <c r="Z1449" t="str">
        <v>=</v>
      </c>
      <c r="AA1449">
        <f>IF(AA1452=0,(D1449*N1449+P1449*R1449)*U1449*Y1449,0)</f>
        <v>0</v>
      </c>
    </row>
    <row r="1450">
      <c r="A1450" t="str">
        <f>A1434</f>
        <v>Sloof</v>
      </c>
      <c r="B1450">
        <f>B1434</f>
        <v>41</v>
      </c>
      <c r="C1450" t="str">
        <v>Tul Bawah Lapangan</v>
      </c>
      <c r="D1450">
        <f>VLOOKUP(D1434,'Detail Balok'!$C$10:$AU$110,25,FALSE)</f>
        <v>4</v>
      </c>
      <c r="E1450" t="str">
        <v>D</v>
      </c>
      <c r="F1450">
        <f>VLOOKUP(D1434,'Detail Balok'!$C$10:$AU$110,27,FALSE)</f>
        <v>13</v>
      </c>
      <c r="I1450" t="str">
        <v>(</v>
      </c>
      <c r="J1450">
        <f>+J1442</f>
        <v>3.61</v>
      </c>
      <c r="K1450" t="str">
        <v>+</v>
      </c>
      <c r="M1450" t="str">
        <v>=</v>
      </c>
      <c r="N1450">
        <f>J1450+L1450</f>
        <v>3.61</v>
      </c>
      <c r="O1450" t="str">
        <v>+</v>
      </c>
      <c r="P1450">
        <f>MAX(D1450-D1449,D1450-D1451)</f>
        <v>0</v>
      </c>
      <c r="Q1450" t="str">
        <v>x</v>
      </c>
      <c r="R1450">
        <f>IF(P1450&gt;0,2*(1-2*$F$19-1/2)*D1437/1000,0)</f>
        <v>0</v>
      </c>
      <c r="S1450" t="str">
        <v>)</v>
      </c>
      <c r="T1450" t="str">
        <v>x</v>
      </c>
      <c r="U1450">
        <f>0.006165*F1450^2</f>
        <v>1.041885</v>
      </c>
      <c r="X1450" t="str">
        <v>x</v>
      </c>
      <c r="Y1450">
        <f>D1440</f>
        <v>1</v>
      </c>
      <c r="Z1450" t="str">
        <v>=</v>
      </c>
      <c r="AA1450">
        <f>IF(AA1452=0,(D1450*N1450+P1450*R1450)*U1450*Y1450,0)</f>
        <v>0</v>
      </c>
    </row>
    <row r="1451">
      <c r="A1451" t="str">
        <f>A1434</f>
        <v>Sloof</v>
      </c>
      <c r="B1451">
        <f>B1434</f>
        <v>41</v>
      </c>
      <c r="C1451" t="str">
        <v>Tul Bawah Tumpuan</v>
      </c>
      <c r="D1451">
        <f>VLOOKUP(D1434,'Detail Balok'!$C$10:$AU$110,28,FALSE)</f>
        <v>4</v>
      </c>
      <c r="E1451" t="str">
        <v>D</v>
      </c>
      <c r="F1451">
        <f>VLOOKUP(D1434,'Detail Balok'!$C$10:$AU$110,30,FALSE)</f>
        <v>13</v>
      </c>
      <c r="I1451" t="str">
        <v>(</v>
      </c>
      <c r="J1451">
        <f>+J1443</f>
        <v>1.805</v>
      </c>
      <c r="K1451" t="str">
        <v>+</v>
      </c>
      <c r="L1451">
        <f>MAX(VLOOKUP(F1451,N$6:P$15,3,FALSE)/1000,2/3*D1439/1000)+F$16*F1451/1000</f>
        <v>0.156</v>
      </c>
      <c r="M1451" t="str">
        <v>=</v>
      </c>
      <c r="N1451">
        <f>J1451+L1451</f>
        <v>1.9609999999999999</v>
      </c>
      <c r="O1451" t="str">
        <v>+</v>
      </c>
      <c r="P1451">
        <f>D1451-D1450</f>
        <v>0</v>
      </c>
      <c r="Q1451" t="str">
        <v>x</v>
      </c>
      <c r="R1451">
        <f>IF(P1451&gt;0,$F$18*F1451/1000,0)</f>
        <v>0</v>
      </c>
      <c r="S1451" t="str">
        <v>)</v>
      </c>
      <c r="T1451" t="str">
        <v>x</v>
      </c>
      <c r="U1451">
        <f>0.006165*F1451^2</f>
        <v>1.041885</v>
      </c>
      <c r="X1451" t="str">
        <v>x</v>
      </c>
      <c r="Y1451">
        <f>D1440</f>
        <v>1</v>
      </c>
      <c r="Z1451" t="str">
        <v>=</v>
      </c>
      <c r="AA1451">
        <f>IF(AA1452=0,(D1451*N1451+P1451*R1451)*U1451*Y1451,0)</f>
        <v>0</v>
      </c>
    </row>
    <row r="1452">
      <c r="A1452" t="str">
        <f>A1434</f>
        <v>Sloof</v>
      </c>
      <c r="B1452">
        <f>B1434</f>
        <v>41</v>
      </c>
      <c r="D1452">
        <f>IF(AND(D1449=D1450,D1450=D1451,D1449=D1451),D1449,0)</f>
        <v>4</v>
      </c>
      <c r="E1452" t="str">
        <v>D</v>
      </c>
      <c r="F1452">
        <f>IF(AND(F1449=F1450,F1449=F1451,F1450=F1451),F1449,0)</f>
        <v>13</v>
      </c>
      <c r="L1452" t="str">
        <v>Total panjang per balok</v>
      </c>
      <c r="M1452" t="str">
        <v>=</v>
      </c>
      <c r="N1452">
        <f>IF(AND(D1449=D1450,D1449=D1451,D1450=D1451,F1449=F1450,F1449=F1451,F1450=F1451),SUM(N1449:N1451),0)</f>
        <v>7.532</v>
      </c>
      <c r="O1452" t="str">
        <v>+</v>
      </c>
      <c r="P1452">
        <f>IF(N1452&gt;12,ROUNDDOWN(N1452/12,0),0)</f>
        <v>0</v>
      </c>
      <c r="Q1452" t="str">
        <v>x</v>
      </c>
      <c r="R1452">
        <f>IF(P1452&gt;0,MAX(VLOOKUP(F1452,$D$6:$G$15,3,FALSE),600),0)/1000</f>
        <v>0</v>
      </c>
      <c r="T1452" t="str">
        <v>x</v>
      </c>
      <c r="U1452">
        <f>U1451</f>
        <v>1.041885</v>
      </c>
      <c r="V1452" t="str">
        <v>x</v>
      </c>
      <c r="W1452">
        <f>D1452</f>
        <v>4</v>
      </c>
      <c r="X1452" t="str">
        <v>x</v>
      </c>
      <c r="Y1452">
        <f>Y1451</f>
        <v>1</v>
      </c>
      <c r="Z1452" t="str">
        <v>=</v>
      </c>
      <c r="AA1452">
        <f>(N1452+P1452*R1452/1000)*U1452*W1452*Y1452</f>
        <v>31.38991128</v>
      </c>
    </row>
    <row r="1454">
      <c r="A1454" t="str">
        <f>A1434</f>
        <v>Sloof</v>
      </c>
      <c r="B1454">
        <f>B1434</f>
        <v>41</v>
      </c>
      <c r="C1454" t="str">
        <v>Sengkang Tumpuan</v>
      </c>
      <c r="D1454">
        <f>VLOOKUP(D1434,'Detail Balok'!$C$10:$AU$110,31,FALSE)</f>
        <v>0</v>
      </c>
      <c r="E1454" t="str">
        <v>D</v>
      </c>
      <c r="F1454">
        <f>VLOOKUP(D1434,'Detail Balok'!$C$10:$AU$110,33,FALSE)</f>
        <v>8</v>
      </c>
      <c r="G1454" t="str">
        <v>-</v>
      </c>
      <c r="H1454">
        <f>VLOOKUP(D1434,'Detail Balok'!$C$10:$AU$110,35,FALSE)</f>
        <v>125</v>
      </c>
      <c r="J1454">
        <f>(IF(D1454=0,(2*(D1435+G1435))-(F$5*8),IF(D1454=3,(2*(D1435+G1435))-(F$5*8)+(G1435-2*F$5),IF(D1454=4,(2*(D1435+G1435))-(F$5*8)+2*(G1435-2*F$5)))))/1000</f>
        <v>0.98</v>
      </c>
      <c r="K1454" t="str">
        <v>+</v>
      </c>
      <c r="L1454">
        <f>IF(D1454=0,2*MAX(6*F1454,75),(D1454-1)*2*MAX(6*F1454,75))/1000</f>
        <v>0.15</v>
      </c>
      <c r="M1454" t="str">
        <v>=</v>
      </c>
      <c r="N1454">
        <f>J1454+L1454</f>
        <v>1.13</v>
      </c>
      <c r="T1454" t="str">
        <v>x</v>
      </c>
      <c r="U1454">
        <f>0.006165*F1454^2</f>
        <v>0.39456</v>
      </c>
      <c r="V1454" t="str">
        <v>x</v>
      </c>
      <c r="W1454">
        <f>IF(D1437&gt;4*G1435,ROUND(MAX(D1437/4,2*G1435)/H1454,0)+1,ROUND(D1437/H1454,0)+1)</f>
        <v>15</v>
      </c>
      <c r="X1454" t="str">
        <v>x</v>
      </c>
      <c r="Y1454">
        <f>D1440</f>
        <v>1</v>
      </c>
      <c r="Z1454" t="str">
        <v>=</v>
      </c>
      <c r="AA1454">
        <f>N1454*U1454*W1454*Y1454</f>
        <v>6.687792</v>
      </c>
    </row>
    <row r="1455">
      <c r="A1455" t="str">
        <f>A1434</f>
        <v>Sloof</v>
      </c>
      <c r="B1455">
        <f>B1434</f>
        <v>41</v>
      </c>
      <c r="C1455" t="str">
        <v>Sengkang Lapangan</v>
      </c>
      <c r="D1455">
        <f>VLOOKUP(D1434,'Detail Balok'!$C$10:$AU$110,36,FALSE)</f>
        <v>0</v>
      </c>
      <c r="E1455" t="str">
        <v>D</v>
      </c>
      <c r="F1455">
        <f>VLOOKUP(D1434,'Detail Balok'!$C$10:$AU$110,38,FALSE)</f>
        <v>8</v>
      </c>
      <c r="G1455" t="str">
        <v>-</v>
      </c>
      <c r="H1455">
        <f>VLOOKUP(D1434,'Detail Balok'!$C$10:$AU$110,40,FALSE)</f>
        <v>150</v>
      </c>
      <c r="J1455">
        <f>(IF(D1455=0,(2*(D1435+G1435))-(F$5*8),IF(D1455=3,(2*(D1435+G1435))-(F$5*8)+(G1435-2*F$5),IF(D1455=4,(2*(D1435+G1435))-(F$5*8)+2*(G1435-2*F$5)))))/1000</f>
        <v>0.98</v>
      </c>
      <c r="K1455" t="str">
        <v>+</v>
      </c>
      <c r="L1455">
        <f>IF(D1455=0,2*MAX(6*F1455,75),(D1455-1)*2*MAX(6*F1455,75))/1000</f>
        <v>0.15</v>
      </c>
      <c r="M1455" t="str">
        <v>=</v>
      </c>
      <c r="N1455">
        <f>J1455+L1455</f>
        <v>1.13</v>
      </c>
      <c r="T1455" t="str">
        <v>x</v>
      </c>
      <c r="U1455">
        <f>0.006165*F1455^2</f>
        <v>0.39456</v>
      </c>
      <c r="V1455" t="str">
        <v>x</v>
      </c>
      <c r="W1455">
        <f>IF(D1437-MAX(D1437/4,2*G1435)*2&gt;0,ROUND((D1437-MAX(D1437/4,2*G1435)*2)/H1455,0),0)</f>
        <v>24</v>
      </c>
      <c r="X1455" t="str">
        <v>x</v>
      </c>
      <c r="Y1455">
        <f>D1440</f>
        <v>1</v>
      </c>
      <c r="Z1455" t="str">
        <v>=</v>
      </c>
      <c r="AA1455">
        <f>N1455*U1455*W1455*Y1455</f>
        <v>10.7004672</v>
      </c>
    </row>
    <row r="1456">
      <c r="A1456" t="str">
        <f>A1434</f>
        <v>Sloof</v>
      </c>
      <c r="B1456">
        <f>B1434</f>
        <v>41</v>
      </c>
      <c r="C1456" t="str">
        <v>Sengkang Tumpuan</v>
      </c>
      <c r="D1456">
        <f>VLOOKUP(D1434,'Detail Balok'!$C$10:$AU$110,41,FALSE)</f>
        <v>0</v>
      </c>
      <c r="E1456" t="str">
        <v>D</v>
      </c>
      <c r="F1456">
        <f>VLOOKUP(D1434,'Detail Balok'!$C$10:$AU$110,43,FALSE)</f>
        <v>8</v>
      </c>
      <c r="G1456" t="str">
        <v>-</v>
      </c>
      <c r="H1456">
        <f>VLOOKUP(D1434,'Detail Balok'!$C$10:$AU$110,45,FALSE)</f>
        <v>125</v>
      </c>
      <c r="J1456">
        <f>(IF(D1456=0,(2*(D1435+G1435))-(F$5*8),IF(D1456=3,(2*(D1435+G1435))-(F$5*8)+(G1435-2*F$5),IF(D1456=4,(2*(D1435+G1435))-(F$5*8)+2*(G1435-2*F$5)))))/1000</f>
        <v>0.98</v>
      </c>
      <c r="K1456" t="str">
        <v>+</v>
      </c>
      <c r="L1456">
        <f>IF(D1456=0,2*MAX(6*F1456,75),(D1456-1)*2*MAX(6*F1456,75))/1000</f>
        <v>0.15</v>
      </c>
      <c r="M1456" t="str">
        <v>=</v>
      </c>
      <c r="N1456">
        <f>J1456+L1456</f>
        <v>1.13</v>
      </c>
      <c r="T1456" t="str">
        <v>x</v>
      </c>
      <c r="U1456">
        <f>0.006165*F1456^2</f>
        <v>0.39456</v>
      </c>
      <c r="V1456" t="str">
        <v>x</v>
      </c>
      <c r="W1456">
        <f>IF(D1437&gt;4*G1435,ROUND(MAX(D1437/4,2*G1435)/H1456,0)+1,0)</f>
        <v>15</v>
      </c>
      <c r="X1456" t="str">
        <v>x</v>
      </c>
      <c r="Y1456">
        <f>D1440</f>
        <v>1</v>
      </c>
      <c r="Z1456" t="str">
        <v>=</v>
      </c>
      <c r="AA1456">
        <f>N1456*U1456*W1456*Y1456</f>
        <v>6.687792</v>
      </c>
    </row>
    <row r="1458">
      <c r="A1458" t="str">
        <f>A1434</f>
        <v>Sloof</v>
      </c>
      <c r="B1458">
        <f>B1434</f>
        <v>41</v>
      </c>
      <c r="C1458" t="str">
        <v>Kait Horizontal Tump.</v>
      </c>
      <c r="D1458">
        <f>VLOOKUP(D1434,'Detail Balok'!$C$10:$BJ$110,46,FALSE)</f>
        <v>0</v>
      </c>
      <c r="E1458" t="str">
        <v>D</v>
      </c>
      <c r="F1458">
        <f>VLOOKUP(D1434,'Detail Balok'!$C$10:$BJ$110,48,FALSE)</f>
        <v>0</v>
      </c>
      <c r="G1458" t="str">
        <v>-</v>
      </c>
      <c r="H1458">
        <f>VLOOKUP(D1434,'Detail Balok'!$C$10:$BJ$110,50,FALSE)</f>
        <v>100</v>
      </c>
      <c r="J1458">
        <f>(D1435-2*F$5)/1000</f>
        <v>0.12</v>
      </c>
      <c r="K1458" t="str">
        <v>+</v>
      </c>
      <c r="L1458">
        <f>IF(D1458=0,2*MAX(6*F1458,75),(D1458-1)*2*MAX(6*F1458,75))/1000</f>
        <v>0.15</v>
      </c>
      <c r="M1458" t="str">
        <v>=</v>
      </c>
      <c r="N1458">
        <f>J1458+L1458</f>
        <v>0.27</v>
      </c>
      <c r="T1458" t="str">
        <v>x</v>
      </c>
      <c r="U1458">
        <f>0.006165*F1458^2</f>
        <v>0</v>
      </c>
      <c r="V1458" t="str">
        <v>x</v>
      </c>
      <c r="W1458">
        <f>W1454</f>
        <v>15</v>
      </c>
      <c r="X1458" t="str">
        <v>x</v>
      </c>
      <c r="Y1458">
        <f>D1444</f>
        <v>0</v>
      </c>
      <c r="Z1458" t="str">
        <v>=</v>
      </c>
      <c r="AA1458">
        <f>N1458*U1458*W1458*Y1458</f>
        <v>0</v>
      </c>
    </row>
    <row r="1459">
      <c r="A1459" t="str">
        <f>A1434</f>
        <v>Sloof</v>
      </c>
      <c r="B1459">
        <f>B1434</f>
        <v>41</v>
      </c>
      <c r="C1459" t="str">
        <v>Kait Horizontal Lap.</v>
      </c>
      <c r="D1459">
        <f>VLOOKUP(D1434,'Detail Balok'!$C$10:$BJ$110,51,FALSE)</f>
        <v>0</v>
      </c>
      <c r="E1459" t="str">
        <v>D</v>
      </c>
      <c r="F1459">
        <f>VLOOKUP(D1434,'Detail Balok'!$C$10:$BJ$110,53,FALSE)</f>
        <v>0</v>
      </c>
      <c r="G1459" t="str">
        <v>-</v>
      </c>
      <c r="H1459">
        <f>VLOOKUP(D1434,'Detail Balok'!$C$10:$BJ$110,55,FALSE)</f>
        <v>100</v>
      </c>
      <c r="J1459">
        <f>(D1435-2*F$5)/1000</f>
        <v>0.12</v>
      </c>
      <c r="K1459" t="str">
        <v>+</v>
      </c>
      <c r="L1459">
        <f>IF(D1459=0,2*MAX(6*F1459,75),(D1459-1)*2*MAX(6*F1459,75))/1000</f>
        <v>0.15</v>
      </c>
      <c r="M1459" t="str">
        <v>=</v>
      </c>
      <c r="N1459">
        <f>J1459+L1459</f>
        <v>0.27</v>
      </c>
      <c r="T1459" t="str">
        <v>x</v>
      </c>
      <c r="U1459">
        <f>0.006165*F1459^2</f>
        <v>0</v>
      </c>
      <c r="V1459" t="str">
        <v>x</v>
      </c>
      <c r="W1459">
        <f>W1455</f>
        <v>24</v>
      </c>
      <c r="X1459" t="str">
        <v>x</v>
      </c>
      <c r="Y1459">
        <f>D1444</f>
        <v>0</v>
      </c>
      <c r="Z1459" t="str">
        <v>=</v>
      </c>
      <c r="AA1459">
        <f>N1459*U1459*W1459*Y1459</f>
        <v>0</v>
      </c>
    </row>
    <row r="1460">
      <c r="A1460" t="str">
        <f>A1434</f>
        <v>Sloof</v>
      </c>
      <c r="B1460">
        <f>B1434</f>
        <v>41</v>
      </c>
      <c r="C1460" t="str">
        <v>Kait Horizontal Tump.</v>
      </c>
      <c r="D1460">
        <f>VLOOKUP(D1434,'Detail Balok'!$C$10:$BJ$110,56,FALSE)</f>
        <v>0</v>
      </c>
      <c r="E1460" t="str">
        <v>D</v>
      </c>
      <c r="F1460">
        <f>VLOOKUP(D1434,'Detail Balok'!$C$10:$BJ$110,58,FALSE)</f>
        <v>0</v>
      </c>
      <c r="G1460" t="str">
        <v>-</v>
      </c>
      <c r="H1460">
        <f>VLOOKUP(D1434,'Detail Balok'!$C$10:$BJ$110,60,FALSE)</f>
        <v>100</v>
      </c>
      <c r="J1460">
        <f>(D1435-2*F$5)/1000</f>
        <v>0.12</v>
      </c>
      <c r="K1460" t="str">
        <v>+</v>
      </c>
      <c r="L1460">
        <f>IF(D1460=0,2*MAX(6*F1460,75),(D1460-1)*2*MAX(6*F1460,75))/1000</f>
        <v>0.15</v>
      </c>
      <c r="M1460" t="str">
        <v>=</v>
      </c>
      <c r="N1460">
        <f>J1460+L1460</f>
        <v>0.27</v>
      </c>
      <c r="T1460" t="str">
        <v>x</v>
      </c>
      <c r="U1460">
        <f>0.006165*F1460^2</f>
        <v>0</v>
      </c>
      <c r="V1460" t="str">
        <v>x</v>
      </c>
      <c r="W1460">
        <f>W1456</f>
        <v>15</v>
      </c>
      <c r="X1460" t="str">
        <v>x</v>
      </c>
      <c r="Y1460">
        <f>D1444</f>
        <v>0</v>
      </c>
      <c r="Z1460" t="str">
        <v>=</v>
      </c>
      <c r="AA1460">
        <f>N1460*U1460*W1460*Y1460</f>
        <v>0</v>
      </c>
    </row>
    <row r="1464">
      <c r="A1464" t="str">
        <f>A1434</f>
        <v>Sloof</v>
      </c>
      <c r="B1464">
        <f>B1434+1</f>
        <v>42</v>
      </c>
      <c r="C1464" t="str">
        <f>CONCATENATE(A1464," no. ",B1464)</f>
        <v>Sloof no. 42</v>
      </c>
      <c r="D1464" t="str">
        <f>VLOOKUP(C1464,'Data Panjang Balok'!$C$9:$N$424,2,FALSE)</f>
        <v>TB24-1</v>
      </c>
    </row>
    <row r="1465">
      <c r="C1465" t="str">
        <v>Dimensi</v>
      </c>
      <c r="D1465">
        <f>VLOOKUP(D1464,'Detail Balok'!$C$10:$AU$110,2,FALSE)</f>
        <v>200</v>
      </c>
      <c r="F1465" t="str">
        <v>x</v>
      </c>
      <c r="G1465">
        <f>VLOOKUP(D1464,'Detail Balok'!$C$10:$AU$110,3,FALSE)</f>
        <v>400</v>
      </c>
    </row>
    <row r="1466">
      <c r="C1466" t="str">
        <v>Panjang as ke as</v>
      </c>
      <c r="D1466">
        <f>VLOOKUP(C1464,'Data Panjang Balok'!$C$9:$N$424,4,FALSE)</f>
        <v>1855</v>
      </c>
    </row>
    <row r="1467">
      <c r="C1467" t="str">
        <v>Panjang netto</v>
      </c>
      <c r="D1467">
        <f>VLOOKUP(C1464,'Data Panjang Balok'!$C$9:$N$424,7,FALSE)</f>
        <v>1855</v>
      </c>
    </row>
    <row r="1468">
      <c r="C1468" t="str">
        <v>Kolom / balok kiri</v>
      </c>
      <c r="D1468">
        <f>VLOOKUP(C1464,'Data Panjang Balok'!$C$9:$N$424,9,FALSE)</f>
        <v>0</v>
      </c>
    </row>
    <row r="1469">
      <c r="C1469" t="str">
        <v>Kolom / balok kanan</v>
      </c>
      <c r="D1469">
        <f>VLOOKUP(C1464,'Data Panjang Balok'!$C$9:$N$424,10,FALSE)</f>
        <v>0</v>
      </c>
    </row>
    <row r="1470">
      <c r="C1470" t="str">
        <v>Jumlah</v>
      </c>
      <c r="D1470">
        <f>VLOOKUP(C1464,'Data Panjang Balok'!$C$9:$N$424,3,FALSE)</f>
        <v>1</v>
      </c>
    </row>
    <row r="1471">
      <c r="A1471" t="str">
        <f>A1464</f>
        <v>Sloof</v>
      </c>
      <c r="B1471">
        <f>B1464</f>
        <v>42</v>
      </c>
      <c r="C1471" t="str">
        <v>Tul Atas Tumpuan</v>
      </c>
      <c r="D1471">
        <f>VLOOKUP(D1464,'Detail Balok'!$C$10:$AU$110,4,FALSE)</f>
        <v>2</v>
      </c>
      <c r="E1471" t="str">
        <v>D</v>
      </c>
      <c r="F1471">
        <f>VLOOKUP(D1464,'Detail Balok'!$C$10:$AU$110,6,FALSE)</f>
        <v>13</v>
      </c>
      <c r="I1471" t="str">
        <v>(</v>
      </c>
      <c r="J1471">
        <f>+D1466/4/1000</f>
        <v>0.46375</v>
      </c>
      <c r="K1471" t="str">
        <v>+</v>
      </c>
      <c r="L1471">
        <f>MAX(VLOOKUP(F1471,N$6:P$15,3,FALSE)/1000,2/3*D1468/1000)+F$16*F1471/1000</f>
        <v>0.156</v>
      </c>
      <c r="M1471" t="str">
        <v>=</v>
      </c>
      <c r="N1471">
        <f>J1471+L1471</f>
        <v>0.61975</v>
      </c>
      <c r="O1471" t="str">
        <v>+</v>
      </c>
      <c r="P1471">
        <f>D1471-D1472</f>
        <v>0</v>
      </c>
      <c r="Q1471" t="str">
        <v>x</v>
      </c>
      <c r="R1471">
        <f>IF(P1471&gt;0,$F$18*F1471/1000,0)</f>
        <v>0</v>
      </c>
      <c r="S1471" t="str">
        <v>)</v>
      </c>
      <c r="T1471" t="str">
        <v>x</v>
      </c>
      <c r="U1471">
        <f>0.006165*F1471^2</f>
        <v>1.041885</v>
      </c>
      <c r="X1471" t="str">
        <v>x</v>
      </c>
      <c r="Y1471">
        <f>D1470</f>
        <v>1</v>
      </c>
      <c r="Z1471" t="str">
        <v>=</v>
      </c>
      <c r="AA1471">
        <f>IF(AA1474=0,(D1471*N1471+P1471*R1471)*U1471*Y1471,0)</f>
        <v>0</v>
      </c>
    </row>
    <row r="1472">
      <c r="A1472" t="str">
        <f>A1464</f>
        <v>Sloof</v>
      </c>
      <c r="B1472">
        <f>B1464</f>
        <v>42</v>
      </c>
      <c r="C1472" t="str">
        <v>Tul Atas Lapangan</v>
      </c>
      <c r="D1472">
        <f>VLOOKUP(D1464,'Detail Balok'!$C$10:$AU$110,7,FALSE)</f>
        <v>2</v>
      </c>
      <c r="E1472" t="str">
        <v>D</v>
      </c>
      <c r="F1472">
        <f>VLOOKUP(D1464,'Detail Balok'!$C$10:$AU$110,9,FALSE)</f>
        <v>13</v>
      </c>
      <c r="I1472" t="str">
        <v>(</v>
      </c>
      <c r="J1472">
        <f>+D1466/2/1000</f>
        <v>0.9275</v>
      </c>
      <c r="K1472" t="str">
        <v>+</v>
      </c>
      <c r="M1472" t="str">
        <v>=</v>
      </c>
      <c r="N1472">
        <f>J1472+L1472</f>
        <v>0.9275</v>
      </c>
      <c r="O1472" t="str">
        <v>+</v>
      </c>
      <c r="P1472">
        <f>MAX(D1472-D1471,D1472-D1473)</f>
        <v>0</v>
      </c>
      <c r="Q1472" t="str">
        <v>x</v>
      </c>
      <c r="R1472">
        <f>IF(P1472&gt;0,2*(1-2*$F$19-1/2)*D1467/1000,0)</f>
        <v>0</v>
      </c>
      <c r="S1472" t="str">
        <v>)</v>
      </c>
      <c r="T1472" t="str">
        <v>x</v>
      </c>
      <c r="U1472">
        <f>0.006165*F1472^2</f>
        <v>1.041885</v>
      </c>
      <c r="X1472" t="str">
        <v>x</v>
      </c>
      <c r="Y1472">
        <f>D1470</f>
        <v>1</v>
      </c>
      <c r="Z1472" t="str">
        <v>=</v>
      </c>
      <c r="AA1472">
        <f>IF(AA1474=0,(D1472*N1472+P1472*R1472)*U1472*Y1472,0)</f>
        <v>0</v>
      </c>
    </row>
    <row r="1473">
      <c r="A1473" t="str">
        <f>A1464</f>
        <v>Sloof</v>
      </c>
      <c r="B1473">
        <f>B1464</f>
        <v>42</v>
      </c>
      <c r="C1473" t="str">
        <v>Tul Atas Tumpuan</v>
      </c>
      <c r="D1473">
        <f>VLOOKUP(D1464,'Detail Balok'!$C$10:$AU$110,10,FALSE)</f>
        <v>2</v>
      </c>
      <c r="E1473" t="str">
        <v>D</v>
      </c>
      <c r="F1473">
        <f>VLOOKUP(D1464,'Detail Balok'!$C$10:$AU$110,12,FALSE)</f>
        <v>13</v>
      </c>
      <c r="I1473" t="str">
        <v>(</v>
      </c>
      <c r="J1473">
        <f>+D1466/4/1000</f>
        <v>0.46375</v>
      </c>
      <c r="K1473" t="str">
        <v>+</v>
      </c>
      <c r="L1473">
        <f>MAX(VLOOKUP(F1473,N$6:P$15,3,FALSE)/1000,2/3*D1468/1000)+F$16*F1473/1000</f>
        <v>0.156</v>
      </c>
      <c r="M1473" t="str">
        <v>=</v>
      </c>
      <c r="N1473">
        <f>J1473+L1473</f>
        <v>0.61975</v>
      </c>
      <c r="O1473" t="str">
        <v>+</v>
      </c>
      <c r="P1473">
        <f>D1473-D1472</f>
        <v>0</v>
      </c>
      <c r="Q1473" t="str">
        <v>x</v>
      </c>
      <c r="R1473">
        <f>IF(P1473&gt;0,$F$18*F1473/1000,0)</f>
        <v>0</v>
      </c>
      <c r="S1473" t="str">
        <v>)</v>
      </c>
      <c r="T1473" t="str">
        <v>x</v>
      </c>
      <c r="U1473">
        <f>0.006165*F1473^2</f>
        <v>1.041885</v>
      </c>
      <c r="X1473" t="str">
        <v>x</v>
      </c>
      <c r="Y1473">
        <f>D1470</f>
        <v>1</v>
      </c>
      <c r="Z1473" t="str">
        <v>=</v>
      </c>
      <c r="AA1473">
        <f>IF(AA1474=0,(D1473*N1473+P1473*R1473)*U1473*Y1473,0)</f>
        <v>0</v>
      </c>
    </row>
    <row r="1474">
      <c r="A1474" t="str">
        <f>A1464</f>
        <v>Sloof</v>
      </c>
      <c r="B1474">
        <f>B1464</f>
        <v>42</v>
      </c>
      <c r="D1474">
        <f>IF(AND(D1471=D1472,D1472=D1473,D1471=D1473),D1471,0)</f>
        <v>2</v>
      </c>
      <c r="E1474" t="str">
        <v>D</v>
      </c>
      <c r="F1474">
        <f>IF(AND(F1471=F1472,F1471=F1473,F1472=F1473),F1471,0)</f>
        <v>13</v>
      </c>
      <c r="L1474" t="str">
        <v>Total panjang per balok</v>
      </c>
      <c r="M1474" t="str">
        <v>=</v>
      </c>
      <c r="N1474">
        <f>IF(AND(D1471=D1472,D1471=D1473,D1472=D1473,F1471=F1472,F1471=F1473,F1472=F1473),SUM(N1471:N1473),0)</f>
        <v>2.167</v>
      </c>
      <c r="O1474" t="str">
        <v>+</v>
      </c>
      <c r="P1474">
        <f>IF(N1474&gt;12,ROUNDDOWN(N1474/12,0),0)</f>
        <v>0</v>
      </c>
      <c r="Q1474" t="str">
        <v>x</v>
      </c>
      <c r="R1474">
        <f>IF(P1474&gt;0,MAX(VLOOKUP(F1474,$D$6:$G$15,3,FALSE),600),0)/1000</f>
        <v>0</v>
      </c>
      <c r="T1474" t="str">
        <v>x</v>
      </c>
      <c r="U1474">
        <f>U1473</f>
        <v>1.041885</v>
      </c>
      <c r="V1474" t="str">
        <v>x</v>
      </c>
      <c r="W1474">
        <f>D1474</f>
        <v>2</v>
      </c>
      <c r="X1474" t="str">
        <v>x</v>
      </c>
      <c r="Y1474">
        <f>Y1473</f>
        <v>1</v>
      </c>
      <c r="Z1474" t="str">
        <v>=</v>
      </c>
      <c r="AA1474">
        <f>(N1474+P1474*R1474/1000)*U1474*W1474*Y1474</f>
        <v>4.515529589999999</v>
      </c>
    </row>
    <row r="1476">
      <c r="A1476" t="str">
        <f>A1464</f>
        <v>Sloof</v>
      </c>
      <c r="B1476">
        <f>B1464</f>
        <v>42</v>
      </c>
      <c r="C1476" t="str">
        <v>Tul Peminggang</v>
      </c>
      <c r="D1476">
        <f>VLOOKUP(D1464,'Detail Balok'!$C$10:$AU$110,13,FALSE)</f>
        <v>0</v>
      </c>
      <c r="E1476" t="str">
        <v>D</v>
      </c>
      <c r="F1476">
        <f>VLOOKUP(D1464,'Detail Balok'!$C$10:$AU$110,15,FALSE)</f>
        <v>6</v>
      </c>
      <c r="J1476">
        <f>+D1466/1000</f>
        <v>1.855</v>
      </c>
      <c r="K1476" t="str">
        <v>+</v>
      </c>
      <c r="L1476">
        <f>2*$F$16*F1476/1000</f>
        <v>0.144</v>
      </c>
      <c r="M1476" t="str">
        <v>=</v>
      </c>
      <c r="N1476">
        <f>J1476+L1476</f>
        <v>1.9989999999999999</v>
      </c>
      <c r="O1476" t="str">
        <v>+</v>
      </c>
      <c r="P1476">
        <f>IF(N1476&gt;12,ROUNDDOWN(N1476/12,0),0)</f>
        <v>0</v>
      </c>
      <c r="Q1476" t="str">
        <v>x</v>
      </c>
      <c r="R1476">
        <f>IF(P1476&gt;0,MAX(VLOOKUP(F1476,$D$6:$G$15,3,FALSE),600),0)/1000</f>
        <v>0</v>
      </c>
      <c r="T1476" t="str">
        <v>x</v>
      </c>
      <c r="U1476">
        <f>0.006165*F1476^2</f>
        <v>0.22194000000000003</v>
      </c>
      <c r="V1476" t="str">
        <v>x</v>
      </c>
      <c r="W1476">
        <f>+D1476</f>
        <v>0</v>
      </c>
      <c r="X1476" t="str">
        <v>x</v>
      </c>
      <c r="Y1476">
        <f>D1470</f>
        <v>1</v>
      </c>
      <c r="Z1476" t="str">
        <v>=</v>
      </c>
      <c r="AA1476">
        <f>(N1476+P1476*R1476/1000)*U1476*W1476*Y1476</f>
        <v>0</v>
      </c>
    </row>
    <row r="1479">
      <c r="A1479" t="str">
        <f>A1464</f>
        <v>Sloof</v>
      </c>
      <c r="B1479">
        <f>B1464</f>
        <v>42</v>
      </c>
      <c r="C1479" t="str">
        <v>Tul Bawah Tumpuan</v>
      </c>
      <c r="D1479">
        <f>VLOOKUP(D1464,'Detail Balok'!$C$10:$AU$110,22,FALSE)</f>
        <v>2</v>
      </c>
      <c r="E1479" t="str">
        <v>D</v>
      </c>
      <c r="F1479">
        <f>VLOOKUP(D1464,'Detail Balok'!$C$10:$AU$110,24,FALSE)</f>
        <v>13</v>
      </c>
      <c r="I1479" t="str">
        <v>(</v>
      </c>
      <c r="J1479">
        <f>+J1471</f>
        <v>0.46375</v>
      </c>
      <c r="K1479" t="str">
        <v>+</v>
      </c>
      <c r="L1479">
        <f>MAX(VLOOKUP(F1479,N$6:P$15,3,FALSE)/1000,2/3*D1469/1000)+F$16*F1479/1000</f>
        <v>0.156</v>
      </c>
      <c r="M1479" t="str">
        <v>=</v>
      </c>
      <c r="N1479">
        <f>J1479+L1479</f>
        <v>0.61975</v>
      </c>
      <c r="O1479" t="str">
        <v>+</v>
      </c>
      <c r="P1479">
        <f>D1479-D1480</f>
        <v>0</v>
      </c>
      <c r="Q1479" t="str">
        <v>x</v>
      </c>
      <c r="R1479">
        <f>IF(P1479&gt;0,$F$18*F1479/1000,0)</f>
        <v>0</v>
      </c>
      <c r="S1479" t="str">
        <v>)</v>
      </c>
      <c r="T1479" t="str">
        <v>x</v>
      </c>
      <c r="U1479">
        <f>0.006165*F1479^2</f>
        <v>1.041885</v>
      </c>
      <c r="X1479" t="str">
        <v>x</v>
      </c>
      <c r="Y1479">
        <f>D1470</f>
        <v>1</v>
      </c>
      <c r="Z1479" t="str">
        <v>=</v>
      </c>
      <c r="AA1479">
        <f>IF(AA1482=0,(D1479*N1479+P1479*R1479)*U1479*Y1479,0)</f>
        <v>0</v>
      </c>
    </row>
    <row r="1480">
      <c r="A1480" t="str">
        <f>A1464</f>
        <v>Sloof</v>
      </c>
      <c r="B1480">
        <f>B1464</f>
        <v>42</v>
      </c>
      <c r="C1480" t="str">
        <v>Tul Bawah Lapangan</v>
      </c>
      <c r="D1480">
        <f>VLOOKUP(D1464,'Detail Balok'!$C$10:$AU$110,25,FALSE)</f>
        <v>2</v>
      </c>
      <c r="E1480" t="str">
        <v>D</v>
      </c>
      <c r="F1480">
        <f>VLOOKUP(D1464,'Detail Balok'!$C$10:$AU$110,27,FALSE)</f>
        <v>13</v>
      </c>
      <c r="I1480" t="str">
        <v>(</v>
      </c>
      <c r="J1480">
        <f>+J1472</f>
        <v>0.9275</v>
      </c>
      <c r="K1480" t="str">
        <v>+</v>
      </c>
      <c r="M1480" t="str">
        <v>=</v>
      </c>
      <c r="N1480">
        <f>J1480+L1480</f>
        <v>0.9275</v>
      </c>
      <c r="O1480" t="str">
        <v>+</v>
      </c>
      <c r="P1480">
        <f>MAX(D1480-D1479,D1480-D1481)</f>
        <v>0</v>
      </c>
      <c r="Q1480" t="str">
        <v>x</v>
      </c>
      <c r="R1480">
        <f>IF(P1480&gt;0,2*(1-2*$F$19-1/2)*D1467/1000,0)</f>
        <v>0</v>
      </c>
      <c r="S1480" t="str">
        <v>)</v>
      </c>
      <c r="T1480" t="str">
        <v>x</v>
      </c>
      <c r="U1480">
        <f>0.006165*F1480^2</f>
        <v>1.041885</v>
      </c>
      <c r="X1480" t="str">
        <v>x</v>
      </c>
      <c r="Y1480">
        <f>D1470</f>
        <v>1</v>
      </c>
      <c r="Z1480" t="str">
        <v>=</v>
      </c>
      <c r="AA1480">
        <f>IF(AA1482=0,(D1480*N1480+P1480*R1480)*U1480*Y1480,0)</f>
        <v>0</v>
      </c>
    </row>
    <row r="1481">
      <c r="A1481" t="str">
        <f>A1464</f>
        <v>Sloof</v>
      </c>
      <c r="B1481">
        <f>B1464</f>
        <v>42</v>
      </c>
      <c r="C1481" t="str">
        <v>Tul Bawah Tumpuan</v>
      </c>
      <c r="D1481">
        <f>VLOOKUP(D1464,'Detail Balok'!$C$10:$AU$110,28,FALSE)</f>
        <v>2</v>
      </c>
      <c r="E1481" t="str">
        <v>D</v>
      </c>
      <c r="F1481">
        <f>VLOOKUP(D1464,'Detail Balok'!$C$10:$AU$110,30,FALSE)</f>
        <v>13</v>
      </c>
      <c r="I1481" t="str">
        <v>(</v>
      </c>
      <c r="J1481">
        <f>+J1473</f>
        <v>0.46375</v>
      </c>
      <c r="K1481" t="str">
        <v>+</v>
      </c>
      <c r="L1481">
        <f>MAX(VLOOKUP(F1481,N$6:P$15,3,FALSE)/1000,2/3*D1469/1000)+F$16*F1481/1000</f>
        <v>0.156</v>
      </c>
      <c r="M1481" t="str">
        <v>=</v>
      </c>
      <c r="N1481">
        <f>J1481+L1481</f>
        <v>0.61975</v>
      </c>
      <c r="O1481" t="str">
        <v>+</v>
      </c>
      <c r="P1481">
        <f>D1481-D1480</f>
        <v>0</v>
      </c>
      <c r="Q1481" t="str">
        <v>x</v>
      </c>
      <c r="R1481">
        <f>IF(P1481&gt;0,$F$18*F1481/1000,0)</f>
        <v>0</v>
      </c>
      <c r="S1481" t="str">
        <v>)</v>
      </c>
      <c r="T1481" t="str">
        <v>x</v>
      </c>
      <c r="U1481">
        <f>0.006165*F1481^2</f>
        <v>1.041885</v>
      </c>
      <c r="X1481" t="str">
        <v>x</v>
      </c>
      <c r="Y1481">
        <f>D1470</f>
        <v>1</v>
      </c>
      <c r="Z1481" t="str">
        <v>=</v>
      </c>
      <c r="AA1481">
        <f>IF(AA1482=0,(D1481*N1481+P1481*R1481)*U1481*Y1481,0)</f>
        <v>0</v>
      </c>
    </row>
    <row r="1482">
      <c r="A1482" t="str">
        <f>A1464</f>
        <v>Sloof</v>
      </c>
      <c r="B1482">
        <f>B1464</f>
        <v>42</v>
      </c>
      <c r="D1482">
        <f>IF(AND(D1479=D1480,D1480=D1481,D1479=D1481),D1479,0)</f>
        <v>2</v>
      </c>
      <c r="E1482" t="str">
        <v>D</v>
      </c>
      <c r="F1482">
        <f>IF(AND(F1479=F1480,F1479=F1481,F1480=F1481),F1479,0)</f>
        <v>13</v>
      </c>
      <c r="L1482" t="str">
        <v>Total panjang per balok</v>
      </c>
      <c r="M1482" t="str">
        <v>=</v>
      </c>
      <c r="N1482">
        <f>IF(AND(D1479=D1480,D1479=D1481,D1480=D1481,F1479=F1480,F1479=F1481,F1480=F1481),SUM(N1479:N1481),0)</f>
        <v>2.167</v>
      </c>
      <c r="O1482" t="str">
        <v>+</v>
      </c>
      <c r="P1482">
        <f>IF(N1482&gt;12,ROUNDDOWN(N1482/12,0),0)</f>
        <v>0</v>
      </c>
      <c r="Q1482" t="str">
        <v>x</v>
      </c>
      <c r="R1482">
        <f>IF(P1482&gt;0,MAX(VLOOKUP(F1482,$D$6:$G$15,3,FALSE),600),0)/1000</f>
        <v>0</v>
      </c>
      <c r="T1482" t="str">
        <v>x</v>
      </c>
      <c r="U1482">
        <f>U1481</f>
        <v>1.041885</v>
      </c>
      <c r="V1482" t="str">
        <v>x</v>
      </c>
      <c r="W1482">
        <f>D1482</f>
        <v>2</v>
      </c>
      <c r="X1482" t="str">
        <v>x</v>
      </c>
      <c r="Y1482">
        <f>Y1481</f>
        <v>1</v>
      </c>
      <c r="Z1482" t="str">
        <v>=</v>
      </c>
      <c r="AA1482">
        <f>(N1482+P1482*R1482/1000)*U1482*W1482*Y1482</f>
        <v>4.515529589999999</v>
      </c>
    </row>
    <row r="1484">
      <c r="A1484" t="str">
        <f>A1464</f>
        <v>Sloof</v>
      </c>
      <c r="B1484">
        <f>B1464</f>
        <v>42</v>
      </c>
      <c r="C1484" t="str">
        <v>Sengkang Tumpuan</v>
      </c>
      <c r="D1484">
        <f>VLOOKUP(D1464,'Detail Balok'!$C$10:$AU$110,31,FALSE)</f>
        <v>0</v>
      </c>
      <c r="E1484" t="str">
        <v>D</v>
      </c>
      <c r="F1484">
        <f>VLOOKUP(D1464,'Detail Balok'!$C$10:$AU$110,33,FALSE)</f>
        <v>8</v>
      </c>
      <c r="G1484" t="str">
        <v>-</v>
      </c>
      <c r="H1484">
        <f>VLOOKUP(D1464,'Detail Balok'!$C$10:$AU$110,35,FALSE)</f>
        <v>200</v>
      </c>
      <c r="J1484">
        <f>(IF(D1484=0,(2*(D1465+G1465))-(F$5*8),IF(D1484=3,(2*(D1465+G1465))-(F$5*8)+(G1465-2*F$5),IF(D1484=4,(2*(D1465+G1465))-(F$5*8)+2*(G1465-2*F$5)))))/1000</f>
        <v>0.88</v>
      </c>
      <c r="K1484" t="str">
        <v>+</v>
      </c>
      <c r="L1484">
        <f>IF(D1484=0,2*MAX(6*F1484,75),(D1484-1)*2*MAX(6*F1484,75))/1000</f>
        <v>0.15</v>
      </c>
      <c r="M1484" t="str">
        <v>=</v>
      </c>
      <c r="N1484">
        <f>J1484+L1484</f>
        <v>1.03</v>
      </c>
      <c r="T1484" t="str">
        <v>x</v>
      </c>
      <c r="U1484">
        <f>0.006165*F1484^2</f>
        <v>0.39456</v>
      </c>
      <c r="V1484" t="str">
        <v>x</v>
      </c>
      <c r="W1484">
        <f>IF(D1467&gt;4*G1465,ROUND(MAX(D1467/4,2*G1465)/H1484,0)+1,ROUND(D1467/H1484,0)+1)</f>
        <v>5</v>
      </c>
      <c r="X1484" t="str">
        <v>x</v>
      </c>
      <c r="Y1484">
        <f>D1470</f>
        <v>1</v>
      </c>
      <c r="Z1484" t="str">
        <v>=</v>
      </c>
      <c r="AA1484">
        <f>N1484*U1484*W1484*Y1484</f>
        <v>2.0319840000000005</v>
      </c>
    </row>
    <row r="1485">
      <c r="A1485" t="str">
        <f>A1464</f>
        <v>Sloof</v>
      </c>
      <c r="B1485">
        <f>B1464</f>
        <v>42</v>
      </c>
      <c r="C1485" t="str">
        <v>Sengkang Lapangan</v>
      </c>
      <c r="D1485">
        <f>VLOOKUP(D1464,'Detail Balok'!$C$10:$AU$110,36,FALSE)</f>
        <v>0</v>
      </c>
      <c r="E1485" t="str">
        <v>D</v>
      </c>
      <c r="F1485">
        <f>VLOOKUP(D1464,'Detail Balok'!$C$10:$AU$110,38,FALSE)</f>
        <v>8</v>
      </c>
      <c r="G1485" t="str">
        <v>-</v>
      </c>
      <c r="H1485">
        <f>VLOOKUP(D1464,'Detail Balok'!$C$10:$AU$110,40,FALSE)</f>
        <v>200</v>
      </c>
      <c r="J1485">
        <f>(IF(D1485=0,(2*(D1465+G1465))-(F$5*8),IF(D1485=3,(2*(D1465+G1465))-(F$5*8)+(G1465-2*F$5),IF(D1485=4,(2*(D1465+G1465))-(F$5*8)+2*(G1465-2*F$5)))))/1000</f>
        <v>0.88</v>
      </c>
      <c r="K1485" t="str">
        <v>+</v>
      </c>
      <c r="L1485">
        <f>IF(D1485=0,2*MAX(6*F1485,75),(D1485-1)*2*MAX(6*F1485,75))/1000</f>
        <v>0.15</v>
      </c>
      <c r="M1485" t="str">
        <v>=</v>
      </c>
      <c r="N1485">
        <f>J1485+L1485</f>
        <v>1.03</v>
      </c>
      <c r="T1485" t="str">
        <v>x</v>
      </c>
      <c r="U1485">
        <f>0.006165*F1485^2</f>
        <v>0.39456</v>
      </c>
      <c r="V1485" t="str">
        <v>x</v>
      </c>
      <c r="W1485">
        <f>IF(D1467-MAX(D1467/4,2*G1465)*2&gt;0,ROUND((D1467-MAX(D1467/4,2*G1465)*2)/H1485,0),0)</f>
        <v>1</v>
      </c>
      <c r="X1485" t="str">
        <v>x</v>
      </c>
      <c r="Y1485">
        <f>D1470</f>
        <v>1</v>
      </c>
      <c r="Z1485" t="str">
        <v>=</v>
      </c>
      <c r="AA1485">
        <f>N1485*U1485*W1485*Y1485</f>
        <v>0.40639680000000006</v>
      </c>
    </row>
    <row r="1486">
      <c r="A1486" t="str">
        <f>A1464</f>
        <v>Sloof</v>
      </c>
      <c r="B1486">
        <f>B1464</f>
        <v>42</v>
      </c>
      <c r="C1486" t="str">
        <v>Sengkang Tumpuan</v>
      </c>
      <c r="D1486">
        <f>VLOOKUP(D1464,'Detail Balok'!$C$10:$AU$110,41,FALSE)</f>
        <v>0</v>
      </c>
      <c r="E1486" t="str">
        <v>D</v>
      </c>
      <c r="F1486">
        <f>VLOOKUP(D1464,'Detail Balok'!$C$10:$AU$110,43,FALSE)</f>
        <v>8</v>
      </c>
      <c r="G1486" t="str">
        <v>-</v>
      </c>
      <c r="H1486">
        <f>VLOOKUP(D1464,'Detail Balok'!$C$10:$AU$110,45,FALSE)</f>
        <v>200</v>
      </c>
      <c r="J1486">
        <f>(IF(D1486=0,(2*(D1465+G1465))-(F$5*8),IF(D1486=3,(2*(D1465+G1465))-(F$5*8)+(G1465-2*F$5),IF(D1486=4,(2*(D1465+G1465))-(F$5*8)+2*(G1465-2*F$5)))))/1000</f>
        <v>0.88</v>
      </c>
      <c r="K1486" t="str">
        <v>+</v>
      </c>
      <c r="L1486">
        <f>IF(D1486=0,2*MAX(6*F1486,75),(D1486-1)*2*MAX(6*F1486,75))/1000</f>
        <v>0.15</v>
      </c>
      <c r="M1486" t="str">
        <v>=</v>
      </c>
      <c r="N1486">
        <f>J1486+L1486</f>
        <v>1.03</v>
      </c>
      <c r="T1486" t="str">
        <v>x</v>
      </c>
      <c r="U1486">
        <f>0.006165*F1486^2</f>
        <v>0.39456</v>
      </c>
      <c r="V1486" t="str">
        <v>x</v>
      </c>
      <c r="W1486">
        <f>IF(D1467&gt;4*G1465,ROUND(MAX(D1467/4,2*G1465)/H1486,0)+1,0)</f>
        <v>5</v>
      </c>
      <c r="X1486" t="str">
        <v>x</v>
      </c>
      <c r="Y1486">
        <f>D1470</f>
        <v>1</v>
      </c>
      <c r="Z1486" t="str">
        <v>=</v>
      </c>
      <c r="AA1486">
        <f>N1486*U1486*W1486*Y1486</f>
        <v>2.0319840000000005</v>
      </c>
    </row>
    <row r="1488">
      <c r="A1488" t="str">
        <f>A1464</f>
        <v>Sloof</v>
      </c>
      <c r="B1488">
        <f>B1464</f>
        <v>42</v>
      </c>
      <c r="C1488" t="str">
        <v>Kait Horizontal Tump.</v>
      </c>
      <c r="D1488">
        <f>VLOOKUP(D1464,'Detail Balok'!$C$10:$BJ$110,46,FALSE)</f>
        <v>0</v>
      </c>
      <c r="E1488" t="str">
        <v>D</v>
      </c>
      <c r="F1488">
        <f>VLOOKUP(D1464,'Detail Balok'!$C$10:$BJ$110,48,FALSE)</f>
        <v>0</v>
      </c>
      <c r="G1488" t="str">
        <v>-</v>
      </c>
      <c r="H1488">
        <f>VLOOKUP(D1464,'Detail Balok'!$C$10:$BJ$110,50,FALSE)</f>
        <v>100</v>
      </c>
      <c r="J1488">
        <f>(D1465-2*F$5)/1000</f>
        <v>0.12</v>
      </c>
      <c r="K1488" t="str">
        <v>+</v>
      </c>
      <c r="L1488">
        <f>IF(D1488=0,2*MAX(6*F1488,75),(D1488-1)*2*MAX(6*F1488,75))/1000</f>
        <v>0.15</v>
      </c>
      <c r="M1488" t="str">
        <v>=</v>
      </c>
      <c r="N1488">
        <f>J1488+L1488</f>
        <v>0.27</v>
      </c>
      <c r="T1488" t="str">
        <v>x</v>
      </c>
      <c r="U1488">
        <f>0.006165*F1488^2</f>
        <v>0</v>
      </c>
      <c r="V1488" t="str">
        <v>x</v>
      </c>
      <c r="W1488">
        <f>W1484</f>
        <v>5</v>
      </c>
      <c r="X1488" t="str">
        <v>x</v>
      </c>
      <c r="Y1488">
        <f>D1474</f>
        <v>2</v>
      </c>
      <c r="Z1488" t="str">
        <v>=</v>
      </c>
      <c r="AA1488">
        <f>N1488*U1488*W1488*Y1488</f>
        <v>0</v>
      </c>
    </row>
    <row r="1489">
      <c r="A1489" t="str">
        <f>A1464</f>
        <v>Sloof</v>
      </c>
      <c r="B1489">
        <f>B1464</f>
        <v>42</v>
      </c>
      <c r="C1489" t="str">
        <v>Kait Horizontal Lap.</v>
      </c>
      <c r="D1489">
        <f>VLOOKUP(D1464,'Detail Balok'!$C$10:$BJ$110,51,FALSE)</f>
        <v>0</v>
      </c>
      <c r="E1489" t="str">
        <v>D</v>
      </c>
      <c r="F1489">
        <f>VLOOKUP(D1464,'Detail Balok'!$C$10:$BJ$110,53,FALSE)</f>
        <v>0</v>
      </c>
      <c r="G1489" t="str">
        <v>-</v>
      </c>
      <c r="H1489">
        <f>VLOOKUP(D1464,'Detail Balok'!$C$10:$BJ$110,55,FALSE)</f>
        <v>100</v>
      </c>
      <c r="J1489">
        <f>(D1465-2*F$5)/1000</f>
        <v>0.12</v>
      </c>
      <c r="K1489" t="str">
        <v>+</v>
      </c>
      <c r="L1489">
        <f>IF(D1489=0,2*MAX(6*F1489,75),(D1489-1)*2*MAX(6*F1489,75))/1000</f>
        <v>0.15</v>
      </c>
      <c r="M1489" t="str">
        <v>=</v>
      </c>
      <c r="N1489">
        <f>J1489+L1489</f>
        <v>0.27</v>
      </c>
      <c r="T1489" t="str">
        <v>x</v>
      </c>
      <c r="U1489">
        <f>0.006165*F1489^2</f>
        <v>0</v>
      </c>
      <c r="V1489" t="str">
        <v>x</v>
      </c>
      <c r="W1489">
        <f>W1485</f>
        <v>1</v>
      </c>
      <c r="X1489" t="str">
        <v>x</v>
      </c>
      <c r="Y1489">
        <f>D1474</f>
        <v>2</v>
      </c>
      <c r="Z1489" t="str">
        <v>=</v>
      </c>
      <c r="AA1489">
        <f>N1489*U1489*W1489*Y1489</f>
        <v>0</v>
      </c>
    </row>
    <row r="1490">
      <c r="A1490" t="str">
        <f>A1464</f>
        <v>Sloof</v>
      </c>
      <c r="B1490">
        <f>B1464</f>
        <v>42</v>
      </c>
      <c r="C1490" t="str">
        <v>Kait Horizontal Tump.</v>
      </c>
      <c r="D1490">
        <f>VLOOKUP(D1464,'Detail Balok'!$C$10:$BJ$110,56,FALSE)</f>
        <v>0</v>
      </c>
      <c r="E1490" t="str">
        <v>D</v>
      </c>
      <c r="F1490">
        <f>VLOOKUP(D1464,'Detail Balok'!$C$10:$BJ$110,58,FALSE)</f>
        <v>0</v>
      </c>
      <c r="G1490" t="str">
        <v>-</v>
      </c>
      <c r="H1490">
        <f>VLOOKUP(D1464,'Detail Balok'!$C$10:$BJ$110,60,FALSE)</f>
        <v>100</v>
      </c>
      <c r="J1490">
        <f>(D1465-2*F$5)/1000</f>
        <v>0.12</v>
      </c>
      <c r="K1490" t="str">
        <v>+</v>
      </c>
      <c r="L1490">
        <f>IF(D1490=0,2*MAX(6*F1490,75),(D1490-1)*2*MAX(6*F1490,75))/1000</f>
        <v>0.15</v>
      </c>
      <c r="M1490" t="str">
        <v>=</v>
      </c>
      <c r="N1490">
        <f>J1490+L1490</f>
        <v>0.27</v>
      </c>
      <c r="T1490" t="str">
        <v>x</v>
      </c>
      <c r="U1490">
        <f>0.006165*F1490^2</f>
        <v>0</v>
      </c>
      <c r="V1490" t="str">
        <v>x</v>
      </c>
      <c r="W1490">
        <f>W1486</f>
        <v>5</v>
      </c>
      <c r="X1490" t="str">
        <v>x</v>
      </c>
      <c r="Y1490">
        <f>D1474</f>
        <v>2</v>
      </c>
      <c r="Z1490" t="str">
        <v>=</v>
      </c>
      <c r="AA1490">
        <f>N1490*U1490*W1490*Y1490</f>
        <v>0</v>
      </c>
    </row>
    <row r="1494">
      <c r="A1494" t="str">
        <f>A1464</f>
        <v>Sloof</v>
      </c>
      <c r="B1494">
        <f>B1464+1</f>
        <v>43</v>
      </c>
      <c r="C1494" t="str">
        <f>CONCATENATE(A1494," no. ",B1494)</f>
        <v>Sloof no. 43</v>
      </c>
      <c r="D1494" t="str">
        <f>VLOOKUP(C1494,'Data Panjang Balok'!$C$9:$N$424,2,FALSE)</f>
        <v>TB25-1</v>
      </c>
    </row>
    <row r="1495">
      <c r="C1495" t="str">
        <v>Dimensi</v>
      </c>
      <c r="D1495">
        <f>VLOOKUP(D1494,'Detail Balok'!$C$10:$AU$110,2,FALSE)</f>
        <v>200</v>
      </c>
      <c r="F1495" t="str">
        <v>x</v>
      </c>
      <c r="G1495">
        <f>VLOOKUP(D1494,'Detail Balok'!$C$10:$AU$110,3,FALSE)</f>
        <v>500</v>
      </c>
    </row>
    <row r="1496">
      <c r="C1496" t="str">
        <v>Panjang as ke as</v>
      </c>
      <c r="D1496">
        <f>VLOOKUP(C1494,'Data Panjang Balok'!$C$9:$N$424,4,FALSE)</f>
        <v>6200</v>
      </c>
    </row>
    <row r="1497">
      <c r="C1497" t="str">
        <v>Panjang netto</v>
      </c>
      <c r="D1497">
        <f>VLOOKUP(C1494,'Data Panjang Balok'!$C$9:$N$424,7,FALSE)</f>
        <v>6200</v>
      </c>
    </row>
    <row r="1498">
      <c r="C1498" t="str">
        <v>Kolom / balok kiri</v>
      </c>
      <c r="D1498">
        <f>VLOOKUP(C1494,'Data Panjang Balok'!$C$9:$N$424,9,FALSE)</f>
        <v>0</v>
      </c>
    </row>
    <row r="1499">
      <c r="C1499" t="str">
        <v>Kolom / balok kanan</v>
      </c>
      <c r="D1499">
        <f>VLOOKUP(C1494,'Data Panjang Balok'!$C$9:$N$424,10,FALSE)</f>
        <v>0</v>
      </c>
    </row>
    <row r="1500">
      <c r="C1500" t="str">
        <v>Jumlah</v>
      </c>
      <c r="D1500">
        <f>VLOOKUP(C1494,'Data Panjang Balok'!$C$9:$N$424,3,FALSE)</f>
        <v>1</v>
      </c>
    </row>
    <row r="1501">
      <c r="A1501" t="str">
        <f>A1494</f>
        <v>Sloof</v>
      </c>
      <c r="B1501">
        <f>B1494</f>
        <v>43</v>
      </c>
      <c r="C1501" t="str">
        <v>Tul Atas Tumpuan</v>
      </c>
      <c r="D1501">
        <f>VLOOKUP(D1494,'Detail Balok'!$C$10:$AU$110,4,FALSE)</f>
        <v>3</v>
      </c>
      <c r="E1501" t="str">
        <v>D</v>
      </c>
      <c r="F1501">
        <f>VLOOKUP(D1494,'Detail Balok'!$C$10:$AU$110,6,FALSE)</f>
        <v>16</v>
      </c>
      <c r="I1501" t="str">
        <v>(</v>
      </c>
      <c r="J1501">
        <f>+D1496/4/1000</f>
        <v>1.55</v>
      </c>
      <c r="K1501" t="str">
        <v>+</v>
      </c>
      <c r="L1501">
        <f>MAX(VLOOKUP(F1501,N$6:P$15,3,FALSE)/1000,2/3*D1498/1000)+F$16*F1501/1000</f>
        <v>0.192</v>
      </c>
      <c r="M1501" t="str">
        <v>=</v>
      </c>
      <c r="N1501">
        <f>J1501+L1501</f>
        <v>1.742</v>
      </c>
      <c r="O1501" t="str">
        <v>+</v>
      </c>
      <c r="P1501">
        <f>D1501-D1502</f>
        <v>0</v>
      </c>
      <c r="Q1501" t="str">
        <v>x</v>
      </c>
      <c r="R1501">
        <f>IF(P1501&gt;0,$F$18*F1501/1000,0)</f>
        <v>0</v>
      </c>
      <c r="S1501" t="str">
        <v>)</v>
      </c>
      <c r="T1501" t="str">
        <v>x</v>
      </c>
      <c r="U1501">
        <f>0.006165*F1501^2</f>
        <v>1.57824</v>
      </c>
      <c r="X1501" t="str">
        <v>x</v>
      </c>
      <c r="Y1501">
        <f>D1500</f>
        <v>1</v>
      </c>
      <c r="Z1501" t="str">
        <v>=</v>
      </c>
      <c r="AA1501">
        <f>IF(AA1504=0,(D1501*N1501+P1501*R1501)*U1501*Y1501,0)</f>
        <v>0</v>
      </c>
    </row>
    <row r="1502">
      <c r="A1502" t="str">
        <f>A1494</f>
        <v>Sloof</v>
      </c>
      <c r="B1502">
        <f>B1494</f>
        <v>43</v>
      </c>
      <c r="C1502" t="str">
        <v>Tul Atas Lapangan</v>
      </c>
      <c r="D1502">
        <f>VLOOKUP(D1494,'Detail Balok'!$C$10:$AU$110,7,FALSE)</f>
        <v>3</v>
      </c>
      <c r="E1502" t="str">
        <v>D</v>
      </c>
      <c r="F1502">
        <f>VLOOKUP(D1494,'Detail Balok'!$C$10:$AU$110,9,FALSE)</f>
        <v>16</v>
      </c>
      <c r="I1502" t="str">
        <v>(</v>
      </c>
      <c r="J1502">
        <f>+D1496/2/1000</f>
        <v>3.1</v>
      </c>
      <c r="K1502" t="str">
        <v>+</v>
      </c>
      <c r="M1502" t="str">
        <v>=</v>
      </c>
      <c r="N1502">
        <f>J1502+L1502</f>
        <v>3.1</v>
      </c>
      <c r="O1502" t="str">
        <v>+</v>
      </c>
      <c r="P1502">
        <f>MAX(D1502-D1501,D1502-D1503)</f>
        <v>0</v>
      </c>
      <c r="Q1502" t="str">
        <v>x</v>
      </c>
      <c r="R1502">
        <f>IF(P1502&gt;0,2*(1-2*$F$19-1/2)*D1497/1000,0)</f>
        <v>0</v>
      </c>
      <c r="S1502" t="str">
        <v>)</v>
      </c>
      <c r="T1502" t="str">
        <v>x</v>
      </c>
      <c r="U1502">
        <f>0.006165*F1502^2</f>
        <v>1.57824</v>
      </c>
      <c r="X1502" t="str">
        <v>x</v>
      </c>
      <c r="Y1502">
        <f>D1500</f>
        <v>1</v>
      </c>
      <c r="Z1502" t="str">
        <v>=</v>
      </c>
      <c r="AA1502">
        <f>IF(AA1504=0,(D1502*N1502+P1502*R1502)*U1502*Y1502,0)</f>
        <v>0</v>
      </c>
    </row>
    <row r="1503">
      <c r="A1503" t="str">
        <f>A1494</f>
        <v>Sloof</v>
      </c>
      <c r="B1503">
        <f>B1494</f>
        <v>43</v>
      </c>
      <c r="C1503" t="str">
        <v>Tul Atas Tumpuan</v>
      </c>
      <c r="D1503">
        <f>VLOOKUP(D1494,'Detail Balok'!$C$10:$AU$110,10,FALSE)</f>
        <v>3</v>
      </c>
      <c r="E1503" t="str">
        <v>D</v>
      </c>
      <c r="F1503">
        <f>VLOOKUP(D1494,'Detail Balok'!$C$10:$AU$110,12,FALSE)</f>
        <v>16</v>
      </c>
      <c r="I1503" t="str">
        <v>(</v>
      </c>
      <c r="J1503">
        <f>+D1496/4/1000</f>
        <v>1.55</v>
      </c>
      <c r="K1503" t="str">
        <v>+</v>
      </c>
      <c r="L1503">
        <f>MAX(VLOOKUP(F1503,N$6:P$15,3,FALSE)/1000,2/3*D1498/1000)+F$16*F1503/1000</f>
        <v>0.192</v>
      </c>
      <c r="M1503" t="str">
        <v>=</v>
      </c>
      <c r="N1503">
        <f>J1503+L1503</f>
        <v>1.742</v>
      </c>
      <c r="O1503" t="str">
        <v>+</v>
      </c>
      <c r="P1503">
        <f>D1503-D1502</f>
        <v>0</v>
      </c>
      <c r="Q1503" t="str">
        <v>x</v>
      </c>
      <c r="R1503">
        <f>IF(P1503&gt;0,$F$18*F1503/1000,0)</f>
        <v>0</v>
      </c>
      <c r="S1503" t="str">
        <v>)</v>
      </c>
      <c r="T1503" t="str">
        <v>x</v>
      </c>
      <c r="U1503">
        <f>0.006165*F1503^2</f>
        <v>1.57824</v>
      </c>
      <c r="X1503" t="str">
        <v>x</v>
      </c>
      <c r="Y1503">
        <f>D1500</f>
        <v>1</v>
      </c>
      <c r="Z1503" t="str">
        <v>=</v>
      </c>
      <c r="AA1503">
        <f>IF(AA1504=0,(D1503*N1503+P1503*R1503)*U1503*Y1503,0)</f>
        <v>0</v>
      </c>
    </row>
    <row r="1504">
      <c r="A1504" t="str">
        <f>A1494</f>
        <v>Sloof</v>
      </c>
      <c r="B1504">
        <f>B1494</f>
        <v>43</v>
      </c>
      <c r="D1504">
        <f>IF(AND(D1501=D1502,D1502=D1503,D1501=D1503),D1501,0)</f>
        <v>3</v>
      </c>
      <c r="E1504" t="str">
        <v>D</v>
      </c>
      <c r="F1504">
        <f>IF(AND(F1501=F1502,F1501=F1503,F1502=F1503),F1501,0)</f>
        <v>16</v>
      </c>
      <c r="L1504" t="str">
        <v>Total panjang per balok</v>
      </c>
      <c r="M1504" t="str">
        <v>=</v>
      </c>
      <c r="N1504">
        <f>IF(AND(D1501=D1502,D1501=D1503,D1502=D1503,F1501=F1502,F1501=F1503,F1502=F1503),SUM(N1501:N1503),0)</f>
        <v>6.5840000000000005</v>
      </c>
      <c r="O1504" t="str">
        <v>+</v>
      </c>
      <c r="P1504">
        <f>IF(N1504&gt;12,ROUNDDOWN(N1504/12,0),0)</f>
        <v>0</v>
      </c>
      <c r="Q1504" t="str">
        <v>x</v>
      </c>
      <c r="R1504">
        <f>IF(P1504&gt;0,MAX(VLOOKUP(F1504,$D$6:$G$15,3,FALSE),600),0)/1000</f>
        <v>0</v>
      </c>
      <c r="T1504" t="str">
        <v>x</v>
      </c>
      <c r="U1504">
        <f>U1503</f>
        <v>1.57824</v>
      </c>
      <c r="V1504" t="str">
        <v>x</v>
      </c>
      <c r="W1504">
        <f>D1504</f>
        <v>3</v>
      </c>
      <c r="X1504" t="str">
        <v>x</v>
      </c>
      <c r="Y1504">
        <f>Y1503</f>
        <v>1</v>
      </c>
      <c r="Z1504" t="str">
        <v>=</v>
      </c>
      <c r="AA1504">
        <f>(N1504+P1504*R1504/1000)*U1504*W1504*Y1504</f>
        <v>31.173396480000005</v>
      </c>
    </row>
    <row r="1506">
      <c r="A1506" t="str">
        <f>A1494</f>
        <v>Sloof</v>
      </c>
      <c r="B1506">
        <f>B1494</f>
        <v>43</v>
      </c>
      <c r="C1506" t="str">
        <v>Tul Peminggang</v>
      </c>
      <c r="D1506">
        <f>VLOOKUP(D1494,'Detail Balok'!$C$10:$AU$110,13,FALSE)</f>
        <v>2</v>
      </c>
      <c r="E1506" t="str">
        <v>D</v>
      </c>
      <c r="F1506">
        <f>VLOOKUP(D1494,'Detail Balok'!$C$10:$AU$110,15,FALSE)</f>
        <v>10</v>
      </c>
      <c r="J1506">
        <f>+D1496/1000</f>
        <v>6.2</v>
      </c>
      <c r="K1506" t="str">
        <v>+</v>
      </c>
      <c r="L1506">
        <f>2*$F$16*F1506/1000</f>
        <v>0.24</v>
      </c>
      <c r="M1506" t="str">
        <v>=</v>
      </c>
      <c r="N1506">
        <f>J1506+L1506</f>
        <v>6.44</v>
      </c>
      <c r="O1506" t="str">
        <v>+</v>
      </c>
      <c r="P1506">
        <f>IF(N1506&gt;12,ROUNDDOWN(N1506/12,0),0)</f>
        <v>0</v>
      </c>
      <c r="Q1506" t="str">
        <v>x</v>
      </c>
      <c r="R1506">
        <f>IF(P1506&gt;0,MAX(VLOOKUP(F1506,$D$6:$G$15,3,FALSE),600),0)/1000</f>
        <v>0</v>
      </c>
      <c r="T1506" t="str">
        <v>x</v>
      </c>
      <c r="U1506">
        <f>0.006165*F1506^2</f>
        <v>0.6165</v>
      </c>
      <c r="V1506" t="str">
        <v>x</v>
      </c>
      <c r="W1506">
        <f>+D1506</f>
        <v>2</v>
      </c>
      <c r="X1506" t="str">
        <v>x</v>
      </c>
      <c r="Y1506">
        <f>D1500</f>
        <v>1</v>
      </c>
      <c r="Z1506" t="str">
        <v>=</v>
      </c>
      <c r="AA1506">
        <f>(N1506+P1506*R1506/1000)*U1506*W1506*Y1506</f>
        <v>7.940520000000001</v>
      </c>
    </row>
    <row r="1509">
      <c r="A1509" t="str">
        <f>A1494</f>
        <v>Sloof</v>
      </c>
      <c r="B1509">
        <f>B1494</f>
        <v>43</v>
      </c>
      <c r="C1509" t="str">
        <v>Tul Bawah Tumpuan</v>
      </c>
      <c r="D1509">
        <f>VLOOKUP(D1494,'Detail Balok'!$C$10:$AU$110,22,FALSE)</f>
        <v>3</v>
      </c>
      <c r="E1509" t="str">
        <v>D</v>
      </c>
      <c r="F1509">
        <f>VLOOKUP(D1494,'Detail Balok'!$C$10:$AU$110,24,FALSE)</f>
        <v>16</v>
      </c>
      <c r="I1509" t="str">
        <v>(</v>
      </c>
      <c r="J1509">
        <f>+J1501</f>
        <v>1.55</v>
      </c>
      <c r="K1509" t="str">
        <v>+</v>
      </c>
      <c r="L1509">
        <f>MAX(VLOOKUP(F1509,N$6:P$15,3,FALSE)/1000,2/3*D1499/1000)+F$16*F1509/1000</f>
        <v>0.192</v>
      </c>
      <c r="M1509" t="str">
        <v>=</v>
      </c>
      <c r="N1509">
        <f>J1509+L1509</f>
        <v>1.742</v>
      </c>
      <c r="O1509" t="str">
        <v>+</v>
      </c>
      <c r="P1509">
        <f>D1509-D1510</f>
        <v>0</v>
      </c>
      <c r="Q1509" t="str">
        <v>x</v>
      </c>
      <c r="R1509">
        <f>IF(P1509&gt;0,$F$18*F1509/1000,0)</f>
        <v>0</v>
      </c>
      <c r="S1509" t="str">
        <v>)</v>
      </c>
      <c r="T1509" t="str">
        <v>x</v>
      </c>
      <c r="U1509">
        <f>0.006165*F1509^2</f>
        <v>1.57824</v>
      </c>
      <c r="X1509" t="str">
        <v>x</v>
      </c>
      <c r="Y1509">
        <f>D1500</f>
        <v>1</v>
      </c>
      <c r="Z1509" t="str">
        <v>=</v>
      </c>
      <c r="AA1509">
        <f>IF(AA1512=0,(D1509*N1509+P1509*R1509)*U1509*Y1509,0)</f>
        <v>0</v>
      </c>
    </row>
    <row r="1510">
      <c r="A1510" t="str">
        <f>A1494</f>
        <v>Sloof</v>
      </c>
      <c r="B1510">
        <f>B1494</f>
        <v>43</v>
      </c>
      <c r="C1510" t="str">
        <v>Tul Bawah Lapangan</v>
      </c>
      <c r="D1510">
        <f>VLOOKUP(D1494,'Detail Balok'!$C$10:$AU$110,25,FALSE)</f>
        <v>3</v>
      </c>
      <c r="E1510" t="str">
        <v>D</v>
      </c>
      <c r="F1510">
        <f>VLOOKUP(D1494,'Detail Balok'!$C$10:$AU$110,27,FALSE)</f>
        <v>16</v>
      </c>
      <c r="I1510" t="str">
        <v>(</v>
      </c>
      <c r="J1510">
        <f>+J1502</f>
        <v>3.1</v>
      </c>
      <c r="K1510" t="str">
        <v>+</v>
      </c>
      <c r="M1510" t="str">
        <v>=</v>
      </c>
      <c r="N1510">
        <f>J1510+L1510</f>
        <v>3.1</v>
      </c>
      <c r="O1510" t="str">
        <v>+</v>
      </c>
      <c r="P1510">
        <f>MAX(D1510-D1509,D1510-D1511)</f>
        <v>0</v>
      </c>
      <c r="Q1510" t="str">
        <v>x</v>
      </c>
      <c r="R1510">
        <f>IF(P1510&gt;0,2*(1-2*$F$19-1/2)*D1497/1000,0)</f>
        <v>0</v>
      </c>
      <c r="S1510" t="str">
        <v>)</v>
      </c>
      <c r="T1510" t="str">
        <v>x</v>
      </c>
      <c r="U1510">
        <f>0.006165*F1510^2</f>
        <v>1.57824</v>
      </c>
      <c r="X1510" t="str">
        <v>x</v>
      </c>
      <c r="Y1510">
        <f>D1500</f>
        <v>1</v>
      </c>
      <c r="Z1510" t="str">
        <v>=</v>
      </c>
      <c r="AA1510">
        <f>IF(AA1512=0,(D1510*N1510+P1510*R1510)*U1510*Y1510,0)</f>
        <v>0</v>
      </c>
    </row>
    <row r="1511">
      <c r="A1511" t="str">
        <f>A1494</f>
        <v>Sloof</v>
      </c>
      <c r="B1511">
        <f>B1494</f>
        <v>43</v>
      </c>
      <c r="C1511" t="str">
        <v>Tul Bawah Tumpuan</v>
      </c>
      <c r="D1511">
        <f>VLOOKUP(D1494,'Detail Balok'!$C$10:$AU$110,28,FALSE)</f>
        <v>3</v>
      </c>
      <c r="E1511" t="str">
        <v>D</v>
      </c>
      <c r="F1511">
        <f>VLOOKUP(D1494,'Detail Balok'!$C$10:$AU$110,30,FALSE)</f>
        <v>16</v>
      </c>
      <c r="I1511" t="str">
        <v>(</v>
      </c>
      <c r="J1511">
        <f>+J1503</f>
        <v>1.55</v>
      </c>
      <c r="K1511" t="str">
        <v>+</v>
      </c>
      <c r="L1511">
        <f>MAX(VLOOKUP(F1511,N$6:P$15,3,FALSE)/1000,2/3*D1499/1000)+F$16*F1511/1000</f>
        <v>0.192</v>
      </c>
      <c r="M1511" t="str">
        <v>=</v>
      </c>
      <c r="N1511">
        <f>J1511+L1511</f>
        <v>1.742</v>
      </c>
      <c r="O1511" t="str">
        <v>+</v>
      </c>
      <c r="P1511">
        <f>D1511-D1510</f>
        <v>0</v>
      </c>
      <c r="Q1511" t="str">
        <v>x</v>
      </c>
      <c r="R1511">
        <f>IF(P1511&gt;0,$F$18*F1511/1000,0)</f>
        <v>0</v>
      </c>
      <c r="S1511" t="str">
        <v>)</v>
      </c>
      <c r="T1511" t="str">
        <v>x</v>
      </c>
      <c r="U1511">
        <f>0.006165*F1511^2</f>
        <v>1.57824</v>
      </c>
      <c r="X1511" t="str">
        <v>x</v>
      </c>
      <c r="Y1511">
        <f>D1500</f>
        <v>1</v>
      </c>
      <c r="Z1511" t="str">
        <v>=</v>
      </c>
      <c r="AA1511">
        <f>IF(AA1512=0,(D1511*N1511+P1511*R1511)*U1511*Y1511,0)</f>
        <v>0</v>
      </c>
    </row>
    <row r="1512">
      <c r="A1512" t="str">
        <f>A1494</f>
        <v>Sloof</v>
      </c>
      <c r="B1512">
        <f>B1494</f>
        <v>43</v>
      </c>
      <c r="D1512">
        <f>IF(AND(D1509=D1510,D1510=D1511,D1509=D1511),D1509,0)</f>
        <v>3</v>
      </c>
      <c r="E1512" t="str">
        <v>D</v>
      </c>
      <c r="F1512">
        <f>IF(AND(F1509=F1510,F1509=F1511,F1510=F1511),F1509,0)</f>
        <v>16</v>
      </c>
      <c r="L1512" t="str">
        <v>Total panjang per balok</v>
      </c>
      <c r="M1512" t="str">
        <v>=</v>
      </c>
      <c r="N1512">
        <f>IF(AND(D1509=D1510,D1509=D1511,D1510=D1511,F1509=F1510,F1509=F1511,F1510=F1511),SUM(N1509:N1511),0)</f>
        <v>6.5840000000000005</v>
      </c>
      <c r="O1512" t="str">
        <v>+</v>
      </c>
      <c r="P1512">
        <f>IF(N1512&gt;12,ROUNDDOWN(N1512/12,0),0)</f>
        <v>0</v>
      </c>
      <c r="Q1512" t="str">
        <v>x</v>
      </c>
      <c r="R1512">
        <f>IF(P1512&gt;0,MAX(VLOOKUP(F1512,$D$6:$G$15,3,FALSE),600),0)/1000</f>
        <v>0</v>
      </c>
      <c r="T1512" t="str">
        <v>x</v>
      </c>
      <c r="U1512">
        <f>U1511</f>
        <v>1.57824</v>
      </c>
      <c r="V1512" t="str">
        <v>x</v>
      </c>
      <c r="W1512">
        <f>D1512</f>
        <v>3</v>
      </c>
      <c r="X1512" t="str">
        <v>x</v>
      </c>
      <c r="Y1512">
        <f>Y1511</f>
        <v>1</v>
      </c>
      <c r="Z1512" t="str">
        <v>=</v>
      </c>
      <c r="AA1512">
        <f>(N1512+P1512*R1512/1000)*U1512*W1512*Y1512</f>
        <v>31.173396480000005</v>
      </c>
    </row>
    <row r="1514">
      <c r="A1514" t="str">
        <f>A1494</f>
        <v>Sloof</v>
      </c>
      <c r="B1514">
        <f>B1494</f>
        <v>43</v>
      </c>
      <c r="C1514" t="str">
        <v>Sengkang Tumpuan</v>
      </c>
      <c r="D1514">
        <f>VLOOKUP(D1494,'Detail Balok'!$C$10:$AU$110,31,FALSE)</f>
        <v>0</v>
      </c>
      <c r="E1514" t="str">
        <v>D</v>
      </c>
      <c r="F1514">
        <f>VLOOKUP(D1494,'Detail Balok'!$C$10:$AU$110,33,FALSE)</f>
        <v>10</v>
      </c>
      <c r="G1514" t="str">
        <v>-</v>
      </c>
      <c r="H1514">
        <f>VLOOKUP(D1494,'Detail Balok'!$C$10:$AU$110,35,FALSE)</f>
        <v>200</v>
      </c>
      <c r="J1514">
        <f>(IF(D1514=0,(2*(D1495+G1495))-(F$5*8),IF(D1514=3,(2*(D1495+G1495))-(F$5*8)+(G1495-2*F$5),IF(D1514=4,(2*(D1495+G1495))-(F$5*8)+2*(G1495-2*F$5)))))/1000</f>
        <v>1.08</v>
      </c>
      <c r="K1514" t="str">
        <v>+</v>
      </c>
      <c r="L1514">
        <f>IF(D1514=0,2*MAX(6*F1514,75),(D1514-1)*2*MAX(6*F1514,75))/1000</f>
        <v>0.15</v>
      </c>
      <c r="M1514" t="str">
        <v>=</v>
      </c>
      <c r="N1514">
        <f>J1514+L1514</f>
        <v>1.23</v>
      </c>
      <c r="T1514" t="str">
        <v>x</v>
      </c>
      <c r="U1514">
        <f>0.006165*F1514^2</f>
        <v>0.6165</v>
      </c>
      <c r="V1514" t="str">
        <v>x</v>
      </c>
      <c r="W1514">
        <f>IF(D1497&gt;4*G1495,ROUND(MAX(D1497/4,2*G1495)/H1514,0)+1,ROUND(D1497/H1514,0)+1)</f>
        <v>9</v>
      </c>
      <c r="X1514" t="str">
        <v>x</v>
      </c>
      <c r="Y1514">
        <f>D1500</f>
        <v>1</v>
      </c>
      <c r="Z1514" t="str">
        <v>=</v>
      </c>
      <c r="AA1514">
        <f>N1514*U1514*W1514*Y1514</f>
        <v>6.824655000000001</v>
      </c>
    </row>
    <row r="1515">
      <c r="A1515" t="str">
        <f>A1494</f>
        <v>Sloof</v>
      </c>
      <c r="B1515">
        <f>B1494</f>
        <v>43</v>
      </c>
      <c r="C1515" t="str">
        <v>Sengkang Lapangan</v>
      </c>
      <c r="D1515">
        <f>VLOOKUP(D1494,'Detail Balok'!$C$10:$AU$110,36,FALSE)</f>
        <v>0</v>
      </c>
      <c r="E1515" t="str">
        <v>D</v>
      </c>
      <c r="F1515">
        <f>VLOOKUP(D1494,'Detail Balok'!$C$10:$AU$110,38,FALSE)</f>
        <v>10</v>
      </c>
      <c r="G1515" t="str">
        <v>-</v>
      </c>
      <c r="H1515">
        <f>VLOOKUP(D1494,'Detail Balok'!$C$10:$AU$110,40,FALSE)</f>
        <v>200</v>
      </c>
      <c r="J1515">
        <f>(IF(D1515=0,(2*(D1495+G1495))-(F$5*8),IF(D1515=3,(2*(D1495+G1495))-(F$5*8)+(G1495-2*F$5),IF(D1515=4,(2*(D1495+G1495))-(F$5*8)+2*(G1495-2*F$5)))))/1000</f>
        <v>1.08</v>
      </c>
      <c r="K1515" t="str">
        <v>+</v>
      </c>
      <c r="L1515">
        <f>IF(D1515=0,2*MAX(6*F1515,75),(D1515-1)*2*MAX(6*F1515,75))/1000</f>
        <v>0.15</v>
      </c>
      <c r="M1515" t="str">
        <v>=</v>
      </c>
      <c r="N1515">
        <f>J1515+L1515</f>
        <v>1.23</v>
      </c>
      <c r="T1515" t="str">
        <v>x</v>
      </c>
      <c r="U1515">
        <f>0.006165*F1515^2</f>
        <v>0.6165</v>
      </c>
      <c r="V1515" t="str">
        <v>x</v>
      </c>
      <c r="W1515">
        <f>IF(D1497-MAX(D1497/4,2*G1495)*2&gt;0,ROUND((D1497-MAX(D1497/4,2*G1495)*2)/H1515,0),0)</f>
        <v>16</v>
      </c>
      <c r="X1515" t="str">
        <v>x</v>
      </c>
      <c r="Y1515">
        <f>D1500</f>
        <v>1</v>
      </c>
      <c r="Z1515" t="str">
        <v>=</v>
      </c>
      <c r="AA1515">
        <f>N1515*U1515*W1515*Y1515</f>
        <v>12.13272</v>
      </c>
    </row>
    <row r="1516">
      <c r="A1516" t="str">
        <f>A1494</f>
        <v>Sloof</v>
      </c>
      <c r="B1516">
        <f>B1494</f>
        <v>43</v>
      </c>
      <c r="C1516" t="str">
        <v>Sengkang Tumpuan</v>
      </c>
      <c r="D1516">
        <f>VLOOKUP(D1494,'Detail Balok'!$C$10:$AU$110,41,FALSE)</f>
        <v>0</v>
      </c>
      <c r="E1516" t="str">
        <v>D</v>
      </c>
      <c r="F1516">
        <f>VLOOKUP(D1494,'Detail Balok'!$C$10:$AU$110,43,FALSE)</f>
        <v>10</v>
      </c>
      <c r="G1516" t="str">
        <v>-</v>
      </c>
      <c r="H1516">
        <f>VLOOKUP(D1494,'Detail Balok'!$C$10:$AU$110,45,FALSE)</f>
        <v>200</v>
      </c>
      <c r="J1516">
        <f>(IF(D1516=0,(2*(D1495+G1495))-(F$5*8),IF(D1516=3,(2*(D1495+G1495))-(F$5*8)+(G1495-2*F$5),IF(D1516=4,(2*(D1495+G1495))-(F$5*8)+2*(G1495-2*F$5)))))/1000</f>
        <v>1.08</v>
      </c>
      <c r="K1516" t="str">
        <v>+</v>
      </c>
      <c r="L1516">
        <f>IF(D1516=0,2*MAX(6*F1516,75),(D1516-1)*2*MAX(6*F1516,75))/1000</f>
        <v>0.15</v>
      </c>
      <c r="M1516" t="str">
        <v>=</v>
      </c>
      <c r="N1516">
        <f>J1516+L1516</f>
        <v>1.23</v>
      </c>
      <c r="T1516" t="str">
        <v>x</v>
      </c>
      <c r="U1516">
        <f>0.006165*F1516^2</f>
        <v>0.6165</v>
      </c>
      <c r="V1516" t="str">
        <v>x</v>
      </c>
      <c r="W1516">
        <f>IF(D1497&gt;4*G1495,ROUND(MAX(D1497/4,2*G1495)/H1516,0)+1,0)</f>
        <v>9</v>
      </c>
      <c r="X1516" t="str">
        <v>x</v>
      </c>
      <c r="Y1516">
        <f>D1500</f>
        <v>1</v>
      </c>
      <c r="Z1516" t="str">
        <v>=</v>
      </c>
      <c r="AA1516">
        <f>N1516*U1516*W1516*Y1516</f>
        <v>6.824655000000001</v>
      </c>
    </row>
    <row r="1518">
      <c r="A1518" t="str">
        <f>A1494</f>
        <v>Sloof</v>
      </c>
      <c r="B1518">
        <f>B1494</f>
        <v>43</v>
      </c>
      <c r="C1518" t="str">
        <v>Kait Horizontal Tump.</v>
      </c>
      <c r="D1518">
        <f>VLOOKUP(D1494,'Detail Balok'!$C$10:$BJ$110,46,FALSE)</f>
        <v>0</v>
      </c>
      <c r="E1518" t="str">
        <v>D</v>
      </c>
      <c r="F1518">
        <f>VLOOKUP(D1494,'Detail Balok'!$C$10:$BJ$110,48,FALSE)</f>
        <v>0</v>
      </c>
      <c r="G1518" t="str">
        <v>-</v>
      </c>
      <c r="H1518">
        <f>VLOOKUP(D1494,'Detail Balok'!$C$10:$BJ$110,50,FALSE)</f>
        <v>100</v>
      </c>
      <c r="J1518">
        <f>(D1495-2*F$5)/1000</f>
        <v>0.12</v>
      </c>
      <c r="K1518" t="str">
        <v>+</v>
      </c>
      <c r="L1518">
        <f>IF(D1518=0,2*MAX(6*F1518,75),(D1518-1)*2*MAX(6*F1518,75))/1000</f>
        <v>0.15</v>
      </c>
      <c r="M1518" t="str">
        <v>=</v>
      </c>
      <c r="N1518">
        <f>J1518+L1518</f>
        <v>0.27</v>
      </c>
      <c r="T1518" t="str">
        <v>x</v>
      </c>
      <c r="U1518">
        <f>0.006165*F1518^2</f>
        <v>0</v>
      </c>
      <c r="V1518" t="str">
        <v>x</v>
      </c>
      <c r="W1518">
        <f>W1514</f>
        <v>9</v>
      </c>
      <c r="X1518" t="str">
        <v>x</v>
      </c>
      <c r="Y1518">
        <f>D1504</f>
        <v>3</v>
      </c>
      <c r="Z1518" t="str">
        <v>=</v>
      </c>
      <c r="AA1518">
        <f>N1518*U1518*W1518*Y1518</f>
        <v>0</v>
      </c>
    </row>
    <row r="1519">
      <c r="A1519" t="str">
        <f>A1494</f>
        <v>Sloof</v>
      </c>
      <c r="B1519">
        <f>B1494</f>
        <v>43</v>
      </c>
      <c r="C1519" t="str">
        <v>Kait Horizontal Lap.</v>
      </c>
      <c r="D1519">
        <f>VLOOKUP(D1494,'Detail Balok'!$C$10:$BJ$110,51,FALSE)</f>
        <v>0</v>
      </c>
      <c r="E1519" t="str">
        <v>D</v>
      </c>
      <c r="F1519">
        <f>VLOOKUP(D1494,'Detail Balok'!$C$10:$BJ$110,53,FALSE)</f>
        <v>0</v>
      </c>
      <c r="G1519" t="str">
        <v>-</v>
      </c>
      <c r="H1519">
        <f>VLOOKUP(D1494,'Detail Balok'!$C$10:$BJ$110,55,FALSE)</f>
        <v>100</v>
      </c>
      <c r="J1519">
        <f>(D1495-2*F$5)/1000</f>
        <v>0.12</v>
      </c>
      <c r="K1519" t="str">
        <v>+</v>
      </c>
      <c r="L1519">
        <f>IF(D1519=0,2*MAX(6*F1519,75),(D1519-1)*2*MAX(6*F1519,75))/1000</f>
        <v>0.15</v>
      </c>
      <c r="M1519" t="str">
        <v>=</v>
      </c>
      <c r="N1519">
        <f>J1519+L1519</f>
        <v>0.27</v>
      </c>
      <c r="T1519" t="str">
        <v>x</v>
      </c>
      <c r="U1519">
        <f>0.006165*F1519^2</f>
        <v>0</v>
      </c>
      <c r="V1519" t="str">
        <v>x</v>
      </c>
      <c r="W1519">
        <f>W1515</f>
        <v>16</v>
      </c>
      <c r="X1519" t="str">
        <v>x</v>
      </c>
      <c r="Y1519">
        <f>D1504</f>
        <v>3</v>
      </c>
      <c r="Z1519" t="str">
        <v>=</v>
      </c>
      <c r="AA1519">
        <f>N1519*U1519*W1519*Y1519</f>
        <v>0</v>
      </c>
    </row>
    <row r="1520">
      <c r="A1520" t="str">
        <f>A1494</f>
        <v>Sloof</v>
      </c>
      <c r="B1520">
        <f>B1494</f>
        <v>43</v>
      </c>
      <c r="C1520" t="str">
        <v>Kait Horizontal Tump.</v>
      </c>
      <c r="D1520">
        <f>VLOOKUP(D1494,'Detail Balok'!$C$10:$BJ$110,56,FALSE)</f>
        <v>0</v>
      </c>
      <c r="E1520" t="str">
        <v>D</v>
      </c>
      <c r="F1520">
        <f>VLOOKUP(D1494,'Detail Balok'!$C$10:$BJ$110,58,FALSE)</f>
        <v>0</v>
      </c>
      <c r="G1520" t="str">
        <v>-</v>
      </c>
      <c r="H1520">
        <f>VLOOKUP(D1494,'Detail Balok'!$C$10:$BJ$110,60,FALSE)</f>
        <v>100</v>
      </c>
      <c r="J1520">
        <f>(D1495-2*F$5)/1000</f>
        <v>0.12</v>
      </c>
      <c r="K1520" t="str">
        <v>+</v>
      </c>
      <c r="L1520">
        <f>IF(D1520=0,2*MAX(6*F1520,75),(D1520-1)*2*MAX(6*F1520,75))/1000</f>
        <v>0.15</v>
      </c>
      <c r="M1520" t="str">
        <v>=</v>
      </c>
      <c r="N1520">
        <f>J1520+L1520</f>
        <v>0.27</v>
      </c>
      <c r="T1520" t="str">
        <v>x</v>
      </c>
      <c r="U1520">
        <f>0.006165*F1520^2</f>
        <v>0</v>
      </c>
      <c r="V1520" t="str">
        <v>x</v>
      </c>
      <c r="W1520">
        <f>W1516</f>
        <v>9</v>
      </c>
      <c r="X1520" t="str">
        <v>x</v>
      </c>
      <c r="Y1520">
        <f>D1504</f>
        <v>3</v>
      </c>
      <c r="Z1520" t="str">
        <v>=</v>
      </c>
      <c r="AA1520">
        <f>N1520*U1520*W1520*Y1520</f>
        <v>0</v>
      </c>
    </row>
    <row r="1524">
      <c r="A1524" t="str">
        <f>A1494</f>
        <v>Sloof</v>
      </c>
      <c r="B1524">
        <f>B1494+1</f>
        <v>44</v>
      </c>
      <c r="C1524" t="str">
        <f>CONCATENATE(A1524," no. ",B1524)</f>
        <v>Sloof no. 44</v>
      </c>
      <c r="D1524" t="str">
        <f>VLOOKUP(C1524,'Data Panjang Balok'!$C$9:$N$424,2,FALSE)</f>
        <v>TB25-1</v>
      </c>
    </row>
    <row r="1525">
      <c r="C1525" t="str">
        <v>Dimensi</v>
      </c>
      <c r="D1525">
        <f>VLOOKUP(D1524,'Detail Balok'!$C$10:$AU$110,2,FALSE)</f>
        <v>200</v>
      </c>
      <c r="F1525" t="str">
        <v>x</v>
      </c>
      <c r="G1525">
        <f>VLOOKUP(D1524,'Detail Balok'!$C$10:$AU$110,3,FALSE)</f>
        <v>500</v>
      </c>
    </row>
    <row r="1526">
      <c r="C1526" t="str">
        <v>Panjang as ke as</v>
      </c>
      <c r="D1526">
        <f>VLOOKUP(C1524,'Data Panjang Balok'!$C$9:$N$424,4,FALSE)</f>
        <v>6200</v>
      </c>
    </row>
    <row r="1527">
      <c r="C1527" t="str">
        <v>Panjang netto</v>
      </c>
      <c r="D1527">
        <f>VLOOKUP(C1524,'Data Panjang Balok'!$C$9:$N$424,7,FALSE)</f>
        <v>6200</v>
      </c>
    </row>
    <row r="1528">
      <c r="C1528" t="str">
        <v>Kolom / balok kiri</v>
      </c>
      <c r="D1528">
        <f>VLOOKUP(C1524,'Data Panjang Balok'!$C$9:$N$424,9,FALSE)</f>
        <v>0</v>
      </c>
    </row>
    <row r="1529">
      <c r="C1529" t="str">
        <v>Kolom / balok kanan</v>
      </c>
      <c r="D1529">
        <f>VLOOKUP(C1524,'Data Panjang Balok'!$C$9:$N$424,10,FALSE)</f>
        <v>0</v>
      </c>
    </row>
    <row r="1530">
      <c r="C1530" t="str">
        <v>Jumlah</v>
      </c>
      <c r="D1530">
        <f>VLOOKUP(C1524,'Data Panjang Balok'!$C$9:$N$424,3,FALSE)</f>
        <v>1</v>
      </c>
    </row>
    <row r="1531">
      <c r="A1531" t="str">
        <f>A1524</f>
        <v>Sloof</v>
      </c>
      <c r="B1531">
        <f>B1524</f>
        <v>44</v>
      </c>
      <c r="C1531" t="str">
        <v>Tul Atas Tumpuan</v>
      </c>
      <c r="D1531">
        <f>VLOOKUP(D1524,'Detail Balok'!$C$10:$AU$110,4,FALSE)</f>
        <v>3</v>
      </c>
      <c r="E1531" t="str">
        <v>D</v>
      </c>
      <c r="F1531">
        <f>VLOOKUP(D1524,'Detail Balok'!$C$10:$AU$110,6,FALSE)</f>
        <v>16</v>
      </c>
      <c r="I1531" t="str">
        <v>(</v>
      </c>
      <c r="J1531">
        <f>+D1526/4/1000</f>
        <v>1.55</v>
      </c>
      <c r="K1531" t="str">
        <v>+</v>
      </c>
      <c r="L1531">
        <f>MAX(VLOOKUP(F1531,N$6:P$15,3,FALSE)/1000,2/3*D1528/1000)+F$16*F1531/1000</f>
        <v>0.192</v>
      </c>
      <c r="M1531" t="str">
        <v>=</v>
      </c>
      <c r="N1531">
        <f>J1531+L1531</f>
        <v>1.742</v>
      </c>
      <c r="O1531" t="str">
        <v>+</v>
      </c>
      <c r="P1531">
        <f>D1531-D1532</f>
        <v>0</v>
      </c>
      <c r="Q1531" t="str">
        <v>x</v>
      </c>
      <c r="R1531">
        <f>IF(P1531&gt;0,$F$18*F1531/1000,0)</f>
        <v>0</v>
      </c>
      <c r="S1531" t="str">
        <v>)</v>
      </c>
      <c r="T1531" t="str">
        <v>x</v>
      </c>
      <c r="U1531">
        <f>0.006165*F1531^2</f>
        <v>1.57824</v>
      </c>
      <c r="X1531" t="str">
        <v>x</v>
      </c>
      <c r="Y1531">
        <f>D1530</f>
        <v>1</v>
      </c>
      <c r="Z1531" t="str">
        <v>=</v>
      </c>
      <c r="AA1531">
        <f>IF(AA1534=0,(D1531*N1531+P1531*R1531)*U1531*Y1531,0)</f>
        <v>0</v>
      </c>
    </row>
    <row r="1532">
      <c r="A1532" t="str">
        <f>A1524</f>
        <v>Sloof</v>
      </c>
      <c r="B1532">
        <f>B1524</f>
        <v>44</v>
      </c>
      <c r="C1532" t="str">
        <v>Tul Atas Lapangan</v>
      </c>
      <c r="D1532">
        <f>VLOOKUP(D1524,'Detail Balok'!$C$10:$AU$110,7,FALSE)</f>
        <v>3</v>
      </c>
      <c r="E1532" t="str">
        <v>D</v>
      </c>
      <c r="F1532">
        <f>VLOOKUP(D1524,'Detail Balok'!$C$10:$AU$110,9,FALSE)</f>
        <v>16</v>
      </c>
      <c r="I1532" t="str">
        <v>(</v>
      </c>
      <c r="J1532">
        <f>+D1526/2/1000</f>
        <v>3.1</v>
      </c>
      <c r="K1532" t="str">
        <v>+</v>
      </c>
      <c r="M1532" t="str">
        <v>=</v>
      </c>
      <c r="N1532">
        <f>J1532+L1532</f>
        <v>3.1</v>
      </c>
      <c r="O1532" t="str">
        <v>+</v>
      </c>
      <c r="P1532">
        <f>MAX(D1532-D1531,D1532-D1533)</f>
        <v>0</v>
      </c>
      <c r="Q1532" t="str">
        <v>x</v>
      </c>
      <c r="R1532">
        <f>IF(P1532&gt;0,2*(1-2*$F$19-1/2)*D1527/1000,0)</f>
        <v>0</v>
      </c>
      <c r="S1532" t="str">
        <v>)</v>
      </c>
      <c r="T1532" t="str">
        <v>x</v>
      </c>
      <c r="U1532">
        <f>0.006165*F1532^2</f>
        <v>1.57824</v>
      </c>
      <c r="X1532" t="str">
        <v>x</v>
      </c>
      <c r="Y1532">
        <f>D1530</f>
        <v>1</v>
      </c>
      <c r="Z1532" t="str">
        <v>=</v>
      </c>
      <c r="AA1532">
        <f>IF(AA1534=0,(D1532*N1532+P1532*R1532)*U1532*Y1532,0)</f>
        <v>0</v>
      </c>
    </row>
    <row r="1533">
      <c r="A1533" t="str">
        <f>A1524</f>
        <v>Sloof</v>
      </c>
      <c r="B1533">
        <f>B1524</f>
        <v>44</v>
      </c>
      <c r="C1533" t="str">
        <v>Tul Atas Tumpuan</v>
      </c>
      <c r="D1533">
        <f>VLOOKUP(D1524,'Detail Balok'!$C$10:$AU$110,10,FALSE)</f>
        <v>3</v>
      </c>
      <c r="E1533" t="str">
        <v>D</v>
      </c>
      <c r="F1533">
        <f>VLOOKUP(D1524,'Detail Balok'!$C$10:$AU$110,12,FALSE)</f>
        <v>16</v>
      </c>
      <c r="I1533" t="str">
        <v>(</v>
      </c>
      <c r="J1533">
        <f>+D1526/4/1000</f>
        <v>1.55</v>
      </c>
      <c r="K1533" t="str">
        <v>+</v>
      </c>
      <c r="L1533">
        <f>MAX(VLOOKUP(F1533,N$6:P$15,3,FALSE)/1000,2/3*D1528/1000)+F$16*F1533/1000</f>
        <v>0.192</v>
      </c>
      <c r="M1533" t="str">
        <v>=</v>
      </c>
      <c r="N1533">
        <f>J1533+L1533</f>
        <v>1.742</v>
      </c>
      <c r="O1533" t="str">
        <v>+</v>
      </c>
      <c r="P1533">
        <f>D1533-D1532</f>
        <v>0</v>
      </c>
      <c r="Q1533" t="str">
        <v>x</v>
      </c>
      <c r="R1533">
        <f>IF(P1533&gt;0,$F$18*F1533/1000,0)</f>
        <v>0</v>
      </c>
      <c r="S1533" t="str">
        <v>)</v>
      </c>
      <c r="T1533" t="str">
        <v>x</v>
      </c>
      <c r="U1533">
        <f>0.006165*F1533^2</f>
        <v>1.57824</v>
      </c>
      <c r="X1533" t="str">
        <v>x</v>
      </c>
      <c r="Y1533">
        <f>D1530</f>
        <v>1</v>
      </c>
      <c r="Z1533" t="str">
        <v>=</v>
      </c>
      <c r="AA1533">
        <f>IF(AA1534=0,(D1533*N1533+P1533*R1533)*U1533*Y1533,0)</f>
        <v>0</v>
      </c>
    </row>
    <row r="1534">
      <c r="A1534" t="str">
        <f>A1524</f>
        <v>Sloof</v>
      </c>
      <c r="B1534">
        <f>B1524</f>
        <v>44</v>
      </c>
      <c r="D1534">
        <f>IF(AND(D1531=D1532,D1532=D1533,D1531=D1533),D1531,0)</f>
        <v>3</v>
      </c>
      <c r="E1534" t="str">
        <v>D</v>
      </c>
      <c r="F1534">
        <f>IF(AND(F1531=F1532,F1531=F1533,F1532=F1533),F1531,0)</f>
        <v>16</v>
      </c>
      <c r="L1534" t="str">
        <v>Total panjang per balok</v>
      </c>
      <c r="M1534" t="str">
        <v>=</v>
      </c>
      <c r="N1534">
        <f>IF(AND(D1531=D1532,D1531=D1533,D1532=D1533,F1531=F1532,F1531=F1533,F1532=F1533),SUM(N1531:N1533),0)</f>
        <v>6.5840000000000005</v>
      </c>
      <c r="O1534" t="str">
        <v>+</v>
      </c>
      <c r="P1534">
        <f>IF(N1534&gt;12,ROUNDDOWN(N1534/12,0),0)</f>
        <v>0</v>
      </c>
      <c r="Q1534" t="str">
        <v>x</v>
      </c>
      <c r="R1534">
        <f>IF(P1534&gt;0,MAX(VLOOKUP(F1534,$D$6:$G$15,3,FALSE),600),0)/1000</f>
        <v>0</v>
      </c>
      <c r="T1534" t="str">
        <v>x</v>
      </c>
      <c r="U1534">
        <f>U1533</f>
        <v>1.57824</v>
      </c>
      <c r="V1534" t="str">
        <v>x</v>
      </c>
      <c r="W1534">
        <f>D1534</f>
        <v>3</v>
      </c>
      <c r="X1534" t="str">
        <v>x</v>
      </c>
      <c r="Y1534">
        <f>Y1533</f>
        <v>1</v>
      </c>
      <c r="Z1534" t="str">
        <v>=</v>
      </c>
      <c r="AA1534">
        <f>(N1534+P1534*R1534/1000)*U1534*W1534*Y1534</f>
        <v>31.173396480000005</v>
      </c>
    </row>
    <row r="1536">
      <c r="A1536" t="str">
        <f>A1524</f>
        <v>Sloof</v>
      </c>
      <c r="B1536">
        <f>B1524</f>
        <v>44</v>
      </c>
      <c r="C1536" t="str">
        <v>Tul Peminggang</v>
      </c>
      <c r="D1536">
        <f>VLOOKUP(D1524,'Detail Balok'!$C$10:$AU$110,13,FALSE)</f>
        <v>2</v>
      </c>
      <c r="E1536" t="str">
        <v>D</v>
      </c>
      <c r="F1536">
        <f>VLOOKUP(D1524,'Detail Balok'!$C$10:$AU$110,15,FALSE)</f>
        <v>10</v>
      </c>
      <c r="J1536">
        <f>+D1526/1000</f>
        <v>6.2</v>
      </c>
      <c r="K1536" t="str">
        <v>+</v>
      </c>
      <c r="L1536">
        <f>2*$F$16*F1536/1000</f>
        <v>0.24</v>
      </c>
      <c r="M1536" t="str">
        <v>=</v>
      </c>
      <c r="N1536">
        <f>J1536+L1536</f>
        <v>6.44</v>
      </c>
      <c r="O1536" t="str">
        <v>+</v>
      </c>
      <c r="P1536">
        <f>IF(N1536&gt;12,ROUNDDOWN(N1536/12,0),0)</f>
        <v>0</v>
      </c>
      <c r="Q1536" t="str">
        <v>x</v>
      </c>
      <c r="R1536">
        <f>IF(P1536&gt;0,MAX(VLOOKUP(F1536,$D$6:$G$15,3,FALSE),600),0)/1000</f>
        <v>0</v>
      </c>
      <c r="T1536" t="str">
        <v>x</v>
      </c>
      <c r="U1536">
        <f>0.006165*F1536^2</f>
        <v>0.6165</v>
      </c>
      <c r="V1536" t="str">
        <v>x</v>
      </c>
      <c r="W1536">
        <f>+D1536</f>
        <v>2</v>
      </c>
      <c r="X1536" t="str">
        <v>x</v>
      </c>
      <c r="Y1536">
        <f>D1530</f>
        <v>1</v>
      </c>
      <c r="Z1536" t="str">
        <v>=</v>
      </c>
      <c r="AA1536">
        <f>(N1536+P1536*R1536/1000)*U1536*W1536*Y1536</f>
        <v>7.940520000000001</v>
      </c>
    </row>
    <row r="1539">
      <c r="A1539" t="str">
        <f>A1524</f>
        <v>Sloof</v>
      </c>
      <c r="B1539">
        <f>B1524</f>
        <v>44</v>
      </c>
      <c r="C1539" t="str">
        <v>Tul Bawah Tumpuan</v>
      </c>
      <c r="D1539">
        <f>VLOOKUP(D1524,'Detail Balok'!$C$10:$AU$110,22,FALSE)</f>
        <v>3</v>
      </c>
      <c r="E1539" t="str">
        <v>D</v>
      </c>
      <c r="F1539">
        <f>VLOOKUP(D1524,'Detail Balok'!$C$10:$AU$110,24,FALSE)</f>
        <v>16</v>
      </c>
      <c r="I1539" t="str">
        <v>(</v>
      </c>
      <c r="J1539">
        <f>+J1531</f>
        <v>1.55</v>
      </c>
      <c r="K1539" t="str">
        <v>+</v>
      </c>
      <c r="L1539">
        <f>MAX(VLOOKUP(F1539,N$6:P$15,3,FALSE)/1000,2/3*D1529/1000)+F$16*F1539/1000</f>
        <v>0.192</v>
      </c>
      <c r="M1539" t="str">
        <v>=</v>
      </c>
      <c r="N1539">
        <f>J1539+L1539</f>
        <v>1.742</v>
      </c>
      <c r="O1539" t="str">
        <v>+</v>
      </c>
      <c r="P1539">
        <f>D1539-D1540</f>
        <v>0</v>
      </c>
      <c r="Q1539" t="str">
        <v>x</v>
      </c>
      <c r="R1539">
        <f>IF(P1539&gt;0,$F$18*F1539/1000,0)</f>
        <v>0</v>
      </c>
      <c r="S1539" t="str">
        <v>)</v>
      </c>
      <c r="T1539" t="str">
        <v>x</v>
      </c>
      <c r="U1539">
        <f>0.006165*F1539^2</f>
        <v>1.57824</v>
      </c>
      <c r="X1539" t="str">
        <v>x</v>
      </c>
      <c r="Y1539">
        <f>D1530</f>
        <v>1</v>
      </c>
      <c r="Z1539" t="str">
        <v>=</v>
      </c>
      <c r="AA1539">
        <f>IF(AA1542=0,(D1539*N1539+P1539*R1539)*U1539*Y1539,0)</f>
        <v>0</v>
      </c>
    </row>
    <row r="1540">
      <c r="A1540" t="str">
        <f>A1524</f>
        <v>Sloof</v>
      </c>
      <c r="B1540">
        <f>B1524</f>
        <v>44</v>
      </c>
      <c r="C1540" t="str">
        <v>Tul Bawah Lapangan</v>
      </c>
      <c r="D1540">
        <f>VLOOKUP(D1524,'Detail Balok'!$C$10:$AU$110,25,FALSE)</f>
        <v>3</v>
      </c>
      <c r="E1540" t="str">
        <v>D</v>
      </c>
      <c r="F1540">
        <f>VLOOKUP(D1524,'Detail Balok'!$C$10:$AU$110,27,FALSE)</f>
        <v>16</v>
      </c>
      <c r="I1540" t="str">
        <v>(</v>
      </c>
      <c r="J1540">
        <f>+J1532</f>
        <v>3.1</v>
      </c>
      <c r="K1540" t="str">
        <v>+</v>
      </c>
      <c r="M1540" t="str">
        <v>=</v>
      </c>
      <c r="N1540">
        <f>J1540+L1540</f>
        <v>3.1</v>
      </c>
      <c r="O1540" t="str">
        <v>+</v>
      </c>
      <c r="P1540">
        <f>MAX(D1540-D1539,D1540-D1541)</f>
        <v>0</v>
      </c>
      <c r="Q1540" t="str">
        <v>x</v>
      </c>
      <c r="R1540">
        <f>IF(P1540&gt;0,2*(1-2*$F$19-1/2)*D1527/1000,0)</f>
        <v>0</v>
      </c>
      <c r="S1540" t="str">
        <v>)</v>
      </c>
      <c r="T1540" t="str">
        <v>x</v>
      </c>
      <c r="U1540">
        <f>0.006165*F1540^2</f>
        <v>1.57824</v>
      </c>
      <c r="X1540" t="str">
        <v>x</v>
      </c>
      <c r="Y1540">
        <f>D1530</f>
        <v>1</v>
      </c>
      <c r="Z1540" t="str">
        <v>=</v>
      </c>
      <c r="AA1540">
        <f>IF(AA1542=0,(D1540*N1540+P1540*R1540)*U1540*Y1540,0)</f>
        <v>0</v>
      </c>
    </row>
    <row r="1541">
      <c r="A1541" t="str">
        <f>A1524</f>
        <v>Sloof</v>
      </c>
      <c r="B1541">
        <f>B1524</f>
        <v>44</v>
      </c>
      <c r="C1541" t="str">
        <v>Tul Bawah Tumpuan</v>
      </c>
      <c r="D1541">
        <f>VLOOKUP(D1524,'Detail Balok'!$C$10:$AU$110,28,FALSE)</f>
        <v>3</v>
      </c>
      <c r="E1541" t="str">
        <v>D</v>
      </c>
      <c r="F1541">
        <f>VLOOKUP(D1524,'Detail Balok'!$C$10:$AU$110,30,FALSE)</f>
        <v>16</v>
      </c>
      <c r="I1541" t="str">
        <v>(</v>
      </c>
      <c r="J1541">
        <f>+J1533</f>
        <v>1.55</v>
      </c>
      <c r="K1541" t="str">
        <v>+</v>
      </c>
      <c r="L1541">
        <f>MAX(VLOOKUP(F1541,N$6:P$15,3,FALSE)/1000,2/3*D1529/1000)+F$16*F1541/1000</f>
        <v>0.192</v>
      </c>
      <c r="M1541" t="str">
        <v>=</v>
      </c>
      <c r="N1541">
        <f>J1541+L1541</f>
        <v>1.742</v>
      </c>
      <c r="O1541" t="str">
        <v>+</v>
      </c>
      <c r="P1541">
        <f>D1541-D1540</f>
        <v>0</v>
      </c>
      <c r="Q1541" t="str">
        <v>x</v>
      </c>
      <c r="R1541">
        <f>IF(P1541&gt;0,$F$18*F1541/1000,0)</f>
        <v>0</v>
      </c>
      <c r="S1541" t="str">
        <v>)</v>
      </c>
      <c r="T1541" t="str">
        <v>x</v>
      </c>
      <c r="U1541">
        <f>0.006165*F1541^2</f>
        <v>1.57824</v>
      </c>
      <c r="X1541" t="str">
        <v>x</v>
      </c>
      <c r="Y1541">
        <f>D1530</f>
        <v>1</v>
      </c>
      <c r="Z1541" t="str">
        <v>=</v>
      </c>
      <c r="AA1541">
        <f>IF(AA1542=0,(D1541*N1541+P1541*R1541)*U1541*Y1541,0)</f>
        <v>0</v>
      </c>
    </row>
    <row r="1542">
      <c r="A1542" t="str">
        <f>A1524</f>
        <v>Sloof</v>
      </c>
      <c r="B1542">
        <f>B1524</f>
        <v>44</v>
      </c>
      <c r="D1542">
        <f>IF(AND(D1539=D1540,D1540=D1541,D1539=D1541),D1539,0)</f>
        <v>3</v>
      </c>
      <c r="E1542" t="str">
        <v>D</v>
      </c>
      <c r="F1542">
        <f>IF(AND(F1539=F1540,F1539=F1541,F1540=F1541),F1539,0)</f>
        <v>16</v>
      </c>
      <c r="L1542" t="str">
        <v>Total panjang per balok</v>
      </c>
      <c r="M1542" t="str">
        <v>=</v>
      </c>
      <c r="N1542">
        <f>IF(AND(D1539=D1540,D1539=D1541,D1540=D1541,F1539=F1540,F1539=F1541,F1540=F1541),SUM(N1539:N1541),0)</f>
        <v>6.5840000000000005</v>
      </c>
      <c r="O1542" t="str">
        <v>+</v>
      </c>
      <c r="P1542">
        <f>IF(N1542&gt;12,ROUNDDOWN(N1542/12,0),0)</f>
        <v>0</v>
      </c>
      <c r="Q1542" t="str">
        <v>x</v>
      </c>
      <c r="R1542">
        <f>IF(P1542&gt;0,MAX(VLOOKUP(F1542,$D$6:$G$15,3,FALSE),600),0)/1000</f>
        <v>0</v>
      </c>
      <c r="T1542" t="str">
        <v>x</v>
      </c>
      <c r="U1542">
        <f>U1541</f>
        <v>1.57824</v>
      </c>
      <c r="V1542" t="str">
        <v>x</v>
      </c>
      <c r="W1542">
        <f>D1542</f>
        <v>3</v>
      </c>
      <c r="X1542" t="str">
        <v>x</v>
      </c>
      <c r="Y1542">
        <f>Y1541</f>
        <v>1</v>
      </c>
      <c r="Z1542" t="str">
        <v>=</v>
      </c>
      <c r="AA1542">
        <f>(N1542+P1542*R1542/1000)*U1542*W1542*Y1542</f>
        <v>31.173396480000005</v>
      </c>
    </row>
    <row r="1544">
      <c r="A1544" t="str">
        <f>A1524</f>
        <v>Sloof</v>
      </c>
      <c r="B1544">
        <f>B1524</f>
        <v>44</v>
      </c>
      <c r="C1544" t="str">
        <v>Sengkang Tumpuan</v>
      </c>
      <c r="D1544">
        <f>VLOOKUP(D1524,'Detail Balok'!$C$10:$AU$110,31,FALSE)</f>
        <v>0</v>
      </c>
      <c r="E1544" t="str">
        <v>D</v>
      </c>
      <c r="F1544">
        <f>VLOOKUP(D1524,'Detail Balok'!$C$10:$AU$110,33,FALSE)</f>
        <v>10</v>
      </c>
      <c r="G1544" t="str">
        <v>-</v>
      </c>
      <c r="H1544">
        <f>VLOOKUP(D1524,'Detail Balok'!$C$10:$AU$110,35,FALSE)</f>
        <v>200</v>
      </c>
      <c r="J1544">
        <f>(IF(D1544=0,(2*(D1525+G1525))-(F$5*8),IF(D1544=3,(2*(D1525+G1525))-(F$5*8)+(G1525-2*F$5),IF(D1544=4,(2*(D1525+G1525))-(F$5*8)+2*(G1525-2*F$5)))))/1000</f>
        <v>1.08</v>
      </c>
      <c r="K1544" t="str">
        <v>+</v>
      </c>
      <c r="L1544">
        <f>IF(D1544=0,2*MAX(6*F1544,75),(D1544-1)*2*MAX(6*F1544,75))/1000</f>
        <v>0.15</v>
      </c>
      <c r="M1544" t="str">
        <v>=</v>
      </c>
      <c r="N1544">
        <f>J1544+L1544</f>
        <v>1.23</v>
      </c>
      <c r="T1544" t="str">
        <v>x</v>
      </c>
      <c r="U1544">
        <f>0.006165*F1544^2</f>
        <v>0.6165</v>
      </c>
      <c r="V1544" t="str">
        <v>x</v>
      </c>
      <c r="W1544">
        <f>IF(D1527&gt;4*G1525,ROUND(MAX(D1527/4,2*G1525)/H1544,0)+1,ROUND(D1527/H1544,0)+1)</f>
        <v>9</v>
      </c>
      <c r="X1544" t="str">
        <v>x</v>
      </c>
      <c r="Y1544">
        <f>D1530</f>
        <v>1</v>
      </c>
      <c r="Z1544" t="str">
        <v>=</v>
      </c>
      <c r="AA1544">
        <f>N1544*U1544*W1544*Y1544</f>
        <v>6.824655000000001</v>
      </c>
    </row>
    <row r="1545">
      <c r="A1545" t="str">
        <f>A1524</f>
        <v>Sloof</v>
      </c>
      <c r="B1545">
        <f>B1524</f>
        <v>44</v>
      </c>
      <c r="C1545" t="str">
        <v>Sengkang Lapangan</v>
      </c>
      <c r="D1545">
        <f>VLOOKUP(D1524,'Detail Balok'!$C$10:$AU$110,36,FALSE)</f>
        <v>0</v>
      </c>
      <c r="E1545" t="str">
        <v>D</v>
      </c>
      <c r="F1545">
        <f>VLOOKUP(D1524,'Detail Balok'!$C$10:$AU$110,38,FALSE)</f>
        <v>10</v>
      </c>
      <c r="G1545" t="str">
        <v>-</v>
      </c>
      <c r="H1545">
        <f>VLOOKUP(D1524,'Detail Balok'!$C$10:$AU$110,40,FALSE)</f>
        <v>200</v>
      </c>
      <c r="J1545">
        <f>(IF(D1545=0,(2*(D1525+G1525))-(F$5*8),IF(D1545=3,(2*(D1525+G1525))-(F$5*8)+(G1525-2*F$5),IF(D1545=4,(2*(D1525+G1525))-(F$5*8)+2*(G1525-2*F$5)))))/1000</f>
        <v>1.08</v>
      </c>
      <c r="K1545" t="str">
        <v>+</v>
      </c>
      <c r="L1545">
        <f>IF(D1545=0,2*MAX(6*F1545,75),(D1545-1)*2*MAX(6*F1545,75))/1000</f>
        <v>0.15</v>
      </c>
      <c r="M1545" t="str">
        <v>=</v>
      </c>
      <c r="N1545">
        <f>J1545+L1545</f>
        <v>1.23</v>
      </c>
      <c r="T1545" t="str">
        <v>x</v>
      </c>
      <c r="U1545">
        <f>0.006165*F1545^2</f>
        <v>0.6165</v>
      </c>
      <c r="V1545" t="str">
        <v>x</v>
      </c>
      <c r="W1545">
        <f>IF(D1527-MAX(D1527/4,2*G1525)*2&gt;0,ROUND((D1527-MAX(D1527/4,2*G1525)*2)/H1545,0),0)</f>
        <v>16</v>
      </c>
      <c r="X1545" t="str">
        <v>x</v>
      </c>
      <c r="Y1545">
        <f>D1530</f>
        <v>1</v>
      </c>
      <c r="Z1545" t="str">
        <v>=</v>
      </c>
      <c r="AA1545">
        <f>N1545*U1545*W1545*Y1545</f>
        <v>12.13272</v>
      </c>
    </row>
    <row r="1546">
      <c r="A1546" t="str">
        <f>A1524</f>
        <v>Sloof</v>
      </c>
      <c r="B1546">
        <f>B1524</f>
        <v>44</v>
      </c>
      <c r="C1546" t="str">
        <v>Sengkang Tumpuan</v>
      </c>
      <c r="D1546">
        <f>VLOOKUP(D1524,'Detail Balok'!$C$10:$AU$110,41,FALSE)</f>
        <v>0</v>
      </c>
      <c r="E1546" t="str">
        <v>D</v>
      </c>
      <c r="F1546">
        <f>VLOOKUP(D1524,'Detail Balok'!$C$10:$AU$110,43,FALSE)</f>
        <v>10</v>
      </c>
      <c r="G1546" t="str">
        <v>-</v>
      </c>
      <c r="H1546">
        <f>VLOOKUP(D1524,'Detail Balok'!$C$10:$AU$110,45,FALSE)</f>
        <v>200</v>
      </c>
      <c r="J1546">
        <f>(IF(D1546=0,(2*(D1525+G1525))-(F$5*8),IF(D1546=3,(2*(D1525+G1525))-(F$5*8)+(G1525-2*F$5),IF(D1546=4,(2*(D1525+G1525))-(F$5*8)+2*(G1525-2*F$5)))))/1000</f>
        <v>1.08</v>
      </c>
      <c r="K1546" t="str">
        <v>+</v>
      </c>
      <c r="L1546">
        <f>IF(D1546=0,2*MAX(6*F1546,75),(D1546-1)*2*MAX(6*F1546,75))/1000</f>
        <v>0.15</v>
      </c>
      <c r="M1546" t="str">
        <v>=</v>
      </c>
      <c r="N1546">
        <f>J1546+L1546</f>
        <v>1.23</v>
      </c>
      <c r="T1546" t="str">
        <v>x</v>
      </c>
      <c r="U1546">
        <f>0.006165*F1546^2</f>
        <v>0.6165</v>
      </c>
      <c r="V1546" t="str">
        <v>x</v>
      </c>
      <c r="W1546">
        <f>IF(D1527&gt;4*G1525,ROUND(MAX(D1527/4,2*G1525)/H1546,0)+1,0)</f>
        <v>9</v>
      </c>
      <c r="X1546" t="str">
        <v>x</v>
      </c>
      <c r="Y1546">
        <f>D1530</f>
        <v>1</v>
      </c>
      <c r="Z1546" t="str">
        <v>=</v>
      </c>
      <c r="AA1546">
        <f>N1546*U1546*W1546*Y1546</f>
        <v>6.824655000000001</v>
      </c>
    </row>
    <row r="1548">
      <c r="A1548" t="str">
        <f>A1524</f>
        <v>Sloof</v>
      </c>
      <c r="B1548">
        <f>B1524</f>
        <v>44</v>
      </c>
      <c r="C1548" t="str">
        <v>Kait Horizontal Tump.</v>
      </c>
      <c r="D1548">
        <f>VLOOKUP(D1524,'Detail Balok'!$C$10:$BJ$110,46,FALSE)</f>
        <v>0</v>
      </c>
      <c r="E1548" t="str">
        <v>D</v>
      </c>
      <c r="F1548">
        <f>VLOOKUP(D1524,'Detail Balok'!$C$10:$BJ$110,48,FALSE)</f>
        <v>0</v>
      </c>
      <c r="G1548" t="str">
        <v>-</v>
      </c>
      <c r="H1548">
        <f>VLOOKUP(D1524,'Detail Balok'!$C$10:$BJ$110,50,FALSE)</f>
        <v>100</v>
      </c>
      <c r="J1548">
        <f>(D1525-2*F$5)/1000</f>
        <v>0.12</v>
      </c>
      <c r="K1548" t="str">
        <v>+</v>
      </c>
      <c r="L1548">
        <f>IF(D1548=0,2*MAX(6*F1548,75),(D1548-1)*2*MAX(6*F1548,75))/1000</f>
        <v>0.15</v>
      </c>
      <c r="M1548" t="str">
        <v>=</v>
      </c>
      <c r="N1548">
        <f>J1548+L1548</f>
        <v>0.27</v>
      </c>
      <c r="T1548" t="str">
        <v>x</v>
      </c>
      <c r="U1548">
        <f>0.006165*F1548^2</f>
        <v>0</v>
      </c>
      <c r="V1548" t="str">
        <v>x</v>
      </c>
      <c r="W1548">
        <f>W1544</f>
        <v>9</v>
      </c>
      <c r="X1548" t="str">
        <v>x</v>
      </c>
      <c r="Y1548">
        <f>D1534</f>
        <v>3</v>
      </c>
      <c r="Z1548" t="str">
        <v>=</v>
      </c>
      <c r="AA1548">
        <f>N1548*U1548*W1548*Y1548</f>
        <v>0</v>
      </c>
    </row>
    <row r="1549">
      <c r="A1549" t="str">
        <f>A1524</f>
        <v>Sloof</v>
      </c>
      <c r="B1549">
        <f>B1524</f>
        <v>44</v>
      </c>
      <c r="C1549" t="str">
        <v>Kait Horizontal Lap.</v>
      </c>
      <c r="D1549">
        <f>VLOOKUP(D1524,'Detail Balok'!$C$10:$BJ$110,51,FALSE)</f>
        <v>0</v>
      </c>
      <c r="E1549" t="str">
        <v>D</v>
      </c>
      <c r="F1549">
        <f>VLOOKUP(D1524,'Detail Balok'!$C$10:$BJ$110,53,FALSE)</f>
        <v>0</v>
      </c>
      <c r="G1549" t="str">
        <v>-</v>
      </c>
      <c r="H1549">
        <f>VLOOKUP(D1524,'Detail Balok'!$C$10:$BJ$110,55,FALSE)</f>
        <v>100</v>
      </c>
      <c r="J1549">
        <f>(D1525-2*F$5)/1000</f>
        <v>0.12</v>
      </c>
      <c r="K1549" t="str">
        <v>+</v>
      </c>
      <c r="L1549">
        <f>IF(D1549=0,2*MAX(6*F1549,75),(D1549-1)*2*MAX(6*F1549,75))/1000</f>
        <v>0.15</v>
      </c>
      <c r="M1549" t="str">
        <v>=</v>
      </c>
      <c r="N1549">
        <f>J1549+L1549</f>
        <v>0.27</v>
      </c>
      <c r="T1549" t="str">
        <v>x</v>
      </c>
      <c r="U1549">
        <f>0.006165*F1549^2</f>
        <v>0</v>
      </c>
      <c r="V1549" t="str">
        <v>x</v>
      </c>
      <c r="W1549">
        <f>W1545</f>
        <v>16</v>
      </c>
      <c r="X1549" t="str">
        <v>x</v>
      </c>
      <c r="Y1549">
        <f>D1534</f>
        <v>3</v>
      </c>
      <c r="Z1549" t="str">
        <v>=</v>
      </c>
      <c r="AA1549">
        <f>N1549*U1549*W1549*Y1549</f>
        <v>0</v>
      </c>
    </row>
    <row r="1550">
      <c r="A1550" t="str">
        <f>A1524</f>
        <v>Sloof</v>
      </c>
      <c r="B1550">
        <f>B1524</f>
        <v>44</v>
      </c>
      <c r="C1550" t="str">
        <v>Kait Horizontal Tump.</v>
      </c>
      <c r="D1550">
        <f>VLOOKUP(D1524,'Detail Balok'!$C$10:$BJ$110,56,FALSE)</f>
        <v>0</v>
      </c>
      <c r="E1550" t="str">
        <v>D</v>
      </c>
      <c r="F1550">
        <f>VLOOKUP(D1524,'Detail Balok'!$C$10:$BJ$110,58,FALSE)</f>
        <v>0</v>
      </c>
      <c r="G1550" t="str">
        <v>-</v>
      </c>
      <c r="H1550">
        <f>VLOOKUP(D1524,'Detail Balok'!$C$10:$BJ$110,60,FALSE)</f>
        <v>100</v>
      </c>
      <c r="J1550">
        <f>(D1525-2*F$5)/1000</f>
        <v>0.12</v>
      </c>
      <c r="K1550" t="str">
        <v>+</v>
      </c>
      <c r="L1550">
        <f>IF(D1550=0,2*MAX(6*F1550,75),(D1550-1)*2*MAX(6*F1550,75))/1000</f>
        <v>0.15</v>
      </c>
      <c r="M1550" t="str">
        <v>=</v>
      </c>
      <c r="N1550">
        <f>J1550+L1550</f>
        <v>0.27</v>
      </c>
      <c r="T1550" t="str">
        <v>x</v>
      </c>
      <c r="U1550">
        <f>0.006165*F1550^2</f>
        <v>0</v>
      </c>
      <c r="V1550" t="str">
        <v>x</v>
      </c>
      <c r="W1550">
        <f>W1546</f>
        <v>9</v>
      </c>
      <c r="X1550" t="str">
        <v>x</v>
      </c>
      <c r="Y1550">
        <f>D1534</f>
        <v>3</v>
      </c>
      <c r="Z1550" t="str">
        <v>=</v>
      </c>
      <c r="AA1550">
        <f>N1550*U1550*W1550*Y1550</f>
        <v>0</v>
      </c>
    </row>
    <row r="1554">
      <c r="A1554" t="str">
        <f>A1524</f>
        <v>Sloof</v>
      </c>
      <c r="B1554">
        <f>B1524+1</f>
        <v>45</v>
      </c>
      <c r="C1554" t="str">
        <f>CONCATENATE(A1554," no. ",B1554)</f>
        <v>Sloof no. 45</v>
      </c>
      <c r="D1554" t="str">
        <f>VLOOKUP(C1554,'Data Panjang Balok'!$C$9:$N$424,2,FALSE)</f>
        <v>TB245-2</v>
      </c>
    </row>
    <row r="1555">
      <c r="C1555" t="str">
        <v>Dimensi</v>
      </c>
      <c r="D1555">
        <f>VLOOKUP(D1554,'Detail Balok'!$C$10:$AU$110,2,FALSE)</f>
        <v>200</v>
      </c>
      <c r="F1555" t="str">
        <v>x</v>
      </c>
      <c r="G1555">
        <f>VLOOKUP(D1554,'Detail Balok'!$C$10:$AU$110,3,FALSE)</f>
        <v>450</v>
      </c>
    </row>
    <row r="1556">
      <c r="C1556" t="str">
        <v>Panjang as ke as</v>
      </c>
      <c r="D1556">
        <f>VLOOKUP(C1554,'Data Panjang Balok'!$C$9:$N$424,4,FALSE)</f>
        <v>7070</v>
      </c>
    </row>
    <row r="1557">
      <c r="C1557" t="str">
        <v>Panjang netto</v>
      </c>
      <c r="D1557">
        <f>VLOOKUP(C1554,'Data Panjang Balok'!$C$9:$N$424,7,FALSE)</f>
        <v>7070</v>
      </c>
    </row>
    <row r="1558">
      <c r="C1558" t="str">
        <v>Kolom / balok kiri</v>
      </c>
      <c r="D1558">
        <f>VLOOKUP(C1554,'Data Panjang Balok'!$C$9:$N$424,9,FALSE)</f>
        <v>0</v>
      </c>
    </row>
    <row r="1559">
      <c r="C1559" t="str">
        <v>Kolom / balok kanan</v>
      </c>
      <c r="D1559">
        <f>VLOOKUP(C1554,'Data Panjang Balok'!$C$9:$N$424,10,FALSE)</f>
        <v>0</v>
      </c>
    </row>
    <row r="1560">
      <c r="C1560" t="str">
        <v>Jumlah</v>
      </c>
      <c r="D1560">
        <f>VLOOKUP(C1554,'Data Panjang Balok'!$C$9:$N$424,3,FALSE)</f>
        <v>1</v>
      </c>
    </row>
    <row r="1561">
      <c r="A1561" t="str">
        <f>A1554</f>
        <v>Sloof</v>
      </c>
      <c r="B1561">
        <f>B1554</f>
        <v>45</v>
      </c>
      <c r="C1561" t="str">
        <v>Tul Atas Tumpuan</v>
      </c>
      <c r="D1561">
        <f>VLOOKUP(D1554,'Detail Balok'!$C$10:$AU$110,4,FALSE)</f>
        <v>4</v>
      </c>
      <c r="E1561" t="str">
        <v>D</v>
      </c>
      <c r="F1561">
        <f>VLOOKUP(D1554,'Detail Balok'!$C$10:$AU$110,6,FALSE)</f>
        <v>13</v>
      </c>
      <c r="I1561" t="str">
        <v>(</v>
      </c>
      <c r="J1561">
        <f>+D1556/4/1000</f>
        <v>1.7675</v>
      </c>
      <c r="K1561" t="str">
        <v>+</v>
      </c>
      <c r="L1561">
        <f>MAX(VLOOKUP(F1561,N$6:P$15,3,FALSE)/1000,2/3*D1558/1000)+F$16*F1561/1000</f>
        <v>0.156</v>
      </c>
      <c r="M1561" t="str">
        <v>=</v>
      </c>
      <c r="N1561">
        <f>J1561+L1561</f>
        <v>1.9235</v>
      </c>
      <c r="O1561" t="str">
        <v>+</v>
      </c>
      <c r="P1561">
        <f>D1561-D1562</f>
        <v>2</v>
      </c>
      <c r="Q1561" t="str">
        <v>x</v>
      </c>
      <c r="R1561">
        <f>IF(P1561&gt;0,$F$18*F1561/1000,0)</f>
        <v>0.195</v>
      </c>
      <c r="S1561" t="str">
        <v>)</v>
      </c>
      <c r="T1561" t="str">
        <v>x</v>
      </c>
      <c r="U1561">
        <f>0.006165*F1561^2</f>
        <v>1.041885</v>
      </c>
      <c r="X1561" t="str">
        <v>x</v>
      </c>
      <c r="Y1561">
        <f>D1560</f>
        <v>1</v>
      </c>
      <c r="Z1561" t="str">
        <v>=</v>
      </c>
      <c r="AA1561">
        <f>IF(AA1564=0,(D1561*N1561+P1561*R1561)*U1561*Y1561,0)</f>
        <v>8.422598339999999</v>
      </c>
    </row>
    <row r="1562">
      <c r="A1562" t="str">
        <f>A1554</f>
        <v>Sloof</v>
      </c>
      <c r="B1562">
        <f>B1554</f>
        <v>45</v>
      </c>
      <c r="C1562" t="str">
        <v>Tul Atas Lapangan</v>
      </c>
      <c r="D1562">
        <f>VLOOKUP(D1554,'Detail Balok'!$C$10:$AU$110,7,FALSE)</f>
        <v>2</v>
      </c>
      <c r="E1562" t="str">
        <v>D</v>
      </c>
      <c r="F1562">
        <f>VLOOKUP(D1554,'Detail Balok'!$C$10:$AU$110,9,FALSE)</f>
        <v>13</v>
      </c>
      <c r="I1562" t="str">
        <v>(</v>
      </c>
      <c r="J1562">
        <f>+D1556/2/1000</f>
        <v>3.535</v>
      </c>
      <c r="K1562" t="str">
        <v>+</v>
      </c>
      <c r="M1562" t="str">
        <v>=</v>
      </c>
      <c r="N1562">
        <f>J1562+L1562</f>
        <v>3.535</v>
      </c>
      <c r="O1562" t="str">
        <v>+</v>
      </c>
      <c r="P1562">
        <f>MAX(D1562-D1561,D1562-D1563)</f>
        <v>-2</v>
      </c>
      <c r="Q1562" t="str">
        <v>x</v>
      </c>
      <c r="R1562">
        <f>IF(P1562&gt;0,2*(1-2*$F$19-1/2)*D1557/1000,0)</f>
        <v>0</v>
      </c>
      <c r="S1562" t="str">
        <v>)</v>
      </c>
      <c r="T1562" t="str">
        <v>x</v>
      </c>
      <c r="U1562">
        <f>0.006165*F1562^2</f>
        <v>1.041885</v>
      </c>
      <c r="X1562" t="str">
        <v>x</v>
      </c>
      <c r="Y1562">
        <f>D1560</f>
        <v>1</v>
      </c>
      <c r="Z1562" t="str">
        <v>=</v>
      </c>
      <c r="AA1562">
        <f>IF(AA1564=0,(D1562*N1562+P1562*R1562)*U1562*Y1562,0)</f>
        <v>7.36612695</v>
      </c>
    </row>
    <row r="1563">
      <c r="A1563" t="str">
        <f>A1554</f>
        <v>Sloof</v>
      </c>
      <c r="B1563">
        <f>B1554</f>
        <v>45</v>
      </c>
      <c r="C1563" t="str">
        <v>Tul Atas Tumpuan</v>
      </c>
      <c r="D1563">
        <f>VLOOKUP(D1554,'Detail Balok'!$C$10:$AU$110,10,FALSE)</f>
        <v>4</v>
      </c>
      <c r="E1563" t="str">
        <v>D</v>
      </c>
      <c r="F1563">
        <f>VLOOKUP(D1554,'Detail Balok'!$C$10:$AU$110,12,FALSE)</f>
        <v>13</v>
      </c>
      <c r="I1563" t="str">
        <v>(</v>
      </c>
      <c r="J1563">
        <f>+D1556/4/1000</f>
        <v>1.7675</v>
      </c>
      <c r="K1563" t="str">
        <v>+</v>
      </c>
      <c r="L1563">
        <f>MAX(VLOOKUP(F1563,N$6:P$15,3,FALSE)/1000,2/3*D1558/1000)+F$16*F1563/1000</f>
        <v>0.156</v>
      </c>
      <c r="M1563" t="str">
        <v>=</v>
      </c>
      <c r="N1563">
        <f>J1563+L1563</f>
        <v>1.9235</v>
      </c>
      <c r="O1563" t="str">
        <v>+</v>
      </c>
      <c r="P1563">
        <f>D1563-D1562</f>
        <v>2</v>
      </c>
      <c r="Q1563" t="str">
        <v>x</v>
      </c>
      <c r="R1563">
        <f>IF(P1563&gt;0,$F$18*F1563/1000,0)</f>
        <v>0.195</v>
      </c>
      <c r="S1563" t="str">
        <v>)</v>
      </c>
      <c r="T1563" t="str">
        <v>x</v>
      </c>
      <c r="U1563">
        <f>0.006165*F1563^2</f>
        <v>1.041885</v>
      </c>
      <c r="X1563" t="str">
        <v>x</v>
      </c>
      <c r="Y1563">
        <f>D1560</f>
        <v>1</v>
      </c>
      <c r="Z1563" t="str">
        <v>=</v>
      </c>
      <c r="AA1563">
        <f>IF(AA1564=0,(D1563*N1563+P1563*R1563)*U1563*Y1563,0)</f>
        <v>8.422598339999999</v>
      </c>
    </row>
    <row r="1564">
      <c r="A1564" t="str">
        <f>A1554</f>
        <v>Sloof</v>
      </c>
      <c r="B1564">
        <f>B1554</f>
        <v>45</v>
      </c>
      <c r="D1564">
        <f>IF(AND(D1561=D1562,D1562=D1563,D1561=D1563),D1561,0)</f>
        <v>0</v>
      </c>
      <c r="E1564" t="str">
        <v>D</v>
      </c>
      <c r="F1564">
        <f>IF(AND(F1561=F1562,F1561=F1563,F1562=F1563),F1561,0)</f>
        <v>13</v>
      </c>
      <c r="L1564" t="str">
        <v>Total panjang per balok</v>
      </c>
      <c r="M1564" t="str">
        <v>=</v>
      </c>
      <c r="N1564">
        <f>IF(AND(D1561=D1562,D1561=D1563,D1562=D1563,F1561=F1562,F1561=F1563,F1562=F1563),SUM(N1561:N1563),0)</f>
        <v>0</v>
      </c>
      <c r="O1564" t="str">
        <v>+</v>
      </c>
      <c r="P1564">
        <f>IF(N1564&gt;12,ROUNDDOWN(N1564/12,0),0)</f>
        <v>0</v>
      </c>
      <c r="Q1564" t="str">
        <v>x</v>
      </c>
      <c r="R1564">
        <f>IF(P1564&gt;0,MAX(VLOOKUP(F1564,$D$6:$G$15,3,FALSE),600),0)/1000</f>
        <v>0</v>
      </c>
      <c r="T1564" t="str">
        <v>x</v>
      </c>
      <c r="U1564">
        <f>U1563</f>
        <v>1.041885</v>
      </c>
      <c r="V1564" t="str">
        <v>x</v>
      </c>
      <c r="W1564">
        <f>D1564</f>
        <v>0</v>
      </c>
      <c r="X1564" t="str">
        <v>x</v>
      </c>
      <c r="Y1564">
        <f>Y1563</f>
        <v>1</v>
      </c>
      <c r="Z1564" t="str">
        <v>=</v>
      </c>
      <c r="AA1564">
        <f>(N1564+P1564*R1564/1000)*U1564*W1564*Y1564</f>
        <v>0</v>
      </c>
    </row>
    <row r="1566">
      <c r="A1566" t="str">
        <f>A1554</f>
        <v>Sloof</v>
      </c>
      <c r="B1566">
        <f>B1554</f>
        <v>45</v>
      </c>
      <c r="C1566" t="str">
        <v>Tul Peminggang</v>
      </c>
      <c r="D1566">
        <f>VLOOKUP(D1554,'Detail Balok'!$C$10:$AU$110,13,FALSE)</f>
        <v>2</v>
      </c>
      <c r="E1566" t="str">
        <v>D</v>
      </c>
      <c r="F1566">
        <f>VLOOKUP(D1554,'Detail Balok'!$C$10:$AU$110,15,FALSE)</f>
        <v>8</v>
      </c>
      <c r="J1566">
        <f>+D1556/1000</f>
        <v>7.07</v>
      </c>
      <c r="K1566" t="str">
        <v>+</v>
      </c>
      <c r="L1566">
        <f>2*$F$16*F1566/1000</f>
        <v>0.192</v>
      </c>
      <c r="M1566" t="str">
        <v>=</v>
      </c>
      <c r="N1566">
        <f>J1566+L1566</f>
        <v>7.2620000000000005</v>
      </c>
      <c r="O1566" t="str">
        <v>+</v>
      </c>
      <c r="P1566">
        <f>IF(N1566&gt;12,ROUNDDOWN(N1566/12,0),0)</f>
        <v>0</v>
      </c>
      <c r="Q1566" t="str">
        <v>x</v>
      </c>
      <c r="R1566">
        <f>IF(P1566&gt;0,MAX(VLOOKUP(F1566,$D$6:$G$15,3,FALSE),600),0)/1000</f>
        <v>0</v>
      </c>
      <c r="T1566" t="str">
        <v>x</v>
      </c>
      <c r="U1566">
        <f>0.006165*F1566^2</f>
        <v>0.39456</v>
      </c>
      <c r="V1566" t="str">
        <v>x</v>
      </c>
      <c r="W1566">
        <f>+D1566</f>
        <v>2</v>
      </c>
      <c r="X1566" t="str">
        <v>x</v>
      </c>
      <c r="Y1566">
        <f>D1560</f>
        <v>1</v>
      </c>
      <c r="Z1566" t="str">
        <v>=</v>
      </c>
      <c r="AA1566">
        <f>(N1566+P1566*R1566/1000)*U1566*W1566*Y1566</f>
        <v>5.730589440000001</v>
      </c>
    </row>
    <row r="1569">
      <c r="A1569" t="str">
        <f>A1554</f>
        <v>Sloof</v>
      </c>
      <c r="B1569">
        <f>B1554</f>
        <v>45</v>
      </c>
      <c r="C1569" t="str">
        <v>Tul Bawah Tumpuan</v>
      </c>
      <c r="D1569">
        <f>VLOOKUP(D1554,'Detail Balok'!$C$10:$AU$110,22,FALSE)</f>
        <v>4</v>
      </c>
      <c r="E1569" t="str">
        <v>D</v>
      </c>
      <c r="F1569">
        <f>VLOOKUP(D1554,'Detail Balok'!$C$10:$AU$110,24,FALSE)</f>
        <v>13</v>
      </c>
      <c r="I1569" t="str">
        <v>(</v>
      </c>
      <c r="J1569">
        <f>+J1561</f>
        <v>1.7675</v>
      </c>
      <c r="K1569" t="str">
        <v>+</v>
      </c>
      <c r="L1569">
        <f>MAX(VLOOKUP(F1569,N$6:P$15,3,FALSE)/1000,2/3*D1559/1000)+F$16*F1569/1000</f>
        <v>0.156</v>
      </c>
      <c r="M1569" t="str">
        <v>=</v>
      </c>
      <c r="N1569">
        <f>J1569+L1569</f>
        <v>1.9235</v>
      </c>
      <c r="O1569" t="str">
        <v>+</v>
      </c>
      <c r="P1569">
        <f>D1569-D1570</f>
        <v>0</v>
      </c>
      <c r="Q1569" t="str">
        <v>x</v>
      </c>
      <c r="R1569">
        <f>IF(P1569&gt;0,$F$18*F1569/1000,0)</f>
        <v>0</v>
      </c>
      <c r="S1569" t="str">
        <v>)</v>
      </c>
      <c r="T1569" t="str">
        <v>x</v>
      </c>
      <c r="U1569">
        <f>0.006165*F1569^2</f>
        <v>1.041885</v>
      </c>
      <c r="X1569" t="str">
        <v>x</v>
      </c>
      <c r="Y1569">
        <f>D1560</f>
        <v>1</v>
      </c>
      <c r="Z1569" t="str">
        <v>=</v>
      </c>
      <c r="AA1569">
        <f>IF(AA1572=0,(D1569*N1569+P1569*R1569)*U1569*Y1569,0)</f>
        <v>0</v>
      </c>
    </row>
    <row r="1570">
      <c r="A1570" t="str">
        <f>A1554</f>
        <v>Sloof</v>
      </c>
      <c r="B1570">
        <f>B1554</f>
        <v>45</v>
      </c>
      <c r="C1570" t="str">
        <v>Tul Bawah Lapangan</v>
      </c>
      <c r="D1570">
        <f>VLOOKUP(D1554,'Detail Balok'!$C$10:$AU$110,25,FALSE)</f>
        <v>4</v>
      </c>
      <c r="E1570" t="str">
        <v>D</v>
      </c>
      <c r="F1570">
        <f>VLOOKUP(D1554,'Detail Balok'!$C$10:$AU$110,27,FALSE)</f>
        <v>13</v>
      </c>
      <c r="I1570" t="str">
        <v>(</v>
      </c>
      <c r="J1570">
        <f>+J1562</f>
        <v>3.535</v>
      </c>
      <c r="K1570" t="str">
        <v>+</v>
      </c>
      <c r="M1570" t="str">
        <v>=</v>
      </c>
      <c r="N1570">
        <f>J1570+L1570</f>
        <v>3.535</v>
      </c>
      <c r="O1570" t="str">
        <v>+</v>
      </c>
      <c r="P1570">
        <f>MAX(D1570-D1569,D1570-D1571)</f>
        <v>0</v>
      </c>
      <c r="Q1570" t="str">
        <v>x</v>
      </c>
      <c r="R1570">
        <f>IF(P1570&gt;0,2*(1-2*$F$19-1/2)*D1557/1000,0)</f>
        <v>0</v>
      </c>
      <c r="S1570" t="str">
        <v>)</v>
      </c>
      <c r="T1570" t="str">
        <v>x</v>
      </c>
      <c r="U1570">
        <f>0.006165*F1570^2</f>
        <v>1.041885</v>
      </c>
      <c r="X1570" t="str">
        <v>x</v>
      </c>
      <c r="Y1570">
        <f>D1560</f>
        <v>1</v>
      </c>
      <c r="Z1570" t="str">
        <v>=</v>
      </c>
      <c r="AA1570">
        <f>IF(AA1572=0,(D1570*N1570+P1570*R1570)*U1570*Y1570,0)</f>
        <v>0</v>
      </c>
    </row>
    <row r="1571">
      <c r="A1571" t="str">
        <f>A1554</f>
        <v>Sloof</v>
      </c>
      <c r="B1571">
        <f>B1554</f>
        <v>45</v>
      </c>
      <c r="C1571" t="str">
        <v>Tul Bawah Tumpuan</v>
      </c>
      <c r="D1571">
        <f>VLOOKUP(D1554,'Detail Balok'!$C$10:$AU$110,28,FALSE)</f>
        <v>4</v>
      </c>
      <c r="E1571" t="str">
        <v>D</v>
      </c>
      <c r="F1571">
        <f>VLOOKUP(D1554,'Detail Balok'!$C$10:$AU$110,30,FALSE)</f>
        <v>13</v>
      </c>
      <c r="I1571" t="str">
        <v>(</v>
      </c>
      <c r="J1571">
        <f>+J1563</f>
        <v>1.7675</v>
      </c>
      <c r="K1571" t="str">
        <v>+</v>
      </c>
      <c r="L1571">
        <f>MAX(VLOOKUP(F1571,N$6:P$15,3,FALSE)/1000,2/3*D1559/1000)+F$16*F1571/1000</f>
        <v>0.156</v>
      </c>
      <c r="M1571" t="str">
        <v>=</v>
      </c>
      <c r="N1571">
        <f>J1571+L1571</f>
        <v>1.9235</v>
      </c>
      <c r="O1571" t="str">
        <v>+</v>
      </c>
      <c r="P1571">
        <f>D1571-D1570</f>
        <v>0</v>
      </c>
      <c r="Q1571" t="str">
        <v>x</v>
      </c>
      <c r="R1571">
        <f>IF(P1571&gt;0,$F$18*F1571/1000,0)</f>
        <v>0</v>
      </c>
      <c r="S1571" t="str">
        <v>)</v>
      </c>
      <c r="T1571" t="str">
        <v>x</v>
      </c>
      <c r="U1571">
        <f>0.006165*F1571^2</f>
        <v>1.041885</v>
      </c>
      <c r="X1571" t="str">
        <v>x</v>
      </c>
      <c r="Y1571">
        <f>D1560</f>
        <v>1</v>
      </c>
      <c r="Z1571" t="str">
        <v>=</v>
      </c>
      <c r="AA1571">
        <f>IF(AA1572=0,(D1571*N1571+P1571*R1571)*U1571*Y1571,0)</f>
        <v>0</v>
      </c>
    </row>
    <row r="1572">
      <c r="A1572" t="str">
        <f>A1554</f>
        <v>Sloof</v>
      </c>
      <c r="B1572">
        <f>B1554</f>
        <v>45</v>
      </c>
      <c r="D1572">
        <f>IF(AND(D1569=D1570,D1570=D1571,D1569=D1571),D1569,0)</f>
        <v>4</v>
      </c>
      <c r="E1572" t="str">
        <v>D</v>
      </c>
      <c r="F1572">
        <f>IF(AND(F1569=F1570,F1569=F1571,F1570=F1571),F1569,0)</f>
        <v>13</v>
      </c>
      <c r="L1572" t="str">
        <v>Total panjang per balok</v>
      </c>
      <c r="M1572" t="str">
        <v>=</v>
      </c>
      <c r="N1572">
        <f>IF(AND(D1569=D1570,D1569=D1571,D1570=D1571,F1569=F1570,F1569=F1571,F1570=F1571),SUM(N1569:N1571),0)</f>
        <v>7.382</v>
      </c>
      <c r="O1572" t="str">
        <v>+</v>
      </c>
      <c r="P1572">
        <f>IF(N1572&gt;12,ROUNDDOWN(N1572/12,0),0)</f>
        <v>0</v>
      </c>
      <c r="Q1572" t="str">
        <v>x</v>
      </c>
      <c r="R1572">
        <f>IF(P1572&gt;0,MAX(VLOOKUP(F1572,$D$6:$G$15,3,FALSE),600),0)/1000</f>
        <v>0</v>
      </c>
      <c r="T1572" t="str">
        <v>x</v>
      </c>
      <c r="U1572">
        <f>U1571</f>
        <v>1.041885</v>
      </c>
      <c r="V1572" t="str">
        <v>x</v>
      </c>
      <c r="W1572">
        <f>D1572</f>
        <v>4</v>
      </c>
      <c r="X1572" t="str">
        <v>x</v>
      </c>
      <c r="Y1572">
        <f>Y1571</f>
        <v>1</v>
      </c>
      <c r="Z1572" t="str">
        <v>=</v>
      </c>
      <c r="AA1572">
        <f>(N1572+P1572*R1572/1000)*U1572*W1572*Y1572</f>
        <v>30.764780279999997</v>
      </c>
    </row>
    <row r="1574">
      <c r="A1574" t="str">
        <f>A1554</f>
        <v>Sloof</v>
      </c>
      <c r="B1574">
        <f>B1554</f>
        <v>45</v>
      </c>
      <c r="C1574" t="str">
        <v>Sengkang Tumpuan</v>
      </c>
      <c r="D1574">
        <f>VLOOKUP(D1554,'Detail Balok'!$C$10:$AU$110,31,FALSE)</f>
        <v>0</v>
      </c>
      <c r="E1574" t="str">
        <v>D</v>
      </c>
      <c r="F1574">
        <f>VLOOKUP(D1554,'Detail Balok'!$C$10:$AU$110,33,FALSE)</f>
        <v>8</v>
      </c>
      <c r="G1574" t="str">
        <v>-</v>
      </c>
      <c r="H1574">
        <f>VLOOKUP(D1554,'Detail Balok'!$C$10:$AU$110,35,FALSE)</f>
        <v>125</v>
      </c>
      <c r="J1574">
        <f>(IF(D1574=0,(2*(D1555+G1555))-(F$5*8),IF(D1574=3,(2*(D1555+G1555))-(F$5*8)+(G1555-2*F$5),IF(D1574=4,(2*(D1555+G1555))-(F$5*8)+2*(G1555-2*F$5)))))/1000</f>
        <v>0.98</v>
      </c>
      <c r="K1574" t="str">
        <v>+</v>
      </c>
      <c r="L1574">
        <f>IF(D1574=0,2*MAX(6*F1574,75),(D1574-1)*2*MAX(6*F1574,75))/1000</f>
        <v>0.15</v>
      </c>
      <c r="M1574" t="str">
        <v>=</v>
      </c>
      <c r="N1574">
        <f>J1574+L1574</f>
        <v>1.13</v>
      </c>
      <c r="T1574" t="str">
        <v>x</v>
      </c>
      <c r="U1574">
        <f>0.006165*F1574^2</f>
        <v>0.39456</v>
      </c>
      <c r="V1574" t="str">
        <v>x</v>
      </c>
      <c r="W1574">
        <f>IF(D1557&gt;4*G1555,ROUND(MAX(D1557/4,2*G1555)/H1574,0)+1,ROUND(D1557/H1574,0)+1)</f>
        <v>15</v>
      </c>
      <c r="X1574" t="str">
        <v>x</v>
      </c>
      <c r="Y1574">
        <f>D1560</f>
        <v>1</v>
      </c>
      <c r="Z1574" t="str">
        <v>=</v>
      </c>
      <c r="AA1574">
        <f>N1574*U1574*W1574*Y1574</f>
        <v>6.687792</v>
      </c>
    </row>
    <row r="1575">
      <c r="A1575" t="str">
        <f>A1554</f>
        <v>Sloof</v>
      </c>
      <c r="B1575">
        <f>B1554</f>
        <v>45</v>
      </c>
      <c r="C1575" t="str">
        <v>Sengkang Lapangan</v>
      </c>
      <c r="D1575">
        <f>VLOOKUP(D1554,'Detail Balok'!$C$10:$AU$110,36,FALSE)</f>
        <v>0</v>
      </c>
      <c r="E1575" t="str">
        <v>D</v>
      </c>
      <c r="F1575">
        <f>VLOOKUP(D1554,'Detail Balok'!$C$10:$AU$110,38,FALSE)</f>
        <v>8</v>
      </c>
      <c r="G1575" t="str">
        <v>-</v>
      </c>
      <c r="H1575">
        <f>VLOOKUP(D1554,'Detail Balok'!$C$10:$AU$110,40,FALSE)</f>
        <v>150</v>
      </c>
      <c r="J1575">
        <f>(IF(D1575=0,(2*(D1555+G1555))-(F$5*8),IF(D1575=3,(2*(D1555+G1555))-(F$5*8)+(G1555-2*F$5),IF(D1575=4,(2*(D1555+G1555))-(F$5*8)+2*(G1555-2*F$5)))))/1000</f>
        <v>0.98</v>
      </c>
      <c r="K1575" t="str">
        <v>+</v>
      </c>
      <c r="L1575">
        <f>IF(D1575=0,2*MAX(6*F1575,75),(D1575-1)*2*MAX(6*F1575,75))/1000</f>
        <v>0.15</v>
      </c>
      <c r="M1575" t="str">
        <v>=</v>
      </c>
      <c r="N1575">
        <f>J1575+L1575</f>
        <v>1.13</v>
      </c>
      <c r="T1575" t="str">
        <v>x</v>
      </c>
      <c r="U1575">
        <f>0.006165*F1575^2</f>
        <v>0.39456</v>
      </c>
      <c r="V1575" t="str">
        <v>x</v>
      </c>
      <c r="W1575">
        <f>IF(D1557-MAX(D1557/4,2*G1555)*2&gt;0,ROUND((D1557-MAX(D1557/4,2*G1555)*2)/H1575,0),0)</f>
        <v>24</v>
      </c>
      <c r="X1575" t="str">
        <v>x</v>
      </c>
      <c r="Y1575">
        <f>D1560</f>
        <v>1</v>
      </c>
      <c r="Z1575" t="str">
        <v>=</v>
      </c>
      <c r="AA1575">
        <f>N1575*U1575*W1575*Y1575</f>
        <v>10.7004672</v>
      </c>
    </row>
    <row r="1576">
      <c r="A1576" t="str">
        <f>A1554</f>
        <v>Sloof</v>
      </c>
      <c r="B1576">
        <f>B1554</f>
        <v>45</v>
      </c>
      <c r="C1576" t="str">
        <v>Sengkang Tumpuan</v>
      </c>
      <c r="D1576">
        <f>VLOOKUP(D1554,'Detail Balok'!$C$10:$AU$110,41,FALSE)</f>
        <v>0</v>
      </c>
      <c r="E1576" t="str">
        <v>D</v>
      </c>
      <c r="F1576">
        <f>VLOOKUP(D1554,'Detail Balok'!$C$10:$AU$110,43,FALSE)</f>
        <v>8</v>
      </c>
      <c r="G1576" t="str">
        <v>-</v>
      </c>
      <c r="H1576">
        <f>VLOOKUP(D1554,'Detail Balok'!$C$10:$AU$110,45,FALSE)</f>
        <v>125</v>
      </c>
      <c r="J1576">
        <f>(IF(D1576=0,(2*(D1555+G1555))-(F$5*8),IF(D1576=3,(2*(D1555+G1555))-(F$5*8)+(G1555-2*F$5),IF(D1576=4,(2*(D1555+G1555))-(F$5*8)+2*(G1555-2*F$5)))))/1000</f>
        <v>0.98</v>
      </c>
      <c r="K1576" t="str">
        <v>+</v>
      </c>
      <c r="L1576">
        <f>IF(D1576=0,2*MAX(6*F1576,75),(D1576-1)*2*MAX(6*F1576,75))/1000</f>
        <v>0.15</v>
      </c>
      <c r="M1576" t="str">
        <v>=</v>
      </c>
      <c r="N1576">
        <f>J1576+L1576</f>
        <v>1.13</v>
      </c>
      <c r="T1576" t="str">
        <v>x</v>
      </c>
      <c r="U1576">
        <f>0.006165*F1576^2</f>
        <v>0.39456</v>
      </c>
      <c r="V1576" t="str">
        <v>x</v>
      </c>
      <c r="W1576">
        <f>IF(D1557&gt;4*G1555,ROUND(MAX(D1557/4,2*G1555)/H1576,0)+1,0)</f>
        <v>15</v>
      </c>
      <c r="X1576" t="str">
        <v>x</v>
      </c>
      <c r="Y1576">
        <f>D1560</f>
        <v>1</v>
      </c>
      <c r="Z1576" t="str">
        <v>=</v>
      </c>
      <c r="AA1576">
        <f>N1576*U1576*W1576*Y1576</f>
        <v>6.687792</v>
      </c>
    </row>
    <row r="1578">
      <c r="A1578" t="str">
        <f>A1554</f>
        <v>Sloof</v>
      </c>
      <c r="B1578">
        <f>B1554</f>
        <v>45</v>
      </c>
      <c r="C1578" t="str">
        <v>Kait Horizontal Tump.</v>
      </c>
      <c r="D1578">
        <f>VLOOKUP(D1554,'Detail Balok'!$C$10:$BJ$110,46,FALSE)</f>
        <v>0</v>
      </c>
      <c r="E1578" t="str">
        <v>D</v>
      </c>
      <c r="F1578">
        <f>VLOOKUP(D1554,'Detail Balok'!$C$10:$BJ$110,48,FALSE)</f>
        <v>0</v>
      </c>
      <c r="G1578" t="str">
        <v>-</v>
      </c>
      <c r="H1578">
        <f>VLOOKUP(D1554,'Detail Balok'!$C$10:$BJ$110,50,FALSE)</f>
        <v>100</v>
      </c>
      <c r="J1578">
        <f>(D1555-2*F$5)/1000</f>
        <v>0.12</v>
      </c>
      <c r="K1578" t="str">
        <v>+</v>
      </c>
      <c r="L1578">
        <f>IF(D1578=0,2*MAX(6*F1578,75),(D1578-1)*2*MAX(6*F1578,75))/1000</f>
        <v>0.15</v>
      </c>
      <c r="M1578" t="str">
        <v>=</v>
      </c>
      <c r="N1578">
        <f>J1578+L1578</f>
        <v>0.27</v>
      </c>
      <c r="T1578" t="str">
        <v>x</v>
      </c>
      <c r="U1578">
        <f>0.006165*F1578^2</f>
        <v>0</v>
      </c>
      <c r="V1578" t="str">
        <v>x</v>
      </c>
      <c r="W1578">
        <f>W1574</f>
        <v>15</v>
      </c>
      <c r="X1578" t="str">
        <v>x</v>
      </c>
      <c r="Y1578">
        <f>D1564</f>
        <v>0</v>
      </c>
      <c r="Z1578" t="str">
        <v>=</v>
      </c>
      <c r="AA1578">
        <f>N1578*U1578*W1578*Y1578</f>
        <v>0</v>
      </c>
    </row>
    <row r="1579">
      <c r="A1579" t="str">
        <f>A1554</f>
        <v>Sloof</v>
      </c>
      <c r="B1579">
        <f>B1554</f>
        <v>45</v>
      </c>
      <c r="C1579" t="str">
        <v>Kait Horizontal Lap.</v>
      </c>
      <c r="D1579">
        <f>VLOOKUP(D1554,'Detail Balok'!$C$10:$BJ$110,51,FALSE)</f>
        <v>0</v>
      </c>
      <c r="E1579" t="str">
        <v>D</v>
      </c>
      <c r="F1579">
        <f>VLOOKUP(D1554,'Detail Balok'!$C$10:$BJ$110,53,FALSE)</f>
        <v>0</v>
      </c>
      <c r="G1579" t="str">
        <v>-</v>
      </c>
      <c r="H1579">
        <f>VLOOKUP(D1554,'Detail Balok'!$C$10:$BJ$110,55,FALSE)</f>
        <v>100</v>
      </c>
      <c r="J1579">
        <f>(D1555-2*F$5)/1000</f>
        <v>0.12</v>
      </c>
      <c r="K1579" t="str">
        <v>+</v>
      </c>
      <c r="L1579">
        <f>IF(D1579=0,2*MAX(6*F1579,75),(D1579-1)*2*MAX(6*F1579,75))/1000</f>
        <v>0.15</v>
      </c>
      <c r="M1579" t="str">
        <v>=</v>
      </c>
      <c r="N1579">
        <f>J1579+L1579</f>
        <v>0.27</v>
      </c>
      <c r="T1579" t="str">
        <v>x</v>
      </c>
      <c r="U1579">
        <f>0.006165*F1579^2</f>
        <v>0</v>
      </c>
      <c r="V1579" t="str">
        <v>x</v>
      </c>
      <c r="W1579">
        <f>W1575</f>
        <v>24</v>
      </c>
      <c r="X1579" t="str">
        <v>x</v>
      </c>
      <c r="Y1579">
        <f>D1564</f>
        <v>0</v>
      </c>
      <c r="Z1579" t="str">
        <v>=</v>
      </c>
      <c r="AA1579">
        <f>N1579*U1579*W1579*Y1579</f>
        <v>0</v>
      </c>
    </row>
    <row r="1580">
      <c r="A1580" t="str">
        <f>A1554</f>
        <v>Sloof</v>
      </c>
      <c r="B1580">
        <f>B1554</f>
        <v>45</v>
      </c>
      <c r="C1580" t="str">
        <v>Kait Horizontal Tump.</v>
      </c>
      <c r="D1580">
        <f>VLOOKUP(D1554,'Detail Balok'!$C$10:$BJ$110,56,FALSE)</f>
        <v>0</v>
      </c>
      <c r="E1580" t="str">
        <v>D</v>
      </c>
      <c r="F1580">
        <f>VLOOKUP(D1554,'Detail Balok'!$C$10:$BJ$110,58,FALSE)</f>
        <v>0</v>
      </c>
      <c r="G1580" t="str">
        <v>-</v>
      </c>
      <c r="H1580">
        <f>VLOOKUP(D1554,'Detail Balok'!$C$10:$BJ$110,60,FALSE)</f>
        <v>100</v>
      </c>
      <c r="J1580">
        <f>(D1555-2*F$5)/1000</f>
        <v>0.12</v>
      </c>
      <c r="K1580" t="str">
        <v>+</v>
      </c>
      <c r="L1580">
        <f>IF(D1580=0,2*MAX(6*F1580,75),(D1580-1)*2*MAX(6*F1580,75))/1000</f>
        <v>0.15</v>
      </c>
      <c r="M1580" t="str">
        <v>=</v>
      </c>
      <c r="N1580">
        <f>J1580+L1580</f>
        <v>0.27</v>
      </c>
      <c r="T1580" t="str">
        <v>x</v>
      </c>
      <c r="U1580">
        <f>0.006165*F1580^2</f>
        <v>0</v>
      </c>
      <c r="V1580" t="str">
        <v>x</v>
      </c>
      <c r="W1580">
        <f>W1576</f>
        <v>15</v>
      </c>
      <c r="X1580" t="str">
        <v>x</v>
      </c>
      <c r="Y1580">
        <f>D1564</f>
        <v>0</v>
      </c>
      <c r="Z1580" t="str">
        <v>=</v>
      </c>
      <c r="AA1580">
        <f>N1580*U1580*W1580*Y1580</f>
        <v>0</v>
      </c>
    </row>
    <row r="1584">
      <c r="A1584" t="str">
        <f>A1554</f>
        <v>Sloof</v>
      </c>
      <c r="B1584">
        <f>B1554+1</f>
        <v>46</v>
      </c>
      <c r="C1584" t="str">
        <f>CONCATENATE(A1584," no. ",B1584)</f>
        <v>Sloof no. 46</v>
      </c>
      <c r="D1584" t="str">
        <f>VLOOKUP(C1584,'Data Panjang Balok'!$C$9:$N$424,2,FALSE)</f>
        <v>TB23-1</v>
      </c>
    </row>
    <row r="1585">
      <c r="C1585" t="str">
        <v>Dimensi</v>
      </c>
      <c r="D1585">
        <f>VLOOKUP(D1584,'Detail Balok'!$C$10:$AU$110,2,FALSE)</f>
        <v>200</v>
      </c>
      <c r="F1585" t="str">
        <v>x</v>
      </c>
      <c r="G1585">
        <f>VLOOKUP(D1584,'Detail Balok'!$C$10:$AU$110,3,FALSE)</f>
        <v>300</v>
      </c>
    </row>
    <row r="1586">
      <c r="C1586" t="str">
        <v>Panjang as ke as</v>
      </c>
      <c r="D1586">
        <f>VLOOKUP(C1584,'Data Panjang Balok'!$C$9:$N$424,4,FALSE)</f>
        <v>3460</v>
      </c>
    </row>
    <row r="1587">
      <c r="C1587" t="str">
        <v>Panjang netto</v>
      </c>
      <c r="D1587">
        <f>VLOOKUP(C1584,'Data Panjang Balok'!$C$9:$N$424,7,FALSE)</f>
        <v>3460</v>
      </c>
    </row>
    <row r="1588">
      <c r="C1588" t="str">
        <v>Kolom / balok kiri</v>
      </c>
      <c r="D1588">
        <f>VLOOKUP(C1584,'Data Panjang Balok'!$C$9:$N$424,9,FALSE)</f>
        <v>0</v>
      </c>
    </row>
    <row r="1589">
      <c r="C1589" t="str">
        <v>Kolom / balok kanan</v>
      </c>
      <c r="D1589">
        <f>VLOOKUP(C1584,'Data Panjang Balok'!$C$9:$N$424,10,FALSE)</f>
        <v>0</v>
      </c>
    </row>
    <row r="1590">
      <c r="C1590" t="str">
        <v>Jumlah</v>
      </c>
      <c r="D1590">
        <f>VLOOKUP(C1584,'Data Panjang Balok'!$C$9:$N$424,3,FALSE)</f>
        <v>1</v>
      </c>
    </row>
    <row r="1591">
      <c r="A1591" t="str">
        <f>A1584</f>
        <v>Sloof</v>
      </c>
      <c r="B1591">
        <f>B1584</f>
        <v>46</v>
      </c>
      <c r="C1591" t="str">
        <v>Tul Atas Tumpuan</v>
      </c>
      <c r="D1591">
        <f>VLOOKUP(D1584,'Detail Balok'!$C$10:$AU$110,4,FALSE)</f>
        <v>2</v>
      </c>
      <c r="E1591" t="str">
        <v>D</v>
      </c>
      <c r="F1591">
        <f>VLOOKUP(D1584,'Detail Balok'!$C$10:$AU$110,6,FALSE)</f>
        <v>13</v>
      </c>
      <c r="I1591" t="str">
        <v>(</v>
      </c>
      <c r="J1591">
        <f>+D1586/4/1000</f>
        <v>0.865</v>
      </c>
      <c r="K1591" t="str">
        <v>+</v>
      </c>
      <c r="L1591">
        <f>MAX(VLOOKUP(F1591,N$6:P$15,3,FALSE)/1000,2/3*D1588/1000)+F$16*F1591/1000</f>
        <v>0.156</v>
      </c>
      <c r="M1591" t="str">
        <v>=</v>
      </c>
      <c r="N1591">
        <f>J1591+L1591</f>
        <v>1.021</v>
      </c>
      <c r="O1591" t="str">
        <v>+</v>
      </c>
      <c r="P1591">
        <f>D1591-D1592</f>
        <v>0</v>
      </c>
      <c r="Q1591" t="str">
        <v>x</v>
      </c>
      <c r="R1591">
        <f>IF(P1591&gt;0,$F$18*F1591/1000,0)</f>
        <v>0</v>
      </c>
      <c r="S1591" t="str">
        <v>)</v>
      </c>
      <c r="T1591" t="str">
        <v>x</v>
      </c>
      <c r="U1591">
        <f>0.006165*F1591^2</f>
        <v>1.041885</v>
      </c>
      <c r="X1591" t="str">
        <v>x</v>
      </c>
      <c r="Y1591">
        <f>D1590</f>
        <v>1</v>
      </c>
      <c r="Z1591" t="str">
        <v>=</v>
      </c>
      <c r="AA1591">
        <f>IF(AA1594=0,(D1591*N1591+P1591*R1591)*U1591*Y1591,0)</f>
        <v>0</v>
      </c>
    </row>
    <row r="1592">
      <c r="A1592" t="str">
        <f>A1584</f>
        <v>Sloof</v>
      </c>
      <c r="B1592">
        <f>B1584</f>
        <v>46</v>
      </c>
      <c r="C1592" t="str">
        <v>Tul Atas Lapangan</v>
      </c>
      <c r="D1592">
        <f>VLOOKUP(D1584,'Detail Balok'!$C$10:$AU$110,7,FALSE)</f>
        <v>2</v>
      </c>
      <c r="E1592" t="str">
        <v>D</v>
      </c>
      <c r="F1592">
        <f>VLOOKUP(D1584,'Detail Balok'!$C$10:$AU$110,9,FALSE)</f>
        <v>13</v>
      </c>
      <c r="I1592" t="str">
        <v>(</v>
      </c>
      <c r="J1592">
        <f>+D1586/2/1000</f>
        <v>1.73</v>
      </c>
      <c r="K1592" t="str">
        <v>+</v>
      </c>
      <c r="M1592" t="str">
        <v>=</v>
      </c>
      <c r="N1592">
        <f>J1592+L1592</f>
        <v>1.73</v>
      </c>
      <c r="O1592" t="str">
        <v>+</v>
      </c>
      <c r="P1592">
        <f>MAX(D1592-D1591,D1592-D1593)</f>
        <v>0</v>
      </c>
      <c r="Q1592" t="str">
        <v>x</v>
      </c>
      <c r="R1592">
        <f>IF(P1592&gt;0,2*(1-2*$F$19-1/2)*D1587/1000,0)</f>
        <v>0</v>
      </c>
      <c r="S1592" t="str">
        <v>)</v>
      </c>
      <c r="T1592" t="str">
        <v>x</v>
      </c>
      <c r="U1592">
        <f>0.006165*F1592^2</f>
        <v>1.041885</v>
      </c>
      <c r="X1592" t="str">
        <v>x</v>
      </c>
      <c r="Y1592">
        <f>D1590</f>
        <v>1</v>
      </c>
      <c r="Z1592" t="str">
        <v>=</v>
      </c>
      <c r="AA1592">
        <f>IF(AA1594=0,(D1592*N1592+P1592*R1592)*U1592*Y1592,0)</f>
        <v>0</v>
      </c>
    </row>
    <row r="1593">
      <c r="A1593" t="str">
        <f>A1584</f>
        <v>Sloof</v>
      </c>
      <c r="B1593">
        <f>B1584</f>
        <v>46</v>
      </c>
      <c r="C1593" t="str">
        <v>Tul Atas Tumpuan</v>
      </c>
      <c r="D1593">
        <f>VLOOKUP(D1584,'Detail Balok'!$C$10:$AU$110,10,FALSE)</f>
        <v>2</v>
      </c>
      <c r="E1593" t="str">
        <v>D</v>
      </c>
      <c r="F1593">
        <f>VLOOKUP(D1584,'Detail Balok'!$C$10:$AU$110,12,FALSE)</f>
        <v>13</v>
      </c>
      <c r="I1593" t="str">
        <v>(</v>
      </c>
      <c r="J1593">
        <f>+D1586/4/1000</f>
        <v>0.865</v>
      </c>
      <c r="K1593" t="str">
        <v>+</v>
      </c>
      <c r="L1593">
        <f>MAX(VLOOKUP(F1593,N$6:P$15,3,FALSE)/1000,2/3*D1588/1000)+F$16*F1593/1000</f>
        <v>0.156</v>
      </c>
      <c r="M1593" t="str">
        <v>=</v>
      </c>
      <c r="N1593">
        <f>J1593+L1593</f>
        <v>1.021</v>
      </c>
      <c r="O1593" t="str">
        <v>+</v>
      </c>
      <c r="P1593">
        <f>D1593-D1592</f>
        <v>0</v>
      </c>
      <c r="Q1593" t="str">
        <v>x</v>
      </c>
      <c r="R1593">
        <f>IF(P1593&gt;0,$F$18*F1593/1000,0)</f>
        <v>0</v>
      </c>
      <c r="S1593" t="str">
        <v>)</v>
      </c>
      <c r="T1593" t="str">
        <v>x</v>
      </c>
      <c r="U1593">
        <f>0.006165*F1593^2</f>
        <v>1.041885</v>
      </c>
      <c r="X1593" t="str">
        <v>x</v>
      </c>
      <c r="Y1593">
        <f>D1590</f>
        <v>1</v>
      </c>
      <c r="Z1593" t="str">
        <v>=</v>
      </c>
      <c r="AA1593">
        <f>IF(AA1594=0,(D1593*N1593+P1593*R1593)*U1593*Y1593,0)</f>
        <v>0</v>
      </c>
    </row>
    <row r="1594">
      <c r="A1594" t="str">
        <f>A1584</f>
        <v>Sloof</v>
      </c>
      <c r="B1594">
        <f>B1584</f>
        <v>46</v>
      </c>
      <c r="D1594">
        <f>IF(AND(D1591=D1592,D1592=D1593,D1591=D1593),D1591,0)</f>
        <v>2</v>
      </c>
      <c r="E1594" t="str">
        <v>D</v>
      </c>
      <c r="F1594">
        <f>IF(AND(F1591=F1592,F1591=F1593,F1592=F1593),F1591,0)</f>
        <v>13</v>
      </c>
      <c r="L1594" t="str">
        <v>Total panjang per balok</v>
      </c>
      <c r="M1594" t="str">
        <v>=</v>
      </c>
      <c r="N1594">
        <f>IF(AND(D1591=D1592,D1591=D1593,D1592=D1593,F1591=F1592,F1591=F1593,F1592=F1593),SUM(N1591:N1593),0)</f>
        <v>3.772</v>
      </c>
      <c r="O1594" t="str">
        <v>+</v>
      </c>
      <c r="P1594">
        <f>IF(N1594&gt;12,ROUNDDOWN(N1594/12,0),0)</f>
        <v>0</v>
      </c>
      <c r="Q1594" t="str">
        <v>x</v>
      </c>
      <c r="R1594">
        <f>IF(P1594&gt;0,MAX(VLOOKUP(F1594,$D$6:$G$15,3,FALSE),600),0)/1000</f>
        <v>0</v>
      </c>
      <c r="T1594" t="str">
        <v>x</v>
      </c>
      <c r="U1594">
        <f>U1593</f>
        <v>1.041885</v>
      </c>
      <c r="V1594" t="str">
        <v>x</v>
      </c>
      <c r="W1594">
        <f>D1594</f>
        <v>2</v>
      </c>
      <c r="X1594" t="str">
        <v>x</v>
      </c>
      <c r="Y1594">
        <f>Y1593</f>
        <v>1</v>
      </c>
      <c r="Z1594" t="str">
        <v>=</v>
      </c>
      <c r="AA1594">
        <f>(N1594+P1594*R1594/1000)*U1594*W1594*Y1594</f>
        <v>7.859980439999999</v>
      </c>
    </row>
    <row r="1596">
      <c r="A1596" t="str">
        <f>A1584</f>
        <v>Sloof</v>
      </c>
      <c r="B1596">
        <f>B1584</f>
        <v>46</v>
      </c>
      <c r="C1596" t="str">
        <v>Tul Peminggang</v>
      </c>
      <c r="D1596">
        <f>VLOOKUP(D1584,'Detail Balok'!$C$10:$AU$110,13,FALSE)</f>
        <v>0</v>
      </c>
      <c r="E1596" t="str">
        <v>D</v>
      </c>
      <c r="F1596">
        <f>VLOOKUP(D1584,'Detail Balok'!$C$10:$AU$110,15,FALSE)</f>
        <v>6</v>
      </c>
      <c r="J1596">
        <f>+D1586/1000</f>
        <v>3.46</v>
      </c>
      <c r="K1596" t="str">
        <v>+</v>
      </c>
      <c r="L1596">
        <f>2*$F$16*F1596/1000</f>
        <v>0.144</v>
      </c>
      <c r="M1596" t="str">
        <v>=</v>
      </c>
      <c r="N1596">
        <f>J1596+L1596</f>
        <v>3.604</v>
      </c>
      <c r="O1596" t="str">
        <v>+</v>
      </c>
      <c r="P1596">
        <f>IF(N1596&gt;12,ROUNDDOWN(N1596/12,0),0)</f>
        <v>0</v>
      </c>
      <c r="Q1596" t="str">
        <v>x</v>
      </c>
      <c r="R1596">
        <f>IF(P1596&gt;0,MAX(VLOOKUP(F1596,$D$6:$G$15,3,FALSE),600),0)/1000</f>
        <v>0</v>
      </c>
      <c r="T1596" t="str">
        <v>x</v>
      </c>
      <c r="U1596">
        <f>0.006165*F1596^2</f>
        <v>0.22194000000000003</v>
      </c>
      <c r="V1596" t="str">
        <v>x</v>
      </c>
      <c r="W1596">
        <f>+D1596</f>
        <v>0</v>
      </c>
      <c r="X1596" t="str">
        <v>x</v>
      </c>
      <c r="Y1596">
        <f>D1590</f>
        <v>1</v>
      </c>
      <c r="Z1596" t="str">
        <v>=</v>
      </c>
      <c r="AA1596">
        <f>(N1596+P1596*R1596/1000)*U1596*W1596*Y1596</f>
        <v>0</v>
      </c>
    </row>
    <row r="1599">
      <c r="A1599" t="str">
        <f>A1584</f>
        <v>Sloof</v>
      </c>
      <c r="B1599">
        <f>B1584</f>
        <v>46</v>
      </c>
      <c r="C1599" t="str">
        <v>Tul Bawah Tumpuan</v>
      </c>
      <c r="D1599">
        <f>VLOOKUP(D1584,'Detail Balok'!$C$10:$AU$110,22,FALSE)</f>
        <v>2</v>
      </c>
      <c r="E1599" t="str">
        <v>D</v>
      </c>
      <c r="F1599">
        <f>VLOOKUP(D1584,'Detail Balok'!$C$10:$AU$110,24,FALSE)</f>
        <v>13</v>
      </c>
      <c r="I1599" t="str">
        <v>(</v>
      </c>
      <c r="J1599">
        <f>+J1591</f>
        <v>0.865</v>
      </c>
      <c r="K1599" t="str">
        <v>+</v>
      </c>
      <c r="L1599">
        <f>MAX(VLOOKUP(F1599,N$6:P$15,3,FALSE)/1000,2/3*D1589/1000)+F$16*F1599/1000</f>
        <v>0.156</v>
      </c>
      <c r="M1599" t="str">
        <v>=</v>
      </c>
      <c r="N1599">
        <f>J1599+L1599</f>
        <v>1.021</v>
      </c>
      <c r="O1599" t="str">
        <v>+</v>
      </c>
      <c r="P1599">
        <f>D1599-D1600</f>
        <v>0</v>
      </c>
      <c r="Q1599" t="str">
        <v>x</v>
      </c>
      <c r="R1599">
        <f>IF(P1599&gt;0,$F$18*F1599/1000,0)</f>
        <v>0</v>
      </c>
      <c r="S1599" t="str">
        <v>)</v>
      </c>
      <c r="T1599" t="str">
        <v>x</v>
      </c>
      <c r="U1599">
        <f>0.006165*F1599^2</f>
        <v>1.041885</v>
      </c>
      <c r="X1599" t="str">
        <v>x</v>
      </c>
      <c r="Y1599">
        <f>D1590</f>
        <v>1</v>
      </c>
      <c r="Z1599" t="str">
        <v>=</v>
      </c>
      <c r="AA1599">
        <f>IF(AA1602=0,(D1599*N1599+P1599*R1599)*U1599*Y1599,0)</f>
        <v>0</v>
      </c>
    </row>
    <row r="1600">
      <c r="A1600" t="str">
        <f>A1584</f>
        <v>Sloof</v>
      </c>
      <c r="B1600">
        <f>B1584</f>
        <v>46</v>
      </c>
      <c r="C1600" t="str">
        <v>Tul Bawah Lapangan</v>
      </c>
      <c r="D1600">
        <f>VLOOKUP(D1584,'Detail Balok'!$C$10:$AU$110,25,FALSE)</f>
        <v>2</v>
      </c>
      <c r="E1600" t="str">
        <v>D</v>
      </c>
      <c r="F1600">
        <f>VLOOKUP(D1584,'Detail Balok'!$C$10:$AU$110,27,FALSE)</f>
        <v>13</v>
      </c>
      <c r="I1600" t="str">
        <v>(</v>
      </c>
      <c r="J1600">
        <f>+J1592</f>
        <v>1.73</v>
      </c>
      <c r="K1600" t="str">
        <v>+</v>
      </c>
      <c r="M1600" t="str">
        <v>=</v>
      </c>
      <c r="N1600">
        <f>J1600+L1600</f>
        <v>1.73</v>
      </c>
      <c r="O1600" t="str">
        <v>+</v>
      </c>
      <c r="P1600">
        <f>MAX(D1600-D1599,D1600-D1601)</f>
        <v>0</v>
      </c>
      <c r="Q1600" t="str">
        <v>x</v>
      </c>
      <c r="R1600">
        <f>IF(P1600&gt;0,2*(1-2*$F$19-1/2)*D1587/1000,0)</f>
        <v>0</v>
      </c>
      <c r="S1600" t="str">
        <v>)</v>
      </c>
      <c r="T1600" t="str">
        <v>x</v>
      </c>
      <c r="U1600">
        <f>0.006165*F1600^2</f>
        <v>1.041885</v>
      </c>
      <c r="X1600" t="str">
        <v>x</v>
      </c>
      <c r="Y1600">
        <f>D1590</f>
        <v>1</v>
      </c>
      <c r="Z1600" t="str">
        <v>=</v>
      </c>
      <c r="AA1600">
        <f>IF(AA1602=0,(D1600*N1600+P1600*R1600)*U1600*Y1600,0)</f>
        <v>0</v>
      </c>
    </row>
    <row r="1601">
      <c r="A1601" t="str">
        <f>A1584</f>
        <v>Sloof</v>
      </c>
      <c r="B1601">
        <f>B1584</f>
        <v>46</v>
      </c>
      <c r="C1601" t="str">
        <v>Tul Bawah Tumpuan</v>
      </c>
      <c r="D1601">
        <f>VLOOKUP(D1584,'Detail Balok'!$C$10:$AU$110,28,FALSE)</f>
        <v>2</v>
      </c>
      <c r="E1601" t="str">
        <v>D</v>
      </c>
      <c r="F1601">
        <f>VLOOKUP(D1584,'Detail Balok'!$C$10:$AU$110,30,FALSE)</f>
        <v>13</v>
      </c>
      <c r="I1601" t="str">
        <v>(</v>
      </c>
      <c r="J1601">
        <f>+J1593</f>
        <v>0.865</v>
      </c>
      <c r="K1601" t="str">
        <v>+</v>
      </c>
      <c r="L1601">
        <f>MAX(VLOOKUP(F1601,N$6:P$15,3,FALSE)/1000,2/3*D1589/1000)+F$16*F1601/1000</f>
        <v>0.156</v>
      </c>
      <c r="M1601" t="str">
        <v>=</v>
      </c>
      <c r="N1601">
        <f>J1601+L1601</f>
        <v>1.021</v>
      </c>
      <c r="O1601" t="str">
        <v>+</v>
      </c>
      <c r="P1601">
        <f>D1601-D1600</f>
        <v>0</v>
      </c>
      <c r="Q1601" t="str">
        <v>x</v>
      </c>
      <c r="R1601">
        <f>IF(P1601&gt;0,$F$18*F1601/1000,0)</f>
        <v>0</v>
      </c>
      <c r="S1601" t="str">
        <v>)</v>
      </c>
      <c r="T1601" t="str">
        <v>x</v>
      </c>
      <c r="U1601">
        <f>0.006165*F1601^2</f>
        <v>1.041885</v>
      </c>
      <c r="X1601" t="str">
        <v>x</v>
      </c>
      <c r="Y1601">
        <f>D1590</f>
        <v>1</v>
      </c>
      <c r="Z1601" t="str">
        <v>=</v>
      </c>
      <c r="AA1601">
        <f>IF(AA1602=0,(D1601*N1601+P1601*R1601)*U1601*Y1601,0)</f>
        <v>0</v>
      </c>
    </row>
    <row r="1602">
      <c r="A1602" t="str">
        <f>A1584</f>
        <v>Sloof</v>
      </c>
      <c r="B1602">
        <f>B1584</f>
        <v>46</v>
      </c>
      <c r="D1602">
        <f>IF(AND(D1599=D1600,D1600=D1601,D1599=D1601),D1599,0)</f>
        <v>2</v>
      </c>
      <c r="E1602" t="str">
        <v>D</v>
      </c>
      <c r="F1602">
        <f>IF(AND(F1599=F1600,F1599=F1601,F1600=F1601),F1599,0)</f>
        <v>13</v>
      </c>
      <c r="L1602" t="str">
        <v>Total panjang per balok</v>
      </c>
      <c r="M1602" t="str">
        <v>=</v>
      </c>
      <c r="N1602">
        <f>IF(AND(D1599=D1600,D1599=D1601,D1600=D1601,F1599=F1600,F1599=F1601,F1600=F1601),SUM(N1599:N1601),0)</f>
        <v>3.772</v>
      </c>
      <c r="O1602" t="str">
        <v>+</v>
      </c>
      <c r="P1602">
        <f>IF(N1602&gt;12,ROUNDDOWN(N1602/12,0),0)</f>
        <v>0</v>
      </c>
      <c r="Q1602" t="str">
        <v>x</v>
      </c>
      <c r="R1602">
        <f>IF(P1602&gt;0,MAX(VLOOKUP(F1602,$D$6:$G$15,3,FALSE),600),0)/1000</f>
        <v>0</v>
      </c>
      <c r="T1602" t="str">
        <v>x</v>
      </c>
      <c r="U1602">
        <f>U1601</f>
        <v>1.041885</v>
      </c>
      <c r="V1602" t="str">
        <v>x</v>
      </c>
      <c r="W1602">
        <f>D1602</f>
        <v>2</v>
      </c>
      <c r="X1602" t="str">
        <v>x</v>
      </c>
      <c r="Y1602">
        <f>Y1601</f>
        <v>1</v>
      </c>
      <c r="Z1602" t="str">
        <v>=</v>
      </c>
      <c r="AA1602">
        <f>(N1602+P1602*R1602/1000)*U1602*W1602*Y1602</f>
        <v>7.859980439999999</v>
      </c>
    </row>
    <row r="1604">
      <c r="A1604" t="str">
        <f>A1584</f>
        <v>Sloof</v>
      </c>
      <c r="B1604">
        <f>B1584</f>
        <v>46</v>
      </c>
      <c r="C1604" t="str">
        <v>Sengkang Tumpuan</v>
      </c>
      <c r="D1604">
        <f>VLOOKUP(D1584,'Detail Balok'!$C$10:$AU$110,31,FALSE)</f>
        <v>0</v>
      </c>
      <c r="E1604" t="str">
        <v>D</v>
      </c>
      <c r="F1604">
        <f>VLOOKUP(D1584,'Detail Balok'!$C$10:$AU$110,33,FALSE)</f>
        <v>8</v>
      </c>
      <c r="G1604" t="str">
        <v>-</v>
      </c>
      <c r="H1604">
        <f>VLOOKUP(D1584,'Detail Balok'!$C$10:$AU$110,35,FALSE)</f>
        <v>150</v>
      </c>
      <c r="J1604">
        <f>(IF(D1604=0,(2*(D1585+G1585))-(F$5*8),IF(D1604=3,(2*(D1585+G1585))-(F$5*8)+(G1585-2*F$5),IF(D1604=4,(2*(D1585+G1585))-(F$5*8)+2*(G1585-2*F$5)))))/1000</f>
        <v>0.68</v>
      </c>
      <c r="K1604" t="str">
        <v>+</v>
      </c>
      <c r="L1604">
        <f>IF(D1604=0,2*MAX(6*F1604,75),(D1604-1)*2*MAX(6*F1604,75))/1000</f>
        <v>0.15</v>
      </c>
      <c r="M1604" t="str">
        <v>=</v>
      </c>
      <c r="N1604">
        <f>J1604+L1604</f>
        <v>0.8300000000000001</v>
      </c>
      <c r="T1604" t="str">
        <v>x</v>
      </c>
      <c r="U1604">
        <f>0.006165*F1604^2</f>
        <v>0.39456</v>
      </c>
      <c r="V1604" t="str">
        <v>x</v>
      </c>
      <c r="W1604">
        <f>IF(D1587&gt;4*G1585,ROUND(MAX(D1587/4,2*G1585)/H1604,0)+1,ROUND(D1587/H1604,0)+1)</f>
        <v>7</v>
      </c>
      <c r="X1604" t="str">
        <v>x</v>
      </c>
      <c r="Y1604">
        <f>D1590</f>
        <v>1</v>
      </c>
      <c r="Z1604" t="str">
        <v>=</v>
      </c>
      <c r="AA1604">
        <f>N1604*U1604*W1604*Y1604</f>
        <v>2.2923936</v>
      </c>
    </row>
    <row r="1605">
      <c r="A1605" t="str">
        <f>A1584</f>
        <v>Sloof</v>
      </c>
      <c r="B1605">
        <f>B1584</f>
        <v>46</v>
      </c>
      <c r="C1605" t="str">
        <v>Sengkang Lapangan</v>
      </c>
      <c r="D1605">
        <f>VLOOKUP(D1584,'Detail Balok'!$C$10:$AU$110,36,FALSE)</f>
        <v>0</v>
      </c>
      <c r="E1605" t="str">
        <v>D</v>
      </c>
      <c r="F1605">
        <f>VLOOKUP(D1584,'Detail Balok'!$C$10:$AU$110,38,FALSE)</f>
        <v>8</v>
      </c>
      <c r="G1605" t="str">
        <v>-</v>
      </c>
      <c r="H1605">
        <f>VLOOKUP(D1584,'Detail Balok'!$C$10:$AU$110,40,FALSE)</f>
        <v>150</v>
      </c>
      <c r="J1605">
        <f>(IF(D1605=0,(2*(D1585+G1585))-(F$5*8),IF(D1605=3,(2*(D1585+G1585))-(F$5*8)+(G1585-2*F$5),IF(D1605=4,(2*(D1585+G1585))-(F$5*8)+2*(G1585-2*F$5)))))/1000</f>
        <v>0.68</v>
      </c>
      <c r="K1605" t="str">
        <v>+</v>
      </c>
      <c r="L1605">
        <f>IF(D1605=0,2*MAX(6*F1605,75),(D1605-1)*2*MAX(6*F1605,75))/1000</f>
        <v>0.15</v>
      </c>
      <c r="M1605" t="str">
        <v>=</v>
      </c>
      <c r="N1605">
        <f>J1605+L1605</f>
        <v>0.8300000000000001</v>
      </c>
      <c r="T1605" t="str">
        <v>x</v>
      </c>
      <c r="U1605">
        <f>0.006165*F1605^2</f>
        <v>0.39456</v>
      </c>
      <c r="V1605" t="str">
        <v>x</v>
      </c>
      <c r="W1605">
        <f>IF(D1587-MAX(D1587/4,2*G1585)*2&gt;0,ROUND((D1587-MAX(D1587/4,2*G1585)*2)/H1605,0),0)</f>
        <v>12</v>
      </c>
      <c r="X1605" t="str">
        <v>x</v>
      </c>
      <c r="Y1605">
        <f>D1590</f>
        <v>1</v>
      </c>
      <c r="Z1605" t="str">
        <v>=</v>
      </c>
      <c r="AA1605">
        <f>N1605*U1605*W1605*Y1605</f>
        <v>3.9298176000000002</v>
      </c>
    </row>
    <row r="1606">
      <c r="A1606" t="str">
        <f>A1584</f>
        <v>Sloof</v>
      </c>
      <c r="B1606">
        <f>B1584</f>
        <v>46</v>
      </c>
      <c r="C1606" t="str">
        <v>Sengkang Tumpuan</v>
      </c>
      <c r="D1606">
        <f>VLOOKUP(D1584,'Detail Balok'!$C$10:$AU$110,41,FALSE)</f>
        <v>0</v>
      </c>
      <c r="E1606" t="str">
        <v>D</v>
      </c>
      <c r="F1606">
        <f>VLOOKUP(D1584,'Detail Balok'!$C$10:$AU$110,43,FALSE)</f>
        <v>8</v>
      </c>
      <c r="G1606" t="str">
        <v>-</v>
      </c>
      <c r="H1606">
        <f>VLOOKUP(D1584,'Detail Balok'!$C$10:$AU$110,45,FALSE)</f>
        <v>150</v>
      </c>
      <c r="J1606">
        <f>(IF(D1606=0,(2*(D1585+G1585))-(F$5*8),IF(D1606=3,(2*(D1585+G1585))-(F$5*8)+(G1585-2*F$5),IF(D1606=4,(2*(D1585+G1585))-(F$5*8)+2*(G1585-2*F$5)))))/1000</f>
        <v>0.68</v>
      </c>
      <c r="K1606" t="str">
        <v>+</v>
      </c>
      <c r="L1606">
        <f>IF(D1606=0,2*MAX(6*F1606,75),(D1606-1)*2*MAX(6*F1606,75))/1000</f>
        <v>0.15</v>
      </c>
      <c r="M1606" t="str">
        <v>=</v>
      </c>
      <c r="N1606">
        <f>J1606+L1606</f>
        <v>0.8300000000000001</v>
      </c>
      <c r="T1606" t="str">
        <v>x</v>
      </c>
      <c r="U1606">
        <f>0.006165*F1606^2</f>
        <v>0.39456</v>
      </c>
      <c r="V1606" t="str">
        <v>x</v>
      </c>
      <c r="W1606">
        <f>IF(D1587&gt;4*G1585,ROUND(MAX(D1587/4,2*G1585)/H1606,0)+1,0)</f>
        <v>7</v>
      </c>
      <c r="X1606" t="str">
        <v>x</v>
      </c>
      <c r="Y1606">
        <f>D1590</f>
        <v>1</v>
      </c>
      <c r="Z1606" t="str">
        <v>=</v>
      </c>
      <c r="AA1606">
        <f>N1606*U1606*W1606*Y1606</f>
        <v>2.2923936</v>
      </c>
    </row>
    <row r="1608">
      <c r="A1608" t="str">
        <f>A1584</f>
        <v>Sloof</v>
      </c>
      <c r="B1608">
        <f>B1584</f>
        <v>46</v>
      </c>
      <c r="C1608" t="str">
        <v>Kait Horizontal Tump.</v>
      </c>
      <c r="D1608">
        <f>VLOOKUP(D1584,'Detail Balok'!$C$10:$BJ$110,46,FALSE)</f>
        <v>0</v>
      </c>
      <c r="E1608" t="str">
        <v>D</v>
      </c>
      <c r="F1608">
        <f>VLOOKUP(D1584,'Detail Balok'!$C$10:$BJ$110,48,FALSE)</f>
        <v>0</v>
      </c>
      <c r="G1608" t="str">
        <v>-</v>
      </c>
      <c r="H1608">
        <f>VLOOKUP(D1584,'Detail Balok'!$C$10:$BJ$110,50,FALSE)</f>
        <v>100</v>
      </c>
      <c r="J1608">
        <f>(D1585-2*F$5)/1000</f>
        <v>0.12</v>
      </c>
      <c r="K1608" t="str">
        <v>+</v>
      </c>
      <c r="L1608">
        <f>IF(D1608=0,2*MAX(6*F1608,75),(D1608-1)*2*MAX(6*F1608,75))/1000</f>
        <v>0.15</v>
      </c>
      <c r="M1608" t="str">
        <v>=</v>
      </c>
      <c r="N1608">
        <f>J1608+L1608</f>
        <v>0.27</v>
      </c>
      <c r="T1608" t="str">
        <v>x</v>
      </c>
      <c r="U1608">
        <f>0.006165*F1608^2</f>
        <v>0</v>
      </c>
      <c r="V1608" t="str">
        <v>x</v>
      </c>
      <c r="W1608">
        <f>W1604</f>
        <v>7</v>
      </c>
      <c r="X1608" t="str">
        <v>x</v>
      </c>
      <c r="Y1608">
        <f>D1594</f>
        <v>2</v>
      </c>
      <c r="Z1608" t="str">
        <v>=</v>
      </c>
      <c r="AA1608">
        <f>N1608*U1608*W1608*Y1608</f>
        <v>0</v>
      </c>
    </row>
    <row r="1609">
      <c r="A1609" t="str">
        <f>A1584</f>
        <v>Sloof</v>
      </c>
      <c r="B1609">
        <f>B1584</f>
        <v>46</v>
      </c>
      <c r="C1609" t="str">
        <v>Kait Horizontal Lap.</v>
      </c>
      <c r="D1609">
        <f>VLOOKUP(D1584,'Detail Balok'!$C$10:$BJ$110,51,FALSE)</f>
        <v>0</v>
      </c>
      <c r="E1609" t="str">
        <v>D</v>
      </c>
      <c r="F1609">
        <f>VLOOKUP(D1584,'Detail Balok'!$C$10:$BJ$110,53,FALSE)</f>
        <v>0</v>
      </c>
      <c r="G1609" t="str">
        <v>-</v>
      </c>
      <c r="H1609">
        <f>VLOOKUP(D1584,'Detail Balok'!$C$10:$BJ$110,55,FALSE)</f>
        <v>100</v>
      </c>
      <c r="J1609">
        <f>(D1585-2*F$5)/1000</f>
        <v>0.12</v>
      </c>
      <c r="K1609" t="str">
        <v>+</v>
      </c>
      <c r="L1609">
        <f>IF(D1609=0,2*MAX(6*F1609,75),(D1609-1)*2*MAX(6*F1609,75))/1000</f>
        <v>0.15</v>
      </c>
      <c r="M1609" t="str">
        <v>=</v>
      </c>
      <c r="N1609">
        <f>J1609+L1609</f>
        <v>0.27</v>
      </c>
      <c r="T1609" t="str">
        <v>x</v>
      </c>
      <c r="U1609">
        <f>0.006165*F1609^2</f>
        <v>0</v>
      </c>
      <c r="V1609" t="str">
        <v>x</v>
      </c>
      <c r="W1609">
        <f>W1605</f>
        <v>12</v>
      </c>
      <c r="X1609" t="str">
        <v>x</v>
      </c>
      <c r="Y1609">
        <f>D1594</f>
        <v>2</v>
      </c>
      <c r="Z1609" t="str">
        <v>=</v>
      </c>
      <c r="AA1609">
        <f>N1609*U1609*W1609*Y1609</f>
        <v>0</v>
      </c>
    </row>
    <row r="1610">
      <c r="A1610" t="str">
        <f>A1584</f>
        <v>Sloof</v>
      </c>
      <c r="B1610">
        <f>B1584</f>
        <v>46</v>
      </c>
      <c r="C1610" t="str">
        <v>Kait Horizontal Tump.</v>
      </c>
      <c r="D1610">
        <f>VLOOKUP(D1584,'Detail Balok'!$C$10:$BJ$110,56,FALSE)</f>
        <v>0</v>
      </c>
      <c r="E1610" t="str">
        <v>D</v>
      </c>
      <c r="F1610">
        <f>VLOOKUP(D1584,'Detail Balok'!$C$10:$BJ$110,58,FALSE)</f>
        <v>0</v>
      </c>
      <c r="G1610" t="str">
        <v>-</v>
      </c>
      <c r="H1610">
        <f>VLOOKUP(D1584,'Detail Balok'!$C$10:$BJ$110,60,FALSE)</f>
        <v>100</v>
      </c>
      <c r="J1610">
        <f>(D1585-2*F$5)/1000</f>
        <v>0.12</v>
      </c>
      <c r="K1610" t="str">
        <v>+</v>
      </c>
      <c r="L1610">
        <f>IF(D1610=0,2*MAX(6*F1610,75),(D1610-1)*2*MAX(6*F1610,75))/1000</f>
        <v>0.15</v>
      </c>
      <c r="M1610" t="str">
        <v>=</v>
      </c>
      <c r="N1610">
        <f>J1610+L1610</f>
        <v>0.27</v>
      </c>
      <c r="T1610" t="str">
        <v>x</v>
      </c>
      <c r="U1610">
        <f>0.006165*F1610^2</f>
        <v>0</v>
      </c>
      <c r="V1610" t="str">
        <v>x</v>
      </c>
      <c r="W1610">
        <f>W1606</f>
        <v>7</v>
      </c>
      <c r="X1610" t="str">
        <v>x</v>
      </c>
      <c r="Y1610">
        <f>D1594</f>
        <v>2</v>
      </c>
      <c r="Z1610" t="str">
        <v>=</v>
      </c>
      <c r="AA1610">
        <f>N1610*U1610*W1610*Y1610</f>
        <v>0</v>
      </c>
    </row>
    <row r="1614">
      <c r="A1614" t="str">
        <f>A1584</f>
        <v>Sloof</v>
      </c>
      <c r="B1614">
        <f>B1584+1</f>
        <v>47</v>
      </c>
      <c r="C1614" t="str">
        <f>CONCATENATE(A1614," no. ",B1614)</f>
        <v>Sloof no. 47</v>
      </c>
      <c r="D1614" t="str">
        <f>VLOOKUP(C1614,'Data Panjang Balok'!$C$9:$N$424,2,FALSE)</f>
        <v>TB23-1</v>
      </c>
    </row>
    <row r="1615">
      <c r="C1615" t="str">
        <v>Dimensi</v>
      </c>
      <c r="D1615">
        <f>VLOOKUP(D1614,'Detail Balok'!$C$10:$AU$110,2,FALSE)</f>
        <v>200</v>
      </c>
      <c r="F1615" t="str">
        <v>x</v>
      </c>
      <c r="G1615">
        <f>VLOOKUP(D1614,'Detail Balok'!$C$10:$AU$110,3,FALSE)</f>
        <v>300</v>
      </c>
    </row>
    <row r="1616">
      <c r="C1616" t="str">
        <v>Panjang as ke as</v>
      </c>
      <c r="D1616">
        <f>VLOOKUP(C1614,'Data Panjang Balok'!$C$9:$N$424,4,FALSE)</f>
        <v>3730</v>
      </c>
    </row>
    <row r="1617">
      <c r="C1617" t="str">
        <v>Panjang netto</v>
      </c>
      <c r="D1617">
        <f>VLOOKUP(C1614,'Data Panjang Balok'!$C$9:$N$424,7,FALSE)</f>
        <v>3730</v>
      </c>
    </row>
    <row r="1618">
      <c r="C1618" t="str">
        <v>Kolom / balok kiri</v>
      </c>
      <c r="D1618">
        <f>VLOOKUP(C1614,'Data Panjang Balok'!$C$9:$N$424,9,FALSE)</f>
        <v>0</v>
      </c>
    </row>
    <row r="1619">
      <c r="C1619" t="str">
        <v>Kolom / balok kanan</v>
      </c>
      <c r="D1619">
        <f>VLOOKUP(C1614,'Data Panjang Balok'!$C$9:$N$424,10,FALSE)</f>
        <v>0</v>
      </c>
    </row>
    <row r="1620">
      <c r="C1620" t="str">
        <v>Jumlah</v>
      </c>
      <c r="D1620">
        <f>VLOOKUP(C1614,'Data Panjang Balok'!$C$9:$N$424,3,FALSE)</f>
        <v>1</v>
      </c>
    </row>
    <row r="1621">
      <c r="A1621" t="str">
        <f>A1614</f>
        <v>Sloof</v>
      </c>
      <c r="B1621">
        <f>B1614</f>
        <v>47</v>
      </c>
      <c r="C1621" t="str">
        <v>Tul Atas Tumpuan</v>
      </c>
      <c r="D1621">
        <f>VLOOKUP(D1614,'Detail Balok'!$C$10:$AU$110,4,FALSE)</f>
        <v>2</v>
      </c>
      <c r="E1621" t="str">
        <v>D</v>
      </c>
      <c r="F1621">
        <f>VLOOKUP(D1614,'Detail Balok'!$C$10:$AU$110,6,FALSE)</f>
        <v>13</v>
      </c>
      <c r="I1621" t="str">
        <v>(</v>
      </c>
      <c r="J1621">
        <f>+D1616/4/1000</f>
        <v>0.9325</v>
      </c>
      <c r="K1621" t="str">
        <v>+</v>
      </c>
      <c r="L1621">
        <f>MAX(VLOOKUP(F1621,N$6:P$15,3,FALSE)/1000,2/3*D1618/1000)+F$16*F1621/1000</f>
        <v>0.156</v>
      </c>
      <c r="M1621" t="str">
        <v>=</v>
      </c>
      <c r="N1621">
        <f>J1621+L1621</f>
        <v>1.0885</v>
      </c>
      <c r="O1621" t="str">
        <v>+</v>
      </c>
      <c r="P1621">
        <f>D1621-D1622</f>
        <v>0</v>
      </c>
      <c r="Q1621" t="str">
        <v>x</v>
      </c>
      <c r="R1621">
        <f>IF(P1621&gt;0,$F$18*F1621/1000,0)</f>
        <v>0</v>
      </c>
      <c r="S1621" t="str">
        <v>)</v>
      </c>
      <c r="T1621" t="str">
        <v>x</v>
      </c>
      <c r="U1621">
        <f>0.006165*F1621^2</f>
        <v>1.041885</v>
      </c>
      <c r="X1621" t="str">
        <v>x</v>
      </c>
      <c r="Y1621">
        <f>D1620</f>
        <v>1</v>
      </c>
      <c r="Z1621" t="str">
        <v>=</v>
      </c>
      <c r="AA1621">
        <f>IF(AA1624=0,(D1621*N1621+P1621*R1621)*U1621*Y1621,0)</f>
        <v>0</v>
      </c>
    </row>
    <row r="1622">
      <c r="A1622" t="str">
        <f>A1614</f>
        <v>Sloof</v>
      </c>
      <c r="B1622">
        <f>B1614</f>
        <v>47</v>
      </c>
      <c r="C1622" t="str">
        <v>Tul Atas Lapangan</v>
      </c>
      <c r="D1622">
        <f>VLOOKUP(D1614,'Detail Balok'!$C$10:$AU$110,7,FALSE)</f>
        <v>2</v>
      </c>
      <c r="E1622" t="str">
        <v>D</v>
      </c>
      <c r="F1622">
        <f>VLOOKUP(D1614,'Detail Balok'!$C$10:$AU$110,9,FALSE)</f>
        <v>13</v>
      </c>
      <c r="I1622" t="str">
        <v>(</v>
      </c>
      <c r="J1622">
        <f>+D1616/2/1000</f>
        <v>1.865</v>
      </c>
      <c r="K1622" t="str">
        <v>+</v>
      </c>
      <c r="M1622" t="str">
        <v>=</v>
      </c>
      <c r="N1622">
        <f>J1622+L1622</f>
        <v>1.865</v>
      </c>
      <c r="O1622" t="str">
        <v>+</v>
      </c>
      <c r="P1622">
        <f>MAX(D1622-D1621,D1622-D1623)</f>
        <v>0</v>
      </c>
      <c r="Q1622" t="str">
        <v>x</v>
      </c>
      <c r="R1622">
        <f>IF(P1622&gt;0,2*(1-2*$F$19-1/2)*D1617/1000,0)</f>
        <v>0</v>
      </c>
      <c r="S1622" t="str">
        <v>)</v>
      </c>
      <c r="T1622" t="str">
        <v>x</v>
      </c>
      <c r="U1622">
        <f>0.006165*F1622^2</f>
        <v>1.041885</v>
      </c>
      <c r="X1622" t="str">
        <v>x</v>
      </c>
      <c r="Y1622">
        <f>D1620</f>
        <v>1</v>
      </c>
      <c r="Z1622" t="str">
        <v>=</v>
      </c>
      <c r="AA1622">
        <f>IF(AA1624=0,(D1622*N1622+P1622*R1622)*U1622*Y1622,0)</f>
        <v>0</v>
      </c>
    </row>
    <row r="1623">
      <c r="A1623" t="str">
        <f>A1614</f>
        <v>Sloof</v>
      </c>
      <c r="B1623">
        <f>B1614</f>
        <v>47</v>
      </c>
      <c r="C1623" t="str">
        <v>Tul Atas Tumpuan</v>
      </c>
      <c r="D1623">
        <f>VLOOKUP(D1614,'Detail Balok'!$C$10:$AU$110,10,FALSE)</f>
        <v>2</v>
      </c>
      <c r="E1623" t="str">
        <v>D</v>
      </c>
      <c r="F1623">
        <f>VLOOKUP(D1614,'Detail Balok'!$C$10:$AU$110,12,FALSE)</f>
        <v>13</v>
      </c>
      <c r="I1623" t="str">
        <v>(</v>
      </c>
      <c r="J1623">
        <f>+D1616/4/1000</f>
        <v>0.9325</v>
      </c>
      <c r="K1623" t="str">
        <v>+</v>
      </c>
      <c r="L1623">
        <f>MAX(VLOOKUP(F1623,N$6:P$15,3,FALSE)/1000,2/3*D1618/1000)+F$16*F1623/1000</f>
        <v>0.156</v>
      </c>
      <c r="M1623" t="str">
        <v>=</v>
      </c>
      <c r="N1623">
        <f>J1623+L1623</f>
        <v>1.0885</v>
      </c>
      <c r="O1623" t="str">
        <v>+</v>
      </c>
      <c r="P1623">
        <f>D1623-D1622</f>
        <v>0</v>
      </c>
      <c r="Q1623" t="str">
        <v>x</v>
      </c>
      <c r="R1623">
        <f>IF(P1623&gt;0,$F$18*F1623/1000,0)</f>
        <v>0</v>
      </c>
      <c r="S1623" t="str">
        <v>)</v>
      </c>
      <c r="T1623" t="str">
        <v>x</v>
      </c>
      <c r="U1623">
        <f>0.006165*F1623^2</f>
        <v>1.041885</v>
      </c>
      <c r="X1623" t="str">
        <v>x</v>
      </c>
      <c r="Y1623">
        <f>D1620</f>
        <v>1</v>
      </c>
      <c r="Z1623" t="str">
        <v>=</v>
      </c>
      <c r="AA1623">
        <f>IF(AA1624=0,(D1623*N1623+P1623*R1623)*U1623*Y1623,0)</f>
        <v>0</v>
      </c>
    </row>
    <row r="1624">
      <c r="A1624" t="str">
        <f>A1614</f>
        <v>Sloof</v>
      </c>
      <c r="B1624">
        <f>B1614</f>
        <v>47</v>
      </c>
      <c r="D1624">
        <f>IF(AND(D1621=D1622,D1622=D1623,D1621=D1623),D1621,0)</f>
        <v>2</v>
      </c>
      <c r="E1624" t="str">
        <v>D</v>
      </c>
      <c r="F1624">
        <f>IF(AND(F1621=F1622,F1621=F1623,F1622=F1623),F1621,0)</f>
        <v>13</v>
      </c>
      <c r="L1624" t="str">
        <v>Total panjang per balok</v>
      </c>
      <c r="M1624" t="str">
        <v>=</v>
      </c>
      <c r="N1624">
        <f>IF(AND(D1621=D1622,D1621=D1623,D1622=D1623,F1621=F1622,F1621=F1623,F1622=F1623),SUM(N1621:N1623),0)</f>
        <v>4.042</v>
      </c>
      <c r="O1624" t="str">
        <v>+</v>
      </c>
      <c r="P1624">
        <f>IF(N1624&gt;12,ROUNDDOWN(N1624/12,0),0)</f>
        <v>0</v>
      </c>
      <c r="Q1624" t="str">
        <v>x</v>
      </c>
      <c r="R1624">
        <f>IF(P1624&gt;0,MAX(VLOOKUP(F1624,$D$6:$G$15,3,FALSE),600),0)/1000</f>
        <v>0</v>
      </c>
      <c r="T1624" t="str">
        <v>x</v>
      </c>
      <c r="U1624">
        <f>U1623</f>
        <v>1.041885</v>
      </c>
      <c r="V1624" t="str">
        <v>x</v>
      </c>
      <c r="W1624">
        <f>D1624</f>
        <v>2</v>
      </c>
      <c r="X1624" t="str">
        <v>x</v>
      </c>
      <c r="Y1624">
        <f>Y1623</f>
        <v>1</v>
      </c>
      <c r="Z1624" t="str">
        <v>=</v>
      </c>
      <c r="AA1624">
        <f>(N1624+P1624*R1624/1000)*U1624*W1624*Y1624</f>
        <v>8.422598339999999</v>
      </c>
    </row>
    <row r="1626">
      <c r="A1626" t="str">
        <f>A1614</f>
        <v>Sloof</v>
      </c>
      <c r="B1626">
        <f>B1614</f>
        <v>47</v>
      </c>
      <c r="C1626" t="str">
        <v>Tul Peminggang</v>
      </c>
      <c r="D1626">
        <f>VLOOKUP(D1614,'Detail Balok'!$C$10:$AU$110,13,FALSE)</f>
        <v>0</v>
      </c>
      <c r="E1626" t="str">
        <v>D</v>
      </c>
      <c r="F1626">
        <f>VLOOKUP(D1614,'Detail Balok'!$C$10:$AU$110,15,FALSE)</f>
        <v>6</v>
      </c>
      <c r="J1626">
        <f>+D1616/1000</f>
        <v>3.73</v>
      </c>
      <c r="K1626" t="str">
        <v>+</v>
      </c>
      <c r="L1626">
        <f>2*$F$16*F1626/1000</f>
        <v>0.144</v>
      </c>
      <c r="M1626" t="str">
        <v>=</v>
      </c>
      <c r="N1626">
        <f>J1626+L1626</f>
        <v>3.874</v>
      </c>
      <c r="O1626" t="str">
        <v>+</v>
      </c>
      <c r="P1626">
        <f>IF(N1626&gt;12,ROUNDDOWN(N1626/12,0),0)</f>
        <v>0</v>
      </c>
      <c r="Q1626" t="str">
        <v>x</v>
      </c>
      <c r="R1626">
        <f>IF(P1626&gt;0,MAX(VLOOKUP(F1626,$D$6:$G$15,3,FALSE),600),0)/1000</f>
        <v>0</v>
      </c>
      <c r="T1626" t="str">
        <v>x</v>
      </c>
      <c r="U1626">
        <f>0.006165*F1626^2</f>
        <v>0.22194000000000003</v>
      </c>
      <c r="V1626" t="str">
        <v>x</v>
      </c>
      <c r="W1626">
        <f>+D1626</f>
        <v>0</v>
      </c>
      <c r="X1626" t="str">
        <v>x</v>
      </c>
      <c r="Y1626">
        <f>D1620</f>
        <v>1</v>
      </c>
      <c r="Z1626" t="str">
        <v>=</v>
      </c>
      <c r="AA1626">
        <f>(N1626+P1626*R1626/1000)*U1626*W1626*Y1626</f>
        <v>0</v>
      </c>
    </row>
    <row r="1629">
      <c r="A1629" t="str">
        <f>A1614</f>
        <v>Sloof</v>
      </c>
      <c r="B1629">
        <f>B1614</f>
        <v>47</v>
      </c>
      <c r="C1629" t="str">
        <v>Tul Bawah Tumpuan</v>
      </c>
      <c r="D1629">
        <f>VLOOKUP(D1614,'Detail Balok'!$C$10:$AU$110,22,FALSE)</f>
        <v>2</v>
      </c>
      <c r="E1629" t="str">
        <v>D</v>
      </c>
      <c r="F1629">
        <f>VLOOKUP(D1614,'Detail Balok'!$C$10:$AU$110,24,FALSE)</f>
        <v>13</v>
      </c>
      <c r="I1629" t="str">
        <v>(</v>
      </c>
      <c r="J1629">
        <f>+J1621</f>
        <v>0.9325</v>
      </c>
      <c r="K1629" t="str">
        <v>+</v>
      </c>
      <c r="L1629">
        <f>MAX(VLOOKUP(F1629,N$6:P$15,3,FALSE)/1000,2/3*D1619/1000)+F$16*F1629/1000</f>
        <v>0.156</v>
      </c>
      <c r="M1629" t="str">
        <v>=</v>
      </c>
      <c r="N1629">
        <f>J1629+L1629</f>
        <v>1.0885</v>
      </c>
      <c r="O1629" t="str">
        <v>+</v>
      </c>
      <c r="P1629">
        <f>D1629-D1630</f>
        <v>0</v>
      </c>
      <c r="Q1629" t="str">
        <v>x</v>
      </c>
      <c r="R1629">
        <f>IF(P1629&gt;0,$F$18*F1629/1000,0)</f>
        <v>0</v>
      </c>
      <c r="S1629" t="str">
        <v>)</v>
      </c>
      <c r="T1629" t="str">
        <v>x</v>
      </c>
      <c r="U1629">
        <f>0.006165*F1629^2</f>
        <v>1.041885</v>
      </c>
      <c r="X1629" t="str">
        <v>x</v>
      </c>
      <c r="Y1629">
        <f>D1620</f>
        <v>1</v>
      </c>
      <c r="Z1629" t="str">
        <v>=</v>
      </c>
      <c r="AA1629">
        <f>IF(AA1632=0,(D1629*N1629+P1629*R1629)*U1629*Y1629,0)</f>
        <v>0</v>
      </c>
    </row>
    <row r="1630">
      <c r="A1630" t="str">
        <f>A1614</f>
        <v>Sloof</v>
      </c>
      <c r="B1630">
        <f>B1614</f>
        <v>47</v>
      </c>
      <c r="C1630" t="str">
        <v>Tul Bawah Lapangan</v>
      </c>
      <c r="D1630">
        <f>VLOOKUP(D1614,'Detail Balok'!$C$10:$AU$110,25,FALSE)</f>
        <v>2</v>
      </c>
      <c r="E1630" t="str">
        <v>D</v>
      </c>
      <c r="F1630">
        <f>VLOOKUP(D1614,'Detail Balok'!$C$10:$AU$110,27,FALSE)</f>
        <v>13</v>
      </c>
      <c r="I1630" t="str">
        <v>(</v>
      </c>
      <c r="J1630">
        <f>+J1622</f>
        <v>1.865</v>
      </c>
      <c r="K1630" t="str">
        <v>+</v>
      </c>
      <c r="M1630" t="str">
        <v>=</v>
      </c>
      <c r="N1630">
        <f>J1630+L1630</f>
        <v>1.865</v>
      </c>
      <c r="O1630" t="str">
        <v>+</v>
      </c>
      <c r="P1630">
        <f>MAX(D1630-D1629,D1630-D1631)</f>
        <v>0</v>
      </c>
      <c r="Q1630" t="str">
        <v>x</v>
      </c>
      <c r="R1630">
        <f>IF(P1630&gt;0,2*(1-2*$F$19-1/2)*D1617/1000,0)</f>
        <v>0</v>
      </c>
      <c r="S1630" t="str">
        <v>)</v>
      </c>
      <c r="T1630" t="str">
        <v>x</v>
      </c>
      <c r="U1630">
        <f>0.006165*F1630^2</f>
        <v>1.041885</v>
      </c>
      <c r="X1630" t="str">
        <v>x</v>
      </c>
      <c r="Y1630">
        <f>D1620</f>
        <v>1</v>
      </c>
      <c r="Z1630" t="str">
        <v>=</v>
      </c>
      <c r="AA1630">
        <f>IF(AA1632=0,(D1630*N1630+P1630*R1630)*U1630*Y1630,0)</f>
        <v>0</v>
      </c>
    </row>
    <row r="1631">
      <c r="A1631" t="str">
        <f>A1614</f>
        <v>Sloof</v>
      </c>
      <c r="B1631">
        <f>B1614</f>
        <v>47</v>
      </c>
      <c r="C1631" t="str">
        <v>Tul Bawah Tumpuan</v>
      </c>
      <c r="D1631">
        <f>VLOOKUP(D1614,'Detail Balok'!$C$10:$AU$110,28,FALSE)</f>
        <v>2</v>
      </c>
      <c r="E1631" t="str">
        <v>D</v>
      </c>
      <c r="F1631">
        <f>VLOOKUP(D1614,'Detail Balok'!$C$10:$AU$110,30,FALSE)</f>
        <v>13</v>
      </c>
      <c r="I1631" t="str">
        <v>(</v>
      </c>
      <c r="J1631">
        <f>+J1623</f>
        <v>0.9325</v>
      </c>
      <c r="K1631" t="str">
        <v>+</v>
      </c>
      <c r="L1631">
        <f>MAX(VLOOKUP(F1631,N$6:P$15,3,FALSE)/1000,2/3*D1619/1000)+F$16*F1631/1000</f>
        <v>0.156</v>
      </c>
      <c r="M1631" t="str">
        <v>=</v>
      </c>
      <c r="N1631">
        <f>J1631+L1631</f>
        <v>1.0885</v>
      </c>
      <c r="O1631" t="str">
        <v>+</v>
      </c>
      <c r="P1631">
        <f>D1631-D1630</f>
        <v>0</v>
      </c>
      <c r="Q1631" t="str">
        <v>x</v>
      </c>
      <c r="R1631">
        <f>IF(P1631&gt;0,$F$18*F1631/1000,0)</f>
        <v>0</v>
      </c>
      <c r="S1631" t="str">
        <v>)</v>
      </c>
      <c r="T1631" t="str">
        <v>x</v>
      </c>
      <c r="U1631">
        <f>0.006165*F1631^2</f>
        <v>1.041885</v>
      </c>
      <c r="X1631" t="str">
        <v>x</v>
      </c>
      <c r="Y1631">
        <f>D1620</f>
        <v>1</v>
      </c>
      <c r="Z1631" t="str">
        <v>=</v>
      </c>
      <c r="AA1631">
        <f>IF(AA1632=0,(D1631*N1631+P1631*R1631)*U1631*Y1631,0)</f>
        <v>0</v>
      </c>
    </row>
    <row r="1632">
      <c r="A1632" t="str">
        <f>A1614</f>
        <v>Sloof</v>
      </c>
      <c r="B1632">
        <f>B1614</f>
        <v>47</v>
      </c>
      <c r="D1632">
        <f>IF(AND(D1629=D1630,D1630=D1631,D1629=D1631),D1629,0)</f>
        <v>2</v>
      </c>
      <c r="E1632" t="str">
        <v>D</v>
      </c>
      <c r="F1632">
        <f>IF(AND(F1629=F1630,F1629=F1631,F1630=F1631),F1629,0)</f>
        <v>13</v>
      </c>
      <c r="L1632" t="str">
        <v>Total panjang per balok</v>
      </c>
      <c r="M1632" t="str">
        <v>=</v>
      </c>
      <c r="N1632">
        <f>IF(AND(D1629=D1630,D1629=D1631,D1630=D1631,F1629=F1630,F1629=F1631,F1630=F1631),SUM(N1629:N1631),0)</f>
        <v>4.042</v>
      </c>
      <c r="O1632" t="str">
        <v>+</v>
      </c>
      <c r="P1632">
        <f>IF(N1632&gt;12,ROUNDDOWN(N1632/12,0),0)</f>
        <v>0</v>
      </c>
      <c r="Q1632" t="str">
        <v>x</v>
      </c>
      <c r="R1632">
        <f>IF(P1632&gt;0,MAX(VLOOKUP(F1632,$D$6:$G$15,3,FALSE),600),0)/1000</f>
        <v>0</v>
      </c>
      <c r="T1632" t="str">
        <v>x</v>
      </c>
      <c r="U1632">
        <f>U1631</f>
        <v>1.041885</v>
      </c>
      <c r="V1632" t="str">
        <v>x</v>
      </c>
      <c r="W1632">
        <f>D1632</f>
        <v>2</v>
      </c>
      <c r="X1632" t="str">
        <v>x</v>
      </c>
      <c r="Y1632">
        <f>Y1631</f>
        <v>1</v>
      </c>
      <c r="Z1632" t="str">
        <v>=</v>
      </c>
      <c r="AA1632">
        <f>(N1632+P1632*R1632/1000)*U1632*W1632*Y1632</f>
        <v>8.422598339999999</v>
      </c>
    </row>
    <row r="1634">
      <c r="A1634" t="str">
        <f>A1614</f>
        <v>Sloof</v>
      </c>
      <c r="B1634">
        <f>B1614</f>
        <v>47</v>
      </c>
      <c r="C1634" t="str">
        <v>Sengkang Tumpuan</v>
      </c>
      <c r="D1634">
        <f>VLOOKUP(D1614,'Detail Balok'!$C$10:$AU$110,31,FALSE)</f>
        <v>0</v>
      </c>
      <c r="E1634" t="str">
        <v>D</v>
      </c>
      <c r="F1634">
        <f>VLOOKUP(D1614,'Detail Balok'!$C$10:$AU$110,33,FALSE)</f>
        <v>8</v>
      </c>
      <c r="G1634" t="str">
        <v>-</v>
      </c>
      <c r="H1634">
        <f>VLOOKUP(D1614,'Detail Balok'!$C$10:$AU$110,35,FALSE)</f>
        <v>150</v>
      </c>
      <c r="J1634">
        <f>(IF(D1634=0,(2*(D1615+G1615))-(F$5*8),IF(D1634=3,(2*(D1615+G1615))-(F$5*8)+(G1615-2*F$5),IF(D1634=4,(2*(D1615+G1615))-(F$5*8)+2*(G1615-2*F$5)))))/1000</f>
        <v>0.68</v>
      </c>
      <c r="K1634" t="str">
        <v>+</v>
      </c>
      <c r="L1634">
        <f>IF(D1634=0,2*MAX(6*F1634,75),(D1634-1)*2*MAX(6*F1634,75))/1000</f>
        <v>0.15</v>
      </c>
      <c r="M1634" t="str">
        <v>=</v>
      </c>
      <c r="N1634">
        <f>J1634+L1634</f>
        <v>0.8300000000000001</v>
      </c>
      <c r="T1634" t="str">
        <v>x</v>
      </c>
      <c r="U1634">
        <f>0.006165*F1634^2</f>
        <v>0.39456</v>
      </c>
      <c r="V1634" t="str">
        <v>x</v>
      </c>
      <c r="W1634">
        <f>IF(D1617&gt;4*G1615,ROUND(MAX(D1617/4,2*G1615)/H1634,0)+1,ROUND(D1617/H1634,0)+1)</f>
        <v>7</v>
      </c>
      <c r="X1634" t="str">
        <v>x</v>
      </c>
      <c r="Y1634">
        <f>D1620</f>
        <v>1</v>
      </c>
      <c r="Z1634" t="str">
        <v>=</v>
      </c>
      <c r="AA1634">
        <f>N1634*U1634*W1634*Y1634</f>
        <v>2.2923936</v>
      </c>
    </row>
    <row r="1635">
      <c r="A1635" t="str">
        <f>A1614</f>
        <v>Sloof</v>
      </c>
      <c r="B1635">
        <f>B1614</f>
        <v>47</v>
      </c>
      <c r="C1635" t="str">
        <v>Sengkang Lapangan</v>
      </c>
      <c r="D1635">
        <f>VLOOKUP(D1614,'Detail Balok'!$C$10:$AU$110,36,FALSE)</f>
        <v>0</v>
      </c>
      <c r="E1635" t="str">
        <v>D</v>
      </c>
      <c r="F1635">
        <f>VLOOKUP(D1614,'Detail Balok'!$C$10:$AU$110,38,FALSE)</f>
        <v>8</v>
      </c>
      <c r="G1635" t="str">
        <v>-</v>
      </c>
      <c r="H1635">
        <f>VLOOKUP(D1614,'Detail Balok'!$C$10:$AU$110,40,FALSE)</f>
        <v>150</v>
      </c>
      <c r="J1635">
        <f>(IF(D1635=0,(2*(D1615+G1615))-(F$5*8),IF(D1635=3,(2*(D1615+G1615))-(F$5*8)+(G1615-2*F$5),IF(D1635=4,(2*(D1615+G1615))-(F$5*8)+2*(G1615-2*F$5)))))/1000</f>
        <v>0.68</v>
      </c>
      <c r="K1635" t="str">
        <v>+</v>
      </c>
      <c r="L1635">
        <f>IF(D1635=0,2*MAX(6*F1635,75),(D1635-1)*2*MAX(6*F1635,75))/1000</f>
        <v>0.15</v>
      </c>
      <c r="M1635" t="str">
        <v>=</v>
      </c>
      <c r="N1635">
        <f>J1635+L1635</f>
        <v>0.8300000000000001</v>
      </c>
      <c r="T1635" t="str">
        <v>x</v>
      </c>
      <c r="U1635">
        <f>0.006165*F1635^2</f>
        <v>0.39456</v>
      </c>
      <c r="V1635" t="str">
        <v>x</v>
      </c>
      <c r="W1635">
        <f>IF(D1617-MAX(D1617/4,2*G1615)*2&gt;0,ROUND((D1617-MAX(D1617/4,2*G1615)*2)/H1635,0),0)</f>
        <v>12</v>
      </c>
      <c r="X1635" t="str">
        <v>x</v>
      </c>
      <c r="Y1635">
        <f>D1620</f>
        <v>1</v>
      </c>
      <c r="Z1635" t="str">
        <v>=</v>
      </c>
      <c r="AA1635">
        <f>N1635*U1635*W1635*Y1635</f>
        <v>3.9298176000000002</v>
      </c>
    </row>
    <row r="1636">
      <c r="A1636" t="str">
        <f>A1614</f>
        <v>Sloof</v>
      </c>
      <c r="B1636">
        <f>B1614</f>
        <v>47</v>
      </c>
      <c r="C1636" t="str">
        <v>Sengkang Tumpuan</v>
      </c>
      <c r="D1636">
        <f>VLOOKUP(D1614,'Detail Balok'!$C$10:$AU$110,41,FALSE)</f>
        <v>0</v>
      </c>
      <c r="E1636" t="str">
        <v>D</v>
      </c>
      <c r="F1636">
        <f>VLOOKUP(D1614,'Detail Balok'!$C$10:$AU$110,43,FALSE)</f>
        <v>8</v>
      </c>
      <c r="G1636" t="str">
        <v>-</v>
      </c>
      <c r="H1636">
        <f>VLOOKUP(D1614,'Detail Balok'!$C$10:$AU$110,45,FALSE)</f>
        <v>150</v>
      </c>
      <c r="J1636">
        <f>(IF(D1636=0,(2*(D1615+G1615))-(F$5*8),IF(D1636=3,(2*(D1615+G1615))-(F$5*8)+(G1615-2*F$5),IF(D1636=4,(2*(D1615+G1615))-(F$5*8)+2*(G1615-2*F$5)))))/1000</f>
        <v>0.68</v>
      </c>
      <c r="K1636" t="str">
        <v>+</v>
      </c>
      <c r="L1636">
        <f>IF(D1636=0,2*MAX(6*F1636,75),(D1636-1)*2*MAX(6*F1636,75))/1000</f>
        <v>0.15</v>
      </c>
      <c r="M1636" t="str">
        <v>=</v>
      </c>
      <c r="N1636">
        <f>J1636+L1636</f>
        <v>0.8300000000000001</v>
      </c>
      <c r="T1636" t="str">
        <v>x</v>
      </c>
      <c r="U1636">
        <f>0.006165*F1636^2</f>
        <v>0.39456</v>
      </c>
      <c r="V1636" t="str">
        <v>x</v>
      </c>
      <c r="W1636">
        <f>IF(D1617&gt;4*G1615,ROUND(MAX(D1617/4,2*G1615)/H1636,0)+1,0)</f>
        <v>7</v>
      </c>
      <c r="X1636" t="str">
        <v>x</v>
      </c>
      <c r="Y1636">
        <f>D1620</f>
        <v>1</v>
      </c>
      <c r="Z1636" t="str">
        <v>=</v>
      </c>
      <c r="AA1636">
        <f>N1636*U1636*W1636*Y1636</f>
        <v>2.2923936</v>
      </c>
    </row>
    <row r="1638">
      <c r="A1638" t="str">
        <f>A1614</f>
        <v>Sloof</v>
      </c>
      <c r="B1638">
        <f>B1614</f>
        <v>47</v>
      </c>
      <c r="C1638" t="str">
        <v>Kait Horizontal Tump.</v>
      </c>
      <c r="D1638">
        <f>VLOOKUP(D1614,'Detail Balok'!$C$10:$BJ$110,46,FALSE)</f>
        <v>0</v>
      </c>
      <c r="E1638" t="str">
        <v>D</v>
      </c>
      <c r="F1638">
        <f>VLOOKUP(D1614,'Detail Balok'!$C$10:$BJ$110,48,FALSE)</f>
        <v>0</v>
      </c>
      <c r="G1638" t="str">
        <v>-</v>
      </c>
      <c r="H1638">
        <f>VLOOKUP(D1614,'Detail Balok'!$C$10:$BJ$110,50,FALSE)</f>
        <v>100</v>
      </c>
      <c r="J1638">
        <f>(D1615-2*F$5)/1000</f>
        <v>0.12</v>
      </c>
      <c r="K1638" t="str">
        <v>+</v>
      </c>
      <c r="L1638">
        <f>IF(D1638=0,2*MAX(6*F1638,75),(D1638-1)*2*MAX(6*F1638,75))/1000</f>
        <v>0.15</v>
      </c>
      <c r="M1638" t="str">
        <v>=</v>
      </c>
      <c r="N1638">
        <f>J1638+L1638</f>
        <v>0.27</v>
      </c>
      <c r="T1638" t="str">
        <v>x</v>
      </c>
      <c r="U1638">
        <f>0.006165*F1638^2</f>
        <v>0</v>
      </c>
      <c r="V1638" t="str">
        <v>x</v>
      </c>
      <c r="W1638">
        <f>W1634</f>
        <v>7</v>
      </c>
      <c r="X1638" t="str">
        <v>x</v>
      </c>
      <c r="Y1638">
        <f>D1624</f>
        <v>2</v>
      </c>
      <c r="Z1638" t="str">
        <v>=</v>
      </c>
      <c r="AA1638">
        <f>N1638*U1638*W1638*Y1638</f>
        <v>0</v>
      </c>
    </row>
    <row r="1639">
      <c r="A1639" t="str">
        <f>A1614</f>
        <v>Sloof</v>
      </c>
      <c r="B1639">
        <f>B1614</f>
        <v>47</v>
      </c>
      <c r="C1639" t="str">
        <v>Kait Horizontal Lap.</v>
      </c>
      <c r="D1639">
        <f>VLOOKUP(D1614,'Detail Balok'!$C$10:$BJ$110,51,FALSE)</f>
        <v>0</v>
      </c>
      <c r="E1639" t="str">
        <v>D</v>
      </c>
      <c r="F1639">
        <f>VLOOKUP(D1614,'Detail Balok'!$C$10:$BJ$110,53,FALSE)</f>
        <v>0</v>
      </c>
      <c r="G1639" t="str">
        <v>-</v>
      </c>
      <c r="H1639">
        <f>VLOOKUP(D1614,'Detail Balok'!$C$10:$BJ$110,55,FALSE)</f>
        <v>100</v>
      </c>
      <c r="J1639">
        <f>(D1615-2*F$5)/1000</f>
        <v>0.12</v>
      </c>
      <c r="K1639" t="str">
        <v>+</v>
      </c>
      <c r="L1639">
        <f>IF(D1639=0,2*MAX(6*F1639,75),(D1639-1)*2*MAX(6*F1639,75))/1000</f>
        <v>0.15</v>
      </c>
      <c r="M1639" t="str">
        <v>=</v>
      </c>
      <c r="N1639">
        <f>J1639+L1639</f>
        <v>0.27</v>
      </c>
      <c r="T1639" t="str">
        <v>x</v>
      </c>
      <c r="U1639">
        <f>0.006165*F1639^2</f>
        <v>0</v>
      </c>
      <c r="V1639" t="str">
        <v>x</v>
      </c>
      <c r="W1639">
        <f>W1635</f>
        <v>12</v>
      </c>
      <c r="X1639" t="str">
        <v>x</v>
      </c>
      <c r="Y1639">
        <f>D1624</f>
        <v>2</v>
      </c>
      <c r="Z1639" t="str">
        <v>=</v>
      </c>
      <c r="AA1639">
        <f>N1639*U1639*W1639*Y1639</f>
        <v>0</v>
      </c>
    </row>
    <row r="1640">
      <c r="A1640" t="str">
        <f>A1614</f>
        <v>Sloof</v>
      </c>
      <c r="B1640">
        <f>B1614</f>
        <v>47</v>
      </c>
      <c r="C1640" t="str">
        <v>Kait Horizontal Tump.</v>
      </c>
      <c r="D1640">
        <f>VLOOKUP(D1614,'Detail Balok'!$C$10:$BJ$110,56,FALSE)</f>
        <v>0</v>
      </c>
      <c r="E1640" t="str">
        <v>D</v>
      </c>
      <c r="F1640">
        <f>VLOOKUP(D1614,'Detail Balok'!$C$10:$BJ$110,58,FALSE)</f>
        <v>0</v>
      </c>
      <c r="G1640" t="str">
        <v>-</v>
      </c>
      <c r="H1640">
        <f>VLOOKUP(D1614,'Detail Balok'!$C$10:$BJ$110,60,FALSE)</f>
        <v>100</v>
      </c>
      <c r="J1640">
        <f>(D1615-2*F$5)/1000</f>
        <v>0.12</v>
      </c>
      <c r="K1640" t="str">
        <v>+</v>
      </c>
      <c r="L1640">
        <f>IF(D1640=0,2*MAX(6*F1640,75),(D1640-1)*2*MAX(6*F1640,75))/1000</f>
        <v>0.15</v>
      </c>
      <c r="M1640" t="str">
        <v>=</v>
      </c>
      <c r="N1640">
        <f>J1640+L1640</f>
        <v>0.27</v>
      </c>
      <c r="T1640" t="str">
        <v>x</v>
      </c>
      <c r="U1640">
        <f>0.006165*F1640^2</f>
        <v>0</v>
      </c>
      <c r="V1640" t="str">
        <v>x</v>
      </c>
      <c r="W1640">
        <f>W1636</f>
        <v>7</v>
      </c>
      <c r="X1640" t="str">
        <v>x</v>
      </c>
      <c r="Y1640">
        <f>D1624</f>
        <v>2</v>
      </c>
      <c r="Z1640" t="str">
        <v>=</v>
      </c>
      <c r="AA1640">
        <f>N1640*U1640*W1640*Y1640</f>
        <v>0</v>
      </c>
    </row>
    <row r="1644">
      <c r="A1644" t="str">
        <f>A1614</f>
        <v>Sloof</v>
      </c>
      <c r="B1644">
        <f>B1614+1</f>
        <v>48</v>
      </c>
      <c r="C1644" t="str">
        <f>CONCATENATE(A1644," no. ",B1644)</f>
        <v>Sloof no. 48</v>
      </c>
      <c r="D1644" t="str">
        <f>VLOOKUP(C1644,'Data Panjang Balok'!$C$9:$N$424,2,FALSE)</f>
        <v>TB245-1</v>
      </c>
    </row>
    <row r="1645">
      <c r="C1645" t="str">
        <v>Dimensi</v>
      </c>
      <c r="D1645">
        <f>VLOOKUP(D1644,'Detail Balok'!$C$10:$AU$110,2,FALSE)</f>
        <v>200</v>
      </c>
      <c r="F1645" t="str">
        <v>x</v>
      </c>
      <c r="G1645">
        <f>VLOOKUP(D1644,'Detail Balok'!$C$10:$AU$110,3,FALSE)</f>
        <v>450</v>
      </c>
    </row>
    <row r="1646">
      <c r="C1646" t="str">
        <v>Panjang as ke as</v>
      </c>
      <c r="D1646">
        <f>VLOOKUP(C1644,'Data Panjang Balok'!$C$9:$N$424,4,FALSE)</f>
        <v>6085</v>
      </c>
    </row>
    <row r="1647">
      <c r="C1647" t="str">
        <v>Panjang netto</v>
      </c>
      <c r="D1647">
        <f>VLOOKUP(C1644,'Data Panjang Balok'!$C$9:$N$424,7,FALSE)</f>
        <v>6085</v>
      </c>
    </row>
    <row r="1648">
      <c r="C1648" t="str">
        <v>Kolom / balok kiri</v>
      </c>
      <c r="D1648">
        <f>VLOOKUP(C1644,'Data Panjang Balok'!$C$9:$N$424,9,FALSE)</f>
        <v>0</v>
      </c>
    </row>
    <row r="1649">
      <c r="C1649" t="str">
        <v>Kolom / balok kanan</v>
      </c>
      <c r="D1649">
        <f>VLOOKUP(C1644,'Data Panjang Balok'!$C$9:$N$424,10,FALSE)</f>
        <v>0</v>
      </c>
    </row>
    <row r="1650">
      <c r="C1650" t="str">
        <v>Jumlah</v>
      </c>
      <c r="D1650">
        <f>VLOOKUP(C1644,'Data Panjang Balok'!$C$9:$N$424,3,FALSE)</f>
        <v>1</v>
      </c>
    </row>
    <row r="1651">
      <c r="A1651" t="str">
        <f>A1644</f>
        <v>Sloof</v>
      </c>
      <c r="B1651">
        <f>B1644</f>
        <v>48</v>
      </c>
      <c r="C1651" t="str">
        <v>Tul Atas Tumpuan</v>
      </c>
      <c r="D1651">
        <f>VLOOKUP(D1644,'Detail Balok'!$C$10:$AU$110,4,FALSE)</f>
        <v>3</v>
      </c>
      <c r="E1651" t="str">
        <v>D</v>
      </c>
      <c r="F1651">
        <f>VLOOKUP(D1644,'Detail Balok'!$C$10:$AU$110,6,FALSE)</f>
        <v>13</v>
      </c>
      <c r="I1651" t="str">
        <v>(</v>
      </c>
      <c r="J1651">
        <f>+D1646/4/1000</f>
        <v>1.52125</v>
      </c>
      <c r="K1651" t="str">
        <v>+</v>
      </c>
      <c r="L1651">
        <f>MAX(VLOOKUP(F1651,N$6:P$15,3,FALSE)/1000,2/3*D1648/1000)+F$16*F1651/1000</f>
        <v>0.156</v>
      </c>
      <c r="M1651" t="str">
        <v>=</v>
      </c>
      <c r="N1651">
        <f>J1651+L1651</f>
        <v>1.67725</v>
      </c>
      <c r="O1651" t="str">
        <v>+</v>
      </c>
      <c r="P1651">
        <f>D1651-D1652</f>
        <v>0</v>
      </c>
      <c r="Q1651" t="str">
        <v>x</v>
      </c>
      <c r="R1651">
        <f>IF(P1651&gt;0,$F$18*F1651/1000,0)</f>
        <v>0</v>
      </c>
      <c r="S1651" t="str">
        <v>)</v>
      </c>
      <c r="T1651" t="str">
        <v>x</v>
      </c>
      <c r="U1651">
        <f>0.006165*F1651^2</f>
        <v>1.041885</v>
      </c>
      <c r="X1651" t="str">
        <v>x</v>
      </c>
      <c r="Y1651">
        <f>D1650</f>
        <v>1</v>
      </c>
      <c r="Z1651" t="str">
        <v>=</v>
      </c>
      <c r="AA1651">
        <f>IF(AA1654=0,(D1651*N1651+P1651*R1651)*U1651*Y1651,0)</f>
        <v>0</v>
      </c>
    </row>
    <row r="1652">
      <c r="A1652" t="str">
        <f>A1644</f>
        <v>Sloof</v>
      </c>
      <c r="B1652">
        <f>B1644</f>
        <v>48</v>
      </c>
      <c r="C1652" t="str">
        <v>Tul Atas Lapangan</v>
      </c>
      <c r="D1652">
        <f>VLOOKUP(D1644,'Detail Balok'!$C$10:$AU$110,7,FALSE)</f>
        <v>3</v>
      </c>
      <c r="E1652" t="str">
        <v>D</v>
      </c>
      <c r="F1652">
        <f>VLOOKUP(D1644,'Detail Balok'!$C$10:$AU$110,9,FALSE)</f>
        <v>13</v>
      </c>
      <c r="I1652" t="str">
        <v>(</v>
      </c>
      <c r="J1652">
        <f>+D1646/2/1000</f>
        <v>3.0425</v>
      </c>
      <c r="K1652" t="str">
        <v>+</v>
      </c>
      <c r="M1652" t="str">
        <v>=</v>
      </c>
      <c r="N1652">
        <f>J1652+L1652</f>
        <v>3.0425</v>
      </c>
      <c r="O1652" t="str">
        <v>+</v>
      </c>
      <c r="P1652">
        <f>MAX(D1652-D1651,D1652-D1653)</f>
        <v>0</v>
      </c>
      <c r="Q1652" t="str">
        <v>x</v>
      </c>
      <c r="R1652">
        <f>IF(P1652&gt;0,2*(1-2*$F$19-1/2)*D1647/1000,0)</f>
        <v>0</v>
      </c>
      <c r="S1652" t="str">
        <v>)</v>
      </c>
      <c r="T1652" t="str">
        <v>x</v>
      </c>
      <c r="U1652">
        <f>0.006165*F1652^2</f>
        <v>1.041885</v>
      </c>
      <c r="X1652" t="str">
        <v>x</v>
      </c>
      <c r="Y1652">
        <f>D1650</f>
        <v>1</v>
      </c>
      <c r="Z1652" t="str">
        <v>=</v>
      </c>
      <c r="AA1652">
        <f>IF(AA1654=0,(D1652*N1652+P1652*R1652)*U1652*Y1652,0)</f>
        <v>0</v>
      </c>
    </row>
    <row r="1653">
      <c r="A1653" t="str">
        <f>A1644</f>
        <v>Sloof</v>
      </c>
      <c r="B1653">
        <f>B1644</f>
        <v>48</v>
      </c>
      <c r="C1653" t="str">
        <v>Tul Atas Tumpuan</v>
      </c>
      <c r="D1653">
        <f>VLOOKUP(D1644,'Detail Balok'!$C$10:$AU$110,10,FALSE)</f>
        <v>3</v>
      </c>
      <c r="E1653" t="str">
        <v>D</v>
      </c>
      <c r="F1653">
        <f>VLOOKUP(D1644,'Detail Balok'!$C$10:$AU$110,12,FALSE)</f>
        <v>13</v>
      </c>
      <c r="I1653" t="str">
        <v>(</v>
      </c>
      <c r="J1653">
        <f>+D1646/4/1000</f>
        <v>1.52125</v>
      </c>
      <c r="K1653" t="str">
        <v>+</v>
      </c>
      <c r="L1653">
        <f>MAX(VLOOKUP(F1653,N$6:P$15,3,FALSE)/1000,2/3*D1648/1000)+F$16*F1653/1000</f>
        <v>0.156</v>
      </c>
      <c r="M1653" t="str">
        <v>=</v>
      </c>
      <c r="N1653">
        <f>J1653+L1653</f>
        <v>1.67725</v>
      </c>
      <c r="O1653" t="str">
        <v>+</v>
      </c>
      <c r="P1653">
        <f>D1653-D1652</f>
        <v>0</v>
      </c>
      <c r="Q1653" t="str">
        <v>x</v>
      </c>
      <c r="R1653">
        <f>IF(P1653&gt;0,$F$18*F1653/1000,0)</f>
        <v>0</v>
      </c>
      <c r="S1653" t="str">
        <v>)</v>
      </c>
      <c r="T1653" t="str">
        <v>x</v>
      </c>
      <c r="U1653">
        <f>0.006165*F1653^2</f>
        <v>1.041885</v>
      </c>
      <c r="X1653" t="str">
        <v>x</v>
      </c>
      <c r="Y1653">
        <f>D1650</f>
        <v>1</v>
      </c>
      <c r="Z1653" t="str">
        <v>=</v>
      </c>
      <c r="AA1653">
        <f>IF(AA1654=0,(D1653*N1653+P1653*R1653)*U1653*Y1653,0)</f>
        <v>0</v>
      </c>
    </row>
    <row r="1654">
      <c r="A1654" t="str">
        <f>A1644</f>
        <v>Sloof</v>
      </c>
      <c r="B1654">
        <f>B1644</f>
        <v>48</v>
      </c>
      <c r="D1654">
        <f>IF(AND(D1651=D1652,D1652=D1653,D1651=D1653),D1651,0)</f>
        <v>3</v>
      </c>
      <c r="E1654" t="str">
        <v>D</v>
      </c>
      <c r="F1654">
        <f>IF(AND(F1651=F1652,F1651=F1653,F1652=F1653),F1651,0)</f>
        <v>13</v>
      </c>
      <c r="L1654" t="str">
        <v>Total panjang per balok</v>
      </c>
      <c r="M1654" t="str">
        <v>=</v>
      </c>
      <c r="N1654">
        <f>IF(AND(D1651=D1652,D1651=D1653,D1652=D1653,F1651=F1652,F1651=F1653,F1652=F1653),SUM(N1651:N1653),0)</f>
        <v>6.396999999999999</v>
      </c>
      <c r="O1654" t="str">
        <v>+</v>
      </c>
      <c r="P1654">
        <f>IF(N1654&gt;12,ROUNDDOWN(N1654/12,0),0)</f>
        <v>0</v>
      </c>
      <c r="Q1654" t="str">
        <v>x</v>
      </c>
      <c r="R1654">
        <f>IF(P1654&gt;0,MAX(VLOOKUP(F1654,$D$6:$G$15,3,FALSE),600),0)/1000</f>
        <v>0</v>
      </c>
      <c r="T1654" t="str">
        <v>x</v>
      </c>
      <c r="U1654">
        <f>U1653</f>
        <v>1.041885</v>
      </c>
      <c r="V1654" t="str">
        <v>x</v>
      </c>
      <c r="W1654">
        <f>D1654</f>
        <v>3</v>
      </c>
      <c r="X1654" t="str">
        <v>x</v>
      </c>
      <c r="Y1654">
        <f>Y1653</f>
        <v>1</v>
      </c>
      <c r="Z1654" t="str">
        <v>=</v>
      </c>
      <c r="AA1654">
        <f>(N1654+P1654*R1654/1000)*U1654*W1654*Y1654</f>
        <v>19.994815034999995</v>
      </c>
    </row>
    <row r="1656">
      <c r="A1656" t="str">
        <f>A1644</f>
        <v>Sloof</v>
      </c>
      <c r="B1656">
        <f>B1644</f>
        <v>48</v>
      </c>
      <c r="C1656" t="str">
        <v>Tul Peminggang</v>
      </c>
      <c r="D1656">
        <f>VLOOKUP(D1644,'Detail Balok'!$C$10:$AU$110,13,FALSE)</f>
        <v>2</v>
      </c>
      <c r="E1656" t="str">
        <v>D</v>
      </c>
      <c r="F1656">
        <f>VLOOKUP(D1644,'Detail Balok'!$C$10:$AU$110,15,FALSE)</f>
        <v>8</v>
      </c>
      <c r="J1656">
        <f>+D1646/1000</f>
        <v>6.085</v>
      </c>
      <c r="K1656" t="str">
        <v>+</v>
      </c>
      <c r="L1656">
        <f>2*$F$16*F1656/1000</f>
        <v>0.192</v>
      </c>
      <c r="M1656" t="str">
        <v>=</v>
      </c>
      <c r="N1656">
        <f>J1656+L1656</f>
        <v>6.277</v>
      </c>
      <c r="O1656" t="str">
        <v>+</v>
      </c>
      <c r="P1656">
        <f>IF(N1656&gt;12,ROUNDDOWN(N1656/12,0),0)</f>
        <v>0</v>
      </c>
      <c r="Q1656" t="str">
        <v>x</v>
      </c>
      <c r="R1656">
        <f>IF(P1656&gt;0,MAX(VLOOKUP(F1656,$D$6:$G$15,3,FALSE),600),0)/1000</f>
        <v>0</v>
      </c>
      <c r="T1656" t="str">
        <v>x</v>
      </c>
      <c r="U1656">
        <f>0.006165*F1656^2</f>
        <v>0.39456</v>
      </c>
      <c r="V1656" t="str">
        <v>x</v>
      </c>
      <c r="W1656">
        <f>+D1656</f>
        <v>2</v>
      </c>
      <c r="X1656" t="str">
        <v>x</v>
      </c>
      <c r="Y1656">
        <f>D1650</f>
        <v>1</v>
      </c>
      <c r="Z1656" t="str">
        <v>=</v>
      </c>
      <c r="AA1656">
        <f>(N1656+P1656*R1656/1000)*U1656*W1656*Y1656</f>
        <v>4.953306240000001</v>
      </c>
    </row>
    <row r="1659">
      <c r="A1659" t="str">
        <f>A1644</f>
        <v>Sloof</v>
      </c>
      <c r="B1659">
        <f>B1644</f>
        <v>48</v>
      </c>
      <c r="C1659" t="str">
        <v>Tul Bawah Tumpuan</v>
      </c>
      <c r="D1659">
        <f>VLOOKUP(D1644,'Detail Balok'!$C$10:$AU$110,22,FALSE)</f>
        <v>3</v>
      </c>
      <c r="E1659" t="str">
        <v>D</v>
      </c>
      <c r="F1659">
        <f>VLOOKUP(D1644,'Detail Balok'!$C$10:$AU$110,24,FALSE)</f>
        <v>13</v>
      </c>
      <c r="I1659" t="str">
        <v>(</v>
      </c>
      <c r="J1659">
        <f>+J1651</f>
        <v>1.52125</v>
      </c>
      <c r="K1659" t="str">
        <v>+</v>
      </c>
      <c r="L1659">
        <f>MAX(VLOOKUP(F1659,N$6:P$15,3,FALSE)/1000,2/3*D1649/1000)+F$16*F1659/1000</f>
        <v>0.156</v>
      </c>
      <c r="M1659" t="str">
        <v>=</v>
      </c>
      <c r="N1659">
        <f>J1659+L1659</f>
        <v>1.67725</v>
      </c>
      <c r="O1659" t="str">
        <v>+</v>
      </c>
      <c r="P1659">
        <f>D1659-D1660</f>
        <v>0</v>
      </c>
      <c r="Q1659" t="str">
        <v>x</v>
      </c>
      <c r="R1659">
        <f>IF(P1659&gt;0,$F$18*F1659/1000,0)</f>
        <v>0</v>
      </c>
      <c r="S1659" t="str">
        <v>)</v>
      </c>
      <c r="T1659" t="str">
        <v>x</v>
      </c>
      <c r="U1659">
        <f>0.006165*F1659^2</f>
        <v>1.041885</v>
      </c>
      <c r="X1659" t="str">
        <v>x</v>
      </c>
      <c r="Y1659">
        <f>D1650</f>
        <v>1</v>
      </c>
      <c r="Z1659" t="str">
        <v>=</v>
      </c>
      <c r="AA1659">
        <f>IF(AA1662=0,(D1659*N1659+P1659*R1659)*U1659*Y1659,0)</f>
        <v>0</v>
      </c>
    </row>
    <row r="1660">
      <c r="A1660" t="str">
        <f>A1644</f>
        <v>Sloof</v>
      </c>
      <c r="B1660">
        <f>B1644</f>
        <v>48</v>
      </c>
      <c r="C1660" t="str">
        <v>Tul Bawah Lapangan</v>
      </c>
      <c r="D1660">
        <f>VLOOKUP(D1644,'Detail Balok'!$C$10:$AU$110,25,FALSE)</f>
        <v>3</v>
      </c>
      <c r="E1660" t="str">
        <v>D</v>
      </c>
      <c r="F1660">
        <f>VLOOKUP(D1644,'Detail Balok'!$C$10:$AU$110,27,FALSE)</f>
        <v>13</v>
      </c>
      <c r="I1660" t="str">
        <v>(</v>
      </c>
      <c r="J1660">
        <f>+J1652</f>
        <v>3.0425</v>
      </c>
      <c r="K1660" t="str">
        <v>+</v>
      </c>
      <c r="M1660" t="str">
        <v>=</v>
      </c>
      <c r="N1660">
        <f>J1660+L1660</f>
        <v>3.0425</v>
      </c>
      <c r="O1660" t="str">
        <v>+</v>
      </c>
      <c r="P1660">
        <f>MAX(D1660-D1659,D1660-D1661)</f>
        <v>0</v>
      </c>
      <c r="Q1660" t="str">
        <v>x</v>
      </c>
      <c r="R1660">
        <f>IF(P1660&gt;0,2*(1-2*$F$19-1/2)*D1647/1000,0)</f>
        <v>0</v>
      </c>
      <c r="S1660" t="str">
        <v>)</v>
      </c>
      <c r="T1660" t="str">
        <v>x</v>
      </c>
      <c r="U1660">
        <f>0.006165*F1660^2</f>
        <v>1.041885</v>
      </c>
      <c r="X1660" t="str">
        <v>x</v>
      </c>
      <c r="Y1660">
        <f>D1650</f>
        <v>1</v>
      </c>
      <c r="Z1660" t="str">
        <v>=</v>
      </c>
      <c r="AA1660">
        <f>IF(AA1662=0,(D1660*N1660+P1660*R1660)*U1660*Y1660,0)</f>
        <v>0</v>
      </c>
    </row>
    <row r="1661">
      <c r="A1661" t="str">
        <f>A1644</f>
        <v>Sloof</v>
      </c>
      <c r="B1661">
        <f>B1644</f>
        <v>48</v>
      </c>
      <c r="C1661" t="str">
        <v>Tul Bawah Tumpuan</v>
      </c>
      <c r="D1661">
        <f>VLOOKUP(D1644,'Detail Balok'!$C$10:$AU$110,28,FALSE)</f>
        <v>3</v>
      </c>
      <c r="E1661" t="str">
        <v>D</v>
      </c>
      <c r="F1661">
        <f>VLOOKUP(D1644,'Detail Balok'!$C$10:$AU$110,30,FALSE)</f>
        <v>13</v>
      </c>
      <c r="I1661" t="str">
        <v>(</v>
      </c>
      <c r="J1661">
        <f>+J1653</f>
        <v>1.52125</v>
      </c>
      <c r="K1661" t="str">
        <v>+</v>
      </c>
      <c r="L1661">
        <f>MAX(VLOOKUP(F1661,N$6:P$15,3,FALSE)/1000,2/3*D1649/1000)+F$16*F1661/1000</f>
        <v>0.156</v>
      </c>
      <c r="M1661" t="str">
        <v>=</v>
      </c>
      <c r="N1661">
        <f>J1661+L1661</f>
        <v>1.67725</v>
      </c>
      <c r="O1661" t="str">
        <v>+</v>
      </c>
      <c r="P1661">
        <f>D1661-D1660</f>
        <v>0</v>
      </c>
      <c r="Q1661" t="str">
        <v>x</v>
      </c>
      <c r="R1661">
        <f>IF(P1661&gt;0,$F$18*F1661/1000,0)</f>
        <v>0</v>
      </c>
      <c r="S1661" t="str">
        <v>)</v>
      </c>
      <c r="T1661" t="str">
        <v>x</v>
      </c>
      <c r="U1661">
        <f>0.006165*F1661^2</f>
        <v>1.041885</v>
      </c>
      <c r="X1661" t="str">
        <v>x</v>
      </c>
      <c r="Y1661">
        <f>D1650</f>
        <v>1</v>
      </c>
      <c r="Z1661" t="str">
        <v>=</v>
      </c>
      <c r="AA1661">
        <f>IF(AA1662=0,(D1661*N1661+P1661*R1661)*U1661*Y1661,0)</f>
        <v>0</v>
      </c>
    </row>
    <row r="1662">
      <c r="A1662" t="str">
        <f>A1644</f>
        <v>Sloof</v>
      </c>
      <c r="B1662">
        <f>B1644</f>
        <v>48</v>
      </c>
      <c r="D1662">
        <f>IF(AND(D1659=D1660,D1660=D1661,D1659=D1661),D1659,0)</f>
        <v>3</v>
      </c>
      <c r="E1662" t="str">
        <v>D</v>
      </c>
      <c r="F1662">
        <f>IF(AND(F1659=F1660,F1659=F1661,F1660=F1661),F1659,0)</f>
        <v>13</v>
      </c>
      <c r="L1662" t="str">
        <v>Total panjang per balok</v>
      </c>
      <c r="M1662" t="str">
        <v>=</v>
      </c>
      <c r="N1662">
        <f>IF(AND(D1659=D1660,D1659=D1661,D1660=D1661,F1659=F1660,F1659=F1661,F1660=F1661),SUM(N1659:N1661),0)</f>
        <v>6.396999999999999</v>
      </c>
      <c r="O1662" t="str">
        <v>+</v>
      </c>
      <c r="P1662">
        <f>IF(N1662&gt;12,ROUNDDOWN(N1662/12,0),0)</f>
        <v>0</v>
      </c>
      <c r="Q1662" t="str">
        <v>x</v>
      </c>
      <c r="R1662">
        <f>IF(P1662&gt;0,MAX(VLOOKUP(F1662,$D$6:$G$15,3,FALSE),600),0)/1000</f>
        <v>0</v>
      </c>
      <c r="T1662" t="str">
        <v>x</v>
      </c>
      <c r="U1662">
        <f>U1661</f>
        <v>1.041885</v>
      </c>
      <c r="V1662" t="str">
        <v>x</v>
      </c>
      <c r="W1662">
        <f>D1662</f>
        <v>3</v>
      </c>
      <c r="X1662" t="str">
        <v>x</v>
      </c>
      <c r="Y1662">
        <f>Y1661</f>
        <v>1</v>
      </c>
      <c r="Z1662" t="str">
        <v>=</v>
      </c>
      <c r="AA1662">
        <f>(N1662+P1662*R1662/1000)*U1662*W1662*Y1662</f>
        <v>19.994815034999995</v>
      </c>
    </row>
    <row r="1664">
      <c r="A1664" t="str">
        <f>A1644</f>
        <v>Sloof</v>
      </c>
      <c r="B1664">
        <f>B1644</f>
        <v>48</v>
      </c>
      <c r="C1664" t="str">
        <v>Sengkang Tumpuan</v>
      </c>
      <c r="D1664">
        <f>VLOOKUP(D1644,'Detail Balok'!$C$10:$AU$110,31,FALSE)</f>
        <v>0</v>
      </c>
      <c r="E1664" t="str">
        <v>D</v>
      </c>
      <c r="F1664">
        <f>VLOOKUP(D1644,'Detail Balok'!$C$10:$AU$110,33,FALSE)</f>
        <v>8</v>
      </c>
      <c r="G1664" t="str">
        <v>-</v>
      </c>
      <c r="H1664">
        <f>VLOOKUP(D1644,'Detail Balok'!$C$10:$AU$110,35,FALSE)</f>
        <v>200</v>
      </c>
      <c r="J1664">
        <f>(IF(D1664=0,(2*(D1645+G1645))-(F$5*8),IF(D1664=3,(2*(D1645+G1645))-(F$5*8)+(G1645-2*F$5),IF(D1664=4,(2*(D1645+G1645))-(F$5*8)+2*(G1645-2*F$5)))))/1000</f>
        <v>0.98</v>
      </c>
      <c r="K1664" t="str">
        <v>+</v>
      </c>
      <c r="L1664">
        <f>IF(D1664=0,2*MAX(6*F1664,75),(D1664-1)*2*MAX(6*F1664,75))/1000</f>
        <v>0.15</v>
      </c>
      <c r="M1664" t="str">
        <v>=</v>
      </c>
      <c r="N1664">
        <f>J1664+L1664</f>
        <v>1.13</v>
      </c>
      <c r="T1664" t="str">
        <v>x</v>
      </c>
      <c r="U1664">
        <f>0.006165*F1664^2</f>
        <v>0.39456</v>
      </c>
      <c r="V1664" t="str">
        <v>x</v>
      </c>
      <c r="W1664">
        <f>IF(D1647&gt;4*G1645,ROUND(MAX(D1647/4,2*G1645)/H1664,0)+1,ROUND(D1647/H1664,0)+1)</f>
        <v>9</v>
      </c>
      <c r="X1664" t="str">
        <v>x</v>
      </c>
      <c r="Y1664">
        <f>D1650</f>
        <v>1</v>
      </c>
      <c r="Z1664" t="str">
        <v>=</v>
      </c>
      <c r="AA1664">
        <f>N1664*U1664*W1664*Y1664</f>
        <v>4.0126752</v>
      </c>
    </row>
    <row r="1665">
      <c r="A1665" t="str">
        <f>A1644</f>
        <v>Sloof</v>
      </c>
      <c r="B1665">
        <f>B1644</f>
        <v>48</v>
      </c>
      <c r="C1665" t="str">
        <v>Sengkang Lapangan</v>
      </c>
      <c r="D1665">
        <f>VLOOKUP(D1644,'Detail Balok'!$C$10:$AU$110,36,FALSE)</f>
        <v>0</v>
      </c>
      <c r="E1665" t="str">
        <v>D</v>
      </c>
      <c r="F1665">
        <f>VLOOKUP(D1644,'Detail Balok'!$C$10:$AU$110,38,FALSE)</f>
        <v>8</v>
      </c>
      <c r="G1665" t="str">
        <v>-</v>
      </c>
      <c r="H1665">
        <f>VLOOKUP(D1644,'Detail Balok'!$C$10:$AU$110,40,FALSE)</f>
        <v>200</v>
      </c>
      <c r="J1665">
        <f>(IF(D1665=0,(2*(D1645+G1645))-(F$5*8),IF(D1665=3,(2*(D1645+G1645))-(F$5*8)+(G1645-2*F$5),IF(D1665=4,(2*(D1645+G1645))-(F$5*8)+2*(G1645-2*F$5)))))/1000</f>
        <v>0.98</v>
      </c>
      <c r="K1665" t="str">
        <v>+</v>
      </c>
      <c r="L1665">
        <f>IF(D1665=0,2*MAX(6*F1665,75),(D1665-1)*2*MAX(6*F1665,75))/1000</f>
        <v>0.15</v>
      </c>
      <c r="M1665" t="str">
        <v>=</v>
      </c>
      <c r="N1665">
        <f>J1665+L1665</f>
        <v>1.13</v>
      </c>
      <c r="T1665" t="str">
        <v>x</v>
      </c>
      <c r="U1665">
        <f>0.006165*F1665^2</f>
        <v>0.39456</v>
      </c>
      <c r="V1665" t="str">
        <v>x</v>
      </c>
      <c r="W1665">
        <f>IF(D1647-MAX(D1647/4,2*G1645)*2&gt;0,ROUND((D1647-MAX(D1647/4,2*G1645)*2)/H1665,0),0)</f>
        <v>15</v>
      </c>
      <c r="X1665" t="str">
        <v>x</v>
      </c>
      <c r="Y1665">
        <f>D1650</f>
        <v>1</v>
      </c>
      <c r="Z1665" t="str">
        <v>=</v>
      </c>
      <c r="AA1665">
        <f>N1665*U1665*W1665*Y1665</f>
        <v>6.687792</v>
      </c>
    </row>
    <row r="1666">
      <c r="A1666" t="str">
        <f>A1644</f>
        <v>Sloof</v>
      </c>
      <c r="B1666">
        <f>B1644</f>
        <v>48</v>
      </c>
      <c r="C1666" t="str">
        <v>Sengkang Tumpuan</v>
      </c>
      <c r="D1666">
        <f>VLOOKUP(D1644,'Detail Balok'!$C$10:$AU$110,41,FALSE)</f>
        <v>0</v>
      </c>
      <c r="E1666" t="str">
        <v>D</v>
      </c>
      <c r="F1666">
        <f>VLOOKUP(D1644,'Detail Balok'!$C$10:$AU$110,43,FALSE)</f>
        <v>8</v>
      </c>
      <c r="G1666" t="str">
        <v>-</v>
      </c>
      <c r="H1666">
        <f>VLOOKUP(D1644,'Detail Balok'!$C$10:$AU$110,45,FALSE)</f>
        <v>200</v>
      </c>
      <c r="J1666">
        <f>(IF(D1666=0,(2*(D1645+G1645))-(F$5*8),IF(D1666=3,(2*(D1645+G1645))-(F$5*8)+(G1645-2*F$5),IF(D1666=4,(2*(D1645+G1645))-(F$5*8)+2*(G1645-2*F$5)))))/1000</f>
        <v>0.98</v>
      </c>
      <c r="K1666" t="str">
        <v>+</v>
      </c>
      <c r="L1666">
        <f>IF(D1666=0,2*MAX(6*F1666,75),(D1666-1)*2*MAX(6*F1666,75))/1000</f>
        <v>0.15</v>
      </c>
      <c r="M1666" t="str">
        <v>=</v>
      </c>
      <c r="N1666">
        <f>J1666+L1666</f>
        <v>1.13</v>
      </c>
      <c r="T1666" t="str">
        <v>x</v>
      </c>
      <c r="U1666">
        <f>0.006165*F1666^2</f>
        <v>0.39456</v>
      </c>
      <c r="V1666" t="str">
        <v>x</v>
      </c>
      <c r="W1666">
        <f>IF(D1647&gt;4*G1645,ROUND(MAX(D1647/4,2*G1645)/H1666,0)+1,0)</f>
        <v>9</v>
      </c>
      <c r="X1666" t="str">
        <v>x</v>
      </c>
      <c r="Y1666">
        <f>D1650</f>
        <v>1</v>
      </c>
      <c r="Z1666" t="str">
        <v>=</v>
      </c>
      <c r="AA1666">
        <f>N1666*U1666*W1666*Y1666</f>
        <v>4.0126752</v>
      </c>
    </row>
    <row r="1668">
      <c r="A1668" t="str">
        <f>A1644</f>
        <v>Sloof</v>
      </c>
      <c r="B1668">
        <f>B1644</f>
        <v>48</v>
      </c>
      <c r="C1668" t="str">
        <v>Kait Horizontal Tump.</v>
      </c>
      <c r="D1668">
        <f>VLOOKUP(D1644,'Detail Balok'!$C$10:$BJ$110,46,FALSE)</f>
        <v>0</v>
      </c>
      <c r="E1668" t="str">
        <v>D</v>
      </c>
      <c r="F1668">
        <f>VLOOKUP(D1644,'Detail Balok'!$C$10:$BJ$110,48,FALSE)</f>
        <v>0</v>
      </c>
      <c r="G1668" t="str">
        <v>-</v>
      </c>
      <c r="H1668">
        <f>VLOOKUP(D1644,'Detail Balok'!$C$10:$BJ$110,50,FALSE)</f>
        <v>100</v>
      </c>
      <c r="J1668">
        <f>(D1645-2*F$5)/1000</f>
        <v>0.12</v>
      </c>
      <c r="K1668" t="str">
        <v>+</v>
      </c>
      <c r="L1668">
        <f>IF(D1668=0,2*MAX(6*F1668,75),(D1668-1)*2*MAX(6*F1668,75))/1000</f>
        <v>0.15</v>
      </c>
      <c r="M1668" t="str">
        <v>=</v>
      </c>
      <c r="N1668">
        <f>J1668+L1668</f>
        <v>0.27</v>
      </c>
      <c r="T1668" t="str">
        <v>x</v>
      </c>
      <c r="U1668">
        <f>0.006165*F1668^2</f>
        <v>0</v>
      </c>
      <c r="V1668" t="str">
        <v>x</v>
      </c>
      <c r="W1668">
        <f>W1664</f>
        <v>9</v>
      </c>
      <c r="X1668" t="str">
        <v>x</v>
      </c>
      <c r="Y1668">
        <f>D1654</f>
        <v>3</v>
      </c>
      <c r="Z1668" t="str">
        <v>=</v>
      </c>
      <c r="AA1668">
        <f>N1668*U1668*W1668*Y1668</f>
        <v>0</v>
      </c>
    </row>
    <row r="1669">
      <c r="A1669" t="str">
        <f>A1644</f>
        <v>Sloof</v>
      </c>
      <c r="B1669">
        <f>B1644</f>
        <v>48</v>
      </c>
      <c r="C1669" t="str">
        <v>Kait Horizontal Lap.</v>
      </c>
      <c r="D1669">
        <f>VLOOKUP(D1644,'Detail Balok'!$C$10:$BJ$110,51,FALSE)</f>
        <v>0</v>
      </c>
      <c r="E1669" t="str">
        <v>D</v>
      </c>
      <c r="F1669">
        <f>VLOOKUP(D1644,'Detail Balok'!$C$10:$BJ$110,53,FALSE)</f>
        <v>0</v>
      </c>
      <c r="G1669" t="str">
        <v>-</v>
      </c>
      <c r="H1669">
        <f>VLOOKUP(D1644,'Detail Balok'!$C$10:$BJ$110,55,FALSE)</f>
        <v>100</v>
      </c>
      <c r="J1669">
        <f>(D1645-2*F$5)/1000</f>
        <v>0.12</v>
      </c>
      <c r="K1669" t="str">
        <v>+</v>
      </c>
      <c r="L1669">
        <f>IF(D1669=0,2*MAX(6*F1669,75),(D1669-1)*2*MAX(6*F1669,75))/1000</f>
        <v>0.15</v>
      </c>
      <c r="M1669" t="str">
        <v>=</v>
      </c>
      <c r="N1669">
        <f>J1669+L1669</f>
        <v>0.27</v>
      </c>
      <c r="T1669" t="str">
        <v>x</v>
      </c>
      <c r="U1669">
        <f>0.006165*F1669^2</f>
        <v>0</v>
      </c>
      <c r="V1669" t="str">
        <v>x</v>
      </c>
      <c r="W1669">
        <f>W1665</f>
        <v>15</v>
      </c>
      <c r="X1669" t="str">
        <v>x</v>
      </c>
      <c r="Y1669">
        <f>D1654</f>
        <v>3</v>
      </c>
      <c r="Z1669" t="str">
        <v>=</v>
      </c>
      <c r="AA1669">
        <f>N1669*U1669*W1669*Y1669</f>
        <v>0</v>
      </c>
    </row>
    <row r="1670">
      <c r="A1670" t="str">
        <f>A1644</f>
        <v>Sloof</v>
      </c>
      <c r="B1670">
        <f>B1644</f>
        <v>48</v>
      </c>
      <c r="C1670" t="str">
        <v>Kait Horizontal Tump.</v>
      </c>
      <c r="D1670">
        <f>VLOOKUP(D1644,'Detail Balok'!$C$10:$BJ$110,56,FALSE)</f>
        <v>0</v>
      </c>
      <c r="E1670" t="str">
        <v>D</v>
      </c>
      <c r="F1670">
        <f>VLOOKUP(D1644,'Detail Balok'!$C$10:$BJ$110,58,FALSE)</f>
        <v>0</v>
      </c>
      <c r="G1670" t="str">
        <v>-</v>
      </c>
      <c r="H1670">
        <f>VLOOKUP(D1644,'Detail Balok'!$C$10:$BJ$110,60,FALSE)</f>
        <v>100</v>
      </c>
      <c r="J1670">
        <f>(D1645-2*F$5)/1000</f>
        <v>0.12</v>
      </c>
      <c r="K1670" t="str">
        <v>+</v>
      </c>
      <c r="L1670">
        <f>IF(D1670=0,2*MAX(6*F1670,75),(D1670-1)*2*MAX(6*F1670,75))/1000</f>
        <v>0.15</v>
      </c>
      <c r="M1670" t="str">
        <v>=</v>
      </c>
      <c r="N1670">
        <f>J1670+L1670</f>
        <v>0.27</v>
      </c>
      <c r="T1670" t="str">
        <v>x</v>
      </c>
      <c r="U1670">
        <f>0.006165*F1670^2</f>
        <v>0</v>
      </c>
      <c r="V1670" t="str">
        <v>x</v>
      </c>
      <c r="W1670">
        <f>W1666</f>
        <v>9</v>
      </c>
      <c r="X1670" t="str">
        <v>x</v>
      </c>
      <c r="Y1670">
        <f>D1654</f>
        <v>3</v>
      </c>
      <c r="Z1670" t="str">
        <v>=</v>
      </c>
      <c r="AA1670">
        <f>N1670*U1670*W1670*Y1670</f>
        <v>0</v>
      </c>
    </row>
    <row r="1674">
      <c r="A1674" t="str">
        <f>A1644</f>
        <v>Sloof</v>
      </c>
      <c r="B1674">
        <f>B1644+1</f>
        <v>49</v>
      </c>
      <c r="C1674" t="str">
        <f>CONCATENATE(A1674," no. ",B1674)</f>
        <v>Sloof no. 49</v>
      </c>
      <c r="D1674" t="str">
        <f>VLOOKUP(C1674,'Data Panjang Balok'!$C$9:$N$424,2,FALSE)</f>
        <v>TB25-1</v>
      </c>
    </row>
    <row r="1675">
      <c r="C1675" t="str">
        <v>Dimensi</v>
      </c>
      <c r="D1675">
        <f>VLOOKUP(D1674,'Detail Balok'!$C$10:$AU$110,2,FALSE)</f>
        <v>200</v>
      </c>
      <c r="F1675" t="str">
        <v>x</v>
      </c>
      <c r="G1675">
        <f>VLOOKUP(D1674,'Detail Balok'!$C$10:$AU$110,3,FALSE)</f>
        <v>500</v>
      </c>
    </row>
    <row r="1676">
      <c r="C1676" t="str">
        <v>Panjang as ke as</v>
      </c>
      <c r="D1676">
        <f>VLOOKUP(C1674,'Data Panjang Balok'!$C$9:$N$424,4,FALSE)</f>
        <v>7315</v>
      </c>
    </row>
    <row r="1677">
      <c r="C1677" t="str">
        <v>Panjang netto</v>
      </c>
      <c r="D1677">
        <f>VLOOKUP(C1674,'Data Panjang Balok'!$C$9:$N$424,7,FALSE)</f>
        <v>7315</v>
      </c>
    </row>
    <row r="1678">
      <c r="C1678" t="str">
        <v>Kolom / balok kiri</v>
      </c>
      <c r="D1678">
        <f>VLOOKUP(C1674,'Data Panjang Balok'!$C$9:$N$424,9,FALSE)</f>
        <v>0</v>
      </c>
    </row>
    <row r="1679">
      <c r="C1679" t="str">
        <v>Kolom / balok kanan</v>
      </c>
      <c r="D1679">
        <f>VLOOKUP(C1674,'Data Panjang Balok'!$C$9:$N$424,10,FALSE)</f>
        <v>0</v>
      </c>
    </row>
    <row r="1680">
      <c r="C1680" t="str">
        <v>Jumlah</v>
      </c>
      <c r="D1680">
        <f>VLOOKUP(C1674,'Data Panjang Balok'!$C$9:$N$424,3,FALSE)</f>
        <v>1</v>
      </c>
    </row>
    <row r="1681">
      <c r="A1681" t="str">
        <f>A1674</f>
        <v>Sloof</v>
      </c>
      <c r="B1681">
        <f>B1674</f>
        <v>49</v>
      </c>
      <c r="C1681" t="str">
        <v>Tul Atas Tumpuan</v>
      </c>
      <c r="D1681">
        <f>VLOOKUP(D1674,'Detail Balok'!$C$10:$AU$110,4,FALSE)</f>
        <v>3</v>
      </c>
      <c r="E1681" t="str">
        <v>D</v>
      </c>
      <c r="F1681">
        <f>VLOOKUP(D1674,'Detail Balok'!$C$10:$AU$110,6,FALSE)</f>
        <v>16</v>
      </c>
      <c r="I1681" t="str">
        <v>(</v>
      </c>
      <c r="J1681">
        <f>+D1676/4/1000</f>
        <v>1.82875</v>
      </c>
      <c r="K1681" t="str">
        <v>+</v>
      </c>
      <c r="L1681">
        <f>MAX(VLOOKUP(F1681,N$6:P$15,3,FALSE)/1000,2/3*D1678/1000)+F$16*F1681/1000</f>
        <v>0.192</v>
      </c>
      <c r="M1681" t="str">
        <v>=</v>
      </c>
      <c r="N1681">
        <f>J1681+L1681</f>
        <v>2.02075</v>
      </c>
      <c r="O1681" t="str">
        <v>+</v>
      </c>
      <c r="P1681">
        <f>D1681-D1682</f>
        <v>0</v>
      </c>
      <c r="Q1681" t="str">
        <v>x</v>
      </c>
      <c r="R1681">
        <f>IF(P1681&gt;0,$F$18*F1681/1000,0)</f>
        <v>0</v>
      </c>
      <c r="S1681" t="str">
        <v>)</v>
      </c>
      <c r="T1681" t="str">
        <v>x</v>
      </c>
      <c r="U1681">
        <f>0.006165*F1681^2</f>
        <v>1.57824</v>
      </c>
      <c r="X1681" t="str">
        <v>x</v>
      </c>
      <c r="Y1681">
        <f>D1680</f>
        <v>1</v>
      </c>
      <c r="Z1681" t="str">
        <v>=</v>
      </c>
      <c r="AA1681">
        <f>IF(AA1684=0,(D1681*N1681+P1681*R1681)*U1681*Y1681,0)</f>
        <v>0</v>
      </c>
    </row>
    <row r="1682">
      <c r="A1682" t="str">
        <f>A1674</f>
        <v>Sloof</v>
      </c>
      <c r="B1682">
        <f>B1674</f>
        <v>49</v>
      </c>
      <c r="C1682" t="str">
        <v>Tul Atas Lapangan</v>
      </c>
      <c r="D1682">
        <f>VLOOKUP(D1674,'Detail Balok'!$C$10:$AU$110,7,FALSE)</f>
        <v>3</v>
      </c>
      <c r="E1682" t="str">
        <v>D</v>
      </c>
      <c r="F1682">
        <f>VLOOKUP(D1674,'Detail Balok'!$C$10:$AU$110,9,FALSE)</f>
        <v>16</v>
      </c>
      <c r="I1682" t="str">
        <v>(</v>
      </c>
      <c r="J1682">
        <f>+D1676/2/1000</f>
        <v>3.6575</v>
      </c>
      <c r="K1682" t="str">
        <v>+</v>
      </c>
      <c r="M1682" t="str">
        <v>=</v>
      </c>
      <c r="N1682">
        <f>J1682+L1682</f>
        <v>3.6575</v>
      </c>
      <c r="O1682" t="str">
        <v>+</v>
      </c>
      <c r="P1682">
        <f>MAX(D1682-D1681,D1682-D1683)</f>
        <v>0</v>
      </c>
      <c r="Q1682" t="str">
        <v>x</v>
      </c>
      <c r="R1682">
        <f>IF(P1682&gt;0,2*(1-2*$F$19-1/2)*D1677/1000,0)</f>
        <v>0</v>
      </c>
      <c r="S1682" t="str">
        <v>)</v>
      </c>
      <c r="T1682" t="str">
        <v>x</v>
      </c>
      <c r="U1682">
        <f>0.006165*F1682^2</f>
        <v>1.57824</v>
      </c>
      <c r="X1682" t="str">
        <v>x</v>
      </c>
      <c r="Y1682">
        <f>D1680</f>
        <v>1</v>
      </c>
      <c r="Z1682" t="str">
        <v>=</v>
      </c>
      <c r="AA1682">
        <f>IF(AA1684=0,(D1682*N1682+P1682*R1682)*U1682*Y1682,0)</f>
        <v>0</v>
      </c>
    </row>
    <row r="1683">
      <c r="A1683" t="str">
        <f>A1674</f>
        <v>Sloof</v>
      </c>
      <c r="B1683">
        <f>B1674</f>
        <v>49</v>
      </c>
      <c r="C1683" t="str">
        <v>Tul Atas Tumpuan</v>
      </c>
      <c r="D1683">
        <f>VLOOKUP(D1674,'Detail Balok'!$C$10:$AU$110,10,FALSE)</f>
        <v>3</v>
      </c>
      <c r="E1683" t="str">
        <v>D</v>
      </c>
      <c r="F1683">
        <f>VLOOKUP(D1674,'Detail Balok'!$C$10:$AU$110,12,FALSE)</f>
        <v>16</v>
      </c>
      <c r="I1683" t="str">
        <v>(</v>
      </c>
      <c r="J1683">
        <f>+D1676/4/1000</f>
        <v>1.82875</v>
      </c>
      <c r="K1683" t="str">
        <v>+</v>
      </c>
      <c r="L1683">
        <f>MAX(VLOOKUP(F1683,N$6:P$15,3,FALSE)/1000,2/3*D1678/1000)+F$16*F1683/1000</f>
        <v>0.192</v>
      </c>
      <c r="M1683" t="str">
        <v>=</v>
      </c>
      <c r="N1683">
        <f>J1683+L1683</f>
        <v>2.02075</v>
      </c>
      <c r="O1683" t="str">
        <v>+</v>
      </c>
      <c r="P1683">
        <f>D1683-D1682</f>
        <v>0</v>
      </c>
      <c r="Q1683" t="str">
        <v>x</v>
      </c>
      <c r="R1683">
        <f>IF(P1683&gt;0,$F$18*F1683/1000,0)</f>
        <v>0</v>
      </c>
      <c r="S1683" t="str">
        <v>)</v>
      </c>
      <c r="T1683" t="str">
        <v>x</v>
      </c>
      <c r="U1683">
        <f>0.006165*F1683^2</f>
        <v>1.57824</v>
      </c>
      <c r="X1683" t="str">
        <v>x</v>
      </c>
      <c r="Y1683">
        <f>D1680</f>
        <v>1</v>
      </c>
      <c r="Z1683" t="str">
        <v>=</v>
      </c>
      <c r="AA1683">
        <f>IF(AA1684=0,(D1683*N1683+P1683*R1683)*U1683*Y1683,0)</f>
        <v>0</v>
      </c>
    </row>
    <row r="1684">
      <c r="A1684" t="str">
        <f>A1674</f>
        <v>Sloof</v>
      </c>
      <c r="B1684">
        <f>B1674</f>
        <v>49</v>
      </c>
      <c r="D1684">
        <f>IF(AND(D1681=D1682,D1682=D1683,D1681=D1683),D1681,0)</f>
        <v>3</v>
      </c>
      <c r="E1684" t="str">
        <v>D</v>
      </c>
      <c r="F1684">
        <f>IF(AND(F1681=F1682,F1681=F1683,F1682=F1683),F1681,0)</f>
        <v>16</v>
      </c>
      <c r="L1684" t="str">
        <v>Total panjang per balok</v>
      </c>
      <c r="M1684" t="str">
        <v>=</v>
      </c>
      <c r="N1684">
        <f>IF(AND(D1681=D1682,D1681=D1683,D1682=D1683,F1681=F1682,F1681=F1683,F1682=F1683),SUM(N1681:N1683),0)</f>
        <v>7.699</v>
      </c>
      <c r="O1684" t="str">
        <v>+</v>
      </c>
      <c r="P1684">
        <f>IF(N1684&gt;12,ROUNDDOWN(N1684/12,0),0)</f>
        <v>0</v>
      </c>
      <c r="Q1684" t="str">
        <v>x</v>
      </c>
      <c r="R1684">
        <f>IF(P1684&gt;0,MAX(VLOOKUP(F1684,$D$6:$G$15,3,FALSE),600),0)/1000</f>
        <v>0</v>
      </c>
      <c r="T1684" t="str">
        <v>x</v>
      </c>
      <c r="U1684">
        <f>U1683</f>
        <v>1.57824</v>
      </c>
      <c r="V1684" t="str">
        <v>x</v>
      </c>
      <c r="W1684">
        <f>D1684</f>
        <v>3</v>
      </c>
      <c r="X1684" t="str">
        <v>x</v>
      </c>
      <c r="Y1684">
        <f>Y1683</f>
        <v>1</v>
      </c>
      <c r="Z1684" t="str">
        <v>=</v>
      </c>
      <c r="AA1684">
        <f>(N1684+P1684*R1684/1000)*U1684*W1684*Y1684</f>
        <v>36.452609280000004</v>
      </c>
    </row>
    <row r="1686">
      <c r="A1686" t="str">
        <f>A1674</f>
        <v>Sloof</v>
      </c>
      <c r="B1686">
        <f>B1674</f>
        <v>49</v>
      </c>
      <c r="C1686" t="str">
        <v>Tul Peminggang</v>
      </c>
      <c r="D1686">
        <f>VLOOKUP(D1674,'Detail Balok'!$C$10:$AU$110,13,FALSE)</f>
        <v>2</v>
      </c>
      <c r="E1686" t="str">
        <v>D</v>
      </c>
      <c r="F1686">
        <f>VLOOKUP(D1674,'Detail Balok'!$C$10:$AU$110,15,FALSE)</f>
        <v>10</v>
      </c>
      <c r="J1686">
        <f>+D1676/1000</f>
        <v>7.315</v>
      </c>
      <c r="K1686" t="str">
        <v>+</v>
      </c>
      <c r="L1686">
        <f>2*$F$16*F1686/1000</f>
        <v>0.24</v>
      </c>
      <c r="M1686" t="str">
        <v>=</v>
      </c>
      <c r="N1686">
        <f>J1686+L1686</f>
        <v>7.555000000000001</v>
      </c>
      <c r="O1686" t="str">
        <v>+</v>
      </c>
      <c r="P1686">
        <f>IF(N1686&gt;12,ROUNDDOWN(N1686/12,0),0)</f>
        <v>0</v>
      </c>
      <c r="Q1686" t="str">
        <v>x</v>
      </c>
      <c r="R1686">
        <f>IF(P1686&gt;0,MAX(VLOOKUP(F1686,$D$6:$G$15,3,FALSE),600),0)/1000</f>
        <v>0</v>
      </c>
      <c r="T1686" t="str">
        <v>x</v>
      </c>
      <c r="U1686">
        <f>0.006165*F1686^2</f>
        <v>0.6165</v>
      </c>
      <c r="V1686" t="str">
        <v>x</v>
      </c>
      <c r="W1686">
        <f>+D1686</f>
        <v>2</v>
      </c>
      <c r="X1686" t="str">
        <v>x</v>
      </c>
      <c r="Y1686">
        <f>D1680</f>
        <v>1</v>
      </c>
      <c r="Z1686" t="str">
        <v>=</v>
      </c>
      <c r="AA1686">
        <f>(N1686+P1686*R1686/1000)*U1686*W1686*Y1686</f>
        <v>9.315315000000002</v>
      </c>
    </row>
    <row r="1689">
      <c r="A1689" t="str">
        <f>A1674</f>
        <v>Sloof</v>
      </c>
      <c r="B1689">
        <f>B1674</f>
        <v>49</v>
      </c>
      <c r="C1689" t="str">
        <v>Tul Bawah Tumpuan</v>
      </c>
      <c r="D1689">
        <f>VLOOKUP(D1674,'Detail Balok'!$C$10:$AU$110,22,FALSE)</f>
        <v>3</v>
      </c>
      <c r="E1689" t="str">
        <v>D</v>
      </c>
      <c r="F1689">
        <f>VLOOKUP(D1674,'Detail Balok'!$C$10:$AU$110,24,FALSE)</f>
        <v>16</v>
      </c>
      <c r="I1689" t="str">
        <v>(</v>
      </c>
      <c r="J1689">
        <f>+J1681</f>
        <v>1.82875</v>
      </c>
      <c r="K1689" t="str">
        <v>+</v>
      </c>
      <c r="L1689">
        <f>MAX(VLOOKUP(F1689,N$6:P$15,3,FALSE)/1000,2/3*D1679/1000)+F$16*F1689/1000</f>
        <v>0.192</v>
      </c>
      <c r="M1689" t="str">
        <v>=</v>
      </c>
      <c r="N1689">
        <f>J1689+L1689</f>
        <v>2.02075</v>
      </c>
      <c r="O1689" t="str">
        <v>+</v>
      </c>
      <c r="P1689">
        <f>D1689-D1690</f>
        <v>0</v>
      </c>
      <c r="Q1689" t="str">
        <v>x</v>
      </c>
      <c r="R1689">
        <f>IF(P1689&gt;0,$F$18*F1689/1000,0)</f>
        <v>0</v>
      </c>
      <c r="S1689" t="str">
        <v>)</v>
      </c>
      <c r="T1689" t="str">
        <v>x</v>
      </c>
      <c r="U1689">
        <f>0.006165*F1689^2</f>
        <v>1.57824</v>
      </c>
      <c r="X1689" t="str">
        <v>x</v>
      </c>
      <c r="Y1689">
        <f>D1680</f>
        <v>1</v>
      </c>
      <c r="Z1689" t="str">
        <v>=</v>
      </c>
      <c r="AA1689">
        <f>IF(AA1692=0,(D1689*N1689+P1689*R1689)*U1689*Y1689,0)</f>
        <v>0</v>
      </c>
    </row>
    <row r="1690">
      <c r="A1690" t="str">
        <f>A1674</f>
        <v>Sloof</v>
      </c>
      <c r="B1690">
        <f>B1674</f>
        <v>49</v>
      </c>
      <c r="C1690" t="str">
        <v>Tul Bawah Lapangan</v>
      </c>
      <c r="D1690">
        <f>VLOOKUP(D1674,'Detail Balok'!$C$10:$AU$110,25,FALSE)</f>
        <v>3</v>
      </c>
      <c r="E1690" t="str">
        <v>D</v>
      </c>
      <c r="F1690">
        <f>VLOOKUP(D1674,'Detail Balok'!$C$10:$AU$110,27,FALSE)</f>
        <v>16</v>
      </c>
      <c r="I1690" t="str">
        <v>(</v>
      </c>
      <c r="J1690">
        <f>+J1682</f>
        <v>3.6575</v>
      </c>
      <c r="K1690" t="str">
        <v>+</v>
      </c>
      <c r="M1690" t="str">
        <v>=</v>
      </c>
      <c r="N1690">
        <f>J1690+L1690</f>
        <v>3.6575</v>
      </c>
      <c r="O1690" t="str">
        <v>+</v>
      </c>
      <c r="P1690">
        <f>MAX(D1690-D1689,D1690-D1691)</f>
        <v>0</v>
      </c>
      <c r="Q1690" t="str">
        <v>x</v>
      </c>
      <c r="R1690">
        <f>IF(P1690&gt;0,2*(1-2*$F$19-1/2)*D1677/1000,0)</f>
        <v>0</v>
      </c>
      <c r="S1690" t="str">
        <v>)</v>
      </c>
      <c r="T1690" t="str">
        <v>x</v>
      </c>
      <c r="U1690">
        <f>0.006165*F1690^2</f>
        <v>1.57824</v>
      </c>
      <c r="X1690" t="str">
        <v>x</v>
      </c>
      <c r="Y1690">
        <f>D1680</f>
        <v>1</v>
      </c>
      <c r="Z1690" t="str">
        <v>=</v>
      </c>
      <c r="AA1690">
        <f>IF(AA1692=0,(D1690*N1690+P1690*R1690)*U1690*Y1690,0)</f>
        <v>0</v>
      </c>
    </row>
    <row r="1691">
      <c r="A1691" t="str">
        <f>A1674</f>
        <v>Sloof</v>
      </c>
      <c r="B1691">
        <f>B1674</f>
        <v>49</v>
      </c>
      <c r="C1691" t="str">
        <v>Tul Bawah Tumpuan</v>
      </c>
      <c r="D1691">
        <f>VLOOKUP(D1674,'Detail Balok'!$C$10:$AU$110,28,FALSE)</f>
        <v>3</v>
      </c>
      <c r="E1691" t="str">
        <v>D</v>
      </c>
      <c r="F1691">
        <f>VLOOKUP(D1674,'Detail Balok'!$C$10:$AU$110,30,FALSE)</f>
        <v>16</v>
      </c>
      <c r="I1691" t="str">
        <v>(</v>
      </c>
      <c r="J1691">
        <f>+J1683</f>
        <v>1.82875</v>
      </c>
      <c r="K1691" t="str">
        <v>+</v>
      </c>
      <c r="L1691">
        <f>MAX(VLOOKUP(F1691,N$6:P$15,3,FALSE)/1000,2/3*D1679/1000)+F$16*F1691/1000</f>
        <v>0.192</v>
      </c>
      <c r="M1691" t="str">
        <v>=</v>
      </c>
      <c r="N1691">
        <f>J1691+L1691</f>
        <v>2.02075</v>
      </c>
      <c r="O1691" t="str">
        <v>+</v>
      </c>
      <c r="P1691">
        <f>D1691-D1690</f>
        <v>0</v>
      </c>
      <c r="Q1691" t="str">
        <v>x</v>
      </c>
      <c r="R1691">
        <f>IF(P1691&gt;0,$F$18*F1691/1000,0)</f>
        <v>0</v>
      </c>
      <c r="S1691" t="str">
        <v>)</v>
      </c>
      <c r="T1691" t="str">
        <v>x</v>
      </c>
      <c r="U1691">
        <f>0.006165*F1691^2</f>
        <v>1.57824</v>
      </c>
      <c r="X1691" t="str">
        <v>x</v>
      </c>
      <c r="Y1691">
        <f>D1680</f>
        <v>1</v>
      </c>
      <c r="Z1691" t="str">
        <v>=</v>
      </c>
      <c r="AA1691">
        <f>IF(AA1692=0,(D1691*N1691+P1691*R1691)*U1691*Y1691,0)</f>
        <v>0</v>
      </c>
    </row>
    <row r="1692">
      <c r="A1692" t="str">
        <f>A1674</f>
        <v>Sloof</v>
      </c>
      <c r="B1692">
        <f>B1674</f>
        <v>49</v>
      </c>
      <c r="D1692">
        <f>IF(AND(D1689=D1690,D1690=D1691,D1689=D1691),D1689,0)</f>
        <v>3</v>
      </c>
      <c r="E1692" t="str">
        <v>D</v>
      </c>
      <c r="F1692">
        <f>IF(AND(F1689=F1690,F1689=F1691,F1690=F1691),F1689,0)</f>
        <v>16</v>
      </c>
      <c r="L1692" t="str">
        <v>Total panjang per balok</v>
      </c>
      <c r="M1692" t="str">
        <v>=</v>
      </c>
      <c r="N1692">
        <f>IF(AND(D1689=D1690,D1689=D1691,D1690=D1691,F1689=F1690,F1689=F1691,F1690=F1691),SUM(N1689:N1691),0)</f>
        <v>7.699</v>
      </c>
      <c r="O1692" t="str">
        <v>+</v>
      </c>
      <c r="P1692">
        <f>IF(N1692&gt;12,ROUNDDOWN(N1692/12,0),0)</f>
        <v>0</v>
      </c>
      <c r="Q1692" t="str">
        <v>x</v>
      </c>
      <c r="R1692">
        <f>IF(P1692&gt;0,MAX(VLOOKUP(F1692,$D$6:$G$15,3,FALSE),600),0)/1000</f>
        <v>0</v>
      </c>
      <c r="T1692" t="str">
        <v>x</v>
      </c>
      <c r="U1692">
        <f>U1691</f>
        <v>1.57824</v>
      </c>
      <c r="V1692" t="str">
        <v>x</v>
      </c>
      <c r="W1692">
        <f>D1692</f>
        <v>3</v>
      </c>
      <c r="X1692" t="str">
        <v>x</v>
      </c>
      <c r="Y1692">
        <f>Y1691</f>
        <v>1</v>
      </c>
      <c r="Z1692" t="str">
        <v>=</v>
      </c>
      <c r="AA1692">
        <f>(N1692+P1692*R1692/1000)*U1692*W1692*Y1692</f>
        <v>36.452609280000004</v>
      </c>
    </row>
    <row r="1694">
      <c r="A1694" t="str">
        <f>A1674</f>
        <v>Sloof</v>
      </c>
      <c r="B1694">
        <f>B1674</f>
        <v>49</v>
      </c>
      <c r="C1694" t="str">
        <v>Sengkang Tumpuan</v>
      </c>
      <c r="D1694">
        <f>VLOOKUP(D1674,'Detail Balok'!$C$10:$AU$110,31,FALSE)</f>
        <v>0</v>
      </c>
      <c r="E1694" t="str">
        <v>D</v>
      </c>
      <c r="F1694">
        <f>VLOOKUP(D1674,'Detail Balok'!$C$10:$AU$110,33,FALSE)</f>
        <v>10</v>
      </c>
      <c r="G1694" t="str">
        <v>-</v>
      </c>
      <c r="H1694">
        <f>VLOOKUP(D1674,'Detail Balok'!$C$10:$AU$110,35,FALSE)</f>
        <v>200</v>
      </c>
      <c r="J1694">
        <f>(IF(D1694=0,(2*(D1675+G1675))-(F$5*8),IF(D1694=3,(2*(D1675+G1675))-(F$5*8)+(G1675-2*F$5),IF(D1694=4,(2*(D1675+G1675))-(F$5*8)+2*(G1675-2*F$5)))))/1000</f>
        <v>1.08</v>
      </c>
      <c r="K1694" t="str">
        <v>+</v>
      </c>
      <c r="L1694">
        <f>IF(D1694=0,2*MAX(6*F1694,75),(D1694-1)*2*MAX(6*F1694,75))/1000</f>
        <v>0.15</v>
      </c>
      <c r="M1694" t="str">
        <v>=</v>
      </c>
      <c r="N1694">
        <f>J1694+L1694</f>
        <v>1.23</v>
      </c>
      <c r="T1694" t="str">
        <v>x</v>
      </c>
      <c r="U1694">
        <f>0.006165*F1694^2</f>
        <v>0.6165</v>
      </c>
      <c r="V1694" t="str">
        <v>x</v>
      </c>
      <c r="W1694">
        <f>IF(D1677&gt;4*G1675,ROUND(MAX(D1677/4,2*G1675)/H1694,0)+1,ROUND(D1677/H1694,0)+1)</f>
        <v>10</v>
      </c>
      <c r="X1694" t="str">
        <v>x</v>
      </c>
      <c r="Y1694">
        <f>D1680</f>
        <v>1</v>
      </c>
      <c r="Z1694" t="str">
        <v>=</v>
      </c>
      <c r="AA1694">
        <f>N1694*U1694*W1694*Y1694</f>
        <v>7.58295</v>
      </c>
    </row>
    <row r="1695">
      <c r="A1695" t="str">
        <f>A1674</f>
        <v>Sloof</v>
      </c>
      <c r="B1695">
        <f>B1674</f>
        <v>49</v>
      </c>
      <c r="C1695" t="str">
        <v>Sengkang Lapangan</v>
      </c>
      <c r="D1695">
        <f>VLOOKUP(D1674,'Detail Balok'!$C$10:$AU$110,36,FALSE)</f>
        <v>0</v>
      </c>
      <c r="E1695" t="str">
        <v>D</v>
      </c>
      <c r="F1695">
        <f>VLOOKUP(D1674,'Detail Balok'!$C$10:$AU$110,38,FALSE)</f>
        <v>10</v>
      </c>
      <c r="G1695" t="str">
        <v>-</v>
      </c>
      <c r="H1695">
        <f>VLOOKUP(D1674,'Detail Balok'!$C$10:$AU$110,40,FALSE)</f>
        <v>200</v>
      </c>
      <c r="J1695">
        <f>(IF(D1695=0,(2*(D1675+G1675))-(F$5*8),IF(D1695=3,(2*(D1675+G1675))-(F$5*8)+(G1675-2*F$5),IF(D1695=4,(2*(D1675+G1675))-(F$5*8)+2*(G1675-2*F$5)))))/1000</f>
        <v>1.08</v>
      </c>
      <c r="K1695" t="str">
        <v>+</v>
      </c>
      <c r="L1695">
        <f>IF(D1695=0,2*MAX(6*F1695,75),(D1695-1)*2*MAX(6*F1695,75))/1000</f>
        <v>0.15</v>
      </c>
      <c r="M1695" t="str">
        <v>=</v>
      </c>
      <c r="N1695">
        <f>J1695+L1695</f>
        <v>1.23</v>
      </c>
      <c r="T1695" t="str">
        <v>x</v>
      </c>
      <c r="U1695">
        <f>0.006165*F1695^2</f>
        <v>0.6165</v>
      </c>
      <c r="V1695" t="str">
        <v>x</v>
      </c>
      <c r="W1695">
        <f>IF(D1677-MAX(D1677/4,2*G1675)*2&gt;0,ROUND((D1677-MAX(D1677/4,2*G1675)*2)/H1695,0),0)</f>
        <v>18</v>
      </c>
      <c r="X1695" t="str">
        <v>x</v>
      </c>
      <c r="Y1695">
        <f>D1680</f>
        <v>1</v>
      </c>
      <c r="Z1695" t="str">
        <v>=</v>
      </c>
      <c r="AA1695">
        <f>N1695*U1695*W1695*Y1695</f>
        <v>13.649310000000002</v>
      </c>
    </row>
    <row r="1696">
      <c r="A1696" t="str">
        <f>A1674</f>
        <v>Sloof</v>
      </c>
      <c r="B1696">
        <f>B1674</f>
        <v>49</v>
      </c>
      <c r="C1696" t="str">
        <v>Sengkang Tumpuan</v>
      </c>
      <c r="D1696">
        <f>VLOOKUP(D1674,'Detail Balok'!$C$10:$AU$110,41,FALSE)</f>
        <v>0</v>
      </c>
      <c r="E1696" t="str">
        <v>D</v>
      </c>
      <c r="F1696">
        <f>VLOOKUP(D1674,'Detail Balok'!$C$10:$AU$110,43,FALSE)</f>
        <v>10</v>
      </c>
      <c r="G1696" t="str">
        <v>-</v>
      </c>
      <c r="H1696">
        <f>VLOOKUP(D1674,'Detail Balok'!$C$10:$AU$110,45,FALSE)</f>
        <v>200</v>
      </c>
      <c r="J1696">
        <f>(IF(D1696=0,(2*(D1675+G1675))-(F$5*8),IF(D1696=3,(2*(D1675+G1675))-(F$5*8)+(G1675-2*F$5),IF(D1696=4,(2*(D1675+G1675))-(F$5*8)+2*(G1675-2*F$5)))))/1000</f>
        <v>1.08</v>
      </c>
      <c r="K1696" t="str">
        <v>+</v>
      </c>
      <c r="L1696">
        <f>IF(D1696=0,2*MAX(6*F1696,75),(D1696-1)*2*MAX(6*F1696,75))/1000</f>
        <v>0.15</v>
      </c>
      <c r="M1696" t="str">
        <v>=</v>
      </c>
      <c r="N1696">
        <f>J1696+L1696</f>
        <v>1.23</v>
      </c>
      <c r="T1696" t="str">
        <v>x</v>
      </c>
      <c r="U1696">
        <f>0.006165*F1696^2</f>
        <v>0.6165</v>
      </c>
      <c r="V1696" t="str">
        <v>x</v>
      </c>
      <c r="W1696">
        <f>IF(D1677&gt;4*G1675,ROUND(MAX(D1677/4,2*G1675)/H1696,0)+1,0)</f>
        <v>10</v>
      </c>
      <c r="X1696" t="str">
        <v>x</v>
      </c>
      <c r="Y1696">
        <f>D1680</f>
        <v>1</v>
      </c>
      <c r="Z1696" t="str">
        <v>=</v>
      </c>
      <c r="AA1696">
        <f>N1696*U1696*W1696*Y1696</f>
        <v>7.58295</v>
      </c>
    </row>
    <row r="1698">
      <c r="A1698" t="str">
        <f>A1674</f>
        <v>Sloof</v>
      </c>
      <c r="B1698">
        <f>B1674</f>
        <v>49</v>
      </c>
      <c r="C1698" t="str">
        <v>Kait Horizontal Tump.</v>
      </c>
      <c r="D1698">
        <f>VLOOKUP(D1674,'Detail Balok'!$C$10:$BJ$110,46,FALSE)</f>
        <v>0</v>
      </c>
      <c r="E1698" t="str">
        <v>D</v>
      </c>
      <c r="F1698">
        <f>VLOOKUP(D1674,'Detail Balok'!$C$10:$BJ$110,48,FALSE)</f>
        <v>0</v>
      </c>
      <c r="G1698" t="str">
        <v>-</v>
      </c>
      <c r="H1698">
        <f>VLOOKUP(D1674,'Detail Balok'!$C$10:$BJ$110,50,FALSE)</f>
        <v>100</v>
      </c>
      <c r="J1698">
        <f>(D1675-2*F$5)/1000</f>
        <v>0.12</v>
      </c>
      <c r="K1698" t="str">
        <v>+</v>
      </c>
      <c r="L1698">
        <f>IF(D1698=0,2*MAX(6*F1698,75),(D1698-1)*2*MAX(6*F1698,75))/1000</f>
        <v>0.15</v>
      </c>
      <c r="M1698" t="str">
        <v>=</v>
      </c>
      <c r="N1698">
        <f>J1698+L1698</f>
        <v>0.27</v>
      </c>
      <c r="T1698" t="str">
        <v>x</v>
      </c>
      <c r="U1698">
        <f>0.006165*F1698^2</f>
        <v>0</v>
      </c>
      <c r="V1698" t="str">
        <v>x</v>
      </c>
      <c r="W1698">
        <f>W1694</f>
        <v>10</v>
      </c>
      <c r="X1698" t="str">
        <v>x</v>
      </c>
      <c r="Y1698">
        <f>D1684</f>
        <v>3</v>
      </c>
      <c r="Z1698" t="str">
        <v>=</v>
      </c>
      <c r="AA1698">
        <f>N1698*U1698*W1698*Y1698</f>
        <v>0</v>
      </c>
    </row>
    <row r="1699">
      <c r="A1699" t="str">
        <f>A1674</f>
        <v>Sloof</v>
      </c>
      <c r="B1699">
        <f>B1674</f>
        <v>49</v>
      </c>
      <c r="C1699" t="str">
        <v>Kait Horizontal Lap.</v>
      </c>
      <c r="D1699">
        <f>VLOOKUP(D1674,'Detail Balok'!$C$10:$BJ$110,51,FALSE)</f>
        <v>0</v>
      </c>
      <c r="E1699" t="str">
        <v>D</v>
      </c>
      <c r="F1699">
        <f>VLOOKUP(D1674,'Detail Balok'!$C$10:$BJ$110,53,FALSE)</f>
        <v>0</v>
      </c>
      <c r="G1699" t="str">
        <v>-</v>
      </c>
      <c r="H1699">
        <f>VLOOKUP(D1674,'Detail Balok'!$C$10:$BJ$110,55,FALSE)</f>
        <v>100</v>
      </c>
      <c r="J1699">
        <f>(D1675-2*F$5)/1000</f>
        <v>0.12</v>
      </c>
      <c r="K1699" t="str">
        <v>+</v>
      </c>
      <c r="L1699">
        <f>IF(D1699=0,2*MAX(6*F1699,75),(D1699-1)*2*MAX(6*F1699,75))/1000</f>
        <v>0.15</v>
      </c>
      <c r="M1699" t="str">
        <v>=</v>
      </c>
      <c r="N1699">
        <f>J1699+L1699</f>
        <v>0.27</v>
      </c>
      <c r="T1699" t="str">
        <v>x</v>
      </c>
      <c r="U1699">
        <f>0.006165*F1699^2</f>
        <v>0</v>
      </c>
      <c r="V1699" t="str">
        <v>x</v>
      </c>
      <c r="W1699">
        <f>W1695</f>
        <v>18</v>
      </c>
      <c r="X1699" t="str">
        <v>x</v>
      </c>
      <c r="Y1699">
        <f>D1684</f>
        <v>3</v>
      </c>
      <c r="Z1699" t="str">
        <v>=</v>
      </c>
      <c r="AA1699">
        <f>N1699*U1699*W1699*Y1699</f>
        <v>0</v>
      </c>
    </row>
    <row r="1700">
      <c r="A1700" t="str">
        <f>A1674</f>
        <v>Sloof</v>
      </c>
      <c r="B1700">
        <f>B1674</f>
        <v>49</v>
      </c>
      <c r="C1700" t="str">
        <v>Kait Horizontal Tump.</v>
      </c>
      <c r="D1700">
        <f>VLOOKUP(D1674,'Detail Balok'!$C$10:$BJ$110,56,FALSE)</f>
        <v>0</v>
      </c>
      <c r="E1700" t="str">
        <v>D</v>
      </c>
      <c r="F1700">
        <f>VLOOKUP(D1674,'Detail Balok'!$C$10:$BJ$110,58,FALSE)</f>
        <v>0</v>
      </c>
      <c r="G1700" t="str">
        <v>-</v>
      </c>
      <c r="H1700">
        <f>VLOOKUP(D1674,'Detail Balok'!$C$10:$BJ$110,60,FALSE)</f>
        <v>100</v>
      </c>
      <c r="J1700">
        <f>(D1675-2*F$5)/1000</f>
        <v>0.12</v>
      </c>
      <c r="K1700" t="str">
        <v>+</v>
      </c>
      <c r="L1700">
        <f>IF(D1700=0,2*MAX(6*F1700,75),(D1700-1)*2*MAX(6*F1700,75))/1000</f>
        <v>0.15</v>
      </c>
      <c r="M1700" t="str">
        <v>=</v>
      </c>
      <c r="N1700">
        <f>J1700+L1700</f>
        <v>0.27</v>
      </c>
      <c r="T1700" t="str">
        <v>x</v>
      </c>
      <c r="U1700">
        <f>0.006165*F1700^2</f>
        <v>0</v>
      </c>
      <c r="V1700" t="str">
        <v>x</v>
      </c>
      <c r="W1700">
        <f>W1696</f>
        <v>10</v>
      </c>
      <c r="X1700" t="str">
        <v>x</v>
      </c>
      <c r="Y1700">
        <f>D1684</f>
        <v>3</v>
      </c>
      <c r="Z1700" t="str">
        <v>=</v>
      </c>
      <c r="AA1700">
        <f>N1700*U1700*W1700*Y1700</f>
        <v>0</v>
      </c>
    </row>
    <row r="1704">
      <c r="A1704" t="str">
        <f>A1674</f>
        <v>Sloof</v>
      </c>
      <c r="B1704">
        <f>B1674+1</f>
        <v>50</v>
      </c>
      <c r="C1704" t="str">
        <f>CONCATENATE(A1704," no. ",B1704)</f>
        <v>Sloof no. 50</v>
      </c>
      <c r="D1704" t="str">
        <f>VLOOKUP(C1704,'Data Panjang Balok'!$C$9:$N$424,2,FALSE)</f>
        <v>TB24-2</v>
      </c>
    </row>
    <row r="1705">
      <c r="C1705" t="str">
        <v>Dimensi</v>
      </c>
      <c r="D1705">
        <f>VLOOKUP(D1704,'Detail Balok'!$C$10:$AU$110,2,FALSE)</f>
        <v>200</v>
      </c>
      <c r="F1705" t="str">
        <v>x</v>
      </c>
      <c r="G1705">
        <f>VLOOKUP(D1704,'Detail Balok'!$C$10:$AU$110,3,FALSE)</f>
        <v>400</v>
      </c>
    </row>
    <row r="1706">
      <c r="C1706" t="str">
        <v>Panjang as ke as</v>
      </c>
      <c r="D1706">
        <f>VLOOKUP(C1704,'Data Panjang Balok'!$C$9:$N$424,4,FALSE)</f>
        <v>9615</v>
      </c>
    </row>
    <row r="1707">
      <c r="C1707" t="str">
        <v>Panjang netto</v>
      </c>
      <c r="D1707">
        <f>VLOOKUP(C1704,'Data Panjang Balok'!$C$9:$N$424,7,FALSE)</f>
        <v>9615</v>
      </c>
    </row>
    <row r="1708">
      <c r="C1708" t="str">
        <v>Kolom / balok kiri</v>
      </c>
      <c r="D1708">
        <f>VLOOKUP(C1704,'Data Panjang Balok'!$C$9:$N$424,9,FALSE)</f>
        <v>0</v>
      </c>
    </row>
    <row r="1709">
      <c r="C1709" t="str">
        <v>Kolom / balok kanan</v>
      </c>
      <c r="D1709">
        <f>VLOOKUP(C1704,'Data Panjang Balok'!$C$9:$N$424,10,FALSE)</f>
        <v>0</v>
      </c>
    </row>
    <row r="1710">
      <c r="C1710" t="str">
        <v>Jumlah</v>
      </c>
      <c r="D1710">
        <f>VLOOKUP(C1704,'Data Panjang Balok'!$C$9:$N$424,3,FALSE)</f>
        <v>1</v>
      </c>
    </row>
    <row r="1711">
      <c r="A1711" t="str">
        <f>A1704</f>
        <v>Sloof</v>
      </c>
      <c r="B1711">
        <f>B1704</f>
        <v>50</v>
      </c>
      <c r="C1711" t="str">
        <v>Tul Atas Tumpuan</v>
      </c>
      <c r="D1711">
        <f>VLOOKUP(D1704,'Detail Balok'!$C$10:$AU$110,4,FALSE)</f>
        <v>4</v>
      </c>
      <c r="E1711" t="str">
        <v>D</v>
      </c>
      <c r="F1711">
        <f>VLOOKUP(D1704,'Detail Balok'!$C$10:$AU$110,6,FALSE)</f>
        <v>13</v>
      </c>
      <c r="I1711" t="str">
        <v>(</v>
      </c>
      <c r="J1711">
        <f>+D1706/4/1000</f>
        <v>2.40375</v>
      </c>
      <c r="K1711" t="str">
        <v>+</v>
      </c>
      <c r="L1711">
        <f>MAX(VLOOKUP(F1711,N$6:P$15,3,FALSE)/1000,2/3*D1708/1000)+F$16*F1711/1000</f>
        <v>0.156</v>
      </c>
      <c r="M1711" t="str">
        <v>=</v>
      </c>
      <c r="N1711">
        <f>J1711+L1711</f>
        <v>2.55975</v>
      </c>
      <c r="O1711" t="str">
        <v>+</v>
      </c>
      <c r="P1711">
        <f>D1711-D1712</f>
        <v>2</v>
      </c>
      <c r="Q1711" t="str">
        <v>x</v>
      </c>
      <c r="R1711">
        <f>IF(P1711&gt;0,$F$18*F1711/1000,0)</f>
        <v>0.195</v>
      </c>
      <c r="S1711" t="str">
        <v>)</v>
      </c>
      <c r="T1711" t="str">
        <v>x</v>
      </c>
      <c r="U1711">
        <f>0.006165*F1711^2</f>
        <v>1.041885</v>
      </c>
      <c r="X1711" t="str">
        <v>x</v>
      </c>
      <c r="Y1711">
        <f>D1710</f>
        <v>1</v>
      </c>
      <c r="Z1711" t="str">
        <v>=</v>
      </c>
      <c r="AA1711">
        <f>IF(AA1714=0,(D1711*N1711+P1711*R1711)*U1711*Y1711,0)</f>
        <v>11.074195665000001</v>
      </c>
    </row>
    <row r="1712">
      <c r="A1712" t="str">
        <f>A1704</f>
        <v>Sloof</v>
      </c>
      <c r="B1712">
        <f>B1704</f>
        <v>50</v>
      </c>
      <c r="C1712" t="str">
        <v>Tul Atas Lapangan</v>
      </c>
      <c r="D1712">
        <f>VLOOKUP(D1704,'Detail Balok'!$C$10:$AU$110,7,FALSE)</f>
        <v>2</v>
      </c>
      <c r="E1712" t="str">
        <v>D</v>
      </c>
      <c r="F1712">
        <f>VLOOKUP(D1704,'Detail Balok'!$C$10:$AU$110,9,FALSE)</f>
        <v>13</v>
      </c>
      <c r="I1712" t="str">
        <v>(</v>
      </c>
      <c r="J1712">
        <f>+D1706/2/1000</f>
        <v>4.8075</v>
      </c>
      <c r="K1712" t="str">
        <v>+</v>
      </c>
      <c r="M1712" t="str">
        <v>=</v>
      </c>
      <c r="N1712">
        <f>J1712+L1712</f>
        <v>4.8075</v>
      </c>
      <c r="O1712" t="str">
        <v>+</v>
      </c>
      <c r="P1712">
        <f>MAX(D1712-D1711,D1712-D1713)</f>
        <v>-2</v>
      </c>
      <c r="Q1712" t="str">
        <v>x</v>
      </c>
      <c r="R1712">
        <f>IF(P1712&gt;0,2*(1-2*$F$19-1/2)*D1707/1000,0)</f>
        <v>0</v>
      </c>
      <c r="S1712" t="str">
        <v>)</v>
      </c>
      <c r="T1712" t="str">
        <v>x</v>
      </c>
      <c r="U1712">
        <f>0.006165*F1712^2</f>
        <v>1.041885</v>
      </c>
      <c r="X1712" t="str">
        <v>x</v>
      </c>
      <c r="Y1712">
        <f>D1710</f>
        <v>1</v>
      </c>
      <c r="Z1712" t="str">
        <v>=</v>
      </c>
      <c r="AA1712">
        <f>IF(AA1714=0,(D1712*N1712+P1712*R1712)*U1712*Y1712,0)</f>
        <v>10.017724274999999</v>
      </c>
    </row>
    <row r="1713">
      <c r="A1713" t="str">
        <f>A1704</f>
        <v>Sloof</v>
      </c>
      <c r="B1713">
        <f>B1704</f>
        <v>50</v>
      </c>
      <c r="C1713" t="str">
        <v>Tul Atas Tumpuan</v>
      </c>
      <c r="D1713">
        <f>VLOOKUP(D1704,'Detail Balok'!$C$10:$AU$110,10,FALSE)</f>
        <v>4</v>
      </c>
      <c r="E1713" t="str">
        <v>D</v>
      </c>
      <c r="F1713">
        <f>VLOOKUP(D1704,'Detail Balok'!$C$10:$AU$110,12,FALSE)</f>
        <v>13</v>
      </c>
      <c r="I1713" t="str">
        <v>(</v>
      </c>
      <c r="J1713">
        <f>+D1706/4/1000</f>
        <v>2.40375</v>
      </c>
      <c r="K1713" t="str">
        <v>+</v>
      </c>
      <c r="L1713">
        <f>MAX(VLOOKUP(F1713,N$6:P$15,3,FALSE)/1000,2/3*D1708/1000)+F$16*F1713/1000</f>
        <v>0.156</v>
      </c>
      <c r="M1713" t="str">
        <v>=</v>
      </c>
      <c r="N1713">
        <f>J1713+L1713</f>
        <v>2.55975</v>
      </c>
      <c r="O1713" t="str">
        <v>+</v>
      </c>
      <c r="P1713">
        <f>D1713-D1712</f>
        <v>2</v>
      </c>
      <c r="Q1713" t="str">
        <v>x</v>
      </c>
      <c r="R1713">
        <f>IF(P1713&gt;0,$F$18*F1713/1000,0)</f>
        <v>0.195</v>
      </c>
      <c r="S1713" t="str">
        <v>)</v>
      </c>
      <c r="T1713" t="str">
        <v>x</v>
      </c>
      <c r="U1713">
        <f>0.006165*F1713^2</f>
        <v>1.041885</v>
      </c>
      <c r="X1713" t="str">
        <v>x</v>
      </c>
      <c r="Y1713">
        <f>D1710</f>
        <v>1</v>
      </c>
      <c r="Z1713" t="str">
        <v>=</v>
      </c>
      <c r="AA1713">
        <f>IF(AA1714=0,(D1713*N1713+P1713*R1713)*U1713*Y1713,0)</f>
        <v>11.074195665000001</v>
      </c>
    </row>
    <row r="1714">
      <c r="A1714" t="str">
        <f>A1704</f>
        <v>Sloof</v>
      </c>
      <c r="B1714">
        <f>B1704</f>
        <v>50</v>
      </c>
      <c r="D1714">
        <f>IF(AND(D1711=D1712,D1712=D1713,D1711=D1713),D1711,0)</f>
        <v>0</v>
      </c>
      <c r="E1714" t="str">
        <v>D</v>
      </c>
      <c r="F1714">
        <f>IF(AND(F1711=F1712,F1711=F1713,F1712=F1713),F1711,0)</f>
        <v>13</v>
      </c>
      <c r="L1714" t="str">
        <v>Total panjang per balok</v>
      </c>
      <c r="M1714" t="str">
        <v>=</v>
      </c>
      <c r="N1714">
        <f>IF(AND(D1711=D1712,D1711=D1713,D1712=D1713,F1711=F1712,F1711=F1713,F1712=F1713),SUM(N1711:N1713),0)</f>
        <v>0</v>
      </c>
      <c r="O1714" t="str">
        <v>+</v>
      </c>
      <c r="P1714">
        <f>IF(N1714&gt;12,ROUNDDOWN(N1714/12,0),0)</f>
        <v>0</v>
      </c>
      <c r="Q1714" t="str">
        <v>x</v>
      </c>
      <c r="R1714">
        <f>IF(P1714&gt;0,MAX(VLOOKUP(F1714,$D$6:$G$15,3,FALSE),600),0)/1000</f>
        <v>0</v>
      </c>
      <c r="T1714" t="str">
        <v>x</v>
      </c>
      <c r="U1714">
        <f>U1713</f>
        <v>1.041885</v>
      </c>
      <c r="V1714" t="str">
        <v>x</v>
      </c>
      <c r="W1714">
        <f>D1714</f>
        <v>0</v>
      </c>
      <c r="X1714" t="str">
        <v>x</v>
      </c>
      <c r="Y1714">
        <f>Y1713</f>
        <v>1</v>
      </c>
      <c r="Z1714" t="str">
        <v>=</v>
      </c>
      <c r="AA1714">
        <f>(N1714+P1714*R1714/1000)*U1714*W1714*Y1714</f>
        <v>0</v>
      </c>
    </row>
    <row r="1716">
      <c r="A1716" t="str">
        <f>A1704</f>
        <v>Sloof</v>
      </c>
      <c r="B1716">
        <f>B1704</f>
        <v>50</v>
      </c>
      <c r="C1716" t="str">
        <v>Tul Peminggang</v>
      </c>
      <c r="D1716">
        <f>VLOOKUP(D1704,'Detail Balok'!$C$10:$AU$110,13,FALSE)</f>
        <v>0</v>
      </c>
      <c r="E1716" t="str">
        <v>D</v>
      </c>
      <c r="F1716">
        <f>VLOOKUP(D1704,'Detail Balok'!$C$10:$AU$110,15,FALSE)</f>
        <v>6</v>
      </c>
      <c r="J1716">
        <f>+D1706/1000</f>
        <v>9.615</v>
      </c>
      <c r="K1716" t="str">
        <v>+</v>
      </c>
      <c r="L1716">
        <f>2*$F$16*F1716/1000</f>
        <v>0.144</v>
      </c>
      <c r="M1716" t="str">
        <v>=</v>
      </c>
      <c r="N1716">
        <f>J1716+L1716</f>
        <v>9.759</v>
      </c>
      <c r="O1716" t="str">
        <v>+</v>
      </c>
      <c r="P1716">
        <f>IF(N1716&gt;12,ROUNDDOWN(N1716/12,0),0)</f>
        <v>0</v>
      </c>
      <c r="Q1716" t="str">
        <v>x</v>
      </c>
      <c r="R1716">
        <f>IF(P1716&gt;0,MAX(VLOOKUP(F1716,$D$6:$G$15,3,FALSE),600),0)/1000</f>
        <v>0</v>
      </c>
      <c r="T1716" t="str">
        <v>x</v>
      </c>
      <c r="U1716">
        <f>0.006165*F1716^2</f>
        <v>0.22194000000000003</v>
      </c>
      <c r="V1716" t="str">
        <v>x</v>
      </c>
      <c r="W1716">
        <f>+D1716</f>
        <v>0</v>
      </c>
      <c r="X1716" t="str">
        <v>x</v>
      </c>
      <c r="Y1716">
        <f>D1710</f>
        <v>1</v>
      </c>
      <c r="Z1716" t="str">
        <v>=</v>
      </c>
      <c r="AA1716">
        <f>(N1716+P1716*R1716/1000)*U1716*W1716*Y1716</f>
        <v>0</v>
      </c>
    </row>
    <row r="1719">
      <c r="A1719" t="str">
        <f>A1704</f>
        <v>Sloof</v>
      </c>
      <c r="B1719">
        <f>B1704</f>
        <v>50</v>
      </c>
      <c r="C1719" t="str">
        <v>Tul Bawah Tumpuan</v>
      </c>
      <c r="D1719">
        <f>VLOOKUP(D1704,'Detail Balok'!$C$10:$AU$110,22,FALSE)</f>
        <v>3</v>
      </c>
      <c r="E1719" t="str">
        <v>D</v>
      </c>
      <c r="F1719">
        <f>VLOOKUP(D1704,'Detail Balok'!$C$10:$AU$110,24,FALSE)</f>
        <v>13</v>
      </c>
      <c r="I1719" t="str">
        <v>(</v>
      </c>
      <c r="J1719">
        <f>+J1711</f>
        <v>2.40375</v>
      </c>
      <c r="K1719" t="str">
        <v>+</v>
      </c>
      <c r="L1719">
        <f>MAX(VLOOKUP(F1719,N$6:P$15,3,FALSE)/1000,2/3*D1709/1000)+F$16*F1719/1000</f>
        <v>0.156</v>
      </c>
      <c r="M1719" t="str">
        <v>=</v>
      </c>
      <c r="N1719">
        <f>J1719+L1719</f>
        <v>2.55975</v>
      </c>
      <c r="O1719" t="str">
        <v>+</v>
      </c>
      <c r="P1719">
        <f>D1719-D1720</f>
        <v>0</v>
      </c>
      <c r="Q1719" t="str">
        <v>x</v>
      </c>
      <c r="R1719">
        <f>IF(P1719&gt;0,$F$18*F1719/1000,0)</f>
        <v>0</v>
      </c>
      <c r="S1719" t="str">
        <v>)</v>
      </c>
      <c r="T1719" t="str">
        <v>x</v>
      </c>
      <c r="U1719">
        <f>0.006165*F1719^2</f>
        <v>1.041885</v>
      </c>
      <c r="X1719" t="str">
        <v>x</v>
      </c>
      <c r="Y1719">
        <f>D1710</f>
        <v>1</v>
      </c>
      <c r="Z1719" t="str">
        <v>=</v>
      </c>
      <c r="AA1719">
        <f>IF(AA1722=0,(D1719*N1719+P1719*R1719)*U1719*Y1719,0)</f>
        <v>0</v>
      </c>
    </row>
    <row r="1720">
      <c r="A1720" t="str">
        <f>A1704</f>
        <v>Sloof</v>
      </c>
      <c r="B1720">
        <f>B1704</f>
        <v>50</v>
      </c>
      <c r="C1720" t="str">
        <v>Tul Bawah Lapangan</v>
      </c>
      <c r="D1720">
        <f>VLOOKUP(D1704,'Detail Balok'!$C$10:$AU$110,25,FALSE)</f>
        <v>3</v>
      </c>
      <c r="E1720" t="str">
        <v>D</v>
      </c>
      <c r="F1720">
        <f>VLOOKUP(D1704,'Detail Balok'!$C$10:$AU$110,27,FALSE)</f>
        <v>13</v>
      </c>
      <c r="I1720" t="str">
        <v>(</v>
      </c>
      <c r="J1720">
        <f>+J1712</f>
        <v>4.8075</v>
      </c>
      <c r="K1720" t="str">
        <v>+</v>
      </c>
      <c r="M1720" t="str">
        <v>=</v>
      </c>
      <c r="N1720">
        <f>J1720+L1720</f>
        <v>4.8075</v>
      </c>
      <c r="O1720" t="str">
        <v>+</v>
      </c>
      <c r="P1720">
        <f>MAX(D1720-D1719,D1720-D1721)</f>
        <v>0</v>
      </c>
      <c r="Q1720" t="str">
        <v>x</v>
      </c>
      <c r="R1720">
        <f>IF(P1720&gt;0,2*(1-2*$F$19-1/2)*D1707/1000,0)</f>
        <v>0</v>
      </c>
      <c r="S1720" t="str">
        <v>)</v>
      </c>
      <c r="T1720" t="str">
        <v>x</v>
      </c>
      <c r="U1720">
        <f>0.006165*F1720^2</f>
        <v>1.041885</v>
      </c>
      <c r="X1720" t="str">
        <v>x</v>
      </c>
      <c r="Y1720">
        <f>D1710</f>
        <v>1</v>
      </c>
      <c r="Z1720" t="str">
        <v>=</v>
      </c>
      <c r="AA1720">
        <f>IF(AA1722=0,(D1720*N1720+P1720*R1720)*U1720*Y1720,0)</f>
        <v>0</v>
      </c>
    </row>
    <row r="1721">
      <c r="A1721" t="str">
        <f>A1704</f>
        <v>Sloof</v>
      </c>
      <c r="B1721">
        <f>B1704</f>
        <v>50</v>
      </c>
      <c r="C1721" t="str">
        <v>Tul Bawah Tumpuan</v>
      </c>
      <c r="D1721">
        <f>VLOOKUP(D1704,'Detail Balok'!$C$10:$AU$110,28,FALSE)</f>
        <v>3</v>
      </c>
      <c r="E1721" t="str">
        <v>D</v>
      </c>
      <c r="F1721">
        <f>VLOOKUP(D1704,'Detail Balok'!$C$10:$AU$110,30,FALSE)</f>
        <v>13</v>
      </c>
      <c r="I1721" t="str">
        <v>(</v>
      </c>
      <c r="J1721">
        <f>+J1713</f>
        <v>2.40375</v>
      </c>
      <c r="K1721" t="str">
        <v>+</v>
      </c>
      <c r="L1721">
        <f>MAX(VLOOKUP(F1721,N$6:P$15,3,FALSE)/1000,2/3*D1709/1000)+F$16*F1721/1000</f>
        <v>0.156</v>
      </c>
      <c r="M1721" t="str">
        <v>=</v>
      </c>
      <c r="N1721">
        <f>J1721+L1721</f>
        <v>2.55975</v>
      </c>
      <c r="O1721" t="str">
        <v>+</v>
      </c>
      <c r="P1721">
        <f>D1721-D1720</f>
        <v>0</v>
      </c>
      <c r="Q1721" t="str">
        <v>x</v>
      </c>
      <c r="R1721">
        <f>IF(P1721&gt;0,$F$18*F1721/1000,0)</f>
        <v>0</v>
      </c>
      <c r="S1721" t="str">
        <v>)</v>
      </c>
      <c r="T1721" t="str">
        <v>x</v>
      </c>
      <c r="U1721">
        <f>0.006165*F1721^2</f>
        <v>1.041885</v>
      </c>
      <c r="X1721" t="str">
        <v>x</v>
      </c>
      <c r="Y1721">
        <f>D1710</f>
        <v>1</v>
      </c>
      <c r="Z1721" t="str">
        <v>=</v>
      </c>
      <c r="AA1721">
        <f>IF(AA1722=0,(D1721*N1721+P1721*R1721)*U1721*Y1721,0)</f>
        <v>0</v>
      </c>
    </row>
    <row r="1722">
      <c r="A1722" t="str">
        <f>A1704</f>
        <v>Sloof</v>
      </c>
      <c r="B1722">
        <f>B1704</f>
        <v>50</v>
      </c>
      <c r="D1722">
        <f>IF(AND(D1719=D1720,D1720=D1721,D1719=D1721),D1719,0)</f>
        <v>3</v>
      </c>
      <c r="E1722" t="str">
        <v>D</v>
      </c>
      <c r="F1722">
        <f>IF(AND(F1719=F1720,F1719=F1721,F1720=F1721),F1719,0)</f>
        <v>13</v>
      </c>
      <c r="L1722" t="str">
        <v>Total panjang per balok</v>
      </c>
      <c r="M1722" t="str">
        <v>=</v>
      </c>
      <c r="N1722">
        <f>IF(AND(D1719=D1720,D1719=D1721,D1720=D1721,F1719=F1720,F1719=F1721,F1720=F1721),SUM(N1719:N1721),0)</f>
        <v>9.927</v>
      </c>
      <c r="O1722" t="str">
        <v>+</v>
      </c>
      <c r="P1722">
        <f>IF(N1722&gt;12,ROUNDDOWN(N1722/12,0),0)</f>
        <v>0</v>
      </c>
      <c r="Q1722" t="str">
        <v>x</v>
      </c>
      <c r="R1722">
        <f>IF(P1722&gt;0,MAX(VLOOKUP(F1722,$D$6:$G$15,3,FALSE),600),0)/1000</f>
        <v>0</v>
      </c>
      <c r="T1722" t="str">
        <v>x</v>
      </c>
      <c r="U1722">
        <f>U1721</f>
        <v>1.041885</v>
      </c>
      <c r="V1722" t="str">
        <v>x</v>
      </c>
      <c r="W1722">
        <f>D1722</f>
        <v>3</v>
      </c>
      <c r="X1722" t="str">
        <v>x</v>
      </c>
      <c r="Y1722">
        <f>Y1721</f>
        <v>1</v>
      </c>
      <c r="Z1722" t="str">
        <v>=</v>
      </c>
      <c r="AA1722">
        <f>(N1722+P1722*R1722/1000)*U1722*W1722*Y1722</f>
        <v>31.028377184999997</v>
      </c>
    </row>
    <row r="1724">
      <c r="A1724" t="str">
        <f>A1704</f>
        <v>Sloof</v>
      </c>
      <c r="B1724">
        <f>B1704</f>
        <v>50</v>
      </c>
      <c r="C1724" t="str">
        <v>Sengkang Tumpuan</v>
      </c>
      <c r="D1724">
        <f>VLOOKUP(D1704,'Detail Balok'!$C$10:$AU$110,31,FALSE)</f>
        <v>0</v>
      </c>
      <c r="E1724" t="str">
        <v>D</v>
      </c>
      <c r="F1724">
        <f>VLOOKUP(D1704,'Detail Balok'!$C$10:$AU$110,33,FALSE)</f>
        <v>8</v>
      </c>
      <c r="G1724" t="str">
        <v>-</v>
      </c>
      <c r="H1724">
        <f>VLOOKUP(D1704,'Detail Balok'!$C$10:$AU$110,35,FALSE)</f>
        <v>150</v>
      </c>
      <c r="J1724">
        <f>(IF(D1724=0,(2*(D1705+G1705))-(F$5*8),IF(D1724=3,(2*(D1705+G1705))-(F$5*8)+(G1705-2*F$5),IF(D1724=4,(2*(D1705+G1705))-(F$5*8)+2*(G1705-2*F$5)))))/1000</f>
        <v>0.88</v>
      </c>
      <c r="K1724" t="str">
        <v>+</v>
      </c>
      <c r="L1724">
        <f>IF(D1724=0,2*MAX(6*F1724,75),(D1724-1)*2*MAX(6*F1724,75))/1000</f>
        <v>0.15</v>
      </c>
      <c r="M1724" t="str">
        <v>=</v>
      </c>
      <c r="N1724">
        <f>J1724+L1724</f>
        <v>1.03</v>
      </c>
      <c r="T1724" t="str">
        <v>x</v>
      </c>
      <c r="U1724">
        <f>0.006165*F1724^2</f>
        <v>0.39456</v>
      </c>
      <c r="V1724" t="str">
        <v>x</v>
      </c>
      <c r="W1724">
        <f>IF(D1707&gt;4*G1705,ROUND(MAX(D1707/4,2*G1705)/H1724,0)+1,ROUND(D1707/H1724,0)+1)</f>
        <v>17</v>
      </c>
      <c r="X1724" t="str">
        <v>x</v>
      </c>
      <c r="Y1724">
        <f>D1710</f>
        <v>1</v>
      </c>
      <c r="Z1724" t="str">
        <v>=</v>
      </c>
      <c r="AA1724">
        <f>N1724*U1724*W1724*Y1724</f>
        <v>6.908745600000001</v>
      </c>
    </row>
    <row r="1725">
      <c r="A1725" t="str">
        <f>A1704</f>
        <v>Sloof</v>
      </c>
      <c r="B1725">
        <f>B1704</f>
        <v>50</v>
      </c>
      <c r="C1725" t="str">
        <v>Sengkang Lapangan</v>
      </c>
      <c r="D1725">
        <f>VLOOKUP(D1704,'Detail Balok'!$C$10:$AU$110,36,FALSE)</f>
        <v>0</v>
      </c>
      <c r="E1725" t="str">
        <v>D</v>
      </c>
      <c r="F1725">
        <f>VLOOKUP(D1704,'Detail Balok'!$C$10:$AU$110,38,FALSE)</f>
        <v>8</v>
      </c>
      <c r="G1725" t="str">
        <v>-</v>
      </c>
      <c r="H1725">
        <f>VLOOKUP(D1704,'Detail Balok'!$C$10:$AU$110,40,FALSE)</f>
        <v>200</v>
      </c>
      <c r="J1725">
        <f>(IF(D1725=0,(2*(D1705+G1705))-(F$5*8),IF(D1725=3,(2*(D1705+G1705))-(F$5*8)+(G1705-2*F$5),IF(D1725=4,(2*(D1705+G1705))-(F$5*8)+2*(G1705-2*F$5)))))/1000</f>
        <v>0.88</v>
      </c>
      <c r="K1725" t="str">
        <v>+</v>
      </c>
      <c r="L1725">
        <f>IF(D1725=0,2*MAX(6*F1725,75),(D1725-1)*2*MAX(6*F1725,75))/1000</f>
        <v>0.15</v>
      </c>
      <c r="M1725" t="str">
        <v>=</v>
      </c>
      <c r="N1725">
        <f>J1725+L1725</f>
        <v>1.03</v>
      </c>
      <c r="T1725" t="str">
        <v>x</v>
      </c>
      <c r="U1725">
        <f>0.006165*F1725^2</f>
        <v>0.39456</v>
      </c>
      <c r="V1725" t="str">
        <v>x</v>
      </c>
      <c r="W1725">
        <f>IF(D1707-MAX(D1707/4,2*G1705)*2&gt;0,ROUND((D1707-MAX(D1707/4,2*G1705)*2)/H1725,0),0)</f>
        <v>24</v>
      </c>
      <c r="X1725" t="str">
        <v>x</v>
      </c>
      <c r="Y1725">
        <f>D1710</f>
        <v>1</v>
      </c>
      <c r="Z1725" t="str">
        <v>=</v>
      </c>
      <c r="AA1725">
        <f>N1725*U1725*W1725*Y1725</f>
        <v>9.753523200000002</v>
      </c>
    </row>
    <row r="1726">
      <c r="A1726" t="str">
        <f>A1704</f>
        <v>Sloof</v>
      </c>
      <c r="B1726">
        <f>B1704</f>
        <v>50</v>
      </c>
      <c r="C1726" t="str">
        <v>Sengkang Tumpuan</v>
      </c>
      <c r="D1726">
        <f>VLOOKUP(D1704,'Detail Balok'!$C$10:$AU$110,41,FALSE)</f>
        <v>0</v>
      </c>
      <c r="E1726" t="str">
        <v>D</v>
      </c>
      <c r="F1726">
        <f>VLOOKUP(D1704,'Detail Balok'!$C$10:$AU$110,43,FALSE)</f>
        <v>8</v>
      </c>
      <c r="G1726" t="str">
        <v>-</v>
      </c>
      <c r="H1726">
        <f>VLOOKUP(D1704,'Detail Balok'!$C$10:$AU$110,45,FALSE)</f>
        <v>150</v>
      </c>
      <c r="J1726">
        <f>(IF(D1726=0,(2*(D1705+G1705))-(F$5*8),IF(D1726=3,(2*(D1705+G1705))-(F$5*8)+(G1705-2*F$5),IF(D1726=4,(2*(D1705+G1705))-(F$5*8)+2*(G1705-2*F$5)))))/1000</f>
        <v>0.88</v>
      </c>
      <c r="K1726" t="str">
        <v>+</v>
      </c>
      <c r="L1726">
        <f>IF(D1726=0,2*MAX(6*F1726,75),(D1726-1)*2*MAX(6*F1726,75))/1000</f>
        <v>0.15</v>
      </c>
      <c r="M1726" t="str">
        <v>=</v>
      </c>
      <c r="N1726">
        <f>J1726+L1726</f>
        <v>1.03</v>
      </c>
      <c r="T1726" t="str">
        <v>x</v>
      </c>
      <c r="U1726">
        <f>0.006165*F1726^2</f>
        <v>0.39456</v>
      </c>
      <c r="V1726" t="str">
        <v>x</v>
      </c>
      <c r="W1726">
        <f>IF(D1707&gt;4*G1705,ROUND(MAX(D1707/4,2*G1705)/H1726,0)+1,0)</f>
        <v>17</v>
      </c>
      <c r="X1726" t="str">
        <v>x</v>
      </c>
      <c r="Y1726">
        <f>D1710</f>
        <v>1</v>
      </c>
      <c r="Z1726" t="str">
        <v>=</v>
      </c>
      <c r="AA1726">
        <f>N1726*U1726*W1726*Y1726</f>
        <v>6.908745600000001</v>
      </c>
    </row>
    <row r="1728">
      <c r="A1728" t="str">
        <f>A1704</f>
        <v>Sloof</v>
      </c>
      <c r="B1728">
        <f>B1704</f>
        <v>50</v>
      </c>
      <c r="C1728" t="str">
        <v>Kait Horizontal Tump.</v>
      </c>
      <c r="D1728">
        <f>VLOOKUP(D1704,'Detail Balok'!$C$10:$BJ$110,46,FALSE)</f>
        <v>0</v>
      </c>
      <c r="E1728" t="str">
        <v>D</v>
      </c>
      <c r="F1728">
        <f>VLOOKUP(D1704,'Detail Balok'!$C$10:$BJ$110,48,FALSE)</f>
        <v>0</v>
      </c>
      <c r="G1728" t="str">
        <v>-</v>
      </c>
      <c r="H1728">
        <f>VLOOKUP(D1704,'Detail Balok'!$C$10:$BJ$110,50,FALSE)</f>
        <v>100</v>
      </c>
      <c r="J1728">
        <f>(D1705-2*F$5)/1000</f>
        <v>0.12</v>
      </c>
      <c r="K1728" t="str">
        <v>+</v>
      </c>
      <c r="L1728">
        <f>IF(D1728=0,2*MAX(6*F1728,75),(D1728-1)*2*MAX(6*F1728,75))/1000</f>
        <v>0.15</v>
      </c>
      <c r="M1728" t="str">
        <v>=</v>
      </c>
      <c r="N1728">
        <f>J1728+L1728</f>
        <v>0.27</v>
      </c>
      <c r="T1728" t="str">
        <v>x</v>
      </c>
      <c r="U1728">
        <f>0.006165*F1728^2</f>
        <v>0</v>
      </c>
      <c r="V1728" t="str">
        <v>x</v>
      </c>
      <c r="W1728">
        <f>W1724</f>
        <v>17</v>
      </c>
      <c r="X1728" t="str">
        <v>x</v>
      </c>
      <c r="Y1728">
        <f>D1714</f>
        <v>0</v>
      </c>
      <c r="Z1728" t="str">
        <v>=</v>
      </c>
      <c r="AA1728">
        <f>N1728*U1728*W1728*Y1728</f>
        <v>0</v>
      </c>
    </row>
    <row r="1729">
      <c r="A1729" t="str">
        <f>A1704</f>
        <v>Sloof</v>
      </c>
      <c r="B1729">
        <f>B1704</f>
        <v>50</v>
      </c>
      <c r="C1729" t="str">
        <v>Kait Horizontal Lap.</v>
      </c>
      <c r="D1729">
        <f>VLOOKUP(D1704,'Detail Balok'!$C$10:$BJ$110,51,FALSE)</f>
        <v>0</v>
      </c>
      <c r="E1729" t="str">
        <v>D</v>
      </c>
      <c r="F1729">
        <f>VLOOKUP(D1704,'Detail Balok'!$C$10:$BJ$110,53,FALSE)</f>
        <v>0</v>
      </c>
      <c r="G1729" t="str">
        <v>-</v>
      </c>
      <c r="H1729">
        <f>VLOOKUP(D1704,'Detail Balok'!$C$10:$BJ$110,55,FALSE)</f>
        <v>100</v>
      </c>
      <c r="J1729">
        <f>(D1705-2*F$5)/1000</f>
        <v>0.12</v>
      </c>
      <c r="K1729" t="str">
        <v>+</v>
      </c>
      <c r="L1729">
        <f>IF(D1729=0,2*MAX(6*F1729,75),(D1729-1)*2*MAX(6*F1729,75))/1000</f>
        <v>0.15</v>
      </c>
      <c r="M1729" t="str">
        <v>=</v>
      </c>
      <c r="N1729">
        <f>J1729+L1729</f>
        <v>0.27</v>
      </c>
      <c r="T1729" t="str">
        <v>x</v>
      </c>
      <c r="U1729">
        <f>0.006165*F1729^2</f>
        <v>0</v>
      </c>
      <c r="V1729" t="str">
        <v>x</v>
      </c>
      <c r="W1729">
        <f>W1725</f>
        <v>24</v>
      </c>
      <c r="X1729" t="str">
        <v>x</v>
      </c>
      <c r="Y1729">
        <f>D1714</f>
        <v>0</v>
      </c>
      <c r="Z1729" t="str">
        <v>=</v>
      </c>
      <c r="AA1729">
        <f>N1729*U1729*W1729*Y1729</f>
        <v>0</v>
      </c>
    </row>
    <row r="1730">
      <c r="A1730" t="str">
        <f>A1704</f>
        <v>Sloof</v>
      </c>
      <c r="B1730">
        <f>B1704</f>
        <v>50</v>
      </c>
      <c r="C1730" t="str">
        <v>Kait Horizontal Tump.</v>
      </c>
      <c r="D1730">
        <f>VLOOKUP(D1704,'Detail Balok'!$C$10:$BJ$110,56,FALSE)</f>
        <v>0</v>
      </c>
      <c r="E1730" t="str">
        <v>D</v>
      </c>
      <c r="F1730">
        <f>VLOOKUP(D1704,'Detail Balok'!$C$10:$BJ$110,58,FALSE)</f>
        <v>0</v>
      </c>
      <c r="G1730" t="str">
        <v>-</v>
      </c>
      <c r="H1730">
        <f>VLOOKUP(D1704,'Detail Balok'!$C$10:$BJ$110,60,FALSE)</f>
        <v>100</v>
      </c>
      <c r="J1730">
        <f>(D1705-2*F$5)/1000</f>
        <v>0.12</v>
      </c>
      <c r="K1730" t="str">
        <v>+</v>
      </c>
      <c r="L1730">
        <f>IF(D1730=0,2*MAX(6*F1730,75),(D1730-1)*2*MAX(6*F1730,75))/1000</f>
        <v>0.15</v>
      </c>
      <c r="M1730" t="str">
        <v>=</v>
      </c>
      <c r="N1730">
        <f>J1730+L1730</f>
        <v>0.27</v>
      </c>
      <c r="T1730" t="str">
        <v>x</v>
      </c>
      <c r="U1730">
        <f>0.006165*F1730^2</f>
        <v>0</v>
      </c>
      <c r="V1730" t="str">
        <v>x</v>
      </c>
      <c r="W1730">
        <f>W1726</f>
        <v>17</v>
      </c>
      <c r="X1730" t="str">
        <v>x</v>
      </c>
      <c r="Y1730">
        <f>D1714</f>
        <v>0</v>
      </c>
      <c r="Z1730" t="str">
        <v>=</v>
      </c>
      <c r="AA1730">
        <f>N1730*U1730*W1730*Y1730</f>
        <v>0</v>
      </c>
    </row>
    <row r="1734">
      <c r="A1734" t="str">
        <f>A1704</f>
        <v>Sloof</v>
      </c>
      <c r="B1734">
        <f>B1704+1</f>
        <v>51</v>
      </c>
      <c r="C1734" t="str">
        <f>CONCATENATE(A1734," no. ",B1734)</f>
        <v>Sloof no. 51</v>
      </c>
      <c r="D1734" t="str">
        <f>VLOOKUP(C1734,'Data Panjang Balok'!$C$9:$N$424,2,FALSE)</f>
        <v>TB24-1</v>
      </c>
    </row>
    <row r="1735">
      <c r="C1735" t="str">
        <v>Dimensi</v>
      </c>
      <c r="D1735">
        <f>VLOOKUP(D1734,'Detail Balok'!$C$10:$AU$110,2,FALSE)</f>
        <v>200</v>
      </c>
      <c r="F1735" t="str">
        <v>x</v>
      </c>
      <c r="G1735">
        <f>VLOOKUP(D1734,'Detail Balok'!$C$10:$AU$110,3,FALSE)</f>
        <v>400</v>
      </c>
    </row>
    <row r="1736">
      <c r="C1736" t="str">
        <v>Panjang as ke as</v>
      </c>
      <c r="D1736">
        <f>VLOOKUP(C1734,'Data Panjang Balok'!$C$9:$N$424,4,FALSE)</f>
        <v>3855</v>
      </c>
    </row>
    <row r="1737">
      <c r="C1737" t="str">
        <v>Panjang netto</v>
      </c>
      <c r="D1737">
        <f>VLOOKUP(C1734,'Data Panjang Balok'!$C$9:$N$424,7,FALSE)</f>
        <v>3855</v>
      </c>
    </row>
    <row r="1738">
      <c r="C1738" t="str">
        <v>Kolom / balok kiri</v>
      </c>
      <c r="D1738">
        <f>VLOOKUP(C1734,'Data Panjang Balok'!$C$9:$N$424,9,FALSE)</f>
        <v>0</v>
      </c>
    </row>
    <row r="1739">
      <c r="C1739" t="str">
        <v>Kolom / balok kanan</v>
      </c>
      <c r="D1739">
        <f>VLOOKUP(C1734,'Data Panjang Balok'!$C$9:$N$424,10,FALSE)</f>
        <v>0</v>
      </c>
    </row>
    <row r="1740">
      <c r="C1740" t="str">
        <v>Jumlah</v>
      </c>
      <c r="D1740">
        <f>VLOOKUP(C1734,'Data Panjang Balok'!$C$9:$N$424,3,FALSE)</f>
        <v>1</v>
      </c>
    </row>
    <row r="1741">
      <c r="A1741" t="str">
        <f>A1734</f>
        <v>Sloof</v>
      </c>
      <c r="B1741">
        <f>B1734</f>
        <v>51</v>
      </c>
      <c r="C1741" t="str">
        <v>Tul Atas Tumpuan</v>
      </c>
      <c r="D1741">
        <f>VLOOKUP(D1734,'Detail Balok'!$C$10:$AU$110,4,FALSE)</f>
        <v>2</v>
      </c>
      <c r="E1741" t="str">
        <v>D</v>
      </c>
      <c r="F1741">
        <f>VLOOKUP(D1734,'Detail Balok'!$C$10:$AU$110,6,FALSE)</f>
        <v>13</v>
      </c>
      <c r="I1741" t="str">
        <v>(</v>
      </c>
      <c r="J1741">
        <f>+D1736/4/1000</f>
        <v>0.96375</v>
      </c>
      <c r="K1741" t="str">
        <v>+</v>
      </c>
      <c r="L1741">
        <f>MAX(VLOOKUP(F1741,N$6:P$15,3,FALSE)/1000,2/3*D1738/1000)+F$16*F1741/1000</f>
        <v>0.156</v>
      </c>
      <c r="M1741" t="str">
        <v>=</v>
      </c>
      <c r="N1741">
        <f>J1741+L1741</f>
        <v>1.11975</v>
      </c>
      <c r="O1741" t="str">
        <v>+</v>
      </c>
      <c r="P1741">
        <f>D1741-D1742</f>
        <v>0</v>
      </c>
      <c r="Q1741" t="str">
        <v>x</v>
      </c>
      <c r="R1741">
        <f>IF(P1741&gt;0,$F$18*F1741/1000,0)</f>
        <v>0</v>
      </c>
      <c r="S1741" t="str">
        <v>)</v>
      </c>
      <c r="T1741" t="str">
        <v>x</v>
      </c>
      <c r="U1741">
        <f>0.006165*F1741^2</f>
        <v>1.041885</v>
      </c>
      <c r="X1741" t="str">
        <v>x</v>
      </c>
      <c r="Y1741">
        <f>D1740</f>
        <v>1</v>
      </c>
      <c r="Z1741" t="str">
        <v>=</v>
      </c>
      <c r="AA1741">
        <f>IF(AA1744=0,(D1741*N1741+P1741*R1741)*U1741*Y1741,0)</f>
        <v>0</v>
      </c>
    </row>
    <row r="1742">
      <c r="A1742" t="str">
        <f>A1734</f>
        <v>Sloof</v>
      </c>
      <c r="B1742">
        <f>B1734</f>
        <v>51</v>
      </c>
      <c r="C1742" t="str">
        <v>Tul Atas Lapangan</v>
      </c>
      <c r="D1742">
        <f>VLOOKUP(D1734,'Detail Balok'!$C$10:$AU$110,7,FALSE)</f>
        <v>2</v>
      </c>
      <c r="E1742" t="str">
        <v>D</v>
      </c>
      <c r="F1742">
        <f>VLOOKUP(D1734,'Detail Balok'!$C$10:$AU$110,9,FALSE)</f>
        <v>13</v>
      </c>
      <c r="I1742" t="str">
        <v>(</v>
      </c>
      <c r="J1742">
        <f>+D1736/2/1000</f>
        <v>1.9275</v>
      </c>
      <c r="K1742" t="str">
        <v>+</v>
      </c>
      <c r="M1742" t="str">
        <v>=</v>
      </c>
      <c r="N1742">
        <f>J1742+L1742</f>
        <v>1.9275</v>
      </c>
      <c r="O1742" t="str">
        <v>+</v>
      </c>
      <c r="P1742">
        <f>MAX(D1742-D1741,D1742-D1743)</f>
        <v>0</v>
      </c>
      <c r="Q1742" t="str">
        <v>x</v>
      </c>
      <c r="R1742">
        <f>IF(P1742&gt;0,2*(1-2*$F$19-1/2)*D1737/1000,0)</f>
        <v>0</v>
      </c>
      <c r="S1742" t="str">
        <v>)</v>
      </c>
      <c r="T1742" t="str">
        <v>x</v>
      </c>
      <c r="U1742">
        <f>0.006165*F1742^2</f>
        <v>1.041885</v>
      </c>
      <c r="X1742" t="str">
        <v>x</v>
      </c>
      <c r="Y1742">
        <f>D1740</f>
        <v>1</v>
      </c>
      <c r="Z1742" t="str">
        <v>=</v>
      </c>
      <c r="AA1742">
        <f>IF(AA1744=0,(D1742*N1742+P1742*R1742)*U1742*Y1742,0)</f>
        <v>0</v>
      </c>
    </row>
    <row r="1743">
      <c r="A1743" t="str">
        <f>A1734</f>
        <v>Sloof</v>
      </c>
      <c r="B1743">
        <f>B1734</f>
        <v>51</v>
      </c>
      <c r="C1743" t="str">
        <v>Tul Atas Tumpuan</v>
      </c>
      <c r="D1743">
        <f>VLOOKUP(D1734,'Detail Balok'!$C$10:$AU$110,10,FALSE)</f>
        <v>2</v>
      </c>
      <c r="E1743" t="str">
        <v>D</v>
      </c>
      <c r="F1743">
        <f>VLOOKUP(D1734,'Detail Balok'!$C$10:$AU$110,12,FALSE)</f>
        <v>13</v>
      </c>
      <c r="I1743" t="str">
        <v>(</v>
      </c>
      <c r="J1743">
        <f>+D1736/4/1000</f>
        <v>0.96375</v>
      </c>
      <c r="K1743" t="str">
        <v>+</v>
      </c>
      <c r="L1743">
        <f>MAX(VLOOKUP(F1743,N$6:P$15,3,FALSE)/1000,2/3*D1738/1000)+F$16*F1743/1000</f>
        <v>0.156</v>
      </c>
      <c r="M1743" t="str">
        <v>=</v>
      </c>
      <c r="N1743">
        <f>J1743+L1743</f>
        <v>1.11975</v>
      </c>
      <c r="O1743" t="str">
        <v>+</v>
      </c>
      <c r="P1743">
        <f>D1743-D1742</f>
        <v>0</v>
      </c>
      <c r="Q1743" t="str">
        <v>x</v>
      </c>
      <c r="R1743">
        <f>IF(P1743&gt;0,$F$18*F1743/1000,0)</f>
        <v>0</v>
      </c>
      <c r="S1743" t="str">
        <v>)</v>
      </c>
      <c r="T1743" t="str">
        <v>x</v>
      </c>
      <c r="U1743">
        <f>0.006165*F1743^2</f>
        <v>1.041885</v>
      </c>
      <c r="X1743" t="str">
        <v>x</v>
      </c>
      <c r="Y1743">
        <f>D1740</f>
        <v>1</v>
      </c>
      <c r="Z1743" t="str">
        <v>=</v>
      </c>
      <c r="AA1743">
        <f>IF(AA1744=0,(D1743*N1743+P1743*R1743)*U1743*Y1743,0)</f>
        <v>0</v>
      </c>
    </row>
    <row r="1744">
      <c r="A1744" t="str">
        <f>A1734</f>
        <v>Sloof</v>
      </c>
      <c r="B1744">
        <f>B1734</f>
        <v>51</v>
      </c>
      <c r="D1744">
        <f>IF(AND(D1741=D1742,D1742=D1743,D1741=D1743),D1741,0)</f>
        <v>2</v>
      </c>
      <c r="E1744" t="str">
        <v>D</v>
      </c>
      <c r="F1744">
        <f>IF(AND(F1741=F1742,F1741=F1743,F1742=F1743),F1741,0)</f>
        <v>13</v>
      </c>
      <c r="L1744" t="str">
        <v>Total panjang per balok</v>
      </c>
      <c r="M1744" t="str">
        <v>=</v>
      </c>
      <c r="N1744">
        <f>IF(AND(D1741=D1742,D1741=D1743,D1742=D1743,F1741=F1742,F1741=F1743,F1742=F1743),SUM(N1741:N1743),0)</f>
        <v>4.167</v>
      </c>
      <c r="O1744" t="str">
        <v>+</v>
      </c>
      <c r="P1744">
        <f>IF(N1744&gt;12,ROUNDDOWN(N1744/12,0),0)</f>
        <v>0</v>
      </c>
      <c r="Q1744" t="str">
        <v>x</v>
      </c>
      <c r="R1744">
        <f>IF(P1744&gt;0,MAX(VLOOKUP(F1744,$D$6:$G$15,3,FALSE),600),0)/1000</f>
        <v>0</v>
      </c>
      <c r="T1744" t="str">
        <v>x</v>
      </c>
      <c r="U1744">
        <f>U1743</f>
        <v>1.041885</v>
      </c>
      <c r="V1744" t="str">
        <v>x</v>
      </c>
      <c r="W1744">
        <f>D1744</f>
        <v>2</v>
      </c>
      <c r="X1744" t="str">
        <v>x</v>
      </c>
      <c r="Y1744">
        <f>Y1743</f>
        <v>1</v>
      </c>
      <c r="Z1744" t="str">
        <v>=</v>
      </c>
      <c r="AA1744">
        <f>(N1744+P1744*R1744/1000)*U1744*W1744*Y1744</f>
        <v>8.683069589999999</v>
      </c>
    </row>
    <row r="1746">
      <c r="A1746" t="str">
        <f>A1734</f>
        <v>Sloof</v>
      </c>
      <c r="B1746">
        <f>B1734</f>
        <v>51</v>
      </c>
      <c r="C1746" t="str">
        <v>Tul Peminggang</v>
      </c>
      <c r="D1746">
        <f>VLOOKUP(D1734,'Detail Balok'!$C$10:$AU$110,13,FALSE)</f>
        <v>0</v>
      </c>
      <c r="E1746" t="str">
        <v>D</v>
      </c>
      <c r="F1746">
        <f>VLOOKUP(D1734,'Detail Balok'!$C$10:$AU$110,15,FALSE)</f>
        <v>6</v>
      </c>
      <c r="J1746">
        <f>+D1736/1000</f>
        <v>3.855</v>
      </c>
      <c r="K1746" t="str">
        <v>+</v>
      </c>
      <c r="L1746">
        <f>2*$F$16*F1746/1000</f>
        <v>0.144</v>
      </c>
      <c r="M1746" t="str">
        <v>=</v>
      </c>
      <c r="N1746">
        <f>J1746+L1746</f>
        <v>3.999</v>
      </c>
      <c r="O1746" t="str">
        <v>+</v>
      </c>
      <c r="P1746">
        <f>IF(N1746&gt;12,ROUNDDOWN(N1746/12,0),0)</f>
        <v>0</v>
      </c>
      <c r="Q1746" t="str">
        <v>x</v>
      </c>
      <c r="R1746">
        <f>IF(P1746&gt;0,MAX(VLOOKUP(F1746,$D$6:$G$15,3,FALSE),600),0)/1000</f>
        <v>0</v>
      </c>
      <c r="T1746" t="str">
        <v>x</v>
      </c>
      <c r="U1746">
        <f>0.006165*F1746^2</f>
        <v>0.22194000000000003</v>
      </c>
      <c r="V1746" t="str">
        <v>x</v>
      </c>
      <c r="W1746">
        <f>+D1746</f>
        <v>0</v>
      </c>
      <c r="X1746" t="str">
        <v>x</v>
      </c>
      <c r="Y1746">
        <f>D1740</f>
        <v>1</v>
      </c>
      <c r="Z1746" t="str">
        <v>=</v>
      </c>
      <c r="AA1746">
        <f>(N1746+P1746*R1746/1000)*U1746*W1746*Y1746</f>
        <v>0</v>
      </c>
    </row>
    <row r="1749">
      <c r="A1749" t="str">
        <f>A1734</f>
        <v>Sloof</v>
      </c>
      <c r="B1749">
        <f>B1734</f>
        <v>51</v>
      </c>
      <c r="C1749" t="str">
        <v>Tul Bawah Tumpuan</v>
      </c>
      <c r="D1749">
        <f>VLOOKUP(D1734,'Detail Balok'!$C$10:$AU$110,22,FALSE)</f>
        <v>2</v>
      </c>
      <c r="E1749" t="str">
        <v>D</v>
      </c>
      <c r="F1749">
        <f>VLOOKUP(D1734,'Detail Balok'!$C$10:$AU$110,24,FALSE)</f>
        <v>13</v>
      </c>
      <c r="I1749" t="str">
        <v>(</v>
      </c>
      <c r="J1749">
        <f>+J1741</f>
        <v>0.96375</v>
      </c>
      <c r="K1749" t="str">
        <v>+</v>
      </c>
      <c r="L1749">
        <f>MAX(VLOOKUP(F1749,N$6:P$15,3,FALSE)/1000,2/3*D1739/1000)+F$16*F1749/1000</f>
        <v>0.156</v>
      </c>
      <c r="M1749" t="str">
        <v>=</v>
      </c>
      <c r="N1749">
        <f>J1749+L1749</f>
        <v>1.11975</v>
      </c>
      <c r="O1749" t="str">
        <v>+</v>
      </c>
      <c r="P1749">
        <f>D1749-D1750</f>
        <v>0</v>
      </c>
      <c r="Q1749" t="str">
        <v>x</v>
      </c>
      <c r="R1749">
        <f>IF(P1749&gt;0,$F$18*F1749/1000,0)</f>
        <v>0</v>
      </c>
      <c r="S1749" t="str">
        <v>)</v>
      </c>
      <c r="T1749" t="str">
        <v>x</v>
      </c>
      <c r="U1749">
        <f>0.006165*F1749^2</f>
        <v>1.041885</v>
      </c>
      <c r="X1749" t="str">
        <v>x</v>
      </c>
      <c r="Y1749">
        <f>D1740</f>
        <v>1</v>
      </c>
      <c r="Z1749" t="str">
        <v>=</v>
      </c>
      <c r="AA1749">
        <f>IF(AA1752=0,(D1749*N1749+P1749*R1749)*U1749*Y1749,0)</f>
        <v>0</v>
      </c>
    </row>
    <row r="1750">
      <c r="A1750" t="str">
        <f>A1734</f>
        <v>Sloof</v>
      </c>
      <c r="B1750">
        <f>B1734</f>
        <v>51</v>
      </c>
      <c r="C1750" t="str">
        <v>Tul Bawah Lapangan</v>
      </c>
      <c r="D1750">
        <f>VLOOKUP(D1734,'Detail Balok'!$C$10:$AU$110,25,FALSE)</f>
        <v>2</v>
      </c>
      <c r="E1750" t="str">
        <v>D</v>
      </c>
      <c r="F1750">
        <f>VLOOKUP(D1734,'Detail Balok'!$C$10:$AU$110,27,FALSE)</f>
        <v>13</v>
      </c>
      <c r="I1750" t="str">
        <v>(</v>
      </c>
      <c r="J1750">
        <f>+J1742</f>
        <v>1.9275</v>
      </c>
      <c r="K1750" t="str">
        <v>+</v>
      </c>
      <c r="M1750" t="str">
        <v>=</v>
      </c>
      <c r="N1750">
        <f>J1750+L1750</f>
        <v>1.9275</v>
      </c>
      <c r="O1750" t="str">
        <v>+</v>
      </c>
      <c r="P1750">
        <f>MAX(D1750-D1749,D1750-D1751)</f>
        <v>0</v>
      </c>
      <c r="Q1750" t="str">
        <v>x</v>
      </c>
      <c r="R1750">
        <f>IF(P1750&gt;0,2*(1-2*$F$19-1/2)*D1737/1000,0)</f>
        <v>0</v>
      </c>
      <c r="S1750" t="str">
        <v>)</v>
      </c>
      <c r="T1750" t="str">
        <v>x</v>
      </c>
      <c r="U1750">
        <f>0.006165*F1750^2</f>
        <v>1.041885</v>
      </c>
      <c r="X1750" t="str">
        <v>x</v>
      </c>
      <c r="Y1750">
        <f>D1740</f>
        <v>1</v>
      </c>
      <c r="Z1750" t="str">
        <v>=</v>
      </c>
      <c r="AA1750">
        <f>IF(AA1752=0,(D1750*N1750+P1750*R1750)*U1750*Y1750,0)</f>
        <v>0</v>
      </c>
    </row>
    <row r="1751">
      <c r="A1751" t="str">
        <f>A1734</f>
        <v>Sloof</v>
      </c>
      <c r="B1751">
        <f>B1734</f>
        <v>51</v>
      </c>
      <c r="C1751" t="str">
        <v>Tul Bawah Tumpuan</v>
      </c>
      <c r="D1751">
        <f>VLOOKUP(D1734,'Detail Balok'!$C$10:$AU$110,28,FALSE)</f>
        <v>2</v>
      </c>
      <c r="E1751" t="str">
        <v>D</v>
      </c>
      <c r="F1751">
        <f>VLOOKUP(D1734,'Detail Balok'!$C$10:$AU$110,30,FALSE)</f>
        <v>13</v>
      </c>
      <c r="I1751" t="str">
        <v>(</v>
      </c>
      <c r="J1751">
        <f>+J1743</f>
        <v>0.96375</v>
      </c>
      <c r="K1751" t="str">
        <v>+</v>
      </c>
      <c r="L1751">
        <f>MAX(VLOOKUP(F1751,N$6:P$15,3,FALSE)/1000,2/3*D1739/1000)+F$16*F1751/1000</f>
        <v>0.156</v>
      </c>
      <c r="M1751" t="str">
        <v>=</v>
      </c>
      <c r="N1751">
        <f>J1751+L1751</f>
        <v>1.11975</v>
      </c>
      <c r="O1751" t="str">
        <v>+</v>
      </c>
      <c r="P1751">
        <f>D1751-D1750</f>
        <v>0</v>
      </c>
      <c r="Q1751" t="str">
        <v>x</v>
      </c>
      <c r="R1751">
        <f>IF(P1751&gt;0,$F$18*F1751/1000,0)</f>
        <v>0</v>
      </c>
      <c r="S1751" t="str">
        <v>)</v>
      </c>
      <c r="T1751" t="str">
        <v>x</v>
      </c>
      <c r="U1751">
        <f>0.006165*F1751^2</f>
        <v>1.041885</v>
      </c>
      <c r="X1751" t="str">
        <v>x</v>
      </c>
      <c r="Y1751">
        <f>D1740</f>
        <v>1</v>
      </c>
      <c r="Z1751" t="str">
        <v>=</v>
      </c>
      <c r="AA1751">
        <f>IF(AA1752=0,(D1751*N1751+P1751*R1751)*U1751*Y1751,0)</f>
        <v>0</v>
      </c>
    </row>
    <row r="1752">
      <c r="A1752" t="str">
        <f>A1734</f>
        <v>Sloof</v>
      </c>
      <c r="B1752">
        <f>B1734</f>
        <v>51</v>
      </c>
      <c r="D1752">
        <f>IF(AND(D1749=D1750,D1750=D1751,D1749=D1751),D1749,0)</f>
        <v>2</v>
      </c>
      <c r="E1752" t="str">
        <v>D</v>
      </c>
      <c r="F1752">
        <f>IF(AND(F1749=F1750,F1749=F1751,F1750=F1751),F1749,0)</f>
        <v>13</v>
      </c>
      <c r="L1752" t="str">
        <v>Total panjang per balok</v>
      </c>
      <c r="M1752" t="str">
        <v>=</v>
      </c>
      <c r="N1752">
        <f>IF(AND(D1749=D1750,D1749=D1751,D1750=D1751,F1749=F1750,F1749=F1751,F1750=F1751),SUM(N1749:N1751),0)</f>
        <v>4.167</v>
      </c>
      <c r="O1752" t="str">
        <v>+</v>
      </c>
      <c r="P1752">
        <f>IF(N1752&gt;12,ROUNDDOWN(N1752/12,0),0)</f>
        <v>0</v>
      </c>
      <c r="Q1752" t="str">
        <v>x</v>
      </c>
      <c r="R1752">
        <f>IF(P1752&gt;0,MAX(VLOOKUP(F1752,$D$6:$G$15,3,FALSE),600),0)/1000</f>
        <v>0</v>
      </c>
      <c r="T1752" t="str">
        <v>x</v>
      </c>
      <c r="U1752">
        <f>U1751</f>
        <v>1.041885</v>
      </c>
      <c r="V1752" t="str">
        <v>x</v>
      </c>
      <c r="W1752">
        <f>D1752</f>
        <v>2</v>
      </c>
      <c r="X1752" t="str">
        <v>x</v>
      </c>
      <c r="Y1752">
        <f>Y1751</f>
        <v>1</v>
      </c>
      <c r="Z1752" t="str">
        <v>=</v>
      </c>
      <c r="AA1752">
        <f>(N1752+P1752*R1752/1000)*U1752*W1752*Y1752</f>
        <v>8.683069589999999</v>
      </c>
    </row>
    <row r="1754">
      <c r="A1754" t="str">
        <f>A1734</f>
        <v>Sloof</v>
      </c>
      <c r="B1754">
        <f>B1734</f>
        <v>51</v>
      </c>
      <c r="C1754" t="str">
        <v>Sengkang Tumpuan</v>
      </c>
      <c r="D1754">
        <f>VLOOKUP(D1734,'Detail Balok'!$C$10:$AU$110,31,FALSE)</f>
        <v>0</v>
      </c>
      <c r="E1754" t="str">
        <v>D</v>
      </c>
      <c r="F1754">
        <f>VLOOKUP(D1734,'Detail Balok'!$C$10:$AU$110,33,FALSE)</f>
        <v>8</v>
      </c>
      <c r="G1754" t="str">
        <v>-</v>
      </c>
      <c r="H1754">
        <f>VLOOKUP(D1734,'Detail Balok'!$C$10:$AU$110,35,FALSE)</f>
        <v>200</v>
      </c>
      <c r="J1754">
        <f>(IF(D1754=0,(2*(D1735+G1735))-(F$5*8),IF(D1754=3,(2*(D1735+G1735))-(F$5*8)+(G1735-2*F$5),IF(D1754=4,(2*(D1735+G1735))-(F$5*8)+2*(G1735-2*F$5)))))/1000</f>
        <v>0.88</v>
      </c>
      <c r="K1754" t="str">
        <v>+</v>
      </c>
      <c r="L1754">
        <f>IF(D1754=0,2*MAX(6*F1754,75),(D1754-1)*2*MAX(6*F1754,75))/1000</f>
        <v>0.15</v>
      </c>
      <c r="M1754" t="str">
        <v>=</v>
      </c>
      <c r="N1754">
        <f>J1754+L1754</f>
        <v>1.03</v>
      </c>
      <c r="T1754" t="str">
        <v>x</v>
      </c>
      <c r="U1754">
        <f>0.006165*F1754^2</f>
        <v>0.39456</v>
      </c>
      <c r="V1754" t="str">
        <v>x</v>
      </c>
      <c r="W1754">
        <f>IF(D1737&gt;4*G1735,ROUND(MAX(D1737/4,2*G1735)/H1754,0)+1,ROUND(D1737/H1754,0)+1)</f>
        <v>6</v>
      </c>
      <c r="X1754" t="str">
        <v>x</v>
      </c>
      <c r="Y1754">
        <f>D1740</f>
        <v>1</v>
      </c>
      <c r="Z1754" t="str">
        <v>=</v>
      </c>
      <c r="AA1754">
        <f>N1754*U1754*W1754*Y1754</f>
        <v>2.4383808000000005</v>
      </c>
    </row>
    <row r="1755">
      <c r="A1755" t="str">
        <f>A1734</f>
        <v>Sloof</v>
      </c>
      <c r="B1755">
        <f>B1734</f>
        <v>51</v>
      </c>
      <c r="C1755" t="str">
        <v>Sengkang Lapangan</v>
      </c>
      <c r="D1755">
        <f>VLOOKUP(D1734,'Detail Balok'!$C$10:$AU$110,36,FALSE)</f>
        <v>0</v>
      </c>
      <c r="E1755" t="str">
        <v>D</v>
      </c>
      <c r="F1755">
        <f>VLOOKUP(D1734,'Detail Balok'!$C$10:$AU$110,38,FALSE)</f>
        <v>8</v>
      </c>
      <c r="G1755" t="str">
        <v>-</v>
      </c>
      <c r="H1755">
        <f>VLOOKUP(D1734,'Detail Balok'!$C$10:$AU$110,40,FALSE)</f>
        <v>200</v>
      </c>
      <c r="J1755">
        <f>(IF(D1755=0,(2*(D1735+G1735))-(F$5*8),IF(D1755=3,(2*(D1735+G1735))-(F$5*8)+(G1735-2*F$5),IF(D1755=4,(2*(D1735+G1735))-(F$5*8)+2*(G1735-2*F$5)))))/1000</f>
        <v>0.88</v>
      </c>
      <c r="K1755" t="str">
        <v>+</v>
      </c>
      <c r="L1755">
        <f>IF(D1755=0,2*MAX(6*F1755,75),(D1755-1)*2*MAX(6*F1755,75))/1000</f>
        <v>0.15</v>
      </c>
      <c r="M1755" t="str">
        <v>=</v>
      </c>
      <c r="N1755">
        <f>J1755+L1755</f>
        <v>1.03</v>
      </c>
      <c r="T1755" t="str">
        <v>x</v>
      </c>
      <c r="U1755">
        <f>0.006165*F1755^2</f>
        <v>0.39456</v>
      </c>
      <c r="V1755" t="str">
        <v>x</v>
      </c>
      <c r="W1755">
        <f>IF(D1737-MAX(D1737/4,2*G1735)*2&gt;0,ROUND((D1737-MAX(D1737/4,2*G1735)*2)/H1755,0),0)</f>
        <v>10</v>
      </c>
      <c r="X1755" t="str">
        <v>x</v>
      </c>
      <c r="Y1755">
        <f>D1740</f>
        <v>1</v>
      </c>
      <c r="Z1755" t="str">
        <v>=</v>
      </c>
      <c r="AA1755">
        <f>N1755*U1755*W1755*Y1755</f>
        <v>4.063968000000001</v>
      </c>
    </row>
    <row r="1756">
      <c r="A1756" t="str">
        <f>A1734</f>
        <v>Sloof</v>
      </c>
      <c r="B1756">
        <f>B1734</f>
        <v>51</v>
      </c>
      <c r="C1756" t="str">
        <v>Sengkang Tumpuan</v>
      </c>
      <c r="D1756">
        <f>VLOOKUP(D1734,'Detail Balok'!$C$10:$AU$110,41,FALSE)</f>
        <v>0</v>
      </c>
      <c r="E1756" t="str">
        <v>D</v>
      </c>
      <c r="F1756">
        <f>VLOOKUP(D1734,'Detail Balok'!$C$10:$AU$110,43,FALSE)</f>
        <v>8</v>
      </c>
      <c r="G1756" t="str">
        <v>-</v>
      </c>
      <c r="H1756">
        <f>VLOOKUP(D1734,'Detail Balok'!$C$10:$AU$110,45,FALSE)</f>
        <v>200</v>
      </c>
      <c r="J1756">
        <f>(IF(D1756=0,(2*(D1735+G1735))-(F$5*8),IF(D1756=3,(2*(D1735+G1735))-(F$5*8)+(G1735-2*F$5),IF(D1756=4,(2*(D1735+G1735))-(F$5*8)+2*(G1735-2*F$5)))))/1000</f>
        <v>0.88</v>
      </c>
      <c r="K1756" t="str">
        <v>+</v>
      </c>
      <c r="L1756">
        <f>IF(D1756=0,2*MAX(6*F1756,75),(D1756-1)*2*MAX(6*F1756,75))/1000</f>
        <v>0.15</v>
      </c>
      <c r="M1756" t="str">
        <v>=</v>
      </c>
      <c r="N1756">
        <f>J1756+L1756</f>
        <v>1.03</v>
      </c>
      <c r="T1756" t="str">
        <v>x</v>
      </c>
      <c r="U1756">
        <f>0.006165*F1756^2</f>
        <v>0.39456</v>
      </c>
      <c r="V1756" t="str">
        <v>x</v>
      </c>
      <c r="W1756">
        <f>IF(D1737&gt;4*G1735,ROUND(MAX(D1737/4,2*G1735)/H1756,0)+1,0)</f>
        <v>6</v>
      </c>
      <c r="X1756" t="str">
        <v>x</v>
      </c>
      <c r="Y1756">
        <f>D1740</f>
        <v>1</v>
      </c>
      <c r="Z1756" t="str">
        <v>=</v>
      </c>
      <c r="AA1756">
        <f>N1756*U1756*W1756*Y1756</f>
        <v>2.4383808000000005</v>
      </c>
    </row>
    <row r="1758">
      <c r="A1758" t="str">
        <f>A1734</f>
        <v>Sloof</v>
      </c>
      <c r="B1758">
        <f>B1734</f>
        <v>51</v>
      </c>
      <c r="C1758" t="str">
        <v>Kait Horizontal Tump.</v>
      </c>
      <c r="D1758">
        <f>VLOOKUP(D1734,'Detail Balok'!$C$10:$BJ$110,46,FALSE)</f>
        <v>0</v>
      </c>
      <c r="E1758" t="str">
        <v>D</v>
      </c>
      <c r="F1758">
        <f>VLOOKUP(D1734,'Detail Balok'!$C$10:$BJ$110,48,FALSE)</f>
        <v>0</v>
      </c>
      <c r="G1758" t="str">
        <v>-</v>
      </c>
      <c r="H1758">
        <f>VLOOKUP(D1734,'Detail Balok'!$C$10:$BJ$110,50,FALSE)</f>
        <v>100</v>
      </c>
      <c r="J1758">
        <f>(D1735-2*F$5)/1000</f>
        <v>0.12</v>
      </c>
      <c r="K1758" t="str">
        <v>+</v>
      </c>
      <c r="L1758">
        <f>IF(D1758=0,2*MAX(6*F1758,75),(D1758-1)*2*MAX(6*F1758,75))/1000</f>
        <v>0.15</v>
      </c>
      <c r="M1758" t="str">
        <v>=</v>
      </c>
      <c r="N1758">
        <f>J1758+L1758</f>
        <v>0.27</v>
      </c>
      <c r="T1758" t="str">
        <v>x</v>
      </c>
      <c r="U1758">
        <f>0.006165*F1758^2</f>
        <v>0</v>
      </c>
      <c r="V1758" t="str">
        <v>x</v>
      </c>
      <c r="W1758">
        <f>W1754</f>
        <v>6</v>
      </c>
      <c r="X1758" t="str">
        <v>x</v>
      </c>
      <c r="Y1758">
        <f>D1744</f>
        <v>2</v>
      </c>
      <c r="Z1758" t="str">
        <v>=</v>
      </c>
      <c r="AA1758">
        <f>N1758*U1758*W1758*Y1758</f>
        <v>0</v>
      </c>
    </row>
    <row r="1759">
      <c r="A1759" t="str">
        <f>A1734</f>
        <v>Sloof</v>
      </c>
      <c r="B1759">
        <f>B1734</f>
        <v>51</v>
      </c>
      <c r="C1759" t="str">
        <v>Kait Horizontal Lap.</v>
      </c>
      <c r="D1759">
        <f>VLOOKUP(D1734,'Detail Balok'!$C$10:$BJ$110,51,FALSE)</f>
        <v>0</v>
      </c>
      <c r="E1759" t="str">
        <v>D</v>
      </c>
      <c r="F1759">
        <f>VLOOKUP(D1734,'Detail Balok'!$C$10:$BJ$110,53,FALSE)</f>
        <v>0</v>
      </c>
      <c r="G1759" t="str">
        <v>-</v>
      </c>
      <c r="H1759">
        <f>VLOOKUP(D1734,'Detail Balok'!$C$10:$BJ$110,55,FALSE)</f>
        <v>100</v>
      </c>
      <c r="J1759">
        <f>(D1735-2*F$5)/1000</f>
        <v>0.12</v>
      </c>
      <c r="K1759" t="str">
        <v>+</v>
      </c>
      <c r="L1759">
        <f>IF(D1759=0,2*MAX(6*F1759,75),(D1759-1)*2*MAX(6*F1759,75))/1000</f>
        <v>0.15</v>
      </c>
      <c r="M1759" t="str">
        <v>=</v>
      </c>
      <c r="N1759">
        <f>J1759+L1759</f>
        <v>0.27</v>
      </c>
      <c r="T1759" t="str">
        <v>x</v>
      </c>
      <c r="U1759">
        <f>0.006165*F1759^2</f>
        <v>0</v>
      </c>
      <c r="V1759" t="str">
        <v>x</v>
      </c>
      <c r="W1759">
        <f>W1755</f>
        <v>10</v>
      </c>
      <c r="X1759" t="str">
        <v>x</v>
      </c>
      <c r="Y1759">
        <f>D1744</f>
        <v>2</v>
      </c>
      <c r="Z1759" t="str">
        <v>=</v>
      </c>
      <c r="AA1759">
        <f>N1759*U1759*W1759*Y1759</f>
        <v>0</v>
      </c>
    </row>
    <row r="1760">
      <c r="A1760" t="str">
        <f>A1734</f>
        <v>Sloof</v>
      </c>
      <c r="B1760">
        <f>B1734</f>
        <v>51</v>
      </c>
      <c r="C1760" t="str">
        <v>Kait Horizontal Tump.</v>
      </c>
      <c r="D1760">
        <f>VLOOKUP(D1734,'Detail Balok'!$C$10:$BJ$110,56,FALSE)</f>
        <v>0</v>
      </c>
      <c r="E1760" t="str">
        <v>D</v>
      </c>
      <c r="F1760">
        <f>VLOOKUP(D1734,'Detail Balok'!$C$10:$BJ$110,58,FALSE)</f>
        <v>0</v>
      </c>
      <c r="G1760" t="str">
        <v>-</v>
      </c>
      <c r="H1760">
        <f>VLOOKUP(D1734,'Detail Balok'!$C$10:$BJ$110,60,FALSE)</f>
        <v>100</v>
      </c>
      <c r="J1760">
        <f>(D1735-2*F$5)/1000</f>
        <v>0.12</v>
      </c>
      <c r="K1760" t="str">
        <v>+</v>
      </c>
      <c r="L1760">
        <f>IF(D1760=0,2*MAX(6*F1760,75),(D1760-1)*2*MAX(6*F1760,75))/1000</f>
        <v>0.15</v>
      </c>
      <c r="M1760" t="str">
        <v>=</v>
      </c>
      <c r="N1760">
        <f>J1760+L1760</f>
        <v>0.27</v>
      </c>
      <c r="T1760" t="str">
        <v>x</v>
      </c>
      <c r="U1760">
        <f>0.006165*F1760^2</f>
        <v>0</v>
      </c>
      <c r="V1760" t="str">
        <v>x</v>
      </c>
      <c r="W1760">
        <f>W1756</f>
        <v>6</v>
      </c>
      <c r="X1760" t="str">
        <v>x</v>
      </c>
      <c r="Y1760">
        <f>D1744</f>
        <v>2</v>
      </c>
      <c r="Z1760" t="str">
        <v>=</v>
      </c>
      <c r="AA1760">
        <f>N1760*U1760*W1760*Y1760</f>
        <v>0</v>
      </c>
    </row>
    <row r="1764">
      <c r="A1764" t="str">
        <f>A1734</f>
        <v>Sloof</v>
      </c>
      <c r="B1764">
        <f>B1734+1</f>
        <v>52</v>
      </c>
      <c r="C1764" t="str">
        <f>CONCATENATE(A1764," no. ",B1764)</f>
        <v>Sloof no. 52</v>
      </c>
      <c r="D1764" t="str">
        <f>VLOOKUP(C1764,'Data Panjang Balok'!$C$9:$N$424,2,FALSE)</f>
        <v>TB245-1</v>
      </c>
    </row>
    <row r="1765">
      <c r="C1765" t="str">
        <v>Dimensi</v>
      </c>
      <c r="D1765">
        <f>VLOOKUP(D1764,'Detail Balok'!$C$10:$AU$110,2,FALSE)</f>
        <v>200</v>
      </c>
      <c r="F1765" t="str">
        <v>x</v>
      </c>
      <c r="G1765">
        <f>VLOOKUP(D1764,'Detail Balok'!$C$10:$AU$110,3,FALSE)</f>
        <v>450</v>
      </c>
    </row>
    <row r="1766">
      <c r="C1766" t="str">
        <v>Panjang as ke as</v>
      </c>
      <c r="D1766">
        <f>VLOOKUP(C1764,'Data Panjang Balok'!$C$9:$N$424,4,FALSE)</f>
        <v>3815</v>
      </c>
    </row>
    <row r="1767">
      <c r="C1767" t="str">
        <v>Panjang netto</v>
      </c>
      <c r="D1767">
        <f>VLOOKUP(C1764,'Data Panjang Balok'!$C$9:$N$424,7,FALSE)</f>
        <v>3815</v>
      </c>
    </row>
    <row r="1768">
      <c r="C1768" t="str">
        <v>Kolom / balok kiri</v>
      </c>
      <c r="D1768">
        <f>VLOOKUP(C1764,'Data Panjang Balok'!$C$9:$N$424,9,FALSE)</f>
        <v>0</v>
      </c>
    </row>
    <row r="1769">
      <c r="C1769" t="str">
        <v>Kolom / balok kanan</v>
      </c>
      <c r="D1769">
        <f>VLOOKUP(C1764,'Data Panjang Balok'!$C$9:$N$424,10,FALSE)</f>
        <v>0</v>
      </c>
    </row>
    <row r="1770">
      <c r="C1770" t="str">
        <v>Jumlah</v>
      </c>
      <c r="D1770">
        <f>VLOOKUP(C1764,'Data Panjang Balok'!$C$9:$N$424,3,FALSE)</f>
        <v>1</v>
      </c>
    </row>
    <row r="1771">
      <c r="A1771" t="str">
        <f>A1764</f>
        <v>Sloof</v>
      </c>
      <c r="B1771">
        <f>B1764</f>
        <v>52</v>
      </c>
      <c r="C1771" t="str">
        <v>Tul Atas Tumpuan</v>
      </c>
      <c r="D1771">
        <f>VLOOKUP(D1764,'Detail Balok'!$C$10:$AU$110,4,FALSE)</f>
        <v>3</v>
      </c>
      <c r="E1771" t="str">
        <v>D</v>
      </c>
      <c r="F1771">
        <f>VLOOKUP(D1764,'Detail Balok'!$C$10:$AU$110,6,FALSE)</f>
        <v>13</v>
      </c>
      <c r="I1771" t="str">
        <v>(</v>
      </c>
      <c r="J1771">
        <f>+D1766/4/1000</f>
        <v>0.95375</v>
      </c>
      <c r="K1771" t="str">
        <v>+</v>
      </c>
      <c r="L1771">
        <f>MAX(VLOOKUP(F1771,N$6:P$15,3,FALSE)/1000,2/3*D1768/1000)+F$16*F1771/1000</f>
        <v>0.156</v>
      </c>
      <c r="M1771" t="str">
        <v>=</v>
      </c>
      <c r="N1771">
        <f>J1771+L1771</f>
        <v>1.10975</v>
      </c>
      <c r="O1771" t="str">
        <v>+</v>
      </c>
      <c r="P1771">
        <f>D1771-D1772</f>
        <v>0</v>
      </c>
      <c r="Q1771" t="str">
        <v>x</v>
      </c>
      <c r="R1771">
        <f>IF(P1771&gt;0,$F$18*F1771/1000,0)</f>
        <v>0</v>
      </c>
      <c r="S1771" t="str">
        <v>)</v>
      </c>
      <c r="T1771" t="str">
        <v>x</v>
      </c>
      <c r="U1771">
        <f>0.006165*F1771^2</f>
        <v>1.041885</v>
      </c>
      <c r="X1771" t="str">
        <v>x</v>
      </c>
      <c r="Y1771">
        <f>D1770</f>
        <v>1</v>
      </c>
      <c r="Z1771" t="str">
        <v>=</v>
      </c>
      <c r="AA1771">
        <f>IF(AA1774=0,(D1771*N1771+P1771*R1771)*U1771*Y1771,0)</f>
        <v>0</v>
      </c>
    </row>
    <row r="1772">
      <c r="A1772" t="str">
        <f>A1764</f>
        <v>Sloof</v>
      </c>
      <c r="B1772">
        <f>B1764</f>
        <v>52</v>
      </c>
      <c r="C1772" t="str">
        <v>Tul Atas Lapangan</v>
      </c>
      <c r="D1772">
        <f>VLOOKUP(D1764,'Detail Balok'!$C$10:$AU$110,7,FALSE)</f>
        <v>3</v>
      </c>
      <c r="E1772" t="str">
        <v>D</v>
      </c>
      <c r="F1772">
        <f>VLOOKUP(D1764,'Detail Balok'!$C$10:$AU$110,9,FALSE)</f>
        <v>13</v>
      </c>
      <c r="I1772" t="str">
        <v>(</v>
      </c>
      <c r="J1772">
        <f>+D1766/2/1000</f>
        <v>1.9075</v>
      </c>
      <c r="K1772" t="str">
        <v>+</v>
      </c>
      <c r="M1772" t="str">
        <v>=</v>
      </c>
      <c r="N1772">
        <f>J1772+L1772</f>
        <v>1.9075</v>
      </c>
      <c r="O1772" t="str">
        <v>+</v>
      </c>
      <c r="P1772">
        <f>MAX(D1772-D1771,D1772-D1773)</f>
        <v>0</v>
      </c>
      <c r="Q1772" t="str">
        <v>x</v>
      </c>
      <c r="R1772">
        <f>IF(P1772&gt;0,2*(1-2*$F$19-1/2)*D1767/1000,0)</f>
        <v>0</v>
      </c>
      <c r="S1772" t="str">
        <v>)</v>
      </c>
      <c r="T1772" t="str">
        <v>x</v>
      </c>
      <c r="U1772">
        <f>0.006165*F1772^2</f>
        <v>1.041885</v>
      </c>
      <c r="X1772" t="str">
        <v>x</v>
      </c>
      <c r="Y1772">
        <f>D1770</f>
        <v>1</v>
      </c>
      <c r="Z1772" t="str">
        <v>=</v>
      </c>
      <c r="AA1772">
        <f>IF(AA1774=0,(D1772*N1772+P1772*R1772)*U1772*Y1772,0)</f>
        <v>0</v>
      </c>
    </row>
    <row r="1773">
      <c r="A1773" t="str">
        <f>A1764</f>
        <v>Sloof</v>
      </c>
      <c r="B1773">
        <f>B1764</f>
        <v>52</v>
      </c>
      <c r="C1773" t="str">
        <v>Tul Atas Tumpuan</v>
      </c>
      <c r="D1773">
        <f>VLOOKUP(D1764,'Detail Balok'!$C$10:$AU$110,10,FALSE)</f>
        <v>3</v>
      </c>
      <c r="E1773" t="str">
        <v>D</v>
      </c>
      <c r="F1773">
        <f>VLOOKUP(D1764,'Detail Balok'!$C$10:$AU$110,12,FALSE)</f>
        <v>13</v>
      </c>
      <c r="I1773" t="str">
        <v>(</v>
      </c>
      <c r="J1773">
        <f>+D1766/4/1000</f>
        <v>0.95375</v>
      </c>
      <c r="K1773" t="str">
        <v>+</v>
      </c>
      <c r="L1773">
        <f>MAX(VLOOKUP(F1773,N$6:P$15,3,FALSE)/1000,2/3*D1768/1000)+F$16*F1773/1000</f>
        <v>0.156</v>
      </c>
      <c r="M1773" t="str">
        <v>=</v>
      </c>
      <c r="N1773">
        <f>J1773+L1773</f>
        <v>1.10975</v>
      </c>
      <c r="O1773" t="str">
        <v>+</v>
      </c>
      <c r="P1773">
        <f>D1773-D1772</f>
        <v>0</v>
      </c>
      <c r="Q1773" t="str">
        <v>x</v>
      </c>
      <c r="R1773">
        <f>IF(P1773&gt;0,$F$18*F1773/1000,0)</f>
        <v>0</v>
      </c>
      <c r="S1773" t="str">
        <v>)</v>
      </c>
      <c r="T1773" t="str">
        <v>x</v>
      </c>
      <c r="U1773">
        <f>0.006165*F1773^2</f>
        <v>1.041885</v>
      </c>
      <c r="X1773" t="str">
        <v>x</v>
      </c>
      <c r="Y1773">
        <f>D1770</f>
        <v>1</v>
      </c>
      <c r="Z1773" t="str">
        <v>=</v>
      </c>
      <c r="AA1773">
        <f>IF(AA1774=0,(D1773*N1773+P1773*R1773)*U1773*Y1773,0)</f>
        <v>0</v>
      </c>
    </row>
    <row r="1774">
      <c r="A1774" t="str">
        <f>A1764</f>
        <v>Sloof</v>
      </c>
      <c r="B1774">
        <f>B1764</f>
        <v>52</v>
      </c>
      <c r="D1774">
        <f>IF(AND(D1771=D1772,D1772=D1773,D1771=D1773),D1771,0)</f>
        <v>3</v>
      </c>
      <c r="E1774" t="str">
        <v>D</v>
      </c>
      <c r="F1774">
        <f>IF(AND(F1771=F1772,F1771=F1773,F1772=F1773),F1771,0)</f>
        <v>13</v>
      </c>
      <c r="L1774" t="str">
        <v>Total panjang per balok</v>
      </c>
      <c r="M1774" t="str">
        <v>=</v>
      </c>
      <c r="N1774">
        <f>IF(AND(D1771=D1772,D1771=D1773,D1772=D1773,F1771=F1772,F1771=F1773,F1772=F1773),SUM(N1771:N1773),0)</f>
        <v>4.127</v>
      </c>
      <c r="O1774" t="str">
        <v>+</v>
      </c>
      <c r="P1774">
        <f>IF(N1774&gt;12,ROUNDDOWN(N1774/12,0),0)</f>
        <v>0</v>
      </c>
      <c r="Q1774" t="str">
        <v>x</v>
      </c>
      <c r="R1774">
        <f>IF(P1774&gt;0,MAX(VLOOKUP(F1774,$D$6:$G$15,3,FALSE),600),0)/1000</f>
        <v>0</v>
      </c>
      <c r="T1774" t="str">
        <v>x</v>
      </c>
      <c r="U1774">
        <f>U1773</f>
        <v>1.041885</v>
      </c>
      <c r="V1774" t="str">
        <v>x</v>
      </c>
      <c r="W1774">
        <f>D1774</f>
        <v>3</v>
      </c>
      <c r="X1774" t="str">
        <v>x</v>
      </c>
      <c r="Y1774">
        <f>Y1773</f>
        <v>1</v>
      </c>
      <c r="Z1774" t="str">
        <v>=</v>
      </c>
      <c r="AA1774">
        <f>(N1774+P1774*R1774/1000)*U1774*W1774*Y1774</f>
        <v>12.899578185</v>
      </c>
    </row>
    <row r="1776">
      <c r="A1776" t="str">
        <f>A1764</f>
        <v>Sloof</v>
      </c>
      <c r="B1776">
        <f>B1764</f>
        <v>52</v>
      </c>
      <c r="C1776" t="str">
        <v>Tul Peminggang</v>
      </c>
      <c r="D1776">
        <f>VLOOKUP(D1764,'Detail Balok'!$C$10:$AU$110,13,FALSE)</f>
        <v>2</v>
      </c>
      <c r="E1776" t="str">
        <v>D</v>
      </c>
      <c r="F1776">
        <f>VLOOKUP(D1764,'Detail Balok'!$C$10:$AU$110,15,FALSE)</f>
        <v>8</v>
      </c>
      <c r="J1776">
        <f>+D1766/1000</f>
        <v>3.815</v>
      </c>
      <c r="K1776" t="str">
        <v>+</v>
      </c>
      <c r="L1776">
        <f>2*$F$16*F1776/1000</f>
        <v>0.192</v>
      </c>
      <c r="M1776" t="str">
        <v>=</v>
      </c>
      <c r="N1776">
        <f>J1776+L1776</f>
        <v>4.007</v>
      </c>
      <c r="O1776" t="str">
        <v>+</v>
      </c>
      <c r="P1776">
        <f>IF(N1776&gt;12,ROUNDDOWN(N1776/12,0),0)</f>
        <v>0</v>
      </c>
      <c r="Q1776" t="str">
        <v>x</v>
      </c>
      <c r="R1776">
        <f>IF(P1776&gt;0,MAX(VLOOKUP(F1776,$D$6:$G$15,3,FALSE),600),0)/1000</f>
        <v>0</v>
      </c>
      <c r="T1776" t="str">
        <v>x</v>
      </c>
      <c r="U1776">
        <f>0.006165*F1776^2</f>
        <v>0.39456</v>
      </c>
      <c r="V1776" t="str">
        <v>x</v>
      </c>
      <c r="W1776">
        <f>+D1776</f>
        <v>2</v>
      </c>
      <c r="X1776" t="str">
        <v>x</v>
      </c>
      <c r="Y1776">
        <f>D1770</f>
        <v>1</v>
      </c>
      <c r="Z1776" t="str">
        <v>=</v>
      </c>
      <c r="AA1776">
        <f>(N1776+P1776*R1776/1000)*U1776*W1776*Y1776</f>
        <v>3.16200384</v>
      </c>
    </row>
    <row r="1779">
      <c r="A1779" t="str">
        <f>A1764</f>
        <v>Sloof</v>
      </c>
      <c r="B1779">
        <f>B1764</f>
        <v>52</v>
      </c>
      <c r="C1779" t="str">
        <v>Tul Bawah Tumpuan</v>
      </c>
      <c r="D1779">
        <f>VLOOKUP(D1764,'Detail Balok'!$C$10:$AU$110,22,FALSE)</f>
        <v>3</v>
      </c>
      <c r="E1779" t="str">
        <v>D</v>
      </c>
      <c r="F1779">
        <f>VLOOKUP(D1764,'Detail Balok'!$C$10:$AU$110,24,FALSE)</f>
        <v>13</v>
      </c>
      <c r="I1779" t="str">
        <v>(</v>
      </c>
      <c r="J1779">
        <f>+J1771</f>
        <v>0.95375</v>
      </c>
      <c r="K1779" t="str">
        <v>+</v>
      </c>
      <c r="L1779">
        <f>MAX(VLOOKUP(F1779,N$6:P$15,3,FALSE)/1000,2/3*D1769/1000)+F$16*F1779/1000</f>
        <v>0.156</v>
      </c>
      <c r="M1779" t="str">
        <v>=</v>
      </c>
      <c r="N1779">
        <f>J1779+L1779</f>
        <v>1.10975</v>
      </c>
      <c r="O1779" t="str">
        <v>+</v>
      </c>
      <c r="P1779">
        <f>D1779-D1780</f>
        <v>0</v>
      </c>
      <c r="Q1779" t="str">
        <v>x</v>
      </c>
      <c r="R1779">
        <f>IF(P1779&gt;0,$F$18*F1779/1000,0)</f>
        <v>0</v>
      </c>
      <c r="S1779" t="str">
        <v>)</v>
      </c>
      <c r="T1779" t="str">
        <v>x</v>
      </c>
      <c r="U1779">
        <f>0.006165*F1779^2</f>
        <v>1.041885</v>
      </c>
      <c r="X1779" t="str">
        <v>x</v>
      </c>
      <c r="Y1779">
        <f>D1770</f>
        <v>1</v>
      </c>
      <c r="Z1779" t="str">
        <v>=</v>
      </c>
      <c r="AA1779">
        <f>IF(AA1782=0,(D1779*N1779+P1779*R1779)*U1779*Y1779,0)</f>
        <v>0</v>
      </c>
    </row>
    <row r="1780">
      <c r="A1780" t="str">
        <f>A1764</f>
        <v>Sloof</v>
      </c>
      <c r="B1780">
        <f>B1764</f>
        <v>52</v>
      </c>
      <c r="C1780" t="str">
        <v>Tul Bawah Lapangan</v>
      </c>
      <c r="D1780">
        <f>VLOOKUP(D1764,'Detail Balok'!$C$10:$AU$110,25,FALSE)</f>
        <v>3</v>
      </c>
      <c r="E1780" t="str">
        <v>D</v>
      </c>
      <c r="F1780">
        <f>VLOOKUP(D1764,'Detail Balok'!$C$10:$AU$110,27,FALSE)</f>
        <v>13</v>
      </c>
      <c r="I1780" t="str">
        <v>(</v>
      </c>
      <c r="J1780">
        <f>+J1772</f>
        <v>1.9075</v>
      </c>
      <c r="K1780" t="str">
        <v>+</v>
      </c>
      <c r="M1780" t="str">
        <v>=</v>
      </c>
      <c r="N1780">
        <f>J1780+L1780</f>
        <v>1.9075</v>
      </c>
      <c r="O1780" t="str">
        <v>+</v>
      </c>
      <c r="P1780">
        <f>MAX(D1780-D1779,D1780-D1781)</f>
        <v>0</v>
      </c>
      <c r="Q1780" t="str">
        <v>x</v>
      </c>
      <c r="R1780">
        <f>IF(P1780&gt;0,2*(1-2*$F$19-1/2)*D1767/1000,0)</f>
        <v>0</v>
      </c>
      <c r="S1780" t="str">
        <v>)</v>
      </c>
      <c r="T1780" t="str">
        <v>x</v>
      </c>
      <c r="U1780">
        <f>0.006165*F1780^2</f>
        <v>1.041885</v>
      </c>
      <c r="X1780" t="str">
        <v>x</v>
      </c>
      <c r="Y1780">
        <f>D1770</f>
        <v>1</v>
      </c>
      <c r="Z1780" t="str">
        <v>=</v>
      </c>
      <c r="AA1780">
        <f>IF(AA1782=0,(D1780*N1780+P1780*R1780)*U1780*Y1780,0)</f>
        <v>0</v>
      </c>
    </row>
    <row r="1781">
      <c r="A1781" t="str">
        <f>A1764</f>
        <v>Sloof</v>
      </c>
      <c r="B1781">
        <f>B1764</f>
        <v>52</v>
      </c>
      <c r="C1781" t="str">
        <v>Tul Bawah Tumpuan</v>
      </c>
      <c r="D1781">
        <f>VLOOKUP(D1764,'Detail Balok'!$C$10:$AU$110,28,FALSE)</f>
        <v>3</v>
      </c>
      <c r="E1781" t="str">
        <v>D</v>
      </c>
      <c r="F1781">
        <f>VLOOKUP(D1764,'Detail Balok'!$C$10:$AU$110,30,FALSE)</f>
        <v>13</v>
      </c>
      <c r="I1781" t="str">
        <v>(</v>
      </c>
      <c r="J1781">
        <f>+J1773</f>
        <v>0.95375</v>
      </c>
      <c r="K1781" t="str">
        <v>+</v>
      </c>
      <c r="L1781">
        <f>MAX(VLOOKUP(F1781,N$6:P$15,3,FALSE)/1000,2/3*D1769/1000)+F$16*F1781/1000</f>
        <v>0.156</v>
      </c>
      <c r="M1781" t="str">
        <v>=</v>
      </c>
      <c r="N1781">
        <f>J1781+L1781</f>
        <v>1.10975</v>
      </c>
      <c r="O1781" t="str">
        <v>+</v>
      </c>
      <c r="P1781">
        <f>D1781-D1780</f>
        <v>0</v>
      </c>
      <c r="Q1781" t="str">
        <v>x</v>
      </c>
      <c r="R1781">
        <f>IF(P1781&gt;0,$F$18*F1781/1000,0)</f>
        <v>0</v>
      </c>
      <c r="S1781" t="str">
        <v>)</v>
      </c>
      <c r="T1781" t="str">
        <v>x</v>
      </c>
      <c r="U1781">
        <f>0.006165*F1781^2</f>
        <v>1.041885</v>
      </c>
      <c r="X1781" t="str">
        <v>x</v>
      </c>
      <c r="Y1781">
        <f>D1770</f>
        <v>1</v>
      </c>
      <c r="Z1781" t="str">
        <v>=</v>
      </c>
      <c r="AA1781">
        <f>IF(AA1782=0,(D1781*N1781+P1781*R1781)*U1781*Y1781,0)</f>
        <v>0</v>
      </c>
    </row>
    <row r="1782">
      <c r="A1782" t="str">
        <f>A1764</f>
        <v>Sloof</v>
      </c>
      <c r="B1782">
        <f>B1764</f>
        <v>52</v>
      </c>
      <c r="D1782">
        <f>IF(AND(D1779=D1780,D1780=D1781,D1779=D1781),D1779,0)</f>
        <v>3</v>
      </c>
      <c r="E1782" t="str">
        <v>D</v>
      </c>
      <c r="F1782">
        <f>IF(AND(F1779=F1780,F1779=F1781,F1780=F1781),F1779,0)</f>
        <v>13</v>
      </c>
      <c r="L1782" t="str">
        <v>Total panjang per balok</v>
      </c>
      <c r="M1782" t="str">
        <v>=</v>
      </c>
      <c r="N1782">
        <f>IF(AND(D1779=D1780,D1779=D1781,D1780=D1781,F1779=F1780,F1779=F1781,F1780=F1781),SUM(N1779:N1781),0)</f>
        <v>4.127</v>
      </c>
      <c r="O1782" t="str">
        <v>+</v>
      </c>
      <c r="P1782">
        <f>IF(N1782&gt;12,ROUNDDOWN(N1782/12,0),0)</f>
        <v>0</v>
      </c>
      <c r="Q1782" t="str">
        <v>x</v>
      </c>
      <c r="R1782">
        <f>IF(P1782&gt;0,MAX(VLOOKUP(F1782,$D$6:$G$15,3,FALSE),600),0)/1000</f>
        <v>0</v>
      </c>
      <c r="T1782" t="str">
        <v>x</v>
      </c>
      <c r="U1782">
        <f>U1781</f>
        <v>1.041885</v>
      </c>
      <c r="V1782" t="str">
        <v>x</v>
      </c>
      <c r="W1782">
        <f>D1782</f>
        <v>3</v>
      </c>
      <c r="X1782" t="str">
        <v>x</v>
      </c>
      <c r="Y1782">
        <f>Y1781</f>
        <v>1</v>
      </c>
      <c r="Z1782" t="str">
        <v>=</v>
      </c>
      <c r="AA1782">
        <f>(N1782+P1782*R1782/1000)*U1782*W1782*Y1782</f>
        <v>12.899578185</v>
      </c>
    </row>
    <row r="1784">
      <c r="A1784" t="str">
        <f>A1764</f>
        <v>Sloof</v>
      </c>
      <c r="B1784">
        <f>B1764</f>
        <v>52</v>
      </c>
      <c r="C1784" t="str">
        <v>Sengkang Tumpuan</v>
      </c>
      <c r="D1784">
        <f>VLOOKUP(D1764,'Detail Balok'!$C$10:$AU$110,31,FALSE)</f>
        <v>0</v>
      </c>
      <c r="E1784" t="str">
        <v>D</v>
      </c>
      <c r="F1784">
        <f>VLOOKUP(D1764,'Detail Balok'!$C$10:$AU$110,33,FALSE)</f>
        <v>8</v>
      </c>
      <c r="G1784" t="str">
        <v>-</v>
      </c>
      <c r="H1784">
        <f>VLOOKUP(D1764,'Detail Balok'!$C$10:$AU$110,35,FALSE)</f>
        <v>200</v>
      </c>
      <c r="J1784">
        <f>(IF(D1784=0,(2*(D1765+G1765))-(F$5*8),IF(D1784=3,(2*(D1765+G1765))-(F$5*8)+(G1765-2*F$5),IF(D1784=4,(2*(D1765+G1765))-(F$5*8)+2*(G1765-2*F$5)))))/1000</f>
        <v>0.98</v>
      </c>
      <c r="K1784" t="str">
        <v>+</v>
      </c>
      <c r="L1784">
        <f>IF(D1784=0,2*MAX(6*F1784,75),(D1784-1)*2*MAX(6*F1784,75))/1000</f>
        <v>0.15</v>
      </c>
      <c r="M1784" t="str">
        <v>=</v>
      </c>
      <c r="N1784">
        <f>J1784+L1784</f>
        <v>1.13</v>
      </c>
      <c r="T1784" t="str">
        <v>x</v>
      </c>
      <c r="U1784">
        <f>0.006165*F1784^2</f>
        <v>0.39456</v>
      </c>
      <c r="V1784" t="str">
        <v>x</v>
      </c>
      <c r="W1784">
        <f>IF(D1767&gt;4*G1765,ROUND(MAX(D1767/4,2*G1765)/H1784,0)+1,ROUND(D1767/H1784,0)+1)</f>
        <v>6</v>
      </c>
      <c r="X1784" t="str">
        <v>x</v>
      </c>
      <c r="Y1784">
        <f>D1770</f>
        <v>1</v>
      </c>
      <c r="Z1784" t="str">
        <v>=</v>
      </c>
      <c r="AA1784">
        <f>N1784*U1784*W1784*Y1784</f>
        <v>2.6751168</v>
      </c>
    </row>
    <row r="1785">
      <c r="A1785" t="str">
        <f>A1764</f>
        <v>Sloof</v>
      </c>
      <c r="B1785">
        <f>B1764</f>
        <v>52</v>
      </c>
      <c r="C1785" t="str">
        <v>Sengkang Lapangan</v>
      </c>
      <c r="D1785">
        <f>VLOOKUP(D1764,'Detail Balok'!$C$10:$AU$110,36,FALSE)</f>
        <v>0</v>
      </c>
      <c r="E1785" t="str">
        <v>D</v>
      </c>
      <c r="F1785">
        <f>VLOOKUP(D1764,'Detail Balok'!$C$10:$AU$110,38,FALSE)</f>
        <v>8</v>
      </c>
      <c r="G1785" t="str">
        <v>-</v>
      </c>
      <c r="H1785">
        <f>VLOOKUP(D1764,'Detail Balok'!$C$10:$AU$110,40,FALSE)</f>
        <v>200</v>
      </c>
      <c r="J1785">
        <f>(IF(D1785=0,(2*(D1765+G1765))-(F$5*8),IF(D1785=3,(2*(D1765+G1765))-(F$5*8)+(G1765-2*F$5),IF(D1785=4,(2*(D1765+G1765))-(F$5*8)+2*(G1765-2*F$5)))))/1000</f>
        <v>0.98</v>
      </c>
      <c r="K1785" t="str">
        <v>+</v>
      </c>
      <c r="L1785">
        <f>IF(D1785=0,2*MAX(6*F1785,75),(D1785-1)*2*MAX(6*F1785,75))/1000</f>
        <v>0.15</v>
      </c>
      <c r="M1785" t="str">
        <v>=</v>
      </c>
      <c r="N1785">
        <f>J1785+L1785</f>
        <v>1.13</v>
      </c>
      <c r="T1785" t="str">
        <v>x</v>
      </c>
      <c r="U1785">
        <f>0.006165*F1785^2</f>
        <v>0.39456</v>
      </c>
      <c r="V1785" t="str">
        <v>x</v>
      </c>
      <c r="W1785">
        <f>IF(D1767-MAX(D1767/4,2*G1765)*2&gt;0,ROUND((D1767-MAX(D1767/4,2*G1765)*2)/H1785,0),0)</f>
        <v>10</v>
      </c>
      <c r="X1785" t="str">
        <v>x</v>
      </c>
      <c r="Y1785">
        <f>D1770</f>
        <v>1</v>
      </c>
      <c r="Z1785" t="str">
        <v>=</v>
      </c>
      <c r="AA1785">
        <f>N1785*U1785*W1785*Y1785</f>
        <v>4.458528</v>
      </c>
    </row>
    <row r="1786">
      <c r="A1786" t="str">
        <f>A1764</f>
        <v>Sloof</v>
      </c>
      <c r="B1786">
        <f>B1764</f>
        <v>52</v>
      </c>
      <c r="C1786" t="str">
        <v>Sengkang Tumpuan</v>
      </c>
      <c r="D1786">
        <f>VLOOKUP(D1764,'Detail Balok'!$C$10:$AU$110,41,FALSE)</f>
        <v>0</v>
      </c>
      <c r="E1786" t="str">
        <v>D</v>
      </c>
      <c r="F1786">
        <f>VLOOKUP(D1764,'Detail Balok'!$C$10:$AU$110,43,FALSE)</f>
        <v>8</v>
      </c>
      <c r="G1786" t="str">
        <v>-</v>
      </c>
      <c r="H1786">
        <f>VLOOKUP(D1764,'Detail Balok'!$C$10:$AU$110,45,FALSE)</f>
        <v>200</v>
      </c>
      <c r="J1786">
        <f>(IF(D1786=0,(2*(D1765+G1765))-(F$5*8),IF(D1786=3,(2*(D1765+G1765))-(F$5*8)+(G1765-2*F$5),IF(D1786=4,(2*(D1765+G1765))-(F$5*8)+2*(G1765-2*F$5)))))/1000</f>
        <v>0.98</v>
      </c>
      <c r="K1786" t="str">
        <v>+</v>
      </c>
      <c r="L1786">
        <f>IF(D1786=0,2*MAX(6*F1786,75),(D1786-1)*2*MAX(6*F1786,75))/1000</f>
        <v>0.15</v>
      </c>
      <c r="M1786" t="str">
        <v>=</v>
      </c>
      <c r="N1786">
        <f>J1786+L1786</f>
        <v>1.13</v>
      </c>
      <c r="T1786" t="str">
        <v>x</v>
      </c>
      <c r="U1786">
        <f>0.006165*F1786^2</f>
        <v>0.39456</v>
      </c>
      <c r="V1786" t="str">
        <v>x</v>
      </c>
      <c r="W1786">
        <f>IF(D1767&gt;4*G1765,ROUND(MAX(D1767/4,2*G1765)/H1786,0)+1,0)</f>
        <v>6</v>
      </c>
      <c r="X1786" t="str">
        <v>x</v>
      </c>
      <c r="Y1786">
        <f>D1770</f>
        <v>1</v>
      </c>
      <c r="Z1786" t="str">
        <v>=</v>
      </c>
      <c r="AA1786">
        <f>N1786*U1786*W1786*Y1786</f>
        <v>2.6751168</v>
      </c>
    </row>
    <row r="1788">
      <c r="A1788" t="str">
        <f>A1764</f>
        <v>Sloof</v>
      </c>
      <c r="B1788">
        <f>B1764</f>
        <v>52</v>
      </c>
      <c r="C1788" t="str">
        <v>Kait Horizontal Tump.</v>
      </c>
      <c r="D1788">
        <f>VLOOKUP(D1764,'Detail Balok'!$C$10:$BJ$110,46,FALSE)</f>
        <v>0</v>
      </c>
      <c r="E1788" t="str">
        <v>D</v>
      </c>
      <c r="F1788">
        <f>VLOOKUP(D1764,'Detail Balok'!$C$10:$BJ$110,48,FALSE)</f>
        <v>0</v>
      </c>
      <c r="G1788" t="str">
        <v>-</v>
      </c>
      <c r="H1788">
        <f>VLOOKUP(D1764,'Detail Balok'!$C$10:$BJ$110,50,FALSE)</f>
        <v>100</v>
      </c>
      <c r="J1788">
        <f>(D1765-2*F$5)/1000</f>
        <v>0.12</v>
      </c>
      <c r="K1788" t="str">
        <v>+</v>
      </c>
      <c r="L1788">
        <f>IF(D1788=0,2*MAX(6*F1788,75),(D1788-1)*2*MAX(6*F1788,75))/1000</f>
        <v>0.15</v>
      </c>
      <c r="M1788" t="str">
        <v>=</v>
      </c>
      <c r="N1788">
        <f>J1788+L1788</f>
        <v>0.27</v>
      </c>
      <c r="T1788" t="str">
        <v>x</v>
      </c>
      <c r="U1788">
        <f>0.006165*F1788^2</f>
        <v>0</v>
      </c>
      <c r="V1788" t="str">
        <v>x</v>
      </c>
      <c r="W1788">
        <f>W1784</f>
        <v>6</v>
      </c>
      <c r="X1788" t="str">
        <v>x</v>
      </c>
      <c r="Y1788">
        <f>D1774</f>
        <v>3</v>
      </c>
      <c r="Z1788" t="str">
        <v>=</v>
      </c>
      <c r="AA1788">
        <f>N1788*U1788*W1788*Y1788</f>
        <v>0</v>
      </c>
    </row>
    <row r="1789">
      <c r="A1789" t="str">
        <f>A1764</f>
        <v>Sloof</v>
      </c>
      <c r="B1789">
        <f>B1764</f>
        <v>52</v>
      </c>
      <c r="C1789" t="str">
        <v>Kait Horizontal Lap.</v>
      </c>
      <c r="D1789">
        <f>VLOOKUP(D1764,'Detail Balok'!$C$10:$BJ$110,51,FALSE)</f>
        <v>0</v>
      </c>
      <c r="E1789" t="str">
        <v>D</v>
      </c>
      <c r="F1789">
        <f>VLOOKUP(D1764,'Detail Balok'!$C$10:$BJ$110,53,FALSE)</f>
        <v>0</v>
      </c>
      <c r="G1789" t="str">
        <v>-</v>
      </c>
      <c r="H1789">
        <f>VLOOKUP(D1764,'Detail Balok'!$C$10:$BJ$110,55,FALSE)</f>
        <v>100</v>
      </c>
      <c r="J1789">
        <f>(D1765-2*F$5)/1000</f>
        <v>0.12</v>
      </c>
      <c r="K1789" t="str">
        <v>+</v>
      </c>
      <c r="L1789">
        <f>IF(D1789=0,2*MAX(6*F1789,75),(D1789-1)*2*MAX(6*F1789,75))/1000</f>
        <v>0.15</v>
      </c>
      <c r="M1789" t="str">
        <v>=</v>
      </c>
      <c r="N1789">
        <f>J1789+L1789</f>
        <v>0.27</v>
      </c>
      <c r="T1789" t="str">
        <v>x</v>
      </c>
      <c r="U1789">
        <f>0.006165*F1789^2</f>
        <v>0</v>
      </c>
      <c r="V1789" t="str">
        <v>x</v>
      </c>
      <c r="W1789">
        <f>W1785</f>
        <v>10</v>
      </c>
      <c r="X1789" t="str">
        <v>x</v>
      </c>
      <c r="Y1789">
        <f>D1774</f>
        <v>3</v>
      </c>
      <c r="Z1789" t="str">
        <v>=</v>
      </c>
      <c r="AA1789">
        <f>N1789*U1789*W1789*Y1789</f>
        <v>0</v>
      </c>
    </row>
    <row r="1790">
      <c r="A1790" t="str">
        <f>A1764</f>
        <v>Sloof</v>
      </c>
      <c r="B1790">
        <f>B1764</f>
        <v>52</v>
      </c>
      <c r="C1790" t="str">
        <v>Kait Horizontal Tump.</v>
      </c>
      <c r="D1790">
        <f>VLOOKUP(D1764,'Detail Balok'!$C$10:$BJ$110,56,FALSE)</f>
        <v>0</v>
      </c>
      <c r="E1790" t="str">
        <v>D</v>
      </c>
      <c r="F1790">
        <f>VLOOKUP(D1764,'Detail Balok'!$C$10:$BJ$110,58,FALSE)</f>
        <v>0</v>
      </c>
      <c r="G1790" t="str">
        <v>-</v>
      </c>
      <c r="H1790">
        <f>VLOOKUP(D1764,'Detail Balok'!$C$10:$BJ$110,60,FALSE)</f>
        <v>100</v>
      </c>
      <c r="J1790">
        <f>(D1765-2*F$5)/1000</f>
        <v>0.12</v>
      </c>
      <c r="K1790" t="str">
        <v>+</v>
      </c>
      <c r="L1790">
        <f>IF(D1790=0,2*MAX(6*F1790,75),(D1790-1)*2*MAX(6*F1790,75))/1000</f>
        <v>0.15</v>
      </c>
      <c r="M1790" t="str">
        <v>=</v>
      </c>
      <c r="N1790">
        <f>J1790+L1790</f>
        <v>0.27</v>
      </c>
      <c r="T1790" t="str">
        <v>x</v>
      </c>
      <c r="U1790">
        <f>0.006165*F1790^2</f>
        <v>0</v>
      </c>
      <c r="V1790" t="str">
        <v>x</v>
      </c>
      <c r="W1790">
        <f>W1786</f>
        <v>6</v>
      </c>
      <c r="X1790" t="str">
        <v>x</v>
      </c>
      <c r="Y1790">
        <f>D1774</f>
        <v>3</v>
      </c>
      <c r="Z1790" t="str">
        <v>=</v>
      </c>
      <c r="AA1790">
        <f>N1790*U1790*W1790*Y1790</f>
        <v>0</v>
      </c>
    </row>
    <row r="1794">
      <c r="A1794" t="str">
        <f>A1764</f>
        <v>Sloof</v>
      </c>
      <c r="B1794">
        <f>B1764+1</f>
        <v>53</v>
      </c>
      <c r="C1794" t="str">
        <f>CONCATENATE(A1794," no. ",B1794)</f>
        <v>Sloof no. 53</v>
      </c>
      <c r="D1794" t="str">
        <f>VLOOKUP(C1794,'Data Panjang Balok'!$C$9:$N$424,2,FALSE)</f>
        <v>TB245-1</v>
      </c>
    </row>
    <row r="1795">
      <c r="C1795" t="str">
        <v>Dimensi</v>
      </c>
      <c r="D1795">
        <f>VLOOKUP(D1794,'Detail Balok'!$C$10:$AU$110,2,FALSE)</f>
        <v>200</v>
      </c>
      <c r="F1795" t="str">
        <v>x</v>
      </c>
      <c r="G1795">
        <f>VLOOKUP(D1794,'Detail Balok'!$C$10:$AU$110,3,FALSE)</f>
        <v>450</v>
      </c>
    </row>
    <row r="1796">
      <c r="C1796" t="str">
        <v>Panjang as ke as</v>
      </c>
      <c r="D1796">
        <f>VLOOKUP(C1794,'Data Panjang Balok'!$C$9:$N$424,4,FALSE)</f>
        <v>10435</v>
      </c>
    </row>
    <row r="1797">
      <c r="C1797" t="str">
        <v>Panjang netto</v>
      </c>
      <c r="D1797">
        <f>VLOOKUP(C1794,'Data Panjang Balok'!$C$9:$N$424,7,FALSE)</f>
        <v>10435</v>
      </c>
    </row>
    <row r="1798">
      <c r="C1798" t="str">
        <v>Kolom / balok kiri</v>
      </c>
      <c r="D1798">
        <f>VLOOKUP(C1794,'Data Panjang Balok'!$C$9:$N$424,9,FALSE)</f>
        <v>0</v>
      </c>
    </row>
    <row r="1799">
      <c r="C1799" t="str">
        <v>Kolom / balok kanan</v>
      </c>
      <c r="D1799">
        <f>VLOOKUP(C1794,'Data Panjang Balok'!$C$9:$N$424,10,FALSE)</f>
        <v>0</v>
      </c>
    </row>
    <row r="1800">
      <c r="C1800" t="str">
        <v>Jumlah</v>
      </c>
      <c r="D1800">
        <f>VLOOKUP(C1794,'Data Panjang Balok'!$C$9:$N$424,3,FALSE)</f>
        <v>1</v>
      </c>
    </row>
    <row r="1801">
      <c r="A1801" t="str">
        <f>A1794</f>
        <v>Sloof</v>
      </c>
      <c r="B1801">
        <f>B1794</f>
        <v>53</v>
      </c>
      <c r="C1801" t="str">
        <v>Tul Atas Tumpuan</v>
      </c>
      <c r="D1801">
        <f>VLOOKUP(D1794,'Detail Balok'!$C$10:$AU$110,4,FALSE)</f>
        <v>3</v>
      </c>
      <c r="E1801" t="str">
        <v>D</v>
      </c>
      <c r="F1801">
        <f>VLOOKUP(D1794,'Detail Balok'!$C$10:$AU$110,6,FALSE)</f>
        <v>13</v>
      </c>
      <c r="I1801" t="str">
        <v>(</v>
      </c>
      <c r="J1801">
        <f>+D1796/4/1000</f>
        <v>2.60875</v>
      </c>
      <c r="K1801" t="str">
        <v>+</v>
      </c>
      <c r="L1801">
        <f>MAX(VLOOKUP(F1801,N$6:P$15,3,FALSE)/1000,2/3*D1798/1000)+F$16*F1801/1000</f>
        <v>0.156</v>
      </c>
      <c r="M1801" t="str">
        <v>=</v>
      </c>
      <c r="N1801">
        <f>J1801+L1801</f>
        <v>2.7647500000000003</v>
      </c>
      <c r="O1801" t="str">
        <v>+</v>
      </c>
      <c r="P1801">
        <f>D1801-D1802</f>
        <v>0</v>
      </c>
      <c r="Q1801" t="str">
        <v>x</v>
      </c>
      <c r="R1801">
        <f>IF(P1801&gt;0,$F$18*F1801/1000,0)</f>
        <v>0</v>
      </c>
      <c r="S1801" t="str">
        <v>)</v>
      </c>
      <c r="T1801" t="str">
        <v>x</v>
      </c>
      <c r="U1801">
        <f>0.006165*F1801^2</f>
        <v>1.041885</v>
      </c>
      <c r="X1801" t="str">
        <v>x</v>
      </c>
      <c r="Y1801">
        <f>D1800</f>
        <v>1</v>
      </c>
      <c r="Z1801" t="str">
        <v>=</v>
      </c>
      <c r="AA1801">
        <f>IF(AA1804=0,(D1801*N1801+P1801*R1801)*U1801*Y1801,0)</f>
        <v>0</v>
      </c>
    </row>
    <row r="1802">
      <c r="A1802" t="str">
        <f>A1794</f>
        <v>Sloof</v>
      </c>
      <c r="B1802">
        <f>B1794</f>
        <v>53</v>
      </c>
      <c r="C1802" t="str">
        <v>Tul Atas Lapangan</v>
      </c>
      <c r="D1802">
        <f>VLOOKUP(D1794,'Detail Balok'!$C$10:$AU$110,7,FALSE)</f>
        <v>3</v>
      </c>
      <c r="E1802" t="str">
        <v>D</v>
      </c>
      <c r="F1802">
        <f>VLOOKUP(D1794,'Detail Balok'!$C$10:$AU$110,9,FALSE)</f>
        <v>13</v>
      </c>
      <c r="I1802" t="str">
        <v>(</v>
      </c>
      <c r="J1802">
        <f>+D1796/2/1000</f>
        <v>5.2175</v>
      </c>
      <c r="K1802" t="str">
        <v>+</v>
      </c>
      <c r="M1802" t="str">
        <v>=</v>
      </c>
      <c r="N1802">
        <f>J1802+L1802</f>
        <v>5.2175</v>
      </c>
      <c r="O1802" t="str">
        <v>+</v>
      </c>
      <c r="P1802">
        <f>MAX(D1802-D1801,D1802-D1803)</f>
        <v>0</v>
      </c>
      <c r="Q1802" t="str">
        <v>x</v>
      </c>
      <c r="R1802">
        <f>IF(P1802&gt;0,2*(1-2*$F$19-1/2)*D1797/1000,0)</f>
        <v>0</v>
      </c>
      <c r="S1802" t="str">
        <v>)</v>
      </c>
      <c r="T1802" t="str">
        <v>x</v>
      </c>
      <c r="U1802">
        <f>0.006165*F1802^2</f>
        <v>1.041885</v>
      </c>
      <c r="X1802" t="str">
        <v>x</v>
      </c>
      <c r="Y1802">
        <f>D1800</f>
        <v>1</v>
      </c>
      <c r="Z1802" t="str">
        <v>=</v>
      </c>
      <c r="AA1802">
        <f>IF(AA1804=0,(D1802*N1802+P1802*R1802)*U1802*Y1802,0)</f>
        <v>0</v>
      </c>
    </row>
    <row r="1803">
      <c r="A1803" t="str">
        <f>A1794</f>
        <v>Sloof</v>
      </c>
      <c r="B1803">
        <f>B1794</f>
        <v>53</v>
      </c>
      <c r="C1803" t="str">
        <v>Tul Atas Tumpuan</v>
      </c>
      <c r="D1803">
        <f>VLOOKUP(D1794,'Detail Balok'!$C$10:$AU$110,10,FALSE)</f>
        <v>3</v>
      </c>
      <c r="E1803" t="str">
        <v>D</v>
      </c>
      <c r="F1803">
        <f>VLOOKUP(D1794,'Detail Balok'!$C$10:$AU$110,12,FALSE)</f>
        <v>13</v>
      </c>
      <c r="I1803" t="str">
        <v>(</v>
      </c>
      <c r="J1803">
        <f>+D1796/4/1000</f>
        <v>2.60875</v>
      </c>
      <c r="K1803" t="str">
        <v>+</v>
      </c>
      <c r="L1803">
        <f>MAX(VLOOKUP(F1803,N$6:P$15,3,FALSE)/1000,2/3*D1798/1000)+F$16*F1803/1000</f>
        <v>0.156</v>
      </c>
      <c r="M1803" t="str">
        <v>=</v>
      </c>
      <c r="N1803">
        <f>J1803+L1803</f>
        <v>2.7647500000000003</v>
      </c>
      <c r="O1803" t="str">
        <v>+</v>
      </c>
      <c r="P1803">
        <f>D1803-D1802</f>
        <v>0</v>
      </c>
      <c r="Q1803" t="str">
        <v>x</v>
      </c>
      <c r="R1803">
        <f>IF(P1803&gt;0,$F$18*F1803/1000,0)</f>
        <v>0</v>
      </c>
      <c r="S1803" t="str">
        <v>)</v>
      </c>
      <c r="T1803" t="str">
        <v>x</v>
      </c>
      <c r="U1803">
        <f>0.006165*F1803^2</f>
        <v>1.041885</v>
      </c>
      <c r="X1803" t="str">
        <v>x</v>
      </c>
      <c r="Y1803">
        <f>D1800</f>
        <v>1</v>
      </c>
      <c r="Z1803" t="str">
        <v>=</v>
      </c>
      <c r="AA1803">
        <f>IF(AA1804=0,(D1803*N1803+P1803*R1803)*U1803*Y1803,0)</f>
        <v>0</v>
      </c>
    </row>
    <row r="1804">
      <c r="A1804" t="str">
        <f>A1794</f>
        <v>Sloof</v>
      </c>
      <c r="B1804">
        <f>B1794</f>
        <v>53</v>
      </c>
      <c r="D1804">
        <f>IF(AND(D1801=D1802,D1802=D1803,D1801=D1803),D1801,0)</f>
        <v>3</v>
      </c>
      <c r="E1804" t="str">
        <v>D</v>
      </c>
      <c r="F1804">
        <f>IF(AND(F1801=F1802,F1801=F1803,F1802=F1803),F1801,0)</f>
        <v>13</v>
      </c>
      <c r="L1804" t="str">
        <v>Total panjang per balok</v>
      </c>
      <c r="M1804" t="str">
        <v>=</v>
      </c>
      <c r="N1804">
        <f>IF(AND(D1801=D1802,D1801=D1803,D1802=D1803,F1801=F1802,F1801=F1803,F1802=F1803),SUM(N1801:N1803),0)</f>
        <v>10.747</v>
      </c>
      <c r="O1804" t="str">
        <v>+</v>
      </c>
      <c r="P1804">
        <f>IF(N1804&gt;12,ROUNDDOWN(N1804/12,0),0)</f>
        <v>0</v>
      </c>
      <c r="Q1804" t="str">
        <v>x</v>
      </c>
      <c r="R1804">
        <f>IF(P1804&gt;0,MAX(VLOOKUP(F1804,$D$6:$G$15,3,FALSE),600),0)/1000</f>
        <v>0</v>
      </c>
      <c r="T1804" t="str">
        <v>x</v>
      </c>
      <c r="U1804">
        <f>U1803</f>
        <v>1.041885</v>
      </c>
      <c r="V1804" t="str">
        <v>x</v>
      </c>
      <c r="W1804">
        <f>D1804</f>
        <v>3</v>
      </c>
      <c r="X1804" t="str">
        <v>x</v>
      </c>
      <c r="Y1804">
        <f>Y1803</f>
        <v>1</v>
      </c>
      <c r="Z1804" t="str">
        <v>=</v>
      </c>
      <c r="AA1804">
        <f>(N1804+P1804*R1804/1000)*U1804*W1804*Y1804</f>
        <v>33.591414285</v>
      </c>
    </row>
    <row r="1806">
      <c r="A1806" t="str">
        <f>A1794</f>
        <v>Sloof</v>
      </c>
      <c r="B1806">
        <f>B1794</f>
        <v>53</v>
      </c>
      <c r="C1806" t="str">
        <v>Tul Peminggang</v>
      </c>
      <c r="D1806">
        <f>VLOOKUP(D1794,'Detail Balok'!$C$10:$AU$110,13,FALSE)</f>
        <v>2</v>
      </c>
      <c r="E1806" t="str">
        <v>D</v>
      </c>
      <c r="F1806">
        <f>VLOOKUP(D1794,'Detail Balok'!$C$10:$AU$110,15,FALSE)</f>
        <v>8</v>
      </c>
      <c r="J1806">
        <f>+D1796/1000</f>
        <v>10.435</v>
      </c>
      <c r="K1806" t="str">
        <v>+</v>
      </c>
      <c r="L1806">
        <f>2*$F$16*F1806/1000</f>
        <v>0.192</v>
      </c>
      <c r="M1806" t="str">
        <v>=</v>
      </c>
      <c r="N1806">
        <f>J1806+L1806</f>
        <v>10.627</v>
      </c>
      <c r="O1806" t="str">
        <v>+</v>
      </c>
      <c r="P1806">
        <f>IF(N1806&gt;12,ROUNDDOWN(N1806/12,0),0)</f>
        <v>0</v>
      </c>
      <c r="Q1806" t="str">
        <v>x</v>
      </c>
      <c r="R1806">
        <f>IF(P1806&gt;0,MAX(VLOOKUP(F1806,$D$6:$G$15,3,FALSE),600),0)/1000</f>
        <v>0</v>
      </c>
      <c r="T1806" t="str">
        <v>x</v>
      </c>
      <c r="U1806">
        <f>0.006165*F1806^2</f>
        <v>0.39456</v>
      </c>
      <c r="V1806" t="str">
        <v>x</v>
      </c>
      <c r="W1806">
        <f>+D1806</f>
        <v>2</v>
      </c>
      <c r="X1806" t="str">
        <v>x</v>
      </c>
      <c r="Y1806">
        <f>D1800</f>
        <v>1</v>
      </c>
      <c r="Z1806" t="str">
        <v>=</v>
      </c>
      <c r="AA1806">
        <f>(N1806+P1806*R1806/1000)*U1806*W1806*Y1806</f>
        <v>8.385978240000002</v>
      </c>
    </row>
    <row r="1809">
      <c r="A1809" t="str">
        <f>A1794</f>
        <v>Sloof</v>
      </c>
      <c r="B1809">
        <f>B1794</f>
        <v>53</v>
      </c>
      <c r="C1809" t="str">
        <v>Tul Bawah Tumpuan</v>
      </c>
      <c r="D1809">
        <f>VLOOKUP(D1794,'Detail Balok'!$C$10:$AU$110,22,FALSE)</f>
        <v>3</v>
      </c>
      <c r="E1809" t="str">
        <v>D</v>
      </c>
      <c r="F1809">
        <f>VLOOKUP(D1794,'Detail Balok'!$C$10:$AU$110,24,FALSE)</f>
        <v>13</v>
      </c>
      <c r="I1809" t="str">
        <v>(</v>
      </c>
      <c r="J1809">
        <f>+J1801</f>
        <v>2.60875</v>
      </c>
      <c r="K1809" t="str">
        <v>+</v>
      </c>
      <c r="L1809">
        <f>MAX(VLOOKUP(F1809,N$6:P$15,3,FALSE)/1000,2/3*D1799/1000)+F$16*F1809/1000</f>
        <v>0.156</v>
      </c>
      <c r="M1809" t="str">
        <v>=</v>
      </c>
      <c r="N1809">
        <f>J1809+L1809</f>
        <v>2.7647500000000003</v>
      </c>
      <c r="O1809" t="str">
        <v>+</v>
      </c>
      <c r="P1809">
        <f>D1809-D1810</f>
        <v>0</v>
      </c>
      <c r="Q1809" t="str">
        <v>x</v>
      </c>
      <c r="R1809">
        <f>IF(P1809&gt;0,$F$18*F1809/1000,0)</f>
        <v>0</v>
      </c>
      <c r="S1809" t="str">
        <v>)</v>
      </c>
      <c r="T1809" t="str">
        <v>x</v>
      </c>
      <c r="U1809">
        <f>0.006165*F1809^2</f>
        <v>1.041885</v>
      </c>
      <c r="X1809" t="str">
        <v>x</v>
      </c>
      <c r="Y1809">
        <f>D1800</f>
        <v>1</v>
      </c>
      <c r="Z1809" t="str">
        <v>=</v>
      </c>
      <c r="AA1809">
        <f>IF(AA1812=0,(D1809*N1809+P1809*R1809)*U1809*Y1809,0)</f>
        <v>0</v>
      </c>
    </row>
    <row r="1810">
      <c r="A1810" t="str">
        <f>A1794</f>
        <v>Sloof</v>
      </c>
      <c r="B1810">
        <f>B1794</f>
        <v>53</v>
      </c>
      <c r="C1810" t="str">
        <v>Tul Bawah Lapangan</v>
      </c>
      <c r="D1810">
        <f>VLOOKUP(D1794,'Detail Balok'!$C$10:$AU$110,25,FALSE)</f>
        <v>3</v>
      </c>
      <c r="E1810" t="str">
        <v>D</v>
      </c>
      <c r="F1810">
        <f>VLOOKUP(D1794,'Detail Balok'!$C$10:$AU$110,27,FALSE)</f>
        <v>13</v>
      </c>
      <c r="I1810" t="str">
        <v>(</v>
      </c>
      <c r="J1810">
        <f>+J1802</f>
        <v>5.2175</v>
      </c>
      <c r="K1810" t="str">
        <v>+</v>
      </c>
      <c r="M1810" t="str">
        <v>=</v>
      </c>
      <c r="N1810">
        <f>J1810+L1810</f>
        <v>5.2175</v>
      </c>
      <c r="O1810" t="str">
        <v>+</v>
      </c>
      <c r="P1810">
        <f>MAX(D1810-D1809,D1810-D1811)</f>
        <v>0</v>
      </c>
      <c r="Q1810" t="str">
        <v>x</v>
      </c>
      <c r="R1810">
        <f>IF(P1810&gt;0,2*(1-2*$F$19-1/2)*D1797/1000,0)</f>
        <v>0</v>
      </c>
      <c r="S1810" t="str">
        <v>)</v>
      </c>
      <c r="T1810" t="str">
        <v>x</v>
      </c>
      <c r="U1810">
        <f>0.006165*F1810^2</f>
        <v>1.041885</v>
      </c>
      <c r="X1810" t="str">
        <v>x</v>
      </c>
      <c r="Y1810">
        <f>D1800</f>
        <v>1</v>
      </c>
      <c r="Z1810" t="str">
        <v>=</v>
      </c>
      <c r="AA1810">
        <f>IF(AA1812=0,(D1810*N1810+P1810*R1810)*U1810*Y1810,0)</f>
        <v>0</v>
      </c>
    </row>
    <row r="1811">
      <c r="A1811" t="str">
        <f>A1794</f>
        <v>Sloof</v>
      </c>
      <c r="B1811">
        <f>B1794</f>
        <v>53</v>
      </c>
      <c r="C1811" t="str">
        <v>Tul Bawah Tumpuan</v>
      </c>
      <c r="D1811">
        <f>VLOOKUP(D1794,'Detail Balok'!$C$10:$AU$110,28,FALSE)</f>
        <v>3</v>
      </c>
      <c r="E1811" t="str">
        <v>D</v>
      </c>
      <c r="F1811">
        <f>VLOOKUP(D1794,'Detail Balok'!$C$10:$AU$110,30,FALSE)</f>
        <v>13</v>
      </c>
      <c r="I1811" t="str">
        <v>(</v>
      </c>
      <c r="J1811">
        <f>+J1803</f>
        <v>2.60875</v>
      </c>
      <c r="K1811" t="str">
        <v>+</v>
      </c>
      <c r="L1811">
        <f>MAX(VLOOKUP(F1811,N$6:P$15,3,FALSE)/1000,2/3*D1799/1000)+F$16*F1811/1000</f>
        <v>0.156</v>
      </c>
      <c r="M1811" t="str">
        <v>=</v>
      </c>
      <c r="N1811">
        <f>J1811+L1811</f>
        <v>2.7647500000000003</v>
      </c>
      <c r="O1811" t="str">
        <v>+</v>
      </c>
      <c r="P1811">
        <f>D1811-D1810</f>
        <v>0</v>
      </c>
      <c r="Q1811" t="str">
        <v>x</v>
      </c>
      <c r="R1811">
        <f>IF(P1811&gt;0,$F$18*F1811/1000,0)</f>
        <v>0</v>
      </c>
      <c r="S1811" t="str">
        <v>)</v>
      </c>
      <c r="T1811" t="str">
        <v>x</v>
      </c>
      <c r="U1811">
        <f>0.006165*F1811^2</f>
        <v>1.041885</v>
      </c>
      <c r="X1811" t="str">
        <v>x</v>
      </c>
      <c r="Y1811">
        <f>D1800</f>
        <v>1</v>
      </c>
      <c r="Z1811" t="str">
        <v>=</v>
      </c>
      <c r="AA1811">
        <f>IF(AA1812=0,(D1811*N1811+P1811*R1811)*U1811*Y1811,0)</f>
        <v>0</v>
      </c>
    </row>
    <row r="1812">
      <c r="A1812" t="str">
        <f>A1794</f>
        <v>Sloof</v>
      </c>
      <c r="B1812">
        <f>B1794</f>
        <v>53</v>
      </c>
      <c r="D1812">
        <f>IF(AND(D1809=D1810,D1810=D1811,D1809=D1811),D1809,0)</f>
        <v>3</v>
      </c>
      <c r="E1812" t="str">
        <v>D</v>
      </c>
      <c r="F1812">
        <f>IF(AND(F1809=F1810,F1809=F1811,F1810=F1811),F1809,0)</f>
        <v>13</v>
      </c>
      <c r="L1812" t="str">
        <v>Total panjang per balok</v>
      </c>
      <c r="M1812" t="str">
        <v>=</v>
      </c>
      <c r="N1812">
        <f>IF(AND(D1809=D1810,D1809=D1811,D1810=D1811,F1809=F1810,F1809=F1811,F1810=F1811),SUM(N1809:N1811),0)</f>
        <v>10.747</v>
      </c>
      <c r="O1812" t="str">
        <v>+</v>
      </c>
      <c r="P1812">
        <f>IF(N1812&gt;12,ROUNDDOWN(N1812/12,0),0)</f>
        <v>0</v>
      </c>
      <c r="Q1812" t="str">
        <v>x</v>
      </c>
      <c r="R1812">
        <f>IF(P1812&gt;0,MAX(VLOOKUP(F1812,$D$6:$G$15,3,FALSE),600),0)/1000</f>
        <v>0</v>
      </c>
      <c r="T1812" t="str">
        <v>x</v>
      </c>
      <c r="U1812">
        <f>U1811</f>
        <v>1.041885</v>
      </c>
      <c r="V1812" t="str">
        <v>x</v>
      </c>
      <c r="W1812">
        <f>D1812</f>
        <v>3</v>
      </c>
      <c r="X1812" t="str">
        <v>x</v>
      </c>
      <c r="Y1812">
        <f>Y1811</f>
        <v>1</v>
      </c>
      <c r="Z1812" t="str">
        <v>=</v>
      </c>
      <c r="AA1812">
        <f>(N1812+P1812*R1812/1000)*U1812*W1812*Y1812</f>
        <v>33.591414285</v>
      </c>
    </row>
    <row r="1814">
      <c r="A1814" t="str">
        <f>A1794</f>
        <v>Sloof</v>
      </c>
      <c r="B1814">
        <f>B1794</f>
        <v>53</v>
      </c>
      <c r="C1814" t="str">
        <v>Sengkang Tumpuan</v>
      </c>
      <c r="D1814">
        <f>VLOOKUP(D1794,'Detail Balok'!$C$10:$AU$110,31,FALSE)</f>
        <v>0</v>
      </c>
      <c r="E1814" t="str">
        <v>D</v>
      </c>
      <c r="F1814">
        <f>VLOOKUP(D1794,'Detail Balok'!$C$10:$AU$110,33,FALSE)</f>
        <v>8</v>
      </c>
      <c r="G1814" t="str">
        <v>-</v>
      </c>
      <c r="H1814">
        <f>VLOOKUP(D1794,'Detail Balok'!$C$10:$AU$110,35,FALSE)</f>
        <v>200</v>
      </c>
      <c r="J1814">
        <f>(IF(D1814=0,(2*(D1795+G1795))-(F$5*8),IF(D1814=3,(2*(D1795+G1795))-(F$5*8)+(G1795-2*F$5),IF(D1814=4,(2*(D1795+G1795))-(F$5*8)+2*(G1795-2*F$5)))))/1000</f>
        <v>0.98</v>
      </c>
      <c r="K1814" t="str">
        <v>+</v>
      </c>
      <c r="L1814">
        <f>IF(D1814=0,2*MAX(6*F1814,75),(D1814-1)*2*MAX(6*F1814,75))/1000</f>
        <v>0.15</v>
      </c>
      <c r="M1814" t="str">
        <v>=</v>
      </c>
      <c r="N1814">
        <f>J1814+L1814</f>
        <v>1.13</v>
      </c>
      <c r="T1814" t="str">
        <v>x</v>
      </c>
      <c r="U1814">
        <f>0.006165*F1814^2</f>
        <v>0.39456</v>
      </c>
      <c r="V1814" t="str">
        <v>x</v>
      </c>
      <c r="W1814">
        <f>IF(D1797&gt;4*G1795,ROUND(MAX(D1797/4,2*G1795)/H1814,0)+1,ROUND(D1797/H1814,0)+1)</f>
        <v>14</v>
      </c>
      <c r="X1814" t="str">
        <v>x</v>
      </c>
      <c r="Y1814">
        <f>D1800</f>
        <v>1</v>
      </c>
      <c r="Z1814" t="str">
        <v>=</v>
      </c>
      <c r="AA1814">
        <f>N1814*U1814*W1814*Y1814</f>
        <v>6.2419392</v>
      </c>
    </row>
    <row r="1815">
      <c r="A1815" t="str">
        <f>A1794</f>
        <v>Sloof</v>
      </c>
      <c r="B1815">
        <f>B1794</f>
        <v>53</v>
      </c>
      <c r="C1815" t="str">
        <v>Sengkang Lapangan</v>
      </c>
      <c r="D1815">
        <f>VLOOKUP(D1794,'Detail Balok'!$C$10:$AU$110,36,FALSE)</f>
        <v>0</v>
      </c>
      <c r="E1815" t="str">
        <v>D</v>
      </c>
      <c r="F1815">
        <f>VLOOKUP(D1794,'Detail Balok'!$C$10:$AU$110,38,FALSE)</f>
        <v>8</v>
      </c>
      <c r="G1815" t="str">
        <v>-</v>
      </c>
      <c r="H1815">
        <f>VLOOKUP(D1794,'Detail Balok'!$C$10:$AU$110,40,FALSE)</f>
        <v>200</v>
      </c>
      <c r="J1815">
        <f>(IF(D1815=0,(2*(D1795+G1795))-(F$5*8),IF(D1815=3,(2*(D1795+G1795))-(F$5*8)+(G1795-2*F$5),IF(D1815=4,(2*(D1795+G1795))-(F$5*8)+2*(G1795-2*F$5)))))/1000</f>
        <v>0.98</v>
      </c>
      <c r="K1815" t="str">
        <v>+</v>
      </c>
      <c r="L1815">
        <f>IF(D1815=0,2*MAX(6*F1815,75),(D1815-1)*2*MAX(6*F1815,75))/1000</f>
        <v>0.15</v>
      </c>
      <c r="M1815" t="str">
        <v>=</v>
      </c>
      <c r="N1815">
        <f>J1815+L1815</f>
        <v>1.13</v>
      </c>
      <c r="T1815" t="str">
        <v>x</v>
      </c>
      <c r="U1815">
        <f>0.006165*F1815^2</f>
        <v>0.39456</v>
      </c>
      <c r="V1815" t="str">
        <v>x</v>
      </c>
      <c r="W1815">
        <f>IF(D1797-MAX(D1797/4,2*G1795)*2&gt;0,ROUND((D1797-MAX(D1797/4,2*G1795)*2)/H1815,0),0)</f>
        <v>26</v>
      </c>
      <c r="X1815" t="str">
        <v>x</v>
      </c>
      <c r="Y1815">
        <f>D1800</f>
        <v>1</v>
      </c>
      <c r="Z1815" t="str">
        <v>=</v>
      </c>
      <c r="AA1815">
        <f>N1815*U1815*W1815*Y1815</f>
        <v>11.5921728</v>
      </c>
    </row>
    <row r="1816">
      <c r="A1816" t="str">
        <f>A1794</f>
        <v>Sloof</v>
      </c>
      <c r="B1816">
        <f>B1794</f>
        <v>53</v>
      </c>
      <c r="C1816" t="str">
        <v>Sengkang Tumpuan</v>
      </c>
      <c r="D1816">
        <f>VLOOKUP(D1794,'Detail Balok'!$C$10:$AU$110,41,FALSE)</f>
        <v>0</v>
      </c>
      <c r="E1816" t="str">
        <v>D</v>
      </c>
      <c r="F1816">
        <f>VLOOKUP(D1794,'Detail Balok'!$C$10:$AU$110,43,FALSE)</f>
        <v>8</v>
      </c>
      <c r="G1816" t="str">
        <v>-</v>
      </c>
      <c r="H1816">
        <f>VLOOKUP(D1794,'Detail Balok'!$C$10:$AU$110,45,FALSE)</f>
        <v>200</v>
      </c>
      <c r="J1816">
        <f>(IF(D1816=0,(2*(D1795+G1795))-(F$5*8),IF(D1816=3,(2*(D1795+G1795))-(F$5*8)+(G1795-2*F$5),IF(D1816=4,(2*(D1795+G1795))-(F$5*8)+2*(G1795-2*F$5)))))/1000</f>
        <v>0.98</v>
      </c>
      <c r="K1816" t="str">
        <v>+</v>
      </c>
      <c r="L1816">
        <f>IF(D1816=0,2*MAX(6*F1816,75),(D1816-1)*2*MAX(6*F1816,75))/1000</f>
        <v>0.15</v>
      </c>
      <c r="M1816" t="str">
        <v>=</v>
      </c>
      <c r="N1816">
        <f>J1816+L1816</f>
        <v>1.13</v>
      </c>
      <c r="T1816" t="str">
        <v>x</v>
      </c>
      <c r="U1816">
        <f>0.006165*F1816^2</f>
        <v>0.39456</v>
      </c>
      <c r="V1816" t="str">
        <v>x</v>
      </c>
      <c r="W1816">
        <f>IF(D1797&gt;4*G1795,ROUND(MAX(D1797/4,2*G1795)/H1816,0)+1,0)</f>
        <v>14</v>
      </c>
      <c r="X1816" t="str">
        <v>x</v>
      </c>
      <c r="Y1816">
        <f>D1800</f>
        <v>1</v>
      </c>
      <c r="Z1816" t="str">
        <v>=</v>
      </c>
      <c r="AA1816">
        <f>N1816*U1816*W1816*Y1816</f>
        <v>6.2419392</v>
      </c>
    </row>
    <row r="1818">
      <c r="A1818" t="str">
        <f>A1794</f>
        <v>Sloof</v>
      </c>
      <c r="B1818">
        <f>B1794</f>
        <v>53</v>
      </c>
      <c r="C1818" t="str">
        <v>Kait Horizontal Tump.</v>
      </c>
      <c r="D1818">
        <f>VLOOKUP(D1794,'Detail Balok'!$C$10:$BJ$110,46,FALSE)</f>
        <v>0</v>
      </c>
      <c r="E1818" t="str">
        <v>D</v>
      </c>
      <c r="F1818">
        <f>VLOOKUP(D1794,'Detail Balok'!$C$10:$BJ$110,48,FALSE)</f>
        <v>0</v>
      </c>
      <c r="G1818" t="str">
        <v>-</v>
      </c>
      <c r="H1818">
        <f>VLOOKUP(D1794,'Detail Balok'!$C$10:$BJ$110,50,FALSE)</f>
        <v>100</v>
      </c>
      <c r="J1818">
        <f>(D1795-2*F$5)/1000</f>
        <v>0.12</v>
      </c>
      <c r="K1818" t="str">
        <v>+</v>
      </c>
      <c r="L1818">
        <f>IF(D1818=0,2*MAX(6*F1818,75),(D1818-1)*2*MAX(6*F1818,75))/1000</f>
        <v>0.15</v>
      </c>
      <c r="M1818" t="str">
        <v>=</v>
      </c>
      <c r="N1818">
        <f>J1818+L1818</f>
        <v>0.27</v>
      </c>
      <c r="T1818" t="str">
        <v>x</v>
      </c>
      <c r="U1818">
        <f>0.006165*F1818^2</f>
        <v>0</v>
      </c>
      <c r="V1818" t="str">
        <v>x</v>
      </c>
      <c r="W1818">
        <f>W1814</f>
        <v>14</v>
      </c>
      <c r="X1818" t="str">
        <v>x</v>
      </c>
      <c r="Y1818">
        <f>D1804</f>
        <v>3</v>
      </c>
      <c r="Z1818" t="str">
        <v>=</v>
      </c>
      <c r="AA1818">
        <f>N1818*U1818*W1818*Y1818</f>
        <v>0</v>
      </c>
    </row>
    <row r="1819">
      <c r="A1819" t="str">
        <f>A1794</f>
        <v>Sloof</v>
      </c>
      <c r="B1819">
        <f>B1794</f>
        <v>53</v>
      </c>
      <c r="C1819" t="str">
        <v>Kait Horizontal Lap.</v>
      </c>
      <c r="D1819">
        <f>VLOOKUP(D1794,'Detail Balok'!$C$10:$BJ$110,51,FALSE)</f>
        <v>0</v>
      </c>
      <c r="E1819" t="str">
        <v>D</v>
      </c>
      <c r="F1819">
        <f>VLOOKUP(D1794,'Detail Balok'!$C$10:$BJ$110,53,FALSE)</f>
        <v>0</v>
      </c>
      <c r="G1819" t="str">
        <v>-</v>
      </c>
      <c r="H1819">
        <f>VLOOKUP(D1794,'Detail Balok'!$C$10:$BJ$110,55,FALSE)</f>
        <v>100</v>
      </c>
      <c r="J1819">
        <f>(D1795-2*F$5)/1000</f>
        <v>0.12</v>
      </c>
      <c r="K1819" t="str">
        <v>+</v>
      </c>
      <c r="L1819">
        <f>IF(D1819=0,2*MAX(6*F1819,75),(D1819-1)*2*MAX(6*F1819,75))/1000</f>
        <v>0.15</v>
      </c>
      <c r="M1819" t="str">
        <v>=</v>
      </c>
      <c r="N1819">
        <f>J1819+L1819</f>
        <v>0.27</v>
      </c>
      <c r="T1819" t="str">
        <v>x</v>
      </c>
      <c r="U1819">
        <f>0.006165*F1819^2</f>
        <v>0</v>
      </c>
      <c r="V1819" t="str">
        <v>x</v>
      </c>
      <c r="W1819">
        <f>W1815</f>
        <v>26</v>
      </c>
      <c r="X1819" t="str">
        <v>x</v>
      </c>
      <c r="Y1819">
        <f>D1804</f>
        <v>3</v>
      </c>
      <c r="Z1819" t="str">
        <v>=</v>
      </c>
      <c r="AA1819">
        <f>N1819*U1819*W1819*Y1819</f>
        <v>0</v>
      </c>
    </row>
    <row r="1820">
      <c r="A1820" t="str">
        <f>A1794</f>
        <v>Sloof</v>
      </c>
      <c r="B1820">
        <f>B1794</f>
        <v>53</v>
      </c>
      <c r="C1820" t="str">
        <v>Kait Horizontal Tump.</v>
      </c>
      <c r="D1820">
        <f>VLOOKUP(D1794,'Detail Balok'!$C$10:$BJ$110,56,FALSE)</f>
        <v>0</v>
      </c>
      <c r="E1820" t="str">
        <v>D</v>
      </c>
      <c r="F1820">
        <f>VLOOKUP(D1794,'Detail Balok'!$C$10:$BJ$110,58,FALSE)</f>
        <v>0</v>
      </c>
      <c r="G1820" t="str">
        <v>-</v>
      </c>
      <c r="H1820">
        <f>VLOOKUP(D1794,'Detail Balok'!$C$10:$BJ$110,60,FALSE)</f>
        <v>100</v>
      </c>
      <c r="J1820">
        <f>(D1795-2*F$5)/1000</f>
        <v>0.12</v>
      </c>
      <c r="K1820" t="str">
        <v>+</v>
      </c>
      <c r="L1820">
        <f>IF(D1820=0,2*MAX(6*F1820,75),(D1820-1)*2*MAX(6*F1820,75))/1000</f>
        <v>0.15</v>
      </c>
      <c r="M1820" t="str">
        <v>=</v>
      </c>
      <c r="N1820">
        <f>J1820+L1820</f>
        <v>0.27</v>
      </c>
      <c r="T1820" t="str">
        <v>x</v>
      </c>
      <c r="U1820">
        <f>0.006165*F1820^2</f>
        <v>0</v>
      </c>
      <c r="V1820" t="str">
        <v>x</v>
      </c>
      <c r="W1820">
        <f>W1816</f>
        <v>14</v>
      </c>
      <c r="X1820" t="str">
        <v>x</v>
      </c>
      <c r="Y1820">
        <f>D1804</f>
        <v>3</v>
      </c>
      <c r="Z1820" t="str">
        <v>=</v>
      </c>
      <c r="AA1820">
        <f>N1820*U1820*W1820*Y1820</f>
        <v>0</v>
      </c>
    </row>
    <row r="1824">
      <c r="A1824" t="str">
        <f>A1794</f>
        <v>Sloof</v>
      </c>
      <c r="B1824">
        <f>B1794+1</f>
        <v>54</v>
      </c>
      <c r="C1824" t="str">
        <f>CONCATENATE(A1824," no. ",B1824)</f>
        <v>Sloof no. 54</v>
      </c>
      <c r="D1824" t="str">
        <f>VLOOKUP(C1824,'Data Panjang Balok'!$C$9:$N$424,2,FALSE)</f>
        <v>TB245-1</v>
      </c>
    </row>
    <row r="1825">
      <c r="C1825" t="str">
        <v>Dimensi</v>
      </c>
      <c r="D1825">
        <f>VLOOKUP(D1824,'Detail Balok'!$C$10:$AU$110,2,FALSE)</f>
        <v>200</v>
      </c>
      <c r="F1825" t="str">
        <v>x</v>
      </c>
      <c r="G1825">
        <f>VLOOKUP(D1824,'Detail Balok'!$C$10:$AU$110,3,FALSE)</f>
        <v>450</v>
      </c>
    </row>
    <row r="1826">
      <c r="C1826" t="str">
        <v>Panjang as ke as</v>
      </c>
      <c r="D1826">
        <f>VLOOKUP(C1824,'Data Panjang Balok'!$C$9:$N$424,4,FALSE)</f>
        <v>2900</v>
      </c>
    </row>
    <row r="1827">
      <c r="C1827" t="str">
        <v>Panjang netto</v>
      </c>
      <c r="D1827">
        <f>VLOOKUP(C1824,'Data Panjang Balok'!$C$9:$N$424,7,FALSE)</f>
        <v>2900</v>
      </c>
    </row>
    <row r="1828">
      <c r="C1828" t="str">
        <v>Kolom / balok kiri</v>
      </c>
      <c r="D1828">
        <f>VLOOKUP(C1824,'Data Panjang Balok'!$C$9:$N$424,9,FALSE)</f>
        <v>0</v>
      </c>
    </row>
    <row r="1829">
      <c r="C1829" t="str">
        <v>Kolom / balok kanan</v>
      </c>
      <c r="D1829">
        <f>VLOOKUP(C1824,'Data Panjang Balok'!$C$9:$N$424,10,FALSE)</f>
        <v>0</v>
      </c>
    </row>
    <row r="1830">
      <c r="C1830" t="str">
        <v>Jumlah</v>
      </c>
      <c r="D1830">
        <f>VLOOKUP(C1824,'Data Panjang Balok'!$C$9:$N$424,3,FALSE)</f>
        <v>1</v>
      </c>
    </row>
    <row r="1831">
      <c r="A1831" t="str">
        <f>A1824</f>
        <v>Sloof</v>
      </c>
      <c r="B1831">
        <f>B1824</f>
        <v>54</v>
      </c>
      <c r="C1831" t="str">
        <v>Tul Atas Tumpuan</v>
      </c>
      <c r="D1831">
        <f>VLOOKUP(D1824,'Detail Balok'!$C$10:$AU$110,4,FALSE)</f>
        <v>3</v>
      </c>
      <c r="E1831" t="str">
        <v>D</v>
      </c>
      <c r="F1831">
        <f>VLOOKUP(D1824,'Detail Balok'!$C$10:$AU$110,6,FALSE)</f>
        <v>13</v>
      </c>
      <c r="I1831" t="str">
        <v>(</v>
      </c>
      <c r="J1831">
        <f>+D1826/4/1000</f>
        <v>0.725</v>
      </c>
      <c r="K1831" t="str">
        <v>+</v>
      </c>
      <c r="L1831">
        <f>MAX(VLOOKUP(F1831,N$6:P$15,3,FALSE)/1000,2/3*D1828/1000)+F$16*F1831/1000</f>
        <v>0.156</v>
      </c>
      <c r="M1831" t="str">
        <v>=</v>
      </c>
      <c r="N1831">
        <f>J1831+L1831</f>
        <v>0.881</v>
      </c>
      <c r="O1831" t="str">
        <v>+</v>
      </c>
      <c r="P1831">
        <f>D1831-D1832</f>
        <v>0</v>
      </c>
      <c r="Q1831" t="str">
        <v>x</v>
      </c>
      <c r="R1831">
        <f>IF(P1831&gt;0,$F$18*F1831/1000,0)</f>
        <v>0</v>
      </c>
      <c r="S1831" t="str">
        <v>)</v>
      </c>
      <c r="T1831" t="str">
        <v>x</v>
      </c>
      <c r="U1831">
        <f>0.006165*F1831^2</f>
        <v>1.041885</v>
      </c>
      <c r="X1831" t="str">
        <v>x</v>
      </c>
      <c r="Y1831">
        <f>D1830</f>
        <v>1</v>
      </c>
      <c r="Z1831" t="str">
        <v>=</v>
      </c>
      <c r="AA1831">
        <f>IF(AA1834=0,(D1831*N1831+P1831*R1831)*U1831*Y1831,0)</f>
        <v>0</v>
      </c>
    </row>
    <row r="1832">
      <c r="A1832" t="str">
        <f>A1824</f>
        <v>Sloof</v>
      </c>
      <c r="B1832">
        <f>B1824</f>
        <v>54</v>
      </c>
      <c r="C1832" t="str">
        <v>Tul Atas Lapangan</v>
      </c>
      <c r="D1832">
        <f>VLOOKUP(D1824,'Detail Balok'!$C$10:$AU$110,7,FALSE)</f>
        <v>3</v>
      </c>
      <c r="E1832" t="str">
        <v>D</v>
      </c>
      <c r="F1832">
        <f>VLOOKUP(D1824,'Detail Balok'!$C$10:$AU$110,9,FALSE)</f>
        <v>13</v>
      </c>
      <c r="I1832" t="str">
        <v>(</v>
      </c>
      <c r="J1832">
        <f>+D1826/2/1000</f>
        <v>1.45</v>
      </c>
      <c r="K1832" t="str">
        <v>+</v>
      </c>
      <c r="M1832" t="str">
        <v>=</v>
      </c>
      <c r="N1832">
        <f>J1832+L1832</f>
        <v>1.45</v>
      </c>
      <c r="O1832" t="str">
        <v>+</v>
      </c>
      <c r="P1832">
        <f>MAX(D1832-D1831,D1832-D1833)</f>
        <v>0</v>
      </c>
      <c r="Q1832" t="str">
        <v>x</v>
      </c>
      <c r="R1832">
        <f>IF(P1832&gt;0,2*(1-2*$F$19-1/2)*D1827/1000,0)</f>
        <v>0</v>
      </c>
      <c r="S1832" t="str">
        <v>)</v>
      </c>
      <c r="T1832" t="str">
        <v>x</v>
      </c>
      <c r="U1832">
        <f>0.006165*F1832^2</f>
        <v>1.041885</v>
      </c>
      <c r="X1832" t="str">
        <v>x</v>
      </c>
      <c r="Y1832">
        <f>D1830</f>
        <v>1</v>
      </c>
      <c r="Z1832" t="str">
        <v>=</v>
      </c>
      <c r="AA1832">
        <f>IF(AA1834=0,(D1832*N1832+P1832*R1832)*U1832*Y1832,0)</f>
        <v>0</v>
      </c>
    </row>
    <row r="1833">
      <c r="A1833" t="str">
        <f>A1824</f>
        <v>Sloof</v>
      </c>
      <c r="B1833">
        <f>B1824</f>
        <v>54</v>
      </c>
      <c r="C1833" t="str">
        <v>Tul Atas Tumpuan</v>
      </c>
      <c r="D1833">
        <f>VLOOKUP(D1824,'Detail Balok'!$C$10:$AU$110,10,FALSE)</f>
        <v>3</v>
      </c>
      <c r="E1833" t="str">
        <v>D</v>
      </c>
      <c r="F1833">
        <f>VLOOKUP(D1824,'Detail Balok'!$C$10:$AU$110,12,FALSE)</f>
        <v>13</v>
      </c>
      <c r="I1833" t="str">
        <v>(</v>
      </c>
      <c r="J1833">
        <f>+D1826/4/1000</f>
        <v>0.725</v>
      </c>
      <c r="K1833" t="str">
        <v>+</v>
      </c>
      <c r="L1833">
        <f>MAX(VLOOKUP(F1833,N$6:P$15,3,FALSE)/1000,2/3*D1828/1000)+F$16*F1833/1000</f>
        <v>0.156</v>
      </c>
      <c r="M1833" t="str">
        <v>=</v>
      </c>
      <c r="N1833">
        <f>J1833+L1833</f>
        <v>0.881</v>
      </c>
      <c r="O1833" t="str">
        <v>+</v>
      </c>
      <c r="P1833">
        <f>D1833-D1832</f>
        <v>0</v>
      </c>
      <c r="Q1833" t="str">
        <v>x</v>
      </c>
      <c r="R1833">
        <f>IF(P1833&gt;0,$F$18*F1833/1000,0)</f>
        <v>0</v>
      </c>
      <c r="S1833" t="str">
        <v>)</v>
      </c>
      <c r="T1833" t="str">
        <v>x</v>
      </c>
      <c r="U1833">
        <f>0.006165*F1833^2</f>
        <v>1.041885</v>
      </c>
      <c r="X1833" t="str">
        <v>x</v>
      </c>
      <c r="Y1833">
        <f>D1830</f>
        <v>1</v>
      </c>
      <c r="Z1833" t="str">
        <v>=</v>
      </c>
      <c r="AA1833">
        <f>IF(AA1834=0,(D1833*N1833+P1833*R1833)*U1833*Y1833,0)</f>
        <v>0</v>
      </c>
    </row>
    <row r="1834">
      <c r="A1834" t="str">
        <f>A1824</f>
        <v>Sloof</v>
      </c>
      <c r="B1834">
        <f>B1824</f>
        <v>54</v>
      </c>
      <c r="D1834">
        <f>IF(AND(D1831=D1832,D1832=D1833,D1831=D1833),D1831,0)</f>
        <v>3</v>
      </c>
      <c r="E1834" t="str">
        <v>D</v>
      </c>
      <c r="F1834">
        <f>IF(AND(F1831=F1832,F1831=F1833,F1832=F1833),F1831,0)</f>
        <v>13</v>
      </c>
      <c r="L1834" t="str">
        <v>Total panjang per balok</v>
      </c>
      <c r="M1834" t="str">
        <v>=</v>
      </c>
      <c r="N1834">
        <f>IF(AND(D1831=D1832,D1831=D1833,D1832=D1833,F1831=F1832,F1831=F1833,F1832=F1833),SUM(N1831:N1833),0)</f>
        <v>3.2119999999999997</v>
      </c>
      <c r="O1834" t="str">
        <v>+</v>
      </c>
      <c r="P1834">
        <f>IF(N1834&gt;12,ROUNDDOWN(N1834/12,0),0)</f>
        <v>0</v>
      </c>
      <c r="Q1834" t="str">
        <v>x</v>
      </c>
      <c r="R1834">
        <f>IF(P1834&gt;0,MAX(VLOOKUP(F1834,$D$6:$G$15,3,FALSE),600),0)/1000</f>
        <v>0</v>
      </c>
      <c r="T1834" t="str">
        <v>x</v>
      </c>
      <c r="U1834">
        <f>U1833</f>
        <v>1.041885</v>
      </c>
      <c r="V1834" t="str">
        <v>x</v>
      </c>
      <c r="W1834">
        <f>D1834</f>
        <v>3</v>
      </c>
      <c r="X1834" t="str">
        <v>x</v>
      </c>
      <c r="Y1834">
        <f>Y1833</f>
        <v>1</v>
      </c>
      <c r="Z1834" t="str">
        <v>=</v>
      </c>
      <c r="AA1834">
        <f>(N1834+P1834*R1834/1000)*U1834*W1834*Y1834</f>
        <v>10.039603859999998</v>
      </c>
    </row>
    <row r="1836">
      <c r="A1836" t="str">
        <f>A1824</f>
        <v>Sloof</v>
      </c>
      <c r="B1836">
        <f>B1824</f>
        <v>54</v>
      </c>
      <c r="C1836" t="str">
        <v>Tul Peminggang</v>
      </c>
      <c r="D1836">
        <f>VLOOKUP(D1824,'Detail Balok'!$C$10:$AU$110,13,FALSE)</f>
        <v>2</v>
      </c>
      <c r="E1836" t="str">
        <v>D</v>
      </c>
      <c r="F1836">
        <f>VLOOKUP(D1824,'Detail Balok'!$C$10:$AU$110,15,FALSE)</f>
        <v>8</v>
      </c>
      <c r="J1836">
        <f>+D1826/1000</f>
        <v>2.9</v>
      </c>
      <c r="K1836" t="str">
        <v>+</v>
      </c>
      <c r="L1836">
        <f>2*$F$16*F1836/1000</f>
        <v>0.192</v>
      </c>
      <c r="M1836" t="str">
        <v>=</v>
      </c>
      <c r="N1836">
        <f>J1836+L1836</f>
        <v>3.092</v>
      </c>
      <c r="O1836" t="str">
        <v>+</v>
      </c>
      <c r="P1836">
        <f>IF(N1836&gt;12,ROUNDDOWN(N1836/12,0),0)</f>
        <v>0</v>
      </c>
      <c r="Q1836" t="str">
        <v>x</v>
      </c>
      <c r="R1836">
        <f>IF(P1836&gt;0,MAX(VLOOKUP(F1836,$D$6:$G$15,3,FALSE),600),0)/1000</f>
        <v>0</v>
      </c>
      <c r="T1836" t="str">
        <v>x</v>
      </c>
      <c r="U1836">
        <f>0.006165*F1836^2</f>
        <v>0.39456</v>
      </c>
      <c r="V1836" t="str">
        <v>x</v>
      </c>
      <c r="W1836">
        <f>+D1836</f>
        <v>2</v>
      </c>
      <c r="X1836" t="str">
        <v>x</v>
      </c>
      <c r="Y1836">
        <f>D1830</f>
        <v>1</v>
      </c>
      <c r="Z1836" t="str">
        <v>=</v>
      </c>
      <c r="AA1836">
        <f>(N1836+P1836*R1836/1000)*U1836*W1836*Y1836</f>
        <v>2.43995904</v>
      </c>
    </row>
    <row r="1839">
      <c r="A1839" t="str">
        <f>A1824</f>
        <v>Sloof</v>
      </c>
      <c r="B1839">
        <f>B1824</f>
        <v>54</v>
      </c>
      <c r="C1839" t="str">
        <v>Tul Bawah Tumpuan</v>
      </c>
      <c r="D1839">
        <f>VLOOKUP(D1824,'Detail Balok'!$C$10:$AU$110,22,FALSE)</f>
        <v>3</v>
      </c>
      <c r="E1839" t="str">
        <v>D</v>
      </c>
      <c r="F1839">
        <f>VLOOKUP(D1824,'Detail Balok'!$C$10:$AU$110,24,FALSE)</f>
        <v>13</v>
      </c>
      <c r="I1839" t="str">
        <v>(</v>
      </c>
      <c r="J1839">
        <f>+J1831</f>
        <v>0.725</v>
      </c>
      <c r="K1839" t="str">
        <v>+</v>
      </c>
      <c r="L1839">
        <f>MAX(VLOOKUP(F1839,N$6:P$15,3,FALSE)/1000,2/3*D1829/1000)+F$16*F1839/1000</f>
        <v>0.156</v>
      </c>
      <c r="M1839" t="str">
        <v>=</v>
      </c>
      <c r="N1839">
        <f>J1839+L1839</f>
        <v>0.881</v>
      </c>
      <c r="O1839" t="str">
        <v>+</v>
      </c>
      <c r="P1839">
        <f>D1839-D1840</f>
        <v>0</v>
      </c>
      <c r="Q1839" t="str">
        <v>x</v>
      </c>
      <c r="R1839">
        <f>IF(P1839&gt;0,$F$18*F1839/1000,0)</f>
        <v>0</v>
      </c>
      <c r="S1839" t="str">
        <v>)</v>
      </c>
      <c r="T1839" t="str">
        <v>x</v>
      </c>
      <c r="U1839">
        <f>0.006165*F1839^2</f>
        <v>1.041885</v>
      </c>
      <c r="X1839" t="str">
        <v>x</v>
      </c>
      <c r="Y1839">
        <f>D1830</f>
        <v>1</v>
      </c>
      <c r="Z1839" t="str">
        <v>=</v>
      </c>
      <c r="AA1839">
        <f>IF(AA1842=0,(D1839*N1839+P1839*R1839)*U1839*Y1839,0)</f>
        <v>0</v>
      </c>
    </row>
    <row r="1840">
      <c r="A1840" t="str">
        <f>A1824</f>
        <v>Sloof</v>
      </c>
      <c r="B1840">
        <f>B1824</f>
        <v>54</v>
      </c>
      <c r="C1840" t="str">
        <v>Tul Bawah Lapangan</v>
      </c>
      <c r="D1840">
        <f>VLOOKUP(D1824,'Detail Balok'!$C$10:$AU$110,25,FALSE)</f>
        <v>3</v>
      </c>
      <c r="E1840" t="str">
        <v>D</v>
      </c>
      <c r="F1840">
        <f>VLOOKUP(D1824,'Detail Balok'!$C$10:$AU$110,27,FALSE)</f>
        <v>13</v>
      </c>
      <c r="I1840" t="str">
        <v>(</v>
      </c>
      <c r="J1840">
        <f>+J1832</f>
        <v>1.45</v>
      </c>
      <c r="K1840" t="str">
        <v>+</v>
      </c>
      <c r="M1840" t="str">
        <v>=</v>
      </c>
      <c r="N1840">
        <f>J1840+L1840</f>
        <v>1.45</v>
      </c>
      <c r="O1840" t="str">
        <v>+</v>
      </c>
      <c r="P1840">
        <f>MAX(D1840-D1839,D1840-D1841)</f>
        <v>0</v>
      </c>
      <c r="Q1840" t="str">
        <v>x</v>
      </c>
      <c r="R1840">
        <f>IF(P1840&gt;0,2*(1-2*$F$19-1/2)*D1827/1000,0)</f>
        <v>0</v>
      </c>
      <c r="S1840" t="str">
        <v>)</v>
      </c>
      <c r="T1840" t="str">
        <v>x</v>
      </c>
      <c r="U1840">
        <f>0.006165*F1840^2</f>
        <v>1.041885</v>
      </c>
      <c r="X1840" t="str">
        <v>x</v>
      </c>
      <c r="Y1840">
        <f>D1830</f>
        <v>1</v>
      </c>
      <c r="Z1840" t="str">
        <v>=</v>
      </c>
      <c r="AA1840">
        <f>IF(AA1842=0,(D1840*N1840+P1840*R1840)*U1840*Y1840,0)</f>
        <v>0</v>
      </c>
    </row>
    <row r="1841">
      <c r="A1841" t="str">
        <f>A1824</f>
        <v>Sloof</v>
      </c>
      <c r="B1841">
        <f>B1824</f>
        <v>54</v>
      </c>
      <c r="C1841" t="str">
        <v>Tul Bawah Tumpuan</v>
      </c>
      <c r="D1841">
        <f>VLOOKUP(D1824,'Detail Balok'!$C$10:$AU$110,28,FALSE)</f>
        <v>3</v>
      </c>
      <c r="E1841" t="str">
        <v>D</v>
      </c>
      <c r="F1841">
        <f>VLOOKUP(D1824,'Detail Balok'!$C$10:$AU$110,30,FALSE)</f>
        <v>13</v>
      </c>
      <c r="I1841" t="str">
        <v>(</v>
      </c>
      <c r="J1841">
        <f>+J1833</f>
        <v>0.725</v>
      </c>
      <c r="K1841" t="str">
        <v>+</v>
      </c>
      <c r="L1841">
        <f>MAX(VLOOKUP(F1841,N$6:P$15,3,FALSE)/1000,2/3*D1829/1000)+F$16*F1841/1000</f>
        <v>0.156</v>
      </c>
      <c r="M1841" t="str">
        <v>=</v>
      </c>
      <c r="N1841">
        <f>J1841+L1841</f>
        <v>0.881</v>
      </c>
      <c r="O1841" t="str">
        <v>+</v>
      </c>
      <c r="P1841">
        <f>D1841-D1840</f>
        <v>0</v>
      </c>
      <c r="Q1841" t="str">
        <v>x</v>
      </c>
      <c r="R1841">
        <f>IF(P1841&gt;0,$F$18*F1841/1000,0)</f>
        <v>0</v>
      </c>
      <c r="S1841" t="str">
        <v>)</v>
      </c>
      <c r="T1841" t="str">
        <v>x</v>
      </c>
      <c r="U1841">
        <f>0.006165*F1841^2</f>
        <v>1.041885</v>
      </c>
      <c r="X1841" t="str">
        <v>x</v>
      </c>
      <c r="Y1841">
        <f>D1830</f>
        <v>1</v>
      </c>
      <c r="Z1841" t="str">
        <v>=</v>
      </c>
      <c r="AA1841">
        <f>IF(AA1842=0,(D1841*N1841+P1841*R1841)*U1841*Y1841,0)</f>
        <v>0</v>
      </c>
    </row>
    <row r="1842">
      <c r="A1842" t="str">
        <f>A1824</f>
        <v>Sloof</v>
      </c>
      <c r="B1842">
        <f>B1824</f>
        <v>54</v>
      </c>
      <c r="D1842">
        <f>IF(AND(D1839=D1840,D1840=D1841,D1839=D1841),D1839,0)</f>
        <v>3</v>
      </c>
      <c r="E1842" t="str">
        <v>D</v>
      </c>
      <c r="F1842">
        <f>IF(AND(F1839=F1840,F1839=F1841,F1840=F1841),F1839,0)</f>
        <v>13</v>
      </c>
      <c r="L1842" t="str">
        <v>Total panjang per balok</v>
      </c>
      <c r="M1842" t="str">
        <v>=</v>
      </c>
      <c r="N1842">
        <f>IF(AND(D1839=D1840,D1839=D1841,D1840=D1841,F1839=F1840,F1839=F1841,F1840=F1841),SUM(N1839:N1841),0)</f>
        <v>3.2119999999999997</v>
      </c>
      <c r="O1842" t="str">
        <v>+</v>
      </c>
      <c r="P1842">
        <f>IF(N1842&gt;12,ROUNDDOWN(N1842/12,0),0)</f>
        <v>0</v>
      </c>
      <c r="Q1842" t="str">
        <v>x</v>
      </c>
      <c r="R1842">
        <f>IF(P1842&gt;0,MAX(VLOOKUP(F1842,$D$6:$G$15,3,FALSE),600),0)/1000</f>
        <v>0</v>
      </c>
      <c r="T1842" t="str">
        <v>x</v>
      </c>
      <c r="U1842">
        <f>U1841</f>
        <v>1.041885</v>
      </c>
      <c r="V1842" t="str">
        <v>x</v>
      </c>
      <c r="W1842">
        <f>D1842</f>
        <v>3</v>
      </c>
      <c r="X1842" t="str">
        <v>x</v>
      </c>
      <c r="Y1842">
        <f>Y1841</f>
        <v>1</v>
      </c>
      <c r="Z1842" t="str">
        <v>=</v>
      </c>
      <c r="AA1842">
        <f>(N1842+P1842*R1842/1000)*U1842*W1842*Y1842</f>
        <v>10.039603859999998</v>
      </c>
    </row>
    <row r="1844">
      <c r="A1844" t="str">
        <f>A1824</f>
        <v>Sloof</v>
      </c>
      <c r="B1844">
        <f>B1824</f>
        <v>54</v>
      </c>
      <c r="C1844" t="str">
        <v>Sengkang Tumpuan</v>
      </c>
      <c r="D1844">
        <f>VLOOKUP(D1824,'Detail Balok'!$C$10:$AU$110,31,FALSE)</f>
        <v>0</v>
      </c>
      <c r="E1844" t="str">
        <v>D</v>
      </c>
      <c r="F1844">
        <f>VLOOKUP(D1824,'Detail Balok'!$C$10:$AU$110,33,FALSE)</f>
        <v>8</v>
      </c>
      <c r="G1844" t="str">
        <v>-</v>
      </c>
      <c r="H1844">
        <f>VLOOKUP(D1824,'Detail Balok'!$C$10:$AU$110,35,FALSE)</f>
        <v>200</v>
      </c>
      <c r="J1844">
        <f>(IF(D1844=0,(2*(D1825+G1825))-(F$5*8),IF(D1844=3,(2*(D1825+G1825))-(F$5*8)+(G1825-2*F$5),IF(D1844=4,(2*(D1825+G1825))-(F$5*8)+2*(G1825-2*F$5)))))/1000</f>
        <v>0.98</v>
      </c>
      <c r="K1844" t="str">
        <v>+</v>
      </c>
      <c r="L1844">
        <f>IF(D1844=0,2*MAX(6*F1844,75),(D1844-1)*2*MAX(6*F1844,75))/1000</f>
        <v>0.15</v>
      </c>
      <c r="M1844" t="str">
        <v>=</v>
      </c>
      <c r="N1844">
        <f>J1844+L1844</f>
        <v>1.13</v>
      </c>
      <c r="T1844" t="str">
        <v>x</v>
      </c>
      <c r="U1844">
        <f>0.006165*F1844^2</f>
        <v>0.39456</v>
      </c>
      <c r="V1844" t="str">
        <v>x</v>
      </c>
      <c r="W1844">
        <f>IF(D1827&gt;4*G1825,ROUND(MAX(D1827/4,2*G1825)/H1844,0)+1,ROUND(D1827/H1844,0)+1)</f>
        <v>6</v>
      </c>
      <c r="X1844" t="str">
        <v>x</v>
      </c>
      <c r="Y1844">
        <f>D1830</f>
        <v>1</v>
      </c>
      <c r="Z1844" t="str">
        <v>=</v>
      </c>
      <c r="AA1844">
        <f>N1844*U1844*W1844*Y1844</f>
        <v>2.6751168</v>
      </c>
    </row>
    <row r="1845">
      <c r="A1845" t="str">
        <f>A1824</f>
        <v>Sloof</v>
      </c>
      <c r="B1845">
        <f>B1824</f>
        <v>54</v>
      </c>
      <c r="C1845" t="str">
        <v>Sengkang Lapangan</v>
      </c>
      <c r="D1845">
        <f>VLOOKUP(D1824,'Detail Balok'!$C$10:$AU$110,36,FALSE)</f>
        <v>0</v>
      </c>
      <c r="E1845" t="str">
        <v>D</v>
      </c>
      <c r="F1845">
        <f>VLOOKUP(D1824,'Detail Balok'!$C$10:$AU$110,38,FALSE)</f>
        <v>8</v>
      </c>
      <c r="G1845" t="str">
        <v>-</v>
      </c>
      <c r="H1845">
        <f>VLOOKUP(D1824,'Detail Balok'!$C$10:$AU$110,40,FALSE)</f>
        <v>200</v>
      </c>
      <c r="J1845">
        <f>(IF(D1845=0,(2*(D1825+G1825))-(F$5*8),IF(D1845=3,(2*(D1825+G1825))-(F$5*8)+(G1825-2*F$5),IF(D1845=4,(2*(D1825+G1825))-(F$5*8)+2*(G1825-2*F$5)))))/1000</f>
        <v>0.98</v>
      </c>
      <c r="K1845" t="str">
        <v>+</v>
      </c>
      <c r="L1845">
        <f>IF(D1845=0,2*MAX(6*F1845,75),(D1845-1)*2*MAX(6*F1845,75))/1000</f>
        <v>0.15</v>
      </c>
      <c r="M1845" t="str">
        <v>=</v>
      </c>
      <c r="N1845">
        <f>J1845+L1845</f>
        <v>1.13</v>
      </c>
      <c r="T1845" t="str">
        <v>x</v>
      </c>
      <c r="U1845">
        <f>0.006165*F1845^2</f>
        <v>0.39456</v>
      </c>
      <c r="V1845" t="str">
        <v>x</v>
      </c>
      <c r="W1845">
        <f>IF(D1827-MAX(D1827/4,2*G1825)*2&gt;0,ROUND((D1827-MAX(D1827/4,2*G1825)*2)/H1845,0),0)</f>
        <v>6</v>
      </c>
      <c r="X1845" t="str">
        <v>x</v>
      </c>
      <c r="Y1845">
        <f>D1830</f>
        <v>1</v>
      </c>
      <c r="Z1845" t="str">
        <v>=</v>
      </c>
      <c r="AA1845">
        <f>N1845*U1845*W1845*Y1845</f>
        <v>2.6751168</v>
      </c>
    </row>
    <row r="1846">
      <c r="A1846" t="str">
        <f>A1824</f>
        <v>Sloof</v>
      </c>
      <c r="B1846">
        <f>B1824</f>
        <v>54</v>
      </c>
      <c r="C1846" t="str">
        <v>Sengkang Tumpuan</v>
      </c>
      <c r="D1846">
        <f>VLOOKUP(D1824,'Detail Balok'!$C$10:$AU$110,41,FALSE)</f>
        <v>0</v>
      </c>
      <c r="E1846" t="str">
        <v>D</v>
      </c>
      <c r="F1846">
        <f>VLOOKUP(D1824,'Detail Balok'!$C$10:$AU$110,43,FALSE)</f>
        <v>8</v>
      </c>
      <c r="G1846" t="str">
        <v>-</v>
      </c>
      <c r="H1846">
        <f>VLOOKUP(D1824,'Detail Balok'!$C$10:$AU$110,45,FALSE)</f>
        <v>200</v>
      </c>
      <c r="J1846">
        <f>(IF(D1846=0,(2*(D1825+G1825))-(F$5*8),IF(D1846=3,(2*(D1825+G1825))-(F$5*8)+(G1825-2*F$5),IF(D1846=4,(2*(D1825+G1825))-(F$5*8)+2*(G1825-2*F$5)))))/1000</f>
        <v>0.98</v>
      </c>
      <c r="K1846" t="str">
        <v>+</v>
      </c>
      <c r="L1846">
        <f>IF(D1846=0,2*MAX(6*F1846,75),(D1846-1)*2*MAX(6*F1846,75))/1000</f>
        <v>0.15</v>
      </c>
      <c r="M1846" t="str">
        <v>=</v>
      </c>
      <c r="N1846">
        <f>J1846+L1846</f>
        <v>1.13</v>
      </c>
      <c r="T1846" t="str">
        <v>x</v>
      </c>
      <c r="U1846">
        <f>0.006165*F1846^2</f>
        <v>0.39456</v>
      </c>
      <c r="V1846" t="str">
        <v>x</v>
      </c>
      <c r="W1846">
        <f>IF(D1827&gt;4*G1825,ROUND(MAX(D1827/4,2*G1825)/H1846,0)+1,0)</f>
        <v>6</v>
      </c>
      <c r="X1846" t="str">
        <v>x</v>
      </c>
      <c r="Y1846">
        <f>D1830</f>
        <v>1</v>
      </c>
      <c r="Z1846" t="str">
        <v>=</v>
      </c>
      <c r="AA1846">
        <f>N1846*U1846*W1846*Y1846</f>
        <v>2.6751168</v>
      </c>
    </row>
    <row r="1848">
      <c r="A1848" t="str">
        <f>A1824</f>
        <v>Sloof</v>
      </c>
      <c r="B1848">
        <f>B1824</f>
        <v>54</v>
      </c>
      <c r="C1848" t="str">
        <v>Kait Horizontal Tump.</v>
      </c>
      <c r="D1848">
        <f>VLOOKUP(D1824,'Detail Balok'!$C$10:$BJ$110,46,FALSE)</f>
        <v>0</v>
      </c>
      <c r="E1848" t="str">
        <v>D</v>
      </c>
      <c r="F1848">
        <f>VLOOKUP(D1824,'Detail Balok'!$C$10:$BJ$110,48,FALSE)</f>
        <v>0</v>
      </c>
      <c r="G1848" t="str">
        <v>-</v>
      </c>
      <c r="H1848">
        <f>VLOOKUP(D1824,'Detail Balok'!$C$10:$BJ$110,50,FALSE)</f>
        <v>100</v>
      </c>
      <c r="J1848">
        <f>(D1825-2*F$5)/1000</f>
        <v>0.12</v>
      </c>
      <c r="K1848" t="str">
        <v>+</v>
      </c>
      <c r="L1848">
        <f>IF(D1848=0,2*MAX(6*F1848,75),(D1848-1)*2*MAX(6*F1848,75))/1000</f>
        <v>0.15</v>
      </c>
      <c r="M1848" t="str">
        <v>=</v>
      </c>
      <c r="N1848">
        <f>J1848+L1848</f>
        <v>0.27</v>
      </c>
      <c r="T1848" t="str">
        <v>x</v>
      </c>
      <c r="U1848">
        <f>0.006165*F1848^2</f>
        <v>0</v>
      </c>
      <c r="V1848" t="str">
        <v>x</v>
      </c>
      <c r="W1848">
        <f>W1844</f>
        <v>6</v>
      </c>
      <c r="X1848" t="str">
        <v>x</v>
      </c>
      <c r="Y1848">
        <f>D1834</f>
        <v>3</v>
      </c>
      <c r="Z1848" t="str">
        <v>=</v>
      </c>
      <c r="AA1848">
        <f>N1848*U1848*W1848*Y1848</f>
        <v>0</v>
      </c>
    </row>
    <row r="1849">
      <c r="A1849" t="str">
        <f>A1824</f>
        <v>Sloof</v>
      </c>
      <c r="B1849">
        <f>B1824</f>
        <v>54</v>
      </c>
      <c r="C1849" t="str">
        <v>Kait Horizontal Lap.</v>
      </c>
      <c r="D1849">
        <f>VLOOKUP(D1824,'Detail Balok'!$C$10:$BJ$110,51,FALSE)</f>
        <v>0</v>
      </c>
      <c r="E1849" t="str">
        <v>D</v>
      </c>
      <c r="F1849">
        <f>VLOOKUP(D1824,'Detail Balok'!$C$10:$BJ$110,53,FALSE)</f>
        <v>0</v>
      </c>
      <c r="G1849" t="str">
        <v>-</v>
      </c>
      <c r="H1849">
        <f>VLOOKUP(D1824,'Detail Balok'!$C$10:$BJ$110,55,FALSE)</f>
        <v>100</v>
      </c>
      <c r="J1849">
        <f>(D1825-2*F$5)/1000</f>
        <v>0.12</v>
      </c>
      <c r="K1849" t="str">
        <v>+</v>
      </c>
      <c r="L1849">
        <f>IF(D1849=0,2*MAX(6*F1849,75),(D1849-1)*2*MAX(6*F1849,75))/1000</f>
        <v>0.15</v>
      </c>
      <c r="M1849" t="str">
        <v>=</v>
      </c>
      <c r="N1849">
        <f>J1849+L1849</f>
        <v>0.27</v>
      </c>
      <c r="T1849" t="str">
        <v>x</v>
      </c>
      <c r="U1849">
        <f>0.006165*F1849^2</f>
        <v>0</v>
      </c>
      <c r="V1849" t="str">
        <v>x</v>
      </c>
      <c r="W1849">
        <f>W1845</f>
        <v>6</v>
      </c>
      <c r="X1849" t="str">
        <v>x</v>
      </c>
      <c r="Y1849">
        <f>D1834</f>
        <v>3</v>
      </c>
      <c r="Z1849" t="str">
        <v>=</v>
      </c>
      <c r="AA1849">
        <f>N1849*U1849*W1849*Y1849</f>
        <v>0</v>
      </c>
    </row>
    <row r="1850">
      <c r="A1850" t="str">
        <f>A1824</f>
        <v>Sloof</v>
      </c>
      <c r="B1850">
        <f>B1824</f>
        <v>54</v>
      </c>
      <c r="C1850" t="str">
        <v>Kait Horizontal Tump.</v>
      </c>
      <c r="D1850">
        <f>VLOOKUP(D1824,'Detail Balok'!$C$10:$BJ$110,56,FALSE)</f>
        <v>0</v>
      </c>
      <c r="E1850" t="str">
        <v>D</v>
      </c>
      <c r="F1850">
        <f>VLOOKUP(D1824,'Detail Balok'!$C$10:$BJ$110,58,FALSE)</f>
        <v>0</v>
      </c>
      <c r="G1850" t="str">
        <v>-</v>
      </c>
      <c r="H1850">
        <f>VLOOKUP(D1824,'Detail Balok'!$C$10:$BJ$110,60,FALSE)</f>
        <v>100</v>
      </c>
      <c r="J1850">
        <f>(D1825-2*F$5)/1000</f>
        <v>0.12</v>
      </c>
      <c r="K1850" t="str">
        <v>+</v>
      </c>
      <c r="L1850">
        <f>IF(D1850=0,2*MAX(6*F1850,75),(D1850-1)*2*MAX(6*F1850,75))/1000</f>
        <v>0.15</v>
      </c>
      <c r="M1850" t="str">
        <v>=</v>
      </c>
      <c r="N1850">
        <f>J1850+L1850</f>
        <v>0.27</v>
      </c>
      <c r="T1850" t="str">
        <v>x</v>
      </c>
      <c r="U1850">
        <f>0.006165*F1850^2</f>
        <v>0</v>
      </c>
      <c r="V1850" t="str">
        <v>x</v>
      </c>
      <c r="W1850">
        <f>W1846</f>
        <v>6</v>
      </c>
      <c r="X1850" t="str">
        <v>x</v>
      </c>
      <c r="Y1850">
        <f>D1834</f>
        <v>3</v>
      </c>
      <c r="Z1850" t="str">
        <v>=</v>
      </c>
      <c r="AA1850">
        <f>N1850*U1850*W1850*Y1850</f>
        <v>0</v>
      </c>
    </row>
    <row r="1854">
      <c r="A1854" t="str">
        <f>A1824</f>
        <v>Sloof</v>
      </c>
      <c r="B1854">
        <f>B1824+1</f>
        <v>55</v>
      </c>
      <c r="C1854" t="str">
        <f>CONCATENATE(A1854," no. ",B1854)</f>
        <v>Sloof no. 55</v>
      </c>
      <c r="D1854" t="str">
        <f>VLOOKUP(C1854,'Data Panjang Balok'!$C$9:$N$424,2,FALSE)</f>
        <v>TBK25-1</v>
      </c>
    </row>
    <row r="1855">
      <c r="C1855" t="str">
        <v>Dimensi</v>
      </c>
      <c r="D1855">
        <f>VLOOKUP(D1854,'Detail Balok'!$C$10:$AU$110,2,FALSE)</f>
        <v>200</v>
      </c>
      <c r="F1855" t="str">
        <v>x</v>
      </c>
      <c r="G1855">
        <f>VLOOKUP(D1854,'Detail Balok'!$C$10:$AU$110,3,FALSE)</f>
        <v>500</v>
      </c>
    </row>
    <row r="1856">
      <c r="C1856" t="str">
        <v>Panjang as ke as</v>
      </c>
      <c r="D1856">
        <f>VLOOKUP(C1854,'Data Panjang Balok'!$C$9:$N$424,4,FALSE)</f>
        <v>2900</v>
      </c>
    </row>
    <row r="1857">
      <c r="C1857" t="str">
        <v>Panjang netto</v>
      </c>
      <c r="D1857">
        <f>VLOOKUP(C1854,'Data Panjang Balok'!$C$9:$N$424,7,FALSE)</f>
        <v>2900</v>
      </c>
    </row>
    <row r="1858">
      <c r="C1858" t="str">
        <v>Kolom / balok kiri</v>
      </c>
      <c r="D1858">
        <f>VLOOKUP(C1854,'Data Panjang Balok'!$C$9:$N$424,9,FALSE)</f>
        <v>0</v>
      </c>
    </row>
    <row r="1859">
      <c r="C1859" t="str">
        <v>Kolom / balok kanan</v>
      </c>
      <c r="D1859">
        <f>VLOOKUP(C1854,'Data Panjang Balok'!$C$9:$N$424,10,FALSE)</f>
        <v>0</v>
      </c>
    </row>
    <row r="1860">
      <c r="C1860" t="str">
        <v>Jumlah</v>
      </c>
      <c r="D1860">
        <f>VLOOKUP(C1854,'Data Panjang Balok'!$C$9:$N$424,3,FALSE)</f>
        <v>1</v>
      </c>
    </row>
    <row r="1861">
      <c r="A1861" t="str">
        <f>A1854</f>
        <v>Sloof</v>
      </c>
      <c r="B1861">
        <f>B1854</f>
        <v>55</v>
      </c>
      <c r="C1861" t="str">
        <v>Tul Atas Tumpuan</v>
      </c>
      <c r="D1861">
        <f>VLOOKUP(D1854,'Detail Balok'!$C$10:$AU$110,4,FALSE)</f>
        <v>4</v>
      </c>
      <c r="E1861" t="str">
        <v>D</v>
      </c>
      <c r="F1861">
        <f>VLOOKUP(D1854,'Detail Balok'!$C$10:$AU$110,6,FALSE)</f>
        <v>16</v>
      </c>
      <c r="I1861" t="str">
        <v>(</v>
      </c>
      <c r="J1861">
        <f>+D1856/4/1000</f>
        <v>0.725</v>
      </c>
      <c r="K1861" t="str">
        <v>+</v>
      </c>
      <c r="L1861">
        <f>MAX(VLOOKUP(F1861,N$6:P$15,3,FALSE)/1000,2/3*D1858/1000)+F$16*F1861/1000</f>
        <v>0.192</v>
      </c>
      <c r="M1861" t="str">
        <v>=</v>
      </c>
      <c r="N1861">
        <f>J1861+L1861</f>
        <v>0.917</v>
      </c>
      <c r="O1861" t="str">
        <v>+</v>
      </c>
      <c r="P1861">
        <f>D1861-D1862</f>
        <v>0</v>
      </c>
      <c r="Q1861" t="str">
        <v>x</v>
      </c>
      <c r="R1861">
        <f>IF(P1861&gt;0,$F$18*F1861/1000,0)</f>
        <v>0</v>
      </c>
      <c r="S1861" t="str">
        <v>)</v>
      </c>
      <c r="T1861" t="str">
        <v>x</v>
      </c>
      <c r="U1861">
        <f>0.006165*F1861^2</f>
        <v>1.57824</v>
      </c>
      <c r="X1861" t="str">
        <v>x</v>
      </c>
      <c r="Y1861">
        <f>D1860</f>
        <v>1</v>
      </c>
      <c r="Z1861" t="str">
        <v>=</v>
      </c>
      <c r="AA1861">
        <f>IF(AA1864=0,(D1861*N1861+P1861*R1861)*U1861*Y1861,0)</f>
        <v>0</v>
      </c>
    </row>
    <row r="1862">
      <c r="A1862" t="str">
        <f>A1854</f>
        <v>Sloof</v>
      </c>
      <c r="B1862">
        <f>B1854</f>
        <v>55</v>
      </c>
      <c r="C1862" t="str">
        <v>Tul Atas Lapangan</v>
      </c>
      <c r="D1862">
        <f>VLOOKUP(D1854,'Detail Balok'!$C$10:$AU$110,7,FALSE)</f>
        <v>4</v>
      </c>
      <c r="E1862" t="str">
        <v>D</v>
      </c>
      <c r="F1862">
        <f>VLOOKUP(D1854,'Detail Balok'!$C$10:$AU$110,9,FALSE)</f>
        <v>16</v>
      </c>
      <c r="I1862" t="str">
        <v>(</v>
      </c>
      <c r="J1862">
        <f>+D1856/2/1000</f>
        <v>1.45</v>
      </c>
      <c r="K1862" t="str">
        <v>+</v>
      </c>
      <c r="M1862" t="str">
        <v>=</v>
      </c>
      <c r="N1862">
        <f>J1862+L1862</f>
        <v>1.45</v>
      </c>
      <c r="O1862" t="str">
        <v>+</v>
      </c>
      <c r="P1862">
        <f>MAX(D1862-D1861,D1862-D1863)</f>
        <v>0</v>
      </c>
      <c r="Q1862" t="str">
        <v>x</v>
      </c>
      <c r="R1862">
        <f>IF(P1862&gt;0,2*(1-2*$F$19-1/2)*D1857/1000,0)</f>
        <v>0</v>
      </c>
      <c r="S1862" t="str">
        <v>)</v>
      </c>
      <c r="T1862" t="str">
        <v>x</v>
      </c>
      <c r="U1862">
        <f>0.006165*F1862^2</f>
        <v>1.57824</v>
      </c>
      <c r="X1862" t="str">
        <v>x</v>
      </c>
      <c r="Y1862">
        <f>D1860</f>
        <v>1</v>
      </c>
      <c r="Z1862" t="str">
        <v>=</v>
      </c>
      <c r="AA1862">
        <f>IF(AA1864=0,(D1862*N1862+P1862*R1862)*U1862*Y1862,0)</f>
        <v>0</v>
      </c>
    </row>
    <row r="1863">
      <c r="A1863" t="str">
        <f>A1854</f>
        <v>Sloof</v>
      </c>
      <c r="B1863">
        <f>B1854</f>
        <v>55</v>
      </c>
      <c r="C1863" t="str">
        <v>Tul Atas Tumpuan</v>
      </c>
      <c r="D1863">
        <f>VLOOKUP(D1854,'Detail Balok'!$C$10:$AU$110,10,FALSE)</f>
        <v>4</v>
      </c>
      <c r="E1863" t="str">
        <v>D</v>
      </c>
      <c r="F1863">
        <f>VLOOKUP(D1854,'Detail Balok'!$C$10:$AU$110,12,FALSE)</f>
        <v>16</v>
      </c>
      <c r="I1863" t="str">
        <v>(</v>
      </c>
      <c r="J1863">
        <f>+D1856/4/1000</f>
        <v>0.725</v>
      </c>
      <c r="K1863" t="str">
        <v>+</v>
      </c>
      <c r="L1863">
        <f>MAX(VLOOKUP(F1863,N$6:P$15,3,FALSE)/1000,2/3*D1858/1000)+F$16*F1863/1000</f>
        <v>0.192</v>
      </c>
      <c r="M1863" t="str">
        <v>=</v>
      </c>
      <c r="N1863">
        <f>J1863+L1863</f>
        <v>0.917</v>
      </c>
      <c r="O1863" t="str">
        <v>+</v>
      </c>
      <c r="P1863">
        <f>D1863-D1862</f>
        <v>0</v>
      </c>
      <c r="Q1863" t="str">
        <v>x</v>
      </c>
      <c r="R1863">
        <f>IF(P1863&gt;0,$F$18*F1863/1000,0)</f>
        <v>0</v>
      </c>
      <c r="S1863" t="str">
        <v>)</v>
      </c>
      <c r="T1863" t="str">
        <v>x</v>
      </c>
      <c r="U1863">
        <f>0.006165*F1863^2</f>
        <v>1.57824</v>
      </c>
      <c r="X1863" t="str">
        <v>x</v>
      </c>
      <c r="Y1863">
        <f>D1860</f>
        <v>1</v>
      </c>
      <c r="Z1863" t="str">
        <v>=</v>
      </c>
      <c r="AA1863">
        <f>IF(AA1864=0,(D1863*N1863+P1863*R1863)*U1863*Y1863,0)</f>
        <v>0</v>
      </c>
    </row>
    <row r="1864">
      <c r="A1864" t="str">
        <f>A1854</f>
        <v>Sloof</v>
      </c>
      <c r="B1864">
        <f>B1854</f>
        <v>55</v>
      </c>
      <c r="D1864">
        <f>IF(AND(D1861=D1862,D1862=D1863,D1861=D1863),D1861,0)</f>
        <v>4</v>
      </c>
      <c r="E1864" t="str">
        <v>D</v>
      </c>
      <c r="F1864">
        <f>IF(AND(F1861=F1862,F1861=F1863,F1862=F1863),F1861,0)</f>
        <v>16</v>
      </c>
      <c r="L1864" t="str">
        <v>Total panjang per balok</v>
      </c>
      <c r="M1864" t="str">
        <v>=</v>
      </c>
      <c r="N1864">
        <f>IF(AND(D1861=D1862,D1861=D1863,D1862=D1863,F1861=F1862,F1861=F1863,F1862=F1863),SUM(N1861:N1863),0)</f>
        <v>3.284</v>
      </c>
      <c r="O1864" t="str">
        <v>+</v>
      </c>
      <c r="P1864">
        <f>IF(N1864&gt;12,ROUNDDOWN(N1864/12,0),0)</f>
        <v>0</v>
      </c>
      <c r="Q1864" t="str">
        <v>x</v>
      </c>
      <c r="R1864">
        <f>IF(P1864&gt;0,MAX(VLOOKUP(F1864,$D$6:$G$15,3,FALSE),600),0)/1000</f>
        <v>0</v>
      </c>
      <c r="T1864" t="str">
        <v>x</v>
      </c>
      <c r="U1864">
        <f>U1863</f>
        <v>1.57824</v>
      </c>
      <c r="V1864" t="str">
        <v>x</v>
      </c>
      <c r="W1864">
        <f>D1864</f>
        <v>4</v>
      </c>
      <c r="X1864" t="str">
        <v>x</v>
      </c>
      <c r="Y1864">
        <f>Y1863</f>
        <v>1</v>
      </c>
      <c r="Z1864" t="str">
        <v>=</v>
      </c>
      <c r="AA1864">
        <f>(N1864+P1864*R1864/1000)*U1864*W1864*Y1864</f>
        <v>20.73176064</v>
      </c>
    </row>
    <row r="1866">
      <c r="A1866" t="str">
        <f>A1854</f>
        <v>Sloof</v>
      </c>
      <c r="B1866">
        <f>B1854</f>
        <v>55</v>
      </c>
      <c r="C1866" t="str">
        <v>Tul Peminggang</v>
      </c>
      <c r="D1866">
        <f>VLOOKUP(D1854,'Detail Balok'!$C$10:$AU$110,13,FALSE)</f>
        <v>2</v>
      </c>
      <c r="E1866" t="str">
        <v>D</v>
      </c>
      <c r="F1866">
        <f>VLOOKUP(D1854,'Detail Balok'!$C$10:$AU$110,15,FALSE)</f>
        <v>10</v>
      </c>
      <c r="J1866">
        <f>+D1856/1000</f>
        <v>2.9</v>
      </c>
      <c r="K1866" t="str">
        <v>+</v>
      </c>
      <c r="L1866">
        <f>2*$F$16*F1866/1000</f>
        <v>0.24</v>
      </c>
      <c r="M1866" t="str">
        <v>=</v>
      </c>
      <c r="N1866">
        <f>J1866+L1866</f>
        <v>3.1399999999999997</v>
      </c>
      <c r="O1866" t="str">
        <v>+</v>
      </c>
      <c r="P1866">
        <f>IF(N1866&gt;12,ROUNDDOWN(N1866/12,0),0)</f>
        <v>0</v>
      </c>
      <c r="Q1866" t="str">
        <v>x</v>
      </c>
      <c r="R1866">
        <f>IF(P1866&gt;0,MAX(VLOOKUP(F1866,$D$6:$G$15,3,FALSE),600),0)/1000</f>
        <v>0</v>
      </c>
      <c r="T1866" t="str">
        <v>x</v>
      </c>
      <c r="U1866">
        <f>0.006165*F1866^2</f>
        <v>0.6165</v>
      </c>
      <c r="V1866" t="str">
        <v>x</v>
      </c>
      <c r="W1866">
        <f>+D1866</f>
        <v>2</v>
      </c>
      <c r="X1866" t="str">
        <v>x</v>
      </c>
      <c r="Y1866">
        <f>D1860</f>
        <v>1</v>
      </c>
      <c r="Z1866" t="str">
        <v>=</v>
      </c>
      <c r="AA1866">
        <f>(N1866+P1866*R1866/1000)*U1866*W1866*Y1866</f>
        <v>3.87162</v>
      </c>
    </row>
    <row r="1869">
      <c r="A1869" t="str">
        <f>A1854</f>
        <v>Sloof</v>
      </c>
      <c r="B1869">
        <f>B1854</f>
        <v>55</v>
      </c>
      <c r="C1869" t="str">
        <v>Tul Bawah Tumpuan</v>
      </c>
      <c r="D1869">
        <f>VLOOKUP(D1854,'Detail Balok'!$C$10:$AU$110,22,FALSE)</f>
        <v>3</v>
      </c>
      <c r="E1869" t="str">
        <v>D</v>
      </c>
      <c r="F1869">
        <f>VLOOKUP(D1854,'Detail Balok'!$C$10:$AU$110,24,FALSE)</f>
        <v>16</v>
      </c>
      <c r="I1869" t="str">
        <v>(</v>
      </c>
      <c r="J1869">
        <f>+J1861</f>
        <v>0.725</v>
      </c>
      <c r="K1869" t="str">
        <v>+</v>
      </c>
      <c r="L1869">
        <f>MAX(VLOOKUP(F1869,N$6:P$15,3,FALSE)/1000,2/3*D1859/1000)+F$16*F1869/1000</f>
        <v>0.192</v>
      </c>
      <c r="M1869" t="str">
        <v>=</v>
      </c>
      <c r="N1869">
        <f>J1869+L1869</f>
        <v>0.917</v>
      </c>
      <c r="O1869" t="str">
        <v>+</v>
      </c>
      <c r="P1869">
        <f>D1869-D1870</f>
        <v>0</v>
      </c>
      <c r="Q1869" t="str">
        <v>x</v>
      </c>
      <c r="R1869">
        <f>IF(P1869&gt;0,$F$18*F1869/1000,0)</f>
        <v>0</v>
      </c>
      <c r="S1869" t="str">
        <v>)</v>
      </c>
      <c r="T1869" t="str">
        <v>x</v>
      </c>
      <c r="U1869">
        <f>0.006165*F1869^2</f>
        <v>1.57824</v>
      </c>
      <c r="X1869" t="str">
        <v>x</v>
      </c>
      <c r="Y1869">
        <f>D1860</f>
        <v>1</v>
      </c>
      <c r="Z1869" t="str">
        <v>=</v>
      </c>
      <c r="AA1869">
        <f>IF(AA1872=0,(D1869*N1869+P1869*R1869)*U1869*Y1869,0)</f>
        <v>0</v>
      </c>
    </row>
    <row r="1870">
      <c r="A1870" t="str">
        <f>A1854</f>
        <v>Sloof</v>
      </c>
      <c r="B1870">
        <f>B1854</f>
        <v>55</v>
      </c>
      <c r="C1870" t="str">
        <v>Tul Bawah Lapangan</v>
      </c>
      <c r="D1870">
        <f>VLOOKUP(D1854,'Detail Balok'!$C$10:$AU$110,25,FALSE)</f>
        <v>3</v>
      </c>
      <c r="E1870" t="str">
        <v>D</v>
      </c>
      <c r="F1870">
        <f>VLOOKUP(D1854,'Detail Balok'!$C$10:$AU$110,27,FALSE)</f>
        <v>16</v>
      </c>
      <c r="I1870" t="str">
        <v>(</v>
      </c>
      <c r="J1870">
        <f>+J1862</f>
        <v>1.45</v>
      </c>
      <c r="K1870" t="str">
        <v>+</v>
      </c>
      <c r="M1870" t="str">
        <v>=</v>
      </c>
      <c r="N1870">
        <f>J1870+L1870</f>
        <v>1.45</v>
      </c>
      <c r="O1870" t="str">
        <v>+</v>
      </c>
      <c r="P1870">
        <f>MAX(D1870-D1869,D1870-D1871)</f>
        <v>0</v>
      </c>
      <c r="Q1870" t="str">
        <v>x</v>
      </c>
      <c r="R1870">
        <f>IF(P1870&gt;0,2*(1-2*$F$19-1/2)*D1857/1000,0)</f>
        <v>0</v>
      </c>
      <c r="S1870" t="str">
        <v>)</v>
      </c>
      <c r="T1870" t="str">
        <v>x</v>
      </c>
      <c r="U1870">
        <f>0.006165*F1870^2</f>
        <v>1.57824</v>
      </c>
      <c r="X1870" t="str">
        <v>x</v>
      </c>
      <c r="Y1870">
        <f>D1860</f>
        <v>1</v>
      </c>
      <c r="Z1870" t="str">
        <v>=</v>
      </c>
      <c r="AA1870">
        <f>IF(AA1872=0,(D1870*N1870+P1870*R1870)*U1870*Y1870,0)</f>
        <v>0</v>
      </c>
    </row>
    <row r="1871">
      <c r="A1871" t="str">
        <f>A1854</f>
        <v>Sloof</v>
      </c>
      <c r="B1871">
        <f>B1854</f>
        <v>55</v>
      </c>
      <c r="C1871" t="str">
        <v>Tul Bawah Tumpuan</v>
      </c>
      <c r="D1871">
        <f>VLOOKUP(D1854,'Detail Balok'!$C$10:$AU$110,28,FALSE)</f>
        <v>3</v>
      </c>
      <c r="E1871" t="str">
        <v>D</v>
      </c>
      <c r="F1871">
        <f>VLOOKUP(D1854,'Detail Balok'!$C$10:$AU$110,30,FALSE)</f>
        <v>16</v>
      </c>
      <c r="I1871" t="str">
        <v>(</v>
      </c>
      <c r="J1871">
        <f>+J1863</f>
        <v>0.725</v>
      </c>
      <c r="K1871" t="str">
        <v>+</v>
      </c>
      <c r="L1871">
        <f>MAX(VLOOKUP(F1871,N$6:P$15,3,FALSE)/1000,2/3*D1859/1000)+F$16*F1871/1000</f>
        <v>0.192</v>
      </c>
      <c r="M1871" t="str">
        <v>=</v>
      </c>
      <c r="N1871">
        <f>J1871+L1871</f>
        <v>0.917</v>
      </c>
      <c r="O1871" t="str">
        <v>+</v>
      </c>
      <c r="P1871">
        <f>D1871-D1870</f>
        <v>0</v>
      </c>
      <c r="Q1871" t="str">
        <v>x</v>
      </c>
      <c r="R1871">
        <f>IF(P1871&gt;0,$F$18*F1871/1000,0)</f>
        <v>0</v>
      </c>
      <c r="S1871" t="str">
        <v>)</v>
      </c>
      <c r="T1871" t="str">
        <v>x</v>
      </c>
      <c r="U1871">
        <f>0.006165*F1871^2</f>
        <v>1.57824</v>
      </c>
      <c r="X1871" t="str">
        <v>x</v>
      </c>
      <c r="Y1871">
        <f>D1860</f>
        <v>1</v>
      </c>
      <c r="Z1871" t="str">
        <v>=</v>
      </c>
      <c r="AA1871">
        <f>IF(AA1872=0,(D1871*N1871+P1871*R1871)*U1871*Y1871,0)</f>
        <v>0</v>
      </c>
    </row>
    <row r="1872">
      <c r="A1872" t="str">
        <f>A1854</f>
        <v>Sloof</v>
      </c>
      <c r="B1872">
        <f>B1854</f>
        <v>55</v>
      </c>
      <c r="D1872">
        <f>IF(AND(D1869=D1870,D1870=D1871,D1869=D1871),D1869,0)</f>
        <v>3</v>
      </c>
      <c r="E1872" t="str">
        <v>D</v>
      </c>
      <c r="F1872">
        <f>IF(AND(F1869=F1870,F1869=F1871,F1870=F1871),F1869,0)</f>
        <v>16</v>
      </c>
      <c r="L1872" t="str">
        <v>Total panjang per balok</v>
      </c>
      <c r="M1872" t="str">
        <v>=</v>
      </c>
      <c r="N1872">
        <f>IF(AND(D1869=D1870,D1869=D1871,D1870=D1871,F1869=F1870,F1869=F1871,F1870=F1871),SUM(N1869:N1871),0)</f>
        <v>3.284</v>
      </c>
      <c r="O1872" t="str">
        <v>+</v>
      </c>
      <c r="P1872">
        <f>IF(N1872&gt;12,ROUNDDOWN(N1872/12,0),0)</f>
        <v>0</v>
      </c>
      <c r="Q1872" t="str">
        <v>x</v>
      </c>
      <c r="R1872">
        <f>IF(P1872&gt;0,MAX(VLOOKUP(F1872,$D$6:$G$15,3,FALSE),600),0)/1000</f>
        <v>0</v>
      </c>
      <c r="T1872" t="str">
        <v>x</v>
      </c>
      <c r="U1872">
        <f>U1871</f>
        <v>1.57824</v>
      </c>
      <c r="V1872" t="str">
        <v>x</v>
      </c>
      <c r="W1872">
        <f>D1872</f>
        <v>3</v>
      </c>
      <c r="X1872" t="str">
        <v>x</v>
      </c>
      <c r="Y1872">
        <f>Y1871</f>
        <v>1</v>
      </c>
      <c r="Z1872" t="str">
        <v>=</v>
      </c>
      <c r="AA1872">
        <f>(N1872+P1872*R1872/1000)*U1872*W1872*Y1872</f>
        <v>15.54882048</v>
      </c>
    </row>
    <row r="1874">
      <c r="A1874" t="str">
        <f>A1854</f>
        <v>Sloof</v>
      </c>
      <c r="B1874">
        <f>B1854</f>
        <v>55</v>
      </c>
      <c r="C1874" t="str">
        <v>Sengkang Tumpuan</v>
      </c>
      <c r="D1874">
        <f>VLOOKUP(D1854,'Detail Balok'!$C$10:$AU$110,31,FALSE)</f>
        <v>0</v>
      </c>
      <c r="E1874" t="str">
        <v>D</v>
      </c>
      <c r="F1874">
        <f>VLOOKUP(D1854,'Detail Balok'!$C$10:$AU$110,33,FALSE)</f>
        <v>10</v>
      </c>
      <c r="G1874" t="str">
        <v>-</v>
      </c>
      <c r="H1874">
        <f>VLOOKUP(D1854,'Detail Balok'!$C$10:$AU$110,35,FALSE)</f>
        <v>150</v>
      </c>
      <c r="J1874">
        <f>(IF(D1874=0,(2*(D1855+G1855))-(F$5*8),IF(D1874=3,(2*(D1855+G1855))-(F$5*8)+(G1855-2*F$5),IF(D1874=4,(2*(D1855+G1855))-(F$5*8)+2*(G1855-2*F$5)))))/1000</f>
        <v>1.08</v>
      </c>
      <c r="K1874" t="str">
        <v>+</v>
      </c>
      <c r="L1874">
        <f>IF(D1874=0,2*MAX(6*F1874,75),(D1874-1)*2*MAX(6*F1874,75))/1000</f>
        <v>0.15</v>
      </c>
      <c r="M1874" t="str">
        <v>=</v>
      </c>
      <c r="N1874">
        <f>J1874+L1874</f>
        <v>1.23</v>
      </c>
      <c r="T1874" t="str">
        <v>x</v>
      </c>
      <c r="U1874">
        <f>0.006165*F1874^2</f>
        <v>0.6165</v>
      </c>
      <c r="V1874" t="str">
        <v>x</v>
      </c>
      <c r="W1874">
        <f>IF(D1857&gt;4*G1855,ROUND(MAX(D1857/4,2*G1855)/H1874,0)+1,ROUND(D1857/H1874,0)+1)</f>
        <v>8</v>
      </c>
      <c r="X1874" t="str">
        <v>x</v>
      </c>
      <c r="Y1874">
        <f>D1860</f>
        <v>1</v>
      </c>
      <c r="Z1874" t="str">
        <v>=</v>
      </c>
      <c r="AA1874">
        <f>N1874*U1874*W1874*Y1874</f>
        <v>6.06636</v>
      </c>
    </row>
    <row r="1875">
      <c r="A1875" t="str">
        <f>A1854</f>
        <v>Sloof</v>
      </c>
      <c r="B1875">
        <f>B1854</f>
        <v>55</v>
      </c>
      <c r="C1875" t="str">
        <v>Sengkang Lapangan</v>
      </c>
      <c r="D1875">
        <f>VLOOKUP(D1854,'Detail Balok'!$C$10:$AU$110,36,FALSE)</f>
        <v>0</v>
      </c>
      <c r="E1875" t="str">
        <v>D</v>
      </c>
      <c r="F1875">
        <f>VLOOKUP(D1854,'Detail Balok'!$C$10:$AU$110,38,FALSE)</f>
        <v>10</v>
      </c>
      <c r="G1875" t="str">
        <v>-</v>
      </c>
      <c r="H1875">
        <f>VLOOKUP(D1854,'Detail Balok'!$C$10:$AU$110,40,FALSE)</f>
        <v>150</v>
      </c>
      <c r="J1875">
        <f>(IF(D1875=0,(2*(D1855+G1855))-(F$5*8),IF(D1875=3,(2*(D1855+G1855))-(F$5*8)+(G1855-2*F$5),IF(D1875=4,(2*(D1855+G1855))-(F$5*8)+2*(G1855-2*F$5)))))/1000</f>
        <v>1.08</v>
      </c>
      <c r="K1875" t="str">
        <v>+</v>
      </c>
      <c r="L1875">
        <f>IF(D1875=0,2*MAX(6*F1875,75),(D1875-1)*2*MAX(6*F1875,75))/1000</f>
        <v>0.15</v>
      </c>
      <c r="M1875" t="str">
        <v>=</v>
      </c>
      <c r="N1875">
        <f>J1875+L1875</f>
        <v>1.23</v>
      </c>
      <c r="T1875" t="str">
        <v>x</v>
      </c>
      <c r="U1875">
        <f>0.006165*F1875^2</f>
        <v>0.6165</v>
      </c>
      <c r="V1875" t="str">
        <v>x</v>
      </c>
      <c r="W1875">
        <f>IF(D1857-MAX(D1857/4,2*G1855)*2&gt;0,ROUND((D1857-MAX(D1857/4,2*G1855)*2)/H1875,0),0)</f>
        <v>6</v>
      </c>
      <c r="X1875" t="str">
        <v>x</v>
      </c>
      <c r="Y1875">
        <f>D1860</f>
        <v>1</v>
      </c>
      <c r="Z1875" t="str">
        <v>=</v>
      </c>
      <c r="AA1875">
        <f>N1875*U1875*W1875*Y1875</f>
        <v>4.5497700000000005</v>
      </c>
    </row>
    <row r="1876">
      <c r="A1876" t="str">
        <f>A1854</f>
        <v>Sloof</v>
      </c>
      <c r="B1876">
        <f>B1854</f>
        <v>55</v>
      </c>
      <c r="C1876" t="str">
        <v>Sengkang Tumpuan</v>
      </c>
      <c r="D1876">
        <f>VLOOKUP(D1854,'Detail Balok'!$C$10:$AU$110,41,FALSE)</f>
        <v>0</v>
      </c>
      <c r="E1876" t="str">
        <v>D</v>
      </c>
      <c r="F1876">
        <f>VLOOKUP(D1854,'Detail Balok'!$C$10:$AU$110,43,FALSE)</f>
        <v>10</v>
      </c>
      <c r="G1876" t="str">
        <v>-</v>
      </c>
      <c r="H1876">
        <f>VLOOKUP(D1854,'Detail Balok'!$C$10:$AU$110,45,FALSE)</f>
        <v>150</v>
      </c>
      <c r="J1876">
        <f>(IF(D1876=0,(2*(D1855+G1855))-(F$5*8),IF(D1876=3,(2*(D1855+G1855))-(F$5*8)+(G1855-2*F$5),IF(D1876=4,(2*(D1855+G1855))-(F$5*8)+2*(G1855-2*F$5)))))/1000</f>
        <v>1.08</v>
      </c>
      <c r="K1876" t="str">
        <v>+</v>
      </c>
      <c r="L1876">
        <f>IF(D1876=0,2*MAX(6*F1876,75),(D1876-1)*2*MAX(6*F1876,75))/1000</f>
        <v>0.15</v>
      </c>
      <c r="M1876" t="str">
        <v>=</v>
      </c>
      <c r="N1876">
        <f>J1876+L1876</f>
        <v>1.23</v>
      </c>
      <c r="T1876" t="str">
        <v>x</v>
      </c>
      <c r="U1876">
        <f>0.006165*F1876^2</f>
        <v>0.6165</v>
      </c>
      <c r="V1876" t="str">
        <v>x</v>
      </c>
      <c r="W1876">
        <f>IF(D1857&gt;4*G1855,ROUND(MAX(D1857/4,2*G1855)/H1876,0)+1,0)</f>
        <v>8</v>
      </c>
      <c r="X1876" t="str">
        <v>x</v>
      </c>
      <c r="Y1876">
        <f>D1860</f>
        <v>1</v>
      </c>
      <c r="Z1876" t="str">
        <v>=</v>
      </c>
      <c r="AA1876">
        <f>N1876*U1876*W1876*Y1876</f>
        <v>6.06636</v>
      </c>
    </row>
    <row r="1878">
      <c r="A1878" t="str">
        <f>A1854</f>
        <v>Sloof</v>
      </c>
      <c r="B1878">
        <f>B1854</f>
        <v>55</v>
      </c>
      <c r="C1878" t="str">
        <v>Kait Horizontal Tump.</v>
      </c>
      <c r="D1878">
        <f>VLOOKUP(D1854,'Detail Balok'!$C$10:$BJ$110,46,FALSE)</f>
        <v>0</v>
      </c>
      <c r="E1878" t="str">
        <v>D</v>
      </c>
      <c r="F1878">
        <f>VLOOKUP(D1854,'Detail Balok'!$C$10:$BJ$110,48,FALSE)</f>
        <v>0</v>
      </c>
      <c r="G1878" t="str">
        <v>-</v>
      </c>
      <c r="H1878">
        <f>VLOOKUP(D1854,'Detail Balok'!$C$10:$BJ$110,50,FALSE)</f>
        <v>100</v>
      </c>
      <c r="J1878">
        <f>(D1855-2*F$5)/1000</f>
        <v>0.12</v>
      </c>
      <c r="K1878" t="str">
        <v>+</v>
      </c>
      <c r="L1878">
        <f>IF(D1878=0,2*MAX(6*F1878,75),(D1878-1)*2*MAX(6*F1878,75))/1000</f>
        <v>0.15</v>
      </c>
      <c r="M1878" t="str">
        <v>=</v>
      </c>
      <c r="N1878">
        <f>J1878+L1878</f>
        <v>0.27</v>
      </c>
      <c r="T1878" t="str">
        <v>x</v>
      </c>
      <c r="U1878">
        <f>0.006165*F1878^2</f>
        <v>0</v>
      </c>
      <c r="V1878" t="str">
        <v>x</v>
      </c>
      <c r="W1878">
        <f>W1874</f>
        <v>8</v>
      </c>
      <c r="X1878" t="str">
        <v>x</v>
      </c>
      <c r="Y1878">
        <f>D1864</f>
        <v>4</v>
      </c>
      <c r="Z1878" t="str">
        <v>=</v>
      </c>
      <c r="AA1878">
        <f>N1878*U1878*W1878*Y1878</f>
        <v>0</v>
      </c>
    </row>
    <row r="1879">
      <c r="A1879" t="str">
        <f>A1854</f>
        <v>Sloof</v>
      </c>
      <c r="B1879">
        <f>B1854</f>
        <v>55</v>
      </c>
      <c r="C1879" t="str">
        <v>Kait Horizontal Lap.</v>
      </c>
      <c r="D1879">
        <f>VLOOKUP(D1854,'Detail Balok'!$C$10:$BJ$110,51,FALSE)</f>
        <v>0</v>
      </c>
      <c r="E1879" t="str">
        <v>D</v>
      </c>
      <c r="F1879">
        <f>VLOOKUP(D1854,'Detail Balok'!$C$10:$BJ$110,53,FALSE)</f>
        <v>0</v>
      </c>
      <c r="G1879" t="str">
        <v>-</v>
      </c>
      <c r="H1879">
        <f>VLOOKUP(D1854,'Detail Balok'!$C$10:$BJ$110,55,FALSE)</f>
        <v>100</v>
      </c>
      <c r="J1879">
        <f>(D1855-2*F$5)/1000</f>
        <v>0.12</v>
      </c>
      <c r="K1879" t="str">
        <v>+</v>
      </c>
      <c r="L1879">
        <f>IF(D1879=0,2*MAX(6*F1879,75),(D1879-1)*2*MAX(6*F1879,75))/1000</f>
        <v>0.15</v>
      </c>
      <c r="M1879" t="str">
        <v>=</v>
      </c>
      <c r="N1879">
        <f>J1879+L1879</f>
        <v>0.27</v>
      </c>
      <c r="T1879" t="str">
        <v>x</v>
      </c>
      <c r="U1879">
        <f>0.006165*F1879^2</f>
        <v>0</v>
      </c>
      <c r="V1879" t="str">
        <v>x</v>
      </c>
      <c r="W1879">
        <f>W1875</f>
        <v>6</v>
      </c>
      <c r="X1879" t="str">
        <v>x</v>
      </c>
      <c r="Y1879">
        <f>D1864</f>
        <v>4</v>
      </c>
      <c r="Z1879" t="str">
        <v>=</v>
      </c>
      <c r="AA1879">
        <f>N1879*U1879*W1879*Y1879</f>
        <v>0</v>
      </c>
    </row>
    <row r="1880">
      <c r="A1880" t="str">
        <f>A1854</f>
        <v>Sloof</v>
      </c>
      <c r="B1880">
        <f>B1854</f>
        <v>55</v>
      </c>
      <c r="C1880" t="str">
        <v>Kait Horizontal Tump.</v>
      </c>
      <c r="D1880">
        <f>VLOOKUP(D1854,'Detail Balok'!$C$10:$BJ$110,56,FALSE)</f>
        <v>0</v>
      </c>
      <c r="E1880" t="str">
        <v>D</v>
      </c>
      <c r="F1880">
        <f>VLOOKUP(D1854,'Detail Balok'!$C$10:$BJ$110,58,FALSE)</f>
        <v>0</v>
      </c>
      <c r="G1880" t="str">
        <v>-</v>
      </c>
      <c r="H1880">
        <f>VLOOKUP(D1854,'Detail Balok'!$C$10:$BJ$110,60,FALSE)</f>
        <v>100</v>
      </c>
      <c r="J1880">
        <f>(D1855-2*F$5)/1000</f>
        <v>0.12</v>
      </c>
      <c r="K1880" t="str">
        <v>+</v>
      </c>
      <c r="L1880">
        <f>IF(D1880=0,2*MAX(6*F1880,75),(D1880-1)*2*MAX(6*F1880,75))/1000</f>
        <v>0.15</v>
      </c>
      <c r="M1880" t="str">
        <v>=</v>
      </c>
      <c r="N1880">
        <f>J1880+L1880</f>
        <v>0.27</v>
      </c>
      <c r="T1880" t="str">
        <v>x</v>
      </c>
      <c r="U1880">
        <f>0.006165*F1880^2</f>
        <v>0</v>
      </c>
      <c r="V1880" t="str">
        <v>x</v>
      </c>
      <c r="W1880">
        <f>W1876</f>
        <v>8</v>
      </c>
      <c r="X1880" t="str">
        <v>x</v>
      </c>
      <c r="Y1880">
        <f>D1864</f>
        <v>4</v>
      </c>
      <c r="Z1880" t="str">
        <v>=</v>
      </c>
      <c r="AA1880">
        <f>N1880*U1880*W1880*Y1880</f>
        <v>0</v>
      </c>
    </row>
    <row r="1884">
      <c r="A1884" t="str">
        <f>A1854</f>
        <v>Sloof</v>
      </c>
      <c r="B1884">
        <f>B1854+1</f>
        <v>56</v>
      </c>
      <c r="C1884" t="str">
        <f>CONCATENATE(A1884," no. ",B1884)</f>
        <v>Sloof no. 56</v>
      </c>
      <c r="D1884" t="str">
        <f>VLOOKUP(C1884,'Data Panjang Balok'!$C$9:$N$424,2,FALSE)</f>
        <v>TB245-2</v>
      </c>
    </row>
    <row r="1885">
      <c r="C1885" t="str">
        <v>Dimensi</v>
      </c>
      <c r="D1885">
        <f>VLOOKUP(D1884,'Detail Balok'!$C$10:$AU$110,2,FALSE)</f>
        <v>200</v>
      </c>
      <c r="F1885" t="str">
        <v>x</v>
      </c>
      <c r="G1885">
        <f>VLOOKUP(D1884,'Detail Balok'!$C$10:$AU$110,3,FALSE)</f>
        <v>450</v>
      </c>
    </row>
    <row r="1886">
      <c r="C1886" t="str">
        <v>Panjang as ke as</v>
      </c>
      <c r="D1886">
        <f>VLOOKUP(C1884,'Data Panjang Balok'!$C$9:$N$424,4,FALSE)</f>
        <v>11065</v>
      </c>
    </row>
    <row r="1887">
      <c r="C1887" t="str">
        <v>Panjang netto</v>
      </c>
      <c r="D1887">
        <f>VLOOKUP(C1884,'Data Panjang Balok'!$C$9:$N$424,7,FALSE)</f>
        <v>11065</v>
      </c>
    </row>
    <row r="1888">
      <c r="C1888" t="str">
        <v>Kolom / balok kiri</v>
      </c>
      <c r="D1888">
        <f>VLOOKUP(C1884,'Data Panjang Balok'!$C$9:$N$424,9,FALSE)</f>
        <v>0</v>
      </c>
    </row>
    <row r="1889">
      <c r="C1889" t="str">
        <v>Kolom / balok kanan</v>
      </c>
      <c r="D1889">
        <f>VLOOKUP(C1884,'Data Panjang Balok'!$C$9:$N$424,10,FALSE)</f>
        <v>0</v>
      </c>
    </row>
    <row r="1890">
      <c r="C1890" t="str">
        <v>Jumlah</v>
      </c>
      <c r="D1890">
        <f>VLOOKUP(C1884,'Data Panjang Balok'!$C$9:$N$424,3,FALSE)</f>
        <v>1</v>
      </c>
    </row>
    <row r="1891">
      <c r="A1891" t="str">
        <f>A1884</f>
        <v>Sloof</v>
      </c>
      <c r="B1891">
        <f>B1884</f>
        <v>56</v>
      </c>
      <c r="C1891" t="str">
        <v>Tul Atas Tumpuan</v>
      </c>
      <c r="D1891">
        <f>VLOOKUP(D1884,'Detail Balok'!$C$10:$AU$110,4,FALSE)</f>
        <v>4</v>
      </c>
      <c r="E1891" t="str">
        <v>D</v>
      </c>
      <c r="F1891">
        <f>VLOOKUP(D1884,'Detail Balok'!$C$10:$AU$110,6,FALSE)</f>
        <v>13</v>
      </c>
      <c r="I1891" t="str">
        <v>(</v>
      </c>
      <c r="J1891">
        <f>+D1886/4/1000</f>
        <v>2.76625</v>
      </c>
      <c r="K1891" t="str">
        <v>+</v>
      </c>
      <c r="L1891">
        <f>MAX(VLOOKUP(F1891,N$6:P$15,3,FALSE)/1000,2/3*D1888/1000)+F$16*F1891/1000</f>
        <v>0.156</v>
      </c>
      <c r="M1891" t="str">
        <v>=</v>
      </c>
      <c r="N1891">
        <f>J1891+L1891</f>
        <v>2.92225</v>
      </c>
      <c r="O1891" t="str">
        <v>+</v>
      </c>
      <c r="P1891">
        <f>D1891-D1892</f>
        <v>2</v>
      </c>
      <c r="Q1891" t="str">
        <v>x</v>
      </c>
      <c r="R1891">
        <f>IF(P1891&gt;0,$F$18*F1891/1000,0)</f>
        <v>0.195</v>
      </c>
      <c r="S1891" t="str">
        <v>)</v>
      </c>
      <c r="T1891" t="str">
        <v>x</v>
      </c>
      <c r="U1891">
        <f>0.006165*F1891^2</f>
        <v>1.041885</v>
      </c>
      <c r="X1891" t="str">
        <v>x</v>
      </c>
      <c r="Y1891">
        <f>D1890</f>
        <v>1</v>
      </c>
      <c r="Z1891" t="str">
        <v>=</v>
      </c>
      <c r="AA1891">
        <f>IF(AA1894=0,(D1891*N1891+P1891*R1891)*U1891*Y1891,0)</f>
        <v>12.584928915</v>
      </c>
    </row>
    <row r="1892">
      <c r="A1892" t="str">
        <f>A1884</f>
        <v>Sloof</v>
      </c>
      <c r="B1892">
        <f>B1884</f>
        <v>56</v>
      </c>
      <c r="C1892" t="str">
        <v>Tul Atas Lapangan</v>
      </c>
      <c r="D1892">
        <f>VLOOKUP(D1884,'Detail Balok'!$C$10:$AU$110,7,FALSE)</f>
        <v>2</v>
      </c>
      <c r="E1892" t="str">
        <v>D</v>
      </c>
      <c r="F1892">
        <f>VLOOKUP(D1884,'Detail Balok'!$C$10:$AU$110,9,FALSE)</f>
        <v>13</v>
      </c>
      <c r="I1892" t="str">
        <v>(</v>
      </c>
      <c r="J1892">
        <f>+D1886/2/1000</f>
        <v>5.5325</v>
      </c>
      <c r="K1892" t="str">
        <v>+</v>
      </c>
      <c r="M1892" t="str">
        <v>=</v>
      </c>
      <c r="N1892">
        <f>J1892+L1892</f>
        <v>5.5325</v>
      </c>
      <c r="O1892" t="str">
        <v>+</v>
      </c>
      <c r="P1892">
        <f>MAX(D1892-D1891,D1892-D1893)</f>
        <v>-2</v>
      </c>
      <c r="Q1892" t="str">
        <v>x</v>
      </c>
      <c r="R1892">
        <f>IF(P1892&gt;0,2*(1-2*$F$19-1/2)*D1887/1000,0)</f>
        <v>0</v>
      </c>
      <c r="S1892" t="str">
        <v>)</v>
      </c>
      <c r="T1892" t="str">
        <v>x</v>
      </c>
      <c r="U1892">
        <f>0.006165*F1892^2</f>
        <v>1.041885</v>
      </c>
      <c r="X1892" t="str">
        <v>x</v>
      </c>
      <c r="Y1892">
        <f>D1890</f>
        <v>1</v>
      </c>
      <c r="Z1892" t="str">
        <v>=</v>
      </c>
      <c r="AA1892">
        <f>IF(AA1894=0,(D1892*N1892+P1892*R1892)*U1892*Y1892,0)</f>
        <v>11.528457524999999</v>
      </c>
    </row>
    <row r="1893">
      <c r="A1893" t="str">
        <f>A1884</f>
        <v>Sloof</v>
      </c>
      <c r="B1893">
        <f>B1884</f>
        <v>56</v>
      </c>
      <c r="C1893" t="str">
        <v>Tul Atas Tumpuan</v>
      </c>
      <c r="D1893">
        <f>VLOOKUP(D1884,'Detail Balok'!$C$10:$AU$110,10,FALSE)</f>
        <v>4</v>
      </c>
      <c r="E1893" t="str">
        <v>D</v>
      </c>
      <c r="F1893">
        <f>VLOOKUP(D1884,'Detail Balok'!$C$10:$AU$110,12,FALSE)</f>
        <v>13</v>
      </c>
      <c r="I1893" t="str">
        <v>(</v>
      </c>
      <c r="J1893">
        <f>+D1886/4/1000</f>
        <v>2.76625</v>
      </c>
      <c r="K1893" t="str">
        <v>+</v>
      </c>
      <c r="L1893">
        <f>MAX(VLOOKUP(F1893,N$6:P$15,3,FALSE)/1000,2/3*D1888/1000)+F$16*F1893/1000</f>
        <v>0.156</v>
      </c>
      <c r="M1893" t="str">
        <v>=</v>
      </c>
      <c r="N1893">
        <f>J1893+L1893</f>
        <v>2.92225</v>
      </c>
      <c r="O1893" t="str">
        <v>+</v>
      </c>
      <c r="P1893">
        <f>D1893-D1892</f>
        <v>2</v>
      </c>
      <c r="Q1893" t="str">
        <v>x</v>
      </c>
      <c r="R1893">
        <f>IF(P1893&gt;0,$F$18*F1893/1000,0)</f>
        <v>0.195</v>
      </c>
      <c r="S1893" t="str">
        <v>)</v>
      </c>
      <c r="T1893" t="str">
        <v>x</v>
      </c>
      <c r="U1893">
        <f>0.006165*F1893^2</f>
        <v>1.041885</v>
      </c>
      <c r="X1893" t="str">
        <v>x</v>
      </c>
      <c r="Y1893">
        <f>D1890</f>
        <v>1</v>
      </c>
      <c r="Z1893" t="str">
        <v>=</v>
      </c>
      <c r="AA1893">
        <f>IF(AA1894=0,(D1893*N1893+P1893*R1893)*U1893*Y1893,0)</f>
        <v>12.584928915</v>
      </c>
    </row>
    <row r="1894">
      <c r="A1894" t="str">
        <f>A1884</f>
        <v>Sloof</v>
      </c>
      <c r="B1894">
        <f>B1884</f>
        <v>56</v>
      </c>
      <c r="D1894">
        <f>IF(AND(D1891=D1892,D1892=D1893,D1891=D1893),D1891,0)</f>
        <v>0</v>
      </c>
      <c r="E1894" t="str">
        <v>D</v>
      </c>
      <c r="F1894">
        <f>IF(AND(F1891=F1892,F1891=F1893,F1892=F1893),F1891,0)</f>
        <v>13</v>
      </c>
      <c r="L1894" t="str">
        <v>Total panjang per balok</v>
      </c>
      <c r="M1894" t="str">
        <v>=</v>
      </c>
      <c r="N1894">
        <f>IF(AND(D1891=D1892,D1891=D1893,D1892=D1893,F1891=F1892,F1891=F1893,F1892=F1893),SUM(N1891:N1893),0)</f>
        <v>0</v>
      </c>
      <c r="O1894" t="str">
        <v>+</v>
      </c>
      <c r="P1894">
        <f>IF(N1894&gt;12,ROUNDDOWN(N1894/12,0),0)</f>
        <v>0</v>
      </c>
      <c r="Q1894" t="str">
        <v>x</v>
      </c>
      <c r="R1894">
        <f>IF(P1894&gt;0,MAX(VLOOKUP(F1894,$D$6:$G$15,3,FALSE),600),0)/1000</f>
        <v>0</v>
      </c>
      <c r="T1894" t="str">
        <v>x</v>
      </c>
      <c r="U1894">
        <f>U1893</f>
        <v>1.041885</v>
      </c>
      <c r="V1894" t="str">
        <v>x</v>
      </c>
      <c r="W1894">
        <f>D1894</f>
        <v>0</v>
      </c>
      <c r="X1894" t="str">
        <v>x</v>
      </c>
      <c r="Y1894">
        <f>Y1893</f>
        <v>1</v>
      </c>
      <c r="Z1894" t="str">
        <v>=</v>
      </c>
      <c r="AA1894">
        <f>(N1894+P1894*R1894/1000)*U1894*W1894*Y1894</f>
        <v>0</v>
      </c>
    </row>
    <row r="1896">
      <c r="A1896" t="str">
        <f>A1884</f>
        <v>Sloof</v>
      </c>
      <c r="B1896">
        <f>B1884</f>
        <v>56</v>
      </c>
      <c r="C1896" t="str">
        <v>Tul Peminggang</v>
      </c>
      <c r="D1896">
        <f>VLOOKUP(D1884,'Detail Balok'!$C$10:$AU$110,13,FALSE)</f>
        <v>2</v>
      </c>
      <c r="E1896" t="str">
        <v>D</v>
      </c>
      <c r="F1896">
        <f>VLOOKUP(D1884,'Detail Balok'!$C$10:$AU$110,15,FALSE)</f>
        <v>8</v>
      </c>
      <c r="J1896">
        <f>+D1886/1000</f>
        <v>11.065</v>
      </c>
      <c r="K1896" t="str">
        <v>+</v>
      </c>
      <c r="L1896">
        <f>2*$F$16*F1896/1000</f>
        <v>0.192</v>
      </c>
      <c r="M1896" t="str">
        <v>=</v>
      </c>
      <c r="N1896">
        <f>J1896+L1896</f>
        <v>11.257</v>
      </c>
      <c r="O1896" t="str">
        <v>+</v>
      </c>
      <c r="P1896">
        <f>IF(N1896&gt;12,ROUNDDOWN(N1896/12,0),0)</f>
        <v>0</v>
      </c>
      <c r="Q1896" t="str">
        <v>x</v>
      </c>
      <c r="R1896">
        <f>IF(P1896&gt;0,MAX(VLOOKUP(F1896,$D$6:$G$15,3,FALSE),600),0)/1000</f>
        <v>0</v>
      </c>
      <c r="T1896" t="str">
        <v>x</v>
      </c>
      <c r="U1896">
        <f>0.006165*F1896^2</f>
        <v>0.39456</v>
      </c>
      <c r="V1896" t="str">
        <v>x</v>
      </c>
      <c r="W1896">
        <f>+D1896</f>
        <v>2</v>
      </c>
      <c r="X1896" t="str">
        <v>x</v>
      </c>
      <c r="Y1896">
        <f>D1890</f>
        <v>1</v>
      </c>
      <c r="Z1896" t="str">
        <v>=</v>
      </c>
      <c r="AA1896">
        <f>(N1896+P1896*R1896/1000)*U1896*W1896*Y1896</f>
        <v>8.88312384</v>
      </c>
    </row>
    <row r="1899">
      <c r="A1899" t="str">
        <f>A1884</f>
        <v>Sloof</v>
      </c>
      <c r="B1899">
        <f>B1884</f>
        <v>56</v>
      </c>
      <c r="C1899" t="str">
        <v>Tul Bawah Tumpuan</v>
      </c>
      <c r="D1899">
        <f>VLOOKUP(D1884,'Detail Balok'!$C$10:$AU$110,22,FALSE)</f>
        <v>4</v>
      </c>
      <c r="E1899" t="str">
        <v>D</v>
      </c>
      <c r="F1899">
        <f>VLOOKUP(D1884,'Detail Balok'!$C$10:$AU$110,24,FALSE)</f>
        <v>13</v>
      </c>
      <c r="I1899" t="str">
        <v>(</v>
      </c>
      <c r="J1899">
        <f>+J1891</f>
        <v>2.76625</v>
      </c>
      <c r="K1899" t="str">
        <v>+</v>
      </c>
      <c r="L1899">
        <f>MAX(VLOOKUP(F1899,N$6:P$15,3,FALSE)/1000,2/3*D1889/1000)+F$16*F1899/1000</f>
        <v>0.156</v>
      </c>
      <c r="M1899" t="str">
        <v>=</v>
      </c>
      <c r="N1899">
        <f>J1899+L1899</f>
        <v>2.92225</v>
      </c>
      <c r="O1899" t="str">
        <v>+</v>
      </c>
      <c r="P1899">
        <f>D1899-D1900</f>
        <v>0</v>
      </c>
      <c r="Q1899" t="str">
        <v>x</v>
      </c>
      <c r="R1899">
        <f>IF(P1899&gt;0,$F$18*F1899/1000,0)</f>
        <v>0</v>
      </c>
      <c r="S1899" t="str">
        <v>)</v>
      </c>
      <c r="T1899" t="str">
        <v>x</v>
      </c>
      <c r="U1899">
        <f>0.006165*F1899^2</f>
        <v>1.041885</v>
      </c>
      <c r="X1899" t="str">
        <v>x</v>
      </c>
      <c r="Y1899">
        <f>D1890</f>
        <v>1</v>
      </c>
      <c r="Z1899" t="str">
        <v>=</v>
      </c>
      <c r="AA1899">
        <f>IF(AA1902=0,(D1899*N1899+P1899*R1899)*U1899*Y1899,0)</f>
        <v>0</v>
      </c>
    </row>
    <row r="1900">
      <c r="A1900" t="str">
        <f>A1884</f>
        <v>Sloof</v>
      </c>
      <c r="B1900">
        <f>B1884</f>
        <v>56</v>
      </c>
      <c r="C1900" t="str">
        <v>Tul Bawah Lapangan</v>
      </c>
      <c r="D1900">
        <f>VLOOKUP(D1884,'Detail Balok'!$C$10:$AU$110,25,FALSE)</f>
        <v>4</v>
      </c>
      <c r="E1900" t="str">
        <v>D</v>
      </c>
      <c r="F1900">
        <f>VLOOKUP(D1884,'Detail Balok'!$C$10:$AU$110,27,FALSE)</f>
        <v>13</v>
      </c>
      <c r="I1900" t="str">
        <v>(</v>
      </c>
      <c r="J1900">
        <f>+J1892</f>
        <v>5.5325</v>
      </c>
      <c r="K1900" t="str">
        <v>+</v>
      </c>
      <c r="M1900" t="str">
        <v>=</v>
      </c>
      <c r="N1900">
        <f>J1900+L1900</f>
        <v>5.5325</v>
      </c>
      <c r="O1900" t="str">
        <v>+</v>
      </c>
      <c r="P1900">
        <f>MAX(D1900-D1899,D1900-D1901)</f>
        <v>0</v>
      </c>
      <c r="Q1900" t="str">
        <v>x</v>
      </c>
      <c r="R1900">
        <f>IF(P1900&gt;0,2*(1-2*$F$19-1/2)*D1887/1000,0)</f>
        <v>0</v>
      </c>
      <c r="S1900" t="str">
        <v>)</v>
      </c>
      <c r="T1900" t="str">
        <v>x</v>
      </c>
      <c r="U1900">
        <f>0.006165*F1900^2</f>
        <v>1.041885</v>
      </c>
      <c r="X1900" t="str">
        <v>x</v>
      </c>
      <c r="Y1900">
        <f>D1890</f>
        <v>1</v>
      </c>
      <c r="Z1900" t="str">
        <v>=</v>
      </c>
      <c r="AA1900">
        <f>IF(AA1902=0,(D1900*N1900+P1900*R1900)*U1900*Y1900,0)</f>
        <v>0</v>
      </c>
    </row>
    <row r="1901">
      <c r="A1901" t="str">
        <f>A1884</f>
        <v>Sloof</v>
      </c>
      <c r="B1901">
        <f>B1884</f>
        <v>56</v>
      </c>
      <c r="C1901" t="str">
        <v>Tul Bawah Tumpuan</v>
      </c>
      <c r="D1901">
        <f>VLOOKUP(D1884,'Detail Balok'!$C$10:$AU$110,28,FALSE)</f>
        <v>4</v>
      </c>
      <c r="E1901" t="str">
        <v>D</v>
      </c>
      <c r="F1901">
        <f>VLOOKUP(D1884,'Detail Balok'!$C$10:$AU$110,30,FALSE)</f>
        <v>13</v>
      </c>
      <c r="I1901" t="str">
        <v>(</v>
      </c>
      <c r="J1901">
        <f>+J1893</f>
        <v>2.76625</v>
      </c>
      <c r="K1901" t="str">
        <v>+</v>
      </c>
      <c r="L1901">
        <f>MAX(VLOOKUP(F1901,N$6:P$15,3,FALSE)/1000,2/3*D1889/1000)+F$16*F1901/1000</f>
        <v>0.156</v>
      </c>
      <c r="M1901" t="str">
        <v>=</v>
      </c>
      <c r="N1901">
        <f>J1901+L1901</f>
        <v>2.92225</v>
      </c>
      <c r="O1901" t="str">
        <v>+</v>
      </c>
      <c r="P1901">
        <f>D1901-D1900</f>
        <v>0</v>
      </c>
      <c r="Q1901" t="str">
        <v>x</v>
      </c>
      <c r="R1901">
        <f>IF(P1901&gt;0,$F$18*F1901/1000,0)</f>
        <v>0</v>
      </c>
      <c r="S1901" t="str">
        <v>)</v>
      </c>
      <c r="T1901" t="str">
        <v>x</v>
      </c>
      <c r="U1901">
        <f>0.006165*F1901^2</f>
        <v>1.041885</v>
      </c>
      <c r="X1901" t="str">
        <v>x</v>
      </c>
      <c r="Y1901">
        <f>D1890</f>
        <v>1</v>
      </c>
      <c r="Z1901" t="str">
        <v>=</v>
      </c>
      <c r="AA1901">
        <f>IF(AA1902=0,(D1901*N1901+P1901*R1901)*U1901*Y1901,0)</f>
        <v>0</v>
      </c>
    </row>
    <row r="1902">
      <c r="A1902" t="str">
        <f>A1884</f>
        <v>Sloof</v>
      </c>
      <c r="B1902">
        <f>B1884</f>
        <v>56</v>
      </c>
      <c r="D1902">
        <f>IF(AND(D1899=D1900,D1900=D1901,D1899=D1901),D1899,0)</f>
        <v>4</v>
      </c>
      <c r="E1902" t="str">
        <v>D</v>
      </c>
      <c r="F1902">
        <f>IF(AND(F1899=F1900,F1899=F1901,F1900=F1901),F1899,0)</f>
        <v>13</v>
      </c>
      <c r="L1902" t="str">
        <v>Total panjang per balok</v>
      </c>
      <c r="M1902" t="str">
        <v>=</v>
      </c>
      <c r="N1902">
        <f>IF(AND(D1899=D1900,D1899=D1901,D1900=D1901,F1899=F1900,F1899=F1901,F1900=F1901),SUM(N1899:N1901),0)</f>
        <v>11.377</v>
      </c>
      <c r="O1902" t="str">
        <v>+</v>
      </c>
      <c r="P1902">
        <f>IF(N1902&gt;12,ROUNDDOWN(N1902/12,0),0)</f>
        <v>0</v>
      </c>
      <c r="Q1902" t="str">
        <v>x</v>
      </c>
      <c r="R1902">
        <f>IF(P1902&gt;0,MAX(VLOOKUP(F1902,$D$6:$G$15,3,FALSE),600),0)/1000</f>
        <v>0</v>
      </c>
      <c r="T1902" t="str">
        <v>x</v>
      </c>
      <c r="U1902">
        <f>U1901</f>
        <v>1.041885</v>
      </c>
      <c r="V1902" t="str">
        <v>x</v>
      </c>
      <c r="W1902">
        <f>D1902</f>
        <v>4</v>
      </c>
      <c r="X1902" t="str">
        <v>x</v>
      </c>
      <c r="Y1902">
        <f>Y1901</f>
        <v>1</v>
      </c>
      <c r="Z1902" t="str">
        <v>=</v>
      </c>
      <c r="AA1902">
        <f>(N1902+P1902*R1902/1000)*U1902*W1902*Y1902</f>
        <v>47.41410258</v>
      </c>
    </row>
    <row r="1904">
      <c r="A1904" t="str">
        <f>A1884</f>
        <v>Sloof</v>
      </c>
      <c r="B1904">
        <f>B1884</f>
        <v>56</v>
      </c>
      <c r="C1904" t="str">
        <v>Sengkang Tumpuan</v>
      </c>
      <c r="D1904">
        <f>VLOOKUP(D1884,'Detail Balok'!$C$10:$AU$110,31,FALSE)</f>
        <v>0</v>
      </c>
      <c r="E1904" t="str">
        <v>D</v>
      </c>
      <c r="F1904">
        <f>VLOOKUP(D1884,'Detail Balok'!$C$10:$AU$110,33,FALSE)</f>
        <v>8</v>
      </c>
      <c r="G1904" t="str">
        <v>-</v>
      </c>
      <c r="H1904">
        <f>VLOOKUP(D1884,'Detail Balok'!$C$10:$AU$110,35,FALSE)</f>
        <v>125</v>
      </c>
      <c r="J1904">
        <f>(IF(D1904=0,(2*(D1885+G1885))-(F$5*8),IF(D1904=3,(2*(D1885+G1885))-(F$5*8)+(G1885-2*F$5),IF(D1904=4,(2*(D1885+G1885))-(F$5*8)+2*(G1885-2*F$5)))))/1000</f>
        <v>0.98</v>
      </c>
      <c r="K1904" t="str">
        <v>+</v>
      </c>
      <c r="L1904">
        <f>IF(D1904=0,2*MAX(6*F1904,75),(D1904-1)*2*MAX(6*F1904,75))/1000</f>
        <v>0.15</v>
      </c>
      <c r="M1904" t="str">
        <v>=</v>
      </c>
      <c r="N1904">
        <f>J1904+L1904</f>
        <v>1.13</v>
      </c>
      <c r="T1904" t="str">
        <v>x</v>
      </c>
      <c r="U1904">
        <f>0.006165*F1904^2</f>
        <v>0.39456</v>
      </c>
      <c r="V1904" t="str">
        <v>x</v>
      </c>
      <c r="W1904">
        <f>IF(D1887&gt;4*G1885,ROUND(MAX(D1887/4,2*G1885)/H1904,0)+1,ROUND(D1887/H1904,0)+1)</f>
        <v>23</v>
      </c>
      <c r="X1904" t="str">
        <v>x</v>
      </c>
      <c r="Y1904">
        <f>D1890</f>
        <v>1</v>
      </c>
      <c r="Z1904" t="str">
        <v>=</v>
      </c>
      <c r="AA1904">
        <f>N1904*U1904*W1904*Y1904</f>
        <v>10.2546144</v>
      </c>
    </row>
    <row r="1905">
      <c r="A1905" t="str">
        <f>A1884</f>
        <v>Sloof</v>
      </c>
      <c r="B1905">
        <f>B1884</f>
        <v>56</v>
      </c>
      <c r="C1905" t="str">
        <v>Sengkang Lapangan</v>
      </c>
      <c r="D1905">
        <f>VLOOKUP(D1884,'Detail Balok'!$C$10:$AU$110,36,FALSE)</f>
        <v>0</v>
      </c>
      <c r="E1905" t="str">
        <v>D</v>
      </c>
      <c r="F1905">
        <f>VLOOKUP(D1884,'Detail Balok'!$C$10:$AU$110,38,FALSE)</f>
        <v>8</v>
      </c>
      <c r="G1905" t="str">
        <v>-</v>
      </c>
      <c r="H1905">
        <f>VLOOKUP(D1884,'Detail Balok'!$C$10:$AU$110,40,FALSE)</f>
        <v>150</v>
      </c>
      <c r="J1905">
        <f>(IF(D1905=0,(2*(D1885+G1885))-(F$5*8),IF(D1905=3,(2*(D1885+G1885))-(F$5*8)+(G1885-2*F$5),IF(D1905=4,(2*(D1885+G1885))-(F$5*8)+2*(G1885-2*F$5)))))/1000</f>
        <v>0.98</v>
      </c>
      <c r="K1905" t="str">
        <v>+</v>
      </c>
      <c r="L1905">
        <f>IF(D1905=0,2*MAX(6*F1905,75),(D1905-1)*2*MAX(6*F1905,75))/1000</f>
        <v>0.15</v>
      </c>
      <c r="M1905" t="str">
        <v>=</v>
      </c>
      <c r="N1905">
        <f>J1905+L1905</f>
        <v>1.13</v>
      </c>
      <c r="T1905" t="str">
        <v>x</v>
      </c>
      <c r="U1905">
        <f>0.006165*F1905^2</f>
        <v>0.39456</v>
      </c>
      <c r="V1905" t="str">
        <v>x</v>
      </c>
      <c r="W1905">
        <f>IF(D1887-MAX(D1887/4,2*G1885)*2&gt;0,ROUND((D1887-MAX(D1887/4,2*G1885)*2)/H1905,0),0)</f>
        <v>37</v>
      </c>
      <c r="X1905" t="str">
        <v>x</v>
      </c>
      <c r="Y1905">
        <f>D1890</f>
        <v>1</v>
      </c>
      <c r="Z1905" t="str">
        <v>=</v>
      </c>
      <c r="AA1905">
        <f>N1905*U1905*W1905*Y1905</f>
        <v>16.4965536</v>
      </c>
    </row>
    <row r="1906">
      <c r="A1906" t="str">
        <f>A1884</f>
        <v>Sloof</v>
      </c>
      <c r="B1906">
        <f>B1884</f>
        <v>56</v>
      </c>
      <c r="C1906" t="str">
        <v>Sengkang Tumpuan</v>
      </c>
      <c r="D1906">
        <f>VLOOKUP(D1884,'Detail Balok'!$C$10:$AU$110,41,FALSE)</f>
        <v>0</v>
      </c>
      <c r="E1906" t="str">
        <v>D</v>
      </c>
      <c r="F1906">
        <f>VLOOKUP(D1884,'Detail Balok'!$C$10:$AU$110,43,FALSE)</f>
        <v>8</v>
      </c>
      <c r="G1906" t="str">
        <v>-</v>
      </c>
      <c r="H1906">
        <f>VLOOKUP(D1884,'Detail Balok'!$C$10:$AU$110,45,FALSE)</f>
        <v>125</v>
      </c>
      <c r="J1906">
        <f>(IF(D1906=0,(2*(D1885+G1885))-(F$5*8),IF(D1906=3,(2*(D1885+G1885))-(F$5*8)+(G1885-2*F$5),IF(D1906=4,(2*(D1885+G1885))-(F$5*8)+2*(G1885-2*F$5)))))/1000</f>
        <v>0.98</v>
      </c>
      <c r="K1906" t="str">
        <v>+</v>
      </c>
      <c r="L1906">
        <f>IF(D1906=0,2*MAX(6*F1906,75),(D1906-1)*2*MAX(6*F1906,75))/1000</f>
        <v>0.15</v>
      </c>
      <c r="M1906" t="str">
        <v>=</v>
      </c>
      <c r="N1906">
        <f>J1906+L1906</f>
        <v>1.13</v>
      </c>
      <c r="T1906" t="str">
        <v>x</v>
      </c>
      <c r="U1906">
        <f>0.006165*F1906^2</f>
        <v>0.39456</v>
      </c>
      <c r="V1906" t="str">
        <v>x</v>
      </c>
      <c r="W1906">
        <f>IF(D1887&gt;4*G1885,ROUND(MAX(D1887/4,2*G1885)/H1906,0)+1,0)</f>
        <v>23</v>
      </c>
      <c r="X1906" t="str">
        <v>x</v>
      </c>
      <c r="Y1906">
        <f>D1890</f>
        <v>1</v>
      </c>
      <c r="Z1906" t="str">
        <v>=</v>
      </c>
      <c r="AA1906">
        <f>N1906*U1906*W1906*Y1906</f>
        <v>10.2546144</v>
      </c>
    </row>
    <row r="1908">
      <c r="A1908" t="str">
        <f>A1884</f>
        <v>Sloof</v>
      </c>
      <c r="B1908">
        <f>B1884</f>
        <v>56</v>
      </c>
      <c r="C1908" t="str">
        <v>Kait Horizontal Tump.</v>
      </c>
      <c r="D1908">
        <f>VLOOKUP(D1884,'Detail Balok'!$C$10:$BJ$110,46,FALSE)</f>
        <v>0</v>
      </c>
      <c r="E1908" t="str">
        <v>D</v>
      </c>
      <c r="F1908">
        <f>VLOOKUP(D1884,'Detail Balok'!$C$10:$BJ$110,48,FALSE)</f>
        <v>0</v>
      </c>
      <c r="G1908" t="str">
        <v>-</v>
      </c>
      <c r="H1908">
        <f>VLOOKUP(D1884,'Detail Balok'!$C$10:$BJ$110,50,FALSE)</f>
        <v>100</v>
      </c>
      <c r="J1908">
        <f>(D1885-2*F$5)/1000</f>
        <v>0.12</v>
      </c>
      <c r="K1908" t="str">
        <v>+</v>
      </c>
      <c r="L1908">
        <f>IF(D1908=0,2*MAX(6*F1908,75),(D1908-1)*2*MAX(6*F1908,75))/1000</f>
        <v>0.15</v>
      </c>
      <c r="M1908" t="str">
        <v>=</v>
      </c>
      <c r="N1908">
        <f>J1908+L1908</f>
        <v>0.27</v>
      </c>
      <c r="T1908" t="str">
        <v>x</v>
      </c>
      <c r="U1908">
        <f>0.006165*F1908^2</f>
        <v>0</v>
      </c>
      <c r="V1908" t="str">
        <v>x</v>
      </c>
      <c r="W1908">
        <f>W1904</f>
        <v>23</v>
      </c>
      <c r="X1908" t="str">
        <v>x</v>
      </c>
      <c r="Y1908">
        <f>D1894</f>
        <v>0</v>
      </c>
      <c r="Z1908" t="str">
        <v>=</v>
      </c>
      <c r="AA1908">
        <f>N1908*U1908*W1908*Y1908</f>
        <v>0</v>
      </c>
    </row>
    <row r="1909">
      <c r="A1909" t="str">
        <f>A1884</f>
        <v>Sloof</v>
      </c>
      <c r="B1909">
        <f>B1884</f>
        <v>56</v>
      </c>
      <c r="C1909" t="str">
        <v>Kait Horizontal Lap.</v>
      </c>
      <c r="D1909">
        <f>VLOOKUP(D1884,'Detail Balok'!$C$10:$BJ$110,51,FALSE)</f>
        <v>0</v>
      </c>
      <c r="E1909" t="str">
        <v>D</v>
      </c>
      <c r="F1909">
        <f>VLOOKUP(D1884,'Detail Balok'!$C$10:$BJ$110,53,FALSE)</f>
        <v>0</v>
      </c>
      <c r="G1909" t="str">
        <v>-</v>
      </c>
      <c r="H1909">
        <f>VLOOKUP(D1884,'Detail Balok'!$C$10:$BJ$110,55,FALSE)</f>
        <v>100</v>
      </c>
      <c r="J1909">
        <f>(D1885-2*F$5)/1000</f>
        <v>0.12</v>
      </c>
      <c r="K1909" t="str">
        <v>+</v>
      </c>
      <c r="L1909">
        <f>IF(D1909=0,2*MAX(6*F1909,75),(D1909-1)*2*MAX(6*F1909,75))/1000</f>
        <v>0.15</v>
      </c>
      <c r="M1909" t="str">
        <v>=</v>
      </c>
      <c r="N1909">
        <f>J1909+L1909</f>
        <v>0.27</v>
      </c>
      <c r="T1909" t="str">
        <v>x</v>
      </c>
      <c r="U1909">
        <f>0.006165*F1909^2</f>
        <v>0</v>
      </c>
      <c r="V1909" t="str">
        <v>x</v>
      </c>
      <c r="W1909">
        <f>W1905</f>
        <v>37</v>
      </c>
      <c r="X1909" t="str">
        <v>x</v>
      </c>
      <c r="Y1909">
        <f>D1894</f>
        <v>0</v>
      </c>
      <c r="Z1909" t="str">
        <v>=</v>
      </c>
      <c r="AA1909">
        <f>N1909*U1909*W1909*Y1909</f>
        <v>0</v>
      </c>
    </row>
    <row r="1910">
      <c r="A1910" t="str">
        <f>A1884</f>
        <v>Sloof</v>
      </c>
      <c r="B1910">
        <f>B1884</f>
        <v>56</v>
      </c>
      <c r="C1910" t="str">
        <v>Kait Horizontal Tump.</v>
      </c>
      <c r="D1910">
        <f>VLOOKUP(D1884,'Detail Balok'!$C$10:$BJ$110,56,FALSE)</f>
        <v>0</v>
      </c>
      <c r="E1910" t="str">
        <v>D</v>
      </c>
      <c r="F1910">
        <f>VLOOKUP(D1884,'Detail Balok'!$C$10:$BJ$110,58,FALSE)</f>
        <v>0</v>
      </c>
      <c r="G1910" t="str">
        <v>-</v>
      </c>
      <c r="H1910">
        <f>VLOOKUP(D1884,'Detail Balok'!$C$10:$BJ$110,60,FALSE)</f>
        <v>100</v>
      </c>
      <c r="J1910">
        <f>(D1885-2*F$5)/1000</f>
        <v>0.12</v>
      </c>
      <c r="K1910" t="str">
        <v>+</v>
      </c>
      <c r="L1910">
        <f>IF(D1910=0,2*MAX(6*F1910,75),(D1910-1)*2*MAX(6*F1910,75))/1000</f>
        <v>0.15</v>
      </c>
      <c r="M1910" t="str">
        <v>=</v>
      </c>
      <c r="N1910">
        <f>J1910+L1910</f>
        <v>0.27</v>
      </c>
      <c r="T1910" t="str">
        <v>x</v>
      </c>
      <c r="U1910">
        <f>0.006165*F1910^2</f>
        <v>0</v>
      </c>
      <c r="V1910" t="str">
        <v>x</v>
      </c>
      <c r="W1910">
        <f>W1906</f>
        <v>23</v>
      </c>
      <c r="X1910" t="str">
        <v>x</v>
      </c>
      <c r="Y1910">
        <f>D1894</f>
        <v>0</v>
      </c>
      <c r="Z1910" t="str">
        <v>=</v>
      </c>
      <c r="AA1910">
        <f>N1910*U1910*W1910*Y1910</f>
        <v>0</v>
      </c>
    </row>
    <row r="1914">
      <c r="A1914" t="str">
        <f>A1884</f>
        <v>Sloof</v>
      </c>
      <c r="B1914">
        <f>B1884+1</f>
        <v>57</v>
      </c>
      <c r="C1914" t="str">
        <f>CONCATENATE(A1914," no. ",B1914)</f>
        <v>Sloof no. 57</v>
      </c>
      <c r="D1914" t="str">
        <f>VLOOKUP(C1914,'Data Panjang Balok'!$C$9:$N$424,2,FALSE)</f>
        <v>TB245-1</v>
      </c>
    </row>
    <row r="1915">
      <c r="C1915" t="str">
        <v>Dimensi</v>
      </c>
      <c r="D1915">
        <f>VLOOKUP(D1914,'Detail Balok'!$C$10:$AU$110,2,FALSE)</f>
        <v>200</v>
      </c>
      <c r="F1915" t="str">
        <v>x</v>
      </c>
      <c r="G1915">
        <f>VLOOKUP(D1914,'Detail Balok'!$C$10:$AU$110,3,FALSE)</f>
        <v>450</v>
      </c>
    </row>
    <row r="1916">
      <c r="C1916" t="str">
        <v>Panjang as ke as</v>
      </c>
      <c r="D1916">
        <f>VLOOKUP(C1914,'Data Panjang Balok'!$C$9:$N$424,4,FALSE)</f>
        <v>7130</v>
      </c>
    </row>
    <row r="1917">
      <c r="C1917" t="str">
        <v>Panjang netto</v>
      </c>
      <c r="D1917">
        <f>VLOOKUP(C1914,'Data Panjang Balok'!$C$9:$N$424,7,FALSE)</f>
        <v>7130</v>
      </c>
    </row>
    <row r="1918">
      <c r="C1918" t="str">
        <v>Kolom / balok kiri</v>
      </c>
      <c r="D1918">
        <f>VLOOKUP(C1914,'Data Panjang Balok'!$C$9:$N$424,9,FALSE)</f>
        <v>0</v>
      </c>
    </row>
    <row r="1919">
      <c r="C1919" t="str">
        <v>Kolom / balok kanan</v>
      </c>
      <c r="D1919">
        <f>VLOOKUP(C1914,'Data Panjang Balok'!$C$9:$N$424,10,FALSE)</f>
        <v>0</v>
      </c>
    </row>
    <row r="1920">
      <c r="C1920" t="str">
        <v>Jumlah</v>
      </c>
      <c r="D1920">
        <f>VLOOKUP(C1914,'Data Panjang Balok'!$C$9:$N$424,3,FALSE)</f>
        <v>1</v>
      </c>
    </row>
    <row r="1921">
      <c r="A1921" t="str">
        <f>A1914</f>
        <v>Sloof</v>
      </c>
      <c r="B1921">
        <f>B1914</f>
        <v>57</v>
      </c>
      <c r="C1921" t="str">
        <v>Tul Atas Tumpuan</v>
      </c>
      <c r="D1921">
        <f>VLOOKUP(D1914,'Detail Balok'!$C$10:$AU$110,4,FALSE)</f>
        <v>3</v>
      </c>
      <c r="E1921" t="str">
        <v>D</v>
      </c>
      <c r="F1921">
        <f>VLOOKUP(D1914,'Detail Balok'!$C$10:$AU$110,6,FALSE)</f>
        <v>13</v>
      </c>
      <c r="I1921" t="str">
        <v>(</v>
      </c>
      <c r="J1921">
        <f>+D1916/4/1000</f>
        <v>1.7825</v>
      </c>
      <c r="K1921" t="str">
        <v>+</v>
      </c>
      <c r="L1921">
        <f>MAX(VLOOKUP(F1921,N$6:P$15,3,FALSE)/1000,2/3*D1918/1000)+F$16*F1921/1000</f>
        <v>0.156</v>
      </c>
      <c r="M1921" t="str">
        <v>=</v>
      </c>
      <c r="N1921">
        <f>J1921+L1921</f>
        <v>1.9385</v>
      </c>
      <c r="O1921" t="str">
        <v>+</v>
      </c>
      <c r="P1921">
        <f>D1921-D1922</f>
        <v>0</v>
      </c>
      <c r="Q1921" t="str">
        <v>x</v>
      </c>
      <c r="R1921">
        <f>IF(P1921&gt;0,$F$18*F1921/1000,0)</f>
        <v>0</v>
      </c>
      <c r="S1921" t="str">
        <v>)</v>
      </c>
      <c r="T1921" t="str">
        <v>x</v>
      </c>
      <c r="U1921">
        <f>0.006165*F1921^2</f>
        <v>1.041885</v>
      </c>
      <c r="X1921" t="str">
        <v>x</v>
      </c>
      <c r="Y1921">
        <f>D1920</f>
        <v>1</v>
      </c>
      <c r="Z1921" t="str">
        <v>=</v>
      </c>
      <c r="AA1921">
        <f>IF(AA1924=0,(D1921*N1921+P1921*R1921)*U1921*Y1921,0)</f>
        <v>0</v>
      </c>
    </row>
    <row r="1922">
      <c r="A1922" t="str">
        <f>A1914</f>
        <v>Sloof</v>
      </c>
      <c r="B1922">
        <f>B1914</f>
        <v>57</v>
      </c>
      <c r="C1922" t="str">
        <v>Tul Atas Lapangan</v>
      </c>
      <c r="D1922">
        <f>VLOOKUP(D1914,'Detail Balok'!$C$10:$AU$110,7,FALSE)</f>
        <v>3</v>
      </c>
      <c r="E1922" t="str">
        <v>D</v>
      </c>
      <c r="F1922">
        <f>VLOOKUP(D1914,'Detail Balok'!$C$10:$AU$110,9,FALSE)</f>
        <v>13</v>
      </c>
      <c r="I1922" t="str">
        <v>(</v>
      </c>
      <c r="J1922">
        <f>+D1916/2/1000</f>
        <v>3.565</v>
      </c>
      <c r="K1922" t="str">
        <v>+</v>
      </c>
      <c r="M1922" t="str">
        <v>=</v>
      </c>
      <c r="N1922">
        <f>J1922+L1922</f>
        <v>3.565</v>
      </c>
      <c r="O1922" t="str">
        <v>+</v>
      </c>
      <c r="P1922">
        <f>MAX(D1922-D1921,D1922-D1923)</f>
        <v>0</v>
      </c>
      <c r="Q1922" t="str">
        <v>x</v>
      </c>
      <c r="R1922">
        <f>IF(P1922&gt;0,2*(1-2*$F$19-1/2)*D1917/1000,0)</f>
        <v>0</v>
      </c>
      <c r="S1922" t="str">
        <v>)</v>
      </c>
      <c r="T1922" t="str">
        <v>x</v>
      </c>
      <c r="U1922">
        <f>0.006165*F1922^2</f>
        <v>1.041885</v>
      </c>
      <c r="X1922" t="str">
        <v>x</v>
      </c>
      <c r="Y1922">
        <f>D1920</f>
        <v>1</v>
      </c>
      <c r="Z1922" t="str">
        <v>=</v>
      </c>
      <c r="AA1922">
        <f>IF(AA1924=0,(D1922*N1922+P1922*R1922)*U1922*Y1922,0)</f>
        <v>0</v>
      </c>
    </row>
    <row r="1923">
      <c r="A1923" t="str">
        <f>A1914</f>
        <v>Sloof</v>
      </c>
      <c r="B1923">
        <f>B1914</f>
        <v>57</v>
      </c>
      <c r="C1923" t="str">
        <v>Tul Atas Tumpuan</v>
      </c>
      <c r="D1923">
        <f>VLOOKUP(D1914,'Detail Balok'!$C$10:$AU$110,10,FALSE)</f>
        <v>3</v>
      </c>
      <c r="E1923" t="str">
        <v>D</v>
      </c>
      <c r="F1923">
        <f>VLOOKUP(D1914,'Detail Balok'!$C$10:$AU$110,12,FALSE)</f>
        <v>13</v>
      </c>
      <c r="I1923" t="str">
        <v>(</v>
      </c>
      <c r="J1923">
        <f>+D1916/4/1000</f>
        <v>1.7825</v>
      </c>
      <c r="K1923" t="str">
        <v>+</v>
      </c>
      <c r="L1923">
        <f>MAX(VLOOKUP(F1923,N$6:P$15,3,FALSE)/1000,2/3*D1918/1000)+F$16*F1923/1000</f>
        <v>0.156</v>
      </c>
      <c r="M1923" t="str">
        <v>=</v>
      </c>
      <c r="N1923">
        <f>J1923+L1923</f>
        <v>1.9385</v>
      </c>
      <c r="O1923" t="str">
        <v>+</v>
      </c>
      <c r="P1923">
        <f>D1923-D1922</f>
        <v>0</v>
      </c>
      <c r="Q1923" t="str">
        <v>x</v>
      </c>
      <c r="R1923">
        <f>IF(P1923&gt;0,$F$18*F1923/1000,0)</f>
        <v>0</v>
      </c>
      <c r="S1923" t="str">
        <v>)</v>
      </c>
      <c r="T1923" t="str">
        <v>x</v>
      </c>
      <c r="U1923">
        <f>0.006165*F1923^2</f>
        <v>1.041885</v>
      </c>
      <c r="X1923" t="str">
        <v>x</v>
      </c>
      <c r="Y1923">
        <f>D1920</f>
        <v>1</v>
      </c>
      <c r="Z1923" t="str">
        <v>=</v>
      </c>
      <c r="AA1923">
        <f>IF(AA1924=0,(D1923*N1923+P1923*R1923)*U1923*Y1923,0)</f>
        <v>0</v>
      </c>
    </row>
    <row r="1924">
      <c r="A1924" t="str">
        <f>A1914</f>
        <v>Sloof</v>
      </c>
      <c r="B1924">
        <f>B1914</f>
        <v>57</v>
      </c>
      <c r="D1924">
        <f>IF(AND(D1921=D1922,D1922=D1923,D1921=D1923),D1921,0)</f>
        <v>3</v>
      </c>
      <c r="E1924" t="str">
        <v>D</v>
      </c>
      <c r="F1924">
        <f>IF(AND(F1921=F1922,F1921=F1923,F1922=F1923),F1921,0)</f>
        <v>13</v>
      </c>
      <c r="L1924" t="str">
        <v>Total panjang per balok</v>
      </c>
      <c r="M1924" t="str">
        <v>=</v>
      </c>
      <c r="N1924">
        <f>IF(AND(D1921=D1922,D1921=D1923,D1922=D1923,F1921=F1922,F1921=F1923,F1922=F1923),SUM(N1921:N1923),0)</f>
        <v>7.442</v>
      </c>
      <c r="O1924" t="str">
        <v>+</v>
      </c>
      <c r="P1924">
        <f>IF(N1924&gt;12,ROUNDDOWN(N1924/12,0),0)</f>
        <v>0</v>
      </c>
      <c r="Q1924" t="str">
        <v>x</v>
      </c>
      <c r="R1924">
        <f>IF(P1924&gt;0,MAX(VLOOKUP(F1924,$D$6:$G$15,3,FALSE),600),0)/1000</f>
        <v>0</v>
      </c>
      <c r="T1924" t="str">
        <v>x</v>
      </c>
      <c r="U1924">
        <f>U1923</f>
        <v>1.041885</v>
      </c>
      <c r="V1924" t="str">
        <v>x</v>
      </c>
      <c r="W1924">
        <f>D1924</f>
        <v>3</v>
      </c>
      <c r="X1924" t="str">
        <v>x</v>
      </c>
      <c r="Y1924">
        <f>Y1923</f>
        <v>1</v>
      </c>
      <c r="Z1924" t="str">
        <v>=</v>
      </c>
      <c r="AA1924">
        <f>(N1924+P1924*R1924/1000)*U1924*W1924*Y1924</f>
        <v>23.26112451</v>
      </c>
    </row>
    <row r="1926">
      <c r="A1926" t="str">
        <f>A1914</f>
        <v>Sloof</v>
      </c>
      <c r="B1926">
        <f>B1914</f>
        <v>57</v>
      </c>
      <c r="C1926" t="str">
        <v>Tul Peminggang</v>
      </c>
      <c r="D1926">
        <f>VLOOKUP(D1914,'Detail Balok'!$C$10:$AU$110,13,FALSE)</f>
        <v>2</v>
      </c>
      <c r="E1926" t="str">
        <v>D</v>
      </c>
      <c r="F1926">
        <f>VLOOKUP(D1914,'Detail Balok'!$C$10:$AU$110,15,FALSE)</f>
        <v>8</v>
      </c>
      <c r="J1926">
        <f>+D1916/1000</f>
        <v>7.13</v>
      </c>
      <c r="K1926" t="str">
        <v>+</v>
      </c>
      <c r="L1926">
        <f>2*$F$16*F1926/1000</f>
        <v>0.192</v>
      </c>
      <c r="M1926" t="str">
        <v>=</v>
      </c>
      <c r="N1926">
        <f>J1926+L1926</f>
        <v>7.322</v>
      </c>
      <c r="O1926" t="str">
        <v>+</v>
      </c>
      <c r="P1926">
        <f>IF(N1926&gt;12,ROUNDDOWN(N1926/12,0),0)</f>
        <v>0</v>
      </c>
      <c r="Q1926" t="str">
        <v>x</v>
      </c>
      <c r="R1926">
        <f>IF(P1926&gt;0,MAX(VLOOKUP(F1926,$D$6:$G$15,3,FALSE),600),0)/1000</f>
        <v>0</v>
      </c>
      <c r="T1926" t="str">
        <v>x</v>
      </c>
      <c r="U1926">
        <f>0.006165*F1926^2</f>
        <v>0.39456</v>
      </c>
      <c r="V1926" t="str">
        <v>x</v>
      </c>
      <c r="W1926">
        <f>+D1926</f>
        <v>2</v>
      </c>
      <c r="X1926" t="str">
        <v>x</v>
      </c>
      <c r="Y1926">
        <f>D1920</f>
        <v>1</v>
      </c>
      <c r="Z1926" t="str">
        <v>=</v>
      </c>
      <c r="AA1926">
        <f>(N1926+P1926*R1926/1000)*U1926*W1926*Y1926</f>
        <v>5.77793664</v>
      </c>
    </row>
    <row r="1929">
      <c r="A1929" t="str">
        <f>A1914</f>
        <v>Sloof</v>
      </c>
      <c r="B1929">
        <f>B1914</f>
        <v>57</v>
      </c>
      <c r="C1929" t="str">
        <v>Tul Bawah Tumpuan</v>
      </c>
      <c r="D1929">
        <f>VLOOKUP(D1914,'Detail Balok'!$C$10:$AU$110,22,FALSE)</f>
        <v>3</v>
      </c>
      <c r="E1929" t="str">
        <v>D</v>
      </c>
      <c r="F1929">
        <f>VLOOKUP(D1914,'Detail Balok'!$C$10:$AU$110,24,FALSE)</f>
        <v>13</v>
      </c>
      <c r="I1929" t="str">
        <v>(</v>
      </c>
      <c r="J1929">
        <f>+J1921</f>
        <v>1.7825</v>
      </c>
      <c r="K1929" t="str">
        <v>+</v>
      </c>
      <c r="L1929">
        <f>MAX(VLOOKUP(F1929,N$6:P$15,3,FALSE)/1000,2/3*D1919/1000)+F$16*F1929/1000</f>
        <v>0.156</v>
      </c>
      <c r="M1929" t="str">
        <v>=</v>
      </c>
      <c r="N1929">
        <f>J1929+L1929</f>
        <v>1.9385</v>
      </c>
      <c r="O1929" t="str">
        <v>+</v>
      </c>
      <c r="P1929">
        <f>D1929-D1930</f>
        <v>0</v>
      </c>
      <c r="Q1929" t="str">
        <v>x</v>
      </c>
      <c r="R1929">
        <f>IF(P1929&gt;0,$F$18*F1929/1000,0)</f>
        <v>0</v>
      </c>
      <c r="S1929" t="str">
        <v>)</v>
      </c>
      <c r="T1929" t="str">
        <v>x</v>
      </c>
      <c r="U1929">
        <f>0.006165*F1929^2</f>
        <v>1.041885</v>
      </c>
      <c r="X1929" t="str">
        <v>x</v>
      </c>
      <c r="Y1929">
        <f>D1920</f>
        <v>1</v>
      </c>
      <c r="Z1929" t="str">
        <v>=</v>
      </c>
      <c r="AA1929">
        <f>IF(AA1932=0,(D1929*N1929+P1929*R1929)*U1929*Y1929,0)</f>
        <v>0</v>
      </c>
    </row>
    <row r="1930">
      <c r="A1930" t="str">
        <f>A1914</f>
        <v>Sloof</v>
      </c>
      <c r="B1930">
        <f>B1914</f>
        <v>57</v>
      </c>
      <c r="C1930" t="str">
        <v>Tul Bawah Lapangan</v>
      </c>
      <c r="D1930">
        <f>VLOOKUP(D1914,'Detail Balok'!$C$10:$AU$110,25,FALSE)</f>
        <v>3</v>
      </c>
      <c r="E1930" t="str">
        <v>D</v>
      </c>
      <c r="F1930">
        <f>VLOOKUP(D1914,'Detail Balok'!$C$10:$AU$110,27,FALSE)</f>
        <v>13</v>
      </c>
      <c r="I1930" t="str">
        <v>(</v>
      </c>
      <c r="J1930">
        <f>+J1922</f>
        <v>3.565</v>
      </c>
      <c r="K1930" t="str">
        <v>+</v>
      </c>
      <c r="M1930" t="str">
        <v>=</v>
      </c>
      <c r="N1930">
        <f>J1930+L1930</f>
        <v>3.565</v>
      </c>
      <c r="O1930" t="str">
        <v>+</v>
      </c>
      <c r="P1930">
        <f>MAX(D1930-D1929,D1930-D1931)</f>
        <v>0</v>
      </c>
      <c r="Q1930" t="str">
        <v>x</v>
      </c>
      <c r="R1930">
        <f>IF(P1930&gt;0,2*(1-2*$F$19-1/2)*D1917/1000,0)</f>
        <v>0</v>
      </c>
      <c r="S1930" t="str">
        <v>)</v>
      </c>
      <c r="T1930" t="str">
        <v>x</v>
      </c>
      <c r="U1930">
        <f>0.006165*F1930^2</f>
        <v>1.041885</v>
      </c>
      <c r="X1930" t="str">
        <v>x</v>
      </c>
      <c r="Y1930">
        <f>D1920</f>
        <v>1</v>
      </c>
      <c r="Z1930" t="str">
        <v>=</v>
      </c>
      <c r="AA1930">
        <f>IF(AA1932=0,(D1930*N1930+P1930*R1930)*U1930*Y1930,0)</f>
        <v>0</v>
      </c>
    </row>
    <row r="1931">
      <c r="A1931" t="str">
        <f>A1914</f>
        <v>Sloof</v>
      </c>
      <c r="B1931">
        <f>B1914</f>
        <v>57</v>
      </c>
      <c r="C1931" t="str">
        <v>Tul Bawah Tumpuan</v>
      </c>
      <c r="D1931">
        <f>VLOOKUP(D1914,'Detail Balok'!$C$10:$AU$110,28,FALSE)</f>
        <v>3</v>
      </c>
      <c r="E1931" t="str">
        <v>D</v>
      </c>
      <c r="F1931">
        <f>VLOOKUP(D1914,'Detail Balok'!$C$10:$AU$110,30,FALSE)</f>
        <v>13</v>
      </c>
      <c r="I1931" t="str">
        <v>(</v>
      </c>
      <c r="J1931">
        <f>+J1923</f>
        <v>1.7825</v>
      </c>
      <c r="K1931" t="str">
        <v>+</v>
      </c>
      <c r="L1931">
        <f>MAX(VLOOKUP(F1931,N$6:P$15,3,FALSE)/1000,2/3*D1919/1000)+F$16*F1931/1000</f>
        <v>0.156</v>
      </c>
      <c r="M1931" t="str">
        <v>=</v>
      </c>
      <c r="N1931">
        <f>J1931+L1931</f>
        <v>1.9385</v>
      </c>
      <c r="O1931" t="str">
        <v>+</v>
      </c>
      <c r="P1931">
        <f>D1931-D1930</f>
        <v>0</v>
      </c>
      <c r="Q1931" t="str">
        <v>x</v>
      </c>
      <c r="R1931">
        <f>IF(P1931&gt;0,$F$18*F1931/1000,0)</f>
        <v>0</v>
      </c>
      <c r="S1931" t="str">
        <v>)</v>
      </c>
      <c r="T1931" t="str">
        <v>x</v>
      </c>
      <c r="U1931">
        <f>0.006165*F1931^2</f>
        <v>1.041885</v>
      </c>
      <c r="X1931" t="str">
        <v>x</v>
      </c>
      <c r="Y1931">
        <f>D1920</f>
        <v>1</v>
      </c>
      <c r="Z1931" t="str">
        <v>=</v>
      </c>
      <c r="AA1931">
        <f>IF(AA1932=0,(D1931*N1931+P1931*R1931)*U1931*Y1931,0)</f>
        <v>0</v>
      </c>
    </row>
    <row r="1932">
      <c r="A1932" t="str">
        <f>A1914</f>
        <v>Sloof</v>
      </c>
      <c r="B1932">
        <f>B1914</f>
        <v>57</v>
      </c>
      <c r="D1932">
        <f>IF(AND(D1929=D1930,D1930=D1931,D1929=D1931),D1929,0)</f>
        <v>3</v>
      </c>
      <c r="E1932" t="str">
        <v>D</v>
      </c>
      <c r="F1932">
        <f>IF(AND(F1929=F1930,F1929=F1931,F1930=F1931),F1929,0)</f>
        <v>13</v>
      </c>
      <c r="L1932" t="str">
        <v>Total panjang per balok</v>
      </c>
      <c r="M1932" t="str">
        <v>=</v>
      </c>
      <c r="N1932">
        <f>IF(AND(D1929=D1930,D1929=D1931,D1930=D1931,F1929=F1930,F1929=F1931,F1930=F1931),SUM(N1929:N1931),0)</f>
        <v>7.442</v>
      </c>
      <c r="O1932" t="str">
        <v>+</v>
      </c>
      <c r="P1932">
        <f>IF(N1932&gt;12,ROUNDDOWN(N1932/12,0),0)</f>
        <v>0</v>
      </c>
      <c r="Q1932" t="str">
        <v>x</v>
      </c>
      <c r="R1932">
        <f>IF(P1932&gt;0,MAX(VLOOKUP(F1932,$D$6:$G$15,3,FALSE),600),0)/1000</f>
        <v>0</v>
      </c>
      <c r="T1932" t="str">
        <v>x</v>
      </c>
      <c r="U1932">
        <f>U1931</f>
        <v>1.041885</v>
      </c>
      <c r="V1932" t="str">
        <v>x</v>
      </c>
      <c r="W1932">
        <f>D1932</f>
        <v>3</v>
      </c>
      <c r="X1932" t="str">
        <v>x</v>
      </c>
      <c r="Y1932">
        <f>Y1931</f>
        <v>1</v>
      </c>
      <c r="Z1932" t="str">
        <v>=</v>
      </c>
      <c r="AA1932">
        <f>(N1932+P1932*R1932/1000)*U1932*W1932*Y1932</f>
        <v>23.26112451</v>
      </c>
    </row>
    <row r="1934">
      <c r="A1934" t="str">
        <f>A1914</f>
        <v>Sloof</v>
      </c>
      <c r="B1934">
        <f>B1914</f>
        <v>57</v>
      </c>
      <c r="C1934" t="str">
        <v>Sengkang Tumpuan</v>
      </c>
      <c r="D1934">
        <f>VLOOKUP(D1914,'Detail Balok'!$C$10:$AU$110,31,FALSE)</f>
        <v>0</v>
      </c>
      <c r="E1934" t="str">
        <v>D</v>
      </c>
      <c r="F1934">
        <f>VLOOKUP(D1914,'Detail Balok'!$C$10:$AU$110,33,FALSE)</f>
        <v>8</v>
      </c>
      <c r="G1934" t="str">
        <v>-</v>
      </c>
      <c r="H1934">
        <f>VLOOKUP(D1914,'Detail Balok'!$C$10:$AU$110,35,FALSE)</f>
        <v>200</v>
      </c>
      <c r="J1934">
        <f>(IF(D1934=0,(2*(D1915+G1915))-(F$5*8),IF(D1934=3,(2*(D1915+G1915))-(F$5*8)+(G1915-2*F$5),IF(D1934=4,(2*(D1915+G1915))-(F$5*8)+2*(G1915-2*F$5)))))/1000</f>
        <v>0.98</v>
      </c>
      <c r="K1934" t="str">
        <v>+</v>
      </c>
      <c r="L1934">
        <f>IF(D1934=0,2*MAX(6*F1934,75),(D1934-1)*2*MAX(6*F1934,75))/1000</f>
        <v>0.15</v>
      </c>
      <c r="M1934" t="str">
        <v>=</v>
      </c>
      <c r="N1934">
        <f>J1934+L1934</f>
        <v>1.13</v>
      </c>
      <c r="T1934" t="str">
        <v>x</v>
      </c>
      <c r="U1934">
        <f>0.006165*F1934^2</f>
        <v>0.39456</v>
      </c>
      <c r="V1934" t="str">
        <v>x</v>
      </c>
      <c r="W1934">
        <f>IF(D1917&gt;4*G1915,ROUND(MAX(D1917/4,2*G1915)/H1934,0)+1,ROUND(D1917/H1934,0)+1)</f>
        <v>10</v>
      </c>
      <c r="X1934" t="str">
        <v>x</v>
      </c>
      <c r="Y1934">
        <f>D1920</f>
        <v>1</v>
      </c>
      <c r="Z1934" t="str">
        <v>=</v>
      </c>
      <c r="AA1934">
        <f>N1934*U1934*W1934*Y1934</f>
        <v>4.458528</v>
      </c>
    </row>
    <row r="1935">
      <c r="A1935" t="str">
        <f>A1914</f>
        <v>Sloof</v>
      </c>
      <c r="B1935">
        <f>B1914</f>
        <v>57</v>
      </c>
      <c r="C1935" t="str">
        <v>Sengkang Lapangan</v>
      </c>
      <c r="D1935">
        <f>VLOOKUP(D1914,'Detail Balok'!$C$10:$AU$110,36,FALSE)</f>
        <v>0</v>
      </c>
      <c r="E1935" t="str">
        <v>D</v>
      </c>
      <c r="F1935">
        <f>VLOOKUP(D1914,'Detail Balok'!$C$10:$AU$110,38,FALSE)</f>
        <v>8</v>
      </c>
      <c r="G1935" t="str">
        <v>-</v>
      </c>
      <c r="H1935">
        <f>VLOOKUP(D1914,'Detail Balok'!$C$10:$AU$110,40,FALSE)</f>
        <v>200</v>
      </c>
      <c r="J1935">
        <f>(IF(D1935=0,(2*(D1915+G1915))-(F$5*8),IF(D1935=3,(2*(D1915+G1915))-(F$5*8)+(G1915-2*F$5),IF(D1935=4,(2*(D1915+G1915))-(F$5*8)+2*(G1915-2*F$5)))))/1000</f>
        <v>0.98</v>
      </c>
      <c r="K1935" t="str">
        <v>+</v>
      </c>
      <c r="L1935">
        <f>IF(D1935=0,2*MAX(6*F1935,75),(D1935-1)*2*MAX(6*F1935,75))/1000</f>
        <v>0.15</v>
      </c>
      <c r="M1935" t="str">
        <v>=</v>
      </c>
      <c r="N1935">
        <f>J1935+L1935</f>
        <v>1.13</v>
      </c>
      <c r="T1935" t="str">
        <v>x</v>
      </c>
      <c r="U1935">
        <f>0.006165*F1935^2</f>
        <v>0.39456</v>
      </c>
      <c r="V1935" t="str">
        <v>x</v>
      </c>
      <c r="W1935">
        <f>IF(D1917-MAX(D1917/4,2*G1915)*2&gt;0,ROUND((D1917-MAX(D1917/4,2*G1915)*2)/H1935,0),0)</f>
        <v>18</v>
      </c>
      <c r="X1935" t="str">
        <v>x</v>
      </c>
      <c r="Y1935">
        <f>D1920</f>
        <v>1</v>
      </c>
      <c r="Z1935" t="str">
        <v>=</v>
      </c>
      <c r="AA1935">
        <f>N1935*U1935*W1935*Y1935</f>
        <v>8.0253504</v>
      </c>
    </row>
    <row r="1936">
      <c r="A1936" t="str">
        <f>A1914</f>
        <v>Sloof</v>
      </c>
      <c r="B1936">
        <f>B1914</f>
        <v>57</v>
      </c>
      <c r="C1936" t="str">
        <v>Sengkang Tumpuan</v>
      </c>
      <c r="D1936">
        <f>VLOOKUP(D1914,'Detail Balok'!$C$10:$AU$110,41,FALSE)</f>
        <v>0</v>
      </c>
      <c r="E1936" t="str">
        <v>D</v>
      </c>
      <c r="F1936">
        <f>VLOOKUP(D1914,'Detail Balok'!$C$10:$AU$110,43,FALSE)</f>
        <v>8</v>
      </c>
      <c r="G1936" t="str">
        <v>-</v>
      </c>
      <c r="H1936">
        <f>VLOOKUP(D1914,'Detail Balok'!$C$10:$AU$110,45,FALSE)</f>
        <v>200</v>
      </c>
      <c r="J1936">
        <f>(IF(D1936=0,(2*(D1915+G1915))-(F$5*8),IF(D1936=3,(2*(D1915+G1915))-(F$5*8)+(G1915-2*F$5),IF(D1936=4,(2*(D1915+G1915))-(F$5*8)+2*(G1915-2*F$5)))))/1000</f>
        <v>0.98</v>
      </c>
      <c r="K1936" t="str">
        <v>+</v>
      </c>
      <c r="L1936">
        <f>IF(D1936=0,2*MAX(6*F1936,75),(D1936-1)*2*MAX(6*F1936,75))/1000</f>
        <v>0.15</v>
      </c>
      <c r="M1936" t="str">
        <v>=</v>
      </c>
      <c r="N1936">
        <f>J1936+L1936</f>
        <v>1.13</v>
      </c>
      <c r="T1936" t="str">
        <v>x</v>
      </c>
      <c r="U1936">
        <f>0.006165*F1936^2</f>
        <v>0.39456</v>
      </c>
      <c r="V1936" t="str">
        <v>x</v>
      </c>
      <c r="W1936">
        <f>IF(D1917&gt;4*G1915,ROUND(MAX(D1917/4,2*G1915)/H1936,0)+1,0)</f>
        <v>10</v>
      </c>
      <c r="X1936" t="str">
        <v>x</v>
      </c>
      <c r="Y1936">
        <f>D1920</f>
        <v>1</v>
      </c>
      <c r="Z1936" t="str">
        <v>=</v>
      </c>
      <c r="AA1936">
        <f>N1936*U1936*W1936*Y1936</f>
        <v>4.458528</v>
      </c>
    </row>
    <row r="1938">
      <c r="A1938" t="str">
        <f>A1914</f>
        <v>Sloof</v>
      </c>
      <c r="B1938">
        <f>B1914</f>
        <v>57</v>
      </c>
      <c r="C1938" t="str">
        <v>Kait Horizontal Tump.</v>
      </c>
      <c r="D1938">
        <f>VLOOKUP(D1914,'Detail Balok'!$C$10:$BJ$110,46,FALSE)</f>
        <v>0</v>
      </c>
      <c r="E1938" t="str">
        <v>D</v>
      </c>
      <c r="F1938">
        <f>VLOOKUP(D1914,'Detail Balok'!$C$10:$BJ$110,48,FALSE)</f>
        <v>0</v>
      </c>
      <c r="G1938" t="str">
        <v>-</v>
      </c>
      <c r="H1938">
        <f>VLOOKUP(D1914,'Detail Balok'!$C$10:$BJ$110,50,FALSE)</f>
        <v>100</v>
      </c>
      <c r="J1938">
        <f>(D1915-2*F$5)/1000</f>
        <v>0.12</v>
      </c>
      <c r="K1938" t="str">
        <v>+</v>
      </c>
      <c r="L1938">
        <f>IF(D1938=0,2*MAX(6*F1938,75),(D1938-1)*2*MAX(6*F1938,75))/1000</f>
        <v>0.15</v>
      </c>
      <c r="M1938" t="str">
        <v>=</v>
      </c>
      <c r="N1938">
        <f>J1938+L1938</f>
        <v>0.27</v>
      </c>
      <c r="T1938" t="str">
        <v>x</v>
      </c>
      <c r="U1938">
        <f>0.006165*F1938^2</f>
        <v>0</v>
      </c>
      <c r="V1938" t="str">
        <v>x</v>
      </c>
      <c r="W1938">
        <f>W1934</f>
        <v>10</v>
      </c>
      <c r="X1938" t="str">
        <v>x</v>
      </c>
      <c r="Y1938">
        <f>D1924</f>
        <v>3</v>
      </c>
      <c r="Z1938" t="str">
        <v>=</v>
      </c>
      <c r="AA1938">
        <f>N1938*U1938*W1938*Y1938</f>
        <v>0</v>
      </c>
    </row>
    <row r="1939">
      <c r="A1939" t="str">
        <f>A1914</f>
        <v>Sloof</v>
      </c>
      <c r="B1939">
        <f>B1914</f>
        <v>57</v>
      </c>
      <c r="C1939" t="str">
        <v>Kait Horizontal Lap.</v>
      </c>
      <c r="D1939">
        <f>VLOOKUP(D1914,'Detail Balok'!$C$10:$BJ$110,51,FALSE)</f>
        <v>0</v>
      </c>
      <c r="E1939" t="str">
        <v>D</v>
      </c>
      <c r="F1939">
        <f>VLOOKUP(D1914,'Detail Balok'!$C$10:$BJ$110,53,FALSE)</f>
        <v>0</v>
      </c>
      <c r="G1939" t="str">
        <v>-</v>
      </c>
      <c r="H1939">
        <f>VLOOKUP(D1914,'Detail Balok'!$C$10:$BJ$110,55,FALSE)</f>
        <v>100</v>
      </c>
      <c r="J1939">
        <f>(D1915-2*F$5)/1000</f>
        <v>0.12</v>
      </c>
      <c r="K1939" t="str">
        <v>+</v>
      </c>
      <c r="L1939">
        <f>IF(D1939=0,2*MAX(6*F1939,75),(D1939-1)*2*MAX(6*F1939,75))/1000</f>
        <v>0.15</v>
      </c>
      <c r="M1939" t="str">
        <v>=</v>
      </c>
      <c r="N1939">
        <f>J1939+L1939</f>
        <v>0.27</v>
      </c>
      <c r="T1939" t="str">
        <v>x</v>
      </c>
      <c r="U1939">
        <f>0.006165*F1939^2</f>
        <v>0</v>
      </c>
      <c r="V1939" t="str">
        <v>x</v>
      </c>
      <c r="W1939">
        <f>W1935</f>
        <v>18</v>
      </c>
      <c r="X1939" t="str">
        <v>x</v>
      </c>
      <c r="Y1939">
        <f>D1924</f>
        <v>3</v>
      </c>
      <c r="Z1939" t="str">
        <v>=</v>
      </c>
      <c r="AA1939">
        <f>N1939*U1939*W1939*Y1939</f>
        <v>0</v>
      </c>
    </row>
    <row r="1940">
      <c r="A1940" t="str">
        <f>A1914</f>
        <v>Sloof</v>
      </c>
      <c r="B1940">
        <f>B1914</f>
        <v>57</v>
      </c>
      <c r="C1940" t="str">
        <v>Kait Horizontal Tump.</v>
      </c>
      <c r="D1940">
        <f>VLOOKUP(D1914,'Detail Balok'!$C$10:$BJ$110,56,FALSE)</f>
        <v>0</v>
      </c>
      <c r="E1940" t="str">
        <v>D</v>
      </c>
      <c r="F1940">
        <f>VLOOKUP(D1914,'Detail Balok'!$C$10:$BJ$110,58,FALSE)</f>
        <v>0</v>
      </c>
      <c r="G1940" t="str">
        <v>-</v>
      </c>
      <c r="H1940">
        <f>VLOOKUP(D1914,'Detail Balok'!$C$10:$BJ$110,60,FALSE)</f>
        <v>100</v>
      </c>
      <c r="J1940">
        <f>(D1915-2*F$5)/1000</f>
        <v>0.12</v>
      </c>
      <c r="K1940" t="str">
        <v>+</v>
      </c>
      <c r="L1940">
        <f>IF(D1940=0,2*MAX(6*F1940,75),(D1940-1)*2*MAX(6*F1940,75))/1000</f>
        <v>0.15</v>
      </c>
      <c r="M1940" t="str">
        <v>=</v>
      </c>
      <c r="N1940">
        <f>J1940+L1940</f>
        <v>0.27</v>
      </c>
      <c r="T1940" t="str">
        <v>x</v>
      </c>
      <c r="U1940">
        <f>0.006165*F1940^2</f>
        <v>0</v>
      </c>
      <c r="V1940" t="str">
        <v>x</v>
      </c>
      <c r="W1940">
        <f>W1936</f>
        <v>10</v>
      </c>
      <c r="X1940" t="str">
        <v>x</v>
      </c>
      <c r="Y1940">
        <f>D1924</f>
        <v>3</v>
      </c>
      <c r="Z1940" t="str">
        <v>=</v>
      </c>
      <c r="AA1940">
        <f>N1940*U1940*W1940*Y1940</f>
        <v>0</v>
      </c>
    </row>
    <row r="1944">
      <c r="A1944" t="str">
        <f>A1914</f>
        <v>Sloof</v>
      </c>
      <c r="B1944">
        <f>B1914+1</f>
        <v>58</v>
      </c>
      <c r="C1944" t="str">
        <f>CONCATENATE(A1944," no. ",B1944)</f>
        <v>Sloof no. 58</v>
      </c>
      <c r="D1944" t="str">
        <f>VLOOKUP(C1944,'Data Panjang Balok'!$C$9:$N$424,2,FALSE)</f>
        <v>TB245-1</v>
      </c>
    </row>
    <row r="1945">
      <c r="C1945" t="str">
        <v>Dimensi</v>
      </c>
      <c r="D1945">
        <f>VLOOKUP(D1944,'Detail Balok'!$C$10:$AU$110,2,FALSE)</f>
        <v>200</v>
      </c>
      <c r="F1945" t="str">
        <v>x</v>
      </c>
      <c r="G1945">
        <f>VLOOKUP(D1944,'Detail Balok'!$C$10:$AU$110,3,FALSE)</f>
        <v>450</v>
      </c>
    </row>
    <row r="1946">
      <c r="C1946" t="str">
        <v>Panjang as ke as</v>
      </c>
      <c r="D1946">
        <f>VLOOKUP(C1944,'Data Panjang Balok'!$C$9:$N$424,4,FALSE)</f>
        <v>5800</v>
      </c>
    </row>
    <row r="1947">
      <c r="C1947" t="str">
        <v>Panjang netto</v>
      </c>
      <c r="D1947">
        <f>VLOOKUP(C1944,'Data Panjang Balok'!$C$9:$N$424,7,FALSE)</f>
        <v>5800</v>
      </c>
    </row>
    <row r="1948">
      <c r="C1948" t="str">
        <v>Kolom / balok kiri</v>
      </c>
      <c r="D1948">
        <f>VLOOKUP(C1944,'Data Panjang Balok'!$C$9:$N$424,9,FALSE)</f>
        <v>0</v>
      </c>
    </row>
    <row r="1949">
      <c r="C1949" t="str">
        <v>Kolom / balok kanan</v>
      </c>
      <c r="D1949">
        <f>VLOOKUP(C1944,'Data Panjang Balok'!$C$9:$N$424,10,FALSE)</f>
        <v>0</v>
      </c>
    </row>
    <row r="1950">
      <c r="C1950" t="str">
        <v>Jumlah</v>
      </c>
      <c r="D1950">
        <f>VLOOKUP(C1944,'Data Panjang Balok'!$C$9:$N$424,3,FALSE)</f>
        <v>0</v>
      </c>
    </row>
    <row r="1951">
      <c r="A1951" t="str">
        <f>A1944</f>
        <v>Sloof</v>
      </c>
      <c r="B1951">
        <f>B1944</f>
        <v>58</v>
      </c>
      <c r="C1951" t="str">
        <v>Tul Atas Tumpuan</v>
      </c>
      <c r="D1951">
        <f>VLOOKUP(D1944,'Detail Balok'!$C$10:$AU$110,4,FALSE)</f>
        <v>3</v>
      </c>
      <c r="E1951" t="str">
        <v>D</v>
      </c>
      <c r="F1951">
        <f>VLOOKUP(D1944,'Detail Balok'!$C$10:$AU$110,6,FALSE)</f>
        <v>13</v>
      </c>
      <c r="I1951" t="str">
        <v>(</v>
      </c>
      <c r="J1951">
        <f>+D1946/4/1000</f>
        <v>1.45</v>
      </c>
      <c r="K1951" t="str">
        <v>+</v>
      </c>
      <c r="L1951">
        <f>MAX(VLOOKUP(F1951,N$6:P$15,3,FALSE)/1000,2/3*D1948/1000)+F$16*F1951/1000</f>
        <v>0.156</v>
      </c>
      <c r="M1951" t="str">
        <v>=</v>
      </c>
      <c r="N1951">
        <f>J1951+L1951</f>
        <v>1.6059999999999999</v>
      </c>
      <c r="O1951" t="str">
        <v>+</v>
      </c>
      <c r="P1951">
        <f>D1951-D1952</f>
        <v>0</v>
      </c>
      <c r="Q1951" t="str">
        <v>x</v>
      </c>
      <c r="R1951">
        <f>IF(P1951&gt;0,$F$18*F1951/1000,0)</f>
        <v>0</v>
      </c>
      <c r="S1951" t="str">
        <v>)</v>
      </c>
      <c r="T1951" t="str">
        <v>x</v>
      </c>
      <c r="U1951">
        <f>0.006165*F1951^2</f>
        <v>1.041885</v>
      </c>
      <c r="X1951" t="str">
        <v>x</v>
      </c>
      <c r="Y1951">
        <f>D1950</f>
        <v>0</v>
      </c>
      <c r="Z1951" t="str">
        <v>=</v>
      </c>
      <c r="AA1951">
        <f>IF(AA1954=0,(D1951*N1951+P1951*R1951)*U1951*Y1951,0)</f>
        <v>0</v>
      </c>
    </row>
    <row r="1952">
      <c r="A1952" t="str">
        <f>A1944</f>
        <v>Sloof</v>
      </c>
      <c r="B1952">
        <f>B1944</f>
        <v>58</v>
      </c>
      <c r="C1952" t="str">
        <v>Tul Atas Lapangan</v>
      </c>
      <c r="D1952">
        <f>VLOOKUP(D1944,'Detail Balok'!$C$10:$AU$110,7,FALSE)</f>
        <v>3</v>
      </c>
      <c r="E1952" t="str">
        <v>D</v>
      </c>
      <c r="F1952">
        <f>VLOOKUP(D1944,'Detail Balok'!$C$10:$AU$110,9,FALSE)</f>
        <v>13</v>
      </c>
      <c r="I1952" t="str">
        <v>(</v>
      </c>
      <c r="J1952">
        <f>+D1946/2/1000</f>
        <v>2.9</v>
      </c>
      <c r="K1952" t="str">
        <v>+</v>
      </c>
      <c r="M1952" t="str">
        <v>=</v>
      </c>
      <c r="N1952">
        <f>J1952+L1952</f>
        <v>2.9</v>
      </c>
      <c r="O1952" t="str">
        <v>+</v>
      </c>
      <c r="P1952">
        <f>MAX(D1952-D1951,D1952-D1953)</f>
        <v>0</v>
      </c>
      <c r="Q1952" t="str">
        <v>x</v>
      </c>
      <c r="R1952">
        <f>IF(P1952&gt;0,2*(1-2*$F$19-1/2)*D1947/1000,0)</f>
        <v>0</v>
      </c>
      <c r="S1952" t="str">
        <v>)</v>
      </c>
      <c r="T1952" t="str">
        <v>x</v>
      </c>
      <c r="U1952">
        <f>0.006165*F1952^2</f>
        <v>1.041885</v>
      </c>
      <c r="X1952" t="str">
        <v>x</v>
      </c>
      <c r="Y1952">
        <f>D1950</f>
        <v>0</v>
      </c>
      <c r="Z1952" t="str">
        <v>=</v>
      </c>
      <c r="AA1952">
        <f>IF(AA1954=0,(D1952*N1952+P1952*R1952)*U1952*Y1952,0)</f>
        <v>0</v>
      </c>
    </row>
    <row r="1953">
      <c r="A1953" t="str">
        <f>A1944</f>
        <v>Sloof</v>
      </c>
      <c r="B1953">
        <f>B1944</f>
        <v>58</v>
      </c>
      <c r="C1953" t="str">
        <v>Tul Atas Tumpuan</v>
      </c>
      <c r="D1953">
        <f>VLOOKUP(D1944,'Detail Balok'!$C$10:$AU$110,10,FALSE)</f>
        <v>3</v>
      </c>
      <c r="E1953" t="str">
        <v>D</v>
      </c>
      <c r="F1953">
        <f>VLOOKUP(D1944,'Detail Balok'!$C$10:$AU$110,12,FALSE)</f>
        <v>13</v>
      </c>
      <c r="I1953" t="str">
        <v>(</v>
      </c>
      <c r="J1953">
        <f>+D1946/4/1000</f>
        <v>1.45</v>
      </c>
      <c r="K1953" t="str">
        <v>+</v>
      </c>
      <c r="L1953">
        <f>MAX(VLOOKUP(F1953,N$6:P$15,3,FALSE)/1000,2/3*D1948/1000)+F$16*F1953/1000</f>
        <v>0.156</v>
      </c>
      <c r="M1953" t="str">
        <v>=</v>
      </c>
      <c r="N1953">
        <f>J1953+L1953</f>
        <v>1.6059999999999999</v>
      </c>
      <c r="O1953" t="str">
        <v>+</v>
      </c>
      <c r="P1953">
        <f>D1953-D1952</f>
        <v>0</v>
      </c>
      <c r="Q1953" t="str">
        <v>x</v>
      </c>
      <c r="R1953">
        <f>IF(P1953&gt;0,$F$18*F1953/1000,0)</f>
        <v>0</v>
      </c>
      <c r="S1953" t="str">
        <v>)</v>
      </c>
      <c r="T1953" t="str">
        <v>x</v>
      </c>
      <c r="U1953">
        <f>0.006165*F1953^2</f>
        <v>1.041885</v>
      </c>
      <c r="X1953" t="str">
        <v>x</v>
      </c>
      <c r="Y1953">
        <f>D1950</f>
        <v>0</v>
      </c>
      <c r="Z1953" t="str">
        <v>=</v>
      </c>
      <c r="AA1953">
        <f>IF(AA1954=0,(D1953*N1953+P1953*R1953)*U1953*Y1953,0)</f>
        <v>0</v>
      </c>
    </row>
    <row r="1954">
      <c r="A1954" t="str">
        <f>A1944</f>
        <v>Sloof</v>
      </c>
      <c r="B1954">
        <f>B1944</f>
        <v>58</v>
      </c>
      <c r="D1954">
        <f>IF(AND(D1951=D1952,D1952=D1953,D1951=D1953),D1951,0)</f>
        <v>3</v>
      </c>
      <c r="E1954" t="str">
        <v>D</v>
      </c>
      <c r="F1954">
        <f>IF(AND(F1951=F1952,F1951=F1953,F1952=F1953),F1951,0)</f>
        <v>13</v>
      </c>
      <c r="L1954" t="str">
        <v>Total panjang per balok</v>
      </c>
      <c r="M1954" t="str">
        <v>=</v>
      </c>
      <c r="N1954">
        <f>IF(AND(D1951=D1952,D1951=D1953,D1952=D1953,F1951=F1952,F1951=F1953,F1952=F1953),SUM(N1951:N1953),0)</f>
        <v>6.112</v>
      </c>
      <c r="O1954" t="str">
        <v>+</v>
      </c>
      <c r="P1954">
        <f>IF(N1954&gt;12,ROUNDDOWN(N1954/12,0),0)</f>
        <v>0</v>
      </c>
      <c r="Q1954" t="str">
        <v>x</v>
      </c>
      <c r="R1954">
        <f>IF(P1954&gt;0,MAX(VLOOKUP(F1954,$D$6:$G$15,3,FALSE),600),0)/1000</f>
        <v>0</v>
      </c>
      <c r="T1954" t="str">
        <v>x</v>
      </c>
      <c r="U1954">
        <f>U1953</f>
        <v>1.041885</v>
      </c>
      <c r="V1954" t="str">
        <v>x</v>
      </c>
      <c r="W1954">
        <f>D1954</f>
        <v>3</v>
      </c>
      <c r="X1954" t="str">
        <v>x</v>
      </c>
      <c r="Y1954">
        <f>Y1953</f>
        <v>0</v>
      </c>
      <c r="Z1954" t="str">
        <v>=</v>
      </c>
      <c r="AA1954">
        <f>(N1954+P1954*R1954/1000)*U1954*W1954*Y1954</f>
        <v>0</v>
      </c>
    </row>
    <row r="1956">
      <c r="A1956" t="str">
        <f>A1944</f>
        <v>Sloof</v>
      </c>
      <c r="B1956">
        <f>B1944</f>
        <v>58</v>
      </c>
      <c r="C1956" t="str">
        <v>Tul Peminggang</v>
      </c>
      <c r="D1956">
        <f>VLOOKUP(D1944,'Detail Balok'!$C$10:$AU$110,13,FALSE)</f>
        <v>2</v>
      </c>
      <c r="E1956" t="str">
        <v>D</v>
      </c>
      <c r="F1956">
        <f>VLOOKUP(D1944,'Detail Balok'!$C$10:$AU$110,15,FALSE)</f>
        <v>8</v>
      </c>
      <c r="J1956">
        <f>+D1946/1000</f>
        <v>5.8</v>
      </c>
      <c r="K1956" t="str">
        <v>+</v>
      </c>
      <c r="L1956">
        <f>2*$F$16*F1956/1000</f>
        <v>0.192</v>
      </c>
      <c r="M1956" t="str">
        <v>=</v>
      </c>
      <c r="N1956">
        <f>J1956+L1956</f>
        <v>5.992</v>
      </c>
      <c r="O1956" t="str">
        <v>+</v>
      </c>
      <c r="P1956">
        <f>IF(N1956&gt;12,ROUNDDOWN(N1956/12,0),0)</f>
        <v>0</v>
      </c>
      <c r="Q1956" t="str">
        <v>x</v>
      </c>
      <c r="R1956">
        <f>IF(P1956&gt;0,MAX(VLOOKUP(F1956,$D$6:$G$15,3,FALSE),600),0)/1000</f>
        <v>0</v>
      </c>
      <c r="T1956" t="str">
        <v>x</v>
      </c>
      <c r="U1956">
        <f>0.006165*F1956^2</f>
        <v>0.39456</v>
      </c>
      <c r="V1956" t="str">
        <v>x</v>
      </c>
      <c r="W1956">
        <f>+D1956</f>
        <v>2</v>
      </c>
      <c r="X1956" t="str">
        <v>x</v>
      </c>
      <c r="Y1956">
        <f>D1950</f>
        <v>0</v>
      </c>
      <c r="Z1956" t="str">
        <v>=</v>
      </c>
      <c r="AA1956">
        <f>(N1956+P1956*R1956/1000)*U1956*W1956*Y1956</f>
        <v>0</v>
      </c>
    </row>
    <row r="1959">
      <c r="A1959" t="str">
        <f>A1944</f>
        <v>Sloof</v>
      </c>
      <c r="B1959">
        <f>B1944</f>
        <v>58</v>
      </c>
      <c r="C1959" t="str">
        <v>Tul Bawah Tumpuan</v>
      </c>
      <c r="D1959">
        <f>VLOOKUP(D1944,'Detail Balok'!$C$10:$AU$110,22,FALSE)</f>
        <v>3</v>
      </c>
      <c r="E1959" t="str">
        <v>D</v>
      </c>
      <c r="F1959">
        <f>VLOOKUP(D1944,'Detail Balok'!$C$10:$AU$110,24,FALSE)</f>
        <v>13</v>
      </c>
      <c r="I1959" t="str">
        <v>(</v>
      </c>
      <c r="J1959">
        <f>+J1951</f>
        <v>1.45</v>
      </c>
      <c r="K1959" t="str">
        <v>+</v>
      </c>
      <c r="L1959">
        <f>MAX(VLOOKUP(F1959,N$6:P$15,3,FALSE)/1000,2/3*D1949/1000)+F$16*F1959/1000</f>
        <v>0.156</v>
      </c>
      <c r="M1959" t="str">
        <v>=</v>
      </c>
      <c r="N1959">
        <f>J1959+L1959</f>
        <v>1.6059999999999999</v>
      </c>
      <c r="O1959" t="str">
        <v>+</v>
      </c>
      <c r="P1959">
        <f>D1959-D1960</f>
        <v>0</v>
      </c>
      <c r="Q1959" t="str">
        <v>x</v>
      </c>
      <c r="R1959">
        <f>IF(P1959&gt;0,$F$18*F1959/1000,0)</f>
        <v>0</v>
      </c>
      <c r="S1959" t="str">
        <v>)</v>
      </c>
      <c r="T1959" t="str">
        <v>x</v>
      </c>
      <c r="U1959">
        <f>0.006165*F1959^2</f>
        <v>1.041885</v>
      </c>
      <c r="X1959" t="str">
        <v>x</v>
      </c>
      <c r="Y1959">
        <f>D1950</f>
        <v>0</v>
      </c>
      <c r="Z1959" t="str">
        <v>=</v>
      </c>
      <c r="AA1959">
        <f>IF(AA1962=0,(D1959*N1959+P1959*R1959)*U1959*Y1959,0)</f>
        <v>0</v>
      </c>
    </row>
    <row r="1960">
      <c r="A1960" t="str">
        <f>A1944</f>
        <v>Sloof</v>
      </c>
      <c r="B1960">
        <f>B1944</f>
        <v>58</v>
      </c>
      <c r="C1960" t="str">
        <v>Tul Bawah Lapangan</v>
      </c>
      <c r="D1960">
        <f>VLOOKUP(D1944,'Detail Balok'!$C$10:$AU$110,25,FALSE)</f>
        <v>3</v>
      </c>
      <c r="E1960" t="str">
        <v>D</v>
      </c>
      <c r="F1960">
        <f>VLOOKUP(D1944,'Detail Balok'!$C$10:$AU$110,27,FALSE)</f>
        <v>13</v>
      </c>
      <c r="I1960" t="str">
        <v>(</v>
      </c>
      <c r="J1960">
        <f>+J1952</f>
        <v>2.9</v>
      </c>
      <c r="K1960" t="str">
        <v>+</v>
      </c>
      <c r="M1960" t="str">
        <v>=</v>
      </c>
      <c r="N1960">
        <f>J1960+L1960</f>
        <v>2.9</v>
      </c>
      <c r="O1960" t="str">
        <v>+</v>
      </c>
      <c r="P1960">
        <f>MAX(D1960-D1959,D1960-D1961)</f>
        <v>0</v>
      </c>
      <c r="Q1960" t="str">
        <v>x</v>
      </c>
      <c r="R1960">
        <f>IF(P1960&gt;0,2*(1-2*$F$19-1/2)*D1947/1000,0)</f>
        <v>0</v>
      </c>
      <c r="S1960" t="str">
        <v>)</v>
      </c>
      <c r="T1960" t="str">
        <v>x</v>
      </c>
      <c r="U1960">
        <f>0.006165*F1960^2</f>
        <v>1.041885</v>
      </c>
      <c r="X1960" t="str">
        <v>x</v>
      </c>
      <c r="Y1960">
        <f>D1950</f>
        <v>0</v>
      </c>
      <c r="Z1960" t="str">
        <v>=</v>
      </c>
      <c r="AA1960">
        <f>IF(AA1962=0,(D1960*N1960+P1960*R1960)*U1960*Y1960,0)</f>
        <v>0</v>
      </c>
    </row>
    <row r="1961">
      <c r="A1961" t="str">
        <f>A1944</f>
        <v>Sloof</v>
      </c>
      <c r="B1961">
        <f>B1944</f>
        <v>58</v>
      </c>
      <c r="C1961" t="str">
        <v>Tul Bawah Tumpuan</v>
      </c>
      <c r="D1961">
        <f>VLOOKUP(D1944,'Detail Balok'!$C$10:$AU$110,28,FALSE)</f>
        <v>3</v>
      </c>
      <c r="E1961" t="str">
        <v>D</v>
      </c>
      <c r="F1961">
        <f>VLOOKUP(D1944,'Detail Balok'!$C$10:$AU$110,30,FALSE)</f>
        <v>13</v>
      </c>
      <c r="I1961" t="str">
        <v>(</v>
      </c>
      <c r="J1961">
        <f>+J1953</f>
        <v>1.45</v>
      </c>
      <c r="K1961" t="str">
        <v>+</v>
      </c>
      <c r="L1961">
        <f>MAX(VLOOKUP(F1961,N$6:P$15,3,FALSE)/1000,2/3*D1949/1000)+F$16*F1961/1000</f>
        <v>0.156</v>
      </c>
      <c r="M1961" t="str">
        <v>=</v>
      </c>
      <c r="N1961">
        <f>J1961+L1961</f>
        <v>1.6059999999999999</v>
      </c>
      <c r="O1961" t="str">
        <v>+</v>
      </c>
      <c r="P1961">
        <f>D1961-D1960</f>
        <v>0</v>
      </c>
      <c r="Q1961" t="str">
        <v>x</v>
      </c>
      <c r="R1961">
        <f>IF(P1961&gt;0,$F$18*F1961/1000,0)</f>
        <v>0</v>
      </c>
      <c r="S1961" t="str">
        <v>)</v>
      </c>
      <c r="T1961" t="str">
        <v>x</v>
      </c>
      <c r="U1961">
        <f>0.006165*F1961^2</f>
        <v>1.041885</v>
      </c>
      <c r="X1961" t="str">
        <v>x</v>
      </c>
      <c r="Y1961">
        <f>D1950</f>
        <v>0</v>
      </c>
      <c r="Z1961" t="str">
        <v>=</v>
      </c>
      <c r="AA1961">
        <f>IF(AA1962=0,(D1961*N1961+P1961*R1961)*U1961*Y1961,0)</f>
        <v>0</v>
      </c>
    </row>
    <row r="1962">
      <c r="A1962" t="str">
        <f>A1944</f>
        <v>Sloof</v>
      </c>
      <c r="B1962">
        <f>B1944</f>
        <v>58</v>
      </c>
      <c r="D1962">
        <f>IF(AND(D1959=D1960,D1960=D1961,D1959=D1961),D1959,0)</f>
        <v>3</v>
      </c>
      <c r="E1962" t="str">
        <v>D</v>
      </c>
      <c r="F1962">
        <f>IF(AND(F1959=F1960,F1959=F1961,F1960=F1961),F1959,0)</f>
        <v>13</v>
      </c>
      <c r="L1962" t="str">
        <v>Total panjang per balok</v>
      </c>
      <c r="M1962" t="str">
        <v>=</v>
      </c>
      <c r="N1962">
        <f>IF(AND(D1959=D1960,D1959=D1961,D1960=D1961,F1959=F1960,F1959=F1961,F1960=F1961),SUM(N1959:N1961),0)</f>
        <v>6.112</v>
      </c>
      <c r="O1962" t="str">
        <v>+</v>
      </c>
      <c r="P1962">
        <f>IF(N1962&gt;12,ROUNDDOWN(N1962/12,0),0)</f>
        <v>0</v>
      </c>
      <c r="Q1962" t="str">
        <v>x</v>
      </c>
      <c r="R1962">
        <f>IF(P1962&gt;0,MAX(VLOOKUP(F1962,$D$6:$G$15,3,FALSE),600),0)/1000</f>
        <v>0</v>
      </c>
      <c r="T1962" t="str">
        <v>x</v>
      </c>
      <c r="U1962">
        <f>U1961</f>
        <v>1.041885</v>
      </c>
      <c r="V1962" t="str">
        <v>x</v>
      </c>
      <c r="W1962">
        <f>D1962</f>
        <v>3</v>
      </c>
      <c r="X1962" t="str">
        <v>x</v>
      </c>
      <c r="Y1962">
        <f>Y1961</f>
        <v>0</v>
      </c>
      <c r="Z1962" t="str">
        <v>=</v>
      </c>
      <c r="AA1962">
        <f>(N1962+P1962*R1962/1000)*U1962*W1962*Y1962</f>
        <v>0</v>
      </c>
    </row>
    <row r="1964">
      <c r="A1964" t="str">
        <f>A1944</f>
        <v>Sloof</v>
      </c>
      <c r="B1964">
        <f>B1944</f>
        <v>58</v>
      </c>
      <c r="C1964" t="str">
        <v>Sengkang Tumpuan</v>
      </c>
      <c r="D1964">
        <f>VLOOKUP(D1944,'Detail Balok'!$C$10:$AU$110,31,FALSE)</f>
        <v>0</v>
      </c>
      <c r="E1964" t="str">
        <v>D</v>
      </c>
      <c r="F1964">
        <f>VLOOKUP(D1944,'Detail Balok'!$C$10:$AU$110,33,FALSE)</f>
        <v>8</v>
      </c>
      <c r="G1964" t="str">
        <v>-</v>
      </c>
      <c r="H1964">
        <f>VLOOKUP(D1944,'Detail Balok'!$C$10:$AU$110,35,FALSE)</f>
        <v>200</v>
      </c>
      <c r="J1964">
        <f>(IF(D1964=0,(2*(D1945+G1945))-(F$5*8),IF(D1964=3,(2*(D1945+G1945))-(F$5*8)+(G1945-2*F$5),IF(D1964=4,(2*(D1945+G1945))-(F$5*8)+2*(G1945-2*F$5)))))/1000</f>
        <v>0.98</v>
      </c>
      <c r="K1964" t="str">
        <v>+</v>
      </c>
      <c r="L1964">
        <f>IF(D1964=0,2*MAX(6*F1964,75),(D1964-1)*2*MAX(6*F1964,75))/1000</f>
        <v>0.15</v>
      </c>
      <c r="M1964" t="str">
        <v>=</v>
      </c>
      <c r="N1964">
        <f>J1964+L1964</f>
        <v>1.13</v>
      </c>
      <c r="T1964" t="str">
        <v>x</v>
      </c>
      <c r="U1964">
        <f>0.006165*F1964^2</f>
        <v>0.39456</v>
      </c>
      <c r="V1964" t="str">
        <v>x</v>
      </c>
      <c r="W1964">
        <f>IF(D1947&gt;4*G1945,ROUND(MAX(D1947/4,2*G1945)/H1964,0)+1,ROUND(D1947/H1964,0)+1)</f>
        <v>8</v>
      </c>
      <c r="X1964" t="str">
        <v>x</v>
      </c>
      <c r="Y1964">
        <f>D1950</f>
        <v>0</v>
      </c>
      <c r="Z1964" t="str">
        <v>=</v>
      </c>
      <c r="AA1964">
        <f>N1964*U1964*W1964*Y1964</f>
        <v>0</v>
      </c>
    </row>
    <row r="1965">
      <c r="A1965" t="str">
        <f>A1944</f>
        <v>Sloof</v>
      </c>
      <c r="B1965">
        <f>B1944</f>
        <v>58</v>
      </c>
      <c r="C1965" t="str">
        <v>Sengkang Lapangan</v>
      </c>
      <c r="D1965">
        <f>VLOOKUP(D1944,'Detail Balok'!$C$10:$AU$110,36,FALSE)</f>
        <v>0</v>
      </c>
      <c r="E1965" t="str">
        <v>D</v>
      </c>
      <c r="F1965">
        <f>VLOOKUP(D1944,'Detail Balok'!$C$10:$AU$110,38,FALSE)</f>
        <v>8</v>
      </c>
      <c r="G1965" t="str">
        <v>-</v>
      </c>
      <c r="H1965">
        <f>VLOOKUP(D1944,'Detail Balok'!$C$10:$AU$110,40,FALSE)</f>
        <v>200</v>
      </c>
      <c r="J1965">
        <f>(IF(D1965=0,(2*(D1945+G1945))-(F$5*8),IF(D1965=3,(2*(D1945+G1945))-(F$5*8)+(G1945-2*F$5),IF(D1965=4,(2*(D1945+G1945))-(F$5*8)+2*(G1945-2*F$5)))))/1000</f>
        <v>0.98</v>
      </c>
      <c r="K1965" t="str">
        <v>+</v>
      </c>
      <c r="L1965">
        <f>IF(D1965=0,2*MAX(6*F1965,75),(D1965-1)*2*MAX(6*F1965,75))/1000</f>
        <v>0.15</v>
      </c>
      <c r="M1965" t="str">
        <v>=</v>
      </c>
      <c r="N1965">
        <f>J1965+L1965</f>
        <v>1.13</v>
      </c>
      <c r="T1965" t="str">
        <v>x</v>
      </c>
      <c r="U1965">
        <f>0.006165*F1965^2</f>
        <v>0.39456</v>
      </c>
      <c r="V1965" t="str">
        <v>x</v>
      </c>
      <c r="W1965">
        <f>IF(D1947-MAX(D1947/4,2*G1945)*2&gt;0,ROUND((D1947-MAX(D1947/4,2*G1945)*2)/H1965,0),0)</f>
        <v>15</v>
      </c>
      <c r="X1965" t="str">
        <v>x</v>
      </c>
      <c r="Y1965">
        <f>D1950</f>
        <v>0</v>
      </c>
      <c r="Z1965" t="str">
        <v>=</v>
      </c>
      <c r="AA1965">
        <f>N1965*U1965*W1965*Y1965</f>
        <v>0</v>
      </c>
    </row>
    <row r="1966">
      <c r="A1966" t="str">
        <f>A1944</f>
        <v>Sloof</v>
      </c>
      <c r="B1966">
        <f>B1944</f>
        <v>58</v>
      </c>
      <c r="C1966" t="str">
        <v>Sengkang Tumpuan</v>
      </c>
      <c r="D1966">
        <f>VLOOKUP(D1944,'Detail Balok'!$C$10:$AU$110,41,FALSE)</f>
        <v>0</v>
      </c>
      <c r="E1966" t="str">
        <v>D</v>
      </c>
      <c r="F1966">
        <f>VLOOKUP(D1944,'Detail Balok'!$C$10:$AU$110,43,FALSE)</f>
        <v>8</v>
      </c>
      <c r="G1966" t="str">
        <v>-</v>
      </c>
      <c r="H1966">
        <f>VLOOKUP(D1944,'Detail Balok'!$C$10:$AU$110,45,FALSE)</f>
        <v>200</v>
      </c>
      <c r="J1966">
        <f>(IF(D1966=0,(2*(D1945+G1945))-(F$5*8),IF(D1966=3,(2*(D1945+G1945))-(F$5*8)+(G1945-2*F$5),IF(D1966=4,(2*(D1945+G1945))-(F$5*8)+2*(G1945-2*F$5)))))/1000</f>
        <v>0.98</v>
      </c>
      <c r="K1966" t="str">
        <v>+</v>
      </c>
      <c r="L1966">
        <f>IF(D1966=0,2*MAX(6*F1966,75),(D1966-1)*2*MAX(6*F1966,75))/1000</f>
        <v>0.15</v>
      </c>
      <c r="M1966" t="str">
        <v>=</v>
      </c>
      <c r="N1966">
        <f>J1966+L1966</f>
        <v>1.13</v>
      </c>
      <c r="T1966" t="str">
        <v>x</v>
      </c>
      <c r="U1966">
        <f>0.006165*F1966^2</f>
        <v>0.39456</v>
      </c>
      <c r="V1966" t="str">
        <v>x</v>
      </c>
      <c r="W1966">
        <f>IF(D1947&gt;4*G1945,ROUND(MAX(D1947/4,2*G1945)/H1966,0)+1,0)</f>
        <v>8</v>
      </c>
      <c r="X1966" t="str">
        <v>x</v>
      </c>
      <c r="Y1966">
        <f>D1950</f>
        <v>0</v>
      </c>
      <c r="Z1966" t="str">
        <v>=</v>
      </c>
      <c r="AA1966">
        <f>N1966*U1966*W1966*Y1966</f>
        <v>0</v>
      </c>
    </row>
    <row r="1968">
      <c r="A1968" t="str">
        <f>A1944</f>
        <v>Sloof</v>
      </c>
      <c r="B1968">
        <f>B1944</f>
        <v>58</v>
      </c>
      <c r="C1968" t="str">
        <v>Kait Horizontal Tump.</v>
      </c>
      <c r="D1968">
        <f>VLOOKUP(D1944,'Detail Balok'!$C$10:$BJ$110,46,FALSE)</f>
        <v>0</v>
      </c>
      <c r="E1968" t="str">
        <v>D</v>
      </c>
      <c r="F1968">
        <f>VLOOKUP(D1944,'Detail Balok'!$C$10:$BJ$110,48,FALSE)</f>
        <v>0</v>
      </c>
      <c r="G1968" t="str">
        <v>-</v>
      </c>
      <c r="H1968">
        <f>VLOOKUP(D1944,'Detail Balok'!$C$10:$BJ$110,50,FALSE)</f>
        <v>100</v>
      </c>
      <c r="J1968">
        <f>(D1945-2*F$5)/1000</f>
        <v>0.12</v>
      </c>
      <c r="K1968" t="str">
        <v>+</v>
      </c>
      <c r="L1968">
        <f>IF(D1968=0,2*MAX(6*F1968,75),(D1968-1)*2*MAX(6*F1968,75))/1000</f>
        <v>0.15</v>
      </c>
      <c r="M1968" t="str">
        <v>=</v>
      </c>
      <c r="N1968">
        <f>J1968+L1968</f>
        <v>0.27</v>
      </c>
      <c r="T1968" t="str">
        <v>x</v>
      </c>
      <c r="U1968">
        <f>0.006165*F1968^2</f>
        <v>0</v>
      </c>
      <c r="V1968" t="str">
        <v>x</v>
      </c>
      <c r="W1968">
        <f>W1964</f>
        <v>8</v>
      </c>
      <c r="X1968" t="str">
        <v>x</v>
      </c>
      <c r="Y1968">
        <f>D1954</f>
        <v>3</v>
      </c>
      <c r="Z1968" t="str">
        <v>=</v>
      </c>
      <c r="AA1968">
        <f>N1968*U1968*W1968*Y1968</f>
        <v>0</v>
      </c>
    </row>
    <row r="1969">
      <c r="A1969" t="str">
        <f>A1944</f>
        <v>Sloof</v>
      </c>
      <c r="B1969">
        <f>B1944</f>
        <v>58</v>
      </c>
      <c r="C1969" t="str">
        <v>Kait Horizontal Lap.</v>
      </c>
      <c r="D1969">
        <f>VLOOKUP(D1944,'Detail Balok'!$C$10:$BJ$110,51,FALSE)</f>
        <v>0</v>
      </c>
      <c r="E1969" t="str">
        <v>D</v>
      </c>
      <c r="F1969">
        <f>VLOOKUP(D1944,'Detail Balok'!$C$10:$BJ$110,53,FALSE)</f>
        <v>0</v>
      </c>
      <c r="G1969" t="str">
        <v>-</v>
      </c>
      <c r="H1969">
        <f>VLOOKUP(D1944,'Detail Balok'!$C$10:$BJ$110,55,FALSE)</f>
        <v>100</v>
      </c>
      <c r="J1969">
        <f>(D1945-2*F$5)/1000</f>
        <v>0.12</v>
      </c>
      <c r="K1969" t="str">
        <v>+</v>
      </c>
      <c r="L1969">
        <f>IF(D1969=0,2*MAX(6*F1969,75),(D1969-1)*2*MAX(6*F1969,75))/1000</f>
        <v>0.15</v>
      </c>
      <c r="M1969" t="str">
        <v>=</v>
      </c>
      <c r="N1969">
        <f>J1969+L1969</f>
        <v>0.27</v>
      </c>
      <c r="T1969" t="str">
        <v>x</v>
      </c>
      <c r="U1969">
        <f>0.006165*F1969^2</f>
        <v>0</v>
      </c>
      <c r="V1969" t="str">
        <v>x</v>
      </c>
      <c r="W1969">
        <f>W1965</f>
        <v>15</v>
      </c>
      <c r="X1969" t="str">
        <v>x</v>
      </c>
      <c r="Y1969">
        <f>D1954</f>
        <v>3</v>
      </c>
      <c r="Z1969" t="str">
        <v>=</v>
      </c>
      <c r="AA1969">
        <f>N1969*U1969*W1969*Y1969</f>
        <v>0</v>
      </c>
    </row>
    <row r="1970">
      <c r="A1970" t="str">
        <f>A1944</f>
        <v>Sloof</v>
      </c>
      <c r="B1970">
        <f>B1944</f>
        <v>58</v>
      </c>
      <c r="C1970" t="str">
        <v>Kait Horizontal Tump.</v>
      </c>
      <c r="D1970">
        <f>VLOOKUP(D1944,'Detail Balok'!$C$10:$BJ$110,56,FALSE)</f>
        <v>0</v>
      </c>
      <c r="E1970" t="str">
        <v>D</v>
      </c>
      <c r="F1970">
        <f>VLOOKUP(D1944,'Detail Balok'!$C$10:$BJ$110,58,FALSE)</f>
        <v>0</v>
      </c>
      <c r="G1970" t="str">
        <v>-</v>
      </c>
      <c r="H1970">
        <f>VLOOKUP(D1944,'Detail Balok'!$C$10:$BJ$110,60,FALSE)</f>
        <v>100</v>
      </c>
      <c r="J1970">
        <f>(D1945-2*F$5)/1000</f>
        <v>0.12</v>
      </c>
      <c r="K1970" t="str">
        <v>+</v>
      </c>
      <c r="L1970">
        <f>IF(D1970=0,2*MAX(6*F1970,75),(D1970-1)*2*MAX(6*F1970,75))/1000</f>
        <v>0.15</v>
      </c>
      <c r="M1970" t="str">
        <v>=</v>
      </c>
      <c r="N1970">
        <f>J1970+L1970</f>
        <v>0.27</v>
      </c>
      <c r="T1970" t="str">
        <v>x</v>
      </c>
      <c r="U1970">
        <f>0.006165*F1970^2</f>
        <v>0</v>
      </c>
      <c r="V1970" t="str">
        <v>x</v>
      </c>
      <c r="W1970">
        <f>W1966</f>
        <v>8</v>
      </c>
      <c r="X1970" t="str">
        <v>x</v>
      </c>
      <c r="Y1970">
        <f>D1954</f>
        <v>3</v>
      </c>
      <c r="Z1970" t="str">
        <v>=</v>
      </c>
      <c r="AA1970">
        <f>N1970*U1970*W1970*Y1970</f>
        <v>0</v>
      </c>
    </row>
    <row r="1974">
      <c r="A1974" t="str">
        <f>A1944</f>
        <v>Sloof</v>
      </c>
      <c r="B1974">
        <f>B1944+1</f>
        <v>59</v>
      </c>
      <c r="C1974" t="str">
        <f>CONCATENATE(A1974," no. ",B1974)</f>
        <v>Sloof no. 59</v>
      </c>
      <c r="D1974" t="str">
        <f>VLOOKUP(C1974,'Data Panjang Balok'!$C$9:$N$424,2,FALSE)</f>
        <v>TB245-1</v>
      </c>
    </row>
    <row r="1975">
      <c r="C1975" t="str">
        <v>Dimensi</v>
      </c>
      <c r="D1975">
        <f>VLOOKUP(D1974,'Detail Balok'!$C$10:$AU$110,2,FALSE)</f>
        <v>200</v>
      </c>
      <c r="F1975" t="str">
        <v>x</v>
      </c>
      <c r="G1975">
        <f>VLOOKUP(D1974,'Detail Balok'!$C$10:$AU$110,3,FALSE)</f>
        <v>450</v>
      </c>
    </row>
    <row r="1976">
      <c r="C1976" t="str">
        <v>Panjang as ke as</v>
      </c>
      <c r="D1976">
        <f>VLOOKUP(C1974,'Data Panjang Balok'!$C$9:$N$424,4,FALSE)</f>
        <v>9250</v>
      </c>
    </row>
    <row r="1977">
      <c r="C1977" t="str">
        <v>Panjang netto</v>
      </c>
      <c r="D1977">
        <f>VLOOKUP(C1974,'Data Panjang Balok'!$C$9:$N$424,7,FALSE)</f>
        <v>9250</v>
      </c>
    </row>
    <row r="1978">
      <c r="C1978" t="str">
        <v>Kolom / balok kiri</v>
      </c>
      <c r="D1978">
        <f>VLOOKUP(C1974,'Data Panjang Balok'!$C$9:$N$424,9,FALSE)</f>
        <v>0</v>
      </c>
    </row>
    <row r="1979">
      <c r="C1979" t="str">
        <v>Kolom / balok kanan</v>
      </c>
      <c r="D1979">
        <f>VLOOKUP(C1974,'Data Panjang Balok'!$C$9:$N$424,10,FALSE)</f>
        <v>0</v>
      </c>
    </row>
    <row r="1980">
      <c r="C1980" t="str">
        <v>Jumlah</v>
      </c>
      <c r="D1980">
        <f>VLOOKUP(C1974,'Data Panjang Balok'!$C$9:$N$424,3,FALSE)</f>
        <v>1</v>
      </c>
    </row>
    <row r="1981">
      <c r="A1981" t="str">
        <f>A1974</f>
        <v>Sloof</v>
      </c>
      <c r="B1981">
        <f>B1974</f>
        <v>59</v>
      </c>
      <c r="C1981" t="str">
        <v>Tul Atas Tumpuan</v>
      </c>
      <c r="D1981">
        <f>VLOOKUP(D1974,'Detail Balok'!$C$10:$AU$110,4,FALSE)</f>
        <v>3</v>
      </c>
      <c r="E1981" t="str">
        <v>D</v>
      </c>
      <c r="F1981">
        <f>VLOOKUP(D1974,'Detail Balok'!$C$10:$AU$110,6,FALSE)</f>
        <v>13</v>
      </c>
      <c r="I1981" t="str">
        <v>(</v>
      </c>
      <c r="J1981">
        <f>+D1976/4/1000</f>
        <v>2.3125</v>
      </c>
      <c r="K1981" t="str">
        <v>+</v>
      </c>
      <c r="L1981">
        <f>MAX(VLOOKUP(F1981,N$6:P$15,3,FALSE)/1000,2/3*D1978/1000)+F$16*F1981/1000</f>
        <v>0.156</v>
      </c>
      <c r="M1981" t="str">
        <v>=</v>
      </c>
      <c r="N1981">
        <f>J1981+L1981</f>
        <v>2.4685</v>
      </c>
      <c r="O1981" t="str">
        <v>+</v>
      </c>
      <c r="P1981">
        <f>D1981-D1982</f>
        <v>0</v>
      </c>
      <c r="Q1981" t="str">
        <v>x</v>
      </c>
      <c r="R1981">
        <f>IF(P1981&gt;0,$F$18*F1981/1000,0)</f>
        <v>0</v>
      </c>
      <c r="S1981" t="str">
        <v>)</v>
      </c>
      <c r="T1981" t="str">
        <v>x</v>
      </c>
      <c r="U1981">
        <f>0.006165*F1981^2</f>
        <v>1.041885</v>
      </c>
      <c r="X1981" t="str">
        <v>x</v>
      </c>
      <c r="Y1981">
        <f>D1980</f>
        <v>1</v>
      </c>
      <c r="Z1981" t="str">
        <v>=</v>
      </c>
      <c r="AA1981">
        <f>IF(AA1984=0,(D1981*N1981+P1981*R1981)*U1981*Y1981,0)</f>
        <v>0</v>
      </c>
    </row>
    <row r="1982">
      <c r="A1982" t="str">
        <f>A1974</f>
        <v>Sloof</v>
      </c>
      <c r="B1982">
        <f>B1974</f>
        <v>59</v>
      </c>
      <c r="C1982" t="str">
        <v>Tul Atas Lapangan</v>
      </c>
      <c r="D1982">
        <f>VLOOKUP(D1974,'Detail Balok'!$C$10:$AU$110,7,FALSE)</f>
        <v>3</v>
      </c>
      <c r="E1982" t="str">
        <v>D</v>
      </c>
      <c r="F1982">
        <f>VLOOKUP(D1974,'Detail Balok'!$C$10:$AU$110,9,FALSE)</f>
        <v>13</v>
      </c>
      <c r="I1982" t="str">
        <v>(</v>
      </c>
      <c r="J1982">
        <f>+D1976/2/1000</f>
        <v>4.625</v>
      </c>
      <c r="K1982" t="str">
        <v>+</v>
      </c>
      <c r="M1982" t="str">
        <v>=</v>
      </c>
      <c r="N1982">
        <f>J1982+L1982</f>
        <v>4.625</v>
      </c>
      <c r="O1982" t="str">
        <v>+</v>
      </c>
      <c r="P1982">
        <f>MAX(D1982-D1981,D1982-D1983)</f>
        <v>0</v>
      </c>
      <c r="Q1982" t="str">
        <v>x</v>
      </c>
      <c r="R1982">
        <f>IF(P1982&gt;0,2*(1-2*$F$19-1/2)*D1977/1000,0)</f>
        <v>0</v>
      </c>
      <c r="S1982" t="str">
        <v>)</v>
      </c>
      <c r="T1982" t="str">
        <v>x</v>
      </c>
      <c r="U1982">
        <f>0.006165*F1982^2</f>
        <v>1.041885</v>
      </c>
      <c r="X1982" t="str">
        <v>x</v>
      </c>
      <c r="Y1982">
        <f>D1980</f>
        <v>1</v>
      </c>
      <c r="Z1982" t="str">
        <v>=</v>
      </c>
      <c r="AA1982">
        <f>IF(AA1984=0,(D1982*N1982+P1982*R1982)*U1982*Y1982,0)</f>
        <v>0</v>
      </c>
    </row>
    <row r="1983">
      <c r="A1983" t="str">
        <f>A1974</f>
        <v>Sloof</v>
      </c>
      <c r="B1983">
        <f>B1974</f>
        <v>59</v>
      </c>
      <c r="C1983" t="str">
        <v>Tul Atas Tumpuan</v>
      </c>
      <c r="D1983">
        <f>VLOOKUP(D1974,'Detail Balok'!$C$10:$AU$110,10,FALSE)</f>
        <v>3</v>
      </c>
      <c r="E1983" t="str">
        <v>D</v>
      </c>
      <c r="F1983">
        <f>VLOOKUP(D1974,'Detail Balok'!$C$10:$AU$110,12,FALSE)</f>
        <v>13</v>
      </c>
      <c r="I1983" t="str">
        <v>(</v>
      </c>
      <c r="J1983">
        <f>+D1976/4/1000</f>
        <v>2.3125</v>
      </c>
      <c r="K1983" t="str">
        <v>+</v>
      </c>
      <c r="L1983">
        <f>MAX(VLOOKUP(F1983,N$6:P$15,3,FALSE)/1000,2/3*D1978/1000)+F$16*F1983/1000</f>
        <v>0.156</v>
      </c>
      <c r="M1983" t="str">
        <v>=</v>
      </c>
      <c r="N1983">
        <f>J1983+L1983</f>
        <v>2.4685</v>
      </c>
      <c r="O1983" t="str">
        <v>+</v>
      </c>
      <c r="P1983">
        <f>D1983-D1982</f>
        <v>0</v>
      </c>
      <c r="Q1983" t="str">
        <v>x</v>
      </c>
      <c r="R1983">
        <f>IF(P1983&gt;0,$F$18*F1983/1000,0)</f>
        <v>0</v>
      </c>
      <c r="S1983" t="str">
        <v>)</v>
      </c>
      <c r="T1983" t="str">
        <v>x</v>
      </c>
      <c r="U1983">
        <f>0.006165*F1983^2</f>
        <v>1.041885</v>
      </c>
      <c r="X1983" t="str">
        <v>x</v>
      </c>
      <c r="Y1983">
        <f>D1980</f>
        <v>1</v>
      </c>
      <c r="Z1983" t="str">
        <v>=</v>
      </c>
      <c r="AA1983">
        <f>IF(AA1984=0,(D1983*N1983+P1983*R1983)*U1983*Y1983,0)</f>
        <v>0</v>
      </c>
    </row>
    <row r="1984">
      <c r="A1984" t="str">
        <f>A1974</f>
        <v>Sloof</v>
      </c>
      <c r="B1984">
        <f>B1974</f>
        <v>59</v>
      </c>
      <c r="D1984">
        <f>IF(AND(D1981=D1982,D1982=D1983,D1981=D1983),D1981,0)</f>
        <v>3</v>
      </c>
      <c r="E1984" t="str">
        <v>D</v>
      </c>
      <c r="F1984">
        <f>IF(AND(F1981=F1982,F1981=F1983,F1982=F1983),F1981,0)</f>
        <v>13</v>
      </c>
      <c r="L1984" t="str">
        <v>Total panjang per balok</v>
      </c>
      <c r="M1984" t="str">
        <v>=</v>
      </c>
      <c r="N1984">
        <f>IF(AND(D1981=D1982,D1981=D1983,D1982=D1983,F1981=F1982,F1981=F1983,F1982=F1983),SUM(N1981:N1983),0)</f>
        <v>9.562000000000001</v>
      </c>
      <c r="O1984" t="str">
        <v>+</v>
      </c>
      <c r="P1984">
        <f>IF(N1984&gt;12,ROUNDDOWN(N1984/12,0),0)</f>
        <v>0</v>
      </c>
      <c r="Q1984" t="str">
        <v>x</v>
      </c>
      <c r="R1984">
        <f>IF(P1984&gt;0,MAX(VLOOKUP(F1984,$D$6:$G$15,3,FALSE),600),0)/1000</f>
        <v>0</v>
      </c>
      <c r="T1984" t="str">
        <v>x</v>
      </c>
      <c r="U1984">
        <f>U1983</f>
        <v>1.041885</v>
      </c>
      <c r="V1984" t="str">
        <v>x</v>
      </c>
      <c r="W1984">
        <f>D1984</f>
        <v>3</v>
      </c>
      <c r="X1984" t="str">
        <v>x</v>
      </c>
      <c r="Y1984">
        <f>Y1983</f>
        <v>1</v>
      </c>
      <c r="Z1984" t="str">
        <v>=</v>
      </c>
      <c r="AA1984">
        <f>(N1984+P1984*R1984/1000)*U1984*W1984*Y1984</f>
        <v>29.887513110000004</v>
      </c>
    </row>
    <row r="1986">
      <c r="A1986" t="str">
        <f>A1974</f>
        <v>Sloof</v>
      </c>
      <c r="B1986">
        <f>B1974</f>
        <v>59</v>
      </c>
      <c r="C1986" t="str">
        <v>Tul Peminggang</v>
      </c>
      <c r="D1986">
        <f>VLOOKUP(D1974,'Detail Balok'!$C$10:$AU$110,13,FALSE)</f>
        <v>2</v>
      </c>
      <c r="E1986" t="str">
        <v>D</v>
      </c>
      <c r="F1986">
        <f>VLOOKUP(D1974,'Detail Balok'!$C$10:$AU$110,15,FALSE)</f>
        <v>8</v>
      </c>
      <c r="J1986">
        <f>+D1976/1000</f>
        <v>9.25</v>
      </c>
      <c r="K1986" t="str">
        <v>+</v>
      </c>
      <c r="L1986">
        <f>2*$F$16*F1986/1000</f>
        <v>0.192</v>
      </c>
      <c r="M1986" t="str">
        <v>=</v>
      </c>
      <c r="N1986">
        <f>J1986+L1986</f>
        <v>9.442</v>
      </c>
      <c r="O1986" t="str">
        <v>+</v>
      </c>
      <c r="P1986">
        <f>IF(N1986&gt;12,ROUNDDOWN(N1986/12,0),0)</f>
        <v>0</v>
      </c>
      <c r="Q1986" t="str">
        <v>x</v>
      </c>
      <c r="R1986">
        <f>IF(P1986&gt;0,MAX(VLOOKUP(F1986,$D$6:$G$15,3,FALSE),600),0)/1000</f>
        <v>0</v>
      </c>
      <c r="T1986" t="str">
        <v>x</v>
      </c>
      <c r="U1986">
        <f>0.006165*F1986^2</f>
        <v>0.39456</v>
      </c>
      <c r="V1986" t="str">
        <v>x</v>
      </c>
      <c r="W1986">
        <f>+D1986</f>
        <v>2</v>
      </c>
      <c r="X1986" t="str">
        <v>x</v>
      </c>
      <c r="Y1986">
        <f>D1980</f>
        <v>1</v>
      </c>
      <c r="Z1986" t="str">
        <v>=</v>
      </c>
      <c r="AA1986">
        <f>(N1986+P1986*R1986/1000)*U1986*W1986*Y1986</f>
        <v>7.450871040000001</v>
      </c>
    </row>
    <row r="1989">
      <c r="A1989" t="str">
        <f>A1974</f>
        <v>Sloof</v>
      </c>
      <c r="B1989">
        <f>B1974</f>
        <v>59</v>
      </c>
      <c r="C1989" t="str">
        <v>Tul Bawah Tumpuan</v>
      </c>
      <c r="D1989">
        <f>VLOOKUP(D1974,'Detail Balok'!$C$10:$AU$110,22,FALSE)</f>
        <v>3</v>
      </c>
      <c r="E1989" t="str">
        <v>D</v>
      </c>
      <c r="F1989">
        <f>VLOOKUP(D1974,'Detail Balok'!$C$10:$AU$110,24,FALSE)</f>
        <v>13</v>
      </c>
      <c r="I1989" t="str">
        <v>(</v>
      </c>
      <c r="J1989">
        <f>+J1981</f>
        <v>2.3125</v>
      </c>
      <c r="K1989" t="str">
        <v>+</v>
      </c>
      <c r="L1989">
        <f>MAX(VLOOKUP(F1989,N$6:P$15,3,FALSE)/1000,2/3*D1979/1000)+F$16*F1989/1000</f>
        <v>0.156</v>
      </c>
      <c r="M1989" t="str">
        <v>=</v>
      </c>
      <c r="N1989">
        <f>J1989+L1989</f>
        <v>2.4685</v>
      </c>
      <c r="O1989" t="str">
        <v>+</v>
      </c>
      <c r="P1989">
        <f>D1989-D1990</f>
        <v>0</v>
      </c>
      <c r="Q1989" t="str">
        <v>x</v>
      </c>
      <c r="R1989">
        <f>IF(P1989&gt;0,$F$18*F1989/1000,0)</f>
        <v>0</v>
      </c>
      <c r="S1989" t="str">
        <v>)</v>
      </c>
      <c r="T1989" t="str">
        <v>x</v>
      </c>
      <c r="U1989">
        <f>0.006165*F1989^2</f>
        <v>1.041885</v>
      </c>
      <c r="X1989" t="str">
        <v>x</v>
      </c>
      <c r="Y1989">
        <f>D1980</f>
        <v>1</v>
      </c>
      <c r="Z1989" t="str">
        <v>=</v>
      </c>
      <c r="AA1989">
        <f>IF(AA1992=0,(D1989*N1989+P1989*R1989)*U1989*Y1989,0)</f>
        <v>0</v>
      </c>
    </row>
    <row r="1990">
      <c r="A1990" t="str">
        <f>A1974</f>
        <v>Sloof</v>
      </c>
      <c r="B1990">
        <f>B1974</f>
        <v>59</v>
      </c>
      <c r="C1990" t="str">
        <v>Tul Bawah Lapangan</v>
      </c>
      <c r="D1990">
        <f>VLOOKUP(D1974,'Detail Balok'!$C$10:$AU$110,25,FALSE)</f>
        <v>3</v>
      </c>
      <c r="E1990" t="str">
        <v>D</v>
      </c>
      <c r="F1990">
        <f>VLOOKUP(D1974,'Detail Balok'!$C$10:$AU$110,27,FALSE)</f>
        <v>13</v>
      </c>
      <c r="I1990" t="str">
        <v>(</v>
      </c>
      <c r="J1990">
        <f>+J1982</f>
        <v>4.625</v>
      </c>
      <c r="K1990" t="str">
        <v>+</v>
      </c>
      <c r="M1990" t="str">
        <v>=</v>
      </c>
      <c r="N1990">
        <f>J1990+L1990</f>
        <v>4.625</v>
      </c>
      <c r="O1990" t="str">
        <v>+</v>
      </c>
      <c r="P1990">
        <f>MAX(D1990-D1989,D1990-D1991)</f>
        <v>0</v>
      </c>
      <c r="Q1990" t="str">
        <v>x</v>
      </c>
      <c r="R1990">
        <f>IF(P1990&gt;0,2*(1-2*$F$19-1/2)*D1977/1000,0)</f>
        <v>0</v>
      </c>
      <c r="S1990" t="str">
        <v>)</v>
      </c>
      <c r="T1990" t="str">
        <v>x</v>
      </c>
      <c r="U1990">
        <f>0.006165*F1990^2</f>
        <v>1.041885</v>
      </c>
      <c r="X1990" t="str">
        <v>x</v>
      </c>
      <c r="Y1990">
        <f>D1980</f>
        <v>1</v>
      </c>
      <c r="Z1990" t="str">
        <v>=</v>
      </c>
      <c r="AA1990">
        <f>IF(AA1992=0,(D1990*N1990+P1990*R1990)*U1990*Y1990,0)</f>
        <v>0</v>
      </c>
    </row>
    <row r="1991">
      <c r="A1991" t="str">
        <f>A1974</f>
        <v>Sloof</v>
      </c>
      <c r="B1991">
        <f>B1974</f>
        <v>59</v>
      </c>
      <c r="C1991" t="str">
        <v>Tul Bawah Tumpuan</v>
      </c>
      <c r="D1991">
        <f>VLOOKUP(D1974,'Detail Balok'!$C$10:$AU$110,28,FALSE)</f>
        <v>3</v>
      </c>
      <c r="E1991" t="str">
        <v>D</v>
      </c>
      <c r="F1991">
        <f>VLOOKUP(D1974,'Detail Balok'!$C$10:$AU$110,30,FALSE)</f>
        <v>13</v>
      </c>
      <c r="I1991" t="str">
        <v>(</v>
      </c>
      <c r="J1991">
        <f>+J1983</f>
        <v>2.3125</v>
      </c>
      <c r="K1991" t="str">
        <v>+</v>
      </c>
      <c r="L1991">
        <f>MAX(VLOOKUP(F1991,N$6:P$15,3,FALSE)/1000,2/3*D1979/1000)+F$16*F1991/1000</f>
        <v>0.156</v>
      </c>
      <c r="M1991" t="str">
        <v>=</v>
      </c>
      <c r="N1991">
        <f>J1991+L1991</f>
        <v>2.4685</v>
      </c>
      <c r="O1991" t="str">
        <v>+</v>
      </c>
      <c r="P1991">
        <f>D1991-D1990</f>
        <v>0</v>
      </c>
      <c r="Q1991" t="str">
        <v>x</v>
      </c>
      <c r="R1991">
        <f>IF(P1991&gt;0,$F$18*F1991/1000,0)</f>
        <v>0</v>
      </c>
      <c r="S1991" t="str">
        <v>)</v>
      </c>
      <c r="T1991" t="str">
        <v>x</v>
      </c>
      <c r="U1991">
        <f>0.006165*F1991^2</f>
        <v>1.041885</v>
      </c>
      <c r="X1991" t="str">
        <v>x</v>
      </c>
      <c r="Y1991">
        <f>D1980</f>
        <v>1</v>
      </c>
      <c r="Z1991" t="str">
        <v>=</v>
      </c>
      <c r="AA1991">
        <f>IF(AA1992=0,(D1991*N1991+P1991*R1991)*U1991*Y1991,0)</f>
        <v>0</v>
      </c>
    </row>
    <row r="1992">
      <c r="A1992" t="str">
        <f>A1974</f>
        <v>Sloof</v>
      </c>
      <c r="B1992">
        <f>B1974</f>
        <v>59</v>
      </c>
      <c r="D1992">
        <f>IF(AND(D1989=D1990,D1990=D1991,D1989=D1991),D1989,0)</f>
        <v>3</v>
      </c>
      <c r="E1992" t="str">
        <v>D</v>
      </c>
      <c r="F1992">
        <f>IF(AND(F1989=F1990,F1989=F1991,F1990=F1991),F1989,0)</f>
        <v>13</v>
      </c>
      <c r="L1992" t="str">
        <v>Total panjang per balok</v>
      </c>
      <c r="M1992" t="str">
        <v>=</v>
      </c>
      <c r="N1992">
        <f>IF(AND(D1989=D1990,D1989=D1991,D1990=D1991,F1989=F1990,F1989=F1991,F1990=F1991),SUM(N1989:N1991),0)</f>
        <v>9.562000000000001</v>
      </c>
      <c r="O1992" t="str">
        <v>+</v>
      </c>
      <c r="P1992">
        <f>IF(N1992&gt;12,ROUNDDOWN(N1992/12,0),0)</f>
        <v>0</v>
      </c>
      <c r="Q1992" t="str">
        <v>x</v>
      </c>
      <c r="R1992">
        <f>IF(P1992&gt;0,MAX(VLOOKUP(F1992,$D$6:$G$15,3,FALSE),600),0)/1000</f>
        <v>0</v>
      </c>
      <c r="T1992" t="str">
        <v>x</v>
      </c>
      <c r="U1992">
        <f>U1991</f>
        <v>1.041885</v>
      </c>
      <c r="V1992" t="str">
        <v>x</v>
      </c>
      <c r="W1992">
        <f>D1992</f>
        <v>3</v>
      </c>
      <c r="X1992" t="str">
        <v>x</v>
      </c>
      <c r="Y1992">
        <f>Y1991</f>
        <v>1</v>
      </c>
      <c r="Z1992" t="str">
        <v>=</v>
      </c>
      <c r="AA1992">
        <f>(N1992+P1992*R1992/1000)*U1992*W1992*Y1992</f>
        <v>29.887513110000004</v>
      </c>
    </row>
    <row r="1994">
      <c r="A1994" t="str">
        <f>A1974</f>
        <v>Sloof</v>
      </c>
      <c r="B1994">
        <f>B1974</f>
        <v>59</v>
      </c>
      <c r="C1994" t="str">
        <v>Sengkang Tumpuan</v>
      </c>
      <c r="D1994">
        <f>VLOOKUP(D1974,'Detail Balok'!$C$10:$AU$110,31,FALSE)</f>
        <v>0</v>
      </c>
      <c r="E1994" t="str">
        <v>D</v>
      </c>
      <c r="F1994">
        <f>VLOOKUP(D1974,'Detail Balok'!$C$10:$AU$110,33,FALSE)</f>
        <v>8</v>
      </c>
      <c r="G1994" t="str">
        <v>-</v>
      </c>
      <c r="H1994">
        <f>VLOOKUP(D1974,'Detail Balok'!$C$10:$AU$110,35,FALSE)</f>
        <v>200</v>
      </c>
      <c r="J1994">
        <f>(IF(D1994=0,(2*(D1975+G1975))-(F$5*8),IF(D1994=3,(2*(D1975+G1975))-(F$5*8)+(G1975-2*F$5),IF(D1994=4,(2*(D1975+G1975))-(F$5*8)+2*(G1975-2*F$5)))))/1000</f>
        <v>0.98</v>
      </c>
      <c r="K1994" t="str">
        <v>+</v>
      </c>
      <c r="L1994">
        <f>IF(D1994=0,2*MAX(6*F1994,75),(D1994-1)*2*MAX(6*F1994,75))/1000</f>
        <v>0.15</v>
      </c>
      <c r="M1994" t="str">
        <v>=</v>
      </c>
      <c r="N1994">
        <f>J1994+L1994</f>
        <v>1.13</v>
      </c>
      <c r="T1994" t="str">
        <v>x</v>
      </c>
      <c r="U1994">
        <f>0.006165*F1994^2</f>
        <v>0.39456</v>
      </c>
      <c r="V1994" t="str">
        <v>x</v>
      </c>
      <c r="W1994">
        <f>IF(D1977&gt;4*G1975,ROUND(MAX(D1977/4,2*G1975)/H1994,0)+1,ROUND(D1977/H1994,0)+1)</f>
        <v>13</v>
      </c>
      <c r="X1994" t="str">
        <v>x</v>
      </c>
      <c r="Y1994">
        <f>D1980</f>
        <v>1</v>
      </c>
      <c r="Z1994" t="str">
        <v>=</v>
      </c>
      <c r="AA1994">
        <f>N1994*U1994*W1994*Y1994</f>
        <v>5.7960864</v>
      </c>
    </row>
    <row r="1995">
      <c r="A1995" t="str">
        <f>A1974</f>
        <v>Sloof</v>
      </c>
      <c r="B1995">
        <f>B1974</f>
        <v>59</v>
      </c>
      <c r="C1995" t="str">
        <v>Sengkang Lapangan</v>
      </c>
      <c r="D1995">
        <f>VLOOKUP(D1974,'Detail Balok'!$C$10:$AU$110,36,FALSE)</f>
        <v>0</v>
      </c>
      <c r="E1995" t="str">
        <v>D</v>
      </c>
      <c r="F1995">
        <f>VLOOKUP(D1974,'Detail Balok'!$C$10:$AU$110,38,FALSE)</f>
        <v>8</v>
      </c>
      <c r="G1995" t="str">
        <v>-</v>
      </c>
      <c r="H1995">
        <f>VLOOKUP(D1974,'Detail Balok'!$C$10:$AU$110,40,FALSE)</f>
        <v>200</v>
      </c>
      <c r="J1995">
        <f>(IF(D1995=0,(2*(D1975+G1975))-(F$5*8),IF(D1995=3,(2*(D1975+G1975))-(F$5*8)+(G1975-2*F$5),IF(D1995=4,(2*(D1975+G1975))-(F$5*8)+2*(G1975-2*F$5)))))/1000</f>
        <v>0.98</v>
      </c>
      <c r="K1995" t="str">
        <v>+</v>
      </c>
      <c r="L1995">
        <f>IF(D1995=0,2*MAX(6*F1995,75),(D1995-1)*2*MAX(6*F1995,75))/1000</f>
        <v>0.15</v>
      </c>
      <c r="M1995" t="str">
        <v>=</v>
      </c>
      <c r="N1995">
        <f>J1995+L1995</f>
        <v>1.13</v>
      </c>
      <c r="T1995" t="str">
        <v>x</v>
      </c>
      <c r="U1995">
        <f>0.006165*F1995^2</f>
        <v>0.39456</v>
      </c>
      <c r="V1995" t="str">
        <v>x</v>
      </c>
      <c r="W1995">
        <f>IF(D1977-MAX(D1977/4,2*G1975)*2&gt;0,ROUND((D1977-MAX(D1977/4,2*G1975)*2)/H1995,0),0)</f>
        <v>23</v>
      </c>
      <c r="X1995" t="str">
        <v>x</v>
      </c>
      <c r="Y1995">
        <f>D1980</f>
        <v>1</v>
      </c>
      <c r="Z1995" t="str">
        <v>=</v>
      </c>
      <c r="AA1995">
        <f>N1995*U1995*W1995*Y1995</f>
        <v>10.2546144</v>
      </c>
    </row>
    <row r="1996">
      <c r="A1996" t="str">
        <f>A1974</f>
        <v>Sloof</v>
      </c>
      <c r="B1996">
        <f>B1974</f>
        <v>59</v>
      </c>
      <c r="C1996" t="str">
        <v>Sengkang Tumpuan</v>
      </c>
      <c r="D1996">
        <f>VLOOKUP(D1974,'Detail Balok'!$C$10:$AU$110,41,FALSE)</f>
        <v>0</v>
      </c>
      <c r="E1996" t="str">
        <v>D</v>
      </c>
      <c r="F1996">
        <f>VLOOKUP(D1974,'Detail Balok'!$C$10:$AU$110,43,FALSE)</f>
        <v>8</v>
      </c>
      <c r="G1996" t="str">
        <v>-</v>
      </c>
      <c r="H1996">
        <f>VLOOKUP(D1974,'Detail Balok'!$C$10:$AU$110,45,FALSE)</f>
        <v>200</v>
      </c>
      <c r="J1996">
        <f>(IF(D1996=0,(2*(D1975+G1975))-(F$5*8),IF(D1996=3,(2*(D1975+G1975))-(F$5*8)+(G1975-2*F$5),IF(D1996=4,(2*(D1975+G1975))-(F$5*8)+2*(G1975-2*F$5)))))/1000</f>
        <v>0.98</v>
      </c>
      <c r="K1996" t="str">
        <v>+</v>
      </c>
      <c r="L1996">
        <f>IF(D1996=0,2*MAX(6*F1996,75),(D1996-1)*2*MAX(6*F1996,75))/1000</f>
        <v>0.15</v>
      </c>
      <c r="M1996" t="str">
        <v>=</v>
      </c>
      <c r="N1996">
        <f>J1996+L1996</f>
        <v>1.13</v>
      </c>
      <c r="T1996" t="str">
        <v>x</v>
      </c>
      <c r="U1996">
        <f>0.006165*F1996^2</f>
        <v>0.39456</v>
      </c>
      <c r="V1996" t="str">
        <v>x</v>
      </c>
      <c r="W1996">
        <f>IF(D1977&gt;4*G1975,ROUND(MAX(D1977/4,2*G1975)/H1996,0)+1,0)</f>
        <v>13</v>
      </c>
      <c r="X1996" t="str">
        <v>x</v>
      </c>
      <c r="Y1996">
        <f>D1980</f>
        <v>1</v>
      </c>
      <c r="Z1996" t="str">
        <v>=</v>
      </c>
      <c r="AA1996">
        <f>N1996*U1996*W1996*Y1996</f>
        <v>5.7960864</v>
      </c>
    </row>
    <row r="1998">
      <c r="A1998" t="str">
        <f>A1974</f>
        <v>Sloof</v>
      </c>
      <c r="B1998">
        <f>B1974</f>
        <v>59</v>
      </c>
      <c r="C1998" t="str">
        <v>Kait Horizontal Tump.</v>
      </c>
      <c r="D1998">
        <f>VLOOKUP(D1974,'Detail Balok'!$C$10:$BJ$110,46,FALSE)</f>
        <v>0</v>
      </c>
      <c r="E1998" t="str">
        <v>D</v>
      </c>
      <c r="F1998">
        <f>VLOOKUP(D1974,'Detail Balok'!$C$10:$BJ$110,48,FALSE)</f>
        <v>0</v>
      </c>
      <c r="G1998" t="str">
        <v>-</v>
      </c>
      <c r="H1998">
        <f>VLOOKUP(D1974,'Detail Balok'!$C$10:$BJ$110,50,FALSE)</f>
        <v>100</v>
      </c>
      <c r="J1998">
        <f>(D1975-2*F$5)/1000</f>
        <v>0.12</v>
      </c>
      <c r="K1998" t="str">
        <v>+</v>
      </c>
      <c r="L1998">
        <f>IF(D1998=0,2*MAX(6*F1998,75),(D1998-1)*2*MAX(6*F1998,75))/1000</f>
        <v>0.15</v>
      </c>
      <c r="M1998" t="str">
        <v>=</v>
      </c>
      <c r="N1998">
        <f>J1998+L1998</f>
        <v>0.27</v>
      </c>
      <c r="T1998" t="str">
        <v>x</v>
      </c>
      <c r="U1998">
        <f>0.006165*F1998^2</f>
        <v>0</v>
      </c>
      <c r="V1998" t="str">
        <v>x</v>
      </c>
      <c r="W1998">
        <f>W1994</f>
        <v>13</v>
      </c>
      <c r="X1998" t="str">
        <v>x</v>
      </c>
      <c r="Y1998">
        <f>D1984</f>
        <v>3</v>
      </c>
      <c r="Z1998" t="str">
        <v>=</v>
      </c>
      <c r="AA1998">
        <f>N1998*U1998*W1998*Y1998</f>
        <v>0</v>
      </c>
    </row>
    <row r="1999">
      <c r="A1999" t="str">
        <f>A1974</f>
        <v>Sloof</v>
      </c>
      <c r="B1999">
        <f>B1974</f>
        <v>59</v>
      </c>
      <c r="C1999" t="str">
        <v>Kait Horizontal Lap.</v>
      </c>
      <c r="D1999">
        <f>VLOOKUP(D1974,'Detail Balok'!$C$10:$BJ$110,51,FALSE)</f>
        <v>0</v>
      </c>
      <c r="E1999" t="str">
        <v>D</v>
      </c>
      <c r="F1999">
        <f>VLOOKUP(D1974,'Detail Balok'!$C$10:$BJ$110,53,FALSE)</f>
        <v>0</v>
      </c>
      <c r="G1999" t="str">
        <v>-</v>
      </c>
      <c r="H1999">
        <f>VLOOKUP(D1974,'Detail Balok'!$C$10:$BJ$110,55,FALSE)</f>
        <v>100</v>
      </c>
      <c r="J1999">
        <f>(D1975-2*F$5)/1000</f>
        <v>0.12</v>
      </c>
      <c r="K1999" t="str">
        <v>+</v>
      </c>
      <c r="L1999">
        <f>IF(D1999=0,2*MAX(6*F1999,75),(D1999-1)*2*MAX(6*F1999,75))/1000</f>
        <v>0.15</v>
      </c>
      <c r="M1999" t="str">
        <v>=</v>
      </c>
      <c r="N1999">
        <f>J1999+L1999</f>
        <v>0.27</v>
      </c>
      <c r="T1999" t="str">
        <v>x</v>
      </c>
      <c r="U1999">
        <f>0.006165*F1999^2</f>
        <v>0</v>
      </c>
      <c r="V1999" t="str">
        <v>x</v>
      </c>
      <c r="W1999">
        <f>W1995</f>
        <v>23</v>
      </c>
      <c r="X1999" t="str">
        <v>x</v>
      </c>
      <c r="Y1999">
        <f>D1984</f>
        <v>3</v>
      </c>
      <c r="Z1999" t="str">
        <v>=</v>
      </c>
      <c r="AA1999">
        <f>N1999*U1999*W1999*Y1999</f>
        <v>0</v>
      </c>
    </row>
    <row r="2000">
      <c r="A2000" t="str">
        <f>A1974</f>
        <v>Sloof</v>
      </c>
      <c r="B2000">
        <f>B1974</f>
        <v>59</v>
      </c>
      <c r="C2000" t="str">
        <v>Kait Horizontal Tump.</v>
      </c>
      <c r="D2000">
        <f>VLOOKUP(D1974,'Detail Balok'!$C$10:$BJ$110,56,FALSE)</f>
        <v>0</v>
      </c>
      <c r="E2000" t="str">
        <v>D</v>
      </c>
      <c r="F2000">
        <f>VLOOKUP(D1974,'Detail Balok'!$C$10:$BJ$110,58,FALSE)</f>
        <v>0</v>
      </c>
      <c r="G2000" t="str">
        <v>-</v>
      </c>
      <c r="H2000">
        <f>VLOOKUP(D1974,'Detail Balok'!$C$10:$BJ$110,60,FALSE)</f>
        <v>100</v>
      </c>
      <c r="J2000">
        <f>(D1975-2*F$5)/1000</f>
        <v>0.12</v>
      </c>
      <c r="K2000" t="str">
        <v>+</v>
      </c>
      <c r="L2000">
        <f>IF(D2000=0,2*MAX(6*F2000,75),(D2000-1)*2*MAX(6*F2000,75))/1000</f>
        <v>0.15</v>
      </c>
      <c r="M2000" t="str">
        <v>=</v>
      </c>
      <c r="N2000">
        <f>J2000+L2000</f>
        <v>0.27</v>
      </c>
      <c r="T2000" t="str">
        <v>x</v>
      </c>
      <c r="U2000">
        <f>0.006165*F2000^2</f>
        <v>0</v>
      </c>
      <c r="V2000" t="str">
        <v>x</v>
      </c>
      <c r="W2000">
        <f>W1996</f>
        <v>13</v>
      </c>
      <c r="X2000" t="str">
        <v>x</v>
      </c>
      <c r="Y2000">
        <f>D1984</f>
        <v>3</v>
      </c>
      <c r="Z2000" t="str">
        <v>=</v>
      </c>
      <c r="AA2000">
        <f>N2000*U2000*W2000*Y2000</f>
        <v>0</v>
      </c>
    </row>
    <row r="2004">
      <c r="A2004" t="str">
        <f>A1974</f>
        <v>Sloof</v>
      </c>
      <c r="B2004">
        <f>B1974+1</f>
        <v>60</v>
      </c>
      <c r="C2004" t="str">
        <f>CONCATENATE(A2004," no. ",B2004)</f>
        <v>Sloof no. 60</v>
      </c>
      <c r="D2004" t="str">
        <f>VLOOKUP(C2004,'Data Panjang Balok'!$C$9:$N$424,2,FALSE)</f>
        <v>TB245-1</v>
      </c>
    </row>
    <row r="2005">
      <c r="C2005" t="str">
        <v>Dimensi</v>
      </c>
      <c r="D2005">
        <f>VLOOKUP(D2004,'Detail Balok'!$C$10:$AU$110,2,FALSE)</f>
        <v>200</v>
      </c>
      <c r="F2005" t="str">
        <v>x</v>
      </c>
      <c r="G2005">
        <f>VLOOKUP(D2004,'Detail Balok'!$C$10:$AU$110,3,FALSE)</f>
        <v>450</v>
      </c>
    </row>
    <row r="2006">
      <c r="C2006" t="str">
        <v>Panjang as ke as</v>
      </c>
      <c r="D2006">
        <f>VLOOKUP(C2004,'Data Panjang Balok'!$C$9:$N$424,4,FALSE)</f>
        <v>3235</v>
      </c>
    </row>
    <row r="2007">
      <c r="C2007" t="str">
        <v>Panjang netto</v>
      </c>
      <c r="D2007">
        <f>VLOOKUP(C2004,'Data Panjang Balok'!$C$9:$N$424,7,FALSE)</f>
        <v>3235</v>
      </c>
    </row>
    <row r="2008">
      <c r="C2008" t="str">
        <v>Kolom / balok kiri</v>
      </c>
      <c r="D2008">
        <f>VLOOKUP(C2004,'Data Panjang Balok'!$C$9:$N$424,9,FALSE)</f>
        <v>0</v>
      </c>
    </row>
    <row r="2009">
      <c r="C2009" t="str">
        <v>Kolom / balok kanan</v>
      </c>
      <c r="D2009">
        <f>VLOOKUP(C2004,'Data Panjang Balok'!$C$9:$N$424,10,FALSE)</f>
        <v>0</v>
      </c>
    </row>
    <row r="2010">
      <c r="C2010" t="str">
        <v>Jumlah</v>
      </c>
      <c r="D2010">
        <f>VLOOKUP(C2004,'Data Panjang Balok'!$C$9:$N$424,3,FALSE)</f>
        <v>1</v>
      </c>
    </row>
    <row r="2011">
      <c r="A2011" t="str">
        <f>A2004</f>
        <v>Sloof</v>
      </c>
      <c r="B2011">
        <f>B2004</f>
        <v>60</v>
      </c>
      <c r="C2011" t="str">
        <v>Tul Atas Tumpuan</v>
      </c>
      <c r="D2011">
        <f>VLOOKUP(D2004,'Detail Balok'!$C$10:$AU$110,4,FALSE)</f>
        <v>3</v>
      </c>
      <c r="E2011" t="str">
        <v>D</v>
      </c>
      <c r="F2011">
        <f>VLOOKUP(D2004,'Detail Balok'!$C$10:$AU$110,6,FALSE)</f>
        <v>13</v>
      </c>
      <c r="I2011" t="str">
        <v>(</v>
      </c>
      <c r="J2011">
        <f>+D2006/4/1000</f>
        <v>0.80875</v>
      </c>
      <c r="K2011" t="str">
        <v>+</v>
      </c>
      <c r="L2011">
        <f>MAX(VLOOKUP(F2011,N$6:P$15,3,FALSE)/1000,2/3*D2008/1000)+F$16*F2011/1000</f>
        <v>0.156</v>
      </c>
      <c r="M2011" t="str">
        <v>=</v>
      </c>
      <c r="N2011">
        <f>J2011+L2011</f>
        <v>0.96475</v>
      </c>
      <c r="O2011" t="str">
        <v>+</v>
      </c>
      <c r="P2011">
        <f>D2011-D2012</f>
        <v>0</v>
      </c>
      <c r="Q2011" t="str">
        <v>x</v>
      </c>
      <c r="R2011">
        <f>IF(P2011&gt;0,$F$18*F2011/1000,0)</f>
        <v>0</v>
      </c>
      <c r="S2011" t="str">
        <v>)</v>
      </c>
      <c r="T2011" t="str">
        <v>x</v>
      </c>
      <c r="U2011">
        <f>0.006165*F2011^2</f>
        <v>1.041885</v>
      </c>
      <c r="X2011" t="str">
        <v>x</v>
      </c>
      <c r="Y2011">
        <f>D2010</f>
        <v>1</v>
      </c>
      <c r="Z2011" t="str">
        <v>=</v>
      </c>
      <c r="AA2011">
        <f>IF(AA2014=0,(D2011*N2011+P2011*R2011)*U2011*Y2011,0)</f>
        <v>0</v>
      </c>
    </row>
    <row r="2012">
      <c r="A2012" t="str">
        <f>A2004</f>
        <v>Sloof</v>
      </c>
      <c r="B2012">
        <f>B2004</f>
        <v>60</v>
      </c>
      <c r="C2012" t="str">
        <v>Tul Atas Lapangan</v>
      </c>
      <c r="D2012">
        <f>VLOOKUP(D2004,'Detail Balok'!$C$10:$AU$110,7,FALSE)</f>
        <v>3</v>
      </c>
      <c r="E2012" t="str">
        <v>D</v>
      </c>
      <c r="F2012">
        <f>VLOOKUP(D2004,'Detail Balok'!$C$10:$AU$110,9,FALSE)</f>
        <v>13</v>
      </c>
      <c r="I2012" t="str">
        <v>(</v>
      </c>
      <c r="J2012">
        <f>+D2006/2/1000</f>
        <v>1.6175</v>
      </c>
      <c r="K2012" t="str">
        <v>+</v>
      </c>
      <c r="M2012" t="str">
        <v>=</v>
      </c>
      <c r="N2012">
        <f>J2012+L2012</f>
        <v>1.6175</v>
      </c>
      <c r="O2012" t="str">
        <v>+</v>
      </c>
      <c r="P2012">
        <f>MAX(D2012-D2011,D2012-D2013)</f>
        <v>0</v>
      </c>
      <c r="Q2012" t="str">
        <v>x</v>
      </c>
      <c r="R2012">
        <f>IF(P2012&gt;0,2*(1-2*$F$19-1/2)*D2007/1000,0)</f>
        <v>0</v>
      </c>
      <c r="S2012" t="str">
        <v>)</v>
      </c>
      <c r="T2012" t="str">
        <v>x</v>
      </c>
      <c r="U2012">
        <f>0.006165*F2012^2</f>
        <v>1.041885</v>
      </c>
      <c r="X2012" t="str">
        <v>x</v>
      </c>
      <c r="Y2012">
        <f>D2010</f>
        <v>1</v>
      </c>
      <c r="Z2012" t="str">
        <v>=</v>
      </c>
      <c r="AA2012">
        <f>IF(AA2014=0,(D2012*N2012+P2012*R2012)*U2012*Y2012,0)</f>
        <v>0</v>
      </c>
    </row>
    <row r="2013">
      <c r="A2013" t="str">
        <f>A2004</f>
        <v>Sloof</v>
      </c>
      <c r="B2013">
        <f>B2004</f>
        <v>60</v>
      </c>
      <c r="C2013" t="str">
        <v>Tul Atas Tumpuan</v>
      </c>
      <c r="D2013">
        <f>VLOOKUP(D2004,'Detail Balok'!$C$10:$AU$110,10,FALSE)</f>
        <v>3</v>
      </c>
      <c r="E2013" t="str">
        <v>D</v>
      </c>
      <c r="F2013">
        <f>VLOOKUP(D2004,'Detail Balok'!$C$10:$AU$110,12,FALSE)</f>
        <v>13</v>
      </c>
      <c r="I2013" t="str">
        <v>(</v>
      </c>
      <c r="J2013">
        <f>+D2006/4/1000</f>
        <v>0.80875</v>
      </c>
      <c r="K2013" t="str">
        <v>+</v>
      </c>
      <c r="L2013">
        <f>MAX(VLOOKUP(F2013,N$6:P$15,3,FALSE)/1000,2/3*D2008/1000)+F$16*F2013/1000</f>
        <v>0.156</v>
      </c>
      <c r="M2013" t="str">
        <v>=</v>
      </c>
      <c r="N2013">
        <f>J2013+L2013</f>
        <v>0.96475</v>
      </c>
      <c r="O2013" t="str">
        <v>+</v>
      </c>
      <c r="P2013">
        <f>D2013-D2012</f>
        <v>0</v>
      </c>
      <c r="Q2013" t="str">
        <v>x</v>
      </c>
      <c r="R2013">
        <f>IF(P2013&gt;0,$F$18*F2013/1000,0)</f>
        <v>0</v>
      </c>
      <c r="S2013" t="str">
        <v>)</v>
      </c>
      <c r="T2013" t="str">
        <v>x</v>
      </c>
      <c r="U2013">
        <f>0.006165*F2013^2</f>
        <v>1.041885</v>
      </c>
      <c r="X2013" t="str">
        <v>x</v>
      </c>
      <c r="Y2013">
        <f>D2010</f>
        <v>1</v>
      </c>
      <c r="Z2013" t="str">
        <v>=</v>
      </c>
      <c r="AA2013">
        <f>IF(AA2014=0,(D2013*N2013+P2013*R2013)*U2013*Y2013,0)</f>
        <v>0</v>
      </c>
    </row>
    <row r="2014">
      <c r="A2014" t="str">
        <f>A2004</f>
        <v>Sloof</v>
      </c>
      <c r="B2014">
        <f>B2004</f>
        <v>60</v>
      </c>
      <c r="D2014">
        <f>IF(AND(D2011=D2012,D2012=D2013,D2011=D2013),D2011,0)</f>
        <v>3</v>
      </c>
      <c r="E2014" t="str">
        <v>D</v>
      </c>
      <c r="F2014">
        <f>IF(AND(F2011=F2012,F2011=F2013,F2012=F2013),F2011,0)</f>
        <v>13</v>
      </c>
      <c r="L2014" t="str">
        <v>Total panjang per balok</v>
      </c>
      <c r="M2014" t="str">
        <v>=</v>
      </c>
      <c r="N2014">
        <f>IF(AND(D2011=D2012,D2011=D2013,D2012=D2013,F2011=F2012,F2011=F2013,F2012=F2013),SUM(N2011:N2013),0)</f>
        <v>3.547</v>
      </c>
      <c r="O2014" t="str">
        <v>+</v>
      </c>
      <c r="P2014">
        <f>IF(N2014&gt;12,ROUNDDOWN(N2014/12,0),0)</f>
        <v>0</v>
      </c>
      <c r="Q2014" t="str">
        <v>x</v>
      </c>
      <c r="R2014">
        <f>IF(P2014&gt;0,MAX(VLOOKUP(F2014,$D$6:$G$15,3,FALSE),600),0)/1000</f>
        <v>0</v>
      </c>
      <c r="T2014" t="str">
        <v>x</v>
      </c>
      <c r="U2014">
        <f>U2013</f>
        <v>1.041885</v>
      </c>
      <c r="V2014" t="str">
        <v>x</v>
      </c>
      <c r="W2014">
        <f>D2014</f>
        <v>3</v>
      </c>
      <c r="X2014" t="str">
        <v>x</v>
      </c>
      <c r="Y2014">
        <f>Y2013</f>
        <v>1</v>
      </c>
      <c r="Z2014" t="str">
        <v>=</v>
      </c>
      <c r="AA2014">
        <f>(N2014+P2014*R2014/1000)*U2014*W2014*Y2014</f>
        <v>11.086698284999999</v>
      </c>
    </row>
    <row r="2016">
      <c r="A2016" t="str">
        <f>A2004</f>
        <v>Sloof</v>
      </c>
      <c r="B2016">
        <f>B2004</f>
        <v>60</v>
      </c>
      <c r="C2016" t="str">
        <v>Tul Peminggang</v>
      </c>
      <c r="D2016">
        <f>VLOOKUP(D2004,'Detail Balok'!$C$10:$AU$110,13,FALSE)</f>
        <v>2</v>
      </c>
      <c r="E2016" t="str">
        <v>D</v>
      </c>
      <c r="F2016">
        <f>VLOOKUP(D2004,'Detail Balok'!$C$10:$AU$110,15,FALSE)</f>
        <v>8</v>
      </c>
      <c r="J2016">
        <f>+D2006/1000</f>
        <v>3.235</v>
      </c>
      <c r="K2016" t="str">
        <v>+</v>
      </c>
      <c r="L2016">
        <f>2*$F$16*F2016/1000</f>
        <v>0.192</v>
      </c>
      <c r="M2016" t="str">
        <v>=</v>
      </c>
      <c r="N2016">
        <f>J2016+L2016</f>
        <v>3.427</v>
      </c>
      <c r="O2016" t="str">
        <v>+</v>
      </c>
      <c r="P2016">
        <f>IF(N2016&gt;12,ROUNDDOWN(N2016/12,0),0)</f>
        <v>0</v>
      </c>
      <c r="Q2016" t="str">
        <v>x</v>
      </c>
      <c r="R2016">
        <f>IF(P2016&gt;0,MAX(VLOOKUP(F2016,$D$6:$G$15,3,FALSE),600),0)/1000</f>
        <v>0</v>
      </c>
      <c r="T2016" t="str">
        <v>x</v>
      </c>
      <c r="U2016">
        <f>0.006165*F2016^2</f>
        <v>0.39456</v>
      </c>
      <c r="V2016" t="str">
        <v>x</v>
      </c>
      <c r="W2016">
        <f>+D2016</f>
        <v>2</v>
      </c>
      <c r="X2016" t="str">
        <v>x</v>
      </c>
      <c r="Y2016">
        <f>D2010</f>
        <v>1</v>
      </c>
      <c r="Z2016" t="str">
        <v>=</v>
      </c>
      <c r="AA2016">
        <f>(N2016+P2016*R2016/1000)*U2016*W2016*Y2016</f>
        <v>2.70431424</v>
      </c>
    </row>
    <row r="2019">
      <c r="A2019" t="str">
        <f>A2004</f>
        <v>Sloof</v>
      </c>
      <c r="B2019">
        <f>B2004</f>
        <v>60</v>
      </c>
      <c r="C2019" t="str">
        <v>Tul Bawah Tumpuan</v>
      </c>
      <c r="D2019">
        <f>VLOOKUP(D2004,'Detail Balok'!$C$10:$AU$110,22,FALSE)</f>
        <v>3</v>
      </c>
      <c r="E2019" t="str">
        <v>D</v>
      </c>
      <c r="F2019">
        <f>VLOOKUP(D2004,'Detail Balok'!$C$10:$AU$110,24,FALSE)</f>
        <v>13</v>
      </c>
      <c r="I2019" t="str">
        <v>(</v>
      </c>
      <c r="J2019">
        <f>+J2011</f>
        <v>0.80875</v>
      </c>
      <c r="K2019" t="str">
        <v>+</v>
      </c>
      <c r="L2019">
        <f>MAX(VLOOKUP(F2019,N$6:P$15,3,FALSE)/1000,2/3*D2009/1000)+F$16*F2019/1000</f>
        <v>0.156</v>
      </c>
      <c r="M2019" t="str">
        <v>=</v>
      </c>
      <c r="N2019">
        <f>J2019+L2019</f>
        <v>0.96475</v>
      </c>
      <c r="O2019" t="str">
        <v>+</v>
      </c>
      <c r="P2019">
        <f>D2019-D2020</f>
        <v>0</v>
      </c>
      <c r="Q2019" t="str">
        <v>x</v>
      </c>
      <c r="R2019">
        <f>IF(P2019&gt;0,$F$18*F2019/1000,0)</f>
        <v>0</v>
      </c>
      <c r="S2019" t="str">
        <v>)</v>
      </c>
      <c r="T2019" t="str">
        <v>x</v>
      </c>
      <c r="U2019">
        <f>0.006165*F2019^2</f>
        <v>1.041885</v>
      </c>
      <c r="X2019" t="str">
        <v>x</v>
      </c>
      <c r="Y2019">
        <f>D2010</f>
        <v>1</v>
      </c>
      <c r="Z2019" t="str">
        <v>=</v>
      </c>
      <c r="AA2019">
        <f>IF(AA2022=0,(D2019*N2019+P2019*R2019)*U2019*Y2019,0)</f>
        <v>0</v>
      </c>
    </row>
    <row r="2020">
      <c r="A2020" t="str">
        <f>A2004</f>
        <v>Sloof</v>
      </c>
      <c r="B2020">
        <f>B2004</f>
        <v>60</v>
      </c>
      <c r="C2020" t="str">
        <v>Tul Bawah Lapangan</v>
      </c>
      <c r="D2020">
        <f>VLOOKUP(D2004,'Detail Balok'!$C$10:$AU$110,25,FALSE)</f>
        <v>3</v>
      </c>
      <c r="E2020" t="str">
        <v>D</v>
      </c>
      <c r="F2020">
        <f>VLOOKUP(D2004,'Detail Balok'!$C$10:$AU$110,27,FALSE)</f>
        <v>13</v>
      </c>
      <c r="I2020" t="str">
        <v>(</v>
      </c>
      <c r="J2020">
        <f>+J2012</f>
        <v>1.6175</v>
      </c>
      <c r="K2020" t="str">
        <v>+</v>
      </c>
      <c r="M2020" t="str">
        <v>=</v>
      </c>
      <c r="N2020">
        <f>J2020+L2020</f>
        <v>1.6175</v>
      </c>
      <c r="O2020" t="str">
        <v>+</v>
      </c>
      <c r="P2020">
        <f>MAX(D2020-D2019,D2020-D2021)</f>
        <v>0</v>
      </c>
      <c r="Q2020" t="str">
        <v>x</v>
      </c>
      <c r="R2020">
        <f>IF(P2020&gt;0,2*(1-2*$F$19-1/2)*D2007/1000,0)</f>
        <v>0</v>
      </c>
      <c r="S2020" t="str">
        <v>)</v>
      </c>
      <c r="T2020" t="str">
        <v>x</v>
      </c>
      <c r="U2020">
        <f>0.006165*F2020^2</f>
        <v>1.041885</v>
      </c>
      <c r="X2020" t="str">
        <v>x</v>
      </c>
      <c r="Y2020">
        <f>D2010</f>
        <v>1</v>
      </c>
      <c r="Z2020" t="str">
        <v>=</v>
      </c>
      <c r="AA2020">
        <f>IF(AA2022=0,(D2020*N2020+P2020*R2020)*U2020*Y2020,0)</f>
        <v>0</v>
      </c>
    </row>
    <row r="2021">
      <c r="A2021" t="str">
        <f>A2004</f>
        <v>Sloof</v>
      </c>
      <c r="B2021">
        <f>B2004</f>
        <v>60</v>
      </c>
      <c r="C2021" t="str">
        <v>Tul Bawah Tumpuan</v>
      </c>
      <c r="D2021">
        <f>VLOOKUP(D2004,'Detail Balok'!$C$10:$AU$110,28,FALSE)</f>
        <v>3</v>
      </c>
      <c r="E2021" t="str">
        <v>D</v>
      </c>
      <c r="F2021">
        <f>VLOOKUP(D2004,'Detail Balok'!$C$10:$AU$110,30,FALSE)</f>
        <v>13</v>
      </c>
      <c r="I2021" t="str">
        <v>(</v>
      </c>
      <c r="J2021">
        <f>+J2013</f>
        <v>0.80875</v>
      </c>
      <c r="K2021" t="str">
        <v>+</v>
      </c>
      <c r="L2021">
        <f>MAX(VLOOKUP(F2021,N$6:P$15,3,FALSE)/1000,2/3*D2009/1000)+F$16*F2021/1000</f>
        <v>0.156</v>
      </c>
      <c r="M2021" t="str">
        <v>=</v>
      </c>
      <c r="N2021">
        <f>J2021+L2021</f>
        <v>0.96475</v>
      </c>
      <c r="O2021" t="str">
        <v>+</v>
      </c>
      <c r="P2021">
        <f>D2021-D2020</f>
        <v>0</v>
      </c>
      <c r="Q2021" t="str">
        <v>x</v>
      </c>
      <c r="R2021">
        <f>IF(P2021&gt;0,$F$18*F2021/1000,0)</f>
        <v>0</v>
      </c>
      <c r="S2021" t="str">
        <v>)</v>
      </c>
      <c r="T2021" t="str">
        <v>x</v>
      </c>
      <c r="U2021">
        <f>0.006165*F2021^2</f>
        <v>1.041885</v>
      </c>
      <c r="X2021" t="str">
        <v>x</v>
      </c>
      <c r="Y2021">
        <f>D2010</f>
        <v>1</v>
      </c>
      <c r="Z2021" t="str">
        <v>=</v>
      </c>
      <c r="AA2021">
        <f>IF(AA2022=0,(D2021*N2021+P2021*R2021)*U2021*Y2021,0)</f>
        <v>0</v>
      </c>
    </row>
    <row r="2022">
      <c r="A2022" t="str">
        <f>A2004</f>
        <v>Sloof</v>
      </c>
      <c r="B2022">
        <f>B2004</f>
        <v>60</v>
      </c>
      <c r="D2022">
        <f>IF(AND(D2019=D2020,D2020=D2021,D2019=D2021),D2019,0)</f>
        <v>3</v>
      </c>
      <c r="E2022" t="str">
        <v>D</v>
      </c>
      <c r="F2022">
        <f>IF(AND(F2019=F2020,F2019=F2021,F2020=F2021),F2019,0)</f>
        <v>13</v>
      </c>
      <c r="L2022" t="str">
        <v>Total panjang per balok</v>
      </c>
      <c r="M2022" t="str">
        <v>=</v>
      </c>
      <c r="N2022">
        <f>IF(AND(D2019=D2020,D2019=D2021,D2020=D2021,F2019=F2020,F2019=F2021,F2020=F2021),SUM(N2019:N2021),0)</f>
        <v>3.547</v>
      </c>
      <c r="O2022" t="str">
        <v>+</v>
      </c>
      <c r="P2022">
        <f>IF(N2022&gt;12,ROUNDDOWN(N2022/12,0),0)</f>
        <v>0</v>
      </c>
      <c r="Q2022" t="str">
        <v>x</v>
      </c>
      <c r="R2022">
        <f>IF(P2022&gt;0,MAX(VLOOKUP(F2022,$D$6:$G$15,3,FALSE),600),0)/1000</f>
        <v>0</v>
      </c>
      <c r="T2022" t="str">
        <v>x</v>
      </c>
      <c r="U2022">
        <f>U2021</f>
        <v>1.041885</v>
      </c>
      <c r="V2022" t="str">
        <v>x</v>
      </c>
      <c r="W2022">
        <f>D2022</f>
        <v>3</v>
      </c>
      <c r="X2022" t="str">
        <v>x</v>
      </c>
      <c r="Y2022">
        <f>Y2021</f>
        <v>1</v>
      </c>
      <c r="Z2022" t="str">
        <v>=</v>
      </c>
      <c r="AA2022">
        <f>(N2022+P2022*R2022/1000)*U2022*W2022*Y2022</f>
        <v>11.086698284999999</v>
      </c>
    </row>
    <row r="2024">
      <c r="A2024" t="str">
        <f>A2004</f>
        <v>Sloof</v>
      </c>
      <c r="B2024">
        <f>B2004</f>
        <v>60</v>
      </c>
      <c r="C2024" t="str">
        <v>Sengkang Tumpuan</v>
      </c>
      <c r="D2024">
        <f>VLOOKUP(D2004,'Detail Balok'!$C$10:$AU$110,31,FALSE)</f>
        <v>0</v>
      </c>
      <c r="E2024" t="str">
        <v>D</v>
      </c>
      <c r="F2024">
        <f>VLOOKUP(D2004,'Detail Balok'!$C$10:$AU$110,33,FALSE)</f>
        <v>8</v>
      </c>
      <c r="G2024" t="str">
        <v>-</v>
      </c>
      <c r="H2024">
        <f>VLOOKUP(D2004,'Detail Balok'!$C$10:$AU$110,35,FALSE)</f>
        <v>200</v>
      </c>
      <c r="J2024">
        <f>(IF(D2024=0,(2*(D2005+G2005))-(F$5*8),IF(D2024=3,(2*(D2005+G2005))-(F$5*8)+(G2005-2*F$5),IF(D2024=4,(2*(D2005+G2005))-(F$5*8)+2*(G2005-2*F$5)))))/1000</f>
        <v>0.98</v>
      </c>
      <c r="K2024" t="str">
        <v>+</v>
      </c>
      <c r="L2024">
        <f>IF(D2024=0,2*MAX(6*F2024,75),(D2024-1)*2*MAX(6*F2024,75))/1000</f>
        <v>0.15</v>
      </c>
      <c r="M2024" t="str">
        <v>=</v>
      </c>
      <c r="N2024">
        <f>J2024+L2024</f>
        <v>1.13</v>
      </c>
      <c r="T2024" t="str">
        <v>x</v>
      </c>
      <c r="U2024">
        <f>0.006165*F2024^2</f>
        <v>0.39456</v>
      </c>
      <c r="V2024" t="str">
        <v>x</v>
      </c>
      <c r="W2024">
        <f>IF(D2007&gt;4*G2005,ROUND(MAX(D2007/4,2*G2005)/H2024,0)+1,ROUND(D2007/H2024,0)+1)</f>
        <v>6</v>
      </c>
      <c r="X2024" t="str">
        <v>x</v>
      </c>
      <c r="Y2024">
        <f>D2010</f>
        <v>1</v>
      </c>
      <c r="Z2024" t="str">
        <v>=</v>
      </c>
      <c r="AA2024">
        <f>N2024*U2024*W2024*Y2024</f>
        <v>2.6751168</v>
      </c>
    </row>
    <row r="2025">
      <c r="A2025" t="str">
        <f>A2004</f>
        <v>Sloof</v>
      </c>
      <c r="B2025">
        <f>B2004</f>
        <v>60</v>
      </c>
      <c r="C2025" t="str">
        <v>Sengkang Lapangan</v>
      </c>
      <c r="D2025">
        <f>VLOOKUP(D2004,'Detail Balok'!$C$10:$AU$110,36,FALSE)</f>
        <v>0</v>
      </c>
      <c r="E2025" t="str">
        <v>D</v>
      </c>
      <c r="F2025">
        <f>VLOOKUP(D2004,'Detail Balok'!$C$10:$AU$110,38,FALSE)</f>
        <v>8</v>
      </c>
      <c r="G2025" t="str">
        <v>-</v>
      </c>
      <c r="H2025">
        <f>VLOOKUP(D2004,'Detail Balok'!$C$10:$AU$110,40,FALSE)</f>
        <v>200</v>
      </c>
      <c r="J2025">
        <f>(IF(D2025=0,(2*(D2005+G2005))-(F$5*8),IF(D2025=3,(2*(D2005+G2005))-(F$5*8)+(G2005-2*F$5),IF(D2025=4,(2*(D2005+G2005))-(F$5*8)+2*(G2005-2*F$5)))))/1000</f>
        <v>0.98</v>
      </c>
      <c r="K2025" t="str">
        <v>+</v>
      </c>
      <c r="L2025">
        <f>IF(D2025=0,2*MAX(6*F2025,75),(D2025-1)*2*MAX(6*F2025,75))/1000</f>
        <v>0.15</v>
      </c>
      <c r="M2025" t="str">
        <v>=</v>
      </c>
      <c r="N2025">
        <f>J2025+L2025</f>
        <v>1.13</v>
      </c>
      <c r="T2025" t="str">
        <v>x</v>
      </c>
      <c r="U2025">
        <f>0.006165*F2025^2</f>
        <v>0.39456</v>
      </c>
      <c r="V2025" t="str">
        <v>x</v>
      </c>
      <c r="W2025">
        <f>IF(D2007-MAX(D2007/4,2*G2005)*2&gt;0,ROUND((D2007-MAX(D2007/4,2*G2005)*2)/H2025,0),0)</f>
        <v>7</v>
      </c>
      <c r="X2025" t="str">
        <v>x</v>
      </c>
      <c r="Y2025">
        <f>D2010</f>
        <v>1</v>
      </c>
      <c r="Z2025" t="str">
        <v>=</v>
      </c>
      <c r="AA2025">
        <f>N2025*U2025*W2025*Y2025</f>
        <v>3.1209696</v>
      </c>
    </row>
    <row r="2026">
      <c r="A2026" t="str">
        <f>A2004</f>
        <v>Sloof</v>
      </c>
      <c r="B2026">
        <f>B2004</f>
        <v>60</v>
      </c>
      <c r="C2026" t="str">
        <v>Sengkang Tumpuan</v>
      </c>
      <c r="D2026">
        <f>VLOOKUP(D2004,'Detail Balok'!$C$10:$AU$110,41,FALSE)</f>
        <v>0</v>
      </c>
      <c r="E2026" t="str">
        <v>D</v>
      </c>
      <c r="F2026">
        <f>VLOOKUP(D2004,'Detail Balok'!$C$10:$AU$110,43,FALSE)</f>
        <v>8</v>
      </c>
      <c r="G2026" t="str">
        <v>-</v>
      </c>
      <c r="H2026">
        <f>VLOOKUP(D2004,'Detail Balok'!$C$10:$AU$110,45,FALSE)</f>
        <v>200</v>
      </c>
      <c r="J2026">
        <f>(IF(D2026=0,(2*(D2005+G2005))-(F$5*8),IF(D2026=3,(2*(D2005+G2005))-(F$5*8)+(G2005-2*F$5),IF(D2026=4,(2*(D2005+G2005))-(F$5*8)+2*(G2005-2*F$5)))))/1000</f>
        <v>0.98</v>
      </c>
      <c r="K2026" t="str">
        <v>+</v>
      </c>
      <c r="L2026">
        <f>IF(D2026=0,2*MAX(6*F2026,75),(D2026-1)*2*MAX(6*F2026,75))/1000</f>
        <v>0.15</v>
      </c>
      <c r="M2026" t="str">
        <v>=</v>
      </c>
      <c r="N2026">
        <f>J2026+L2026</f>
        <v>1.13</v>
      </c>
      <c r="T2026" t="str">
        <v>x</v>
      </c>
      <c r="U2026">
        <f>0.006165*F2026^2</f>
        <v>0.39456</v>
      </c>
      <c r="V2026" t="str">
        <v>x</v>
      </c>
      <c r="W2026">
        <f>IF(D2007&gt;4*G2005,ROUND(MAX(D2007/4,2*G2005)/H2026,0)+1,0)</f>
        <v>6</v>
      </c>
      <c r="X2026" t="str">
        <v>x</v>
      </c>
      <c r="Y2026">
        <f>D2010</f>
        <v>1</v>
      </c>
      <c r="Z2026" t="str">
        <v>=</v>
      </c>
      <c r="AA2026">
        <f>N2026*U2026*W2026*Y2026</f>
        <v>2.6751168</v>
      </c>
    </row>
    <row r="2028">
      <c r="A2028" t="str">
        <f>A2004</f>
        <v>Sloof</v>
      </c>
      <c r="B2028">
        <f>B2004</f>
        <v>60</v>
      </c>
      <c r="C2028" t="str">
        <v>Kait Horizontal Tump.</v>
      </c>
      <c r="D2028">
        <f>VLOOKUP(D2004,'Detail Balok'!$C$10:$BJ$110,46,FALSE)</f>
        <v>0</v>
      </c>
      <c r="E2028" t="str">
        <v>D</v>
      </c>
      <c r="F2028">
        <f>VLOOKUP(D2004,'Detail Balok'!$C$10:$BJ$110,48,FALSE)</f>
        <v>0</v>
      </c>
      <c r="G2028" t="str">
        <v>-</v>
      </c>
      <c r="H2028">
        <f>VLOOKUP(D2004,'Detail Balok'!$C$10:$BJ$110,50,FALSE)</f>
        <v>100</v>
      </c>
      <c r="J2028">
        <f>(D2005-2*F$5)/1000</f>
        <v>0.12</v>
      </c>
      <c r="K2028" t="str">
        <v>+</v>
      </c>
      <c r="L2028">
        <f>IF(D2028=0,2*MAX(6*F2028,75),(D2028-1)*2*MAX(6*F2028,75))/1000</f>
        <v>0.15</v>
      </c>
      <c r="M2028" t="str">
        <v>=</v>
      </c>
      <c r="N2028">
        <f>J2028+L2028</f>
        <v>0.27</v>
      </c>
      <c r="T2028" t="str">
        <v>x</v>
      </c>
      <c r="U2028">
        <f>0.006165*F2028^2</f>
        <v>0</v>
      </c>
      <c r="V2028" t="str">
        <v>x</v>
      </c>
      <c r="W2028">
        <f>W2024</f>
        <v>6</v>
      </c>
      <c r="X2028" t="str">
        <v>x</v>
      </c>
      <c r="Y2028">
        <f>D2014</f>
        <v>3</v>
      </c>
      <c r="Z2028" t="str">
        <v>=</v>
      </c>
      <c r="AA2028">
        <f>N2028*U2028*W2028*Y2028</f>
        <v>0</v>
      </c>
    </row>
    <row r="2029">
      <c r="A2029" t="str">
        <f>A2004</f>
        <v>Sloof</v>
      </c>
      <c r="B2029">
        <f>B2004</f>
        <v>60</v>
      </c>
      <c r="C2029" t="str">
        <v>Kait Horizontal Lap.</v>
      </c>
      <c r="D2029">
        <f>VLOOKUP(D2004,'Detail Balok'!$C$10:$BJ$110,51,FALSE)</f>
        <v>0</v>
      </c>
      <c r="E2029" t="str">
        <v>D</v>
      </c>
      <c r="F2029">
        <f>VLOOKUP(D2004,'Detail Balok'!$C$10:$BJ$110,53,FALSE)</f>
        <v>0</v>
      </c>
      <c r="G2029" t="str">
        <v>-</v>
      </c>
      <c r="H2029">
        <f>VLOOKUP(D2004,'Detail Balok'!$C$10:$BJ$110,55,FALSE)</f>
        <v>100</v>
      </c>
      <c r="J2029">
        <f>(D2005-2*F$5)/1000</f>
        <v>0.12</v>
      </c>
      <c r="K2029" t="str">
        <v>+</v>
      </c>
      <c r="L2029">
        <f>IF(D2029=0,2*MAX(6*F2029,75),(D2029-1)*2*MAX(6*F2029,75))/1000</f>
        <v>0.15</v>
      </c>
      <c r="M2029" t="str">
        <v>=</v>
      </c>
      <c r="N2029">
        <f>J2029+L2029</f>
        <v>0.27</v>
      </c>
      <c r="T2029" t="str">
        <v>x</v>
      </c>
      <c r="U2029">
        <f>0.006165*F2029^2</f>
        <v>0</v>
      </c>
      <c r="V2029" t="str">
        <v>x</v>
      </c>
      <c r="W2029">
        <f>W2025</f>
        <v>7</v>
      </c>
      <c r="X2029" t="str">
        <v>x</v>
      </c>
      <c r="Y2029">
        <f>D2014</f>
        <v>3</v>
      </c>
      <c r="Z2029" t="str">
        <v>=</v>
      </c>
      <c r="AA2029">
        <f>N2029*U2029*W2029*Y2029</f>
        <v>0</v>
      </c>
    </row>
    <row r="2030">
      <c r="A2030" t="str">
        <f>A2004</f>
        <v>Sloof</v>
      </c>
      <c r="B2030">
        <f>B2004</f>
        <v>60</v>
      </c>
      <c r="C2030" t="str">
        <v>Kait Horizontal Tump.</v>
      </c>
      <c r="D2030">
        <f>VLOOKUP(D2004,'Detail Balok'!$C$10:$BJ$110,56,FALSE)</f>
        <v>0</v>
      </c>
      <c r="E2030" t="str">
        <v>D</v>
      </c>
      <c r="F2030">
        <f>VLOOKUP(D2004,'Detail Balok'!$C$10:$BJ$110,58,FALSE)</f>
        <v>0</v>
      </c>
      <c r="G2030" t="str">
        <v>-</v>
      </c>
      <c r="H2030">
        <f>VLOOKUP(D2004,'Detail Balok'!$C$10:$BJ$110,60,FALSE)</f>
        <v>100</v>
      </c>
      <c r="J2030">
        <f>(D2005-2*F$5)/1000</f>
        <v>0.12</v>
      </c>
      <c r="K2030" t="str">
        <v>+</v>
      </c>
      <c r="L2030">
        <f>IF(D2030=0,2*MAX(6*F2030,75),(D2030-1)*2*MAX(6*F2030,75))/1000</f>
        <v>0.15</v>
      </c>
      <c r="M2030" t="str">
        <v>=</v>
      </c>
      <c r="N2030">
        <f>J2030+L2030</f>
        <v>0.27</v>
      </c>
      <c r="T2030" t="str">
        <v>x</v>
      </c>
      <c r="U2030">
        <f>0.006165*F2030^2</f>
        <v>0</v>
      </c>
      <c r="V2030" t="str">
        <v>x</v>
      </c>
      <c r="W2030">
        <f>W2026</f>
        <v>6</v>
      </c>
      <c r="X2030" t="str">
        <v>x</v>
      </c>
      <c r="Y2030">
        <f>D2014</f>
        <v>3</v>
      </c>
      <c r="Z2030" t="str">
        <v>=</v>
      </c>
      <c r="AA2030">
        <f>N2030*U2030*W2030*Y2030</f>
        <v>0</v>
      </c>
    </row>
    <row r="2034">
      <c r="A2034" t="str">
        <f>A2004</f>
        <v>Sloof</v>
      </c>
      <c r="B2034">
        <f>B2004+1</f>
        <v>61</v>
      </c>
      <c r="C2034" t="str">
        <f>CONCATENATE(A2034," no. ",B2034)</f>
        <v>Sloof no. 61</v>
      </c>
      <c r="D2034" t="str">
        <f>VLOOKUP(C2034,'Data Panjang Balok'!$C$9:$N$424,2,FALSE)</f>
        <v>TB36-1</v>
      </c>
    </row>
    <row r="2035">
      <c r="C2035" t="str">
        <v>Dimensi</v>
      </c>
      <c r="D2035">
        <f>VLOOKUP(D2034,'Detail Balok'!$C$10:$AU$110,2,FALSE)</f>
        <v>300</v>
      </c>
      <c r="F2035" t="str">
        <v>x</v>
      </c>
      <c r="G2035">
        <f>VLOOKUP(D2034,'Detail Balok'!$C$10:$AU$110,3,FALSE)</f>
        <v>600</v>
      </c>
    </row>
    <row r="2036">
      <c r="C2036" t="str">
        <v>Panjang as ke as</v>
      </c>
      <c r="D2036">
        <f>VLOOKUP(C2034,'Data Panjang Balok'!$C$9:$N$424,4,FALSE)</f>
        <v>4850</v>
      </c>
    </row>
    <row r="2037">
      <c r="C2037" t="str">
        <v>Panjang netto</v>
      </c>
      <c r="D2037">
        <f>VLOOKUP(C2034,'Data Panjang Balok'!$C$9:$N$424,7,FALSE)</f>
        <v>4850</v>
      </c>
    </row>
    <row r="2038">
      <c r="C2038" t="str">
        <v>Kolom / balok kiri</v>
      </c>
      <c r="D2038">
        <f>VLOOKUP(C2034,'Data Panjang Balok'!$C$9:$N$424,9,FALSE)</f>
        <v>0</v>
      </c>
    </row>
    <row r="2039">
      <c r="C2039" t="str">
        <v>Kolom / balok kanan</v>
      </c>
      <c r="D2039">
        <f>VLOOKUP(C2034,'Data Panjang Balok'!$C$9:$N$424,10,FALSE)</f>
        <v>0</v>
      </c>
    </row>
    <row r="2040">
      <c r="C2040" t="str">
        <v>Jumlah</v>
      </c>
      <c r="D2040">
        <f>VLOOKUP(C2034,'Data Panjang Balok'!$C$9:$N$424,3,FALSE)</f>
        <v>1</v>
      </c>
    </row>
    <row r="2041">
      <c r="A2041" t="str">
        <f>A2034</f>
        <v>Sloof</v>
      </c>
      <c r="B2041">
        <f>B2034</f>
        <v>61</v>
      </c>
      <c r="C2041" t="str">
        <v>Tul Atas Tumpuan</v>
      </c>
      <c r="D2041">
        <f>VLOOKUP(D2034,'Detail Balok'!$C$10:$AU$110,4,FALSE)</f>
        <v>7</v>
      </c>
      <c r="E2041" t="str">
        <v>D</v>
      </c>
      <c r="F2041">
        <f>VLOOKUP(D2034,'Detail Balok'!$C$10:$AU$110,6,FALSE)</f>
        <v>19</v>
      </c>
      <c r="I2041" t="str">
        <v>(</v>
      </c>
      <c r="J2041">
        <f>+D2036/4/1000</f>
        <v>1.2125</v>
      </c>
      <c r="K2041" t="str">
        <v>+</v>
      </c>
      <c r="L2041">
        <f>MAX(VLOOKUP(F2041,N$6:P$15,3,FALSE)/1000,2/3*D2038/1000)+F$16*F2041/1000</f>
        <v>0.228</v>
      </c>
      <c r="M2041" t="str">
        <v>=</v>
      </c>
      <c r="N2041">
        <f>J2041+L2041</f>
        <v>1.4405</v>
      </c>
      <c r="O2041" t="str">
        <v>+</v>
      </c>
      <c r="P2041">
        <f>D2041-D2042</f>
        <v>3</v>
      </c>
      <c r="Q2041" t="str">
        <v>x</v>
      </c>
      <c r="R2041">
        <f>IF(P2041&gt;0,$F$18*F2041/1000,0)</f>
        <v>0.285</v>
      </c>
      <c r="S2041" t="str">
        <v>)</v>
      </c>
      <c r="T2041" t="str">
        <v>x</v>
      </c>
      <c r="U2041">
        <f>0.006165*F2041^2</f>
        <v>2.225565</v>
      </c>
      <c r="X2041" t="str">
        <v>x</v>
      </c>
      <c r="Y2041">
        <f>D2040</f>
        <v>1</v>
      </c>
      <c r="Z2041" t="str">
        <v>=</v>
      </c>
      <c r="AA2041">
        <f>IF(AA2044=0,(D2041*N2041+P2041*R2041)*U2041*Y2041,0)</f>
        <v>24.344342752499998</v>
      </c>
    </row>
    <row r="2042">
      <c r="A2042" t="str">
        <f>A2034</f>
        <v>Sloof</v>
      </c>
      <c r="B2042">
        <f>B2034</f>
        <v>61</v>
      </c>
      <c r="C2042" t="str">
        <v>Tul Atas Lapangan</v>
      </c>
      <c r="D2042">
        <f>VLOOKUP(D2034,'Detail Balok'!$C$10:$AU$110,7,FALSE)</f>
        <v>4</v>
      </c>
      <c r="E2042" t="str">
        <v>D</v>
      </c>
      <c r="F2042">
        <f>VLOOKUP(D2034,'Detail Balok'!$C$10:$AU$110,9,FALSE)</f>
        <v>19</v>
      </c>
      <c r="I2042" t="str">
        <v>(</v>
      </c>
      <c r="J2042">
        <f>+D2036/2/1000</f>
        <v>2.425</v>
      </c>
      <c r="K2042" t="str">
        <v>+</v>
      </c>
      <c r="M2042" t="str">
        <v>=</v>
      </c>
      <c r="N2042">
        <f>J2042+L2042</f>
        <v>2.425</v>
      </c>
      <c r="O2042" t="str">
        <v>+</v>
      </c>
      <c r="P2042">
        <f>MAX(D2042-D2041,D2042-D2043)</f>
        <v>0</v>
      </c>
      <c r="Q2042" t="str">
        <v>x</v>
      </c>
      <c r="R2042">
        <f>IF(P2042&gt;0,2*(1-2*$F$19-1/2)*D2037/1000,0)</f>
        <v>0</v>
      </c>
      <c r="S2042" t="str">
        <v>)</v>
      </c>
      <c r="T2042" t="str">
        <v>x</v>
      </c>
      <c r="U2042">
        <f>0.006165*F2042^2</f>
        <v>2.225565</v>
      </c>
      <c r="X2042" t="str">
        <v>x</v>
      </c>
      <c r="Y2042">
        <f>D2040</f>
        <v>1</v>
      </c>
      <c r="Z2042" t="str">
        <v>=</v>
      </c>
      <c r="AA2042">
        <f>IF(AA2044=0,(D2042*N2042+P2042*R2042)*U2042*Y2042,0)</f>
        <v>21.587980499999997</v>
      </c>
    </row>
    <row r="2043">
      <c r="A2043" t="str">
        <f>A2034</f>
        <v>Sloof</v>
      </c>
      <c r="B2043">
        <f>B2034</f>
        <v>61</v>
      </c>
      <c r="C2043" t="str">
        <v>Tul Atas Tumpuan</v>
      </c>
      <c r="D2043">
        <f>VLOOKUP(D2034,'Detail Balok'!$C$10:$AU$110,10,FALSE)</f>
        <v>4</v>
      </c>
      <c r="E2043" t="str">
        <v>D</v>
      </c>
      <c r="F2043">
        <f>VLOOKUP(D2034,'Detail Balok'!$C$10:$AU$110,12,FALSE)</f>
        <v>19</v>
      </c>
      <c r="I2043" t="str">
        <v>(</v>
      </c>
      <c r="J2043">
        <f>+D2036/4/1000</f>
        <v>1.2125</v>
      </c>
      <c r="K2043" t="str">
        <v>+</v>
      </c>
      <c r="L2043">
        <f>MAX(VLOOKUP(F2043,N$6:P$15,3,FALSE)/1000,2/3*D2038/1000)+F$16*F2043/1000</f>
        <v>0.228</v>
      </c>
      <c r="M2043" t="str">
        <v>=</v>
      </c>
      <c r="N2043">
        <f>J2043+L2043</f>
        <v>1.4405</v>
      </c>
      <c r="O2043" t="str">
        <v>+</v>
      </c>
      <c r="P2043">
        <f>D2043-D2042</f>
        <v>0</v>
      </c>
      <c r="Q2043" t="str">
        <v>x</v>
      </c>
      <c r="R2043">
        <f>IF(P2043&gt;0,$F$18*F2043/1000,0)</f>
        <v>0</v>
      </c>
      <c r="S2043" t="str">
        <v>)</v>
      </c>
      <c r="T2043" t="str">
        <v>x</v>
      </c>
      <c r="U2043">
        <f>0.006165*F2043^2</f>
        <v>2.225565</v>
      </c>
      <c r="X2043" t="str">
        <v>x</v>
      </c>
      <c r="Y2043">
        <f>D2040</f>
        <v>1</v>
      </c>
      <c r="Z2043" t="str">
        <v>=</v>
      </c>
      <c r="AA2043">
        <f>IF(AA2044=0,(D2043*N2043+P2043*R2043)*U2043*Y2043,0)</f>
        <v>12.82370553</v>
      </c>
    </row>
    <row r="2044">
      <c r="A2044" t="str">
        <f>A2034</f>
        <v>Sloof</v>
      </c>
      <c r="B2044">
        <f>B2034</f>
        <v>61</v>
      </c>
      <c r="D2044">
        <f>IF(AND(D2041=D2042,D2042=D2043,D2041=D2043),D2041,0)</f>
        <v>0</v>
      </c>
      <c r="E2044" t="str">
        <v>D</v>
      </c>
      <c r="F2044">
        <f>IF(AND(F2041=F2042,F2041=F2043,F2042=F2043),F2041,0)</f>
        <v>19</v>
      </c>
      <c r="L2044" t="str">
        <v>Total panjang per balok</v>
      </c>
      <c r="M2044" t="str">
        <v>=</v>
      </c>
      <c r="N2044">
        <f>IF(AND(D2041=D2042,D2041=D2043,D2042=D2043,F2041=F2042,F2041=F2043,F2042=F2043),SUM(N2041:N2043),0)</f>
        <v>0</v>
      </c>
      <c r="O2044" t="str">
        <v>+</v>
      </c>
      <c r="P2044">
        <f>IF(N2044&gt;12,ROUNDDOWN(N2044/12,0),0)</f>
        <v>0</v>
      </c>
      <c r="Q2044" t="str">
        <v>x</v>
      </c>
      <c r="R2044">
        <f>IF(P2044&gt;0,MAX(VLOOKUP(F2044,$D$6:$G$15,3,FALSE),600),0)/1000</f>
        <v>0</v>
      </c>
      <c r="T2044" t="str">
        <v>x</v>
      </c>
      <c r="U2044">
        <f>U2043</f>
        <v>2.225565</v>
      </c>
      <c r="V2044" t="str">
        <v>x</v>
      </c>
      <c r="W2044">
        <f>D2044</f>
        <v>0</v>
      </c>
      <c r="X2044" t="str">
        <v>x</v>
      </c>
      <c r="Y2044">
        <f>Y2043</f>
        <v>1</v>
      </c>
      <c r="Z2044" t="str">
        <v>=</v>
      </c>
      <c r="AA2044">
        <f>(N2044+P2044*R2044/1000)*U2044*W2044*Y2044</f>
        <v>0</v>
      </c>
    </row>
    <row r="2046">
      <c r="A2046" t="str">
        <f>A2034</f>
        <v>Sloof</v>
      </c>
      <c r="B2046">
        <f>B2034</f>
        <v>61</v>
      </c>
      <c r="C2046" t="str">
        <v>Tul Peminggang</v>
      </c>
      <c r="D2046">
        <f>VLOOKUP(D2034,'Detail Balok'!$C$10:$AU$110,13,FALSE)</f>
        <v>2</v>
      </c>
      <c r="E2046" t="str">
        <v>D</v>
      </c>
      <c r="F2046">
        <f>VLOOKUP(D2034,'Detail Balok'!$C$10:$AU$110,15,FALSE)</f>
        <v>10</v>
      </c>
      <c r="J2046">
        <f>+D2036/1000</f>
        <v>4.85</v>
      </c>
      <c r="K2046" t="str">
        <v>+</v>
      </c>
      <c r="L2046">
        <f>2*$F$16*F2046/1000</f>
        <v>0.24</v>
      </c>
      <c r="M2046" t="str">
        <v>=</v>
      </c>
      <c r="N2046">
        <f>J2046+L2046</f>
        <v>5.09</v>
      </c>
      <c r="O2046" t="str">
        <v>+</v>
      </c>
      <c r="P2046">
        <f>IF(N2046&gt;12,ROUNDDOWN(N2046/12,0),0)</f>
        <v>0</v>
      </c>
      <c r="Q2046" t="str">
        <v>x</v>
      </c>
      <c r="R2046">
        <f>IF(P2046&gt;0,MAX(VLOOKUP(F2046,$D$6:$G$15,3,FALSE),600),0)/1000</f>
        <v>0</v>
      </c>
      <c r="T2046" t="str">
        <v>x</v>
      </c>
      <c r="U2046">
        <f>0.006165*F2046^2</f>
        <v>0.6165</v>
      </c>
      <c r="V2046" t="str">
        <v>x</v>
      </c>
      <c r="W2046">
        <f>+D2046</f>
        <v>2</v>
      </c>
      <c r="X2046" t="str">
        <v>x</v>
      </c>
      <c r="Y2046">
        <f>D2040</f>
        <v>1</v>
      </c>
      <c r="Z2046" t="str">
        <v>=</v>
      </c>
      <c r="AA2046">
        <f>(N2046+P2046*R2046/1000)*U2046*W2046*Y2046</f>
        <v>6.27597</v>
      </c>
    </row>
    <row r="2049">
      <c r="A2049" t="str">
        <f>A2034</f>
        <v>Sloof</v>
      </c>
      <c r="B2049">
        <f>B2034</f>
        <v>61</v>
      </c>
      <c r="C2049" t="str">
        <v>Tul Bawah Tumpuan</v>
      </c>
      <c r="D2049">
        <f>VLOOKUP(D2034,'Detail Balok'!$C$10:$AU$110,22,FALSE)</f>
        <v>4</v>
      </c>
      <c r="E2049" t="str">
        <v>D</v>
      </c>
      <c r="F2049">
        <f>VLOOKUP(D2034,'Detail Balok'!$C$10:$AU$110,24,FALSE)</f>
        <v>19</v>
      </c>
      <c r="I2049" t="str">
        <v>(</v>
      </c>
      <c r="J2049">
        <f>+J2041</f>
        <v>1.2125</v>
      </c>
      <c r="K2049" t="str">
        <v>+</v>
      </c>
      <c r="L2049">
        <f>MAX(VLOOKUP(F2049,N$6:P$15,3,FALSE)/1000,2/3*D2039/1000)+F$16*F2049/1000</f>
        <v>0.228</v>
      </c>
      <c r="M2049" t="str">
        <v>=</v>
      </c>
      <c r="N2049">
        <f>J2049+L2049</f>
        <v>1.4405</v>
      </c>
      <c r="O2049" t="str">
        <v>+</v>
      </c>
      <c r="P2049">
        <f>D2049-D2050</f>
        <v>0</v>
      </c>
      <c r="Q2049" t="str">
        <v>x</v>
      </c>
      <c r="R2049">
        <f>IF(P2049&gt;0,$F$18*F2049/1000,0)</f>
        <v>0</v>
      </c>
      <c r="S2049" t="str">
        <v>)</v>
      </c>
      <c r="T2049" t="str">
        <v>x</v>
      </c>
      <c r="U2049">
        <f>0.006165*F2049^2</f>
        <v>2.225565</v>
      </c>
      <c r="X2049" t="str">
        <v>x</v>
      </c>
      <c r="Y2049">
        <f>D2040</f>
        <v>1</v>
      </c>
      <c r="Z2049" t="str">
        <v>=</v>
      </c>
      <c r="AA2049">
        <f>IF(AA2052=0,(D2049*N2049+P2049*R2049)*U2049*Y2049,0)</f>
        <v>0</v>
      </c>
    </row>
    <row r="2050">
      <c r="A2050" t="str">
        <f>A2034</f>
        <v>Sloof</v>
      </c>
      <c r="B2050">
        <f>B2034</f>
        <v>61</v>
      </c>
      <c r="C2050" t="str">
        <v>Tul Bawah Lapangan</v>
      </c>
      <c r="D2050">
        <f>VLOOKUP(D2034,'Detail Balok'!$C$10:$AU$110,25,FALSE)</f>
        <v>4</v>
      </c>
      <c r="E2050" t="str">
        <v>D</v>
      </c>
      <c r="F2050">
        <f>VLOOKUP(D2034,'Detail Balok'!$C$10:$AU$110,27,FALSE)</f>
        <v>19</v>
      </c>
      <c r="I2050" t="str">
        <v>(</v>
      </c>
      <c r="J2050">
        <f>+J2042</f>
        <v>2.425</v>
      </c>
      <c r="K2050" t="str">
        <v>+</v>
      </c>
      <c r="M2050" t="str">
        <v>=</v>
      </c>
      <c r="N2050">
        <f>J2050+L2050</f>
        <v>2.425</v>
      </c>
      <c r="O2050" t="str">
        <v>+</v>
      </c>
      <c r="P2050">
        <f>MAX(D2050-D2049,D2050-D2051)</f>
        <v>0</v>
      </c>
      <c r="Q2050" t="str">
        <v>x</v>
      </c>
      <c r="R2050">
        <f>IF(P2050&gt;0,2*(1-2*$F$19-1/2)*D2037/1000,0)</f>
        <v>0</v>
      </c>
      <c r="S2050" t="str">
        <v>)</v>
      </c>
      <c r="T2050" t="str">
        <v>x</v>
      </c>
      <c r="U2050">
        <f>0.006165*F2050^2</f>
        <v>2.225565</v>
      </c>
      <c r="X2050" t="str">
        <v>x</v>
      </c>
      <c r="Y2050">
        <f>D2040</f>
        <v>1</v>
      </c>
      <c r="Z2050" t="str">
        <v>=</v>
      </c>
      <c r="AA2050">
        <f>IF(AA2052=0,(D2050*N2050+P2050*R2050)*U2050*Y2050,0)</f>
        <v>0</v>
      </c>
    </row>
    <row r="2051">
      <c r="A2051" t="str">
        <f>A2034</f>
        <v>Sloof</v>
      </c>
      <c r="B2051">
        <f>B2034</f>
        <v>61</v>
      </c>
      <c r="C2051" t="str">
        <v>Tul Bawah Tumpuan</v>
      </c>
      <c r="D2051">
        <f>VLOOKUP(D2034,'Detail Balok'!$C$10:$AU$110,28,FALSE)</f>
        <v>4</v>
      </c>
      <c r="E2051" t="str">
        <v>D</v>
      </c>
      <c r="F2051">
        <f>VLOOKUP(D2034,'Detail Balok'!$C$10:$AU$110,30,FALSE)</f>
        <v>19</v>
      </c>
      <c r="I2051" t="str">
        <v>(</v>
      </c>
      <c r="J2051">
        <f>+J2043</f>
        <v>1.2125</v>
      </c>
      <c r="K2051" t="str">
        <v>+</v>
      </c>
      <c r="L2051">
        <f>MAX(VLOOKUP(F2051,N$6:P$15,3,FALSE)/1000,2/3*D2039/1000)+F$16*F2051/1000</f>
        <v>0.228</v>
      </c>
      <c r="M2051" t="str">
        <v>=</v>
      </c>
      <c r="N2051">
        <f>J2051+L2051</f>
        <v>1.4405</v>
      </c>
      <c r="O2051" t="str">
        <v>+</v>
      </c>
      <c r="P2051">
        <f>D2051-D2050</f>
        <v>0</v>
      </c>
      <c r="Q2051" t="str">
        <v>x</v>
      </c>
      <c r="R2051">
        <f>IF(P2051&gt;0,$F$18*F2051/1000,0)</f>
        <v>0</v>
      </c>
      <c r="S2051" t="str">
        <v>)</v>
      </c>
      <c r="T2051" t="str">
        <v>x</v>
      </c>
      <c r="U2051">
        <f>0.006165*F2051^2</f>
        <v>2.225565</v>
      </c>
      <c r="X2051" t="str">
        <v>x</v>
      </c>
      <c r="Y2051">
        <f>D2040</f>
        <v>1</v>
      </c>
      <c r="Z2051" t="str">
        <v>=</v>
      </c>
      <c r="AA2051">
        <f>IF(AA2052=0,(D2051*N2051+P2051*R2051)*U2051*Y2051,0)</f>
        <v>0</v>
      </c>
    </row>
    <row r="2052">
      <c r="A2052" t="str">
        <f>A2034</f>
        <v>Sloof</v>
      </c>
      <c r="B2052">
        <f>B2034</f>
        <v>61</v>
      </c>
      <c r="D2052">
        <f>IF(AND(D2049=D2050,D2050=D2051,D2049=D2051),D2049,0)</f>
        <v>4</v>
      </c>
      <c r="E2052" t="str">
        <v>D</v>
      </c>
      <c r="F2052">
        <f>IF(AND(F2049=F2050,F2049=F2051,F2050=F2051),F2049,0)</f>
        <v>19</v>
      </c>
      <c r="L2052" t="str">
        <v>Total panjang per balok</v>
      </c>
      <c r="M2052" t="str">
        <v>=</v>
      </c>
      <c r="N2052">
        <f>IF(AND(D2049=D2050,D2049=D2051,D2050=D2051,F2049=F2050,F2049=F2051,F2050=F2051),SUM(N2049:N2051),0)</f>
        <v>5.306</v>
      </c>
      <c r="O2052" t="str">
        <v>+</v>
      </c>
      <c r="P2052">
        <f>IF(N2052&gt;12,ROUNDDOWN(N2052/12,0),0)</f>
        <v>0</v>
      </c>
      <c r="Q2052" t="str">
        <v>x</v>
      </c>
      <c r="R2052">
        <f>IF(P2052&gt;0,MAX(VLOOKUP(F2052,$D$6:$G$15,3,FALSE),600),0)/1000</f>
        <v>0</v>
      </c>
      <c r="T2052" t="str">
        <v>x</v>
      </c>
      <c r="U2052">
        <f>U2051</f>
        <v>2.225565</v>
      </c>
      <c r="V2052" t="str">
        <v>x</v>
      </c>
      <c r="W2052">
        <f>D2052</f>
        <v>4</v>
      </c>
      <c r="X2052" t="str">
        <v>x</v>
      </c>
      <c r="Y2052">
        <f>Y2051</f>
        <v>1</v>
      </c>
      <c r="Z2052" t="str">
        <v>=</v>
      </c>
      <c r="AA2052">
        <f>(N2052+P2052*R2052/1000)*U2052*W2052*Y2052</f>
        <v>47.235391560000004</v>
      </c>
    </row>
    <row r="2054">
      <c r="A2054" t="str">
        <f>A2034</f>
        <v>Sloof</v>
      </c>
      <c r="B2054">
        <f>B2034</f>
        <v>61</v>
      </c>
      <c r="C2054" t="str">
        <v>Sengkang Tumpuan</v>
      </c>
      <c r="D2054">
        <f>VLOOKUP(D2034,'Detail Balok'!$C$10:$AU$110,31,FALSE)</f>
        <v>0</v>
      </c>
      <c r="E2054" t="str">
        <v>D</v>
      </c>
      <c r="F2054">
        <f>VLOOKUP(D2034,'Detail Balok'!$C$10:$AU$110,33,FALSE)</f>
        <v>10</v>
      </c>
      <c r="G2054" t="str">
        <v>-</v>
      </c>
      <c r="H2054">
        <f>VLOOKUP(D2034,'Detail Balok'!$C$10:$AU$110,35,FALSE)</f>
        <v>175</v>
      </c>
      <c r="J2054">
        <f>(IF(D2054=0,(2*(D2035+G2035))-(F$5*8),IF(D2054=3,(2*(D2035+G2035))-(F$5*8)+(G2035-2*F$5),IF(D2054=4,(2*(D2035+G2035))-(F$5*8)+2*(G2035-2*F$5)))))/1000</f>
        <v>1.48</v>
      </c>
      <c r="K2054" t="str">
        <v>+</v>
      </c>
      <c r="L2054">
        <f>IF(D2054=0,2*MAX(6*F2054,75),(D2054-1)*2*MAX(6*F2054,75))/1000</f>
        <v>0.15</v>
      </c>
      <c r="M2054" t="str">
        <v>=</v>
      </c>
      <c r="N2054">
        <f>J2054+L2054</f>
        <v>1.63</v>
      </c>
      <c r="T2054" t="str">
        <v>x</v>
      </c>
      <c r="U2054">
        <f>0.006165*F2054^2</f>
        <v>0.6165</v>
      </c>
      <c r="V2054" t="str">
        <v>x</v>
      </c>
      <c r="W2054">
        <f>IF(D2037&gt;4*G2035,ROUND(MAX(D2037/4,2*G2035)/H2054,0)+1,ROUND(D2037/H2054,0)+1)</f>
        <v>8</v>
      </c>
      <c r="X2054" t="str">
        <v>x</v>
      </c>
      <c r="Y2054">
        <f>D2040</f>
        <v>1</v>
      </c>
      <c r="Z2054" t="str">
        <v>=</v>
      </c>
      <c r="AA2054">
        <f>N2054*U2054*W2054*Y2054</f>
        <v>8.03916</v>
      </c>
    </row>
    <row r="2055">
      <c r="A2055" t="str">
        <f>A2034</f>
        <v>Sloof</v>
      </c>
      <c r="B2055">
        <f>B2034</f>
        <v>61</v>
      </c>
      <c r="C2055" t="str">
        <v>Sengkang Lapangan</v>
      </c>
      <c r="D2055">
        <f>VLOOKUP(D2034,'Detail Balok'!$C$10:$AU$110,36,FALSE)</f>
        <v>0</v>
      </c>
      <c r="E2055" t="str">
        <v>D</v>
      </c>
      <c r="F2055">
        <f>VLOOKUP(D2034,'Detail Balok'!$C$10:$AU$110,38,FALSE)</f>
        <v>10</v>
      </c>
      <c r="G2055" t="str">
        <v>-</v>
      </c>
      <c r="H2055">
        <f>VLOOKUP(D2034,'Detail Balok'!$C$10:$AU$110,40,FALSE)</f>
        <v>200</v>
      </c>
      <c r="J2055">
        <f>(IF(D2055=0,(2*(D2035+G2035))-(F$5*8),IF(D2055=3,(2*(D2035+G2035))-(F$5*8)+(G2035-2*F$5),IF(D2055=4,(2*(D2035+G2035))-(F$5*8)+2*(G2035-2*F$5)))))/1000</f>
        <v>1.48</v>
      </c>
      <c r="K2055" t="str">
        <v>+</v>
      </c>
      <c r="L2055">
        <f>IF(D2055=0,2*MAX(6*F2055,75),(D2055-1)*2*MAX(6*F2055,75))/1000</f>
        <v>0.15</v>
      </c>
      <c r="M2055" t="str">
        <v>=</v>
      </c>
      <c r="N2055">
        <f>J2055+L2055</f>
        <v>1.63</v>
      </c>
      <c r="T2055" t="str">
        <v>x</v>
      </c>
      <c r="U2055">
        <f>0.006165*F2055^2</f>
        <v>0.6165</v>
      </c>
      <c r="V2055" t="str">
        <v>x</v>
      </c>
      <c r="W2055">
        <f>IF(D2037-MAX(D2037/4,2*G2035)*2&gt;0,ROUND((D2037-MAX(D2037/4,2*G2035)*2)/H2055,0),0)</f>
        <v>12</v>
      </c>
      <c r="X2055" t="str">
        <v>x</v>
      </c>
      <c r="Y2055">
        <f>D2040</f>
        <v>1</v>
      </c>
      <c r="Z2055" t="str">
        <v>=</v>
      </c>
      <c r="AA2055">
        <f>N2055*U2055*W2055*Y2055</f>
        <v>12.05874</v>
      </c>
    </row>
    <row r="2056">
      <c r="A2056" t="str">
        <f>A2034</f>
        <v>Sloof</v>
      </c>
      <c r="B2056">
        <f>B2034</f>
        <v>61</v>
      </c>
      <c r="C2056" t="str">
        <v>Sengkang Tumpuan</v>
      </c>
      <c r="D2056">
        <f>VLOOKUP(D2034,'Detail Balok'!$C$10:$AU$110,41,FALSE)</f>
        <v>0</v>
      </c>
      <c r="E2056" t="str">
        <v>D</v>
      </c>
      <c r="F2056">
        <f>VLOOKUP(D2034,'Detail Balok'!$C$10:$AU$110,43,FALSE)</f>
        <v>10</v>
      </c>
      <c r="G2056" t="str">
        <v>-</v>
      </c>
      <c r="H2056">
        <f>VLOOKUP(D2034,'Detail Balok'!$C$10:$AU$110,45,FALSE)</f>
        <v>175</v>
      </c>
      <c r="J2056">
        <f>(IF(D2056=0,(2*(D2035+G2035))-(F$5*8),IF(D2056=3,(2*(D2035+G2035))-(F$5*8)+(G2035-2*F$5),IF(D2056=4,(2*(D2035+G2035))-(F$5*8)+2*(G2035-2*F$5)))))/1000</f>
        <v>1.48</v>
      </c>
      <c r="K2056" t="str">
        <v>+</v>
      </c>
      <c r="L2056">
        <f>IF(D2056=0,2*MAX(6*F2056,75),(D2056-1)*2*MAX(6*F2056,75))/1000</f>
        <v>0.15</v>
      </c>
      <c r="M2056" t="str">
        <v>=</v>
      </c>
      <c r="N2056">
        <f>J2056+L2056</f>
        <v>1.63</v>
      </c>
      <c r="T2056" t="str">
        <v>x</v>
      </c>
      <c r="U2056">
        <f>0.006165*F2056^2</f>
        <v>0.6165</v>
      </c>
      <c r="V2056" t="str">
        <v>x</v>
      </c>
      <c r="W2056">
        <f>IF(D2037&gt;4*G2035,ROUND(MAX(D2037/4,2*G2035)/H2056,0)+1,0)</f>
        <v>8</v>
      </c>
      <c r="X2056" t="str">
        <v>x</v>
      </c>
      <c r="Y2056">
        <f>D2040</f>
        <v>1</v>
      </c>
      <c r="Z2056" t="str">
        <v>=</v>
      </c>
      <c r="AA2056">
        <f>N2056*U2056*W2056*Y2056</f>
        <v>8.03916</v>
      </c>
    </row>
    <row r="2058">
      <c r="A2058" t="str">
        <f>A2034</f>
        <v>Sloof</v>
      </c>
      <c r="B2058">
        <f>B2034</f>
        <v>61</v>
      </c>
      <c r="C2058" t="str">
        <v>Kait Horizontal Tump.</v>
      </c>
      <c r="D2058">
        <f>VLOOKUP(D2034,'Detail Balok'!$C$10:$BJ$110,46,FALSE)</f>
        <v>0</v>
      </c>
      <c r="E2058" t="str">
        <v>D</v>
      </c>
      <c r="F2058">
        <f>VLOOKUP(D2034,'Detail Balok'!$C$10:$BJ$110,48,FALSE)</f>
        <v>0</v>
      </c>
      <c r="G2058" t="str">
        <v>-</v>
      </c>
      <c r="H2058">
        <f>VLOOKUP(D2034,'Detail Balok'!$C$10:$BJ$110,50,FALSE)</f>
        <v>100</v>
      </c>
      <c r="J2058">
        <f>(D2035-2*F$5)/1000</f>
        <v>0.22</v>
      </c>
      <c r="K2058" t="str">
        <v>+</v>
      </c>
      <c r="L2058">
        <f>IF(D2058=0,2*MAX(6*F2058,75),(D2058-1)*2*MAX(6*F2058,75))/1000</f>
        <v>0.15</v>
      </c>
      <c r="M2058" t="str">
        <v>=</v>
      </c>
      <c r="N2058">
        <f>J2058+L2058</f>
        <v>0.37</v>
      </c>
      <c r="T2058" t="str">
        <v>x</v>
      </c>
      <c r="U2058">
        <f>0.006165*F2058^2</f>
        <v>0</v>
      </c>
      <c r="V2058" t="str">
        <v>x</v>
      </c>
      <c r="W2058">
        <f>W2054</f>
        <v>8</v>
      </c>
      <c r="X2058" t="str">
        <v>x</v>
      </c>
      <c r="Y2058">
        <f>D2044</f>
        <v>0</v>
      </c>
      <c r="Z2058" t="str">
        <v>=</v>
      </c>
      <c r="AA2058">
        <f>N2058*U2058*W2058*Y2058</f>
        <v>0</v>
      </c>
    </row>
    <row r="2059">
      <c r="A2059" t="str">
        <f>A2034</f>
        <v>Sloof</v>
      </c>
      <c r="B2059">
        <f>B2034</f>
        <v>61</v>
      </c>
      <c r="C2059" t="str">
        <v>Kait Horizontal Lap.</v>
      </c>
      <c r="D2059">
        <f>VLOOKUP(D2034,'Detail Balok'!$C$10:$BJ$110,51,FALSE)</f>
        <v>0</v>
      </c>
      <c r="E2059" t="str">
        <v>D</v>
      </c>
      <c r="F2059">
        <f>VLOOKUP(D2034,'Detail Balok'!$C$10:$BJ$110,53,FALSE)</f>
        <v>0</v>
      </c>
      <c r="G2059" t="str">
        <v>-</v>
      </c>
      <c r="H2059">
        <f>VLOOKUP(D2034,'Detail Balok'!$C$10:$BJ$110,55,FALSE)</f>
        <v>100</v>
      </c>
      <c r="J2059">
        <f>(D2035-2*F$5)/1000</f>
        <v>0.22</v>
      </c>
      <c r="K2059" t="str">
        <v>+</v>
      </c>
      <c r="L2059">
        <f>IF(D2059=0,2*MAX(6*F2059,75),(D2059-1)*2*MAX(6*F2059,75))/1000</f>
        <v>0.15</v>
      </c>
      <c r="M2059" t="str">
        <v>=</v>
      </c>
      <c r="N2059">
        <f>J2059+L2059</f>
        <v>0.37</v>
      </c>
      <c r="T2059" t="str">
        <v>x</v>
      </c>
      <c r="U2059">
        <f>0.006165*F2059^2</f>
        <v>0</v>
      </c>
      <c r="V2059" t="str">
        <v>x</v>
      </c>
      <c r="W2059">
        <f>W2055</f>
        <v>12</v>
      </c>
      <c r="X2059" t="str">
        <v>x</v>
      </c>
      <c r="Y2059">
        <f>D2044</f>
        <v>0</v>
      </c>
      <c r="Z2059" t="str">
        <v>=</v>
      </c>
      <c r="AA2059">
        <f>N2059*U2059*W2059*Y2059</f>
        <v>0</v>
      </c>
    </row>
    <row r="2060">
      <c r="A2060" t="str">
        <f>A2034</f>
        <v>Sloof</v>
      </c>
      <c r="B2060">
        <f>B2034</f>
        <v>61</v>
      </c>
      <c r="C2060" t="str">
        <v>Kait Horizontal Tump.</v>
      </c>
      <c r="D2060">
        <f>VLOOKUP(D2034,'Detail Balok'!$C$10:$BJ$110,56,FALSE)</f>
        <v>0</v>
      </c>
      <c r="E2060" t="str">
        <v>D</v>
      </c>
      <c r="F2060">
        <f>VLOOKUP(D2034,'Detail Balok'!$C$10:$BJ$110,58,FALSE)</f>
        <v>0</v>
      </c>
      <c r="G2060" t="str">
        <v>-</v>
      </c>
      <c r="H2060">
        <f>VLOOKUP(D2034,'Detail Balok'!$C$10:$BJ$110,60,FALSE)</f>
        <v>100</v>
      </c>
      <c r="J2060">
        <f>(D2035-2*F$5)/1000</f>
        <v>0.22</v>
      </c>
      <c r="K2060" t="str">
        <v>+</v>
      </c>
      <c r="L2060">
        <f>IF(D2060=0,2*MAX(6*F2060,75),(D2060-1)*2*MAX(6*F2060,75))/1000</f>
        <v>0.15</v>
      </c>
      <c r="M2060" t="str">
        <v>=</v>
      </c>
      <c r="N2060">
        <f>J2060+L2060</f>
        <v>0.37</v>
      </c>
      <c r="T2060" t="str">
        <v>x</v>
      </c>
      <c r="U2060">
        <f>0.006165*F2060^2</f>
        <v>0</v>
      </c>
      <c r="V2060" t="str">
        <v>x</v>
      </c>
      <c r="W2060">
        <f>W2056</f>
        <v>8</v>
      </c>
      <c r="X2060" t="str">
        <v>x</v>
      </c>
      <c r="Y2060">
        <f>D2044</f>
        <v>0</v>
      </c>
      <c r="Z2060" t="str">
        <v>=</v>
      </c>
      <c r="AA2060">
        <f>N2060*U2060*W2060*Y2060</f>
        <v>0</v>
      </c>
    </row>
    <row r="2064">
      <c r="A2064" t="str">
        <f>A2034</f>
        <v>Sloof</v>
      </c>
      <c r="B2064">
        <f>B2034+1</f>
        <v>62</v>
      </c>
      <c r="C2064" t="str">
        <f>CONCATENATE(A2064," no. ",B2064)</f>
        <v>Sloof no. 62</v>
      </c>
      <c r="D2064" t="str">
        <f>VLOOKUP(C2064,'Data Panjang Balok'!$C$9:$N$424,2,FALSE)</f>
        <v>TB24-2</v>
      </c>
    </row>
    <row r="2065">
      <c r="C2065" t="str">
        <v>Dimensi</v>
      </c>
      <c r="D2065">
        <f>VLOOKUP(D2064,'Detail Balok'!$C$10:$AU$110,2,FALSE)</f>
        <v>200</v>
      </c>
      <c r="F2065" t="str">
        <v>x</v>
      </c>
      <c r="G2065">
        <f>VLOOKUP(D2064,'Detail Balok'!$C$10:$AU$110,3,FALSE)</f>
        <v>400</v>
      </c>
    </row>
    <row r="2066">
      <c r="C2066" t="str">
        <v>Panjang as ke as</v>
      </c>
      <c r="D2066">
        <f>VLOOKUP(C2064,'Data Panjang Balok'!$C$9:$N$424,4,FALSE)</f>
        <v>3790</v>
      </c>
    </row>
    <row r="2067">
      <c r="C2067" t="str">
        <v>Panjang netto</v>
      </c>
      <c r="D2067">
        <f>VLOOKUP(C2064,'Data Panjang Balok'!$C$9:$N$424,7,FALSE)</f>
        <v>3790</v>
      </c>
    </row>
    <row r="2068">
      <c r="C2068" t="str">
        <v>Kolom / balok kiri</v>
      </c>
      <c r="D2068">
        <f>VLOOKUP(C2064,'Data Panjang Balok'!$C$9:$N$424,9,FALSE)</f>
        <v>0</v>
      </c>
    </row>
    <row r="2069">
      <c r="C2069" t="str">
        <v>Kolom / balok kanan</v>
      </c>
      <c r="D2069">
        <f>VLOOKUP(C2064,'Data Panjang Balok'!$C$9:$N$424,10,FALSE)</f>
        <v>0</v>
      </c>
    </row>
    <row r="2070">
      <c r="C2070" t="str">
        <v>Jumlah</v>
      </c>
      <c r="D2070">
        <f>VLOOKUP(C2064,'Data Panjang Balok'!$C$9:$N$424,3,FALSE)</f>
        <v>1</v>
      </c>
    </row>
    <row r="2071">
      <c r="A2071" t="str">
        <f>A2064</f>
        <v>Sloof</v>
      </c>
      <c r="B2071">
        <f>B2064</f>
        <v>62</v>
      </c>
      <c r="C2071" t="str">
        <v>Tul Atas Tumpuan</v>
      </c>
      <c r="D2071">
        <f>VLOOKUP(D2064,'Detail Balok'!$C$10:$AU$110,4,FALSE)</f>
        <v>4</v>
      </c>
      <c r="E2071" t="str">
        <v>D</v>
      </c>
      <c r="F2071">
        <f>VLOOKUP(D2064,'Detail Balok'!$C$10:$AU$110,6,FALSE)</f>
        <v>13</v>
      </c>
      <c r="I2071" t="str">
        <v>(</v>
      </c>
      <c r="J2071">
        <f>+D2066/4/1000</f>
        <v>0.9475</v>
      </c>
      <c r="K2071" t="str">
        <v>+</v>
      </c>
      <c r="L2071">
        <f>MAX(VLOOKUP(F2071,N$6:P$15,3,FALSE)/1000,2/3*D2068/1000)+F$16*F2071/1000</f>
        <v>0.156</v>
      </c>
      <c r="M2071" t="str">
        <v>=</v>
      </c>
      <c r="N2071">
        <f>J2071+L2071</f>
        <v>1.1035</v>
      </c>
      <c r="O2071" t="str">
        <v>+</v>
      </c>
      <c r="P2071">
        <f>D2071-D2072</f>
        <v>2</v>
      </c>
      <c r="Q2071" t="str">
        <v>x</v>
      </c>
      <c r="R2071">
        <f>IF(P2071&gt;0,$F$18*F2071/1000,0)</f>
        <v>0.195</v>
      </c>
      <c r="S2071" t="str">
        <v>)</v>
      </c>
      <c r="T2071" t="str">
        <v>x</v>
      </c>
      <c r="U2071">
        <f>0.006165*F2071^2</f>
        <v>1.041885</v>
      </c>
      <c r="X2071" t="str">
        <v>x</v>
      </c>
      <c r="Y2071">
        <f>D2070</f>
        <v>1</v>
      </c>
      <c r="Z2071" t="str">
        <v>=</v>
      </c>
      <c r="AA2071">
        <f>IF(AA2074=0,(D2071*N2071+P2071*R2071)*U2071*Y2071,0)</f>
        <v>5.005215539999999</v>
      </c>
    </row>
    <row r="2072">
      <c r="A2072" t="str">
        <f>A2064</f>
        <v>Sloof</v>
      </c>
      <c r="B2072">
        <f>B2064</f>
        <v>62</v>
      </c>
      <c r="C2072" t="str">
        <v>Tul Atas Lapangan</v>
      </c>
      <c r="D2072">
        <f>VLOOKUP(D2064,'Detail Balok'!$C$10:$AU$110,7,FALSE)</f>
        <v>2</v>
      </c>
      <c r="E2072" t="str">
        <v>D</v>
      </c>
      <c r="F2072">
        <f>VLOOKUP(D2064,'Detail Balok'!$C$10:$AU$110,9,FALSE)</f>
        <v>13</v>
      </c>
      <c r="I2072" t="str">
        <v>(</v>
      </c>
      <c r="J2072">
        <f>+D2066/2/1000</f>
        <v>1.895</v>
      </c>
      <c r="K2072" t="str">
        <v>+</v>
      </c>
      <c r="M2072" t="str">
        <v>=</v>
      </c>
      <c r="N2072">
        <f>J2072+L2072</f>
        <v>1.895</v>
      </c>
      <c r="O2072" t="str">
        <v>+</v>
      </c>
      <c r="P2072">
        <f>MAX(D2072-D2071,D2072-D2073)</f>
        <v>-2</v>
      </c>
      <c r="Q2072" t="str">
        <v>x</v>
      </c>
      <c r="R2072">
        <f>IF(P2072&gt;0,2*(1-2*$F$19-1/2)*D2067/1000,0)</f>
        <v>0</v>
      </c>
      <c r="S2072" t="str">
        <v>)</v>
      </c>
      <c r="T2072" t="str">
        <v>x</v>
      </c>
      <c r="U2072">
        <f>0.006165*F2072^2</f>
        <v>1.041885</v>
      </c>
      <c r="X2072" t="str">
        <v>x</v>
      </c>
      <c r="Y2072">
        <f>D2070</f>
        <v>1</v>
      </c>
      <c r="Z2072" t="str">
        <v>=</v>
      </c>
      <c r="AA2072">
        <f>IF(AA2074=0,(D2072*N2072+P2072*R2072)*U2072*Y2072,0)</f>
        <v>3.94874415</v>
      </c>
    </row>
    <row r="2073">
      <c r="A2073" t="str">
        <f>A2064</f>
        <v>Sloof</v>
      </c>
      <c r="B2073">
        <f>B2064</f>
        <v>62</v>
      </c>
      <c r="C2073" t="str">
        <v>Tul Atas Tumpuan</v>
      </c>
      <c r="D2073">
        <f>VLOOKUP(D2064,'Detail Balok'!$C$10:$AU$110,10,FALSE)</f>
        <v>4</v>
      </c>
      <c r="E2073" t="str">
        <v>D</v>
      </c>
      <c r="F2073">
        <f>VLOOKUP(D2064,'Detail Balok'!$C$10:$AU$110,12,FALSE)</f>
        <v>13</v>
      </c>
      <c r="I2073" t="str">
        <v>(</v>
      </c>
      <c r="J2073">
        <f>+D2066/4/1000</f>
        <v>0.9475</v>
      </c>
      <c r="K2073" t="str">
        <v>+</v>
      </c>
      <c r="L2073">
        <f>MAX(VLOOKUP(F2073,N$6:P$15,3,FALSE)/1000,2/3*D2068/1000)+F$16*F2073/1000</f>
        <v>0.156</v>
      </c>
      <c r="M2073" t="str">
        <v>=</v>
      </c>
      <c r="N2073">
        <f>J2073+L2073</f>
        <v>1.1035</v>
      </c>
      <c r="O2073" t="str">
        <v>+</v>
      </c>
      <c r="P2073">
        <f>D2073-D2072</f>
        <v>2</v>
      </c>
      <c r="Q2073" t="str">
        <v>x</v>
      </c>
      <c r="R2073">
        <f>IF(P2073&gt;0,$F$18*F2073/1000,0)</f>
        <v>0.195</v>
      </c>
      <c r="S2073" t="str">
        <v>)</v>
      </c>
      <c r="T2073" t="str">
        <v>x</v>
      </c>
      <c r="U2073">
        <f>0.006165*F2073^2</f>
        <v>1.041885</v>
      </c>
      <c r="X2073" t="str">
        <v>x</v>
      </c>
      <c r="Y2073">
        <f>D2070</f>
        <v>1</v>
      </c>
      <c r="Z2073" t="str">
        <v>=</v>
      </c>
      <c r="AA2073">
        <f>IF(AA2074=0,(D2073*N2073+P2073*R2073)*U2073*Y2073,0)</f>
        <v>5.005215539999999</v>
      </c>
    </row>
    <row r="2074">
      <c r="A2074" t="str">
        <f>A2064</f>
        <v>Sloof</v>
      </c>
      <c r="B2074">
        <f>B2064</f>
        <v>62</v>
      </c>
      <c r="D2074">
        <f>IF(AND(D2071=D2072,D2072=D2073,D2071=D2073),D2071,0)</f>
        <v>0</v>
      </c>
      <c r="E2074" t="str">
        <v>D</v>
      </c>
      <c r="F2074">
        <f>IF(AND(F2071=F2072,F2071=F2073,F2072=F2073),F2071,0)</f>
        <v>13</v>
      </c>
      <c r="L2074" t="str">
        <v>Total panjang per balok</v>
      </c>
      <c r="M2074" t="str">
        <v>=</v>
      </c>
      <c r="N2074">
        <f>IF(AND(D2071=D2072,D2071=D2073,D2072=D2073,F2071=F2072,F2071=F2073,F2072=F2073),SUM(N2071:N2073),0)</f>
        <v>0</v>
      </c>
      <c r="O2074" t="str">
        <v>+</v>
      </c>
      <c r="P2074">
        <f>IF(N2074&gt;12,ROUNDDOWN(N2074/12,0),0)</f>
        <v>0</v>
      </c>
      <c r="Q2074" t="str">
        <v>x</v>
      </c>
      <c r="R2074">
        <f>IF(P2074&gt;0,MAX(VLOOKUP(F2074,$D$6:$G$15,3,FALSE),600),0)/1000</f>
        <v>0</v>
      </c>
      <c r="T2074" t="str">
        <v>x</v>
      </c>
      <c r="U2074">
        <f>U2073</f>
        <v>1.041885</v>
      </c>
      <c r="V2074" t="str">
        <v>x</v>
      </c>
      <c r="W2074">
        <f>D2074</f>
        <v>0</v>
      </c>
      <c r="X2074" t="str">
        <v>x</v>
      </c>
      <c r="Y2074">
        <f>Y2073</f>
        <v>1</v>
      </c>
      <c r="Z2074" t="str">
        <v>=</v>
      </c>
      <c r="AA2074">
        <f>(N2074+P2074*R2074/1000)*U2074*W2074*Y2074</f>
        <v>0</v>
      </c>
    </row>
    <row r="2076">
      <c r="A2076" t="str">
        <f>A2064</f>
        <v>Sloof</v>
      </c>
      <c r="B2076">
        <f>B2064</f>
        <v>62</v>
      </c>
      <c r="C2076" t="str">
        <v>Tul Peminggang</v>
      </c>
      <c r="D2076">
        <f>VLOOKUP(D2064,'Detail Balok'!$C$10:$AU$110,13,FALSE)</f>
        <v>0</v>
      </c>
      <c r="E2076" t="str">
        <v>D</v>
      </c>
      <c r="F2076">
        <f>VLOOKUP(D2064,'Detail Balok'!$C$10:$AU$110,15,FALSE)</f>
        <v>6</v>
      </c>
      <c r="J2076">
        <f>+D2066/1000</f>
        <v>3.79</v>
      </c>
      <c r="K2076" t="str">
        <v>+</v>
      </c>
      <c r="L2076">
        <f>2*$F$16*F2076/1000</f>
        <v>0.144</v>
      </c>
      <c r="M2076" t="str">
        <v>=</v>
      </c>
      <c r="N2076">
        <f>J2076+L2076</f>
        <v>3.934</v>
      </c>
      <c r="O2076" t="str">
        <v>+</v>
      </c>
      <c r="P2076">
        <f>IF(N2076&gt;12,ROUNDDOWN(N2076/12,0),0)</f>
        <v>0</v>
      </c>
      <c r="Q2076" t="str">
        <v>x</v>
      </c>
      <c r="R2076">
        <f>IF(P2076&gt;0,MAX(VLOOKUP(F2076,$D$6:$G$15,3,FALSE),600),0)/1000</f>
        <v>0</v>
      </c>
      <c r="T2076" t="str">
        <v>x</v>
      </c>
      <c r="U2076">
        <f>0.006165*F2076^2</f>
        <v>0.22194000000000003</v>
      </c>
      <c r="V2076" t="str">
        <v>x</v>
      </c>
      <c r="W2076">
        <f>+D2076</f>
        <v>0</v>
      </c>
      <c r="X2076" t="str">
        <v>x</v>
      </c>
      <c r="Y2076">
        <f>D2070</f>
        <v>1</v>
      </c>
      <c r="Z2076" t="str">
        <v>=</v>
      </c>
      <c r="AA2076">
        <f>(N2076+P2076*R2076/1000)*U2076*W2076*Y2076</f>
        <v>0</v>
      </c>
    </row>
    <row r="2079">
      <c r="A2079" t="str">
        <f>A2064</f>
        <v>Sloof</v>
      </c>
      <c r="B2079">
        <f>B2064</f>
        <v>62</v>
      </c>
      <c r="C2079" t="str">
        <v>Tul Bawah Tumpuan</v>
      </c>
      <c r="D2079">
        <f>VLOOKUP(D2064,'Detail Balok'!$C$10:$AU$110,22,FALSE)</f>
        <v>3</v>
      </c>
      <c r="E2079" t="str">
        <v>D</v>
      </c>
      <c r="F2079">
        <f>VLOOKUP(D2064,'Detail Balok'!$C$10:$AU$110,24,FALSE)</f>
        <v>13</v>
      </c>
      <c r="I2079" t="str">
        <v>(</v>
      </c>
      <c r="J2079">
        <f>+J2071</f>
        <v>0.9475</v>
      </c>
      <c r="K2079" t="str">
        <v>+</v>
      </c>
      <c r="L2079">
        <f>MAX(VLOOKUP(F2079,N$6:P$15,3,FALSE)/1000,2/3*D2069/1000)+F$16*F2079/1000</f>
        <v>0.156</v>
      </c>
      <c r="M2079" t="str">
        <v>=</v>
      </c>
      <c r="N2079">
        <f>J2079+L2079</f>
        <v>1.1035</v>
      </c>
      <c r="O2079" t="str">
        <v>+</v>
      </c>
      <c r="P2079">
        <f>D2079-D2080</f>
        <v>0</v>
      </c>
      <c r="Q2079" t="str">
        <v>x</v>
      </c>
      <c r="R2079">
        <f>IF(P2079&gt;0,$F$18*F2079/1000,0)</f>
        <v>0</v>
      </c>
      <c r="S2079" t="str">
        <v>)</v>
      </c>
      <c r="T2079" t="str">
        <v>x</v>
      </c>
      <c r="U2079">
        <f>0.006165*F2079^2</f>
        <v>1.041885</v>
      </c>
      <c r="X2079" t="str">
        <v>x</v>
      </c>
      <c r="Y2079">
        <f>D2070</f>
        <v>1</v>
      </c>
      <c r="Z2079" t="str">
        <v>=</v>
      </c>
      <c r="AA2079">
        <f>IF(AA2082=0,(D2079*N2079+P2079*R2079)*U2079*Y2079,0)</f>
        <v>0</v>
      </c>
    </row>
    <row r="2080">
      <c r="A2080" t="str">
        <f>A2064</f>
        <v>Sloof</v>
      </c>
      <c r="B2080">
        <f>B2064</f>
        <v>62</v>
      </c>
      <c r="C2080" t="str">
        <v>Tul Bawah Lapangan</v>
      </c>
      <c r="D2080">
        <f>VLOOKUP(D2064,'Detail Balok'!$C$10:$AU$110,25,FALSE)</f>
        <v>3</v>
      </c>
      <c r="E2080" t="str">
        <v>D</v>
      </c>
      <c r="F2080">
        <f>VLOOKUP(D2064,'Detail Balok'!$C$10:$AU$110,27,FALSE)</f>
        <v>13</v>
      </c>
      <c r="I2080" t="str">
        <v>(</v>
      </c>
      <c r="J2080">
        <f>+J2072</f>
        <v>1.895</v>
      </c>
      <c r="K2080" t="str">
        <v>+</v>
      </c>
      <c r="M2080" t="str">
        <v>=</v>
      </c>
      <c r="N2080">
        <f>J2080+L2080</f>
        <v>1.895</v>
      </c>
      <c r="O2080" t="str">
        <v>+</v>
      </c>
      <c r="P2080">
        <f>MAX(D2080-D2079,D2080-D2081)</f>
        <v>0</v>
      </c>
      <c r="Q2080" t="str">
        <v>x</v>
      </c>
      <c r="R2080">
        <f>IF(P2080&gt;0,2*(1-2*$F$19-1/2)*D2067/1000,0)</f>
        <v>0</v>
      </c>
      <c r="S2080" t="str">
        <v>)</v>
      </c>
      <c r="T2080" t="str">
        <v>x</v>
      </c>
      <c r="U2080">
        <f>0.006165*F2080^2</f>
        <v>1.041885</v>
      </c>
      <c r="X2080" t="str">
        <v>x</v>
      </c>
      <c r="Y2080">
        <f>D2070</f>
        <v>1</v>
      </c>
      <c r="Z2080" t="str">
        <v>=</v>
      </c>
      <c r="AA2080">
        <f>IF(AA2082=0,(D2080*N2080+P2080*R2080)*U2080*Y2080,0)</f>
        <v>0</v>
      </c>
    </row>
    <row r="2081">
      <c r="A2081" t="str">
        <f>A2064</f>
        <v>Sloof</v>
      </c>
      <c r="B2081">
        <f>B2064</f>
        <v>62</v>
      </c>
      <c r="C2081" t="str">
        <v>Tul Bawah Tumpuan</v>
      </c>
      <c r="D2081">
        <f>VLOOKUP(D2064,'Detail Balok'!$C$10:$AU$110,28,FALSE)</f>
        <v>3</v>
      </c>
      <c r="E2081" t="str">
        <v>D</v>
      </c>
      <c r="F2081">
        <f>VLOOKUP(D2064,'Detail Balok'!$C$10:$AU$110,30,FALSE)</f>
        <v>13</v>
      </c>
      <c r="I2081" t="str">
        <v>(</v>
      </c>
      <c r="J2081">
        <f>+J2073</f>
        <v>0.9475</v>
      </c>
      <c r="K2081" t="str">
        <v>+</v>
      </c>
      <c r="L2081">
        <f>MAX(VLOOKUP(F2081,N$6:P$15,3,FALSE)/1000,2/3*D2069/1000)+F$16*F2081/1000</f>
        <v>0.156</v>
      </c>
      <c r="M2081" t="str">
        <v>=</v>
      </c>
      <c r="N2081">
        <f>J2081+L2081</f>
        <v>1.1035</v>
      </c>
      <c r="O2081" t="str">
        <v>+</v>
      </c>
      <c r="P2081">
        <f>D2081-D2080</f>
        <v>0</v>
      </c>
      <c r="Q2081" t="str">
        <v>x</v>
      </c>
      <c r="R2081">
        <f>IF(P2081&gt;0,$F$18*F2081/1000,0)</f>
        <v>0</v>
      </c>
      <c r="S2081" t="str">
        <v>)</v>
      </c>
      <c r="T2081" t="str">
        <v>x</v>
      </c>
      <c r="U2081">
        <f>0.006165*F2081^2</f>
        <v>1.041885</v>
      </c>
      <c r="X2081" t="str">
        <v>x</v>
      </c>
      <c r="Y2081">
        <f>D2070</f>
        <v>1</v>
      </c>
      <c r="Z2081" t="str">
        <v>=</v>
      </c>
      <c r="AA2081">
        <f>IF(AA2082=0,(D2081*N2081+P2081*R2081)*U2081*Y2081,0)</f>
        <v>0</v>
      </c>
    </row>
    <row r="2082">
      <c r="A2082" t="str">
        <f>A2064</f>
        <v>Sloof</v>
      </c>
      <c r="B2082">
        <f>B2064</f>
        <v>62</v>
      </c>
      <c r="D2082">
        <f>IF(AND(D2079=D2080,D2080=D2081,D2079=D2081),D2079,0)</f>
        <v>3</v>
      </c>
      <c r="E2082" t="str">
        <v>D</v>
      </c>
      <c r="F2082">
        <f>IF(AND(F2079=F2080,F2079=F2081,F2080=F2081),F2079,0)</f>
        <v>13</v>
      </c>
      <c r="L2082" t="str">
        <v>Total panjang per balok</v>
      </c>
      <c r="M2082" t="str">
        <v>=</v>
      </c>
      <c r="N2082">
        <f>IF(AND(D2079=D2080,D2079=D2081,D2080=D2081,F2079=F2080,F2079=F2081,F2080=F2081),SUM(N2079:N2081),0)</f>
        <v>4.102</v>
      </c>
      <c r="O2082" t="str">
        <v>+</v>
      </c>
      <c r="P2082">
        <f>IF(N2082&gt;12,ROUNDDOWN(N2082/12,0),0)</f>
        <v>0</v>
      </c>
      <c r="Q2082" t="str">
        <v>x</v>
      </c>
      <c r="R2082">
        <f>IF(P2082&gt;0,MAX(VLOOKUP(F2082,$D$6:$G$15,3,FALSE),600),0)/1000</f>
        <v>0</v>
      </c>
      <c r="T2082" t="str">
        <v>x</v>
      </c>
      <c r="U2082">
        <f>U2081</f>
        <v>1.041885</v>
      </c>
      <c r="V2082" t="str">
        <v>x</v>
      </c>
      <c r="W2082">
        <f>D2082</f>
        <v>3</v>
      </c>
      <c r="X2082" t="str">
        <v>x</v>
      </c>
      <c r="Y2082">
        <f>Y2081</f>
        <v>1</v>
      </c>
      <c r="Z2082" t="str">
        <v>=</v>
      </c>
      <c r="AA2082">
        <f>(N2082+P2082*R2082/1000)*U2082*W2082*Y2082</f>
        <v>12.821436810000002</v>
      </c>
    </row>
    <row r="2084">
      <c r="A2084" t="str">
        <f>A2064</f>
        <v>Sloof</v>
      </c>
      <c r="B2084">
        <f>B2064</f>
        <v>62</v>
      </c>
      <c r="C2084" t="str">
        <v>Sengkang Tumpuan</v>
      </c>
      <c r="D2084">
        <f>VLOOKUP(D2064,'Detail Balok'!$C$10:$AU$110,31,FALSE)</f>
        <v>0</v>
      </c>
      <c r="E2084" t="str">
        <v>D</v>
      </c>
      <c r="F2084">
        <f>VLOOKUP(D2064,'Detail Balok'!$C$10:$AU$110,33,FALSE)</f>
        <v>8</v>
      </c>
      <c r="G2084" t="str">
        <v>-</v>
      </c>
      <c r="H2084">
        <f>VLOOKUP(D2064,'Detail Balok'!$C$10:$AU$110,35,FALSE)</f>
        <v>150</v>
      </c>
      <c r="J2084">
        <f>(IF(D2084=0,(2*(D2065+G2065))-(F$5*8),IF(D2084=3,(2*(D2065+G2065))-(F$5*8)+(G2065-2*F$5),IF(D2084=4,(2*(D2065+G2065))-(F$5*8)+2*(G2065-2*F$5)))))/1000</f>
        <v>0.88</v>
      </c>
      <c r="K2084" t="str">
        <v>+</v>
      </c>
      <c r="L2084">
        <f>IF(D2084=0,2*MAX(6*F2084,75),(D2084-1)*2*MAX(6*F2084,75))/1000</f>
        <v>0.15</v>
      </c>
      <c r="M2084" t="str">
        <v>=</v>
      </c>
      <c r="N2084">
        <f>J2084+L2084</f>
        <v>1.03</v>
      </c>
      <c r="T2084" t="str">
        <v>x</v>
      </c>
      <c r="U2084">
        <f>0.006165*F2084^2</f>
        <v>0.39456</v>
      </c>
      <c r="V2084" t="str">
        <v>x</v>
      </c>
      <c r="W2084">
        <f>IF(D2067&gt;4*G2065,ROUND(MAX(D2067/4,2*G2065)/H2084,0)+1,ROUND(D2067/H2084,0)+1)</f>
        <v>7</v>
      </c>
      <c r="X2084" t="str">
        <v>x</v>
      </c>
      <c r="Y2084">
        <f>D2070</f>
        <v>1</v>
      </c>
      <c r="Z2084" t="str">
        <v>=</v>
      </c>
      <c r="AA2084">
        <f>N2084*U2084*W2084*Y2084</f>
        <v>2.8447776000000005</v>
      </c>
    </row>
    <row r="2085">
      <c r="A2085" t="str">
        <f>A2064</f>
        <v>Sloof</v>
      </c>
      <c r="B2085">
        <f>B2064</f>
        <v>62</v>
      </c>
      <c r="C2085" t="str">
        <v>Sengkang Lapangan</v>
      </c>
      <c r="D2085">
        <f>VLOOKUP(D2064,'Detail Balok'!$C$10:$AU$110,36,FALSE)</f>
        <v>0</v>
      </c>
      <c r="E2085" t="str">
        <v>D</v>
      </c>
      <c r="F2085">
        <f>VLOOKUP(D2064,'Detail Balok'!$C$10:$AU$110,38,FALSE)</f>
        <v>8</v>
      </c>
      <c r="G2085" t="str">
        <v>-</v>
      </c>
      <c r="H2085">
        <f>VLOOKUP(D2064,'Detail Balok'!$C$10:$AU$110,40,FALSE)</f>
        <v>200</v>
      </c>
      <c r="J2085">
        <f>(IF(D2085=0,(2*(D2065+G2065))-(F$5*8),IF(D2085=3,(2*(D2065+G2065))-(F$5*8)+(G2065-2*F$5),IF(D2085=4,(2*(D2065+G2065))-(F$5*8)+2*(G2065-2*F$5)))))/1000</f>
        <v>0.88</v>
      </c>
      <c r="K2085" t="str">
        <v>+</v>
      </c>
      <c r="L2085">
        <f>IF(D2085=0,2*MAX(6*F2085,75),(D2085-1)*2*MAX(6*F2085,75))/1000</f>
        <v>0.15</v>
      </c>
      <c r="M2085" t="str">
        <v>=</v>
      </c>
      <c r="N2085">
        <f>J2085+L2085</f>
        <v>1.03</v>
      </c>
      <c r="T2085" t="str">
        <v>x</v>
      </c>
      <c r="U2085">
        <f>0.006165*F2085^2</f>
        <v>0.39456</v>
      </c>
      <c r="V2085" t="str">
        <v>x</v>
      </c>
      <c r="W2085">
        <f>IF(D2067-MAX(D2067/4,2*G2065)*2&gt;0,ROUND((D2067-MAX(D2067/4,2*G2065)*2)/H2085,0),0)</f>
        <v>9</v>
      </c>
      <c r="X2085" t="str">
        <v>x</v>
      </c>
      <c r="Y2085">
        <f>D2070</f>
        <v>1</v>
      </c>
      <c r="Z2085" t="str">
        <v>=</v>
      </c>
      <c r="AA2085">
        <f>N2085*U2085*W2085*Y2085</f>
        <v>3.6575712000000005</v>
      </c>
    </row>
    <row r="2086">
      <c r="A2086" t="str">
        <f>A2064</f>
        <v>Sloof</v>
      </c>
      <c r="B2086">
        <f>B2064</f>
        <v>62</v>
      </c>
      <c r="C2086" t="str">
        <v>Sengkang Tumpuan</v>
      </c>
      <c r="D2086">
        <f>VLOOKUP(D2064,'Detail Balok'!$C$10:$AU$110,41,FALSE)</f>
        <v>0</v>
      </c>
      <c r="E2086" t="str">
        <v>D</v>
      </c>
      <c r="F2086">
        <f>VLOOKUP(D2064,'Detail Balok'!$C$10:$AU$110,43,FALSE)</f>
        <v>8</v>
      </c>
      <c r="G2086" t="str">
        <v>-</v>
      </c>
      <c r="H2086">
        <f>VLOOKUP(D2064,'Detail Balok'!$C$10:$AU$110,45,FALSE)</f>
        <v>150</v>
      </c>
      <c r="J2086">
        <f>(IF(D2086=0,(2*(D2065+G2065))-(F$5*8),IF(D2086=3,(2*(D2065+G2065))-(F$5*8)+(G2065-2*F$5),IF(D2086=4,(2*(D2065+G2065))-(F$5*8)+2*(G2065-2*F$5)))))/1000</f>
        <v>0.88</v>
      </c>
      <c r="K2086" t="str">
        <v>+</v>
      </c>
      <c r="L2086">
        <f>IF(D2086=0,2*MAX(6*F2086,75),(D2086-1)*2*MAX(6*F2086,75))/1000</f>
        <v>0.15</v>
      </c>
      <c r="M2086" t="str">
        <v>=</v>
      </c>
      <c r="N2086">
        <f>J2086+L2086</f>
        <v>1.03</v>
      </c>
      <c r="T2086" t="str">
        <v>x</v>
      </c>
      <c r="U2086">
        <f>0.006165*F2086^2</f>
        <v>0.39456</v>
      </c>
      <c r="V2086" t="str">
        <v>x</v>
      </c>
      <c r="W2086">
        <f>IF(D2067&gt;4*G2065,ROUND(MAX(D2067/4,2*G2065)/H2086,0)+1,0)</f>
        <v>7</v>
      </c>
      <c r="X2086" t="str">
        <v>x</v>
      </c>
      <c r="Y2086">
        <f>D2070</f>
        <v>1</v>
      </c>
      <c r="Z2086" t="str">
        <v>=</v>
      </c>
      <c r="AA2086">
        <f>N2086*U2086*W2086*Y2086</f>
        <v>2.8447776000000005</v>
      </c>
    </row>
    <row r="2088">
      <c r="A2088" t="str">
        <f>A2064</f>
        <v>Sloof</v>
      </c>
      <c r="B2088">
        <f>B2064</f>
        <v>62</v>
      </c>
      <c r="C2088" t="str">
        <v>Kait Horizontal Tump.</v>
      </c>
      <c r="D2088">
        <f>VLOOKUP(D2064,'Detail Balok'!$C$10:$BJ$110,46,FALSE)</f>
        <v>0</v>
      </c>
      <c r="E2088" t="str">
        <v>D</v>
      </c>
      <c r="F2088">
        <f>VLOOKUP(D2064,'Detail Balok'!$C$10:$BJ$110,48,FALSE)</f>
        <v>0</v>
      </c>
      <c r="G2088" t="str">
        <v>-</v>
      </c>
      <c r="H2088">
        <f>VLOOKUP(D2064,'Detail Balok'!$C$10:$BJ$110,50,FALSE)</f>
        <v>100</v>
      </c>
      <c r="J2088">
        <f>(D2065-2*F$5)/1000</f>
        <v>0.12</v>
      </c>
      <c r="K2088" t="str">
        <v>+</v>
      </c>
      <c r="L2088">
        <f>IF(D2088=0,2*MAX(6*F2088,75),(D2088-1)*2*MAX(6*F2088,75))/1000</f>
        <v>0.15</v>
      </c>
      <c r="M2088" t="str">
        <v>=</v>
      </c>
      <c r="N2088">
        <f>J2088+L2088</f>
        <v>0.27</v>
      </c>
      <c r="T2088" t="str">
        <v>x</v>
      </c>
      <c r="U2088">
        <f>0.006165*F2088^2</f>
        <v>0</v>
      </c>
      <c r="V2088" t="str">
        <v>x</v>
      </c>
      <c r="W2088">
        <f>W2084</f>
        <v>7</v>
      </c>
      <c r="X2088" t="str">
        <v>x</v>
      </c>
      <c r="Y2088">
        <f>D2074</f>
        <v>0</v>
      </c>
      <c r="Z2088" t="str">
        <v>=</v>
      </c>
      <c r="AA2088">
        <f>N2088*U2088*W2088*Y2088</f>
        <v>0</v>
      </c>
    </row>
    <row r="2089">
      <c r="A2089" t="str">
        <f>A2064</f>
        <v>Sloof</v>
      </c>
      <c r="B2089">
        <f>B2064</f>
        <v>62</v>
      </c>
      <c r="C2089" t="str">
        <v>Kait Horizontal Lap.</v>
      </c>
      <c r="D2089">
        <f>VLOOKUP(D2064,'Detail Balok'!$C$10:$BJ$110,51,FALSE)</f>
        <v>0</v>
      </c>
      <c r="E2089" t="str">
        <v>D</v>
      </c>
      <c r="F2089">
        <f>VLOOKUP(D2064,'Detail Balok'!$C$10:$BJ$110,53,FALSE)</f>
        <v>0</v>
      </c>
      <c r="G2089" t="str">
        <v>-</v>
      </c>
      <c r="H2089">
        <f>VLOOKUP(D2064,'Detail Balok'!$C$10:$BJ$110,55,FALSE)</f>
        <v>100</v>
      </c>
      <c r="J2089">
        <f>(D2065-2*F$5)/1000</f>
        <v>0.12</v>
      </c>
      <c r="K2089" t="str">
        <v>+</v>
      </c>
      <c r="L2089">
        <f>IF(D2089=0,2*MAX(6*F2089,75),(D2089-1)*2*MAX(6*F2089,75))/1000</f>
        <v>0.15</v>
      </c>
      <c r="M2089" t="str">
        <v>=</v>
      </c>
      <c r="N2089">
        <f>J2089+L2089</f>
        <v>0.27</v>
      </c>
      <c r="T2089" t="str">
        <v>x</v>
      </c>
      <c r="U2089">
        <f>0.006165*F2089^2</f>
        <v>0</v>
      </c>
      <c r="V2089" t="str">
        <v>x</v>
      </c>
      <c r="W2089">
        <f>W2085</f>
        <v>9</v>
      </c>
      <c r="X2089" t="str">
        <v>x</v>
      </c>
      <c r="Y2089">
        <f>D2074</f>
        <v>0</v>
      </c>
      <c r="Z2089" t="str">
        <v>=</v>
      </c>
      <c r="AA2089">
        <f>N2089*U2089*W2089*Y2089</f>
        <v>0</v>
      </c>
    </row>
    <row r="2090">
      <c r="A2090" t="str">
        <f>A2064</f>
        <v>Sloof</v>
      </c>
      <c r="B2090">
        <f>B2064</f>
        <v>62</v>
      </c>
      <c r="C2090" t="str">
        <v>Kait Horizontal Tump.</v>
      </c>
      <c r="D2090">
        <f>VLOOKUP(D2064,'Detail Balok'!$C$10:$BJ$110,56,FALSE)</f>
        <v>0</v>
      </c>
      <c r="E2090" t="str">
        <v>D</v>
      </c>
      <c r="F2090">
        <f>VLOOKUP(D2064,'Detail Balok'!$C$10:$BJ$110,58,FALSE)</f>
        <v>0</v>
      </c>
      <c r="G2090" t="str">
        <v>-</v>
      </c>
      <c r="H2090">
        <f>VLOOKUP(D2064,'Detail Balok'!$C$10:$BJ$110,60,FALSE)</f>
        <v>100</v>
      </c>
      <c r="J2090">
        <f>(D2065-2*F$5)/1000</f>
        <v>0.12</v>
      </c>
      <c r="K2090" t="str">
        <v>+</v>
      </c>
      <c r="L2090">
        <f>IF(D2090=0,2*MAX(6*F2090,75),(D2090-1)*2*MAX(6*F2090,75))/1000</f>
        <v>0.15</v>
      </c>
      <c r="M2090" t="str">
        <v>=</v>
      </c>
      <c r="N2090">
        <f>J2090+L2090</f>
        <v>0.27</v>
      </c>
      <c r="T2090" t="str">
        <v>x</v>
      </c>
      <c r="U2090">
        <f>0.006165*F2090^2</f>
        <v>0</v>
      </c>
      <c r="V2090" t="str">
        <v>x</v>
      </c>
      <c r="W2090">
        <f>W2086</f>
        <v>7</v>
      </c>
      <c r="X2090" t="str">
        <v>x</v>
      </c>
      <c r="Y2090">
        <f>D2074</f>
        <v>0</v>
      </c>
      <c r="Z2090" t="str">
        <v>=</v>
      </c>
      <c r="AA2090">
        <f>N2090*U2090*W2090*Y2090</f>
        <v>0</v>
      </c>
    </row>
    <row r="2094">
      <c r="A2094" t="str">
        <f>A2064</f>
        <v>Sloof</v>
      </c>
      <c r="B2094">
        <f>B2064+1</f>
        <v>63</v>
      </c>
      <c r="C2094" t="str">
        <f>CONCATENATE(A2094," no. ",B2094)</f>
        <v>Sloof no. 63</v>
      </c>
      <c r="D2094" t="str">
        <f>VLOOKUP(C2094,'Data Panjang Balok'!$C$9:$N$424,2,FALSE)</f>
        <v>TB245-2</v>
      </c>
    </row>
    <row r="2095">
      <c r="C2095" t="str">
        <v>Dimensi</v>
      </c>
      <c r="D2095">
        <f>VLOOKUP(D2094,'Detail Balok'!$C$10:$AU$110,2,FALSE)</f>
        <v>200</v>
      </c>
      <c r="F2095" t="str">
        <v>x</v>
      </c>
      <c r="G2095">
        <f>VLOOKUP(D2094,'Detail Balok'!$C$10:$AU$110,3,FALSE)</f>
        <v>450</v>
      </c>
    </row>
    <row r="2096">
      <c r="C2096" t="str">
        <v>Panjang as ke as</v>
      </c>
      <c r="D2096">
        <f>VLOOKUP(C2094,'Data Panjang Balok'!$C$9:$N$424,4,FALSE)</f>
        <v>2675</v>
      </c>
    </row>
    <row r="2097">
      <c r="C2097" t="str">
        <v>Panjang netto</v>
      </c>
      <c r="D2097">
        <f>VLOOKUP(C2094,'Data Panjang Balok'!$C$9:$N$424,7,FALSE)</f>
        <v>2675</v>
      </c>
    </row>
    <row r="2098">
      <c r="C2098" t="str">
        <v>Kolom / balok kiri</v>
      </c>
      <c r="D2098">
        <f>VLOOKUP(C2094,'Data Panjang Balok'!$C$9:$N$424,9,FALSE)</f>
        <v>0</v>
      </c>
    </row>
    <row r="2099">
      <c r="C2099" t="str">
        <v>Kolom / balok kanan</v>
      </c>
      <c r="D2099">
        <f>VLOOKUP(C2094,'Data Panjang Balok'!$C$9:$N$424,10,FALSE)</f>
        <v>0</v>
      </c>
    </row>
    <row r="2100">
      <c r="C2100" t="str">
        <v>Jumlah</v>
      </c>
      <c r="D2100">
        <f>VLOOKUP(C2094,'Data Panjang Balok'!$C$9:$N$424,3,FALSE)</f>
        <v>1</v>
      </c>
    </row>
    <row r="2101">
      <c r="A2101" t="str">
        <f>A2094</f>
        <v>Sloof</v>
      </c>
      <c r="B2101">
        <f>B2094</f>
        <v>63</v>
      </c>
      <c r="C2101" t="str">
        <v>Tul Atas Tumpuan</v>
      </c>
      <c r="D2101">
        <f>VLOOKUP(D2094,'Detail Balok'!$C$10:$AU$110,4,FALSE)</f>
        <v>4</v>
      </c>
      <c r="E2101" t="str">
        <v>D</v>
      </c>
      <c r="F2101">
        <f>VLOOKUP(D2094,'Detail Balok'!$C$10:$AU$110,6,FALSE)</f>
        <v>13</v>
      </c>
      <c r="I2101" t="str">
        <v>(</v>
      </c>
      <c r="J2101">
        <f>+D2096/4/1000</f>
        <v>0.66875</v>
      </c>
      <c r="K2101" t="str">
        <v>+</v>
      </c>
      <c r="L2101">
        <f>MAX(VLOOKUP(F2101,N$6:P$15,3,FALSE)/1000,2/3*D2098/1000)+F$16*F2101/1000</f>
        <v>0.156</v>
      </c>
      <c r="M2101" t="str">
        <v>=</v>
      </c>
      <c r="N2101">
        <f>J2101+L2101</f>
        <v>0.82475</v>
      </c>
      <c r="O2101" t="str">
        <v>+</v>
      </c>
      <c r="P2101">
        <f>D2101-D2102</f>
        <v>2</v>
      </c>
      <c r="Q2101" t="str">
        <v>x</v>
      </c>
      <c r="R2101">
        <f>IF(P2101&gt;0,$F$18*F2101/1000,0)</f>
        <v>0.195</v>
      </c>
      <c r="S2101" t="str">
        <v>)</v>
      </c>
      <c r="T2101" t="str">
        <v>x</v>
      </c>
      <c r="U2101">
        <f>0.006165*F2101^2</f>
        <v>1.041885</v>
      </c>
      <c r="X2101" t="str">
        <v>x</v>
      </c>
      <c r="Y2101">
        <f>D2100</f>
        <v>1</v>
      </c>
      <c r="Z2101" t="str">
        <v>=</v>
      </c>
      <c r="AA2101">
        <f>IF(AA2104=0,(D2101*N2101+P2101*R2101)*U2101*Y2101,0)</f>
        <v>3.843513765</v>
      </c>
    </row>
    <row r="2102">
      <c r="A2102" t="str">
        <f>A2094</f>
        <v>Sloof</v>
      </c>
      <c r="B2102">
        <f>B2094</f>
        <v>63</v>
      </c>
      <c r="C2102" t="str">
        <v>Tul Atas Lapangan</v>
      </c>
      <c r="D2102">
        <f>VLOOKUP(D2094,'Detail Balok'!$C$10:$AU$110,7,FALSE)</f>
        <v>2</v>
      </c>
      <c r="E2102" t="str">
        <v>D</v>
      </c>
      <c r="F2102">
        <f>VLOOKUP(D2094,'Detail Balok'!$C$10:$AU$110,9,FALSE)</f>
        <v>13</v>
      </c>
      <c r="I2102" t="str">
        <v>(</v>
      </c>
      <c r="J2102">
        <f>+D2096/2/1000</f>
        <v>1.3375</v>
      </c>
      <c r="K2102" t="str">
        <v>+</v>
      </c>
      <c r="M2102" t="str">
        <v>=</v>
      </c>
      <c r="N2102">
        <f>J2102+L2102</f>
        <v>1.3375</v>
      </c>
      <c r="O2102" t="str">
        <v>+</v>
      </c>
      <c r="P2102">
        <f>MAX(D2102-D2101,D2102-D2103)</f>
        <v>-2</v>
      </c>
      <c r="Q2102" t="str">
        <v>x</v>
      </c>
      <c r="R2102">
        <f>IF(P2102&gt;0,2*(1-2*$F$19-1/2)*D2097/1000,0)</f>
        <v>0</v>
      </c>
      <c r="S2102" t="str">
        <v>)</v>
      </c>
      <c r="T2102" t="str">
        <v>x</v>
      </c>
      <c r="U2102">
        <f>0.006165*F2102^2</f>
        <v>1.041885</v>
      </c>
      <c r="X2102" t="str">
        <v>x</v>
      </c>
      <c r="Y2102">
        <f>D2100</f>
        <v>1</v>
      </c>
      <c r="Z2102" t="str">
        <v>=</v>
      </c>
      <c r="AA2102">
        <f>IF(AA2104=0,(D2102*N2102+P2102*R2102)*U2102*Y2102,0)</f>
        <v>2.7870423749999995</v>
      </c>
    </row>
    <row r="2103">
      <c r="A2103" t="str">
        <f>A2094</f>
        <v>Sloof</v>
      </c>
      <c r="B2103">
        <f>B2094</f>
        <v>63</v>
      </c>
      <c r="C2103" t="str">
        <v>Tul Atas Tumpuan</v>
      </c>
      <c r="D2103">
        <f>VLOOKUP(D2094,'Detail Balok'!$C$10:$AU$110,10,FALSE)</f>
        <v>4</v>
      </c>
      <c r="E2103" t="str">
        <v>D</v>
      </c>
      <c r="F2103">
        <f>VLOOKUP(D2094,'Detail Balok'!$C$10:$AU$110,12,FALSE)</f>
        <v>13</v>
      </c>
      <c r="I2103" t="str">
        <v>(</v>
      </c>
      <c r="J2103">
        <f>+D2096/4/1000</f>
        <v>0.66875</v>
      </c>
      <c r="K2103" t="str">
        <v>+</v>
      </c>
      <c r="L2103">
        <f>MAX(VLOOKUP(F2103,N$6:P$15,3,FALSE)/1000,2/3*D2098/1000)+F$16*F2103/1000</f>
        <v>0.156</v>
      </c>
      <c r="M2103" t="str">
        <v>=</v>
      </c>
      <c r="N2103">
        <f>J2103+L2103</f>
        <v>0.82475</v>
      </c>
      <c r="O2103" t="str">
        <v>+</v>
      </c>
      <c r="P2103">
        <f>D2103-D2102</f>
        <v>2</v>
      </c>
      <c r="Q2103" t="str">
        <v>x</v>
      </c>
      <c r="R2103">
        <f>IF(P2103&gt;0,$F$18*F2103/1000,0)</f>
        <v>0.195</v>
      </c>
      <c r="S2103" t="str">
        <v>)</v>
      </c>
      <c r="T2103" t="str">
        <v>x</v>
      </c>
      <c r="U2103">
        <f>0.006165*F2103^2</f>
        <v>1.041885</v>
      </c>
      <c r="X2103" t="str">
        <v>x</v>
      </c>
      <c r="Y2103">
        <f>D2100</f>
        <v>1</v>
      </c>
      <c r="Z2103" t="str">
        <v>=</v>
      </c>
      <c r="AA2103">
        <f>IF(AA2104=0,(D2103*N2103+P2103*R2103)*U2103*Y2103,0)</f>
        <v>3.843513765</v>
      </c>
    </row>
    <row r="2104">
      <c r="A2104" t="str">
        <f>A2094</f>
        <v>Sloof</v>
      </c>
      <c r="B2104">
        <f>B2094</f>
        <v>63</v>
      </c>
      <c r="D2104">
        <f>IF(AND(D2101=D2102,D2102=D2103,D2101=D2103),D2101,0)</f>
        <v>0</v>
      </c>
      <c r="E2104" t="str">
        <v>D</v>
      </c>
      <c r="F2104">
        <f>IF(AND(F2101=F2102,F2101=F2103,F2102=F2103),F2101,0)</f>
        <v>13</v>
      </c>
      <c r="L2104" t="str">
        <v>Total panjang per balok</v>
      </c>
      <c r="M2104" t="str">
        <v>=</v>
      </c>
      <c r="N2104">
        <f>IF(AND(D2101=D2102,D2101=D2103,D2102=D2103,F2101=F2102,F2101=F2103,F2102=F2103),SUM(N2101:N2103),0)</f>
        <v>0</v>
      </c>
      <c r="O2104" t="str">
        <v>+</v>
      </c>
      <c r="P2104">
        <f>IF(N2104&gt;12,ROUNDDOWN(N2104/12,0),0)</f>
        <v>0</v>
      </c>
      <c r="Q2104" t="str">
        <v>x</v>
      </c>
      <c r="R2104">
        <f>IF(P2104&gt;0,MAX(VLOOKUP(F2104,$D$6:$G$15,3,FALSE),600),0)/1000</f>
        <v>0</v>
      </c>
      <c r="T2104" t="str">
        <v>x</v>
      </c>
      <c r="U2104">
        <f>U2103</f>
        <v>1.041885</v>
      </c>
      <c r="V2104" t="str">
        <v>x</v>
      </c>
      <c r="W2104">
        <f>D2104</f>
        <v>0</v>
      </c>
      <c r="X2104" t="str">
        <v>x</v>
      </c>
      <c r="Y2104">
        <f>Y2103</f>
        <v>1</v>
      </c>
      <c r="Z2104" t="str">
        <v>=</v>
      </c>
      <c r="AA2104">
        <f>(N2104+P2104*R2104/1000)*U2104*W2104*Y2104</f>
        <v>0</v>
      </c>
    </row>
    <row r="2106">
      <c r="A2106" t="str">
        <f>A2094</f>
        <v>Sloof</v>
      </c>
      <c r="B2106">
        <f>B2094</f>
        <v>63</v>
      </c>
      <c r="C2106" t="str">
        <v>Tul Peminggang</v>
      </c>
      <c r="D2106">
        <f>VLOOKUP(D2094,'Detail Balok'!$C$10:$AU$110,13,FALSE)</f>
        <v>2</v>
      </c>
      <c r="E2106" t="str">
        <v>D</v>
      </c>
      <c r="F2106">
        <f>VLOOKUP(D2094,'Detail Balok'!$C$10:$AU$110,15,FALSE)</f>
        <v>8</v>
      </c>
      <c r="J2106">
        <f>+D2096/1000</f>
        <v>2.675</v>
      </c>
      <c r="K2106" t="str">
        <v>+</v>
      </c>
      <c r="L2106">
        <f>2*$F$16*F2106/1000</f>
        <v>0.192</v>
      </c>
      <c r="M2106" t="str">
        <v>=</v>
      </c>
      <c r="N2106">
        <f>J2106+L2106</f>
        <v>2.867</v>
      </c>
      <c r="O2106" t="str">
        <v>+</v>
      </c>
      <c r="P2106">
        <f>IF(N2106&gt;12,ROUNDDOWN(N2106/12,0),0)</f>
        <v>0</v>
      </c>
      <c r="Q2106" t="str">
        <v>x</v>
      </c>
      <c r="R2106">
        <f>IF(P2106&gt;0,MAX(VLOOKUP(F2106,$D$6:$G$15,3,FALSE),600),0)/1000</f>
        <v>0</v>
      </c>
      <c r="T2106" t="str">
        <v>x</v>
      </c>
      <c r="U2106">
        <f>0.006165*F2106^2</f>
        <v>0.39456</v>
      </c>
      <c r="V2106" t="str">
        <v>x</v>
      </c>
      <c r="W2106">
        <f>+D2106</f>
        <v>2</v>
      </c>
      <c r="X2106" t="str">
        <v>x</v>
      </c>
      <c r="Y2106">
        <f>D2100</f>
        <v>1</v>
      </c>
      <c r="Z2106" t="str">
        <v>=</v>
      </c>
      <c r="AA2106">
        <f>(N2106+P2106*R2106/1000)*U2106*W2106*Y2106</f>
        <v>2.2624070400000003</v>
      </c>
    </row>
    <row r="2109">
      <c r="A2109" t="str">
        <f>A2094</f>
        <v>Sloof</v>
      </c>
      <c r="B2109">
        <f>B2094</f>
        <v>63</v>
      </c>
      <c r="C2109" t="str">
        <v>Tul Bawah Tumpuan</v>
      </c>
      <c r="D2109">
        <f>VLOOKUP(D2094,'Detail Balok'!$C$10:$AU$110,22,FALSE)</f>
        <v>4</v>
      </c>
      <c r="E2109" t="str">
        <v>D</v>
      </c>
      <c r="F2109">
        <f>VLOOKUP(D2094,'Detail Balok'!$C$10:$AU$110,24,FALSE)</f>
        <v>13</v>
      </c>
      <c r="I2109" t="str">
        <v>(</v>
      </c>
      <c r="J2109">
        <f>+J2101</f>
        <v>0.66875</v>
      </c>
      <c r="K2109" t="str">
        <v>+</v>
      </c>
      <c r="L2109">
        <f>MAX(VLOOKUP(F2109,N$6:P$15,3,FALSE)/1000,2/3*D2099/1000)+F$16*F2109/1000</f>
        <v>0.156</v>
      </c>
      <c r="M2109" t="str">
        <v>=</v>
      </c>
      <c r="N2109">
        <f>J2109+L2109</f>
        <v>0.82475</v>
      </c>
      <c r="O2109" t="str">
        <v>+</v>
      </c>
      <c r="P2109">
        <f>D2109-D2110</f>
        <v>0</v>
      </c>
      <c r="Q2109" t="str">
        <v>x</v>
      </c>
      <c r="R2109">
        <f>IF(P2109&gt;0,$F$18*F2109/1000,0)</f>
        <v>0</v>
      </c>
      <c r="S2109" t="str">
        <v>)</v>
      </c>
      <c r="T2109" t="str">
        <v>x</v>
      </c>
      <c r="U2109">
        <f>0.006165*F2109^2</f>
        <v>1.041885</v>
      </c>
      <c r="X2109" t="str">
        <v>x</v>
      </c>
      <c r="Y2109">
        <f>D2100</f>
        <v>1</v>
      </c>
      <c r="Z2109" t="str">
        <v>=</v>
      </c>
      <c r="AA2109">
        <f>IF(AA2112=0,(D2109*N2109+P2109*R2109)*U2109*Y2109,0)</f>
        <v>0</v>
      </c>
    </row>
    <row r="2110">
      <c r="A2110" t="str">
        <f>A2094</f>
        <v>Sloof</v>
      </c>
      <c r="B2110">
        <f>B2094</f>
        <v>63</v>
      </c>
      <c r="C2110" t="str">
        <v>Tul Bawah Lapangan</v>
      </c>
      <c r="D2110">
        <f>VLOOKUP(D2094,'Detail Balok'!$C$10:$AU$110,25,FALSE)</f>
        <v>4</v>
      </c>
      <c r="E2110" t="str">
        <v>D</v>
      </c>
      <c r="F2110">
        <f>VLOOKUP(D2094,'Detail Balok'!$C$10:$AU$110,27,FALSE)</f>
        <v>13</v>
      </c>
      <c r="I2110" t="str">
        <v>(</v>
      </c>
      <c r="J2110">
        <f>+J2102</f>
        <v>1.3375</v>
      </c>
      <c r="K2110" t="str">
        <v>+</v>
      </c>
      <c r="M2110" t="str">
        <v>=</v>
      </c>
      <c r="N2110">
        <f>J2110+L2110</f>
        <v>1.3375</v>
      </c>
      <c r="O2110" t="str">
        <v>+</v>
      </c>
      <c r="P2110">
        <f>MAX(D2110-D2109,D2110-D2111)</f>
        <v>0</v>
      </c>
      <c r="Q2110" t="str">
        <v>x</v>
      </c>
      <c r="R2110">
        <f>IF(P2110&gt;0,2*(1-2*$F$19-1/2)*D2097/1000,0)</f>
        <v>0</v>
      </c>
      <c r="S2110" t="str">
        <v>)</v>
      </c>
      <c r="T2110" t="str">
        <v>x</v>
      </c>
      <c r="U2110">
        <f>0.006165*F2110^2</f>
        <v>1.041885</v>
      </c>
      <c r="X2110" t="str">
        <v>x</v>
      </c>
      <c r="Y2110">
        <f>D2100</f>
        <v>1</v>
      </c>
      <c r="Z2110" t="str">
        <v>=</v>
      </c>
      <c r="AA2110">
        <f>IF(AA2112=0,(D2110*N2110+P2110*R2110)*U2110*Y2110,0)</f>
        <v>0</v>
      </c>
    </row>
    <row r="2111">
      <c r="A2111" t="str">
        <f>A2094</f>
        <v>Sloof</v>
      </c>
      <c r="B2111">
        <f>B2094</f>
        <v>63</v>
      </c>
      <c r="C2111" t="str">
        <v>Tul Bawah Tumpuan</v>
      </c>
      <c r="D2111">
        <f>VLOOKUP(D2094,'Detail Balok'!$C$10:$AU$110,28,FALSE)</f>
        <v>4</v>
      </c>
      <c r="E2111" t="str">
        <v>D</v>
      </c>
      <c r="F2111">
        <f>VLOOKUP(D2094,'Detail Balok'!$C$10:$AU$110,30,FALSE)</f>
        <v>13</v>
      </c>
      <c r="I2111" t="str">
        <v>(</v>
      </c>
      <c r="J2111">
        <f>+J2103</f>
        <v>0.66875</v>
      </c>
      <c r="K2111" t="str">
        <v>+</v>
      </c>
      <c r="L2111">
        <f>MAX(VLOOKUP(F2111,N$6:P$15,3,FALSE)/1000,2/3*D2099/1000)+F$16*F2111/1000</f>
        <v>0.156</v>
      </c>
      <c r="M2111" t="str">
        <v>=</v>
      </c>
      <c r="N2111">
        <f>J2111+L2111</f>
        <v>0.82475</v>
      </c>
      <c r="O2111" t="str">
        <v>+</v>
      </c>
      <c r="P2111">
        <f>D2111-D2110</f>
        <v>0</v>
      </c>
      <c r="Q2111" t="str">
        <v>x</v>
      </c>
      <c r="R2111">
        <f>IF(P2111&gt;0,$F$18*F2111/1000,0)</f>
        <v>0</v>
      </c>
      <c r="S2111" t="str">
        <v>)</v>
      </c>
      <c r="T2111" t="str">
        <v>x</v>
      </c>
      <c r="U2111">
        <f>0.006165*F2111^2</f>
        <v>1.041885</v>
      </c>
      <c r="X2111" t="str">
        <v>x</v>
      </c>
      <c r="Y2111">
        <f>D2100</f>
        <v>1</v>
      </c>
      <c r="Z2111" t="str">
        <v>=</v>
      </c>
      <c r="AA2111">
        <f>IF(AA2112=0,(D2111*N2111+P2111*R2111)*U2111*Y2111,0)</f>
        <v>0</v>
      </c>
    </row>
    <row r="2112">
      <c r="A2112" t="str">
        <f>A2094</f>
        <v>Sloof</v>
      </c>
      <c r="B2112">
        <f>B2094</f>
        <v>63</v>
      </c>
      <c r="D2112">
        <f>IF(AND(D2109=D2110,D2110=D2111,D2109=D2111),D2109,0)</f>
        <v>4</v>
      </c>
      <c r="E2112" t="str">
        <v>D</v>
      </c>
      <c r="F2112">
        <f>IF(AND(F2109=F2110,F2109=F2111,F2110=F2111),F2109,0)</f>
        <v>13</v>
      </c>
      <c r="L2112" t="str">
        <v>Total panjang per balok</v>
      </c>
      <c r="M2112" t="str">
        <v>=</v>
      </c>
      <c r="N2112">
        <f>IF(AND(D2109=D2110,D2109=D2111,D2110=D2111,F2109=F2110,F2109=F2111,F2110=F2111),SUM(N2109:N2111),0)</f>
        <v>2.9869999999999997</v>
      </c>
      <c r="O2112" t="str">
        <v>+</v>
      </c>
      <c r="P2112">
        <f>IF(N2112&gt;12,ROUNDDOWN(N2112/12,0),0)</f>
        <v>0</v>
      </c>
      <c r="Q2112" t="str">
        <v>x</v>
      </c>
      <c r="R2112">
        <f>IF(P2112&gt;0,MAX(VLOOKUP(F2112,$D$6:$G$15,3,FALSE),600),0)/1000</f>
        <v>0</v>
      </c>
      <c r="T2112" t="str">
        <v>x</v>
      </c>
      <c r="U2112">
        <f>U2111</f>
        <v>1.041885</v>
      </c>
      <c r="V2112" t="str">
        <v>x</v>
      </c>
      <c r="W2112">
        <f>D2112</f>
        <v>4</v>
      </c>
      <c r="X2112" t="str">
        <v>x</v>
      </c>
      <c r="Y2112">
        <f>Y2111</f>
        <v>1</v>
      </c>
      <c r="Z2112" t="str">
        <v>=</v>
      </c>
      <c r="AA2112">
        <f>(N2112+P2112*R2112/1000)*U2112*W2112*Y2112</f>
        <v>12.448441979999998</v>
      </c>
    </row>
    <row r="2114">
      <c r="A2114" t="str">
        <f>A2094</f>
        <v>Sloof</v>
      </c>
      <c r="B2114">
        <f>B2094</f>
        <v>63</v>
      </c>
      <c r="C2114" t="str">
        <v>Sengkang Tumpuan</v>
      </c>
      <c r="D2114">
        <f>VLOOKUP(D2094,'Detail Balok'!$C$10:$AU$110,31,FALSE)</f>
        <v>0</v>
      </c>
      <c r="E2114" t="str">
        <v>D</v>
      </c>
      <c r="F2114">
        <f>VLOOKUP(D2094,'Detail Balok'!$C$10:$AU$110,33,FALSE)</f>
        <v>8</v>
      </c>
      <c r="G2114" t="str">
        <v>-</v>
      </c>
      <c r="H2114">
        <f>VLOOKUP(D2094,'Detail Balok'!$C$10:$AU$110,35,FALSE)</f>
        <v>125</v>
      </c>
      <c r="J2114">
        <f>(IF(D2114=0,(2*(D2095+G2095))-(F$5*8),IF(D2114=3,(2*(D2095+G2095))-(F$5*8)+(G2095-2*F$5),IF(D2114=4,(2*(D2095+G2095))-(F$5*8)+2*(G2095-2*F$5)))))/1000</f>
        <v>0.98</v>
      </c>
      <c r="K2114" t="str">
        <v>+</v>
      </c>
      <c r="L2114">
        <f>IF(D2114=0,2*MAX(6*F2114,75),(D2114-1)*2*MAX(6*F2114,75))/1000</f>
        <v>0.15</v>
      </c>
      <c r="M2114" t="str">
        <v>=</v>
      </c>
      <c r="N2114">
        <f>J2114+L2114</f>
        <v>1.13</v>
      </c>
      <c r="T2114" t="str">
        <v>x</v>
      </c>
      <c r="U2114">
        <f>0.006165*F2114^2</f>
        <v>0.39456</v>
      </c>
      <c r="V2114" t="str">
        <v>x</v>
      </c>
      <c r="W2114">
        <f>IF(D2097&gt;4*G2095,ROUND(MAX(D2097/4,2*G2095)/H2114,0)+1,ROUND(D2097/H2114,0)+1)</f>
        <v>8</v>
      </c>
      <c r="X2114" t="str">
        <v>x</v>
      </c>
      <c r="Y2114">
        <f>D2100</f>
        <v>1</v>
      </c>
      <c r="Z2114" t="str">
        <v>=</v>
      </c>
      <c r="AA2114">
        <f>N2114*U2114*W2114*Y2114</f>
        <v>3.5668224</v>
      </c>
    </row>
    <row r="2115">
      <c r="A2115" t="str">
        <f>A2094</f>
        <v>Sloof</v>
      </c>
      <c r="B2115">
        <f>B2094</f>
        <v>63</v>
      </c>
      <c r="C2115" t="str">
        <v>Sengkang Lapangan</v>
      </c>
      <c r="D2115">
        <f>VLOOKUP(D2094,'Detail Balok'!$C$10:$AU$110,36,FALSE)</f>
        <v>0</v>
      </c>
      <c r="E2115" t="str">
        <v>D</v>
      </c>
      <c r="F2115">
        <f>VLOOKUP(D2094,'Detail Balok'!$C$10:$AU$110,38,FALSE)</f>
        <v>8</v>
      </c>
      <c r="G2115" t="str">
        <v>-</v>
      </c>
      <c r="H2115">
        <f>VLOOKUP(D2094,'Detail Balok'!$C$10:$AU$110,40,FALSE)</f>
        <v>150</v>
      </c>
      <c r="J2115">
        <f>(IF(D2115=0,(2*(D2095+G2095))-(F$5*8),IF(D2115=3,(2*(D2095+G2095))-(F$5*8)+(G2095-2*F$5),IF(D2115=4,(2*(D2095+G2095))-(F$5*8)+2*(G2095-2*F$5)))))/1000</f>
        <v>0.98</v>
      </c>
      <c r="K2115" t="str">
        <v>+</v>
      </c>
      <c r="L2115">
        <f>IF(D2115=0,2*MAX(6*F2115,75),(D2115-1)*2*MAX(6*F2115,75))/1000</f>
        <v>0.15</v>
      </c>
      <c r="M2115" t="str">
        <v>=</v>
      </c>
      <c r="N2115">
        <f>J2115+L2115</f>
        <v>1.13</v>
      </c>
      <c r="T2115" t="str">
        <v>x</v>
      </c>
      <c r="U2115">
        <f>0.006165*F2115^2</f>
        <v>0.39456</v>
      </c>
      <c r="V2115" t="str">
        <v>x</v>
      </c>
      <c r="W2115">
        <f>IF(D2097-MAX(D2097/4,2*G2095)*2&gt;0,ROUND((D2097-MAX(D2097/4,2*G2095)*2)/H2115,0),0)</f>
        <v>6</v>
      </c>
      <c r="X2115" t="str">
        <v>x</v>
      </c>
      <c r="Y2115">
        <f>D2100</f>
        <v>1</v>
      </c>
      <c r="Z2115" t="str">
        <v>=</v>
      </c>
      <c r="AA2115">
        <f>N2115*U2115*W2115*Y2115</f>
        <v>2.6751168</v>
      </c>
    </row>
    <row r="2116">
      <c r="A2116" t="str">
        <f>A2094</f>
        <v>Sloof</v>
      </c>
      <c r="B2116">
        <f>B2094</f>
        <v>63</v>
      </c>
      <c r="C2116" t="str">
        <v>Sengkang Tumpuan</v>
      </c>
      <c r="D2116">
        <f>VLOOKUP(D2094,'Detail Balok'!$C$10:$AU$110,41,FALSE)</f>
        <v>0</v>
      </c>
      <c r="E2116" t="str">
        <v>D</v>
      </c>
      <c r="F2116">
        <f>VLOOKUP(D2094,'Detail Balok'!$C$10:$AU$110,43,FALSE)</f>
        <v>8</v>
      </c>
      <c r="G2116" t="str">
        <v>-</v>
      </c>
      <c r="H2116">
        <f>VLOOKUP(D2094,'Detail Balok'!$C$10:$AU$110,45,FALSE)</f>
        <v>125</v>
      </c>
      <c r="J2116">
        <f>(IF(D2116=0,(2*(D2095+G2095))-(F$5*8),IF(D2116=3,(2*(D2095+G2095))-(F$5*8)+(G2095-2*F$5),IF(D2116=4,(2*(D2095+G2095))-(F$5*8)+2*(G2095-2*F$5)))))/1000</f>
        <v>0.98</v>
      </c>
      <c r="K2116" t="str">
        <v>+</v>
      </c>
      <c r="L2116">
        <f>IF(D2116=0,2*MAX(6*F2116,75),(D2116-1)*2*MAX(6*F2116,75))/1000</f>
        <v>0.15</v>
      </c>
      <c r="M2116" t="str">
        <v>=</v>
      </c>
      <c r="N2116">
        <f>J2116+L2116</f>
        <v>1.13</v>
      </c>
      <c r="T2116" t="str">
        <v>x</v>
      </c>
      <c r="U2116">
        <f>0.006165*F2116^2</f>
        <v>0.39456</v>
      </c>
      <c r="V2116" t="str">
        <v>x</v>
      </c>
      <c r="W2116">
        <f>IF(D2097&gt;4*G2095,ROUND(MAX(D2097/4,2*G2095)/H2116,0)+1,0)</f>
        <v>8</v>
      </c>
      <c r="X2116" t="str">
        <v>x</v>
      </c>
      <c r="Y2116">
        <f>D2100</f>
        <v>1</v>
      </c>
      <c r="Z2116" t="str">
        <v>=</v>
      </c>
      <c r="AA2116">
        <f>N2116*U2116*W2116*Y2116</f>
        <v>3.5668224</v>
      </c>
    </row>
    <row r="2118">
      <c r="A2118" t="str">
        <f>A2094</f>
        <v>Sloof</v>
      </c>
      <c r="B2118">
        <f>B2094</f>
        <v>63</v>
      </c>
      <c r="C2118" t="str">
        <v>Kait Horizontal Tump.</v>
      </c>
      <c r="D2118">
        <f>VLOOKUP(D2094,'Detail Balok'!$C$10:$BJ$110,46,FALSE)</f>
        <v>0</v>
      </c>
      <c r="E2118" t="str">
        <v>D</v>
      </c>
      <c r="F2118">
        <f>VLOOKUP(D2094,'Detail Balok'!$C$10:$BJ$110,48,FALSE)</f>
        <v>0</v>
      </c>
      <c r="G2118" t="str">
        <v>-</v>
      </c>
      <c r="H2118">
        <f>VLOOKUP(D2094,'Detail Balok'!$C$10:$BJ$110,50,FALSE)</f>
        <v>100</v>
      </c>
      <c r="J2118">
        <f>(D2095-2*F$5)/1000</f>
        <v>0.12</v>
      </c>
      <c r="K2118" t="str">
        <v>+</v>
      </c>
      <c r="L2118">
        <f>IF(D2118=0,2*MAX(6*F2118,75),(D2118-1)*2*MAX(6*F2118,75))/1000</f>
        <v>0.15</v>
      </c>
      <c r="M2118" t="str">
        <v>=</v>
      </c>
      <c r="N2118">
        <f>J2118+L2118</f>
        <v>0.27</v>
      </c>
      <c r="T2118" t="str">
        <v>x</v>
      </c>
      <c r="U2118">
        <f>0.006165*F2118^2</f>
        <v>0</v>
      </c>
      <c r="V2118" t="str">
        <v>x</v>
      </c>
      <c r="W2118">
        <f>W2114</f>
        <v>8</v>
      </c>
      <c r="X2118" t="str">
        <v>x</v>
      </c>
      <c r="Y2118">
        <f>D2104</f>
        <v>0</v>
      </c>
      <c r="Z2118" t="str">
        <v>=</v>
      </c>
      <c r="AA2118">
        <f>N2118*U2118*W2118*Y2118</f>
        <v>0</v>
      </c>
    </row>
    <row r="2119">
      <c r="A2119" t="str">
        <f>A2094</f>
        <v>Sloof</v>
      </c>
      <c r="B2119">
        <f>B2094</f>
        <v>63</v>
      </c>
      <c r="C2119" t="str">
        <v>Kait Horizontal Lap.</v>
      </c>
      <c r="D2119">
        <f>VLOOKUP(D2094,'Detail Balok'!$C$10:$BJ$110,51,FALSE)</f>
        <v>0</v>
      </c>
      <c r="E2119" t="str">
        <v>D</v>
      </c>
      <c r="F2119">
        <f>VLOOKUP(D2094,'Detail Balok'!$C$10:$BJ$110,53,FALSE)</f>
        <v>0</v>
      </c>
      <c r="G2119" t="str">
        <v>-</v>
      </c>
      <c r="H2119">
        <f>VLOOKUP(D2094,'Detail Balok'!$C$10:$BJ$110,55,FALSE)</f>
        <v>100</v>
      </c>
      <c r="J2119">
        <f>(D2095-2*F$5)/1000</f>
        <v>0.12</v>
      </c>
      <c r="K2119" t="str">
        <v>+</v>
      </c>
      <c r="L2119">
        <f>IF(D2119=0,2*MAX(6*F2119,75),(D2119-1)*2*MAX(6*F2119,75))/1000</f>
        <v>0.15</v>
      </c>
      <c r="M2119" t="str">
        <v>=</v>
      </c>
      <c r="N2119">
        <f>J2119+L2119</f>
        <v>0.27</v>
      </c>
      <c r="T2119" t="str">
        <v>x</v>
      </c>
      <c r="U2119">
        <f>0.006165*F2119^2</f>
        <v>0</v>
      </c>
      <c r="V2119" t="str">
        <v>x</v>
      </c>
      <c r="W2119">
        <f>W2115</f>
        <v>6</v>
      </c>
      <c r="X2119" t="str">
        <v>x</v>
      </c>
      <c r="Y2119">
        <f>D2104</f>
        <v>0</v>
      </c>
      <c r="Z2119" t="str">
        <v>=</v>
      </c>
      <c r="AA2119">
        <f>N2119*U2119*W2119*Y2119</f>
        <v>0</v>
      </c>
    </row>
    <row r="2120">
      <c r="A2120" t="str">
        <f>A2094</f>
        <v>Sloof</v>
      </c>
      <c r="B2120">
        <f>B2094</f>
        <v>63</v>
      </c>
      <c r="C2120" t="str">
        <v>Kait Horizontal Tump.</v>
      </c>
      <c r="D2120">
        <f>VLOOKUP(D2094,'Detail Balok'!$C$10:$BJ$110,56,FALSE)</f>
        <v>0</v>
      </c>
      <c r="E2120" t="str">
        <v>D</v>
      </c>
      <c r="F2120">
        <f>VLOOKUP(D2094,'Detail Balok'!$C$10:$BJ$110,58,FALSE)</f>
        <v>0</v>
      </c>
      <c r="G2120" t="str">
        <v>-</v>
      </c>
      <c r="H2120">
        <f>VLOOKUP(D2094,'Detail Balok'!$C$10:$BJ$110,60,FALSE)</f>
        <v>100</v>
      </c>
      <c r="J2120">
        <f>(D2095-2*F$5)/1000</f>
        <v>0.12</v>
      </c>
      <c r="K2120" t="str">
        <v>+</v>
      </c>
      <c r="L2120">
        <f>IF(D2120=0,2*MAX(6*F2120,75),(D2120-1)*2*MAX(6*F2120,75))/1000</f>
        <v>0.15</v>
      </c>
      <c r="M2120" t="str">
        <v>=</v>
      </c>
      <c r="N2120">
        <f>J2120+L2120</f>
        <v>0.27</v>
      </c>
      <c r="T2120" t="str">
        <v>x</v>
      </c>
      <c r="U2120">
        <f>0.006165*F2120^2</f>
        <v>0</v>
      </c>
      <c r="V2120" t="str">
        <v>x</v>
      </c>
      <c r="W2120">
        <f>W2116</f>
        <v>8</v>
      </c>
      <c r="X2120" t="str">
        <v>x</v>
      </c>
      <c r="Y2120">
        <f>D2104</f>
        <v>0</v>
      </c>
      <c r="Z2120" t="str">
        <v>=</v>
      </c>
      <c r="AA2120">
        <f>N2120*U2120*W2120*Y2120</f>
        <v>0</v>
      </c>
    </row>
    <row r="2124">
      <c r="A2124" t="str">
        <f>A2094</f>
        <v>Sloof</v>
      </c>
      <c r="B2124" t="str">
        <v>63A</v>
      </c>
      <c r="C2124" t="str">
        <f>CONCATENATE(A2124," no. ",B2124)</f>
        <v>Sloof no. 63A</v>
      </c>
      <c r="D2124" t="str">
        <f>VLOOKUP(C2124,'Data Panjang Balok'!$C$9:$N$424,2,FALSE)</f>
        <v>TB23-1</v>
      </c>
    </row>
    <row r="2125">
      <c r="C2125" t="str">
        <v>Dimensi</v>
      </c>
      <c r="D2125">
        <f>VLOOKUP(D2124,'Detail Balok'!$C$10:$AU$110,2,FALSE)</f>
        <v>200</v>
      </c>
      <c r="F2125" t="str">
        <v>x</v>
      </c>
      <c r="G2125">
        <f>VLOOKUP(D2124,'Detail Balok'!$C$10:$AU$110,3,FALSE)</f>
        <v>300</v>
      </c>
    </row>
    <row r="2126">
      <c r="C2126" t="str">
        <v>Panjang as ke as</v>
      </c>
      <c r="D2126">
        <f>VLOOKUP(C2124,'Data Panjang Balok'!$C$9:$N$424,4,FALSE)</f>
        <v>6030</v>
      </c>
    </row>
    <row r="2127">
      <c r="C2127" t="str">
        <v>Panjang netto</v>
      </c>
      <c r="D2127">
        <f>VLOOKUP(C2124,'Data Panjang Balok'!$C$9:$N$424,7,FALSE)</f>
        <v>6030</v>
      </c>
    </row>
    <row r="2128">
      <c r="C2128" t="str">
        <v>Kolom / balok kiri</v>
      </c>
      <c r="D2128">
        <f>VLOOKUP(C2124,'Data Panjang Balok'!$C$9:$N$424,9,FALSE)</f>
        <v>0</v>
      </c>
    </row>
    <row r="2129">
      <c r="C2129" t="str">
        <v>Kolom / balok kanan</v>
      </c>
      <c r="D2129">
        <f>VLOOKUP(C2124,'Data Panjang Balok'!$C$9:$N$424,10,FALSE)</f>
        <v>0</v>
      </c>
    </row>
    <row r="2130">
      <c r="C2130" t="str">
        <v>Jumlah</v>
      </c>
      <c r="D2130">
        <f>VLOOKUP(C2124,'Data Panjang Balok'!$C$9:$N$424,3,FALSE)</f>
        <v>1</v>
      </c>
    </row>
    <row r="2131">
      <c r="A2131" t="str">
        <f>A2124</f>
        <v>Sloof</v>
      </c>
      <c r="B2131" t="str">
        <f>B2124</f>
        <v>63A</v>
      </c>
      <c r="C2131" t="str">
        <v>Tul Atas Tumpuan</v>
      </c>
      <c r="D2131">
        <f>VLOOKUP(D2124,'Detail Balok'!$C$10:$AU$110,4,FALSE)</f>
        <v>2</v>
      </c>
      <c r="E2131" t="str">
        <v>D</v>
      </c>
      <c r="F2131">
        <f>VLOOKUP(D2124,'Detail Balok'!$C$10:$AU$110,6,FALSE)</f>
        <v>13</v>
      </c>
      <c r="I2131" t="str">
        <v>(</v>
      </c>
      <c r="J2131">
        <f>+D2126/4/1000</f>
        <v>1.5075</v>
      </c>
      <c r="K2131" t="str">
        <v>+</v>
      </c>
      <c r="L2131">
        <f>MAX(VLOOKUP(F2131,N$6:P$15,3,FALSE)/1000,2/3*D2128/1000)+F$16*F2131/1000</f>
        <v>0.156</v>
      </c>
      <c r="M2131" t="str">
        <v>=</v>
      </c>
      <c r="N2131">
        <f>J2131+L2131</f>
        <v>1.6635</v>
      </c>
      <c r="O2131" t="str">
        <v>+</v>
      </c>
      <c r="P2131">
        <f>D2131-D2132</f>
        <v>0</v>
      </c>
      <c r="Q2131" t="str">
        <v>x</v>
      </c>
      <c r="R2131">
        <f>IF(P2131&gt;0,$F$18*F2131/1000,0)</f>
        <v>0</v>
      </c>
      <c r="S2131" t="str">
        <v>)</v>
      </c>
      <c r="T2131" t="str">
        <v>x</v>
      </c>
      <c r="U2131">
        <f>0.006165*F2131^2</f>
        <v>1.041885</v>
      </c>
      <c r="X2131" t="str">
        <v>x</v>
      </c>
      <c r="Y2131">
        <f>D2130</f>
        <v>1</v>
      </c>
      <c r="Z2131" t="str">
        <v>=</v>
      </c>
      <c r="AA2131">
        <f>IF(AA2134=0,(D2131*N2131+P2131*R2131)*U2131*Y2131,0)</f>
        <v>0</v>
      </c>
    </row>
    <row r="2132">
      <c r="A2132" t="str">
        <f>A2124</f>
        <v>Sloof</v>
      </c>
      <c r="B2132" t="str">
        <f>B2124</f>
        <v>63A</v>
      </c>
      <c r="C2132" t="str">
        <v>Tul Atas Lapangan</v>
      </c>
      <c r="D2132">
        <f>VLOOKUP(D2124,'Detail Balok'!$C$10:$AU$110,7,FALSE)</f>
        <v>2</v>
      </c>
      <c r="E2132" t="str">
        <v>D</v>
      </c>
      <c r="F2132">
        <f>VLOOKUP(D2124,'Detail Balok'!$C$10:$AU$110,9,FALSE)</f>
        <v>13</v>
      </c>
      <c r="I2132" t="str">
        <v>(</v>
      </c>
      <c r="J2132">
        <f>+D2126/2/1000</f>
        <v>3.015</v>
      </c>
      <c r="K2132" t="str">
        <v>+</v>
      </c>
      <c r="M2132" t="str">
        <v>=</v>
      </c>
      <c r="N2132">
        <f>J2132+L2132</f>
        <v>3.015</v>
      </c>
      <c r="O2132" t="str">
        <v>+</v>
      </c>
      <c r="P2132">
        <f>MAX(D2132-D2131,D2132-D2133)</f>
        <v>0</v>
      </c>
      <c r="Q2132" t="str">
        <v>x</v>
      </c>
      <c r="R2132">
        <f>IF(P2132&gt;0,2*(1-2*$F$19-1/2)*D2127/1000,0)</f>
        <v>0</v>
      </c>
      <c r="S2132" t="str">
        <v>)</v>
      </c>
      <c r="T2132" t="str">
        <v>x</v>
      </c>
      <c r="U2132">
        <f>0.006165*F2132^2</f>
        <v>1.041885</v>
      </c>
      <c r="X2132" t="str">
        <v>x</v>
      </c>
      <c r="Y2132">
        <f>D2130</f>
        <v>1</v>
      </c>
      <c r="Z2132" t="str">
        <v>=</v>
      </c>
      <c r="AA2132">
        <f>IF(AA2134=0,(D2132*N2132+P2132*R2132)*U2132*Y2132,0)</f>
        <v>0</v>
      </c>
    </row>
    <row r="2133">
      <c r="A2133" t="str">
        <f>A2124</f>
        <v>Sloof</v>
      </c>
      <c r="B2133" t="str">
        <f>B2124</f>
        <v>63A</v>
      </c>
      <c r="C2133" t="str">
        <v>Tul Atas Tumpuan</v>
      </c>
      <c r="D2133">
        <f>VLOOKUP(D2124,'Detail Balok'!$C$10:$AU$110,10,FALSE)</f>
        <v>2</v>
      </c>
      <c r="E2133" t="str">
        <v>D</v>
      </c>
      <c r="F2133">
        <f>VLOOKUP(D2124,'Detail Balok'!$C$10:$AU$110,12,FALSE)</f>
        <v>13</v>
      </c>
      <c r="I2133" t="str">
        <v>(</v>
      </c>
      <c r="J2133">
        <f>+D2126/4/1000</f>
        <v>1.5075</v>
      </c>
      <c r="K2133" t="str">
        <v>+</v>
      </c>
      <c r="L2133">
        <f>MAX(VLOOKUP(F2133,N$6:P$15,3,FALSE)/1000,2/3*D2128/1000)+F$16*F2133/1000</f>
        <v>0.156</v>
      </c>
      <c r="M2133" t="str">
        <v>=</v>
      </c>
      <c r="N2133">
        <f>J2133+L2133</f>
        <v>1.6635</v>
      </c>
      <c r="O2133" t="str">
        <v>+</v>
      </c>
      <c r="P2133">
        <f>D2133-D2132</f>
        <v>0</v>
      </c>
      <c r="Q2133" t="str">
        <v>x</v>
      </c>
      <c r="R2133">
        <f>IF(P2133&gt;0,$F$18*F2133/1000,0)</f>
        <v>0</v>
      </c>
      <c r="S2133" t="str">
        <v>)</v>
      </c>
      <c r="T2133" t="str">
        <v>x</v>
      </c>
      <c r="U2133">
        <f>0.006165*F2133^2</f>
        <v>1.041885</v>
      </c>
      <c r="X2133" t="str">
        <v>x</v>
      </c>
      <c r="Y2133">
        <f>D2130</f>
        <v>1</v>
      </c>
      <c r="Z2133" t="str">
        <v>=</v>
      </c>
      <c r="AA2133">
        <f>IF(AA2134=0,(D2133*N2133+P2133*R2133)*U2133*Y2133,0)</f>
        <v>0</v>
      </c>
    </row>
    <row r="2134">
      <c r="A2134" t="str">
        <f>A2124</f>
        <v>Sloof</v>
      </c>
      <c r="B2134" t="str">
        <f>B2124</f>
        <v>63A</v>
      </c>
      <c r="D2134">
        <f>IF(AND(D2131=D2132,D2132=D2133,D2131=D2133),D2131,0)</f>
        <v>2</v>
      </c>
      <c r="E2134" t="str">
        <v>D</v>
      </c>
      <c r="F2134">
        <f>IF(AND(F2131=F2132,F2131=F2133,F2132=F2133),F2131,0)</f>
        <v>13</v>
      </c>
      <c r="L2134" t="str">
        <v>Total panjang per balok</v>
      </c>
      <c r="M2134" t="str">
        <v>=</v>
      </c>
      <c r="N2134">
        <f>IF(AND(D2131=D2132,D2131=D2133,D2132=D2133,F2131=F2132,F2131=F2133,F2132=F2133),SUM(N2131:N2133),0)</f>
        <v>6.342</v>
      </c>
      <c r="O2134" t="str">
        <v>+</v>
      </c>
      <c r="P2134">
        <f>IF(N2134&gt;12,ROUNDDOWN(N2134/12,0),0)</f>
        <v>0</v>
      </c>
      <c r="Q2134" t="str">
        <v>x</v>
      </c>
      <c r="R2134">
        <f>IF(P2134&gt;0,MAX(VLOOKUP(F2134,$D$6:$G$15,3,FALSE),600),0)/1000</f>
        <v>0</v>
      </c>
      <c r="T2134" t="str">
        <v>x</v>
      </c>
      <c r="U2134">
        <f>U2133</f>
        <v>1.041885</v>
      </c>
      <c r="V2134" t="str">
        <v>x</v>
      </c>
      <c r="W2134">
        <f>D2134</f>
        <v>2</v>
      </c>
      <c r="X2134" t="str">
        <v>x</v>
      </c>
      <c r="Y2134">
        <f>Y2133</f>
        <v>1</v>
      </c>
      <c r="Z2134" t="str">
        <v>=</v>
      </c>
      <c r="AA2134">
        <f>(N2134+P2134*R2134/1000)*U2134*W2134*Y2134</f>
        <v>13.215269339999999</v>
      </c>
    </row>
    <row r="2136">
      <c r="A2136" t="str">
        <f>A2124</f>
        <v>Sloof</v>
      </c>
      <c r="B2136" t="str">
        <f>B2124</f>
        <v>63A</v>
      </c>
      <c r="C2136" t="str">
        <v>Tul Peminggang</v>
      </c>
      <c r="D2136">
        <f>VLOOKUP(D2124,'Detail Balok'!$C$10:$AU$110,13,FALSE)</f>
        <v>0</v>
      </c>
      <c r="E2136" t="str">
        <v>D</v>
      </c>
      <c r="F2136">
        <f>VLOOKUP(D2124,'Detail Balok'!$C$10:$AU$110,15,FALSE)</f>
        <v>6</v>
      </c>
      <c r="J2136">
        <f>+D2126/1000</f>
        <v>6.03</v>
      </c>
      <c r="K2136" t="str">
        <v>+</v>
      </c>
      <c r="L2136">
        <f>2*$F$16*F2136/1000</f>
        <v>0.144</v>
      </c>
      <c r="M2136" t="str">
        <v>=</v>
      </c>
      <c r="N2136">
        <f>J2136+L2136</f>
        <v>6.174</v>
      </c>
      <c r="O2136" t="str">
        <v>+</v>
      </c>
      <c r="P2136">
        <f>IF(N2136&gt;12,ROUNDDOWN(N2136/12,0),0)</f>
        <v>0</v>
      </c>
      <c r="Q2136" t="str">
        <v>x</v>
      </c>
      <c r="R2136">
        <f>IF(P2136&gt;0,MAX(VLOOKUP(F2136,$D$6:$G$15,3,FALSE),600),0)/1000</f>
        <v>0</v>
      </c>
      <c r="T2136" t="str">
        <v>x</v>
      </c>
      <c r="U2136">
        <f>0.006165*F2136^2</f>
        <v>0.22194000000000003</v>
      </c>
      <c r="V2136" t="str">
        <v>x</v>
      </c>
      <c r="W2136">
        <f>+D2136</f>
        <v>0</v>
      </c>
      <c r="X2136" t="str">
        <v>x</v>
      </c>
      <c r="Y2136">
        <f>D2130</f>
        <v>1</v>
      </c>
      <c r="Z2136" t="str">
        <v>=</v>
      </c>
      <c r="AA2136">
        <f>(N2136+P2136*R2136/1000)*U2136*W2136*Y2136</f>
        <v>0</v>
      </c>
    </row>
    <row r="2139">
      <c r="A2139" t="str">
        <f>A2124</f>
        <v>Sloof</v>
      </c>
      <c r="B2139" t="str">
        <f>B2124</f>
        <v>63A</v>
      </c>
      <c r="C2139" t="str">
        <v>Tul Bawah Tumpuan</v>
      </c>
      <c r="D2139">
        <f>VLOOKUP(D2124,'Detail Balok'!$C$10:$AU$110,22,FALSE)</f>
        <v>2</v>
      </c>
      <c r="E2139" t="str">
        <v>D</v>
      </c>
      <c r="F2139">
        <f>VLOOKUP(D2124,'Detail Balok'!$C$10:$AU$110,24,FALSE)</f>
        <v>13</v>
      </c>
      <c r="I2139" t="str">
        <v>(</v>
      </c>
      <c r="J2139">
        <f>+J2131</f>
        <v>1.5075</v>
      </c>
      <c r="K2139" t="str">
        <v>+</v>
      </c>
      <c r="L2139">
        <f>MAX(VLOOKUP(F2139,N$6:P$15,3,FALSE)/1000,2/3*D2129/1000)+F$16*F2139/1000</f>
        <v>0.156</v>
      </c>
      <c r="M2139" t="str">
        <v>=</v>
      </c>
      <c r="N2139">
        <f>J2139+L2139</f>
        <v>1.6635</v>
      </c>
      <c r="O2139" t="str">
        <v>+</v>
      </c>
      <c r="P2139">
        <f>D2139-D2140</f>
        <v>0</v>
      </c>
      <c r="Q2139" t="str">
        <v>x</v>
      </c>
      <c r="R2139">
        <f>IF(P2139&gt;0,$F$18*F2139/1000,0)</f>
        <v>0</v>
      </c>
      <c r="S2139" t="str">
        <v>)</v>
      </c>
      <c r="T2139" t="str">
        <v>x</v>
      </c>
      <c r="U2139">
        <f>0.006165*F2139^2</f>
        <v>1.041885</v>
      </c>
      <c r="X2139" t="str">
        <v>x</v>
      </c>
      <c r="Y2139">
        <f>D2130</f>
        <v>1</v>
      </c>
      <c r="Z2139" t="str">
        <v>=</v>
      </c>
      <c r="AA2139">
        <f>IF(AA2142=0,(D2139*N2139+P2139*R2139)*U2139*Y2139,0)</f>
        <v>0</v>
      </c>
    </row>
    <row r="2140">
      <c r="A2140" t="str">
        <f>A2124</f>
        <v>Sloof</v>
      </c>
      <c r="B2140" t="str">
        <f>B2124</f>
        <v>63A</v>
      </c>
      <c r="C2140" t="str">
        <v>Tul Bawah Lapangan</v>
      </c>
      <c r="D2140">
        <f>VLOOKUP(D2124,'Detail Balok'!$C$10:$AU$110,25,FALSE)</f>
        <v>2</v>
      </c>
      <c r="E2140" t="str">
        <v>D</v>
      </c>
      <c r="F2140">
        <f>VLOOKUP(D2124,'Detail Balok'!$C$10:$AU$110,27,FALSE)</f>
        <v>13</v>
      </c>
      <c r="I2140" t="str">
        <v>(</v>
      </c>
      <c r="J2140">
        <f>+J2132</f>
        <v>3.015</v>
      </c>
      <c r="K2140" t="str">
        <v>+</v>
      </c>
      <c r="M2140" t="str">
        <v>=</v>
      </c>
      <c r="N2140">
        <f>J2140+L2140</f>
        <v>3.015</v>
      </c>
      <c r="O2140" t="str">
        <v>+</v>
      </c>
      <c r="P2140">
        <f>MAX(D2140-D2139,D2140-D2141)</f>
        <v>0</v>
      </c>
      <c r="Q2140" t="str">
        <v>x</v>
      </c>
      <c r="R2140">
        <f>IF(P2140&gt;0,2*(1-2*$F$19-1/2)*D2127/1000,0)</f>
        <v>0</v>
      </c>
      <c r="S2140" t="str">
        <v>)</v>
      </c>
      <c r="T2140" t="str">
        <v>x</v>
      </c>
      <c r="U2140">
        <f>0.006165*F2140^2</f>
        <v>1.041885</v>
      </c>
      <c r="X2140" t="str">
        <v>x</v>
      </c>
      <c r="Y2140">
        <f>D2130</f>
        <v>1</v>
      </c>
      <c r="Z2140" t="str">
        <v>=</v>
      </c>
      <c r="AA2140">
        <f>IF(AA2142=0,(D2140*N2140+P2140*R2140)*U2140*Y2140,0)</f>
        <v>0</v>
      </c>
    </row>
    <row r="2141">
      <c r="A2141" t="str">
        <f>A2124</f>
        <v>Sloof</v>
      </c>
      <c r="B2141" t="str">
        <f>B2124</f>
        <v>63A</v>
      </c>
      <c r="C2141" t="str">
        <v>Tul Bawah Tumpuan</v>
      </c>
      <c r="D2141">
        <f>VLOOKUP(D2124,'Detail Balok'!$C$10:$AU$110,28,FALSE)</f>
        <v>2</v>
      </c>
      <c r="E2141" t="str">
        <v>D</v>
      </c>
      <c r="F2141">
        <f>VLOOKUP(D2124,'Detail Balok'!$C$10:$AU$110,30,FALSE)</f>
        <v>13</v>
      </c>
      <c r="I2141" t="str">
        <v>(</v>
      </c>
      <c r="J2141">
        <f>+J2133</f>
        <v>1.5075</v>
      </c>
      <c r="K2141" t="str">
        <v>+</v>
      </c>
      <c r="L2141">
        <f>MAX(VLOOKUP(F2141,N$6:P$15,3,FALSE)/1000,2/3*D2129/1000)+F$16*F2141/1000</f>
        <v>0.156</v>
      </c>
      <c r="M2141" t="str">
        <v>=</v>
      </c>
      <c r="N2141">
        <f>J2141+L2141</f>
        <v>1.6635</v>
      </c>
      <c r="O2141" t="str">
        <v>+</v>
      </c>
      <c r="P2141">
        <f>D2141-D2140</f>
        <v>0</v>
      </c>
      <c r="Q2141" t="str">
        <v>x</v>
      </c>
      <c r="R2141">
        <f>IF(P2141&gt;0,$F$18*F2141/1000,0)</f>
        <v>0</v>
      </c>
      <c r="S2141" t="str">
        <v>)</v>
      </c>
      <c r="T2141" t="str">
        <v>x</v>
      </c>
      <c r="U2141">
        <f>0.006165*F2141^2</f>
        <v>1.041885</v>
      </c>
      <c r="X2141" t="str">
        <v>x</v>
      </c>
      <c r="Y2141">
        <f>D2130</f>
        <v>1</v>
      </c>
      <c r="Z2141" t="str">
        <v>=</v>
      </c>
      <c r="AA2141">
        <f>IF(AA2142=0,(D2141*N2141+P2141*R2141)*U2141*Y2141,0)</f>
        <v>0</v>
      </c>
    </row>
    <row r="2142">
      <c r="A2142" t="str">
        <f>A2124</f>
        <v>Sloof</v>
      </c>
      <c r="B2142" t="str">
        <f>B2124</f>
        <v>63A</v>
      </c>
      <c r="D2142">
        <f>IF(AND(D2139=D2140,D2140=D2141,D2139=D2141),D2139,0)</f>
        <v>2</v>
      </c>
      <c r="E2142" t="str">
        <v>D</v>
      </c>
      <c r="F2142">
        <f>IF(AND(F2139=F2140,F2139=F2141,F2140=F2141),F2139,0)</f>
        <v>13</v>
      </c>
      <c r="L2142" t="str">
        <v>Total panjang per balok</v>
      </c>
      <c r="M2142" t="str">
        <v>=</v>
      </c>
      <c r="N2142">
        <f>IF(AND(D2139=D2140,D2139=D2141,D2140=D2141,F2139=F2140,F2139=F2141,F2140=F2141),SUM(N2139:N2141),0)</f>
        <v>6.342</v>
      </c>
      <c r="O2142" t="str">
        <v>+</v>
      </c>
      <c r="P2142">
        <f>IF(N2142&gt;12,ROUNDDOWN(N2142/12,0),0)</f>
        <v>0</v>
      </c>
      <c r="Q2142" t="str">
        <v>x</v>
      </c>
      <c r="R2142">
        <f>IF(P2142&gt;0,MAX(VLOOKUP(F2142,$D$6:$G$15,3,FALSE),600),0)/1000</f>
        <v>0</v>
      </c>
      <c r="T2142" t="str">
        <v>x</v>
      </c>
      <c r="U2142">
        <f>U2141</f>
        <v>1.041885</v>
      </c>
      <c r="V2142" t="str">
        <v>x</v>
      </c>
      <c r="W2142">
        <f>D2142</f>
        <v>2</v>
      </c>
      <c r="X2142" t="str">
        <v>x</v>
      </c>
      <c r="Y2142">
        <f>Y2141</f>
        <v>1</v>
      </c>
      <c r="Z2142" t="str">
        <v>=</v>
      </c>
      <c r="AA2142">
        <f>(N2142+P2142*R2142/1000)*U2142*W2142*Y2142</f>
        <v>13.215269339999999</v>
      </c>
    </row>
    <row r="2144">
      <c r="A2144" t="str">
        <f>A2124</f>
        <v>Sloof</v>
      </c>
      <c r="B2144" t="str">
        <f>B2124</f>
        <v>63A</v>
      </c>
      <c r="C2144" t="str">
        <v>Sengkang Tumpuan</v>
      </c>
      <c r="D2144">
        <f>VLOOKUP(D2124,'Detail Balok'!$C$10:$AU$110,31,FALSE)</f>
        <v>0</v>
      </c>
      <c r="E2144" t="str">
        <v>D</v>
      </c>
      <c r="F2144">
        <f>VLOOKUP(D2124,'Detail Balok'!$C$10:$AU$110,33,FALSE)</f>
        <v>8</v>
      </c>
      <c r="G2144" t="str">
        <v>-</v>
      </c>
      <c r="H2144">
        <f>VLOOKUP(D2124,'Detail Balok'!$C$10:$AU$110,35,FALSE)</f>
        <v>150</v>
      </c>
      <c r="J2144">
        <f>(IF(D2144=0,(2*(D2125+G2125))-(F$5*8),IF(D2144=3,(2*(D2125+G2125))-(F$5*8)+(G2125-2*F$5),IF(D2144=4,(2*(D2125+G2125))-(F$5*8)+2*(G2125-2*F$5)))))/1000</f>
        <v>0.68</v>
      </c>
      <c r="K2144" t="str">
        <v>+</v>
      </c>
      <c r="L2144">
        <f>IF(D2144=0,2*MAX(6*F2144,75),(D2144-1)*2*MAX(6*F2144,75))/1000</f>
        <v>0.15</v>
      </c>
      <c r="M2144" t="str">
        <v>=</v>
      </c>
      <c r="N2144">
        <f>J2144+L2144</f>
        <v>0.8300000000000001</v>
      </c>
      <c r="T2144" t="str">
        <v>x</v>
      </c>
      <c r="U2144">
        <f>0.006165*F2144^2</f>
        <v>0.39456</v>
      </c>
      <c r="V2144" t="str">
        <v>x</v>
      </c>
      <c r="W2144">
        <f>IF(D2127&gt;4*G2125,ROUND(MAX(D2127/4,2*G2125)/H2144,0)+1,ROUND(D2127/H2144,0)+1)</f>
        <v>11</v>
      </c>
      <c r="X2144" t="str">
        <v>x</v>
      </c>
      <c r="Y2144">
        <f>D2130</f>
        <v>1</v>
      </c>
      <c r="Z2144" t="str">
        <v>=</v>
      </c>
      <c r="AA2144">
        <f>N2144*U2144*W2144*Y2144</f>
        <v>3.6023328</v>
      </c>
    </row>
    <row r="2145">
      <c r="A2145" t="str">
        <f>A2124</f>
        <v>Sloof</v>
      </c>
      <c r="B2145" t="str">
        <f>B2124</f>
        <v>63A</v>
      </c>
      <c r="C2145" t="str">
        <v>Sengkang Lapangan</v>
      </c>
      <c r="D2145">
        <f>VLOOKUP(D2124,'Detail Balok'!$C$10:$AU$110,36,FALSE)</f>
        <v>0</v>
      </c>
      <c r="E2145" t="str">
        <v>D</v>
      </c>
      <c r="F2145">
        <f>VLOOKUP(D2124,'Detail Balok'!$C$10:$AU$110,38,FALSE)</f>
        <v>8</v>
      </c>
      <c r="G2145" t="str">
        <v>-</v>
      </c>
      <c r="H2145">
        <f>VLOOKUP(D2124,'Detail Balok'!$C$10:$AU$110,40,FALSE)</f>
        <v>150</v>
      </c>
      <c r="J2145">
        <f>(IF(D2145=0,(2*(D2125+G2125))-(F$5*8),IF(D2145=3,(2*(D2125+G2125))-(F$5*8)+(G2125-2*F$5),IF(D2145=4,(2*(D2125+G2125))-(F$5*8)+2*(G2125-2*F$5)))))/1000</f>
        <v>0.68</v>
      </c>
      <c r="K2145" t="str">
        <v>+</v>
      </c>
      <c r="L2145">
        <f>IF(D2145=0,2*MAX(6*F2145,75),(D2145-1)*2*MAX(6*F2145,75))/1000</f>
        <v>0.15</v>
      </c>
      <c r="M2145" t="str">
        <v>=</v>
      </c>
      <c r="N2145">
        <f>J2145+L2145</f>
        <v>0.8300000000000001</v>
      </c>
      <c r="T2145" t="str">
        <v>x</v>
      </c>
      <c r="U2145">
        <f>0.006165*F2145^2</f>
        <v>0.39456</v>
      </c>
      <c r="V2145" t="str">
        <v>x</v>
      </c>
      <c r="W2145">
        <f>IF(D2127-MAX(D2127/4,2*G2125)*2&gt;0,ROUND((D2127-MAX(D2127/4,2*G2125)*2)/H2145,0),0)</f>
        <v>20</v>
      </c>
      <c r="X2145" t="str">
        <v>x</v>
      </c>
      <c r="Y2145">
        <f>D2130</f>
        <v>1</v>
      </c>
      <c r="Z2145" t="str">
        <v>=</v>
      </c>
      <c r="AA2145">
        <f>N2145*U2145*W2145*Y2145</f>
        <v>6.549696000000001</v>
      </c>
    </row>
    <row r="2146">
      <c r="A2146" t="str">
        <f>A2124</f>
        <v>Sloof</v>
      </c>
      <c r="B2146" t="str">
        <f>B2124</f>
        <v>63A</v>
      </c>
      <c r="C2146" t="str">
        <v>Sengkang Tumpuan</v>
      </c>
      <c r="D2146">
        <f>VLOOKUP(D2124,'Detail Balok'!$C$10:$AU$110,41,FALSE)</f>
        <v>0</v>
      </c>
      <c r="E2146" t="str">
        <v>D</v>
      </c>
      <c r="F2146">
        <f>VLOOKUP(D2124,'Detail Balok'!$C$10:$AU$110,43,FALSE)</f>
        <v>8</v>
      </c>
      <c r="G2146" t="str">
        <v>-</v>
      </c>
      <c r="H2146">
        <f>VLOOKUP(D2124,'Detail Balok'!$C$10:$AU$110,45,FALSE)</f>
        <v>150</v>
      </c>
      <c r="J2146">
        <f>(IF(D2146=0,(2*(D2125+G2125))-(F$5*8),IF(D2146=3,(2*(D2125+G2125))-(F$5*8)+(G2125-2*F$5),IF(D2146=4,(2*(D2125+G2125))-(F$5*8)+2*(G2125-2*F$5)))))/1000</f>
        <v>0.68</v>
      </c>
      <c r="K2146" t="str">
        <v>+</v>
      </c>
      <c r="L2146">
        <f>IF(D2146=0,2*MAX(6*F2146,75),(D2146-1)*2*MAX(6*F2146,75))/1000</f>
        <v>0.15</v>
      </c>
      <c r="M2146" t="str">
        <v>=</v>
      </c>
      <c r="N2146">
        <f>J2146+L2146</f>
        <v>0.8300000000000001</v>
      </c>
      <c r="T2146" t="str">
        <v>x</v>
      </c>
      <c r="U2146">
        <f>0.006165*F2146^2</f>
        <v>0.39456</v>
      </c>
      <c r="V2146" t="str">
        <v>x</v>
      </c>
      <c r="W2146">
        <f>IF(D2127&gt;4*G2125,ROUND(MAX(D2127/4,2*G2125)/H2146,0)+1,0)</f>
        <v>11</v>
      </c>
      <c r="X2146" t="str">
        <v>x</v>
      </c>
      <c r="Y2146">
        <f>D2130</f>
        <v>1</v>
      </c>
      <c r="Z2146" t="str">
        <v>=</v>
      </c>
      <c r="AA2146">
        <f>N2146*U2146*W2146*Y2146</f>
        <v>3.6023328</v>
      </c>
    </row>
    <row r="2148">
      <c r="A2148" t="str">
        <f>A2124</f>
        <v>Sloof</v>
      </c>
      <c r="B2148" t="str">
        <f>B2124</f>
        <v>63A</v>
      </c>
      <c r="C2148" t="str">
        <v>Kait Horizontal Tump.</v>
      </c>
      <c r="D2148">
        <f>VLOOKUP(D2124,'Detail Balok'!$C$10:$BJ$110,46,FALSE)</f>
        <v>0</v>
      </c>
      <c r="E2148" t="str">
        <v>D</v>
      </c>
      <c r="F2148">
        <f>VLOOKUP(D2124,'Detail Balok'!$C$10:$BJ$110,48,FALSE)</f>
        <v>0</v>
      </c>
      <c r="G2148" t="str">
        <v>-</v>
      </c>
      <c r="H2148">
        <f>VLOOKUP(D2124,'Detail Balok'!$C$10:$BJ$110,50,FALSE)</f>
        <v>100</v>
      </c>
      <c r="J2148">
        <f>(D2125-2*F$5)/1000</f>
        <v>0.12</v>
      </c>
      <c r="K2148" t="str">
        <v>+</v>
      </c>
      <c r="L2148">
        <f>IF(D2148=0,2*MAX(6*F2148,75),(D2148-1)*2*MAX(6*F2148,75))/1000</f>
        <v>0.15</v>
      </c>
      <c r="M2148" t="str">
        <v>=</v>
      </c>
      <c r="N2148">
        <f>J2148+L2148</f>
        <v>0.27</v>
      </c>
      <c r="T2148" t="str">
        <v>x</v>
      </c>
      <c r="U2148">
        <f>0.006165*F2148^2</f>
        <v>0</v>
      </c>
      <c r="V2148" t="str">
        <v>x</v>
      </c>
      <c r="W2148">
        <f>W2144</f>
        <v>11</v>
      </c>
      <c r="X2148" t="str">
        <v>x</v>
      </c>
      <c r="Y2148">
        <f>D2134</f>
        <v>2</v>
      </c>
      <c r="Z2148" t="str">
        <v>=</v>
      </c>
      <c r="AA2148">
        <f>N2148*U2148*W2148*Y2148</f>
        <v>0</v>
      </c>
    </row>
    <row r="2149">
      <c r="A2149" t="str">
        <f>A2124</f>
        <v>Sloof</v>
      </c>
      <c r="B2149" t="str">
        <f>B2124</f>
        <v>63A</v>
      </c>
      <c r="C2149" t="str">
        <v>Kait Horizontal Lap.</v>
      </c>
      <c r="D2149">
        <f>VLOOKUP(D2124,'Detail Balok'!$C$10:$BJ$110,51,FALSE)</f>
        <v>0</v>
      </c>
      <c r="E2149" t="str">
        <v>D</v>
      </c>
      <c r="F2149">
        <f>VLOOKUP(D2124,'Detail Balok'!$C$10:$BJ$110,53,FALSE)</f>
        <v>0</v>
      </c>
      <c r="G2149" t="str">
        <v>-</v>
      </c>
      <c r="H2149">
        <f>VLOOKUP(D2124,'Detail Balok'!$C$10:$BJ$110,55,FALSE)</f>
        <v>100</v>
      </c>
      <c r="J2149">
        <f>(D2125-2*F$5)/1000</f>
        <v>0.12</v>
      </c>
      <c r="K2149" t="str">
        <v>+</v>
      </c>
      <c r="L2149">
        <f>IF(D2149=0,2*MAX(6*F2149,75),(D2149-1)*2*MAX(6*F2149,75))/1000</f>
        <v>0.15</v>
      </c>
      <c r="M2149" t="str">
        <v>=</v>
      </c>
      <c r="N2149">
        <f>J2149+L2149</f>
        <v>0.27</v>
      </c>
      <c r="T2149" t="str">
        <v>x</v>
      </c>
      <c r="U2149">
        <f>0.006165*F2149^2</f>
        <v>0</v>
      </c>
      <c r="V2149" t="str">
        <v>x</v>
      </c>
      <c r="W2149">
        <f>W2145</f>
        <v>20</v>
      </c>
      <c r="X2149" t="str">
        <v>x</v>
      </c>
      <c r="Y2149">
        <f>D2134</f>
        <v>2</v>
      </c>
      <c r="Z2149" t="str">
        <v>=</v>
      </c>
      <c r="AA2149">
        <f>N2149*U2149*W2149*Y2149</f>
        <v>0</v>
      </c>
    </row>
    <row r="2150">
      <c r="A2150" t="str">
        <f>A2124</f>
        <v>Sloof</v>
      </c>
      <c r="B2150" t="str">
        <f>B2124</f>
        <v>63A</v>
      </c>
      <c r="C2150" t="str">
        <v>Kait Horizontal Tump.</v>
      </c>
      <c r="D2150">
        <f>VLOOKUP(D2124,'Detail Balok'!$C$10:$BJ$110,56,FALSE)</f>
        <v>0</v>
      </c>
      <c r="E2150" t="str">
        <v>D</v>
      </c>
      <c r="F2150">
        <f>VLOOKUP(D2124,'Detail Balok'!$C$10:$BJ$110,58,FALSE)</f>
        <v>0</v>
      </c>
      <c r="G2150" t="str">
        <v>-</v>
      </c>
      <c r="H2150">
        <f>VLOOKUP(D2124,'Detail Balok'!$C$10:$BJ$110,60,FALSE)</f>
        <v>100</v>
      </c>
      <c r="J2150">
        <f>(D2125-2*F$5)/1000</f>
        <v>0.12</v>
      </c>
      <c r="K2150" t="str">
        <v>+</v>
      </c>
      <c r="L2150">
        <f>IF(D2150=0,2*MAX(6*F2150,75),(D2150-1)*2*MAX(6*F2150,75))/1000</f>
        <v>0.15</v>
      </c>
      <c r="M2150" t="str">
        <v>=</v>
      </c>
      <c r="N2150">
        <f>J2150+L2150</f>
        <v>0.27</v>
      </c>
      <c r="T2150" t="str">
        <v>x</v>
      </c>
      <c r="U2150">
        <f>0.006165*F2150^2</f>
        <v>0</v>
      </c>
      <c r="V2150" t="str">
        <v>x</v>
      </c>
      <c r="W2150">
        <f>W2146</f>
        <v>11</v>
      </c>
      <c r="X2150" t="str">
        <v>x</v>
      </c>
      <c r="Y2150">
        <f>D2134</f>
        <v>2</v>
      </c>
      <c r="Z2150" t="str">
        <v>=</v>
      </c>
      <c r="AA2150">
        <f>N2150*U2150*W2150*Y2150</f>
        <v>0</v>
      </c>
    </row>
    <row r="2154">
      <c r="A2154" t="str">
        <f>A2094</f>
        <v>Sloof</v>
      </c>
      <c r="B2154">
        <f>B2094+1</f>
        <v>64</v>
      </c>
      <c r="C2154" t="str">
        <f>CONCATENATE(A2154," no. ",B2154)</f>
        <v>Sloof no. 64</v>
      </c>
      <c r="D2154" t="str">
        <f>VLOOKUP(C2154,'Data Panjang Balok'!$C$9:$N$424,2,FALSE)</f>
        <v>TB24-2</v>
      </c>
    </row>
    <row r="2155">
      <c r="C2155" t="str">
        <v>Dimensi</v>
      </c>
      <c r="D2155">
        <f>VLOOKUP(D2154,'Detail Balok'!$C$10:$AU$110,2,FALSE)</f>
        <v>200</v>
      </c>
      <c r="F2155" t="str">
        <v>x</v>
      </c>
      <c r="G2155">
        <f>VLOOKUP(D2154,'Detail Balok'!$C$10:$AU$110,3,FALSE)</f>
        <v>400</v>
      </c>
    </row>
    <row r="2156">
      <c r="C2156" t="str">
        <v>Panjang as ke as</v>
      </c>
      <c r="D2156">
        <f>VLOOKUP(C2154,'Data Panjang Balok'!$C$9:$N$424,4,FALSE)</f>
        <v>3200</v>
      </c>
    </row>
    <row r="2157">
      <c r="C2157" t="str">
        <v>Panjang netto</v>
      </c>
      <c r="D2157">
        <f>VLOOKUP(C2154,'Data Panjang Balok'!$C$9:$N$424,7,FALSE)</f>
        <v>3200</v>
      </c>
    </row>
    <row r="2158">
      <c r="C2158" t="str">
        <v>Kolom / balok kiri</v>
      </c>
      <c r="D2158">
        <f>VLOOKUP(C2154,'Data Panjang Balok'!$C$9:$N$424,9,FALSE)</f>
        <v>0</v>
      </c>
    </row>
    <row r="2159">
      <c r="C2159" t="str">
        <v>Kolom / balok kanan</v>
      </c>
      <c r="D2159">
        <f>VLOOKUP(C2154,'Data Panjang Balok'!$C$9:$N$424,10,FALSE)</f>
        <v>0</v>
      </c>
    </row>
    <row r="2160">
      <c r="C2160" t="str">
        <v>Jumlah</v>
      </c>
      <c r="D2160">
        <f>VLOOKUP(C2154,'Data Panjang Balok'!$C$9:$N$424,3,FALSE)</f>
        <v>1</v>
      </c>
    </row>
    <row r="2161">
      <c r="A2161" t="str">
        <f>A2154</f>
        <v>Sloof</v>
      </c>
      <c r="B2161">
        <f>B2154</f>
        <v>64</v>
      </c>
      <c r="C2161" t="str">
        <v>Tul Atas Tumpuan</v>
      </c>
      <c r="D2161">
        <f>VLOOKUP(D2154,'Detail Balok'!$C$10:$AU$110,4,FALSE)</f>
        <v>4</v>
      </c>
      <c r="E2161" t="str">
        <v>D</v>
      </c>
      <c r="F2161">
        <f>VLOOKUP(D2154,'Detail Balok'!$C$10:$AU$110,6,FALSE)</f>
        <v>13</v>
      </c>
      <c r="I2161" t="str">
        <v>(</v>
      </c>
      <c r="J2161">
        <f>+D2156/4/1000</f>
        <v>0.8</v>
      </c>
      <c r="K2161" t="str">
        <v>+</v>
      </c>
      <c r="L2161">
        <f>MAX(VLOOKUP(F2161,N$6:P$15,3,FALSE)/1000,2/3*D2158/1000)+F$16*F2161/1000</f>
        <v>0.156</v>
      </c>
      <c r="M2161" t="str">
        <v>=</v>
      </c>
      <c r="N2161">
        <f>J2161+L2161</f>
        <v>0.9560000000000001</v>
      </c>
      <c r="O2161" t="str">
        <v>+</v>
      </c>
      <c r="P2161">
        <f>D2161-D2162</f>
        <v>2</v>
      </c>
      <c r="Q2161" t="str">
        <v>x</v>
      </c>
      <c r="R2161">
        <f>IF(P2161&gt;0,$F$18*F2161/1000,0)</f>
        <v>0.195</v>
      </c>
      <c r="S2161" t="str">
        <v>)</v>
      </c>
      <c r="T2161" t="str">
        <v>x</v>
      </c>
      <c r="U2161">
        <f>0.006165*F2161^2</f>
        <v>1.041885</v>
      </c>
      <c r="X2161" t="str">
        <v>x</v>
      </c>
      <c r="Y2161">
        <f>D2160</f>
        <v>1</v>
      </c>
      <c r="Z2161" t="str">
        <v>=</v>
      </c>
      <c r="AA2161">
        <f>IF(AA2164=0,(D2161*N2161+P2161*R2161)*U2161*Y2161,0)</f>
        <v>4.39050339</v>
      </c>
    </row>
    <row r="2162">
      <c r="A2162" t="str">
        <f>A2154</f>
        <v>Sloof</v>
      </c>
      <c r="B2162">
        <f>B2154</f>
        <v>64</v>
      </c>
      <c r="C2162" t="str">
        <v>Tul Atas Lapangan</v>
      </c>
      <c r="D2162">
        <f>VLOOKUP(D2154,'Detail Balok'!$C$10:$AU$110,7,FALSE)</f>
        <v>2</v>
      </c>
      <c r="E2162" t="str">
        <v>D</v>
      </c>
      <c r="F2162">
        <f>VLOOKUP(D2154,'Detail Balok'!$C$10:$AU$110,9,FALSE)</f>
        <v>13</v>
      </c>
      <c r="I2162" t="str">
        <v>(</v>
      </c>
      <c r="J2162">
        <f>+D2156/2/1000</f>
        <v>1.6</v>
      </c>
      <c r="K2162" t="str">
        <v>+</v>
      </c>
      <c r="M2162" t="str">
        <v>=</v>
      </c>
      <c r="N2162">
        <f>J2162+L2162</f>
        <v>1.6</v>
      </c>
      <c r="O2162" t="str">
        <v>+</v>
      </c>
      <c r="P2162">
        <f>MAX(D2162-D2161,D2162-D2163)</f>
        <v>-2</v>
      </c>
      <c r="Q2162" t="str">
        <v>x</v>
      </c>
      <c r="R2162">
        <f>IF(P2162&gt;0,2*(1-2*$F$19-1/2)*D2157/1000,0)</f>
        <v>0</v>
      </c>
      <c r="S2162" t="str">
        <v>)</v>
      </c>
      <c r="T2162" t="str">
        <v>x</v>
      </c>
      <c r="U2162">
        <f>0.006165*F2162^2</f>
        <v>1.041885</v>
      </c>
      <c r="X2162" t="str">
        <v>x</v>
      </c>
      <c r="Y2162">
        <f>D2160</f>
        <v>1</v>
      </c>
      <c r="Z2162" t="str">
        <v>=</v>
      </c>
      <c r="AA2162">
        <f>IF(AA2164=0,(D2162*N2162+P2162*R2162)*U2162*Y2162,0)</f>
        <v>3.334032</v>
      </c>
    </row>
    <row r="2163">
      <c r="A2163" t="str">
        <f>A2154</f>
        <v>Sloof</v>
      </c>
      <c r="B2163">
        <f>B2154</f>
        <v>64</v>
      </c>
      <c r="C2163" t="str">
        <v>Tul Atas Tumpuan</v>
      </c>
      <c r="D2163">
        <f>VLOOKUP(D2154,'Detail Balok'!$C$10:$AU$110,10,FALSE)</f>
        <v>4</v>
      </c>
      <c r="E2163" t="str">
        <v>D</v>
      </c>
      <c r="F2163">
        <f>VLOOKUP(D2154,'Detail Balok'!$C$10:$AU$110,12,FALSE)</f>
        <v>13</v>
      </c>
      <c r="I2163" t="str">
        <v>(</v>
      </c>
      <c r="J2163">
        <f>+D2156/4/1000</f>
        <v>0.8</v>
      </c>
      <c r="K2163" t="str">
        <v>+</v>
      </c>
      <c r="L2163">
        <f>MAX(VLOOKUP(F2163,N$6:P$15,3,FALSE)/1000,2/3*D2158/1000)+F$16*F2163/1000</f>
        <v>0.156</v>
      </c>
      <c r="M2163" t="str">
        <v>=</v>
      </c>
      <c r="N2163">
        <f>J2163+L2163</f>
        <v>0.9560000000000001</v>
      </c>
      <c r="O2163" t="str">
        <v>+</v>
      </c>
      <c r="P2163">
        <f>D2163-D2162</f>
        <v>2</v>
      </c>
      <c r="Q2163" t="str">
        <v>x</v>
      </c>
      <c r="R2163">
        <f>IF(P2163&gt;0,$F$18*F2163/1000,0)</f>
        <v>0.195</v>
      </c>
      <c r="S2163" t="str">
        <v>)</v>
      </c>
      <c r="T2163" t="str">
        <v>x</v>
      </c>
      <c r="U2163">
        <f>0.006165*F2163^2</f>
        <v>1.041885</v>
      </c>
      <c r="X2163" t="str">
        <v>x</v>
      </c>
      <c r="Y2163">
        <f>D2160</f>
        <v>1</v>
      </c>
      <c r="Z2163" t="str">
        <v>=</v>
      </c>
      <c r="AA2163">
        <f>IF(AA2164=0,(D2163*N2163+P2163*R2163)*U2163*Y2163,0)</f>
        <v>4.39050339</v>
      </c>
    </row>
    <row r="2164">
      <c r="A2164" t="str">
        <f>A2154</f>
        <v>Sloof</v>
      </c>
      <c r="B2164">
        <f>B2154</f>
        <v>64</v>
      </c>
      <c r="D2164">
        <f>IF(AND(D2161=D2162,D2162=D2163,D2161=D2163),D2161,0)</f>
        <v>0</v>
      </c>
      <c r="E2164" t="str">
        <v>D</v>
      </c>
      <c r="F2164">
        <f>IF(AND(F2161=F2162,F2161=F2163,F2162=F2163),F2161,0)</f>
        <v>13</v>
      </c>
      <c r="L2164" t="str">
        <v>Total panjang per balok</v>
      </c>
      <c r="M2164" t="str">
        <v>=</v>
      </c>
      <c r="N2164">
        <f>IF(AND(D2161=D2162,D2161=D2163,D2162=D2163,F2161=F2162,F2161=F2163,F2162=F2163),SUM(N2161:N2163),0)</f>
        <v>0</v>
      </c>
      <c r="O2164" t="str">
        <v>+</v>
      </c>
      <c r="P2164">
        <f>IF(N2164&gt;12,ROUNDDOWN(N2164/12,0),0)</f>
        <v>0</v>
      </c>
      <c r="Q2164" t="str">
        <v>x</v>
      </c>
      <c r="R2164">
        <f>IF(P2164&gt;0,MAX(VLOOKUP(F2164,$D$6:$G$15,3,FALSE),600),0)/1000</f>
        <v>0</v>
      </c>
      <c r="T2164" t="str">
        <v>x</v>
      </c>
      <c r="U2164">
        <f>U2163</f>
        <v>1.041885</v>
      </c>
      <c r="V2164" t="str">
        <v>x</v>
      </c>
      <c r="W2164">
        <f>D2164</f>
        <v>0</v>
      </c>
      <c r="X2164" t="str">
        <v>x</v>
      </c>
      <c r="Y2164">
        <f>Y2163</f>
        <v>1</v>
      </c>
      <c r="Z2164" t="str">
        <v>=</v>
      </c>
      <c r="AA2164">
        <f>(N2164+P2164*R2164/1000)*U2164*W2164*Y2164</f>
        <v>0</v>
      </c>
    </row>
    <row r="2166">
      <c r="A2166" t="str">
        <f>A2154</f>
        <v>Sloof</v>
      </c>
      <c r="B2166">
        <f>B2154</f>
        <v>64</v>
      </c>
      <c r="C2166" t="str">
        <v>Tul Peminggang</v>
      </c>
      <c r="D2166">
        <f>VLOOKUP(D2154,'Detail Balok'!$C$10:$AU$110,13,FALSE)</f>
        <v>0</v>
      </c>
      <c r="E2166" t="str">
        <v>D</v>
      </c>
      <c r="F2166">
        <f>VLOOKUP(D2154,'Detail Balok'!$C$10:$AU$110,15,FALSE)</f>
        <v>6</v>
      </c>
      <c r="J2166">
        <f>+D2156/1000</f>
        <v>3.2</v>
      </c>
      <c r="K2166" t="str">
        <v>+</v>
      </c>
      <c r="L2166">
        <f>2*$F$16*F2166/1000</f>
        <v>0.144</v>
      </c>
      <c r="M2166" t="str">
        <v>=</v>
      </c>
      <c r="N2166">
        <f>J2166+L2166</f>
        <v>3.3440000000000003</v>
      </c>
      <c r="O2166" t="str">
        <v>+</v>
      </c>
      <c r="P2166">
        <f>IF(N2166&gt;12,ROUNDDOWN(N2166/12,0),0)</f>
        <v>0</v>
      </c>
      <c r="Q2166" t="str">
        <v>x</v>
      </c>
      <c r="R2166">
        <f>IF(P2166&gt;0,MAX(VLOOKUP(F2166,$D$6:$G$15,3,FALSE),600),0)/1000</f>
        <v>0</v>
      </c>
      <c r="T2166" t="str">
        <v>x</v>
      </c>
      <c r="U2166">
        <f>0.006165*F2166^2</f>
        <v>0.22194000000000003</v>
      </c>
      <c r="V2166" t="str">
        <v>x</v>
      </c>
      <c r="W2166">
        <f>+D2166</f>
        <v>0</v>
      </c>
      <c r="X2166" t="str">
        <v>x</v>
      </c>
      <c r="Y2166">
        <f>D2160</f>
        <v>1</v>
      </c>
      <c r="Z2166" t="str">
        <v>=</v>
      </c>
      <c r="AA2166">
        <f>(N2166+P2166*R2166/1000)*U2166*W2166*Y2166</f>
        <v>0</v>
      </c>
    </row>
    <row r="2169">
      <c r="A2169" t="str">
        <f>A2154</f>
        <v>Sloof</v>
      </c>
      <c r="B2169">
        <f>B2154</f>
        <v>64</v>
      </c>
      <c r="C2169" t="str">
        <v>Tul Bawah Tumpuan</v>
      </c>
      <c r="D2169">
        <f>VLOOKUP(D2154,'Detail Balok'!$C$10:$AU$110,22,FALSE)</f>
        <v>3</v>
      </c>
      <c r="E2169" t="str">
        <v>D</v>
      </c>
      <c r="F2169">
        <f>VLOOKUP(D2154,'Detail Balok'!$C$10:$AU$110,24,FALSE)</f>
        <v>13</v>
      </c>
      <c r="I2169" t="str">
        <v>(</v>
      </c>
      <c r="J2169">
        <f>+J2161</f>
        <v>0.8</v>
      </c>
      <c r="K2169" t="str">
        <v>+</v>
      </c>
      <c r="L2169">
        <f>MAX(VLOOKUP(F2169,N$6:P$15,3,FALSE)/1000,2/3*D2159/1000)+F$16*F2169/1000</f>
        <v>0.156</v>
      </c>
      <c r="M2169" t="str">
        <v>=</v>
      </c>
      <c r="N2169">
        <f>J2169+L2169</f>
        <v>0.9560000000000001</v>
      </c>
      <c r="O2169" t="str">
        <v>+</v>
      </c>
      <c r="P2169">
        <f>D2169-D2170</f>
        <v>0</v>
      </c>
      <c r="Q2169" t="str">
        <v>x</v>
      </c>
      <c r="R2169">
        <f>IF(P2169&gt;0,$F$18*F2169/1000,0)</f>
        <v>0</v>
      </c>
      <c r="S2169" t="str">
        <v>)</v>
      </c>
      <c r="T2169" t="str">
        <v>x</v>
      </c>
      <c r="U2169">
        <f>0.006165*F2169^2</f>
        <v>1.041885</v>
      </c>
      <c r="X2169" t="str">
        <v>x</v>
      </c>
      <c r="Y2169">
        <f>D2160</f>
        <v>1</v>
      </c>
      <c r="Z2169" t="str">
        <v>=</v>
      </c>
      <c r="AA2169">
        <f>IF(AA2172=0,(D2169*N2169+P2169*R2169)*U2169*Y2169,0)</f>
        <v>0</v>
      </c>
    </row>
    <row r="2170">
      <c r="A2170" t="str">
        <f>A2154</f>
        <v>Sloof</v>
      </c>
      <c r="B2170">
        <f>B2154</f>
        <v>64</v>
      </c>
      <c r="C2170" t="str">
        <v>Tul Bawah Lapangan</v>
      </c>
      <c r="D2170">
        <f>VLOOKUP(D2154,'Detail Balok'!$C$10:$AU$110,25,FALSE)</f>
        <v>3</v>
      </c>
      <c r="E2170" t="str">
        <v>D</v>
      </c>
      <c r="F2170">
        <f>VLOOKUP(D2154,'Detail Balok'!$C$10:$AU$110,27,FALSE)</f>
        <v>13</v>
      </c>
      <c r="I2170" t="str">
        <v>(</v>
      </c>
      <c r="J2170">
        <f>+J2162</f>
        <v>1.6</v>
      </c>
      <c r="K2170" t="str">
        <v>+</v>
      </c>
      <c r="M2170" t="str">
        <v>=</v>
      </c>
      <c r="N2170">
        <f>J2170+L2170</f>
        <v>1.6</v>
      </c>
      <c r="O2170" t="str">
        <v>+</v>
      </c>
      <c r="P2170">
        <f>MAX(D2170-D2169,D2170-D2171)</f>
        <v>0</v>
      </c>
      <c r="Q2170" t="str">
        <v>x</v>
      </c>
      <c r="R2170">
        <f>IF(P2170&gt;0,2*(1-2*$F$19-1/2)*D2157/1000,0)</f>
        <v>0</v>
      </c>
      <c r="S2170" t="str">
        <v>)</v>
      </c>
      <c r="T2170" t="str">
        <v>x</v>
      </c>
      <c r="U2170">
        <f>0.006165*F2170^2</f>
        <v>1.041885</v>
      </c>
      <c r="X2170" t="str">
        <v>x</v>
      </c>
      <c r="Y2170">
        <f>D2160</f>
        <v>1</v>
      </c>
      <c r="Z2170" t="str">
        <v>=</v>
      </c>
      <c r="AA2170">
        <f>IF(AA2172=0,(D2170*N2170+P2170*R2170)*U2170*Y2170,0)</f>
        <v>0</v>
      </c>
    </row>
    <row r="2171">
      <c r="A2171" t="str">
        <f>A2154</f>
        <v>Sloof</v>
      </c>
      <c r="B2171">
        <f>B2154</f>
        <v>64</v>
      </c>
      <c r="C2171" t="str">
        <v>Tul Bawah Tumpuan</v>
      </c>
      <c r="D2171">
        <f>VLOOKUP(D2154,'Detail Balok'!$C$10:$AU$110,28,FALSE)</f>
        <v>3</v>
      </c>
      <c r="E2171" t="str">
        <v>D</v>
      </c>
      <c r="F2171">
        <f>VLOOKUP(D2154,'Detail Balok'!$C$10:$AU$110,30,FALSE)</f>
        <v>13</v>
      </c>
      <c r="I2171" t="str">
        <v>(</v>
      </c>
      <c r="J2171">
        <f>+J2163</f>
        <v>0.8</v>
      </c>
      <c r="K2171" t="str">
        <v>+</v>
      </c>
      <c r="L2171">
        <f>MAX(VLOOKUP(F2171,N$6:P$15,3,FALSE)/1000,2/3*D2159/1000)+F$16*F2171/1000</f>
        <v>0.156</v>
      </c>
      <c r="M2171" t="str">
        <v>=</v>
      </c>
      <c r="N2171">
        <f>J2171+L2171</f>
        <v>0.9560000000000001</v>
      </c>
      <c r="O2171" t="str">
        <v>+</v>
      </c>
      <c r="P2171">
        <f>D2171-D2170</f>
        <v>0</v>
      </c>
      <c r="Q2171" t="str">
        <v>x</v>
      </c>
      <c r="R2171">
        <f>IF(P2171&gt;0,$F$18*F2171/1000,0)</f>
        <v>0</v>
      </c>
      <c r="S2171" t="str">
        <v>)</v>
      </c>
      <c r="T2171" t="str">
        <v>x</v>
      </c>
      <c r="U2171">
        <f>0.006165*F2171^2</f>
        <v>1.041885</v>
      </c>
      <c r="X2171" t="str">
        <v>x</v>
      </c>
      <c r="Y2171">
        <f>D2160</f>
        <v>1</v>
      </c>
      <c r="Z2171" t="str">
        <v>=</v>
      </c>
      <c r="AA2171">
        <f>IF(AA2172=0,(D2171*N2171+P2171*R2171)*U2171*Y2171,0)</f>
        <v>0</v>
      </c>
    </row>
    <row r="2172">
      <c r="A2172" t="str">
        <f>A2154</f>
        <v>Sloof</v>
      </c>
      <c r="B2172">
        <f>B2154</f>
        <v>64</v>
      </c>
      <c r="D2172">
        <f>IF(AND(D2169=D2170,D2170=D2171,D2169=D2171),D2169,0)</f>
        <v>3</v>
      </c>
      <c r="E2172" t="str">
        <v>D</v>
      </c>
      <c r="F2172">
        <f>IF(AND(F2169=F2170,F2169=F2171,F2170=F2171),F2169,0)</f>
        <v>13</v>
      </c>
      <c r="L2172" t="str">
        <v>Total panjang per balok</v>
      </c>
      <c r="M2172" t="str">
        <v>=</v>
      </c>
      <c r="N2172">
        <f>IF(AND(D2169=D2170,D2169=D2171,D2170=D2171,F2169=F2170,F2169=F2171,F2170=F2171),SUM(N2169:N2171),0)</f>
        <v>3.512</v>
      </c>
      <c r="O2172" t="str">
        <v>+</v>
      </c>
      <c r="P2172">
        <f>IF(N2172&gt;12,ROUNDDOWN(N2172/12,0),0)</f>
        <v>0</v>
      </c>
      <c r="Q2172" t="str">
        <v>x</v>
      </c>
      <c r="R2172">
        <f>IF(P2172&gt;0,MAX(VLOOKUP(F2172,$D$6:$G$15,3,FALSE),600),0)/1000</f>
        <v>0</v>
      </c>
      <c r="T2172" t="str">
        <v>x</v>
      </c>
      <c r="U2172">
        <f>U2171</f>
        <v>1.041885</v>
      </c>
      <c r="V2172" t="str">
        <v>x</v>
      </c>
      <c r="W2172">
        <f>D2172</f>
        <v>3</v>
      </c>
      <c r="X2172" t="str">
        <v>x</v>
      </c>
      <c r="Y2172">
        <f>Y2171</f>
        <v>1</v>
      </c>
      <c r="Z2172" t="str">
        <v>=</v>
      </c>
      <c r="AA2172">
        <f>(N2172+P2172*R2172/1000)*U2172*W2172*Y2172</f>
        <v>10.97730036</v>
      </c>
    </row>
    <row r="2174">
      <c r="A2174" t="str">
        <f>A2154</f>
        <v>Sloof</v>
      </c>
      <c r="B2174">
        <f>B2154</f>
        <v>64</v>
      </c>
      <c r="C2174" t="str">
        <v>Sengkang Tumpuan</v>
      </c>
      <c r="D2174">
        <f>VLOOKUP(D2154,'Detail Balok'!$C$10:$AU$110,31,FALSE)</f>
        <v>0</v>
      </c>
      <c r="E2174" t="str">
        <v>D</v>
      </c>
      <c r="F2174">
        <f>VLOOKUP(D2154,'Detail Balok'!$C$10:$AU$110,33,FALSE)</f>
        <v>8</v>
      </c>
      <c r="G2174" t="str">
        <v>-</v>
      </c>
      <c r="H2174">
        <f>VLOOKUP(D2154,'Detail Balok'!$C$10:$AU$110,35,FALSE)</f>
        <v>150</v>
      </c>
      <c r="J2174">
        <f>(IF(D2174=0,(2*(D2155+G2155))-(F$5*8),IF(D2174=3,(2*(D2155+G2155))-(F$5*8)+(G2155-2*F$5),IF(D2174=4,(2*(D2155+G2155))-(F$5*8)+2*(G2155-2*F$5)))))/1000</f>
        <v>0.88</v>
      </c>
      <c r="K2174" t="str">
        <v>+</v>
      </c>
      <c r="L2174">
        <f>IF(D2174=0,2*MAX(6*F2174,75),(D2174-1)*2*MAX(6*F2174,75))/1000</f>
        <v>0.15</v>
      </c>
      <c r="M2174" t="str">
        <v>=</v>
      </c>
      <c r="N2174">
        <f>J2174+L2174</f>
        <v>1.03</v>
      </c>
      <c r="T2174" t="str">
        <v>x</v>
      </c>
      <c r="U2174">
        <f>0.006165*F2174^2</f>
        <v>0.39456</v>
      </c>
      <c r="V2174" t="str">
        <v>x</v>
      </c>
      <c r="W2174">
        <f>IF(D2157&gt;4*G2155,ROUND(MAX(D2157/4,2*G2155)/H2174,0)+1,ROUND(D2157/H2174,0)+1)</f>
        <v>6</v>
      </c>
      <c r="X2174" t="str">
        <v>x</v>
      </c>
      <c r="Y2174">
        <f>D2160</f>
        <v>1</v>
      </c>
      <c r="Z2174" t="str">
        <v>=</v>
      </c>
      <c r="AA2174">
        <f>N2174*U2174*W2174*Y2174</f>
        <v>2.4383808000000005</v>
      </c>
    </row>
    <row r="2175">
      <c r="A2175" t="str">
        <f>A2154</f>
        <v>Sloof</v>
      </c>
      <c r="B2175">
        <f>B2154</f>
        <v>64</v>
      </c>
      <c r="C2175" t="str">
        <v>Sengkang Lapangan</v>
      </c>
      <c r="D2175">
        <f>VLOOKUP(D2154,'Detail Balok'!$C$10:$AU$110,36,FALSE)</f>
        <v>0</v>
      </c>
      <c r="E2175" t="str">
        <v>D</v>
      </c>
      <c r="F2175">
        <f>VLOOKUP(D2154,'Detail Balok'!$C$10:$AU$110,38,FALSE)</f>
        <v>8</v>
      </c>
      <c r="G2175" t="str">
        <v>-</v>
      </c>
      <c r="H2175">
        <f>VLOOKUP(D2154,'Detail Balok'!$C$10:$AU$110,40,FALSE)</f>
        <v>200</v>
      </c>
      <c r="J2175">
        <f>(IF(D2175=0,(2*(D2155+G2155))-(F$5*8),IF(D2175=3,(2*(D2155+G2155))-(F$5*8)+(G2155-2*F$5),IF(D2175=4,(2*(D2155+G2155))-(F$5*8)+2*(G2155-2*F$5)))))/1000</f>
        <v>0.88</v>
      </c>
      <c r="K2175" t="str">
        <v>+</v>
      </c>
      <c r="L2175">
        <f>IF(D2175=0,2*MAX(6*F2175,75),(D2175-1)*2*MAX(6*F2175,75))/1000</f>
        <v>0.15</v>
      </c>
      <c r="M2175" t="str">
        <v>=</v>
      </c>
      <c r="N2175">
        <f>J2175+L2175</f>
        <v>1.03</v>
      </c>
      <c r="T2175" t="str">
        <v>x</v>
      </c>
      <c r="U2175">
        <f>0.006165*F2175^2</f>
        <v>0.39456</v>
      </c>
      <c r="V2175" t="str">
        <v>x</v>
      </c>
      <c r="W2175">
        <f>IF(D2157-MAX(D2157/4,2*G2155)*2&gt;0,ROUND((D2157-MAX(D2157/4,2*G2155)*2)/H2175,0),0)</f>
        <v>8</v>
      </c>
      <c r="X2175" t="str">
        <v>x</v>
      </c>
      <c r="Y2175">
        <f>D2160</f>
        <v>1</v>
      </c>
      <c r="Z2175" t="str">
        <v>=</v>
      </c>
      <c r="AA2175">
        <f>N2175*U2175*W2175*Y2175</f>
        <v>3.2511744000000005</v>
      </c>
    </row>
    <row r="2176">
      <c r="A2176" t="str">
        <f>A2154</f>
        <v>Sloof</v>
      </c>
      <c r="B2176">
        <f>B2154</f>
        <v>64</v>
      </c>
      <c r="C2176" t="str">
        <v>Sengkang Tumpuan</v>
      </c>
      <c r="D2176">
        <f>VLOOKUP(D2154,'Detail Balok'!$C$10:$AU$110,41,FALSE)</f>
        <v>0</v>
      </c>
      <c r="E2176" t="str">
        <v>D</v>
      </c>
      <c r="F2176">
        <f>VLOOKUP(D2154,'Detail Balok'!$C$10:$AU$110,43,FALSE)</f>
        <v>8</v>
      </c>
      <c r="G2176" t="str">
        <v>-</v>
      </c>
      <c r="H2176">
        <f>VLOOKUP(D2154,'Detail Balok'!$C$10:$AU$110,45,FALSE)</f>
        <v>150</v>
      </c>
      <c r="J2176">
        <f>(IF(D2176=0,(2*(D2155+G2155))-(F$5*8),IF(D2176=3,(2*(D2155+G2155))-(F$5*8)+(G2155-2*F$5),IF(D2176=4,(2*(D2155+G2155))-(F$5*8)+2*(G2155-2*F$5)))))/1000</f>
        <v>0.88</v>
      </c>
      <c r="K2176" t="str">
        <v>+</v>
      </c>
      <c r="L2176">
        <f>IF(D2176=0,2*MAX(6*F2176,75),(D2176-1)*2*MAX(6*F2176,75))/1000</f>
        <v>0.15</v>
      </c>
      <c r="M2176" t="str">
        <v>=</v>
      </c>
      <c r="N2176">
        <f>J2176+L2176</f>
        <v>1.03</v>
      </c>
      <c r="T2176" t="str">
        <v>x</v>
      </c>
      <c r="U2176">
        <f>0.006165*F2176^2</f>
        <v>0.39456</v>
      </c>
      <c r="V2176" t="str">
        <v>x</v>
      </c>
      <c r="W2176">
        <f>IF(D2157&gt;4*G2155,ROUND(MAX(D2157/4,2*G2155)/H2176,0)+1,0)</f>
        <v>6</v>
      </c>
      <c r="X2176" t="str">
        <v>x</v>
      </c>
      <c r="Y2176">
        <f>D2160</f>
        <v>1</v>
      </c>
      <c r="Z2176" t="str">
        <v>=</v>
      </c>
      <c r="AA2176">
        <f>N2176*U2176*W2176*Y2176</f>
        <v>2.4383808000000005</v>
      </c>
    </row>
    <row r="2178">
      <c r="A2178" t="str">
        <f>A2154</f>
        <v>Sloof</v>
      </c>
      <c r="B2178">
        <f>B2154</f>
        <v>64</v>
      </c>
      <c r="C2178" t="str">
        <v>Kait Horizontal Tump.</v>
      </c>
      <c r="D2178">
        <f>VLOOKUP(D2154,'Detail Balok'!$C$10:$BJ$110,46,FALSE)</f>
        <v>0</v>
      </c>
      <c r="E2178" t="str">
        <v>D</v>
      </c>
      <c r="F2178">
        <f>VLOOKUP(D2154,'Detail Balok'!$C$10:$BJ$110,48,FALSE)</f>
        <v>0</v>
      </c>
      <c r="G2178" t="str">
        <v>-</v>
      </c>
      <c r="H2178">
        <f>VLOOKUP(D2154,'Detail Balok'!$C$10:$BJ$110,50,FALSE)</f>
        <v>100</v>
      </c>
      <c r="J2178">
        <f>(D2155-2*F$5)/1000</f>
        <v>0.12</v>
      </c>
      <c r="K2178" t="str">
        <v>+</v>
      </c>
      <c r="L2178">
        <f>IF(D2178=0,2*MAX(6*F2178,75),(D2178-1)*2*MAX(6*F2178,75))/1000</f>
        <v>0.15</v>
      </c>
      <c r="M2178" t="str">
        <v>=</v>
      </c>
      <c r="N2178">
        <f>J2178+L2178</f>
        <v>0.27</v>
      </c>
      <c r="T2178" t="str">
        <v>x</v>
      </c>
      <c r="U2178">
        <f>0.006165*F2178^2</f>
        <v>0</v>
      </c>
      <c r="V2178" t="str">
        <v>x</v>
      </c>
      <c r="W2178">
        <f>W2174</f>
        <v>6</v>
      </c>
      <c r="X2178" t="str">
        <v>x</v>
      </c>
      <c r="Y2178">
        <f>D2164</f>
        <v>0</v>
      </c>
      <c r="Z2178" t="str">
        <v>=</v>
      </c>
      <c r="AA2178">
        <f>N2178*U2178*W2178*Y2178</f>
        <v>0</v>
      </c>
    </row>
    <row r="2179">
      <c r="A2179" t="str">
        <f>A2154</f>
        <v>Sloof</v>
      </c>
      <c r="B2179">
        <f>B2154</f>
        <v>64</v>
      </c>
      <c r="C2179" t="str">
        <v>Kait Horizontal Lap.</v>
      </c>
      <c r="D2179">
        <f>VLOOKUP(D2154,'Detail Balok'!$C$10:$BJ$110,51,FALSE)</f>
        <v>0</v>
      </c>
      <c r="E2179" t="str">
        <v>D</v>
      </c>
      <c r="F2179">
        <f>VLOOKUP(D2154,'Detail Balok'!$C$10:$BJ$110,53,FALSE)</f>
        <v>0</v>
      </c>
      <c r="G2179" t="str">
        <v>-</v>
      </c>
      <c r="H2179">
        <f>VLOOKUP(D2154,'Detail Balok'!$C$10:$BJ$110,55,FALSE)</f>
        <v>100</v>
      </c>
      <c r="J2179">
        <f>(D2155-2*F$5)/1000</f>
        <v>0.12</v>
      </c>
      <c r="K2179" t="str">
        <v>+</v>
      </c>
      <c r="L2179">
        <f>IF(D2179=0,2*MAX(6*F2179,75),(D2179-1)*2*MAX(6*F2179,75))/1000</f>
        <v>0.15</v>
      </c>
      <c r="M2179" t="str">
        <v>=</v>
      </c>
      <c r="N2179">
        <f>J2179+L2179</f>
        <v>0.27</v>
      </c>
      <c r="T2179" t="str">
        <v>x</v>
      </c>
      <c r="U2179">
        <f>0.006165*F2179^2</f>
        <v>0</v>
      </c>
      <c r="V2179" t="str">
        <v>x</v>
      </c>
      <c r="W2179">
        <f>W2175</f>
        <v>8</v>
      </c>
      <c r="X2179" t="str">
        <v>x</v>
      </c>
      <c r="Y2179">
        <f>D2164</f>
        <v>0</v>
      </c>
      <c r="Z2179" t="str">
        <v>=</v>
      </c>
      <c r="AA2179">
        <f>N2179*U2179*W2179*Y2179</f>
        <v>0</v>
      </c>
    </row>
    <row r="2180">
      <c r="A2180" t="str">
        <f>A2154</f>
        <v>Sloof</v>
      </c>
      <c r="B2180">
        <f>B2154</f>
        <v>64</v>
      </c>
      <c r="C2180" t="str">
        <v>Kait Horizontal Tump.</v>
      </c>
      <c r="D2180">
        <f>VLOOKUP(D2154,'Detail Balok'!$C$10:$BJ$110,56,FALSE)</f>
        <v>0</v>
      </c>
      <c r="E2180" t="str">
        <v>D</v>
      </c>
      <c r="F2180">
        <f>VLOOKUP(D2154,'Detail Balok'!$C$10:$BJ$110,58,FALSE)</f>
        <v>0</v>
      </c>
      <c r="G2180" t="str">
        <v>-</v>
      </c>
      <c r="H2180">
        <f>VLOOKUP(D2154,'Detail Balok'!$C$10:$BJ$110,60,FALSE)</f>
        <v>100</v>
      </c>
      <c r="J2180">
        <f>(D2155-2*F$5)/1000</f>
        <v>0.12</v>
      </c>
      <c r="K2180" t="str">
        <v>+</v>
      </c>
      <c r="L2180">
        <f>IF(D2180=0,2*MAX(6*F2180,75),(D2180-1)*2*MAX(6*F2180,75))/1000</f>
        <v>0.15</v>
      </c>
      <c r="M2180" t="str">
        <v>=</v>
      </c>
      <c r="N2180">
        <f>J2180+L2180</f>
        <v>0.27</v>
      </c>
      <c r="T2180" t="str">
        <v>x</v>
      </c>
      <c r="U2180">
        <f>0.006165*F2180^2</f>
        <v>0</v>
      </c>
      <c r="V2180" t="str">
        <v>x</v>
      </c>
      <c r="W2180">
        <f>W2176</f>
        <v>6</v>
      </c>
      <c r="X2180" t="str">
        <v>x</v>
      </c>
      <c r="Y2180">
        <f>D2164</f>
        <v>0</v>
      </c>
      <c r="Z2180" t="str">
        <v>=</v>
      </c>
      <c r="AA2180">
        <f>N2180*U2180*W2180*Y2180</f>
        <v>0</v>
      </c>
    </row>
    <row r="2184">
      <c r="A2184" t="str">
        <f>A2154</f>
        <v>Sloof</v>
      </c>
      <c r="B2184">
        <f>B2154+1</f>
        <v>65</v>
      </c>
      <c r="C2184" t="str">
        <f>CONCATENATE(A2184," no. ",B2184)</f>
        <v>Sloof no. 65</v>
      </c>
      <c r="D2184" t="str">
        <f>VLOOKUP(C2184,'Data Panjang Balok'!$C$9:$N$424,2,FALSE)</f>
        <v>TB25-1</v>
      </c>
    </row>
    <row r="2185">
      <c r="C2185" t="str">
        <v>Dimensi</v>
      </c>
      <c r="D2185">
        <f>VLOOKUP(D2184,'Detail Balok'!$C$10:$AU$110,2,FALSE)</f>
        <v>200</v>
      </c>
      <c r="F2185" t="str">
        <v>x</v>
      </c>
      <c r="G2185">
        <f>VLOOKUP(D2184,'Detail Balok'!$C$10:$AU$110,3,FALSE)</f>
        <v>500</v>
      </c>
    </row>
    <row r="2186">
      <c r="C2186" t="str">
        <v>Panjang as ke as</v>
      </c>
      <c r="D2186">
        <f>VLOOKUP(C2184,'Data Panjang Balok'!$C$9:$N$424,4,FALSE)</f>
        <v>2900</v>
      </c>
    </row>
    <row r="2187">
      <c r="C2187" t="str">
        <v>Panjang netto</v>
      </c>
      <c r="D2187">
        <f>VLOOKUP(C2184,'Data Panjang Balok'!$C$9:$N$424,7,FALSE)</f>
        <v>2900</v>
      </c>
    </row>
    <row r="2188">
      <c r="C2188" t="str">
        <v>Kolom / balok kiri</v>
      </c>
      <c r="D2188">
        <f>VLOOKUP(C2184,'Data Panjang Balok'!$C$9:$N$424,9,FALSE)</f>
        <v>0</v>
      </c>
    </row>
    <row r="2189">
      <c r="C2189" t="str">
        <v>Kolom / balok kanan</v>
      </c>
      <c r="D2189">
        <f>VLOOKUP(C2184,'Data Panjang Balok'!$C$9:$N$424,10,FALSE)</f>
        <v>0</v>
      </c>
    </row>
    <row r="2190">
      <c r="C2190" t="str">
        <v>Jumlah</v>
      </c>
      <c r="D2190">
        <f>VLOOKUP(C2184,'Data Panjang Balok'!$C$9:$N$424,3,FALSE)</f>
        <v>1</v>
      </c>
    </row>
    <row r="2191">
      <c r="A2191" t="str">
        <f>A2184</f>
        <v>Sloof</v>
      </c>
      <c r="B2191">
        <f>B2184</f>
        <v>65</v>
      </c>
      <c r="C2191" t="str">
        <v>Tul Atas Tumpuan</v>
      </c>
      <c r="D2191">
        <f>VLOOKUP(D2184,'Detail Balok'!$C$10:$AU$110,4,FALSE)</f>
        <v>3</v>
      </c>
      <c r="E2191" t="str">
        <v>D</v>
      </c>
      <c r="F2191">
        <f>VLOOKUP(D2184,'Detail Balok'!$C$10:$AU$110,6,FALSE)</f>
        <v>16</v>
      </c>
      <c r="I2191" t="str">
        <v>(</v>
      </c>
      <c r="J2191">
        <f>+D2186/4/1000</f>
        <v>0.725</v>
      </c>
      <c r="K2191" t="str">
        <v>+</v>
      </c>
      <c r="L2191">
        <f>MAX(VLOOKUP(F2191,N$6:P$15,3,FALSE)/1000,2/3*D2188/1000)+F$16*F2191/1000</f>
        <v>0.192</v>
      </c>
      <c r="M2191" t="str">
        <v>=</v>
      </c>
      <c r="N2191">
        <f>J2191+L2191</f>
        <v>0.917</v>
      </c>
      <c r="O2191" t="str">
        <v>+</v>
      </c>
      <c r="P2191">
        <f>D2191-D2192</f>
        <v>0</v>
      </c>
      <c r="Q2191" t="str">
        <v>x</v>
      </c>
      <c r="R2191">
        <f>IF(P2191&gt;0,$F$18*F2191/1000,0)</f>
        <v>0</v>
      </c>
      <c r="S2191" t="str">
        <v>)</v>
      </c>
      <c r="T2191" t="str">
        <v>x</v>
      </c>
      <c r="U2191">
        <f>0.006165*F2191^2</f>
        <v>1.57824</v>
      </c>
      <c r="X2191" t="str">
        <v>x</v>
      </c>
      <c r="Y2191">
        <f>D2190</f>
        <v>1</v>
      </c>
      <c r="Z2191" t="str">
        <v>=</v>
      </c>
      <c r="AA2191">
        <f>IF(AA2194=0,(D2191*N2191+P2191*R2191)*U2191*Y2191,0)</f>
        <v>0</v>
      </c>
    </row>
    <row r="2192">
      <c r="A2192" t="str">
        <f>A2184</f>
        <v>Sloof</v>
      </c>
      <c r="B2192">
        <f>B2184</f>
        <v>65</v>
      </c>
      <c r="C2192" t="str">
        <v>Tul Atas Lapangan</v>
      </c>
      <c r="D2192">
        <f>VLOOKUP(D2184,'Detail Balok'!$C$10:$AU$110,7,FALSE)</f>
        <v>3</v>
      </c>
      <c r="E2192" t="str">
        <v>D</v>
      </c>
      <c r="F2192">
        <f>VLOOKUP(D2184,'Detail Balok'!$C$10:$AU$110,9,FALSE)</f>
        <v>16</v>
      </c>
      <c r="I2192" t="str">
        <v>(</v>
      </c>
      <c r="J2192">
        <f>+D2186/2/1000</f>
        <v>1.45</v>
      </c>
      <c r="K2192" t="str">
        <v>+</v>
      </c>
      <c r="M2192" t="str">
        <v>=</v>
      </c>
      <c r="N2192">
        <f>J2192+L2192</f>
        <v>1.45</v>
      </c>
      <c r="O2192" t="str">
        <v>+</v>
      </c>
      <c r="P2192">
        <f>MAX(D2192-D2191,D2192-D2193)</f>
        <v>0</v>
      </c>
      <c r="Q2192" t="str">
        <v>x</v>
      </c>
      <c r="R2192">
        <f>IF(P2192&gt;0,2*(1-2*$F$19-1/2)*D2187/1000,0)</f>
        <v>0</v>
      </c>
      <c r="S2192" t="str">
        <v>)</v>
      </c>
      <c r="T2192" t="str">
        <v>x</v>
      </c>
      <c r="U2192">
        <f>0.006165*F2192^2</f>
        <v>1.57824</v>
      </c>
      <c r="X2192" t="str">
        <v>x</v>
      </c>
      <c r="Y2192">
        <f>D2190</f>
        <v>1</v>
      </c>
      <c r="Z2192" t="str">
        <v>=</v>
      </c>
      <c r="AA2192">
        <f>IF(AA2194=0,(D2192*N2192+P2192*R2192)*U2192*Y2192,0)</f>
        <v>0</v>
      </c>
    </row>
    <row r="2193">
      <c r="A2193" t="str">
        <f>A2184</f>
        <v>Sloof</v>
      </c>
      <c r="B2193">
        <f>B2184</f>
        <v>65</v>
      </c>
      <c r="C2193" t="str">
        <v>Tul Atas Tumpuan</v>
      </c>
      <c r="D2193">
        <f>VLOOKUP(D2184,'Detail Balok'!$C$10:$AU$110,10,FALSE)</f>
        <v>3</v>
      </c>
      <c r="E2193" t="str">
        <v>D</v>
      </c>
      <c r="F2193">
        <f>VLOOKUP(D2184,'Detail Balok'!$C$10:$AU$110,12,FALSE)</f>
        <v>16</v>
      </c>
      <c r="I2193" t="str">
        <v>(</v>
      </c>
      <c r="J2193">
        <f>+D2186/4/1000</f>
        <v>0.725</v>
      </c>
      <c r="K2193" t="str">
        <v>+</v>
      </c>
      <c r="L2193">
        <f>MAX(VLOOKUP(F2193,N$6:P$15,3,FALSE)/1000,2/3*D2188/1000)+F$16*F2193/1000</f>
        <v>0.192</v>
      </c>
      <c r="M2193" t="str">
        <v>=</v>
      </c>
      <c r="N2193">
        <f>J2193+L2193</f>
        <v>0.917</v>
      </c>
      <c r="O2193" t="str">
        <v>+</v>
      </c>
      <c r="P2193">
        <f>D2193-D2192</f>
        <v>0</v>
      </c>
      <c r="Q2193" t="str">
        <v>x</v>
      </c>
      <c r="R2193">
        <f>IF(P2193&gt;0,$F$18*F2193/1000,0)</f>
        <v>0</v>
      </c>
      <c r="S2193" t="str">
        <v>)</v>
      </c>
      <c r="T2193" t="str">
        <v>x</v>
      </c>
      <c r="U2193">
        <f>0.006165*F2193^2</f>
        <v>1.57824</v>
      </c>
      <c r="X2193" t="str">
        <v>x</v>
      </c>
      <c r="Y2193">
        <f>D2190</f>
        <v>1</v>
      </c>
      <c r="Z2193" t="str">
        <v>=</v>
      </c>
      <c r="AA2193">
        <f>IF(AA2194=0,(D2193*N2193+P2193*R2193)*U2193*Y2193,0)</f>
        <v>0</v>
      </c>
    </row>
    <row r="2194">
      <c r="A2194" t="str">
        <f>A2184</f>
        <v>Sloof</v>
      </c>
      <c r="B2194">
        <f>B2184</f>
        <v>65</v>
      </c>
      <c r="D2194">
        <f>IF(AND(D2191=D2192,D2192=D2193,D2191=D2193),D2191,0)</f>
        <v>3</v>
      </c>
      <c r="E2194" t="str">
        <v>D</v>
      </c>
      <c r="F2194">
        <f>IF(AND(F2191=F2192,F2191=F2193,F2192=F2193),F2191,0)</f>
        <v>16</v>
      </c>
      <c r="L2194" t="str">
        <v>Total panjang per balok</v>
      </c>
      <c r="M2194" t="str">
        <v>=</v>
      </c>
      <c r="N2194">
        <f>IF(AND(D2191=D2192,D2191=D2193,D2192=D2193,F2191=F2192,F2191=F2193,F2192=F2193),SUM(N2191:N2193),0)</f>
        <v>3.284</v>
      </c>
      <c r="O2194" t="str">
        <v>+</v>
      </c>
      <c r="P2194">
        <f>IF(N2194&gt;12,ROUNDDOWN(N2194/12,0),0)</f>
        <v>0</v>
      </c>
      <c r="Q2194" t="str">
        <v>x</v>
      </c>
      <c r="R2194">
        <f>IF(P2194&gt;0,MAX(VLOOKUP(F2194,$D$6:$G$15,3,FALSE),600),0)/1000</f>
        <v>0</v>
      </c>
      <c r="T2194" t="str">
        <v>x</v>
      </c>
      <c r="U2194">
        <f>U2193</f>
        <v>1.57824</v>
      </c>
      <c r="V2194" t="str">
        <v>x</v>
      </c>
      <c r="W2194">
        <f>D2194</f>
        <v>3</v>
      </c>
      <c r="X2194" t="str">
        <v>x</v>
      </c>
      <c r="Y2194">
        <f>Y2193</f>
        <v>1</v>
      </c>
      <c r="Z2194" t="str">
        <v>=</v>
      </c>
      <c r="AA2194">
        <f>(N2194+P2194*R2194/1000)*U2194*W2194*Y2194</f>
        <v>15.54882048</v>
      </c>
    </row>
    <row r="2196">
      <c r="A2196" t="str">
        <f>A2184</f>
        <v>Sloof</v>
      </c>
      <c r="B2196">
        <f>B2184</f>
        <v>65</v>
      </c>
      <c r="C2196" t="str">
        <v>Tul Peminggang</v>
      </c>
      <c r="D2196">
        <f>VLOOKUP(D2184,'Detail Balok'!$C$10:$AU$110,13,FALSE)</f>
        <v>2</v>
      </c>
      <c r="E2196" t="str">
        <v>D</v>
      </c>
      <c r="F2196">
        <f>VLOOKUP(D2184,'Detail Balok'!$C$10:$AU$110,15,FALSE)</f>
        <v>10</v>
      </c>
      <c r="J2196">
        <f>+D2186/1000</f>
        <v>2.9</v>
      </c>
      <c r="K2196" t="str">
        <v>+</v>
      </c>
      <c r="L2196">
        <f>2*$F$16*F2196/1000</f>
        <v>0.24</v>
      </c>
      <c r="M2196" t="str">
        <v>=</v>
      </c>
      <c r="N2196">
        <f>J2196+L2196</f>
        <v>3.1399999999999997</v>
      </c>
      <c r="O2196" t="str">
        <v>+</v>
      </c>
      <c r="P2196">
        <f>IF(N2196&gt;12,ROUNDDOWN(N2196/12,0),0)</f>
        <v>0</v>
      </c>
      <c r="Q2196" t="str">
        <v>x</v>
      </c>
      <c r="R2196">
        <f>IF(P2196&gt;0,MAX(VLOOKUP(F2196,$D$6:$G$15,3,FALSE),600),0)/1000</f>
        <v>0</v>
      </c>
      <c r="T2196" t="str">
        <v>x</v>
      </c>
      <c r="U2196">
        <f>0.006165*F2196^2</f>
        <v>0.6165</v>
      </c>
      <c r="V2196" t="str">
        <v>x</v>
      </c>
      <c r="W2196">
        <f>+D2196</f>
        <v>2</v>
      </c>
      <c r="X2196" t="str">
        <v>x</v>
      </c>
      <c r="Y2196">
        <f>D2190</f>
        <v>1</v>
      </c>
      <c r="Z2196" t="str">
        <v>=</v>
      </c>
      <c r="AA2196">
        <f>(N2196+P2196*R2196/1000)*U2196*W2196*Y2196</f>
        <v>3.87162</v>
      </c>
    </row>
    <row r="2199">
      <c r="A2199" t="str">
        <f>A2184</f>
        <v>Sloof</v>
      </c>
      <c r="B2199">
        <f>B2184</f>
        <v>65</v>
      </c>
      <c r="C2199" t="str">
        <v>Tul Bawah Tumpuan</v>
      </c>
      <c r="D2199">
        <f>VLOOKUP(D2184,'Detail Balok'!$C$10:$AU$110,22,FALSE)</f>
        <v>3</v>
      </c>
      <c r="E2199" t="str">
        <v>D</v>
      </c>
      <c r="F2199">
        <f>VLOOKUP(D2184,'Detail Balok'!$C$10:$AU$110,24,FALSE)</f>
        <v>16</v>
      </c>
      <c r="I2199" t="str">
        <v>(</v>
      </c>
      <c r="J2199">
        <f>+J2191</f>
        <v>0.725</v>
      </c>
      <c r="K2199" t="str">
        <v>+</v>
      </c>
      <c r="L2199">
        <f>MAX(VLOOKUP(F2199,N$6:P$15,3,FALSE)/1000,2/3*D2189/1000)+F$16*F2199/1000</f>
        <v>0.192</v>
      </c>
      <c r="M2199" t="str">
        <v>=</v>
      </c>
      <c r="N2199">
        <f>J2199+L2199</f>
        <v>0.917</v>
      </c>
      <c r="O2199" t="str">
        <v>+</v>
      </c>
      <c r="P2199">
        <f>D2199-D2200</f>
        <v>0</v>
      </c>
      <c r="Q2199" t="str">
        <v>x</v>
      </c>
      <c r="R2199">
        <f>IF(P2199&gt;0,$F$18*F2199/1000,0)</f>
        <v>0</v>
      </c>
      <c r="S2199" t="str">
        <v>)</v>
      </c>
      <c r="T2199" t="str">
        <v>x</v>
      </c>
      <c r="U2199">
        <f>0.006165*F2199^2</f>
        <v>1.57824</v>
      </c>
      <c r="X2199" t="str">
        <v>x</v>
      </c>
      <c r="Y2199">
        <f>D2190</f>
        <v>1</v>
      </c>
      <c r="Z2199" t="str">
        <v>=</v>
      </c>
      <c r="AA2199">
        <f>IF(AA2202=0,(D2199*N2199+P2199*R2199)*U2199*Y2199,0)</f>
        <v>0</v>
      </c>
    </row>
    <row r="2200">
      <c r="A2200" t="str">
        <f>A2184</f>
        <v>Sloof</v>
      </c>
      <c r="B2200">
        <f>B2184</f>
        <v>65</v>
      </c>
      <c r="C2200" t="str">
        <v>Tul Bawah Lapangan</v>
      </c>
      <c r="D2200">
        <f>VLOOKUP(D2184,'Detail Balok'!$C$10:$AU$110,25,FALSE)</f>
        <v>3</v>
      </c>
      <c r="E2200" t="str">
        <v>D</v>
      </c>
      <c r="F2200">
        <f>VLOOKUP(D2184,'Detail Balok'!$C$10:$AU$110,27,FALSE)</f>
        <v>16</v>
      </c>
      <c r="I2200" t="str">
        <v>(</v>
      </c>
      <c r="J2200">
        <f>+J2192</f>
        <v>1.45</v>
      </c>
      <c r="K2200" t="str">
        <v>+</v>
      </c>
      <c r="M2200" t="str">
        <v>=</v>
      </c>
      <c r="N2200">
        <f>J2200+L2200</f>
        <v>1.45</v>
      </c>
      <c r="O2200" t="str">
        <v>+</v>
      </c>
      <c r="P2200">
        <f>MAX(D2200-D2199,D2200-D2201)</f>
        <v>0</v>
      </c>
      <c r="Q2200" t="str">
        <v>x</v>
      </c>
      <c r="R2200">
        <f>IF(P2200&gt;0,2*(1-2*$F$19-1/2)*D2187/1000,0)</f>
        <v>0</v>
      </c>
      <c r="S2200" t="str">
        <v>)</v>
      </c>
      <c r="T2200" t="str">
        <v>x</v>
      </c>
      <c r="U2200">
        <f>0.006165*F2200^2</f>
        <v>1.57824</v>
      </c>
      <c r="X2200" t="str">
        <v>x</v>
      </c>
      <c r="Y2200">
        <f>D2190</f>
        <v>1</v>
      </c>
      <c r="Z2200" t="str">
        <v>=</v>
      </c>
      <c r="AA2200">
        <f>IF(AA2202=0,(D2200*N2200+P2200*R2200)*U2200*Y2200,0)</f>
        <v>0</v>
      </c>
    </row>
    <row r="2201">
      <c r="A2201" t="str">
        <f>A2184</f>
        <v>Sloof</v>
      </c>
      <c r="B2201">
        <f>B2184</f>
        <v>65</v>
      </c>
      <c r="C2201" t="str">
        <v>Tul Bawah Tumpuan</v>
      </c>
      <c r="D2201">
        <f>VLOOKUP(D2184,'Detail Balok'!$C$10:$AU$110,28,FALSE)</f>
        <v>3</v>
      </c>
      <c r="E2201" t="str">
        <v>D</v>
      </c>
      <c r="F2201">
        <f>VLOOKUP(D2184,'Detail Balok'!$C$10:$AU$110,30,FALSE)</f>
        <v>16</v>
      </c>
      <c r="I2201" t="str">
        <v>(</v>
      </c>
      <c r="J2201">
        <f>+J2193</f>
        <v>0.725</v>
      </c>
      <c r="K2201" t="str">
        <v>+</v>
      </c>
      <c r="L2201">
        <f>MAX(VLOOKUP(F2201,N$6:P$15,3,FALSE)/1000,2/3*D2189/1000)+F$16*F2201/1000</f>
        <v>0.192</v>
      </c>
      <c r="M2201" t="str">
        <v>=</v>
      </c>
      <c r="N2201">
        <f>J2201+L2201</f>
        <v>0.917</v>
      </c>
      <c r="O2201" t="str">
        <v>+</v>
      </c>
      <c r="P2201">
        <f>D2201-D2200</f>
        <v>0</v>
      </c>
      <c r="Q2201" t="str">
        <v>x</v>
      </c>
      <c r="R2201">
        <f>IF(P2201&gt;0,$F$18*F2201/1000,0)</f>
        <v>0</v>
      </c>
      <c r="S2201" t="str">
        <v>)</v>
      </c>
      <c r="T2201" t="str">
        <v>x</v>
      </c>
      <c r="U2201">
        <f>0.006165*F2201^2</f>
        <v>1.57824</v>
      </c>
      <c r="X2201" t="str">
        <v>x</v>
      </c>
      <c r="Y2201">
        <f>D2190</f>
        <v>1</v>
      </c>
      <c r="Z2201" t="str">
        <v>=</v>
      </c>
      <c r="AA2201">
        <f>IF(AA2202=0,(D2201*N2201+P2201*R2201)*U2201*Y2201,0)</f>
        <v>0</v>
      </c>
    </row>
    <row r="2202">
      <c r="A2202" t="str">
        <f>A2184</f>
        <v>Sloof</v>
      </c>
      <c r="B2202">
        <f>B2184</f>
        <v>65</v>
      </c>
      <c r="D2202">
        <f>IF(AND(D2199=D2200,D2200=D2201,D2199=D2201),D2199,0)</f>
        <v>3</v>
      </c>
      <c r="E2202" t="str">
        <v>D</v>
      </c>
      <c r="F2202">
        <f>IF(AND(F2199=F2200,F2199=F2201,F2200=F2201),F2199,0)</f>
        <v>16</v>
      </c>
      <c r="L2202" t="str">
        <v>Total panjang per balok</v>
      </c>
      <c r="M2202" t="str">
        <v>=</v>
      </c>
      <c r="N2202">
        <f>IF(AND(D2199=D2200,D2199=D2201,D2200=D2201,F2199=F2200,F2199=F2201,F2200=F2201),SUM(N2199:N2201),0)</f>
        <v>3.284</v>
      </c>
      <c r="O2202" t="str">
        <v>+</v>
      </c>
      <c r="P2202">
        <f>IF(N2202&gt;12,ROUNDDOWN(N2202/12,0),0)</f>
        <v>0</v>
      </c>
      <c r="Q2202" t="str">
        <v>x</v>
      </c>
      <c r="R2202">
        <f>IF(P2202&gt;0,MAX(VLOOKUP(F2202,$D$6:$G$15,3,FALSE),600),0)/1000</f>
        <v>0</v>
      </c>
      <c r="T2202" t="str">
        <v>x</v>
      </c>
      <c r="U2202">
        <f>U2201</f>
        <v>1.57824</v>
      </c>
      <c r="V2202" t="str">
        <v>x</v>
      </c>
      <c r="W2202">
        <f>D2202</f>
        <v>3</v>
      </c>
      <c r="X2202" t="str">
        <v>x</v>
      </c>
      <c r="Y2202">
        <f>Y2201</f>
        <v>1</v>
      </c>
      <c r="Z2202" t="str">
        <v>=</v>
      </c>
      <c r="AA2202">
        <f>(N2202+P2202*R2202/1000)*U2202*W2202*Y2202</f>
        <v>15.54882048</v>
      </c>
    </row>
    <row r="2204">
      <c r="A2204" t="str">
        <f>A2184</f>
        <v>Sloof</v>
      </c>
      <c r="B2204">
        <f>B2184</f>
        <v>65</v>
      </c>
      <c r="C2204" t="str">
        <v>Sengkang Tumpuan</v>
      </c>
      <c r="D2204">
        <f>VLOOKUP(D2184,'Detail Balok'!$C$10:$AU$110,31,FALSE)</f>
        <v>0</v>
      </c>
      <c r="E2204" t="str">
        <v>D</v>
      </c>
      <c r="F2204">
        <f>VLOOKUP(D2184,'Detail Balok'!$C$10:$AU$110,33,FALSE)</f>
        <v>10</v>
      </c>
      <c r="G2204" t="str">
        <v>-</v>
      </c>
      <c r="H2204">
        <f>VLOOKUP(D2184,'Detail Balok'!$C$10:$AU$110,35,FALSE)</f>
        <v>200</v>
      </c>
      <c r="J2204">
        <f>(IF(D2204=0,(2*(D2185+G2185))-(F$5*8),IF(D2204=3,(2*(D2185+G2185))-(F$5*8)+(G2185-2*F$5),IF(D2204=4,(2*(D2185+G2185))-(F$5*8)+2*(G2185-2*F$5)))))/1000</f>
        <v>1.08</v>
      </c>
      <c r="K2204" t="str">
        <v>+</v>
      </c>
      <c r="L2204">
        <f>IF(D2204=0,2*MAX(6*F2204,75),(D2204-1)*2*MAX(6*F2204,75))/1000</f>
        <v>0.15</v>
      </c>
      <c r="M2204" t="str">
        <v>=</v>
      </c>
      <c r="N2204">
        <f>J2204+L2204</f>
        <v>1.23</v>
      </c>
      <c r="T2204" t="str">
        <v>x</v>
      </c>
      <c r="U2204">
        <f>0.006165*F2204^2</f>
        <v>0.6165</v>
      </c>
      <c r="V2204" t="str">
        <v>x</v>
      </c>
      <c r="W2204">
        <f>IF(D2187&gt;4*G2185,ROUND(MAX(D2187/4,2*G2185)/H2204,0)+1,ROUND(D2187/H2204,0)+1)</f>
        <v>6</v>
      </c>
      <c r="X2204" t="str">
        <v>x</v>
      </c>
      <c r="Y2204">
        <f>D2190</f>
        <v>1</v>
      </c>
      <c r="Z2204" t="str">
        <v>=</v>
      </c>
      <c r="AA2204">
        <f>N2204*U2204*W2204*Y2204</f>
        <v>4.5497700000000005</v>
      </c>
    </row>
    <row r="2205">
      <c r="A2205" t="str">
        <f>A2184</f>
        <v>Sloof</v>
      </c>
      <c r="B2205">
        <f>B2184</f>
        <v>65</v>
      </c>
      <c r="C2205" t="str">
        <v>Sengkang Lapangan</v>
      </c>
      <c r="D2205">
        <f>VLOOKUP(D2184,'Detail Balok'!$C$10:$AU$110,36,FALSE)</f>
        <v>0</v>
      </c>
      <c r="E2205" t="str">
        <v>D</v>
      </c>
      <c r="F2205">
        <f>VLOOKUP(D2184,'Detail Balok'!$C$10:$AU$110,38,FALSE)</f>
        <v>10</v>
      </c>
      <c r="G2205" t="str">
        <v>-</v>
      </c>
      <c r="H2205">
        <f>VLOOKUP(D2184,'Detail Balok'!$C$10:$AU$110,40,FALSE)</f>
        <v>200</v>
      </c>
      <c r="J2205">
        <f>(IF(D2205=0,(2*(D2185+G2185))-(F$5*8),IF(D2205=3,(2*(D2185+G2185))-(F$5*8)+(G2185-2*F$5),IF(D2205=4,(2*(D2185+G2185))-(F$5*8)+2*(G2185-2*F$5)))))/1000</f>
        <v>1.08</v>
      </c>
      <c r="K2205" t="str">
        <v>+</v>
      </c>
      <c r="L2205">
        <f>IF(D2205=0,2*MAX(6*F2205,75),(D2205-1)*2*MAX(6*F2205,75))/1000</f>
        <v>0.15</v>
      </c>
      <c r="M2205" t="str">
        <v>=</v>
      </c>
      <c r="N2205">
        <f>J2205+L2205</f>
        <v>1.23</v>
      </c>
      <c r="T2205" t="str">
        <v>x</v>
      </c>
      <c r="U2205">
        <f>0.006165*F2205^2</f>
        <v>0.6165</v>
      </c>
      <c r="V2205" t="str">
        <v>x</v>
      </c>
      <c r="W2205">
        <f>IF(D2187-MAX(D2187/4,2*G2185)*2&gt;0,ROUND((D2187-MAX(D2187/4,2*G2185)*2)/H2205,0),0)</f>
        <v>5</v>
      </c>
      <c r="X2205" t="str">
        <v>x</v>
      </c>
      <c r="Y2205">
        <f>D2190</f>
        <v>1</v>
      </c>
      <c r="Z2205" t="str">
        <v>=</v>
      </c>
      <c r="AA2205">
        <f>N2205*U2205*W2205*Y2205</f>
        <v>3.791475</v>
      </c>
    </row>
    <row r="2206">
      <c r="A2206" t="str">
        <f>A2184</f>
        <v>Sloof</v>
      </c>
      <c r="B2206">
        <f>B2184</f>
        <v>65</v>
      </c>
      <c r="C2206" t="str">
        <v>Sengkang Tumpuan</v>
      </c>
      <c r="D2206">
        <f>VLOOKUP(D2184,'Detail Balok'!$C$10:$AU$110,41,FALSE)</f>
        <v>0</v>
      </c>
      <c r="E2206" t="str">
        <v>D</v>
      </c>
      <c r="F2206">
        <f>VLOOKUP(D2184,'Detail Balok'!$C$10:$AU$110,43,FALSE)</f>
        <v>10</v>
      </c>
      <c r="G2206" t="str">
        <v>-</v>
      </c>
      <c r="H2206">
        <f>VLOOKUP(D2184,'Detail Balok'!$C$10:$AU$110,45,FALSE)</f>
        <v>200</v>
      </c>
      <c r="J2206">
        <f>(IF(D2206=0,(2*(D2185+G2185))-(F$5*8),IF(D2206=3,(2*(D2185+G2185))-(F$5*8)+(G2185-2*F$5),IF(D2206=4,(2*(D2185+G2185))-(F$5*8)+2*(G2185-2*F$5)))))/1000</f>
        <v>1.08</v>
      </c>
      <c r="K2206" t="str">
        <v>+</v>
      </c>
      <c r="L2206">
        <f>IF(D2206=0,2*MAX(6*F2206,75),(D2206-1)*2*MAX(6*F2206,75))/1000</f>
        <v>0.15</v>
      </c>
      <c r="M2206" t="str">
        <v>=</v>
      </c>
      <c r="N2206">
        <f>J2206+L2206</f>
        <v>1.23</v>
      </c>
      <c r="T2206" t="str">
        <v>x</v>
      </c>
      <c r="U2206">
        <f>0.006165*F2206^2</f>
        <v>0.6165</v>
      </c>
      <c r="V2206" t="str">
        <v>x</v>
      </c>
      <c r="W2206">
        <f>IF(D2187&gt;4*G2185,ROUND(MAX(D2187/4,2*G2185)/H2206,0)+1,0)</f>
        <v>6</v>
      </c>
      <c r="X2206" t="str">
        <v>x</v>
      </c>
      <c r="Y2206">
        <f>D2190</f>
        <v>1</v>
      </c>
      <c r="Z2206" t="str">
        <v>=</v>
      </c>
      <c r="AA2206">
        <f>N2206*U2206*W2206*Y2206</f>
        <v>4.5497700000000005</v>
      </c>
    </row>
    <row r="2208">
      <c r="A2208" t="str">
        <f>A2184</f>
        <v>Sloof</v>
      </c>
      <c r="B2208">
        <f>B2184</f>
        <v>65</v>
      </c>
      <c r="C2208" t="str">
        <v>Kait Horizontal Tump.</v>
      </c>
      <c r="D2208">
        <f>VLOOKUP(D2184,'Detail Balok'!$C$10:$BJ$110,46,FALSE)</f>
        <v>0</v>
      </c>
      <c r="E2208" t="str">
        <v>D</v>
      </c>
      <c r="F2208">
        <f>VLOOKUP(D2184,'Detail Balok'!$C$10:$BJ$110,48,FALSE)</f>
        <v>0</v>
      </c>
      <c r="G2208" t="str">
        <v>-</v>
      </c>
      <c r="H2208">
        <f>VLOOKUP(D2184,'Detail Balok'!$C$10:$BJ$110,50,FALSE)</f>
        <v>100</v>
      </c>
      <c r="J2208">
        <f>(D2185-2*F$5)/1000</f>
        <v>0.12</v>
      </c>
      <c r="K2208" t="str">
        <v>+</v>
      </c>
      <c r="L2208">
        <f>IF(D2208=0,2*MAX(6*F2208,75),(D2208-1)*2*MAX(6*F2208,75))/1000</f>
        <v>0.15</v>
      </c>
      <c r="M2208" t="str">
        <v>=</v>
      </c>
      <c r="N2208">
        <f>J2208+L2208</f>
        <v>0.27</v>
      </c>
      <c r="T2208" t="str">
        <v>x</v>
      </c>
      <c r="U2208">
        <f>0.006165*F2208^2</f>
        <v>0</v>
      </c>
      <c r="V2208" t="str">
        <v>x</v>
      </c>
      <c r="W2208">
        <f>W2204</f>
        <v>6</v>
      </c>
      <c r="X2208" t="str">
        <v>x</v>
      </c>
      <c r="Y2208">
        <f>D2194</f>
        <v>3</v>
      </c>
      <c r="Z2208" t="str">
        <v>=</v>
      </c>
      <c r="AA2208">
        <f>N2208*U2208*W2208*Y2208</f>
        <v>0</v>
      </c>
    </row>
    <row r="2209">
      <c r="A2209" t="str">
        <f>A2184</f>
        <v>Sloof</v>
      </c>
      <c r="B2209">
        <f>B2184</f>
        <v>65</v>
      </c>
      <c r="C2209" t="str">
        <v>Kait Horizontal Lap.</v>
      </c>
      <c r="D2209">
        <f>VLOOKUP(D2184,'Detail Balok'!$C$10:$BJ$110,51,FALSE)</f>
        <v>0</v>
      </c>
      <c r="E2209" t="str">
        <v>D</v>
      </c>
      <c r="F2209">
        <f>VLOOKUP(D2184,'Detail Balok'!$C$10:$BJ$110,53,FALSE)</f>
        <v>0</v>
      </c>
      <c r="G2209" t="str">
        <v>-</v>
      </c>
      <c r="H2209">
        <f>VLOOKUP(D2184,'Detail Balok'!$C$10:$BJ$110,55,FALSE)</f>
        <v>100</v>
      </c>
      <c r="J2209">
        <f>(D2185-2*F$5)/1000</f>
        <v>0.12</v>
      </c>
      <c r="K2209" t="str">
        <v>+</v>
      </c>
      <c r="L2209">
        <f>IF(D2209=0,2*MAX(6*F2209,75),(D2209-1)*2*MAX(6*F2209,75))/1000</f>
        <v>0.15</v>
      </c>
      <c r="M2209" t="str">
        <v>=</v>
      </c>
      <c r="N2209">
        <f>J2209+L2209</f>
        <v>0.27</v>
      </c>
      <c r="T2209" t="str">
        <v>x</v>
      </c>
      <c r="U2209">
        <f>0.006165*F2209^2</f>
        <v>0</v>
      </c>
      <c r="V2209" t="str">
        <v>x</v>
      </c>
      <c r="W2209">
        <f>W2205</f>
        <v>5</v>
      </c>
      <c r="X2209" t="str">
        <v>x</v>
      </c>
      <c r="Y2209">
        <f>D2194</f>
        <v>3</v>
      </c>
      <c r="Z2209" t="str">
        <v>=</v>
      </c>
      <c r="AA2209">
        <f>N2209*U2209*W2209*Y2209</f>
        <v>0</v>
      </c>
    </row>
    <row r="2210">
      <c r="A2210" t="str">
        <f>A2184</f>
        <v>Sloof</v>
      </c>
      <c r="B2210">
        <f>B2184</f>
        <v>65</v>
      </c>
      <c r="C2210" t="str">
        <v>Kait Horizontal Tump.</v>
      </c>
      <c r="D2210">
        <f>VLOOKUP(D2184,'Detail Balok'!$C$10:$BJ$110,56,FALSE)</f>
        <v>0</v>
      </c>
      <c r="E2210" t="str">
        <v>D</v>
      </c>
      <c r="F2210">
        <f>VLOOKUP(D2184,'Detail Balok'!$C$10:$BJ$110,58,FALSE)</f>
        <v>0</v>
      </c>
      <c r="G2210" t="str">
        <v>-</v>
      </c>
      <c r="H2210">
        <f>VLOOKUP(D2184,'Detail Balok'!$C$10:$BJ$110,60,FALSE)</f>
        <v>100</v>
      </c>
      <c r="J2210">
        <f>(D2185-2*F$5)/1000</f>
        <v>0.12</v>
      </c>
      <c r="K2210" t="str">
        <v>+</v>
      </c>
      <c r="L2210">
        <f>IF(D2210=0,2*MAX(6*F2210,75),(D2210-1)*2*MAX(6*F2210,75))/1000</f>
        <v>0.15</v>
      </c>
      <c r="M2210" t="str">
        <v>=</v>
      </c>
      <c r="N2210">
        <f>J2210+L2210</f>
        <v>0.27</v>
      </c>
      <c r="T2210" t="str">
        <v>x</v>
      </c>
      <c r="U2210">
        <f>0.006165*F2210^2</f>
        <v>0</v>
      </c>
      <c r="V2210" t="str">
        <v>x</v>
      </c>
      <c r="W2210">
        <f>W2206</f>
        <v>6</v>
      </c>
      <c r="X2210" t="str">
        <v>x</v>
      </c>
      <c r="Y2210">
        <f>D2194</f>
        <v>3</v>
      </c>
      <c r="Z2210" t="str">
        <v>=</v>
      </c>
      <c r="AA2210">
        <f>N2210*U2210*W2210*Y2210</f>
        <v>0</v>
      </c>
    </row>
    <row r="2214">
      <c r="A2214" t="str">
        <f>A2184</f>
        <v>Sloof</v>
      </c>
      <c r="B2214">
        <f>B2184+1</f>
        <v>66</v>
      </c>
      <c r="C2214" t="str">
        <f>CONCATENATE(A2214," no. ",B2214)</f>
        <v>Sloof no. 66</v>
      </c>
      <c r="D2214" t="str">
        <f>VLOOKUP(C2214,'Data Panjang Balok'!$C$9:$N$424,2,FALSE)</f>
        <v>TB35-1</v>
      </c>
    </row>
    <row r="2215">
      <c r="C2215" t="str">
        <v>Dimensi</v>
      </c>
      <c r="D2215">
        <f>VLOOKUP(D2214,'Detail Balok'!$C$10:$AU$110,2,FALSE)</f>
        <v>300</v>
      </c>
      <c r="F2215" t="str">
        <v>x</v>
      </c>
      <c r="G2215">
        <f>VLOOKUP(D2214,'Detail Balok'!$C$10:$AU$110,3,FALSE)</f>
        <v>500</v>
      </c>
    </row>
    <row r="2216">
      <c r="C2216" t="str">
        <v>Panjang as ke as</v>
      </c>
      <c r="D2216">
        <f>VLOOKUP(C2214,'Data Panjang Balok'!$C$9:$N$424,4,FALSE)</f>
        <v>5285</v>
      </c>
    </row>
    <row r="2217">
      <c r="C2217" t="str">
        <v>Panjang netto</v>
      </c>
      <c r="D2217">
        <f>VLOOKUP(C2214,'Data Panjang Balok'!$C$9:$N$424,7,FALSE)</f>
        <v>5285</v>
      </c>
    </row>
    <row r="2218">
      <c r="C2218" t="str">
        <v>Kolom / balok kiri</v>
      </c>
      <c r="D2218">
        <f>VLOOKUP(C2214,'Data Panjang Balok'!$C$9:$N$424,9,FALSE)</f>
        <v>0</v>
      </c>
    </row>
    <row r="2219">
      <c r="C2219" t="str">
        <v>Kolom / balok kanan</v>
      </c>
      <c r="D2219">
        <f>VLOOKUP(C2214,'Data Panjang Balok'!$C$9:$N$424,10,FALSE)</f>
        <v>0</v>
      </c>
    </row>
    <row r="2220">
      <c r="C2220" t="str">
        <v>Jumlah</v>
      </c>
      <c r="D2220">
        <f>VLOOKUP(C2214,'Data Panjang Balok'!$C$9:$N$424,3,FALSE)</f>
        <v>1</v>
      </c>
    </row>
    <row r="2221">
      <c r="A2221" t="str">
        <f>A2214</f>
        <v>Sloof</v>
      </c>
      <c r="B2221">
        <f>B2214</f>
        <v>66</v>
      </c>
      <c r="C2221" t="str">
        <v>Tul Atas Tumpuan</v>
      </c>
      <c r="D2221">
        <f>VLOOKUP(D2214,'Detail Balok'!$C$10:$AU$110,4,FALSE)</f>
        <v>6</v>
      </c>
      <c r="E2221" t="str">
        <v>D</v>
      </c>
      <c r="F2221">
        <f>VLOOKUP(D2214,'Detail Balok'!$C$10:$AU$110,6,FALSE)</f>
        <v>16</v>
      </c>
      <c r="I2221" t="str">
        <v>(</v>
      </c>
      <c r="J2221">
        <f>+D2216/4/1000</f>
        <v>1.32125</v>
      </c>
      <c r="K2221" t="str">
        <v>+</v>
      </c>
      <c r="L2221">
        <f>MAX(VLOOKUP(F2221,N$6:P$15,3,FALSE)/1000,2/3*D2218/1000)+F$16*F2221/1000</f>
        <v>0.192</v>
      </c>
      <c r="M2221" t="str">
        <v>=</v>
      </c>
      <c r="N2221">
        <f>J2221+L2221</f>
        <v>1.51325</v>
      </c>
      <c r="O2221" t="str">
        <v>+</v>
      </c>
      <c r="P2221">
        <f>D2221-D2222</f>
        <v>3</v>
      </c>
      <c r="Q2221" t="str">
        <v>x</v>
      </c>
      <c r="R2221">
        <f>IF(P2221&gt;0,$F$18*F2221/1000,0)</f>
        <v>0.24</v>
      </c>
      <c r="S2221" t="str">
        <v>)</v>
      </c>
      <c r="T2221" t="str">
        <v>x</v>
      </c>
      <c r="U2221">
        <f>0.006165*F2221^2</f>
        <v>1.57824</v>
      </c>
      <c r="X2221" t="str">
        <v>x</v>
      </c>
      <c r="Y2221">
        <f>D2220</f>
        <v>1</v>
      </c>
      <c r="Z2221" t="str">
        <v>=</v>
      </c>
      <c r="AA2221">
        <f>IF(AA2224=0,(D2221*N2221+P2221*R2221)*U2221*Y2221,0)</f>
        <v>15.465962880000001</v>
      </c>
    </row>
    <row r="2222">
      <c r="A2222" t="str">
        <f>A2214</f>
        <v>Sloof</v>
      </c>
      <c r="B2222">
        <f>B2214</f>
        <v>66</v>
      </c>
      <c r="C2222" t="str">
        <v>Tul Atas Lapangan</v>
      </c>
      <c r="D2222">
        <f>VLOOKUP(D2214,'Detail Balok'!$C$10:$AU$110,7,FALSE)</f>
        <v>3</v>
      </c>
      <c r="E2222" t="str">
        <v>D</v>
      </c>
      <c r="F2222">
        <f>VLOOKUP(D2214,'Detail Balok'!$C$10:$AU$110,9,FALSE)</f>
        <v>16</v>
      </c>
      <c r="I2222" t="str">
        <v>(</v>
      </c>
      <c r="J2222">
        <f>+D2216/2/1000</f>
        <v>2.6425</v>
      </c>
      <c r="K2222" t="str">
        <v>+</v>
      </c>
      <c r="M2222" t="str">
        <v>=</v>
      </c>
      <c r="N2222">
        <f>J2222+L2222</f>
        <v>2.6425</v>
      </c>
      <c r="O2222" t="str">
        <v>+</v>
      </c>
      <c r="P2222">
        <f>MAX(D2222-D2221,D2222-D2223)</f>
        <v>-3</v>
      </c>
      <c r="Q2222" t="str">
        <v>x</v>
      </c>
      <c r="R2222">
        <f>IF(P2222&gt;0,2*(1-2*$F$19-1/2)*D2217/1000,0)</f>
        <v>0</v>
      </c>
      <c r="S2222" t="str">
        <v>)</v>
      </c>
      <c r="T2222" t="str">
        <v>x</v>
      </c>
      <c r="U2222">
        <f>0.006165*F2222^2</f>
        <v>1.57824</v>
      </c>
      <c r="X2222" t="str">
        <v>x</v>
      </c>
      <c r="Y2222">
        <f>D2220</f>
        <v>1</v>
      </c>
      <c r="Z2222" t="str">
        <v>=</v>
      </c>
      <c r="AA2222">
        <f>IF(AA2224=0,(D2222*N2222+P2222*R2222)*U2222*Y2222,0)</f>
        <v>12.5114976</v>
      </c>
    </row>
    <row r="2223">
      <c r="A2223" t="str">
        <f>A2214</f>
        <v>Sloof</v>
      </c>
      <c r="B2223">
        <f>B2214</f>
        <v>66</v>
      </c>
      <c r="C2223" t="str">
        <v>Tul Atas Tumpuan</v>
      </c>
      <c r="D2223">
        <f>VLOOKUP(D2214,'Detail Balok'!$C$10:$AU$110,10,FALSE)</f>
        <v>6</v>
      </c>
      <c r="E2223" t="str">
        <v>D</v>
      </c>
      <c r="F2223">
        <f>VLOOKUP(D2214,'Detail Balok'!$C$10:$AU$110,12,FALSE)</f>
        <v>16</v>
      </c>
      <c r="I2223" t="str">
        <v>(</v>
      </c>
      <c r="J2223">
        <f>+D2216/4/1000</f>
        <v>1.32125</v>
      </c>
      <c r="K2223" t="str">
        <v>+</v>
      </c>
      <c r="L2223">
        <f>MAX(VLOOKUP(F2223,N$6:P$15,3,FALSE)/1000,2/3*D2218/1000)+F$16*F2223/1000</f>
        <v>0.192</v>
      </c>
      <c r="M2223" t="str">
        <v>=</v>
      </c>
      <c r="N2223">
        <f>J2223+L2223</f>
        <v>1.51325</v>
      </c>
      <c r="O2223" t="str">
        <v>+</v>
      </c>
      <c r="P2223">
        <f>D2223-D2222</f>
        <v>3</v>
      </c>
      <c r="Q2223" t="str">
        <v>x</v>
      </c>
      <c r="R2223">
        <f>IF(P2223&gt;0,$F$18*F2223/1000,0)</f>
        <v>0.24</v>
      </c>
      <c r="S2223" t="str">
        <v>)</v>
      </c>
      <c r="T2223" t="str">
        <v>x</v>
      </c>
      <c r="U2223">
        <f>0.006165*F2223^2</f>
        <v>1.57824</v>
      </c>
      <c r="X2223" t="str">
        <v>x</v>
      </c>
      <c r="Y2223">
        <f>D2220</f>
        <v>1</v>
      </c>
      <c r="Z2223" t="str">
        <v>=</v>
      </c>
      <c r="AA2223">
        <f>IF(AA2224=0,(D2223*N2223+P2223*R2223)*U2223*Y2223,0)</f>
        <v>15.465962880000001</v>
      </c>
    </row>
    <row r="2224">
      <c r="A2224" t="str">
        <f>A2214</f>
        <v>Sloof</v>
      </c>
      <c r="B2224">
        <f>B2214</f>
        <v>66</v>
      </c>
      <c r="D2224">
        <f>IF(AND(D2221=D2222,D2222=D2223,D2221=D2223),D2221,0)</f>
        <v>0</v>
      </c>
      <c r="E2224" t="str">
        <v>D</v>
      </c>
      <c r="F2224">
        <f>IF(AND(F2221=F2222,F2221=F2223,F2222=F2223),F2221,0)</f>
        <v>16</v>
      </c>
      <c r="L2224" t="str">
        <v>Total panjang per balok</v>
      </c>
      <c r="M2224" t="str">
        <v>=</v>
      </c>
      <c r="N2224">
        <f>IF(AND(D2221=D2222,D2221=D2223,D2222=D2223,F2221=F2222,F2221=F2223,F2222=F2223),SUM(N2221:N2223),0)</f>
        <v>0</v>
      </c>
      <c r="O2224" t="str">
        <v>+</v>
      </c>
      <c r="P2224">
        <f>IF(N2224&gt;12,ROUNDDOWN(N2224/12,0),0)</f>
        <v>0</v>
      </c>
      <c r="Q2224" t="str">
        <v>x</v>
      </c>
      <c r="R2224">
        <f>IF(P2224&gt;0,MAX(VLOOKUP(F2224,$D$6:$G$15,3,FALSE),600),0)/1000</f>
        <v>0</v>
      </c>
      <c r="T2224" t="str">
        <v>x</v>
      </c>
      <c r="U2224">
        <f>U2223</f>
        <v>1.57824</v>
      </c>
      <c r="V2224" t="str">
        <v>x</v>
      </c>
      <c r="W2224">
        <f>D2224</f>
        <v>0</v>
      </c>
      <c r="X2224" t="str">
        <v>x</v>
      </c>
      <c r="Y2224">
        <f>Y2223</f>
        <v>1</v>
      </c>
      <c r="Z2224" t="str">
        <v>=</v>
      </c>
      <c r="AA2224">
        <f>(N2224+P2224*R2224/1000)*U2224*W2224*Y2224</f>
        <v>0</v>
      </c>
    </row>
    <row r="2226">
      <c r="A2226" t="str">
        <f>A2214</f>
        <v>Sloof</v>
      </c>
      <c r="B2226">
        <f>B2214</f>
        <v>66</v>
      </c>
      <c r="C2226" t="str">
        <v>Tul Peminggang</v>
      </c>
      <c r="D2226">
        <f>VLOOKUP(D2214,'Detail Balok'!$C$10:$AU$110,13,FALSE)</f>
        <v>2</v>
      </c>
      <c r="E2226" t="str">
        <v>D</v>
      </c>
      <c r="F2226">
        <f>VLOOKUP(D2214,'Detail Balok'!$C$10:$AU$110,15,FALSE)</f>
        <v>10</v>
      </c>
      <c r="J2226">
        <f>+D2216/1000</f>
        <v>5.285</v>
      </c>
      <c r="K2226" t="str">
        <v>+</v>
      </c>
      <c r="L2226">
        <f>2*$F$16*F2226/1000</f>
        <v>0.24</v>
      </c>
      <c r="M2226" t="str">
        <v>=</v>
      </c>
      <c r="N2226">
        <f>J2226+L2226</f>
        <v>5.525</v>
      </c>
      <c r="O2226" t="str">
        <v>+</v>
      </c>
      <c r="P2226">
        <f>IF(N2226&gt;12,ROUNDDOWN(N2226/12,0),0)</f>
        <v>0</v>
      </c>
      <c r="Q2226" t="str">
        <v>x</v>
      </c>
      <c r="R2226">
        <f>IF(P2226&gt;0,MAX(VLOOKUP(F2226,$D$6:$G$15,3,FALSE),600),0)/1000</f>
        <v>0</v>
      </c>
      <c r="T2226" t="str">
        <v>x</v>
      </c>
      <c r="U2226">
        <f>0.006165*F2226^2</f>
        <v>0.6165</v>
      </c>
      <c r="V2226" t="str">
        <v>x</v>
      </c>
      <c r="W2226">
        <f>+D2226</f>
        <v>2</v>
      </c>
      <c r="X2226" t="str">
        <v>x</v>
      </c>
      <c r="Y2226">
        <f>D2220</f>
        <v>1</v>
      </c>
      <c r="Z2226" t="str">
        <v>=</v>
      </c>
      <c r="AA2226">
        <f>(N2226+P2226*R2226/1000)*U2226*W2226*Y2226</f>
        <v>6.812325000000001</v>
      </c>
    </row>
    <row r="2229">
      <c r="A2229" t="str">
        <f>A2214</f>
        <v>Sloof</v>
      </c>
      <c r="B2229">
        <f>B2214</f>
        <v>66</v>
      </c>
      <c r="C2229" t="str">
        <v>Tul Bawah Tumpuan</v>
      </c>
      <c r="D2229">
        <f>VLOOKUP(D2214,'Detail Balok'!$C$10:$AU$110,22,FALSE)</f>
        <v>3</v>
      </c>
      <c r="E2229" t="str">
        <v>D</v>
      </c>
      <c r="F2229">
        <f>VLOOKUP(D2214,'Detail Balok'!$C$10:$AU$110,24,FALSE)</f>
        <v>16</v>
      </c>
      <c r="I2229" t="str">
        <v>(</v>
      </c>
      <c r="J2229">
        <f>+J2221</f>
        <v>1.32125</v>
      </c>
      <c r="K2229" t="str">
        <v>+</v>
      </c>
      <c r="L2229">
        <f>MAX(VLOOKUP(F2229,N$6:P$15,3,FALSE)/1000,2/3*D2219/1000)+F$16*F2229/1000</f>
        <v>0.192</v>
      </c>
      <c r="M2229" t="str">
        <v>=</v>
      </c>
      <c r="N2229">
        <f>J2229+L2229</f>
        <v>1.51325</v>
      </c>
      <c r="O2229" t="str">
        <v>+</v>
      </c>
      <c r="P2229">
        <f>D2229-D2230</f>
        <v>-2</v>
      </c>
      <c r="Q2229" t="str">
        <v>x</v>
      </c>
      <c r="R2229">
        <f>IF(P2229&gt;0,$F$18*F2229/1000,0)</f>
        <v>0</v>
      </c>
      <c r="S2229" t="str">
        <v>)</v>
      </c>
      <c r="T2229" t="str">
        <v>x</v>
      </c>
      <c r="U2229">
        <f>0.006165*F2229^2</f>
        <v>1.57824</v>
      </c>
      <c r="X2229" t="str">
        <v>x</v>
      </c>
      <c r="Y2229">
        <f>D2220</f>
        <v>1</v>
      </c>
      <c r="Z2229" t="str">
        <v>=</v>
      </c>
      <c r="AA2229">
        <f>IF(AA2232=0,(D2229*N2229+P2229*R2229)*U2229*Y2229,0)</f>
        <v>7.16481504</v>
      </c>
    </row>
    <row r="2230">
      <c r="A2230" t="str">
        <f>A2214</f>
        <v>Sloof</v>
      </c>
      <c r="B2230">
        <f>B2214</f>
        <v>66</v>
      </c>
      <c r="C2230" t="str">
        <v>Tul Bawah Lapangan</v>
      </c>
      <c r="D2230">
        <f>VLOOKUP(D2214,'Detail Balok'!$C$10:$AU$110,25,FALSE)</f>
        <v>5</v>
      </c>
      <c r="E2230" t="str">
        <v>D</v>
      </c>
      <c r="F2230">
        <f>VLOOKUP(D2214,'Detail Balok'!$C$10:$AU$110,27,FALSE)</f>
        <v>16</v>
      </c>
      <c r="I2230" t="str">
        <v>(</v>
      </c>
      <c r="J2230">
        <f>+J2222</f>
        <v>2.6425</v>
      </c>
      <c r="K2230" t="str">
        <v>+</v>
      </c>
      <c r="M2230" t="str">
        <v>=</v>
      </c>
      <c r="N2230">
        <f>J2230+L2230</f>
        <v>2.6425</v>
      </c>
      <c r="O2230" t="str">
        <v>+</v>
      </c>
      <c r="P2230">
        <f>MAX(D2230-D2229,D2230-D2231)</f>
        <v>2</v>
      </c>
      <c r="Q2230" t="str">
        <v>x</v>
      </c>
      <c r="R2230">
        <f>IF(P2230&gt;0,2*(1-2*$F$19-1/2)*D2217/1000,0)</f>
        <v>1.0569999999999997</v>
      </c>
      <c r="S2230" t="str">
        <v>)</v>
      </c>
      <c r="T2230" t="str">
        <v>x</v>
      </c>
      <c r="U2230">
        <f>0.006165*F2230^2</f>
        <v>1.57824</v>
      </c>
      <c r="X2230" t="str">
        <v>x</v>
      </c>
      <c r="Y2230">
        <f>D2220</f>
        <v>1</v>
      </c>
      <c r="Z2230" t="str">
        <v>=</v>
      </c>
      <c r="AA2230">
        <f>IF(AA2232=0,(D2230*N2230+P2230*R2230)*U2230*Y2230,0)</f>
        <v>24.18889536</v>
      </c>
    </row>
    <row r="2231">
      <c r="A2231" t="str">
        <f>A2214</f>
        <v>Sloof</v>
      </c>
      <c r="B2231">
        <f>B2214</f>
        <v>66</v>
      </c>
      <c r="C2231" t="str">
        <v>Tul Bawah Tumpuan</v>
      </c>
      <c r="D2231">
        <f>VLOOKUP(D2214,'Detail Balok'!$C$10:$AU$110,28,FALSE)</f>
        <v>3</v>
      </c>
      <c r="E2231" t="str">
        <v>D</v>
      </c>
      <c r="F2231">
        <f>VLOOKUP(D2214,'Detail Balok'!$C$10:$AU$110,30,FALSE)</f>
        <v>16</v>
      </c>
      <c r="I2231" t="str">
        <v>(</v>
      </c>
      <c r="J2231">
        <f>+J2223</f>
        <v>1.32125</v>
      </c>
      <c r="K2231" t="str">
        <v>+</v>
      </c>
      <c r="L2231">
        <f>MAX(VLOOKUP(F2231,N$6:P$15,3,FALSE)/1000,2/3*D2219/1000)+F$16*F2231/1000</f>
        <v>0.192</v>
      </c>
      <c r="M2231" t="str">
        <v>=</v>
      </c>
      <c r="N2231">
        <f>J2231+L2231</f>
        <v>1.51325</v>
      </c>
      <c r="O2231" t="str">
        <v>+</v>
      </c>
      <c r="P2231">
        <f>D2231-D2230</f>
        <v>-2</v>
      </c>
      <c r="Q2231" t="str">
        <v>x</v>
      </c>
      <c r="R2231">
        <f>IF(P2231&gt;0,$F$18*F2231/1000,0)</f>
        <v>0</v>
      </c>
      <c r="S2231" t="str">
        <v>)</v>
      </c>
      <c r="T2231" t="str">
        <v>x</v>
      </c>
      <c r="U2231">
        <f>0.006165*F2231^2</f>
        <v>1.57824</v>
      </c>
      <c r="X2231" t="str">
        <v>x</v>
      </c>
      <c r="Y2231">
        <f>D2220</f>
        <v>1</v>
      </c>
      <c r="Z2231" t="str">
        <v>=</v>
      </c>
      <c r="AA2231">
        <f>IF(AA2232=0,(D2231*N2231+P2231*R2231)*U2231*Y2231,0)</f>
        <v>7.16481504</v>
      </c>
    </row>
    <row r="2232">
      <c r="A2232" t="str">
        <f>A2214</f>
        <v>Sloof</v>
      </c>
      <c r="B2232">
        <f>B2214</f>
        <v>66</v>
      </c>
      <c r="D2232">
        <f>IF(AND(D2229=D2230,D2230=D2231,D2229=D2231),D2229,0)</f>
        <v>0</v>
      </c>
      <c r="E2232" t="str">
        <v>D</v>
      </c>
      <c r="F2232">
        <f>IF(AND(F2229=F2230,F2229=F2231,F2230=F2231),F2229,0)</f>
        <v>16</v>
      </c>
      <c r="L2232" t="str">
        <v>Total panjang per balok</v>
      </c>
      <c r="M2232" t="str">
        <v>=</v>
      </c>
      <c r="N2232">
        <f>IF(AND(D2229=D2230,D2229=D2231,D2230=D2231,F2229=F2230,F2229=F2231,F2230=F2231),SUM(N2229:N2231),0)</f>
        <v>0</v>
      </c>
      <c r="O2232" t="str">
        <v>+</v>
      </c>
      <c r="P2232">
        <f>IF(N2232&gt;12,ROUNDDOWN(N2232/12,0),0)</f>
        <v>0</v>
      </c>
      <c r="Q2232" t="str">
        <v>x</v>
      </c>
      <c r="R2232">
        <f>IF(P2232&gt;0,MAX(VLOOKUP(F2232,$D$6:$G$15,3,FALSE),600),0)/1000</f>
        <v>0</v>
      </c>
      <c r="T2232" t="str">
        <v>x</v>
      </c>
      <c r="U2232">
        <f>U2231</f>
        <v>1.57824</v>
      </c>
      <c r="V2232" t="str">
        <v>x</v>
      </c>
      <c r="W2232">
        <f>D2232</f>
        <v>0</v>
      </c>
      <c r="X2232" t="str">
        <v>x</v>
      </c>
      <c r="Y2232">
        <f>Y2231</f>
        <v>1</v>
      </c>
      <c r="Z2232" t="str">
        <v>=</v>
      </c>
      <c r="AA2232">
        <f>(N2232+P2232*R2232/1000)*U2232*W2232*Y2232</f>
        <v>0</v>
      </c>
    </row>
    <row r="2234">
      <c r="A2234" t="str">
        <f>A2214</f>
        <v>Sloof</v>
      </c>
      <c r="B2234">
        <f>B2214</f>
        <v>66</v>
      </c>
      <c r="C2234" t="str">
        <v>Sengkang Tumpuan</v>
      </c>
      <c r="D2234">
        <f>VLOOKUP(D2214,'Detail Balok'!$C$10:$AU$110,31,FALSE)</f>
        <v>0</v>
      </c>
      <c r="E2234" t="str">
        <v>D</v>
      </c>
      <c r="F2234">
        <f>VLOOKUP(D2214,'Detail Balok'!$C$10:$AU$110,33,FALSE)</f>
        <v>10</v>
      </c>
      <c r="G2234" t="str">
        <v>-</v>
      </c>
      <c r="H2234">
        <f>VLOOKUP(D2214,'Detail Balok'!$C$10:$AU$110,35,FALSE)</f>
        <v>200</v>
      </c>
      <c r="J2234">
        <f>(IF(D2234=0,(2*(D2215+G2215))-(F$5*8),IF(D2234=3,(2*(D2215+G2215))-(F$5*8)+(G2215-2*F$5),IF(D2234=4,(2*(D2215+G2215))-(F$5*8)+2*(G2215-2*F$5)))))/1000</f>
        <v>1.28</v>
      </c>
      <c r="K2234" t="str">
        <v>+</v>
      </c>
      <c r="L2234">
        <f>IF(D2234=0,2*MAX(6*F2234,75),(D2234-1)*2*MAX(6*F2234,75))/1000</f>
        <v>0.15</v>
      </c>
      <c r="M2234" t="str">
        <v>=</v>
      </c>
      <c r="N2234">
        <f>J2234+L2234</f>
        <v>1.43</v>
      </c>
      <c r="T2234" t="str">
        <v>x</v>
      </c>
      <c r="U2234">
        <f>0.006165*F2234^2</f>
        <v>0.6165</v>
      </c>
      <c r="V2234" t="str">
        <v>x</v>
      </c>
      <c r="W2234">
        <f>IF(D2217&gt;4*G2215,ROUND(MAX(D2217/4,2*G2215)/H2234,0)+1,ROUND(D2217/H2234,0)+1)</f>
        <v>8</v>
      </c>
      <c r="X2234" t="str">
        <v>x</v>
      </c>
      <c r="Y2234">
        <f>D2220</f>
        <v>1</v>
      </c>
      <c r="Z2234" t="str">
        <v>=</v>
      </c>
      <c r="AA2234">
        <f>N2234*U2234*W2234*Y2234</f>
        <v>7.05276</v>
      </c>
    </row>
    <row r="2235">
      <c r="A2235" t="str">
        <f>A2214</f>
        <v>Sloof</v>
      </c>
      <c r="B2235">
        <f>B2214</f>
        <v>66</v>
      </c>
      <c r="C2235" t="str">
        <v>Sengkang Lapangan</v>
      </c>
      <c r="D2235">
        <f>VLOOKUP(D2214,'Detail Balok'!$C$10:$AU$110,36,FALSE)</f>
        <v>0</v>
      </c>
      <c r="E2235" t="str">
        <v>D</v>
      </c>
      <c r="F2235">
        <f>VLOOKUP(D2214,'Detail Balok'!$C$10:$AU$110,38,FALSE)</f>
        <v>10</v>
      </c>
      <c r="G2235" t="str">
        <v>-</v>
      </c>
      <c r="H2235">
        <f>VLOOKUP(D2214,'Detail Balok'!$C$10:$AU$110,40,FALSE)</f>
        <v>200</v>
      </c>
      <c r="J2235">
        <f>(IF(D2235=0,(2*(D2215+G2215))-(F$5*8),IF(D2235=3,(2*(D2215+G2215))-(F$5*8)+(G2215-2*F$5),IF(D2235=4,(2*(D2215+G2215))-(F$5*8)+2*(G2215-2*F$5)))))/1000</f>
        <v>1.28</v>
      </c>
      <c r="K2235" t="str">
        <v>+</v>
      </c>
      <c r="L2235">
        <f>IF(D2235=0,2*MAX(6*F2235,75),(D2235-1)*2*MAX(6*F2235,75))/1000</f>
        <v>0.15</v>
      </c>
      <c r="M2235" t="str">
        <v>=</v>
      </c>
      <c r="N2235">
        <f>J2235+L2235</f>
        <v>1.43</v>
      </c>
      <c r="T2235" t="str">
        <v>x</v>
      </c>
      <c r="U2235">
        <f>0.006165*F2235^2</f>
        <v>0.6165</v>
      </c>
      <c r="V2235" t="str">
        <v>x</v>
      </c>
      <c r="W2235">
        <f>IF(D2217-MAX(D2217/4,2*G2215)*2&gt;0,ROUND((D2217-MAX(D2217/4,2*G2215)*2)/H2235,0),0)</f>
        <v>13</v>
      </c>
      <c r="X2235" t="str">
        <v>x</v>
      </c>
      <c r="Y2235">
        <f>D2220</f>
        <v>1</v>
      </c>
      <c r="Z2235" t="str">
        <v>=</v>
      </c>
      <c r="AA2235">
        <f>N2235*U2235*W2235*Y2235</f>
        <v>11.460735</v>
      </c>
    </row>
    <row r="2236">
      <c r="A2236" t="str">
        <f>A2214</f>
        <v>Sloof</v>
      </c>
      <c r="B2236">
        <f>B2214</f>
        <v>66</v>
      </c>
      <c r="C2236" t="str">
        <v>Sengkang Tumpuan</v>
      </c>
      <c r="D2236">
        <f>VLOOKUP(D2214,'Detail Balok'!$C$10:$AU$110,41,FALSE)</f>
        <v>0</v>
      </c>
      <c r="E2236" t="str">
        <v>D</v>
      </c>
      <c r="F2236">
        <f>VLOOKUP(D2214,'Detail Balok'!$C$10:$AU$110,43,FALSE)</f>
        <v>10</v>
      </c>
      <c r="G2236" t="str">
        <v>-</v>
      </c>
      <c r="H2236">
        <f>VLOOKUP(D2214,'Detail Balok'!$C$10:$AU$110,45,FALSE)</f>
        <v>200</v>
      </c>
      <c r="J2236">
        <f>(IF(D2236=0,(2*(D2215+G2215))-(F$5*8),IF(D2236=3,(2*(D2215+G2215))-(F$5*8)+(G2215-2*F$5),IF(D2236=4,(2*(D2215+G2215))-(F$5*8)+2*(G2215-2*F$5)))))/1000</f>
        <v>1.28</v>
      </c>
      <c r="K2236" t="str">
        <v>+</v>
      </c>
      <c r="L2236">
        <f>IF(D2236=0,2*MAX(6*F2236,75),(D2236-1)*2*MAX(6*F2236,75))/1000</f>
        <v>0.15</v>
      </c>
      <c r="M2236" t="str">
        <v>=</v>
      </c>
      <c r="N2236">
        <f>J2236+L2236</f>
        <v>1.43</v>
      </c>
      <c r="T2236" t="str">
        <v>x</v>
      </c>
      <c r="U2236">
        <f>0.006165*F2236^2</f>
        <v>0.6165</v>
      </c>
      <c r="V2236" t="str">
        <v>x</v>
      </c>
      <c r="W2236">
        <f>IF(D2217&gt;4*G2215,ROUND(MAX(D2217/4,2*G2215)/H2236,0)+1,0)</f>
        <v>8</v>
      </c>
      <c r="X2236" t="str">
        <v>x</v>
      </c>
      <c r="Y2236">
        <f>D2220</f>
        <v>1</v>
      </c>
      <c r="Z2236" t="str">
        <v>=</v>
      </c>
      <c r="AA2236">
        <f>N2236*U2236*W2236*Y2236</f>
        <v>7.05276</v>
      </c>
    </row>
    <row r="2238">
      <c r="A2238" t="str">
        <f>A2214</f>
        <v>Sloof</v>
      </c>
      <c r="B2238">
        <f>B2214</f>
        <v>66</v>
      </c>
      <c r="C2238" t="str">
        <v>Kait Horizontal Tump.</v>
      </c>
      <c r="D2238">
        <f>VLOOKUP(D2214,'Detail Balok'!$C$10:$BJ$110,46,FALSE)</f>
        <v>0</v>
      </c>
      <c r="E2238" t="str">
        <v>D</v>
      </c>
      <c r="F2238">
        <f>VLOOKUP(D2214,'Detail Balok'!$C$10:$BJ$110,48,FALSE)</f>
        <v>0</v>
      </c>
      <c r="G2238" t="str">
        <v>-</v>
      </c>
      <c r="H2238">
        <f>VLOOKUP(D2214,'Detail Balok'!$C$10:$BJ$110,50,FALSE)</f>
        <v>100</v>
      </c>
      <c r="J2238">
        <f>(D2215-2*F$5)/1000</f>
        <v>0.22</v>
      </c>
      <c r="K2238" t="str">
        <v>+</v>
      </c>
      <c r="L2238">
        <f>IF(D2238=0,2*MAX(6*F2238,75),(D2238-1)*2*MAX(6*F2238,75))/1000</f>
        <v>0.15</v>
      </c>
      <c r="M2238" t="str">
        <v>=</v>
      </c>
      <c r="N2238">
        <f>J2238+L2238</f>
        <v>0.37</v>
      </c>
      <c r="T2238" t="str">
        <v>x</v>
      </c>
      <c r="U2238">
        <f>0.006165*F2238^2</f>
        <v>0</v>
      </c>
      <c r="V2238" t="str">
        <v>x</v>
      </c>
      <c r="W2238">
        <f>W2234</f>
        <v>8</v>
      </c>
      <c r="X2238" t="str">
        <v>x</v>
      </c>
      <c r="Y2238">
        <f>D2224</f>
        <v>0</v>
      </c>
      <c r="Z2238" t="str">
        <v>=</v>
      </c>
      <c r="AA2238">
        <f>N2238*U2238*W2238*Y2238</f>
        <v>0</v>
      </c>
    </row>
    <row r="2239">
      <c r="A2239" t="str">
        <f>A2214</f>
        <v>Sloof</v>
      </c>
      <c r="B2239">
        <f>B2214</f>
        <v>66</v>
      </c>
      <c r="C2239" t="str">
        <v>Kait Horizontal Lap.</v>
      </c>
      <c r="D2239">
        <f>VLOOKUP(D2214,'Detail Balok'!$C$10:$BJ$110,51,FALSE)</f>
        <v>0</v>
      </c>
      <c r="E2239" t="str">
        <v>D</v>
      </c>
      <c r="F2239">
        <f>VLOOKUP(D2214,'Detail Balok'!$C$10:$BJ$110,53,FALSE)</f>
        <v>0</v>
      </c>
      <c r="G2239" t="str">
        <v>-</v>
      </c>
      <c r="H2239">
        <f>VLOOKUP(D2214,'Detail Balok'!$C$10:$BJ$110,55,FALSE)</f>
        <v>100</v>
      </c>
      <c r="J2239">
        <f>(D2215-2*F$5)/1000</f>
        <v>0.22</v>
      </c>
      <c r="K2239" t="str">
        <v>+</v>
      </c>
      <c r="L2239">
        <f>IF(D2239=0,2*MAX(6*F2239,75),(D2239-1)*2*MAX(6*F2239,75))/1000</f>
        <v>0.15</v>
      </c>
      <c r="M2239" t="str">
        <v>=</v>
      </c>
      <c r="N2239">
        <f>J2239+L2239</f>
        <v>0.37</v>
      </c>
      <c r="T2239" t="str">
        <v>x</v>
      </c>
      <c r="U2239">
        <f>0.006165*F2239^2</f>
        <v>0</v>
      </c>
      <c r="V2239" t="str">
        <v>x</v>
      </c>
      <c r="W2239">
        <f>W2235</f>
        <v>13</v>
      </c>
      <c r="X2239" t="str">
        <v>x</v>
      </c>
      <c r="Y2239">
        <f>D2224</f>
        <v>0</v>
      </c>
      <c r="Z2239" t="str">
        <v>=</v>
      </c>
      <c r="AA2239">
        <f>N2239*U2239*W2239*Y2239</f>
        <v>0</v>
      </c>
    </row>
    <row r="2240">
      <c r="A2240" t="str">
        <f>A2214</f>
        <v>Sloof</v>
      </c>
      <c r="B2240">
        <f>B2214</f>
        <v>66</v>
      </c>
      <c r="C2240" t="str">
        <v>Kait Horizontal Tump.</v>
      </c>
      <c r="D2240">
        <f>VLOOKUP(D2214,'Detail Balok'!$C$10:$BJ$110,56,FALSE)</f>
        <v>0</v>
      </c>
      <c r="E2240" t="str">
        <v>D</v>
      </c>
      <c r="F2240">
        <f>VLOOKUP(D2214,'Detail Balok'!$C$10:$BJ$110,58,FALSE)</f>
        <v>0</v>
      </c>
      <c r="G2240" t="str">
        <v>-</v>
      </c>
      <c r="H2240">
        <f>VLOOKUP(D2214,'Detail Balok'!$C$10:$BJ$110,60,FALSE)</f>
        <v>100</v>
      </c>
      <c r="J2240">
        <f>(D2215-2*F$5)/1000</f>
        <v>0.22</v>
      </c>
      <c r="K2240" t="str">
        <v>+</v>
      </c>
      <c r="L2240">
        <f>IF(D2240=0,2*MAX(6*F2240,75),(D2240-1)*2*MAX(6*F2240,75))/1000</f>
        <v>0.15</v>
      </c>
      <c r="M2240" t="str">
        <v>=</v>
      </c>
      <c r="N2240">
        <f>J2240+L2240</f>
        <v>0.37</v>
      </c>
      <c r="T2240" t="str">
        <v>x</v>
      </c>
      <c r="U2240">
        <f>0.006165*F2240^2</f>
        <v>0</v>
      </c>
      <c r="V2240" t="str">
        <v>x</v>
      </c>
      <c r="W2240">
        <f>W2236</f>
        <v>8</v>
      </c>
      <c r="X2240" t="str">
        <v>x</v>
      </c>
      <c r="Y2240">
        <f>D2224</f>
        <v>0</v>
      </c>
      <c r="Z2240" t="str">
        <v>=</v>
      </c>
      <c r="AA2240">
        <f>N2240*U2240*W2240*Y2240</f>
        <v>0</v>
      </c>
    </row>
    <row r="2244">
      <c r="A2244" t="str">
        <f>A2214</f>
        <v>Sloof</v>
      </c>
      <c r="B2244">
        <f>B2214+1</f>
        <v>67</v>
      </c>
      <c r="C2244" t="str">
        <f>CONCATENATE(A2244," no. ",B2244)</f>
        <v>Sloof no. 67</v>
      </c>
      <c r="D2244" t="str">
        <f>VLOOKUP(C2244,'Data Panjang Balok'!$C$9:$N$424,2,FALSE)</f>
        <v>TB245-2</v>
      </c>
    </row>
    <row r="2245">
      <c r="C2245" t="str">
        <v>Dimensi</v>
      </c>
      <c r="D2245">
        <f>VLOOKUP(D2244,'Detail Balok'!$C$10:$AU$110,2,FALSE)</f>
        <v>200</v>
      </c>
      <c r="F2245" t="str">
        <v>x</v>
      </c>
      <c r="G2245">
        <f>VLOOKUP(D2244,'Detail Balok'!$C$10:$AU$110,3,FALSE)</f>
        <v>450</v>
      </c>
    </row>
    <row r="2246">
      <c r="C2246" t="str">
        <v>Panjang as ke as</v>
      </c>
      <c r="D2246">
        <f>VLOOKUP(C2244,'Data Panjang Balok'!$C$9:$N$424,4,FALSE)</f>
        <v>3015</v>
      </c>
    </row>
    <row r="2247">
      <c r="C2247" t="str">
        <v>Panjang netto</v>
      </c>
      <c r="D2247">
        <f>VLOOKUP(C2244,'Data Panjang Balok'!$C$9:$N$424,7,FALSE)</f>
        <v>3015</v>
      </c>
    </row>
    <row r="2248">
      <c r="C2248" t="str">
        <v>Kolom / balok kiri</v>
      </c>
      <c r="D2248">
        <f>VLOOKUP(C2244,'Data Panjang Balok'!$C$9:$N$424,9,FALSE)</f>
        <v>0</v>
      </c>
    </row>
    <row r="2249">
      <c r="C2249" t="str">
        <v>Kolom / balok kanan</v>
      </c>
      <c r="D2249">
        <f>VLOOKUP(C2244,'Data Panjang Balok'!$C$9:$N$424,10,FALSE)</f>
        <v>0</v>
      </c>
    </row>
    <row r="2250">
      <c r="C2250" t="str">
        <v>Jumlah</v>
      </c>
      <c r="D2250">
        <f>VLOOKUP(C2244,'Data Panjang Balok'!$C$9:$N$424,3,FALSE)</f>
        <v>1</v>
      </c>
    </row>
    <row r="2251">
      <c r="A2251" t="str">
        <f>A2244</f>
        <v>Sloof</v>
      </c>
      <c r="B2251">
        <f>B2244</f>
        <v>67</v>
      </c>
      <c r="C2251" t="str">
        <v>Tul Atas Tumpuan</v>
      </c>
      <c r="D2251">
        <f>VLOOKUP(D2244,'Detail Balok'!$C$10:$AU$110,4,FALSE)</f>
        <v>4</v>
      </c>
      <c r="E2251" t="str">
        <v>D</v>
      </c>
      <c r="F2251">
        <f>VLOOKUP(D2244,'Detail Balok'!$C$10:$AU$110,6,FALSE)</f>
        <v>13</v>
      </c>
      <c r="I2251" t="str">
        <v>(</v>
      </c>
      <c r="J2251">
        <f>+D2246/4/1000</f>
        <v>0.75375</v>
      </c>
      <c r="K2251" t="str">
        <v>+</v>
      </c>
      <c r="L2251">
        <f>MAX(VLOOKUP(F2251,N$6:P$15,3,FALSE)/1000,2/3*D2248/1000)+F$16*F2251/1000</f>
        <v>0.156</v>
      </c>
      <c r="M2251" t="str">
        <v>=</v>
      </c>
      <c r="N2251">
        <f>J2251+L2251</f>
        <v>0.9097500000000001</v>
      </c>
      <c r="O2251" t="str">
        <v>+</v>
      </c>
      <c r="P2251">
        <f>D2251-D2252</f>
        <v>2</v>
      </c>
      <c r="Q2251" t="str">
        <v>x</v>
      </c>
      <c r="R2251">
        <f>IF(P2251&gt;0,$F$18*F2251/1000,0)</f>
        <v>0.195</v>
      </c>
      <c r="S2251" t="str">
        <v>)</v>
      </c>
      <c r="T2251" t="str">
        <v>x</v>
      </c>
      <c r="U2251">
        <f>0.006165*F2251^2</f>
        <v>1.041885</v>
      </c>
      <c r="X2251" t="str">
        <v>x</v>
      </c>
      <c r="Y2251">
        <f>D2250</f>
        <v>1</v>
      </c>
      <c r="Z2251" t="str">
        <v>=</v>
      </c>
      <c r="AA2251">
        <f>IF(AA2254=0,(D2251*N2251+P2251*R2251)*U2251*Y2251,0)</f>
        <v>4.197754665</v>
      </c>
    </row>
    <row r="2252">
      <c r="A2252" t="str">
        <f>A2244</f>
        <v>Sloof</v>
      </c>
      <c r="B2252">
        <f>B2244</f>
        <v>67</v>
      </c>
      <c r="C2252" t="str">
        <v>Tul Atas Lapangan</v>
      </c>
      <c r="D2252">
        <f>VLOOKUP(D2244,'Detail Balok'!$C$10:$AU$110,7,FALSE)</f>
        <v>2</v>
      </c>
      <c r="E2252" t="str">
        <v>D</v>
      </c>
      <c r="F2252">
        <f>VLOOKUP(D2244,'Detail Balok'!$C$10:$AU$110,9,FALSE)</f>
        <v>13</v>
      </c>
      <c r="I2252" t="str">
        <v>(</v>
      </c>
      <c r="J2252">
        <f>+D2246/2/1000</f>
        <v>1.5075</v>
      </c>
      <c r="K2252" t="str">
        <v>+</v>
      </c>
      <c r="M2252" t="str">
        <v>=</v>
      </c>
      <c r="N2252">
        <f>J2252+L2252</f>
        <v>1.5075</v>
      </c>
      <c r="O2252" t="str">
        <v>+</v>
      </c>
      <c r="P2252">
        <f>MAX(D2252-D2251,D2252-D2253)</f>
        <v>-2</v>
      </c>
      <c r="Q2252" t="str">
        <v>x</v>
      </c>
      <c r="R2252">
        <f>IF(P2252&gt;0,2*(1-2*$F$19-1/2)*D2247/1000,0)</f>
        <v>0</v>
      </c>
      <c r="S2252" t="str">
        <v>)</v>
      </c>
      <c r="T2252" t="str">
        <v>x</v>
      </c>
      <c r="U2252">
        <f>0.006165*F2252^2</f>
        <v>1.041885</v>
      </c>
      <c r="X2252" t="str">
        <v>x</v>
      </c>
      <c r="Y2252">
        <f>D2250</f>
        <v>1</v>
      </c>
      <c r="Z2252" t="str">
        <v>=</v>
      </c>
      <c r="AA2252">
        <f>IF(AA2254=0,(D2252*N2252+P2252*R2252)*U2252*Y2252,0)</f>
        <v>3.141283275</v>
      </c>
    </row>
    <row r="2253">
      <c r="A2253" t="str">
        <f>A2244</f>
        <v>Sloof</v>
      </c>
      <c r="B2253">
        <f>B2244</f>
        <v>67</v>
      </c>
      <c r="C2253" t="str">
        <v>Tul Atas Tumpuan</v>
      </c>
      <c r="D2253">
        <f>VLOOKUP(D2244,'Detail Balok'!$C$10:$AU$110,10,FALSE)</f>
        <v>4</v>
      </c>
      <c r="E2253" t="str">
        <v>D</v>
      </c>
      <c r="F2253">
        <f>VLOOKUP(D2244,'Detail Balok'!$C$10:$AU$110,12,FALSE)</f>
        <v>13</v>
      </c>
      <c r="I2253" t="str">
        <v>(</v>
      </c>
      <c r="J2253">
        <f>+D2246/4/1000</f>
        <v>0.75375</v>
      </c>
      <c r="K2253" t="str">
        <v>+</v>
      </c>
      <c r="L2253">
        <f>MAX(VLOOKUP(F2253,N$6:P$15,3,FALSE)/1000,2/3*D2248/1000)+F$16*F2253/1000</f>
        <v>0.156</v>
      </c>
      <c r="M2253" t="str">
        <v>=</v>
      </c>
      <c r="N2253">
        <f>J2253+L2253</f>
        <v>0.9097500000000001</v>
      </c>
      <c r="O2253" t="str">
        <v>+</v>
      </c>
      <c r="P2253">
        <f>D2253-D2252</f>
        <v>2</v>
      </c>
      <c r="Q2253" t="str">
        <v>x</v>
      </c>
      <c r="R2253">
        <f>IF(P2253&gt;0,$F$18*F2253/1000,0)</f>
        <v>0.195</v>
      </c>
      <c r="S2253" t="str">
        <v>)</v>
      </c>
      <c r="T2253" t="str">
        <v>x</v>
      </c>
      <c r="U2253">
        <f>0.006165*F2253^2</f>
        <v>1.041885</v>
      </c>
      <c r="X2253" t="str">
        <v>x</v>
      </c>
      <c r="Y2253">
        <f>D2250</f>
        <v>1</v>
      </c>
      <c r="Z2253" t="str">
        <v>=</v>
      </c>
      <c r="AA2253">
        <f>IF(AA2254=0,(D2253*N2253+P2253*R2253)*U2253*Y2253,0)</f>
        <v>4.197754665</v>
      </c>
    </row>
    <row r="2254">
      <c r="A2254" t="str">
        <f>A2244</f>
        <v>Sloof</v>
      </c>
      <c r="B2254">
        <f>B2244</f>
        <v>67</v>
      </c>
      <c r="D2254">
        <f>IF(AND(D2251=D2252,D2252=D2253,D2251=D2253),D2251,0)</f>
        <v>0</v>
      </c>
      <c r="E2254" t="str">
        <v>D</v>
      </c>
      <c r="F2254">
        <f>IF(AND(F2251=F2252,F2251=F2253,F2252=F2253),F2251,0)</f>
        <v>13</v>
      </c>
      <c r="L2254" t="str">
        <v>Total panjang per balok</v>
      </c>
      <c r="M2254" t="str">
        <v>=</v>
      </c>
      <c r="N2254">
        <f>IF(AND(D2251=D2252,D2251=D2253,D2252=D2253,F2251=F2252,F2251=F2253,F2252=F2253),SUM(N2251:N2253),0)</f>
        <v>0</v>
      </c>
      <c r="O2254" t="str">
        <v>+</v>
      </c>
      <c r="P2254">
        <f>IF(N2254&gt;12,ROUNDDOWN(N2254/12,0),0)</f>
        <v>0</v>
      </c>
      <c r="Q2254" t="str">
        <v>x</v>
      </c>
      <c r="R2254">
        <f>IF(P2254&gt;0,MAX(VLOOKUP(F2254,$D$6:$G$15,3,FALSE),600),0)/1000</f>
        <v>0</v>
      </c>
      <c r="T2254" t="str">
        <v>x</v>
      </c>
      <c r="U2254">
        <f>U2253</f>
        <v>1.041885</v>
      </c>
      <c r="V2254" t="str">
        <v>x</v>
      </c>
      <c r="W2254">
        <f>D2254</f>
        <v>0</v>
      </c>
      <c r="X2254" t="str">
        <v>x</v>
      </c>
      <c r="Y2254">
        <f>Y2253</f>
        <v>1</v>
      </c>
      <c r="Z2254" t="str">
        <v>=</v>
      </c>
      <c r="AA2254">
        <f>(N2254+P2254*R2254/1000)*U2254*W2254*Y2254</f>
        <v>0</v>
      </c>
    </row>
    <row r="2256">
      <c r="A2256" t="str">
        <f>A2244</f>
        <v>Sloof</v>
      </c>
      <c r="B2256">
        <f>B2244</f>
        <v>67</v>
      </c>
      <c r="C2256" t="str">
        <v>Tul Peminggang</v>
      </c>
      <c r="D2256">
        <f>VLOOKUP(D2244,'Detail Balok'!$C$10:$AU$110,13,FALSE)</f>
        <v>2</v>
      </c>
      <c r="E2256" t="str">
        <v>D</v>
      </c>
      <c r="F2256">
        <f>VLOOKUP(D2244,'Detail Balok'!$C$10:$AU$110,15,FALSE)</f>
        <v>8</v>
      </c>
      <c r="J2256">
        <f>+D2246/1000</f>
        <v>3.015</v>
      </c>
      <c r="K2256" t="str">
        <v>+</v>
      </c>
      <c r="L2256">
        <f>2*$F$16*F2256/1000</f>
        <v>0.192</v>
      </c>
      <c r="M2256" t="str">
        <v>=</v>
      </c>
      <c r="N2256">
        <f>J2256+L2256</f>
        <v>3.2070000000000003</v>
      </c>
      <c r="O2256" t="str">
        <v>+</v>
      </c>
      <c r="P2256">
        <f>IF(N2256&gt;12,ROUNDDOWN(N2256/12,0),0)</f>
        <v>0</v>
      </c>
      <c r="Q2256" t="str">
        <v>x</v>
      </c>
      <c r="R2256">
        <f>IF(P2256&gt;0,MAX(VLOOKUP(F2256,$D$6:$G$15,3,FALSE),600),0)/1000</f>
        <v>0</v>
      </c>
      <c r="T2256" t="str">
        <v>x</v>
      </c>
      <c r="U2256">
        <f>0.006165*F2256^2</f>
        <v>0.39456</v>
      </c>
      <c r="V2256" t="str">
        <v>x</v>
      </c>
      <c r="W2256">
        <f>+D2256</f>
        <v>2</v>
      </c>
      <c r="X2256" t="str">
        <v>x</v>
      </c>
      <c r="Y2256">
        <f>D2250</f>
        <v>1</v>
      </c>
      <c r="Z2256" t="str">
        <v>=</v>
      </c>
      <c r="AA2256">
        <f>(N2256+P2256*R2256/1000)*U2256*W2256*Y2256</f>
        <v>2.5307078400000003</v>
      </c>
    </row>
    <row r="2259">
      <c r="A2259" t="str">
        <f>A2244</f>
        <v>Sloof</v>
      </c>
      <c r="B2259">
        <f>B2244</f>
        <v>67</v>
      </c>
      <c r="C2259" t="str">
        <v>Tul Bawah Tumpuan</v>
      </c>
      <c r="D2259">
        <f>VLOOKUP(D2244,'Detail Balok'!$C$10:$AU$110,22,FALSE)</f>
        <v>4</v>
      </c>
      <c r="E2259" t="str">
        <v>D</v>
      </c>
      <c r="F2259">
        <f>VLOOKUP(D2244,'Detail Balok'!$C$10:$AU$110,24,FALSE)</f>
        <v>13</v>
      </c>
      <c r="I2259" t="str">
        <v>(</v>
      </c>
      <c r="J2259">
        <f>+J2251</f>
        <v>0.75375</v>
      </c>
      <c r="K2259" t="str">
        <v>+</v>
      </c>
      <c r="L2259">
        <f>MAX(VLOOKUP(F2259,N$6:P$15,3,FALSE)/1000,2/3*D2249/1000)+F$16*F2259/1000</f>
        <v>0.156</v>
      </c>
      <c r="M2259" t="str">
        <v>=</v>
      </c>
      <c r="N2259">
        <f>J2259+L2259</f>
        <v>0.9097500000000001</v>
      </c>
      <c r="O2259" t="str">
        <v>+</v>
      </c>
      <c r="P2259">
        <f>D2259-D2260</f>
        <v>0</v>
      </c>
      <c r="Q2259" t="str">
        <v>x</v>
      </c>
      <c r="R2259">
        <f>IF(P2259&gt;0,$F$18*F2259/1000,0)</f>
        <v>0</v>
      </c>
      <c r="S2259" t="str">
        <v>)</v>
      </c>
      <c r="T2259" t="str">
        <v>x</v>
      </c>
      <c r="U2259">
        <f>0.006165*F2259^2</f>
        <v>1.041885</v>
      </c>
      <c r="X2259" t="str">
        <v>x</v>
      </c>
      <c r="Y2259">
        <f>D2250</f>
        <v>1</v>
      </c>
      <c r="Z2259" t="str">
        <v>=</v>
      </c>
      <c r="AA2259">
        <f>IF(AA2262=0,(D2259*N2259+P2259*R2259)*U2259*Y2259,0)</f>
        <v>0</v>
      </c>
    </row>
    <row r="2260">
      <c r="A2260" t="str">
        <f>A2244</f>
        <v>Sloof</v>
      </c>
      <c r="B2260">
        <f>B2244</f>
        <v>67</v>
      </c>
      <c r="C2260" t="str">
        <v>Tul Bawah Lapangan</v>
      </c>
      <c r="D2260">
        <f>VLOOKUP(D2244,'Detail Balok'!$C$10:$AU$110,25,FALSE)</f>
        <v>4</v>
      </c>
      <c r="E2260" t="str">
        <v>D</v>
      </c>
      <c r="F2260">
        <f>VLOOKUP(D2244,'Detail Balok'!$C$10:$AU$110,27,FALSE)</f>
        <v>13</v>
      </c>
      <c r="I2260" t="str">
        <v>(</v>
      </c>
      <c r="J2260">
        <f>+J2252</f>
        <v>1.5075</v>
      </c>
      <c r="K2260" t="str">
        <v>+</v>
      </c>
      <c r="M2260" t="str">
        <v>=</v>
      </c>
      <c r="N2260">
        <f>J2260+L2260</f>
        <v>1.5075</v>
      </c>
      <c r="O2260" t="str">
        <v>+</v>
      </c>
      <c r="P2260">
        <f>MAX(D2260-D2259,D2260-D2261)</f>
        <v>0</v>
      </c>
      <c r="Q2260" t="str">
        <v>x</v>
      </c>
      <c r="R2260">
        <f>IF(P2260&gt;0,2*(1-2*$F$19-1/2)*D2247/1000,0)</f>
        <v>0</v>
      </c>
      <c r="S2260" t="str">
        <v>)</v>
      </c>
      <c r="T2260" t="str">
        <v>x</v>
      </c>
      <c r="U2260">
        <f>0.006165*F2260^2</f>
        <v>1.041885</v>
      </c>
      <c r="X2260" t="str">
        <v>x</v>
      </c>
      <c r="Y2260">
        <f>D2250</f>
        <v>1</v>
      </c>
      <c r="Z2260" t="str">
        <v>=</v>
      </c>
      <c r="AA2260">
        <f>IF(AA2262=0,(D2260*N2260+P2260*R2260)*U2260*Y2260,0)</f>
        <v>0</v>
      </c>
    </row>
    <row r="2261">
      <c r="A2261" t="str">
        <f>A2244</f>
        <v>Sloof</v>
      </c>
      <c r="B2261">
        <f>B2244</f>
        <v>67</v>
      </c>
      <c r="C2261" t="str">
        <v>Tul Bawah Tumpuan</v>
      </c>
      <c r="D2261">
        <f>VLOOKUP(D2244,'Detail Balok'!$C$10:$AU$110,28,FALSE)</f>
        <v>4</v>
      </c>
      <c r="E2261" t="str">
        <v>D</v>
      </c>
      <c r="F2261">
        <f>VLOOKUP(D2244,'Detail Balok'!$C$10:$AU$110,30,FALSE)</f>
        <v>13</v>
      </c>
      <c r="I2261" t="str">
        <v>(</v>
      </c>
      <c r="J2261">
        <f>+J2253</f>
        <v>0.75375</v>
      </c>
      <c r="K2261" t="str">
        <v>+</v>
      </c>
      <c r="L2261">
        <f>MAX(VLOOKUP(F2261,N$6:P$15,3,FALSE)/1000,2/3*D2249/1000)+F$16*F2261/1000</f>
        <v>0.156</v>
      </c>
      <c r="M2261" t="str">
        <v>=</v>
      </c>
      <c r="N2261">
        <f>J2261+L2261</f>
        <v>0.9097500000000001</v>
      </c>
      <c r="O2261" t="str">
        <v>+</v>
      </c>
      <c r="P2261">
        <f>D2261-D2260</f>
        <v>0</v>
      </c>
      <c r="Q2261" t="str">
        <v>x</v>
      </c>
      <c r="R2261">
        <f>IF(P2261&gt;0,$F$18*F2261/1000,0)</f>
        <v>0</v>
      </c>
      <c r="S2261" t="str">
        <v>)</v>
      </c>
      <c r="T2261" t="str">
        <v>x</v>
      </c>
      <c r="U2261">
        <f>0.006165*F2261^2</f>
        <v>1.041885</v>
      </c>
      <c r="X2261" t="str">
        <v>x</v>
      </c>
      <c r="Y2261">
        <f>D2250</f>
        <v>1</v>
      </c>
      <c r="Z2261" t="str">
        <v>=</v>
      </c>
      <c r="AA2261">
        <f>IF(AA2262=0,(D2261*N2261+P2261*R2261)*U2261*Y2261,0)</f>
        <v>0</v>
      </c>
    </row>
    <row r="2262">
      <c r="A2262" t="str">
        <f>A2244</f>
        <v>Sloof</v>
      </c>
      <c r="B2262">
        <f>B2244</f>
        <v>67</v>
      </c>
      <c r="D2262">
        <f>IF(AND(D2259=D2260,D2260=D2261,D2259=D2261),D2259,0)</f>
        <v>4</v>
      </c>
      <c r="E2262" t="str">
        <v>D</v>
      </c>
      <c r="F2262">
        <f>IF(AND(F2259=F2260,F2259=F2261,F2260=F2261),F2259,0)</f>
        <v>13</v>
      </c>
      <c r="L2262" t="str">
        <v>Total panjang per balok</v>
      </c>
      <c r="M2262" t="str">
        <v>=</v>
      </c>
      <c r="N2262">
        <f>IF(AND(D2259=D2260,D2259=D2261,D2260=D2261,F2259=F2260,F2259=F2261,F2260=F2261),SUM(N2259:N2261),0)</f>
        <v>3.327</v>
      </c>
      <c r="O2262" t="str">
        <v>+</v>
      </c>
      <c r="P2262">
        <f>IF(N2262&gt;12,ROUNDDOWN(N2262/12,0),0)</f>
        <v>0</v>
      </c>
      <c r="Q2262" t="str">
        <v>x</v>
      </c>
      <c r="R2262">
        <f>IF(P2262&gt;0,MAX(VLOOKUP(F2262,$D$6:$G$15,3,FALSE),600),0)/1000</f>
        <v>0</v>
      </c>
      <c r="T2262" t="str">
        <v>x</v>
      </c>
      <c r="U2262">
        <f>U2261</f>
        <v>1.041885</v>
      </c>
      <c r="V2262" t="str">
        <v>x</v>
      </c>
      <c r="W2262">
        <f>D2262</f>
        <v>4</v>
      </c>
      <c r="X2262" t="str">
        <v>x</v>
      </c>
      <c r="Y2262">
        <f>Y2261</f>
        <v>1</v>
      </c>
      <c r="Z2262" t="str">
        <v>=</v>
      </c>
      <c r="AA2262">
        <f>(N2262+P2262*R2262/1000)*U2262*W2262*Y2262</f>
        <v>13.86540558</v>
      </c>
    </row>
    <row r="2264">
      <c r="A2264" t="str">
        <f>A2244</f>
        <v>Sloof</v>
      </c>
      <c r="B2264">
        <f>B2244</f>
        <v>67</v>
      </c>
      <c r="C2264" t="str">
        <v>Sengkang Tumpuan</v>
      </c>
      <c r="D2264">
        <f>VLOOKUP(D2244,'Detail Balok'!$C$10:$AU$110,31,FALSE)</f>
        <v>0</v>
      </c>
      <c r="E2264" t="str">
        <v>D</v>
      </c>
      <c r="F2264">
        <f>VLOOKUP(D2244,'Detail Balok'!$C$10:$AU$110,33,FALSE)</f>
        <v>8</v>
      </c>
      <c r="G2264" t="str">
        <v>-</v>
      </c>
      <c r="H2264">
        <f>VLOOKUP(D2244,'Detail Balok'!$C$10:$AU$110,35,FALSE)</f>
        <v>125</v>
      </c>
      <c r="J2264">
        <f>(IF(D2264=0,(2*(D2245+G2245))-(F$5*8),IF(D2264=3,(2*(D2245+G2245))-(F$5*8)+(G2245-2*F$5),IF(D2264=4,(2*(D2245+G2245))-(F$5*8)+2*(G2245-2*F$5)))))/1000</f>
        <v>0.98</v>
      </c>
      <c r="K2264" t="str">
        <v>+</v>
      </c>
      <c r="L2264">
        <f>IF(D2264=0,2*MAX(6*F2264,75),(D2264-1)*2*MAX(6*F2264,75))/1000</f>
        <v>0.15</v>
      </c>
      <c r="M2264" t="str">
        <v>=</v>
      </c>
      <c r="N2264">
        <f>J2264+L2264</f>
        <v>1.13</v>
      </c>
      <c r="T2264" t="str">
        <v>x</v>
      </c>
      <c r="U2264">
        <f>0.006165*F2264^2</f>
        <v>0.39456</v>
      </c>
      <c r="V2264" t="str">
        <v>x</v>
      </c>
      <c r="W2264">
        <f>IF(D2247&gt;4*G2245,ROUND(MAX(D2247/4,2*G2245)/H2264,0)+1,ROUND(D2247/H2264,0)+1)</f>
        <v>8</v>
      </c>
      <c r="X2264" t="str">
        <v>x</v>
      </c>
      <c r="Y2264">
        <f>D2250</f>
        <v>1</v>
      </c>
      <c r="Z2264" t="str">
        <v>=</v>
      </c>
      <c r="AA2264">
        <f>N2264*U2264*W2264*Y2264</f>
        <v>3.5668224</v>
      </c>
    </row>
    <row r="2265">
      <c r="A2265" t="str">
        <f>A2244</f>
        <v>Sloof</v>
      </c>
      <c r="B2265">
        <f>B2244</f>
        <v>67</v>
      </c>
      <c r="C2265" t="str">
        <v>Sengkang Lapangan</v>
      </c>
      <c r="D2265">
        <f>VLOOKUP(D2244,'Detail Balok'!$C$10:$AU$110,36,FALSE)</f>
        <v>0</v>
      </c>
      <c r="E2265" t="str">
        <v>D</v>
      </c>
      <c r="F2265">
        <f>VLOOKUP(D2244,'Detail Balok'!$C$10:$AU$110,38,FALSE)</f>
        <v>8</v>
      </c>
      <c r="G2265" t="str">
        <v>-</v>
      </c>
      <c r="H2265">
        <f>VLOOKUP(D2244,'Detail Balok'!$C$10:$AU$110,40,FALSE)</f>
        <v>150</v>
      </c>
      <c r="J2265">
        <f>(IF(D2265=0,(2*(D2245+G2245))-(F$5*8),IF(D2265=3,(2*(D2245+G2245))-(F$5*8)+(G2245-2*F$5),IF(D2265=4,(2*(D2245+G2245))-(F$5*8)+2*(G2245-2*F$5)))))/1000</f>
        <v>0.98</v>
      </c>
      <c r="K2265" t="str">
        <v>+</v>
      </c>
      <c r="L2265">
        <f>IF(D2265=0,2*MAX(6*F2265,75),(D2265-1)*2*MAX(6*F2265,75))/1000</f>
        <v>0.15</v>
      </c>
      <c r="M2265" t="str">
        <v>=</v>
      </c>
      <c r="N2265">
        <f>J2265+L2265</f>
        <v>1.13</v>
      </c>
      <c r="T2265" t="str">
        <v>x</v>
      </c>
      <c r="U2265">
        <f>0.006165*F2265^2</f>
        <v>0.39456</v>
      </c>
      <c r="V2265" t="str">
        <v>x</v>
      </c>
      <c r="W2265">
        <f>IF(D2247-MAX(D2247/4,2*G2245)*2&gt;0,ROUND((D2247-MAX(D2247/4,2*G2245)*2)/H2265,0),0)</f>
        <v>8</v>
      </c>
      <c r="X2265" t="str">
        <v>x</v>
      </c>
      <c r="Y2265">
        <f>D2250</f>
        <v>1</v>
      </c>
      <c r="Z2265" t="str">
        <v>=</v>
      </c>
      <c r="AA2265">
        <f>N2265*U2265*W2265*Y2265</f>
        <v>3.5668224</v>
      </c>
    </row>
    <row r="2266">
      <c r="A2266" t="str">
        <f>A2244</f>
        <v>Sloof</v>
      </c>
      <c r="B2266">
        <f>B2244</f>
        <v>67</v>
      </c>
      <c r="C2266" t="str">
        <v>Sengkang Tumpuan</v>
      </c>
      <c r="D2266">
        <f>VLOOKUP(D2244,'Detail Balok'!$C$10:$AU$110,41,FALSE)</f>
        <v>0</v>
      </c>
      <c r="E2266" t="str">
        <v>D</v>
      </c>
      <c r="F2266">
        <f>VLOOKUP(D2244,'Detail Balok'!$C$10:$AU$110,43,FALSE)</f>
        <v>8</v>
      </c>
      <c r="G2266" t="str">
        <v>-</v>
      </c>
      <c r="H2266">
        <f>VLOOKUP(D2244,'Detail Balok'!$C$10:$AU$110,45,FALSE)</f>
        <v>125</v>
      </c>
      <c r="J2266">
        <f>(IF(D2266=0,(2*(D2245+G2245))-(F$5*8),IF(D2266=3,(2*(D2245+G2245))-(F$5*8)+(G2245-2*F$5),IF(D2266=4,(2*(D2245+G2245))-(F$5*8)+2*(G2245-2*F$5)))))/1000</f>
        <v>0.98</v>
      </c>
      <c r="K2266" t="str">
        <v>+</v>
      </c>
      <c r="L2266">
        <f>IF(D2266=0,2*MAX(6*F2266,75),(D2266-1)*2*MAX(6*F2266,75))/1000</f>
        <v>0.15</v>
      </c>
      <c r="M2266" t="str">
        <v>=</v>
      </c>
      <c r="N2266">
        <f>J2266+L2266</f>
        <v>1.13</v>
      </c>
      <c r="T2266" t="str">
        <v>x</v>
      </c>
      <c r="U2266">
        <f>0.006165*F2266^2</f>
        <v>0.39456</v>
      </c>
      <c r="V2266" t="str">
        <v>x</v>
      </c>
      <c r="W2266">
        <f>IF(D2247&gt;4*G2245,ROUND(MAX(D2247/4,2*G2245)/H2266,0)+1,0)</f>
        <v>8</v>
      </c>
      <c r="X2266" t="str">
        <v>x</v>
      </c>
      <c r="Y2266">
        <f>D2250</f>
        <v>1</v>
      </c>
      <c r="Z2266" t="str">
        <v>=</v>
      </c>
      <c r="AA2266">
        <f>N2266*U2266*W2266*Y2266</f>
        <v>3.5668224</v>
      </c>
    </row>
    <row r="2268">
      <c r="A2268" t="str">
        <f>A2244</f>
        <v>Sloof</v>
      </c>
      <c r="B2268">
        <f>B2244</f>
        <v>67</v>
      </c>
      <c r="C2268" t="str">
        <v>Kait Horizontal Tump.</v>
      </c>
      <c r="D2268">
        <f>VLOOKUP(D2244,'Detail Balok'!$C$10:$BJ$110,46,FALSE)</f>
        <v>0</v>
      </c>
      <c r="E2268" t="str">
        <v>D</v>
      </c>
      <c r="F2268">
        <f>VLOOKUP(D2244,'Detail Balok'!$C$10:$BJ$110,48,FALSE)</f>
        <v>0</v>
      </c>
      <c r="G2268" t="str">
        <v>-</v>
      </c>
      <c r="H2268">
        <f>VLOOKUP(D2244,'Detail Balok'!$C$10:$BJ$110,50,FALSE)</f>
        <v>100</v>
      </c>
      <c r="J2268">
        <f>(D2245-2*F$5)/1000</f>
        <v>0.12</v>
      </c>
      <c r="K2268" t="str">
        <v>+</v>
      </c>
      <c r="L2268">
        <f>IF(D2268=0,2*MAX(6*F2268,75),(D2268-1)*2*MAX(6*F2268,75))/1000</f>
        <v>0.15</v>
      </c>
      <c r="M2268" t="str">
        <v>=</v>
      </c>
      <c r="N2268">
        <f>J2268+L2268</f>
        <v>0.27</v>
      </c>
      <c r="T2268" t="str">
        <v>x</v>
      </c>
      <c r="U2268">
        <f>0.006165*F2268^2</f>
        <v>0</v>
      </c>
      <c r="V2268" t="str">
        <v>x</v>
      </c>
      <c r="W2268">
        <f>W2264</f>
        <v>8</v>
      </c>
      <c r="X2268" t="str">
        <v>x</v>
      </c>
      <c r="Y2268">
        <f>D2254</f>
        <v>0</v>
      </c>
      <c r="Z2268" t="str">
        <v>=</v>
      </c>
      <c r="AA2268">
        <f>N2268*U2268*W2268*Y2268</f>
        <v>0</v>
      </c>
    </row>
    <row r="2269">
      <c r="A2269" t="str">
        <f>A2244</f>
        <v>Sloof</v>
      </c>
      <c r="B2269">
        <f>B2244</f>
        <v>67</v>
      </c>
      <c r="C2269" t="str">
        <v>Kait Horizontal Lap.</v>
      </c>
      <c r="D2269">
        <f>VLOOKUP(D2244,'Detail Balok'!$C$10:$BJ$110,51,FALSE)</f>
        <v>0</v>
      </c>
      <c r="E2269" t="str">
        <v>D</v>
      </c>
      <c r="F2269">
        <f>VLOOKUP(D2244,'Detail Balok'!$C$10:$BJ$110,53,FALSE)</f>
        <v>0</v>
      </c>
      <c r="G2269" t="str">
        <v>-</v>
      </c>
      <c r="H2269">
        <f>VLOOKUP(D2244,'Detail Balok'!$C$10:$BJ$110,55,FALSE)</f>
        <v>100</v>
      </c>
      <c r="J2269">
        <f>(D2245-2*F$5)/1000</f>
        <v>0.12</v>
      </c>
      <c r="K2269" t="str">
        <v>+</v>
      </c>
      <c r="L2269">
        <f>IF(D2269=0,2*MAX(6*F2269,75),(D2269-1)*2*MAX(6*F2269,75))/1000</f>
        <v>0.15</v>
      </c>
      <c r="M2269" t="str">
        <v>=</v>
      </c>
      <c r="N2269">
        <f>J2269+L2269</f>
        <v>0.27</v>
      </c>
      <c r="T2269" t="str">
        <v>x</v>
      </c>
      <c r="U2269">
        <f>0.006165*F2269^2</f>
        <v>0</v>
      </c>
      <c r="V2269" t="str">
        <v>x</v>
      </c>
      <c r="W2269">
        <f>W2265</f>
        <v>8</v>
      </c>
      <c r="X2269" t="str">
        <v>x</v>
      </c>
      <c r="Y2269">
        <f>D2254</f>
        <v>0</v>
      </c>
      <c r="Z2269" t="str">
        <v>=</v>
      </c>
      <c r="AA2269">
        <f>N2269*U2269*W2269*Y2269</f>
        <v>0</v>
      </c>
    </row>
    <row r="2270">
      <c r="A2270" t="str">
        <f>A2244</f>
        <v>Sloof</v>
      </c>
      <c r="B2270">
        <f>B2244</f>
        <v>67</v>
      </c>
      <c r="C2270" t="str">
        <v>Kait Horizontal Tump.</v>
      </c>
      <c r="D2270">
        <f>VLOOKUP(D2244,'Detail Balok'!$C$10:$BJ$110,56,FALSE)</f>
        <v>0</v>
      </c>
      <c r="E2270" t="str">
        <v>D</v>
      </c>
      <c r="F2270">
        <f>VLOOKUP(D2244,'Detail Balok'!$C$10:$BJ$110,58,FALSE)</f>
        <v>0</v>
      </c>
      <c r="G2270" t="str">
        <v>-</v>
      </c>
      <c r="H2270">
        <f>VLOOKUP(D2244,'Detail Balok'!$C$10:$BJ$110,60,FALSE)</f>
        <v>100</v>
      </c>
      <c r="J2270">
        <f>(D2245-2*F$5)/1000</f>
        <v>0.12</v>
      </c>
      <c r="K2270" t="str">
        <v>+</v>
      </c>
      <c r="L2270">
        <f>IF(D2270=0,2*MAX(6*F2270,75),(D2270-1)*2*MAX(6*F2270,75))/1000</f>
        <v>0.15</v>
      </c>
      <c r="M2270" t="str">
        <v>=</v>
      </c>
      <c r="N2270">
        <f>J2270+L2270</f>
        <v>0.27</v>
      </c>
      <c r="T2270" t="str">
        <v>x</v>
      </c>
      <c r="U2270">
        <f>0.006165*F2270^2</f>
        <v>0</v>
      </c>
      <c r="V2270" t="str">
        <v>x</v>
      </c>
      <c r="W2270">
        <f>W2266</f>
        <v>8</v>
      </c>
      <c r="X2270" t="str">
        <v>x</v>
      </c>
      <c r="Y2270">
        <f>D2254</f>
        <v>0</v>
      </c>
      <c r="Z2270" t="str">
        <v>=</v>
      </c>
      <c r="AA2270">
        <f>N2270*U2270*W2270*Y2270</f>
        <v>0</v>
      </c>
    </row>
    <row r="2274">
      <c r="A2274" t="str">
        <f>A2244</f>
        <v>Sloof</v>
      </c>
      <c r="B2274">
        <f>B2244+1</f>
        <v>68</v>
      </c>
      <c r="C2274" t="str">
        <f>CONCATENATE(A2274," no. ",B2274)</f>
        <v>Sloof no. 68</v>
      </c>
      <c r="D2274" t="str">
        <f>VLOOKUP(C2274,'Data Panjang Balok'!$C$9:$N$424,2,FALSE)</f>
        <v>TB245-1</v>
      </c>
    </row>
    <row r="2275">
      <c r="C2275" t="str">
        <v>Dimensi</v>
      </c>
      <c r="D2275">
        <f>VLOOKUP(D2274,'Detail Balok'!$C$10:$AU$110,2,FALSE)</f>
        <v>200</v>
      </c>
      <c r="F2275" t="str">
        <v>x</v>
      </c>
      <c r="G2275">
        <f>VLOOKUP(D2274,'Detail Balok'!$C$10:$AU$110,3,FALSE)</f>
        <v>450</v>
      </c>
    </row>
    <row r="2276">
      <c r="C2276" t="str">
        <v>Panjang as ke as</v>
      </c>
      <c r="D2276">
        <f>VLOOKUP(C2274,'Data Panjang Balok'!$C$9:$N$424,4,FALSE)</f>
        <v>3200</v>
      </c>
    </row>
    <row r="2277">
      <c r="C2277" t="str">
        <v>Panjang netto</v>
      </c>
      <c r="D2277">
        <f>VLOOKUP(C2274,'Data Panjang Balok'!$C$9:$N$424,7,FALSE)</f>
        <v>3200</v>
      </c>
    </row>
    <row r="2278">
      <c r="C2278" t="str">
        <v>Kolom / balok kiri</v>
      </c>
      <c r="D2278">
        <f>VLOOKUP(C2274,'Data Panjang Balok'!$C$9:$N$424,9,FALSE)</f>
        <v>0</v>
      </c>
    </row>
    <row r="2279">
      <c r="C2279" t="str">
        <v>Kolom / balok kanan</v>
      </c>
      <c r="D2279">
        <f>VLOOKUP(C2274,'Data Panjang Balok'!$C$9:$N$424,10,FALSE)</f>
        <v>0</v>
      </c>
    </row>
    <row r="2280">
      <c r="C2280" t="str">
        <v>Jumlah</v>
      </c>
      <c r="D2280">
        <f>VLOOKUP(C2274,'Data Panjang Balok'!$C$9:$N$424,3,FALSE)</f>
        <v>1</v>
      </c>
    </row>
    <row r="2281">
      <c r="A2281" t="str">
        <f>A2274</f>
        <v>Sloof</v>
      </c>
      <c r="B2281">
        <f>B2274</f>
        <v>68</v>
      </c>
      <c r="C2281" t="str">
        <v>Tul Atas Tumpuan</v>
      </c>
      <c r="D2281">
        <f>VLOOKUP(D2274,'Detail Balok'!$C$10:$AU$110,4,FALSE)</f>
        <v>3</v>
      </c>
      <c r="E2281" t="str">
        <v>D</v>
      </c>
      <c r="F2281">
        <f>VLOOKUP(D2274,'Detail Balok'!$C$10:$AU$110,6,FALSE)</f>
        <v>13</v>
      </c>
      <c r="I2281" t="str">
        <v>(</v>
      </c>
      <c r="J2281">
        <f>+D2276/4/1000</f>
        <v>0.8</v>
      </c>
      <c r="K2281" t="str">
        <v>+</v>
      </c>
      <c r="L2281">
        <f>MAX(VLOOKUP(F2281,N$6:P$15,3,FALSE)/1000,2/3*D2278/1000)+F$16*F2281/1000</f>
        <v>0.156</v>
      </c>
      <c r="M2281" t="str">
        <v>=</v>
      </c>
      <c r="N2281">
        <f>J2281+L2281</f>
        <v>0.9560000000000001</v>
      </c>
      <c r="O2281" t="str">
        <v>+</v>
      </c>
      <c r="P2281">
        <f>D2281-D2282</f>
        <v>0</v>
      </c>
      <c r="Q2281" t="str">
        <v>x</v>
      </c>
      <c r="R2281">
        <f>IF(P2281&gt;0,$F$18*F2281/1000,0)</f>
        <v>0</v>
      </c>
      <c r="S2281" t="str">
        <v>)</v>
      </c>
      <c r="T2281" t="str">
        <v>x</v>
      </c>
      <c r="U2281">
        <f>0.006165*F2281^2</f>
        <v>1.041885</v>
      </c>
      <c r="X2281" t="str">
        <v>x</v>
      </c>
      <c r="Y2281">
        <f>D2280</f>
        <v>1</v>
      </c>
      <c r="Z2281" t="str">
        <v>=</v>
      </c>
      <c r="AA2281">
        <f>IF(AA2284=0,(D2281*N2281+P2281*R2281)*U2281*Y2281,0)</f>
        <v>0</v>
      </c>
    </row>
    <row r="2282">
      <c r="A2282" t="str">
        <f>A2274</f>
        <v>Sloof</v>
      </c>
      <c r="B2282">
        <f>B2274</f>
        <v>68</v>
      </c>
      <c r="C2282" t="str">
        <v>Tul Atas Lapangan</v>
      </c>
      <c r="D2282">
        <f>VLOOKUP(D2274,'Detail Balok'!$C$10:$AU$110,7,FALSE)</f>
        <v>3</v>
      </c>
      <c r="E2282" t="str">
        <v>D</v>
      </c>
      <c r="F2282">
        <f>VLOOKUP(D2274,'Detail Balok'!$C$10:$AU$110,9,FALSE)</f>
        <v>13</v>
      </c>
      <c r="I2282" t="str">
        <v>(</v>
      </c>
      <c r="J2282">
        <f>+D2276/2/1000</f>
        <v>1.6</v>
      </c>
      <c r="K2282" t="str">
        <v>+</v>
      </c>
      <c r="M2282" t="str">
        <v>=</v>
      </c>
      <c r="N2282">
        <f>J2282+L2282</f>
        <v>1.6</v>
      </c>
      <c r="O2282" t="str">
        <v>+</v>
      </c>
      <c r="P2282">
        <f>MAX(D2282-D2281,D2282-D2283)</f>
        <v>0</v>
      </c>
      <c r="Q2282" t="str">
        <v>x</v>
      </c>
      <c r="R2282">
        <f>IF(P2282&gt;0,2*(1-2*$F$19-1/2)*D2277/1000,0)</f>
        <v>0</v>
      </c>
      <c r="S2282" t="str">
        <v>)</v>
      </c>
      <c r="T2282" t="str">
        <v>x</v>
      </c>
      <c r="U2282">
        <f>0.006165*F2282^2</f>
        <v>1.041885</v>
      </c>
      <c r="X2282" t="str">
        <v>x</v>
      </c>
      <c r="Y2282">
        <f>D2280</f>
        <v>1</v>
      </c>
      <c r="Z2282" t="str">
        <v>=</v>
      </c>
      <c r="AA2282">
        <f>IF(AA2284=0,(D2282*N2282+P2282*R2282)*U2282*Y2282,0)</f>
        <v>0</v>
      </c>
    </row>
    <row r="2283">
      <c r="A2283" t="str">
        <f>A2274</f>
        <v>Sloof</v>
      </c>
      <c r="B2283">
        <f>B2274</f>
        <v>68</v>
      </c>
      <c r="C2283" t="str">
        <v>Tul Atas Tumpuan</v>
      </c>
      <c r="D2283">
        <f>VLOOKUP(D2274,'Detail Balok'!$C$10:$AU$110,10,FALSE)</f>
        <v>3</v>
      </c>
      <c r="E2283" t="str">
        <v>D</v>
      </c>
      <c r="F2283">
        <f>VLOOKUP(D2274,'Detail Balok'!$C$10:$AU$110,12,FALSE)</f>
        <v>13</v>
      </c>
      <c r="I2283" t="str">
        <v>(</v>
      </c>
      <c r="J2283">
        <f>+D2276/4/1000</f>
        <v>0.8</v>
      </c>
      <c r="K2283" t="str">
        <v>+</v>
      </c>
      <c r="L2283">
        <f>MAX(VLOOKUP(F2283,N$6:P$15,3,FALSE)/1000,2/3*D2278/1000)+F$16*F2283/1000</f>
        <v>0.156</v>
      </c>
      <c r="M2283" t="str">
        <v>=</v>
      </c>
      <c r="N2283">
        <f>J2283+L2283</f>
        <v>0.9560000000000001</v>
      </c>
      <c r="O2283" t="str">
        <v>+</v>
      </c>
      <c r="P2283">
        <f>D2283-D2282</f>
        <v>0</v>
      </c>
      <c r="Q2283" t="str">
        <v>x</v>
      </c>
      <c r="R2283">
        <f>IF(P2283&gt;0,$F$18*F2283/1000,0)</f>
        <v>0</v>
      </c>
      <c r="S2283" t="str">
        <v>)</v>
      </c>
      <c r="T2283" t="str">
        <v>x</v>
      </c>
      <c r="U2283">
        <f>0.006165*F2283^2</f>
        <v>1.041885</v>
      </c>
      <c r="X2283" t="str">
        <v>x</v>
      </c>
      <c r="Y2283">
        <f>D2280</f>
        <v>1</v>
      </c>
      <c r="Z2283" t="str">
        <v>=</v>
      </c>
      <c r="AA2283">
        <f>IF(AA2284=0,(D2283*N2283+P2283*R2283)*U2283*Y2283,0)</f>
        <v>0</v>
      </c>
    </row>
    <row r="2284">
      <c r="A2284" t="str">
        <f>A2274</f>
        <v>Sloof</v>
      </c>
      <c r="B2284">
        <f>B2274</f>
        <v>68</v>
      </c>
      <c r="D2284">
        <f>IF(AND(D2281=D2282,D2282=D2283,D2281=D2283),D2281,0)</f>
        <v>3</v>
      </c>
      <c r="E2284" t="str">
        <v>D</v>
      </c>
      <c r="F2284">
        <f>IF(AND(F2281=F2282,F2281=F2283,F2282=F2283),F2281,0)</f>
        <v>13</v>
      </c>
      <c r="L2284" t="str">
        <v>Total panjang per balok</v>
      </c>
      <c r="M2284" t="str">
        <v>=</v>
      </c>
      <c r="N2284">
        <f>IF(AND(D2281=D2282,D2281=D2283,D2282=D2283,F2281=F2282,F2281=F2283,F2282=F2283),SUM(N2281:N2283),0)</f>
        <v>3.512</v>
      </c>
      <c r="O2284" t="str">
        <v>+</v>
      </c>
      <c r="P2284">
        <f>IF(N2284&gt;12,ROUNDDOWN(N2284/12,0),0)</f>
        <v>0</v>
      </c>
      <c r="Q2284" t="str">
        <v>x</v>
      </c>
      <c r="R2284">
        <f>IF(P2284&gt;0,MAX(VLOOKUP(F2284,$D$6:$G$15,3,FALSE),600),0)/1000</f>
        <v>0</v>
      </c>
      <c r="T2284" t="str">
        <v>x</v>
      </c>
      <c r="U2284">
        <f>U2283</f>
        <v>1.041885</v>
      </c>
      <c r="V2284" t="str">
        <v>x</v>
      </c>
      <c r="W2284">
        <f>D2284</f>
        <v>3</v>
      </c>
      <c r="X2284" t="str">
        <v>x</v>
      </c>
      <c r="Y2284">
        <f>Y2283</f>
        <v>1</v>
      </c>
      <c r="Z2284" t="str">
        <v>=</v>
      </c>
      <c r="AA2284">
        <f>(N2284+P2284*R2284/1000)*U2284*W2284*Y2284</f>
        <v>10.97730036</v>
      </c>
    </row>
    <row r="2286">
      <c r="A2286" t="str">
        <f>A2274</f>
        <v>Sloof</v>
      </c>
      <c r="B2286">
        <f>B2274</f>
        <v>68</v>
      </c>
      <c r="C2286" t="str">
        <v>Tul Peminggang</v>
      </c>
      <c r="D2286">
        <f>VLOOKUP(D2274,'Detail Balok'!$C$10:$AU$110,13,FALSE)</f>
        <v>2</v>
      </c>
      <c r="E2286" t="str">
        <v>D</v>
      </c>
      <c r="F2286">
        <f>VLOOKUP(D2274,'Detail Balok'!$C$10:$AU$110,15,FALSE)</f>
        <v>8</v>
      </c>
      <c r="J2286">
        <f>+D2276/1000</f>
        <v>3.2</v>
      </c>
      <c r="K2286" t="str">
        <v>+</v>
      </c>
      <c r="L2286">
        <f>2*$F$16*F2286/1000</f>
        <v>0.192</v>
      </c>
      <c r="M2286" t="str">
        <v>=</v>
      </c>
      <c r="N2286">
        <f>J2286+L2286</f>
        <v>3.3920000000000003</v>
      </c>
      <c r="O2286" t="str">
        <v>+</v>
      </c>
      <c r="P2286">
        <f>IF(N2286&gt;12,ROUNDDOWN(N2286/12,0),0)</f>
        <v>0</v>
      </c>
      <c r="Q2286" t="str">
        <v>x</v>
      </c>
      <c r="R2286">
        <f>IF(P2286&gt;0,MAX(VLOOKUP(F2286,$D$6:$G$15,3,FALSE),600),0)/1000</f>
        <v>0</v>
      </c>
      <c r="T2286" t="str">
        <v>x</v>
      </c>
      <c r="U2286">
        <f>0.006165*F2286^2</f>
        <v>0.39456</v>
      </c>
      <c r="V2286" t="str">
        <v>x</v>
      </c>
      <c r="W2286">
        <f>+D2286</f>
        <v>2</v>
      </c>
      <c r="X2286" t="str">
        <v>x</v>
      </c>
      <c r="Y2286">
        <f>D2280</f>
        <v>1</v>
      </c>
      <c r="Z2286" t="str">
        <v>=</v>
      </c>
      <c r="AA2286">
        <f>(N2286+P2286*R2286/1000)*U2286*W2286*Y2286</f>
        <v>2.6766950400000002</v>
      </c>
    </row>
    <row r="2289">
      <c r="A2289" t="str">
        <f>A2274</f>
        <v>Sloof</v>
      </c>
      <c r="B2289">
        <f>B2274</f>
        <v>68</v>
      </c>
      <c r="C2289" t="str">
        <v>Tul Bawah Tumpuan</v>
      </c>
      <c r="D2289">
        <f>VLOOKUP(D2274,'Detail Balok'!$C$10:$AU$110,22,FALSE)</f>
        <v>3</v>
      </c>
      <c r="E2289" t="str">
        <v>D</v>
      </c>
      <c r="F2289">
        <f>VLOOKUP(D2274,'Detail Balok'!$C$10:$AU$110,24,FALSE)</f>
        <v>13</v>
      </c>
      <c r="I2289" t="str">
        <v>(</v>
      </c>
      <c r="J2289">
        <f>+J2281</f>
        <v>0.8</v>
      </c>
      <c r="K2289" t="str">
        <v>+</v>
      </c>
      <c r="L2289">
        <f>MAX(VLOOKUP(F2289,N$6:P$15,3,FALSE)/1000,2/3*D2279/1000)+F$16*F2289/1000</f>
        <v>0.156</v>
      </c>
      <c r="M2289" t="str">
        <v>=</v>
      </c>
      <c r="N2289">
        <f>J2289+L2289</f>
        <v>0.9560000000000001</v>
      </c>
      <c r="O2289" t="str">
        <v>+</v>
      </c>
      <c r="P2289">
        <f>D2289-D2290</f>
        <v>0</v>
      </c>
      <c r="Q2289" t="str">
        <v>x</v>
      </c>
      <c r="R2289">
        <f>IF(P2289&gt;0,$F$18*F2289/1000,0)</f>
        <v>0</v>
      </c>
      <c r="S2289" t="str">
        <v>)</v>
      </c>
      <c r="T2289" t="str">
        <v>x</v>
      </c>
      <c r="U2289">
        <f>0.006165*F2289^2</f>
        <v>1.041885</v>
      </c>
      <c r="X2289" t="str">
        <v>x</v>
      </c>
      <c r="Y2289">
        <f>D2280</f>
        <v>1</v>
      </c>
      <c r="Z2289" t="str">
        <v>=</v>
      </c>
      <c r="AA2289">
        <f>IF(AA2292=0,(D2289*N2289+P2289*R2289)*U2289*Y2289,0)</f>
        <v>0</v>
      </c>
    </row>
    <row r="2290">
      <c r="A2290" t="str">
        <f>A2274</f>
        <v>Sloof</v>
      </c>
      <c r="B2290">
        <f>B2274</f>
        <v>68</v>
      </c>
      <c r="C2290" t="str">
        <v>Tul Bawah Lapangan</v>
      </c>
      <c r="D2290">
        <f>VLOOKUP(D2274,'Detail Balok'!$C$10:$AU$110,25,FALSE)</f>
        <v>3</v>
      </c>
      <c r="E2290" t="str">
        <v>D</v>
      </c>
      <c r="F2290">
        <f>VLOOKUP(D2274,'Detail Balok'!$C$10:$AU$110,27,FALSE)</f>
        <v>13</v>
      </c>
      <c r="I2290" t="str">
        <v>(</v>
      </c>
      <c r="J2290">
        <f>+J2282</f>
        <v>1.6</v>
      </c>
      <c r="K2290" t="str">
        <v>+</v>
      </c>
      <c r="M2290" t="str">
        <v>=</v>
      </c>
      <c r="N2290">
        <f>J2290+L2290</f>
        <v>1.6</v>
      </c>
      <c r="O2290" t="str">
        <v>+</v>
      </c>
      <c r="P2290">
        <f>MAX(D2290-D2289,D2290-D2291)</f>
        <v>0</v>
      </c>
      <c r="Q2290" t="str">
        <v>x</v>
      </c>
      <c r="R2290">
        <f>IF(P2290&gt;0,2*(1-2*$F$19-1/2)*D2277/1000,0)</f>
        <v>0</v>
      </c>
      <c r="S2290" t="str">
        <v>)</v>
      </c>
      <c r="T2290" t="str">
        <v>x</v>
      </c>
      <c r="U2290">
        <f>0.006165*F2290^2</f>
        <v>1.041885</v>
      </c>
      <c r="X2290" t="str">
        <v>x</v>
      </c>
      <c r="Y2290">
        <f>D2280</f>
        <v>1</v>
      </c>
      <c r="Z2290" t="str">
        <v>=</v>
      </c>
      <c r="AA2290">
        <f>IF(AA2292=0,(D2290*N2290+P2290*R2290)*U2290*Y2290,0)</f>
        <v>0</v>
      </c>
    </row>
    <row r="2291">
      <c r="A2291" t="str">
        <f>A2274</f>
        <v>Sloof</v>
      </c>
      <c r="B2291">
        <f>B2274</f>
        <v>68</v>
      </c>
      <c r="C2291" t="str">
        <v>Tul Bawah Tumpuan</v>
      </c>
      <c r="D2291">
        <f>VLOOKUP(D2274,'Detail Balok'!$C$10:$AU$110,28,FALSE)</f>
        <v>3</v>
      </c>
      <c r="E2291" t="str">
        <v>D</v>
      </c>
      <c r="F2291">
        <f>VLOOKUP(D2274,'Detail Balok'!$C$10:$AU$110,30,FALSE)</f>
        <v>13</v>
      </c>
      <c r="I2291" t="str">
        <v>(</v>
      </c>
      <c r="J2291">
        <f>+J2283</f>
        <v>0.8</v>
      </c>
      <c r="K2291" t="str">
        <v>+</v>
      </c>
      <c r="L2291">
        <f>MAX(VLOOKUP(F2291,N$6:P$15,3,FALSE)/1000,2/3*D2279/1000)+F$16*F2291/1000</f>
        <v>0.156</v>
      </c>
      <c r="M2291" t="str">
        <v>=</v>
      </c>
      <c r="N2291">
        <f>J2291+L2291</f>
        <v>0.9560000000000001</v>
      </c>
      <c r="O2291" t="str">
        <v>+</v>
      </c>
      <c r="P2291">
        <f>D2291-D2290</f>
        <v>0</v>
      </c>
      <c r="Q2291" t="str">
        <v>x</v>
      </c>
      <c r="R2291">
        <f>IF(P2291&gt;0,$F$18*F2291/1000,0)</f>
        <v>0</v>
      </c>
      <c r="S2291" t="str">
        <v>)</v>
      </c>
      <c r="T2291" t="str">
        <v>x</v>
      </c>
      <c r="U2291">
        <f>0.006165*F2291^2</f>
        <v>1.041885</v>
      </c>
      <c r="X2291" t="str">
        <v>x</v>
      </c>
      <c r="Y2291">
        <f>D2280</f>
        <v>1</v>
      </c>
      <c r="Z2291" t="str">
        <v>=</v>
      </c>
      <c r="AA2291">
        <f>IF(AA2292=0,(D2291*N2291+P2291*R2291)*U2291*Y2291,0)</f>
        <v>0</v>
      </c>
    </row>
    <row r="2292">
      <c r="A2292" t="str">
        <f>A2274</f>
        <v>Sloof</v>
      </c>
      <c r="B2292">
        <f>B2274</f>
        <v>68</v>
      </c>
      <c r="D2292">
        <f>IF(AND(D2289=D2290,D2290=D2291,D2289=D2291),D2289,0)</f>
        <v>3</v>
      </c>
      <c r="E2292" t="str">
        <v>D</v>
      </c>
      <c r="F2292">
        <f>IF(AND(F2289=F2290,F2289=F2291,F2290=F2291),F2289,0)</f>
        <v>13</v>
      </c>
      <c r="L2292" t="str">
        <v>Total panjang per balok</v>
      </c>
      <c r="M2292" t="str">
        <v>=</v>
      </c>
      <c r="N2292">
        <f>IF(AND(D2289=D2290,D2289=D2291,D2290=D2291,F2289=F2290,F2289=F2291,F2290=F2291),SUM(N2289:N2291),0)</f>
        <v>3.512</v>
      </c>
      <c r="O2292" t="str">
        <v>+</v>
      </c>
      <c r="P2292">
        <f>IF(N2292&gt;12,ROUNDDOWN(N2292/12,0),0)</f>
        <v>0</v>
      </c>
      <c r="Q2292" t="str">
        <v>x</v>
      </c>
      <c r="R2292">
        <f>IF(P2292&gt;0,MAX(VLOOKUP(F2292,$D$6:$G$15,3,FALSE),600),0)/1000</f>
        <v>0</v>
      </c>
      <c r="T2292" t="str">
        <v>x</v>
      </c>
      <c r="U2292">
        <f>U2291</f>
        <v>1.041885</v>
      </c>
      <c r="V2292" t="str">
        <v>x</v>
      </c>
      <c r="W2292">
        <f>D2292</f>
        <v>3</v>
      </c>
      <c r="X2292" t="str">
        <v>x</v>
      </c>
      <c r="Y2292">
        <f>Y2291</f>
        <v>1</v>
      </c>
      <c r="Z2292" t="str">
        <v>=</v>
      </c>
      <c r="AA2292">
        <f>(N2292+P2292*R2292/1000)*U2292*W2292*Y2292</f>
        <v>10.97730036</v>
      </c>
    </row>
    <row r="2294">
      <c r="A2294" t="str">
        <f>A2274</f>
        <v>Sloof</v>
      </c>
      <c r="B2294">
        <f>B2274</f>
        <v>68</v>
      </c>
      <c r="C2294" t="str">
        <v>Sengkang Tumpuan</v>
      </c>
      <c r="D2294">
        <f>VLOOKUP(D2274,'Detail Balok'!$C$10:$AU$110,31,FALSE)</f>
        <v>0</v>
      </c>
      <c r="E2294" t="str">
        <v>D</v>
      </c>
      <c r="F2294">
        <f>VLOOKUP(D2274,'Detail Balok'!$C$10:$AU$110,33,FALSE)</f>
        <v>8</v>
      </c>
      <c r="G2294" t="str">
        <v>-</v>
      </c>
      <c r="H2294">
        <f>VLOOKUP(D2274,'Detail Balok'!$C$10:$AU$110,35,FALSE)</f>
        <v>200</v>
      </c>
      <c r="J2294">
        <f>(IF(D2294=0,(2*(D2275+G2275))-(F$5*8),IF(D2294=3,(2*(D2275+G2275))-(F$5*8)+(G2275-2*F$5),IF(D2294=4,(2*(D2275+G2275))-(F$5*8)+2*(G2275-2*F$5)))))/1000</f>
        <v>0.98</v>
      </c>
      <c r="K2294" t="str">
        <v>+</v>
      </c>
      <c r="L2294">
        <f>IF(D2294=0,2*MAX(6*F2294,75),(D2294-1)*2*MAX(6*F2294,75))/1000</f>
        <v>0.15</v>
      </c>
      <c r="M2294" t="str">
        <v>=</v>
      </c>
      <c r="N2294">
        <f>J2294+L2294</f>
        <v>1.13</v>
      </c>
      <c r="T2294" t="str">
        <v>x</v>
      </c>
      <c r="U2294">
        <f>0.006165*F2294^2</f>
        <v>0.39456</v>
      </c>
      <c r="V2294" t="str">
        <v>x</v>
      </c>
      <c r="W2294">
        <f>IF(D2277&gt;4*G2275,ROUND(MAX(D2277/4,2*G2275)/H2294,0)+1,ROUND(D2277/H2294,0)+1)</f>
        <v>6</v>
      </c>
      <c r="X2294" t="str">
        <v>x</v>
      </c>
      <c r="Y2294">
        <f>D2280</f>
        <v>1</v>
      </c>
      <c r="Z2294" t="str">
        <v>=</v>
      </c>
      <c r="AA2294">
        <f>N2294*U2294*W2294*Y2294</f>
        <v>2.6751168</v>
      </c>
    </row>
    <row r="2295">
      <c r="A2295" t="str">
        <f>A2274</f>
        <v>Sloof</v>
      </c>
      <c r="B2295">
        <f>B2274</f>
        <v>68</v>
      </c>
      <c r="C2295" t="str">
        <v>Sengkang Lapangan</v>
      </c>
      <c r="D2295">
        <f>VLOOKUP(D2274,'Detail Balok'!$C$10:$AU$110,36,FALSE)</f>
        <v>0</v>
      </c>
      <c r="E2295" t="str">
        <v>D</v>
      </c>
      <c r="F2295">
        <f>VLOOKUP(D2274,'Detail Balok'!$C$10:$AU$110,38,FALSE)</f>
        <v>8</v>
      </c>
      <c r="G2295" t="str">
        <v>-</v>
      </c>
      <c r="H2295">
        <f>VLOOKUP(D2274,'Detail Balok'!$C$10:$AU$110,40,FALSE)</f>
        <v>200</v>
      </c>
      <c r="J2295">
        <f>(IF(D2295=0,(2*(D2275+G2275))-(F$5*8),IF(D2295=3,(2*(D2275+G2275))-(F$5*8)+(G2275-2*F$5),IF(D2295=4,(2*(D2275+G2275))-(F$5*8)+2*(G2275-2*F$5)))))/1000</f>
        <v>0.98</v>
      </c>
      <c r="K2295" t="str">
        <v>+</v>
      </c>
      <c r="L2295">
        <f>IF(D2295=0,2*MAX(6*F2295,75),(D2295-1)*2*MAX(6*F2295,75))/1000</f>
        <v>0.15</v>
      </c>
      <c r="M2295" t="str">
        <v>=</v>
      </c>
      <c r="N2295">
        <f>J2295+L2295</f>
        <v>1.13</v>
      </c>
      <c r="T2295" t="str">
        <v>x</v>
      </c>
      <c r="U2295">
        <f>0.006165*F2295^2</f>
        <v>0.39456</v>
      </c>
      <c r="V2295" t="str">
        <v>x</v>
      </c>
      <c r="W2295">
        <f>IF(D2277-MAX(D2277/4,2*G2275)*2&gt;0,ROUND((D2277-MAX(D2277/4,2*G2275)*2)/H2295,0),0)</f>
        <v>7</v>
      </c>
      <c r="X2295" t="str">
        <v>x</v>
      </c>
      <c r="Y2295">
        <f>D2280</f>
        <v>1</v>
      </c>
      <c r="Z2295" t="str">
        <v>=</v>
      </c>
      <c r="AA2295">
        <f>N2295*U2295*W2295*Y2295</f>
        <v>3.1209696</v>
      </c>
    </row>
    <row r="2296">
      <c r="A2296" t="str">
        <f>A2274</f>
        <v>Sloof</v>
      </c>
      <c r="B2296">
        <f>B2274</f>
        <v>68</v>
      </c>
      <c r="C2296" t="str">
        <v>Sengkang Tumpuan</v>
      </c>
      <c r="D2296">
        <f>VLOOKUP(D2274,'Detail Balok'!$C$10:$AU$110,41,FALSE)</f>
        <v>0</v>
      </c>
      <c r="E2296" t="str">
        <v>D</v>
      </c>
      <c r="F2296">
        <f>VLOOKUP(D2274,'Detail Balok'!$C$10:$AU$110,43,FALSE)</f>
        <v>8</v>
      </c>
      <c r="G2296" t="str">
        <v>-</v>
      </c>
      <c r="H2296">
        <f>VLOOKUP(D2274,'Detail Balok'!$C$10:$AU$110,45,FALSE)</f>
        <v>200</v>
      </c>
      <c r="J2296">
        <f>(IF(D2296=0,(2*(D2275+G2275))-(F$5*8),IF(D2296=3,(2*(D2275+G2275))-(F$5*8)+(G2275-2*F$5),IF(D2296=4,(2*(D2275+G2275))-(F$5*8)+2*(G2275-2*F$5)))))/1000</f>
        <v>0.98</v>
      </c>
      <c r="K2296" t="str">
        <v>+</v>
      </c>
      <c r="L2296">
        <f>IF(D2296=0,2*MAX(6*F2296,75),(D2296-1)*2*MAX(6*F2296,75))/1000</f>
        <v>0.15</v>
      </c>
      <c r="M2296" t="str">
        <v>=</v>
      </c>
      <c r="N2296">
        <f>J2296+L2296</f>
        <v>1.13</v>
      </c>
      <c r="T2296" t="str">
        <v>x</v>
      </c>
      <c r="U2296">
        <f>0.006165*F2296^2</f>
        <v>0.39456</v>
      </c>
      <c r="V2296" t="str">
        <v>x</v>
      </c>
      <c r="W2296">
        <f>IF(D2277&gt;4*G2275,ROUND(MAX(D2277/4,2*G2275)/H2296,0)+1,0)</f>
        <v>6</v>
      </c>
      <c r="X2296" t="str">
        <v>x</v>
      </c>
      <c r="Y2296">
        <f>D2280</f>
        <v>1</v>
      </c>
      <c r="Z2296" t="str">
        <v>=</v>
      </c>
      <c r="AA2296">
        <f>N2296*U2296*W2296*Y2296</f>
        <v>2.6751168</v>
      </c>
    </row>
    <row r="2298">
      <c r="A2298" t="str">
        <f>A2274</f>
        <v>Sloof</v>
      </c>
      <c r="B2298">
        <f>B2274</f>
        <v>68</v>
      </c>
      <c r="C2298" t="str">
        <v>Kait Horizontal Tump.</v>
      </c>
      <c r="D2298">
        <f>VLOOKUP(D2274,'Detail Balok'!$C$10:$BJ$110,46,FALSE)</f>
        <v>0</v>
      </c>
      <c r="E2298" t="str">
        <v>D</v>
      </c>
      <c r="F2298">
        <f>VLOOKUP(D2274,'Detail Balok'!$C$10:$BJ$110,48,FALSE)</f>
        <v>0</v>
      </c>
      <c r="G2298" t="str">
        <v>-</v>
      </c>
      <c r="H2298">
        <f>VLOOKUP(D2274,'Detail Balok'!$C$10:$BJ$110,50,FALSE)</f>
        <v>100</v>
      </c>
      <c r="J2298">
        <f>(D2275-2*F$5)/1000</f>
        <v>0.12</v>
      </c>
      <c r="K2298" t="str">
        <v>+</v>
      </c>
      <c r="L2298">
        <f>IF(D2298=0,2*MAX(6*F2298,75),(D2298-1)*2*MAX(6*F2298,75))/1000</f>
        <v>0.15</v>
      </c>
      <c r="M2298" t="str">
        <v>=</v>
      </c>
      <c r="N2298">
        <f>J2298+L2298</f>
        <v>0.27</v>
      </c>
      <c r="T2298" t="str">
        <v>x</v>
      </c>
      <c r="U2298">
        <f>0.006165*F2298^2</f>
        <v>0</v>
      </c>
      <c r="V2298" t="str">
        <v>x</v>
      </c>
      <c r="W2298">
        <f>W2294</f>
        <v>6</v>
      </c>
      <c r="X2298" t="str">
        <v>x</v>
      </c>
      <c r="Y2298">
        <f>D2284</f>
        <v>3</v>
      </c>
      <c r="Z2298" t="str">
        <v>=</v>
      </c>
      <c r="AA2298">
        <f>N2298*U2298*W2298*Y2298</f>
        <v>0</v>
      </c>
    </row>
    <row r="2299">
      <c r="A2299" t="str">
        <f>A2274</f>
        <v>Sloof</v>
      </c>
      <c r="B2299">
        <f>B2274</f>
        <v>68</v>
      </c>
      <c r="C2299" t="str">
        <v>Kait Horizontal Lap.</v>
      </c>
      <c r="D2299">
        <f>VLOOKUP(D2274,'Detail Balok'!$C$10:$BJ$110,51,FALSE)</f>
        <v>0</v>
      </c>
      <c r="E2299" t="str">
        <v>D</v>
      </c>
      <c r="F2299">
        <f>VLOOKUP(D2274,'Detail Balok'!$C$10:$BJ$110,53,FALSE)</f>
        <v>0</v>
      </c>
      <c r="G2299" t="str">
        <v>-</v>
      </c>
      <c r="H2299">
        <f>VLOOKUP(D2274,'Detail Balok'!$C$10:$BJ$110,55,FALSE)</f>
        <v>100</v>
      </c>
      <c r="J2299">
        <f>(D2275-2*F$5)/1000</f>
        <v>0.12</v>
      </c>
      <c r="K2299" t="str">
        <v>+</v>
      </c>
      <c r="L2299">
        <f>IF(D2299=0,2*MAX(6*F2299,75),(D2299-1)*2*MAX(6*F2299,75))/1000</f>
        <v>0.15</v>
      </c>
      <c r="M2299" t="str">
        <v>=</v>
      </c>
      <c r="N2299">
        <f>J2299+L2299</f>
        <v>0.27</v>
      </c>
      <c r="T2299" t="str">
        <v>x</v>
      </c>
      <c r="U2299">
        <f>0.006165*F2299^2</f>
        <v>0</v>
      </c>
      <c r="V2299" t="str">
        <v>x</v>
      </c>
      <c r="W2299">
        <f>W2295</f>
        <v>7</v>
      </c>
      <c r="X2299" t="str">
        <v>x</v>
      </c>
      <c r="Y2299">
        <f>D2284</f>
        <v>3</v>
      </c>
      <c r="Z2299" t="str">
        <v>=</v>
      </c>
      <c r="AA2299">
        <f>N2299*U2299*W2299*Y2299</f>
        <v>0</v>
      </c>
    </row>
    <row r="2300">
      <c r="A2300" t="str">
        <f>A2274</f>
        <v>Sloof</v>
      </c>
      <c r="B2300">
        <f>B2274</f>
        <v>68</v>
      </c>
      <c r="C2300" t="str">
        <v>Kait Horizontal Tump.</v>
      </c>
      <c r="D2300">
        <f>VLOOKUP(D2274,'Detail Balok'!$C$10:$BJ$110,56,FALSE)</f>
        <v>0</v>
      </c>
      <c r="E2300" t="str">
        <v>D</v>
      </c>
      <c r="F2300">
        <f>VLOOKUP(D2274,'Detail Balok'!$C$10:$BJ$110,58,FALSE)</f>
        <v>0</v>
      </c>
      <c r="G2300" t="str">
        <v>-</v>
      </c>
      <c r="H2300">
        <f>VLOOKUP(D2274,'Detail Balok'!$C$10:$BJ$110,60,FALSE)</f>
        <v>100</v>
      </c>
      <c r="J2300">
        <f>(D2275-2*F$5)/1000</f>
        <v>0.12</v>
      </c>
      <c r="K2300" t="str">
        <v>+</v>
      </c>
      <c r="L2300">
        <f>IF(D2300=0,2*MAX(6*F2300,75),(D2300-1)*2*MAX(6*F2300,75))/1000</f>
        <v>0.15</v>
      </c>
      <c r="M2300" t="str">
        <v>=</v>
      </c>
      <c r="N2300">
        <f>J2300+L2300</f>
        <v>0.27</v>
      </c>
      <c r="T2300" t="str">
        <v>x</v>
      </c>
      <c r="U2300">
        <f>0.006165*F2300^2</f>
        <v>0</v>
      </c>
      <c r="V2300" t="str">
        <v>x</v>
      </c>
      <c r="W2300">
        <f>W2296</f>
        <v>6</v>
      </c>
      <c r="X2300" t="str">
        <v>x</v>
      </c>
      <c r="Y2300">
        <f>D2284</f>
        <v>3</v>
      </c>
      <c r="Z2300" t="str">
        <v>=</v>
      </c>
      <c r="AA2300">
        <f>N2300*U2300*W2300*Y2300</f>
        <v>0</v>
      </c>
    </row>
    <row r="2304">
      <c r="A2304" t="str">
        <f>A2274</f>
        <v>Sloof</v>
      </c>
      <c r="B2304">
        <f>B2274+1</f>
        <v>69</v>
      </c>
      <c r="C2304" t="str">
        <f>CONCATENATE(A2304," no. ",B2304)</f>
        <v>Sloof no. 69</v>
      </c>
      <c r="D2304" t="str">
        <f>VLOOKUP(C2304,'Data Panjang Balok'!$C$9:$N$424,2,FALSE)</f>
        <v>TB245-2</v>
      </c>
    </row>
    <row r="2305">
      <c r="C2305" t="str">
        <v>Dimensi</v>
      </c>
      <c r="D2305">
        <f>VLOOKUP(D2304,'Detail Balok'!$C$10:$AU$110,2,FALSE)</f>
        <v>200</v>
      </c>
      <c r="F2305" t="str">
        <v>x</v>
      </c>
      <c r="G2305">
        <f>VLOOKUP(D2304,'Detail Balok'!$C$10:$AU$110,3,FALSE)</f>
        <v>450</v>
      </c>
    </row>
    <row r="2306">
      <c r="C2306" t="str">
        <v>Panjang as ke as</v>
      </c>
      <c r="D2306">
        <f>VLOOKUP(C2304,'Data Panjang Balok'!$C$9:$N$424,4,FALSE)</f>
        <v>3600</v>
      </c>
    </row>
    <row r="2307">
      <c r="C2307" t="str">
        <v>Panjang netto</v>
      </c>
      <c r="D2307">
        <f>VLOOKUP(C2304,'Data Panjang Balok'!$C$9:$N$424,7,FALSE)</f>
        <v>3600</v>
      </c>
    </row>
    <row r="2308">
      <c r="C2308" t="str">
        <v>Kolom / balok kiri</v>
      </c>
      <c r="D2308">
        <f>VLOOKUP(C2304,'Data Panjang Balok'!$C$9:$N$424,9,FALSE)</f>
        <v>0</v>
      </c>
    </row>
    <row r="2309">
      <c r="C2309" t="str">
        <v>Kolom / balok kanan</v>
      </c>
      <c r="D2309">
        <f>VLOOKUP(C2304,'Data Panjang Balok'!$C$9:$N$424,10,FALSE)</f>
        <v>0</v>
      </c>
    </row>
    <row r="2310">
      <c r="C2310" t="str">
        <v>Jumlah</v>
      </c>
      <c r="D2310">
        <f>VLOOKUP(C2304,'Data Panjang Balok'!$C$9:$N$424,3,FALSE)</f>
        <v>1</v>
      </c>
    </row>
    <row r="2311">
      <c r="A2311" t="str">
        <f>A2304</f>
        <v>Sloof</v>
      </c>
      <c r="B2311">
        <f>B2304</f>
        <v>69</v>
      </c>
      <c r="C2311" t="str">
        <v>Tul Atas Tumpuan</v>
      </c>
      <c r="D2311">
        <f>VLOOKUP(D2304,'Detail Balok'!$C$10:$AU$110,4,FALSE)</f>
        <v>4</v>
      </c>
      <c r="E2311" t="str">
        <v>D</v>
      </c>
      <c r="F2311">
        <f>VLOOKUP(D2304,'Detail Balok'!$C$10:$AU$110,6,FALSE)</f>
        <v>13</v>
      </c>
      <c r="I2311" t="str">
        <v>(</v>
      </c>
      <c r="J2311">
        <f>+D2306/4/1000</f>
        <v>0.9</v>
      </c>
      <c r="K2311" t="str">
        <v>+</v>
      </c>
      <c r="L2311">
        <f>MAX(VLOOKUP(F2311,N$6:P$15,3,FALSE)/1000,2/3*D2308/1000)+F$16*F2311/1000</f>
        <v>0.156</v>
      </c>
      <c r="M2311" t="str">
        <v>=</v>
      </c>
      <c r="N2311">
        <f>J2311+L2311</f>
        <v>1.056</v>
      </c>
      <c r="O2311" t="str">
        <v>+</v>
      </c>
      <c r="P2311">
        <f>D2311-D2312</f>
        <v>2</v>
      </c>
      <c r="Q2311" t="str">
        <v>x</v>
      </c>
      <c r="R2311">
        <f>IF(P2311&gt;0,$F$18*F2311/1000,0)</f>
        <v>0.195</v>
      </c>
      <c r="S2311" t="str">
        <v>)</v>
      </c>
      <c r="T2311" t="str">
        <v>x</v>
      </c>
      <c r="U2311">
        <f>0.006165*F2311^2</f>
        <v>1.041885</v>
      </c>
      <c r="X2311" t="str">
        <v>x</v>
      </c>
      <c r="Y2311">
        <f>D2310</f>
        <v>1</v>
      </c>
      <c r="Z2311" t="str">
        <v>=</v>
      </c>
      <c r="AA2311">
        <f>IF(AA2314=0,(D2311*N2311+P2311*R2311)*U2311*Y2311,0)</f>
        <v>4.807257389999999</v>
      </c>
    </row>
    <row r="2312">
      <c r="A2312" t="str">
        <f>A2304</f>
        <v>Sloof</v>
      </c>
      <c r="B2312">
        <f>B2304</f>
        <v>69</v>
      </c>
      <c r="C2312" t="str">
        <v>Tul Atas Lapangan</v>
      </c>
      <c r="D2312">
        <f>VLOOKUP(D2304,'Detail Balok'!$C$10:$AU$110,7,FALSE)</f>
        <v>2</v>
      </c>
      <c r="E2312" t="str">
        <v>D</v>
      </c>
      <c r="F2312">
        <f>VLOOKUP(D2304,'Detail Balok'!$C$10:$AU$110,9,FALSE)</f>
        <v>13</v>
      </c>
      <c r="I2312" t="str">
        <v>(</v>
      </c>
      <c r="J2312">
        <f>+D2306/2/1000</f>
        <v>1.8</v>
      </c>
      <c r="K2312" t="str">
        <v>+</v>
      </c>
      <c r="M2312" t="str">
        <v>=</v>
      </c>
      <c r="N2312">
        <f>J2312+L2312</f>
        <v>1.8</v>
      </c>
      <c r="O2312" t="str">
        <v>+</v>
      </c>
      <c r="P2312">
        <f>MAX(D2312-D2311,D2312-D2313)</f>
        <v>-2</v>
      </c>
      <c r="Q2312" t="str">
        <v>x</v>
      </c>
      <c r="R2312">
        <f>IF(P2312&gt;0,2*(1-2*$F$19-1/2)*D2307/1000,0)</f>
        <v>0</v>
      </c>
      <c r="S2312" t="str">
        <v>)</v>
      </c>
      <c r="T2312" t="str">
        <v>x</v>
      </c>
      <c r="U2312">
        <f>0.006165*F2312^2</f>
        <v>1.041885</v>
      </c>
      <c r="X2312" t="str">
        <v>x</v>
      </c>
      <c r="Y2312">
        <f>D2310</f>
        <v>1</v>
      </c>
      <c r="Z2312" t="str">
        <v>=</v>
      </c>
      <c r="AA2312">
        <f>IF(AA2314=0,(D2312*N2312+P2312*R2312)*U2312*Y2312,0)</f>
        <v>3.7507859999999997</v>
      </c>
    </row>
    <row r="2313">
      <c r="A2313" t="str">
        <f>A2304</f>
        <v>Sloof</v>
      </c>
      <c r="B2313">
        <f>B2304</f>
        <v>69</v>
      </c>
      <c r="C2313" t="str">
        <v>Tul Atas Tumpuan</v>
      </c>
      <c r="D2313">
        <f>VLOOKUP(D2304,'Detail Balok'!$C$10:$AU$110,10,FALSE)</f>
        <v>4</v>
      </c>
      <c r="E2313" t="str">
        <v>D</v>
      </c>
      <c r="F2313">
        <f>VLOOKUP(D2304,'Detail Balok'!$C$10:$AU$110,12,FALSE)</f>
        <v>13</v>
      </c>
      <c r="I2313" t="str">
        <v>(</v>
      </c>
      <c r="J2313">
        <f>+D2306/4/1000</f>
        <v>0.9</v>
      </c>
      <c r="K2313" t="str">
        <v>+</v>
      </c>
      <c r="L2313">
        <f>MAX(VLOOKUP(F2313,N$6:P$15,3,FALSE)/1000,2/3*D2308/1000)+F$16*F2313/1000</f>
        <v>0.156</v>
      </c>
      <c r="M2313" t="str">
        <v>=</v>
      </c>
      <c r="N2313">
        <f>J2313+L2313</f>
        <v>1.056</v>
      </c>
      <c r="O2313" t="str">
        <v>+</v>
      </c>
      <c r="P2313">
        <f>D2313-D2312</f>
        <v>2</v>
      </c>
      <c r="Q2313" t="str">
        <v>x</v>
      </c>
      <c r="R2313">
        <f>IF(P2313&gt;0,$F$18*F2313/1000,0)</f>
        <v>0.195</v>
      </c>
      <c r="S2313" t="str">
        <v>)</v>
      </c>
      <c r="T2313" t="str">
        <v>x</v>
      </c>
      <c r="U2313">
        <f>0.006165*F2313^2</f>
        <v>1.041885</v>
      </c>
      <c r="X2313" t="str">
        <v>x</v>
      </c>
      <c r="Y2313">
        <f>D2310</f>
        <v>1</v>
      </c>
      <c r="Z2313" t="str">
        <v>=</v>
      </c>
      <c r="AA2313">
        <f>IF(AA2314=0,(D2313*N2313+P2313*R2313)*U2313*Y2313,0)</f>
        <v>4.807257389999999</v>
      </c>
    </row>
    <row r="2314">
      <c r="A2314" t="str">
        <f>A2304</f>
        <v>Sloof</v>
      </c>
      <c r="B2314">
        <f>B2304</f>
        <v>69</v>
      </c>
      <c r="D2314">
        <f>IF(AND(D2311=D2312,D2312=D2313,D2311=D2313),D2311,0)</f>
        <v>0</v>
      </c>
      <c r="E2314" t="str">
        <v>D</v>
      </c>
      <c r="F2314">
        <f>IF(AND(F2311=F2312,F2311=F2313,F2312=F2313),F2311,0)</f>
        <v>13</v>
      </c>
      <c r="L2314" t="str">
        <v>Total panjang per balok</v>
      </c>
      <c r="M2314" t="str">
        <v>=</v>
      </c>
      <c r="N2314">
        <f>IF(AND(D2311=D2312,D2311=D2313,D2312=D2313,F2311=F2312,F2311=F2313,F2312=F2313),SUM(N2311:N2313),0)</f>
        <v>0</v>
      </c>
      <c r="O2314" t="str">
        <v>+</v>
      </c>
      <c r="P2314">
        <f>IF(N2314&gt;12,ROUNDDOWN(N2314/12,0),0)</f>
        <v>0</v>
      </c>
      <c r="Q2314" t="str">
        <v>x</v>
      </c>
      <c r="R2314">
        <f>IF(P2314&gt;0,MAX(VLOOKUP(F2314,$D$6:$G$15,3,FALSE),600),0)/1000</f>
        <v>0</v>
      </c>
      <c r="T2314" t="str">
        <v>x</v>
      </c>
      <c r="U2314">
        <f>U2313</f>
        <v>1.041885</v>
      </c>
      <c r="V2314" t="str">
        <v>x</v>
      </c>
      <c r="W2314">
        <f>D2314</f>
        <v>0</v>
      </c>
      <c r="X2314" t="str">
        <v>x</v>
      </c>
      <c r="Y2314">
        <f>Y2313</f>
        <v>1</v>
      </c>
      <c r="Z2314" t="str">
        <v>=</v>
      </c>
      <c r="AA2314">
        <f>(N2314+P2314*R2314/1000)*U2314*W2314*Y2314</f>
        <v>0</v>
      </c>
    </row>
    <row r="2316">
      <c r="A2316" t="str">
        <f>A2304</f>
        <v>Sloof</v>
      </c>
      <c r="B2316">
        <f>B2304</f>
        <v>69</v>
      </c>
      <c r="C2316" t="str">
        <v>Tul Peminggang</v>
      </c>
      <c r="D2316">
        <f>VLOOKUP(D2304,'Detail Balok'!$C$10:$AU$110,13,FALSE)</f>
        <v>2</v>
      </c>
      <c r="E2316" t="str">
        <v>D</v>
      </c>
      <c r="F2316">
        <f>VLOOKUP(D2304,'Detail Balok'!$C$10:$AU$110,15,FALSE)</f>
        <v>8</v>
      </c>
      <c r="J2316">
        <f>+D2306/1000</f>
        <v>3.6</v>
      </c>
      <c r="K2316" t="str">
        <v>+</v>
      </c>
      <c r="L2316">
        <f>2*$F$16*F2316/1000</f>
        <v>0.192</v>
      </c>
      <c r="M2316" t="str">
        <v>=</v>
      </c>
      <c r="N2316">
        <f>J2316+L2316</f>
        <v>3.7920000000000003</v>
      </c>
      <c r="O2316" t="str">
        <v>+</v>
      </c>
      <c r="P2316">
        <f>IF(N2316&gt;12,ROUNDDOWN(N2316/12,0),0)</f>
        <v>0</v>
      </c>
      <c r="Q2316" t="str">
        <v>x</v>
      </c>
      <c r="R2316">
        <f>IF(P2316&gt;0,MAX(VLOOKUP(F2316,$D$6:$G$15,3,FALSE),600),0)/1000</f>
        <v>0</v>
      </c>
      <c r="T2316" t="str">
        <v>x</v>
      </c>
      <c r="U2316">
        <f>0.006165*F2316^2</f>
        <v>0.39456</v>
      </c>
      <c r="V2316" t="str">
        <v>x</v>
      </c>
      <c r="W2316">
        <f>+D2316</f>
        <v>2</v>
      </c>
      <c r="X2316" t="str">
        <v>x</v>
      </c>
      <c r="Y2316">
        <f>D2310</f>
        <v>1</v>
      </c>
      <c r="Z2316" t="str">
        <v>=</v>
      </c>
      <c r="AA2316">
        <f>(N2316+P2316*R2316/1000)*U2316*W2316*Y2316</f>
        <v>2.99234304</v>
      </c>
    </row>
    <row r="2319">
      <c r="A2319" t="str">
        <f>A2304</f>
        <v>Sloof</v>
      </c>
      <c r="B2319">
        <f>B2304</f>
        <v>69</v>
      </c>
      <c r="C2319" t="str">
        <v>Tul Bawah Tumpuan</v>
      </c>
      <c r="D2319">
        <f>VLOOKUP(D2304,'Detail Balok'!$C$10:$AU$110,22,FALSE)</f>
        <v>4</v>
      </c>
      <c r="E2319" t="str">
        <v>D</v>
      </c>
      <c r="F2319">
        <f>VLOOKUP(D2304,'Detail Balok'!$C$10:$AU$110,24,FALSE)</f>
        <v>13</v>
      </c>
      <c r="I2319" t="str">
        <v>(</v>
      </c>
      <c r="J2319">
        <f>+J2311</f>
        <v>0.9</v>
      </c>
      <c r="K2319" t="str">
        <v>+</v>
      </c>
      <c r="L2319">
        <f>MAX(VLOOKUP(F2319,N$6:P$15,3,FALSE)/1000,2/3*D2309/1000)+F$16*F2319/1000</f>
        <v>0.156</v>
      </c>
      <c r="M2319" t="str">
        <v>=</v>
      </c>
      <c r="N2319">
        <f>J2319+L2319</f>
        <v>1.056</v>
      </c>
      <c r="O2319" t="str">
        <v>+</v>
      </c>
      <c r="P2319">
        <f>D2319-D2320</f>
        <v>0</v>
      </c>
      <c r="Q2319" t="str">
        <v>x</v>
      </c>
      <c r="R2319">
        <f>IF(P2319&gt;0,$F$18*F2319/1000,0)</f>
        <v>0</v>
      </c>
      <c r="S2319" t="str">
        <v>)</v>
      </c>
      <c r="T2319" t="str">
        <v>x</v>
      </c>
      <c r="U2319">
        <f>0.006165*F2319^2</f>
        <v>1.041885</v>
      </c>
      <c r="X2319" t="str">
        <v>x</v>
      </c>
      <c r="Y2319">
        <f>D2310</f>
        <v>1</v>
      </c>
      <c r="Z2319" t="str">
        <v>=</v>
      </c>
      <c r="AA2319">
        <f>IF(AA2322=0,(D2319*N2319+P2319*R2319)*U2319*Y2319,0)</f>
        <v>0</v>
      </c>
    </row>
    <row r="2320">
      <c r="A2320" t="str">
        <f>A2304</f>
        <v>Sloof</v>
      </c>
      <c r="B2320">
        <f>B2304</f>
        <v>69</v>
      </c>
      <c r="C2320" t="str">
        <v>Tul Bawah Lapangan</v>
      </c>
      <c r="D2320">
        <f>VLOOKUP(D2304,'Detail Balok'!$C$10:$AU$110,25,FALSE)</f>
        <v>4</v>
      </c>
      <c r="E2320" t="str">
        <v>D</v>
      </c>
      <c r="F2320">
        <f>VLOOKUP(D2304,'Detail Balok'!$C$10:$AU$110,27,FALSE)</f>
        <v>13</v>
      </c>
      <c r="I2320" t="str">
        <v>(</v>
      </c>
      <c r="J2320">
        <f>+J2312</f>
        <v>1.8</v>
      </c>
      <c r="K2320" t="str">
        <v>+</v>
      </c>
      <c r="M2320" t="str">
        <v>=</v>
      </c>
      <c r="N2320">
        <f>J2320+L2320</f>
        <v>1.8</v>
      </c>
      <c r="O2320" t="str">
        <v>+</v>
      </c>
      <c r="P2320">
        <f>MAX(D2320-D2319,D2320-D2321)</f>
        <v>0</v>
      </c>
      <c r="Q2320" t="str">
        <v>x</v>
      </c>
      <c r="R2320">
        <f>IF(P2320&gt;0,2*(1-2*$F$19-1/2)*D2307/1000,0)</f>
        <v>0</v>
      </c>
      <c r="S2320" t="str">
        <v>)</v>
      </c>
      <c r="T2320" t="str">
        <v>x</v>
      </c>
      <c r="U2320">
        <f>0.006165*F2320^2</f>
        <v>1.041885</v>
      </c>
      <c r="X2320" t="str">
        <v>x</v>
      </c>
      <c r="Y2320">
        <f>D2310</f>
        <v>1</v>
      </c>
      <c r="Z2320" t="str">
        <v>=</v>
      </c>
      <c r="AA2320">
        <f>IF(AA2322=0,(D2320*N2320+P2320*R2320)*U2320*Y2320,0)</f>
        <v>0</v>
      </c>
    </row>
    <row r="2321">
      <c r="A2321" t="str">
        <f>A2304</f>
        <v>Sloof</v>
      </c>
      <c r="B2321">
        <f>B2304</f>
        <v>69</v>
      </c>
      <c r="C2321" t="str">
        <v>Tul Bawah Tumpuan</v>
      </c>
      <c r="D2321">
        <f>VLOOKUP(D2304,'Detail Balok'!$C$10:$AU$110,28,FALSE)</f>
        <v>4</v>
      </c>
      <c r="E2321" t="str">
        <v>D</v>
      </c>
      <c r="F2321">
        <f>VLOOKUP(D2304,'Detail Balok'!$C$10:$AU$110,30,FALSE)</f>
        <v>13</v>
      </c>
      <c r="I2321" t="str">
        <v>(</v>
      </c>
      <c r="J2321">
        <f>+J2313</f>
        <v>0.9</v>
      </c>
      <c r="K2321" t="str">
        <v>+</v>
      </c>
      <c r="L2321">
        <f>MAX(VLOOKUP(F2321,N$6:P$15,3,FALSE)/1000,2/3*D2309/1000)+F$16*F2321/1000</f>
        <v>0.156</v>
      </c>
      <c r="M2321" t="str">
        <v>=</v>
      </c>
      <c r="N2321">
        <f>J2321+L2321</f>
        <v>1.056</v>
      </c>
      <c r="O2321" t="str">
        <v>+</v>
      </c>
      <c r="P2321">
        <f>D2321-D2320</f>
        <v>0</v>
      </c>
      <c r="Q2321" t="str">
        <v>x</v>
      </c>
      <c r="R2321">
        <f>IF(P2321&gt;0,$F$18*F2321/1000,0)</f>
        <v>0</v>
      </c>
      <c r="S2321" t="str">
        <v>)</v>
      </c>
      <c r="T2321" t="str">
        <v>x</v>
      </c>
      <c r="U2321">
        <f>0.006165*F2321^2</f>
        <v>1.041885</v>
      </c>
      <c r="X2321" t="str">
        <v>x</v>
      </c>
      <c r="Y2321">
        <f>D2310</f>
        <v>1</v>
      </c>
      <c r="Z2321" t="str">
        <v>=</v>
      </c>
      <c r="AA2321">
        <f>IF(AA2322=0,(D2321*N2321+P2321*R2321)*U2321*Y2321,0)</f>
        <v>0</v>
      </c>
    </row>
    <row r="2322">
      <c r="A2322" t="str">
        <f>A2304</f>
        <v>Sloof</v>
      </c>
      <c r="B2322">
        <f>B2304</f>
        <v>69</v>
      </c>
      <c r="D2322">
        <f>IF(AND(D2319=D2320,D2320=D2321,D2319=D2321),D2319,0)</f>
        <v>4</v>
      </c>
      <c r="E2322" t="str">
        <v>D</v>
      </c>
      <c r="F2322">
        <f>IF(AND(F2319=F2320,F2319=F2321,F2320=F2321),F2319,0)</f>
        <v>13</v>
      </c>
      <c r="L2322" t="str">
        <v>Total panjang per balok</v>
      </c>
      <c r="M2322" t="str">
        <v>=</v>
      </c>
      <c r="N2322">
        <f>IF(AND(D2319=D2320,D2319=D2321,D2320=D2321,F2319=F2320,F2319=F2321,F2320=F2321),SUM(N2319:N2321),0)</f>
        <v>3.912</v>
      </c>
      <c r="O2322" t="str">
        <v>+</v>
      </c>
      <c r="P2322">
        <f>IF(N2322&gt;12,ROUNDDOWN(N2322/12,0),0)</f>
        <v>0</v>
      </c>
      <c r="Q2322" t="str">
        <v>x</v>
      </c>
      <c r="R2322">
        <f>IF(P2322&gt;0,MAX(VLOOKUP(F2322,$D$6:$G$15,3,FALSE),600),0)/1000</f>
        <v>0</v>
      </c>
      <c r="T2322" t="str">
        <v>x</v>
      </c>
      <c r="U2322">
        <f>U2321</f>
        <v>1.041885</v>
      </c>
      <c r="V2322" t="str">
        <v>x</v>
      </c>
      <c r="W2322">
        <f>D2322</f>
        <v>4</v>
      </c>
      <c r="X2322" t="str">
        <v>x</v>
      </c>
      <c r="Y2322">
        <f>Y2321</f>
        <v>1</v>
      </c>
      <c r="Z2322" t="str">
        <v>=</v>
      </c>
      <c r="AA2322">
        <f>(N2322+P2322*R2322/1000)*U2322*W2322*Y2322</f>
        <v>16.30341648</v>
      </c>
    </row>
    <row r="2324">
      <c r="A2324" t="str">
        <f>A2304</f>
        <v>Sloof</v>
      </c>
      <c r="B2324">
        <f>B2304</f>
        <v>69</v>
      </c>
      <c r="C2324" t="str">
        <v>Sengkang Tumpuan</v>
      </c>
      <c r="D2324">
        <f>VLOOKUP(D2304,'Detail Balok'!$C$10:$AU$110,31,FALSE)</f>
        <v>0</v>
      </c>
      <c r="E2324" t="str">
        <v>D</v>
      </c>
      <c r="F2324">
        <f>VLOOKUP(D2304,'Detail Balok'!$C$10:$AU$110,33,FALSE)</f>
        <v>8</v>
      </c>
      <c r="G2324" t="str">
        <v>-</v>
      </c>
      <c r="H2324">
        <f>VLOOKUP(D2304,'Detail Balok'!$C$10:$AU$110,35,FALSE)</f>
        <v>125</v>
      </c>
      <c r="J2324">
        <f>(IF(D2324=0,(2*(D2305+G2305))-(F$5*8),IF(D2324=3,(2*(D2305+G2305))-(F$5*8)+(G2305-2*F$5),IF(D2324=4,(2*(D2305+G2305))-(F$5*8)+2*(G2305-2*F$5)))))/1000</f>
        <v>0.98</v>
      </c>
      <c r="K2324" t="str">
        <v>+</v>
      </c>
      <c r="L2324">
        <f>IF(D2324=0,2*MAX(6*F2324,75),(D2324-1)*2*MAX(6*F2324,75))/1000</f>
        <v>0.15</v>
      </c>
      <c r="M2324" t="str">
        <v>=</v>
      </c>
      <c r="N2324">
        <f>J2324+L2324</f>
        <v>1.13</v>
      </c>
      <c r="T2324" t="str">
        <v>x</v>
      </c>
      <c r="U2324">
        <f>0.006165*F2324^2</f>
        <v>0.39456</v>
      </c>
      <c r="V2324" t="str">
        <v>x</v>
      </c>
      <c r="W2324">
        <f>IF(D2307&gt;4*G2305,ROUND(MAX(D2307/4,2*G2305)/H2324,0)+1,ROUND(D2307/H2324,0)+1)</f>
        <v>8</v>
      </c>
      <c r="X2324" t="str">
        <v>x</v>
      </c>
      <c r="Y2324">
        <f>D2310</f>
        <v>1</v>
      </c>
      <c r="Z2324" t="str">
        <v>=</v>
      </c>
      <c r="AA2324">
        <f>N2324*U2324*W2324*Y2324</f>
        <v>3.5668224</v>
      </c>
    </row>
    <row r="2325">
      <c r="A2325" t="str">
        <f>A2304</f>
        <v>Sloof</v>
      </c>
      <c r="B2325">
        <f>B2304</f>
        <v>69</v>
      </c>
      <c r="C2325" t="str">
        <v>Sengkang Lapangan</v>
      </c>
      <c r="D2325">
        <f>VLOOKUP(D2304,'Detail Balok'!$C$10:$AU$110,36,FALSE)</f>
        <v>0</v>
      </c>
      <c r="E2325" t="str">
        <v>D</v>
      </c>
      <c r="F2325">
        <f>VLOOKUP(D2304,'Detail Balok'!$C$10:$AU$110,38,FALSE)</f>
        <v>8</v>
      </c>
      <c r="G2325" t="str">
        <v>-</v>
      </c>
      <c r="H2325">
        <f>VLOOKUP(D2304,'Detail Balok'!$C$10:$AU$110,40,FALSE)</f>
        <v>150</v>
      </c>
      <c r="J2325">
        <f>(IF(D2325=0,(2*(D2305+G2305))-(F$5*8),IF(D2325=3,(2*(D2305+G2305))-(F$5*8)+(G2305-2*F$5),IF(D2325=4,(2*(D2305+G2305))-(F$5*8)+2*(G2305-2*F$5)))))/1000</f>
        <v>0.98</v>
      </c>
      <c r="K2325" t="str">
        <v>+</v>
      </c>
      <c r="L2325">
        <f>IF(D2325=0,2*MAX(6*F2325,75),(D2325-1)*2*MAX(6*F2325,75))/1000</f>
        <v>0.15</v>
      </c>
      <c r="M2325" t="str">
        <v>=</v>
      </c>
      <c r="N2325">
        <f>J2325+L2325</f>
        <v>1.13</v>
      </c>
      <c r="T2325" t="str">
        <v>x</v>
      </c>
      <c r="U2325">
        <f>0.006165*F2325^2</f>
        <v>0.39456</v>
      </c>
      <c r="V2325" t="str">
        <v>x</v>
      </c>
      <c r="W2325">
        <f>IF(D2307-MAX(D2307/4,2*G2305)*2&gt;0,ROUND((D2307-MAX(D2307/4,2*G2305)*2)/H2325,0),0)</f>
        <v>12</v>
      </c>
      <c r="X2325" t="str">
        <v>x</v>
      </c>
      <c r="Y2325">
        <f>D2310</f>
        <v>1</v>
      </c>
      <c r="Z2325" t="str">
        <v>=</v>
      </c>
      <c r="AA2325">
        <f>N2325*U2325*W2325*Y2325</f>
        <v>5.3502336</v>
      </c>
    </row>
    <row r="2326">
      <c r="A2326" t="str">
        <f>A2304</f>
        <v>Sloof</v>
      </c>
      <c r="B2326">
        <f>B2304</f>
        <v>69</v>
      </c>
      <c r="C2326" t="str">
        <v>Sengkang Tumpuan</v>
      </c>
      <c r="D2326">
        <f>VLOOKUP(D2304,'Detail Balok'!$C$10:$AU$110,41,FALSE)</f>
        <v>0</v>
      </c>
      <c r="E2326" t="str">
        <v>D</v>
      </c>
      <c r="F2326">
        <f>VLOOKUP(D2304,'Detail Balok'!$C$10:$AU$110,43,FALSE)</f>
        <v>8</v>
      </c>
      <c r="G2326" t="str">
        <v>-</v>
      </c>
      <c r="H2326">
        <f>VLOOKUP(D2304,'Detail Balok'!$C$10:$AU$110,45,FALSE)</f>
        <v>125</v>
      </c>
      <c r="J2326">
        <f>(IF(D2326=0,(2*(D2305+G2305))-(F$5*8),IF(D2326=3,(2*(D2305+G2305))-(F$5*8)+(G2305-2*F$5),IF(D2326=4,(2*(D2305+G2305))-(F$5*8)+2*(G2305-2*F$5)))))/1000</f>
        <v>0.98</v>
      </c>
      <c r="K2326" t="str">
        <v>+</v>
      </c>
      <c r="L2326">
        <f>IF(D2326=0,2*MAX(6*F2326,75),(D2326-1)*2*MAX(6*F2326,75))/1000</f>
        <v>0.15</v>
      </c>
      <c r="M2326" t="str">
        <v>=</v>
      </c>
      <c r="N2326">
        <f>J2326+L2326</f>
        <v>1.13</v>
      </c>
      <c r="T2326" t="str">
        <v>x</v>
      </c>
      <c r="U2326">
        <f>0.006165*F2326^2</f>
        <v>0.39456</v>
      </c>
      <c r="V2326" t="str">
        <v>x</v>
      </c>
      <c r="W2326">
        <f>IF(D2307&gt;4*G2305,ROUND(MAX(D2307/4,2*G2305)/H2326,0)+1,0)</f>
        <v>8</v>
      </c>
      <c r="X2326" t="str">
        <v>x</v>
      </c>
      <c r="Y2326">
        <f>D2310</f>
        <v>1</v>
      </c>
      <c r="Z2326" t="str">
        <v>=</v>
      </c>
      <c r="AA2326">
        <f>N2326*U2326*W2326*Y2326</f>
        <v>3.5668224</v>
      </c>
    </row>
    <row r="2328">
      <c r="A2328" t="str">
        <f>A2304</f>
        <v>Sloof</v>
      </c>
      <c r="B2328">
        <f>B2304</f>
        <v>69</v>
      </c>
      <c r="C2328" t="str">
        <v>Kait Horizontal Tump.</v>
      </c>
      <c r="D2328">
        <f>VLOOKUP(D2304,'Detail Balok'!$C$10:$BJ$110,46,FALSE)</f>
        <v>0</v>
      </c>
      <c r="E2328" t="str">
        <v>D</v>
      </c>
      <c r="F2328">
        <f>VLOOKUP(D2304,'Detail Balok'!$C$10:$BJ$110,48,FALSE)</f>
        <v>0</v>
      </c>
      <c r="G2328" t="str">
        <v>-</v>
      </c>
      <c r="H2328">
        <f>VLOOKUP(D2304,'Detail Balok'!$C$10:$BJ$110,50,FALSE)</f>
        <v>100</v>
      </c>
      <c r="J2328">
        <f>(D2305-2*F$5)/1000</f>
        <v>0.12</v>
      </c>
      <c r="K2328" t="str">
        <v>+</v>
      </c>
      <c r="L2328">
        <f>IF(D2328=0,2*MAX(6*F2328,75),(D2328-1)*2*MAX(6*F2328,75))/1000</f>
        <v>0.15</v>
      </c>
      <c r="M2328" t="str">
        <v>=</v>
      </c>
      <c r="N2328">
        <f>J2328+L2328</f>
        <v>0.27</v>
      </c>
      <c r="T2328" t="str">
        <v>x</v>
      </c>
      <c r="U2328">
        <f>0.006165*F2328^2</f>
        <v>0</v>
      </c>
      <c r="V2328" t="str">
        <v>x</v>
      </c>
      <c r="W2328">
        <f>W2324</f>
        <v>8</v>
      </c>
      <c r="X2328" t="str">
        <v>x</v>
      </c>
      <c r="Y2328">
        <f>D2314</f>
        <v>0</v>
      </c>
      <c r="Z2328" t="str">
        <v>=</v>
      </c>
      <c r="AA2328">
        <f>N2328*U2328*W2328*Y2328</f>
        <v>0</v>
      </c>
    </row>
    <row r="2329">
      <c r="A2329" t="str">
        <f>A2304</f>
        <v>Sloof</v>
      </c>
      <c r="B2329">
        <f>B2304</f>
        <v>69</v>
      </c>
      <c r="C2329" t="str">
        <v>Kait Horizontal Lap.</v>
      </c>
      <c r="D2329">
        <f>VLOOKUP(D2304,'Detail Balok'!$C$10:$BJ$110,51,FALSE)</f>
        <v>0</v>
      </c>
      <c r="E2329" t="str">
        <v>D</v>
      </c>
      <c r="F2329">
        <f>VLOOKUP(D2304,'Detail Balok'!$C$10:$BJ$110,53,FALSE)</f>
        <v>0</v>
      </c>
      <c r="G2329" t="str">
        <v>-</v>
      </c>
      <c r="H2329">
        <f>VLOOKUP(D2304,'Detail Balok'!$C$10:$BJ$110,55,FALSE)</f>
        <v>100</v>
      </c>
      <c r="J2329">
        <f>(D2305-2*F$5)/1000</f>
        <v>0.12</v>
      </c>
      <c r="K2329" t="str">
        <v>+</v>
      </c>
      <c r="L2329">
        <f>IF(D2329=0,2*MAX(6*F2329,75),(D2329-1)*2*MAX(6*F2329,75))/1000</f>
        <v>0.15</v>
      </c>
      <c r="M2329" t="str">
        <v>=</v>
      </c>
      <c r="N2329">
        <f>J2329+L2329</f>
        <v>0.27</v>
      </c>
      <c r="T2329" t="str">
        <v>x</v>
      </c>
      <c r="U2329">
        <f>0.006165*F2329^2</f>
        <v>0</v>
      </c>
      <c r="V2329" t="str">
        <v>x</v>
      </c>
      <c r="W2329">
        <f>W2325</f>
        <v>12</v>
      </c>
      <c r="X2329" t="str">
        <v>x</v>
      </c>
      <c r="Y2329">
        <f>D2314</f>
        <v>0</v>
      </c>
      <c r="Z2329" t="str">
        <v>=</v>
      </c>
      <c r="AA2329">
        <f>N2329*U2329*W2329*Y2329</f>
        <v>0</v>
      </c>
    </row>
    <row r="2330">
      <c r="A2330" t="str">
        <f>A2304</f>
        <v>Sloof</v>
      </c>
      <c r="B2330">
        <f>B2304</f>
        <v>69</v>
      </c>
      <c r="C2330" t="str">
        <v>Kait Horizontal Tump.</v>
      </c>
      <c r="D2330">
        <f>VLOOKUP(D2304,'Detail Balok'!$C$10:$BJ$110,56,FALSE)</f>
        <v>0</v>
      </c>
      <c r="E2330" t="str">
        <v>D</v>
      </c>
      <c r="F2330">
        <f>VLOOKUP(D2304,'Detail Balok'!$C$10:$BJ$110,58,FALSE)</f>
        <v>0</v>
      </c>
      <c r="G2330" t="str">
        <v>-</v>
      </c>
      <c r="H2330">
        <f>VLOOKUP(D2304,'Detail Balok'!$C$10:$BJ$110,60,FALSE)</f>
        <v>100</v>
      </c>
      <c r="J2330">
        <f>(D2305-2*F$5)/1000</f>
        <v>0.12</v>
      </c>
      <c r="K2330" t="str">
        <v>+</v>
      </c>
      <c r="L2330">
        <f>IF(D2330=0,2*MAX(6*F2330,75),(D2330-1)*2*MAX(6*F2330,75))/1000</f>
        <v>0.15</v>
      </c>
      <c r="M2330" t="str">
        <v>=</v>
      </c>
      <c r="N2330">
        <f>J2330+L2330</f>
        <v>0.27</v>
      </c>
      <c r="T2330" t="str">
        <v>x</v>
      </c>
      <c r="U2330">
        <f>0.006165*F2330^2</f>
        <v>0</v>
      </c>
      <c r="V2330" t="str">
        <v>x</v>
      </c>
      <c r="W2330">
        <f>W2326</f>
        <v>8</v>
      </c>
      <c r="X2330" t="str">
        <v>x</v>
      </c>
      <c r="Y2330">
        <f>D2314</f>
        <v>0</v>
      </c>
      <c r="Z2330" t="str">
        <v>=</v>
      </c>
      <c r="AA2330">
        <f>N2330*U2330*W2330*Y2330</f>
        <v>0</v>
      </c>
    </row>
    <row r="2334">
      <c r="A2334" t="str">
        <f>A2304</f>
        <v>Sloof</v>
      </c>
      <c r="B2334">
        <f>B2304+1</f>
        <v>70</v>
      </c>
      <c r="C2334" t="str">
        <f>CONCATENATE(A2334," no. ",B2334)</f>
        <v>Sloof no. 70</v>
      </c>
      <c r="D2334" t="str">
        <f>VLOOKUP(C2334,'Data Panjang Balok'!$C$9:$N$424,2,FALSE)</f>
        <v>TB25-1</v>
      </c>
    </row>
    <row r="2335">
      <c r="C2335" t="str">
        <v>Dimensi</v>
      </c>
      <c r="D2335">
        <f>VLOOKUP(D2334,'Detail Balok'!$C$10:$AU$110,2,FALSE)</f>
        <v>200</v>
      </c>
      <c r="F2335" t="str">
        <v>x</v>
      </c>
      <c r="G2335">
        <f>VLOOKUP(D2334,'Detail Balok'!$C$10:$AU$110,3,FALSE)</f>
        <v>500</v>
      </c>
    </row>
    <row r="2336">
      <c r="C2336" t="str">
        <v>Panjang as ke as</v>
      </c>
      <c r="D2336">
        <f>VLOOKUP(C2334,'Data Panjang Balok'!$C$9:$N$424,4,FALSE)</f>
        <v>10155</v>
      </c>
    </row>
    <row r="2337">
      <c r="C2337" t="str">
        <v>Panjang netto</v>
      </c>
      <c r="D2337">
        <f>VLOOKUP(C2334,'Data Panjang Balok'!$C$9:$N$424,7,FALSE)</f>
        <v>10155</v>
      </c>
    </row>
    <row r="2338">
      <c r="C2338" t="str">
        <v>Kolom / balok kiri</v>
      </c>
      <c r="D2338">
        <f>VLOOKUP(C2334,'Data Panjang Balok'!$C$9:$N$424,9,FALSE)</f>
        <v>0</v>
      </c>
    </row>
    <row r="2339">
      <c r="C2339" t="str">
        <v>Kolom / balok kanan</v>
      </c>
      <c r="D2339">
        <f>VLOOKUP(C2334,'Data Panjang Balok'!$C$9:$N$424,10,FALSE)</f>
        <v>0</v>
      </c>
    </row>
    <row r="2340">
      <c r="C2340" t="str">
        <v>Jumlah</v>
      </c>
      <c r="D2340">
        <f>VLOOKUP(C2334,'Data Panjang Balok'!$C$9:$N$424,3,FALSE)</f>
        <v>1</v>
      </c>
    </row>
    <row r="2341">
      <c r="A2341" t="str">
        <f>A2334</f>
        <v>Sloof</v>
      </c>
      <c r="B2341">
        <f>B2334</f>
        <v>70</v>
      </c>
      <c r="C2341" t="str">
        <v>Tul Atas Tumpuan</v>
      </c>
      <c r="D2341">
        <f>VLOOKUP(D2334,'Detail Balok'!$C$10:$AU$110,4,FALSE)</f>
        <v>3</v>
      </c>
      <c r="E2341" t="str">
        <v>D</v>
      </c>
      <c r="F2341">
        <f>VLOOKUP(D2334,'Detail Balok'!$C$10:$AU$110,6,FALSE)</f>
        <v>16</v>
      </c>
      <c r="I2341" t="str">
        <v>(</v>
      </c>
      <c r="J2341">
        <f>+D2336/4/1000</f>
        <v>2.53875</v>
      </c>
      <c r="K2341" t="str">
        <v>+</v>
      </c>
      <c r="L2341">
        <f>MAX(VLOOKUP(F2341,N$6:P$15,3,FALSE)/1000,2/3*D2338/1000)+F$16*F2341/1000</f>
        <v>0.192</v>
      </c>
      <c r="M2341" t="str">
        <v>=</v>
      </c>
      <c r="N2341">
        <f>J2341+L2341</f>
        <v>2.73075</v>
      </c>
      <c r="O2341" t="str">
        <v>+</v>
      </c>
      <c r="P2341">
        <f>D2341-D2342</f>
        <v>0</v>
      </c>
      <c r="Q2341" t="str">
        <v>x</v>
      </c>
      <c r="R2341">
        <f>IF(P2341&gt;0,$F$18*F2341/1000,0)</f>
        <v>0</v>
      </c>
      <c r="S2341" t="str">
        <v>)</v>
      </c>
      <c r="T2341" t="str">
        <v>x</v>
      </c>
      <c r="U2341">
        <f>0.006165*F2341^2</f>
        <v>1.57824</v>
      </c>
      <c r="X2341" t="str">
        <v>x</v>
      </c>
      <c r="Y2341">
        <f>D2340</f>
        <v>1</v>
      </c>
      <c r="Z2341" t="str">
        <v>=</v>
      </c>
      <c r="AA2341">
        <f>IF(AA2344=0,(D2341*N2341+P2341*R2341)*U2341*Y2341,0)</f>
        <v>0</v>
      </c>
    </row>
    <row r="2342">
      <c r="A2342" t="str">
        <f>A2334</f>
        <v>Sloof</v>
      </c>
      <c r="B2342">
        <f>B2334</f>
        <v>70</v>
      </c>
      <c r="C2342" t="str">
        <v>Tul Atas Lapangan</v>
      </c>
      <c r="D2342">
        <f>VLOOKUP(D2334,'Detail Balok'!$C$10:$AU$110,7,FALSE)</f>
        <v>3</v>
      </c>
      <c r="E2342" t="str">
        <v>D</v>
      </c>
      <c r="F2342">
        <f>VLOOKUP(D2334,'Detail Balok'!$C$10:$AU$110,9,FALSE)</f>
        <v>16</v>
      </c>
      <c r="I2342" t="str">
        <v>(</v>
      </c>
      <c r="J2342">
        <f>+D2336/2/1000</f>
        <v>5.0775</v>
      </c>
      <c r="K2342" t="str">
        <v>+</v>
      </c>
      <c r="M2342" t="str">
        <v>=</v>
      </c>
      <c r="N2342">
        <f>J2342+L2342</f>
        <v>5.0775</v>
      </c>
      <c r="O2342" t="str">
        <v>+</v>
      </c>
      <c r="P2342">
        <f>MAX(D2342-D2341,D2342-D2343)</f>
        <v>0</v>
      </c>
      <c r="Q2342" t="str">
        <v>x</v>
      </c>
      <c r="R2342">
        <f>IF(P2342&gt;0,2*(1-2*$F$19-1/2)*D2337/1000,0)</f>
        <v>0</v>
      </c>
      <c r="S2342" t="str">
        <v>)</v>
      </c>
      <c r="T2342" t="str">
        <v>x</v>
      </c>
      <c r="U2342">
        <f>0.006165*F2342^2</f>
        <v>1.57824</v>
      </c>
      <c r="X2342" t="str">
        <v>x</v>
      </c>
      <c r="Y2342">
        <f>D2340</f>
        <v>1</v>
      </c>
      <c r="Z2342" t="str">
        <v>=</v>
      </c>
      <c r="AA2342">
        <f>IF(AA2344=0,(D2342*N2342+P2342*R2342)*U2342*Y2342,0)</f>
        <v>0</v>
      </c>
    </row>
    <row r="2343">
      <c r="A2343" t="str">
        <f>A2334</f>
        <v>Sloof</v>
      </c>
      <c r="B2343">
        <f>B2334</f>
        <v>70</v>
      </c>
      <c r="C2343" t="str">
        <v>Tul Atas Tumpuan</v>
      </c>
      <c r="D2343">
        <f>VLOOKUP(D2334,'Detail Balok'!$C$10:$AU$110,10,FALSE)</f>
        <v>3</v>
      </c>
      <c r="E2343" t="str">
        <v>D</v>
      </c>
      <c r="F2343">
        <f>VLOOKUP(D2334,'Detail Balok'!$C$10:$AU$110,12,FALSE)</f>
        <v>16</v>
      </c>
      <c r="I2343" t="str">
        <v>(</v>
      </c>
      <c r="J2343">
        <f>+D2336/4/1000</f>
        <v>2.53875</v>
      </c>
      <c r="K2343" t="str">
        <v>+</v>
      </c>
      <c r="L2343">
        <f>MAX(VLOOKUP(F2343,N$6:P$15,3,FALSE)/1000,2/3*D2338/1000)+F$16*F2343/1000</f>
        <v>0.192</v>
      </c>
      <c r="M2343" t="str">
        <v>=</v>
      </c>
      <c r="N2343">
        <f>J2343+L2343</f>
        <v>2.73075</v>
      </c>
      <c r="O2343" t="str">
        <v>+</v>
      </c>
      <c r="P2343">
        <f>D2343-D2342</f>
        <v>0</v>
      </c>
      <c r="Q2343" t="str">
        <v>x</v>
      </c>
      <c r="R2343">
        <f>IF(P2343&gt;0,$F$18*F2343/1000,0)</f>
        <v>0</v>
      </c>
      <c r="S2343" t="str">
        <v>)</v>
      </c>
      <c r="T2343" t="str">
        <v>x</v>
      </c>
      <c r="U2343">
        <f>0.006165*F2343^2</f>
        <v>1.57824</v>
      </c>
      <c r="X2343" t="str">
        <v>x</v>
      </c>
      <c r="Y2343">
        <f>D2340</f>
        <v>1</v>
      </c>
      <c r="Z2343" t="str">
        <v>=</v>
      </c>
      <c r="AA2343">
        <f>IF(AA2344=0,(D2343*N2343+P2343*R2343)*U2343*Y2343,0)</f>
        <v>0</v>
      </c>
    </row>
    <row r="2344">
      <c r="A2344" t="str">
        <f>A2334</f>
        <v>Sloof</v>
      </c>
      <c r="B2344">
        <f>B2334</f>
        <v>70</v>
      </c>
      <c r="D2344">
        <f>IF(AND(D2341=D2342,D2342=D2343,D2341=D2343),D2341,0)</f>
        <v>3</v>
      </c>
      <c r="E2344" t="str">
        <v>D</v>
      </c>
      <c r="F2344">
        <f>IF(AND(F2341=F2342,F2341=F2343,F2342=F2343),F2341,0)</f>
        <v>16</v>
      </c>
      <c r="L2344" t="str">
        <v>Total panjang per balok</v>
      </c>
      <c r="M2344" t="str">
        <v>=</v>
      </c>
      <c r="N2344">
        <f>IF(AND(D2341=D2342,D2341=D2343,D2342=D2343,F2341=F2342,F2341=F2343,F2342=F2343),SUM(N2341:N2343),0)</f>
        <v>10.539</v>
      </c>
      <c r="O2344" t="str">
        <v>+</v>
      </c>
      <c r="P2344">
        <f>IF(N2344&gt;12,ROUNDDOWN(N2344/12,0),0)</f>
        <v>0</v>
      </c>
      <c r="Q2344" t="str">
        <v>x</v>
      </c>
      <c r="R2344">
        <f>IF(P2344&gt;0,MAX(VLOOKUP(F2344,$D$6:$G$15,3,FALSE),600),0)/1000</f>
        <v>0</v>
      </c>
      <c r="T2344" t="str">
        <v>x</v>
      </c>
      <c r="U2344">
        <f>U2343</f>
        <v>1.57824</v>
      </c>
      <c r="V2344" t="str">
        <v>x</v>
      </c>
      <c r="W2344">
        <f>D2344</f>
        <v>3</v>
      </c>
      <c r="X2344" t="str">
        <v>x</v>
      </c>
      <c r="Y2344">
        <f>Y2343</f>
        <v>1</v>
      </c>
      <c r="Z2344" t="str">
        <v>=</v>
      </c>
      <c r="AA2344">
        <f>(N2344+P2344*R2344/1000)*U2344*W2344*Y2344</f>
        <v>49.89921407999999</v>
      </c>
    </row>
    <row r="2346">
      <c r="A2346" t="str">
        <f>A2334</f>
        <v>Sloof</v>
      </c>
      <c r="B2346">
        <f>B2334</f>
        <v>70</v>
      </c>
      <c r="C2346" t="str">
        <v>Tul Peminggang</v>
      </c>
      <c r="D2346">
        <f>VLOOKUP(D2334,'Detail Balok'!$C$10:$AU$110,13,FALSE)</f>
        <v>2</v>
      </c>
      <c r="E2346" t="str">
        <v>D</v>
      </c>
      <c r="F2346">
        <f>VLOOKUP(D2334,'Detail Balok'!$C$10:$AU$110,15,FALSE)</f>
        <v>10</v>
      </c>
      <c r="J2346">
        <f>+D2336/1000</f>
        <v>10.155</v>
      </c>
      <c r="K2346" t="str">
        <v>+</v>
      </c>
      <c r="L2346">
        <f>2*$F$16*F2346/1000</f>
        <v>0.24</v>
      </c>
      <c r="M2346" t="str">
        <v>=</v>
      </c>
      <c r="N2346">
        <f>J2346+L2346</f>
        <v>10.395</v>
      </c>
      <c r="O2346" t="str">
        <v>+</v>
      </c>
      <c r="P2346">
        <f>IF(N2346&gt;12,ROUNDDOWN(N2346/12,0),0)</f>
        <v>0</v>
      </c>
      <c r="Q2346" t="str">
        <v>x</v>
      </c>
      <c r="R2346">
        <f>IF(P2346&gt;0,MAX(VLOOKUP(F2346,$D$6:$G$15,3,FALSE),600),0)/1000</f>
        <v>0</v>
      </c>
      <c r="T2346" t="str">
        <v>x</v>
      </c>
      <c r="U2346">
        <f>0.006165*F2346^2</f>
        <v>0.6165</v>
      </c>
      <c r="V2346" t="str">
        <v>x</v>
      </c>
      <c r="W2346">
        <f>+D2346</f>
        <v>2</v>
      </c>
      <c r="X2346" t="str">
        <v>x</v>
      </c>
      <c r="Y2346">
        <f>D2340</f>
        <v>1</v>
      </c>
      <c r="Z2346" t="str">
        <v>=</v>
      </c>
      <c r="AA2346">
        <f>(N2346+P2346*R2346/1000)*U2346*W2346*Y2346</f>
        <v>12.817035</v>
      </c>
    </row>
    <row r="2349">
      <c r="A2349" t="str">
        <f>A2334</f>
        <v>Sloof</v>
      </c>
      <c r="B2349">
        <f>B2334</f>
        <v>70</v>
      </c>
      <c r="C2349" t="str">
        <v>Tul Bawah Tumpuan</v>
      </c>
      <c r="D2349">
        <f>VLOOKUP(D2334,'Detail Balok'!$C$10:$AU$110,22,FALSE)</f>
        <v>3</v>
      </c>
      <c r="E2349" t="str">
        <v>D</v>
      </c>
      <c r="F2349">
        <f>VLOOKUP(D2334,'Detail Balok'!$C$10:$AU$110,24,FALSE)</f>
        <v>16</v>
      </c>
      <c r="I2349" t="str">
        <v>(</v>
      </c>
      <c r="J2349">
        <f>+J2341</f>
        <v>2.53875</v>
      </c>
      <c r="K2349" t="str">
        <v>+</v>
      </c>
      <c r="L2349">
        <f>MAX(VLOOKUP(F2349,N$6:P$15,3,FALSE)/1000,2/3*D2339/1000)+F$16*F2349/1000</f>
        <v>0.192</v>
      </c>
      <c r="M2349" t="str">
        <v>=</v>
      </c>
      <c r="N2349">
        <f>J2349+L2349</f>
        <v>2.73075</v>
      </c>
      <c r="O2349" t="str">
        <v>+</v>
      </c>
      <c r="P2349">
        <f>D2349-D2350</f>
        <v>0</v>
      </c>
      <c r="Q2349" t="str">
        <v>x</v>
      </c>
      <c r="R2349">
        <f>IF(P2349&gt;0,$F$18*F2349/1000,0)</f>
        <v>0</v>
      </c>
      <c r="S2349" t="str">
        <v>)</v>
      </c>
      <c r="T2349" t="str">
        <v>x</v>
      </c>
      <c r="U2349">
        <f>0.006165*F2349^2</f>
        <v>1.57824</v>
      </c>
      <c r="X2349" t="str">
        <v>x</v>
      </c>
      <c r="Y2349">
        <f>D2340</f>
        <v>1</v>
      </c>
      <c r="Z2349" t="str">
        <v>=</v>
      </c>
      <c r="AA2349">
        <f>IF(AA2352=0,(D2349*N2349+P2349*R2349)*U2349*Y2349,0)</f>
        <v>0</v>
      </c>
    </row>
    <row r="2350">
      <c r="A2350" t="str">
        <f>A2334</f>
        <v>Sloof</v>
      </c>
      <c r="B2350">
        <f>B2334</f>
        <v>70</v>
      </c>
      <c r="C2350" t="str">
        <v>Tul Bawah Lapangan</v>
      </c>
      <c r="D2350">
        <f>VLOOKUP(D2334,'Detail Balok'!$C$10:$AU$110,25,FALSE)</f>
        <v>3</v>
      </c>
      <c r="E2350" t="str">
        <v>D</v>
      </c>
      <c r="F2350">
        <f>VLOOKUP(D2334,'Detail Balok'!$C$10:$AU$110,27,FALSE)</f>
        <v>16</v>
      </c>
      <c r="I2350" t="str">
        <v>(</v>
      </c>
      <c r="J2350">
        <f>+J2342</f>
        <v>5.0775</v>
      </c>
      <c r="K2350" t="str">
        <v>+</v>
      </c>
      <c r="M2350" t="str">
        <v>=</v>
      </c>
      <c r="N2350">
        <f>J2350+L2350</f>
        <v>5.0775</v>
      </c>
      <c r="O2350" t="str">
        <v>+</v>
      </c>
      <c r="P2350">
        <f>MAX(D2350-D2349,D2350-D2351)</f>
        <v>0</v>
      </c>
      <c r="Q2350" t="str">
        <v>x</v>
      </c>
      <c r="R2350">
        <f>IF(P2350&gt;0,2*(1-2*$F$19-1/2)*D2337/1000,0)</f>
        <v>0</v>
      </c>
      <c r="S2350" t="str">
        <v>)</v>
      </c>
      <c r="T2350" t="str">
        <v>x</v>
      </c>
      <c r="U2350">
        <f>0.006165*F2350^2</f>
        <v>1.57824</v>
      </c>
      <c r="X2350" t="str">
        <v>x</v>
      </c>
      <c r="Y2350">
        <f>D2340</f>
        <v>1</v>
      </c>
      <c r="Z2350" t="str">
        <v>=</v>
      </c>
      <c r="AA2350">
        <f>IF(AA2352=0,(D2350*N2350+P2350*R2350)*U2350*Y2350,0)</f>
        <v>0</v>
      </c>
    </row>
    <row r="2351">
      <c r="A2351" t="str">
        <f>A2334</f>
        <v>Sloof</v>
      </c>
      <c r="B2351">
        <f>B2334</f>
        <v>70</v>
      </c>
      <c r="C2351" t="str">
        <v>Tul Bawah Tumpuan</v>
      </c>
      <c r="D2351">
        <f>VLOOKUP(D2334,'Detail Balok'!$C$10:$AU$110,28,FALSE)</f>
        <v>3</v>
      </c>
      <c r="E2351" t="str">
        <v>D</v>
      </c>
      <c r="F2351">
        <f>VLOOKUP(D2334,'Detail Balok'!$C$10:$AU$110,30,FALSE)</f>
        <v>16</v>
      </c>
      <c r="I2351" t="str">
        <v>(</v>
      </c>
      <c r="J2351">
        <f>+J2343</f>
        <v>2.53875</v>
      </c>
      <c r="K2351" t="str">
        <v>+</v>
      </c>
      <c r="L2351">
        <f>MAX(VLOOKUP(F2351,N$6:P$15,3,FALSE)/1000,2/3*D2339/1000)+F$16*F2351/1000</f>
        <v>0.192</v>
      </c>
      <c r="M2351" t="str">
        <v>=</v>
      </c>
      <c r="N2351">
        <f>J2351+L2351</f>
        <v>2.73075</v>
      </c>
      <c r="O2351" t="str">
        <v>+</v>
      </c>
      <c r="P2351">
        <f>D2351-D2350</f>
        <v>0</v>
      </c>
      <c r="Q2351" t="str">
        <v>x</v>
      </c>
      <c r="R2351">
        <f>IF(P2351&gt;0,$F$18*F2351/1000,0)</f>
        <v>0</v>
      </c>
      <c r="S2351" t="str">
        <v>)</v>
      </c>
      <c r="T2351" t="str">
        <v>x</v>
      </c>
      <c r="U2351">
        <f>0.006165*F2351^2</f>
        <v>1.57824</v>
      </c>
      <c r="X2351" t="str">
        <v>x</v>
      </c>
      <c r="Y2351">
        <f>D2340</f>
        <v>1</v>
      </c>
      <c r="Z2351" t="str">
        <v>=</v>
      </c>
      <c r="AA2351">
        <f>IF(AA2352=0,(D2351*N2351+P2351*R2351)*U2351*Y2351,0)</f>
        <v>0</v>
      </c>
    </row>
    <row r="2352">
      <c r="A2352" t="str">
        <f>A2334</f>
        <v>Sloof</v>
      </c>
      <c r="B2352">
        <f>B2334</f>
        <v>70</v>
      </c>
      <c r="D2352">
        <f>IF(AND(D2349=D2350,D2350=D2351,D2349=D2351),D2349,0)</f>
        <v>3</v>
      </c>
      <c r="E2352" t="str">
        <v>D</v>
      </c>
      <c r="F2352">
        <f>IF(AND(F2349=F2350,F2349=F2351,F2350=F2351),F2349,0)</f>
        <v>16</v>
      </c>
      <c r="L2352" t="str">
        <v>Total panjang per balok</v>
      </c>
      <c r="M2352" t="str">
        <v>=</v>
      </c>
      <c r="N2352">
        <f>IF(AND(D2349=D2350,D2349=D2351,D2350=D2351,F2349=F2350,F2349=F2351,F2350=F2351),SUM(N2349:N2351),0)</f>
        <v>10.539</v>
      </c>
      <c r="O2352" t="str">
        <v>+</v>
      </c>
      <c r="P2352">
        <f>IF(N2352&gt;12,ROUNDDOWN(N2352/12,0),0)</f>
        <v>0</v>
      </c>
      <c r="Q2352" t="str">
        <v>x</v>
      </c>
      <c r="R2352">
        <f>IF(P2352&gt;0,MAX(VLOOKUP(F2352,$D$6:$G$15,3,FALSE),600),0)/1000</f>
        <v>0</v>
      </c>
      <c r="T2352" t="str">
        <v>x</v>
      </c>
      <c r="U2352">
        <f>U2351</f>
        <v>1.57824</v>
      </c>
      <c r="V2352" t="str">
        <v>x</v>
      </c>
      <c r="W2352">
        <f>D2352</f>
        <v>3</v>
      </c>
      <c r="X2352" t="str">
        <v>x</v>
      </c>
      <c r="Y2352">
        <f>Y2351</f>
        <v>1</v>
      </c>
      <c r="Z2352" t="str">
        <v>=</v>
      </c>
      <c r="AA2352">
        <f>(N2352+P2352*R2352/1000)*U2352*W2352*Y2352</f>
        <v>49.89921407999999</v>
      </c>
    </row>
    <row r="2354">
      <c r="A2354" t="str">
        <f>A2334</f>
        <v>Sloof</v>
      </c>
      <c r="B2354">
        <f>B2334</f>
        <v>70</v>
      </c>
      <c r="C2354" t="str">
        <v>Sengkang Tumpuan</v>
      </c>
      <c r="D2354">
        <f>VLOOKUP(D2334,'Detail Balok'!$C$10:$AU$110,31,FALSE)</f>
        <v>0</v>
      </c>
      <c r="E2354" t="str">
        <v>D</v>
      </c>
      <c r="F2354">
        <f>VLOOKUP(D2334,'Detail Balok'!$C$10:$AU$110,33,FALSE)</f>
        <v>10</v>
      </c>
      <c r="G2354" t="str">
        <v>-</v>
      </c>
      <c r="H2354">
        <f>VLOOKUP(D2334,'Detail Balok'!$C$10:$AU$110,35,FALSE)</f>
        <v>200</v>
      </c>
      <c r="J2354">
        <f>(IF(D2354=0,(2*(D2335+G2335))-(F$5*8),IF(D2354=3,(2*(D2335+G2335))-(F$5*8)+(G2335-2*F$5),IF(D2354=4,(2*(D2335+G2335))-(F$5*8)+2*(G2335-2*F$5)))))/1000</f>
        <v>1.08</v>
      </c>
      <c r="K2354" t="str">
        <v>+</v>
      </c>
      <c r="L2354">
        <f>IF(D2354=0,2*MAX(6*F2354,75),(D2354-1)*2*MAX(6*F2354,75))/1000</f>
        <v>0.15</v>
      </c>
      <c r="M2354" t="str">
        <v>=</v>
      </c>
      <c r="N2354">
        <f>J2354+L2354</f>
        <v>1.23</v>
      </c>
      <c r="T2354" t="str">
        <v>x</v>
      </c>
      <c r="U2354">
        <f>0.006165*F2354^2</f>
        <v>0.6165</v>
      </c>
      <c r="V2354" t="str">
        <v>x</v>
      </c>
      <c r="W2354">
        <f>IF(D2337&gt;4*G2335,ROUND(MAX(D2337/4,2*G2335)/H2354,0)+1,ROUND(D2337/H2354,0)+1)</f>
        <v>14</v>
      </c>
      <c r="X2354" t="str">
        <v>x</v>
      </c>
      <c r="Y2354">
        <f>D2340</f>
        <v>1</v>
      </c>
      <c r="Z2354" t="str">
        <v>=</v>
      </c>
      <c r="AA2354">
        <f>N2354*U2354*W2354*Y2354</f>
        <v>10.61613</v>
      </c>
    </row>
    <row r="2355">
      <c r="A2355" t="str">
        <f>A2334</f>
        <v>Sloof</v>
      </c>
      <c r="B2355">
        <f>B2334</f>
        <v>70</v>
      </c>
      <c r="C2355" t="str">
        <v>Sengkang Lapangan</v>
      </c>
      <c r="D2355">
        <f>VLOOKUP(D2334,'Detail Balok'!$C$10:$AU$110,36,FALSE)</f>
        <v>0</v>
      </c>
      <c r="E2355" t="str">
        <v>D</v>
      </c>
      <c r="F2355">
        <f>VLOOKUP(D2334,'Detail Balok'!$C$10:$AU$110,38,FALSE)</f>
        <v>10</v>
      </c>
      <c r="G2355" t="str">
        <v>-</v>
      </c>
      <c r="H2355">
        <f>VLOOKUP(D2334,'Detail Balok'!$C$10:$AU$110,40,FALSE)</f>
        <v>200</v>
      </c>
      <c r="J2355">
        <f>(IF(D2355=0,(2*(D2335+G2335))-(F$5*8),IF(D2355=3,(2*(D2335+G2335))-(F$5*8)+(G2335-2*F$5),IF(D2355=4,(2*(D2335+G2335))-(F$5*8)+2*(G2335-2*F$5)))))/1000</f>
        <v>1.08</v>
      </c>
      <c r="K2355" t="str">
        <v>+</v>
      </c>
      <c r="L2355">
        <f>IF(D2355=0,2*MAX(6*F2355,75),(D2355-1)*2*MAX(6*F2355,75))/1000</f>
        <v>0.15</v>
      </c>
      <c r="M2355" t="str">
        <v>=</v>
      </c>
      <c r="N2355">
        <f>J2355+L2355</f>
        <v>1.23</v>
      </c>
      <c r="T2355" t="str">
        <v>x</v>
      </c>
      <c r="U2355">
        <f>0.006165*F2355^2</f>
        <v>0.6165</v>
      </c>
      <c r="V2355" t="str">
        <v>x</v>
      </c>
      <c r="W2355">
        <f>IF(D2337-MAX(D2337/4,2*G2335)*2&gt;0,ROUND((D2337-MAX(D2337/4,2*G2335)*2)/H2355,0),0)</f>
        <v>25</v>
      </c>
      <c r="X2355" t="str">
        <v>x</v>
      </c>
      <c r="Y2355">
        <f>D2340</f>
        <v>1</v>
      </c>
      <c r="Z2355" t="str">
        <v>=</v>
      </c>
      <c r="AA2355">
        <f>N2355*U2355*W2355*Y2355</f>
        <v>18.957375000000003</v>
      </c>
    </row>
    <row r="2356">
      <c r="A2356" t="str">
        <f>A2334</f>
        <v>Sloof</v>
      </c>
      <c r="B2356">
        <f>B2334</f>
        <v>70</v>
      </c>
      <c r="C2356" t="str">
        <v>Sengkang Tumpuan</v>
      </c>
      <c r="D2356">
        <f>VLOOKUP(D2334,'Detail Balok'!$C$10:$AU$110,41,FALSE)</f>
        <v>0</v>
      </c>
      <c r="E2356" t="str">
        <v>D</v>
      </c>
      <c r="F2356">
        <f>VLOOKUP(D2334,'Detail Balok'!$C$10:$AU$110,43,FALSE)</f>
        <v>10</v>
      </c>
      <c r="G2356" t="str">
        <v>-</v>
      </c>
      <c r="H2356">
        <f>VLOOKUP(D2334,'Detail Balok'!$C$10:$AU$110,45,FALSE)</f>
        <v>200</v>
      </c>
      <c r="J2356">
        <f>(IF(D2356=0,(2*(D2335+G2335))-(F$5*8),IF(D2356=3,(2*(D2335+G2335))-(F$5*8)+(G2335-2*F$5),IF(D2356=4,(2*(D2335+G2335))-(F$5*8)+2*(G2335-2*F$5)))))/1000</f>
        <v>1.08</v>
      </c>
      <c r="K2356" t="str">
        <v>+</v>
      </c>
      <c r="L2356">
        <f>IF(D2356=0,2*MAX(6*F2356,75),(D2356-1)*2*MAX(6*F2356,75))/1000</f>
        <v>0.15</v>
      </c>
      <c r="M2356" t="str">
        <v>=</v>
      </c>
      <c r="N2356">
        <f>J2356+L2356</f>
        <v>1.23</v>
      </c>
      <c r="T2356" t="str">
        <v>x</v>
      </c>
      <c r="U2356">
        <f>0.006165*F2356^2</f>
        <v>0.6165</v>
      </c>
      <c r="V2356" t="str">
        <v>x</v>
      </c>
      <c r="W2356">
        <f>IF(D2337&gt;4*G2335,ROUND(MAX(D2337/4,2*G2335)/H2356,0)+1,0)</f>
        <v>14</v>
      </c>
      <c r="X2356" t="str">
        <v>x</v>
      </c>
      <c r="Y2356">
        <f>D2340</f>
        <v>1</v>
      </c>
      <c r="Z2356" t="str">
        <v>=</v>
      </c>
      <c r="AA2356">
        <f>N2356*U2356*W2356*Y2356</f>
        <v>10.61613</v>
      </c>
    </row>
    <row r="2358">
      <c r="A2358" t="str">
        <f>A2334</f>
        <v>Sloof</v>
      </c>
      <c r="B2358">
        <f>B2334</f>
        <v>70</v>
      </c>
      <c r="C2358" t="str">
        <v>Kait Horizontal Tump.</v>
      </c>
      <c r="D2358">
        <f>VLOOKUP(D2334,'Detail Balok'!$C$10:$BJ$110,46,FALSE)</f>
        <v>0</v>
      </c>
      <c r="E2358" t="str">
        <v>D</v>
      </c>
      <c r="F2358">
        <f>VLOOKUP(D2334,'Detail Balok'!$C$10:$BJ$110,48,FALSE)</f>
        <v>0</v>
      </c>
      <c r="G2358" t="str">
        <v>-</v>
      </c>
      <c r="H2358">
        <f>VLOOKUP(D2334,'Detail Balok'!$C$10:$BJ$110,50,FALSE)</f>
        <v>100</v>
      </c>
      <c r="J2358">
        <f>(D2335-2*F$5)/1000</f>
        <v>0.12</v>
      </c>
      <c r="K2358" t="str">
        <v>+</v>
      </c>
      <c r="L2358">
        <f>IF(D2358=0,2*MAX(6*F2358,75),(D2358-1)*2*MAX(6*F2358,75))/1000</f>
        <v>0.15</v>
      </c>
      <c r="M2358" t="str">
        <v>=</v>
      </c>
      <c r="N2358">
        <f>J2358+L2358</f>
        <v>0.27</v>
      </c>
      <c r="T2358" t="str">
        <v>x</v>
      </c>
      <c r="U2358">
        <f>0.006165*F2358^2</f>
        <v>0</v>
      </c>
      <c r="V2358" t="str">
        <v>x</v>
      </c>
      <c r="W2358">
        <f>W2354</f>
        <v>14</v>
      </c>
      <c r="X2358" t="str">
        <v>x</v>
      </c>
      <c r="Y2358">
        <f>D2344</f>
        <v>3</v>
      </c>
      <c r="Z2358" t="str">
        <v>=</v>
      </c>
      <c r="AA2358">
        <f>N2358*U2358*W2358*Y2358</f>
        <v>0</v>
      </c>
    </row>
    <row r="2359">
      <c r="A2359" t="str">
        <f>A2334</f>
        <v>Sloof</v>
      </c>
      <c r="B2359">
        <f>B2334</f>
        <v>70</v>
      </c>
      <c r="C2359" t="str">
        <v>Kait Horizontal Lap.</v>
      </c>
      <c r="D2359">
        <f>VLOOKUP(D2334,'Detail Balok'!$C$10:$BJ$110,51,FALSE)</f>
        <v>0</v>
      </c>
      <c r="E2359" t="str">
        <v>D</v>
      </c>
      <c r="F2359">
        <f>VLOOKUP(D2334,'Detail Balok'!$C$10:$BJ$110,53,FALSE)</f>
        <v>0</v>
      </c>
      <c r="G2359" t="str">
        <v>-</v>
      </c>
      <c r="H2359">
        <f>VLOOKUP(D2334,'Detail Balok'!$C$10:$BJ$110,55,FALSE)</f>
        <v>100</v>
      </c>
      <c r="J2359">
        <f>(D2335-2*F$5)/1000</f>
        <v>0.12</v>
      </c>
      <c r="K2359" t="str">
        <v>+</v>
      </c>
      <c r="L2359">
        <f>IF(D2359=0,2*MAX(6*F2359,75),(D2359-1)*2*MAX(6*F2359,75))/1000</f>
        <v>0.15</v>
      </c>
      <c r="M2359" t="str">
        <v>=</v>
      </c>
      <c r="N2359">
        <f>J2359+L2359</f>
        <v>0.27</v>
      </c>
      <c r="T2359" t="str">
        <v>x</v>
      </c>
      <c r="U2359">
        <f>0.006165*F2359^2</f>
        <v>0</v>
      </c>
      <c r="V2359" t="str">
        <v>x</v>
      </c>
      <c r="W2359">
        <f>W2355</f>
        <v>25</v>
      </c>
      <c r="X2359" t="str">
        <v>x</v>
      </c>
      <c r="Y2359">
        <f>D2344</f>
        <v>3</v>
      </c>
      <c r="Z2359" t="str">
        <v>=</v>
      </c>
      <c r="AA2359">
        <f>N2359*U2359*W2359*Y2359</f>
        <v>0</v>
      </c>
    </row>
    <row r="2360">
      <c r="A2360" t="str">
        <f>A2334</f>
        <v>Sloof</v>
      </c>
      <c r="B2360">
        <f>B2334</f>
        <v>70</v>
      </c>
      <c r="C2360" t="str">
        <v>Kait Horizontal Tump.</v>
      </c>
      <c r="D2360">
        <f>VLOOKUP(D2334,'Detail Balok'!$C$10:$BJ$110,56,FALSE)</f>
        <v>0</v>
      </c>
      <c r="E2360" t="str">
        <v>D</v>
      </c>
      <c r="F2360">
        <f>VLOOKUP(D2334,'Detail Balok'!$C$10:$BJ$110,58,FALSE)</f>
        <v>0</v>
      </c>
      <c r="G2360" t="str">
        <v>-</v>
      </c>
      <c r="H2360">
        <f>VLOOKUP(D2334,'Detail Balok'!$C$10:$BJ$110,60,FALSE)</f>
        <v>100</v>
      </c>
      <c r="J2360">
        <f>(D2335-2*F$5)/1000</f>
        <v>0.12</v>
      </c>
      <c r="K2360" t="str">
        <v>+</v>
      </c>
      <c r="L2360">
        <f>IF(D2360=0,2*MAX(6*F2360,75),(D2360-1)*2*MAX(6*F2360,75))/1000</f>
        <v>0.15</v>
      </c>
      <c r="M2360" t="str">
        <v>=</v>
      </c>
      <c r="N2360">
        <f>J2360+L2360</f>
        <v>0.27</v>
      </c>
      <c r="T2360" t="str">
        <v>x</v>
      </c>
      <c r="U2360">
        <f>0.006165*F2360^2</f>
        <v>0</v>
      </c>
      <c r="V2360" t="str">
        <v>x</v>
      </c>
      <c r="W2360">
        <f>W2356</f>
        <v>14</v>
      </c>
      <c r="X2360" t="str">
        <v>x</v>
      </c>
      <c r="Y2360">
        <f>D2344</f>
        <v>3</v>
      </c>
      <c r="Z2360" t="str">
        <v>=</v>
      </c>
      <c r="AA2360">
        <f>N2360*U2360*W2360*Y2360</f>
        <v>0</v>
      </c>
    </row>
    <row r="2364">
      <c r="A2364" t="str">
        <f>A2334</f>
        <v>Sloof</v>
      </c>
      <c r="B2364">
        <f>B2334+1</f>
        <v>71</v>
      </c>
      <c r="C2364" t="str">
        <f>CONCATENATE(A2364," no. ",B2364)</f>
        <v>Sloof no. 71</v>
      </c>
      <c r="D2364" t="str">
        <f>VLOOKUP(C2364,'Data Panjang Balok'!$C$9:$N$424,2,FALSE)</f>
        <v>TB25-1</v>
      </c>
    </row>
    <row r="2365">
      <c r="C2365" t="str">
        <v>Dimensi</v>
      </c>
      <c r="D2365">
        <f>VLOOKUP(D2364,'Detail Balok'!$C$10:$AU$110,2,FALSE)</f>
        <v>200</v>
      </c>
      <c r="F2365" t="str">
        <v>x</v>
      </c>
      <c r="G2365">
        <f>VLOOKUP(D2364,'Detail Balok'!$C$10:$AU$110,3,FALSE)</f>
        <v>500</v>
      </c>
    </row>
    <row r="2366">
      <c r="C2366" t="str">
        <v>Panjang as ke as</v>
      </c>
      <c r="D2366">
        <f>VLOOKUP(C2364,'Data Panjang Balok'!$C$9:$N$424,4,FALSE)</f>
        <v>3315</v>
      </c>
    </row>
    <row r="2367">
      <c r="C2367" t="str">
        <v>Panjang netto</v>
      </c>
      <c r="D2367">
        <f>VLOOKUP(C2364,'Data Panjang Balok'!$C$9:$N$424,7,FALSE)</f>
        <v>3315</v>
      </c>
    </row>
    <row r="2368">
      <c r="C2368" t="str">
        <v>Kolom / balok kiri</v>
      </c>
      <c r="D2368">
        <f>VLOOKUP(C2364,'Data Panjang Balok'!$C$9:$N$424,9,FALSE)</f>
        <v>0</v>
      </c>
    </row>
    <row r="2369">
      <c r="C2369" t="str">
        <v>Kolom / balok kanan</v>
      </c>
      <c r="D2369">
        <f>VLOOKUP(C2364,'Data Panjang Balok'!$C$9:$N$424,10,FALSE)</f>
        <v>0</v>
      </c>
    </row>
    <row r="2370">
      <c r="C2370" t="str">
        <v>Jumlah</v>
      </c>
      <c r="D2370">
        <f>VLOOKUP(C2364,'Data Panjang Balok'!$C$9:$N$424,3,FALSE)</f>
        <v>1</v>
      </c>
    </row>
    <row r="2371">
      <c r="A2371" t="str">
        <f>A2364</f>
        <v>Sloof</v>
      </c>
      <c r="B2371">
        <f>B2364</f>
        <v>71</v>
      </c>
      <c r="C2371" t="str">
        <v>Tul Atas Tumpuan</v>
      </c>
      <c r="D2371">
        <f>VLOOKUP(D2364,'Detail Balok'!$C$10:$AU$110,4,FALSE)</f>
        <v>3</v>
      </c>
      <c r="E2371" t="str">
        <v>D</v>
      </c>
      <c r="F2371">
        <f>VLOOKUP(D2364,'Detail Balok'!$C$10:$AU$110,6,FALSE)</f>
        <v>16</v>
      </c>
      <c r="I2371" t="str">
        <v>(</v>
      </c>
      <c r="J2371">
        <f>+D2366/4/1000</f>
        <v>0.82875</v>
      </c>
      <c r="K2371" t="str">
        <v>+</v>
      </c>
      <c r="L2371">
        <f>MAX(VLOOKUP(F2371,N$6:P$15,3,FALSE)/1000,2/3*D2368/1000)+F$16*F2371/1000</f>
        <v>0.192</v>
      </c>
      <c r="M2371" t="str">
        <v>=</v>
      </c>
      <c r="N2371">
        <f>J2371+L2371</f>
        <v>1.02075</v>
      </c>
      <c r="O2371" t="str">
        <v>+</v>
      </c>
      <c r="P2371">
        <f>D2371-D2372</f>
        <v>0</v>
      </c>
      <c r="Q2371" t="str">
        <v>x</v>
      </c>
      <c r="R2371">
        <f>IF(P2371&gt;0,$F$18*F2371/1000,0)</f>
        <v>0</v>
      </c>
      <c r="S2371" t="str">
        <v>)</v>
      </c>
      <c r="T2371" t="str">
        <v>x</v>
      </c>
      <c r="U2371">
        <f>0.006165*F2371^2</f>
        <v>1.57824</v>
      </c>
      <c r="X2371" t="str">
        <v>x</v>
      </c>
      <c r="Y2371">
        <f>D2370</f>
        <v>1</v>
      </c>
      <c r="Z2371" t="str">
        <v>=</v>
      </c>
      <c r="AA2371">
        <f>IF(AA2374=0,(D2371*N2371+P2371*R2371)*U2371*Y2371,0)</f>
        <v>0</v>
      </c>
    </row>
    <row r="2372">
      <c r="A2372" t="str">
        <f>A2364</f>
        <v>Sloof</v>
      </c>
      <c r="B2372">
        <f>B2364</f>
        <v>71</v>
      </c>
      <c r="C2372" t="str">
        <v>Tul Atas Lapangan</v>
      </c>
      <c r="D2372">
        <f>VLOOKUP(D2364,'Detail Balok'!$C$10:$AU$110,7,FALSE)</f>
        <v>3</v>
      </c>
      <c r="E2372" t="str">
        <v>D</v>
      </c>
      <c r="F2372">
        <f>VLOOKUP(D2364,'Detail Balok'!$C$10:$AU$110,9,FALSE)</f>
        <v>16</v>
      </c>
      <c r="I2372" t="str">
        <v>(</v>
      </c>
      <c r="J2372">
        <f>+D2366/2/1000</f>
        <v>1.6575</v>
      </c>
      <c r="K2372" t="str">
        <v>+</v>
      </c>
      <c r="M2372" t="str">
        <v>=</v>
      </c>
      <c r="N2372">
        <f>J2372+L2372</f>
        <v>1.6575</v>
      </c>
      <c r="O2372" t="str">
        <v>+</v>
      </c>
      <c r="P2372">
        <f>MAX(D2372-D2371,D2372-D2373)</f>
        <v>0</v>
      </c>
      <c r="Q2372" t="str">
        <v>x</v>
      </c>
      <c r="R2372">
        <f>IF(P2372&gt;0,2*(1-2*$F$19-1/2)*D2367/1000,0)</f>
        <v>0</v>
      </c>
      <c r="S2372" t="str">
        <v>)</v>
      </c>
      <c r="T2372" t="str">
        <v>x</v>
      </c>
      <c r="U2372">
        <f>0.006165*F2372^2</f>
        <v>1.57824</v>
      </c>
      <c r="X2372" t="str">
        <v>x</v>
      </c>
      <c r="Y2372">
        <f>D2370</f>
        <v>1</v>
      </c>
      <c r="Z2372" t="str">
        <v>=</v>
      </c>
      <c r="AA2372">
        <f>IF(AA2374=0,(D2372*N2372+P2372*R2372)*U2372*Y2372,0)</f>
        <v>0</v>
      </c>
    </row>
    <row r="2373">
      <c r="A2373" t="str">
        <f>A2364</f>
        <v>Sloof</v>
      </c>
      <c r="B2373">
        <f>B2364</f>
        <v>71</v>
      </c>
      <c r="C2373" t="str">
        <v>Tul Atas Tumpuan</v>
      </c>
      <c r="D2373">
        <f>VLOOKUP(D2364,'Detail Balok'!$C$10:$AU$110,10,FALSE)</f>
        <v>3</v>
      </c>
      <c r="E2373" t="str">
        <v>D</v>
      </c>
      <c r="F2373">
        <f>VLOOKUP(D2364,'Detail Balok'!$C$10:$AU$110,12,FALSE)</f>
        <v>16</v>
      </c>
      <c r="I2373" t="str">
        <v>(</v>
      </c>
      <c r="J2373">
        <f>+D2366/4/1000</f>
        <v>0.82875</v>
      </c>
      <c r="K2373" t="str">
        <v>+</v>
      </c>
      <c r="L2373">
        <f>MAX(VLOOKUP(F2373,N$6:P$15,3,FALSE)/1000,2/3*D2368/1000)+F$16*F2373/1000</f>
        <v>0.192</v>
      </c>
      <c r="M2373" t="str">
        <v>=</v>
      </c>
      <c r="N2373">
        <f>J2373+L2373</f>
        <v>1.02075</v>
      </c>
      <c r="O2373" t="str">
        <v>+</v>
      </c>
      <c r="P2373">
        <f>D2373-D2372</f>
        <v>0</v>
      </c>
      <c r="Q2373" t="str">
        <v>x</v>
      </c>
      <c r="R2373">
        <f>IF(P2373&gt;0,$F$18*F2373/1000,0)</f>
        <v>0</v>
      </c>
      <c r="S2373" t="str">
        <v>)</v>
      </c>
      <c r="T2373" t="str">
        <v>x</v>
      </c>
      <c r="U2373">
        <f>0.006165*F2373^2</f>
        <v>1.57824</v>
      </c>
      <c r="X2373" t="str">
        <v>x</v>
      </c>
      <c r="Y2373">
        <f>D2370</f>
        <v>1</v>
      </c>
      <c r="Z2373" t="str">
        <v>=</v>
      </c>
      <c r="AA2373">
        <f>IF(AA2374=0,(D2373*N2373+P2373*R2373)*U2373*Y2373,0)</f>
        <v>0</v>
      </c>
    </row>
    <row r="2374">
      <c r="A2374" t="str">
        <f>A2364</f>
        <v>Sloof</v>
      </c>
      <c r="B2374">
        <f>B2364</f>
        <v>71</v>
      </c>
      <c r="D2374">
        <f>IF(AND(D2371=D2372,D2372=D2373,D2371=D2373),D2371,0)</f>
        <v>3</v>
      </c>
      <c r="E2374" t="str">
        <v>D</v>
      </c>
      <c r="F2374">
        <f>IF(AND(F2371=F2372,F2371=F2373,F2372=F2373),F2371,0)</f>
        <v>16</v>
      </c>
      <c r="L2374" t="str">
        <v>Total panjang per balok</v>
      </c>
      <c r="M2374" t="str">
        <v>=</v>
      </c>
      <c r="N2374">
        <f>IF(AND(D2371=D2372,D2371=D2373,D2372=D2373,F2371=F2372,F2371=F2373,F2372=F2373),SUM(N2371:N2373),0)</f>
        <v>3.6990000000000003</v>
      </c>
      <c r="O2374" t="str">
        <v>+</v>
      </c>
      <c r="P2374">
        <f>IF(N2374&gt;12,ROUNDDOWN(N2374/12,0),0)</f>
        <v>0</v>
      </c>
      <c r="Q2374" t="str">
        <v>x</v>
      </c>
      <c r="R2374">
        <f>IF(P2374&gt;0,MAX(VLOOKUP(F2374,$D$6:$G$15,3,FALSE),600),0)/1000</f>
        <v>0</v>
      </c>
      <c r="T2374" t="str">
        <v>x</v>
      </c>
      <c r="U2374">
        <f>U2373</f>
        <v>1.57824</v>
      </c>
      <c r="V2374" t="str">
        <v>x</v>
      </c>
      <c r="W2374">
        <f>D2374</f>
        <v>3</v>
      </c>
      <c r="X2374" t="str">
        <v>x</v>
      </c>
      <c r="Y2374">
        <f>Y2373</f>
        <v>1</v>
      </c>
      <c r="Z2374" t="str">
        <v>=</v>
      </c>
      <c r="AA2374">
        <f>(N2374+P2374*R2374/1000)*U2374*W2374*Y2374</f>
        <v>17.51372928</v>
      </c>
    </row>
    <row r="2376">
      <c r="A2376" t="str">
        <f>A2364</f>
        <v>Sloof</v>
      </c>
      <c r="B2376">
        <f>B2364</f>
        <v>71</v>
      </c>
      <c r="C2376" t="str">
        <v>Tul Peminggang</v>
      </c>
      <c r="D2376">
        <f>VLOOKUP(D2364,'Detail Balok'!$C$10:$AU$110,13,FALSE)</f>
        <v>2</v>
      </c>
      <c r="E2376" t="str">
        <v>D</v>
      </c>
      <c r="F2376">
        <f>VLOOKUP(D2364,'Detail Balok'!$C$10:$AU$110,15,FALSE)</f>
        <v>10</v>
      </c>
      <c r="J2376">
        <f>+D2366/1000</f>
        <v>3.315</v>
      </c>
      <c r="K2376" t="str">
        <v>+</v>
      </c>
      <c r="L2376">
        <f>2*$F$16*F2376/1000</f>
        <v>0.24</v>
      </c>
      <c r="M2376" t="str">
        <v>=</v>
      </c>
      <c r="N2376">
        <f>J2376+L2376</f>
        <v>3.5549999999999997</v>
      </c>
      <c r="O2376" t="str">
        <v>+</v>
      </c>
      <c r="P2376">
        <f>IF(N2376&gt;12,ROUNDDOWN(N2376/12,0),0)</f>
        <v>0</v>
      </c>
      <c r="Q2376" t="str">
        <v>x</v>
      </c>
      <c r="R2376">
        <f>IF(P2376&gt;0,MAX(VLOOKUP(F2376,$D$6:$G$15,3,FALSE),600),0)/1000</f>
        <v>0</v>
      </c>
      <c r="T2376" t="str">
        <v>x</v>
      </c>
      <c r="U2376">
        <f>0.006165*F2376^2</f>
        <v>0.6165</v>
      </c>
      <c r="V2376" t="str">
        <v>x</v>
      </c>
      <c r="W2376">
        <f>+D2376</f>
        <v>2</v>
      </c>
      <c r="X2376" t="str">
        <v>x</v>
      </c>
      <c r="Y2376">
        <f>D2370</f>
        <v>1</v>
      </c>
      <c r="Z2376" t="str">
        <v>=</v>
      </c>
      <c r="AA2376">
        <f>(N2376+P2376*R2376/1000)*U2376*W2376*Y2376</f>
        <v>4.383315</v>
      </c>
    </row>
    <row r="2379">
      <c r="A2379" t="str">
        <f>A2364</f>
        <v>Sloof</v>
      </c>
      <c r="B2379">
        <f>B2364</f>
        <v>71</v>
      </c>
      <c r="C2379" t="str">
        <v>Tul Bawah Tumpuan</v>
      </c>
      <c r="D2379">
        <f>VLOOKUP(D2364,'Detail Balok'!$C$10:$AU$110,22,FALSE)</f>
        <v>3</v>
      </c>
      <c r="E2379" t="str">
        <v>D</v>
      </c>
      <c r="F2379">
        <f>VLOOKUP(D2364,'Detail Balok'!$C$10:$AU$110,24,FALSE)</f>
        <v>16</v>
      </c>
      <c r="I2379" t="str">
        <v>(</v>
      </c>
      <c r="J2379">
        <f>+J2371</f>
        <v>0.82875</v>
      </c>
      <c r="K2379" t="str">
        <v>+</v>
      </c>
      <c r="L2379">
        <f>MAX(VLOOKUP(F2379,N$6:P$15,3,FALSE)/1000,2/3*D2369/1000)+F$16*F2379/1000</f>
        <v>0.192</v>
      </c>
      <c r="M2379" t="str">
        <v>=</v>
      </c>
      <c r="N2379">
        <f>J2379+L2379</f>
        <v>1.02075</v>
      </c>
      <c r="O2379" t="str">
        <v>+</v>
      </c>
      <c r="P2379">
        <f>D2379-D2380</f>
        <v>0</v>
      </c>
      <c r="Q2379" t="str">
        <v>x</v>
      </c>
      <c r="R2379">
        <f>IF(P2379&gt;0,$F$18*F2379/1000,0)</f>
        <v>0</v>
      </c>
      <c r="S2379" t="str">
        <v>)</v>
      </c>
      <c r="T2379" t="str">
        <v>x</v>
      </c>
      <c r="U2379">
        <f>0.006165*F2379^2</f>
        <v>1.57824</v>
      </c>
      <c r="X2379" t="str">
        <v>x</v>
      </c>
      <c r="Y2379">
        <f>D2370</f>
        <v>1</v>
      </c>
      <c r="Z2379" t="str">
        <v>=</v>
      </c>
      <c r="AA2379">
        <f>IF(AA2382=0,(D2379*N2379+P2379*R2379)*U2379*Y2379,0)</f>
        <v>0</v>
      </c>
    </row>
    <row r="2380">
      <c r="A2380" t="str">
        <f>A2364</f>
        <v>Sloof</v>
      </c>
      <c r="B2380">
        <f>B2364</f>
        <v>71</v>
      </c>
      <c r="C2380" t="str">
        <v>Tul Bawah Lapangan</v>
      </c>
      <c r="D2380">
        <f>VLOOKUP(D2364,'Detail Balok'!$C$10:$AU$110,25,FALSE)</f>
        <v>3</v>
      </c>
      <c r="E2380" t="str">
        <v>D</v>
      </c>
      <c r="F2380">
        <f>VLOOKUP(D2364,'Detail Balok'!$C$10:$AU$110,27,FALSE)</f>
        <v>16</v>
      </c>
      <c r="I2380" t="str">
        <v>(</v>
      </c>
      <c r="J2380">
        <f>+J2372</f>
        <v>1.6575</v>
      </c>
      <c r="K2380" t="str">
        <v>+</v>
      </c>
      <c r="M2380" t="str">
        <v>=</v>
      </c>
      <c r="N2380">
        <f>J2380+L2380</f>
        <v>1.6575</v>
      </c>
      <c r="O2380" t="str">
        <v>+</v>
      </c>
      <c r="P2380">
        <f>MAX(D2380-D2379,D2380-D2381)</f>
        <v>0</v>
      </c>
      <c r="Q2380" t="str">
        <v>x</v>
      </c>
      <c r="R2380">
        <f>IF(P2380&gt;0,2*(1-2*$F$19-1/2)*D2367/1000,0)</f>
        <v>0</v>
      </c>
      <c r="S2380" t="str">
        <v>)</v>
      </c>
      <c r="T2380" t="str">
        <v>x</v>
      </c>
      <c r="U2380">
        <f>0.006165*F2380^2</f>
        <v>1.57824</v>
      </c>
      <c r="X2380" t="str">
        <v>x</v>
      </c>
      <c r="Y2380">
        <f>D2370</f>
        <v>1</v>
      </c>
      <c r="Z2380" t="str">
        <v>=</v>
      </c>
      <c r="AA2380">
        <f>IF(AA2382=0,(D2380*N2380+P2380*R2380)*U2380*Y2380,0)</f>
        <v>0</v>
      </c>
    </row>
    <row r="2381">
      <c r="A2381" t="str">
        <f>A2364</f>
        <v>Sloof</v>
      </c>
      <c r="B2381">
        <f>B2364</f>
        <v>71</v>
      </c>
      <c r="C2381" t="str">
        <v>Tul Bawah Tumpuan</v>
      </c>
      <c r="D2381">
        <f>VLOOKUP(D2364,'Detail Balok'!$C$10:$AU$110,28,FALSE)</f>
        <v>3</v>
      </c>
      <c r="E2381" t="str">
        <v>D</v>
      </c>
      <c r="F2381">
        <f>VLOOKUP(D2364,'Detail Balok'!$C$10:$AU$110,30,FALSE)</f>
        <v>16</v>
      </c>
      <c r="I2381" t="str">
        <v>(</v>
      </c>
      <c r="J2381">
        <f>+J2373</f>
        <v>0.82875</v>
      </c>
      <c r="K2381" t="str">
        <v>+</v>
      </c>
      <c r="L2381">
        <f>MAX(VLOOKUP(F2381,N$6:P$15,3,FALSE)/1000,2/3*D2369/1000)+F$16*F2381/1000</f>
        <v>0.192</v>
      </c>
      <c r="M2381" t="str">
        <v>=</v>
      </c>
      <c r="N2381">
        <f>J2381+L2381</f>
        <v>1.02075</v>
      </c>
      <c r="O2381" t="str">
        <v>+</v>
      </c>
      <c r="P2381">
        <f>D2381-D2380</f>
        <v>0</v>
      </c>
      <c r="Q2381" t="str">
        <v>x</v>
      </c>
      <c r="R2381">
        <f>IF(P2381&gt;0,$F$18*F2381/1000,0)</f>
        <v>0</v>
      </c>
      <c r="S2381" t="str">
        <v>)</v>
      </c>
      <c r="T2381" t="str">
        <v>x</v>
      </c>
      <c r="U2381">
        <f>0.006165*F2381^2</f>
        <v>1.57824</v>
      </c>
      <c r="X2381" t="str">
        <v>x</v>
      </c>
      <c r="Y2381">
        <f>D2370</f>
        <v>1</v>
      </c>
      <c r="Z2381" t="str">
        <v>=</v>
      </c>
      <c r="AA2381">
        <f>IF(AA2382=0,(D2381*N2381+P2381*R2381)*U2381*Y2381,0)</f>
        <v>0</v>
      </c>
    </row>
    <row r="2382">
      <c r="A2382" t="str">
        <f>A2364</f>
        <v>Sloof</v>
      </c>
      <c r="B2382">
        <f>B2364</f>
        <v>71</v>
      </c>
      <c r="D2382">
        <f>IF(AND(D2379=D2380,D2380=D2381,D2379=D2381),D2379,0)</f>
        <v>3</v>
      </c>
      <c r="E2382" t="str">
        <v>D</v>
      </c>
      <c r="F2382">
        <f>IF(AND(F2379=F2380,F2379=F2381,F2380=F2381),F2379,0)</f>
        <v>16</v>
      </c>
      <c r="L2382" t="str">
        <v>Total panjang per balok</v>
      </c>
      <c r="M2382" t="str">
        <v>=</v>
      </c>
      <c r="N2382">
        <f>IF(AND(D2379=D2380,D2379=D2381,D2380=D2381,F2379=F2380,F2379=F2381,F2380=F2381),SUM(N2379:N2381),0)</f>
        <v>3.6990000000000003</v>
      </c>
      <c r="O2382" t="str">
        <v>+</v>
      </c>
      <c r="P2382">
        <f>IF(N2382&gt;12,ROUNDDOWN(N2382/12,0),0)</f>
        <v>0</v>
      </c>
      <c r="Q2382" t="str">
        <v>x</v>
      </c>
      <c r="R2382">
        <f>IF(P2382&gt;0,MAX(VLOOKUP(F2382,$D$6:$G$15,3,FALSE),600),0)/1000</f>
        <v>0</v>
      </c>
      <c r="T2382" t="str">
        <v>x</v>
      </c>
      <c r="U2382">
        <f>U2381</f>
        <v>1.57824</v>
      </c>
      <c r="V2382" t="str">
        <v>x</v>
      </c>
      <c r="W2382">
        <f>D2382</f>
        <v>3</v>
      </c>
      <c r="X2382" t="str">
        <v>x</v>
      </c>
      <c r="Y2382">
        <f>Y2381</f>
        <v>1</v>
      </c>
      <c r="Z2382" t="str">
        <v>=</v>
      </c>
      <c r="AA2382">
        <f>(N2382+P2382*R2382/1000)*U2382*W2382*Y2382</f>
        <v>17.51372928</v>
      </c>
    </row>
    <row r="2384">
      <c r="A2384" t="str">
        <f>A2364</f>
        <v>Sloof</v>
      </c>
      <c r="B2384">
        <f>B2364</f>
        <v>71</v>
      </c>
      <c r="C2384" t="str">
        <v>Sengkang Tumpuan</v>
      </c>
      <c r="D2384">
        <f>VLOOKUP(D2364,'Detail Balok'!$C$10:$AU$110,31,FALSE)</f>
        <v>0</v>
      </c>
      <c r="E2384" t="str">
        <v>D</v>
      </c>
      <c r="F2384">
        <f>VLOOKUP(D2364,'Detail Balok'!$C$10:$AU$110,33,FALSE)</f>
        <v>10</v>
      </c>
      <c r="G2384" t="str">
        <v>-</v>
      </c>
      <c r="H2384">
        <f>VLOOKUP(D2364,'Detail Balok'!$C$10:$AU$110,35,FALSE)</f>
        <v>200</v>
      </c>
      <c r="J2384">
        <f>(IF(D2384=0,(2*(D2365+G2365))-(F$5*8),IF(D2384=3,(2*(D2365+G2365))-(F$5*8)+(G2365-2*F$5),IF(D2384=4,(2*(D2365+G2365))-(F$5*8)+2*(G2365-2*F$5)))))/1000</f>
        <v>1.08</v>
      </c>
      <c r="K2384" t="str">
        <v>+</v>
      </c>
      <c r="L2384">
        <f>IF(D2384=0,2*MAX(6*F2384,75),(D2384-1)*2*MAX(6*F2384,75))/1000</f>
        <v>0.15</v>
      </c>
      <c r="M2384" t="str">
        <v>=</v>
      </c>
      <c r="N2384">
        <f>J2384+L2384</f>
        <v>1.23</v>
      </c>
      <c r="T2384" t="str">
        <v>x</v>
      </c>
      <c r="U2384">
        <f>0.006165*F2384^2</f>
        <v>0.6165</v>
      </c>
      <c r="V2384" t="str">
        <v>x</v>
      </c>
      <c r="W2384">
        <f>IF(D2367&gt;4*G2365,ROUND(MAX(D2367/4,2*G2365)/H2384,0)+1,ROUND(D2367/H2384,0)+1)</f>
        <v>6</v>
      </c>
      <c r="X2384" t="str">
        <v>x</v>
      </c>
      <c r="Y2384">
        <f>D2370</f>
        <v>1</v>
      </c>
      <c r="Z2384" t="str">
        <v>=</v>
      </c>
      <c r="AA2384">
        <f>N2384*U2384*W2384*Y2384</f>
        <v>4.5497700000000005</v>
      </c>
    </row>
    <row r="2385">
      <c r="A2385" t="str">
        <f>A2364</f>
        <v>Sloof</v>
      </c>
      <c r="B2385">
        <f>B2364</f>
        <v>71</v>
      </c>
      <c r="C2385" t="str">
        <v>Sengkang Lapangan</v>
      </c>
      <c r="D2385">
        <f>VLOOKUP(D2364,'Detail Balok'!$C$10:$AU$110,36,FALSE)</f>
        <v>0</v>
      </c>
      <c r="E2385" t="str">
        <v>D</v>
      </c>
      <c r="F2385">
        <f>VLOOKUP(D2364,'Detail Balok'!$C$10:$AU$110,38,FALSE)</f>
        <v>10</v>
      </c>
      <c r="G2385" t="str">
        <v>-</v>
      </c>
      <c r="H2385">
        <f>VLOOKUP(D2364,'Detail Balok'!$C$10:$AU$110,40,FALSE)</f>
        <v>200</v>
      </c>
      <c r="J2385">
        <f>(IF(D2385=0,(2*(D2365+G2365))-(F$5*8),IF(D2385=3,(2*(D2365+G2365))-(F$5*8)+(G2365-2*F$5),IF(D2385=4,(2*(D2365+G2365))-(F$5*8)+2*(G2365-2*F$5)))))/1000</f>
        <v>1.08</v>
      </c>
      <c r="K2385" t="str">
        <v>+</v>
      </c>
      <c r="L2385">
        <f>IF(D2385=0,2*MAX(6*F2385,75),(D2385-1)*2*MAX(6*F2385,75))/1000</f>
        <v>0.15</v>
      </c>
      <c r="M2385" t="str">
        <v>=</v>
      </c>
      <c r="N2385">
        <f>J2385+L2385</f>
        <v>1.23</v>
      </c>
      <c r="T2385" t="str">
        <v>x</v>
      </c>
      <c r="U2385">
        <f>0.006165*F2385^2</f>
        <v>0.6165</v>
      </c>
      <c r="V2385" t="str">
        <v>x</v>
      </c>
      <c r="W2385">
        <f>IF(D2367-MAX(D2367/4,2*G2365)*2&gt;0,ROUND((D2367-MAX(D2367/4,2*G2365)*2)/H2385,0),0)</f>
        <v>7</v>
      </c>
      <c r="X2385" t="str">
        <v>x</v>
      </c>
      <c r="Y2385">
        <f>D2370</f>
        <v>1</v>
      </c>
      <c r="Z2385" t="str">
        <v>=</v>
      </c>
      <c r="AA2385">
        <f>N2385*U2385*W2385*Y2385</f>
        <v>5.308065</v>
      </c>
    </row>
    <row r="2386">
      <c r="A2386" t="str">
        <f>A2364</f>
        <v>Sloof</v>
      </c>
      <c r="B2386">
        <f>B2364</f>
        <v>71</v>
      </c>
      <c r="C2386" t="str">
        <v>Sengkang Tumpuan</v>
      </c>
      <c r="D2386">
        <f>VLOOKUP(D2364,'Detail Balok'!$C$10:$AU$110,41,FALSE)</f>
        <v>0</v>
      </c>
      <c r="E2386" t="str">
        <v>D</v>
      </c>
      <c r="F2386">
        <f>VLOOKUP(D2364,'Detail Balok'!$C$10:$AU$110,43,FALSE)</f>
        <v>10</v>
      </c>
      <c r="G2386" t="str">
        <v>-</v>
      </c>
      <c r="H2386">
        <f>VLOOKUP(D2364,'Detail Balok'!$C$10:$AU$110,45,FALSE)</f>
        <v>200</v>
      </c>
      <c r="J2386">
        <f>(IF(D2386=0,(2*(D2365+G2365))-(F$5*8),IF(D2386=3,(2*(D2365+G2365))-(F$5*8)+(G2365-2*F$5),IF(D2386=4,(2*(D2365+G2365))-(F$5*8)+2*(G2365-2*F$5)))))/1000</f>
        <v>1.08</v>
      </c>
      <c r="K2386" t="str">
        <v>+</v>
      </c>
      <c r="L2386">
        <f>IF(D2386=0,2*MAX(6*F2386,75),(D2386-1)*2*MAX(6*F2386,75))/1000</f>
        <v>0.15</v>
      </c>
      <c r="M2386" t="str">
        <v>=</v>
      </c>
      <c r="N2386">
        <f>J2386+L2386</f>
        <v>1.23</v>
      </c>
      <c r="T2386" t="str">
        <v>x</v>
      </c>
      <c r="U2386">
        <f>0.006165*F2386^2</f>
        <v>0.6165</v>
      </c>
      <c r="V2386" t="str">
        <v>x</v>
      </c>
      <c r="W2386">
        <f>IF(D2367&gt;4*G2365,ROUND(MAX(D2367/4,2*G2365)/H2386,0)+1,0)</f>
        <v>6</v>
      </c>
      <c r="X2386" t="str">
        <v>x</v>
      </c>
      <c r="Y2386">
        <f>D2370</f>
        <v>1</v>
      </c>
      <c r="Z2386" t="str">
        <v>=</v>
      </c>
      <c r="AA2386">
        <f>N2386*U2386*W2386*Y2386</f>
        <v>4.5497700000000005</v>
      </c>
    </row>
    <row r="2388">
      <c r="A2388" t="str">
        <f>A2364</f>
        <v>Sloof</v>
      </c>
      <c r="B2388">
        <f>B2364</f>
        <v>71</v>
      </c>
      <c r="C2388" t="str">
        <v>Kait Horizontal Tump.</v>
      </c>
      <c r="D2388">
        <f>VLOOKUP(D2364,'Detail Balok'!$C$10:$BJ$110,46,FALSE)</f>
        <v>0</v>
      </c>
      <c r="E2388" t="str">
        <v>D</v>
      </c>
      <c r="F2388">
        <f>VLOOKUP(D2364,'Detail Balok'!$C$10:$BJ$110,48,FALSE)</f>
        <v>0</v>
      </c>
      <c r="G2388" t="str">
        <v>-</v>
      </c>
      <c r="H2388">
        <f>VLOOKUP(D2364,'Detail Balok'!$C$10:$BJ$110,50,FALSE)</f>
        <v>100</v>
      </c>
      <c r="J2388">
        <f>(D2365-2*F$5)/1000</f>
        <v>0.12</v>
      </c>
      <c r="K2388" t="str">
        <v>+</v>
      </c>
      <c r="L2388">
        <f>IF(D2388=0,2*MAX(6*F2388,75),(D2388-1)*2*MAX(6*F2388,75))/1000</f>
        <v>0.15</v>
      </c>
      <c r="M2388" t="str">
        <v>=</v>
      </c>
      <c r="N2388">
        <f>J2388+L2388</f>
        <v>0.27</v>
      </c>
      <c r="T2388" t="str">
        <v>x</v>
      </c>
      <c r="U2388">
        <f>0.006165*F2388^2</f>
        <v>0</v>
      </c>
      <c r="V2388" t="str">
        <v>x</v>
      </c>
      <c r="W2388">
        <f>W2384</f>
        <v>6</v>
      </c>
      <c r="X2388" t="str">
        <v>x</v>
      </c>
      <c r="Y2388">
        <f>D2374</f>
        <v>3</v>
      </c>
      <c r="Z2388" t="str">
        <v>=</v>
      </c>
      <c r="AA2388">
        <f>N2388*U2388*W2388*Y2388</f>
        <v>0</v>
      </c>
    </row>
    <row r="2389">
      <c r="A2389" t="str">
        <f>A2364</f>
        <v>Sloof</v>
      </c>
      <c r="B2389">
        <f>B2364</f>
        <v>71</v>
      </c>
      <c r="C2389" t="str">
        <v>Kait Horizontal Lap.</v>
      </c>
      <c r="D2389">
        <f>VLOOKUP(D2364,'Detail Balok'!$C$10:$BJ$110,51,FALSE)</f>
        <v>0</v>
      </c>
      <c r="E2389" t="str">
        <v>D</v>
      </c>
      <c r="F2389">
        <f>VLOOKUP(D2364,'Detail Balok'!$C$10:$BJ$110,53,FALSE)</f>
        <v>0</v>
      </c>
      <c r="G2389" t="str">
        <v>-</v>
      </c>
      <c r="H2389">
        <f>VLOOKUP(D2364,'Detail Balok'!$C$10:$BJ$110,55,FALSE)</f>
        <v>100</v>
      </c>
      <c r="J2389">
        <f>(D2365-2*F$5)/1000</f>
        <v>0.12</v>
      </c>
      <c r="K2389" t="str">
        <v>+</v>
      </c>
      <c r="L2389">
        <f>IF(D2389=0,2*MAX(6*F2389,75),(D2389-1)*2*MAX(6*F2389,75))/1000</f>
        <v>0.15</v>
      </c>
      <c r="M2389" t="str">
        <v>=</v>
      </c>
      <c r="N2389">
        <f>J2389+L2389</f>
        <v>0.27</v>
      </c>
      <c r="T2389" t="str">
        <v>x</v>
      </c>
      <c r="U2389">
        <f>0.006165*F2389^2</f>
        <v>0</v>
      </c>
      <c r="V2389" t="str">
        <v>x</v>
      </c>
      <c r="W2389">
        <f>W2385</f>
        <v>7</v>
      </c>
      <c r="X2389" t="str">
        <v>x</v>
      </c>
      <c r="Y2389">
        <f>D2374</f>
        <v>3</v>
      </c>
      <c r="Z2389" t="str">
        <v>=</v>
      </c>
      <c r="AA2389">
        <f>N2389*U2389*W2389*Y2389</f>
        <v>0</v>
      </c>
    </row>
    <row r="2390">
      <c r="A2390" t="str">
        <f>A2364</f>
        <v>Sloof</v>
      </c>
      <c r="B2390">
        <f>B2364</f>
        <v>71</v>
      </c>
      <c r="C2390" t="str">
        <v>Kait Horizontal Tump.</v>
      </c>
      <c r="D2390">
        <f>VLOOKUP(D2364,'Detail Balok'!$C$10:$BJ$110,56,FALSE)</f>
        <v>0</v>
      </c>
      <c r="E2390" t="str">
        <v>D</v>
      </c>
      <c r="F2390">
        <f>VLOOKUP(D2364,'Detail Balok'!$C$10:$BJ$110,58,FALSE)</f>
        <v>0</v>
      </c>
      <c r="G2390" t="str">
        <v>-</v>
      </c>
      <c r="H2390">
        <f>VLOOKUP(D2364,'Detail Balok'!$C$10:$BJ$110,60,FALSE)</f>
        <v>100</v>
      </c>
      <c r="J2390">
        <f>(D2365-2*F$5)/1000</f>
        <v>0.12</v>
      </c>
      <c r="K2390" t="str">
        <v>+</v>
      </c>
      <c r="L2390">
        <f>IF(D2390=0,2*MAX(6*F2390,75),(D2390-1)*2*MAX(6*F2390,75))/1000</f>
        <v>0.15</v>
      </c>
      <c r="M2390" t="str">
        <v>=</v>
      </c>
      <c r="N2390">
        <f>J2390+L2390</f>
        <v>0.27</v>
      </c>
      <c r="T2390" t="str">
        <v>x</v>
      </c>
      <c r="U2390">
        <f>0.006165*F2390^2</f>
        <v>0</v>
      </c>
      <c r="V2390" t="str">
        <v>x</v>
      </c>
      <c r="W2390">
        <f>W2386</f>
        <v>6</v>
      </c>
      <c r="X2390" t="str">
        <v>x</v>
      </c>
      <c r="Y2390">
        <f>D2374</f>
        <v>3</v>
      </c>
      <c r="Z2390" t="str">
        <v>=</v>
      </c>
      <c r="AA2390">
        <f>N2390*U2390*W2390*Y2390</f>
        <v>0</v>
      </c>
    </row>
    <row r="2394">
      <c r="A2394" t="str">
        <f>A2364</f>
        <v>Sloof</v>
      </c>
      <c r="B2394">
        <f>B2364+1</f>
        <v>72</v>
      </c>
      <c r="C2394" t="str">
        <f>CONCATENATE(A2394," no. ",B2394)</f>
        <v>Sloof no. 72</v>
      </c>
      <c r="D2394" t="str">
        <f>VLOOKUP(C2394,'Data Panjang Balok'!$C$9:$N$424,2,FALSE)</f>
        <v>TB245-2</v>
      </c>
    </row>
    <row r="2395">
      <c r="C2395" t="str">
        <v>Dimensi</v>
      </c>
      <c r="D2395">
        <f>VLOOKUP(D2394,'Detail Balok'!$C$10:$AU$110,2,FALSE)</f>
        <v>200</v>
      </c>
      <c r="F2395" t="str">
        <v>x</v>
      </c>
      <c r="G2395">
        <f>VLOOKUP(D2394,'Detail Balok'!$C$10:$AU$110,3,FALSE)</f>
        <v>450</v>
      </c>
    </row>
    <row r="2396">
      <c r="C2396" t="str">
        <v>Panjang as ke as</v>
      </c>
      <c r="D2396">
        <f>VLOOKUP(C2394,'Data Panjang Balok'!$C$9:$N$424,4,FALSE)</f>
        <v>6185</v>
      </c>
    </row>
    <row r="2397">
      <c r="C2397" t="str">
        <v>Panjang netto</v>
      </c>
      <c r="D2397">
        <f>VLOOKUP(C2394,'Data Panjang Balok'!$C$9:$N$424,7,FALSE)</f>
        <v>6185</v>
      </c>
    </row>
    <row r="2398">
      <c r="C2398" t="str">
        <v>Kolom / balok kiri</v>
      </c>
      <c r="D2398">
        <f>VLOOKUP(C2394,'Data Panjang Balok'!$C$9:$N$424,9,FALSE)</f>
        <v>0</v>
      </c>
    </row>
    <row r="2399">
      <c r="C2399" t="str">
        <v>Kolom / balok kanan</v>
      </c>
      <c r="D2399">
        <f>VLOOKUP(C2394,'Data Panjang Balok'!$C$9:$N$424,10,FALSE)</f>
        <v>0</v>
      </c>
    </row>
    <row r="2400">
      <c r="C2400" t="str">
        <v>Jumlah</v>
      </c>
      <c r="D2400">
        <f>VLOOKUP(C2394,'Data Panjang Balok'!$C$9:$N$424,3,FALSE)</f>
        <v>1</v>
      </c>
    </row>
    <row r="2401">
      <c r="A2401" t="str">
        <f>A2394</f>
        <v>Sloof</v>
      </c>
      <c r="B2401">
        <f>B2394</f>
        <v>72</v>
      </c>
      <c r="C2401" t="str">
        <v>Tul Atas Tumpuan</v>
      </c>
      <c r="D2401">
        <f>VLOOKUP(D2394,'Detail Balok'!$C$10:$AU$110,4,FALSE)</f>
        <v>4</v>
      </c>
      <c r="E2401" t="str">
        <v>D</v>
      </c>
      <c r="F2401">
        <f>VLOOKUP(D2394,'Detail Balok'!$C$10:$AU$110,6,FALSE)</f>
        <v>13</v>
      </c>
      <c r="I2401" t="str">
        <v>(</v>
      </c>
      <c r="J2401">
        <f>+D2396/4/1000</f>
        <v>1.54625</v>
      </c>
      <c r="K2401" t="str">
        <v>+</v>
      </c>
      <c r="L2401">
        <f>MAX(VLOOKUP(F2401,N$6:P$15,3,FALSE)/1000,2/3*D2398/1000)+F$16*F2401/1000</f>
        <v>0.156</v>
      </c>
      <c r="M2401" t="str">
        <v>=</v>
      </c>
      <c r="N2401">
        <f>J2401+L2401</f>
        <v>1.7022499999999998</v>
      </c>
      <c r="O2401" t="str">
        <v>+</v>
      </c>
      <c r="P2401">
        <f>D2401-D2402</f>
        <v>2</v>
      </c>
      <c r="Q2401" t="str">
        <v>x</v>
      </c>
      <c r="R2401">
        <f>IF(P2401&gt;0,$F$18*F2401/1000,0)</f>
        <v>0.195</v>
      </c>
      <c r="S2401" t="str">
        <v>)</v>
      </c>
      <c r="T2401" t="str">
        <v>x</v>
      </c>
      <c r="U2401">
        <f>0.006165*F2401^2</f>
        <v>1.041885</v>
      </c>
      <c r="X2401" t="str">
        <v>x</v>
      </c>
      <c r="Y2401">
        <f>D2400</f>
        <v>1</v>
      </c>
      <c r="Z2401" t="str">
        <v>=</v>
      </c>
      <c r="AA2401">
        <f>IF(AA2404=0,(D2401*N2401+P2401*R2401)*U2401*Y2401,0)</f>
        <v>7.500530114999998</v>
      </c>
    </row>
    <row r="2402">
      <c r="A2402" t="str">
        <f>A2394</f>
        <v>Sloof</v>
      </c>
      <c r="B2402">
        <f>B2394</f>
        <v>72</v>
      </c>
      <c r="C2402" t="str">
        <v>Tul Atas Lapangan</v>
      </c>
      <c r="D2402">
        <f>VLOOKUP(D2394,'Detail Balok'!$C$10:$AU$110,7,FALSE)</f>
        <v>2</v>
      </c>
      <c r="E2402" t="str">
        <v>D</v>
      </c>
      <c r="F2402">
        <f>VLOOKUP(D2394,'Detail Balok'!$C$10:$AU$110,9,FALSE)</f>
        <v>13</v>
      </c>
      <c r="I2402" t="str">
        <v>(</v>
      </c>
      <c r="J2402">
        <f>+D2396/2/1000</f>
        <v>3.0925</v>
      </c>
      <c r="K2402" t="str">
        <v>+</v>
      </c>
      <c r="M2402" t="str">
        <v>=</v>
      </c>
      <c r="N2402">
        <f>J2402+L2402</f>
        <v>3.0925</v>
      </c>
      <c r="O2402" t="str">
        <v>+</v>
      </c>
      <c r="P2402">
        <f>MAX(D2402-D2401,D2402-D2403)</f>
        <v>-2</v>
      </c>
      <c r="Q2402" t="str">
        <v>x</v>
      </c>
      <c r="R2402">
        <f>IF(P2402&gt;0,2*(1-2*$F$19-1/2)*D2397/1000,0)</f>
        <v>0</v>
      </c>
      <c r="S2402" t="str">
        <v>)</v>
      </c>
      <c r="T2402" t="str">
        <v>x</v>
      </c>
      <c r="U2402">
        <f>0.006165*F2402^2</f>
        <v>1.041885</v>
      </c>
      <c r="X2402" t="str">
        <v>x</v>
      </c>
      <c r="Y2402">
        <f>D2400</f>
        <v>1</v>
      </c>
      <c r="Z2402" t="str">
        <v>=</v>
      </c>
      <c r="AA2402">
        <f>IF(AA2404=0,(D2402*N2402+P2402*R2402)*U2402*Y2402,0)</f>
        <v>6.444058725</v>
      </c>
    </row>
    <row r="2403">
      <c r="A2403" t="str">
        <f>A2394</f>
        <v>Sloof</v>
      </c>
      <c r="B2403">
        <f>B2394</f>
        <v>72</v>
      </c>
      <c r="C2403" t="str">
        <v>Tul Atas Tumpuan</v>
      </c>
      <c r="D2403">
        <f>VLOOKUP(D2394,'Detail Balok'!$C$10:$AU$110,10,FALSE)</f>
        <v>4</v>
      </c>
      <c r="E2403" t="str">
        <v>D</v>
      </c>
      <c r="F2403">
        <f>VLOOKUP(D2394,'Detail Balok'!$C$10:$AU$110,12,FALSE)</f>
        <v>13</v>
      </c>
      <c r="I2403" t="str">
        <v>(</v>
      </c>
      <c r="J2403">
        <f>+D2396/4/1000</f>
        <v>1.54625</v>
      </c>
      <c r="K2403" t="str">
        <v>+</v>
      </c>
      <c r="L2403">
        <f>MAX(VLOOKUP(F2403,N$6:P$15,3,FALSE)/1000,2/3*D2398/1000)+F$16*F2403/1000</f>
        <v>0.156</v>
      </c>
      <c r="M2403" t="str">
        <v>=</v>
      </c>
      <c r="N2403">
        <f>J2403+L2403</f>
        <v>1.7022499999999998</v>
      </c>
      <c r="O2403" t="str">
        <v>+</v>
      </c>
      <c r="P2403">
        <f>D2403-D2402</f>
        <v>2</v>
      </c>
      <c r="Q2403" t="str">
        <v>x</v>
      </c>
      <c r="R2403">
        <f>IF(P2403&gt;0,$F$18*F2403/1000,0)</f>
        <v>0.195</v>
      </c>
      <c r="S2403" t="str">
        <v>)</v>
      </c>
      <c r="T2403" t="str">
        <v>x</v>
      </c>
      <c r="U2403">
        <f>0.006165*F2403^2</f>
        <v>1.041885</v>
      </c>
      <c r="X2403" t="str">
        <v>x</v>
      </c>
      <c r="Y2403">
        <f>D2400</f>
        <v>1</v>
      </c>
      <c r="Z2403" t="str">
        <v>=</v>
      </c>
      <c r="AA2403">
        <f>IF(AA2404=0,(D2403*N2403+P2403*R2403)*U2403*Y2403,0)</f>
        <v>7.500530114999998</v>
      </c>
    </row>
    <row r="2404">
      <c r="A2404" t="str">
        <f>A2394</f>
        <v>Sloof</v>
      </c>
      <c r="B2404">
        <f>B2394</f>
        <v>72</v>
      </c>
      <c r="D2404">
        <f>IF(AND(D2401=D2402,D2402=D2403,D2401=D2403),D2401,0)</f>
        <v>0</v>
      </c>
      <c r="E2404" t="str">
        <v>D</v>
      </c>
      <c r="F2404">
        <f>IF(AND(F2401=F2402,F2401=F2403,F2402=F2403),F2401,0)</f>
        <v>13</v>
      </c>
      <c r="L2404" t="str">
        <v>Total panjang per balok</v>
      </c>
      <c r="M2404" t="str">
        <v>=</v>
      </c>
      <c r="N2404">
        <f>IF(AND(D2401=D2402,D2401=D2403,D2402=D2403,F2401=F2402,F2401=F2403,F2402=F2403),SUM(N2401:N2403),0)</f>
        <v>0</v>
      </c>
      <c r="O2404" t="str">
        <v>+</v>
      </c>
      <c r="P2404">
        <f>IF(N2404&gt;12,ROUNDDOWN(N2404/12,0),0)</f>
        <v>0</v>
      </c>
      <c r="Q2404" t="str">
        <v>x</v>
      </c>
      <c r="R2404">
        <f>IF(P2404&gt;0,MAX(VLOOKUP(F2404,$D$6:$G$15,3,FALSE),600),0)/1000</f>
        <v>0</v>
      </c>
      <c r="T2404" t="str">
        <v>x</v>
      </c>
      <c r="U2404">
        <f>U2403</f>
        <v>1.041885</v>
      </c>
      <c r="V2404" t="str">
        <v>x</v>
      </c>
      <c r="W2404">
        <f>D2404</f>
        <v>0</v>
      </c>
      <c r="X2404" t="str">
        <v>x</v>
      </c>
      <c r="Y2404">
        <f>Y2403</f>
        <v>1</v>
      </c>
      <c r="Z2404" t="str">
        <v>=</v>
      </c>
      <c r="AA2404">
        <f>(N2404+P2404*R2404/1000)*U2404*W2404*Y2404</f>
        <v>0</v>
      </c>
    </row>
    <row r="2406">
      <c r="A2406" t="str">
        <f>A2394</f>
        <v>Sloof</v>
      </c>
      <c r="B2406">
        <f>B2394</f>
        <v>72</v>
      </c>
      <c r="C2406" t="str">
        <v>Tul Peminggang</v>
      </c>
      <c r="D2406">
        <f>VLOOKUP(D2394,'Detail Balok'!$C$10:$AU$110,13,FALSE)</f>
        <v>2</v>
      </c>
      <c r="E2406" t="str">
        <v>D</v>
      </c>
      <c r="F2406">
        <f>VLOOKUP(D2394,'Detail Balok'!$C$10:$AU$110,15,FALSE)</f>
        <v>8</v>
      </c>
      <c r="J2406">
        <f>+D2396/1000</f>
        <v>6.185</v>
      </c>
      <c r="K2406" t="str">
        <v>+</v>
      </c>
      <c r="L2406">
        <f>2*$F$16*F2406/1000</f>
        <v>0.192</v>
      </c>
      <c r="M2406" t="str">
        <v>=</v>
      </c>
      <c r="N2406">
        <f>J2406+L2406</f>
        <v>6.377</v>
      </c>
      <c r="O2406" t="str">
        <v>+</v>
      </c>
      <c r="P2406">
        <f>IF(N2406&gt;12,ROUNDDOWN(N2406/12,0),0)</f>
        <v>0</v>
      </c>
      <c r="Q2406" t="str">
        <v>x</v>
      </c>
      <c r="R2406">
        <f>IF(P2406&gt;0,MAX(VLOOKUP(F2406,$D$6:$G$15,3,FALSE),600),0)/1000</f>
        <v>0</v>
      </c>
      <c r="T2406" t="str">
        <v>x</v>
      </c>
      <c r="U2406">
        <f>0.006165*F2406^2</f>
        <v>0.39456</v>
      </c>
      <c r="V2406" t="str">
        <v>x</v>
      </c>
      <c r="W2406">
        <f>+D2406</f>
        <v>2</v>
      </c>
      <c r="X2406" t="str">
        <v>x</v>
      </c>
      <c r="Y2406">
        <f>D2400</f>
        <v>1</v>
      </c>
      <c r="Z2406" t="str">
        <v>=</v>
      </c>
      <c r="AA2406">
        <f>(N2406+P2406*R2406/1000)*U2406*W2406*Y2406</f>
        <v>5.03221824</v>
      </c>
    </row>
    <row r="2409">
      <c r="A2409" t="str">
        <f>A2394</f>
        <v>Sloof</v>
      </c>
      <c r="B2409">
        <f>B2394</f>
        <v>72</v>
      </c>
      <c r="C2409" t="str">
        <v>Tul Bawah Tumpuan</v>
      </c>
      <c r="D2409">
        <f>VLOOKUP(D2394,'Detail Balok'!$C$10:$AU$110,22,FALSE)</f>
        <v>4</v>
      </c>
      <c r="E2409" t="str">
        <v>D</v>
      </c>
      <c r="F2409">
        <f>VLOOKUP(D2394,'Detail Balok'!$C$10:$AU$110,24,FALSE)</f>
        <v>13</v>
      </c>
      <c r="I2409" t="str">
        <v>(</v>
      </c>
      <c r="J2409">
        <f>+J2401</f>
        <v>1.54625</v>
      </c>
      <c r="K2409" t="str">
        <v>+</v>
      </c>
      <c r="L2409">
        <f>MAX(VLOOKUP(F2409,N$6:P$15,3,FALSE)/1000,2/3*D2399/1000)+F$16*F2409/1000</f>
        <v>0.156</v>
      </c>
      <c r="M2409" t="str">
        <v>=</v>
      </c>
      <c r="N2409">
        <f>J2409+L2409</f>
        <v>1.7022499999999998</v>
      </c>
      <c r="O2409" t="str">
        <v>+</v>
      </c>
      <c r="P2409">
        <f>D2409-D2410</f>
        <v>0</v>
      </c>
      <c r="Q2409" t="str">
        <v>x</v>
      </c>
      <c r="R2409">
        <f>IF(P2409&gt;0,$F$18*F2409/1000,0)</f>
        <v>0</v>
      </c>
      <c r="S2409" t="str">
        <v>)</v>
      </c>
      <c r="T2409" t="str">
        <v>x</v>
      </c>
      <c r="U2409">
        <f>0.006165*F2409^2</f>
        <v>1.041885</v>
      </c>
      <c r="X2409" t="str">
        <v>x</v>
      </c>
      <c r="Y2409">
        <f>D2400</f>
        <v>1</v>
      </c>
      <c r="Z2409" t="str">
        <v>=</v>
      </c>
      <c r="AA2409">
        <f>IF(AA2412=0,(D2409*N2409+P2409*R2409)*U2409*Y2409,0)</f>
        <v>0</v>
      </c>
    </row>
    <row r="2410">
      <c r="A2410" t="str">
        <f>A2394</f>
        <v>Sloof</v>
      </c>
      <c r="B2410">
        <f>B2394</f>
        <v>72</v>
      </c>
      <c r="C2410" t="str">
        <v>Tul Bawah Lapangan</v>
      </c>
      <c r="D2410">
        <f>VLOOKUP(D2394,'Detail Balok'!$C$10:$AU$110,25,FALSE)</f>
        <v>4</v>
      </c>
      <c r="E2410" t="str">
        <v>D</v>
      </c>
      <c r="F2410">
        <f>VLOOKUP(D2394,'Detail Balok'!$C$10:$AU$110,27,FALSE)</f>
        <v>13</v>
      </c>
      <c r="I2410" t="str">
        <v>(</v>
      </c>
      <c r="J2410">
        <f>+J2402</f>
        <v>3.0925</v>
      </c>
      <c r="K2410" t="str">
        <v>+</v>
      </c>
      <c r="M2410" t="str">
        <v>=</v>
      </c>
      <c r="N2410">
        <f>J2410+L2410</f>
        <v>3.0925</v>
      </c>
      <c r="O2410" t="str">
        <v>+</v>
      </c>
      <c r="P2410">
        <f>MAX(D2410-D2409,D2410-D2411)</f>
        <v>0</v>
      </c>
      <c r="Q2410" t="str">
        <v>x</v>
      </c>
      <c r="R2410">
        <f>IF(P2410&gt;0,2*(1-2*$F$19-1/2)*D2397/1000,0)</f>
        <v>0</v>
      </c>
      <c r="S2410" t="str">
        <v>)</v>
      </c>
      <c r="T2410" t="str">
        <v>x</v>
      </c>
      <c r="U2410">
        <f>0.006165*F2410^2</f>
        <v>1.041885</v>
      </c>
      <c r="X2410" t="str">
        <v>x</v>
      </c>
      <c r="Y2410">
        <f>D2400</f>
        <v>1</v>
      </c>
      <c r="Z2410" t="str">
        <v>=</v>
      </c>
      <c r="AA2410">
        <f>IF(AA2412=0,(D2410*N2410+P2410*R2410)*U2410*Y2410,0)</f>
        <v>0</v>
      </c>
    </row>
    <row r="2411">
      <c r="A2411" t="str">
        <f>A2394</f>
        <v>Sloof</v>
      </c>
      <c r="B2411">
        <f>B2394</f>
        <v>72</v>
      </c>
      <c r="C2411" t="str">
        <v>Tul Bawah Tumpuan</v>
      </c>
      <c r="D2411">
        <f>VLOOKUP(D2394,'Detail Balok'!$C$10:$AU$110,28,FALSE)</f>
        <v>4</v>
      </c>
      <c r="E2411" t="str">
        <v>D</v>
      </c>
      <c r="F2411">
        <f>VLOOKUP(D2394,'Detail Balok'!$C$10:$AU$110,30,FALSE)</f>
        <v>13</v>
      </c>
      <c r="I2411" t="str">
        <v>(</v>
      </c>
      <c r="J2411">
        <f>+J2403</f>
        <v>1.54625</v>
      </c>
      <c r="K2411" t="str">
        <v>+</v>
      </c>
      <c r="L2411">
        <f>MAX(VLOOKUP(F2411,N$6:P$15,3,FALSE)/1000,2/3*D2399/1000)+F$16*F2411/1000</f>
        <v>0.156</v>
      </c>
      <c r="M2411" t="str">
        <v>=</v>
      </c>
      <c r="N2411">
        <f>J2411+L2411</f>
        <v>1.7022499999999998</v>
      </c>
      <c r="O2411" t="str">
        <v>+</v>
      </c>
      <c r="P2411">
        <f>D2411-D2410</f>
        <v>0</v>
      </c>
      <c r="Q2411" t="str">
        <v>x</v>
      </c>
      <c r="R2411">
        <f>IF(P2411&gt;0,$F$18*F2411/1000,0)</f>
        <v>0</v>
      </c>
      <c r="S2411" t="str">
        <v>)</v>
      </c>
      <c r="T2411" t="str">
        <v>x</v>
      </c>
      <c r="U2411">
        <f>0.006165*F2411^2</f>
        <v>1.041885</v>
      </c>
      <c r="X2411" t="str">
        <v>x</v>
      </c>
      <c r="Y2411">
        <f>D2400</f>
        <v>1</v>
      </c>
      <c r="Z2411" t="str">
        <v>=</v>
      </c>
      <c r="AA2411">
        <f>IF(AA2412=0,(D2411*N2411+P2411*R2411)*U2411*Y2411,0)</f>
        <v>0</v>
      </c>
    </row>
    <row r="2412">
      <c r="A2412" t="str">
        <f>A2394</f>
        <v>Sloof</v>
      </c>
      <c r="B2412">
        <f>B2394</f>
        <v>72</v>
      </c>
      <c r="D2412">
        <f>IF(AND(D2409=D2410,D2410=D2411,D2409=D2411),D2409,0)</f>
        <v>4</v>
      </c>
      <c r="E2412" t="str">
        <v>D</v>
      </c>
      <c r="F2412">
        <f>IF(AND(F2409=F2410,F2409=F2411,F2410=F2411),F2409,0)</f>
        <v>13</v>
      </c>
      <c r="L2412" t="str">
        <v>Total panjang per balok</v>
      </c>
      <c r="M2412" t="str">
        <v>=</v>
      </c>
      <c r="N2412">
        <f>IF(AND(D2409=D2410,D2409=D2411,D2410=D2411,F2409=F2410,F2409=F2411,F2410=F2411),SUM(N2409:N2411),0)</f>
        <v>6.497</v>
      </c>
      <c r="O2412" t="str">
        <v>+</v>
      </c>
      <c r="P2412">
        <f>IF(N2412&gt;12,ROUNDDOWN(N2412/12,0),0)</f>
        <v>0</v>
      </c>
      <c r="Q2412" t="str">
        <v>x</v>
      </c>
      <c r="R2412">
        <f>IF(P2412&gt;0,MAX(VLOOKUP(F2412,$D$6:$G$15,3,FALSE),600),0)/1000</f>
        <v>0</v>
      </c>
      <c r="T2412" t="str">
        <v>x</v>
      </c>
      <c r="U2412">
        <f>U2411</f>
        <v>1.041885</v>
      </c>
      <c r="V2412" t="str">
        <v>x</v>
      </c>
      <c r="W2412">
        <f>D2412</f>
        <v>4</v>
      </c>
      <c r="X2412" t="str">
        <v>x</v>
      </c>
      <c r="Y2412">
        <f>Y2411</f>
        <v>1</v>
      </c>
      <c r="Z2412" t="str">
        <v>=</v>
      </c>
      <c r="AA2412">
        <f>(N2412+P2412*R2412/1000)*U2412*W2412*Y2412</f>
        <v>27.07650738</v>
      </c>
    </row>
    <row r="2414">
      <c r="A2414" t="str">
        <f>A2394</f>
        <v>Sloof</v>
      </c>
      <c r="B2414">
        <f>B2394</f>
        <v>72</v>
      </c>
      <c r="C2414" t="str">
        <v>Sengkang Tumpuan</v>
      </c>
      <c r="D2414">
        <f>VLOOKUP(D2394,'Detail Balok'!$C$10:$AU$110,31,FALSE)</f>
        <v>0</v>
      </c>
      <c r="E2414" t="str">
        <v>D</v>
      </c>
      <c r="F2414">
        <f>VLOOKUP(D2394,'Detail Balok'!$C$10:$AU$110,33,FALSE)</f>
        <v>8</v>
      </c>
      <c r="G2414" t="str">
        <v>-</v>
      </c>
      <c r="H2414">
        <f>VLOOKUP(D2394,'Detail Balok'!$C$10:$AU$110,35,FALSE)</f>
        <v>125</v>
      </c>
      <c r="J2414">
        <f>(IF(D2414=0,(2*(D2395+G2395))-(F$5*8),IF(D2414=3,(2*(D2395+G2395))-(F$5*8)+(G2395-2*F$5),IF(D2414=4,(2*(D2395+G2395))-(F$5*8)+2*(G2395-2*F$5)))))/1000</f>
        <v>0.98</v>
      </c>
      <c r="K2414" t="str">
        <v>+</v>
      </c>
      <c r="L2414">
        <f>IF(D2414=0,2*MAX(6*F2414,75),(D2414-1)*2*MAX(6*F2414,75))/1000</f>
        <v>0.15</v>
      </c>
      <c r="M2414" t="str">
        <v>=</v>
      </c>
      <c r="N2414">
        <f>J2414+L2414</f>
        <v>1.13</v>
      </c>
      <c r="T2414" t="str">
        <v>x</v>
      </c>
      <c r="U2414">
        <f>0.006165*F2414^2</f>
        <v>0.39456</v>
      </c>
      <c r="V2414" t="str">
        <v>x</v>
      </c>
      <c r="W2414">
        <f>IF(D2397&gt;4*G2395,ROUND(MAX(D2397/4,2*G2395)/H2414,0)+1,ROUND(D2397/H2414,0)+1)</f>
        <v>13</v>
      </c>
      <c r="X2414" t="str">
        <v>x</v>
      </c>
      <c r="Y2414">
        <f>D2400</f>
        <v>1</v>
      </c>
      <c r="Z2414" t="str">
        <v>=</v>
      </c>
      <c r="AA2414">
        <f>N2414*U2414*W2414*Y2414</f>
        <v>5.7960864</v>
      </c>
    </row>
    <row r="2415">
      <c r="A2415" t="str">
        <f>A2394</f>
        <v>Sloof</v>
      </c>
      <c r="B2415">
        <f>B2394</f>
        <v>72</v>
      </c>
      <c r="C2415" t="str">
        <v>Sengkang Lapangan</v>
      </c>
      <c r="D2415">
        <f>VLOOKUP(D2394,'Detail Balok'!$C$10:$AU$110,36,FALSE)</f>
        <v>0</v>
      </c>
      <c r="E2415" t="str">
        <v>D</v>
      </c>
      <c r="F2415">
        <f>VLOOKUP(D2394,'Detail Balok'!$C$10:$AU$110,38,FALSE)</f>
        <v>8</v>
      </c>
      <c r="G2415" t="str">
        <v>-</v>
      </c>
      <c r="H2415">
        <f>VLOOKUP(D2394,'Detail Balok'!$C$10:$AU$110,40,FALSE)</f>
        <v>150</v>
      </c>
      <c r="J2415">
        <f>(IF(D2415=0,(2*(D2395+G2395))-(F$5*8),IF(D2415=3,(2*(D2395+G2395))-(F$5*8)+(G2395-2*F$5),IF(D2415=4,(2*(D2395+G2395))-(F$5*8)+2*(G2395-2*F$5)))))/1000</f>
        <v>0.98</v>
      </c>
      <c r="K2415" t="str">
        <v>+</v>
      </c>
      <c r="L2415">
        <f>IF(D2415=0,2*MAX(6*F2415,75),(D2415-1)*2*MAX(6*F2415,75))/1000</f>
        <v>0.15</v>
      </c>
      <c r="M2415" t="str">
        <v>=</v>
      </c>
      <c r="N2415">
        <f>J2415+L2415</f>
        <v>1.13</v>
      </c>
      <c r="T2415" t="str">
        <v>x</v>
      </c>
      <c r="U2415">
        <f>0.006165*F2415^2</f>
        <v>0.39456</v>
      </c>
      <c r="V2415" t="str">
        <v>x</v>
      </c>
      <c r="W2415">
        <f>IF(D2397-MAX(D2397/4,2*G2395)*2&gt;0,ROUND((D2397-MAX(D2397/4,2*G2395)*2)/H2415,0),0)</f>
        <v>21</v>
      </c>
      <c r="X2415" t="str">
        <v>x</v>
      </c>
      <c r="Y2415">
        <f>D2400</f>
        <v>1</v>
      </c>
      <c r="Z2415" t="str">
        <v>=</v>
      </c>
      <c r="AA2415">
        <f>N2415*U2415*W2415*Y2415</f>
        <v>9.3629088</v>
      </c>
    </row>
    <row r="2416">
      <c r="A2416" t="str">
        <f>A2394</f>
        <v>Sloof</v>
      </c>
      <c r="B2416">
        <f>B2394</f>
        <v>72</v>
      </c>
      <c r="C2416" t="str">
        <v>Sengkang Tumpuan</v>
      </c>
      <c r="D2416">
        <f>VLOOKUP(D2394,'Detail Balok'!$C$10:$AU$110,41,FALSE)</f>
        <v>0</v>
      </c>
      <c r="E2416" t="str">
        <v>D</v>
      </c>
      <c r="F2416">
        <f>VLOOKUP(D2394,'Detail Balok'!$C$10:$AU$110,43,FALSE)</f>
        <v>8</v>
      </c>
      <c r="G2416" t="str">
        <v>-</v>
      </c>
      <c r="H2416">
        <f>VLOOKUP(D2394,'Detail Balok'!$C$10:$AU$110,45,FALSE)</f>
        <v>125</v>
      </c>
      <c r="J2416">
        <f>(IF(D2416=0,(2*(D2395+G2395))-(F$5*8),IF(D2416=3,(2*(D2395+G2395))-(F$5*8)+(G2395-2*F$5),IF(D2416=4,(2*(D2395+G2395))-(F$5*8)+2*(G2395-2*F$5)))))/1000</f>
        <v>0.98</v>
      </c>
      <c r="K2416" t="str">
        <v>+</v>
      </c>
      <c r="L2416">
        <f>IF(D2416=0,2*MAX(6*F2416,75),(D2416-1)*2*MAX(6*F2416,75))/1000</f>
        <v>0.15</v>
      </c>
      <c r="M2416" t="str">
        <v>=</v>
      </c>
      <c r="N2416">
        <f>J2416+L2416</f>
        <v>1.13</v>
      </c>
      <c r="T2416" t="str">
        <v>x</v>
      </c>
      <c r="U2416">
        <f>0.006165*F2416^2</f>
        <v>0.39456</v>
      </c>
      <c r="V2416" t="str">
        <v>x</v>
      </c>
      <c r="W2416">
        <f>IF(D2397&gt;4*G2395,ROUND(MAX(D2397/4,2*G2395)/H2416,0)+1,0)</f>
        <v>13</v>
      </c>
      <c r="X2416" t="str">
        <v>x</v>
      </c>
      <c r="Y2416">
        <f>D2400</f>
        <v>1</v>
      </c>
      <c r="Z2416" t="str">
        <v>=</v>
      </c>
      <c r="AA2416">
        <f>N2416*U2416*W2416*Y2416</f>
        <v>5.7960864</v>
      </c>
    </row>
    <row r="2418">
      <c r="A2418" t="str">
        <f>A2394</f>
        <v>Sloof</v>
      </c>
      <c r="B2418">
        <f>B2394</f>
        <v>72</v>
      </c>
      <c r="C2418" t="str">
        <v>Kait Horizontal Tump.</v>
      </c>
      <c r="D2418">
        <f>VLOOKUP(D2394,'Detail Balok'!$C$10:$BJ$110,46,FALSE)</f>
        <v>0</v>
      </c>
      <c r="E2418" t="str">
        <v>D</v>
      </c>
      <c r="F2418">
        <f>VLOOKUP(D2394,'Detail Balok'!$C$10:$BJ$110,48,FALSE)</f>
        <v>0</v>
      </c>
      <c r="G2418" t="str">
        <v>-</v>
      </c>
      <c r="H2418">
        <f>VLOOKUP(D2394,'Detail Balok'!$C$10:$BJ$110,50,FALSE)</f>
        <v>100</v>
      </c>
      <c r="J2418">
        <f>(D2395-2*F$5)/1000</f>
        <v>0.12</v>
      </c>
      <c r="K2418" t="str">
        <v>+</v>
      </c>
      <c r="L2418">
        <f>IF(D2418=0,2*MAX(6*F2418,75),(D2418-1)*2*MAX(6*F2418,75))/1000</f>
        <v>0.15</v>
      </c>
      <c r="M2418" t="str">
        <v>=</v>
      </c>
      <c r="N2418">
        <f>J2418+L2418</f>
        <v>0.27</v>
      </c>
      <c r="T2418" t="str">
        <v>x</v>
      </c>
      <c r="U2418">
        <f>0.006165*F2418^2</f>
        <v>0</v>
      </c>
      <c r="V2418" t="str">
        <v>x</v>
      </c>
      <c r="W2418">
        <f>W2414</f>
        <v>13</v>
      </c>
      <c r="X2418" t="str">
        <v>x</v>
      </c>
      <c r="Y2418">
        <f>D2404</f>
        <v>0</v>
      </c>
      <c r="Z2418" t="str">
        <v>=</v>
      </c>
      <c r="AA2418">
        <f>N2418*U2418*W2418*Y2418</f>
        <v>0</v>
      </c>
    </row>
    <row r="2419">
      <c r="A2419" t="str">
        <f>A2394</f>
        <v>Sloof</v>
      </c>
      <c r="B2419">
        <f>B2394</f>
        <v>72</v>
      </c>
      <c r="C2419" t="str">
        <v>Kait Horizontal Lap.</v>
      </c>
      <c r="D2419">
        <f>VLOOKUP(D2394,'Detail Balok'!$C$10:$BJ$110,51,FALSE)</f>
        <v>0</v>
      </c>
      <c r="E2419" t="str">
        <v>D</v>
      </c>
      <c r="F2419">
        <f>VLOOKUP(D2394,'Detail Balok'!$C$10:$BJ$110,53,FALSE)</f>
        <v>0</v>
      </c>
      <c r="G2419" t="str">
        <v>-</v>
      </c>
      <c r="H2419">
        <f>VLOOKUP(D2394,'Detail Balok'!$C$10:$BJ$110,55,FALSE)</f>
        <v>100</v>
      </c>
      <c r="J2419">
        <f>(D2395-2*F$5)/1000</f>
        <v>0.12</v>
      </c>
      <c r="K2419" t="str">
        <v>+</v>
      </c>
      <c r="L2419">
        <f>IF(D2419=0,2*MAX(6*F2419,75),(D2419-1)*2*MAX(6*F2419,75))/1000</f>
        <v>0.15</v>
      </c>
      <c r="M2419" t="str">
        <v>=</v>
      </c>
      <c r="N2419">
        <f>J2419+L2419</f>
        <v>0.27</v>
      </c>
      <c r="T2419" t="str">
        <v>x</v>
      </c>
      <c r="U2419">
        <f>0.006165*F2419^2</f>
        <v>0</v>
      </c>
      <c r="V2419" t="str">
        <v>x</v>
      </c>
      <c r="W2419">
        <f>W2415</f>
        <v>21</v>
      </c>
      <c r="X2419" t="str">
        <v>x</v>
      </c>
      <c r="Y2419">
        <f>D2404</f>
        <v>0</v>
      </c>
      <c r="Z2419" t="str">
        <v>=</v>
      </c>
      <c r="AA2419">
        <f>N2419*U2419*W2419*Y2419</f>
        <v>0</v>
      </c>
    </row>
    <row r="2420">
      <c r="A2420" t="str">
        <f>A2394</f>
        <v>Sloof</v>
      </c>
      <c r="B2420">
        <f>B2394</f>
        <v>72</v>
      </c>
      <c r="C2420" t="str">
        <v>Kait Horizontal Tump.</v>
      </c>
      <c r="D2420">
        <f>VLOOKUP(D2394,'Detail Balok'!$C$10:$BJ$110,56,FALSE)</f>
        <v>0</v>
      </c>
      <c r="E2420" t="str">
        <v>D</v>
      </c>
      <c r="F2420">
        <f>VLOOKUP(D2394,'Detail Balok'!$C$10:$BJ$110,58,FALSE)</f>
        <v>0</v>
      </c>
      <c r="G2420" t="str">
        <v>-</v>
      </c>
      <c r="H2420">
        <f>VLOOKUP(D2394,'Detail Balok'!$C$10:$BJ$110,60,FALSE)</f>
        <v>100</v>
      </c>
      <c r="J2420">
        <f>(D2395-2*F$5)/1000</f>
        <v>0.12</v>
      </c>
      <c r="K2420" t="str">
        <v>+</v>
      </c>
      <c r="L2420">
        <f>IF(D2420=0,2*MAX(6*F2420,75),(D2420-1)*2*MAX(6*F2420,75))/1000</f>
        <v>0.15</v>
      </c>
      <c r="M2420" t="str">
        <v>=</v>
      </c>
      <c r="N2420">
        <f>J2420+L2420</f>
        <v>0.27</v>
      </c>
      <c r="T2420" t="str">
        <v>x</v>
      </c>
      <c r="U2420">
        <f>0.006165*F2420^2</f>
        <v>0</v>
      </c>
      <c r="V2420" t="str">
        <v>x</v>
      </c>
      <c r="W2420">
        <f>W2416</f>
        <v>13</v>
      </c>
      <c r="X2420" t="str">
        <v>x</v>
      </c>
      <c r="Y2420">
        <f>D2404</f>
        <v>0</v>
      </c>
      <c r="Z2420" t="str">
        <v>=</v>
      </c>
      <c r="AA2420">
        <f>N2420*U2420*W2420*Y2420</f>
        <v>0</v>
      </c>
    </row>
    <row r="2424">
      <c r="A2424" t="str">
        <f>A2394</f>
        <v>Sloof</v>
      </c>
      <c r="B2424">
        <f>B2394+1</f>
        <v>73</v>
      </c>
      <c r="C2424" t="str">
        <f>CONCATENATE(A2424," no. ",B2424)</f>
        <v>Sloof no. 73</v>
      </c>
      <c r="D2424" t="str">
        <f>VLOOKUP(C2424,'Data Panjang Balok'!$C$9:$N$424,2,FALSE)</f>
        <v>Potongan S4</v>
      </c>
    </row>
    <row r="2425">
      <c r="C2425" t="str">
        <v>Dimensi</v>
      </c>
      <c r="D2425">
        <f>VLOOKUP(D2424,'Detail Balok'!$C$10:$AU$110,2,FALSE)</f>
        <v>300</v>
      </c>
      <c r="F2425" t="str">
        <v>x</v>
      </c>
      <c r="G2425">
        <f>VLOOKUP(D2424,'Detail Balok'!$C$10:$AU$110,3,FALSE)</f>
        <v>500</v>
      </c>
    </row>
    <row r="2426">
      <c r="C2426" t="str">
        <v>Panjang as ke as</v>
      </c>
      <c r="D2426">
        <f>VLOOKUP(C2424,'Data Panjang Balok'!$C$9:$N$424,4,FALSE)</f>
        <v>2100</v>
      </c>
    </row>
    <row r="2427">
      <c r="C2427" t="str">
        <v>Panjang netto</v>
      </c>
      <c r="D2427">
        <f>VLOOKUP(C2424,'Data Panjang Balok'!$C$9:$N$424,7,FALSE)</f>
        <v>2100</v>
      </c>
    </row>
    <row r="2428">
      <c r="C2428" t="str">
        <v>Kolom / balok kiri</v>
      </c>
      <c r="D2428">
        <f>VLOOKUP(C2424,'Data Panjang Balok'!$C$9:$N$424,9,FALSE)</f>
        <v>0</v>
      </c>
    </row>
    <row r="2429">
      <c r="C2429" t="str">
        <v>Kolom / balok kanan</v>
      </c>
      <c r="D2429">
        <f>VLOOKUP(C2424,'Data Panjang Balok'!$C$9:$N$424,10,FALSE)</f>
        <v>0</v>
      </c>
    </row>
    <row r="2430">
      <c r="C2430" t="str">
        <v>Jumlah</v>
      </c>
      <c r="D2430">
        <f>VLOOKUP(C2424,'Data Panjang Balok'!$C$9:$N$424,3,FALSE)</f>
        <v>1</v>
      </c>
    </row>
    <row r="2431">
      <c r="A2431" t="str">
        <f>A2424</f>
        <v>Sloof</v>
      </c>
      <c r="B2431">
        <f>B2424</f>
        <v>73</v>
      </c>
      <c r="C2431" t="str">
        <v>Tul Atas Tumpuan</v>
      </c>
      <c r="D2431">
        <f>VLOOKUP(D2424,'Detail Balok'!$C$10:$AU$110,4,FALSE)</f>
        <v>5</v>
      </c>
      <c r="E2431" t="str">
        <v>D</v>
      </c>
      <c r="F2431">
        <f>VLOOKUP(D2424,'Detail Balok'!$C$10:$AU$110,6,FALSE)</f>
        <v>16</v>
      </c>
      <c r="I2431" t="str">
        <v>(</v>
      </c>
      <c r="J2431">
        <f>+D2426/4/1000</f>
        <v>0.525</v>
      </c>
      <c r="K2431" t="str">
        <v>+</v>
      </c>
      <c r="L2431">
        <f>MAX(VLOOKUP(F2431,N$6:P$15,3,FALSE)/1000,2/3*D2428/1000)+F$16*F2431/1000</f>
        <v>0.192</v>
      </c>
      <c r="M2431" t="str">
        <v>=</v>
      </c>
      <c r="N2431">
        <f>J2431+L2431</f>
        <v>0.7170000000000001</v>
      </c>
      <c r="O2431" t="str">
        <v>+</v>
      </c>
      <c r="P2431">
        <f>D2431-D2432</f>
        <v>0</v>
      </c>
      <c r="Q2431" t="str">
        <v>x</v>
      </c>
      <c r="R2431">
        <f>IF(P2431&gt;0,$F$18*F2431/1000,0)</f>
        <v>0</v>
      </c>
      <c r="S2431" t="str">
        <v>)</v>
      </c>
      <c r="T2431" t="str">
        <v>x</v>
      </c>
      <c r="U2431">
        <f>0.006165*F2431^2</f>
        <v>1.57824</v>
      </c>
      <c r="X2431" t="str">
        <v>x</v>
      </c>
      <c r="Y2431">
        <f>D2430</f>
        <v>1</v>
      </c>
      <c r="Z2431" t="str">
        <v>=</v>
      </c>
      <c r="AA2431">
        <f>IF(AA2434=0,(D2431*N2431+P2431*R2431)*U2431*Y2431,0)</f>
        <v>0</v>
      </c>
    </row>
    <row r="2432">
      <c r="A2432" t="str">
        <f>A2424</f>
        <v>Sloof</v>
      </c>
      <c r="B2432">
        <f>B2424</f>
        <v>73</v>
      </c>
      <c r="C2432" t="str">
        <v>Tul Atas Lapangan</v>
      </c>
      <c r="D2432">
        <f>VLOOKUP(D2424,'Detail Balok'!$C$10:$AU$110,7,FALSE)</f>
        <v>5</v>
      </c>
      <c r="E2432" t="str">
        <v>D</v>
      </c>
      <c r="F2432">
        <f>VLOOKUP(D2424,'Detail Balok'!$C$10:$AU$110,9,FALSE)</f>
        <v>16</v>
      </c>
      <c r="I2432" t="str">
        <v>(</v>
      </c>
      <c r="J2432">
        <f>+D2426/2/1000</f>
        <v>1.05</v>
      </c>
      <c r="K2432" t="str">
        <v>+</v>
      </c>
      <c r="M2432" t="str">
        <v>=</v>
      </c>
      <c r="N2432">
        <f>J2432+L2432</f>
        <v>1.05</v>
      </c>
      <c r="O2432" t="str">
        <v>+</v>
      </c>
      <c r="P2432">
        <f>MAX(D2432-D2431,D2432-D2433)</f>
        <v>0</v>
      </c>
      <c r="Q2432" t="str">
        <v>x</v>
      </c>
      <c r="R2432">
        <f>IF(P2432&gt;0,2*(1-2*$F$19-1/2)*D2427/1000,0)</f>
        <v>0</v>
      </c>
      <c r="S2432" t="str">
        <v>)</v>
      </c>
      <c r="T2432" t="str">
        <v>x</v>
      </c>
      <c r="U2432">
        <f>0.006165*F2432^2</f>
        <v>1.57824</v>
      </c>
      <c r="X2432" t="str">
        <v>x</v>
      </c>
      <c r="Y2432">
        <f>D2430</f>
        <v>1</v>
      </c>
      <c r="Z2432" t="str">
        <v>=</v>
      </c>
      <c r="AA2432">
        <f>IF(AA2434=0,(D2432*N2432+P2432*R2432)*U2432*Y2432,0)</f>
        <v>0</v>
      </c>
    </row>
    <row r="2433">
      <c r="A2433" t="str">
        <f>A2424</f>
        <v>Sloof</v>
      </c>
      <c r="B2433">
        <f>B2424</f>
        <v>73</v>
      </c>
      <c r="C2433" t="str">
        <v>Tul Atas Tumpuan</v>
      </c>
      <c r="D2433">
        <f>VLOOKUP(D2424,'Detail Balok'!$C$10:$AU$110,10,FALSE)</f>
        <v>5</v>
      </c>
      <c r="E2433" t="str">
        <v>D</v>
      </c>
      <c r="F2433">
        <f>VLOOKUP(D2424,'Detail Balok'!$C$10:$AU$110,12,FALSE)</f>
        <v>16</v>
      </c>
      <c r="I2433" t="str">
        <v>(</v>
      </c>
      <c r="J2433">
        <f>+D2426/4/1000</f>
        <v>0.525</v>
      </c>
      <c r="K2433" t="str">
        <v>+</v>
      </c>
      <c r="L2433">
        <f>MAX(VLOOKUP(F2433,N$6:P$15,3,FALSE)/1000,2/3*D2428/1000)+F$16*F2433/1000</f>
        <v>0.192</v>
      </c>
      <c r="M2433" t="str">
        <v>=</v>
      </c>
      <c r="N2433">
        <f>J2433+L2433</f>
        <v>0.7170000000000001</v>
      </c>
      <c r="O2433" t="str">
        <v>+</v>
      </c>
      <c r="P2433">
        <f>D2433-D2432</f>
        <v>0</v>
      </c>
      <c r="Q2433" t="str">
        <v>x</v>
      </c>
      <c r="R2433">
        <f>IF(P2433&gt;0,$F$18*F2433/1000,0)</f>
        <v>0</v>
      </c>
      <c r="S2433" t="str">
        <v>)</v>
      </c>
      <c r="T2433" t="str">
        <v>x</v>
      </c>
      <c r="U2433">
        <f>0.006165*F2433^2</f>
        <v>1.57824</v>
      </c>
      <c r="X2433" t="str">
        <v>x</v>
      </c>
      <c r="Y2433">
        <f>D2430</f>
        <v>1</v>
      </c>
      <c r="Z2433" t="str">
        <v>=</v>
      </c>
      <c r="AA2433">
        <f>IF(AA2434=0,(D2433*N2433+P2433*R2433)*U2433*Y2433,0)</f>
        <v>0</v>
      </c>
    </row>
    <row r="2434">
      <c r="A2434" t="str">
        <f>A2424</f>
        <v>Sloof</v>
      </c>
      <c r="B2434">
        <f>B2424</f>
        <v>73</v>
      </c>
      <c r="D2434">
        <f>IF(AND(D2431=D2432,D2432=D2433,D2431=D2433),D2431,0)</f>
        <v>5</v>
      </c>
      <c r="E2434" t="str">
        <v>D</v>
      </c>
      <c r="F2434">
        <f>IF(AND(F2431=F2432,F2431=F2433,F2432=F2433),F2431,0)</f>
        <v>16</v>
      </c>
      <c r="L2434" t="str">
        <v>Total panjang per balok</v>
      </c>
      <c r="M2434" t="str">
        <v>=</v>
      </c>
      <c r="N2434">
        <f>IF(AND(D2431=D2432,D2431=D2433,D2432=D2433,F2431=F2432,F2431=F2433,F2432=F2433),SUM(N2431:N2433),0)</f>
        <v>2.484</v>
      </c>
      <c r="O2434" t="str">
        <v>+</v>
      </c>
      <c r="P2434">
        <f>IF(N2434&gt;12,ROUNDDOWN(N2434/12,0),0)</f>
        <v>0</v>
      </c>
      <c r="Q2434" t="str">
        <v>x</v>
      </c>
      <c r="R2434">
        <f>IF(P2434&gt;0,MAX(VLOOKUP(F2434,$D$6:$G$15,3,FALSE),600),0)/1000</f>
        <v>0</v>
      </c>
      <c r="T2434" t="str">
        <v>x</v>
      </c>
      <c r="U2434">
        <f>U2433</f>
        <v>1.57824</v>
      </c>
      <c r="V2434" t="str">
        <v>x</v>
      </c>
      <c r="W2434">
        <f>D2434</f>
        <v>5</v>
      </c>
      <c r="X2434" t="str">
        <v>x</v>
      </c>
      <c r="Y2434">
        <f>Y2433</f>
        <v>1</v>
      </c>
      <c r="Z2434" t="str">
        <v>=</v>
      </c>
      <c r="AA2434">
        <f>(N2434+P2434*R2434/1000)*U2434*W2434*Y2434</f>
        <v>19.6017408</v>
      </c>
    </row>
    <row r="2436">
      <c r="A2436" t="str">
        <f>A2424</f>
        <v>Sloof</v>
      </c>
      <c r="B2436">
        <f>B2424</f>
        <v>73</v>
      </c>
      <c r="C2436" t="str">
        <v>Tul Peminggang</v>
      </c>
      <c r="D2436">
        <f>VLOOKUP(D2424,'Detail Balok'!$C$10:$AU$110,13,FALSE)</f>
        <v>2</v>
      </c>
      <c r="E2436" t="str">
        <v>D</v>
      </c>
      <c r="F2436">
        <f>VLOOKUP(D2424,'Detail Balok'!$C$10:$AU$110,15,FALSE)</f>
        <v>10</v>
      </c>
      <c r="J2436">
        <f>+D2426/1000</f>
        <v>2.1</v>
      </c>
      <c r="K2436" t="str">
        <v>+</v>
      </c>
      <c r="L2436">
        <f>2*$F$16*F2436/1000</f>
        <v>0.24</v>
      </c>
      <c r="M2436" t="str">
        <v>=</v>
      </c>
      <c r="N2436">
        <f>J2436+L2436</f>
        <v>2.34</v>
      </c>
      <c r="O2436" t="str">
        <v>+</v>
      </c>
      <c r="P2436">
        <f>IF(N2436&gt;12,ROUNDDOWN(N2436/12,0),0)</f>
        <v>0</v>
      </c>
      <c r="Q2436" t="str">
        <v>x</v>
      </c>
      <c r="R2436">
        <f>IF(P2436&gt;0,MAX(VLOOKUP(F2436,$D$6:$G$15,3,FALSE),600),0)/1000</f>
        <v>0</v>
      </c>
      <c r="T2436" t="str">
        <v>x</v>
      </c>
      <c r="U2436">
        <f>0.006165*F2436^2</f>
        <v>0.6165</v>
      </c>
      <c r="V2436" t="str">
        <v>x</v>
      </c>
      <c r="W2436">
        <f>+D2436</f>
        <v>2</v>
      </c>
      <c r="X2436" t="str">
        <v>x</v>
      </c>
      <c r="Y2436">
        <f>D2430</f>
        <v>1</v>
      </c>
      <c r="Z2436" t="str">
        <v>=</v>
      </c>
      <c r="AA2436">
        <f>(N2436+P2436*R2436/1000)*U2436*W2436*Y2436</f>
        <v>2.88522</v>
      </c>
    </row>
    <row r="2439">
      <c r="A2439" t="str">
        <f>A2424</f>
        <v>Sloof</v>
      </c>
      <c r="B2439">
        <f>B2424</f>
        <v>73</v>
      </c>
      <c r="C2439" t="str">
        <v>Tul Bawah Tumpuan</v>
      </c>
      <c r="D2439">
        <f>VLOOKUP(D2424,'Detail Balok'!$C$10:$AU$110,22,FALSE)</f>
        <v>3</v>
      </c>
      <c r="E2439" t="str">
        <v>D</v>
      </c>
      <c r="F2439">
        <f>VLOOKUP(D2424,'Detail Balok'!$C$10:$AU$110,24,FALSE)</f>
        <v>16</v>
      </c>
      <c r="I2439" t="str">
        <v>(</v>
      </c>
      <c r="J2439">
        <f>+J2431</f>
        <v>0.525</v>
      </c>
      <c r="K2439" t="str">
        <v>+</v>
      </c>
      <c r="L2439">
        <f>MAX(VLOOKUP(F2439,N$6:P$15,3,FALSE)/1000,2/3*D2429/1000)+F$16*F2439/1000</f>
        <v>0.192</v>
      </c>
      <c r="M2439" t="str">
        <v>=</v>
      </c>
      <c r="N2439">
        <f>J2439+L2439</f>
        <v>0.7170000000000001</v>
      </c>
      <c r="O2439" t="str">
        <v>+</v>
      </c>
      <c r="P2439">
        <f>D2439-D2440</f>
        <v>0</v>
      </c>
      <c r="Q2439" t="str">
        <v>x</v>
      </c>
      <c r="R2439">
        <f>IF(P2439&gt;0,$F$18*F2439/1000,0)</f>
        <v>0</v>
      </c>
      <c r="S2439" t="str">
        <v>)</v>
      </c>
      <c r="T2439" t="str">
        <v>x</v>
      </c>
      <c r="U2439">
        <f>0.006165*F2439^2</f>
        <v>1.57824</v>
      </c>
      <c r="X2439" t="str">
        <v>x</v>
      </c>
      <c r="Y2439">
        <f>D2430</f>
        <v>1</v>
      </c>
      <c r="Z2439" t="str">
        <v>=</v>
      </c>
      <c r="AA2439">
        <f>IF(AA2442=0,(D2439*N2439+P2439*R2439)*U2439*Y2439,0)</f>
        <v>0</v>
      </c>
    </row>
    <row r="2440">
      <c r="A2440" t="str">
        <f>A2424</f>
        <v>Sloof</v>
      </c>
      <c r="B2440">
        <f>B2424</f>
        <v>73</v>
      </c>
      <c r="C2440" t="str">
        <v>Tul Bawah Lapangan</v>
      </c>
      <c r="D2440">
        <f>VLOOKUP(D2424,'Detail Balok'!$C$10:$AU$110,25,FALSE)</f>
        <v>3</v>
      </c>
      <c r="E2440" t="str">
        <v>D</v>
      </c>
      <c r="F2440">
        <f>VLOOKUP(D2424,'Detail Balok'!$C$10:$AU$110,27,FALSE)</f>
        <v>16</v>
      </c>
      <c r="I2440" t="str">
        <v>(</v>
      </c>
      <c r="J2440">
        <f>+J2432</f>
        <v>1.05</v>
      </c>
      <c r="K2440" t="str">
        <v>+</v>
      </c>
      <c r="M2440" t="str">
        <v>=</v>
      </c>
      <c r="N2440">
        <f>J2440+L2440</f>
        <v>1.05</v>
      </c>
      <c r="O2440" t="str">
        <v>+</v>
      </c>
      <c r="P2440">
        <f>MAX(D2440-D2439,D2440-D2441)</f>
        <v>0</v>
      </c>
      <c r="Q2440" t="str">
        <v>x</v>
      </c>
      <c r="R2440">
        <f>IF(P2440&gt;0,2*(1-2*$F$19-1/2)*D2427/1000,0)</f>
        <v>0</v>
      </c>
      <c r="S2440" t="str">
        <v>)</v>
      </c>
      <c r="T2440" t="str">
        <v>x</v>
      </c>
      <c r="U2440">
        <f>0.006165*F2440^2</f>
        <v>1.57824</v>
      </c>
      <c r="X2440" t="str">
        <v>x</v>
      </c>
      <c r="Y2440">
        <f>D2430</f>
        <v>1</v>
      </c>
      <c r="Z2440" t="str">
        <v>=</v>
      </c>
      <c r="AA2440">
        <f>IF(AA2442=0,(D2440*N2440+P2440*R2440)*U2440*Y2440,0)</f>
        <v>0</v>
      </c>
    </row>
    <row r="2441">
      <c r="A2441" t="str">
        <f>A2424</f>
        <v>Sloof</v>
      </c>
      <c r="B2441">
        <f>B2424</f>
        <v>73</v>
      </c>
      <c r="C2441" t="str">
        <v>Tul Bawah Tumpuan</v>
      </c>
      <c r="D2441">
        <f>VLOOKUP(D2424,'Detail Balok'!$C$10:$AU$110,28,FALSE)</f>
        <v>3</v>
      </c>
      <c r="E2441" t="str">
        <v>D</v>
      </c>
      <c r="F2441">
        <f>VLOOKUP(D2424,'Detail Balok'!$C$10:$AU$110,30,FALSE)</f>
        <v>16</v>
      </c>
      <c r="I2441" t="str">
        <v>(</v>
      </c>
      <c r="J2441">
        <f>+J2433</f>
        <v>0.525</v>
      </c>
      <c r="K2441" t="str">
        <v>+</v>
      </c>
      <c r="L2441">
        <f>MAX(VLOOKUP(F2441,N$6:P$15,3,FALSE)/1000,2/3*D2429/1000)+F$16*F2441/1000</f>
        <v>0.192</v>
      </c>
      <c r="M2441" t="str">
        <v>=</v>
      </c>
      <c r="N2441">
        <f>J2441+L2441</f>
        <v>0.7170000000000001</v>
      </c>
      <c r="O2441" t="str">
        <v>+</v>
      </c>
      <c r="P2441">
        <f>D2441-D2440</f>
        <v>0</v>
      </c>
      <c r="Q2441" t="str">
        <v>x</v>
      </c>
      <c r="R2441">
        <f>IF(P2441&gt;0,$F$18*F2441/1000,0)</f>
        <v>0</v>
      </c>
      <c r="S2441" t="str">
        <v>)</v>
      </c>
      <c r="T2441" t="str">
        <v>x</v>
      </c>
      <c r="U2441">
        <f>0.006165*F2441^2</f>
        <v>1.57824</v>
      </c>
      <c r="X2441" t="str">
        <v>x</v>
      </c>
      <c r="Y2441">
        <f>D2430</f>
        <v>1</v>
      </c>
      <c r="Z2441" t="str">
        <v>=</v>
      </c>
      <c r="AA2441">
        <f>IF(AA2442=0,(D2441*N2441+P2441*R2441)*U2441*Y2441,0)</f>
        <v>0</v>
      </c>
    </row>
    <row r="2442">
      <c r="A2442" t="str">
        <f>A2424</f>
        <v>Sloof</v>
      </c>
      <c r="B2442">
        <f>B2424</f>
        <v>73</v>
      </c>
      <c r="D2442">
        <f>IF(AND(D2439=D2440,D2440=D2441,D2439=D2441),D2439,0)</f>
        <v>3</v>
      </c>
      <c r="E2442" t="str">
        <v>D</v>
      </c>
      <c r="F2442">
        <f>IF(AND(F2439=F2440,F2439=F2441,F2440=F2441),F2439,0)</f>
        <v>16</v>
      </c>
      <c r="L2442" t="str">
        <v>Total panjang per balok</v>
      </c>
      <c r="M2442" t="str">
        <v>=</v>
      </c>
      <c r="N2442">
        <f>IF(AND(D2439=D2440,D2439=D2441,D2440=D2441,F2439=F2440,F2439=F2441,F2440=F2441),SUM(N2439:N2441),0)</f>
        <v>2.484</v>
      </c>
      <c r="O2442" t="str">
        <v>+</v>
      </c>
      <c r="P2442">
        <f>IF(N2442&gt;12,ROUNDDOWN(N2442/12,0),0)</f>
        <v>0</v>
      </c>
      <c r="Q2442" t="str">
        <v>x</v>
      </c>
      <c r="R2442">
        <f>IF(P2442&gt;0,MAX(VLOOKUP(F2442,$D$6:$G$15,3,FALSE),600),0)/1000</f>
        <v>0</v>
      </c>
      <c r="T2442" t="str">
        <v>x</v>
      </c>
      <c r="U2442">
        <f>U2441</f>
        <v>1.57824</v>
      </c>
      <c r="V2442" t="str">
        <v>x</v>
      </c>
      <c r="W2442">
        <f>D2442</f>
        <v>3</v>
      </c>
      <c r="X2442" t="str">
        <v>x</v>
      </c>
      <c r="Y2442">
        <f>Y2441</f>
        <v>1</v>
      </c>
      <c r="Z2442" t="str">
        <v>=</v>
      </c>
      <c r="AA2442">
        <f>(N2442+P2442*R2442/1000)*U2442*W2442*Y2442</f>
        <v>11.76104448</v>
      </c>
    </row>
    <row r="2444">
      <c r="A2444" t="str">
        <f>A2424</f>
        <v>Sloof</v>
      </c>
      <c r="B2444">
        <f>B2424</f>
        <v>73</v>
      </c>
      <c r="C2444" t="str">
        <v>Sengkang Tumpuan</v>
      </c>
      <c r="D2444">
        <f>VLOOKUP(D2424,'Detail Balok'!$C$10:$AU$110,31,FALSE)</f>
        <v>0</v>
      </c>
      <c r="E2444" t="str">
        <v>D</v>
      </c>
      <c r="F2444">
        <f>VLOOKUP(D2424,'Detail Balok'!$C$10:$AU$110,33,FALSE)</f>
        <v>10</v>
      </c>
      <c r="G2444" t="str">
        <v>-</v>
      </c>
      <c r="H2444">
        <f>VLOOKUP(D2424,'Detail Balok'!$C$10:$AU$110,35,FALSE)</f>
        <v>200</v>
      </c>
      <c r="J2444">
        <f>(IF(D2444=0,(2*(D2425+G2425))-(F$5*8),IF(D2444=3,(2*(D2425+G2425))-(F$5*8)+(G2425-2*F$5),IF(D2444=4,(2*(D2425+G2425))-(F$5*8)+2*(G2425-2*F$5)))))/1000</f>
        <v>1.28</v>
      </c>
      <c r="K2444" t="str">
        <v>+</v>
      </c>
      <c r="L2444">
        <f>IF(D2444=0,2*MAX(6*F2444,75),(D2444-1)*2*MAX(6*F2444,75))/1000</f>
        <v>0.15</v>
      </c>
      <c r="M2444" t="str">
        <v>=</v>
      </c>
      <c r="N2444">
        <f>J2444+L2444</f>
        <v>1.43</v>
      </c>
      <c r="T2444" t="str">
        <v>x</v>
      </c>
      <c r="U2444">
        <f>0.006165*F2444^2</f>
        <v>0.6165</v>
      </c>
      <c r="V2444" t="str">
        <v>x</v>
      </c>
      <c r="W2444">
        <f>IF(D2427&gt;4*G2425,ROUND(MAX(D2427/4,2*G2425)/H2444,0)+1,ROUND(D2427/H2444,0)+1)</f>
        <v>6</v>
      </c>
      <c r="X2444" t="str">
        <v>x</v>
      </c>
      <c r="Y2444">
        <f>D2430</f>
        <v>1</v>
      </c>
      <c r="Z2444" t="str">
        <v>=</v>
      </c>
      <c r="AA2444">
        <f>N2444*U2444*W2444*Y2444</f>
        <v>5.28957</v>
      </c>
    </row>
    <row r="2445">
      <c r="A2445" t="str">
        <f>A2424</f>
        <v>Sloof</v>
      </c>
      <c r="B2445">
        <f>B2424</f>
        <v>73</v>
      </c>
      <c r="C2445" t="str">
        <v>Sengkang Lapangan</v>
      </c>
      <c r="D2445">
        <f>VLOOKUP(D2424,'Detail Balok'!$C$10:$AU$110,36,FALSE)</f>
        <v>0</v>
      </c>
      <c r="E2445" t="str">
        <v>D</v>
      </c>
      <c r="F2445">
        <f>VLOOKUP(D2424,'Detail Balok'!$C$10:$AU$110,38,FALSE)</f>
        <v>10</v>
      </c>
      <c r="G2445" t="str">
        <v>-</v>
      </c>
      <c r="H2445">
        <f>VLOOKUP(D2424,'Detail Balok'!$C$10:$AU$110,40,FALSE)</f>
        <v>200</v>
      </c>
      <c r="J2445">
        <f>(IF(D2445=0,(2*(D2425+G2425))-(F$5*8),IF(D2445=3,(2*(D2425+G2425))-(F$5*8)+(G2425-2*F$5),IF(D2445=4,(2*(D2425+G2425))-(F$5*8)+2*(G2425-2*F$5)))))/1000</f>
        <v>1.28</v>
      </c>
      <c r="K2445" t="str">
        <v>+</v>
      </c>
      <c r="L2445">
        <f>IF(D2445=0,2*MAX(6*F2445,75),(D2445-1)*2*MAX(6*F2445,75))/1000</f>
        <v>0.15</v>
      </c>
      <c r="M2445" t="str">
        <v>=</v>
      </c>
      <c r="N2445">
        <f>J2445+L2445</f>
        <v>1.43</v>
      </c>
      <c r="T2445" t="str">
        <v>x</v>
      </c>
      <c r="U2445">
        <f>0.006165*F2445^2</f>
        <v>0.6165</v>
      </c>
      <c r="V2445" t="str">
        <v>x</v>
      </c>
      <c r="W2445">
        <f>IF(D2427-MAX(D2427/4,2*G2425)*2&gt;0,ROUND((D2427-MAX(D2427/4,2*G2425)*2)/H2445,0),0)</f>
        <v>1</v>
      </c>
      <c r="X2445" t="str">
        <v>x</v>
      </c>
      <c r="Y2445">
        <f>D2430</f>
        <v>1</v>
      </c>
      <c r="Z2445" t="str">
        <v>=</v>
      </c>
      <c r="AA2445">
        <f>N2445*U2445*W2445*Y2445</f>
        <v>0.881595</v>
      </c>
    </row>
    <row r="2446">
      <c r="A2446" t="str">
        <f>A2424</f>
        <v>Sloof</v>
      </c>
      <c r="B2446">
        <f>B2424</f>
        <v>73</v>
      </c>
      <c r="C2446" t="str">
        <v>Sengkang Tumpuan</v>
      </c>
      <c r="D2446">
        <f>VLOOKUP(D2424,'Detail Balok'!$C$10:$AU$110,41,FALSE)</f>
        <v>0</v>
      </c>
      <c r="E2446" t="str">
        <v>D</v>
      </c>
      <c r="F2446">
        <f>VLOOKUP(D2424,'Detail Balok'!$C$10:$AU$110,43,FALSE)</f>
        <v>10</v>
      </c>
      <c r="G2446" t="str">
        <v>-</v>
      </c>
      <c r="H2446">
        <f>VLOOKUP(D2424,'Detail Balok'!$C$10:$AU$110,45,FALSE)</f>
        <v>200</v>
      </c>
      <c r="J2446">
        <f>(IF(D2446=0,(2*(D2425+G2425))-(F$5*8),IF(D2446=3,(2*(D2425+G2425))-(F$5*8)+(G2425-2*F$5),IF(D2446=4,(2*(D2425+G2425))-(F$5*8)+2*(G2425-2*F$5)))))/1000</f>
        <v>1.28</v>
      </c>
      <c r="K2446" t="str">
        <v>+</v>
      </c>
      <c r="L2446">
        <f>IF(D2446=0,2*MAX(6*F2446,75),(D2446-1)*2*MAX(6*F2446,75))/1000</f>
        <v>0.15</v>
      </c>
      <c r="M2446" t="str">
        <v>=</v>
      </c>
      <c r="N2446">
        <f>J2446+L2446</f>
        <v>1.43</v>
      </c>
      <c r="T2446" t="str">
        <v>x</v>
      </c>
      <c r="U2446">
        <f>0.006165*F2446^2</f>
        <v>0.6165</v>
      </c>
      <c r="V2446" t="str">
        <v>x</v>
      </c>
      <c r="W2446">
        <f>IF(D2427&gt;4*G2425,ROUND(MAX(D2427/4,2*G2425)/H2446,0)+1,0)</f>
        <v>6</v>
      </c>
      <c r="X2446" t="str">
        <v>x</v>
      </c>
      <c r="Y2446">
        <f>D2430</f>
        <v>1</v>
      </c>
      <c r="Z2446" t="str">
        <v>=</v>
      </c>
      <c r="AA2446">
        <f>N2446*U2446*W2446*Y2446</f>
        <v>5.28957</v>
      </c>
    </row>
    <row r="2448">
      <c r="A2448" t="str">
        <f>A2424</f>
        <v>Sloof</v>
      </c>
      <c r="B2448">
        <f>B2424</f>
        <v>73</v>
      </c>
      <c r="C2448" t="str">
        <v>Kait Horizontal Tump.</v>
      </c>
      <c r="D2448">
        <f>VLOOKUP(D2424,'Detail Balok'!$C$10:$BJ$110,46,FALSE)</f>
        <v>0</v>
      </c>
      <c r="E2448" t="str">
        <v>D</v>
      </c>
      <c r="F2448">
        <f>VLOOKUP(D2424,'Detail Balok'!$C$10:$BJ$110,48,FALSE)</f>
        <v>0</v>
      </c>
      <c r="G2448" t="str">
        <v>-</v>
      </c>
      <c r="H2448">
        <f>VLOOKUP(D2424,'Detail Balok'!$C$10:$BJ$110,50,FALSE)</f>
        <v>100</v>
      </c>
      <c r="J2448">
        <f>(D2425-2*F$5)/1000</f>
        <v>0.22</v>
      </c>
      <c r="K2448" t="str">
        <v>+</v>
      </c>
      <c r="L2448">
        <f>IF(D2448=0,2*MAX(6*F2448,75),(D2448-1)*2*MAX(6*F2448,75))/1000</f>
        <v>0.15</v>
      </c>
      <c r="M2448" t="str">
        <v>=</v>
      </c>
      <c r="N2448">
        <f>J2448+L2448</f>
        <v>0.37</v>
      </c>
      <c r="T2448" t="str">
        <v>x</v>
      </c>
      <c r="U2448">
        <f>0.006165*F2448^2</f>
        <v>0</v>
      </c>
      <c r="V2448" t="str">
        <v>x</v>
      </c>
      <c r="W2448">
        <f>W2444</f>
        <v>6</v>
      </c>
      <c r="X2448" t="str">
        <v>x</v>
      </c>
      <c r="Y2448">
        <f>D2434</f>
        <v>5</v>
      </c>
      <c r="Z2448" t="str">
        <v>=</v>
      </c>
      <c r="AA2448">
        <f>N2448*U2448*W2448*Y2448</f>
        <v>0</v>
      </c>
    </row>
    <row r="2449">
      <c r="A2449" t="str">
        <f>A2424</f>
        <v>Sloof</v>
      </c>
      <c r="B2449">
        <f>B2424</f>
        <v>73</v>
      </c>
      <c r="C2449" t="str">
        <v>Kait Horizontal Lap.</v>
      </c>
      <c r="D2449">
        <f>VLOOKUP(D2424,'Detail Balok'!$C$10:$BJ$110,51,FALSE)</f>
        <v>0</v>
      </c>
      <c r="E2449" t="str">
        <v>D</v>
      </c>
      <c r="F2449">
        <f>VLOOKUP(D2424,'Detail Balok'!$C$10:$BJ$110,53,FALSE)</f>
        <v>0</v>
      </c>
      <c r="G2449" t="str">
        <v>-</v>
      </c>
      <c r="H2449">
        <f>VLOOKUP(D2424,'Detail Balok'!$C$10:$BJ$110,55,FALSE)</f>
        <v>100</v>
      </c>
      <c r="J2449">
        <f>(D2425-2*F$5)/1000</f>
        <v>0.22</v>
      </c>
      <c r="K2449" t="str">
        <v>+</v>
      </c>
      <c r="L2449">
        <f>IF(D2449=0,2*MAX(6*F2449,75),(D2449-1)*2*MAX(6*F2449,75))/1000</f>
        <v>0.15</v>
      </c>
      <c r="M2449" t="str">
        <v>=</v>
      </c>
      <c r="N2449">
        <f>J2449+L2449</f>
        <v>0.37</v>
      </c>
      <c r="T2449" t="str">
        <v>x</v>
      </c>
      <c r="U2449">
        <f>0.006165*F2449^2</f>
        <v>0</v>
      </c>
      <c r="V2449" t="str">
        <v>x</v>
      </c>
      <c r="W2449">
        <f>W2445</f>
        <v>1</v>
      </c>
      <c r="X2449" t="str">
        <v>x</v>
      </c>
      <c r="Y2449">
        <f>D2434</f>
        <v>5</v>
      </c>
      <c r="Z2449" t="str">
        <v>=</v>
      </c>
      <c r="AA2449">
        <f>N2449*U2449*W2449*Y2449</f>
        <v>0</v>
      </c>
    </row>
    <row r="2450">
      <c r="A2450" t="str">
        <f>A2424</f>
        <v>Sloof</v>
      </c>
      <c r="B2450">
        <f>B2424</f>
        <v>73</v>
      </c>
      <c r="C2450" t="str">
        <v>Kait Horizontal Tump.</v>
      </c>
      <c r="D2450">
        <f>VLOOKUP(D2424,'Detail Balok'!$C$10:$BJ$110,56,FALSE)</f>
        <v>0</v>
      </c>
      <c r="E2450" t="str">
        <v>D</v>
      </c>
      <c r="F2450">
        <f>VLOOKUP(D2424,'Detail Balok'!$C$10:$BJ$110,58,FALSE)</f>
        <v>0</v>
      </c>
      <c r="G2450" t="str">
        <v>-</v>
      </c>
      <c r="H2450">
        <f>VLOOKUP(D2424,'Detail Balok'!$C$10:$BJ$110,60,FALSE)</f>
        <v>100</v>
      </c>
      <c r="J2450">
        <f>(D2425-2*F$5)/1000</f>
        <v>0.22</v>
      </c>
      <c r="K2450" t="str">
        <v>+</v>
      </c>
      <c r="L2450">
        <f>IF(D2450=0,2*MAX(6*F2450,75),(D2450-1)*2*MAX(6*F2450,75))/1000</f>
        <v>0.15</v>
      </c>
      <c r="M2450" t="str">
        <v>=</v>
      </c>
      <c r="N2450">
        <f>J2450+L2450</f>
        <v>0.37</v>
      </c>
      <c r="T2450" t="str">
        <v>x</v>
      </c>
      <c r="U2450">
        <f>0.006165*F2450^2</f>
        <v>0</v>
      </c>
      <c r="V2450" t="str">
        <v>x</v>
      </c>
      <c r="W2450">
        <f>W2446</f>
        <v>6</v>
      </c>
      <c r="X2450" t="str">
        <v>x</v>
      </c>
      <c r="Y2450">
        <f>D2434</f>
        <v>5</v>
      </c>
      <c r="Z2450" t="str">
        <v>=</v>
      </c>
      <c r="AA2450">
        <f>N2450*U2450*W2450*Y2450</f>
        <v>0</v>
      </c>
    </row>
    <row r="2454">
      <c r="A2454" t="str">
        <f>A2424</f>
        <v>Sloof</v>
      </c>
      <c r="B2454">
        <f>B2424+1</f>
        <v>74</v>
      </c>
      <c r="C2454" t="str">
        <f>CONCATENATE(A2454," no. ",B2454)</f>
        <v>Sloof no. 74</v>
      </c>
      <c r="D2454" t="str">
        <f>VLOOKUP(C2454,'Data Panjang Balok'!$C$9:$N$424,2,FALSE)</f>
        <v>TB245-1</v>
      </c>
    </row>
    <row r="2455">
      <c r="C2455" t="str">
        <v>Dimensi</v>
      </c>
      <c r="D2455">
        <f>VLOOKUP(D2454,'Detail Balok'!$C$10:$AU$110,2,FALSE)</f>
        <v>200</v>
      </c>
      <c r="F2455" t="str">
        <v>x</v>
      </c>
      <c r="G2455">
        <f>VLOOKUP(D2454,'Detail Balok'!$C$10:$AU$110,3,FALSE)</f>
        <v>450</v>
      </c>
    </row>
    <row r="2456">
      <c r="C2456" t="str">
        <v>Panjang as ke as</v>
      </c>
      <c r="D2456">
        <f>VLOOKUP(C2454,'Data Panjang Balok'!$C$9:$N$424,4,FALSE)</f>
        <v>2100</v>
      </c>
    </row>
    <row r="2457">
      <c r="C2457" t="str">
        <v>Panjang netto</v>
      </c>
      <c r="D2457">
        <f>VLOOKUP(C2454,'Data Panjang Balok'!$C$9:$N$424,7,FALSE)</f>
        <v>2100</v>
      </c>
    </row>
    <row r="2458">
      <c r="C2458" t="str">
        <v>Kolom / balok kiri</v>
      </c>
      <c r="D2458">
        <f>VLOOKUP(C2454,'Data Panjang Balok'!$C$9:$N$424,9,FALSE)</f>
        <v>0</v>
      </c>
    </row>
    <row r="2459">
      <c r="C2459" t="str">
        <v>Kolom / balok kanan</v>
      </c>
      <c r="D2459">
        <f>VLOOKUP(C2454,'Data Panjang Balok'!$C$9:$N$424,10,FALSE)</f>
        <v>0</v>
      </c>
    </row>
    <row r="2460">
      <c r="C2460" t="str">
        <v>Jumlah</v>
      </c>
      <c r="D2460">
        <f>VLOOKUP(C2454,'Data Panjang Balok'!$C$9:$N$424,3,FALSE)</f>
        <v>1</v>
      </c>
    </row>
    <row r="2461">
      <c r="A2461" t="str">
        <f>A2454</f>
        <v>Sloof</v>
      </c>
      <c r="B2461">
        <f>B2454</f>
        <v>74</v>
      </c>
      <c r="C2461" t="str">
        <v>Tul Atas Tumpuan</v>
      </c>
      <c r="D2461">
        <f>VLOOKUP(D2454,'Detail Balok'!$C$10:$AU$110,4,FALSE)</f>
        <v>3</v>
      </c>
      <c r="E2461" t="str">
        <v>D</v>
      </c>
      <c r="F2461">
        <f>VLOOKUP(D2454,'Detail Balok'!$C$10:$AU$110,6,FALSE)</f>
        <v>13</v>
      </c>
      <c r="I2461" t="str">
        <v>(</v>
      </c>
      <c r="J2461">
        <f>+D2456/4/1000</f>
        <v>0.525</v>
      </c>
      <c r="K2461" t="str">
        <v>+</v>
      </c>
      <c r="L2461">
        <f>MAX(VLOOKUP(F2461,N$6:P$15,3,FALSE)/1000,2/3*D2458/1000)+F$16*F2461/1000</f>
        <v>0.156</v>
      </c>
      <c r="M2461" t="str">
        <v>=</v>
      </c>
      <c r="N2461">
        <f>J2461+L2461</f>
        <v>0.681</v>
      </c>
      <c r="O2461" t="str">
        <v>+</v>
      </c>
      <c r="P2461">
        <f>D2461-D2462</f>
        <v>0</v>
      </c>
      <c r="Q2461" t="str">
        <v>x</v>
      </c>
      <c r="R2461">
        <f>IF(P2461&gt;0,$F$18*F2461/1000,0)</f>
        <v>0</v>
      </c>
      <c r="S2461" t="str">
        <v>)</v>
      </c>
      <c r="T2461" t="str">
        <v>x</v>
      </c>
      <c r="U2461">
        <f>0.006165*F2461^2</f>
        <v>1.041885</v>
      </c>
      <c r="X2461" t="str">
        <v>x</v>
      </c>
      <c r="Y2461">
        <f>D2460</f>
        <v>1</v>
      </c>
      <c r="Z2461" t="str">
        <v>=</v>
      </c>
      <c r="AA2461">
        <f>IF(AA2464=0,(D2461*N2461+P2461*R2461)*U2461*Y2461,0)</f>
        <v>0</v>
      </c>
    </row>
    <row r="2462">
      <c r="A2462" t="str">
        <f>A2454</f>
        <v>Sloof</v>
      </c>
      <c r="B2462">
        <f>B2454</f>
        <v>74</v>
      </c>
      <c r="C2462" t="str">
        <v>Tul Atas Lapangan</v>
      </c>
      <c r="D2462">
        <f>VLOOKUP(D2454,'Detail Balok'!$C$10:$AU$110,7,FALSE)</f>
        <v>3</v>
      </c>
      <c r="E2462" t="str">
        <v>D</v>
      </c>
      <c r="F2462">
        <f>VLOOKUP(D2454,'Detail Balok'!$C$10:$AU$110,9,FALSE)</f>
        <v>13</v>
      </c>
      <c r="I2462" t="str">
        <v>(</v>
      </c>
      <c r="J2462">
        <f>+D2456/2/1000</f>
        <v>1.05</v>
      </c>
      <c r="K2462" t="str">
        <v>+</v>
      </c>
      <c r="M2462" t="str">
        <v>=</v>
      </c>
      <c r="N2462">
        <f>J2462+L2462</f>
        <v>1.05</v>
      </c>
      <c r="O2462" t="str">
        <v>+</v>
      </c>
      <c r="P2462">
        <f>MAX(D2462-D2461,D2462-D2463)</f>
        <v>0</v>
      </c>
      <c r="Q2462" t="str">
        <v>x</v>
      </c>
      <c r="R2462">
        <f>IF(P2462&gt;0,2*(1-2*$F$19-1/2)*D2457/1000,0)</f>
        <v>0</v>
      </c>
      <c r="S2462" t="str">
        <v>)</v>
      </c>
      <c r="T2462" t="str">
        <v>x</v>
      </c>
      <c r="U2462">
        <f>0.006165*F2462^2</f>
        <v>1.041885</v>
      </c>
      <c r="X2462" t="str">
        <v>x</v>
      </c>
      <c r="Y2462">
        <f>D2460</f>
        <v>1</v>
      </c>
      <c r="Z2462" t="str">
        <v>=</v>
      </c>
      <c r="AA2462">
        <f>IF(AA2464=0,(D2462*N2462+P2462*R2462)*U2462*Y2462,0)</f>
        <v>0</v>
      </c>
    </row>
    <row r="2463">
      <c r="A2463" t="str">
        <f>A2454</f>
        <v>Sloof</v>
      </c>
      <c r="B2463">
        <f>B2454</f>
        <v>74</v>
      </c>
      <c r="C2463" t="str">
        <v>Tul Atas Tumpuan</v>
      </c>
      <c r="D2463">
        <f>VLOOKUP(D2454,'Detail Balok'!$C$10:$AU$110,10,FALSE)</f>
        <v>3</v>
      </c>
      <c r="E2463" t="str">
        <v>D</v>
      </c>
      <c r="F2463">
        <f>VLOOKUP(D2454,'Detail Balok'!$C$10:$AU$110,12,FALSE)</f>
        <v>13</v>
      </c>
      <c r="I2463" t="str">
        <v>(</v>
      </c>
      <c r="J2463">
        <f>+D2456/4/1000</f>
        <v>0.525</v>
      </c>
      <c r="K2463" t="str">
        <v>+</v>
      </c>
      <c r="L2463">
        <f>MAX(VLOOKUP(F2463,N$6:P$15,3,FALSE)/1000,2/3*D2458/1000)+F$16*F2463/1000</f>
        <v>0.156</v>
      </c>
      <c r="M2463" t="str">
        <v>=</v>
      </c>
      <c r="N2463">
        <f>J2463+L2463</f>
        <v>0.681</v>
      </c>
      <c r="O2463" t="str">
        <v>+</v>
      </c>
      <c r="P2463">
        <f>D2463-D2462</f>
        <v>0</v>
      </c>
      <c r="Q2463" t="str">
        <v>x</v>
      </c>
      <c r="R2463">
        <f>IF(P2463&gt;0,$F$18*F2463/1000,0)</f>
        <v>0</v>
      </c>
      <c r="S2463" t="str">
        <v>)</v>
      </c>
      <c r="T2463" t="str">
        <v>x</v>
      </c>
      <c r="U2463">
        <f>0.006165*F2463^2</f>
        <v>1.041885</v>
      </c>
      <c r="X2463" t="str">
        <v>x</v>
      </c>
      <c r="Y2463">
        <f>D2460</f>
        <v>1</v>
      </c>
      <c r="Z2463" t="str">
        <v>=</v>
      </c>
      <c r="AA2463">
        <f>IF(AA2464=0,(D2463*N2463+P2463*R2463)*U2463*Y2463,0)</f>
        <v>0</v>
      </c>
    </row>
    <row r="2464">
      <c r="A2464" t="str">
        <f>A2454</f>
        <v>Sloof</v>
      </c>
      <c r="B2464">
        <f>B2454</f>
        <v>74</v>
      </c>
      <c r="D2464">
        <f>IF(AND(D2461=D2462,D2462=D2463,D2461=D2463),D2461,0)</f>
        <v>3</v>
      </c>
      <c r="E2464" t="str">
        <v>D</v>
      </c>
      <c r="F2464">
        <f>IF(AND(F2461=F2462,F2461=F2463,F2462=F2463),F2461,0)</f>
        <v>13</v>
      </c>
      <c r="L2464" t="str">
        <v>Total panjang per balok</v>
      </c>
      <c r="M2464" t="str">
        <v>=</v>
      </c>
      <c r="N2464">
        <f>IF(AND(D2461=D2462,D2461=D2463,D2462=D2463,F2461=F2462,F2461=F2463,F2462=F2463),SUM(N2461:N2463),0)</f>
        <v>2.412</v>
      </c>
      <c r="O2464" t="str">
        <v>+</v>
      </c>
      <c r="P2464">
        <f>IF(N2464&gt;12,ROUNDDOWN(N2464/12,0),0)</f>
        <v>0</v>
      </c>
      <c r="Q2464" t="str">
        <v>x</v>
      </c>
      <c r="R2464">
        <f>IF(P2464&gt;0,MAX(VLOOKUP(F2464,$D$6:$G$15,3,FALSE),600),0)/1000</f>
        <v>0</v>
      </c>
      <c r="T2464" t="str">
        <v>x</v>
      </c>
      <c r="U2464">
        <f>U2463</f>
        <v>1.041885</v>
      </c>
      <c r="V2464" t="str">
        <v>x</v>
      </c>
      <c r="W2464">
        <f>D2464</f>
        <v>3</v>
      </c>
      <c r="X2464" t="str">
        <v>x</v>
      </c>
      <c r="Y2464">
        <f>Y2463</f>
        <v>1</v>
      </c>
      <c r="Z2464" t="str">
        <v>=</v>
      </c>
      <c r="AA2464">
        <f>(N2464+P2464*R2464/1000)*U2464*W2464*Y2464</f>
        <v>7.539079859999999</v>
      </c>
    </row>
    <row r="2466">
      <c r="A2466" t="str">
        <f>A2454</f>
        <v>Sloof</v>
      </c>
      <c r="B2466">
        <f>B2454</f>
        <v>74</v>
      </c>
      <c r="C2466" t="str">
        <v>Tul Peminggang</v>
      </c>
      <c r="D2466">
        <f>VLOOKUP(D2454,'Detail Balok'!$C$10:$AU$110,13,FALSE)</f>
        <v>2</v>
      </c>
      <c r="E2466" t="str">
        <v>D</v>
      </c>
      <c r="F2466">
        <f>VLOOKUP(D2454,'Detail Balok'!$C$10:$AU$110,15,FALSE)</f>
        <v>8</v>
      </c>
      <c r="J2466">
        <f>+D2456/1000</f>
        <v>2.1</v>
      </c>
      <c r="K2466" t="str">
        <v>+</v>
      </c>
      <c r="L2466">
        <f>2*$F$16*F2466/1000</f>
        <v>0.192</v>
      </c>
      <c r="M2466" t="str">
        <v>=</v>
      </c>
      <c r="N2466">
        <f>J2466+L2466</f>
        <v>2.2920000000000003</v>
      </c>
      <c r="O2466" t="str">
        <v>+</v>
      </c>
      <c r="P2466">
        <f>IF(N2466&gt;12,ROUNDDOWN(N2466/12,0),0)</f>
        <v>0</v>
      </c>
      <c r="Q2466" t="str">
        <v>x</v>
      </c>
      <c r="R2466">
        <f>IF(P2466&gt;0,MAX(VLOOKUP(F2466,$D$6:$G$15,3,FALSE),600),0)/1000</f>
        <v>0</v>
      </c>
      <c r="T2466" t="str">
        <v>x</v>
      </c>
      <c r="U2466">
        <f>0.006165*F2466^2</f>
        <v>0.39456</v>
      </c>
      <c r="V2466" t="str">
        <v>x</v>
      </c>
      <c r="W2466">
        <f>+D2466</f>
        <v>2</v>
      </c>
      <c r="X2466" t="str">
        <v>x</v>
      </c>
      <c r="Y2466">
        <f>D2460</f>
        <v>1</v>
      </c>
      <c r="Z2466" t="str">
        <v>=</v>
      </c>
      <c r="AA2466">
        <f>(N2466+P2466*R2466/1000)*U2466*W2466*Y2466</f>
        <v>1.8086630400000003</v>
      </c>
    </row>
    <row r="2469">
      <c r="A2469" t="str">
        <f>A2454</f>
        <v>Sloof</v>
      </c>
      <c r="B2469">
        <f>B2454</f>
        <v>74</v>
      </c>
      <c r="C2469" t="str">
        <v>Tul Bawah Tumpuan</v>
      </c>
      <c r="D2469">
        <f>VLOOKUP(D2454,'Detail Balok'!$C$10:$AU$110,22,FALSE)</f>
        <v>3</v>
      </c>
      <c r="E2469" t="str">
        <v>D</v>
      </c>
      <c r="F2469">
        <f>VLOOKUP(D2454,'Detail Balok'!$C$10:$AU$110,24,FALSE)</f>
        <v>13</v>
      </c>
      <c r="I2469" t="str">
        <v>(</v>
      </c>
      <c r="J2469">
        <f>+J2461</f>
        <v>0.525</v>
      </c>
      <c r="K2469" t="str">
        <v>+</v>
      </c>
      <c r="L2469">
        <f>MAX(VLOOKUP(F2469,N$6:P$15,3,FALSE)/1000,2/3*D2459/1000)+F$16*F2469/1000</f>
        <v>0.156</v>
      </c>
      <c r="M2469" t="str">
        <v>=</v>
      </c>
      <c r="N2469">
        <f>J2469+L2469</f>
        <v>0.681</v>
      </c>
      <c r="O2469" t="str">
        <v>+</v>
      </c>
      <c r="P2469">
        <f>D2469-D2470</f>
        <v>0</v>
      </c>
      <c r="Q2469" t="str">
        <v>x</v>
      </c>
      <c r="R2469">
        <f>IF(P2469&gt;0,$F$18*F2469/1000,0)</f>
        <v>0</v>
      </c>
      <c r="S2469" t="str">
        <v>)</v>
      </c>
      <c r="T2469" t="str">
        <v>x</v>
      </c>
      <c r="U2469">
        <f>0.006165*F2469^2</f>
        <v>1.041885</v>
      </c>
      <c r="X2469" t="str">
        <v>x</v>
      </c>
      <c r="Y2469">
        <f>D2460</f>
        <v>1</v>
      </c>
      <c r="Z2469" t="str">
        <v>=</v>
      </c>
      <c r="AA2469">
        <f>IF(AA2472=0,(D2469*N2469+P2469*R2469)*U2469*Y2469,0)</f>
        <v>0</v>
      </c>
    </row>
    <row r="2470">
      <c r="A2470" t="str">
        <f>A2454</f>
        <v>Sloof</v>
      </c>
      <c r="B2470">
        <f>B2454</f>
        <v>74</v>
      </c>
      <c r="C2470" t="str">
        <v>Tul Bawah Lapangan</v>
      </c>
      <c r="D2470">
        <f>VLOOKUP(D2454,'Detail Balok'!$C$10:$AU$110,25,FALSE)</f>
        <v>3</v>
      </c>
      <c r="E2470" t="str">
        <v>D</v>
      </c>
      <c r="F2470">
        <f>VLOOKUP(D2454,'Detail Balok'!$C$10:$AU$110,27,FALSE)</f>
        <v>13</v>
      </c>
      <c r="I2470" t="str">
        <v>(</v>
      </c>
      <c r="J2470">
        <f>+J2462</f>
        <v>1.05</v>
      </c>
      <c r="K2470" t="str">
        <v>+</v>
      </c>
      <c r="M2470" t="str">
        <v>=</v>
      </c>
      <c r="N2470">
        <f>J2470+L2470</f>
        <v>1.05</v>
      </c>
      <c r="O2470" t="str">
        <v>+</v>
      </c>
      <c r="P2470">
        <f>MAX(D2470-D2469,D2470-D2471)</f>
        <v>0</v>
      </c>
      <c r="Q2470" t="str">
        <v>x</v>
      </c>
      <c r="R2470">
        <f>IF(P2470&gt;0,2*(1-2*$F$19-1/2)*D2457/1000,0)</f>
        <v>0</v>
      </c>
      <c r="S2470" t="str">
        <v>)</v>
      </c>
      <c r="T2470" t="str">
        <v>x</v>
      </c>
      <c r="U2470">
        <f>0.006165*F2470^2</f>
        <v>1.041885</v>
      </c>
      <c r="X2470" t="str">
        <v>x</v>
      </c>
      <c r="Y2470">
        <f>D2460</f>
        <v>1</v>
      </c>
      <c r="Z2470" t="str">
        <v>=</v>
      </c>
      <c r="AA2470">
        <f>IF(AA2472=0,(D2470*N2470+P2470*R2470)*U2470*Y2470,0)</f>
        <v>0</v>
      </c>
    </row>
    <row r="2471">
      <c r="A2471" t="str">
        <f>A2454</f>
        <v>Sloof</v>
      </c>
      <c r="B2471">
        <f>B2454</f>
        <v>74</v>
      </c>
      <c r="C2471" t="str">
        <v>Tul Bawah Tumpuan</v>
      </c>
      <c r="D2471">
        <f>VLOOKUP(D2454,'Detail Balok'!$C$10:$AU$110,28,FALSE)</f>
        <v>3</v>
      </c>
      <c r="E2471" t="str">
        <v>D</v>
      </c>
      <c r="F2471">
        <f>VLOOKUP(D2454,'Detail Balok'!$C$10:$AU$110,30,FALSE)</f>
        <v>13</v>
      </c>
      <c r="I2471" t="str">
        <v>(</v>
      </c>
      <c r="J2471">
        <f>+J2463</f>
        <v>0.525</v>
      </c>
      <c r="K2471" t="str">
        <v>+</v>
      </c>
      <c r="L2471">
        <f>MAX(VLOOKUP(F2471,N$6:P$15,3,FALSE)/1000,2/3*D2459/1000)+F$16*F2471/1000</f>
        <v>0.156</v>
      </c>
      <c r="M2471" t="str">
        <v>=</v>
      </c>
      <c r="N2471">
        <f>J2471+L2471</f>
        <v>0.681</v>
      </c>
      <c r="O2471" t="str">
        <v>+</v>
      </c>
      <c r="P2471">
        <f>D2471-D2470</f>
        <v>0</v>
      </c>
      <c r="Q2471" t="str">
        <v>x</v>
      </c>
      <c r="R2471">
        <f>IF(P2471&gt;0,$F$18*F2471/1000,0)</f>
        <v>0</v>
      </c>
      <c r="S2471" t="str">
        <v>)</v>
      </c>
      <c r="T2471" t="str">
        <v>x</v>
      </c>
      <c r="U2471">
        <f>0.006165*F2471^2</f>
        <v>1.041885</v>
      </c>
      <c r="X2471" t="str">
        <v>x</v>
      </c>
      <c r="Y2471">
        <f>D2460</f>
        <v>1</v>
      </c>
      <c r="Z2471" t="str">
        <v>=</v>
      </c>
      <c r="AA2471">
        <f>IF(AA2472=0,(D2471*N2471+P2471*R2471)*U2471*Y2471,0)</f>
        <v>0</v>
      </c>
    </row>
    <row r="2472">
      <c r="A2472" t="str">
        <f>A2454</f>
        <v>Sloof</v>
      </c>
      <c r="B2472">
        <f>B2454</f>
        <v>74</v>
      </c>
      <c r="D2472">
        <f>IF(AND(D2469=D2470,D2470=D2471,D2469=D2471),D2469,0)</f>
        <v>3</v>
      </c>
      <c r="E2472" t="str">
        <v>D</v>
      </c>
      <c r="F2472">
        <f>IF(AND(F2469=F2470,F2469=F2471,F2470=F2471),F2469,0)</f>
        <v>13</v>
      </c>
      <c r="L2472" t="str">
        <v>Total panjang per balok</v>
      </c>
      <c r="M2472" t="str">
        <v>=</v>
      </c>
      <c r="N2472">
        <f>IF(AND(D2469=D2470,D2469=D2471,D2470=D2471,F2469=F2470,F2469=F2471,F2470=F2471),SUM(N2469:N2471),0)</f>
        <v>2.412</v>
      </c>
      <c r="O2472" t="str">
        <v>+</v>
      </c>
      <c r="P2472">
        <f>IF(N2472&gt;12,ROUNDDOWN(N2472/12,0),0)</f>
        <v>0</v>
      </c>
      <c r="Q2472" t="str">
        <v>x</v>
      </c>
      <c r="R2472">
        <f>IF(P2472&gt;0,MAX(VLOOKUP(F2472,$D$6:$G$15,3,FALSE),600),0)/1000</f>
        <v>0</v>
      </c>
      <c r="T2472" t="str">
        <v>x</v>
      </c>
      <c r="U2472">
        <f>U2471</f>
        <v>1.041885</v>
      </c>
      <c r="V2472" t="str">
        <v>x</v>
      </c>
      <c r="W2472">
        <f>D2472</f>
        <v>3</v>
      </c>
      <c r="X2472" t="str">
        <v>x</v>
      </c>
      <c r="Y2472">
        <f>Y2471</f>
        <v>1</v>
      </c>
      <c r="Z2472" t="str">
        <v>=</v>
      </c>
      <c r="AA2472">
        <f>(N2472+P2472*R2472/1000)*U2472*W2472*Y2472</f>
        <v>7.539079859999999</v>
      </c>
    </row>
    <row r="2474">
      <c r="A2474" t="str">
        <f>A2454</f>
        <v>Sloof</v>
      </c>
      <c r="B2474">
        <f>B2454</f>
        <v>74</v>
      </c>
      <c r="C2474" t="str">
        <v>Sengkang Tumpuan</v>
      </c>
      <c r="D2474">
        <f>VLOOKUP(D2454,'Detail Balok'!$C$10:$AU$110,31,FALSE)</f>
        <v>0</v>
      </c>
      <c r="E2474" t="str">
        <v>D</v>
      </c>
      <c r="F2474">
        <f>VLOOKUP(D2454,'Detail Balok'!$C$10:$AU$110,33,FALSE)</f>
        <v>8</v>
      </c>
      <c r="G2474" t="str">
        <v>-</v>
      </c>
      <c r="H2474">
        <f>VLOOKUP(D2454,'Detail Balok'!$C$10:$AU$110,35,FALSE)</f>
        <v>200</v>
      </c>
      <c r="J2474">
        <f>(IF(D2474=0,(2*(D2455+G2455))-(F$5*8),IF(D2474=3,(2*(D2455+G2455))-(F$5*8)+(G2455-2*F$5),IF(D2474=4,(2*(D2455+G2455))-(F$5*8)+2*(G2455-2*F$5)))))/1000</f>
        <v>0.98</v>
      </c>
      <c r="K2474" t="str">
        <v>+</v>
      </c>
      <c r="L2474">
        <f>IF(D2474=0,2*MAX(6*F2474,75),(D2474-1)*2*MAX(6*F2474,75))/1000</f>
        <v>0.15</v>
      </c>
      <c r="M2474" t="str">
        <v>=</v>
      </c>
      <c r="N2474">
        <f>J2474+L2474</f>
        <v>1.13</v>
      </c>
      <c r="T2474" t="str">
        <v>x</v>
      </c>
      <c r="U2474">
        <f>0.006165*F2474^2</f>
        <v>0.39456</v>
      </c>
      <c r="V2474" t="str">
        <v>x</v>
      </c>
      <c r="W2474">
        <f>IF(D2457&gt;4*G2455,ROUND(MAX(D2457/4,2*G2455)/H2474,0)+1,ROUND(D2457/H2474,0)+1)</f>
        <v>6</v>
      </c>
      <c r="X2474" t="str">
        <v>x</v>
      </c>
      <c r="Y2474">
        <f>D2460</f>
        <v>1</v>
      </c>
      <c r="Z2474" t="str">
        <v>=</v>
      </c>
      <c r="AA2474">
        <f>N2474*U2474*W2474*Y2474</f>
        <v>2.6751168</v>
      </c>
    </row>
    <row r="2475">
      <c r="A2475" t="str">
        <f>A2454</f>
        <v>Sloof</v>
      </c>
      <c r="B2475">
        <f>B2454</f>
        <v>74</v>
      </c>
      <c r="C2475" t="str">
        <v>Sengkang Lapangan</v>
      </c>
      <c r="D2475">
        <f>VLOOKUP(D2454,'Detail Balok'!$C$10:$AU$110,36,FALSE)</f>
        <v>0</v>
      </c>
      <c r="E2475" t="str">
        <v>D</v>
      </c>
      <c r="F2475">
        <f>VLOOKUP(D2454,'Detail Balok'!$C$10:$AU$110,38,FALSE)</f>
        <v>8</v>
      </c>
      <c r="G2475" t="str">
        <v>-</v>
      </c>
      <c r="H2475">
        <f>VLOOKUP(D2454,'Detail Balok'!$C$10:$AU$110,40,FALSE)</f>
        <v>200</v>
      </c>
      <c r="J2475">
        <f>(IF(D2475=0,(2*(D2455+G2455))-(F$5*8),IF(D2475=3,(2*(D2455+G2455))-(F$5*8)+(G2455-2*F$5),IF(D2475=4,(2*(D2455+G2455))-(F$5*8)+2*(G2455-2*F$5)))))/1000</f>
        <v>0.98</v>
      </c>
      <c r="K2475" t="str">
        <v>+</v>
      </c>
      <c r="L2475">
        <f>IF(D2475=0,2*MAX(6*F2475,75),(D2475-1)*2*MAX(6*F2475,75))/1000</f>
        <v>0.15</v>
      </c>
      <c r="M2475" t="str">
        <v>=</v>
      </c>
      <c r="N2475">
        <f>J2475+L2475</f>
        <v>1.13</v>
      </c>
      <c r="T2475" t="str">
        <v>x</v>
      </c>
      <c r="U2475">
        <f>0.006165*F2475^2</f>
        <v>0.39456</v>
      </c>
      <c r="V2475" t="str">
        <v>x</v>
      </c>
      <c r="W2475">
        <f>IF(D2457-MAX(D2457/4,2*G2455)*2&gt;0,ROUND((D2457-MAX(D2457/4,2*G2455)*2)/H2475,0),0)</f>
        <v>2</v>
      </c>
      <c r="X2475" t="str">
        <v>x</v>
      </c>
      <c r="Y2475">
        <f>D2460</f>
        <v>1</v>
      </c>
      <c r="Z2475" t="str">
        <v>=</v>
      </c>
      <c r="AA2475">
        <f>N2475*U2475*W2475*Y2475</f>
        <v>0.8917056</v>
      </c>
    </row>
    <row r="2476">
      <c r="A2476" t="str">
        <f>A2454</f>
        <v>Sloof</v>
      </c>
      <c r="B2476">
        <f>B2454</f>
        <v>74</v>
      </c>
      <c r="C2476" t="str">
        <v>Sengkang Tumpuan</v>
      </c>
      <c r="D2476">
        <f>VLOOKUP(D2454,'Detail Balok'!$C$10:$AU$110,41,FALSE)</f>
        <v>0</v>
      </c>
      <c r="E2476" t="str">
        <v>D</v>
      </c>
      <c r="F2476">
        <f>VLOOKUP(D2454,'Detail Balok'!$C$10:$AU$110,43,FALSE)</f>
        <v>8</v>
      </c>
      <c r="G2476" t="str">
        <v>-</v>
      </c>
      <c r="H2476">
        <f>VLOOKUP(D2454,'Detail Balok'!$C$10:$AU$110,45,FALSE)</f>
        <v>200</v>
      </c>
      <c r="J2476">
        <f>(IF(D2476=0,(2*(D2455+G2455))-(F$5*8),IF(D2476=3,(2*(D2455+G2455))-(F$5*8)+(G2455-2*F$5),IF(D2476=4,(2*(D2455+G2455))-(F$5*8)+2*(G2455-2*F$5)))))/1000</f>
        <v>0.98</v>
      </c>
      <c r="K2476" t="str">
        <v>+</v>
      </c>
      <c r="L2476">
        <f>IF(D2476=0,2*MAX(6*F2476,75),(D2476-1)*2*MAX(6*F2476,75))/1000</f>
        <v>0.15</v>
      </c>
      <c r="M2476" t="str">
        <v>=</v>
      </c>
      <c r="N2476">
        <f>J2476+L2476</f>
        <v>1.13</v>
      </c>
      <c r="T2476" t="str">
        <v>x</v>
      </c>
      <c r="U2476">
        <f>0.006165*F2476^2</f>
        <v>0.39456</v>
      </c>
      <c r="V2476" t="str">
        <v>x</v>
      </c>
      <c r="W2476">
        <f>IF(D2457&gt;4*G2455,ROUND(MAX(D2457/4,2*G2455)/H2476,0)+1,0)</f>
        <v>6</v>
      </c>
      <c r="X2476" t="str">
        <v>x</v>
      </c>
      <c r="Y2476">
        <f>D2460</f>
        <v>1</v>
      </c>
      <c r="Z2476" t="str">
        <v>=</v>
      </c>
      <c r="AA2476">
        <f>N2476*U2476*W2476*Y2476</f>
        <v>2.6751168</v>
      </c>
    </row>
    <row r="2478">
      <c r="A2478" t="str">
        <f>A2454</f>
        <v>Sloof</v>
      </c>
      <c r="B2478">
        <f>B2454</f>
        <v>74</v>
      </c>
      <c r="C2478" t="str">
        <v>Kait Horizontal Tump.</v>
      </c>
      <c r="D2478">
        <f>VLOOKUP(D2454,'Detail Balok'!$C$10:$BJ$110,46,FALSE)</f>
        <v>0</v>
      </c>
      <c r="E2478" t="str">
        <v>D</v>
      </c>
      <c r="F2478">
        <f>VLOOKUP(D2454,'Detail Balok'!$C$10:$BJ$110,48,FALSE)</f>
        <v>0</v>
      </c>
      <c r="G2478" t="str">
        <v>-</v>
      </c>
      <c r="H2478">
        <f>VLOOKUP(D2454,'Detail Balok'!$C$10:$BJ$110,50,FALSE)</f>
        <v>100</v>
      </c>
      <c r="J2478">
        <f>(D2455-2*F$5)/1000</f>
        <v>0.12</v>
      </c>
      <c r="K2478" t="str">
        <v>+</v>
      </c>
      <c r="L2478">
        <f>IF(D2478=0,2*MAX(6*F2478,75),(D2478-1)*2*MAX(6*F2478,75))/1000</f>
        <v>0.15</v>
      </c>
      <c r="M2478" t="str">
        <v>=</v>
      </c>
      <c r="N2478">
        <f>J2478+L2478</f>
        <v>0.27</v>
      </c>
      <c r="T2478" t="str">
        <v>x</v>
      </c>
      <c r="U2478">
        <f>0.006165*F2478^2</f>
        <v>0</v>
      </c>
      <c r="V2478" t="str">
        <v>x</v>
      </c>
      <c r="W2478">
        <f>W2474</f>
        <v>6</v>
      </c>
      <c r="X2478" t="str">
        <v>x</v>
      </c>
      <c r="Y2478">
        <f>D2464</f>
        <v>3</v>
      </c>
      <c r="Z2478" t="str">
        <v>=</v>
      </c>
      <c r="AA2478">
        <f>N2478*U2478*W2478*Y2478</f>
        <v>0</v>
      </c>
    </row>
    <row r="2479">
      <c r="A2479" t="str">
        <f>A2454</f>
        <v>Sloof</v>
      </c>
      <c r="B2479">
        <f>B2454</f>
        <v>74</v>
      </c>
      <c r="C2479" t="str">
        <v>Kait Horizontal Lap.</v>
      </c>
      <c r="D2479">
        <f>VLOOKUP(D2454,'Detail Balok'!$C$10:$BJ$110,51,FALSE)</f>
        <v>0</v>
      </c>
      <c r="E2479" t="str">
        <v>D</v>
      </c>
      <c r="F2479">
        <f>VLOOKUP(D2454,'Detail Balok'!$C$10:$BJ$110,53,FALSE)</f>
        <v>0</v>
      </c>
      <c r="G2479" t="str">
        <v>-</v>
      </c>
      <c r="H2479">
        <f>VLOOKUP(D2454,'Detail Balok'!$C$10:$BJ$110,55,FALSE)</f>
        <v>100</v>
      </c>
      <c r="J2479">
        <f>(D2455-2*F$5)/1000</f>
        <v>0.12</v>
      </c>
      <c r="K2479" t="str">
        <v>+</v>
      </c>
      <c r="L2479">
        <f>IF(D2479=0,2*MAX(6*F2479,75),(D2479-1)*2*MAX(6*F2479,75))/1000</f>
        <v>0.15</v>
      </c>
      <c r="M2479" t="str">
        <v>=</v>
      </c>
      <c r="N2479">
        <f>J2479+L2479</f>
        <v>0.27</v>
      </c>
      <c r="T2479" t="str">
        <v>x</v>
      </c>
      <c r="U2479">
        <f>0.006165*F2479^2</f>
        <v>0</v>
      </c>
      <c r="V2479" t="str">
        <v>x</v>
      </c>
      <c r="W2479">
        <f>W2475</f>
        <v>2</v>
      </c>
      <c r="X2479" t="str">
        <v>x</v>
      </c>
      <c r="Y2479">
        <f>D2464</f>
        <v>3</v>
      </c>
      <c r="Z2479" t="str">
        <v>=</v>
      </c>
      <c r="AA2479">
        <f>N2479*U2479*W2479*Y2479</f>
        <v>0</v>
      </c>
    </row>
    <row r="2480">
      <c r="A2480" t="str">
        <f>A2454</f>
        <v>Sloof</v>
      </c>
      <c r="B2480">
        <f>B2454</f>
        <v>74</v>
      </c>
      <c r="C2480" t="str">
        <v>Kait Horizontal Tump.</v>
      </c>
      <c r="D2480">
        <f>VLOOKUP(D2454,'Detail Balok'!$C$10:$BJ$110,56,FALSE)</f>
        <v>0</v>
      </c>
      <c r="E2480" t="str">
        <v>D</v>
      </c>
      <c r="F2480">
        <f>VLOOKUP(D2454,'Detail Balok'!$C$10:$BJ$110,58,FALSE)</f>
        <v>0</v>
      </c>
      <c r="G2480" t="str">
        <v>-</v>
      </c>
      <c r="H2480">
        <f>VLOOKUP(D2454,'Detail Balok'!$C$10:$BJ$110,60,FALSE)</f>
        <v>100</v>
      </c>
      <c r="J2480">
        <f>(D2455-2*F$5)/1000</f>
        <v>0.12</v>
      </c>
      <c r="K2480" t="str">
        <v>+</v>
      </c>
      <c r="L2480">
        <f>IF(D2480=0,2*MAX(6*F2480,75),(D2480-1)*2*MAX(6*F2480,75))/1000</f>
        <v>0.15</v>
      </c>
      <c r="M2480" t="str">
        <v>=</v>
      </c>
      <c r="N2480">
        <f>J2480+L2480</f>
        <v>0.27</v>
      </c>
      <c r="T2480" t="str">
        <v>x</v>
      </c>
      <c r="U2480">
        <f>0.006165*F2480^2</f>
        <v>0</v>
      </c>
      <c r="V2480" t="str">
        <v>x</v>
      </c>
      <c r="W2480">
        <f>W2476</f>
        <v>6</v>
      </c>
      <c r="X2480" t="str">
        <v>x</v>
      </c>
      <c r="Y2480">
        <f>D2464</f>
        <v>3</v>
      </c>
      <c r="Z2480" t="str">
        <v>=</v>
      </c>
      <c r="AA2480">
        <f>N2480*U2480*W2480*Y2480</f>
        <v>0</v>
      </c>
    </row>
    <row r="2484">
      <c r="A2484" t="str">
        <f>A2454</f>
        <v>Sloof</v>
      </c>
      <c r="B2484">
        <f>B2454+1</f>
        <v>75</v>
      </c>
      <c r="C2484" t="str">
        <f>CONCATENATE(A2484," no. ",B2484)</f>
        <v>Sloof no. 75</v>
      </c>
      <c r="D2484" t="str">
        <f>VLOOKUP(C2484,'Data Panjang Balok'!$C$9:$N$424,2,FALSE)</f>
        <v>Potongan S4</v>
      </c>
    </row>
    <row r="2485">
      <c r="C2485" t="str">
        <v>Dimensi</v>
      </c>
      <c r="D2485">
        <f>VLOOKUP(D2484,'Detail Balok'!$C$10:$AU$110,2,FALSE)</f>
        <v>300</v>
      </c>
      <c r="F2485" t="str">
        <v>x</v>
      </c>
      <c r="G2485">
        <f>VLOOKUP(D2484,'Detail Balok'!$C$10:$AU$110,3,FALSE)</f>
        <v>500</v>
      </c>
    </row>
    <row r="2486">
      <c r="C2486" t="str">
        <v>Panjang as ke as</v>
      </c>
      <c r="D2486">
        <f>VLOOKUP(C2484,'Data Panjang Balok'!$C$9:$N$424,4,FALSE)</f>
        <v>2100</v>
      </c>
    </row>
    <row r="2487">
      <c r="C2487" t="str">
        <v>Panjang netto</v>
      </c>
      <c r="D2487">
        <f>VLOOKUP(C2484,'Data Panjang Balok'!$C$9:$N$424,7,FALSE)</f>
        <v>2100</v>
      </c>
    </row>
    <row r="2488">
      <c r="C2488" t="str">
        <v>Kolom / balok kiri</v>
      </c>
      <c r="D2488">
        <f>VLOOKUP(C2484,'Data Panjang Balok'!$C$9:$N$424,9,FALSE)</f>
        <v>0</v>
      </c>
    </row>
    <row r="2489">
      <c r="C2489" t="str">
        <v>Kolom / balok kanan</v>
      </c>
      <c r="D2489">
        <f>VLOOKUP(C2484,'Data Panjang Balok'!$C$9:$N$424,10,FALSE)</f>
        <v>0</v>
      </c>
    </row>
    <row r="2490">
      <c r="C2490" t="str">
        <v>Jumlah</v>
      </c>
      <c r="D2490">
        <f>VLOOKUP(C2484,'Data Panjang Balok'!$C$9:$N$424,3,FALSE)</f>
        <v>1</v>
      </c>
    </row>
    <row r="2491">
      <c r="A2491" t="str">
        <f>A2484</f>
        <v>Sloof</v>
      </c>
      <c r="B2491">
        <f>B2484</f>
        <v>75</v>
      </c>
      <c r="C2491" t="str">
        <v>Tul Atas Tumpuan</v>
      </c>
      <c r="D2491">
        <f>VLOOKUP(D2484,'Detail Balok'!$C$10:$AU$110,4,FALSE)</f>
        <v>5</v>
      </c>
      <c r="E2491" t="str">
        <v>D</v>
      </c>
      <c r="F2491">
        <f>VLOOKUP(D2484,'Detail Balok'!$C$10:$AU$110,6,FALSE)</f>
        <v>16</v>
      </c>
      <c r="I2491" t="str">
        <v>(</v>
      </c>
      <c r="J2491">
        <f>+D2486/4/1000</f>
        <v>0.525</v>
      </c>
      <c r="K2491" t="str">
        <v>+</v>
      </c>
      <c r="L2491">
        <f>MAX(VLOOKUP(F2491,N$6:P$15,3,FALSE)/1000,2/3*D2488/1000)+F$16*F2491/1000</f>
        <v>0.192</v>
      </c>
      <c r="M2491" t="str">
        <v>=</v>
      </c>
      <c r="N2491">
        <f>J2491+L2491</f>
        <v>0.7170000000000001</v>
      </c>
      <c r="O2491" t="str">
        <v>+</v>
      </c>
      <c r="P2491">
        <f>D2491-D2492</f>
        <v>0</v>
      </c>
      <c r="Q2491" t="str">
        <v>x</v>
      </c>
      <c r="R2491">
        <f>IF(P2491&gt;0,$F$18*F2491/1000,0)</f>
        <v>0</v>
      </c>
      <c r="S2491" t="str">
        <v>)</v>
      </c>
      <c r="T2491" t="str">
        <v>x</v>
      </c>
      <c r="U2491">
        <f>0.006165*F2491^2</f>
        <v>1.57824</v>
      </c>
      <c r="X2491" t="str">
        <v>x</v>
      </c>
      <c r="Y2491">
        <f>D2490</f>
        <v>1</v>
      </c>
      <c r="Z2491" t="str">
        <v>=</v>
      </c>
      <c r="AA2491">
        <f>IF(AA2494=0,(D2491*N2491+P2491*R2491)*U2491*Y2491,0)</f>
        <v>0</v>
      </c>
    </row>
    <row r="2492">
      <c r="A2492" t="str">
        <f>A2484</f>
        <v>Sloof</v>
      </c>
      <c r="B2492">
        <f>B2484</f>
        <v>75</v>
      </c>
      <c r="C2492" t="str">
        <v>Tul Atas Lapangan</v>
      </c>
      <c r="D2492">
        <f>VLOOKUP(D2484,'Detail Balok'!$C$10:$AU$110,7,FALSE)</f>
        <v>5</v>
      </c>
      <c r="E2492" t="str">
        <v>D</v>
      </c>
      <c r="F2492">
        <f>VLOOKUP(D2484,'Detail Balok'!$C$10:$AU$110,9,FALSE)</f>
        <v>16</v>
      </c>
      <c r="I2492" t="str">
        <v>(</v>
      </c>
      <c r="J2492">
        <f>+D2486/2/1000</f>
        <v>1.05</v>
      </c>
      <c r="K2492" t="str">
        <v>+</v>
      </c>
      <c r="M2492" t="str">
        <v>=</v>
      </c>
      <c r="N2492">
        <f>J2492+L2492</f>
        <v>1.05</v>
      </c>
      <c r="O2492" t="str">
        <v>+</v>
      </c>
      <c r="P2492">
        <f>MAX(D2492-D2491,D2492-D2493)</f>
        <v>0</v>
      </c>
      <c r="Q2492" t="str">
        <v>x</v>
      </c>
      <c r="R2492">
        <f>IF(P2492&gt;0,2*(1-2*$F$19-1/2)*D2487/1000,0)</f>
        <v>0</v>
      </c>
      <c r="S2492" t="str">
        <v>)</v>
      </c>
      <c r="T2492" t="str">
        <v>x</v>
      </c>
      <c r="U2492">
        <f>0.006165*F2492^2</f>
        <v>1.57824</v>
      </c>
      <c r="X2492" t="str">
        <v>x</v>
      </c>
      <c r="Y2492">
        <f>D2490</f>
        <v>1</v>
      </c>
      <c r="Z2492" t="str">
        <v>=</v>
      </c>
      <c r="AA2492">
        <f>IF(AA2494=0,(D2492*N2492+P2492*R2492)*U2492*Y2492,0)</f>
        <v>0</v>
      </c>
    </row>
    <row r="2493">
      <c r="A2493" t="str">
        <f>A2484</f>
        <v>Sloof</v>
      </c>
      <c r="B2493">
        <f>B2484</f>
        <v>75</v>
      </c>
      <c r="C2493" t="str">
        <v>Tul Atas Tumpuan</v>
      </c>
      <c r="D2493">
        <f>VLOOKUP(D2484,'Detail Balok'!$C$10:$AU$110,10,FALSE)</f>
        <v>5</v>
      </c>
      <c r="E2493" t="str">
        <v>D</v>
      </c>
      <c r="F2493">
        <f>VLOOKUP(D2484,'Detail Balok'!$C$10:$AU$110,12,FALSE)</f>
        <v>16</v>
      </c>
      <c r="I2493" t="str">
        <v>(</v>
      </c>
      <c r="J2493">
        <f>+D2486/4/1000</f>
        <v>0.525</v>
      </c>
      <c r="K2493" t="str">
        <v>+</v>
      </c>
      <c r="L2493">
        <f>MAX(VLOOKUP(F2493,N$6:P$15,3,FALSE)/1000,2/3*D2488/1000)+F$16*F2493/1000</f>
        <v>0.192</v>
      </c>
      <c r="M2493" t="str">
        <v>=</v>
      </c>
      <c r="N2493">
        <f>J2493+L2493</f>
        <v>0.7170000000000001</v>
      </c>
      <c r="O2493" t="str">
        <v>+</v>
      </c>
      <c r="P2493">
        <f>D2493-D2492</f>
        <v>0</v>
      </c>
      <c r="Q2493" t="str">
        <v>x</v>
      </c>
      <c r="R2493">
        <f>IF(P2493&gt;0,$F$18*F2493/1000,0)</f>
        <v>0</v>
      </c>
      <c r="S2493" t="str">
        <v>)</v>
      </c>
      <c r="T2493" t="str">
        <v>x</v>
      </c>
      <c r="U2493">
        <f>0.006165*F2493^2</f>
        <v>1.57824</v>
      </c>
      <c r="X2493" t="str">
        <v>x</v>
      </c>
      <c r="Y2493">
        <f>D2490</f>
        <v>1</v>
      </c>
      <c r="Z2493" t="str">
        <v>=</v>
      </c>
      <c r="AA2493">
        <f>IF(AA2494=0,(D2493*N2493+P2493*R2493)*U2493*Y2493,0)</f>
        <v>0</v>
      </c>
    </row>
    <row r="2494">
      <c r="A2494" t="str">
        <f>A2484</f>
        <v>Sloof</v>
      </c>
      <c r="B2494">
        <f>B2484</f>
        <v>75</v>
      </c>
      <c r="D2494">
        <f>IF(AND(D2491=D2492,D2492=D2493,D2491=D2493),D2491,0)</f>
        <v>5</v>
      </c>
      <c r="E2494" t="str">
        <v>D</v>
      </c>
      <c r="F2494">
        <f>IF(AND(F2491=F2492,F2491=F2493,F2492=F2493),F2491,0)</f>
        <v>16</v>
      </c>
      <c r="L2494" t="str">
        <v>Total panjang per balok</v>
      </c>
      <c r="M2494" t="str">
        <v>=</v>
      </c>
      <c r="N2494">
        <f>IF(AND(D2491=D2492,D2491=D2493,D2492=D2493,F2491=F2492,F2491=F2493,F2492=F2493),SUM(N2491:N2493),0)</f>
        <v>2.484</v>
      </c>
      <c r="O2494" t="str">
        <v>+</v>
      </c>
      <c r="P2494">
        <f>IF(N2494&gt;12,ROUNDDOWN(N2494/12,0),0)</f>
        <v>0</v>
      </c>
      <c r="Q2494" t="str">
        <v>x</v>
      </c>
      <c r="R2494">
        <f>IF(P2494&gt;0,MAX(VLOOKUP(F2494,$D$6:$G$15,3,FALSE),600),0)/1000</f>
        <v>0</v>
      </c>
      <c r="T2494" t="str">
        <v>x</v>
      </c>
      <c r="U2494">
        <f>U2493</f>
        <v>1.57824</v>
      </c>
      <c r="V2494" t="str">
        <v>x</v>
      </c>
      <c r="W2494">
        <f>D2494</f>
        <v>5</v>
      </c>
      <c r="X2494" t="str">
        <v>x</v>
      </c>
      <c r="Y2494">
        <f>Y2493</f>
        <v>1</v>
      </c>
      <c r="Z2494" t="str">
        <v>=</v>
      </c>
      <c r="AA2494">
        <f>(N2494+P2494*R2494/1000)*U2494*W2494*Y2494</f>
        <v>19.6017408</v>
      </c>
    </row>
    <row r="2496">
      <c r="A2496" t="str">
        <f>A2484</f>
        <v>Sloof</v>
      </c>
      <c r="B2496">
        <f>B2484</f>
        <v>75</v>
      </c>
      <c r="C2496" t="str">
        <v>Tul Peminggang</v>
      </c>
      <c r="D2496">
        <f>VLOOKUP(D2484,'Detail Balok'!$C$10:$AU$110,13,FALSE)</f>
        <v>2</v>
      </c>
      <c r="E2496" t="str">
        <v>D</v>
      </c>
      <c r="F2496">
        <f>VLOOKUP(D2484,'Detail Balok'!$C$10:$AU$110,15,FALSE)</f>
        <v>10</v>
      </c>
      <c r="J2496">
        <f>+D2486/1000</f>
        <v>2.1</v>
      </c>
      <c r="K2496" t="str">
        <v>+</v>
      </c>
      <c r="L2496">
        <f>2*$F$16*F2496/1000</f>
        <v>0.24</v>
      </c>
      <c r="M2496" t="str">
        <v>=</v>
      </c>
      <c r="N2496">
        <f>J2496+L2496</f>
        <v>2.34</v>
      </c>
      <c r="O2496" t="str">
        <v>+</v>
      </c>
      <c r="P2496">
        <f>IF(N2496&gt;12,ROUNDDOWN(N2496/12,0),0)</f>
        <v>0</v>
      </c>
      <c r="Q2496" t="str">
        <v>x</v>
      </c>
      <c r="R2496">
        <f>IF(P2496&gt;0,MAX(VLOOKUP(F2496,$D$6:$G$15,3,FALSE),600),0)/1000</f>
        <v>0</v>
      </c>
      <c r="T2496" t="str">
        <v>x</v>
      </c>
      <c r="U2496">
        <f>0.006165*F2496^2</f>
        <v>0.6165</v>
      </c>
      <c r="V2496" t="str">
        <v>x</v>
      </c>
      <c r="W2496">
        <f>+D2496</f>
        <v>2</v>
      </c>
      <c r="X2496" t="str">
        <v>x</v>
      </c>
      <c r="Y2496">
        <f>D2490</f>
        <v>1</v>
      </c>
      <c r="Z2496" t="str">
        <v>=</v>
      </c>
      <c r="AA2496">
        <f>(N2496+P2496*R2496/1000)*U2496*W2496*Y2496</f>
        <v>2.88522</v>
      </c>
    </row>
    <row r="2499">
      <c r="A2499" t="str">
        <f>A2484</f>
        <v>Sloof</v>
      </c>
      <c r="B2499">
        <f>B2484</f>
        <v>75</v>
      </c>
      <c r="C2499" t="str">
        <v>Tul Bawah Tumpuan</v>
      </c>
      <c r="D2499">
        <f>VLOOKUP(D2484,'Detail Balok'!$C$10:$AU$110,22,FALSE)</f>
        <v>3</v>
      </c>
      <c r="E2499" t="str">
        <v>D</v>
      </c>
      <c r="F2499">
        <f>VLOOKUP(D2484,'Detail Balok'!$C$10:$AU$110,24,FALSE)</f>
        <v>16</v>
      </c>
      <c r="I2499" t="str">
        <v>(</v>
      </c>
      <c r="J2499">
        <f>+J2491</f>
        <v>0.525</v>
      </c>
      <c r="K2499" t="str">
        <v>+</v>
      </c>
      <c r="L2499">
        <f>MAX(VLOOKUP(F2499,N$6:P$15,3,FALSE)/1000,2/3*D2489/1000)+F$16*F2499/1000</f>
        <v>0.192</v>
      </c>
      <c r="M2499" t="str">
        <v>=</v>
      </c>
      <c r="N2499">
        <f>J2499+L2499</f>
        <v>0.7170000000000001</v>
      </c>
      <c r="O2499" t="str">
        <v>+</v>
      </c>
      <c r="P2499">
        <f>D2499-D2500</f>
        <v>0</v>
      </c>
      <c r="Q2499" t="str">
        <v>x</v>
      </c>
      <c r="R2499">
        <f>IF(P2499&gt;0,$F$18*F2499/1000,0)</f>
        <v>0</v>
      </c>
      <c r="S2499" t="str">
        <v>)</v>
      </c>
      <c r="T2499" t="str">
        <v>x</v>
      </c>
      <c r="U2499">
        <f>0.006165*F2499^2</f>
        <v>1.57824</v>
      </c>
      <c r="X2499" t="str">
        <v>x</v>
      </c>
      <c r="Y2499">
        <f>D2490</f>
        <v>1</v>
      </c>
      <c r="Z2499" t="str">
        <v>=</v>
      </c>
      <c r="AA2499">
        <f>IF(AA2502=0,(D2499*N2499+P2499*R2499)*U2499*Y2499,0)</f>
        <v>0</v>
      </c>
    </row>
    <row r="2500">
      <c r="A2500" t="str">
        <f>A2484</f>
        <v>Sloof</v>
      </c>
      <c r="B2500">
        <f>B2484</f>
        <v>75</v>
      </c>
      <c r="C2500" t="str">
        <v>Tul Bawah Lapangan</v>
      </c>
      <c r="D2500">
        <f>VLOOKUP(D2484,'Detail Balok'!$C$10:$AU$110,25,FALSE)</f>
        <v>3</v>
      </c>
      <c r="E2500" t="str">
        <v>D</v>
      </c>
      <c r="F2500">
        <f>VLOOKUP(D2484,'Detail Balok'!$C$10:$AU$110,27,FALSE)</f>
        <v>16</v>
      </c>
      <c r="I2500" t="str">
        <v>(</v>
      </c>
      <c r="J2500">
        <f>+J2492</f>
        <v>1.05</v>
      </c>
      <c r="K2500" t="str">
        <v>+</v>
      </c>
      <c r="M2500" t="str">
        <v>=</v>
      </c>
      <c r="N2500">
        <f>J2500+L2500</f>
        <v>1.05</v>
      </c>
      <c r="O2500" t="str">
        <v>+</v>
      </c>
      <c r="P2500">
        <f>MAX(D2500-D2499,D2500-D2501)</f>
        <v>0</v>
      </c>
      <c r="Q2500" t="str">
        <v>x</v>
      </c>
      <c r="R2500">
        <f>IF(P2500&gt;0,2*(1-2*$F$19-1/2)*D2487/1000,0)</f>
        <v>0</v>
      </c>
      <c r="S2500" t="str">
        <v>)</v>
      </c>
      <c r="T2500" t="str">
        <v>x</v>
      </c>
      <c r="U2500">
        <f>0.006165*F2500^2</f>
        <v>1.57824</v>
      </c>
      <c r="X2500" t="str">
        <v>x</v>
      </c>
      <c r="Y2500">
        <f>D2490</f>
        <v>1</v>
      </c>
      <c r="Z2500" t="str">
        <v>=</v>
      </c>
      <c r="AA2500">
        <f>IF(AA2502=0,(D2500*N2500+P2500*R2500)*U2500*Y2500,0)</f>
        <v>0</v>
      </c>
    </row>
    <row r="2501">
      <c r="A2501" t="str">
        <f>A2484</f>
        <v>Sloof</v>
      </c>
      <c r="B2501">
        <f>B2484</f>
        <v>75</v>
      </c>
      <c r="C2501" t="str">
        <v>Tul Bawah Tumpuan</v>
      </c>
      <c r="D2501">
        <f>VLOOKUP(D2484,'Detail Balok'!$C$10:$AU$110,28,FALSE)</f>
        <v>3</v>
      </c>
      <c r="E2501" t="str">
        <v>D</v>
      </c>
      <c r="F2501">
        <f>VLOOKUP(D2484,'Detail Balok'!$C$10:$AU$110,30,FALSE)</f>
        <v>16</v>
      </c>
      <c r="I2501" t="str">
        <v>(</v>
      </c>
      <c r="J2501">
        <f>+J2493</f>
        <v>0.525</v>
      </c>
      <c r="K2501" t="str">
        <v>+</v>
      </c>
      <c r="L2501">
        <f>MAX(VLOOKUP(F2501,N$6:P$15,3,FALSE)/1000,2/3*D2489/1000)+F$16*F2501/1000</f>
        <v>0.192</v>
      </c>
      <c r="M2501" t="str">
        <v>=</v>
      </c>
      <c r="N2501">
        <f>J2501+L2501</f>
        <v>0.7170000000000001</v>
      </c>
      <c r="O2501" t="str">
        <v>+</v>
      </c>
      <c r="P2501">
        <f>D2501-D2500</f>
        <v>0</v>
      </c>
      <c r="Q2501" t="str">
        <v>x</v>
      </c>
      <c r="R2501">
        <f>IF(P2501&gt;0,$F$18*F2501/1000,0)</f>
        <v>0</v>
      </c>
      <c r="S2501" t="str">
        <v>)</v>
      </c>
      <c r="T2501" t="str">
        <v>x</v>
      </c>
      <c r="U2501">
        <f>0.006165*F2501^2</f>
        <v>1.57824</v>
      </c>
      <c r="X2501" t="str">
        <v>x</v>
      </c>
      <c r="Y2501">
        <f>D2490</f>
        <v>1</v>
      </c>
      <c r="Z2501" t="str">
        <v>=</v>
      </c>
      <c r="AA2501">
        <f>IF(AA2502=0,(D2501*N2501+P2501*R2501)*U2501*Y2501,0)</f>
        <v>0</v>
      </c>
    </row>
    <row r="2502">
      <c r="A2502" t="str">
        <f>A2484</f>
        <v>Sloof</v>
      </c>
      <c r="B2502">
        <f>B2484</f>
        <v>75</v>
      </c>
      <c r="D2502">
        <f>IF(AND(D2499=D2500,D2500=D2501,D2499=D2501),D2499,0)</f>
        <v>3</v>
      </c>
      <c r="E2502" t="str">
        <v>D</v>
      </c>
      <c r="F2502">
        <f>IF(AND(F2499=F2500,F2499=F2501,F2500=F2501),F2499,0)</f>
        <v>16</v>
      </c>
      <c r="L2502" t="str">
        <v>Total panjang per balok</v>
      </c>
      <c r="M2502" t="str">
        <v>=</v>
      </c>
      <c r="N2502">
        <f>IF(AND(D2499=D2500,D2499=D2501,D2500=D2501,F2499=F2500,F2499=F2501,F2500=F2501),SUM(N2499:N2501),0)</f>
        <v>2.484</v>
      </c>
      <c r="O2502" t="str">
        <v>+</v>
      </c>
      <c r="P2502">
        <f>IF(N2502&gt;12,ROUNDDOWN(N2502/12,0),0)</f>
        <v>0</v>
      </c>
      <c r="Q2502" t="str">
        <v>x</v>
      </c>
      <c r="R2502">
        <f>IF(P2502&gt;0,MAX(VLOOKUP(F2502,$D$6:$G$15,3,FALSE),600),0)/1000</f>
        <v>0</v>
      </c>
      <c r="T2502" t="str">
        <v>x</v>
      </c>
      <c r="U2502">
        <f>U2501</f>
        <v>1.57824</v>
      </c>
      <c r="V2502" t="str">
        <v>x</v>
      </c>
      <c r="W2502">
        <f>D2502</f>
        <v>3</v>
      </c>
      <c r="X2502" t="str">
        <v>x</v>
      </c>
      <c r="Y2502">
        <f>Y2501</f>
        <v>1</v>
      </c>
      <c r="Z2502" t="str">
        <v>=</v>
      </c>
      <c r="AA2502">
        <f>(N2502+P2502*R2502/1000)*U2502*W2502*Y2502</f>
        <v>11.76104448</v>
      </c>
    </row>
    <row r="2504">
      <c r="A2504" t="str">
        <f>A2484</f>
        <v>Sloof</v>
      </c>
      <c r="B2504">
        <f>B2484</f>
        <v>75</v>
      </c>
      <c r="C2504" t="str">
        <v>Sengkang Tumpuan</v>
      </c>
      <c r="D2504">
        <f>VLOOKUP(D2484,'Detail Balok'!$C$10:$AU$110,31,FALSE)</f>
        <v>0</v>
      </c>
      <c r="E2504" t="str">
        <v>D</v>
      </c>
      <c r="F2504">
        <f>VLOOKUP(D2484,'Detail Balok'!$C$10:$AU$110,33,FALSE)</f>
        <v>10</v>
      </c>
      <c r="G2504" t="str">
        <v>-</v>
      </c>
      <c r="H2504">
        <f>VLOOKUP(D2484,'Detail Balok'!$C$10:$AU$110,35,FALSE)</f>
        <v>200</v>
      </c>
      <c r="J2504">
        <f>(IF(D2504=0,(2*(D2485+G2485))-(F$5*8),IF(D2504=3,(2*(D2485+G2485))-(F$5*8)+(G2485-2*F$5),IF(D2504=4,(2*(D2485+G2485))-(F$5*8)+2*(G2485-2*F$5)))))/1000</f>
        <v>1.28</v>
      </c>
      <c r="K2504" t="str">
        <v>+</v>
      </c>
      <c r="L2504">
        <f>IF(D2504=0,2*MAX(6*F2504,75),(D2504-1)*2*MAX(6*F2504,75))/1000</f>
        <v>0.15</v>
      </c>
      <c r="M2504" t="str">
        <v>=</v>
      </c>
      <c r="N2504">
        <f>J2504+L2504</f>
        <v>1.43</v>
      </c>
      <c r="T2504" t="str">
        <v>x</v>
      </c>
      <c r="U2504">
        <f>0.006165*F2504^2</f>
        <v>0.6165</v>
      </c>
      <c r="V2504" t="str">
        <v>x</v>
      </c>
      <c r="W2504">
        <f>IF(D2487&gt;4*G2485,ROUND(MAX(D2487/4,2*G2485)/H2504,0)+1,ROUND(D2487/H2504,0)+1)</f>
        <v>6</v>
      </c>
      <c r="X2504" t="str">
        <v>x</v>
      </c>
      <c r="Y2504">
        <f>D2490</f>
        <v>1</v>
      </c>
      <c r="Z2504" t="str">
        <v>=</v>
      </c>
      <c r="AA2504">
        <f>N2504*U2504*W2504*Y2504</f>
        <v>5.28957</v>
      </c>
    </row>
    <row r="2505">
      <c r="A2505" t="str">
        <f>A2484</f>
        <v>Sloof</v>
      </c>
      <c r="B2505">
        <f>B2484</f>
        <v>75</v>
      </c>
      <c r="C2505" t="str">
        <v>Sengkang Lapangan</v>
      </c>
      <c r="D2505">
        <f>VLOOKUP(D2484,'Detail Balok'!$C$10:$AU$110,36,FALSE)</f>
        <v>0</v>
      </c>
      <c r="E2505" t="str">
        <v>D</v>
      </c>
      <c r="F2505">
        <f>VLOOKUP(D2484,'Detail Balok'!$C$10:$AU$110,38,FALSE)</f>
        <v>10</v>
      </c>
      <c r="G2505" t="str">
        <v>-</v>
      </c>
      <c r="H2505">
        <f>VLOOKUP(D2484,'Detail Balok'!$C$10:$AU$110,40,FALSE)</f>
        <v>200</v>
      </c>
      <c r="J2505">
        <f>(IF(D2505=0,(2*(D2485+G2485))-(F$5*8),IF(D2505=3,(2*(D2485+G2485))-(F$5*8)+(G2485-2*F$5),IF(D2505=4,(2*(D2485+G2485))-(F$5*8)+2*(G2485-2*F$5)))))/1000</f>
        <v>1.28</v>
      </c>
      <c r="K2505" t="str">
        <v>+</v>
      </c>
      <c r="L2505">
        <f>IF(D2505=0,2*MAX(6*F2505,75),(D2505-1)*2*MAX(6*F2505,75))/1000</f>
        <v>0.15</v>
      </c>
      <c r="M2505" t="str">
        <v>=</v>
      </c>
      <c r="N2505">
        <f>J2505+L2505</f>
        <v>1.43</v>
      </c>
      <c r="T2505" t="str">
        <v>x</v>
      </c>
      <c r="U2505">
        <f>0.006165*F2505^2</f>
        <v>0.6165</v>
      </c>
      <c r="V2505" t="str">
        <v>x</v>
      </c>
      <c r="W2505">
        <f>IF(D2487-MAX(D2487/4,2*G2485)*2&gt;0,ROUND((D2487-MAX(D2487/4,2*G2485)*2)/H2505,0),0)</f>
        <v>1</v>
      </c>
      <c r="X2505" t="str">
        <v>x</v>
      </c>
      <c r="Y2505">
        <f>D2490</f>
        <v>1</v>
      </c>
      <c r="Z2505" t="str">
        <v>=</v>
      </c>
      <c r="AA2505">
        <f>N2505*U2505*W2505*Y2505</f>
        <v>0.881595</v>
      </c>
    </row>
    <row r="2506">
      <c r="A2506" t="str">
        <f>A2484</f>
        <v>Sloof</v>
      </c>
      <c r="B2506">
        <f>B2484</f>
        <v>75</v>
      </c>
      <c r="C2506" t="str">
        <v>Sengkang Tumpuan</v>
      </c>
      <c r="D2506">
        <f>VLOOKUP(D2484,'Detail Balok'!$C$10:$AU$110,41,FALSE)</f>
        <v>0</v>
      </c>
      <c r="E2506" t="str">
        <v>D</v>
      </c>
      <c r="F2506">
        <f>VLOOKUP(D2484,'Detail Balok'!$C$10:$AU$110,43,FALSE)</f>
        <v>10</v>
      </c>
      <c r="G2506" t="str">
        <v>-</v>
      </c>
      <c r="H2506">
        <f>VLOOKUP(D2484,'Detail Balok'!$C$10:$AU$110,45,FALSE)</f>
        <v>200</v>
      </c>
      <c r="J2506">
        <f>(IF(D2506=0,(2*(D2485+G2485))-(F$5*8),IF(D2506=3,(2*(D2485+G2485))-(F$5*8)+(G2485-2*F$5),IF(D2506=4,(2*(D2485+G2485))-(F$5*8)+2*(G2485-2*F$5)))))/1000</f>
        <v>1.28</v>
      </c>
      <c r="K2506" t="str">
        <v>+</v>
      </c>
      <c r="L2506">
        <f>IF(D2506=0,2*MAX(6*F2506,75),(D2506-1)*2*MAX(6*F2506,75))/1000</f>
        <v>0.15</v>
      </c>
      <c r="M2506" t="str">
        <v>=</v>
      </c>
      <c r="N2506">
        <f>J2506+L2506</f>
        <v>1.43</v>
      </c>
      <c r="T2506" t="str">
        <v>x</v>
      </c>
      <c r="U2506">
        <f>0.006165*F2506^2</f>
        <v>0.6165</v>
      </c>
      <c r="V2506" t="str">
        <v>x</v>
      </c>
      <c r="W2506">
        <f>IF(D2487&gt;4*G2485,ROUND(MAX(D2487/4,2*G2485)/H2506,0)+1,0)</f>
        <v>6</v>
      </c>
      <c r="X2506" t="str">
        <v>x</v>
      </c>
      <c r="Y2506">
        <f>D2490</f>
        <v>1</v>
      </c>
      <c r="Z2506" t="str">
        <v>=</v>
      </c>
      <c r="AA2506">
        <f>N2506*U2506*W2506*Y2506</f>
        <v>5.28957</v>
      </c>
    </row>
    <row r="2508">
      <c r="A2508" t="str">
        <f>A2484</f>
        <v>Sloof</v>
      </c>
      <c r="B2508">
        <f>B2484</f>
        <v>75</v>
      </c>
      <c r="C2508" t="str">
        <v>Kait Horizontal Tump.</v>
      </c>
      <c r="D2508">
        <f>VLOOKUP(D2484,'Detail Balok'!$C$10:$BJ$110,46,FALSE)</f>
        <v>0</v>
      </c>
      <c r="E2508" t="str">
        <v>D</v>
      </c>
      <c r="F2508">
        <f>VLOOKUP(D2484,'Detail Balok'!$C$10:$BJ$110,48,FALSE)</f>
        <v>0</v>
      </c>
      <c r="G2508" t="str">
        <v>-</v>
      </c>
      <c r="H2508">
        <f>VLOOKUP(D2484,'Detail Balok'!$C$10:$BJ$110,50,FALSE)</f>
        <v>100</v>
      </c>
      <c r="J2508">
        <f>(D2485-2*F$5)/1000</f>
        <v>0.22</v>
      </c>
      <c r="K2508" t="str">
        <v>+</v>
      </c>
      <c r="L2508">
        <f>IF(D2508=0,2*MAX(6*F2508,75),(D2508-1)*2*MAX(6*F2508,75))/1000</f>
        <v>0.15</v>
      </c>
      <c r="M2508" t="str">
        <v>=</v>
      </c>
      <c r="N2508">
        <f>J2508+L2508</f>
        <v>0.37</v>
      </c>
      <c r="T2508" t="str">
        <v>x</v>
      </c>
      <c r="U2508">
        <f>0.006165*F2508^2</f>
        <v>0</v>
      </c>
      <c r="V2508" t="str">
        <v>x</v>
      </c>
      <c r="W2508">
        <f>W2504</f>
        <v>6</v>
      </c>
      <c r="X2508" t="str">
        <v>x</v>
      </c>
      <c r="Y2508">
        <f>D2494</f>
        <v>5</v>
      </c>
      <c r="Z2508" t="str">
        <v>=</v>
      </c>
      <c r="AA2508">
        <f>N2508*U2508*W2508*Y2508</f>
        <v>0</v>
      </c>
    </row>
    <row r="2509">
      <c r="A2509" t="str">
        <f>A2484</f>
        <v>Sloof</v>
      </c>
      <c r="B2509">
        <f>B2484</f>
        <v>75</v>
      </c>
      <c r="C2509" t="str">
        <v>Kait Horizontal Lap.</v>
      </c>
      <c r="D2509">
        <f>VLOOKUP(D2484,'Detail Balok'!$C$10:$BJ$110,51,FALSE)</f>
        <v>0</v>
      </c>
      <c r="E2509" t="str">
        <v>D</v>
      </c>
      <c r="F2509">
        <f>VLOOKUP(D2484,'Detail Balok'!$C$10:$BJ$110,53,FALSE)</f>
        <v>0</v>
      </c>
      <c r="G2509" t="str">
        <v>-</v>
      </c>
      <c r="H2509">
        <f>VLOOKUP(D2484,'Detail Balok'!$C$10:$BJ$110,55,FALSE)</f>
        <v>100</v>
      </c>
      <c r="J2509">
        <f>(D2485-2*F$5)/1000</f>
        <v>0.22</v>
      </c>
      <c r="K2509" t="str">
        <v>+</v>
      </c>
      <c r="L2509">
        <f>IF(D2509=0,2*MAX(6*F2509,75),(D2509-1)*2*MAX(6*F2509,75))/1000</f>
        <v>0.15</v>
      </c>
      <c r="M2509" t="str">
        <v>=</v>
      </c>
      <c r="N2509">
        <f>J2509+L2509</f>
        <v>0.37</v>
      </c>
      <c r="T2509" t="str">
        <v>x</v>
      </c>
      <c r="U2509">
        <f>0.006165*F2509^2</f>
        <v>0</v>
      </c>
      <c r="V2509" t="str">
        <v>x</v>
      </c>
      <c r="W2509">
        <f>W2505</f>
        <v>1</v>
      </c>
      <c r="X2509" t="str">
        <v>x</v>
      </c>
      <c r="Y2509">
        <f>D2494</f>
        <v>5</v>
      </c>
      <c r="Z2509" t="str">
        <v>=</v>
      </c>
      <c r="AA2509">
        <f>N2509*U2509*W2509*Y2509</f>
        <v>0</v>
      </c>
    </row>
    <row r="2510">
      <c r="A2510" t="str">
        <f>A2484</f>
        <v>Sloof</v>
      </c>
      <c r="B2510">
        <f>B2484</f>
        <v>75</v>
      </c>
      <c r="C2510" t="str">
        <v>Kait Horizontal Tump.</v>
      </c>
      <c r="D2510">
        <f>VLOOKUP(D2484,'Detail Balok'!$C$10:$BJ$110,56,FALSE)</f>
        <v>0</v>
      </c>
      <c r="E2510" t="str">
        <v>D</v>
      </c>
      <c r="F2510">
        <f>VLOOKUP(D2484,'Detail Balok'!$C$10:$BJ$110,58,FALSE)</f>
        <v>0</v>
      </c>
      <c r="G2510" t="str">
        <v>-</v>
      </c>
      <c r="H2510">
        <f>VLOOKUP(D2484,'Detail Balok'!$C$10:$BJ$110,60,FALSE)</f>
        <v>100</v>
      </c>
      <c r="J2510">
        <f>(D2485-2*F$5)/1000</f>
        <v>0.22</v>
      </c>
      <c r="K2510" t="str">
        <v>+</v>
      </c>
      <c r="L2510">
        <f>IF(D2510=0,2*MAX(6*F2510,75),(D2510-1)*2*MAX(6*F2510,75))/1000</f>
        <v>0.15</v>
      </c>
      <c r="M2510" t="str">
        <v>=</v>
      </c>
      <c r="N2510">
        <f>J2510+L2510</f>
        <v>0.37</v>
      </c>
      <c r="T2510" t="str">
        <v>x</v>
      </c>
      <c r="U2510">
        <f>0.006165*F2510^2</f>
        <v>0</v>
      </c>
      <c r="V2510" t="str">
        <v>x</v>
      </c>
      <c r="W2510">
        <f>W2506</f>
        <v>6</v>
      </c>
      <c r="X2510" t="str">
        <v>x</v>
      </c>
      <c r="Y2510">
        <f>D2494</f>
        <v>5</v>
      </c>
      <c r="Z2510" t="str">
        <v>=</v>
      </c>
      <c r="AA2510">
        <f>N2510*U2510*W2510*Y2510</f>
        <v>0</v>
      </c>
    </row>
    <row r="2514">
      <c r="A2514" t="str">
        <f>A2484</f>
        <v>Sloof</v>
      </c>
      <c r="B2514">
        <f>B2484+1</f>
        <v>76</v>
      </c>
      <c r="C2514" t="str">
        <f>CONCATENATE(A2514," no. ",B2514)</f>
        <v>Sloof no. 76</v>
      </c>
      <c r="D2514" t="str">
        <f>VLOOKUP(C2514,'Data Panjang Balok'!$C$9:$N$424,2,FALSE)</f>
        <v>Potongan S4</v>
      </c>
    </row>
    <row r="2515">
      <c r="C2515" t="str">
        <v>Dimensi</v>
      </c>
      <c r="D2515">
        <f>VLOOKUP(D2514,'Detail Balok'!$C$10:$AU$110,2,FALSE)</f>
        <v>300</v>
      </c>
      <c r="F2515" t="str">
        <v>x</v>
      </c>
      <c r="G2515">
        <f>VLOOKUP(D2514,'Detail Balok'!$C$10:$AU$110,3,FALSE)</f>
        <v>500</v>
      </c>
    </row>
    <row r="2516">
      <c r="C2516" t="str">
        <v>Panjang as ke as</v>
      </c>
      <c r="D2516">
        <f>VLOOKUP(C2514,'Data Panjang Balok'!$C$9:$N$424,4,FALSE)</f>
        <v>2100</v>
      </c>
    </row>
    <row r="2517">
      <c r="C2517" t="str">
        <v>Panjang netto</v>
      </c>
      <c r="D2517">
        <f>VLOOKUP(C2514,'Data Panjang Balok'!$C$9:$N$424,7,FALSE)</f>
        <v>2100</v>
      </c>
    </row>
    <row r="2518">
      <c r="C2518" t="str">
        <v>Kolom / balok kiri</v>
      </c>
      <c r="D2518">
        <f>VLOOKUP(C2514,'Data Panjang Balok'!$C$9:$N$424,9,FALSE)</f>
        <v>0</v>
      </c>
    </row>
    <row r="2519">
      <c r="C2519" t="str">
        <v>Kolom / balok kanan</v>
      </c>
      <c r="D2519">
        <f>VLOOKUP(C2514,'Data Panjang Balok'!$C$9:$N$424,10,FALSE)</f>
        <v>0</v>
      </c>
    </row>
    <row r="2520">
      <c r="C2520" t="str">
        <v>Jumlah</v>
      </c>
      <c r="D2520">
        <f>VLOOKUP(C2514,'Data Panjang Balok'!$C$9:$N$424,3,FALSE)</f>
        <v>1</v>
      </c>
    </row>
    <row r="2521">
      <c r="A2521" t="str">
        <f>A2514</f>
        <v>Sloof</v>
      </c>
      <c r="B2521">
        <f>B2514</f>
        <v>76</v>
      </c>
      <c r="C2521" t="str">
        <v>Tul Atas Tumpuan</v>
      </c>
      <c r="D2521">
        <f>VLOOKUP(D2514,'Detail Balok'!$C$10:$AU$110,4,FALSE)</f>
        <v>5</v>
      </c>
      <c r="E2521" t="str">
        <v>D</v>
      </c>
      <c r="F2521">
        <f>VLOOKUP(D2514,'Detail Balok'!$C$10:$AU$110,6,FALSE)</f>
        <v>16</v>
      </c>
      <c r="I2521" t="str">
        <v>(</v>
      </c>
      <c r="J2521">
        <f>+D2516/4/1000</f>
        <v>0.525</v>
      </c>
      <c r="K2521" t="str">
        <v>+</v>
      </c>
      <c r="L2521">
        <f>MAX(VLOOKUP(F2521,N$6:P$15,3,FALSE)/1000,2/3*D2518/1000)+F$16*F2521/1000</f>
        <v>0.192</v>
      </c>
      <c r="M2521" t="str">
        <v>=</v>
      </c>
      <c r="N2521">
        <f>J2521+L2521</f>
        <v>0.7170000000000001</v>
      </c>
      <c r="O2521" t="str">
        <v>+</v>
      </c>
      <c r="P2521">
        <f>D2521-D2522</f>
        <v>0</v>
      </c>
      <c r="Q2521" t="str">
        <v>x</v>
      </c>
      <c r="R2521">
        <f>IF(P2521&gt;0,$F$18*F2521/1000,0)</f>
        <v>0</v>
      </c>
      <c r="S2521" t="str">
        <v>)</v>
      </c>
      <c r="T2521" t="str">
        <v>x</v>
      </c>
      <c r="U2521">
        <f>0.006165*F2521^2</f>
        <v>1.57824</v>
      </c>
      <c r="X2521" t="str">
        <v>x</v>
      </c>
      <c r="Y2521">
        <f>D2520</f>
        <v>1</v>
      </c>
      <c r="Z2521" t="str">
        <v>=</v>
      </c>
      <c r="AA2521">
        <f>IF(AA2524=0,(D2521*N2521+P2521*R2521)*U2521*Y2521,0)</f>
        <v>0</v>
      </c>
    </row>
    <row r="2522">
      <c r="A2522" t="str">
        <f>A2514</f>
        <v>Sloof</v>
      </c>
      <c r="B2522">
        <f>B2514</f>
        <v>76</v>
      </c>
      <c r="C2522" t="str">
        <v>Tul Atas Lapangan</v>
      </c>
      <c r="D2522">
        <f>VLOOKUP(D2514,'Detail Balok'!$C$10:$AU$110,7,FALSE)</f>
        <v>5</v>
      </c>
      <c r="E2522" t="str">
        <v>D</v>
      </c>
      <c r="F2522">
        <f>VLOOKUP(D2514,'Detail Balok'!$C$10:$AU$110,9,FALSE)</f>
        <v>16</v>
      </c>
      <c r="I2522" t="str">
        <v>(</v>
      </c>
      <c r="J2522">
        <f>+D2516/2/1000</f>
        <v>1.05</v>
      </c>
      <c r="K2522" t="str">
        <v>+</v>
      </c>
      <c r="M2522" t="str">
        <v>=</v>
      </c>
      <c r="N2522">
        <f>J2522+L2522</f>
        <v>1.05</v>
      </c>
      <c r="O2522" t="str">
        <v>+</v>
      </c>
      <c r="P2522">
        <f>MAX(D2522-D2521,D2522-D2523)</f>
        <v>0</v>
      </c>
      <c r="Q2522" t="str">
        <v>x</v>
      </c>
      <c r="R2522">
        <f>IF(P2522&gt;0,2*(1-2*$F$19-1/2)*D2517/1000,0)</f>
        <v>0</v>
      </c>
      <c r="S2522" t="str">
        <v>)</v>
      </c>
      <c r="T2522" t="str">
        <v>x</v>
      </c>
      <c r="U2522">
        <f>0.006165*F2522^2</f>
        <v>1.57824</v>
      </c>
      <c r="X2522" t="str">
        <v>x</v>
      </c>
      <c r="Y2522">
        <f>D2520</f>
        <v>1</v>
      </c>
      <c r="Z2522" t="str">
        <v>=</v>
      </c>
      <c r="AA2522">
        <f>IF(AA2524=0,(D2522*N2522+P2522*R2522)*U2522*Y2522,0)</f>
        <v>0</v>
      </c>
    </row>
    <row r="2523">
      <c r="A2523" t="str">
        <f>A2514</f>
        <v>Sloof</v>
      </c>
      <c r="B2523">
        <f>B2514</f>
        <v>76</v>
      </c>
      <c r="C2523" t="str">
        <v>Tul Atas Tumpuan</v>
      </c>
      <c r="D2523">
        <f>VLOOKUP(D2514,'Detail Balok'!$C$10:$AU$110,10,FALSE)</f>
        <v>5</v>
      </c>
      <c r="E2523" t="str">
        <v>D</v>
      </c>
      <c r="F2523">
        <f>VLOOKUP(D2514,'Detail Balok'!$C$10:$AU$110,12,FALSE)</f>
        <v>16</v>
      </c>
      <c r="I2523" t="str">
        <v>(</v>
      </c>
      <c r="J2523">
        <f>+D2516/4/1000</f>
        <v>0.525</v>
      </c>
      <c r="K2523" t="str">
        <v>+</v>
      </c>
      <c r="L2523">
        <f>MAX(VLOOKUP(F2523,N$6:P$15,3,FALSE)/1000,2/3*D2518/1000)+F$16*F2523/1000</f>
        <v>0.192</v>
      </c>
      <c r="M2523" t="str">
        <v>=</v>
      </c>
      <c r="N2523">
        <f>J2523+L2523</f>
        <v>0.7170000000000001</v>
      </c>
      <c r="O2523" t="str">
        <v>+</v>
      </c>
      <c r="P2523">
        <f>D2523-D2522</f>
        <v>0</v>
      </c>
      <c r="Q2523" t="str">
        <v>x</v>
      </c>
      <c r="R2523">
        <f>IF(P2523&gt;0,$F$18*F2523/1000,0)</f>
        <v>0</v>
      </c>
      <c r="S2523" t="str">
        <v>)</v>
      </c>
      <c r="T2523" t="str">
        <v>x</v>
      </c>
      <c r="U2523">
        <f>0.006165*F2523^2</f>
        <v>1.57824</v>
      </c>
      <c r="X2523" t="str">
        <v>x</v>
      </c>
      <c r="Y2523">
        <f>D2520</f>
        <v>1</v>
      </c>
      <c r="Z2523" t="str">
        <v>=</v>
      </c>
      <c r="AA2523">
        <f>IF(AA2524=0,(D2523*N2523+P2523*R2523)*U2523*Y2523,0)</f>
        <v>0</v>
      </c>
    </row>
    <row r="2524">
      <c r="A2524" t="str">
        <f>A2514</f>
        <v>Sloof</v>
      </c>
      <c r="B2524">
        <f>B2514</f>
        <v>76</v>
      </c>
      <c r="D2524">
        <f>IF(AND(D2521=D2522,D2522=D2523,D2521=D2523),D2521,0)</f>
        <v>5</v>
      </c>
      <c r="E2524" t="str">
        <v>D</v>
      </c>
      <c r="F2524">
        <f>IF(AND(F2521=F2522,F2521=F2523,F2522=F2523),F2521,0)</f>
        <v>16</v>
      </c>
      <c r="L2524" t="str">
        <v>Total panjang per balok</v>
      </c>
      <c r="M2524" t="str">
        <v>=</v>
      </c>
      <c r="N2524">
        <f>IF(AND(D2521=D2522,D2521=D2523,D2522=D2523,F2521=F2522,F2521=F2523,F2522=F2523),SUM(N2521:N2523),0)</f>
        <v>2.484</v>
      </c>
      <c r="O2524" t="str">
        <v>+</v>
      </c>
      <c r="P2524">
        <f>IF(N2524&gt;12,ROUNDDOWN(N2524/12,0),0)</f>
        <v>0</v>
      </c>
      <c r="Q2524" t="str">
        <v>x</v>
      </c>
      <c r="R2524">
        <f>IF(P2524&gt;0,MAX(VLOOKUP(F2524,$D$6:$G$15,3,FALSE),600),0)/1000</f>
        <v>0</v>
      </c>
      <c r="T2524" t="str">
        <v>x</v>
      </c>
      <c r="U2524">
        <f>U2523</f>
        <v>1.57824</v>
      </c>
      <c r="V2524" t="str">
        <v>x</v>
      </c>
      <c r="W2524">
        <f>D2524</f>
        <v>5</v>
      </c>
      <c r="X2524" t="str">
        <v>x</v>
      </c>
      <c r="Y2524">
        <f>Y2523</f>
        <v>1</v>
      </c>
      <c r="Z2524" t="str">
        <v>=</v>
      </c>
      <c r="AA2524">
        <f>(N2524+P2524*R2524/1000)*U2524*W2524*Y2524</f>
        <v>19.6017408</v>
      </c>
    </row>
    <row r="2526">
      <c r="A2526" t="str">
        <f>A2514</f>
        <v>Sloof</v>
      </c>
      <c r="B2526">
        <f>B2514</f>
        <v>76</v>
      </c>
      <c r="C2526" t="str">
        <v>Tul Peminggang</v>
      </c>
      <c r="D2526">
        <f>VLOOKUP(D2514,'Detail Balok'!$C$10:$AU$110,13,FALSE)</f>
        <v>2</v>
      </c>
      <c r="E2526" t="str">
        <v>D</v>
      </c>
      <c r="F2526">
        <f>VLOOKUP(D2514,'Detail Balok'!$C$10:$AU$110,15,FALSE)</f>
        <v>10</v>
      </c>
      <c r="J2526">
        <f>+D2516/1000</f>
        <v>2.1</v>
      </c>
      <c r="K2526" t="str">
        <v>+</v>
      </c>
      <c r="L2526">
        <f>2*$F$16*F2526/1000</f>
        <v>0.24</v>
      </c>
      <c r="M2526" t="str">
        <v>=</v>
      </c>
      <c r="N2526">
        <f>J2526+L2526</f>
        <v>2.34</v>
      </c>
      <c r="O2526" t="str">
        <v>+</v>
      </c>
      <c r="P2526">
        <f>IF(N2526&gt;12,ROUNDDOWN(N2526/12,0),0)</f>
        <v>0</v>
      </c>
      <c r="Q2526" t="str">
        <v>x</v>
      </c>
      <c r="R2526">
        <f>IF(P2526&gt;0,MAX(VLOOKUP(F2526,$D$6:$G$15,3,FALSE),600),0)/1000</f>
        <v>0</v>
      </c>
      <c r="T2526" t="str">
        <v>x</v>
      </c>
      <c r="U2526">
        <f>0.006165*F2526^2</f>
        <v>0.6165</v>
      </c>
      <c r="V2526" t="str">
        <v>x</v>
      </c>
      <c r="W2526">
        <f>+D2526</f>
        <v>2</v>
      </c>
      <c r="X2526" t="str">
        <v>x</v>
      </c>
      <c r="Y2526">
        <f>D2520</f>
        <v>1</v>
      </c>
      <c r="Z2526" t="str">
        <v>=</v>
      </c>
      <c r="AA2526">
        <f>(N2526+P2526*R2526/1000)*U2526*W2526*Y2526</f>
        <v>2.88522</v>
      </c>
    </row>
    <row r="2529">
      <c r="A2529" t="str">
        <f>A2514</f>
        <v>Sloof</v>
      </c>
      <c r="B2529">
        <f>B2514</f>
        <v>76</v>
      </c>
      <c r="C2529" t="str">
        <v>Tul Bawah Tumpuan</v>
      </c>
      <c r="D2529">
        <f>VLOOKUP(D2514,'Detail Balok'!$C$10:$AU$110,22,FALSE)</f>
        <v>3</v>
      </c>
      <c r="E2529" t="str">
        <v>D</v>
      </c>
      <c r="F2529">
        <f>VLOOKUP(D2514,'Detail Balok'!$C$10:$AU$110,24,FALSE)</f>
        <v>16</v>
      </c>
      <c r="I2529" t="str">
        <v>(</v>
      </c>
      <c r="J2529">
        <f>+J2521</f>
        <v>0.525</v>
      </c>
      <c r="K2529" t="str">
        <v>+</v>
      </c>
      <c r="L2529">
        <f>MAX(VLOOKUP(F2529,N$6:P$15,3,FALSE)/1000,2/3*D2519/1000)+F$16*F2529/1000</f>
        <v>0.192</v>
      </c>
      <c r="M2529" t="str">
        <v>=</v>
      </c>
      <c r="N2529">
        <f>J2529+L2529</f>
        <v>0.7170000000000001</v>
      </c>
      <c r="O2529" t="str">
        <v>+</v>
      </c>
      <c r="P2529">
        <f>D2529-D2530</f>
        <v>0</v>
      </c>
      <c r="Q2529" t="str">
        <v>x</v>
      </c>
      <c r="R2529">
        <f>IF(P2529&gt;0,$F$18*F2529/1000,0)</f>
        <v>0</v>
      </c>
      <c r="S2529" t="str">
        <v>)</v>
      </c>
      <c r="T2529" t="str">
        <v>x</v>
      </c>
      <c r="U2529">
        <f>0.006165*F2529^2</f>
        <v>1.57824</v>
      </c>
      <c r="X2529" t="str">
        <v>x</v>
      </c>
      <c r="Y2529">
        <f>D2520</f>
        <v>1</v>
      </c>
      <c r="Z2529" t="str">
        <v>=</v>
      </c>
      <c r="AA2529">
        <f>IF(AA2532=0,(D2529*N2529+P2529*R2529)*U2529*Y2529,0)</f>
        <v>0</v>
      </c>
    </row>
    <row r="2530">
      <c r="A2530" t="str">
        <f>A2514</f>
        <v>Sloof</v>
      </c>
      <c r="B2530">
        <f>B2514</f>
        <v>76</v>
      </c>
      <c r="C2530" t="str">
        <v>Tul Bawah Lapangan</v>
      </c>
      <c r="D2530">
        <f>VLOOKUP(D2514,'Detail Balok'!$C$10:$AU$110,25,FALSE)</f>
        <v>3</v>
      </c>
      <c r="E2530" t="str">
        <v>D</v>
      </c>
      <c r="F2530">
        <f>VLOOKUP(D2514,'Detail Balok'!$C$10:$AU$110,27,FALSE)</f>
        <v>16</v>
      </c>
      <c r="I2530" t="str">
        <v>(</v>
      </c>
      <c r="J2530">
        <f>+J2522</f>
        <v>1.05</v>
      </c>
      <c r="K2530" t="str">
        <v>+</v>
      </c>
      <c r="M2530" t="str">
        <v>=</v>
      </c>
      <c r="N2530">
        <f>J2530+L2530</f>
        <v>1.05</v>
      </c>
      <c r="O2530" t="str">
        <v>+</v>
      </c>
      <c r="P2530">
        <f>MAX(D2530-D2529,D2530-D2531)</f>
        <v>0</v>
      </c>
      <c r="Q2530" t="str">
        <v>x</v>
      </c>
      <c r="R2530">
        <f>IF(P2530&gt;0,2*(1-2*$F$19-1/2)*D2517/1000,0)</f>
        <v>0</v>
      </c>
      <c r="S2530" t="str">
        <v>)</v>
      </c>
      <c r="T2530" t="str">
        <v>x</v>
      </c>
      <c r="U2530">
        <f>0.006165*F2530^2</f>
        <v>1.57824</v>
      </c>
      <c r="X2530" t="str">
        <v>x</v>
      </c>
      <c r="Y2530">
        <f>D2520</f>
        <v>1</v>
      </c>
      <c r="Z2530" t="str">
        <v>=</v>
      </c>
      <c r="AA2530">
        <f>IF(AA2532=0,(D2530*N2530+P2530*R2530)*U2530*Y2530,0)</f>
        <v>0</v>
      </c>
    </row>
    <row r="2531">
      <c r="A2531" t="str">
        <f>A2514</f>
        <v>Sloof</v>
      </c>
      <c r="B2531">
        <f>B2514</f>
        <v>76</v>
      </c>
      <c r="C2531" t="str">
        <v>Tul Bawah Tumpuan</v>
      </c>
      <c r="D2531">
        <f>VLOOKUP(D2514,'Detail Balok'!$C$10:$AU$110,28,FALSE)</f>
        <v>3</v>
      </c>
      <c r="E2531" t="str">
        <v>D</v>
      </c>
      <c r="F2531">
        <f>VLOOKUP(D2514,'Detail Balok'!$C$10:$AU$110,30,FALSE)</f>
        <v>16</v>
      </c>
      <c r="I2531" t="str">
        <v>(</v>
      </c>
      <c r="J2531">
        <f>+J2523</f>
        <v>0.525</v>
      </c>
      <c r="K2531" t="str">
        <v>+</v>
      </c>
      <c r="L2531">
        <f>MAX(VLOOKUP(F2531,N$6:P$15,3,FALSE)/1000,2/3*D2519/1000)+F$16*F2531/1000</f>
        <v>0.192</v>
      </c>
      <c r="M2531" t="str">
        <v>=</v>
      </c>
      <c r="N2531">
        <f>J2531+L2531</f>
        <v>0.7170000000000001</v>
      </c>
      <c r="O2531" t="str">
        <v>+</v>
      </c>
      <c r="P2531">
        <f>D2531-D2530</f>
        <v>0</v>
      </c>
      <c r="Q2531" t="str">
        <v>x</v>
      </c>
      <c r="R2531">
        <f>IF(P2531&gt;0,$F$18*F2531/1000,0)</f>
        <v>0</v>
      </c>
      <c r="S2531" t="str">
        <v>)</v>
      </c>
      <c r="T2531" t="str">
        <v>x</v>
      </c>
      <c r="U2531">
        <f>0.006165*F2531^2</f>
        <v>1.57824</v>
      </c>
      <c r="X2531" t="str">
        <v>x</v>
      </c>
      <c r="Y2531">
        <f>D2520</f>
        <v>1</v>
      </c>
      <c r="Z2531" t="str">
        <v>=</v>
      </c>
      <c r="AA2531">
        <f>IF(AA2532=0,(D2531*N2531+P2531*R2531)*U2531*Y2531,0)</f>
        <v>0</v>
      </c>
    </row>
    <row r="2532">
      <c r="A2532" t="str">
        <f>A2514</f>
        <v>Sloof</v>
      </c>
      <c r="B2532">
        <f>B2514</f>
        <v>76</v>
      </c>
      <c r="D2532">
        <f>IF(AND(D2529=D2530,D2530=D2531,D2529=D2531),D2529,0)</f>
        <v>3</v>
      </c>
      <c r="E2532" t="str">
        <v>D</v>
      </c>
      <c r="F2532">
        <f>IF(AND(F2529=F2530,F2529=F2531,F2530=F2531),F2529,0)</f>
        <v>16</v>
      </c>
      <c r="L2532" t="str">
        <v>Total panjang per balok</v>
      </c>
      <c r="M2532" t="str">
        <v>=</v>
      </c>
      <c r="N2532">
        <f>IF(AND(D2529=D2530,D2529=D2531,D2530=D2531,F2529=F2530,F2529=F2531,F2530=F2531),SUM(N2529:N2531),0)</f>
        <v>2.484</v>
      </c>
      <c r="O2532" t="str">
        <v>+</v>
      </c>
      <c r="P2532">
        <f>IF(N2532&gt;12,ROUNDDOWN(N2532/12,0),0)</f>
        <v>0</v>
      </c>
      <c r="Q2532" t="str">
        <v>x</v>
      </c>
      <c r="R2532">
        <f>IF(P2532&gt;0,MAX(VLOOKUP(F2532,$D$6:$G$15,3,FALSE),600),0)/1000</f>
        <v>0</v>
      </c>
      <c r="T2532" t="str">
        <v>x</v>
      </c>
      <c r="U2532">
        <f>U2531</f>
        <v>1.57824</v>
      </c>
      <c r="V2532" t="str">
        <v>x</v>
      </c>
      <c r="W2532">
        <f>D2532</f>
        <v>3</v>
      </c>
      <c r="X2532" t="str">
        <v>x</v>
      </c>
      <c r="Y2532">
        <f>Y2531</f>
        <v>1</v>
      </c>
      <c r="Z2532" t="str">
        <v>=</v>
      </c>
      <c r="AA2532">
        <f>(N2532+P2532*R2532/1000)*U2532*W2532*Y2532</f>
        <v>11.76104448</v>
      </c>
    </row>
    <row r="2534">
      <c r="A2534" t="str">
        <f>A2514</f>
        <v>Sloof</v>
      </c>
      <c r="B2534">
        <f>B2514</f>
        <v>76</v>
      </c>
      <c r="C2534" t="str">
        <v>Sengkang Tumpuan</v>
      </c>
      <c r="D2534">
        <f>VLOOKUP(D2514,'Detail Balok'!$C$10:$AU$110,31,FALSE)</f>
        <v>0</v>
      </c>
      <c r="E2534" t="str">
        <v>D</v>
      </c>
      <c r="F2534">
        <f>VLOOKUP(D2514,'Detail Balok'!$C$10:$AU$110,33,FALSE)</f>
        <v>10</v>
      </c>
      <c r="G2534" t="str">
        <v>-</v>
      </c>
      <c r="H2534">
        <f>VLOOKUP(D2514,'Detail Balok'!$C$10:$AU$110,35,FALSE)</f>
        <v>200</v>
      </c>
      <c r="J2534">
        <f>(IF(D2534=0,(2*(D2515+G2515))-(F$5*8),IF(D2534=3,(2*(D2515+G2515))-(F$5*8)+(G2515-2*F$5),IF(D2534=4,(2*(D2515+G2515))-(F$5*8)+2*(G2515-2*F$5)))))/1000</f>
        <v>1.28</v>
      </c>
      <c r="K2534" t="str">
        <v>+</v>
      </c>
      <c r="L2534">
        <f>IF(D2534=0,2*MAX(6*F2534,75),(D2534-1)*2*MAX(6*F2534,75))/1000</f>
        <v>0.15</v>
      </c>
      <c r="M2534" t="str">
        <v>=</v>
      </c>
      <c r="N2534">
        <f>J2534+L2534</f>
        <v>1.43</v>
      </c>
      <c r="T2534" t="str">
        <v>x</v>
      </c>
      <c r="U2534">
        <f>0.006165*F2534^2</f>
        <v>0.6165</v>
      </c>
      <c r="V2534" t="str">
        <v>x</v>
      </c>
      <c r="W2534">
        <f>IF(D2517&gt;4*G2515,ROUND(MAX(D2517/4,2*G2515)/H2534,0)+1,ROUND(D2517/H2534,0)+1)</f>
        <v>6</v>
      </c>
      <c r="X2534" t="str">
        <v>x</v>
      </c>
      <c r="Y2534">
        <f>D2520</f>
        <v>1</v>
      </c>
      <c r="Z2534" t="str">
        <v>=</v>
      </c>
      <c r="AA2534">
        <f>N2534*U2534*W2534*Y2534</f>
        <v>5.28957</v>
      </c>
    </row>
    <row r="2535">
      <c r="A2535" t="str">
        <f>A2514</f>
        <v>Sloof</v>
      </c>
      <c r="B2535">
        <f>B2514</f>
        <v>76</v>
      </c>
      <c r="C2535" t="str">
        <v>Sengkang Lapangan</v>
      </c>
      <c r="D2535">
        <f>VLOOKUP(D2514,'Detail Balok'!$C$10:$AU$110,36,FALSE)</f>
        <v>0</v>
      </c>
      <c r="E2535" t="str">
        <v>D</v>
      </c>
      <c r="F2535">
        <f>VLOOKUP(D2514,'Detail Balok'!$C$10:$AU$110,38,FALSE)</f>
        <v>10</v>
      </c>
      <c r="G2535" t="str">
        <v>-</v>
      </c>
      <c r="H2535">
        <f>VLOOKUP(D2514,'Detail Balok'!$C$10:$AU$110,40,FALSE)</f>
        <v>200</v>
      </c>
      <c r="J2535">
        <f>(IF(D2535=0,(2*(D2515+G2515))-(F$5*8),IF(D2535=3,(2*(D2515+G2515))-(F$5*8)+(G2515-2*F$5),IF(D2535=4,(2*(D2515+G2515))-(F$5*8)+2*(G2515-2*F$5)))))/1000</f>
        <v>1.28</v>
      </c>
      <c r="K2535" t="str">
        <v>+</v>
      </c>
      <c r="L2535">
        <f>IF(D2535=0,2*MAX(6*F2535,75),(D2535-1)*2*MAX(6*F2535,75))/1000</f>
        <v>0.15</v>
      </c>
      <c r="M2535" t="str">
        <v>=</v>
      </c>
      <c r="N2535">
        <f>J2535+L2535</f>
        <v>1.43</v>
      </c>
      <c r="T2535" t="str">
        <v>x</v>
      </c>
      <c r="U2535">
        <f>0.006165*F2535^2</f>
        <v>0.6165</v>
      </c>
      <c r="V2535" t="str">
        <v>x</v>
      </c>
      <c r="W2535">
        <f>IF(D2517-MAX(D2517/4,2*G2515)*2&gt;0,ROUND((D2517-MAX(D2517/4,2*G2515)*2)/H2535,0),0)</f>
        <v>1</v>
      </c>
      <c r="X2535" t="str">
        <v>x</v>
      </c>
      <c r="Y2535">
        <f>D2520</f>
        <v>1</v>
      </c>
      <c r="Z2535" t="str">
        <v>=</v>
      </c>
      <c r="AA2535">
        <f>N2535*U2535*W2535*Y2535</f>
        <v>0.881595</v>
      </c>
    </row>
    <row r="2536">
      <c r="A2536" t="str">
        <f>A2514</f>
        <v>Sloof</v>
      </c>
      <c r="B2536">
        <f>B2514</f>
        <v>76</v>
      </c>
      <c r="C2536" t="str">
        <v>Sengkang Tumpuan</v>
      </c>
      <c r="D2536">
        <f>VLOOKUP(D2514,'Detail Balok'!$C$10:$AU$110,41,FALSE)</f>
        <v>0</v>
      </c>
      <c r="E2536" t="str">
        <v>D</v>
      </c>
      <c r="F2536">
        <f>VLOOKUP(D2514,'Detail Balok'!$C$10:$AU$110,43,FALSE)</f>
        <v>10</v>
      </c>
      <c r="G2536" t="str">
        <v>-</v>
      </c>
      <c r="H2536">
        <f>VLOOKUP(D2514,'Detail Balok'!$C$10:$AU$110,45,FALSE)</f>
        <v>200</v>
      </c>
      <c r="J2536">
        <f>(IF(D2536=0,(2*(D2515+G2515))-(F$5*8),IF(D2536=3,(2*(D2515+G2515))-(F$5*8)+(G2515-2*F$5),IF(D2536=4,(2*(D2515+G2515))-(F$5*8)+2*(G2515-2*F$5)))))/1000</f>
        <v>1.28</v>
      </c>
      <c r="K2536" t="str">
        <v>+</v>
      </c>
      <c r="L2536">
        <f>IF(D2536=0,2*MAX(6*F2536,75),(D2536-1)*2*MAX(6*F2536,75))/1000</f>
        <v>0.15</v>
      </c>
      <c r="M2536" t="str">
        <v>=</v>
      </c>
      <c r="N2536">
        <f>J2536+L2536</f>
        <v>1.43</v>
      </c>
      <c r="T2536" t="str">
        <v>x</v>
      </c>
      <c r="U2536">
        <f>0.006165*F2536^2</f>
        <v>0.6165</v>
      </c>
      <c r="V2536" t="str">
        <v>x</v>
      </c>
      <c r="W2536">
        <f>IF(D2517&gt;4*G2515,ROUND(MAX(D2517/4,2*G2515)/H2536,0)+1,0)</f>
        <v>6</v>
      </c>
      <c r="X2536" t="str">
        <v>x</v>
      </c>
      <c r="Y2536">
        <f>D2520</f>
        <v>1</v>
      </c>
      <c r="Z2536" t="str">
        <v>=</v>
      </c>
      <c r="AA2536">
        <f>N2536*U2536*W2536*Y2536</f>
        <v>5.28957</v>
      </c>
    </row>
    <row r="2538">
      <c r="A2538" t="str">
        <f>A2514</f>
        <v>Sloof</v>
      </c>
      <c r="B2538">
        <f>B2514</f>
        <v>76</v>
      </c>
      <c r="C2538" t="str">
        <v>Kait Horizontal Tump.</v>
      </c>
      <c r="D2538">
        <f>VLOOKUP(D2514,'Detail Balok'!$C$10:$BJ$110,46,FALSE)</f>
        <v>0</v>
      </c>
      <c r="E2538" t="str">
        <v>D</v>
      </c>
      <c r="F2538">
        <f>VLOOKUP(D2514,'Detail Balok'!$C$10:$BJ$110,48,FALSE)</f>
        <v>0</v>
      </c>
      <c r="G2538" t="str">
        <v>-</v>
      </c>
      <c r="H2538">
        <f>VLOOKUP(D2514,'Detail Balok'!$C$10:$BJ$110,50,FALSE)</f>
        <v>100</v>
      </c>
      <c r="J2538">
        <f>(D2515-2*F$5)/1000</f>
        <v>0.22</v>
      </c>
      <c r="K2538" t="str">
        <v>+</v>
      </c>
      <c r="L2538">
        <f>IF(D2538=0,2*MAX(6*F2538,75),(D2538-1)*2*MAX(6*F2538,75))/1000</f>
        <v>0.15</v>
      </c>
      <c r="M2538" t="str">
        <v>=</v>
      </c>
      <c r="N2538">
        <f>J2538+L2538</f>
        <v>0.37</v>
      </c>
      <c r="T2538" t="str">
        <v>x</v>
      </c>
      <c r="U2538">
        <f>0.006165*F2538^2</f>
        <v>0</v>
      </c>
      <c r="V2538" t="str">
        <v>x</v>
      </c>
      <c r="W2538">
        <f>W2534</f>
        <v>6</v>
      </c>
      <c r="X2538" t="str">
        <v>x</v>
      </c>
      <c r="Y2538">
        <f>D2524</f>
        <v>5</v>
      </c>
      <c r="Z2538" t="str">
        <v>=</v>
      </c>
      <c r="AA2538">
        <f>N2538*U2538*W2538*Y2538</f>
        <v>0</v>
      </c>
    </row>
    <row r="2539">
      <c r="A2539" t="str">
        <f>A2514</f>
        <v>Sloof</v>
      </c>
      <c r="B2539">
        <f>B2514</f>
        <v>76</v>
      </c>
      <c r="C2539" t="str">
        <v>Kait Horizontal Lap.</v>
      </c>
      <c r="D2539">
        <f>VLOOKUP(D2514,'Detail Balok'!$C$10:$BJ$110,51,FALSE)</f>
        <v>0</v>
      </c>
      <c r="E2539" t="str">
        <v>D</v>
      </c>
      <c r="F2539">
        <f>VLOOKUP(D2514,'Detail Balok'!$C$10:$BJ$110,53,FALSE)</f>
        <v>0</v>
      </c>
      <c r="G2539" t="str">
        <v>-</v>
      </c>
      <c r="H2539">
        <f>VLOOKUP(D2514,'Detail Balok'!$C$10:$BJ$110,55,FALSE)</f>
        <v>100</v>
      </c>
      <c r="J2539">
        <f>(D2515-2*F$5)/1000</f>
        <v>0.22</v>
      </c>
      <c r="K2539" t="str">
        <v>+</v>
      </c>
      <c r="L2539">
        <f>IF(D2539=0,2*MAX(6*F2539,75),(D2539-1)*2*MAX(6*F2539,75))/1000</f>
        <v>0.15</v>
      </c>
      <c r="M2539" t="str">
        <v>=</v>
      </c>
      <c r="N2539">
        <f>J2539+L2539</f>
        <v>0.37</v>
      </c>
      <c r="T2539" t="str">
        <v>x</v>
      </c>
      <c r="U2539">
        <f>0.006165*F2539^2</f>
        <v>0</v>
      </c>
      <c r="V2539" t="str">
        <v>x</v>
      </c>
      <c r="W2539">
        <f>W2535</f>
        <v>1</v>
      </c>
      <c r="X2539" t="str">
        <v>x</v>
      </c>
      <c r="Y2539">
        <f>D2524</f>
        <v>5</v>
      </c>
      <c r="Z2539" t="str">
        <v>=</v>
      </c>
      <c r="AA2539">
        <f>N2539*U2539*W2539*Y2539</f>
        <v>0</v>
      </c>
    </row>
    <row r="2540">
      <c r="A2540" t="str">
        <f>A2514</f>
        <v>Sloof</v>
      </c>
      <c r="B2540">
        <f>B2514</f>
        <v>76</v>
      </c>
      <c r="C2540" t="str">
        <v>Kait Horizontal Tump.</v>
      </c>
      <c r="D2540">
        <f>VLOOKUP(D2514,'Detail Balok'!$C$10:$BJ$110,56,FALSE)</f>
        <v>0</v>
      </c>
      <c r="E2540" t="str">
        <v>D</v>
      </c>
      <c r="F2540">
        <f>VLOOKUP(D2514,'Detail Balok'!$C$10:$BJ$110,58,FALSE)</f>
        <v>0</v>
      </c>
      <c r="G2540" t="str">
        <v>-</v>
      </c>
      <c r="H2540">
        <f>VLOOKUP(D2514,'Detail Balok'!$C$10:$BJ$110,60,FALSE)</f>
        <v>100</v>
      </c>
      <c r="J2540">
        <f>(D2515-2*F$5)/1000</f>
        <v>0.22</v>
      </c>
      <c r="K2540" t="str">
        <v>+</v>
      </c>
      <c r="L2540">
        <f>IF(D2540=0,2*MAX(6*F2540,75),(D2540-1)*2*MAX(6*F2540,75))/1000</f>
        <v>0.15</v>
      </c>
      <c r="M2540" t="str">
        <v>=</v>
      </c>
      <c r="N2540">
        <f>J2540+L2540</f>
        <v>0.37</v>
      </c>
      <c r="T2540" t="str">
        <v>x</v>
      </c>
      <c r="U2540">
        <f>0.006165*F2540^2</f>
        <v>0</v>
      </c>
      <c r="V2540" t="str">
        <v>x</v>
      </c>
      <c r="W2540">
        <f>W2536</f>
        <v>6</v>
      </c>
      <c r="X2540" t="str">
        <v>x</v>
      </c>
      <c r="Y2540">
        <f>D2524</f>
        <v>5</v>
      </c>
      <c r="Z2540" t="str">
        <v>=</v>
      </c>
      <c r="AA2540">
        <f>N2540*U2540*W2540*Y2540</f>
        <v>0</v>
      </c>
    </row>
    <row r="2544">
      <c r="A2544" t="str">
        <f>A2514</f>
        <v>Sloof</v>
      </c>
      <c r="B2544">
        <f>B2514+1</f>
        <v>77</v>
      </c>
      <c r="C2544" t="str">
        <f>CONCATENATE(A2544," no. ",B2544)</f>
        <v>Sloof no. 77</v>
      </c>
      <c r="D2544" t="str">
        <f>VLOOKUP(C2544,'Data Panjang Balok'!$C$9:$N$424,2,FALSE)</f>
        <v>TB245-2</v>
      </c>
    </row>
    <row r="2545">
      <c r="C2545" t="str">
        <v>Dimensi</v>
      </c>
      <c r="D2545">
        <f>VLOOKUP(D2544,'Detail Balok'!$C$10:$AU$110,2,FALSE)</f>
        <v>200</v>
      </c>
      <c r="F2545" t="str">
        <v>x</v>
      </c>
      <c r="G2545">
        <f>VLOOKUP(D2544,'Detail Balok'!$C$10:$AU$110,3,FALSE)</f>
        <v>450</v>
      </c>
    </row>
    <row r="2546">
      <c r="C2546" t="str">
        <v>Panjang as ke as</v>
      </c>
      <c r="D2546">
        <f>VLOOKUP(C2544,'Data Panjang Balok'!$C$9:$N$424,4,FALSE)</f>
        <v>7025</v>
      </c>
    </row>
    <row r="2547">
      <c r="C2547" t="str">
        <v>Panjang netto</v>
      </c>
      <c r="D2547">
        <f>VLOOKUP(C2544,'Data Panjang Balok'!$C$9:$N$424,7,FALSE)</f>
        <v>7025</v>
      </c>
    </row>
    <row r="2548">
      <c r="C2548" t="str">
        <v>Kolom / balok kiri</v>
      </c>
      <c r="D2548">
        <f>VLOOKUP(C2544,'Data Panjang Balok'!$C$9:$N$424,9,FALSE)</f>
        <v>0</v>
      </c>
    </row>
    <row r="2549">
      <c r="C2549" t="str">
        <v>Kolom / balok kanan</v>
      </c>
      <c r="D2549">
        <f>VLOOKUP(C2544,'Data Panjang Balok'!$C$9:$N$424,10,FALSE)</f>
        <v>0</v>
      </c>
    </row>
    <row r="2550">
      <c r="C2550" t="str">
        <v>Jumlah</v>
      </c>
      <c r="D2550">
        <f>VLOOKUP(C2544,'Data Panjang Balok'!$C$9:$N$424,3,FALSE)</f>
        <v>1</v>
      </c>
    </row>
    <row r="2551">
      <c r="A2551" t="str">
        <f>A2544</f>
        <v>Sloof</v>
      </c>
      <c r="B2551">
        <f>B2544</f>
        <v>77</v>
      </c>
      <c r="C2551" t="str">
        <v>Tul Atas Tumpuan</v>
      </c>
      <c r="D2551">
        <f>VLOOKUP(D2544,'Detail Balok'!$C$10:$AU$110,4,FALSE)</f>
        <v>4</v>
      </c>
      <c r="E2551" t="str">
        <v>D</v>
      </c>
      <c r="F2551">
        <f>VLOOKUP(D2544,'Detail Balok'!$C$10:$AU$110,6,FALSE)</f>
        <v>13</v>
      </c>
      <c r="I2551" t="str">
        <v>(</v>
      </c>
      <c r="J2551">
        <f>+D2546/4/1000</f>
        <v>1.75625</v>
      </c>
      <c r="K2551" t="str">
        <v>+</v>
      </c>
      <c r="L2551">
        <f>MAX(VLOOKUP(F2551,N$6:P$15,3,FALSE)/1000,2/3*D2548/1000)+F$16*F2551/1000</f>
        <v>0.156</v>
      </c>
      <c r="M2551" t="str">
        <v>=</v>
      </c>
      <c r="N2551">
        <f>J2551+L2551</f>
        <v>1.91225</v>
      </c>
      <c r="O2551" t="str">
        <v>+</v>
      </c>
      <c r="P2551">
        <f>D2551-D2552</f>
        <v>2</v>
      </c>
      <c r="Q2551" t="str">
        <v>x</v>
      </c>
      <c r="R2551">
        <f>IF(P2551&gt;0,$F$18*F2551/1000,0)</f>
        <v>0.195</v>
      </c>
      <c r="S2551" t="str">
        <v>)</v>
      </c>
      <c r="T2551" t="str">
        <v>x</v>
      </c>
      <c r="U2551">
        <f>0.006165*F2551^2</f>
        <v>1.041885</v>
      </c>
      <c r="X2551" t="str">
        <v>x</v>
      </c>
      <c r="Y2551">
        <f>D2550</f>
        <v>1</v>
      </c>
      <c r="Z2551" t="str">
        <v>=</v>
      </c>
      <c r="AA2551">
        <f>IF(AA2554=0,(D2551*N2551+P2551*R2551)*U2551*Y2551,0)</f>
        <v>8.375713515</v>
      </c>
    </row>
    <row r="2552">
      <c r="A2552" t="str">
        <f>A2544</f>
        <v>Sloof</v>
      </c>
      <c r="B2552">
        <f>B2544</f>
        <v>77</v>
      </c>
      <c r="C2552" t="str">
        <v>Tul Atas Lapangan</v>
      </c>
      <c r="D2552">
        <f>VLOOKUP(D2544,'Detail Balok'!$C$10:$AU$110,7,FALSE)</f>
        <v>2</v>
      </c>
      <c r="E2552" t="str">
        <v>D</v>
      </c>
      <c r="F2552">
        <f>VLOOKUP(D2544,'Detail Balok'!$C$10:$AU$110,9,FALSE)</f>
        <v>13</v>
      </c>
      <c r="I2552" t="str">
        <v>(</v>
      </c>
      <c r="J2552">
        <f>+D2546/2/1000</f>
        <v>3.5125</v>
      </c>
      <c r="K2552" t="str">
        <v>+</v>
      </c>
      <c r="M2552" t="str">
        <v>=</v>
      </c>
      <c r="N2552">
        <f>J2552+L2552</f>
        <v>3.5125</v>
      </c>
      <c r="O2552" t="str">
        <v>+</v>
      </c>
      <c r="P2552">
        <f>MAX(D2552-D2551,D2552-D2553)</f>
        <v>-2</v>
      </c>
      <c r="Q2552" t="str">
        <v>x</v>
      </c>
      <c r="R2552">
        <f>IF(P2552&gt;0,2*(1-2*$F$19-1/2)*D2547/1000,0)</f>
        <v>0</v>
      </c>
      <c r="S2552" t="str">
        <v>)</v>
      </c>
      <c r="T2552" t="str">
        <v>x</v>
      </c>
      <c r="U2552">
        <f>0.006165*F2552^2</f>
        <v>1.041885</v>
      </c>
      <c r="X2552" t="str">
        <v>x</v>
      </c>
      <c r="Y2552">
        <f>D2550</f>
        <v>1</v>
      </c>
      <c r="Z2552" t="str">
        <v>=</v>
      </c>
      <c r="AA2552">
        <f>IF(AA2554=0,(D2552*N2552+P2552*R2552)*U2552*Y2552,0)</f>
        <v>7.319242125</v>
      </c>
    </row>
    <row r="2553">
      <c r="A2553" t="str">
        <f>A2544</f>
        <v>Sloof</v>
      </c>
      <c r="B2553">
        <f>B2544</f>
        <v>77</v>
      </c>
      <c r="C2553" t="str">
        <v>Tul Atas Tumpuan</v>
      </c>
      <c r="D2553">
        <f>VLOOKUP(D2544,'Detail Balok'!$C$10:$AU$110,10,FALSE)</f>
        <v>4</v>
      </c>
      <c r="E2553" t="str">
        <v>D</v>
      </c>
      <c r="F2553">
        <f>VLOOKUP(D2544,'Detail Balok'!$C$10:$AU$110,12,FALSE)</f>
        <v>13</v>
      </c>
      <c r="I2553" t="str">
        <v>(</v>
      </c>
      <c r="J2553">
        <f>+D2546/4/1000</f>
        <v>1.75625</v>
      </c>
      <c r="K2553" t="str">
        <v>+</v>
      </c>
      <c r="L2553">
        <f>MAX(VLOOKUP(F2553,N$6:P$15,3,FALSE)/1000,2/3*D2548/1000)+F$16*F2553/1000</f>
        <v>0.156</v>
      </c>
      <c r="M2553" t="str">
        <v>=</v>
      </c>
      <c r="N2553">
        <f>J2553+L2553</f>
        <v>1.91225</v>
      </c>
      <c r="O2553" t="str">
        <v>+</v>
      </c>
      <c r="P2553">
        <f>D2553-D2552</f>
        <v>2</v>
      </c>
      <c r="Q2553" t="str">
        <v>x</v>
      </c>
      <c r="R2553">
        <f>IF(P2553&gt;0,$F$18*F2553/1000,0)</f>
        <v>0.195</v>
      </c>
      <c r="S2553" t="str">
        <v>)</v>
      </c>
      <c r="T2553" t="str">
        <v>x</v>
      </c>
      <c r="U2553">
        <f>0.006165*F2553^2</f>
        <v>1.041885</v>
      </c>
      <c r="X2553" t="str">
        <v>x</v>
      </c>
      <c r="Y2553">
        <f>D2550</f>
        <v>1</v>
      </c>
      <c r="Z2553" t="str">
        <v>=</v>
      </c>
      <c r="AA2553">
        <f>IF(AA2554=0,(D2553*N2553+P2553*R2553)*U2553*Y2553,0)</f>
        <v>8.375713515</v>
      </c>
    </row>
    <row r="2554">
      <c r="A2554" t="str">
        <f>A2544</f>
        <v>Sloof</v>
      </c>
      <c r="B2554">
        <f>B2544</f>
        <v>77</v>
      </c>
      <c r="D2554">
        <f>IF(AND(D2551=D2552,D2552=D2553,D2551=D2553),D2551,0)</f>
        <v>0</v>
      </c>
      <c r="E2554" t="str">
        <v>D</v>
      </c>
      <c r="F2554">
        <f>IF(AND(F2551=F2552,F2551=F2553,F2552=F2553),F2551,0)</f>
        <v>13</v>
      </c>
      <c r="L2554" t="str">
        <v>Total panjang per balok</v>
      </c>
      <c r="M2554" t="str">
        <v>=</v>
      </c>
      <c r="N2554">
        <f>IF(AND(D2551=D2552,D2551=D2553,D2552=D2553,F2551=F2552,F2551=F2553,F2552=F2553),SUM(N2551:N2553),0)</f>
        <v>0</v>
      </c>
      <c r="O2554" t="str">
        <v>+</v>
      </c>
      <c r="P2554">
        <f>IF(N2554&gt;12,ROUNDDOWN(N2554/12,0),0)</f>
        <v>0</v>
      </c>
      <c r="Q2554" t="str">
        <v>x</v>
      </c>
      <c r="R2554">
        <f>IF(P2554&gt;0,MAX(VLOOKUP(F2554,$D$6:$G$15,3,FALSE),600),0)/1000</f>
        <v>0</v>
      </c>
      <c r="T2554" t="str">
        <v>x</v>
      </c>
      <c r="U2554">
        <f>U2553</f>
        <v>1.041885</v>
      </c>
      <c r="V2554" t="str">
        <v>x</v>
      </c>
      <c r="W2554">
        <f>D2554</f>
        <v>0</v>
      </c>
      <c r="X2554" t="str">
        <v>x</v>
      </c>
      <c r="Y2554">
        <f>Y2553</f>
        <v>1</v>
      </c>
      <c r="Z2554" t="str">
        <v>=</v>
      </c>
      <c r="AA2554">
        <f>(N2554+P2554*R2554/1000)*U2554*W2554*Y2554</f>
        <v>0</v>
      </c>
    </row>
    <row r="2556">
      <c r="A2556" t="str">
        <f>A2544</f>
        <v>Sloof</v>
      </c>
      <c r="B2556">
        <f>B2544</f>
        <v>77</v>
      </c>
      <c r="C2556" t="str">
        <v>Tul Peminggang</v>
      </c>
      <c r="D2556">
        <f>VLOOKUP(D2544,'Detail Balok'!$C$10:$AU$110,13,FALSE)</f>
        <v>2</v>
      </c>
      <c r="E2556" t="str">
        <v>D</v>
      </c>
      <c r="F2556">
        <f>VLOOKUP(D2544,'Detail Balok'!$C$10:$AU$110,15,FALSE)</f>
        <v>8</v>
      </c>
      <c r="J2556">
        <f>+D2546/1000</f>
        <v>7.025</v>
      </c>
      <c r="K2556" t="str">
        <v>+</v>
      </c>
      <c r="L2556">
        <f>2*$F$16*F2556/1000</f>
        <v>0.192</v>
      </c>
      <c r="M2556" t="str">
        <v>=</v>
      </c>
      <c r="N2556">
        <f>J2556+L2556</f>
        <v>7.2170000000000005</v>
      </c>
      <c r="O2556" t="str">
        <v>+</v>
      </c>
      <c r="P2556">
        <f>IF(N2556&gt;12,ROUNDDOWN(N2556/12,0),0)</f>
        <v>0</v>
      </c>
      <c r="Q2556" t="str">
        <v>x</v>
      </c>
      <c r="R2556">
        <f>IF(P2556&gt;0,MAX(VLOOKUP(F2556,$D$6:$G$15,3,FALSE),600),0)/1000</f>
        <v>0</v>
      </c>
      <c r="T2556" t="str">
        <v>x</v>
      </c>
      <c r="U2556">
        <f>0.006165*F2556^2</f>
        <v>0.39456</v>
      </c>
      <c r="V2556" t="str">
        <v>x</v>
      </c>
      <c r="W2556">
        <f>+D2556</f>
        <v>2</v>
      </c>
      <c r="X2556" t="str">
        <v>x</v>
      </c>
      <c r="Y2556">
        <f>D2550</f>
        <v>1</v>
      </c>
      <c r="Z2556" t="str">
        <v>=</v>
      </c>
      <c r="AA2556">
        <f>(N2556+P2556*R2556/1000)*U2556*W2556*Y2556</f>
        <v>5.69507904</v>
      </c>
    </row>
    <row r="2559">
      <c r="A2559" t="str">
        <f>A2544</f>
        <v>Sloof</v>
      </c>
      <c r="B2559">
        <f>B2544</f>
        <v>77</v>
      </c>
      <c r="C2559" t="str">
        <v>Tul Bawah Tumpuan</v>
      </c>
      <c r="D2559">
        <f>VLOOKUP(D2544,'Detail Balok'!$C$10:$AU$110,22,FALSE)</f>
        <v>4</v>
      </c>
      <c r="E2559" t="str">
        <v>D</v>
      </c>
      <c r="F2559">
        <f>VLOOKUP(D2544,'Detail Balok'!$C$10:$AU$110,24,FALSE)</f>
        <v>13</v>
      </c>
      <c r="I2559" t="str">
        <v>(</v>
      </c>
      <c r="J2559">
        <f>+J2551</f>
        <v>1.75625</v>
      </c>
      <c r="K2559" t="str">
        <v>+</v>
      </c>
      <c r="L2559">
        <f>MAX(VLOOKUP(F2559,N$6:P$15,3,FALSE)/1000,2/3*D2549/1000)+F$16*F2559/1000</f>
        <v>0.156</v>
      </c>
      <c r="M2559" t="str">
        <v>=</v>
      </c>
      <c r="N2559">
        <f>J2559+L2559</f>
        <v>1.91225</v>
      </c>
      <c r="O2559" t="str">
        <v>+</v>
      </c>
      <c r="P2559">
        <f>D2559-D2560</f>
        <v>0</v>
      </c>
      <c r="Q2559" t="str">
        <v>x</v>
      </c>
      <c r="R2559">
        <f>IF(P2559&gt;0,$F$18*F2559/1000,0)</f>
        <v>0</v>
      </c>
      <c r="S2559" t="str">
        <v>)</v>
      </c>
      <c r="T2559" t="str">
        <v>x</v>
      </c>
      <c r="U2559">
        <f>0.006165*F2559^2</f>
        <v>1.041885</v>
      </c>
      <c r="X2559" t="str">
        <v>x</v>
      </c>
      <c r="Y2559">
        <f>D2550</f>
        <v>1</v>
      </c>
      <c r="Z2559" t="str">
        <v>=</v>
      </c>
      <c r="AA2559">
        <f>IF(AA2562=0,(D2559*N2559+P2559*R2559)*U2559*Y2559,0)</f>
        <v>0</v>
      </c>
    </row>
    <row r="2560">
      <c r="A2560" t="str">
        <f>A2544</f>
        <v>Sloof</v>
      </c>
      <c r="B2560">
        <f>B2544</f>
        <v>77</v>
      </c>
      <c r="C2560" t="str">
        <v>Tul Bawah Lapangan</v>
      </c>
      <c r="D2560">
        <f>VLOOKUP(D2544,'Detail Balok'!$C$10:$AU$110,25,FALSE)</f>
        <v>4</v>
      </c>
      <c r="E2560" t="str">
        <v>D</v>
      </c>
      <c r="F2560">
        <f>VLOOKUP(D2544,'Detail Balok'!$C$10:$AU$110,27,FALSE)</f>
        <v>13</v>
      </c>
      <c r="I2560" t="str">
        <v>(</v>
      </c>
      <c r="J2560">
        <f>+J2552</f>
        <v>3.5125</v>
      </c>
      <c r="K2560" t="str">
        <v>+</v>
      </c>
      <c r="M2560" t="str">
        <v>=</v>
      </c>
      <c r="N2560">
        <f>J2560+L2560</f>
        <v>3.5125</v>
      </c>
      <c r="O2560" t="str">
        <v>+</v>
      </c>
      <c r="P2560">
        <f>MAX(D2560-D2559,D2560-D2561)</f>
        <v>0</v>
      </c>
      <c r="Q2560" t="str">
        <v>x</v>
      </c>
      <c r="R2560">
        <f>IF(P2560&gt;0,2*(1-2*$F$19-1/2)*D2547/1000,0)</f>
        <v>0</v>
      </c>
      <c r="S2560" t="str">
        <v>)</v>
      </c>
      <c r="T2560" t="str">
        <v>x</v>
      </c>
      <c r="U2560">
        <f>0.006165*F2560^2</f>
        <v>1.041885</v>
      </c>
      <c r="X2560" t="str">
        <v>x</v>
      </c>
      <c r="Y2560">
        <f>D2550</f>
        <v>1</v>
      </c>
      <c r="Z2560" t="str">
        <v>=</v>
      </c>
      <c r="AA2560">
        <f>IF(AA2562=0,(D2560*N2560+P2560*R2560)*U2560*Y2560,0)</f>
        <v>0</v>
      </c>
    </row>
    <row r="2561">
      <c r="A2561" t="str">
        <f>A2544</f>
        <v>Sloof</v>
      </c>
      <c r="B2561">
        <f>B2544</f>
        <v>77</v>
      </c>
      <c r="C2561" t="str">
        <v>Tul Bawah Tumpuan</v>
      </c>
      <c r="D2561">
        <f>VLOOKUP(D2544,'Detail Balok'!$C$10:$AU$110,28,FALSE)</f>
        <v>4</v>
      </c>
      <c r="E2561" t="str">
        <v>D</v>
      </c>
      <c r="F2561">
        <f>VLOOKUP(D2544,'Detail Balok'!$C$10:$AU$110,30,FALSE)</f>
        <v>13</v>
      </c>
      <c r="I2561" t="str">
        <v>(</v>
      </c>
      <c r="J2561">
        <f>+J2553</f>
        <v>1.75625</v>
      </c>
      <c r="K2561" t="str">
        <v>+</v>
      </c>
      <c r="L2561">
        <f>MAX(VLOOKUP(F2561,N$6:P$15,3,FALSE)/1000,2/3*D2549/1000)+F$16*F2561/1000</f>
        <v>0.156</v>
      </c>
      <c r="M2561" t="str">
        <v>=</v>
      </c>
      <c r="N2561">
        <f>J2561+L2561</f>
        <v>1.91225</v>
      </c>
      <c r="O2561" t="str">
        <v>+</v>
      </c>
      <c r="P2561">
        <f>D2561-D2560</f>
        <v>0</v>
      </c>
      <c r="Q2561" t="str">
        <v>x</v>
      </c>
      <c r="R2561">
        <f>IF(P2561&gt;0,$F$18*F2561/1000,0)</f>
        <v>0</v>
      </c>
      <c r="S2561" t="str">
        <v>)</v>
      </c>
      <c r="T2561" t="str">
        <v>x</v>
      </c>
      <c r="U2561">
        <f>0.006165*F2561^2</f>
        <v>1.041885</v>
      </c>
      <c r="X2561" t="str">
        <v>x</v>
      </c>
      <c r="Y2561">
        <f>D2550</f>
        <v>1</v>
      </c>
      <c r="Z2561" t="str">
        <v>=</v>
      </c>
      <c r="AA2561">
        <f>IF(AA2562=0,(D2561*N2561+P2561*R2561)*U2561*Y2561,0)</f>
        <v>0</v>
      </c>
    </row>
    <row r="2562">
      <c r="A2562" t="str">
        <f>A2544</f>
        <v>Sloof</v>
      </c>
      <c r="B2562">
        <f>B2544</f>
        <v>77</v>
      </c>
      <c r="D2562">
        <f>IF(AND(D2559=D2560,D2560=D2561,D2559=D2561),D2559,0)</f>
        <v>4</v>
      </c>
      <c r="E2562" t="str">
        <v>D</v>
      </c>
      <c r="F2562">
        <f>IF(AND(F2559=F2560,F2559=F2561,F2560=F2561),F2559,0)</f>
        <v>13</v>
      </c>
      <c r="L2562" t="str">
        <v>Total panjang per balok</v>
      </c>
      <c r="M2562" t="str">
        <v>=</v>
      </c>
      <c r="N2562">
        <f>IF(AND(D2559=D2560,D2559=D2561,D2560=D2561,F2559=F2560,F2559=F2561,F2560=F2561),SUM(N2559:N2561),0)</f>
        <v>7.337000000000001</v>
      </c>
      <c r="O2562" t="str">
        <v>+</v>
      </c>
      <c r="P2562">
        <f>IF(N2562&gt;12,ROUNDDOWN(N2562/12,0),0)</f>
        <v>0</v>
      </c>
      <c r="Q2562" t="str">
        <v>x</v>
      </c>
      <c r="R2562">
        <f>IF(P2562&gt;0,MAX(VLOOKUP(F2562,$D$6:$G$15,3,FALSE),600),0)/1000</f>
        <v>0</v>
      </c>
      <c r="T2562" t="str">
        <v>x</v>
      </c>
      <c r="U2562">
        <f>U2561</f>
        <v>1.041885</v>
      </c>
      <c r="V2562" t="str">
        <v>x</v>
      </c>
      <c r="W2562">
        <f>D2562</f>
        <v>4</v>
      </c>
      <c r="X2562" t="str">
        <v>x</v>
      </c>
      <c r="Y2562">
        <f>Y2561</f>
        <v>1</v>
      </c>
      <c r="Z2562" t="str">
        <v>=</v>
      </c>
      <c r="AA2562">
        <f>(N2562+P2562*R2562/1000)*U2562*W2562*Y2562</f>
        <v>30.577240980000003</v>
      </c>
    </row>
    <row r="2564">
      <c r="A2564" t="str">
        <f>A2544</f>
        <v>Sloof</v>
      </c>
      <c r="B2564">
        <f>B2544</f>
        <v>77</v>
      </c>
      <c r="C2564" t="str">
        <v>Sengkang Tumpuan</v>
      </c>
      <c r="D2564">
        <f>VLOOKUP(D2544,'Detail Balok'!$C$10:$AU$110,31,FALSE)</f>
        <v>0</v>
      </c>
      <c r="E2564" t="str">
        <v>D</v>
      </c>
      <c r="F2564">
        <f>VLOOKUP(D2544,'Detail Balok'!$C$10:$AU$110,33,FALSE)</f>
        <v>8</v>
      </c>
      <c r="G2564" t="str">
        <v>-</v>
      </c>
      <c r="H2564">
        <f>VLOOKUP(D2544,'Detail Balok'!$C$10:$AU$110,35,FALSE)</f>
        <v>125</v>
      </c>
      <c r="J2564">
        <f>(IF(D2564=0,(2*(D2545+G2545))-(F$5*8),IF(D2564=3,(2*(D2545+G2545))-(F$5*8)+(G2545-2*F$5),IF(D2564=4,(2*(D2545+G2545))-(F$5*8)+2*(G2545-2*F$5)))))/1000</f>
        <v>0.98</v>
      </c>
      <c r="K2564" t="str">
        <v>+</v>
      </c>
      <c r="L2564">
        <f>IF(D2564=0,2*MAX(6*F2564,75),(D2564-1)*2*MAX(6*F2564,75))/1000</f>
        <v>0.15</v>
      </c>
      <c r="M2564" t="str">
        <v>=</v>
      </c>
      <c r="N2564">
        <f>J2564+L2564</f>
        <v>1.13</v>
      </c>
      <c r="T2564" t="str">
        <v>x</v>
      </c>
      <c r="U2564">
        <f>0.006165*F2564^2</f>
        <v>0.39456</v>
      </c>
      <c r="V2564" t="str">
        <v>x</v>
      </c>
      <c r="W2564">
        <f>IF(D2547&gt;4*G2545,ROUND(MAX(D2547/4,2*G2545)/H2564,0)+1,ROUND(D2547/H2564,0)+1)</f>
        <v>15</v>
      </c>
      <c r="X2564" t="str">
        <v>x</v>
      </c>
      <c r="Y2564">
        <f>D2550</f>
        <v>1</v>
      </c>
      <c r="Z2564" t="str">
        <v>=</v>
      </c>
      <c r="AA2564">
        <f>N2564*U2564*W2564*Y2564</f>
        <v>6.687792</v>
      </c>
    </row>
    <row r="2565">
      <c r="A2565" t="str">
        <f>A2544</f>
        <v>Sloof</v>
      </c>
      <c r="B2565">
        <f>B2544</f>
        <v>77</v>
      </c>
      <c r="C2565" t="str">
        <v>Sengkang Lapangan</v>
      </c>
      <c r="D2565">
        <f>VLOOKUP(D2544,'Detail Balok'!$C$10:$AU$110,36,FALSE)</f>
        <v>0</v>
      </c>
      <c r="E2565" t="str">
        <v>D</v>
      </c>
      <c r="F2565">
        <f>VLOOKUP(D2544,'Detail Balok'!$C$10:$AU$110,38,FALSE)</f>
        <v>8</v>
      </c>
      <c r="G2565" t="str">
        <v>-</v>
      </c>
      <c r="H2565">
        <f>VLOOKUP(D2544,'Detail Balok'!$C$10:$AU$110,40,FALSE)</f>
        <v>150</v>
      </c>
      <c r="J2565">
        <f>(IF(D2565=0,(2*(D2545+G2545))-(F$5*8),IF(D2565=3,(2*(D2545+G2545))-(F$5*8)+(G2545-2*F$5),IF(D2565=4,(2*(D2545+G2545))-(F$5*8)+2*(G2545-2*F$5)))))/1000</f>
        <v>0.98</v>
      </c>
      <c r="K2565" t="str">
        <v>+</v>
      </c>
      <c r="L2565">
        <f>IF(D2565=0,2*MAX(6*F2565,75),(D2565-1)*2*MAX(6*F2565,75))/1000</f>
        <v>0.15</v>
      </c>
      <c r="M2565" t="str">
        <v>=</v>
      </c>
      <c r="N2565">
        <f>J2565+L2565</f>
        <v>1.13</v>
      </c>
      <c r="T2565" t="str">
        <v>x</v>
      </c>
      <c r="U2565">
        <f>0.006165*F2565^2</f>
        <v>0.39456</v>
      </c>
      <c r="V2565" t="str">
        <v>x</v>
      </c>
      <c r="W2565">
        <f>IF(D2547-MAX(D2547/4,2*G2545)*2&gt;0,ROUND((D2547-MAX(D2547/4,2*G2545)*2)/H2565,0),0)</f>
        <v>23</v>
      </c>
      <c r="X2565" t="str">
        <v>x</v>
      </c>
      <c r="Y2565">
        <f>D2550</f>
        <v>1</v>
      </c>
      <c r="Z2565" t="str">
        <v>=</v>
      </c>
      <c r="AA2565">
        <f>N2565*U2565*W2565*Y2565</f>
        <v>10.2546144</v>
      </c>
    </row>
    <row r="2566">
      <c r="A2566" t="str">
        <f>A2544</f>
        <v>Sloof</v>
      </c>
      <c r="B2566">
        <f>B2544</f>
        <v>77</v>
      </c>
      <c r="C2566" t="str">
        <v>Sengkang Tumpuan</v>
      </c>
      <c r="D2566">
        <f>VLOOKUP(D2544,'Detail Balok'!$C$10:$AU$110,41,FALSE)</f>
        <v>0</v>
      </c>
      <c r="E2566" t="str">
        <v>D</v>
      </c>
      <c r="F2566">
        <f>VLOOKUP(D2544,'Detail Balok'!$C$10:$AU$110,43,FALSE)</f>
        <v>8</v>
      </c>
      <c r="G2566" t="str">
        <v>-</v>
      </c>
      <c r="H2566">
        <f>VLOOKUP(D2544,'Detail Balok'!$C$10:$AU$110,45,FALSE)</f>
        <v>125</v>
      </c>
      <c r="J2566">
        <f>(IF(D2566=0,(2*(D2545+G2545))-(F$5*8),IF(D2566=3,(2*(D2545+G2545))-(F$5*8)+(G2545-2*F$5),IF(D2566=4,(2*(D2545+G2545))-(F$5*8)+2*(G2545-2*F$5)))))/1000</f>
        <v>0.98</v>
      </c>
      <c r="K2566" t="str">
        <v>+</v>
      </c>
      <c r="L2566">
        <f>IF(D2566=0,2*MAX(6*F2566,75),(D2566-1)*2*MAX(6*F2566,75))/1000</f>
        <v>0.15</v>
      </c>
      <c r="M2566" t="str">
        <v>=</v>
      </c>
      <c r="N2566">
        <f>J2566+L2566</f>
        <v>1.13</v>
      </c>
      <c r="T2566" t="str">
        <v>x</v>
      </c>
      <c r="U2566">
        <f>0.006165*F2566^2</f>
        <v>0.39456</v>
      </c>
      <c r="V2566" t="str">
        <v>x</v>
      </c>
      <c r="W2566">
        <f>IF(D2547&gt;4*G2545,ROUND(MAX(D2547/4,2*G2545)/H2566,0)+1,0)</f>
        <v>15</v>
      </c>
      <c r="X2566" t="str">
        <v>x</v>
      </c>
      <c r="Y2566">
        <f>D2550</f>
        <v>1</v>
      </c>
      <c r="Z2566" t="str">
        <v>=</v>
      </c>
      <c r="AA2566">
        <f>N2566*U2566*W2566*Y2566</f>
        <v>6.687792</v>
      </c>
    </row>
    <row r="2568">
      <c r="A2568" t="str">
        <f>A2544</f>
        <v>Sloof</v>
      </c>
      <c r="B2568">
        <f>B2544</f>
        <v>77</v>
      </c>
      <c r="C2568" t="str">
        <v>Kait Horizontal Tump.</v>
      </c>
      <c r="D2568">
        <f>VLOOKUP(D2544,'Detail Balok'!$C$10:$BJ$110,46,FALSE)</f>
        <v>0</v>
      </c>
      <c r="E2568" t="str">
        <v>D</v>
      </c>
      <c r="F2568">
        <f>VLOOKUP(D2544,'Detail Balok'!$C$10:$BJ$110,48,FALSE)</f>
        <v>0</v>
      </c>
      <c r="G2568" t="str">
        <v>-</v>
      </c>
      <c r="H2568">
        <f>VLOOKUP(D2544,'Detail Balok'!$C$10:$BJ$110,50,FALSE)</f>
        <v>100</v>
      </c>
      <c r="J2568">
        <f>(D2545-2*F$5)/1000</f>
        <v>0.12</v>
      </c>
      <c r="K2568" t="str">
        <v>+</v>
      </c>
      <c r="L2568">
        <f>IF(D2568=0,2*MAX(6*F2568,75),(D2568-1)*2*MAX(6*F2568,75))/1000</f>
        <v>0.15</v>
      </c>
      <c r="M2568" t="str">
        <v>=</v>
      </c>
      <c r="N2568">
        <f>J2568+L2568</f>
        <v>0.27</v>
      </c>
      <c r="T2568" t="str">
        <v>x</v>
      </c>
      <c r="U2568">
        <f>0.006165*F2568^2</f>
        <v>0</v>
      </c>
      <c r="V2568" t="str">
        <v>x</v>
      </c>
      <c r="W2568">
        <f>W2564</f>
        <v>15</v>
      </c>
      <c r="X2568" t="str">
        <v>x</v>
      </c>
      <c r="Y2568">
        <f>D2554</f>
        <v>0</v>
      </c>
      <c r="Z2568" t="str">
        <v>=</v>
      </c>
      <c r="AA2568">
        <f>N2568*U2568*W2568*Y2568</f>
        <v>0</v>
      </c>
    </row>
    <row r="2569">
      <c r="A2569" t="str">
        <f>A2544</f>
        <v>Sloof</v>
      </c>
      <c r="B2569">
        <f>B2544</f>
        <v>77</v>
      </c>
      <c r="C2569" t="str">
        <v>Kait Horizontal Lap.</v>
      </c>
      <c r="D2569">
        <f>VLOOKUP(D2544,'Detail Balok'!$C$10:$BJ$110,51,FALSE)</f>
        <v>0</v>
      </c>
      <c r="E2569" t="str">
        <v>D</v>
      </c>
      <c r="F2569">
        <f>VLOOKUP(D2544,'Detail Balok'!$C$10:$BJ$110,53,FALSE)</f>
        <v>0</v>
      </c>
      <c r="G2569" t="str">
        <v>-</v>
      </c>
      <c r="H2569">
        <f>VLOOKUP(D2544,'Detail Balok'!$C$10:$BJ$110,55,FALSE)</f>
        <v>100</v>
      </c>
      <c r="J2569">
        <f>(D2545-2*F$5)/1000</f>
        <v>0.12</v>
      </c>
      <c r="K2569" t="str">
        <v>+</v>
      </c>
      <c r="L2569">
        <f>IF(D2569=0,2*MAX(6*F2569,75),(D2569-1)*2*MAX(6*F2569,75))/1000</f>
        <v>0.15</v>
      </c>
      <c r="M2569" t="str">
        <v>=</v>
      </c>
      <c r="N2569">
        <f>J2569+L2569</f>
        <v>0.27</v>
      </c>
      <c r="T2569" t="str">
        <v>x</v>
      </c>
      <c r="U2569">
        <f>0.006165*F2569^2</f>
        <v>0</v>
      </c>
      <c r="V2569" t="str">
        <v>x</v>
      </c>
      <c r="W2569">
        <f>W2565</f>
        <v>23</v>
      </c>
      <c r="X2569" t="str">
        <v>x</v>
      </c>
      <c r="Y2569">
        <f>D2554</f>
        <v>0</v>
      </c>
      <c r="Z2569" t="str">
        <v>=</v>
      </c>
      <c r="AA2569">
        <f>N2569*U2569*W2569*Y2569</f>
        <v>0</v>
      </c>
    </row>
    <row r="2570">
      <c r="A2570" t="str">
        <f>A2544</f>
        <v>Sloof</v>
      </c>
      <c r="B2570">
        <f>B2544</f>
        <v>77</v>
      </c>
      <c r="C2570" t="str">
        <v>Kait Horizontal Tump.</v>
      </c>
      <c r="D2570">
        <f>VLOOKUP(D2544,'Detail Balok'!$C$10:$BJ$110,56,FALSE)</f>
        <v>0</v>
      </c>
      <c r="E2570" t="str">
        <v>D</v>
      </c>
      <c r="F2570">
        <f>VLOOKUP(D2544,'Detail Balok'!$C$10:$BJ$110,58,FALSE)</f>
        <v>0</v>
      </c>
      <c r="G2570" t="str">
        <v>-</v>
      </c>
      <c r="H2570">
        <f>VLOOKUP(D2544,'Detail Balok'!$C$10:$BJ$110,60,FALSE)</f>
        <v>100</v>
      </c>
      <c r="J2570">
        <f>(D2545-2*F$5)/1000</f>
        <v>0.12</v>
      </c>
      <c r="K2570" t="str">
        <v>+</v>
      </c>
      <c r="L2570">
        <f>IF(D2570=0,2*MAX(6*F2570,75),(D2570-1)*2*MAX(6*F2570,75))/1000</f>
        <v>0.15</v>
      </c>
      <c r="M2570" t="str">
        <v>=</v>
      </c>
      <c r="N2570">
        <f>J2570+L2570</f>
        <v>0.27</v>
      </c>
      <c r="T2570" t="str">
        <v>x</v>
      </c>
      <c r="U2570">
        <f>0.006165*F2570^2</f>
        <v>0</v>
      </c>
      <c r="V2570" t="str">
        <v>x</v>
      </c>
      <c r="W2570">
        <f>W2566</f>
        <v>15</v>
      </c>
      <c r="X2570" t="str">
        <v>x</v>
      </c>
      <c r="Y2570">
        <f>D2554</f>
        <v>0</v>
      </c>
      <c r="Z2570" t="str">
        <v>=</v>
      </c>
      <c r="AA2570">
        <f>N2570*U2570*W2570*Y2570</f>
        <v>0</v>
      </c>
    </row>
    <row r="2574">
      <c r="A2574" t="str">
        <f>A2544</f>
        <v>Sloof</v>
      </c>
      <c r="B2574">
        <f>B2544+1</f>
        <v>78</v>
      </c>
      <c r="C2574" t="str">
        <f>CONCATENATE(A2574," no. ",B2574)</f>
        <v>Sloof no. 78</v>
      </c>
      <c r="D2574" t="str">
        <f>VLOOKUP(C2574,'Data Panjang Balok'!$C$9:$N$424,2,FALSE)</f>
        <v>TB245-1</v>
      </c>
    </row>
    <row r="2575">
      <c r="C2575" t="str">
        <v>Dimensi</v>
      </c>
      <c r="D2575">
        <f>VLOOKUP(D2574,'Detail Balok'!$C$10:$AU$110,2,FALSE)</f>
        <v>200</v>
      </c>
      <c r="F2575" t="str">
        <v>x</v>
      </c>
      <c r="G2575">
        <f>VLOOKUP(D2574,'Detail Balok'!$C$10:$AU$110,3,FALSE)</f>
        <v>450</v>
      </c>
    </row>
    <row r="2576">
      <c r="C2576" t="str">
        <v>Panjang as ke as</v>
      </c>
      <c r="D2576">
        <f>VLOOKUP(C2574,'Data Panjang Balok'!$C$9:$N$424,4,FALSE)</f>
        <v>4135</v>
      </c>
    </row>
    <row r="2577">
      <c r="C2577" t="str">
        <v>Panjang netto</v>
      </c>
      <c r="D2577">
        <f>VLOOKUP(C2574,'Data Panjang Balok'!$C$9:$N$424,7,FALSE)</f>
        <v>4135</v>
      </c>
    </row>
    <row r="2578">
      <c r="C2578" t="str">
        <v>Kolom / balok kiri</v>
      </c>
      <c r="D2578">
        <f>VLOOKUP(C2574,'Data Panjang Balok'!$C$9:$N$424,9,FALSE)</f>
        <v>0</v>
      </c>
    </row>
    <row r="2579">
      <c r="C2579" t="str">
        <v>Kolom / balok kanan</v>
      </c>
      <c r="D2579">
        <f>VLOOKUP(C2574,'Data Panjang Balok'!$C$9:$N$424,10,FALSE)</f>
        <v>0</v>
      </c>
    </row>
    <row r="2580">
      <c r="C2580" t="str">
        <v>Jumlah</v>
      </c>
      <c r="D2580">
        <f>VLOOKUP(C2574,'Data Panjang Balok'!$C$9:$N$424,3,FALSE)</f>
        <v>1</v>
      </c>
    </row>
    <row r="2581">
      <c r="A2581" t="str">
        <f>A2574</f>
        <v>Sloof</v>
      </c>
      <c r="B2581">
        <f>B2574</f>
        <v>78</v>
      </c>
      <c r="C2581" t="str">
        <v>Tul Atas Tumpuan</v>
      </c>
      <c r="D2581">
        <f>VLOOKUP(D2574,'Detail Balok'!$C$10:$AU$110,4,FALSE)</f>
        <v>3</v>
      </c>
      <c r="E2581" t="str">
        <v>D</v>
      </c>
      <c r="F2581">
        <f>VLOOKUP(D2574,'Detail Balok'!$C$10:$AU$110,6,FALSE)</f>
        <v>13</v>
      </c>
      <c r="I2581" t="str">
        <v>(</v>
      </c>
      <c r="J2581">
        <f>+D2576/4/1000</f>
        <v>1.03375</v>
      </c>
      <c r="K2581" t="str">
        <v>+</v>
      </c>
      <c r="L2581">
        <f>MAX(VLOOKUP(F2581,N$6:P$15,3,FALSE)/1000,2/3*D2578/1000)+F$16*F2581/1000</f>
        <v>0.156</v>
      </c>
      <c r="M2581" t="str">
        <v>=</v>
      </c>
      <c r="N2581">
        <f>J2581+L2581</f>
        <v>1.1897499999999999</v>
      </c>
      <c r="O2581" t="str">
        <v>+</v>
      </c>
      <c r="P2581">
        <f>D2581-D2582</f>
        <v>0</v>
      </c>
      <c r="Q2581" t="str">
        <v>x</v>
      </c>
      <c r="R2581">
        <f>IF(P2581&gt;0,$F$18*F2581/1000,0)</f>
        <v>0</v>
      </c>
      <c r="S2581" t="str">
        <v>)</v>
      </c>
      <c r="T2581" t="str">
        <v>x</v>
      </c>
      <c r="U2581">
        <f>0.006165*F2581^2</f>
        <v>1.041885</v>
      </c>
      <c r="X2581" t="str">
        <v>x</v>
      </c>
      <c r="Y2581">
        <f>D2580</f>
        <v>1</v>
      </c>
      <c r="Z2581" t="str">
        <v>=</v>
      </c>
      <c r="AA2581">
        <f>IF(AA2584=0,(D2581*N2581+P2581*R2581)*U2581*Y2581,0)</f>
        <v>0</v>
      </c>
    </row>
    <row r="2582">
      <c r="A2582" t="str">
        <f>A2574</f>
        <v>Sloof</v>
      </c>
      <c r="B2582">
        <f>B2574</f>
        <v>78</v>
      </c>
      <c r="C2582" t="str">
        <v>Tul Atas Lapangan</v>
      </c>
      <c r="D2582">
        <f>VLOOKUP(D2574,'Detail Balok'!$C$10:$AU$110,7,FALSE)</f>
        <v>3</v>
      </c>
      <c r="E2582" t="str">
        <v>D</v>
      </c>
      <c r="F2582">
        <f>VLOOKUP(D2574,'Detail Balok'!$C$10:$AU$110,9,FALSE)</f>
        <v>13</v>
      </c>
      <c r="I2582" t="str">
        <v>(</v>
      </c>
      <c r="J2582">
        <f>+D2576/2/1000</f>
        <v>2.0675</v>
      </c>
      <c r="K2582" t="str">
        <v>+</v>
      </c>
      <c r="M2582" t="str">
        <v>=</v>
      </c>
      <c r="N2582">
        <f>J2582+L2582</f>
        <v>2.0675</v>
      </c>
      <c r="O2582" t="str">
        <v>+</v>
      </c>
      <c r="P2582">
        <f>MAX(D2582-D2581,D2582-D2583)</f>
        <v>0</v>
      </c>
      <c r="Q2582" t="str">
        <v>x</v>
      </c>
      <c r="R2582">
        <f>IF(P2582&gt;0,2*(1-2*$F$19-1/2)*D2577/1000,0)</f>
        <v>0</v>
      </c>
      <c r="S2582" t="str">
        <v>)</v>
      </c>
      <c r="T2582" t="str">
        <v>x</v>
      </c>
      <c r="U2582">
        <f>0.006165*F2582^2</f>
        <v>1.041885</v>
      </c>
      <c r="X2582" t="str">
        <v>x</v>
      </c>
      <c r="Y2582">
        <f>D2580</f>
        <v>1</v>
      </c>
      <c r="Z2582" t="str">
        <v>=</v>
      </c>
      <c r="AA2582">
        <f>IF(AA2584=0,(D2582*N2582+P2582*R2582)*U2582*Y2582,0)</f>
        <v>0</v>
      </c>
    </row>
    <row r="2583">
      <c r="A2583" t="str">
        <f>A2574</f>
        <v>Sloof</v>
      </c>
      <c r="B2583">
        <f>B2574</f>
        <v>78</v>
      </c>
      <c r="C2583" t="str">
        <v>Tul Atas Tumpuan</v>
      </c>
      <c r="D2583">
        <f>VLOOKUP(D2574,'Detail Balok'!$C$10:$AU$110,10,FALSE)</f>
        <v>3</v>
      </c>
      <c r="E2583" t="str">
        <v>D</v>
      </c>
      <c r="F2583">
        <f>VLOOKUP(D2574,'Detail Balok'!$C$10:$AU$110,12,FALSE)</f>
        <v>13</v>
      </c>
      <c r="I2583" t="str">
        <v>(</v>
      </c>
      <c r="J2583">
        <f>+D2576/4/1000</f>
        <v>1.03375</v>
      </c>
      <c r="K2583" t="str">
        <v>+</v>
      </c>
      <c r="L2583">
        <f>MAX(VLOOKUP(F2583,N$6:P$15,3,FALSE)/1000,2/3*D2578/1000)+F$16*F2583/1000</f>
        <v>0.156</v>
      </c>
      <c r="M2583" t="str">
        <v>=</v>
      </c>
      <c r="N2583">
        <f>J2583+L2583</f>
        <v>1.1897499999999999</v>
      </c>
      <c r="O2583" t="str">
        <v>+</v>
      </c>
      <c r="P2583">
        <f>D2583-D2582</f>
        <v>0</v>
      </c>
      <c r="Q2583" t="str">
        <v>x</v>
      </c>
      <c r="R2583">
        <f>IF(P2583&gt;0,$F$18*F2583/1000,0)</f>
        <v>0</v>
      </c>
      <c r="S2583" t="str">
        <v>)</v>
      </c>
      <c r="T2583" t="str">
        <v>x</v>
      </c>
      <c r="U2583">
        <f>0.006165*F2583^2</f>
        <v>1.041885</v>
      </c>
      <c r="X2583" t="str">
        <v>x</v>
      </c>
      <c r="Y2583">
        <f>D2580</f>
        <v>1</v>
      </c>
      <c r="Z2583" t="str">
        <v>=</v>
      </c>
      <c r="AA2583">
        <f>IF(AA2584=0,(D2583*N2583+P2583*R2583)*U2583*Y2583,0)</f>
        <v>0</v>
      </c>
    </row>
    <row r="2584">
      <c r="A2584" t="str">
        <f>A2574</f>
        <v>Sloof</v>
      </c>
      <c r="B2584">
        <f>B2574</f>
        <v>78</v>
      </c>
      <c r="D2584">
        <f>IF(AND(D2581=D2582,D2582=D2583,D2581=D2583),D2581,0)</f>
        <v>3</v>
      </c>
      <c r="E2584" t="str">
        <v>D</v>
      </c>
      <c r="F2584">
        <f>IF(AND(F2581=F2582,F2581=F2583,F2582=F2583),F2581,0)</f>
        <v>13</v>
      </c>
      <c r="L2584" t="str">
        <v>Total panjang per balok</v>
      </c>
      <c r="M2584" t="str">
        <v>=</v>
      </c>
      <c r="N2584">
        <f>IF(AND(D2581=D2582,D2581=D2583,D2582=D2583,F2581=F2582,F2581=F2583,F2582=F2583),SUM(N2581:N2583),0)</f>
        <v>4.447</v>
      </c>
      <c r="O2584" t="str">
        <v>+</v>
      </c>
      <c r="P2584">
        <f>IF(N2584&gt;12,ROUNDDOWN(N2584/12,0),0)</f>
        <v>0</v>
      </c>
      <c r="Q2584" t="str">
        <v>x</v>
      </c>
      <c r="R2584">
        <f>IF(P2584&gt;0,MAX(VLOOKUP(F2584,$D$6:$G$15,3,FALSE),600),0)/1000</f>
        <v>0</v>
      </c>
      <c r="T2584" t="str">
        <v>x</v>
      </c>
      <c r="U2584">
        <f>U2583</f>
        <v>1.041885</v>
      </c>
      <c r="V2584" t="str">
        <v>x</v>
      </c>
      <c r="W2584">
        <f>D2584</f>
        <v>3</v>
      </c>
      <c r="X2584" t="str">
        <v>x</v>
      </c>
      <c r="Y2584">
        <f>Y2583</f>
        <v>1</v>
      </c>
      <c r="Z2584" t="str">
        <v>=</v>
      </c>
      <c r="AA2584">
        <f>(N2584+P2584*R2584/1000)*U2584*W2584*Y2584</f>
        <v>13.899787785</v>
      </c>
    </row>
    <row r="2586">
      <c r="A2586" t="str">
        <f>A2574</f>
        <v>Sloof</v>
      </c>
      <c r="B2586">
        <f>B2574</f>
        <v>78</v>
      </c>
      <c r="C2586" t="str">
        <v>Tul Peminggang</v>
      </c>
      <c r="D2586">
        <f>VLOOKUP(D2574,'Detail Balok'!$C$10:$AU$110,13,FALSE)</f>
        <v>2</v>
      </c>
      <c r="E2586" t="str">
        <v>D</v>
      </c>
      <c r="F2586">
        <f>VLOOKUP(D2574,'Detail Balok'!$C$10:$AU$110,15,FALSE)</f>
        <v>8</v>
      </c>
      <c r="J2586">
        <f>+D2576/1000</f>
        <v>4.135</v>
      </c>
      <c r="K2586" t="str">
        <v>+</v>
      </c>
      <c r="L2586">
        <f>2*$F$16*F2586/1000</f>
        <v>0.192</v>
      </c>
      <c r="M2586" t="str">
        <v>=</v>
      </c>
      <c r="N2586">
        <f>J2586+L2586</f>
        <v>4.327</v>
      </c>
      <c r="O2586" t="str">
        <v>+</v>
      </c>
      <c r="P2586">
        <f>IF(N2586&gt;12,ROUNDDOWN(N2586/12,0),0)</f>
        <v>0</v>
      </c>
      <c r="Q2586" t="str">
        <v>x</v>
      </c>
      <c r="R2586">
        <f>IF(P2586&gt;0,MAX(VLOOKUP(F2586,$D$6:$G$15,3,FALSE),600),0)/1000</f>
        <v>0</v>
      </c>
      <c r="T2586" t="str">
        <v>x</v>
      </c>
      <c r="U2586">
        <f>0.006165*F2586^2</f>
        <v>0.39456</v>
      </c>
      <c r="V2586" t="str">
        <v>x</v>
      </c>
      <c r="W2586">
        <f>+D2586</f>
        <v>2</v>
      </c>
      <c r="X2586" t="str">
        <v>x</v>
      </c>
      <c r="Y2586">
        <f>D2580</f>
        <v>1</v>
      </c>
      <c r="Z2586" t="str">
        <v>=</v>
      </c>
      <c r="AA2586">
        <f>(N2586+P2586*R2586/1000)*U2586*W2586*Y2586</f>
        <v>3.41452224</v>
      </c>
    </row>
    <row r="2589">
      <c r="A2589" t="str">
        <f>A2574</f>
        <v>Sloof</v>
      </c>
      <c r="B2589">
        <f>B2574</f>
        <v>78</v>
      </c>
      <c r="C2589" t="str">
        <v>Tul Bawah Tumpuan</v>
      </c>
      <c r="D2589">
        <f>VLOOKUP(D2574,'Detail Balok'!$C$10:$AU$110,22,FALSE)</f>
        <v>3</v>
      </c>
      <c r="E2589" t="str">
        <v>D</v>
      </c>
      <c r="F2589">
        <f>VLOOKUP(D2574,'Detail Balok'!$C$10:$AU$110,24,FALSE)</f>
        <v>13</v>
      </c>
      <c r="I2589" t="str">
        <v>(</v>
      </c>
      <c r="J2589">
        <f>+J2581</f>
        <v>1.03375</v>
      </c>
      <c r="K2589" t="str">
        <v>+</v>
      </c>
      <c r="L2589">
        <f>MAX(VLOOKUP(F2589,N$6:P$15,3,FALSE)/1000,2/3*D2579/1000)+F$16*F2589/1000</f>
        <v>0.156</v>
      </c>
      <c r="M2589" t="str">
        <v>=</v>
      </c>
      <c r="N2589">
        <f>J2589+L2589</f>
        <v>1.1897499999999999</v>
      </c>
      <c r="O2589" t="str">
        <v>+</v>
      </c>
      <c r="P2589">
        <f>D2589-D2590</f>
        <v>0</v>
      </c>
      <c r="Q2589" t="str">
        <v>x</v>
      </c>
      <c r="R2589">
        <f>IF(P2589&gt;0,$F$18*F2589/1000,0)</f>
        <v>0</v>
      </c>
      <c r="S2589" t="str">
        <v>)</v>
      </c>
      <c r="T2589" t="str">
        <v>x</v>
      </c>
      <c r="U2589">
        <f>0.006165*F2589^2</f>
        <v>1.041885</v>
      </c>
      <c r="X2589" t="str">
        <v>x</v>
      </c>
      <c r="Y2589">
        <f>D2580</f>
        <v>1</v>
      </c>
      <c r="Z2589" t="str">
        <v>=</v>
      </c>
      <c r="AA2589">
        <f>IF(AA2592=0,(D2589*N2589+P2589*R2589)*U2589*Y2589,0)</f>
        <v>0</v>
      </c>
    </row>
    <row r="2590">
      <c r="A2590" t="str">
        <f>A2574</f>
        <v>Sloof</v>
      </c>
      <c r="B2590">
        <f>B2574</f>
        <v>78</v>
      </c>
      <c r="C2590" t="str">
        <v>Tul Bawah Lapangan</v>
      </c>
      <c r="D2590">
        <f>VLOOKUP(D2574,'Detail Balok'!$C$10:$AU$110,25,FALSE)</f>
        <v>3</v>
      </c>
      <c r="E2590" t="str">
        <v>D</v>
      </c>
      <c r="F2590">
        <f>VLOOKUP(D2574,'Detail Balok'!$C$10:$AU$110,27,FALSE)</f>
        <v>13</v>
      </c>
      <c r="I2590" t="str">
        <v>(</v>
      </c>
      <c r="J2590">
        <f>+J2582</f>
        <v>2.0675</v>
      </c>
      <c r="K2590" t="str">
        <v>+</v>
      </c>
      <c r="M2590" t="str">
        <v>=</v>
      </c>
      <c r="N2590">
        <f>J2590+L2590</f>
        <v>2.0675</v>
      </c>
      <c r="O2590" t="str">
        <v>+</v>
      </c>
      <c r="P2590">
        <f>MAX(D2590-D2589,D2590-D2591)</f>
        <v>0</v>
      </c>
      <c r="Q2590" t="str">
        <v>x</v>
      </c>
      <c r="R2590">
        <f>IF(P2590&gt;0,2*(1-2*$F$19-1/2)*D2577/1000,0)</f>
        <v>0</v>
      </c>
      <c r="S2590" t="str">
        <v>)</v>
      </c>
      <c r="T2590" t="str">
        <v>x</v>
      </c>
      <c r="U2590">
        <f>0.006165*F2590^2</f>
        <v>1.041885</v>
      </c>
      <c r="X2590" t="str">
        <v>x</v>
      </c>
      <c r="Y2590">
        <f>D2580</f>
        <v>1</v>
      </c>
      <c r="Z2590" t="str">
        <v>=</v>
      </c>
      <c r="AA2590">
        <f>IF(AA2592=0,(D2590*N2590+P2590*R2590)*U2590*Y2590,0)</f>
        <v>0</v>
      </c>
    </row>
    <row r="2591">
      <c r="A2591" t="str">
        <f>A2574</f>
        <v>Sloof</v>
      </c>
      <c r="B2591">
        <f>B2574</f>
        <v>78</v>
      </c>
      <c r="C2591" t="str">
        <v>Tul Bawah Tumpuan</v>
      </c>
      <c r="D2591">
        <f>VLOOKUP(D2574,'Detail Balok'!$C$10:$AU$110,28,FALSE)</f>
        <v>3</v>
      </c>
      <c r="E2591" t="str">
        <v>D</v>
      </c>
      <c r="F2591">
        <f>VLOOKUP(D2574,'Detail Balok'!$C$10:$AU$110,30,FALSE)</f>
        <v>13</v>
      </c>
      <c r="I2591" t="str">
        <v>(</v>
      </c>
      <c r="J2591">
        <f>+J2583</f>
        <v>1.03375</v>
      </c>
      <c r="K2591" t="str">
        <v>+</v>
      </c>
      <c r="L2591">
        <f>MAX(VLOOKUP(F2591,N$6:P$15,3,FALSE)/1000,2/3*D2579/1000)+F$16*F2591/1000</f>
        <v>0.156</v>
      </c>
      <c r="M2591" t="str">
        <v>=</v>
      </c>
      <c r="N2591">
        <f>J2591+L2591</f>
        <v>1.1897499999999999</v>
      </c>
      <c r="O2591" t="str">
        <v>+</v>
      </c>
      <c r="P2591">
        <f>D2591-D2590</f>
        <v>0</v>
      </c>
      <c r="Q2591" t="str">
        <v>x</v>
      </c>
      <c r="R2591">
        <f>IF(P2591&gt;0,$F$18*F2591/1000,0)</f>
        <v>0</v>
      </c>
      <c r="S2591" t="str">
        <v>)</v>
      </c>
      <c r="T2591" t="str">
        <v>x</v>
      </c>
      <c r="U2591">
        <f>0.006165*F2591^2</f>
        <v>1.041885</v>
      </c>
      <c r="X2591" t="str">
        <v>x</v>
      </c>
      <c r="Y2591">
        <f>D2580</f>
        <v>1</v>
      </c>
      <c r="Z2591" t="str">
        <v>=</v>
      </c>
      <c r="AA2591">
        <f>IF(AA2592=0,(D2591*N2591+P2591*R2591)*U2591*Y2591,0)</f>
        <v>0</v>
      </c>
    </row>
    <row r="2592">
      <c r="A2592" t="str">
        <f>A2574</f>
        <v>Sloof</v>
      </c>
      <c r="B2592">
        <f>B2574</f>
        <v>78</v>
      </c>
      <c r="D2592">
        <f>IF(AND(D2589=D2590,D2590=D2591,D2589=D2591),D2589,0)</f>
        <v>3</v>
      </c>
      <c r="E2592" t="str">
        <v>D</v>
      </c>
      <c r="F2592">
        <f>IF(AND(F2589=F2590,F2589=F2591,F2590=F2591),F2589,0)</f>
        <v>13</v>
      </c>
      <c r="L2592" t="str">
        <v>Total panjang per balok</v>
      </c>
      <c r="M2592" t="str">
        <v>=</v>
      </c>
      <c r="N2592">
        <f>IF(AND(D2589=D2590,D2589=D2591,D2590=D2591,F2589=F2590,F2589=F2591,F2590=F2591),SUM(N2589:N2591),0)</f>
        <v>4.447</v>
      </c>
      <c r="O2592" t="str">
        <v>+</v>
      </c>
      <c r="P2592">
        <f>IF(N2592&gt;12,ROUNDDOWN(N2592/12,0),0)</f>
        <v>0</v>
      </c>
      <c r="Q2592" t="str">
        <v>x</v>
      </c>
      <c r="R2592">
        <f>IF(P2592&gt;0,MAX(VLOOKUP(F2592,$D$6:$G$15,3,FALSE),600),0)/1000</f>
        <v>0</v>
      </c>
      <c r="T2592" t="str">
        <v>x</v>
      </c>
      <c r="U2592">
        <f>U2591</f>
        <v>1.041885</v>
      </c>
      <c r="V2592" t="str">
        <v>x</v>
      </c>
      <c r="W2592">
        <f>D2592</f>
        <v>3</v>
      </c>
      <c r="X2592" t="str">
        <v>x</v>
      </c>
      <c r="Y2592">
        <f>Y2591</f>
        <v>1</v>
      </c>
      <c r="Z2592" t="str">
        <v>=</v>
      </c>
      <c r="AA2592">
        <f>(N2592+P2592*R2592/1000)*U2592*W2592*Y2592</f>
        <v>13.899787785</v>
      </c>
    </row>
    <row r="2594">
      <c r="A2594" t="str">
        <f>A2574</f>
        <v>Sloof</v>
      </c>
      <c r="B2594">
        <f>B2574</f>
        <v>78</v>
      </c>
      <c r="C2594" t="str">
        <v>Sengkang Tumpuan</v>
      </c>
      <c r="D2594">
        <f>VLOOKUP(D2574,'Detail Balok'!$C$10:$AU$110,31,FALSE)</f>
        <v>0</v>
      </c>
      <c r="E2594" t="str">
        <v>D</v>
      </c>
      <c r="F2594">
        <f>VLOOKUP(D2574,'Detail Balok'!$C$10:$AU$110,33,FALSE)</f>
        <v>8</v>
      </c>
      <c r="G2594" t="str">
        <v>-</v>
      </c>
      <c r="H2594">
        <f>VLOOKUP(D2574,'Detail Balok'!$C$10:$AU$110,35,FALSE)</f>
        <v>200</v>
      </c>
      <c r="J2594">
        <f>(IF(D2594=0,(2*(D2575+G2575))-(F$5*8),IF(D2594=3,(2*(D2575+G2575))-(F$5*8)+(G2575-2*F$5),IF(D2594=4,(2*(D2575+G2575))-(F$5*8)+2*(G2575-2*F$5)))))/1000</f>
        <v>0.98</v>
      </c>
      <c r="K2594" t="str">
        <v>+</v>
      </c>
      <c r="L2594">
        <f>IF(D2594=0,2*MAX(6*F2594,75),(D2594-1)*2*MAX(6*F2594,75))/1000</f>
        <v>0.15</v>
      </c>
      <c r="M2594" t="str">
        <v>=</v>
      </c>
      <c r="N2594">
        <f>J2594+L2594</f>
        <v>1.13</v>
      </c>
      <c r="T2594" t="str">
        <v>x</v>
      </c>
      <c r="U2594">
        <f>0.006165*F2594^2</f>
        <v>0.39456</v>
      </c>
      <c r="V2594" t="str">
        <v>x</v>
      </c>
      <c r="W2594">
        <f>IF(D2577&gt;4*G2575,ROUND(MAX(D2577/4,2*G2575)/H2594,0)+1,ROUND(D2577/H2594,0)+1)</f>
        <v>6</v>
      </c>
      <c r="X2594" t="str">
        <v>x</v>
      </c>
      <c r="Y2594">
        <f>D2580</f>
        <v>1</v>
      </c>
      <c r="Z2594" t="str">
        <v>=</v>
      </c>
      <c r="AA2594">
        <f>N2594*U2594*W2594*Y2594</f>
        <v>2.6751168</v>
      </c>
    </row>
    <row r="2595">
      <c r="A2595" t="str">
        <f>A2574</f>
        <v>Sloof</v>
      </c>
      <c r="B2595">
        <f>B2574</f>
        <v>78</v>
      </c>
      <c r="C2595" t="str">
        <v>Sengkang Lapangan</v>
      </c>
      <c r="D2595">
        <f>VLOOKUP(D2574,'Detail Balok'!$C$10:$AU$110,36,FALSE)</f>
        <v>0</v>
      </c>
      <c r="E2595" t="str">
        <v>D</v>
      </c>
      <c r="F2595">
        <f>VLOOKUP(D2574,'Detail Balok'!$C$10:$AU$110,38,FALSE)</f>
        <v>8</v>
      </c>
      <c r="G2595" t="str">
        <v>-</v>
      </c>
      <c r="H2595">
        <f>VLOOKUP(D2574,'Detail Balok'!$C$10:$AU$110,40,FALSE)</f>
        <v>200</v>
      </c>
      <c r="J2595">
        <f>(IF(D2595=0,(2*(D2575+G2575))-(F$5*8),IF(D2595=3,(2*(D2575+G2575))-(F$5*8)+(G2575-2*F$5),IF(D2595=4,(2*(D2575+G2575))-(F$5*8)+2*(G2575-2*F$5)))))/1000</f>
        <v>0.98</v>
      </c>
      <c r="K2595" t="str">
        <v>+</v>
      </c>
      <c r="L2595">
        <f>IF(D2595=0,2*MAX(6*F2595,75),(D2595-1)*2*MAX(6*F2595,75))/1000</f>
        <v>0.15</v>
      </c>
      <c r="M2595" t="str">
        <v>=</v>
      </c>
      <c r="N2595">
        <f>J2595+L2595</f>
        <v>1.13</v>
      </c>
      <c r="T2595" t="str">
        <v>x</v>
      </c>
      <c r="U2595">
        <f>0.006165*F2595^2</f>
        <v>0.39456</v>
      </c>
      <c r="V2595" t="str">
        <v>x</v>
      </c>
      <c r="W2595">
        <f>IF(D2577-MAX(D2577/4,2*G2575)*2&gt;0,ROUND((D2577-MAX(D2577/4,2*G2575)*2)/H2595,0),0)</f>
        <v>10</v>
      </c>
      <c r="X2595" t="str">
        <v>x</v>
      </c>
      <c r="Y2595">
        <f>D2580</f>
        <v>1</v>
      </c>
      <c r="Z2595" t="str">
        <v>=</v>
      </c>
      <c r="AA2595">
        <f>N2595*U2595*W2595*Y2595</f>
        <v>4.458528</v>
      </c>
    </row>
    <row r="2596">
      <c r="A2596" t="str">
        <f>A2574</f>
        <v>Sloof</v>
      </c>
      <c r="B2596">
        <f>B2574</f>
        <v>78</v>
      </c>
      <c r="C2596" t="str">
        <v>Sengkang Tumpuan</v>
      </c>
      <c r="D2596">
        <f>VLOOKUP(D2574,'Detail Balok'!$C$10:$AU$110,41,FALSE)</f>
        <v>0</v>
      </c>
      <c r="E2596" t="str">
        <v>D</v>
      </c>
      <c r="F2596">
        <f>VLOOKUP(D2574,'Detail Balok'!$C$10:$AU$110,43,FALSE)</f>
        <v>8</v>
      </c>
      <c r="G2596" t="str">
        <v>-</v>
      </c>
      <c r="H2596">
        <f>VLOOKUP(D2574,'Detail Balok'!$C$10:$AU$110,45,FALSE)</f>
        <v>200</v>
      </c>
      <c r="J2596">
        <f>(IF(D2596=0,(2*(D2575+G2575))-(F$5*8),IF(D2596=3,(2*(D2575+G2575))-(F$5*8)+(G2575-2*F$5),IF(D2596=4,(2*(D2575+G2575))-(F$5*8)+2*(G2575-2*F$5)))))/1000</f>
        <v>0.98</v>
      </c>
      <c r="K2596" t="str">
        <v>+</v>
      </c>
      <c r="L2596">
        <f>IF(D2596=0,2*MAX(6*F2596,75),(D2596-1)*2*MAX(6*F2596,75))/1000</f>
        <v>0.15</v>
      </c>
      <c r="M2596" t="str">
        <v>=</v>
      </c>
      <c r="N2596">
        <f>J2596+L2596</f>
        <v>1.13</v>
      </c>
      <c r="T2596" t="str">
        <v>x</v>
      </c>
      <c r="U2596">
        <f>0.006165*F2596^2</f>
        <v>0.39456</v>
      </c>
      <c r="V2596" t="str">
        <v>x</v>
      </c>
      <c r="W2596">
        <f>IF(D2577&gt;4*G2575,ROUND(MAX(D2577/4,2*G2575)/H2596,0)+1,0)</f>
        <v>6</v>
      </c>
      <c r="X2596" t="str">
        <v>x</v>
      </c>
      <c r="Y2596">
        <f>D2580</f>
        <v>1</v>
      </c>
      <c r="Z2596" t="str">
        <v>=</v>
      </c>
      <c r="AA2596">
        <f>N2596*U2596*W2596*Y2596</f>
        <v>2.6751168</v>
      </c>
    </row>
    <row r="2598">
      <c r="A2598" t="str">
        <f>A2574</f>
        <v>Sloof</v>
      </c>
      <c r="B2598">
        <f>B2574</f>
        <v>78</v>
      </c>
      <c r="C2598" t="str">
        <v>Kait Horizontal Tump.</v>
      </c>
      <c r="D2598">
        <f>VLOOKUP(D2574,'Detail Balok'!$C$10:$BJ$110,46,FALSE)</f>
        <v>0</v>
      </c>
      <c r="E2598" t="str">
        <v>D</v>
      </c>
      <c r="F2598">
        <f>VLOOKUP(D2574,'Detail Balok'!$C$10:$BJ$110,48,FALSE)</f>
        <v>0</v>
      </c>
      <c r="G2598" t="str">
        <v>-</v>
      </c>
      <c r="H2598">
        <f>VLOOKUP(D2574,'Detail Balok'!$C$10:$BJ$110,50,FALSE)</f>
        <v>100</v>
      </c>
      <c r="J2598">
        <f>(D2575-2*F$5)/1000</f>
        <v>0.12</v>
      </c>
      <c r="K2598" t="str">
        <v>+</v>
      </c>
      <c r="L2598">
        <f>IF(D2598=0,2*MAX(6*F2598,75),(D2598-1)*2*MAX(6*F2598,75))/1000</f>
        <v>0.15</v>
      </c>
      <c r="M2598" t="str">
        <v>=</v>
      </c>
      <c r="N2598">
        <f>J2598+L2598</f>
        <v>0.27</v>
      </c>
      <c r="T2598" t="str">
        <v>x</v>
      </c>
      <c r="U2598">
        <f>0.006165*F2598^2</f>
        <v>0</v>
      </c>
      <c r="V2598" t="str">
        <v>x</v>
      </c>
      <c r="W2598">
        <f>W2594</f>
        <v>6</v>
      </c>
      <c r="X2598" t="str">
        <v>x</v>
      </c>
      <c r="Y2598">
        <f>D2584</f>
        <v>3</v>
      </c>
      <c r="Z2598" t="str">
        <v>=</v>
      </c>
      <c r="AA2598">
        <f>N2598*U2598*W2598*Y2598</f>
        <v>0</v>
      </c>
    </row>
    <row r="2599">
      <c r="A2599" t="str">
        <f>A2574</f>
        <v>Sloof</v>
      </c>
      <c r="B2599">
        <f>B2574</f>
        <v>78</v>
      </c>
      <c r="C2599" t="str">
        <v>Kait Horizontal Lap.</v>
      </c>
      <c r="D2599">
        <f>VLOOKUP(D2574,'Detail Balok'!$C$10:$BJ$110,51,FALSE)</f>
        <v>0</v>
      </c>
      <c r="E2599" t="str">
        <v>D</v>
      </c>
      <c r="F2599">
        <f>VLOOKUP(D2574,'Detail Balok'!$C$10:$BJ$110,53,FALSE)</f>
        <v>0</v>
      </c>
      <c r="G2599" t="str">
        <v>-</v>
      </c>
      <c r="H2599">
        <f>VLOOKUP(D2574,'Detail Balok'!$C$10:$BJ$110,55,FALSE)</f>
        <v>100</v>
      </c>
      <c r="J2599">
        <f>(D2575-2*F$5)/1000</f>
        <v>0.12</v>
      </c>
      <c r="K2599" t="str">
        <v>+</v>
      </c>
      <c r="L2599">
        <f>IF(D2599=0,2*MAX(6*F2599,75),(D2599-1)*2*MAX(6*F2599,75))/1000</f>
        <v>0.15</v>
      </c>
      <c r="M2599" t="str">
        <v>=</v>
      </c>
      <c r="N2599">
        <f>J2599+L2599</f>
        <v>0.27</v>
      </c>
      <c r="T2599" t="str">
        <v>x</v>
      </c>
      <c r="U2599">
        <f>0.006165*F2599^2</f>
        <v>0</v>
      </c>
      <c r="V2599" t="str">
        <v>x</v>
      </c>
      <c r="W2599">
        <f>W2595</f>
        <v>10</v>
      </c>
      <c r="X2599" t="str">
        <v>x</v>
      </c>
      <c r="Y2599">
        <f>D2584</f>
        <v>3</v>
      </c>
      <c r="Z2599" t="str">
        <v>=</v>
      </c>
      <c r="AA2599">
        <f>N2599*U2599*W2599*Y2599</f>
        <v>0</v>
      </c>
    </row>
    <row r="2600">
      <c r="A2600" t="str">
        <f>A2574</f>
        <v>Sloof</v>
      </c>
      <c r="B2600">
        <f>B2574</f>
        <v>78</v>
      </c>
      <c r="C2600" t="str">
        <v>Kait Horizontal Tump.</v>
      </c>
      <c r="D2600">
        <f>VLOOKUP(D2574,'Detail Balok'!$C$10:$BJ$110,56,FALSE)</f>
        <v>0</v>
      </c>
      <c r="E2600" t="str">
        <v>D</v>
      </c>
      <c r="F2600">
        <f>VLOOKUP(D2574,'Detail Balok'!$C$10:$BJ$110,58,FALSE)</f>
        <v>0</v>
      </c>
      <c r="G2600" t="str">
        <v>-</v>
      </c>
      <c r="H2600">
        <f>VLOOKUP(D2574,'Detail Balok'!$C$10:$BJ$110,60,FALSE)</f>
        <v>100</v>
      </c>
      <c r="J2600">
        <f>(D2575-2*F$5)/1000</f>
        <v>0.12</v>
      </c>
      <c r="K2600" t="str">
        <v>+</v>
      </c>
      <c r="L2600">
        <f>IF(D2600=0,2*MAX(6*F2600,75),(D2600-1)*2*MAX(6*F2600,75))/1000</f>
        <v>0.15</v>
      </c>
      <c r="M2600" t="str">
        <v>=</v>
      </c>
      <c r="N2600">
        <f>J2600+L2600</f>
        <v>0.27</v>
      </c>
      <c r="T2600" t="str">
        <v>x</v>
      </c>
      <c r="U2600">
        <f>0.006165*F2600^2</f>
        <v>0</v>
      </c>
      <c r="V2600" t="str">
        <v>x</v>
      </c>
      <c r="W2600">
        <f>W2596</f>
        <v>6</v>
      </c>
      <c r="X2600" t="str">
        <v>x</v>
      </c>
      <c r="Y2600">
        <f>D2584</f>
        <v>3</v>
      </c>
      <c r="Z2600" t="str">
        <v>=</v>
      </c>
      <c r="AA2600">
        <f>N2600*U2600*W2600*Y2600</f>
        <v>0</v>
      </c>
    </row>
    <row r="2604">
      <c r="A2604" t="str">
        <f>A2574</f>
        <v>Sloof</v>
      </c>
      <c r="B2604">
        <f>B2574+1</f>
        <v>79</v>
      </c>
      <c r="C2604" t="str">
        <f>CONCATENATE(A2604," no. ",B2604)</f>
        <v>Sloof no. 79</v>
      </c>
      <c r="D2604" t="str">
        <f>VLOOKUP(C2604,'Data Panjang Balok'!$C$9:$N$424,2,FALSE)</f>
        <v>TB25-1</v>
      </c>
    </row>
    <row r="2605">
      <c r="C2605" t="str">
        <v>Dimensi</v>
      </c>
      <c r="D2605">
        <f>VLOOKUP(D2604,'Detail Balok'!$C$10:$AU$110,2,FALSE)</f>
        <v>200</v>
      </c>
      <c r="F2605" t="str">
        <v>x</v>
      </c>
      <c r="G2605">
        <f>VLOOKUP(D2604,'Detail Balok'!$C$10:$AU$110,3,FALSE)</f>
        <v>500</v>
      </c>
    </row>
    <row r="2606">
      <c r="C2606" t="str">
        <v>Panjang as ke as</v>
      </c>
      <c r="D2606">
        <f>VLOOKUP(C2604,'Data Panjang Balok'!$C$9:$N$424,4,FALSE)</f>
        <v>2765</v>
      </c>
    </row>
    <row r="2607">
      <c r="C2607" t="str">
        <v>Panjang netto</v>
      </c>
      <c r="D2607">
        <f>VLOOKUP(C2604,'Data Panjang Balok'!$C$9:$N$424,7,FALSE)</f>
        <v>2765</v>
      </c>
    </row>
    <row r="2608">
      <c r="C2608" t="str">
        <v>Kolom / balok kiri</v>
      </c>
      <c r="D2608">
        <f>VLOOKUP(C2604,'Data Panjang Balok'!$C$9:$N$424,9,FALSE)</f>
        <v>0</v>
      </c>
    </row>
    <row r="2609">
      <c r="C2609" t="str">
        <v>Kolom / balok kanan</v>
      </c>
      <c r="D2609">
        <f>VLOOKUP(C2604,'Data Panjang Balok'!$C$9:$N$424,10,FALSE)</f>
        <v>0</v>
      </c>
    </row>
    <row r="2610">
      <c r="C2610" t="str">
        <v>Jumlah</v>
      </c>
      <c r="D2610">
        <f>VLOOKUP(C2604,'Data Panjang Balok'!$C$9:$N$424,3,FALSE)</f>
        <v>1</v>
      </c>
    </row>
    <row r="2611">
      <c r="A2611" t="str">
        <f>A2604</f>
        <v>Sloof</v>
      </c>
      <c r="B2611">
        <f>B2604</f>
        <v>79</v>
      </c>
      <c r="C2611" t="str">
        <v>Tul Atas Tumpuan</v>
      </c>
      <c r="D2611">
        <f>VLOOKUP(D2604,'Detail Balok'!$C$10:$AU$110,4,FALSE)</f>
        <v>3</v>
      </c>
      <c r="E2611" t="str">
        <v>D</v>
      </c>
      <c r="F2611">
        <f>VLOOKUP(D2604,'Detail Balok'!$C$10:$AU$110,6,FALSE)</f>
        <v>16</v>
      </c>
      <c r="I2611" t="str">
        <v>(</v>
      </c>
      <c r="J2611">
        <f>+D2606/4/1000</f>
        <v>0.69125</v>
      </c>
      <c r="K2611" t="str">
        <v>+</v>
      </c>
      <c r="L2611">
        <f>MAX(VLOOKUP(F2611,N$6:P$15,3,FALSE)/1000,2/3*D2608/1000)+F$16*F2611/1000</f>
        <v>0.192</v>
      </c>
      <c r="M2611" t="str">
        <v>=</v>
      </c>
      <c r="N2611">
        <f>J2611+L2611</f>
        <v>0.8832500000000001</v>
      </c>
      <c r="O2611" t="str">
        <v>+</v>
      </c>
      <c r="P2611">
        <f>D2611-D2612</f>
        <v>0</v>
      </c>
      <c r="Q2611" t="str">
        <v>x</v>
      </c>
      <c r="R2611">
        <f>IF(P2611&gt;0,$F$18*F2611/1000,0)</f>
        <v>0</v>
      </c>
      <c r="S2611" t="str">
        <v>)</v>
      </c>
      <c r="T2611" t="str">
        <v>x</v>
      </c>
      <c r="U2611">
        <f>0.006165*F2611^2</f>
        <v>1.57824</v>
      </c>
      <c r="X2611" t="str">
        <v>x</v>
      </c>
      <c r="Y2611">
        <f>D2610</f>
        <v>1</v>
      </c>
      <c r="Z2611" t="str">
        <v>=</v>
      </c>
      <c r="AA2611">
        <f>IF(AA2614=0,(D2611*N2611+P2611*R2611)*U2611*Y2611,0)</f>
        <v>0</v>
      </c>
    </row>
    <row r="2612">
      <c r="A2612" t="str">
        <f>A2604</f>
        <v>Sloof</v>
      </c>
      <c r="B2612">
        <f>B2604</f>
        <v>79</v>
      </c>
      <c r="C2612" t="str">
        <v>Tul Atas Lapangan</v>
      </c>
      <c r="D2612">
        <f>VLOOKUP(D2604,'Detail Balok'!$C$10:$AU$110,7,FALSE)</f>
        <v>3</v>
      </c>
      <c r="E2612" t="str">
        <v>D</v>
      </c>
      <c r="F2612">
        <f>VLOOKUP(D2604,'Detail Balok'!$C$10:$AU$110,9,FALSE)</f>
        <v>16</v>
      </c>
      <c r="I2612" t="str">
        <v>(</v>
      </c>
      <c r="J2612">
        <f>+D2606/2/1000</f>
        <v>1.3825</v>
      </c>
      <c r="K2612" t="str">
        <v>+</v>
      </c>
      <c r="M2612" t="str">
        <v>=</v>
      </c>
      <c r="N2612">
        <f>J2612+L2612</f>
        <v>1.3825</v>
      </c>
      <c r="O2612" t="str">
        <v>+</v>
      </c>
      <c r="P2612">
        <f>MAX(D2612-D2611,D2612-D2613)</f>
        <v>0</v>
      </c>
      <c r="Q2612" t="str">
        <v>x</v>
      </c>
      <c r="R2612">
        <f>IF(P2612&gt;0,2*(1-2*$F$19-1/2)*D2607/1000,0)</f>
        <v>0</v>
      </c>
      <c r="S2612" t="str">
        <v>)</v>
      </c>
      <c r="T2612" t="str">
        <v>x</v>
      </c>
      <c r="U2612">
        <f>0.006165*F2612^2</f>
        <v>1.57824</v>
      </c>
      <c r="X2612" t="str">
        <v>x</v>
      </c>
      <c r="Y2612">
        <f>D2610</f>
        <v>1</v>
      </c>
      <c r="Z2612" t="str">
        <v>=</v>
      </c>
      <c r="AA2612">
        <f>IF(AA2614=0,(D2612*N2612+P2612*R2612)*U2612*Y2612,0)</f>
        <v>0</v>
      </c>
    </row>
    <row r="2613">
      <c r="A2613" t="str">
        <f>A2604</f>
        <v>Sloof</v>
      </c>
      <c r="B2613">
        <f>B2604</f>
        <v>79</v>
      </c>
      <c r="C2613" t="str">
        <v>Tul Atas Tumpuan</v>
      </c>
      <c r="D2613">
        <f>VLOOKUP(D2604,'Detail Balok'!$C$10:$AU$110,10,FALSE)</f>
        <v>3</v>
      </c>
      <c r="E2613" t="str">
        <v>D</v>
      </c>
      <c r="F2613">
        <f>VLOOKUP(D2604,'Detail Balok'!$C$10:$AU$110,12,FALSE)</f>
        <v>16</v>
      </c>
      <c r="I2613" t="str">
        <v>(</v>
      </c>
      <c r="J2613">
        <f>+D2606/4/1000</f>
        <v>0.69125</v>
      </c>
      <c r="K2613" t="str">
        <v>+</v>
      </c>
      <c r="L2613">
        <f>MAX(VLOOKUP(F2613,N$6:P$15,3,FALSE)/1000,2/3*D2608/1000)+F$16*F2613/1000</f>
        <v>0.192</v>
      </c>
      <c r="M2613" t="str">
        <v>=</v>
      </c>
      <c r="N2613">
        <f>J2613+L2613</f>
        <v>0.8832500000000001</v>
      </c>
      <c r="O2613" t="str">
        <v>+</v>
      </c>
      <c r="P2613">
        <f>D2613-D2612</f>
        <v>0</v>
      </c>
      <c r="Q2613" t="str">
        <v>x</v>
      </c>
      <c r="R2613">
        <f>IF(P2613&gt;0,$F$18*F2613/1000,0)</f>
        <v>0</v>
      </c>
      <c r="S2613" t="str">
        <v>)</v>
      </c>
      <c r="T2613" t="str">
        <v>x</v>
      </c>
      <c r="U2613">
        <f>0.006165*F2613^2</f>
        <v>1.57824</v>
      </c>
      <c r="X2613" t="str">
        <v>x</v>
      </c>
      <c r="Y2613">
        <f>D2610</f>
        <v>1</v>
      </c>
      <c r="Z2613" t="str">
        <v>=</v>
      </c>
      <c r="AA2613">
        <f>IF(AA2614=0,(D2613*N2613+P2613*R2613)*U2613*Y2613,0)</f>
        <v>0</v>
      </c>
    </row>
    <row r="2614">
      <c r="A2614" t="str">
        <f>A2604</f>
        <v>Sloof</v>
      </c>
      <c r="B2614">
        <f>B2604</f>
        <v>79</v>
      </c>
      <c r="D2614">
        <f>IF(AND(D2611=D2612,D2612=D2613,D2611=D2613),D2611,0)</f>
        <v>3</v>
      </c>
      <c r="E2614" t="str">
        <v>D</v>
      </c>
      <c r="F2614">
        <f>IF(AND(F2611=F2612,F2611=F2613,F2612=F2613),F2611,0)</f>
        <v>16</v>
      </c>
      <c r="L2614" t="str">
        <v>Total panjang per balok</v>
      </c>
      <c r="M2614" t="str">
        <v>=</v>
      </c>
      <c r="N2614">
        <f>IF(AND(D2611=D2612,D2611=D2613,D2612=D2613,F2611=F2612,F2611=F2613,F2612=F2613),SUM(N2611:N2613),0)</f>
        <v>3.149</v>
      </c>
      <c r="O2614" t="str">
        <v>+</v>
      </c>
      <c r="P2614">
        <f>IF(N2614&gt;12,ROUNDDOWN(N2614/12,0),0)</f>
        <v>0</v>
      </c>
      <c r="Q2614" t="str">
        <v>x</v>
      </c>
      <c r="R2614">
        <f>IF(P2614&gt;0,MAX(VLOOKUP(F2614,$D$6:$G$15,3,FALSE),600),0)/1000</f>
        <v>0</v>
      </c>
      <c r="T2614" t="str">
        <v>x</v>
      </c>
      <c r="U2614">
        <f>U2613</f>
        <v>1.57824</v>
      </c>
      <c r="V2614" t="str">
        <v>x</v>
      </c>
      <c r="W2614">
        <f>D2614</f>
        <v>3</v>
      </c>
      <c r="X2614" t="str">
        <v>x</v>
      </c>
      <c r="Y2614">
        <f>Y2613</f>
        <v>1</v>
      </c>
      <c r="Z2614" t="str">
        <v>=</v>
      </c>
      <c r="AA2614">
        <f>(N2614+P2614*R2614/1000)*U2614*W2614*Y2614</f>
        <v>14.909633280000001</v>
      </c>
    </row>
    <row r="2616">
      <c r="A2616" t="str">
        <f>A2604</f>
        <v>Sloof</v>
      </c>
      <c r="B2616">
        <f>B2604</f>
        <v>79</v>
      </c>
      <c r="C2616" t="str">
        <v>Tul Peminggang</v>
      </c>
      <c r="D2616">
        <f>VLOOKUP(D2604,'Detail Balok'!$C$10:$AU$110,13,FALSE)</f>
        <v>2</v>
      </c>
      <c r="E2616" t="str">
        <v>D</v>
      </c>
      <c r="F2616">
        <f>VLOOKUP(D2604,'Detail Balok'!$C$10:$AU$110,15,FALSE)</f>
        <v>10</v>
      </c>
      <c r="J2616">
        <f>+D2606/1000</f>
        <v>2.765</v>
      </c>
      <c r="K2616" t="str">
        <v>+</v>
      </c>
      <c r="L2616">
        <f>2*$F$16*F2616/1000</f>
        <v>0.24</v>
      </c>
      <c r="M2616" t="str">
        <v>=</v>
      </c>
      <c r="N2616">
        <f>J2616+L2616</f>
        <v>3.005</v>
      </c>
      <c r="O2616" t="str">
        <v>+</v>
      </c>
      <c r="P2616">
        <f>IF(N2616&gt;12,ROUNDDOWN(N2616/12,0),0)</f>
        <v>0</v>
      </c>
      <c r="Q2616" t="str">
        <v>x</v>
      </c>
      <c r="R2616">
        <f>IF(P2616&gt;0,MAX(VLOOKUP(F2616,$D$6:$G$15,3,FALSE),600),0)/1000</f>
        <v>0</v>
      </c>
      <c r="T2616" t="str">
        <v>x</v>
      </c>
      <c r="U2616">
        <f>0.006165*F2616^2</f>
        <v>0.6165</v>
      </c>
      <c r="V2616" t="str">
        <v>x</v>
      </c>
      <c r="W2616">
        <f>+D2616</f>
        <v>2</v>
      </c>
      <c r="X2616" t="str">
        <v>x</v>
      </c>
      <c r="Y2616">
        <f>D2610</f>
        <v>1</v>
      </c>
      <c r="Z2616" t="str">
        <v>=</v>
      </c>
      <c r="AA2616">
        <f>(N2616+P2616*R2616/1000)*U2616*W2616*Y2616</f>
        <v>3.705165</v>
      </c>
    </row>
    <row r="2619">
      <c r="A2619" t="str">
        <f>A2604</f>
        <v>Sloof</v>
      </c>
      <c r="B2619">
        <f>B2604</f>
        <v>79</v>
      </c>
      <c r="C2619" t="str">
        <v>Tul Bawah Tumpuan</v>
      </c>
      <c r="D2619">
        <f>VLOOKUP(D2604,'Detail Balok'!$C$10:$AU$110,22,FALSE)</f>
        <v>3</v>
      </c>
      <c r="E2619" t="str">
        <v>D</v>
      </c>
      <c r="F2619">
        <f>VLOOKUP(D2604,'Detail Balok'!$C$10:$AU$110,24,FALSE)</f>
        <v>16</v>
      </c>
      <c r="I2619" t="str">
        <v>(</v>
      </c>
      <c r="J2619">
        <f>+J2611</f>
        <v>0.69125</v>
      </c>
      <c r="K2619" t="str">
        <v>+</v>
      </c>
      <c r="L2619">
        <f>MAX(VLOOKUP(F2619,N$6:P$15,3,FALSE)/1000,2/3*D2609/1000)+F$16*F2619/1000</f>
        <v>0.192</v>
      </c>
      <c r="M2619" t="str">
        <v>=</v>
      </c>
      <c r="N2619">
        <f>J2619+L2619</f>
        <v>0.8832500000000001</v>
      </c>
      <c r="O2619" t="str">
        <v>+</v>
      </c>
      <c r="P2619">
        <f>D2619-D2620</f>
        <v>0</v>
      </c>
      <c r="Q2619" t="str">
        <v>x</v>
      </c>
      <c r="R2619">
        <f>IF(P2619&gt;0,$F$18*F2619/1000,0)</f>
        <v>0</v>
      </c>
      <c r="S2619" t="str">
        <v>)</v>
      </c>
      <c r="T2619" t="str">
        <v>x</v>
      </c>
      <c r="U2619">
        <f>0.006165*F2619^2</f>
        <v>1.57824</v>
      </c>
      <c r="X2619" t="str">
        <v>x</v>
      </c>
      <c r="Y2619">
        <f>D2610</f>
        <v>1</v>
      </c>
      <c r="Z2619" t="str">
        <v>=</v>
      </c>
      <c r="AA2619">
        <f>IF(AA2622=0,(D2619*N2619+P2619*R2619)*U2619*Y2619,0)</f>
        <v>0</v>
      </c>
    </row>
    <row r="2620">
      <c r="A2620" t="str">
        <f>A2604</f>
        <v>Sloof</v>
      </c>
      <c r="B2620">
        <f>B2604</f>
        <v>79</v>
      </c>
      <c r="C2620" t="str">
        <v>Tul Bawah Lapangan</v>
      </c>
      <c r="D2620">
        <f>VLOOKUP(D2604,'Detail Balok'!$C$10:$AU$110,25,FALSE)</f>
        <v>3</v>
      </c>
      <c r="E2620" t="str">
        <v>D</v>
      </c>
      <c r="F2620">
        <f>VLOOKUP(D2604,'Detail Balok'!$C$10:$AU$110,27,FALSE)</f>
        <v>16</v>
      </c>
      <c r="I2620" t="str">
        <v>(</v>
      </c>
      <c r="J2620">
        <f>+J2612</f>
        <v>1.3825</v>
      </c>
      <c r="K2620" t="str">
        <v>+</v>
      </c>
      <c r="M2620" t="str">
        <v>=</v>
      </c>
      <c r="N2620">
        <f>J2620+L2620</f>
        <v>1.3825</v>
      </c>
      <c r="O2620" t="str">
        <v>+</v>
      </c>
      <c r="P2620">
        <f>MAX(D2620-D2619,D2620-D2621)</f>
        <v>0</v>
      </c>
      <c r="Q2620" t="str">
        <v>x</v>
      </c>
      <c r="R2620">
        <f>IF(P2620&gt;0,2*(1-2*$F$19-1/2)*D2607/1000,0)</f>
        <v>0</v>
      </c>
      <c r="S2620" t="str">
        <v>)</v>
      </c>
      <c r="T2620" t="str">
        <v>x</v>
      </c>
      <c r="U2620">
        <f>0.006165*F2620^2</f>
        <v>1.57824</v>
      </c>
      <c r="X2620" t="str">
        <v>x</v>
      </c>
      <c r="Y2620">
        <f>D2610</f>
        <v>1</v>
      </c>
      <c r="Z2620" t="str">
        <v>=</v>
      </c>
      <c r="AA2620">
        <f>IF(AA2622=0,(D2620*N2620+P2620*R2620)*U2620*Y2620,0)</f>
        <v>0</v>
      </c>
    </row>
    <row r="2621">
      <c r="A2621" t="str">
        <f>A2604</f>
        <v>Sloof</v>
      </c>
      <c r="B2621">
        <f>B2604</f>
        <v>79</v>
      </c>
      <c r="C2621" t="str">
        <v>Tul Bawah Tumpuan</v>
      </c>
      <c r="D2621">
        <f>VLOOKUP(D2604,'Detail Balok'!$C$10:$AU$110,28,FALSE)</f>
        <v>3</v>
      </c>
      <c r="E2621" t="str">
        <v>D</v>
      </c>
      <c r="F2621">
        <f>VLOOKUP(D2604,'Detail Balok'!$C$10:$AU$110,30,FALSE)</f>
        <v>16</v>
      </c>
      <c r="I2621" t="str">
        <v>(</v>
      </c>
      <c r="J2621">
        <f>+J2613</f>
        <v>0.69125</v>
      </c>
      <c r="K2621" t="str">
        <v>+</v>
      </c>
      <c r="L2621">
        <f>MAX(VLOOKUP(F2621,N$6:P$15,3,FALSE)/1000,2/3*D2609/1000)+F$16*F2621/1000</f>
        <v>0.192</v>
      </c>
      <c r="M2621" t="str">
        <v>=</v>
      </c>
      <c r="N2621">
        <f>J2621+L2621</f>
        <v>0.8832500000000001</v>
      </c>
      <c r="O2621" t="str">
        <v>+</v>
      </c>
      <c r="P2621">
        <f>D2621-D2620</f>
        <v>0</v>
      </c>
      <c r="Q2621" t="str">
        <v>x</v>
      </c>
      <c r="R2621">
        <f>IF(P2621&gt;0,$F$18*F2621/1000,0)</f>
        <v>0</v>
      </c>
      <c r="S2621" t="str">
        <v>)</v>
      </c>
      <c r="T2621" t="str">
        <v>x</v>
      </c>
      <c r="U2621">
        <f>0.006165*F2621^2</f>
        <v>1.57824</v>
      </c>
      <c r="X2621" t="str">
        <v>x</v>
      </c>
      <c r="Y2621">
        <f>D2610</f>
        <v>1</v>
      </c>
      <c r="Z2621" t="str">
        <v>=</v>
      </c>
      <c r="AA2621">
        <f>IF(AA2622=0,(D2621*N2621+P2621*R2621)*U2621*Y2621,0)</f>
        <v>0</v>
      </c>
    </row>
    <row r="2622">
      <c r="A2622" t="str">
        <f>A2604</f>
        <v>Sloof</v>
      </c>
      <c r="B2622">
        <f>B2604</f>
        <v>79</v>
      </c>
      <c r="D2622">
        <f>IF(AND(D2619=D2620,D2620=D2621,D2619=D2621),D2619,0)</f>
        <v>3</v>
      </c>
      <c r="E2622" t="str">
        <v>D</v>
      </c>
      <c r="F2622">
        <f>IF(AND(F2619=F2620,F2619=F2621,F2620=F2621),F2619,0)</f>
        <v>16</v>
      </c>
      <c r="L2622" t="str">
        <v>Total panjang per balok</v>
      </c>
      <c r="M2622" t="str">
        <v>=</v>
      </c>
      <c r="N2622">
        <f>IF(AND(D2619=D2620,D2619=D2621,D2620=D2621,F2619=F2620,F2619=F2621,F2620=F2621),SUM(N2619:N2621),0)</f>
        <v>3.149</v>
      </c>
      <c r="O2622" t="str">
        <v>+</v>
      </c>
      <c r="P2622">
        <f>IF(N2622&gt;12,ROUNDDOWN(N2622/12,0),0)</f>
        <v>0</v>
      </c>
      <c r="Q2622" t="str">
        <v>x</v>
      </c>
      <c r="R2622">
        <f>IF(P2622&gt;0,MAX(VLOOKUP(F2622,$D$6:$G$15,3,FALSE),600),0)/1000</f>
        <v>0</v>
      </c>
      <c r="T2622" t="str">
        <v>x</v>
      </c>
      <c r="U2622">
        <f>U2621</f>
        <v>1.57824</v>
      </c>
      <c r="V2622" t="str">
        <v>x</v>
      </c>
      <c r="W2622">
        <f>D2622</f>
        <v>3</v>
      </c>
      <c r="X2622" t="str">
        <v>x</v>
      </c>
      <c r="Y2622">
        <f>Y2621</f>
        <v>1</v>
      </c>
      <c r="Z2622" t="str">
        <v>=</v>
      </c>
      <c r="AA2622">
        <f>(N2622+P2622*R2622/1000)*U2622*W2622*Y2622</f>
        <v>14.909633280000001</v>
      </c>
    </row>
    <row r="2624">
      <c r="A2624" t="str">
        <f>A2604</f>
        <v>Sloof</v>
      </c>
      <c r="B2624">
        <f>B2604</f>
        <v>79</v>
      </c>
      <c r="C2624" t="str">
        <v>Sengkang Tumpuan</v>
      </c>
      <c r="D2624">
        <f>VLOOKUP(D2604,'Detail Balok'!$C$10:$AU$110,31,FALSE)</f>
        <v>0</v>
      </c>
      <c r="E2624" t="str">
        <v>D</v>
      </c>
      <c r="F2624">
        <f>VLOOKUP(D2604,'Detail Balok'!$C$10:$AU$110,33,FALSE)</f>
        <v>10</v>
      </c>
      <c r="G2624" t="str">
        <v>-</v>
      </c>
      <c r="H2624">
        <f>VLOOKUP(D2604,'Detail Balok'!$C$10:$AU$110,35,FALSE)</f>
        <v>200</v>
      </c>
      <c r="J2624">
        <f>(IF(D2624=0,(2*(D2605+G2605))-(F$5*8),IF(D2624=3,(2*(D2605+G2605))-(F$5*8)+(G2605-2*F$5),IF(D2624=4,(2*(D2605+G2605))-(F$5*8)+2*(G2605-2*F$5)))))/1000</f>
        <v>1.08</v>
      </c>
      <c r="K2624" t="str">
        <v>+</v>
      </c>
      <c r="L2624">
        <f>IF(D2624=0,2*MAX(6*F2624,75),(D2624-1)*2*MAX(6*F2624,75))/1000</f>
        <v>0.15</v>
      </c>
      <c r="M2624" t="str">
        <v>=</v>
      </c>
      <c r="N2624">
        <f>J2624+L2624</f>
        <v>1.23</v>
      </c>
      <c r="T2624" t="str">
        <v>x</v>
      </c>
      <c r="U2624">
        <f>0.006165*F2624^2</f>
        <v>0.6165</v>
      </c>
      <c r="V2624" t="str">
        <v>x</v>
      </c>
      <c r="W2624">
        <f>IF(D2607&gt;4*G2605,ROUND(MAX(D2607/4,2*G2605)/H2624,0)+1,ROUND(D2607/H2624,0)+1)</f>
        <v>6</v>
      </c>
      <c r="X2624" t="str">
        <v>x</v>
      </c>
      <c r="Y2624">
        <f>D2610</f>
        <v>1</v>
      </c>
      <c r="Z2624" t="str">
        <v>=</v>
      </c>
      <c r="AA2624">
        <f>N2624*U2624*W2624*Y2624</f>
        <v>4.5497700000000005</v>
      </c>
    </row>
    <row r="2625">
      <c r="A2625" t="str">
        <f>A2604</f>
        <v>Sloof</v>
      </c>
      <c r="B2625">
        <f>B2604</f>
        <v>79</v>
      </c>
      <c r="C2625" t="str">
        <v>Sengkang Lapangan</v>
      </c>
      <c r="D2625">
        <f>VLOOKUP(D2604,'Detail Balok'!$C$10:$AU$110,36,FALSE)</f>
        <v>0</v>
      </c>
      <c r="E2625" t="str">
        <v>D</v>
      </c>
      <c r="F2625">
        <f>VLOOKUP(D2604,'Detail Balok'!$C$10:$AU$110,38,FALSE)</f>
        <v>10</v>
      </c>
      <c r="G2625" t="str">
        <v>-</v>
      </c>
      <c r="H2625">
        <f>VLOOKUP(D2604,'Detail Balok'!$C$10:$AU$110,40,FALSE)</f>
        <v>200</v>
      </c>
      <c r="J2625">
        <f>(IF(D2625=0,(2*(D2605+G2605))-(F$5*8),IF(D2625=3,(2*(D2605+G2605))-(F$5*8)+(G2605-2*F$5),IF(D2625=4,(2*(D2605+G2605))-(F$5*8)+2*(G2605-2*F$5)))))/1000</f>
        <v>1.08</v>
      </c>
      <c r="K2625" t="str">
        <v>+</v>
      </c>
      <c r="L2625">
        <f>IF(D2625=0,2*MAX(6*F2625,75),(D2625-1)*2*MAX(6*F2625,75))/1000</f>
        <v>0.15</v>
      </c>
      <c r="M2625" t="str">
        <v>=</v>
      </c>
      <c r="N2625">
        <f>J2625+L2625</f>
        <v>1.23</v>
      </c>
      <c r="T2625" t="str">
        <v>x</v>
      </c>
      <c r="U2625">
        <f>0.006165*F2625^2</f>
        <v>0.6165</v>
      </c>
      <c r="V2625" t="str">
        <v>x</v>
      </c>
      <c r="W2625">
        <f>IF(D2607-MAX(D2607/4,2*G2605)*2&gt;0,ROUND((D2607-MAX(D2607/4,2*G2605)*2)/H2625,0),0)</f>
        <v>4</v>
      </c>
      <c r="X2625" t="str">
        <v>x</v>
      </c>
      <c r="Y2625">
        <f>D2610</f>
        <v>1</v>
      </c>
      <c r="Z2625" t="str">
        <v>=</v>
      </c>
      <c r="AA2625">
        <f>N2625*U2625*W2625*Y2625</f>
        <v>3.03318</v>
      </c>
    </row>
    <row r="2626">
      <c r="A2626" t="str">
        <f>A2604</f>
        <v>Sloof</v>
      </c>
      <c r="B2626">
        <f>B2604</f>
        <v>79</v>
      </c>
      <c r="C2626" t="str">
        <v>Sengkang Tumpuan</v>
      </c>
      <c r="D2626">
        <f>VLOOKUP(D2604,'Detail Balok'!$C$10:$AU$110,41,FALSE)</f>
        <v>0</v>
      </c>
      <c r="E2626" t="str">
        <v>D</v>
      </c>
      <c r="F2626">
        <f>VLOOKUP(D2604,'Detail Balok'!$C$10:$AU$110,43,FALSE)</f>
        <v>10</v>
      </c>
      <c r="G2626" t="str">
        <v>-</v>
      </c>
      <c r="H2626">
        <f>VLOOKUP(D2604,'Detail Balok'!$C$10:$AU$110,45,FALSE)</f>
        <v>200</v>
      </c>
      <c r="J2626">
        <f>(IF(D2626=0,(2*(D2605+G2605))-(F$5*8),IF(D2626=3,(2*(D2605+G2605))-(F$5*8)+(G2605-2*F$5),IF(D2626=4,(2*(D2605+G2605))-(F$5*8)+2*(G2605-2*F$5)))))/1000</f>
        <v>1.08</v>
      </c>
      <c r="K2626" t="str">
        <v>+</v>
      </c>
      <c r="L2626">
        <f>IF(D2626=0,2*MAX(6*F2626,75),(D2626-1)*2*MAX(6*F2626,75))/1000</f>
        <v>0.15</v>
      </c>
      <c r="M2626" t="str">
        <v>=</v>
      </c>
      <c r="N2626">
        <f>J2626+L2626</f>
        <v>1.23</v>
      </c>
      <c r="T2626" t="str">
        <v>x</v>
      </c>
      <c r="U2626">
        <f>0.006165*F2626^2</f>
        <v>0.6165</v>
      </c>
      <c r="V2626" t="str">
        <v>x</v>
      </c>
      <c r="W2626">
        <f>IF(D2607&gt;4*G2605,ROUND(MAX(D2607/4,2*G2605)/H2626,0)+1,0)</f>
        <v>6</v>
      </c>
      <c r="X2626" t="str">
        <v>x</v>
      </c>
      <c r="Y2626">
        <f>D2610</f>
        <v>1</v>
      </c>
      <c r="Z2626" t="str">
        <v>=</v>
      </c>
      <c r="AA2626">
        <f>N2626*U2626*W2626*Y2626</f>
        <v>4.5497700000000005</v>
      </c>
    </row>
    <row r="2628">
      <c r="A2628" t="str">
        <f>A2604</f>
        <v>Sloof</v>
      </c>
      <c r="B2628">
        <f>B2604</f>
        <v>79</v>
      </c>
      <c r="C2628" t="str">
        <v>Kait Horizontal Tump.</v>
      </c>
      <c r="D2628">
        <f>VLOOKUP(D2604,'Detail Balok'!$C$10:$BJ$110,46,FALSE)</f>
        <v>0</v>
      </c>
      <c r="E2628" t="str">
        <v>D</v>
      </c>
      <c r="F2628">
        <f>VLOOKUP(D2604,'Detail Balok'!$C$10:$BJ$110,48,FALSE)</f>
        <v>0</v>
      </c>
      <c r="G2628" t="str">
        <v>-</v>
      </c>
      <c r="H2628">
        <f>VLOOKUP(D2604,'Detail Balok'!$C$10:$BJ$110,50,FALSE)</f>
        <v>100</v>
      </c>
      <c r="J2628">
        <f>(D2605-2*F$5)/1000</f>
        <v>0.12</v>
      </c>
      <c r="K2628" t="str">
        <v>+</v>
      </c>
      <c r="L2628">
        <f>IF(D2628=0,2*MAX(6*F2628,75),(D2628-1)*2*MAX(6*F2628,75))/1000</f>
        <v>0.15</v>
      </c>
      <c r="M2628" t="str">
        <v>=</v>
      </c>
      <c r="N2628">
        <f>J2628+L2628</f>
        <v>0.27</v>
      </c>
      <c r="T2628" t="str">
        <v>x</v>
      </c>
      <c r="U2628">
        <f>0.006165*F2628^2</f>
        <v>0</v>
      </c>
      <c r="V2628" t="str">
        <v>x</v>
      </c>
      <c r="W2628">
        <f>W2624</f>
        <v>6</v>
      </c>
      <c r="X2628" t="str">
        <v>x</v>
      </c>
      <c r="Y2628">
        <f>D2614</f>
        <v>3</v>
      </c>
      <c r="Z2628" t="str">
        <v>=</v>
      </c>
      <c r="AA2628">
        <f>N2628*U2628*W2628*Y2628</f>
        <v>0</v>
      </c>
    </row>
    <row r="2629">
      <c r="A2629" t="str">
        <f>A2604</f>
        <v>Sloof</v>
      </c>
      <c r="B2629">
        <f>B2604</f>
        <v>79</v>
      </c>
      <c r="C2629" t="str">
        <v>Kait Horizontal Lap.</v>
      </c>
      <c r="D2629">
        <f>VLOOKUP(D2604,'Detail Balok'!$C$10:$BJ$110,51,FALSE)</f>
        <v>0</v>
      </c>
      <c r="E2629" t="str">
        <v>D</v>
      </c>
      <c r="F2629">
        <f>VLOOKUP(D2604,'Detail Balok'!$C$10:$BJ$110,53,FALSE)</f>
        <v>0</v>
      </c>
      <c r="G2629" t="str">
        <v>-</v>
      </c>
      <c r="H2629">
        <f>VLOOKUP(D2604,'Detail Balok'!$C$10:$BJ$110,55,FALSE)</f>
        <v>100</v>
      </c>
      <c r="J2629">
        <f>(D2605-2*F$5)/1000</f>
        <v>0.12</v>
      </c>
      <c r="K2629" t="str">
        <v>+</v>
      </c>
      <c r="L2629">
        <f>IF(D2629=0,2*MAX(6*F2629,75),(D2629-1)*2*MAX(6*F2629,75))/1000</f>
        <v>0.15</v>
      </c>
      <c r="M2629" t="str">
        <v>=</v>
      </c>
      <c r="N2629">
        <f>J2629+L2629</f>
        <v>0.27</v>
      </c>
      <c r="T2629" t="str">
        <v>x</v>
      </c>
      <c r="U2629">
        <f>0.006165*F2629^2</f>
        <v>0</v>
      </c>
      <c r="V2629" t="str">
        <v>x</v>
      </c>
      <c r="W2629">
        <f>W2625</f>
        <v>4</v>
      </c>
      <c r="X2629" t="str">
        <v>x</v>
      </c>
      <c r="Y2629">
        <f>D2614</f>
        <v>3</v>
      </c>
      <c r="Z2629" t="str">
        <v>=</v>
      </c>
      <c r="AA2629">
        <f>N2629*U2629*W2629*Y2629</f>
        <v>0</v>
      </c>
    </row>
    <row r="2630">
      <c r="A2630" t="str">
        <f>A2604</f>
        <v>Sloof</v>
      </c>
      <c r="B2630">
        <f>B2604</f>
        <v>79</v>
      </c>
      <c r="C2630" t="str">
        <v>Kait Horizontal Tump.</v>
      </c>
      <c r="D2630">
        <f>VLOOKUP(D2604,'Detail Balok'!$C$10:$BJ$110,56,FALSE)</f>
        <v>0</v>
      </c>
      <c r="E2630" t="str">
        <v>D</v>
      </c>
      <c r="F2630">
        <f>VLOOKUP(D2604,'Detail Balok'!$C$10:$BJ$110,58,FALSE)</f>
        <v>0</v>
      </c>
      <c r="G2630" t="str">
        <v>-</v>
      </c>
      <c r="H2630">
        <f>VLOOKUP(D2604,'Detail Balok'!$C$10:$BJ$110,60,FALSE)</f>
        <v>100</v>
      </c>
      <c r="J2630">
        <f>(D2605-2*F$5)/1000</f>
        <v>0.12</v>
      </c>
      <c r="K2630" t="str">
        <v>+</v>
      </c>
      <c r="L2630">
        <f>IF(D2630=0,2*MAX(6*F2630,75),(D2630-1)*2*MAX(6*F2630,75))/1000</f>
        <v>0.15</v>
      </c>
      <c r="M2630" t="str">
        <v>=</v>
      </c>
      <c r="N2630">
        <f>J2630+L2630</f>
        <v>0.27</v>
      </c>
      <c r="T2630" t="str">
        <v>x</v>
      </c>
      <c r="U2630">
        <f>0.006165*F2630^2</f>
        <v>0</v>
      </c>
      <c r="V2630" t="str">
        <v>x</v>
      </c>
      <c r="W2630">
        <f>W2626</f>
        <v>6</v>
      </c>
      <c r="X2630" t="str">
        <v>x</v>
      </c>
      <c r="Y2630">
        <f>D2614</f>
        <v>3</v>
      </c>
      <c r="Z2630" t="str">
        <v>=</v>
      </c>
      <c r="AA2630">
        <f>N2630*U2630*W2630*Y2630</f>
        <v>0</v>
      </c>
    </row>
    <row r="2634">
      <c r="A2634" t="str">
        <f>A2604</f>
        <v>Sloof</v>
      </c>
      <c r="B2634">
        <f>B2604+1</f>
        <v>80</v>
      </c>
      <c r="C2634" t="str">
        <f>CONCATENATE(A2634," no. ",B2634)</f>
        <v>Sloof no. 80</v>
      </c>
      <c r="D2634" t="str">
        <f>VLOOKUP(C2634,'Data Panjang Balok'!$C$9:$N$424,2,FALSE)</f>
        <v>TB35-2</v>
      </c>
    </row>
    <row r="2635">
      <c r="C2635" t="str">
        <v>Dimensi</v>
      </c>
      <c r="D2635">
        <f>VLOOKUP(D2634,'Detail Balok'!$C$10:$AU$110,2,FALSE)</f>
        <v>300</v>
      </c>
      <c r="F2635" t="str">
        <v>x</v>
      </c>
      <c r="G2635">
        <f>VLOOKUP(D2634,'Detail Balok'!$C$10:$AU$110,3,FALSE)</f>
        <v>500</v>
      </c>
    </row>
    <row r="2636">
      <c r="C2636" t="str">
        <v>Panjang as ke as</v>
      </c>
      <c r="D2636">
        <f>VLOOKUP(C2634,'Data Panjang Balok'!$C$9:$N$424,4,FALSE)</f>
        <v>5800</v>
      </c>
    </row>
    <row r="2637">
      <c r="C2637" t="str">
        <v>Panjang netto</v>
      </c>
      <c r="D2637">
        <f>VLOOKUP(C2634,'Data Panjang Balok'!$C$9:$N$424,7,FALSE)</f>
        <v>5800</v>
      </c>
    </row>
    <row r="2638">
      <c r="C2638" t="str">
        <v>Kolom / balok kiri</v>
      </c>
      <c r="D2638">
        <f>VLOOKUP(C2634,'Data Panjang Balok'!$C$9:$N$424,9,FALSE)</f>
        <v>0</v>
      </c>
    </row>
    <row r="2639">
      <c r="C2639" t="str">
        <v>Kolom / balok kanan</v>
      </c>
      <c r="D2639">
        <f>VLOOKUP(C2634,'Data Panjang Balok'!$C$9:$N$424,10,FALSE)</f>
        <v>0</v>
      </c>
    </row>
    <row r="2640">
      <c r="C2640" t="str">
        <v>Jumlah</v>
      </c>
      <c r="D2640">
        <f>VLOOKUP(C2634,'Data Panjang Balok'!$C$9:$N$424,3,FALSE)</f>
        <v>1</v>
      </c>
    </row>
    <row r="2641">
      <c r="A2641" t="str">
        <f>A2634</f>
        <v>Sloof</v>
      </c>
      <c r="B2641">
        <f>B2634</f>
        <v>80</v>
      </c>
      <c r="C2641" t="str">
        <v>Tul Atas Tumpuan</v>
      </c>
      <c r="D2641">
        <f>VLOOKUP(D2634,'Detail Balok'!$C$10:$AU$110,4,FALSE)</f>
        <v>7</v>
      </c>
      <c r="E2641" t="str">
        <v>D</v>
      </c>
      <c r="F2641">
        <f>VLOOKUP(D2634,'Detail Balok'!$C$10:$AU$110,6,FALSE)</f>
        <v>16</v>
      </c>
      <c r="I2641" t="str">
        <v>(</v>
      </c>
      <c r="J2641">
        <f>+D2636/4/1000</f>
        <v>1.45</v>
      </c>
      <c r="K2641" t="str">
        <v>+</v>
      </c>
      <c r="L2641">
        <f>MAX(VLOOKUP(F2641,N$6:P$15,3,FALSE)/1000,2/3*D2638/1000)+F$16*F2641/1000</f>
        <v>0.192</v>
      </c>
      <c r="M2641" t="str">
        <v>=</v>
      </c>
      <c r="N2641">
        <f>J2641+L2641</f>
        <v>1.642</v>
      </c>
      <c r="O2641" t="str">
        <v>+</v>
      </c>
      <c r="P2641">
        <f>D2641-D2642</f>
        <v>3</v>
      </c>
      <c r="Q2641" t="str">
        <v>x</v>
      </c>
      <c r="R2641">
        <f>IF(P2641&gt;0,$F$18*F2641/1000,0)</f>
        <v>0.24</v>
      </c>
      <c r="S2641" t="str">
        <v>)</v>
      </c>
      <c r="T2641" t="str">
        <v>x</v>
      </c>
      <c r="U2641">
        <f>0.006165*F2641^2</f>
        <v>1.57824</v>
      </c>
      <c r="X2641" t="str">
        <v>x</v>
      </c>
      <c r="Y2641">
        <f>D2640</f>
        <v>1</v>
      </c>
      <c r="Z2641" t="str">
        <v>=</v>
      </c>
      <c r="AA2641">
        <f>IF(AA2644=0,(D2641*N2641+P2641*R2641)*U2641*Y2641,0)</f>
        <v>19.276623360000002</v>
      </c>
    </row>
    <row r="2642">
      <c r="A2642" t="str">
        <f>A2634</f>
        <v>Sloof</v>
      </c>
      <c r="B2642">
        <f>B2634</f>
        <v>80</v>
      </c>
      <c r="C2642" t="str">
        <v>Tul Atas Lapangan</v>
      </c>
      <c r="D2642">
        <f>VLOOKUP(D2634,'Detail Balok'!$C$10:$AU$110,7,FALSE)</f>
        <v>4</v>
      </c>
      <c r="E2642" t="str">
        <v>D</v>
      </c>
      <c r="F2642">
        <f>VLOOKUP(D2634,'Detail Balok'!$C$10:$AU$110,9,FALSE)</f>
        <v>16</v>
      </c>
      <c r="I2642" t="str">
        <v>(</v>
      </c>
      <c r="J2642">
        <f>+D2636/2/1000</f>
        <v>2.9</v>
      </c>
      <c r="K2642" t="str">
        <v>+</v>
      </c>
      <c r="M2642" t="str">
        <v>=</v>
      </c>
      <c r="N2642">
        <f>J2642+L2642</f>
        <v>2.9</v>
      </c>
      <c r="O2642" t="str">
        <v>+</v>
      </c>
      <c r="P2642">
        <f>MAX(D2642-D2641,D2642-D2643)</f>
        <v>-3</v>
      </c>
      <c r="Q2642" t="str">
        <v>x</v>
      </c>
      <c r="R2642">
        <f>IF(P2642&gt;0,2*(1-2*$F$19-1/2)*D2637/1000,0)</f>
        <v>0</v>
      </c>
      <c r="S2642" t="str">
        <v>)</v>
      </c>
      <c r="T2642" t="str">
        <v>x</v>
      </c>
      <c r="U2642">
        <f>0.006165*F2642^2</f>
        <v>1.57824</v>
      </c>
      <c r="X2642" t="str">
        <v>x</v>
      </c>
      <c r="Y2642">
        <f>D2640</f>
        <v>1</v>
      </c>
      <c r="Z2642" t="str">
        <v>=</v>
      </c>
      <c r="AA2642">
        <f>IF(AA2644=0,(D2642*N2642+P2642*R2642)*U2642*Y2642,0)</f>
        <v>18.307584000000002</v>
      </c>
    </row>
    <row r="2643">
      <c r="A2643" t="str">
        <f>A2634</f>
        <v>Sloof</v>
      </c>
      <c r="B2643">
        <f>B2634</f>
        <v>80</v>
      </c>
      <c r="C2643" t="str">
        <v>Tul Atas Tumpuan</v>
      </c>
      <c r="D2643">
        <f>VLOOKUP(D2634,'Detail Balok'!$C$10:$AU$110,10,FALSE)</f>
        <v>7</v>
      </c>
      <c r="E2643" t="str">
        <v>D</v>
      </c>
      <c r="F2643">
        <f>VLOOKUP(D2634,'Detail Balok'!$C$10:$AU$110,12,FALSE)</f>
        <v>16</v>
      </c>
      <c r="I2643" t="str">
        <v>(</v>
      </c>
      <c r="J2643">
        <f>+D2636/4/1000</f>
        <v>1.45</v>
      </c>
      <c r="K2643" t="str">
        <v>+</v>
      </c>
      <c r="L2643">
        <f>MAX(VLOOKUP(F2643,N$6:P$15,3,FALSE)/1000,2/3*D2638/1000)+F$16*F2643/1000</f>
        <v>0.192</v>
      </c>
      <c r="M2643" t="str">
        <v>=</v>
      </c>
      <c r="N2643">
        <f>J2643+L2643</f>
        <v>1.642</v>
      </c>
      <c r="O2643" t="str">
        <v>+</v>
      </c>
      <c r="P2643">
        <f>D2643-D2642</f>
        <v>3</v>
      </c>
      <c r="Q2643" t="str">
        <v>x</v>
      </c>
      <c r="R2643">
        <f>IF(P2643&gt;0,$F$18*F2643/1000,0)</f>
        <v>0.24</v>
      </c>
      <c r="S2643" t="str">
        <v>)</v>
      </c>
      <c r="T2643" t="str">
        <v>x</v>
      </c>
      <c r="U2643">
        <f>0.006165*F2643^2</f>
        <v>1.57824</v>
      </c>
      <c r="X2643" t="str">
        <v>x</v>
      </c>
      <c r="Y2643">
        <f>D2640</f>
        <v>1</v>
      </c>
      <c r="Z2643" t="str">
        <v>=</v>
      </c>
      <c r="AA2643">
        <f>IF(AA2644=0,(D2643*N2643+P2643*R2643)*U2643*Y2643,0)</f>
        <v>19.276623360000002</v>
      </c>
    </row>
    <row r="2644">
      <c r="A2644" t="str">
        <f>A2634</f>
        <v>Sloof</v>
      </c>
      <c r="B2644">
        <f>B2634</f>
        <v>80</v>
      </c>
      <c r="D2644">
        <f>IF(AND(D2641=D2642,D2642=D2643,D2641=D2643),D2641,0)</f>
        <v>0</v>
      </c>
      <c r="E2644" t="str">
        <v>D</v>
      </c>
      <c r="F2644">
        <f>IF(AND(F2641=F2642,F2641=F2643,F2642=F2643),F2641,0)</f>
        <v>16</v>
      </c>
      <c r="L2644" t="str">
        <v>Total panjang per balok</v>
      </c>
      <c r="M2644" t="str">
        <v>=</v>
      </c>
      <c r="N2644">
        <f>IF(AND(D2641=D2642,D2641=D2643,D2642=D2643,F2641=F2642,F2641=F2643,F2642=F2643),SUM(N2641:N2643),0)</f>
        <v>0</v>
      </c>
      <c r="O2644" t="str">
        <v>+</v>
      </c>
      <c r="P2644">
        <f>IF(N2644&gt;12,ROUNDDOWN(N2644/12,0),0)</f>
        <v>0</v>
      </c>
      <c r="Q2644" t="str">
        <v>x</v>
      </c>
      <c r="R2644">
        <f>IF(P2644&gt;0,MAX(VLOOKUP(F2644,$D$6:$G$15,3,FALSE),600),0)/1000</f>
        <v>0</v>
      </c>
      <c r="T2644" t="str">
        <v>x</v>
      </c>
      <c r="U2644">
        <f>U2643</f>
        <v>1.57824</v>
      </c>
      <c r="V2644" t="str">
        <v>x</v>
      </c>
      <c r="W2644">
        <f>D2644</f>
        <v>0</v>
      </c>
      <c r="X2644" t="str">
        <v>x</v>
      </c>
      <c r="Y2644">
        <f>Y2643</f>
        <v>1</v>
      </c>
      <c r="Z2644" t="str">
        <v>=</v>
      </c>
      <c r="AA2644">
        <f>(N2644+P2644*R2644/1000)*U2644*W2644*Y2644</f>
        <v>0</v>
      </c>
    </row>
    <row r="2646">
      <c r="A2646" t="str">
        <f>A2634</f>
        <v>Sloof</v>
      </c>
      <c r="B2646">
        <f>B2634</f>
        <v>80</v>
      </c>
      <c r="C2646" t="str">
        <v>Tul Peminggang</v>
      </c>
      <c r="D2646">
        <f>VLOOKUP(D2634,'Detail Balok'!$C$10:$AU$110,13,FALSE)</f>
        <v>2</v>
      </c>
      <c r="E2646" t="str">
        <v>D</v>
      </c>
      <c r="F2646">
        <f>VLOOKUP(D2634,'Detail Balok'!$C$10:$AU$110,15,FALSE)</f>
        <v>10</v>
      </c>
      <c r="J2646">
        <f>+D2636/1000</f>
        <v>5.8</v>
      </c>
      <c r="K2646" t="str">
        <v>+</v>
      </c>
      <c r="L2646">
        <f>2*$F$16*F2646/1000</f>
        <v>0.24</v>
      </c>
      <c r="M2646" t="str">
        <v>=</v>
      </c>
      <c r="N2646">
        <f>J2646+L2646</f>
        <v>6.04</v>
      </c>
      <c r="O2646" t="str">
        <v>+</v>
      </c>
      <c r="P2646">
        <f>IF(N2646&gt;12,ROUNDDOWN(N2646/12,0),0)</f>
        <v>0</v>
      </c>
      <c r="Q2646" t="str">
        <v>x</v>
      </c>
      <c r="R2646">
        <f>IF(P2646&gt;0,MAX(VLOOKUP(F2646,$D$6:$G$15,3,FALSE),600),0)/1000</f>
        <v>0</v>
      </c>
      <c r="T2646" t="str">
        <v>x</v>
      </c>
      <c r="U2646">
        <f>0.006165*F2646^2</f>
        <v>0.6165</v>
      </c>
      <c r="V2646" t="str">
        <v>x</v>
      </c>
      <c r="W2646">
        <f>+D2646</f>
        <v>2</v>
      </c>
      <c r="X2646" t="str">
        <v>x</v>
      </c>
      <c r="Y2646">
        <f>D2640</f>
        <v>1</v>
      </c>
      <c r="Z2646" t="str">
        <v>=</v>
      </c>
      <c r="AA2646">
        <f>(N2646+P2646*R2646/1000)*U2646*W2646*Y2646</f>
        <v>7.44732</v>
      </c>
    </row>
    <row r="2649">
      <c r="A2649" t="str">
        <f>A2634</f>
        <v>Sloof</v>
      </c>
      <c r="B2649">
        <f>B2634</f>
        <v>80</v>
      </c>
      <c r="C2649" t="str">
        <v>Tul Bawah Tumpuan</v>
      </c>
      <c r="D2649">
        <f>VLOOKUP(D2634,'Detail Balok'!$C$10:$AU$110,22,FALSE)</f>
        <v>4</v>
      </c>
      <c r="E2649" t="str">
        <v>D</v>
      </c>
      <c r="F2649">
        <f>VLOOKUP(D2634,'Detail Balok'!$C$10:$AU$110,24,FALSE)</f>
        <v>16</v>
      </c>
      <c r="I2649" t="str">
        <v>(</v>
      </c>
      <c r="J2649">
        <f>+J2641</f>
        <v>1.45</v>
      </c>
      <c r="K2649" t="str">
        <v>+</v>
      </c>
      <c r="L2649">
        <f>MAX(VLOOKUP(F2649,N$6:P$15,3,FALSE)/1000,2/3*D2639/1000)+F$16*F2649/1000</f>
        <v>0.192</v>
      </c>
      <c r="M2649" t="str">
        <v>=</v>
      </c>
      <c r="N2649">
        <f>J2649+L2649</f>
        <v>1.642</v>
      </c>
      <c r="O2649" t="str">
        <v>+</v>
      </c>
      <c r="P2649">
        <f>D2649-D2650</f>
        <v>-3</v>
      </c>
      <c r="Q2649" t="str">
        <v>x</v>
      </c>
      <c r="R2649">
        <f>IF(P2649&gt;0,$F$18*F2649/1000,0)</f>
        <v>0</v>
      </c>
      <c r="S2649" t="str">
        <v>)</v>
      </c>
      <c r="T2649" t="str">
        <v>x</v>
      </c>
      <c r="U2649">
        <f>0.006165*F2649^2</f>
        <v>1.57824</v>
      </c>
      <c r="X2649" t="str">
        <v>x</v>
      </c>
      <c r="Y2649">
        <f>D2640</f>
        <v>1</v>
      </c>
      <c r="Z2649" t="str">
        <v>=</v>
      </c>
      <c r="AA2649">
        <f>IF(AA2652=0,(D2649*N2649+P2649*R2649)*U2649*Y2649,0)</f>
        <v>10.36588032</v>
      </c>
    </row>
    <row r="2650">
      <c r="A2650" t="str">
        <f>A2634</f>
        <v>Sloof</v>
      </c>
      <c r="B2650">
        <f>B2634</f>
        <v>80</v>
      </c>
      <c r="C2650" t="str">
        <v>Tul Bawah Lapangan</v>
      </c>
      <c r="D2650">
        <f>VLOOKUP(D2634,'Detail Balok'!$C$10:$AU$110,25,FALSE)</f>
        <v>7</v>
      </c>
      <c r="E2650" t="str">
        <v>D</v>
      </c>
      <c r="F2650">
        <f>VLOOKUP(D2634,'Detail Balok'!$C$10:$AU$110,27,FALSE)</f>
        <v>16</v>
      </c>
      <c r="I2650" t="str">
        <v>(</v>
      </c>
      <c r="J2650">
        <f>+J2642</f>
        <v>2.9</v>
      </c>
      <c r="K2650" t="str">
        <v>+</v>
      </c>
      <c r="M2650" t="str">
        <v>=</v>
      </c>
      <c r="N2650">
        <f>J2650+L2650</f>
        <v>2.9</v>
      </c>
      <c r="O2650" t="str">
        <v>+</v>
      </c>
      <c r="P2650">
        <f>MAX(D2650-D2649,D2650-D2651)</f>
        <v>3</v>
      </c>
      <c r="Q2650" t="str">
        <v>x</v>
      </c>
      <c r="R2650">
        <f>IF(P2650&gt;0,2*(1-2*$F$19-1/2)*D2637/1000,0)</f>
        <v>1.1599999999999997</v>
      </c>
      <c r="S2650" t="str">
        <v>)</v>
      </c>
      <c r="T2650" t="str">
        <v>x</v>
      </c>
      <c r="U2650">
        <f>0.006165*F2650^2</f>
        <v>1.57824</v>
      </c>
      <c r="X2650" t="str">
        <v>x</v>
      </c>
      <c r="Y2650">
        <f>D2640</f>
        <v>1</v>
      </c>
      <c r="Z2650" t="str">
        <v>=</v>
      </c>
      <c r="AA2650">
        <f>IF(AA2652=0,(D2650*N2650+P2650*R2650)*U2650*Y2650,0)</f>
        <v>37.5305472</v>
      </c>
    </row>
    <row r="2651">
      <c r="A2651" t="str">
        <f>A2634</f>
        <v>Sloof</v>
      </c>
      <c r="B2651">
        <f>B2634</f>
        <v>80</v>
      </c>
      <c r="C2651" t="str">
        <v>Tul Bawah Tumpuan</v>
      </c>
      <c r="D2651">
        <f>VLOOKUP(D2634,'Detail Balok'!$C$10:$AU$110,28,FALSE)</f>
        <v>4</v>
      </c>
      <c r="E2651" t="str">
        <v>D</v>
      </c>
      <c r="F2651">
        <f>VLOOKUP(D2634,'Detail Balok'!$C$10:$AU$110,30,FALSE)</f>
        <v>16</v>
      </c>
      <c r="I2651" t="str">
        <v>(</v>
      </c>
      <c r="J2651">
        <f>+J2643</f>
        <v>1.45</v>
      </c>
      <c r="K2651" t="str">
        <v>+</v>
      </c>
      <c r="L2651">
        <f>MAX(VLOOKUP(F2651,N$6:P$15,3,FALSE)/1000,2/3*D2639/1000)+F$16*F2651/1000</f>
        <v>0.192</v>
      </c>
      <c r="M2651" t="str">
        <v>=</v>
      </c>
      <c r="N2651">
        <f>J2651+L2651</f>
        <v>1.642</v>
      </c>
      <c r="O2651" t="str">
        <v>+</v>
      </c>
      <c r="P2651">
        <f>D2651-D2650</f>
        <v>-3</v>
      </c>
      <c r="Q2651" t="str">
        <v>x</v>
      </c>
      <c r="R2651">
        <f>IF(P2651&gt;0,$F$18*F2651/1000,0)</f>
        <v>0</v>
      </c>
      <c r="S2651" t="str">
        <v>)</v>
      </c>
      <c r="T2651" t="str">
        <v>x</v>
      </c>
      <c r="U2651">
        <f>0.006165*F2651^2</f>
        <v>1.57824</v>
      </c>
      <c r="X2651" t="str">
        <v>x</v>
      </c>
      <c r="Y2651">
        <f>D2640</f>
        <v>1</v>
      </c>
      <c r="Z2651" t="str">
        <v>=</v>
      </c>
      <c r="AA2651">
        <f>IF(AA2652=0,(D2651*N2651+P2651*R2651)*U2651*Y2651,0)</f>
        <v>10.36588032</v>
      </c>
    </row>
    <row r="2652">
      <c r="A2652" t="str">
        <f>A2634</f>
        <v>Sloof</v>
      </c>
      <c r="B2652">
        <f>B2634</f>
        <v>80</v>
      </c>
      <c r="D2652">
        <f>IF(AND(D2649=D2650,D2650=D2651,D2649=D2651),D2649,0)</f>
        <v>0</v>
      </c>
      <c r="E2652" t="str">
        <v>D</v>
      </c>
      <c r="F2652">
        <f>IF(AND(F2649=F2650,F2649=F2651,F2650=F2651),F2649,0)</f>
        <v>16</v>
      </c>
      <c r="L2652" t="str">
        <v>Total panjang per balok</v>
      </c>
      <c r="M2652" t="str">
        <v>=</v>
      </c>
      <c r="N2652">
        <f>IF(AND(D2649=D2650,D2649=D2651,D2650=D2651,F2649=F2650,F2649=F2651,F2650=F2651),SUM(N2649:N2651),0)</f>
        <v>0</v>
      </c>
      <c r="O2652" t="str">
        <v>+</v>
      </c>
      <c r="P2652">
        <f>IF(N2652&gt;12,ROUNDDOWN(N2652/12,0),0)</f>
        <v>0</v>
      </c>
      <c r="Q2652" t="str">
        <v>x</v>
      </c>
      <c r="R2652">
        <f>IF(P2652&gt;0,MAX(VLOOKUP(F2652,$D$6:$G$15,3,FALSE),600),0)/1000</f>
        <v>0</v>
      </c>
      <c r="T2652" t="str">
        <v>x</v>
      </c>
      <c r="U2652">
        <f>U2651</f>
        <v>1.57824</v>
      </c>
      <c r="V2652" t="str">
        <v>x</v>
      </c>
      <c r="W2652">
        <f>D2652</f>
        <v>0</v>
      </c>
      <c r="X2652" t="str">
        <v>x</v>
      </c>
      <c r="Y2652">
        <f>Y2651</f>
        <v>1</v>
      </c>
      <c r="Z2652" t="str">
        <v>=</v>
      </c>
      <c r="AA2652">
        <f>(N2652+P2652*R2652/1000)*U2652*W2652*Y2652</f>
        <v>0</v>
      </c>
    </row>
    <row r="2654">
      <c r="A2654" t="str">
        <f>A2634</f>
        <v>Sloof</v>
      </c>
      <c r="B2654">
        <f>B2634</f>
        <v>80</v>
      </c>
      <c r="C2654" t="str">
        <v>Sengkang Tumpuan</v>
      </c>
      <c r="D2654">
        <f>VLOOKUP(D2634,'Detail Balok'!$C$10:$AU$110,31,FALSE)</f>
        <v>0</v>
      </c>
      <c r="E2654" t="str">
        <v>D</v>
      </c>
      <c r="F2654">
        <f>VLOOKUP(D2634,'Detail Balok'!$C$10:$AU$110,33,FALSE)</f>
        <v>10</v>
      </c>
      <c r="G2654" t="str">
        <v>-</v>
      </c>
      <c r="H2654">
        <f>VLOOKUP(D2634,'Detail Balok'!$C$10:$AU$110,35,FALSE)</f>
        <v>125</v>
      </c>
      <c r="J2654">
        <f>(IF(D2654=0,(2*(D2635+G2635))-(F$5*8),IF(D2654=3,(2*(D2635+G2635))-(F$5*8)+(G2635-2*F$5),IF(D2654=4,(2*(D2635+G2635))-(F$5*8)+2*(G2635-2*F$5)))))/1000</f>
        <v>1.28</v>
      </c>
      <c r="K2654" t="str">
        <v>+</v>
      </c>
      <c r="L2654">
        <f>IF(D2654=0,2*MAX(6*F2654,75),(D2654-1)*2*MAX(6*F2654,75))/1000</f>
        <v>0.15</v>
      </c>
      <c r="M2654" t="str">
        <v>=</v>
      </c>
      <c r="N2654">
        <f>J2654+L2654</f>
        <v>1.43</v>
      </c>
      <c r="T2654" t="str">
        <v>x</v>
      </c>
      <c r="U2654">
        <f>0.006165*F2654^2</f>
        <v>0.6165</v>
      </c>
      <c r="V2654" t="str">
        <v>x</v>
      </c>
      <c r="W2654">
        <f>IF(D2637&gt;4*G2635,ROUND(MAX(D2637/4,2*G2635)/H2654,0)+1,ROUND(D2637/H2654,0)+1)</f>
        <v>13</v>
      </c>
      <c r="X2654" t="str">
        <v>x</v>
      </c>
      <c r="Y2654">
        <f>D2640</f>
        <v>1</v>
      </c>
      <c r="Z2654" t="str">
        <v>=</v>
      </c>
      <c r="AA2654">
        <f>N2654*U2654*W2654*Y2654</f>
        <v>11.460735</v>
      </c>
    </row>
    <row r="2655">
      <c r="A2655" t="str">
        <f>A2634</f>
        <v>Sloof</v>
      </c>
      <c r="B2655">
        <f>B2634</f>
        <v>80</v>
      </c>
      <c r="C2655" t="str">
        <v>Sengkang Lapangan</v>
      </c>
      <c r="D2655">
        <f>VLOOKUP(D2634,'Detail Balok'!$C$10:$AU$110,36,FALSE)</f>
        <v>0</v>
      </c>
      <c r="E2655" t="str">
        <v>D</v>
      </c>
      <c r="F2655">
        <f>VLOOKUP(D2634,'Detail Balok'!$C$10:$AU$110,38,FALSE)</f>
        <v>10</v>
      </c>
      <c r="G2655" t="str">
        <v>-</v>
      </c>
      <c r="H2655">
        <f>VLOOKUP(D2634,'Detail Balok'!$C$10:$AU$110,40,FALSE)</f>
        <v>200</v>
      </c>
      <c r="J2655">
        <f>(IF(D2655=0,(2*(D2635+G2635))-(F$5*8),IF(D2655=3,(2*(D2635+G2635))-(F$5*8)+(G2635-2*F$5),IF(D2655=4,(2*(D2635+G2635))-(F$5*8)+2*(G2635-2*F$5)))))/1000</f>
        <v>1.28</v>
      </c>
      <c r="K2655" t="str">
        <v>+</v>
      </c>
      <c r="L2655">
        <f>IF(D2655=0,2*MAX(6*F2655,75),(D2655-1)*2*MAX(6*F2655,75))/1000</f>
        <v>0.15</v>
      </c>
      <c r="M2655" t="str">
        <v>=</v>
      </c>
      <c r="N2655">
        <f>J2655+L2655</f>
        <v>1.43</v>
      </c>
      <c r="T2655" t="str">
        <v>x</v>
      </c>
      <c r="U2655">
        <f>0.006165*F2655^2</f>
        <v>0.6165</v>
      </c>
      <c r="V2655" t="str">
        <v>x</v>
      </c>
      <c r="W2655">
        <f>IF(D2637-MAX(D2637/4,2*G2635)*2&gt;0,ROUND((D2637-MAX(D2637/4,2*G2635)*2)/H2655,0),0)</f>
        <v>15</v>
      </c>
      <c r="X2655" t="str">
        <v>x</v>
      </c>
      <c r="Y2655">
        <f>D2640</f>
        <v>1</v>
      </c>
      <c r="Z2655" t="str">
        <v>=</v>
      </c>
      <c r="AA2655">
        <f>N2655*U2655*W2655*Y2655</f>
        <v>13.223925</v>
      </c>
    </row>
    <row r="2656">
      <c r="A2656" t="str">
        <f>A2634</f>
        <v>Sloof</v>
      </c>
      <c r="B2656">
        <f>B2634</f>
        <v>80</v>
      </c>
      <c r="C2656" t="str">
        <v>Sengkang Tumpuan</v>
      </c>
      <c r="D2656">
        <f>VLOOKUP(D2634,'Detail Balok'!$C$10:$AU$110,41,FALSE)</f>
        <v>0</v>
      </c>
      <c r="E2656" t="str">
        <v>D</v>
      </c>
      <c r="F2656">
        <f>VLOOKUP(D2634,'Detail Balok'!$C$10:$AU$110,43,FALSE)</f>
        <v>10</v>
      </c>
      <c r="G2656" t="str">
        <v>-</v>
      </c>
      <c r="H2656">
        <f>VLOOKUP(D2634,'Detail Balok'!$C$10:$AU$110,45,FALSE)</f>
        <v>125</v>
      </c>
      <c r="J2656">
        <f>(IF(D2656=0,(2*(D2635+G2635))-(F$5*8),IF(D2656=3,(2*(D2635+G2635))-(F$5*8)+(G2635-2*F$5),IF(D2656=4,(2*(D2635+G2635))-(F$5*8)+2*(G2635-2*F$5)))))/1000</f>
        <v>1.28</v>
      </c>
      <c r="K2656" t="str">
        <v>+</v>
      </c>
      <c r="L2656">
        <f>IF(D2656=0,2*MAX(6*F2656,75),(D2656-1)*2*MAX(6*F2656,75))/1000</f>
        <v>0.15</v>
      </c>
      <c r="M2656" t="str">
        <v>=</v>
      </c>
      <c r="N2656">
        <f>J2656+L2656</f>
        <v>1.43</v>
      </c>
      <c r="T2656" t="str">
        <v>x</v>
      </c>
      <c r="U2656">
        <f>0.006165*F2656^2</f>
        <v>0.6165</v>
      </c>
      <c r="V2656" t="str">
        <v>x</v>
      </c>
      <c r="W2656">
        <f>IF(D2637&gt;4*G2635,ROUND(MAX(D2637/4,2*G2635)/H2656,0)+1,0)</f>
        <v>13</v>
      </c>
      <c r="X2656" t="str">
        <v>x</v>
      </c>
      <c r="Y2656">
        <f>D2640</f>
        <v>1</v>
      </c>
      <c r="Z2656" t="str">
        <v>=</v>
      </c>
      <c r="AA2656">
        <f>N2656*U2656*W2656*Y2656</f>
        <v>11.460735</v>
      </c>
    </row>
    <row r="2658">
      <c r="A2658" t="str">
        <f>A2634</f>
        <v>Sloof</v>
      </c>
      <c r="B2658">
        <f>B2634</f>
        <v>80</v>
      </c>
      <c r="C2658" t="str">
        <v>Kait Horizontal Tump.</v>
      </c>
      <c r="D2658">
        <f>VLOOKUP(D2634,'Detail Balok'!$C$10:$BJ$110,46,FALSE)</f>
        <v>0</v>
      </c>
      <c r="E2658" t="str">
        <v>D</v>
      </c>
      <c r="F2658">
        <f>VLOOKUP(D2634,'Detail Balok'!$C$10:$BJ$110,48,FALSE)</f>
        <v>0</v>
      </c>
      <c r="G2658" t="str">
        <v>-</v>
      </c>
      <c r="H2658">
        <f>VLOOKUP(D2634,'Detail Balok'!$C$10:$BJ$110,50,FALSE)</f>
        <v>100</v>
      </c>
      <c r="J2658">
        <f>(D2635-2*F$5)/1000</f>
        <v>0.22</v>
      </c>
      <c r="K2658" t="str">
        <v>+</v>
      </c>
      <c r="L2658">
        <f>IF(D2658=0,2*MAX(6*F2658,75),(D2658-1)*2*MAX(6*F2658,75))/1000</f>
        <v>0.15</v>
      </c>
      <c r="M2658" t="str">
        <v>=</v>
      </c>
      <c r="N2658">
        <f>J2658+L2658</f>
        <v>0.37</v>
      </c>
      <c r="T2658" t="str">
        <v>x</v>
      </c>
      <c r="U2658">
        <f>0.006165*F2658^2</f>
        <v>0</v>
      </c>
      <c r="V2658" t="str">
        <v>x</v>
      </c>
      <c r="W2658">
        <f>W2654</f>
        <v>13</v>
      </c>
      <c r="X2658" t="str">
        <v>x</v>
      </c>
      <c r="Y2658">
        <f>D2644</f>
        <v>0</v>
      </c>
      <c r="Z2658" t="str">
        <v>=</v>
      </c>
      <c r="AA2658">
        <f>N2658*U2658*W2658*Y2658</f>
        <v>0</v>
      </c>
    </row>
    <row r="2659">
      <c r="A2659" t="str">
        <f>A2634</f>
        <v>Sloof</v>
      </c>
      <c r="B2659">
        <f>B2634</f>
        <v>80</v>
      </c>
      <c r="C2659" t="str">
        <v>Kait Horizontal Lap.</v>
      </c>
      <c r="D2659">
        <f>VLOOKUP(D2634,'Detail Balok'!$C$10:$BJ$110,51,FALSE)</f>
        <v>0</v>
      </c>
      <c r="E2659" t="str">
        <v>D</v>
      </c>
      <c r="F2659">
        <f>VLOOKUP(D2634,'Detail Balok'!$C$10:$BJ$110,53,FALSE)</f>
        <v>0</v>
      </c>
      <c r="G2659" t="str">
        <v>-</v>
      </c>
      <c r="H2659">
        <f>VLOOKUP(D2634,'Detail Balok'!$C$10:$BJ$110,55,FALSE)</f>
        <v>100</v>
      </c>
      <c r="J2659">
        <f>(D2635-2*F$5)/1000</f>
        <v>0.22</v>
      </c>
      <c r="K2659" t="str">
        <v>+</v>
      </c>
      <c r="L2659">
        <f>IF(D2659=0,2*MAX(6*F2659,75),(D2659-1)*2*MAX(6*F2659,75))/1000</f>
        <v>0.15</v>
      </c>
      <c r="M2659" t="str">
        <v>=</v>
      </c>
      <c r="N2659">
        <f>J2659+L2659</f>
        <v>0.37</v>
      </c>
      <c r="T2659" t="str">
        <v>x</v>
      </c>
      <c r="U2659">
        <f>0.006165*F2659^2</f>
        <v>0</v>
      </c>
      <c r="V2659" t="str">
        <v>x</v>
      </c>
      <c r="W2659">
        <f>W2655</f>
        <v>15</v>
      </c>
      <c r="X2659" t="str">
        <v>x</v>
      </c>
      <c r="Y2659">
        <f>D2644</f>
        <v>0</v>
      </c>
      <c r="Z2659" t="str">
        <v>=</v>
      </c>
      <c r="AA2659">
        <f>N2659*U2659*W2659*Y2659</f>
        <v>0</v>
      </c>
    </row>
    <row r="2660">
      <c r="A2660" t="str">
        <f>A2634</f>
        <v>Sloof</v>
      </c>
      <c r="B2660">
        <f>B2634</f>
        <v>80</v>
      </c>
      <c r="C2660" t="str">
        <v>Kait Horizontal Tump.</v>
      </c>
      <c r="D2660">
        <f>VLOOKUP(D2634,'Detail Balok'!$C$10:$BJ$110,56,FALSE)</f>
        <v>0</v>
      </c>
      <c r="E2660" t="str">
        <v>D</v>
      </c>
      <c r="F2660">
        <f>VLOOKUP(D2634,'Detail Balok'!$C$10:$BJ$110,58,FALSE)</f>
        <v>0</v>
      </c>
      <c r="G2660" t="str">
        <v>-</v>
      </c>
      <c r="H2660">
        <f>VLOOKUP(D2634,'Detail Balok'!$C$10:$BJ$110,60,FALSE)</f>
        <v>100</v>
      </c>
      <c r="J2660">
        <f>(D2635-2*F$5)/1000</f>
        <v>0.22</v>
      </c>
      <c r="K2660" t="str">
        <v>+</v>
      </c>
      <c r="L2660">
        <f>IF(D2660=0,2*MAX(6*F2660,75),(D2660-1)*2*MAX(6*F2660,75))/1000</f>
        <v>0.15</v>
      </c>
      <c r="M2660" t="str">
        <v>=</v>
      </c>
      <c r="N2660">
        <f>J2660+L2660</f>
        <v>0.37</v>
      </c>
      <c r="T2660" t="str">
        <v>x</v>
      </c>
      <c r="U2660">
        <f>0.006165*F2660^2</f>
        <v>0</v>
      </c>
      <c r="V2660" t="str">
        <v>x</v>
      </c>
      <c r="W2660">
        <f>W2656</f>
        <v>13</v>
      </c>
      <c r="X2660" t="str">
        <v>x</v>
      </c>
      <c r="Y2660">
        <f>D2644</f>
        <v>0</v>
      </c>
      <c r="Z2660" t="str">
        <v>=</v>
      </c>
      <c r="AA2660">
        <f>N2660*U2660*W2660*Y2660</f>
        <v>0</v>
      </c>
    </row>
    <row r="2664">
      <c r="A2664" t="str">
        <f>A2634</f>
        <v>Sloof</v>
      </c>
      <c r="B2664">
        <f>B2634+1</f>
        <v>81</v>
      </c>
      <c r="C2664" t="str">
        <f>CONCATENATE(A2664," no. ",B2664)</f>
        <v>Sloof no. 81</v>
      </c>
      <c r="D2664" t="str">
        <f>VLOOKUP(C2664,'Data Panjang Balok'!$C$9:$N$424,2,FALSE)</f>
        <v>TB245-2</v>
      </c>
    </row>
    <row r="2665">
      <c r="C2665" t="str">
        <v>Dimensi</v>
      </c>
      <c r="D2665">
        <f>VLOOKUP(D2664,'Detail Balok'!$C$10:$AU$110,2,FALSE)</f>
        <v>200</v>
      </c>
      <c r="F2665" t="str">
        <v>x</v>
      </c>
      <c r="G2665">
        <f>VLOOKUP(D2664,'Detail Balok'!$C$10:$AU$110,3,FALSE)</f>
        <v>450</v>
      </c>
    </row>
    <row r="2666">
      <c r="C2666" t="str">
        <v>Panjang as ke as</v>
      </c>
      <c r="D2666">
        <f>VLOOKUP(C2664,'Data Panjang Balok'!$C$9:$N$424,4,FALSE)</f>
        <v>3600</v>
      </c>
    </row>
    <row r="2667">
      <c r="C2667" t="str">
        <v>Panjang netto</v>
      </c>
      <c r="D2667">
        <f>VLOOKUP(C2664,'Data Panjang Balok'!$C$9:$N$424,7,FALSE)</f>
        <v>3600</v>
      </c>
    </row>
    <row r="2668">
      <c r="C2668" t="str">
        <v>Kolom / balok kiri</v>
      </c>
      <c r="D2668">
        <f>VLOOKUP(C2664,'Data Panjang Balok'!$C$9:$N$424,9,FALSE)</f>
        <v>0</v>
      </c>
    </row>
    <row r="2669">
      <c r="C2669" t="str">
        <v>Kolom / balok kanan</v>
      </c>
      <c r="D2669">
        <f>VLOOKUP(C2664,'Data Panjang Balok'!$C$9:$N$424,10,FALSE)</f>
        <v>0</v>
      </c>
    </row>
    <row r="2670">
      <c r="C2670" t="str">
        <v>Jumlah</v>
      </c>
      <c r="D2670">
        <f>VLOOKUP(C2664,'Data Panjang Balok'!$C$9:$N$424,3,FALSE)</f>
        <v>1</v>
      </c>
    </row>
    <row r="2671">
      <c r="A2671" t="str">
        <f>A2664</f>
        <v>Sloof</v>
      </c>
      <c r="B2671">
        <f>B2664</f>
        <v>81</v>
      </c>
      <c r="C2671" t="str">
        <v>Tul Atas Tumpuan</v>
      </c>
      <c r="D2671">
        <f>VLOOKUP(D2664,'Detail Balok'!$C$10:$AU$110,4,FALSE)</f>
        <v>4</v>
      </c>
      <c r="E2671" t="str">
        <v>D</v>
      </c>
      <c r="F2671">
        <f>VLOOKUP(D2664,'Detail Balok'!$C$10:$AU$110,6,FALSE)</f>
        <v>13</v>
      </c>
      <c r="I2671" t="str">
        <v>(</v>
      </c>
      <c r="J2671">
        <f>+D2666/4/1000</f>
        <v>0.9</v>
      </c>
      <c r="K2671" t="str">
        <v>+</v>
      </c>
      <c r="L2671">
        <f>MAX(VLOOKUP(F2671,N$6:P$15,3,FALSE)/1000,2/3*D2668/1000)+F$16*F2671/1000</f>
        <v>0.156</v>
      </c>
      <c r="M2671" t="str">
        <v>=</v>
      </c>
      <c r="N2671">
        <f>J2671+L2671</f>
        <v>1.056</v>
      </c>
      <c r="O2671" t="str">
        <v>+</v>
      </c>
      <c r="P2671">
        <f>D2671-D2672</f>
        <v>2</v>
      </c>
      <c r="Q2671" t="str">
        <v>x</v>
      </c>
      <c r="R2671">
        <f>IF(P2671&gt;0,$F$18*F2671/1000,0)</f>
        <v>0.195</v>
      </c>
      <c r="S2671" t="str">
        <v>)</v>
      </c>
      <c r="T2671" t="str">
        <v>x</v>
      </c>
      <c r="U2671">
        <f>0.006165*F2671^2</f>
        <v>1.041885</v>
      </c>
      <c r="X2671" t="str">
        <v>x</v>
      </c>
      <c r="Y2671">
        <f>D2670</f>
        <v>1</v>
      </c>
      <c r="Z2671" t="str">
        <v>=</v>
      </c>
      <c r="AA2671">
        <f>IF(AA2674=0,(D2671*N2671+P2671*R2671)*U2671*Y2671,0)</f>
        <v>4.807257389999999</v>
      </c>
    </row>
    <row r="2672">
      <c r="A2672" t="str">
        <f>A2664</f>
        <v>Sloof</v>
      </c>
      <c r="B2672">
        <f>B2664</f>
        <v>81</v>
      </c>
      <c r="C2672" t="str">
        <v>Tul Atas Lapangan</v>
      </c>
      <c r="D2672">
        <f>VLOOKUP(D2664,'Detail Balok'!$C$10:$AU$110,7,FALSE)</f>
        <v>2</v>
      </c>
      <c r="E2672" t="str">
        <v>D</v>
      </c>
      <c r="F2672">
        <f>VLOOKUP(D2664,'Detail Balok'!$C$10:$AU$110,9,FALSE)</f>
        <v>13</v>
      </c>
      <c r="I2672" t="str">
        <v>(</v>
      </c>
      <c r="J2672">
        <f>+D2666/2/1000</f>
        <v>1.8</v>
      </c>
      <c r="K2672" t="str">
        <v>+</v>
      </c>
      <c r="M2672" t="str">
        <v>=</v>
      </c>
      <c r="N2672">
        <f>J2672+L2672</f>
        <v>1.8</v>
      </c>
      <c r="O2672" t="str">
        <v>+</v>
      </c>
      <c r="P2672">
        <f>MAX(D2672-D2671,D2672-D2673)</f>
        <v>-2</v>
      </c>
      <c r="Q2672" t="str">
        <v>x</v>
      </c>
      <c r="R2672">
        <f>IF(P2672&gt;0,2*(1-2*$F$19-1/2)*D2667/1000,0)</f>
        <v>0</v>
      </c>
      <c r="S2672" t="str">
        <v>)</v>
      </c>
      <c r="T2672" t="str">
        <v>x</v>
      </c>
      <c r="U2672">
        <f>0.006165*F2672^2</f>
        <v>1.041885</v>
      </c>
      <c r="X2672" t="str">
        <v>x</v>
      </c>
      <c r="Y2672">
        <f>D2670</f>
        <v>1</v>
      </c>
      <c r="Z2672" t="str">
        <v>=</v>
      </c>
      <c r="AA2672">
        <f>IF(AA2674=0,(D2672*N2672+P2672*R2672)*U2672*Y2672,0)</f>
        <v>3.7507859999999997</v>
      </c>
    </row>
    <row r="2673">
      <c r="A2673" t="str">
        <f>A2664</f>
        <v>Sloof</v>
      </c>
      <c r="B2673">
        <f>B2664</f>
        <v>81</v>
      </c>
      <c r="C2673" t="str">
        <v>Tul Atas Tumpuan</v>
      </c>
      <c r="D2673">
        <f>VLOOKUP(D2664,'Detail Balok'!$C$10:$AU$110,10,FALSE)</f>
        <v>4</v>
      </c>
      <c r="E2673" t="str">
        <v>D</v>
      </c>
      <c r="F2673">
        <f>VLOOKUP(D2664,'Detail Balok'!$C$10:$AU$110,12,FALSE)</f>
        <v>13</v>
      </c>
      <c r="I2673" t="str">
        <v>(</v>
      </c>
      <c r="J2673">
        <f>+D2666/4/1000</f>
        <v>0.9</v>
      </c>
      <c r="K2673" t="str">
        <v>+</v>
      </c>
      <c r="L2673">
        <f>MAX(VLOOKUP(F2673,N$6:P$15,3,FALSE)/1000,2/3*D2668/1000)+F$16*F2673/1000</f>
        <v>0.156</v>
      </c>
      <c r="M2673" t="str">
        <v>=</v>
      </c>
      <c r="N2673">
        <f>J2673+L2673</f>
        <v>1.056</v>
      </c>
      <c r="O2673" t="str">
        <v>+</v>
      </c>
      <c r="P2673">
        <f>D2673-D2672</f>
        <v>2</v>
      </c>
      <c r="Q2673" t="str">
        <v>x</v>
      </c>
      <c r="R2673">
        <f>IF(P2673&gt;0,$F$18*F2673/1000,0)</f>
        <v>0.195</v>
      </c>
      <c r="S2673" t="str">
        <v>)</v>
      </c>
      <c r="T2673" t="str">
        <v>x</v>
      </c>
      <c r="U2673">
        <f>0.006165*F2673^2</f>
        <v>1.041885</v>
      </c>
      <c r="X2673" t="str">
        <v>x</v>
      </c>
      <c r="Y2673">
        <f>D2670</f>
        <v>1</v>
      </c>
      <c r="Z2673" t="str">
        <v>=</v>
      </c>
      <c r="AA2673">
        <f>IF(AA2674=0,(D2673*N2673+P2673*R2673)*U2673*Y2673,0)</f>
        <v>4.807257389999999</v>
      </c>
    </row>
    <row r="2674">
      <c r="A2674" t="str">
        <f>A2664</f>
        <v>Sloof</v>
      </c>
      <c r="B2674">
        <f>B2664</f>
        <v>81</v>
      </c>
      <c r="D2674">
        <f>IF(AND(D2671=D2672,D2672=D2673,D2671=D2673),D2671,0)</f>
        <v>0</v>
      </c>
      <c r="E2674" t="str">
        <v>D</v>
      </c>
      <c r="F2674">
        <f>IF(AND(F2671=F2672,F2671=F2673,F2672=F2673),F2671,0)</f>
        <v>13</v>
      </c>
      <c r="L2674" t="str">
        <v>Total panjang per balok</v>
      </c>
      <c r="M2674" t="str">
        <v>=</v>
      </c>
      <c r="N2674">
        <f>IF(AND(D2671=D2672,D2671=D2673,D2672=D2673,F2671=F2672,F2671=F2673,F2672=F2673),SUM(N2671:N2673),0)</f>
        <v>0</v>
      </c>
      <c r="O2674" t="str">
        <v>+</v>
      </c>
      <c r="P2674">
        <f>IF(N2674&gt;12,ROUNDDOWN(N2674/12,0),0)</f>
        <v>0</v>
      </c>
      <c r="Q2674" t="str">
        <v>x</v>
      </c>
      <c r="R2674">
        <f>IF(P2674&gt;0,MAX(VLOOKUP(F2674,$D$6:$G$15,3,FALSE),600),0)/1000</f>
        <v>0</v>
      </c>
      <c r="T2674" t="str">
        <v>x</v>
      </c>
      <c r="U2674">
        <f>U2673</f>
        <v>1.041885</v>
      </c>
      <c r="V2674" t="str">
        <v>x</v>
      </c>
      <c r="W2674">
        <f>D2674</f>
        <v>0</v>
      </c>
      <c r="X2674" t="str">
        <v>x</v>
      </c>
      <c r="Y2674">
        <f>Y2673</f>
        <v>1</v>
      </c>
      <c r="Z2674" t="str">
        <v>=</v>
      </c>
      <c r="AA2674">
        <f>(N2674+P2674*R2674/1000)*U2674*W2674*Y2674</f>
        <v>0</v>
      </c>
    </row>
    <row r="2676">
      <c r="A2676" t="str">
        <f>A2664</f>
        <v>Sloof</v>
      </c>
      <c r="B2676">
        <f>B2664</f>
        <v>81</v>
      </c>
      <c r="C2676" t="str">
        <v>Tul Peminggang</v>
      </c>
      <c r="D2676">
        <f>VLOOKUP(D2664,'Detail Balok'!$C$10:$AU$110,13,FALSE)</f>
        <v>2</v>
      </c>
      <c r="E2676" t="str">
        <v>D</v>
      </c>
      <c r="F2676">
        <f>VLOOKUP(D2664,'Detail Balok'!$C$10:$AU$110,15,FALSE)</f>
        <v>8</v>
      </c>
      <c r="J2676">
        <f>+D2666/1000</f>
        <v>3.6</v>
      </c>
      <c r="K2676" t="str">
        <v>+</v>
      </c>
      <c r="L2676">
        <f>2*$F$16*F2676/1000</f>
        <v>0.192</v>
      </c>
      <c r="M2676" t="str">
        <v>=</v>
      </c>
      <c r="N2676">
        <f>J2676+L2676</f>
        <v>3.7920000000000003</v>
      </c>
      <c r="O2676" t="str">
        <v>+</v>
      </c>
      <c r="P2676">
        <f>IF(N2676&gt;12,ROUNDDOWN(N2676/12,0),0)</f>
        <v>0</v>
      </c>
      <c r="Q2676" t="str">
        <v>x</v>
      </c>
      <c r="R2676">
        <f>IF(P2676&gt;0,MAX(VLOOKUP(F2676,$D$6:$G$15,3,FALSE),600),0)/1000</f>
        <v>0</v>
      </c>
      <c r="T2676" t="str">
        <v>x</v>
      </c>
      <c r="U2676">
        <f>0.006165*F2676^2</f>
        <v>0.39456</v>
      </c>
      <c r="V2676" t="str">
        <v>x</v>
      </c>
      <c r="W2676">
        <f>+D2676</f>
        <v>2</v>
      </c>
      <c r="X2676" t="str">
        <v>x</v>
      </c>
      <c r="Y2676">
        <f>D2670</f>
        <v>1</v>
      </c>
      <c r="Z2676" t="str">
        <v>=</v>
      </c>
      <c r="AA2676">
        <f>(N2676+P2676*R2676/1000)*U2676*W2676*Y2676</f>
        <v>2.99234304</v>
      </c>
    </row>
    <row r="2679">
      <c r="A2679" t="str">
        <f>A2664</f>
        <v>Sloof</v>
      </c>
      <c r="B2679">
        <f>B2664</f>
        <v>81</v>
      </c>
      <c r="C2679" t="str">
        <v>Tul Bawah Tumpuan</v>
      </c>
      <c r="D2679">
        <f>VLOOKUP(D2664,'Detail Balok'!$C$10:$AU$110,22,FALSE)</f>
        <v>4</v>
      </c>
      <c r="E2679" t="str">
        <v>D</v>
      </c>
      <c r="F2679">
        <f>VLOOKUP(D2664,'Detail Balok'!$C$10:$AU$110,24,FALSE)</f>
        <v>13</v>
      </c>
      <c r="I2679" t="str">
        <v>(</v>
      </c>
      <c r="J2679">
        <f>+J2671</f>
        <v>0.9</v>
      </c>
      <c r="K2679" t="str">
        <v>+</v>
      </c>
      <c r="L2679">
        <f>MAX(VLOOKUP(F2679,N$6:P$15,3,FALSE)/1000,2/3*D2669/1000)+F$16*F2679/1000</f>
        <v>0.156</v>
      </c>
      <c r="M2679" t="str">
        <v>=</v>
      </c>
      <c r="N2679">
        <f>J2679+L2679</f>
        <v>1.056</v>
      </c>
      <c r="O2679" t="str">
        <v>+</v>
      </c>
      <c r="P2679">
        <f>D2679-D2680</f>
        <v>0</v>
      </c>
      <c r="Q2679" t="str">
        <v>x</v>
      </c>
      <c r="R2679">
        <f>IF(P2679&gt;0,$F$18*F2679/1000,0)</f>
        <v>0</v>
      </c>
      <c r="S2679" t="str">
        <v>)</v>
      </c>
      <c r="T2679" t="str">
        <v>x</v>
      </c>
      <c r="U2679">
        <f>0.006165*F2679^2</f>
        <v>1.041885</v>
      </c>
      <c r="X2679" t="str">
        <v>x</v>
      </c>
      <c r="Y2679">
        <f>D2670</f>
        <v>1</v>
      </c>
      <c r="Z2679" t="str">
        <v>=</v>
      </c>
      <c r="AA2679">
        <f>IF(AA2682=0,(D2679*N2679+P2679*R2679)*U2679*Y2679,0)</f>
        <v>0</v>
      </c>
    </row>
    <row r="2680">
      <c r="A2680" t="str">
        <f>A2664</f>
        <v>Sloof</v>
      </c>
      <c r="B2680">
        <f>B2664</f>
        <v>81</v>
      </c>
      <c r="C2680" t="str">
        <v>Tul Bawah Lapangan</v>
      </c>
      <c r="D2680">
        <f>VLOOKUP(D2664,'Detail Balok'!$C$10:$AU$110,25,FALSE)</f>
        <v>4</v>
      </c>
      <c r="E2680" t="str">
        <v>D</v>
      </c>
      <c r="F2680">
        <f>VLOOKUP(D2664,'Detail Balok'!$C$10:$AU$110,27,FALSE)</f>
        <v>13</v>
      </c>
      <c r="I2680" t="str">
        <v>(</v>
      </c>
      <c r="J2680">
        <f>+J2672</f>
        <v>1.8</v>
      </c>
      <c r="K2680" t="str">
        <v>+</v>
      </c>
      <c r="M2680" t="str">
        <v>=</v>
      </c>
      <c r="N2680">
        <f>J2680+L2680</f>
        <v>1.8</v>
      </c>
      <c r="O2680" t="str">
        <v>+</v>
      </c>
      <c r="P2680">
        <f>MAX(D2680-D2679,D2680-D2681)</f>
        <v>0</v>
      </c>
      <c r="Q2680" t="str">
        <v>x</v>
      </c>
      <c r="R2680">
        <f>IF(P2680&gt;0,2*(1-2*$F$19-1/2)*D2667/1000,0)</f>
        <v>0</v>
      </c>
      <c r="S2680" t="str">
        <v>)</v>
      </c>
      <c r="T2680" t="str">
        <v>x</v>
      </c>
      <c r="U2680">
        <f>0.006165*F2680^2</f>
        <v>1.041885</v>
      </c>
      <c r="X2680" t="str">
        <v>x</v>
      </c>
      <c r="Y2680">
        <f>D2670</f>
        <v>1</v>
      </c>
      <c r="Z2680" t="str">
        <v>=</v>
      </c>
      <c r="AA2680">
        <f>IF(AA2682=0,(D2680*N2680+P2680*R2680)*U2680*Y2680,0)</f>
        <v>0</v>
      </c>
    </row>
    <row r="2681">
      <c r="A2681" t="str">
        <f>A2664</f>
        <v>Sloof</v>
      </c>
      <c r="B2681">
        <f>B2664</f>
        <v>81</v>
      </c>
      <c r="C2681" t="str">
        <v>Tul Bawah Tumpuan</v>
      </c>
      <c r="D2681">
        <f>VLOOKUP(D2664,'Detail Balok'!$C$10:$AU$110,28,FALSE)</f>
        <v>4</v>
      </c>
      <c r="E2681" t="str">
        <v>D</v>
      </c>
      <c r="F2681">
        <f>VLOOKUP(D2664,'Detail Balok'!$C$10:$AU$110,30,FALSE)</f>
        <v>13</v>
      </c>
      <c r="I2681" t="str">
        <v>(</v>
      </c>
      <c r="J2681">
        <f>+J2673</f>
        <v>0.9</v>
      </c>
      <c r="K2681" t="str">
        <v>+</v>
      </c>
      <c r="L2681">
        <f>MAX(VLOOKUP(F2681,N$6:P$15,3,FALSE)/1000,2/3*D2669/1000)+F$16*F2681/1000</f>
        <v>0.156</v>
      </c>
      <c r="M2681" t="str">
        <v>=</v>
      </c>
      <c r="N2681">
        <f>J2681+L2681</f>
        <v>1.056</v>
      </c>
      <c r="O2681" t="str">
        <v>+</v>
      </c>
      <c r="P2681">
        <f>D2681-D2680</f>
        <v>0</v>
      </c>
      <c r="Q2681" t="str">
        <v>x</v>
      </c>
      <c r="R2681">
        <f>IF(P2681&gt;0,$F$18*F2681/1000,0)</f>
        <v>0</v>
      </c>
      <c r="S2681" t="str">
        <v>)</v>
      </c>
      <c r="T2681" t="str">
        <v>x</v>
      </c>
      <c r="U2681">
        <f>0.006165*F2681^2</f>
        <v>1.041885</v>
      </c>
      <c r="X2681" t="str">
        <v>x</v>
      </c>
      <c r="Y2681">
        <f>D2670</f>
        <v>1</v>
      </c>
      <c r="Z2681" t="str">
        <v>=</v>
      </c>
      <c r="AA2681">
        <f>IF(AA2682=0,(D2681*N2681+P2681*R2681)*U2681*Y2681,0)</f>
        <v>0</v>
      </c>
    </row>
    <row r="2682">
      <c r="A2682" t="str">
        <f>A2664</f>
        <v>Sloof</v>
      </c>
      <c r="B2682">
        <f>B2664</f>
        <v>81</v>
      </c>
      <c r="D2682">
        <f>IF(AND(D2679=D2680,D2680=D2681,D2679=D2681),D2679,0)</f>
        <v>4</v>
      </c>
      <c r="E2682" t="str">
        <v>D</v>
      </c>
      <c r="F2682">
        <f>IF(AND(F2679=F2680,F2679=F2681,F2680=F2681),F2679,0)</f>
        <v>13</v>
      </c>
      <c r="L2682" t="str">
        <v>Total panjang per balok</v>
      </c>
      <c r="M2682" t="str">
        <v>=</v>
      </c>
      <c r="N2682">
        <f>IF(AND(D2679=D2680,D2679=D2681,D2680=D2681,F2679=F2680,F2679=F2681,F2680=F2681),SUM(N2679:N2681),0)</f>
        <v>3.912</v>
      </c>
      <c r="O2682" t="str">
        <v>+</v>
      </c>
      <c r="P2682">
        <f>IF(N2682&gt;12,ROUNDDOWN(N2682/12,0),0)</f>
        <v>0</v>
      </c>
      <c r="Q2682" t="str">
        <v>x</v>
      </c>
      <c r="R2682">
        <f>IF(P2682&gt;0,MAX(VLOOKUP(F2682,$D$6:$G$15,3,FALSE),600),0)/1000</f>
        <v>0</v>
      </c>
      <c r="T2682" t="str">
        <v>x</v>
      </c>
      <c r="U2682">
        <f>U2681</f>
        <v>1.041885</v>
      </c>
      <c r="V2682" t="str">
        <v>x</v>
      </c>
      <c r="W2682">
        <f>D2682</f>
        <v>4</v>
      </c>
      <c r="X2682" t="str">
        <v>x</v>
      </c>
      <c r="Y2682">
        <f>Y2681</f>
        <v>1</v>
      </c>
      <c r="Z2682" t="str">
        <v>=</v>
      </c>
      <c r="AA2682">
        <f>(N2682+P2682*R2682/1000)*U2682*W2682*Y2682</f>
        <v>16.30341648</v>
      </c>
    </row>
    <row r="2684">
      <c r="A2684" t="str">
        <f>A2664</f>
        <v>Sloof</v>
      </c>
      <c r="B2684">
        <f>B2664</f>
        <v>81</v>
      </c>
      <c r="C2684" t="str">
        <v>Sengkang Tumpuan</v>
      </c>
      <c r="D2684">
        <f>VLOOKUP(D2664,'Detail Balok'!$C$10:$AU$110,31,FALSE)</f>
        <v>0</v>
      </c>
      <c r="E2684" t="str">
        <v>D</v>
      </c>
      <c r="F2684">
        <f>VLOOKUP(D2664,'Detail Balok'!$C$10:$AU$110,33,FALSE)</f>
        <v>8</v>
      </c>
      <c r="G2684" t="str">
        <v>-</v>
      </c>
      <c r="H2684">
        <f>VLOOKUP(D2664,'Detail Balok'!$C$10:$AU$110,35,FALSE)</f>
        <v>125</v>
      </c>
      <c r="J2684">
        <f>(IF(D2684=0,(2*(D2665+G2665))-(F$5*8),IF(D2684=3,(2*(D2665+G2665))-(F$5*8)+(G2665-2*F$5),IF(D2684=4,(2*(D2665+G2665))-(F$5*8)+2*(G2665-2*F$5)))))/1000</f>
        <v>0.98</v>
      </c>
      <c r="K2684" t="str">
        <v>+</v>
      </c>
      <c r="L2684">
        <f>IF(D2684=0,2*MAX(6*F2684,75),(D2684-1)*2*MAX(6*F2684,75))/1000</f>
        <v>0.15</v>
      </c>
      <c r="M2684" t="str">
        <v>=</v>
      </c>
      <c r="N2684">
        <f>J2684+L2684</f>
        <v>1.13</v>
      </c>
      <c r="T2684" t="str">
        <v>x</v>
      </c>
      <c r="U2684">
        <f>0.006165*F2684^2</f>
        <v>0.39456</v>
      </c>
      <c r="V2684" t="str">
        <v>x</v>
      </c>
      <c r="W2684">
        <f>IF(D2667&gt;4*G2665,ROUND(MAX(D2667/4,2*G2665)/H2684,0)+1,ROUND(D2667/H2684,0)+1)</f>
        <v>8</v>
      </c>
      <c r="X2684" t="str">
        <v>x</v>
      </c>
      <c r="Y2684">
        <f>D2670</f>
        <v>1</v>
      </c>
      <c r="Z2684" t="str">
        <v>=</v>
      </c>
      <c r="AA2684">
        <f>N2684*U2684*W2684*Y2684</f>
        <v>3.5668224</v>
      </c>
    </row>
    <row r="2685">
      <c r="A2685" t="str">
        <f>A2664</f>
        <v>Sloof</v>
      </c>
      <c r="B2685">
        <f>B2664</f>
        <v>81</v>
      </c>
      <c r="C2685" t="str">
        <v>Sengkang Lapangan</v>
      </c>
      <c r="D2685">
        <f>VLOOKUP(D2664,'Detail Balok'!$C$10:$AU$110,36,FALSE)</f>
        <v>0</v>
      </c>
      <c r="E2685" t="str">
        <v>D</v>
      </c>
      <c r="F2685">
        <f>VLOOKUP(D2664,'Detail Balok'!$C$10:$AU$110,38,FALSE)</f>
        <v>8</v>
      </c>
      <c r="G2685" t="str">
        <v>-</v>
      </c>
      <c r="H2685">
        <f>VLOOKUP(D2664,'Detail Balok'!$C$10:$AU$110,40,FALSE)</f>
        <v>150</v>
      </c>
      <c r="J2685">
        <f>(IF(D2685=0,(2*(D2665+G2665))-(F$5*8),IF(D2685=3,(2*(D2665+G2665))-(F$5*8)+(G2665-2*F$5),IF(D2685=4,(2*(D2665+G2665))-(F$5*8)+2*(G2665-2*F$5)))))/1000</f>
        <v>0.98</v>
      </c>
      <c r="K2685" t="str">
        <v>+</v>
      </c>
      <c r="L2685">
        <f>IF(D2685=0,2*MAX(6*F2685,75),(D2685-1)*2*MAX(6*F2685,75))/1000</f>
        <v>0.15</v>
      </c>
      <c r="M2685" t="str">
        <v>=</v>
      </c>
      <c r="N2685">
        <f>J2685+L2685</f>
        <v>1.13</v>
      </c>
      <c r="T2685" t="str">
        <v>x</v>
      </c>
      <c r="U2685">
        <f>0.006165*F2685^2</f>
        <v>0.39456</v>
      </c>
      <c r="V2685" t="str">
        <v>x</v>
      </c>
      <c r="W2685">
        <f>IF(D2667-MAX(D2667/4,2*G2665)*2&gt;0,ROUND((D2667-MAX(D2667/4,2*G2665)*2)/H2685,0),0)</f>
        <v>12</v>
      </c>
      <c r="X2685" t="str">
        <v>x</v>
      </c>
      <c r="Y2685">
        <f>D2670</f>
        <v>1</v>
      </c>
      <c r="Z2685" t="str">
        <v>=</v>
      </c>
      <c r="AA2685">
        <f>N2685*U2685*W2685*Y2685</f>
        <v>5.3502336</v>
      </c>
    </row>
    <row r="2686">
      <c r="A2686" t="str">
        <f>A2664</f>
        <v>Sloof</v>
      </c>
      <c r="B2686">
        <f>B2664</f>
        <v>81</v>
      </c>
      <c r="C2686" t="str">
        <v>Sengkang Tumpuan</v>
      </c>
      <c r="D2686">
        <f>VLOOKUP(D2664,'Detail Balok'!$C$10:$AU$110,41,FALSE)</f>
        <v>0</v>
      </c>
      <c r="E2686" t="str">
        <v>D</v>
      </c>
      <c r="F2686">
        <f>VLOOKUP(D2664,'Detail Balok'!$C$10:$AU$110,43,FALSE)</f>
        <v>8</v>
      </c>
      <c r="G2686" t="str">
        <v>-</v>
      </c>
      <c r="H2686">
        <f>VLOOKUP(D2664,'Detail Balok'!$C$10:$AU$110,45,FALSE)</f>
        <v>125</v>
      </c>
      <c r="J2686">
        <f>(IF(D2686=0,(2*(D2665+G2665))-(F$5*8),IF(D2686=3,(2*(D2665+G2665))-(F$5*8)+(G2665-2*F$5),IF(D2686=4,(2*(D2665+G2665))-(F$5*8)+2*(G2665-2*F$5)))))/1000</f>
        <v>0.98</v>
      </c>
      <c r="K2686" t="str">
        <v>+</v>
      </c>
      <c r="L2686">
        <f>IF(D2686=0,2*MAX(6*F2686,75),(D2686-1)*2*MAX(6*F2686,75))/1000</f>
        <v>0.15</v>
      </c>
      <c r="M2686" t="str">
        <v>=</v>
      </c>
      <c r="N2686">
        <f>J2686+L2686</f>
        <v>1.13</v>
      </c>
      <c r="T2686" t="str">
        <v>x</v>
      </c>
      <c r="U2686">
        <f>0.006165*F2686^2</f>
        <v>0.39456</v>
      </c>
      <c r="V2686" t="str">
        <v>x</v>
      </c>
      <c r="W2686">
        <f>IF(D2667&gt;4*G2665,ROUND(MAX(D2667/4,2*G2665)/H2686,0)+1,0)</f>
        <v>8</v>
      </c>
      <c r="X2686" t="str">
        <v>x</v>
      </c>
      <c r="Y2686">
        <f>D2670</f>
        <v>1</v>
      </c>
      <c r="Z2686" t="str">
        <v>=</v>
      </c>
      <c r="AA2686">
        <f>N2686*U2686*W2686*Y2686</f>
        <v>3.5668224</v>
      </c>
    </row>
    <row r="2688">
      <c r="A2688" t="str">
        <f>A2664</f>
        <v>Sloof</v>
      </c>
      <c r="B2688">
        <f>B2664</f>
        <v>81</v>
      </c>
      <c r="C2688" t="str">
        <v>Kait Horizontal Tump.</v>
      </c>
      <c r="D2688">
        <f>VLOOKUP(D2664,'Detail Balok'!$C$10:$BJ$110,46,FALSE)</f>
        <v>0</v>
      </c>
      <c r="E2688" t="str">
        <v>D</v>
      </c>
      <c r="F2688">
        <f>VLOOKUP(D2664,'Detail Balok'!$C$10:$BJ$110,48,FALSE)</f>
        <v>0</v>
      </c>
      <c r="G2688" t="str">
        <v>-</v>
      </c>
      <c r="H2688">
        <f>VLOOKUP(D2664,'Detail Balok'!$C$10:$BJ$110,50,FALSE)</f>
        <v>100</v>
      </c>
      <c r="J2688">
        <f>(D2665-2*F$5)/1000</f>
        <v>0.12</v>
      </c>
      <c r="K2688" t="str">
        <v>+</v>
      </c>
      <c r="L2688">
        <f>IF(D2688=0,2*MAX(6*F2688,75),(D2688-1)*2*MAX(6*F2688,75))/1000</f>
        <v>0.15</v>
      </c>
      <c r="M2688" t="str">
        <v>=</v>
      </c>
      <c r="N2688">
        <f>J2688+L2688</f>
        <v>0.27</v>
      </c>
      <c r="T2688" t="str">
        <v>x</v>
      </c>
      <c r="U2688">
        <f>0.006165*F2688^2</f>
        <v>0</v>
      </c>
      <c r="V2688" t="str">
        <v>x</v>
      </c>
      <c r="W2688">
        <f>W2684</f>
        <v>8</v>
      </c>
      <c r="X2688" t="str">
        <v>x</v>
      </c>
      <c r="Y2688">
        <f>D2674</f>
        <v>0</v>
      </c>
      <c r="Z2688" t="str">
        <v>=</v>
      </c>
      <c r="AA2688">
        <f>N2688*U2688*W2688*Y2688</f>
        <v>0</v>
      </c>
    </row>
    <row r="2689">
      <c r="A2689" t="str">
        <f>A2664</f>
        <v>Sloof</v>
      </c>
      <c r="B2689">
        <f>B2664</f>
        <v>81</v>
      </c>
      <c r="C2689" t="str">
        <v>Kait Horizontal Lap.</v>
      </c>
      <c r="D2689">
        <f>VLOOKUP(D2664,'Detail Balok'!$C$10:$BJ$110,51,FALSE)</f>
        <v>0</v>
      </c>
      <c r="E2689" t="str">
        <v>D</v>
      </c>
      <c r="F2689">
        <f>VLOOKUP(D2664,'Detail Balok'!$C$10:$BJ$110,53,FALSE)</f>
        <v>0</v>
      </c>
      <c r="G2689" t="str">
        <v>-</v>
      </c>
      <c r="H2689">
        <f>VLOOKUP(D2664,'Detail Balok'!$C$10:$BJ$110,55,FALSE)</f>
        <v>100</v>
      </c>
      <c r="J2689">
        <f>(D2665-2*F$5)/1000</f>
        <v>0.12</v>
      </c>
      <c r="K2689" t="str">
        <v>+</v>
      </c>
      <c r="L2689">
        <f>IF(D2689=0,2*MAX(6*F2689,75),(D2689-1)*2*MAX(6*F2689,75))/1000</f>
        <v>0.15</v>
      </c>
      <c r="M2689" t="str">
        <v>=</v>
      </c>
      <c r="N2689">
        <f>J2689+L2689</f>
        <v>0.27</v>
      </c>
      <c r="T2689" t="str">
        <v>x</v>
      </c>
      <c r="U2689">
        <f>0.006165*F2689^2</f>
        <v>0</v>
      </c>
      <c r="V2689" t="str">
        <v>x</v>
      </c>
      <c r="W2689">
        <f>W2685</f>
        <v>12</v>
      </c>
      <c r="X2689" t="str">
        <v>x</v>
      </c>
      <c r="Y2689">
        <f>D2674</f>
        <v>0</v>
      </c>
      <c r="Z2689" t="str">
        <v>=</v>
      </c>
      <c r="AA2689">
        <f>N2689*U2689*W2689*Y2689</f>
        <v>0</v>
      </c>
    </row>
    <row r="2690">
      <c r="A2690" t="str">
        <f>A2664</f>
        <v>Sloof</v>
      </c>
      <c r="B2690">
        <f>B2664</f>
        <v>81</v>
      </c>
      <c r="C2690" t="str">
        <v>Kait Horizontal Tump.</v>
      </c>
      <c r="D2690">
        <f>VLOOKUP(D2664,'Detail Balok'!$C$10:$BJ$110,56,FALSE)</f>
        <v>0</v>
      </c>
      <c r="E2690" t="str">
        <v>D</v>
      </c>
      <c r="F2690">
        <f>VLOOKUP(D2664,'Detail Balok'!$C$10:$BJ$110,58,FALSE)</f>
        <v>0</v>
      </c>
      <c r="G2690" t="str">
        <v>-</v>
      </c>
      <c r="H2690">
        <f>VLOOKUP(D2664,'Detail Balok'!$C$10:$BJ$110,60,FALSE)</f>
        <v>100</v>
      </c>
      <c r="J2690">
        <f>(D2665-2*F$5)/1000</f>
        <v>0.12</v>
      </c>
      <c r="K2690" t="str">
        <v>+</v>
      </c>
      <c r="L2690">
        <f>IF(D2690=0,2*MAX(6*F2690,75),(D2690-1)*2*MAX(6*F2690,75))/1000</f>
        <v>0.15</v>
      </c>
      <c r="M2690" t="str">
        <v>=</v>
      </c>
      <c r="N2690">
        <f>J2690+L2690</f>
        <v>0.27</v>
      </c>
      <c r="T2690" t="str">
        <v>x</v>
      </c>
      <c r="U2690">
        <f>0.006165*F2690^2</f>
        <v>0</v>
      </c>
      <c r="V2690" t="str">
        <v>x</v>
      </c>
      <c r="W2690">
        <f>W2686</f>
        <v>8</v>
      </c>
      <c r="X2690" t="str">
        <v>x</v>
      </c>
      <c r="Y2690">
        <f>D2674</f>
        <v>0</v>
      </c>
      <c r="Z2690" t="str">
        <v>=</v>
      </c>
      <c r="AA2690">
        <f>N2690*U2690*W2690*Y2690</f>
        <v>0</v>
      </c>
    </row>
    <row r="2694">
      <c r="A2694" t="str">
        <f>A2664</f>
        <v>Sloof</v>
      </c>
      <c r="B2694">
        <f>B2664+1</f>
        <v>82</v>
      </c>
      <c r="C2694" t="str">
        <f>CONCATENATE(A2694," no. ",B2694)</f>
        <v>Sloof no. 82</v>
      </c>
      <c r="D2694" t="str">
        <f>VLOOKUP(C2694,'Data Panjang Balok'!$C$9:$N$424,2,FALSE)</f>
        <v>TB25-3</v>
      </c>
    </row>
    <row r="2695">
      <c r="C2695" t="str">
        <v>Dimensi</v>
      </c>
      <c r="D2695">
        <f>VLOOKUP(D2694,'Detail Balok'!$C$10:$AU$110,2,FALSE)</f>
        <v>200</v>
      </c>
      <c r="F2695" t="str">
        <v>x</v>
      </c>
      <c r="G2695">
        <f>VLOOKUP(D2694,'Detail Balok'!$C$10:$AU$110,3,FALSE)</f>
        <v>500</v>
      </c>
    </row>
    <row r="2696">
      <c r="C2696" t="str">
        <v>Panjang as ke as</v>
      </c>
      <c r="D2696">
        <f>VLOOKUP(C2694,'Data Panjang Balok'!$C$9:$N$424,4,FALSE)</f>
        <v>5800</v>
      </c>
    </row>
    <row r="2697">
      <c r="C2697" t="str">
        <v>Panjang netto</v>
      </c>
      <c r="D2697">
        <f>VLOOKUP(C2694,'Data Panjang Balok'!$C$9:$N$424,7,FALSE)</f>
        <v>5800</v>
      </c>
    </row>
    <row r="2698">
      <c r="C2698" t="str">
        <v>Kolom / balok kiri</v>
      </c>
      <c r="D2698">
        <f>VLOOKUP(C2694,'Data Panjang Balok'!$C$9:$N$424,9,FALSE)</f>
        <v>0</v>
      </c>
    </row>
    <row r="2699">
      <c r="C2699" t="str">
        <v>Kolom / balok kanan</v>
      </c>
      <c r="D2699">
        <f>VLOOKUP(C2694,'Data Panjang Balok'!$C$9:$N$424,10,FALSE)</f>
        <v>0</v>
      </c>
    </row>
    <row r="2700">
      <c r="C2700" t="str">
        <v>Jumlah</v>
      </c>
      <c r="D2700">
        <f>VLOOKUP(C2694,'Data Panjang Balok'!$C$9:$N$424,3,FALSE)</f>
        <v>1</v>
      </c>
    </row>
    <row r="2701">
      <c r="A2701" t="str">
        <f>A2694</f>
        <v>Sloof</v>
      </c>
      <c r="B2701">
        <f>B2694</f>
        <v>82</v>
      </c>
      <c r="C2701" t="str">
        <v>Tul Atas Tumpuan</v>
      </c>
      <c r="D2701">
        <f>VLOOKUP(D2694,'Detail Balok'!$C$10:$AU$110,4,FALSE)</f>
        <v>5</v>
      </c>
      <c r="E2701" t="str">
        <v>D</v>
      </c>
      <c r="F2701">
        <f>VLOOKUP(D2694,'Detail Balok'!$C$10:$AU$110,6,FALSE)</f>
        <v>16</v>
      </c>
      <c r="I2701" t="str">
        <v>(</v>
      </c>
      <c r="J2701">
        <f>+D2696/4/1000</f>
        <v>1.45</v>
      </c>
      <c r="K2701" t="str">
        <v>+</v>
      </c>
      <c r="L2701">
        <f>MAX(VLOOKUP(F2701,N$6:P$15,3,FALSE)/1000,2/3*D2698/1000)+F$16*F2701/1000</f>
        <v>0.192</v>
      </c>
      <c r="M2701" t="str">
        <v>=</v>
      </c>
      <c r="N2701">
        <f>J2701+L2701</f>
        <v>1.642</v>
      </c>
      <c r="O2701" t="str">
        <v>+</v>
      </c>
      <c r="P2701">
        <f>D2701-D2702</f>
        <v>3</v>
      </c>
      <c r="Q2701" t="str">
        <v>x</v>
      </c>
      <c r="R2701">
        <f>IF(P2701&gt;0,$F$18*F2701/1000,0)</f>
        <v>0.24</v>
      </c>
      <c r="S2701" t="str">
        <v>)</v>
      </c>
      <c r="T2701" t="str">
        <v>x</v>
      </c>
      <c r="U2701">
        <f>0.006165*F2701^2</f>
        <v>1.57824</v>
      </c>
      <c r="X2701" t="str">
        <v>x</v>
      </c>
      <c r="Y2701">
        <f>D2700</f>
        <v>1</v>
      </c>
      <c r="Z2701" t="str">
        <v>=</v>
      </c>
      <c r="AA2701">
        <f>IF(AA2704=0,(D2701*N2701+P2701*R2701)*U2701*Y2701,0)</f>
        <v>14.093683200000001</v>
      </c>
    </row>
    <row r="2702">
      <c r="A2702" t="str">
        <f>A2694</f>
        <v>Sloof</v>
      </c>
      <c r="B2702">
        <f>B2694</f>
        <v>82</v>
      </c>
      <c r="C2702" t="str">
        <v>Tul Atas Lapangan</v>
      </c>
      <c r="D2702">
        <f>VLOOKUP(D2694,'Detail Balok'!$C$10:$AU$110,7,FALSE)</f>
        <v>2</v>
      </c>
      <c r="E2702" t="str">
        <v>D</v>
      </c>
      <c r="F2702">
        <f>VLOOKUP(D2694,'Detail Balok'!$C$10:$AU$110,9,FALSE)</f>
        <v>16</v>
      </c>
      <c r="I2702" t="str">
        <v>(</v>
      </c>
      <c r="J2702">
        <f>+D2696/2/1000</f>
        <v>2.9</v>
      </c>
      <c r="K2702" t="str">
        <v>+</v>
      </c>
      <c r="M2702" t="str">
        <v>=</v>
      </c>
      <c r="N2702">
        <f>J2702+L2702</f>
        <v>2.9</v>
      </c>
      <c r="O2702" t="str">
        <v>+</v>
      </c>
      <c r="P2702">
        <f>MAX(D2702-D2701,D2702-D2703)</f>
        <v>-3</v>
      </c>
      <c r="Q2702" t="str">
        <v>x</v>
      </c>
      <c r="R2702">
        <f>IF(P2702&gt;0,2*(1-2*$F$19-1/2)*D2697/1000,0)</f>
        <v>0</v>
      </c>
      <c r="S2702" t="str">
        <v>)</v>
      </c>
      <c r="T2702" t="str">
        <v>x</v>
      </c>
      <c r="U2702">
        <f>0.006165*F2702^2</f>
        <v>1.57824</v>
      </c>
      <c r="X2702" t="str">
        <v>x</v>
      </c>
      <c r="Y2702">
        <f>D2700</f>
        <v>1</v>
      </c>
      <c r="Z2702" t="str">
        <v>=</v>
      </c>
      <c r="AA2702">
        <f>IF(AA2704=0,(D2702*N2702+P2702*R2702)*U2702*Y2702,0)</f>
        <v>9.153792000000001</v>
      </c>
    </row>
    <row r="2703">
      <c r="A2703" t="str">
        <f>A2694</f>
        <v>Sloof</v>
      </c>
      <c r="B2703">
        <f>B2694</f>
        <v>82</v>
      </c>
      <c r="C2703" t="str">
        <v>Tul Atas Tumpuan</v>
      </c>
      <c r="D2703">
        <f>VLOOKUP(D2694,'Detail Balok'!$C$10:$AU$110,10,FALSE)</f>
        <v>5</v>
      </c>
      <c r="E2703" t="str">
        <v>D</v>
      </c>
      <c r="F2703">
        <f>VLOOKUP(D2694,'Detail Balok'!$C$10:$AU$110,12,FALSE)</f>
        <v>16</v>
      </c>
      <c r="I2703" t="str">
        <v>(</v>
      </c>
      <c r="J2703">
        <f>+D2696/4/1000</f>
        <v>1.45</v>
      </c>
      <c r="K2703" t="str">
        <v>+</v>
      </c>
      <c r="L2703">
        <f>MAX(VLOOKUP(F2703,N$6:P$15,3,FALSE)/1000,2/3*D2698/1000)+F$16*F2703/1000</f>
        <v>0.192</v>
      </c>
      <c r="M2703" t="str">
        <v>=</v>
      </c>
      <c r="N2703">
        <f>J2703+L2703</f>
        <v>1.642</v>
      </c>
      <c r="O2703" t="str">
        <v>+</v>
      </c>
      <c r="P2703">
        <f>D2703-D2702</f>
        <v>3</v>
      </c>
      <c r="Q2703" t="str">
        <v>x</v>
      </c>
      <c r="R2703">
        <f>IF(P2703&gt;0,$F$18*F2703/1000,0)</f>
        <v>0.24</v>
      </c>
      <c r="S2703" t="str">
        <v>)</v>
      </c>
      <c r="T2703" t="str">
        <v>x</v>
      </c>
      <c r="U2703">
        <f>0.006165*F2703^2</f>
        <v>1.57824</v>
      </c>
      <c r="X2703" t="str">
        <v>x</v>
      </c>
      <c r="Y2703">
        <f>D2700</f>
        <v>1</v>
      </c>
      <c r="Z2703" t="str">
        <v>=</v>
      </c>
      <c r="AA2703">
        <f>IF(AA2704=0,(D2703*N2703+P2703*R2703)*U2703*Y2703,0)</f>
        <v>14.093683200000001</v>
      </c>
    </row>
    <row r="2704">
      <c r="A2704" t="str">
        <f>A2694</f>
        <v>Sloof</v>
      </c>
      <c r="B2704">
        <f>B2694</f>
        <v>82</v>
      </c>
      <c r="D2704">
        <f>IF(AND(D2701=D2702,D2702=D2703,D2701=D2703),D2701,0)</f>
        <v>0</v>
      </c>
      <c r="E2704" t="str">
        <v>D</v>
      </c>
      <c r="F2704">
        <f>IF(AND(F2701=F2702,F2701=F2703,F2702=F2703),F2701,0)</f>
        <v>16</v>
      </c>
      <c r="L2704" t="str">
        <v>Total panjang per balok</v>
      </c>
      <c r="M2704" t="str">
        <v>=</v>
      </c>
      <c r="N2704">
        <f>IF(AND(D2701=D2702,D2701=D2703,D2702=D2703,F2701=F2702,F2701=F2703,F2702=F2703),SUM(N2701:N2703),0)</f>
        <v>0</v>
      </c>
      <c r="O2704" t="str">
        <v>+</v>
      </c>
      <c r="P2704">
        <f>IF(N2704&gt;12,ROUNDDOWN(N2704/12,0),0)</f>
        <v>0</v>
      </c>
      <c r="Q2704" t="str">
        <v>x</v>
      </c>
      <c r="R2704">
        <f>IF(P2704&gt;0,MAX(VLOOKUP(F2704,$D$6:$G$15,3,FALSE),600),0)/1000</f>
        <v>0</v>
      </c>
      <c r="T2704" t="str">
        <v>x</v>
      </c>
      <c r="U2704">
        <f>U2703</f>
        <v>1.57824</v>
      </c>
      <c r="V2704" t="str">
        <v>x</v>
      </c>
      <c r="W2704">
        <f>D2704</f>
        <v>0</v>
      </c>
      <c r="X2704" t="str">
        <v>x</v>
      </c>
      <c r="Y2704">
        <f>Y2703</f>
        <v>1</v>
      </c>
      <c r="Z2704" t="str">
        <v>=</v>
      </c>
      <c r="AA2704">
        <f>(N2704+P2704*R2704/1000)*U2704*W2704*Y2704</f>
        <v>0</v>
      </c>
    </row>
    <row r="2706">
      <c r="A2706" t="str">
        <f>A2694</f>
        <v>Sloof</v>
      </c>
      <c r="B2706">
        <f>B2694</f>
        <v>82</v>
      </c>
      <c r="C2706" t="str">
        <v>Tul Peminggang</v>
      </c>
      <c r="D2706">
        <f>VLOOKUP(D2694,'Detail Balok'!$C$10:$AU$110,13,FALSE)</f>
        <v>2</v>
      </c>
      <c r="E2706" t="str">
        <v>D</v>
      </c>
      <c r="F2706">
        <f>VLOOKUP(D2694,'Detail Balok'!$C$10:$AU$110,15,FALSE)</f>
        <v>10</v>
      </c>
      <c r="J2706">
        <f>+D2696/1000</f>
        <v>5.8</v>
      </c>
      <c r="K2706" t="str">
        <v>+</v>
      </c>
      <c r="L2706">
        <f>2*$F$16*F2706/1000</f>
        <v>0.24</v>
      </c>
      <c r="M2706" t="str">
        <v>=</v>
      </c>
      <c r="N2706">
        <f>J2706+L2706</f>
        <v>6.04</v>
      </c>
      <c r="O2706" t="str">
        <v>+</v>
      </c>
      <c r="P2706">
        <f>IF(N2706&gt;12,ROUNDDOWN(N2706/12,0),0)</f>
        <v>0</v>
      </c>
      <c r="Q2706" t="str">
        <v>x</v>
      </c>
      <c r="R2706">
        <f>IF(P2706&gt;0,MAX(VLOOKUP(F2706,$D$6:$G$15,3,FALSE),600),0)/1000</f>
        <v>0</v>
      </c>
      <c r="T2706" t="str">
        <v>x</v>
      </c>
      <c r="U2706">
        <f>0.006165*F2706^2</f>
        <v>0.6165</v>
      </c>
      <c r="V2706" t="str">
        <v>x</v>
      </c>
      <c r="W2706">
        <f>+D2706</f>
        <v>2</v>
      </c>
      <c r="X2706" t="str">
        <v>x</v>
      </c>
      <c r="Y2706">
        <f>D2700</f>
        <v>1</v>
      </c>
      <c r="Z2706" t="str">
        <v>=</v>
      </c>
      <c r="AA2706">
        <f>(N2706+P2706*R2706/1000)*U2706*W2706*Y2706</f>
        <v>7.44732</v>
      </c>
    </row>
    <row r="2709">
      <c r="A2709" t="str">
        <f>A2694</f>
        <v>Sloof</v>
      </c>
      <c r="B2709">
        <f>B2694</f>
        <v>82</v>
      </c>
      <c r="C2709" t="str">
        <v>Tul Bawah Tumpuan</v>
      </c>
      <c r="D2709">
        <f>VLOOKUP(D2694,'Detail Balok'!$C$10:$AU$110,22,FALSE)</f>
        <v>4</v>
      </c>
      <c r="E2709" t="str">
        <v>D</v>
      </c>
      <c r="F2709">
        <f>VLOOKUP(D2694,'Detail Balok'!$C$10:$AU$110,24,FALSE)</f>
        <v>16</v>
      </c>
      <c r="I2709" t="str">
        <v>(</v>
      </c>
      <c r="J2709">
        <f>+J2701</f>
        <v>1.45</v>
      </c>
      <c r="K2709" t="str">
        <v>+</v>
      </c>
      <c r="L2709">
        <f>MAX(VLOOKUP(F2709,N$6:P$15,3,FALSE)/1000,2/3*D2699/1000)+F$16*F2709/1000</f>
        <v>0.192</v>
      </c>
      <c r="M2709" t="str">
        <v>=</v>
      </c>
      <c r="N2709">
        <f>J2709+L2709</f>
        <v>1.642</v>
      </c>
      <c r="O2709" t="str">
        <v>+</v>
      </c>
      <c r="P2709">
        <f>D2709-D2710</f>
        <v>0</v>
      </c>
      <c r="Q2709" t="str">
        <v>x</v>
      </c>
      <c r="R2709">
        <f>IF(P2709&gt;0,$F$18*F2709/1000,0)</f>
        <v>0</v>
      </c>
      <c r="S2709" t="str">
        <v>)</v>
      </c>
      <c r="T2709" t="str">
        <v>x</v>
      </c>
      <c r="U2709">
        <f>0.006165*F2709^2</f>
        <v>1.57824</v>
      </c>
      <c r="X2709" t="str">
        <v>x</v>
      </c>
      <c r="Y2709">
        <f>D2700</f>
        <v>1</v>
      </c>
      <c r="Z2709" t="str">
        <v>=</v>
      </c>
      <c r="AA2709">
        <f>IF(AA2712=0,(D2709*N2709+P2709*R2709)*U2709*Y2709,0)</f>
        <v>0</v>
      </c>
    </row>
    <row r="2710">
      <c r="A2710" t="str">
        <f>A2694</f>
        <v>Sloof</v>
      </c>
      <c r="B2710">
        <f>B2694</f>
        <v>82</v>
      </c>
      <c r="C2710" t="str">
        <v>Tul Bawah Lapangan</v>
      </c>
      <c r="D2710">
        <f>VLOOKUP(D2694,'Detail Balok'!$C$10:$AU$110,25,FALSE)</f>
        <v>4</v>
      </c>
      <c r="E2710" t="str">
        <v>D</v>
      </c>
      <c r="F2710">
        <f>VLOOKUP(D2694,'Detail Balok'!$C$10:$AU$110,27,FALSE)</f>
        <v>16</v>
      </c>
      <c r="I2710" t="str">
        <v>(</v>
      </c>
      <c r="J2710">
        <f>+J2702</f>
        <v>2.9</v>
      </c>
      <c r="K2710" t="str">
        <v>+</v>
      </c>
      <c r="M2710" t="str">
        <v>=</v>
      </c>
      <c r="N2710">
        <f>J2710+L2710</f>
        <v>2.9</v>
      </c>
      <c r="O2710" t="str">
        <v>+</v>
      </c>
      <c r="P2710">
        <f>MAX(D2710-D2709,D2710-D2711)</f>
        <v>0</v>
      </c>
      <c r="Q2710" t="str">
        <v>x</v>
      </c>
      <c r="R2710">
        <f>IF(P2710&gt;0,2*(1-2*$F$19-1/2)*D2697/1000,0)</f>
        <v>0</v>
      </c>
      <c r="S2710" t="str">
        <v>)</v>
      </c>
      <c r="T2710" t="str">
        <v>x</v>
      </c>
      <c r="U2710">
        <f>0.006165*F2710^2</f>
        <v>1.57824</v>
      </c>
      <c r="X2710" t="str">
        <v>x</v>
      </c>
      <c r="Y2710">
        <f>D2700</f>
        <v>1</v>
      </c>
      <c r="Z2710" t="str">
        <v>=</v>
      </c>
      <c r="AA2710">
        <f>IF(AA2712=0,(D2710*N2710+P2710*R2710)*U2710*Y2710,0)</f>
        <v>0</v>
      </c>
    </row>
    <row r="2711">
      <c r="A2711" t="str">
        <f>A2694</f>
        <v>Sloof</v>
      </c>
      <c r="B2711">
        <f>B2694</f>
        <v>82</v>
      </c>
      <c r="C2711" t="str">
        <v>Tul Bawah Tumpuan</v>
      </c>
      <c r="D2711">
        <f>VLOOKUP(D2694,'Detail Balok'!$C$10:$AU$110,28,FALSE)</f>
        <v>4</v>
      </c>
      <c r="E2711" t="str">
        <v>D</v>
      </c>
      <c r="F2711">
        <f>VLOOKUP(D2694,'Detail Balok'!$C$10:$AU$110,30,FALSE)</f>
        <v>16</v>
      </c>
      <c r="I2711" t="str">
        <v>(</v>
      </c>
      <c r="J2711">
        <f>+J2703</f>
        <v>1.45</v>
      </c>
      <c r="K2711" t="str">
        <v>+</v>
      </c>
      <c r="L2711">
        <f>MAX(VLOOKUP(F2711,N$6:P$15,3,FALSE)/1000,2/3*D2699/1000)+F$16*F2711/1000</f>
        <v>0.192</v>
      </c>
      <c r="M2711" t="str">
        <v>=</v>
      </c>
      <c r="N2711">
        <f>J2711+L2711</f>
        <v>1.642</v>
      </c>
      <c r="O2711" t="str">
        <v>+</v>
      </c>
      <c r="P2711">
        <f>D2711-D2710</f>
        <v>0</v>
      </c>
      <c r="Q2711" t="str">
        <v>x</v>
      </c>
      <c r="R2711">
        <f>IF(P2711&gt;0,$F$18*F2711/1000,0)</f>
        <v>0</v>
      </c>
      <c r="S2711" t="str">
        <v>)</v>
      </c>
      <c r="T2711" t="str">
        <v>x</v>
      </c>
      <c r="U2711">
        <f>0.006165*F2711^2</f>
        <v>1.57824</v>
      </c>
      <c r="X2711" t="str">
        <v>x</v>
      </c>
      <c r="Y2711">
        <f>D2700</f>
        <v>1</v>
      </c>
      <c r="Z2711" t="str">
        <v>=</v>
      </c>
      <c r="AA2711">
        <f>IF(AA2712=0,(D2711*N2711+P2711*R2711)*U2711*Y2711,0)</f>
        <v>0</v>
      </c>
    </row>
    <row r="2712">
      <c r="A2712" t="str">
        <f>A2694</f>
        <v>Sloof</v>
      </c>
      <c r="B2712">
        <f>B2694</f>
        <v>82</v>
      </c>
      <c r="D2712">
        <f>IF(AND(D2709=D2710,D2710=D2711,D2709=D2711),D2709,0)</f>
        <v>4</v>
      </c>
      <c r="E2712" t="str">
        <v>D</v>
      </c>
      <c r="F2712">
        <f>IF(AND(F2709=F2710,F2709=F2711,F2710=F2711),F2709,0)</f>
        <v>16</v>
      </c>
      <c r="L2712" t="str">
        <v>Total panjang per balok</v>
      </c>
      <c r="M2712" t="str">
        <v>=</v>
      </c>
      <c r="N2712">
        <f>IF(AND(D2709=D2710,D2709=D2711,D2710=D2711,F2709=F2710,F2709=F2711,F2710=F2711),SUM(N2709:N2711),0)</f>
        <v>6.183999999999999</v>
      </c>
      <c r="O2712" t="str">
        <v>+</v>
      </c>
      <c r="P2712">
        <f>IF(N2712&gt;12,ROUNDDOWN(N2712/12,0),0)</f>
        <v>0</v>
      </c>
      <c r="Q2712" t="str">
        <v>x</v>
      </c>
      <c r="R2712">
        <f>IF(P2712&gt;0,MAX(VLOOKUP(F2712,$D$6:$G$15,3,FALSE),600),0)/1000</f>
        <v>0</v>
      </c>
      <c r="T2712" t="str">
        <v>x</v>
      </c>
      <c r="U2712">
        <f>U2711</f>
        <v>1.57824</v>
      </c>
      <c r="V2712" t="str">
        <v>x</v>
      </c>
      <c r="W2712">
        <f>D2712</f>
        <v>4</v>
      </c>
      <c r="X2712" t="str">
        <v>x</v>
      </c>
      <c r="Y2712">
        <f>Y2711</f>
        <v>1</v>
      </c>
      <c r="Z2712" t="str">
        <v>=</v>
      </c>
      <c r="AA2712">
        <f>(N2712+P2712*R2712/1000)*U2712*W2712*Y2712</f>
        <v>39.039344639999996</v>
      </c>
    </row>
    <row r="2714">
      <c r="A2714" t="str">
        <f>A2694</f>
        <v>Sloof</v>
      </c>
      <c r="B2714">
        <f>B2694</f>
        <v>82</v>
      </c>
      <c r="C2714" t="str">
        <v>Sengkang Tumpuan</v>
      </c>
      <c r="D2714">
        <f>VLOOKUP(D2694,'Detail Balok'!$C$10:$AU$110,31,FALSE)</f>
        <v>0</v>
      </c>
      <c r="E2714" t="str">
        <v>D</v>
      </c>
      <c r="F2714">
        <f>VLOOKUP(D2694,'Detail Balok'!$C$10:$AU$110,33,FALSE)</f>
        <v>10</v>
      </c>
      <c r="G2714" t="str">
        <v>-</v>
      </c>
      <c r="H2714">
        <f>VLOOKUP(D2694,'Detail Balok'!$C$10:$AU$110,35,FALSE)</f>
        <v>200</v>
      </c>
      <c r="J2714">
        <f>(IF(D2714=0,(2*(D2695+G2695))-(F$5*8),IF(D2714=3,(2*(D2695+G2695))-(F$5*8)+(G2695-2*F$5),IF(D2714=4,(2*(D2695+G2695))-(F$5*8)+2*(G2695-2*F$5)))))/1000</f>
        <v>1.08</v>
      </c>
      <c r="K2714" t="str">
        <v>+</v>
      </c>
      <c r="L2714">
        <f>IF(D2714=0,2*MAX(6*F2714,75),(D2714-1)*2*MAX(6*F2714,75))/1000</f>
        <v>0.15</v>
      </c>
      <c r="M2714" t="str">
        <v>=</v>
      </c>
      <c r="N2714">
        <f>J2714+L2714</f>
        <v>1.23</v>
      </c>
      <c r="T2714" t="str">
        <v>x</v>
      </c>
      <c r="U2714">
        <f>0.006165*F2714^2</f>
        <v>0.6165</v>
      </c>
      <c r="V2714" t="str">
        <v>x</v>
      </c>
      <c r="W2714">
        <f>IF(D2697&gt;4*G2695,ROUND(MAX(D2697/4,2*G2695)/H2714,0)+1,ROUND(D2697/H2714,0)+1)</f>
        <v>8</v>
      </c>
      <c r="X2714" t="str">
        <v>x</v>
      </c>
      <c r="Y2714">
        <f>D2700</f>
        <v>1</v>
      </c>
      <c r="Z2714" t="str">
        <v>=</v>
      </c>
      <c r="AA2714">
        <f>N2714*U2714*W2714*Y2714</f>
        <v>6.06636</v>
      </c>
    </row>
    <row r="2715">
      <c r="A2715" t="str">
        <f>A2694</f>
        <v>Sloof</v>
      </c>
      <c r="B2715">
        <f>B2694</f>
        <v>82</v>
      </c>
      <c r="C2715" t="str">
        <v>Sengkang Lapangan</v>
      </c>
      <c r="D2715">
        <f>VLOOKUP(D2694,'Detail Balok'!$C$10:$AU$110,36,FALSE)</f>
        <v>0</v>
      </c>
      <c r="E2715" t="str">
        <v>D</v>
      </c>
      <c r="F2715">
        <f>VLOOKUP(D2694,'Detail Balok'!$C$10:$AU$110,38,FALSE)</f>
        <v>10</v>
      </c>
      <c r="G2715" t="str">
        <v>-</v>
      </c>
      <c r="H2715">
        <f>VLOOKUP(D2694,'Detail Balok'!$C$10:$AU$110,40,FALSE)</f>
        <v>200</v>
      </c>
      <c r="J2715">
        <f>(IF(D2715=0,(2*(D2695+G2695))-(F$5*8),IF(D2715=3,(2*(D2695+G2695))-(F$5*8)+(G2695-2*F$5),IF(D2715=4,(2*(D2695+G2695))-(F$5*8)+2*(G2695-2*F$5)))))/1000</f>
        <v>1.08</v>
      </c>
      <c r="K2715" t="str">
        <v>+</v>
      </c>
      <c r="L2715">
        <f>IF(D2715=0,2*MAX(6*F2715,75),(D2715-1)*2*MAX(6*F2715,75))/1000</f>
        <v>0.15</v>
      </c>
      <c r="M2715" t="str">
        <v>=</v>
      </c>
      <c r="N2715">
        <f>J2715+L2715</f>
        <v>1.23</v>
      </c>
      <c r="T2715" t="str">
        <v>x</v>
      </c>
      <c r="U2715">
        <f>0.006165*F2715^2</f>
        <v>0.6165</v>
      </c>
      <c r="V2715" t="str">
        <v>x</v>
      </c>
      <c r="W2715">
        <f>IF(D2697-MAX(D2697/4,2*G2695)*2&gt;0,ROUND((D2697-MAX(D2697/4,2*G2695)*2)/H2715,0),0)</f>
        <v>15</v>
      </c>
      <c r="X2715" t="str">
        <v>x</v>
      </c>
      <c r="Y2715">
        <f>D2700</f>
        <v>1</v>
      </c>
      <c r="Z2715" t="str">
        <v>=</v>
      </c>
      <c r="AA2715">
        <f>N2715*U2715*W2715*Y2715</f>
        <v>11.374425</v>
      </c>
    </row>
    <row r="2716">
      <c r="A2716" t="str">
        <f>A2694</f>
        <v>Sloof</v>
      </c>
      <c r="B2716">
        <f>B2694</f>
        <v>82</v>
      </c>
      <c r="C2716" t="str">
        <v>Sengkang Tumpuan</v>
      </c>
      <c r="D2716">
        <f>VLOOKUP(D2694,'Detail Balok'!$C$10:$AU$110,41,FALSE)</f>
        <v>0</v>
      </c>
      <c r="E2716" t="str">
        <v>D</v>
      </c>
      <c r="F2716">
        <f>VLOOKUP(D2694,'Detail Balok'!$C$10:$AU$110,43,FALSE)</f>
        <v>10</v>
      </c>
      <c r="G2716" t="str">
        <v>-</v>
      </c>
      <c r="H2716">
        <f>VLOOKUP(D2694,'Detail Balok'!$C$10:$AU$110,45,FALSE)</f>
        <v>200</v>
      </c>
      <c r="J2716">
        <f>(IF(D2716=0,(2*(D2695+G2695))-(F$5*8),IF(D2716=3,(2*(D2695+G2695))-(F$5*8)+(G2695-2*F$5),IF(D2716=4,(2*(D2695+G2695))-(F$5*8)+2*(G2695-2*F$5)))))/1000</f>
        <v>1.08</v>
      </c>
      <c r="K2716" t="str">
        <v>+</v>
      </c>
      <c r="L2716">
        <f>IF(D2716=0,2*MAX(6*F2716,75),(D2716-1)*2*MAX(6*F2716,75))/1000</f>
        <v>0.15</v>
      </c>
      <c r="M2716" t="str">
        <v>=</v>
      </c>
      <c r="N2716">
        <f>J2716+L2716</f>
        <v>1.23</v>
      </c>
      <c r="T2716" t="str">
        <v>x</v>
      </c>
      <c r="U2716">
        <f>0.006165*F2716^2</f>
        <v>0.6165</v>
      </c>
      <c r="V2716" t="str">
        <v>x</v>
      </c>
      <c r="W2716">
        <f>IF(D2697&gt;4*G2695,ROUND(MAX(D2697/4,2*G2695)/H2716,0)+1,0)</f>
        <v>8</v>
      </c>
      <c r="X2716" t="str">
        <v>x</v>
      </c>
      <c r="Y2716">
        <f>D2700</f>
        <v>1</v>
      </c>
      <c r="Z2716" t="str">
        <v>=</v>
      </c>
      <c r="AA2716">
        <f>N2716*U2716*W2716*Y2716</f>
        <v>6.06636</v>
      </c>
    </row>
    <row r="2718">
      <c r="A2718" t="str">
        <f>A2694</f>
        <v>Sloof</v>
      </c>
      <c r="B2718">
        <f>B2694</f>
        <v>82</v>
      </c>
      <c r="C2718" t="str">
        <v>Kait Horizontal Tump.</v>
      </c>
      <c r="D2718">
        <f>VLOOKUP(D2694,'Detail Balok'!$C$10:$BJ$110,46,FALSE)</f>
        <v>0</v>
      </c>
      <c r="E2718" t="str">
        <v>D</v>
      </c>
      <c r="F2718">
        <f>VLOOKUP(D2694,'Detail Balok'!$C$10:$BJ$110,48,FALSE)</f>
        <v>0</v>
      </c>
      <c r="G2718" t="str">
        <v>-</v>
      </c>
      <c r="H2718">
        <f>VLOOKUP(D2694,'Detail Balok'!$C$10:$BJ$110,50,FALSE)</f>
        <v>100</v>
      </c>
      <c r="J2718">
        <f>(D2695-2*F$5)/1000</f>
        <v>0.12</v>
      </c>
      <c r="K2718" t="str">
        <v>+</v>
      </c>
      <c r="L2718">
        <f>IF(D2718=0,2*MAX(6*F2718,75),(D2718-1)*2*MAX(6*F2718,75))/1000</f>
        <v>0.15</v>
      </c>
      <c r="M2718" t="str">
        <v>=</v>
      </c>
      <c r="N2718">
        <f>J2718+L2718</f>
        <v>0.27</v>
      </c>
      <c r="T2718" t="str">
        <v>x</v>
      </c>
      <c r="U2718">
        <f>0.006165*F2718^2</f>
        <v>0</v>
      </c>
      <c r="V2718" t="str">
        <v>x</v>
      </c>
      <c r="W2718">
        <f>W2714</f>
        <v>8</v>
      </c>
      <c r="X2718" t="str">
        <v>x</v>
      </c>
      <c r="Y2718">
        <f>D2704</f>
        <v>0</v>
      </c>
      <c r="Z2718" t="str">
        <v>=</v>
      </c>
      <c r="AA2718">
        <f>N2718*U2718*W2718*Y2718</f>
        <v>0</v>
      </c>
    </row>
    <row r="2719">
      <c r="A2719" t="str">
        <f>A2694</f>
        <v>Sloof</v>
      </c>
      <c r="B2719">
        <f>B2694</f>
        <v>82</v>
      </c>
      <c r="C2719" t="str">
        <v>Kait Horizontal Lap.</v>
      </c>
      <c r="D2719">
        <f>VLOOKUP(D2694,'Detail Balok'!$C$10:$BJ$110,51,FALSE)</f>
        <v>0</v>
      </c>
      <c r="E2719" t="str">
        <v>D</v>
      </c>
      <c r="F2719">
        <f>VLOOKUP(D2694,'Detail Balok'!$C$10:$BJ$110,53,FALSE)</f>
        <v>0</v>
      </c>
      <c r="G2719" t="str">
        <v>-</v>
      </c>
      <c r="H2719">
        <f>VLOOKUP(D2694,'Detail Balok'!$C$10:$BJ$110,55,FALSE)</f>
        <v>100</v>
      </c>
      <c r="J2719">
        <f>(D2695-2*F$5)/1000</f>
        <v>0.12</v>
      </c>
      <c r="K2719" t="str">
        <v>+</v>
      </c>
      <c r="L2719">
        <f>IF(D2719=0,2*MAX(6*F2719,75),(D2719-1)*2*MAX(6*F2719,75))/1000</f>
        <v>0.15</v>
      </c>
      <c r="M2719" t="str">
        <v>=</v>
      </c>
      <c r="N2719">
        <f>J2719+L2719</f>
        <v>0.27</v>
      </c>
      <c r="T2719" t="str">
        <v>x</v>
      </c>
      <c r="U2719">
        <f>0.006165*F2719^2</f>
        <v>0</v>
      </c>
      <c r="V2719" t="str">
        <v>x</v>
      </c>
      <c r="W2719">
        <f>W2715</f>
        <v>15</v>
      </c>
      <c r="X2719" t="str">
        <v>x</v>
      </c>
      <c r="Y2719">
        <f>D2704</f>
        <v>0</v>
      </c>
      <c r="Z2719" t="str">
        <v>=</v>
      </c>
      <c r="AA2719">
        <f>N2719*U2719*W2719*Y2719</f>
        <v>0</v>
      </c>
    </row>
    <row r="2720">
      <c r="A2720" t="str">
        <f>A2694</f>
        <v>Sloof</v>
      </c>
      <c r="B2720">
        <f>B2694</f>
        <v>82</v>
      </c>
      <c r="C2720" t="str">
        <v>Kait Horizontal Tump.</v>
      </c>
      <c r="D2720">
        <f>VLOOKUP(D2694,'Detail Balok'!$C$10:$BJ$110,56,FALSE)</f>
        <v>0</v>
      </c>
      <c r="E2720" t="str">
        <v>D</v>
      </c>
      <c r="F2720">
        <f>VLOOKUP(D2694,'Detail Balok'!$C$10:$BJ$110,58,FALSE)</f>
        <v>0</v>
      </c>
      <c r="G2720" t="str">
        <v>-</v>
      </c>
      <c r="H2720">
        <f>VLOOKUP(D2694,'Detail Balok'!$C$10:$BJ$110,60,FALSE)</f>
        <v>100</v>
      </c>
      <c r="J2720">
        <f>(D2695-2*F$5)/1000</f>
        <v>0.12</v>
      </c>
      <c r="K2720" t="str">
        <v>+</v>
      </c>
      <c r="L2720">
        <f>IF(D2720=0,2*MAX(6*F2720,75),(D2720-1)*2*MAX(6*F2720,75))/1000</f>
        <v>0.15</v>
      </c>
      <c r="M2720" t="str">
        <v>=</v>
      </c>
      <c r="N2720">
        <f>J2720+L2720</f>
        <v>0.27</v>
      </c>
      <c r="T2720" t="str">
        <v>x</v>
      </c>
      <c r="U2720">
        <f>0.006165*F2720^2</f>
        <v>0</v>
      </c>
      <c r="V2720" t="str">
        <v>x</v>
      </c>
      <c r="W2720">
        <f>W2716</f>
        <v>8</v>
      </c>
      <c r="X2720" t="str">
        <v>x</v>
      </c>
      <c r="Y2720">
        <f>D2704</f>
        <v>0</v>
      </c>
      <c r="Z2720" t="str">
        <v>=</v>
      </c>
      <c r="AA2720">
        <f>N2720*U2720*W2720*Y2720</f>
        <v>0</v>
      </c>
    </row>
    <row r="2724">
      <c r="A2724" t="str">
        <f>A2694</f>
        <v>Sloof</v>
      </c>
      <c r="B2724">
        <f>B2694+1</f>
        <v>83</v>
      </c>
      <c r="C2724" t="str">
        <f>CONCATENATE(A2724," no. ",B2724)</f>
        <v>Sloof no. 83</v>
      </c>
      <c r="D2724" t="str">
        <f>VLOOKUP(C2724,'Data Panjang Balok'!$C$9:$N$424,2,FALSE)</f>
        <v>TB245-2</v>
      </c>
    </row>
    <row r="2725">
      <c r="C2725" t="str">
        <v>Dimensi</v>
      </c>
      <c r="D2725">
        <f>VLOOKUP(D2724,'Detail Balok'!$C$10:$AU$110,2,FALSE)</f>
        <v>200</v>
      </c>
      <c r="F2725" t="str">
        <v>x</v>
      </c>
      <c r="G2725">
        <f>VLOOKUP(D2724,'Detail Balok'!$C$10:$AU$110,3,FALSE)</f>
        <v>450</v>
      </c>
    </row>
    <row r="2726">
      <c r="C2726" t="str">
        <v>Panjang as ke as</v>
      </c>
      <c r="D2726">
        <f>VLOOKUP(C2724,'Data Panjang Balok'!$C$9:$N$424,4,FALSE)</f>
        <v>3200</v>
      </c>
    </row>
    <row r="2727">
      <c r="C2727" t="str">
        <v>Panjang netto</v>
      </c>
      <c r="D2727">
        <f>VLOOKUP(C2724,'Data Panjang Balok'!$C$9:$N$424,7,FALSE)</f>
        <v>3200</v>
      </c>
    </row>
    <row r="2728">
      <c r="C2728" t="str">
        <v>Kolom / balok kiri</v>
      </c>
      <c r="D2728">
        <f>VLOOKUP(C2724,'Data Panjang Balok'!$C$9:$N$424,9,FALSE)</f>
        <v>0</v>
      </c>
    </row>
    <row r="2729">
      <c r="C2729" t="str">
        <v>Kolom / balok kanan</v>
      </c>
      <c r="D2729">
        <f>VLOOKUP(C2724,'Data Panjang Balok'!$C$9:$N$424,10,FALSE)</f>
        <v>0</v>
      </c>
    </row>
    <row r="2730">
      <c r="C2730" t="str">
        <v>Jumlah</v>
      </c>
      <c r="D2730">
        <f>VLOOKUP(C2724,'Data Panjang Balok'!$C$9:$N$424,3,FALSE)</f>
        <v>1</v>
      </c>
    </row>
    <row r="2731">
      <c r="A2731" t="str">
        <f>A2724</f>
        <v>Sloof</v>
      </c>
      <c r="B2731">
        <f>B2724</f>
        <v>83</v>
      </c>
      <c r="C2731" t="str">
        <v>Tul Atas Tumpuan</v>
      </c>
      <c r="D2731">
        <f>VLOOKUP(D2724,'Detail Balok'!$C$10:$AU$110,4,FALSE)</f>
        <v>4</v>
      </c>
      <c r="E2731" t="str">
        <v>D</v>
      </c>
      <c r="F2731">
        <f>VLOOKUP(D2724,'Detail Balok'!$C$10:$AU$110,6,FALSE)</f>
        <v>13</v>
      </c>
      <c r="I2731" t="str">
        <v>(</v>
      </c>
      <c r="J2731">
        <f>+D2726/4/1000</f>
        <v>0.8</v>
      </c>
      <c r="K2731" t="str">
        <v>+</v>
      </c>
      <c r="L2731">
        <f>MAX(VLOOKUP(F2731,N$6:P$15,3,FALSE)/1000,2/3*D2728/1000)+F$16*F2731/1000</f>
        <v>0.156</v>
      </c>
      <c r="M2731" t="str">
        <v>=</v>
      </c>
      <c r="N2731">
        <f>J2731+L2731</f>
        <v>0.9560000000000001</v>
      </c>
      <c r="O2731" t="str">
        <v>+</v>
      </c>
      <c r="P2731">
        <f>D2731-D2732</f>
        <v>2</v>
      </c>
      <c r="Q2731" t="str">
        <v>x</v>
      </c>
      <c r="R2731">
        <f>IF(P2731&gt;0,$F$18*F2731/1000,0)</f>
        <v>0.195</v>
      </c>
      <c r="S2731" t="str">
        <v>)</v>
      </c>
      <c r="T2731" t="str">
        <v>x</v>
      </c>
      <c r="U2731">
        <f>0.006165*F2731^2</f>
        <v>1.041885</v>
      </c>
      <c r="X2731" t="str">
        <v>x</v>
      </c>
      <c r="Y2731">
        <f>D2730</f>
        <v>1</v>
      </c>
      <c r="Z2731" t="str">
        <v>=</v>
      </c>
      <c r="AA2731">
        <f>IF(AA2734=0,(D2731*N2731+P2731*R2731)*U2731*Y2731,0)</f>
        <v>4.39050339</v>
      </c>
    </row>
    <row r="2732">
      <c r="A2732" t="str">
        <f>A2724</f>
        <v>Sloof</v>
      </c>
      <c r="B2732">
        <f>B2724</f>
        <v>83</v>
      </c>
      <c r="C2732" t="str">
        <v>Tul Atas Lapangan</v>
      </c>
      <c r="D2732">
        <f>VLOOKUP(D2724,'Detail Balok'!$C$10:$AU$110,7,FALSE)</f>
        <v>2</v>
      </c>
      <c r="E2732" t="str">
        <v>D</v>
      </c>
      <c r="F2732">
        <f>VLOOKUP(D2724,'Detail Balok'!$C$10:$AU$110,9,FALSE)</f>
        <v>13</v>
      </c>
      <c r="I2732" t="str">
        <v>(</v>
      </c>
      <c r="J2732">
        <f>+D2726/2/1000</f>
        <v>1.6</v>
      </c>
      <c r="K2732" t="str">
        <v>+</v>
      </c>
      <c r="M2732" t="str">
        <v>=</v>
      </c>
      <c r="N2732">
        <f>J2732+L2732</f>
        <v>1.6</v>
      </c>
      <c r="O2732" t="str">
        <v>+</v>
      </c>
      <c r="P2732">
        <f>MAX(D2732-D2731,D2732-D2733)</f>
        <v>-2</v>
      </c>
      <c r="Q2732" t="str">
        <v>x</v>
      </c>
      <c r="R2732">
        <f>IF(P2732&gt;0,2*(1-2*$F$19-1/2)*D2727/1000,0)</f>
        <v>0</v>
      </c>
      <c r="S2732" t="str">
        <v>)</v>
      </c>
      <c r="T2732" t="str">
        <v>x</v>
      </c>
      <c r="U2732">
        <f>0.006165*F2732^2</f>
        <v>1.041885</v>
      </c>
      <c r="X2732" t="str">
        <v>x</v>
      </c>
      <c r="Y2732">
        <f>D2730</f>
        <v>1</v>
      </c>
      <c r="Z2732" t="str">
        <v>=</v>
      </c>
      <c r="AA2732">
        <f>IF(AA2734=0,(D2732*N2732+P2732*R2732)*U2732*Y2732,0)</f>
        <v>3.334032</v>
      </c>
    </row>
    <row r="2733">
      <c r="A2733" t="str">
        <f>A2724</f>
        <v>Sloof</v>
      </c>
      <c r="B2733">
        <f>B2724</f>
        <v>83</v>
      </c>
      <c r="C2733" t="str">
        <v>Tul Atas Tumpuan</v>
      </c>
      <c r="D2733">
        <f>VLOOKUP(D2724,'Detail Balok'!$C$10:$AU$110,10,FALSE)</f>
        <v>4</v>
      </c>
      <c r="E2733" t="str">
        <v>D</v>
      </c>
      <c r="F2733">
        <f>VLOOKUP(D2724,'Detail Balok'!$C$10:$AU$110,12,FALSE)</f>
        <v>13</v>
      </c>
      <c r="I2733" t="str">
        <v>(</v>
      </c>
      <c r="J2733">
        <f>+D2726/4/1000</f>
        <v>0.8</v>
      </c>
      <c r="K2733" t="str">
        <v>+</v>
      </c>
      <c r="L2733">
        <f>MAX(VLOOKUP(F2733,N$6:P$15,3,FALSE)/1000,2/3*D2728/1000)+F$16*F2733/1000</f>
        <v>0.156</v>
      </c>
      <c r="M2733" t="str">
        <v>=</v>
      </c>
      <c r="N2733">
        <f>J2733+L2733</f>
        <v>0.9560000000000001</v>
      </c>
      <c r="O2733" t="str">
        <v>+</v>
      </c>
      <c r="P2733">
        <f>D2733-D2732</f>
        <v>2</v>
      </c>
      <c r="Q2733" t="str">
        <v>x</v>
      </c>
      <c r="R2733">
        <f>IF(P2733&gt;0,$F$18*F2733/1000,0)</f>
        <v>0.195</v>
      </c>
      <c r="S2733" t="str">
        <v>)</v>
      </c>
      <c r="T2733" t="str">
        <v>x</v>
      </c>
      <c r="U2733">
        <f>0.006165*F2733^2</f>
        <v>1.041885</v>
      </c>
      <c r="X2733" t="str">
        <v>x</v>
      </c>
      <c r="Y2733">
        <f>D2730</f>
        <v>1</v>
      </c>
      <c r="Z2733" t="str">
        <v>=</v>
      </c>
      <c r="AA2733">
        <f>IF(AA2734=0,(D2733*N2733+P2733*R2733)*U2733*Y2733,0)</f>
        <v>4.39050339</v>
      </c>
    </row>
    <row r="2734">
      <c r="A2734" t="str">
        <f>A2724</f>
        <v>Sloof</v>
      </c>
      <c r="B2734">
        <f>B2724</f>
        <v>83</v>
      </c>
      <c r="D2734">
        <f>IF(AND(D2731=D2732,D2732=D2733,D2731=D2733),D2731,0)</f>
        <v>0</v>
      </c>
      <c r="E2734" t="str">
        <v>D</v>
      </c>
      <c r="F2734">
        <f>IF(AND(F2731=F2732,F2731=F2733,F2732=F2733),F2731,0)</f>
        <v>13</v>
      </c>
      <c r="L2734" t="str">
        <v>Total panjang per balok</v>
      </c>
      <c r="M2734" t="str">
        <v>=</v>
      </c>
      <c r="N2734">
        <f>IF(AND(D2731=D2732,D2731=D2733,D2732=D2733,F2731=F2732,F2731=F2733,F2732=F2733),SUM(N2731:N2733),0)</f>
        <v>0</v>
      </c>
      <c r="O2734" t="str">
        <v>+</v>
      </c>
      <c r="P2734">
        <f>IF(N2734&gt;12,ROUNDDOWN(N2734/12,0),0)</f>
        <v>0</v>
      </c>
      <c r="Q2734" t="str">
        <v>x</v>
      </c>
      <c r="R2734">
        <f>IF(P2734&gt;0,MAX(VLOOKUP(F2734,$D$6:$G$15,3,FALSE),600),0)/1000</f>
        <v>0</v>
      </c>
      <c r="T2734" t="str">
        <v>x</v>
      </c>
      <c r="U2734">
        <f>U2733</f>
        <v>1.041885</v>
      </c>
      <c r="V2734" t="str">
        <v>x</v>
      </c>
      <c r="W2734">
        <f>D2734</f>
        <v>0</v>
      </c>
      <c r="X2734" t="str">
        <v>x</v>
      </c>
      <c r="Y2734">
        <f>Y2733</f>
        <v>1</v>
      </c>
      <c r="Z2734" t="str">
        <v>=</v>
      </c>
      <c r="AA2734">
        <f>(N2734+P2734*R2734/1000)*U2734*W2734*Y2734</f>
        <v>0</v>
      </c>
    </row>
    <row r="2736">
      <c r="A2736" t="str">
        <f>A2724</f>
        <v>Sloof</v>
      </c>
      <c r="B2736">
        <f>B2724</f>
        <v>83</v>
      </c>
      <c r="C2736" t="str">
        <v>Tul Peminggang</v>
      </c>
      <c r="D2736">
        <f>VLOOKUP(D2724,'Detail Balok'!$C$10:$AU$110,13,FALSE)</f>
        <v>2</v>
      </c>
      <c r="E2736" t="str">
        <v>D</v>
      </c>
      <c r="F2736">
        <f>VLOOKUP(D2724,'Detail Balok'!$C$10:$AU$110,15,FALSE)</f>
        <v>8</v>
      </c>
      <c r="J2736">
        <f>+D2726/1000</f>
        <v>3.2</v>
      </c>
      <c r="K2736" t="str">
        <v>+</v>
      </c>
      <c r="L2736">
        <f>2*$F$16*F2736/1000</f>
        <v>0.192</v>
      </c>
      <c r="M2736" t="str">
        <v>=</v>
      </c>
      <c r="N2736">
        <f>J2736+L2736</f>
        <v>3.3920000000000003</v>
      </c>
      <c r="O2736" t="str">
        <v>+</v>
      </c>
      <c r="P2736">
        <f>IF(N2736&gt;12,ROUNDDOWN(N2736/12,0),0)</f>
        <v>0</v>
      </c>
      <c r="Q2736" t="str">
        <v>x</v>
      </c>
      <c r="R2736">
        <f>IF(P2736&gt;0,MAX(VLOOKUP(F2736,$D$6:$G$15,3,FALSE),600),0)/1000</f>
        <v>0</v>
      </c>
      <c r="T2736" t="str">
        <v>x</v>
      </c>
      <c r="U2736">
        <f>0.006165*F2736^2</f>
        <v>0.39456</v>
      </c>
      <c r="V2736" t="str">
        <v>x</v>
      </c>
      <c r="W2736">
        <f>+D2736</f>
        <v>2</v>
      </c>
      <c r="X2736" t="str">
        <v>x</v>
      </c>
      <c r="Y2736">
        <f>D2730</f>
        <v>1</v>
      </c>
      <c r="Z2736" t="str">
        <v>=</v>
      </c>
      <c r="AA2736">
        <f>(N2736+P2736*R2736/1000)*U2736*W2736*Y2736</f>
        <v>2.6766950400000002</v>
      </c>
    </row>
    <row r="2739">
      <c r="A2739" t="str">
        <f>A2724</f>
        <v>Sloof</v>
      </c>
      <c r="B2739">
        <f>B2724</f>
        <v>83</v>
      </c>
      <c r="C2739" t="str">
        <v>Tul Bawah Tumpuan</v>
      </c>
      <c r="D2739">
        <f>VLOOKUP(D2724,'Detail Balok'!$C$10:$AU$110,22,FALSE)</f>
        <v>4</v>
      </c>
      <c r="E2739" t="str">
        <v>D</v>
      </c>
      <c r="F2739">
        <f>VLOOKUP(D2724,'Detail Balok'!$C$10:$AU$110,24,FALSE)</f>
        <v>13</v>
      </c>
      <c r="I2739" t="str">
        <v>(</v>
      </c>
      <c r="J2739">
        <f>+J2731</f>
        <v>0.8</v>
      </c>
      <c r="K2739" t="str">
        <v>+</v>
      </c>
      <c r="L2739">
        <f>MAX(VLOOKUP(F2739,N$6:P$15,3,FALSE)/1000,2/3*D2729/1000)+F$16*F2739/1000</f>
        <v>0.156</v>
      </c>
      <c r="M2739" t="str">
        <v>=</v>
      </c>
      <c r="N2739">
        <f>J2739+L2739</f>
        <v>0.9560000000000001</v>
      </c>
      <c r="O2739" t="str">
        <v>+</v>
      </c>
      <c r="P2739">
        <f>D2739-D2740</f>
        <v>0</v>
      </c>
      <c r="Q2739" t="str">
        <v>x</v>
      </c>
      <c r="R2739">
        <f>IF(P2739&gt;0,$F$18*F2739/1000,0)</f>
        <v>0</v>
      </c>
      <c r="S2739" t="str">
        <v>)</v>
      </c>
      <c r="T2739" t="str">
        <v>x</v>
      </c>
      <c r="U2739">
        <f>0.006165*F2739^2</f>
        <v>1.041885</v>
      </c>
      <c r="X2739" t="str">
        <v>x</v>
      </c>
      <c r="Y2739">
        <f>D2730</f>
        <v>1</v>
      </c>
      <c r="Z2739" t="str">
        <v>=</v>
      </c>
      <c r="AA2739">
        <f>IF(AA2742=0,(D2739*N2739+P2739*R2739)*U2739*Y2739,0)</f>
        <v>0</v>
      </c>
    </row>
    <row r="2740">
      <c r="A2740" t="str">
        <f>A2724</f>
        <v>Sloof</v>
      </c>
      <c r="B2740">
        <f>B2724</f>
        <v>83</v>
      </c>
      <c r="C2740" t="str">
        <v>Tul Bawah Lapangan</v>
      </c>
      <c r="D2740">
        <f>VLOOKUP(D2724,'Detail Balok'!$C$10:$AU$110,25,FALSE)</f>
        <v>4</v>
      </c>
      <c r="E2740" t="str">
        <v>D</v>
      </c>
      <c r="F2740">
        <f>VLOOKUP(D2724,'Detail Balok'!$C$10:$AU$110,27,FALSE)</f>
        <v>13</v>
      </c>
      <c r="I2740" t="str">
        <v>(</v>
      </c>
      <c r="J2740">
        <f>+J2732</f>
        <v>1.6</v>
      </c>
      <c r="K2740" t="str">
        <v>+</v>
      </c>
      <c r="M2740" t="str">
        <v>=</v>
      </c>
      <c r="N2740">
        <f>J2740+L2740</f>
        <v>1.6</v>
      </c>
      <c r="O2740" t="str">
        <v>+</v>
      </c>
      <c r="P2740">
        <f>MAX(D2740-D2739,D2740-D2741)</f>
        <v>0</v>
      </c>
      <c r="Q2740" t="str">
        <v>x</v>
      </c>
      <c r="R2740">
        <f>IF(P2740&gt;0,2*(1-2*$F$19-1/2)*D2727/1000,0)</f>
        <v>0</v>
      </c>
      <c r="S2740" t="str">
        <v>)</v>
      </c>
      <c r="T2740" t="str">
        <v>x</v>
      </c>
      <c r="U2740">
        <f>0.006165*F2740^2</f>
        <v>1.041885</v>
      </c>
      <c r="X2740" t="str">
        <v>x</v>
      </c>
      <c r="Y2740">
        <f>D2730</f>
        <v>1</v>
      </c>
      <c r="Z2740" t="str">
        <v>=</v>
      </c>
      <c r="AA2740">
        <f>IF(AA2742=0,(D2740*N2740+P2740*R2740)*U2740*Y2740,0)</f>
        <v>0</v>
      </c>
    </row>
    <row r="2741">
      <c r="A2741" t="str">
        <f>A2724</f>
        <v>Sloof</v>
      </c>
      <c r="B2741">
        <f>B2724</f>
        <v>83</v>
      </c>
      <c r="C2741" t="str">
        <v>Tul Bawah Tumpuan</v>
      </c>
      <c r="D2741">
        <f>VLOOKUP(D2724,'Detail Balok'!$C$10:$AU$110,28,FALSE)</f>
        <v>4</v>
      </c>
      <c r="E2741" t="str">
        <v>D</v>
      </c>
      <c r="F2741">
        <f>VLOOKUP(D2724,'Detail Balok'!$C$10:$AU$110,30,FALSE)</f>
        <v>13</v>
      </c>
      <c r="I2741" t="str">
        <v>(</v>
      </c>
      <c r="J2741">
        <f>+J2733</f>
        <v>0.8</v>
      </c>
      <c r="K2741" t="str">
        <v>+</v>
      </c>
      <c r="L2741">
        <f>MAX(VLOOKUP(F2741,N$6:P$15,3,FALSE)/1000,2/3*D2729/1000)+F$16*F2741/1000</f>
        <v>0.156</v>
      </c>
      <c r="M2741" t="str">
        <v>=</v>
      </c>
      <c r="N2741">
        <f>J2741+L2741</f>
        <v>0.9560000000000001</v>
      </c>
      <c r="O2741" t="str">
        <v>+</v>
      </c>
      <c r="P2741">
        <f>D2741-D2740</f>
        <v>0</v>
      </c>
      <c r="Q2741" t="str">
        <v>x</v>
      </c>
      <c r="R2741">
        <f>IF(P2741&gt;0,$F$18*F2741/1000,0)</f>
        <v>0</v>
      </c>
      <c r="S2741" t="str">
        <v>)</v>
      </c>
      <c r="T2741" t="str">
        <v>x</v>
      </c>
      <c r="U2741">
        <f>0.006165*F2741^2</f>
        <v>1.041885</v>
      </c>
      <c r="X2741" t="str">
        <v>x</v>
      </c>
      <c r="Y2741">
        <f>D2730</f>
        <v>1</v>
      </c>
      <c r="Z2741" t="str">
        <v>=</v>
      </c>
      <c r="AA2741">
        <f>IF(AA2742=0,(D2741*N2741+P2741*R2741)*U2741*Y2741,0)</f>
        <v>0</v>
      </c>
    </row>
    <row r="2742">
      <c r="A2742" t="str">
        <f>A2724</f>
        <v>Sloof</v>
      </c>
      <c r="B2742">
        <f>B2724</f>
        <v>83</v>
      </c>
      <c r="D2742">
        <f>IF(AND(D2739=D2740,D2740=D2741,D2739=D2741),D2739,0)</f>
        <v>4</v>
      </c>
      <c r="E2742" t="str">
        <v>D</v>
      </c>
      <c r="F2742">
        <f>IF(AND(F2739=F2740,F2739=F2741,F2740=F2741),F2739,0)</f>
        <v>13</v>
      </c>
      <c r="L2742" t="str">
        <v>Total panjang per balok</v>
      </c>
      <c r="M2742" t="str">
        <v>=</v>
      </c>
      <c r="N2742">
        <f>IF(AND(D2739=D2740,D2739=D2741,D2740=D2741,F2739=F2740,F2739=F2741,F2740=F2741),SUM(N2739:N2741),0)</f>
        <v>3.512</v>
      </c>
      <c r="O2742" t="str">
        <v>+</v>
      </c>
      <c r="P2742">
        <f>IF(N2742&gt;12,ROUNDDOWN(N2742/12,0),0)</f>
        <v>0</v>
      </c>
      <c r="Q2742" t="str">
        <v>x</v>
      </c>
      <c r="R2742">
        <f>IF(P2742&gt;0,MAX(VLOOKUP(F2742,$D$6:$G$15,3,FALSE),600),0)/1000</f>
        <v>0</v>
      </c>
      <c r="T2742" t="str">
        <v>x</v>
      </c>
      <c r="U2742">
        <f>U2741</f>
        <v>1.041885</v>
      </c>
      <c r="V2742" t="str">
        <v>x</v>
      </c>
      <c r="W2742">
        <f>D2742</f>
        <v>4</v>
      </c>
      <c r="X2742" t="str">
        <v>x</v>
      </c>
      <c r="Y2742">
        <f>Y2741</f>
        <v>1</v>
      </c>
      <c r="Z2742" t="str">
        <v>=</v>
      </c>
      <c r="AA2742">
        <f>(N2742+P2742*R2742/1000)*U2742*W2742*Y2742</f>
        <v>14.636400479999999</v>
      </c>
    </row>
    <row r="2744">
      <c r="A2744" t="str">
        <f>A2724</f>
        <v>Sloof</v>
      </c>
      <c r="B2744">
        <f>B2724</f>
        <v>83</v>
      </c>
      <c r="C2744" t="str">
        <v>Sengkang Tumpuan</v>
      </c>
      <c r="D2744">
        <f>VLOOKUP(D2724,'Detail Balok'!$C$10:$AU$110,31,FALSE)</f>
        <v>0</v>
      </c>
      <c r="E2744" t="str">
        <v>D</v>
      </c>
      <c r="F2744">
        <f>VLOOKUP(D2724,'Detail Balok'!$C$10:$AU$110,33,FALSE)</f>
        <v>8</v>
      </c>
      <c r="G2744" t="str">
        <v>-</v>
      </c>
      <c r="H2744">
        <f>VLOOKUP(D2724,'Detail Balok'!$C$10:$AU$110,35,FALSE)</f>
        <v>125</v>
      </c>
      <c r="J2744">
        <f>(IF(D2744=0,(2*(D2725+G2725))-(F$5*8),IF(D2744=3,(2*(D2725+G2725))-(F$5*8)+(G2725-2*F$5),IF(D2744=4,(2*(D2725+G2725))-(F$5*8)+2*(G2725-2*F$5)))))/1000</f>
        <v>0.98</v>
      </c>
      <c r="K2744" t="str">
        <v>+</v>
      </c>
      <c r="L2744">
        <f>IF(D2744=0,2*MAX(6*F2744,75),(D2744-1)*2*MAX(6*F2744,75))/1000</f>
        <v>0.15</v>
      </c>
      <c r="M2744" t="str">
        <v>=</v>
      </c>
      <c r="N2744">
        <f>J2744+L2744</f>
        <v>1.13</v>
      </c>
      <c r="T2744" t="str">
        <v>x</v>
      </c>
      <c r="U2744">
        <f>0.006165*F2744^2</f>
        <v>0.39456</v>
      </c>
      <c r="V2744" t="str">
        <v>x</v>
      </c>
      <c r="W2744">
        <f>IF(D2727&gt;4*G2725,ROUND(MAX(D2727/4,2*G2725)/H2744,0)+1,ROUND(D2727/H2744,0)+1)</f>
        <v>8</v>
      </c>
      <c r="X2744" t="str">
        <v>x</v>
      </c>
      <c r="Y2744">
        <f>D2730</f>
        <v>1</v>
      </c>
      <c r="Z2744" t="str">
        <v>=</v>
      </c>
      <c r="AA2744">
        <f>N2744*U2744*W2744*Y2744</f>
        <v>3.5668224</v>
      </c>
    </row>
    <row r="2745">
      <c r="A2745" t="str">
        <f>A2724</f>
        <v>Sloof</v>
      </c>
      <c r="B2745">
        <f>B2724</f>
        <v>83</v>
      </c>
      <c r="C2745" t="str">
        <v>Sengkang Lapangan</v>
      </c>
      <c r="D2745">
        <f>VLOOKUP(D2724,'Detail Balok'!$C$10:$AU$110,36,FALSE)</f>
        <v>0</v>
      </c>
      <c r="E2745" t="str">
        <v>D</v>
      </c>
      <c r="F2745">
        <f>VLOOKUP(D2724,'Detail Balok'!$C$10:$AU$110,38,FALSE)</f>
        <v>8</v>
      </c>
      <c r="G2745" t="str">
        <v>-</v>
      </c>
      <c r="H2745">
        <f>VLOOKUP(D2724,'Detail Balok'!$C$10:$AU$110,40,FALSE)</f>
        <v>150</v>
      </c>
      <c r="J2745">
        <f>(IF(D2745=0,(2*(D2725+G2725))-(F$5*8),IF(D2745=3,(2*(D2725+G2725))-(F$5*8)+(G2725-2*F$5),IF(D2745=4,(2*(D2725+G2725))-(F$5*8)+2*(G2725-2*F$5)))))/1000</f>
        <v>0.98</v>
      </c>
      <c r="K2745" t="str">
        <v>+</v>
      </c>
      <c r="L2745">
        <f>IF(D2745=0,2*MAX(6*F2745,75),(D2745-1)*2*MAX(6*F2745,75))/1000</f>
        <v>0.15</v>
      </c>
      <c r="M2745" t="str">
        <v>=</v>
      </c>
      <c r="N2745">
        <f>J2745+L2745</f>
        <v>1.13</v>
      </c>
      <c r="T2745" t="str">
        <v>x</v>
      </c>
      <c r="U2745">
        <f>0.006165*F2745^2</f>
        <v>0.39456</v>
      </c>
      <c r="V2745" t="str">
        <v>x</v>
      </c>
      <c r="W2745">
        <f>IF(D2727-MAX(D2727/4,2*G2725)*2&gt;0,ROUND((D2727-MAX(D2727/4,2*G2725)*2)/H2745,0),0)</f>
        <v>9</v>
      </c>
      <c r="X2745" t="str">
        <v>x</v>
      </c>
      <c r="Y2745">
        <f>D2730</f>
        <v>1</v>
      </c>
      <c r="Z2745" t="str">
        <v>=</v>
      </c>
      <c r="AA2745">
        <f>N2745*U2745*W2745*Y2745</f>
        <v>4.0126752</v>
      </c>
    </row>
    <row r="2746">
      <c r="A2746" t="str">
        <f>A2724</f>
        <v>Sloof</v>
      </c>
      <c r="B2746">
        <f>B2724</f>
        <v>83</v>
      </c>
      <c r="C2746" t="str">
        <v>Sengkang Tumpuan</v>
      </c>
      <c r="D2746">
        <f>VLOOKUP(D2724,'Detail Balok'!$C$10:$AU$110,41,FALSE)</f>
        <v>0</v>
      </c>
      <c r="E2746" t="str">
        <v>D</v>
      </c>
      <c r="F2746">
        <f>VLOOKUP(D2724,'Detail Balok'!$C$10:$AU$110,43,FALSE)</f>
        <v>8</v>
      </c>
      <c r="G2746" t="str">
        <v>-</v>
      </c>
      <c r="H2746">
        <f>VLOOKUP(D2724,'Detail Balok'!$C$10:$AU$110,45,FALSE)</f>
        <v>125</v>
      </c>
      <c r="J2746">
        <f>(IF(D2746=0,(2*(D2725+G2725))-(F$5*8),IF(D2746=3,(2*(D2725+G2725))-(F$5*8)+(G2725-2*F$5),IF(D2746=4,(2*(D2725+G2725))-(F$5*8)+2*(G2725-2*F$5)))))/1000</f>
        <v>0.98</v>
      </c>
      <c r="K2746" t="str">
        <v>+</v>
      </c>
      <c r="L2746">
        <f>IF(D2746=0,2*MAX(6*F2746,75),(D2746-1)*2*MAX(6*F2746,75))/1000</f>
        <v>0.15</v>
      </c>
      <c r="M2746" t="str">
        <v>=</v>
      </c>
      <c r="N2746">
        <f>J2746+L2746</f>
        <v>1.13</v>
      </c>
      <c r="T2746" t="str">
        <v>x</v>
      </c>
      <c r="U2746">
        <f>0.006165*F2746^2</f>
        <v>0.39456</v>
      </c>
      <c r="V2746" t="str">
        <v>x</v>
      </c>
      <c r="W2746">
        <f>IF(D2727&gt;4*G2725,ROUND(MAX(D2727/4,2*G2725)/H2746,0)+1,0)</f>
        <v>8</v>
      </c>
      <c r="X2746" t="str">
        <v>x</v>
      </c>
      <c r="Y2746">
        <f>D2730</f>
        <v>1</v>
      </c>
      <c r="Z2746" t="str">
        <v>=</v>
      </c>
      <c r="AA2746">
        <f>N2746*U2746*W2746*Y2746</f>
        <v>3.5668224</v>
      </c>
    </row>
    <row r="2748">
      <c r="A2748" t="str">
        <f>A2724</f>
        <v>Sloof</v>
      </c>
      <c r="B2748">
        <f>B2724</f>
        <v>83</v>
      </c>
      <c r="C2748" t="str">
        <v>Kait Horizontal Tump.</v>
      </c>
      <c r="D2748">
        <f>VLOOKUP(D2724,'Detail Balok'!$C$10:$BJ$110,46,FALSE)</f>
        <v>0</v>
      </c>
      <c r="E2748" t="str">
        <v>D</v>
      </c>
      <c r="F2748">
        <f>VLOOKUP(D2724,'Detail Balok'!$C$10:$BJ$110,48,FALSE)</f>
        <v>0</v>
      </c>
      <c r="G2748" t="str">
        <v>-</v>
      </c>
      <c r="H2748">
        <f>VLOOKUP(D2724,'Detail Balok'!$C$10:$BJ$110,50,FALSE)</f>
        <v>100</v>
      </c>
      <c r="J2748">
        <f>(D2725-2*F$5)/1000</f>
        <v>0.12</v>
      </c>
      <c r="K2748" t="str">
        <v>+</v>
      </c>
      <c r="L2748">
        <f>IF(D2748=0,2*MAX(6*F2748,75),(D2748-1)*2*MAX(6*F2748,75))/1000</f>
        <v>0.15</v>
      </c>
      <c r="M2748" t="str">
        <v>=</v>
      </c>
      <c r="N2748">
        <f>J2748+L2748</f>
        <v>0.27</v>
      </c>
      <c r="T2748" t="str">
        <v>x</v>
      </c>
      <c r="U2748">
        <f>0.006165*F2748^2</f>
        <v>0</v>
      </c>
      <c r="V2748" t="str">
        <v>x</v>
      </c>
      <c r="W2748">
        <f>W2744</f>
        <v>8</v>
      </c>
      <c r="X2748" t="str">
        <v>x</v>
      </c>
      <c r="Y2748">
        <f>D2734</f>
        <v>0</v>
      </c>
      <c r="Z2748" t="str">
        <v>=</v>
      </c>
      <c r="AA2748">
        <f>N2748*U2748*W2748*Y2748</f>
        <v>0</v>
      </c>
    </row>
    <row r="2749">
      <c r="A2749" t="str">
        <f>A2724</f>
        <v>Sloof</v>
      </c>
      <c r="B2749">
        <f>B2724</f>
        <v>83</v>
      </c>
      <c r="C2749" t="str">
        <v>Kait Horizontal Lap.</v>
      </c>
      <c r="D2749">
        <f>VLOOKUP(D2724,'Detail Balok'!$C$10:$BJ$110,51,FALSE)</f>
        <v>0</v>
      </c>
      <c r="E2749" t="str">
        <v>D</v>
      </c>
      <c r="F2749">
        <f>VLOOKUP(D2724,'Detail Balok'!$C$10:$BJ$110,53,FALSE)</f>
        <v>0</v>
      </c>
      <c r="G2749" t="str">
        <v>-</v>
      </c>
      <c r="H2749">
        <f>VLOOKUP(D2724,'Detail Balok'!$C$10:$BJ$110,55,FALSE)</f>
        <v>100</v>
      </c>
      <c r="J2749">
        <f>(D2725-2*F$5)/1000</f>
        <v>0.12</v>
      </c>
      <c r="K2749" t="str">
        <v>+</v>
      </c>
      <c r="L2749">
        <f>IF(D2749=0,2*MAX(6*F2749,75),(D2749-1)*2*MAX(6*F2749,75))/1000</f>
        <v>0.15</v>
      </c>
      <c r="M2749" t="str">
        <v>=</v>
      </c>
      <c r="N2749">
        <f>J2749+L2749</f>
        <v>0.27</v>
      </c>
      <c r="T2749" t="str">
        <v>x</v>
      </c>
      <c r="U2749">
        <f>0.006165*F2749^2</f>
        <v>0</v>
      </c>
      <c r="V2749" t="str">
        <v>x</v>
      </c>
      <c r="W2749">
        <f>W2745</f>
        <v>9</v>
      </c>
      <c r="X2749" t="str">
        <v>x</v>
      </c>
      <c r="Y2749">
        <f>D2734</f>
        <v>0</v>
      </c>
      <c r="Z2749" t="str">
        <v>=</v>
      </c>
      <c r="AA2749">
        <f>N2749*U2749*W2749*Y2749</f>
        <v>0</v>
      </c>
    </row>
    <row r="2750">
      <c r="A2750" t="str">
        <f>A2724</f>
        <v>Sloof</v>
      </c>
      <c r="B2750">
        <f>B2724</f>
        <v>83</v>
      </c>
      <c r="C2750" t="str">
        <v>Kait Horizontal Tump.</v>
      </c>
      <c r="D2750">
        <f>VLOOKUP(D2724,'Detail Balok'!$C$10:$BJ$110,56,FALSE)</f>
        <v>0</v>
      </c>
      <c r="E2750" t="str">
        <v>D</v>
      </c>
      <c r="F2750">
        <f>VLOOKUP(D2724,'Detail Balok'!$C$10:$BJ$110,58,FALSE)</f>
        <v>0</v>
      </c>
      <c r="G2750" t="str">
        <v>-</v>
      </c>
      <c r="H2750">
        <f>VLOOKUP(D2724,'Detail Balok'!$C$10:$BJ$110,60,FALSE)</f>
        <v>100</v>
      </c>
      <c r="J2750">
        <f>(D2725-2*F$5)/1000</f>
        <v>0.12</v>
      </c>
      <c r="K2750" t="str">
        <v>+</v>
      </c>
      <c r="L2750">
        <f>IF(D2750=0,2*MAX(6*F2750,75),(D2750-1)*2*MAX(6*F2750,75))/1000</f>
        <v>0.15</v>
      </c>
      <c r="M2750" t="str">
        <v>=</v>
      </c>
      <c r="N2750">
        <f>J2750+L2750</f>
        <v>0.27</v>
      </c>
      <c r="T2750" t="str">
        <v>x</v>
      </c>
      <c r="U2750">
        <f>0.006165*F2750^2</f>
        <v>0</v>
      </c>
      <c r="V2750" t="str">
        <v>x</v>
      </c>
      <c r="W2750">
        <f>W2746</f>
        <v>8</v>
      </c>
      <c r="X2750" t="str">
        <v>x</v>
      </c>
      <c r="Y2750">
        <f>D2734</f>
        <v>0</v>
      </c>
      <c r="Z2750" t="str">
        <v>=</v>
      </c>
      <c r="AA2750">
        <f>N2750*U2750*W2750*Y2750</f>
        <v>0</v>
      </c>
    </row>
    <row r="2754">
      <c r="A2754" t="str">
        <f>A2724</f>
        <v>Sloof</v>
      </c>
      <c r="B2754">
        <f>B2724+1</f>
        <v>84</v>
      </c>
      <c r="C2754" t="str">
        <f>CONCATENATE(A2754," no. ",B2754)</f>
        <v>Sloof no. 84</v>
      </c>
      <c r="D2754" t="str">
        <f>VLOOKUP(C2754,'Data Panjang Balok'!$C$9:$N$424,2,FALSE)</f>
        <v>TB25-2</v>
      </c>
    </row>
    <row r="2755">
      <c r="C2755" t="str">
        <v>Dimensi</v>
      </c>
      <c r="D2755">
        <f>VLOOKUP(D2754,'Detail Balok'!$C$10:$AU$110,2,FALSE)</f>
        <v>200</v>
      </c>
      <c r="F2755" t="str">
        <v>x</v>
      </c>
      <c r="G2755">
        <f>VLOOKUP(D2754,'Detail Balok'!$C$10:$AU$110,3,FALSE)</f>
        <v>500</v>
      </c>
    </row>
    <row r="2756">
      <c r="C2756" t="str">
        <v>Panjang as ke as</v>
      </c>
      <c r="D2756">
        <f>VLOOKUP(C2754,'Data Panjang Balok'!$C$9:$N$424,4,FALSE)</f>
        <v>10100</v>
      </c>
    </row>
    <row r="2757">
      <c r="C2757" t="str">
        <v>Panjang netto</v>
      </c>
      <c r="D2757">
        <f>VLOOKUP(C2754,'Data Panjang Balok'!$C$9:$N$424,7,FALSE)</f>
        <v>10100</v>
      </c>
    </row>
    <row r="2758">
      <c r="C2758" t="str">
        <v>Kolom / balok kiri</v>
      </c>
      <c r="D2758">
        <f>VLOOKUP(C2754,'Data Panjang Balok'!$C$9:$N$424,9,FALSE)</f>
        <v>0</v>
      </c>
    </row>
    <row r="2759">
      <c r="C2759" t="str">
        <v>Kolom / balok kanan</v>
      </c>
      <c r="D2759">
        <f>VLOOKUP(C2754,'Data Panjang Balok'!$C$9:$N$424,10,FALSE)</f>
        <v>0</v>
      </c>
    </row>
    <row r="2760">
      <c r="C2760" t="str">
        <v>Jumlah</v>
      </c>
      <c r="D2760">
        <f>VLOOKUP(C2754,'Data Panjang Balok'!$C$9:$N$424,3,FALSE)</f>
        <v>1</v>
      </c>
    </row>
    <row r="2761">
      <c r="A2761" t="str">
        <f>A2754</f>
        <v>Sloof</v>
      </c>
      <c r="B2761">
        <f>B2754</f>
        <v>84</v>
      </c>
      <c r="C2761" t="str">
        <v>Tul Atas Tumpuan</v>
      </c>
      <c r="D2761">
        <f>VLOOKUP(D2754,'Detail Balok'!$C$10:$AU$110,4,FALSE)</f>
        <v>4</v>
      </c>
      <c r="E2761" t="str">
        <v>D</v>
      </c>
      <c r="F2761">
        <f>VLOOKUP(D2754,'Detail Balok'!$C$10:$AU$110,6,FALSE)</f>
        <v>16</v>
      </c>
      <c r="I2761" t="str">
        <v>(</v>
      </c>
      <c r="J2761">
        <f>+D2756/4/1000</f>
        <v>2.525</v>
      </c>
      <c r="K2761" t="str">
        <v>+</v>
      </c>
      <c r="L2761">
        <f>MAX(VLOOKUP(F2761,N$6:P$15,3,FALSE)/1000,2/3*D2758/1000)+F$16*F2761/1000</f>
        <v>0.192</v>
      </c>
      <c r="M2761" t="str">
        <v>=</v>
      </c>
      <c r="N2761">
        <f>J2761+L2761</f>
        <v>2.717</v>
      </c>
      <c r="O2761" t="str">
        <v>+</v>
      </c>
      <c r="P2761">
        <f>D2761-D2762</f>
        <v>2</v>
      </c>
      <c r="Q2761" t="str">
        <v>x</v>
      </c>
      <c r="R2761">
        <f>IF(P2761&gt;0,$F$18*F2761/1000,0)</f>
        <v>0.24</v>
      </c>
      <c r="S2761" t="str">
        <v>)</v>
      </c>
      <c r="T2761" t="str">
        <v>x</v>
      </c>
      <c r="U2761">
        <f>0.006165*F2761^2</f>
        <v>1.57824</v>
      </c>
      <c r="X2761" t="str">
        <v>x</v>
      </c>
      <c r="Y2761">
        <f>D2760</f>
        <v>1</v>
      </c>
      <c r="Z2761" t="str">
        <v>=</v>
      </c>
      <c r="AA2761">
        <f>IF(AA2764=0,(D2761*N2761+P2761*R2761)*U2761*Y2761,0)</f>
        <v>17.909867520000002</v>
      </c>
    </row>
    <row r="2762">
      <c r="A2762" t="str">
        <f>A2754</f>
        <v>Sloof</v>
      </c>
      <c r="B2762">
        <f>B2754</f>
        <v>84</v>
      </c>
      <c r="C2762" t="str">
        <v>Tul Atas Lapangan</v>
      </c>
      <c r="D2762">
        <f>VLOOKUP(D2754,'Detail Balok'!$C$10:$AU$110,7,FALSE)</f>
        <v>2</v>
      </c>
      <c r="E2762" t="str">
        <v>D</v>
      </c>
      <c r="F2762">
        <f>VLOOKUP(D2754,'Detail Balok'!$C$10:$AU$110,9,FALSE)</f>
        <v>16</v>
      </c>
      <c r="I2762" t="str">
        <v>(</v>
      </c>
      <c r="J2762">
        <f>+D2756/2/1000</f>
        <v>5.05</v>
      </c>
      <c r="K2762" t="str">
        <v>+</v>
      </c>
      <c r="M2762" t="str">
        <v>=</v>
      </c>
      <c r="N2762">
        <f>J2762+L2762</f>
        <v>5.05</v>
      </c>
      <c r="O2762" t="str">
        <v>+</v>
      </c>
      <c r="P2762">
        <f>MAX(D2762-D2761,D2762-D2763)</f>
        <v>-2</v>
      </c>
      <c r="Q2762" t="str">
        <v>x</v>
      </c>
      <c r="R2762">
        <f>IF(P2762&gt;0,2*(1-2*$F$19-1/2)*D2757/1000,0)</f>
        <v>0</v>
      </c>
      <c r="S2762" t="str">
        <v>)</v>
      </c>
      <c r="T2762" t="str">
        <v>x</v>
      </c>
      <c r="U2762">
        <f>0.006165*F2762^2</f>
        <v>1.57824</v>
      </c>
      <c r="X2762" t="str">
        <v>x</v>
      </c>
      <c r="Y2762">
        <f>D2760</f>
        <v>1</v>
      </c>
      <c r="Z2762" t="str">
        <v>=</v>
      </c>
      <c r="AA2762">
        <f>IF(AA2764=0,(D2762*N2762+P2762*R2762)*U2762*Y2762,0)</f>
        <v>15.940224</v>
      </c>
    </row>
    <row r="2763">
      <c r="A2763" t="str">
        <f>A2754</f>
        <v>Sloof</v>
      </c>
      <c r="B2763">
        <f>B2754</f>
        <v>84</v>
      </c>
      <c r="C2763" t="str">
        <v>Tul Atas Tumpuan</v>
      </c>
      <c r="D2763">
        <f>VLOOKUP(D2754,'Detail Balok'!$C$10:$AU$110,10,FALSE)</f>
        <v>4</v>
      </c>
      <c r="E2763" t="str">
        <v>D</v>
      </c>
      <c r="F2763">
        <f>VLOOKUP(D2754,'Detail Balok'!$C$10:$AU$110,12,FALSE)</f>
        <v>16</v>
      </c>
      <c r="I2763" t="str">
        <v>(</v>
      </c>
      <c r="J2763">
        <f>+D2756/4/1000</f>
        <v>2.525</v>
      </c>
      <c r="K2763" t="str">
        <v>+</v>
      </c>
      <c r="L2763">
        <f>MAX(VLOOKUP(F2763,N$6:P$15,3,FALSE)/1000,2/3*D2758/1000)+F$16*F2763/1000</f>
        <v>0.192</v>
      </c>
      <c r="M2763" t="str">
        <v>=</v>
      </c>
      <c r="N2763">
        <f>J2763+L2763</f>
        <v>2.717</v>
      </c>
      <c r="O2763" t="str">
        <v>+</v>
      </c>
      <c r="P2763">
        <f>D2763-D2762</f>
        <v>2</v>
      </c>
      <c r="Q2763" t="str">
        <v>x</v>
      </c>
      <c r="R2763">
        <f>IF(P2763&gt;0,$F$18*F2763/1000,0)</f>
        <v>0.24</v>
      </c>
      <c r="S2763" t="str">
        <v>)</v>
      </c>
      <c r="T2763" t="str">
        <v>x</v>
      </c>
      <c r="U2763">
        <f>0.006165*F2763^2</f>
        <v>1.57824</v>
      </c>
      <c r="X2763" t="str">
        <v>x</v>
      </c>
      <c r="Y2763">
        <f>D2760</f>
        <v>1</v>
      </c>
      <c r="Z2763" t="str">
        <v>=</v>
      </c>
      <c r="AA2763">
        <f>IF(AA2764=0,(D2763*N2763+P2763*R2763)*U2763*Y2763,0)</f>
        <v>17.909867520000002</v>
      </c>
    </row>
    <row r="2764">
      <c r="A2764" t="str">
        <f>A2754</f>
        <v>Sloof</v>
      </c>
      <c r="B2764">
        <f>B2754</f>
        <v>84</v>
      </c>
      <c r="D2764">
        <f>IF(AND(D2761=D2762,D2762=D2763,D2761=D2763),D2761,0)</f>
        <v>0</v>
      </c>
      <c r="E2764" t="str">
        <v>D</v>
      </c>
      <c r="F2764">
        <f>IF(AND(F2761=F2762,F2761=F2763,F2762=F2763),F2761,0)</f>
        <v>16</v>
      </c>
      <c r="L2764" t="str">
        <v>Total panjang per balok</v>
      </c>
      <c r="M2764" t="str">
        <v>=</v>
      </c>
      <c r="N2764">
        <f>IF(AND(D2761=D2762,D2761=D2763,D2762=D2763,F2761=F2762,F2761=F2763,F2762=F2763),SUM(N2761:N2763),0)</f>
        <v>0</v>
      </c>
      <c r="O2764" t="str">
        <v>+</v>
      </c>
      <c r="P2764">
        <f>IF(N2764&gt;12,ROUNDDOWN(N2764/12,0),0)</f>
        <v>0</v>
      </c>
      <c r="Q2764" t="str">
        <v>x</v>
      </c>
      <c r="R2764">
        <f>IF(P2764&gt;0,MAX(VLOOKUP(F2764,$D$6:$G$15,3,FALSE),600),0)/1000</f>
        <v>0</v>
      </c>
      <c r="T2764" t="str">
        <v>x</v>
      </c>
      <c r="U2764">
        <f>U2763</f>
        <v>1.57824</v>
      </c>
      <c r="V2764" t="str">
        <v>x</v>
      </c>
      <c r="W2764">
        <f>D2764</f>
        <v>0</v>
      </c>
      <c r="X2764" t="str">
        <v>x</v>
      </c>
      <c r="Y2764">
        <f>Y2763</f>
        <v>1</v>
      </c>
      <c r="Z2764" t="str">
        <v>=</v>
      </c>
      <c r="AA2764">
        <f>(N2764+P2764*R2764/1000)*U2764*W2764*Y2764</f>
        <v>0</v>
      </c>
    </row>
    <row r="2766">
      <c r="A2766" t="str">
        <f>A2754</f>
        <v>Sloof</v>
      </c>
      <c r="B2766">
        <f>B2754</f>
        <v>84</v>
      </c>
      <c r="C2766" t="str">
        <v>Tul Peminggang</v>
      </c>
      <c r="D2766">
        <f>VLOOKUP(D2754,'Detail Balok'!$C$10:$AU$110,13,FALSE)</f>
        <v>2</v>
      </c>
      <c r="E2766" t="str">
        <v>D</v>
      </c>
      <c r="F2766">
        <f>VLOOKUP(D2754,'Detail Balok'!$C$10:$AU$110,15,FALSE)</f>
        <v>10</v>
      </c>
      <c r="J2766">
        <f>+D2756/1000</f>
        <v>10.1</v>
      </c>
      <c r="K2766" t="str">
        <v>+</v>
      </c>
      <c r="L2766">
        <f>2*$F$16*F2766/1000</f>
        <v>0.24</v>
      </c>
      <c r="M2766" t="str">
        <v>=</v>
      </c>
      <c r="N2766">
        <f>J2766+L2766</f>
        <v>10.34</v>
      </c>
      <c r="O2766" t="str">
        <v>+</v>
      </c>
      <c r="P2766">
        <f>IF(N2766&gt;12,ROUNDDOWN(N2766/12,0),0)</f>
        <v>0</v>
      </c>
      <c r="Q2766" t="str">
        <v>x</v>
      </c>
      <c r="R2766">
        <f>IF(P2766&gt;0,MAX(VLOOKUP(F2766,$D$6:$G$15,3,FALSE),600),0)/1000</f>
        <v>0</v>
      </c>
      <c r="T2766" t="str">
        <v>x</v>
      </c>
      <c r="U2766">
        <f>0.006165*F2766^2</f>
        <v>0.6165</v>
      </c>
      <c r="V2766" t="str">
        <v>x</v>
      </c>
      <c r="W2766">
        <f>+D2766</f>
        <v>2</v>
      </c>
      <c r="X2766" t="str">
        <v>x</v>
      </c>
      <c r="Y2766">
        <f>D2760</f>
        <v>1</v>
      </c>
      <c r="Z2766" t="str">
        <v>=</v>
      </c>
      <c r="AA2766">
        <f>(N2766+P2766*R2766/1000)*U2766*W2766*Y2766</f>
        <v>12.749220000000001</v>
      </c>
    </row>
    <row r="2769">
      <c r="A2769" t="str">
        <f>A2754</f>
        <v>Sloof</v>
      </c>
      <c r="B2769">
        <f>B2754</f>
        <v>84</v>
      </c>
      <c r="C2769" t="str">
        <v>Tul Bawah Tumpuan</v>
      </c>
      <c r="D2769">
        <f>VLOOKUP(D2754,'Detail Balok'!$C$10:$AU$110,22,FALSE)</f>
        <v>4</v>
      </c>
      <c r="E2769" t="str">
        <v>D</v>
      </c>
      <c r="F2769">
        <f>VLOOKUP(D2754,'Detail Balok'!$C$10:$AU$110,24,FALSE)</f>
        <v>16</v>
      </c>
      <c r="I2769" t="str">
        <v>(</v>
      </c>
      <c r="J2769">
        <f>+J2761</f>
        <v>2.525</v>
      </c>
      <c r="K2769" t="str">
        <v>+</v>
      </c>
      <c r="L2769">
        <f>MAX(VLOOKUP(F2769,N$6:P$15,3,FALSE)/1000,2/3*D2759/1000)+F$16*F2769/1000</f>
        <v>0.192</v>
      </c>
      <c r="M2769" t="str">
        <v>=</v>
      </c>
      <c r="N2769">
        <f>J2769+L2769</f>
        <v>2.717</v>
      </c>
      <c r="O2769" t="str">
        <v>+</v>
      </c>
      <c r="P2769">
        <f>D2769-D2770</f>
        <v>0</v>
      </c>
      <c r="Q2769" t="str">
        <v>x</v>
      </c>
      <c r="R2769">
        <f>IF(P2769&gt;0,$F$18*F2769/1000,0)</f>
        <v>0</v>
      </c>
      <c r="S2769" t="str">
        <v>)</v>
      </c>
      <c r="T2769" t="str">
        <v>x</v>
      </c>
      <c r="U2769">
        <f>0.006165*F2769^2</f>
        <v>1.57824</v>
      </c>
      <c r="X2769" t="str">
        <v>x</v>
      </c>
      <c r="Y2769">
        <f>D2760</f>
        <v>1</v>
      </c>
      <c r="Z2769" t="str">
        <v>=</v>
      </c>
      <c r="AA2769">
        <f>IF(AA2772=0,(D2769*N2769+P2769*R2769)*U2769*Y2769,0)</f>
        <v>0</v>
      </c>
    </row>
    <row r="2770">
      <c r="A2770" t="str">
        <f>A2754</f>
        <v>Sloof</v>
      </c>
      <c r="B2770">
        <f>B2754</f>
        <v>84</v>
      </c>
      <c r="C2770" t="str">
        <v>Tul Bawah Lapangan</v>
      </c>
      <c r="D2770">
        <f>VLOOKUP(D2754,'Detail Balok'!$C$10:$AU$110,25,FALSE)</f>
        <v>4</v>
      </c>
      <c r="E2770" t="str">
        <v>D</v>
      </c>
      <c r="F2770">
        <f>VLOOKUP(D2754,'Detail Balok'!$C$10:$AU$110,27,FALSE)</f>
        <v>16</v>
      </c>
      <c r="I2770" t="str">
        <v>(</v>
      </c>
      <c r="J2770">
        <f>+J2762</f>
        <v>5.05</v>
      </c>
      <c r="K2770" t="str">
        <v>+</v>
      </c>
      <c r="M2770" t="str">
        <v>=</v>
      </c>
      <c r="N2770">
        <f>J2770+L2770</f>
        <v>5.05</v>
      </c>
      <c r="O2770" t="str">
        <v>+</v>
      </c>
      <c r="P2770">
        <f>MAX(D2770-D2769,D2770-D2771)</f>
        <v>0</v>
      </c>
      <c r="Q2770" t="str">
        <v>x</v>
      </c>
      <c r="R2770">
        <f>IF(P2770&gt;0,2*(1-2*$F$19-1/2)*D2757/1000,0)</f>
        <v>0</v>
      </c>
      <c r="S2770" t="str">
        <v>)</v>
      </c>
      <c r="T2770" t="str">
        <v>x</v>
      </c>
      <c r="U2770">
        <f>0.006165*F2770^2</f>
        <v>1.57824</v>
      </c>
      <c r="X2770" t="str">
        <v>x</v>
      </c>
      <c r="Y2770">
        <f>D2760</f>
        <v>1</v>
      </c>
      <c r="Z2770" t="str">
        <v>=</v>
      </c>
      <c r="AA2770">
        <f>IF(AA2772=0,(D2770*N2770+P2770*R2770)*U2770*Y2770,0)</f>
        <v>0</v>
      </c>
    </row>
    <row r="2771">
      <c r="A2771" t="str">
        <f>A2754</f>
        <v>Sloof</v>
      </c>
      <c r="B2771">
        <f>B2754</f>
        <v>84</v>
      </c>
      <c r="C2771" t="str">
        <v>Tul Bawah Tumpuan</v>
      </c>
      <c r="D2771">
        <f>VLOOKUP(D2754,'Detail Balok'!$C$10:$AU$110,28,FALSE)</f>
        <v>4</v>
      </c>
      <c r="E2771" t="str">
        <v>D</v>
      </c>
      <c r="F2771">
        <f>VLOOKUP(D2754,'Detail Balok'!$C$10:$AU$110,30,FALSE)</f>
        <v>16</v>
      </c>
      <c r="I2771" t="str">
        <v>(</v>
      </c>
      <c r="J2771">
        <f>+J2763</f>
        <v>2.525</v>
      </c>
      <c r="K2771" t="str">
        <v>+</v>
      </c>
      <c r="L2771">
        <f>MAX(VLOOKUP(F2771,N$6:P$15,3,FALSE)/1000,2/3*D2759/1000)+F$16*F2771/1000</f>
        <v>0.192</v>
      </c>
      <c r="M2771" t="str">
        <v>=</v>
      </c>
      <c r="N2771">
        <f>J2771+L2771</f>
        <v>2.717</v>
      </c>
      <c r="O2771" t="str">
        <v>+</v>
      </c>
      <c r="P2771">
        <f>D2771-D2770</f>
        <v>0</v>
      </c>
      <c r="Q2771" t="str">
        <v>x</v>
      </c>
      <c r="R2771">
        <f>IF(P2771&gt;0,$F$18*F2771/1000,0)</f>
        <v>0</v>
      </c>
      <c r="S2771" t="str">
        <v>)</v>
      </c>
      <c r="T2771" t="str">
        <v>x</v>
      </c>
      <c r="U2771">
        <f>0.006165*F2771^2</f>
        <v>1.57824</v>
      </c>
      <c r="X2771" t="str">
        <v>x</v>
      </c>
      <c r="Y2771">
        <f>D2760</f>
        <v>1</v>
      </c>
      <c r="Z2771" t="str">
        <v>=</v>
      </c>
      <c r="AA2771">
        <f>IF(AA2772=0,(D2771*N2771+P2771*R2771)*U2771*Y2771,0)</f>
        <v>0</v>
      </c>
    </row>
    <row r="2772">
      <c r="A2772" t="str">
        <f>A2754</f>
        <v>Sloof</v>
      </c>
      <c r="B2772">
        <f>B2754</f>
        <v>84</v>
      </c>
      <c r="D2772">
        <f>IF(AND(D2769=D2770,D2770=D2771,D2769=D2771),D2769,0)</f>
        <v>4</v>
      </c>
      <c r="E2772" t="str">
        <v>D</v>
      </c>
      <c r="F2772">
        <f>IF(AND(F2769=F2770,F2769=F2771,F2770=F2771),F2769,0)</f>
        <v>16</v>
      </c>
      <c r="L2772" t="str">
        <v>Total panjang per balok</v>
      </c>
      <c r="M2772" t="str">
        <v>=</v>
      </c>
      <c r="N2772">
        <f>IF(AND(D2769=D2770,D2769=D2771,D2770=D2771,F2769=F2770,F2769=F2771,F2770=F2771),SUM(N2769:N2771),0)</f>
        <v>10.484</v>
      </c>
      <c r="O2772" t="str">
        <v>+</v>
      </c>
      <c r="P2772">
        <f>IF(N2772&gt;12,ROUNDDOWN(N2772/12,0),0)</f>
        <v>0</v>
      </c>
      <c r="Q2772" t="str">
        <v>x</v>
      </c>
      <c r="R2772">
        <f>IF(P2772&gt;0,MAX(VLOOKUP(F2772,$D$6:$G$15,3,FALSE),600),0)/1000</f>
        <v>0</v>
      </c>
      <c r="T2772" t="str">
        <v>x</v>
      </c>
      <c r="U2772">
        <f>U2771</f>
        <v>1.57824</v>
      </c>
      <c r="V2772" t="str">
        <v>x</v>
      </c>
      <c r="W2772">
        <f>D2772</f>
        <v>4</v>
      </c>
      <c r="X2772" t="str">
        <v>x</v>
      </c>
      <c r="Y2772">
        <f>Y2771</f>
        <v>1</v>
      </c>
      <c r="Z2772" t="str">
        <v>=</v>
      </c>
      <c r="AA2772">
        <f>(N2772+P2772*R2772/1000)*U2772*W2772*Y2772</f>
        <v>66.18507264</v>
      </c>
    </row>
    <row r="2774">
      <c r="A2774" t="str">
        <f>A2754</f>
        <v>Sloof</v>
      </c>
      <c r="B2774">
        <f>B2754</f>
        <v>84</v>
      </c>
      <c r="C2774" t="str">
        <v>Sengkang Tumpuan</v>
      </c>
      <c r="D2774">
        <f>VLOOKUP(D2754,'Detail Balok'!$C$10:$AU$110,31,FALSE)</f>
        <v>0</v>
      </c>
      <c r="E2774" t="str">
        <v>D</v>
      </c>
      <c r="F2774">
        <f>VLOOKUP(D2754,'Detail Balok'!$C$10:$AU$110,33,FALSE)</f>
        <v>10</v>
      </c>
      <c r="G2774" t="str">
        <v>-</v>
      </c>
      <c r="H2774">
        <f>VLOOKUP(D2754,'Detail Balok'!$C$10:$AU$110,35,FALSE)</f>
        <v>200</v>
      </c>
      <c r="J2774">
        <f>(IF(D2774=0,(2*(D2755+G2755))-(F$5*8),IF(D2774=3,(2*(D2755+G2755))-(F$5*8)+(G2755-2*F$5),IF(D2774=4,(2*(D2755+G2755))-(F$5*8)+2*(G2755-2*F$5)))))/1000</f>
        <v>1.08</v>
      </c>
      <c r="K2774" t="str">
        <v>+</v>
      </c>
      <c r="L2774">
        <f>IF(D2774=0,2*MAX(6*F2774,75),(D2774-1)*2*MAX(6*F2774,75))/1000</f>
        <v>0.15</v>
      </c>
      <c r="M2774" t="str">
        <v>=</v>
      </c>
      <c r="N2774">
        <f>J2774+L2774</f>
        <v>1.23</v>
      </c>
      <c r="T2774" t="str">
        <v>x</v>
      </c>
      <c r="U2774">
        <f>0.006165*F2774^2</f>
        <v>0.6165</v>
      </c>
      <c r="V2774" t="str">
        <v>x</v>
      </c>
      <c r="W2774">
        <f>IF(D2757&gt;4*G2755,ROUND(MAX(D2757/4,2*G2755)/H2774,0)+1,ROUND(D2757/H2774,0)+1)</f>
        <v>14</v>
      </c>
      <c r="X2774" t="str">
        <v>x</v>
      </c>
      <c r="Y2774">
        <f>D2760</f>
        <v>1</v>
      </c>
      <c r="Z2774" t="str">
        <v>=</v>
      </c>
      <c r="AA2774">
        <f>N2774*U2774*W2774*Y2774</f>
        <v>10.61613</v>
      </c>
    </row>
    <row r="2775">
      <c r="A2775" t="str">
        <f>A2754</f>
        <v>Sloof</v>
      </c>
      <c r="B2775">
        <f>B2754</f>
        <v>84</v>
      </c>
      <c r="C2775" t="str">
        <v>Sengkang Lapangan</v>
      </c>
      <c r="D2775">
        <f>VLOOKUP(D2754,'Detail Balok'!$C$10:$AU$110,36,FALSE)</f>
        <v>0</v>
      </c>
      <c r="E2775" t="str">
        <v>D</v>
      </c>
      <c r="F2775">
        <f>VLOOKUP(D2754,'Detail Balok'!$C$10:$AU$110,38,FALSE)</f>
        <v>10</v>
      </c>
      <c r="G2775" t="str">
        <v>-</v>
      </c>
      <c r="H2775">
        <f>VLOOKUP(D2754,'Detail Balok'!$C$10:$AU$110,40,FALSE)</f>
        <v>200</v>
      </c>
      <c r="J2775">
        <f>(IF(D2775=0,(2*(D2755+G2755))-(F$5*8),IF(D2775=3,(2*(D2755+G2755))-(F$5*8)+(G2755-2*F$5),IF(D2775=4,(2*(D2755+G2755))-(F$5*8)+2*(G2755-2*F$5)))))/1000</f>
        <v>1.08</v>
      </c>
      <c r="K2775" t="str">
        <v>+</v>
      </c>
      <c r="L2775">
        <f>IF(D2775=0,2*MAX(6*F2775,75),(D2775-1)*2*MAX(6*F2775,75))/1000</f>
        <v>0.15</v>
      </c>
      <c r="M2775" t="str">
        <v>=</v>
      </c>
      <c r="N2775">
        <f>J2775+L2775</f>
        <v>1.23</v>
      </c>
      <c r="T2775" t="str">
        <v>x</v>
      </c>
      <c r="U2775">
        <f>0.006165*F2775^2</f>
        <v>0.6165</v>
      </c>
      <c r="V2775" t="str">
        <v>x</v>
      </c>
      <c r="W2775">
        <f>IF(D2757-MAX(D2757/4,2*G2755)*2&gt;0,ROUND((D2757-MAX(D2757/4,2*G2755)*2)/H2775,0),0)</f>
        <v>25</v>
      </c>
      <c r="X2775" t="str">
        <v>x</v>
      </c>
      <c r="Y2775">
        <f>D2760</f>
        <v>1</v>
      </c>
      <c r="Z2775" t="str">
        <v>=</v>
      </c>
      <c r="AA2775">
        <f>N2775*U2775*W2775*Y2775</f>
        <v>18.957375000000003</v>
      </c>
    </row>
    <row r="2776">
      <c r="A2776" t="str">
        <f>A2754</f>
        <v>Sloof</v>
      </c>
      <c r="B2776">
        <f>B2754</f>
        <v>84</v>
      </c>
      <c r="C2776" t="str">
        <v>Sengkang Tumpuan</v>
      </c>
      <c r="D2776">
        <f>VLOOKUP(D2754,'Detail Balok'!$C$10:$AU$110,41,FALSE)</f>
        <v>0</v>
      </c>
      <c r="E2776" t="str">
        <v>D</v>
      </c>
      <c r="F2776">
        <f>VLOOKUP(D2754,'Detail Balok'!$C$10:$AU$110,43,FALSE)</f>
        <v>10</v>
      </c>
      <c r="G2776" t="str">
        <v>-</v>
      </c>
      <c r="H2776">
        <f>VLOOKUP(D2754,'Detail Balok'!$C$10:$AU$110,45,FALSE)</f>
        <v>200</v>
      </c>
      <c r="J2776">
        <f>(IF(D2776=0,(2*(D2755+G2755))-(F$5*8),IF(D2776=3,(2*(D2755+G2755))-(F$5*8)+(G2755-2*F$5),IF(D2776=4,(2*(D2755+G2755))-(F$5*8)+2*(G2755-2*F$5)))))/1000</f>
        <v>1.08</v>
      </c>
      <c r="K2776" t="str">
        <v>+</v>
      </c>
      <c r="L2776">
        <f>IF(D2776=0,2*MAX(6*F2776,75),(D2776-1)*2*MAX(6*F2776,75))/1000</f>
        <v>0.15</v>
      </c>
      <c r="M2776" t="str">
        <v>=</v>
      </c>
      <c r="N2776">
        <f>J2776+L2776</f>
        <v>1.23</v>
      </c>
      <c r="T2776" t="str">
        <v>x</v>
      </c>
      <c r="U2776">
        <f>0.006165*F2776^2</f>
        <v>0.6165</v>
      </c>
      <c r="V2776" t="str">
        <v>x</v>
      </c>
      <c r="W2776">
        <f>IF(D2757&gt;4*G2755,ROUND(MAX(D2757/4,2*G2755)/H2776,0)+1,0)</f>
        <v>14</v>
      </c>
      <c r="X2776" t="str">
        <v>x</v>
      </c>
      <c r="Y2776">
        <f>D2760</f>
        <v>1</v>
      </c>
      <c r="Z2776" t="str">
        <v>=</v>
      </c>
      <c r="AA2776">
        <f>N2776*U2776*W2776*Y2776</f>
        <v>10.61613</v>
      </c>
    </row>
    <row r="2778">
      <c r="A2778" t="str">
        <f>A2754</f>
        <v>Sloof</v>
      </c>
      <c r="B2778">
        <f>B2754</f>
        <v>84</v>
      </c>
      <c r="C2778" t="str">
        <v>Kait Horizontal Tump.</v>
      </c>
      <c r="D2778">
        <f>VLOOKUP(D2754,'Detail Balok'!$C$10:$BJ$110,46,FALSE)</f>
        <v>0</v>
      </c>
      <c r="E2778" t="str">
        <v>D</v>
      </c>
      <c r="F2778">
        <f>VLOOKUP(D2754,'Detail Balok'!$C$10:$BJ$110,48,FALSE)</f>
        <v>0</v>
      </c>
      <c r="G2778" t="str">
        <v>-</v>
      </c>
      <c r="H2778">
        <f>VLOOKUP(D2754,'Detail Balok'!$C$10:$BJ$110,50,FALSE)</f>
        <v>100</v>
      </c>
      <c r="J2778">
        <f>(D2755-2*F$5)/1000</f>
        <v>0.12</v>
      </c>
      <c r="K2778" t="str">
        <v>+</v>
      </c>
      <c r="L2778">
        <f>IF(D2778=0,2*MAX(6*F2778,75),(D2778-1)*2*MAX(6*F2778,75))/1000</f>
        <v>0.15</v>
      </c>
      <c r="M2778" t="str">
        <v>=</v>
      </c>
      <c r="N2778">
        <f>J2778+L2778</f>
        <v>0.27</v>
      </c>
      <c r="T2778" t="str">
        <v>x</v>
      </c>
      <c r="U2778">
        <f>0.006165*F2778^2</f>
        <v>0</v>
      </c>
      <c r="V2778" t="str">
        <v>x</v>
      </c>
      <c r="W2778">
        <f>W2774</f>
        <v>14</v>
      </c>
      <c r="X2778" t="str">
        <v>x</v>
      </c>
      <c r="Y2778">
        <f>D2764</f>
        <v>0</v>
      </c>
      <c r="Z2778" t="str">
        <v>=</v>
      </c>
      <c r="AA2778">
        <f>N2778*U2778*W2778*Y2778</f>
        <v>0</v>
      </c>
    </row>
    <row r="2779">
      <c r="A2779" t="str">
        <f>A2754</f>
        <v>Sloof</v>
      </c>
      <c r="B2779">
        <f>B2754</f>
        <v>84</v>
      </c>
      <c r="C2779" t="str">
        <v>Kait Horizontal Lap.</v>
      </c>
      <c r="D2779">
        <f>VLOOKUP(D2754,'Detail Balok'!$C$10:$BJ$110,51,FALSE)</f>
        <v>0</v>
      </c>
      <c r="E2779" t="str">
        <v>D</v>
      </c>
      <c r="F2779">
        <f>VLOOKUP(D2754,'Detail Balok'!$C$10:$BJ$110,53,FALSE)</f>
        <v>0</v>
      </c>
      <c r="G2779" t="str">
        <v>-</v>
      </c>
      <c r="H2779">
        <f>VLOOKUP(D2754,'Detail Balok'!$C$10:$BJ$110,55,FALSE)</f>
        <v>100</v>
      </c>
      <c r="J2779">
        <f>(D2755-2*F$5)/1000</f>
        <v>0.12</v>
      </c>
      <c r="K2779" t="str">
        <v>+</v>
      </c>
      <c r="L2779">
        <f>IF(D2779=0,2*MAX(6*F2779,75),(D2779-1)*2*MAX(6*F2779,75))/1000</f>
        <v>0.15</v>
      </c>
      <c r="M2779" t="str">
        <v>=</v>
      </c>
      <c r="N2779">
        <f>J2779+L2779</f>
        <v>0.27</v>
      </c>
      <c r="T2779" t="str">
        <v>x</v>
      </c>
      <c r="U2779">
        <f>0.006165*F2779^2</f>
        <v>0</v>
      </c>
      <c r="V2779" t="str">
        <v>x</v>
      </c>
      <c r="W2779">
        <f>W2775</f>
        <v>25</v>
      </c>
      <c r="X2779" t="str">
        <v>x</v>
      </c>
      <c r="Y2779">
        <f>D2764</f>
        <v>0</v>
      </c>
      <c r="Z2779" t="str">
        <v>=</v>
      </c>
      <c r="AA2779">
        <f>N2779*U2779*W2779*Y2779</f>
        <v>0</v>
      </c>
    </row>
    <row r="2780">
      <c r="A2780" t="str">
        <f>A2754</f>
        <v>Sloof</v>
      </c>
      <c r="B2780">
        <f>B2754</f>
        <v>84</v>
      </c>
      <c r="C2780" t="str">
        <v>Kait Horizontal Tump.</v>
      </c>
      <c r="D2780">
        <f>VLOOKUP(D2754,'Detail Balok'!$C$10:$BJ$110,56,FALSE)</f>
        <v>0</v>
      </c>
      <c r="E2780" t="str">
        <v>D</v>
      </c>
      <c r="F2780">
        <f>VLOOKUP(D2754,'Detail Balok'!$C$10:$BJ$110,58,FALSE)</f>
        <v>0</v>
      </c>
      <c r="G2780" t="str">
        <v>-</v>
      </c>
      <c r="H2780">
        <f>VLOOKUP(D2754,'Detail Balok'!$C$10:$BJ$110,60,FALSE)</f>
        <v>100</v>
      </c>
      <c r="J2780">
        <f>(D2755-2*F$5)/1000</f>
        <v>0.12</v>
      </c>
      <c r="K2780" t="str">
        <v>+</v>
      </c>
      <c r="L2780">
        <f>IF(D2780=0,2*MAX(6*F2780,75),(D2780-1)*2*MAX(6*F2780,75))/1000</f>
        <v>0.15</v>
      </c>
      <c r="M2780" t="str">
        <v>=</v>
      </c>
      <c r="N2780">
        <f>J2780+L2780</f>
        <v>0.27</v>
      </c>
      <c r="T2780" t="str">
        <v>x</v>
      </c>
      <c r="U2780">
        <f>0.006165*F2780^2</f>
        <v>0</v>
      </c>
      <c r="V2780" t="str">
        <v>x</v>
      </c>
      <c r="W2780">
        <f>W2776</f>
        <v>14</v>
      </c>
      <c r="X2780" t="str">
        <v>x</v>
      </c>
      <c r="Y2780">
        <f>D2764</f>
        <v>0</v>
      </c>
      <c r="Z2780" t="str">
        <v>=</v>
      </c>
      <c r="AA2780">
        <f>N2780*U2780*W2780*Y2780</f>
        <v>0</v>
      </c>
    </row>
    <row r="2784">
      <c r="A2784" t="str">
        <f>A2754</f>
        <v>Sloof</v>
      </c>
      <c r="B2784">
        <f>B2754+1</f>
        <v>85</v>
      </c>
      <c r="C2784" t="str">
        <f>CONCATENATE(A2784," no. ",B2784)</f>
        <v>Sloof no. 85</v>
      </c>
      <c r="D2784" t="str">
        <f>VLOOKUP(C2784,'Data Panjang Balok'!$C$9:$N$424,2,FALSE)</f>
        <v>TB25-1</v>
      </c>
    </row>
    <row r="2785">
      <c r="C2785" t="str">
        <v>Dimensi</v>
      </c>
      <c r="D2785">
        <f>VLOOKUP(D2784,'Detail Balok'!$C$10:$AU$110,2,FALSE)</f>
        <v>200</v>
      </c>
      <c r="F2785" t="str">
        <v>x</v>
      </c>
      <c r="G2785">
        <f>VLOOKUP(D2784,'Detail Balok'!$C$10:$AU$110,3,FALSE)</f>
        <v>500</v>
      </c>
    </row>
    <row r="2786">
      <c r="C2786" t="str">
        <v>Panjang as ke as</v>
      </c>
      <c r="D2786">
        <f>VLOOKUP(C2784,'Data Panjang Balok'!$C$9:$N$424,4,FALSE)</f>
        <v>3250</v>
      </c>
    </row>
    <row r="2787">
      <c r="C2787" t="str">
        <v>Panjang netto</v>
      </c>
      <c r="D2787">
        <f>VLOOKUP(C2784,'Data Panjang Balok'!$C$9:$N$424,7,FALSE)</f>
        <v>3250</v>
      </c>
    </row>
    <row r="2788">
      <c r="C2788" t="str">
        <v>Kolom / balok kiri</v>
      </c>
      <c r="D2788">
        <f>VLOOKUP(C2784,'Data Panjang Balok'!$C$9:$N$424,9,FALSE)</f>
        <v>0</v>
      </c>
    </row>
    <row r="2789">
      <c r="C2789" t="str">
        <v>Kolom / balok kanan</v>
      </c>
      <c r="D2789">
        <f>VLOOKUP(C2784,'Data Panjang Balok'!$C$9:$N$424,10,FALSE)</f>
        <v>0</v>
      </c>
    </row>
    <row r="2790">
      <c r="C2790" t="str">
        <v>Jumlah</v>
      </c>
      <c r="D2790">
        <f>VLOOKUP(C2784,'Data Panjang Balok'!$C$9:$N$424,3,FALSE)</f>
        <v>1</v>
      </c>
    </row>
    <row r="2791">
      <c r="A2791" t="str">
        <f>A2784</f>
        <v>Sloof</v>
      </c>
      <c r="B2791">
        <f>B2784</f>
        <v>85</v>
      </c>
      <c r="C2791" t="str">
        <v>Tul Atas Tumpuan</v>
      </c>
      <c r="D2791">
        <f>VLOOKUP(D2784,'Detail Balok'!$C$10:$AU$110,4,FALSE)</f>
        <v>3</v>
      </c>
      <c r="E2791" t="str">
        <v>D</v>
      </c>
      <c r="F2791">
        <f>VLOOKUP(D2784,'Detail Balok'!$C$10:$AU$110,6,FALSE)</f>
        <v>16</v>
      </c>
      <c r="I2791" t="str">
        <v>(</v>
      </c>
      <c r="J2791">
        <f>+D2786/4/1000</f>
        <v>0.8125</v>
      </c>
      <c r="K2791" t="str">
        <v>+</v>
      </c>
      <c r="L2791">
        <f>MAX(VLOOKUP(F2791,N$6:P$15,3,FALSE)/1000,2/3*D2788/1000)+F$16*F2791/1000</f>
        <v>0.192</v>
      </c>
      <c r="M2791" t="str">
        <v>=</v>
      </c>
      <c r="N2791">
        <f>J2791+L2791</f>
        <v>1.0045</v>
      </c>
      <c r="O2791" t="str">
        <v>+</v>
      </c>
      <c r="P2791">
        <f>D2791-D2792</f>
        <v>0</v>
      </c>
      <c r="Q2791" t="str">
        <v>x</v>
      </c>
      <c r="R2791">
        <f>IF(P2791&gt;0,$F$18*F2791/1000,0)</f>
        <v>0</v>
      </c>
      <c r="S2791" t="str">
        <v>)</v>
      </c>
      <c r="T2791" t="str">
        <v>x</v>
      </c>
      <c r="U2791">
        <f>0.006165*F2791^2</f>
        <v>1.57824</v>
      </c>
      <c r="X2791" t="str">
        <v>x</v>
      </c>
      <c r="Y2791">
        <f>D2790</f>
        <v>1</v>
      </c>
      <c r="Z2791" t="str">
        <v>=</v>
      </c>
      <c r="AA2791">
        <f>IF(AA2794=0,(D2791*N2791+P2791*R2791)*U2791*Y2791,0)</f>
        <v>0</v>
      </c>
    </row>
    <row r="2792">
      <c r="A2792" t="str">
        <f>A2784</f>
        <v>Sloof</v>
      </c>
      <c r="B2792">
        <f>B2784</f>
        <v>85</v>
      </c>
      <c r="C2792" t="str">
        <v>Tul Atas Lapangan</v>
      </c>
      <c r="D2792">
        <f>VLOOKUP(D2784,'Detail Balok'!$C$10:$AU$110,7,FALSE)</f>
        <v>3</v>
      </c>
      <c r="E2792" t="str">
        <v>D</v>
      </c>
      <c r="F2792">
        <f>VLOOKUP(D2784,'Detail Balok'!$C$10:$AU$110,9,FALSE)</f>
        <v>16</v>
      </c>
      <c r="I2792" t="str">
        <v>(</v>
      </c>
      <c r="J2792">
        <f>+D2786/2/1000</f>
        <v>1.625</v>
      </c>
      <c r="K2792" t="str">
        <v>+</v>
      </c>
      <c r="M2792" t="str">
        <v>=</v>
      </c>
      <c r="N2792">
        <f>J2792+L2792</f>
        <v>1.625</v>
      </c>
      <c r="O2792" t="str">
        <v>+</v>
      </c>
      <c r="P2792">
        <f>MAX(D2792-D2791,D2792-D2793)</f>
        <v>0</v>
      </c>
      <c r="Q2792" t="str">
        <v>x</v>
      </c>
      <c r="R2792">
        <f>IF(P2792&gt;0,2*(1-2*$F$19-1/2)*D2787/1000,0)</f>
        <v>0</v>
      </c>
      <c r="S2792" t="str">
        <v>)</v>
      </c>
      <c r="T2792" t="str">
        <v>x</v>
      </c>
      <c r="U2792">
        <f>0.006165*F2792^2</f>
        <v>1.57824</v>
      </c>
      <c r="X2792" t="str">
        <v>x</v>
      </c>
      <c r="Y2792">
        <f>D2790</f>
        <v>1</v>
      </c>
      <c r="Z2792" t="str">
        <v>=</v>
      </c>
      <c r="AA2792">
        <f>IF(AA2794=0,(D2792*N2792+P2792*R2792)*U2792*Y2792,0)</f>
        <v>0</v>
      </c>
    </row>
    <row r="2793">
      <c r="A2793" t="str">
        <f>A2784</f>
        <v>Sloof</v>
      </c>
      <c r="B2793">
        <f>B2784</f>
        <v>85</v>
      </c>
      <c r="C2793" t="str">
        <v>Tul Atas Tumpuan</v>
      </c>
      <c r="D2793">
        <f>VLOOKUP(D2784,'Detail Balok'!$C$10:$AU$110,10,FALSE)</f>
        <v>3</v>
      </c>
      <c r="E2793" t="str">
        <v>D</v>
      </c>
      <c r="F2793">
        <f>VLOOKUP(D2784,'Detail Balok'!$C$10:$AU$110,12,FALSE)</f>
        <v>16</v>
      </c>
      <c r="I2793" t="str">
        <v>(</v>
      </c>
      <c r="J2793">
        <f>+D2786/4/1000</f>
        <v>0.8125</v>
      </c>
      <c r="K2793" t="str">
        <v>+</v>
      </c>
      <c r="L2793">
        <f>MAX(VLOOKUP(F2793,N$6:P$15,3,FALSE)/1000,2/3*D2788/1000)+F$16*F2793/1000</f>
        <v>0.192</v>
      </c>
      <c r="M2793" t="str">
        <v>=</v>
      </c>
      <c r="N2793">
        <f>J2793+L2793</f>
        <v>1.0045</v>
      </c>
      <c r="O2793" t="str">
        <v>+</v>
      </c>
      <c r="P2793">
        <f>D2793-D2792</f>
        <v>0</v>
      </c>
      <c r="Q2793" t="str">
        <v>x</v>
      </c>
      <c r="R2793">
        <f>IF(P2793&gt;0,$F$18*F2793/1000,0)</f>
        <v>0</v>
      </c>
      <c r="S2793" t="str">
        <v>)</v>
      </c>
      <c r="T2793" t="str">
        <v>x</v>
      </c>
      <c r="U2793">
        <f>0.006165*F2793^2</f>
        <v>1.57824</v>
      </c>
      <c r="X2793" t="str">
        <v>x</v>
      </c>
      <c r="Y2793">
        <f>D2790</f>
        <v>1</v>
      </c>
      <c r="Z2793" t="str">
        <v>=</v>
      </c>
      <c r="AA2793">
        <f>IF(AA2794=0,(D2793*N2793+P2793*R2793)*U2793*Y2793,0)</f>
        <v>0</v>
      </c>
    </row>
    <row r="2794">
      <c r="A2794" t="str">
        <f>A2784</f>
        <v>Sloof</v>
      </c>
      <c r="B2794">
        <f>B2784</f>
        <v>85</v>
      </c>
      <c r="D2794">
        <f>IF(AND(D2791=D2792,D2792=D2793,D2791=D2793),D2791,0)</f>
        <v>3</v>
      </c>
      <c r="E2794" t="str">
        <v>D</v>
      </c>
      <c r="F2794">
        <f>IF(AND(F2791=F2792,F2791=F2793,F2792=F2793),F2791,0)</f>
        <v>16</v>
      </c>
      <c r="L2794" t="str">
        <v>Total panjang per balok</v>
      </c>
      <c r="M2794" t="str">
        <v>=</v>
      </c>
      <c r="N2794">
        <f>IF(AND(D2791=D2792,D2791=D2793,D2792=D2793,F2791=F2792,F2791=F2793,F2792=F2793),SUM(N2791:N2793),0)</f>
        <v>3.6340000000000003</v>
      </c>
      <c r="O2794" t="str">
        <v>+</v>
      </c>
      <c r="P2794">
        <f>IF(N2794&gt;12,ROUNDDOWN(N2794/12,0),0)</f>
        <v>0</v>
      </c>
      <c r="Q2794" t="str">
        <v>x</v>
      </c>
      <c r="R2794">
        <f>IF(P2794&gt;0,MAX(VLOOKUP(F2794,$D$6:$G$15,3,FALSE),600),0)/1000</f>
        <v>0</v>
      </c>
      <c r="T2794" t="str">
        <v>x</v>
      </c>
      <c r="U2794">
        <f>U2793</f>
        <v>1.57824</v>
      </c>
      <c r="V2794" t="str">
        <v>x</v>
      </c>
      <c r="W2794">
        <f>D2794</f>
        <v>3</v>
      </c>
      <c r="X2794" t="str">
        <v>x</v>
      </c>
      <c r="Y2794">
        <f>Y2793</f>
        <v>1</v>
      </c>
      <c r="Z2794" t="str">
        <v>=</v>
      </c>
      <c r="AA2794">
        <f>(N2794+P2794*R2794/1000)*U2794*W2794*Y2794</f>
        <v>17.205972480000003</v>
      </c>
    </row>
    <row r="2796">
      <c r="A2796" t="str">
        <f>A2784</f>
        <v>Sloof</v>
      </c>
      <c r="B2796">
        <f>B2784</f>
        <v>85</v>
      </c>
      <c r="C2796" t="str">
        <v>Tul Peminggang</v>
      </c>
      <c r="D2796">
        <f>VLOOKUP(D2784,'Detail Balok'!$C$10:$AU$110,13,FALSE)</f>
        <v>2</v>
      </c>
      <c r="E2796" t="str">
        <v>D</v>
      </c>
      <c r="F2796">
        <f>VLOOKUP(D2784,'Detail Balok'!$C$10:$AU$110,15,FALSE)</f>
        <v>10</v>
      </c>
      <c r="J2796">
        <f>+D2786/1000</f>
        <v>3.25</v>
      </c>
      <c r="K2796" t="str">
        <v>+</v>
      </c>
      <c r="L2796">
        <f>2*$F$16*F2796/1000</f>
        <v>0.24</v>
      </c>
      <c r="M2796" t="str">
        <v>=</v>
      </c>
      <c r="N2796">
        <f>J2796+L2796</f>
        <v>3.49</v>
      </c>
      <c r="O2796" t="str">
        <v>+</v>
      </c>
      <c r="P2796">
        <f>IF(N2796&gt;12,ROUNDDOWN(N2796/12,0),0)</f>
        <v>0</v>
      </c>
      <c r="Q2796" t="str">
        <v>x</v>
      </c>
      <c r="R2796">
        <f>IF(P2796&gt;0,MAX(VLOOKUP(F2796,$D$6:$G$15,3,FALSE),600),0)/1000</f>
        <v>0</v>
      </c>
      <c r="T2796" t="str">
        <v>x</v>
      </c>
      <c r="U2796">
        <f>0.006165*F2796^2</f>
        <v>0.6165</v>
      </c>
      <c r="V2796" t="str">
        <v>x</v>
      </c>
      <c r="W2796">
        <f>+D2796</f>
        <v>2</v>
      </c>
      <c r="X2796" t="str">
        <v>x</v>
      </c>
      <c r="Y2796">
        <f>D2790</f>
        <v>1</v>
      </c>
      <c r="Z2796" t="str">
        <v>=</v>
      </c>
      <c r="AA2796">
        <f>(N2796+P2796*R2796/1000)*U2796*W2796*Y2796</f>
        <v>4.303170000000001</v>
      </c>
    </row>
    <row r="2799">
      <c r="A2799" t="str">
        <f>A2784</f>
        <v>Sloof</v>
      </c>
      <c r="B2799">
        <f>B2784</f>
        <v>85</v>
      </c>
      <c r="C2799" t="str">
        <v>Tul Bawah Tumpuan</v>
      </c>
      <c r="D2799">
        <f>VLOOKUP(D2784,'Detail Balok'!$C$10:$AU$110,22,FALSE)</f>
        <v>3</v>
      </c>
      <c r="E2799" t="str">
        <v>D</v>
      </c>
      <c r="F2799">
        <f>VLOOKUP(D2784,'Detail Balok'!$C$10:$AU$110,24,FALSE)</f>
        <v>16</v>
      </c>
      <c r="I2799" t="str">
        <v>(</v>
      </c>
      <c r="J2799">
        <f>+J2791</f>
        <v>0.8125</v>
      </c>
      <c r="K2799" t="str">
        <v>+</v>
      </c>
      <c r="L2799">
        <f>MAX(VLOOKUP(F2799,N$6:P$15,3,FALSE)/1000,2/3*D2789/1000)+F$16*F2799/1000</f>
        <v>0.192</v>
      </c>
      <c r="M2799" t="str">
        <v>=</v>
      </c>
      <c r="N2799">
        <f>J2799+L2799</f>
        <v>1.0045</v>
      </c>
      <c r="O2799" t="str">
        <v>+</v>
      </c>
      <c r="P2799">
        <f>D2799-D2800</f>
        <v>0</v>
      </c>
      <c r="Q2799" t="str">
        <v>x</v>
      </c>
      <c r="R2799">
        <f>IF(P2799&gt;0,$F$18*F2799/1000,0)</f>
        <v>0</v>
      </c>
      <c r="S2799" t="str">
        <v>)</v>
      </c>
      <c r="T2799" t="str">
        <v>x</v>
      </c>
      <c r="U2799">
        <f>0.006165*F2799^2</f>
        <v>1.57824</v>
      </c>
      <c r="X2799" t="str">
        <v>x</v>
      </c>
      <c r="Y2799">
        <f>D2790</f>
        <v>1</v>
      </c>
      <c r="Z2799" t="str">
        <v>=</v>
      </c>
      <c r="AA2799">
        <f>IF(AA2802=0,(D2799*N2799+P2799*R2799)*U2799*Y2799,0)</f>
        <v>0</v>
      </c>
    </row>
    <row r="2800">
      <c r="A2800" t="str">
        <f>A2784</f>
        <v>Sloof</v>
      </c>
      <c r="B2800">
        <f>B2784</f>
        <v>85</v>
      </c>
      <c r="C2800" t="str">
        <v>Tul Bawah Lapangan</v>
      </c>
      <c r="D2800">
        <f>VLOOKUP(D2784,'Detail Balok'!$C$10:$AU$110,25,FALSE)</f>
        <v>3</v>
      </c>
      <c r="E2800" t="str">
        <v>D</v>
      </c>
      <c r="F2800">
        <f>VLOOKUP(D2784,'Detail Balok'!$C$10:$AU$110,27,FALSE)</f>
        <v>16</v>
      </c>
      <c r="I2800" t="str">
        <v>(</v>
      </c>
      <c r="J2800">
        <f>+J2792</f>
        <v>1.625</v>
      </c>
      <c r="K2800" t="str">
        <v>+</v>
      </c>
      <c r="M2800" t="str">
        <v>=</v>
      </c>
      <c r="N2800">
        <f>J2800+L2800</f>
        <v>1.625</v>
      </c>
      <c r="O2800" t="str">
        <v>+</v>
      </c>
      <c r="P2800">
        <f>MAX(D2800-D2799,D2800-D2801)</f>
        <v>0</v>
      </c>
      <c r="Q2800" t="str">
        <v>x</v>
      </c>
      <c r="R2800">
        <f>IF(P2800&gt;0,2*(1-2*$F$19-1/2)*D2787/1000,0)</f>
        <v>0</v>
      </c>
      <c r="S2800" t="str">
        <v>)</v>
      </c>
      <c r="T2800" t="str">
        <v>x</v>
      </c>
      <c r="U2800">
        <f>0.006165*F2800^2</f>
        <v>1.57824</v>
      </c>
      <c r="X2800" t="str">
        <v>x</v>
      </c>
      <c r="Y2800">
        <f>D2790</f>
        <v>1</v>
      </c>
      <c r="Z2800" t="str">
        <v>=</v>
      </c>
      <c r="AA2800">
        <f>IF(AA2802=0,(D2800*N2800+P2800*R2800)*U2800*Y2800,0)</f>
        <v>0</v>
      </c>
    </row>
    <row r="2801">
      <c r="A2801" t="str">
        <f>A2784</f>
        <v>Sloof</v>
      </c>
      <c r="B2801">
        <f>B2784</f>
        <v>85</v>
      </c>
      <c r="C2801" t="str">
        <v>Tul Bawah Tumpuan</v>
      </c>
      <c r="D2801">
        <f>VLOOKUP(D2784,'Detail Balok'!$C$10:$AU$110,28,FALSE)</f>
        <v>3</v>
      </c>
      <c r="E2801" t="str">
        <v>D</v>
      </c>
      <c r="F2801">
        <f>VLOOKUP(D2784,'Detail Balok'!$C$10:$AU$110,30,FALSE)</f>
        <v>16</v>
      </c>
      <c r="I2801" t="str">
        <v>(</v>
      </c>
      <c r="J2801">
        <f>+J2793</f>
        <v>0.8125</v>
      </c>
      <c r="K2801" t="str">
        <v>+</v>
      </c>
      <c r="L2801">
        <f>MAX(VLOOKUP(F2801,N$6:P$15,3,FALSE)/1000,2/3*D2789/1000)+F$16*F2801/1000</f>
        <v>0.192</v>
      </c>
      <c r="M2801" t="str">
        <v>=</v>
      </c>
      <c r="N2801">
        <f>J2801+L2801</f>
        <v>1.0045</v>
      </c>
      <c r="O2801" t="str">
        <v>+</v>
      </c>
      <c r="P2801">
        <f>D2801-D2800</f>
        <v>0</v>
      </c>
      <c r="Q2801" t="str">
        <v>x</v>
      </c>
      <c r="R2801">
        <f>IF(P2801&gt;0,$F$18*F2801/1000,0)</f>
        <v>0</v>
      </c>
      <c r="S2801" t="str">
        <v>)</v>
      </c>
      <c r="T2801" t="str">
        <v>x</v>
      </c>
      <c r="U2801">
        <f>0.006165*F2801^2</f>
        <v>1.57824</v>
      </c>
      <c r="X2801" t="str">
        <v>x</v>
      </c>
      <c r="Y2801">
        <f>D2790</f>
        <v>1</v>
      </c>
      <c r="Z2801" t="str">
        <v>=</v>
      </c>
      <c r="AA2801">
        <f>IF(AA2802=0,(D2801*N2801+P2801*R2801)*U2801*Y2801,0)</f>
        <v>0</v>
      </c>
    </row>
    <row r="2802">
      <c r="A2802" t="str">
        <f>A2784</f>
        <v>Sloof</v>
      </c>
      <c r="B2802">
        <f>B2784</f>
        <v>85</v>
      </c>
      <c r="D2802">
        <f>IF(AND(D2799=D2800,D2800=D2801,D2799=D2801),D2799,0)</f>
        <v>3</v>
      </c>
      <c r="E2802" t="str">
        <v>D</v>
      </c>
      <c r="F2802">
        <f>IF(AND(F2799=F2800,F2799=F2801,F2800=F2801),F2799,0)</f>
        <v>16</v>
      </c>
      <c r="L2802" t="str">
        <v>Total panjang per balok</v>
      </c>
      <c r="M2802" t="str">
        <v>=</v>
      </c>
      <c r="N2802">
        <f>IF(AND(D2799=D2800,D2799=D2801,D2800=D2801,F2799=F2800,F2799=F2801,F2800=F2801),SUM(N2799:N2801),0)</f>
        <v>3.6340000000000003</v>
      </c>
      <c r="O2802" t="str">
        <v>+</v>
      </c>
      <c r="P2802">
        <f>IF(N2802&gt;12,ROUNDDOWN(N2802/12,0),0)</f>
        <v>0</v>
      </c>
      <c r="Q2802" t="str">
        <v>x</v>
      </c>
      <c r="R2802">
        <f>IF(P2802&gt;0,MAX(VLOOKUP(F2802,$D$6:$G$15,3,FALSE),600),0)/1000</f>
        <v>0</v>
      </c>
      <c r="T2802" t="str">
        <v>x</v>
      </c>
      <c r="U2802">
        <f>U2801</f>
        <v>1.57824</v>
      </c>
      <c r="V2802" t="str">
        <v>x</v>
      </c>
      <c r="W2802">
        <f>D2802</f>
        <v>3</v>
      </c>
      <c r="X2802" t="str">
        <v>x</v>
      </c>
      <c r="Y2802">
        <f>Y2801</f>
        <v>1</v>
      </c>
      <c r="Z2802" t="str">
        <v>=</v>
      </c>
      <c r="AA2802">
        <f>(N2802+P2802*R2802/1000)*U2802*W2802*Y2802</f>
        <v>17.205972480000003</v>
      </c>
    </row>
    <row r="2804">
      <c r="A2804" t="str">
        <f>A2784</f>
        <v>Sloof</v>
      </c>
      <c r="B2804">
        <f>B2784</f>
        <v>85</v>
      </c>
      <c r="C2804" t="str">
        <v>Sengkang Tumpuan</v>
      </c>
      <c r="D2804">
        <f>VLOOKUP(D2784,'Detail Balok'!$C$10:$AU$110,31,FALSE)</f>
        <v>0</v>
      </c>
      <c r="E2804" t="str">
        <v>D</v>
      </c>
      <c r="F2804">
        <f>VLOOKUP(D2784,'Detail Balok'!$C$10:$AU$110,33,FALSE)</f>
        <v>10</v>
      </c>
      <c r="G2804" t="str">
        <v>-</v>
      </c>
      <c r="H2804">
        <f>VLOOKUP(D2784,'Detail Balok'!$C$10:$AU$110,35,FALSE)</f>
        <v>200</v>
      </c>
      <c r="J2804">
        <f>(IF(D2804=0,(2*(D2785+G2785))-(F$5*8),IF(D2804=3,(2*(D2785+G2785))-(F$5*8)+(G2785-2*F$5),IF(D2804=4,(2*(D2785+G2785))-(F$5*8)+2*(G2785-2*F$5)))))/1000</f>
        <v>1.08</v>
      </c>
      <c r="K2804" t="str">
        <v>+</v>
      </c>
      <c r="L2804">
        <f>IF(D2804=0,2*MAX(6*F2804,75),(D2804-1)*2*MAX(6*F2804,75))/1000</f>
        <v>0.15</v>
      </c>
      <c r="M2804" t="str">
        <v>=</v>
      </c>
      <c r="N2804">
        <f>J2804+L2804</f>
        <v>1.23</v>
      </c>
      <c r="T2804" t="str">
        <v>x</v>
      </c>
      <c r="U2804">
        <f>0.006165*F2804^2</f>
        <v>0.6165</v>
      </c>
      <c r="V2804" t="str">
        <v>x</v>
      </c>
      <c r="W2804">
        <f>IF(D2787&gt;4*G2785,ROUND(MAX(D2787/4,2*G2785)/H2804,0)+1,ROUND(D2787/H2804,0)+1)</f>
        <v>6</v>
      </c>
      <c r="X2804" t="str">
        <v>x</v>
      </c>
      <c r="Y2804">
        <f>D2790</f>
        <v>1</v>
      </c>
      <c r="Z2804" t="str">
        <v>=</v>
      </c>
      <c r="AA2804">
        <f>N2804*U2804*W2804*Y2804</f>
        <v>4.5497700000000005</v>
      </c>
    </row>
    <row r="2805">
      <c r="A2805" t="str">
        <f>A2784</f>
        <v>Sloof</v>
      </c>
      <c r="B2805">
        <f>B2784</f>
        <v>85</v>
      </c>
      <c r="C2805" t="str">
        <v>Sengkang Lapangan</v>
      </c>
      <c r="D2805">
        <f>VLOOKUP(D2784,'Detail Balok'!$C$10:$AU$110,36,FALSE)</f>
        <v>0</v>
      </c>
      <c r="E2805" t="str">
        <v>D</v>
      </c>
      <c r="F2805">
        <f>VLOOKUP(D2784,'Detail Balok'!$C$10:$AU$110,38,FALSE)</f>
        <v>10</v>
      </c>
      <c r="G2805" t="str">
        <v>-</v>
      </c>
      <c r="H2805">
        <f>VLOOKUP(D2784,'Detail Balok'!$C$10:$AU$110,40,FALSE)</f>
        <v>200</v>
      </c>
      <c r="J2805">
        <f>(IF(D2805=0,(2*(D2785+G2785))-(F$5*8),IF(D2805=3,(2*(D2785+G2785))-(F$5*8)+(G2785-2*F$5),IF(D2805=4,(2*(D2785+G2785))-(F$5*8)+2*(G2785-2*F$5)))))/1000</f>
        <v>1.08</v>
      </c>
      <c r="K2805" t="str">
        <v>+</v>
      </c>
      <c r="L2805">
        <f>IF(D2805=0,2*MAX(6*F2805,75),(D2805-1)*2*MAX(6*F2805,75))/1000</f>
        <v>0.15</v>
      </c>
      <c r="M2805" t="str">
        <v>=</v>
      </c>
      <c r="N2805">
        <f>J2805+L2805</f>
        <v>1.23</v>
      </c>
      <c r="T2805" t="str">
        <v>x</v>
      </c>
      <c r="U2805">
        <f>0.006165*F2805^2</f>
        <v>0.6165</v>
      </c>
      <c r="V2805" t="str">
        <v>x</v>
      </c>
      <c r="W2805">
        <f>IF(D2787-MAX(D2787/4,2*G2785)*2&gt;0,ROUND((D2787-MAX(D2787/4,2*G2785)*2)/H2805,0),0)</f>
        <v>6</v>
      </c>
      <c r="X2805" t="str">
        <v>x</v>
      </c>
      <c r="Y2805">
        <f>D2790</f>
        <v>1</v>
      </c>
      <c r="Z2805" t="str">
        <v>=</v>
      </c>
      <c r="AA2805">
        <f>N2805*U2805*W2805*Y2805</f>
        <v>4.5497700000000005</v>
      </c>
    </row>
    <row r="2806">
      <c r="A2806" t="str">
        <f>A2784</f>
        <v>Sloof</v>
      </c>
      <c r="B2806">
        <f>B2784</f>
        <v>85</v>
      </c>
      <c r="C2806" t="str">
        <v>Sengkang Tumpuan</v>
      </c>
      <c r="D2806">
        <f>VLOOKUP(D2784,'Detail Balok'!$C$10:$AU$110,41,FALSE)</f>
        <v>0</v>
      </c>
      <c r="E2806" t="str">
        <v>D</v>
      </c>
      <c r="F2806">
        <f>VLOOKUP(D2784,'Detail Balok'!$C$10:$AU$110,43,FALSE)</f>
        <v>10</v>
      </c>
      <c r="G2806" t="str">
        <v>-</v>
      </c>
      <c r="H2806">
        <f>VLOOKUP(D2784,'Detail Balok'!$C$10:$AU$110,45,FALSE)</f>
        <v>200</v>
      </c>
      <c r="J2806">
        <f>(IF(D2806=0,(2*(D2785+G2785))-(F$5*8),IF(D2806=3,(2*(D2785+G2785))-(F$5*8)+(G2785-2*F$5),IF(D2806=4,(2*(D2785+G2785))-(F$5*8)+2*(G2785-2*F$5)))))/1000</f>
        <v>1.08</v>
      </c>
      <c r="K2806" t="str">
        <v>+</v>
      </c>
      <c r="L2806">
        <f>IF(D2806=0,2*MAX(6*F2806,75),(D2806-1)*2*MAX(6*F2806,75))/1000</f>
        <v>0.15</v>
      </c>
      <c r="M2806" t="str">
        <v>=</v>
      </c>
      <c r="N2806">
        <f>J2806+L2806</f>
        <v>1.23</v>
      </c>
      <c r="T2806" t="str">
        <v>x</v>
      </c>
      <c r="U2806">
        <f>0.006165*F2806^2</f>
        <v>0.6165</v>
      </c>
      <c r="V2806" t="str">
        <v>x</v>
      </c>
      <c r="W2806">
        <f>IF(D2787&gt;4*G2785,ROUND(MAX(D2787/4,2*G2785)/H2806,0)+1,0)</f>
        <v>6</v>
      </c>
      <c r="X2806" t="str">
        <v>x</v>
      </c>
      <c r="Y2806">
        <f>D2790</f>
        <v>1</v>
      </c>
      <c r="Z2806" t="str">
        <v>=</v>
      </c>
      <c r="AA2806">
        <f>N2806*U2806*W2806*Y2806</f>
        <v>4.5497700000000005</v>
      </c>
    </row>
    <row r="2808">
      <c r="A2808" t="str">
        <f>A2784</f>
        <v>Sloof</v>
      </c>
      <c r="B2808">
        <f>B2784</f>
        <v>85</v>
      </c>
      <c r="C2808" t="str">
        <v>Kait Horizontal Tump.</v>
      </c>
      <c r="D2808">
        <f>VLOOKUP(D2784,'Detail Balok'!$C$10:$BJ$110,46,FALSE)</f>
        <v>0</v>
      </c>
      <c r="E2808" t="str">
        <v>D</v>
      </c>
      <c r="F2808">
        <f>VLOOKUP(D2784,'Detail Balok'!$C$10:$BJ$110,48,FALSE)</f>
        <v>0</v>
      </c>
      <c r="G2808" t="str">
        <v>-</v>
      </c>
      <c r="H2808">
        <f>VLOOKUP(D2784,'Detail Balok'!$C$10:$BJ$110,50,FALSE)</f>
        <v>100</v>
      </c>
      <c r="J2808">
        <f>(D2785-2*F$5)/1000</f>
        <v>0.12</v>
      </c>
      <c r="K2808" t="str">
        <v>+</v>
      </c>
      <c r="L2808">
        <f>IF(D2808=0,2*MAX(6*F2808,75),(D2808-1)*2*MAX(6*F2808,75))/1000</f>
        <v>0.15</v>
      </c>
      <c r="M2808" t="str">
        <v>=</v>
      </c>
      <c r="N2808">
        <f>J2808+L2808</f>
        <v>0.27</v>
      </c>
      <c r="T2808" t="str">
        <v>x</v>
      </c>
      <c r="U2808">
        <f>0.006165*F2808^2</f>
        <v>0</v>
      </c>
      <c r="V2808" t="str">
        <v>x</v>
      </c>
      <c r="W2808">
        <f>W2804</f>
        <v>6</v>
      </c>
      <c r="X2808" t="str">
        <v>x</v>
      </c>
      <c r="Y2808">
        <f>D2794</f>
        <v>3</v>
      </c>
      <c r="Z2808" t="str">
        <v>=</v>
      </c>
      <c r="AA2808">
        <f>N2808*U2808*W2808*Y2808</f>
        <v>0</v>
      </c>
    </row>
    <row r="2809">
      <c r="A2809" t="str">
        <f>A2784</f>
        <v>Sloof</v>
      </c>
      <c r="B2809">
        <f>B2784</f>
        <v>85</v>
      </c>
      <c r="C2809" t="str">
        <v>Kait Horizontal Lap.</v>
      </c>
      <c r="D2809">
        <f>VLOOKUP(D2784,'Detail Balok'!$C$10:$BJ$110,51,FALSE)</f>
        <v>0</v>
      </c>
      <c r="E2809" t="str">
        <v>D</v>
      </c>
      <c r="F2809">
        <f>VLOOKUP(D2784,'Detail Balok'!$C$10:$BJ$110,53,FALSE)</f>
        <v>0</v>
      </c>
      <c r="G2809" t="str">
        <v>-</v>
      </c>
      <c r="H2809">
        <f>VLOOKUP(D2784,'Detail Balok'!$C$10:$BJ$110,55,FALSE)</f>
        <v>100</v>
      </c>
      <c r="J2809">
        <f>(D2785-2*F$5)/1000</f>
        <v>0.12</v>
      </c>
      <c r="K2809" t="str">
        <v>+</v>
      </c>
      <c r="L2809">
        <f>IF(D2809=0,2*MAX(6*F2809,75),(D2809-1)*2*MAX(6*F2809,75))/1000</f>
        <v>0.15</v>
      </c>
      <c r="M2809" t="str">
        <v>=</v>
      </c>
      <c r="N2809">
        <f>J2809+L2809</f>
        <v>0.27</v>
      </c>
      <c r="T2809" t="str">
        <v>x</v>
      </c>
      <c r="U2809">
        <f>0.006165*F2809^2</f>
        <v>0</v>
      </c>
      <c r="V2809" t="str">
        <v>x</v>
      </c>
      <c r="W2809">
        <f>W2805</f>
        <v>6</v>
      </c>
      <c r="X2809" t="str">
        <v>x</v>
      </c>
      <c r="Y2809">
        <f>D2794</f>
        <v>3</v>
      </c>
      <c r="Z2809" t="str">
        <v>=</v>
      </c>
      <c r="AA2809">
        <f>N2809*U2809*W2809*Y2809</f>
        <v>0</v>
      </c>
    </row>
    <row r="2810">
      <c r="A2810" t="str">
        <f>A2784</f>
        <v>Sloof</v>
      </c>
      <c r="B2810">
        <f>B2784</f>
        <v>85</v>
      </c>
      <c r="C2810" t="str">
        <v>Kait Horizontal Tump.</v>
      </c>
      <c r="D2810">
        <f>VLOOKUP(D2784,'Detail Balok'!$C$10:$BJ$110,56,FALSE)</f>
        <v>0</v>
      </c>
      <c r="E2810" t="str">
        <v>D</v>
      </c>
      <c r="F2810">
        <f>VLOOKUP(D2784,'Detail Balok'!$C$10:$BJ$110,58,FALSE)</f>
        <v>0</v>
      </c>
      <c r="G2810" t="str">
        <v>-</v>
      </c>
      <c r="H2810">
        <f>VLOOKUP(D2784,'Detail Balok'!$C$10:$BJ$110,60,FALSE)</f>
        <v>100</v>
      </c>
      <c r="J2810">
        <f>(D2785-2*F$5)/1000</f>
        <v>0.12</v>
      </c>
      <c r="K2810" t="str">
        <v>+</v>
      </c>
      <c r="L2810">
        <f>IF(D2810=0,2*MAX(6*F2810,75),(D2810-1)*2*MAX(6*F2810,75))/1000</f>
        <v>0.15</v>
      </c>
      <c r="M2810" t="str">
        <v>=</v>
      </c>
      <c r="N2810">
        <f>J2810+L2810</f>
        <v>0.27</v>
      </c>
      <c r="T2810" t="str">
        <v>x</v>
      </c>
      <c r="U2810">
        <f>0.006165*F2810^2</f>
        <v>0</v>
      </c>
      <c r="V2810" t="str">
        <v>x</v>
      </c>
      <c r="W2810">
        <f>W2806</f>
        <v>6</v>
      </c>
      <c r="X2810" t="str">
        <v>x</v>
      </c>
      <c r="Y2810">
        <f>D2794</f>
        <v>3</v>
      </c>
      <c r="Z2810" t="str">
        <v>=</v>
      </c>
      <c r="AA2810">
        <f>N2810*U2810*W2810*Y2810</f>
        <v>0</v>
      </c>
    </row>
    <row r="2814">
      <c r="A2814" t="str">
        <f>A2784</f>
        <v>Sloof</v>
      </c>
      <c r="B2814">
        <f>B2784+1</f>
        <v>86</v>
      </c>
      <c r="C2814" t="str">
        <f>CONCATENATE(A2814," no. ",B2814)</f>
        <v>Sloof no. 86</v>
      </c>
      <c r="D2814" t="str">
        <f>VLOOKUP(C2814,'Data Panjang Balok'!$C$9:$N$424,2,FALSE)</f>
        <v>TB24-1</v>
      </c>
    </row>
    <row r="2815">
      <c r="C2815" t="str">
        <v>Dimensi</v>
      </c>
      <c r="D2815">
        <f>VLOOKUP(D2814,'Detail Balok'!$C$10:$AU$110,2,FALSE)</f>
        <v>200</v>
      </c>
      <c r="F2815" t="str">
        <v>x</v>
      </c>
      <c r="G2815">
        <f>VLOOKUP(D2814,'Detail Balok'!$C$10:$AU$110,3,FALSE)</f>
        <v>400</v>
      </c>
    </row>
    <row r="2816">
      <c r="C2816" t="str">
        <v>Panjang as ke as</v>
      </c>
      <c r="D2816">
        <f>VLOOKUP(C2814,'Data Panjang Balok'!$C$9:$N$424,4,FALSE)</f>
        <v>5800</v>
      </c>
    </row>
    <row r="2817">
      <c r="C2817" t="str">
        <v>Panjang netto</v>
      </c>
      <c r="D2817">
        <f>VLOOKUP(C2814,'Data Panjang Balok'!$C$9:$N$424,7,FALSE)</f>
        <v>5800</v>
      </c>
    </row>
    <row r="2818">
      <c r="C2818" t="str">
        <v>Kolom / balok kiri</v>
      </c>
      <c r="D2818">
        <f>VLOOKUP(C2814,'Data Panjang Balok'!$C$9:$N$424,9,FALSE)</f>
        <v>0</v>
      </c>
    </row>
    <row r="2819">
      <c r="C2819" t="str">
        <v>Kolom / balok kanan</v>
      </c>
      <c r="D2819">
        <f>VLOOKUP(C2814,'Data Panjang Balok'!$C$9:$N$424,10,FALSE)</f>
        <v>0</v>
      </c>
    </row>
    <row r="2820">
      <c r="C2820" t="str">
        <v>Jumlah</v>
      </c>
      <c r="D2820">
        <f>VLOOKUP(C2814,'Data Panjang Balok'!$C$9:$N$424,3,FALSE)</f>
        <v>1</v>
      </c>
    </row>
    <row r="2821">
      <c r="A2821" t="str">
        <f>A2814</f>
        <v>Sloof</v>
      </c>
      <c r="B2821">
        <f>B2814</f>
        <v>86</v>
      </c>
      <c r="C2821" t="str">
        <v>Tul Atas Tumpuan</v>
      </c>
      <c r="D2821">
        <f>VLOOKUP(D2814,'Detail Balok'!$C$10:$AU$110,4,FALSE)</f>
        <v>2</v>
      </c>
      <c r="E2821" t="str">
        <v>D</v>
      </c>
      <c r="F2821">
        <f>VLOOKUP(D2814,'Detail Balok'!$C$10:$AU$110,6,FALSE)</f>
        <v>13</v>
      </c>
      <c r="I2821" t="str">
        <v>(</v>
      </c>
      <c r="J2821">
        <f>+D2816/4/1000</f>
        <v>1.45</v>
      </c>
      <c r="K2821" t="str">
        <v>+</v>
      </c>
      <c r="L2821">
        <f>MAX(VLOOKUP(F2821,N$6:P$15,3,FALSE)/1000,2/3*D2818/1000)+F$16*F2821/1000</f>
        <v>0.156</v>
      </c>
      <c r="M2821" t="str">
        <v>=</v>
      </c>
      <c r="N2821">
        <f>J2821+L2821</f>
        <v>1.6059999999999999</v>
      </c>
      <c r="O2821" t="str">
        <v>+</v>
      </c>
      <c r="P2821">
        <f>D2821-D2822</f>
        <v>0</v>
      </c>
      <c r="Q2821" t="str">
        <v>x</v>
      </c>
      <c r="R2821">
        <f>IF(P2821&gt;0,$F$18*F2821/1000,0)</f>
        <v>0</v>
      </c>
      <c r="S2821" t="str">
        <v>)</v>
      </c>
      <c r="T2821" t="str">
        <v>x</v>
      </c>
      <c r="U2821">
        <f>0.006165*F2821^2</f>
        <v>1.041885</v>
      </c>
      <c r="X2821" t="str">
        <v>x</v>
      </c>
      <c r="Y2821">
        <f>D2820</f>
        <v>1</v>
      </c>
      <c r="Z2821" t="str">
        <v>=</v>
      </c>
      <c r="AA2821">
        <f>IF(AA2824=0,(D2821*N2821+P2821*R2821)*U2821*Y2821,0)</f>
        <v>0</v>
      </c>
    </row>
    <row r="2822">
      <c r="A2822" t="str">
        <f>A2814</f>
        <v>Sloof</v>
      </c>
      <c r="B2822">
        <f>B2814</f>
        <v>86</v>
      </c>
      <c r="C2822" t="str">
        <v>Tul Atas Lapangan</v>
      </c>
      <c r="D2822">
        <f>VLOOKUP(D2814,'Detail Balok'!$C$10:$AU$110,7,FALSE)</f>
        <v>2</v>
      </c>
      <c r="E2822" t="str">
        <v>D</v>
      </c>
      <c r="F2822">
        <f>VLOOKUP(D2814,'Detail Balok'!$C$10:$AU$110,9,FALSE)</f>
        <v>13</v>
      </c>
      <c r="I2822" t="str">
        <v>(</v>
      </c>
      <c r="J2822">
        <f>+D2816/2/1000</f>
        <v>2.9</v>
      </c>
      <c r="K2822" t="str">
        <v>+</v>
      </c>
      <c r="M2822" t="str">
        <v>=</v>
      </c>
      <c r="N2822">
        <f>J2822+L2822</f>
        <v>2.9</v>
      </c>
      <c r="O2822" t="str">
        <v>+</v>
      </c>
      <c r="P2822">
        <f>MAX(D2822-D2821,D2822-D2823)</f>
        <v>0</v>
      </c>
      <c r="Q2822" t="str">
        <v>x</v>
      </c>
      <c r="R2822">
        <f>IF(P2822&gt;0,2*(1-2*$F$19-1/2)*D2817/1000,0)</f>
        <v>0</v>
      </c>
      <c r="S2822" t="str">
        <v>)</v>
      </c>
      <c r="T2822" t="str">
        <v>x</v>
      </c>
      <c r="U2822">
        <f>0.006165*F2822^2</f>
        <v>1.041885</v>
      </c>
      <c r="X2822" t="str">
        <v>x</v>
      </c>
      <c r="Y2822">
        <f>D2820</f>
        <v>1</v>
      </c>
      <c r="Z2822" t="str">
        <v>=</v>
      </c>
      <c r="AA2822">
        <f>IF(AA2824=0,(D2822*N2822+P2822*R2822)*U2822*Y2822,0)</f>
        <v>0</v>
      </c>
    </row>
    <row r="2823">
      <c r="A2823" t="str">
        <f>A2814</f>
        <v>Sloof</v>
      </c>
      <c r="B2823">
        <f>B2814</f>
        <v>86</v>
      </c>
      <c r="C2823" t="str">
        <v>Tul Atas Tumpuan</v>
      </c>
      <c r="D2823">
        <f>VLOOKUP(D2814,'Detail Balok'!$C$10:$AU$110,10,FALSE)</f>
        <v>2</v>
      </c>
      <c r="E2823" t="str">
        <v>D</v>
      </c>
      <c r="F2823">
        <f>VLOOKUP(D2814,'Detail Balok'!$C$10:$AU$110,12,FALSE)</f>
        <v>13</v>
      </c>
      <c r="I2823" t="str">
        <v>(</v>
      </c>
      <c r="J2823">
        <f>+D2816/4/1000</f>
        <v>1.45</v>
      </c>
      <c r="K2823" t="str">
        <v>+</v>
      </c>
      <c r="L2823">
        <f>MAX(VLOOKUP(F2823,N$6:P$15,3,FALSE)/1000,2/3*D2818/1000)+F$16*F2823/1000</f>
        <v>0.156</v>
      </c>
      <c r="M2823" t="str">
        <v>=</v>
      </c>
      <c r="N2823">
        <f>J2823+L2823</f>
        <v>1.6059999999999999</v>
      </c>
      <c r="O2823" t="str">
        <v>+</v>
      </c>
      <c r="P2823">
        <f>D2823-D2822</f>
        <v>0</v>
      </c>
      <c r="Q2823" t="str">
        <v>x</v>
      </c>
      <c r="R2823">
        <f>IF(P2823&gt;0,$F$18*F2823/1000,0)</f>
        <v>0</v>
      </c>
      <c r="S2823" t="str">
        <v>)</v>
      </c>
      <c r="T2823" t="str">
        <v>x</v>
      </c>
      <c r="U2823">
        <f>0.006165*F2823^2</f>
        <v>1.041885</v>
      </c>
      <c r="X2823" t="str">
        <v>x</v>
      </c>
      <c r="Y2823">
        <f>D2820</f>
        <v>1</v>
      </c>
      <c r="Z2823" t="str">
        <v>=</v>
      </c>
      <c r="AA2823">
        <f>IF(AA2824=0,(D2823*N2823+P2823*R2823)*U2823*Y2823,0)</f>
        <v>0</v>
      </c>
    </row>
    <row r="2824">
      <c r="A2824" t="str">
        <f>A2814</f>
        <v>Sloof</v>
      </c>
      <c r="B2824">
        <f>B2814</f>
        <v>86</v>
      </c>
      <c r="D2824">
        <f>IF(AND(D2821=D2822,D2822=D2823,D2821=D2823),D2821,0)</f>
        <v>2</v>
      </c>
      <c r="E2824" t="str">
        <v>D</v>
      </c>
      <c r="F2824">
        <f>IF(AND(F2821=F2822,F2821=F2823,F2822=F2823),F2821,0)</f>
        <v>13</v>
      </c>
      <c r="L2824" t="str">
        <v>Total panjang per balok</v>
      </c>
      <c r="M2824" t="str">
        <v>=</v>
      </c>
      <c r="N2824">
        <f>IF(AND(D2821=D2822,D2821=D2823,D2822=D2823,F2821=F2822,F2821=F2823,F2822=F2823),SUM(N2821:N2823),0)</f>
        <v>6.112</v>
      </c>
      <c r="O2824" t="str">
        <v>+</v>
      </c>
      <c r="P2824">
        <f>IF(N2824&gt;12,ROUNDDOWN(N2824/12,0),0)</f>
        <v>0</v>
      </c>
      <c r="Q2824" t="str">
        <v>x</v>
      </c>
      <c r="R2824">
        <f>IF(P2824&gt;0,MAX(VLOOKUP(F2824,$D$6:$G$15,3,FALSE),600),0)/1000</f>
        <v>0</v>
      </c>
      <c r="T2824" t="str">
        <v>x</v>
      </c>
      <c r="U2824">
        <f>U2823</f>
        <v>1.041885</v>
      </c>
      <c r="V2824" t="str">
        <v>x</v>
      </c>
      <c r="W2824">
        <f>D2824</f>
        <v>2</v>
      </c>
      <c r="X2824" t="str">
        <v>x</v>
      </c>
      <c r="Y2824">
        <f>Y2823</f>
        <v>1</v>
      </c>
      <c r="Z2824" t="str">
        <v>=</v>
      </c>
      <c r="AA2824">
        <f>(N2824+P2824*R2824/1000)*U2824*W2824*Y2824</f>
        <v>12.73600224</v>
      </c>
    </row>
    <row r="2826">
      <c r="A2826" t="str">
        <f>A2814</f>
        <v>Sloof</v>
      </c>
      <c r="B2826">
        <f>B2814</f>
        <v>86</v>
      </c>
      <c r="C2826" t="str">
        <v>Tul Peminggang</v>
      </c>
      <c r="D2826">
        <f>VLOOKUP(D2814,'Detail Balok'!$C$10:$AU$110,13,FALSE)</f>
        <v>0</v>
      </c>
      <c r="E2826" t="str">
        <v>D</v>
      </c>
      <c r="F2826">
        <f>VLOOKUP(D2814,'Detail Balok'!$C$10:$AU$110,15,FALSE)</f>
        <v>6</v>
      </c>
      <c r="J2826">
        <f>+D2816/1000</f>
        <v>5.8</v>
      </c>
      <c r="K2826" t="str">
        <v>+</v>
      </c>
      <c r="L2826">
        <f>2*$F$16*F2826/1000</f>
        <v>0.144</v>
      </c>
      <c r="M2826" t="str">
        <v>=</v>
      </c>
      <c r="N2826">
        <f>J2826+L2826</f>
        <v>5.944</v>
      </c>
      <c r="O2826" t="str">
        <v>+</v>
      </c>
      <c r="P2826">
        <f>IF(N2826&gt;12,ROUNDDOWN(N2826/12,0),0)</f>
        <v>0</v>
      </c>
      <c r="Q2826" t="str">
        <v>x</v>
      </c>
      <c r="R2826">
        <f>IF(P2826&gt;0,MAX(VLOOKUP(F2826,$D$6:$G$15,3,FALSE),600),0)/1000</f>
        <v>0</v>
      </c>
      <c r="T2826" t="str">
        <v>x</v>
      </c>
      <c r="U2826">
        <f>0.006165*F2826^2</f>
        <v>0.22194000000000003</v>
      </c>
      <c r="V2826" t="str">
        <v>x</v>
      </c>
      <c r="W2826">
        <f>+D2826</f>
        <v>0</v>
      </c>
      <c r="X2826" t="str">
        <v>x</v>
      </c>
      <c r="Y2826">
        <f>D2820</f>
        <v>1</v>
      </c>
      <c r="Z2826" t="str">
        <v>=</v>
      </c>
      <c r="AA2826">
        <f>(N2826+P2826*R2826/1000)*U2826*W2826*Y2826</f>
        <v>0</v>
      </c>
    </row>
    <row r="2829">
      <c r="A2829" t="str">
        <f>A2814</f>
        <v>Sloof</v>
      </c>
      <c r="B2829">
        <f>B2814</f>
        <v>86</v>
      </c>
      <c r="C2829" t="str">
        <v>Tul Bawah Tumpuan</v>
      </c>
      <c r="D2829">
        <f>VLOOKUP(D2814,'Detail Balok'!$C$10:$AU$110,22,FALSE)</f>
        <v>2</v>
      </c>
      <c r="E2829" t="str">
        <v>D</v>
      </c>
      <c r="F2829">
        <f>VLOOKUP(D2814,'Detail Balok'!$C$10:$AU$110,24,FALSE)</f>
        <v>13</v>
      </c>
      <c r="I2829" t="str">
        <v>(</v>
      </c>
      <c r="J2829">
        <f>+J2821</f>
        <v>1.45</v>
      </c>
      <c r="K2829" t="str">
        <v>+</v>
      </c>
      <c r="L2829">
        <f>MAX(VLOOKUP(F2829,N$6:P$15,3,FALSE)/1000,2/3*D2819/1000)+F$16*F2829/1000</f>
        <v>0.156</v>
      </c>
      <c r="M2829" t="str">
        <v>=</v>
      </c>
      <c r="N2829">
        <f>J2829+L2829</f>
        <v>1.6059999999999999</v>
      </c>
      <c r="O2829" t="str">
        <v>+</v>
      </c>
      <c r="P2829">
        <f>D2829-D2830</f>
        <v>0</v>
      </c>
      <c r="Q2829" t="str">
        <v>x</v>
      </c>
      <c r="R2829">
        <f>IF(P2829&gt;0,$F$18*F2829/1000,0)</f>
        <v>0</v>
      </c>
      <c r="S2829" t="str">
        <v>)</v>
      </c>
      <c r="T2829" t="str">
        <v>x</v>
      </c>
      <c r="U2829">
        <f>0.006165*F2829^2</f>
        <v>1.041885</v>
      </c>
      <c r="X2829" t="str">
        <v>x</v>
      </c>
      <c r="Y2829">
        <f>D2820</f>
        <v>1</v>
      </c>
      <c r="Z2829" t="str">
        <v>=</v>
      </c>
      <c r="AA2829">
        <f>IF(AA2832=0,(D2829*N2829+P2829*R2829)*U2829*Y2829,0)</f>
        <v>0</v>
      </c>
    </row>
    <row r="2830">
      <c r="A2830" t="str">
        <f>A2814</f>
        <v>Sloof</v>
      </c>
      <c r="B2830">
        <f>B2814</f>
        <v>86</v>
      </c>
      <c r="C2830" t="str">
        <v>Tul Bawah Lapangan</v>
      </c>
      <c r="D2830">
        <f>VLOOKUP(D2814,'Detail Balok'!$C$10:$AU$110,25,FALSE)</f>
        <v>2</v>
      </c>
      <c r="E2830" t="str">
        <v>D</v>
      </c>
      <c r="F2830">
        <f>VLOOKUP(D2814,'Detail Balok'!$C$10:$AU$110,27,FALSE)</f>
        <v>13</v>
      </c>
      <c r="I2830" t="str">
        <v>(</v>
      </c>
      <c r="J2830">
        <f>+J2822</f>
        <v>2.9</v>
      </c>
      <c r="K2830" t="str">
        <v>+</v>
      </c>
      <c r="M2830" t="str">
        <v>=</v>
      </c>
      <c r="N2830">
        <f>J2830+L2830</f>
        <v>2.9</v>
      </c>
      <c r="O2830" t="str">
        <v>+</v>
      </c>
      <c r="P2830">
        <f>MAX(D2830-D2829,D2830-D2831)</f>
        <v>0</v>
      </c>
      <c r="Q2830" t="str">
        <v>x</v>
      </c>
      <c r="R2830">
        <f>IF(P2830&gt;0,2*(1-2*$F$19-1/2)*D2817/1000,0)</f>
        <v>0</v>
      </c>
      <c r="S2830" t="str">
        <v>)</v>
      </c>
      <c r="T2830" t="str">
        <v>x</v>
      </c>
      <c r="U2830">
        <f>0.006165*F2830^2</f>
        <v>1.041885</v>
      </c>
      <c r="X2830" t="str">
        <v>x</v>
      </c>
      <c r="Y2830">
        <f>D2820</f>
        <v>1</v>
      </c>
      <c r="Z2830" t="str">
        <v>=</v>
      </c>
      <c r="AA2830">
        <f>IF(AA2832=0,(D2830*N2830+P2830*R2830)*U2830*Y2830,0)</f>
        <v>0</v>
      </c>
    </row>
    <row r="2831">
      <c r="A2831" t="str">
        <f>A2814</f>
        <v>Sloof</v>
      </c>
      <c r="B2831">
        <f>B2814</f>
        <v>86</v>
      </c>
      <c r="C2831" t="str">
        <v>Tul Bawah Tumpuan</v>
      </c>
      <c r="D2831">
        <f>VLOOKUP(D2814,'Detail Balok'!$C$10:$AU$110,28,FALSE)</f>
        <v>2</v>
      </c>
      <c r="E2831" t="str">
        <v>D</v>
      </c>
      <c r="F2831">
        <f>VLOOKUP(D2814,'Detail Balok'!$C$10:$AU$110,30,FALSE)</f>
        <v>13</v>
      </c>
      <c r="I2831" t="str">
        <v>(</v>
      </c>
      <c r="J2831">
        <f>+J2823</f>
        <v>1.45</v>
      </c>
      <c r="K2831" t="str">
        <v>+</v>
      </c>
      <c r="L2831">
        <f>MAX(VLOOKUP(F2831,N$6:P$15,3,FALSE)/1000,2/3*D2819/1000)+F$16*F2831/1000</f>
        <v>0.156</v>
      </c>
      <c r="M2831" t="str">
        <v>=</v>
      </c>
      <c r="N2831">
        <f>J2831+L2831</f>
        <v>1.6059999999999999</v>
      </c>
      <c r="O2831" t="str">
        <v>+</v>
      </c>
      <c r="P2831">
        <f>D2831-D2830</f>
        <v>0</v>
      </c>
      <c r="Q2831" t="str">
        <v>x</v>
      </c>
      <c r="R2831">
        <f>IF(P2831&gt;0,$F$18*F2831/1000,0)</f>
        <v>0</v>
      </c>
      <c r="S2831" t="str">
        <v>)</v>
      </c>
      <c r="T2831" t="str">
        <v>x</v>
      </c>
      <c r="U2831">
        <f>0.006165*F2831^2</f>
        <v>1.041885</v>
      </c>
      <c r="X2831" t="str">
        <v>x</v>
      </c>
      <c r="Y2831">
        <f>D2820</f>
        <v>1</v>
      </c>
      <c r="Z2831" t="str">
        <v>=</v>
      </c>
      <c r="AA2831">
        <f>IF(AA2832=0,(D2831*N2831+P2831*R2831)*U2831*Y2831,0)</f>
        <v>0</v>
      </c>
    </row>
    <row r="2832">
      <c r="A2832" t="str">
        <f>A2814</f>
        <v>Sloof</v>
      </c>
      <c r="B2832">
        <f>B2814</f>
        <v>86</v>
      </c>
      <c r="D2832">
        <f>IF(AND(D2829=D2830,D2830=D2831,D2829=D2831),D2829,0)</f>
        <v>2</v>
      </c>
      <c r="E2832" t="str">
        <v>D</v>
      </c>
      <c r="F2832">
        <f>IF(AND(F2829=F2830,F2829=F2831,F2830=F2831),F2829,0)</f>
        <v>13</v>
      </c>
      <c r="L2832" t="str">
        <v>Total panjang per balok</v>
      </c>
      <c r="M2832" t="str">
        <v>=</v>
      </c>
      <c r="N2832">
        <f>IF(AND(D2829=D2830,D2829=D2831,D2830=D2831,F2829=F2830,F2829=F2831,F2830=F2831),SUM(N2829:N2831),0)</f>
        <v>6.112</v>
      </c>
      <c r="O2832" t="str">
        <v>+</v>
      </c>
      <c r="P2832">
        <f>IF(N2832&gt;12,ROUNDDOWN(N2832/12,0),0)</f>
        <v>0</v>
      </c>
      <c r="Q2832" t="str">
        <v>x</v>
      </c>
      <c r="R2832">
        <f>IF(P2832&gt;0,MAX(VLOOKUP(F2832,$D$6:$G$15,3,FALSE),600),0)/1000</f>
        <v>0</v>
      </c>
      <c r="T2832" t="str">
        <v>x</v>
      </c>
      <c r="U2832">
        <f>U2831</f>
        <v>1.041885</v>
      </c>
      <c r="V2832" t="str">
        <v>x</v>
      </c>
      <c r="W2832">
        <f>D2832</f>
        <v>2</v>
      </c>
      <c r="X2832" t="str">
        <v>x</v>
      </c>
      <c r="Y2832">
        <f>Y2831</f>
        <v>1</v>
      </c>
      <c r="Z2832" t="str">
        <v>=</v>
      </c>
      <c r="AA2832">
        <f>(N2832+P2832*R2832/1000)*U2832*W2832*Y2832</f>
        <v>12.73600224</v>
      </c>
    </row>
    <row r="2834">
      <c r="A2834" t="str">
        <f>A2814</f>
        <v>Sloof</v>
      </c>
      <c r="B2834">
        <f>B2814</f>
        <v>86</v>
      </c>
      <c r="C2834" t="str">
        <v>Sengkang Tumpuan</v>
      </c>
      <c r="D2834">
        <f>VLOOKUP(D2814,'Detail Balok'!$C$10:$AU$110,31,FALSE)</f>
        <v>0</v>
      </c>
      <c r="E2834" t="str">
        <v>D</v>
      </c>
      <c r="F2834">
        <f>VLOOKUP(D2814,'Detail Balok'!$C$10:$AU$110,33,FALSE)</f>
        <v>8</v>
      </c>
      <c r="G2834" t="str">
        <v>-</v>
      </c>
      <c r="H2834">
        <f>VLOOKUP(D2814,'Detail Balok'!$C$10:$AU$110,35,FALSE)</f>
        <v>200</v>
      </c>
      <c r="J2834">
        <f>(IF(D2834=0,(2*(D2815+G2815))-(F$5*8),IF(D2834=3,(2*(D2815+G2815))-(F$5*8)+(G2815-2*F$5),IF(D2834=4,(2*(D2815+G2815))-(F$5*8)+2*(G2815-2*F$5)))))/1000</f>
        <v>0.88</v>
      </c>
      <c r="K2834" t="str">
        <v>+</v>
      </c>
      <c r="L2834">
        <f>IF(D2834=0,2*MAX(6*F2834,75),(D2834-1)*2*MAX(6*F2834,75))/1000</f>
        <v>0.15</v>
      </c>
      <c r="M2834" t="str">
        <v>=</v>
      </c>
      <c r="N2834">
        <f>J2834+L2834</f>
        <v>1.03</v>
      </c>
      <c r="T2834" t="str">
        <v>x</v>
      </c>
      <c r="U2834">
        <f>0.006165*F2834^2</f>
        <v>0.39456</v>
      </c>
      <c r="V2834" t="str">
        <v>x</v>
      </c>
      <c r="W2834">
        <f>IF(D2817&gt;4*G2815,ROUND(MAX(D2817/4,2*G2815)/H2834,0)+1,ROUND(D2817/H2834,0)+1)</f>
        <v>8</v>
      </c>
      <c r="X2834" t="str">
        <v>x</v>
      </c>
      <c r="Y2834">
        <f>D2820</f>
        <v>1</v>
      </c>
      <c r="Z2834" t="str">
        <v>=</v>
      </c>
      <c r="AA2834">
        <f>N2834*U2834*W2834*Y2834</f>
        <v>3.2511744000000005</v>
      </c>
    </row>
    <row r="2835">
      <c r="A2835" t="str">
        <f>A2814</f>
        <v>Sloof</v>
      </c>
      <c r="B2835">
        <f>B2814</f>
        <v>86</v>
      </c>
      <c r="C2835" t="str">
        <v>Sengkang Lapangan</v>
      </c>
      <c r="D2835">
        <f>VLOOKUP(D2814,'Detail Balok'!$C$10:$AU$110,36,FALSE)</f>
        <v>0</v>
      </c>
      <c r="E2835" t="str">
        <v>D</v>
      </c>
      <c r="F2835">
        <f>VLOOKUP(D2814,'Detail Balok'!$C$10:$AU$110,38,FALSE)</f>
        <v>8</v>
      </c>
      <c r="G2835" t="str">
        <v>-</v>
      </c>
      <c r="H2835">
        <f>VLOOKUP(D2814,'Detail Balok'!$C$10:$AU$110,40,FALSE)</f>
        <v>200</v>
      </c>
      <c r="J2835">
        <f>(IF(D2835=0,(2*(D2815+G2815))-(F$5*8),IF(D2835=3,(2*(D2815+G2815))-(F$5*8)+(G2815-2*F$5),IF(D2835=4,(2*(D2815+G2815))-(F$5*8)+2*(G2815-2*F$5)))))/1000</f>
        <v>0.88</v>
      </c>
      <c r="K2835" t="str">
        <v>+</v>
      </c>
      <c r="L2835">
        <f>IF(D2835=0,2*MAX(6*F2835,75),(D2835-1)*2*MAX(6*F2835,75))/1000</f>
        <v>0.15</v>
      </c>
      <c r="M2835" t="str">
        <v>=</v>
      </c>
      <c r="N2835">
        <f>J2835+L2835</f>
        <v>1.03</v>
      </c>
      <c r="T2835" t="str">
        <v>x</v>
      </c>
      <c r="U2835">
        <f>0.006165*F2835^2</f>
        <v>0.39456</v>
      </c>
      <c r="V2835" t="str">
        <v>x</v>
      </c>
      <c r="W2835">
        <f>IF(D2817-MAX(D2817/4,2*G2815)*2&gt;0,ROUND((D2817-MAX(D2817/4,2*G2815)*2)/H2835,0),0)</f>
        <v>15</v>
      </c>
      <c r="X2835" t="str">
        <v>x</v>
      </c>
      <c r="Y2835">
        <f>D2820</f>
        <v>1</v>
      </c>
      <c r="Z2835" t="str">
        <v>=</v>
      </c>
      <c r="AA2835">
        <f>N2835*U2835*W2835*Y2835</f>
        <v>6.0959520000000005</v>
      </c>
    </row>
    <row r="2836">
      <c r="A2836" t="str">
        <f>A2814</f>
        <v>Sloof</v>
      </c>
      <c r="B2836">
        <f>B2814</f>
        <v>86</v>
      </c>
      <c r="C2836" t="str">
        <v>Sengkang Tumpuan</v>
      </c>
      <c r="D2836">
        <f>VLOOKUP(D2814,'Detail Balok'!$C$10:$AU$110,41,FALSE)</f>
        <v>0</v>
      </c>
      <c r="E2836" t="str">
        <v>D</v>
      </c>
      <c r="F2836">
        <f>VLOOKUP(D2814,'Detail Balok'!$C$10:$AU$110,43,FALSE)</f>
        <v>8</v>
      </c>
      <c r="G2836" t="str">
        <v>-</v>
      </c>
      <c r="H2836">
        <f>VLOOKUP(D2814,'Detail Balok'!$C$10:$AU$110,45,FALSE)</f>
        <v>200</v>
      </c>
      <c r="J2836">
        <f>(IF(D2836=0,(2*(D2815+G2815))-(F$5*8),IF(D2836=3,(2*(D2815+G2815))-(F$5*8)+(G2815-2*F$5),IF(D2836=4,(2*(D2815+G2815))-(F$5*8)+2*(G2815-2*F$5)))))/1000</f>
        <v>0.88</v>
      </c>
      <c r="K2836" t="str">
        <v>+</v>
      </c>
      <c r="L2836">
        <f>IF(D2836=0,2*MAX(6*F2836,75),(D2836-1)*2*MAX(6*F2836,75))/1000</f>
        <v>0.15</v>
      </c>
      <c r="M2836" t="str">
        <v>=</v>
      </c>
      <c r="N2836">
        <f>J2836+L2836</f>
        <v>1.03</v>
      </c>
      <c r="T2836" t="str">
        <v>x</v>
      </c>
      <c r="U2836">
        <f>0.006165*F2836^2</f>
        <v>0.39456</v>
      </c>
      <c r="V2836" t="str">
        <v>x</v>
      </c>
      <c r="W2836">
        <f>IF(D2817&gt;4*G2815,ROUND(MAX(D2817/4,2*G2815)/H2836,0)+1,0)</f>
        <v>8</v>
      </c>
      <c r="X2836" t="str">
        <v>x</v>
      </c>
      <c r="Y2836">
        <f>D2820</f>
        <v>1</v>
      </c>
      <c r="Z2836" t="str">
        <v>=</v>
      </c>
      <c r="AA2836">
        <f>N2836*U2836*W2836*Y2836</f>
        <v>3.2511744000000005</v>
      </c>
    </row>
    <row r="2838">
      <c r="A2838" t="str">
        <f>A2814</f>
        <v>Sloof</v>
      </c>
      <c r="B2838">
        <f>B2814</f>
        <v>86</v>
      </c>
      <c r="C2838" t="str">
        <v>Kait Horizontal Tump.</v>
      </c>
      <c r="D2838">
        <f>VLOOKUP(D2814,'Detail Balok'!$C$10:$BJ$110,46,FALSE)</f>
        <v>0</v>
      </c>
      <c r="E2838" t="str">
        <v>D</v>
      </c>
      <c r="F2838">
        <f>VLOOKUP(D2814,'Detail Balok'!$C$10:$BJ$110,48,FALSE)</f>
        <v>0</v>
      </c>
      <c r="G2838" t="str">
        <v>-</v>
      </c>
      <c r="H2838">
        <f>VLOOKUP(D2814,'Detail Balok'!$C$10:$BJ$110,50,FALSE)</f>
        <v>100</v>
      </c>
      <c r="J2838">
        <f>(D2815-2*F$5)/1000</f>
        <v>0.12</v>
      </c>
      <c r="K2838" t="str">
        <v>+</v>
      </c>
      <c r="L2838">
        <f>IF(D2838=0,2*MAX(6*F2838,75),(D2838-1)*2*MAX(6*F2838,75))/1000</f>
        <v>0.15</v>
      </c>
      <c r="M2838" t="str">
        <v>=</v>
      </c>
      <c r="N2838">
        <f>J2838+L2838</f>
        <v>0.27</v>
      </c>
      <c r="T2838" t="str">
        <v>x</v>
      </c>
      <c r="U2838">
        <f>0.006165*F2838^2</f>
        <v>0</v>
      </c>
      <c r="V2838" t="str">
        <v>x</v>
      </c>
      <c r="W2838">
        <f>W2834</f>
        <v>8</v>
      </c>
      <c r="X2838" t="str">
        <v>x</v>
      </c>
      <c r="Y2838">
        <f>D2824</f>
        <v>2</v>
      </c>
      <c r="Z2838" t="str">
        <v>=</v>
      </c>
      <c r="AA2838">
        <f>N2838*U2838*W2838*Y2838</f>
        <v>0</v>
      </c>
    </row>
    <row r="2839">
      <c r="A2839" t="str">
        <f>A2814</f>
        <v>Sloof</v>
      </c>
      <c r="B2839">
        <f>B2814</f>
        <v>86</v>
      </c>
      <c r="C2839" t="str">
        <v>Kait Horizontal Lap.</v>
      </c>
      <c r="D2839">
        <f>VLOOKUP(D2814,'Detail Balok'!$C$10:$BJ$110,51,FALSE)</f>
        <v>0</v>
      </c>
      <c r="E2839" t="str">
        <v>D</v>
      </c>
      <c r="F2839">
        <f>VLOOKUP(D2814,'Detail Balok'!$C$10:$BJ$110,53,FALSE)</f>
        <v>0</v>
      </c>
      <c r="G2839" t="str">
        <v>-</v>
      </c>
      <c r="H2839">
        <f>VLOOKUP(D2814,'Detail Balok'!$C$10:$BJ$110,55,FALSE)</f>
        <v>100</v>
      </c>
      <c r="J2839">
        <f>(D2815-2*F$5)/1000</f>
        <v>0.12</v>
      </c>
      <c r="K2839" t="str">
        <v>+</v>
      </c>
      <c r="L2839">
        <f>IF(D2839=0,2*MAX(6*F2839,75),(D2839-1)*2*MAX(6*F2839,75))/1000</f>
        <v>0.15</v>
      </c>
      <c r="M2839" t="str">
        <v>=</v>
      </c>
      <c r="N2839">
        <f>J2839+L2839</f>
        <v>0.27</v>
      </c>
      <c r="T2839" t="str">
        <v>x</v>
      </c>
      <c r="U2839">
        <f>0.006165*F2839^2</f>
        <v>0</v>
      </c>
      <c r="V2839" t="str">
        <v>x</v>
      </c>
      <c r="W2839">
        <f>W2835</f>
        <v>15</v>
      </c>
      <c r="X2839" t="str">
        <v>x</v>
      </c>
      <c r="Y2839">
        <f>D2824</f>
        <v>2</v>
      </c>
      <c r="Z2839" t="str">
        <v>=</v>
      </c>
      <c r="AA2839">
        <f>N2839*U2839*W2839*Y2839</f>
        <v>0</v>
      </c>
    </row>
    <row r="2840">
      <c r="A2840" t="str">
        <f>A2814</f>
        <v>Sloof</v>
      </c>
      <c r="B2840">
        <f>B2814</f>
        <v>86</v>
      </c>
      <c r="C2840" t="str">
        <v>Kait Horizontal Tump.</v>
      </c>
      <c r="D2840">
        <f>VLOOKUP(D2814,'Detail Balok'!$C$10:$BJ$110,56,FALSE)</f>
        <v>0</v>
      </c>
      <c r="E2840" t="str">
        <v>D</v>
      </c>
      <c r="F2840">
        <f>VLOOKUP(D2814,'Detail Balok'!$C$10:$BJ$110,58,FALSE)</f>
        <v>0</v>
      </c>
      <c r="G2840" t="str">
        <v>-</v>
      </c>
      <c r="H2840">
        <f>VLOOKUP(D2814,'Detail Balok'!$C$10:$BJ$110,60,FALSE)</f>
        <v>100</v>
      </c>
      <c r="J2840">
        <f>(D2815-2*F$5)/1000</f>
        <v>0.12</v>
      </c>
      <c r="K2840" t="str">
        <v>+</v>
      </c>
      <c r="L2840">
        <f>IF(D2840=0,2*MAX(6*F2840,75),(D2840-1)*2*MAX(6*F2840,75))/1000</f>
        <v>0.15</v>
      </c>
      <c r="M2840" t="str">
        <v>=</v>
      </c>
      <c r="N2840">
        <f>J2840+L2840</f>
        <v>0.27</v>
      </c>
      <c r="T2840" t="str">
        <v>x</v>
      </c>
      <c r="U2840">
        <f>0.006165*F2840^2</f>
        <v>0</v>
      </c>
      <c r="V2840" t="str">
        <v>x</v>
      </c>
      <c r="W2840">
        <f>W2836</f>
        <v>8</v>
      </c>
      <c r="X2840" t="str">
        <v>x</v>
      </c>
      <c r="Y2840">
        <f>D2824</f>
        <v>2</v>
      </c>
      <c r="Z2840" t="str">
        <v>=</v>
      </c>
      <c r="AA2840">
        <f>N2840*U2840*W2840*Y2840</f>
        <v>0</v>
      </c>
    </row>
    <row r="2844">
      <c r="A2844" t="str">
        <f>A2814</f>
        <v>Sloof</v>
      </c>
      <c r="B2844">
        <f>B2814+1</f>
        <v>87</v>
      </c>
      <c r="C2844" t="str">
        <f>CONCATENATE(A2844," no. ",B2844)</f>
        <v>Sloof no. 87</v>
      </c>
      <c r="D2844" t="str">
        <f>VLOOKUP(C2844,'Data Panjang Balok'!$C$9:$N$424,2,FALSE)</f>
        <v>TB245-2</v>
      </c>
    </row>
    <row r="2845">
      <c r="C2845" t="str">
        <v>Dimensi</v>
      </c>
      <c r="D2845">
        <f>VLOOKUP(D2844,'Detail Balok'!$C$10:$AU$110,2,FALSE)</f>
        <v>200</v>
      </c>
      <c r="F2845" t="str">
        <v>x</v>
      </c>
      <c r="G2845">
        <f>VLOOKUP(D2844,'Detail Balok'!$C$10:$AU$110,3,FALSE)</f>
        <v>450</v>
      </c>
    </row>
    <row r="2846">
      <c r="C2846" t="str">
        <v>Panjang as ke as</v>
      </c>
      <c r="D2846">
        <f>VLOOKUP(C2844,'Data Panjang Balok'!$C$9:$N$424,4,FALSE)</f>
        <v>13200</v>
      </c>
    </row>
    <row r="2847">
      <c r="C2847" t="str">
        <v>Panjang netto</v>
      </c>
      <c r="D2847">
        <f>VLOOKUP(C2844,'Data Panjang Balok'!$C$9:$N$424,7,FALSE)</f>
        <v>13200</v>
      </c>
    </row>
    <row r="2848">
      <c r="C2848" t="str">
        <v>Kolom / balok kiri</v>
      </c>
      <c r="D2848">
        <f>VLOOKUP(C2844,'Data Panjang Balok'!$C$9:$N$424,9,FALSE)</f>
        <v>0</v>
      </c>
    </row>
    <row r="2849">
      <c r="C2849" t="str">
        <v>Kolom / balok kanan</v>
      </c>
      <c r="D2849">
        <f>VLOOKUP(C2844,'Data Panjang Balok'!$C$9:$N$424,10,FALSE)</f>
        <v>0</v>
      </c>
    </row>
    <row r="2850">
      <c r="C2850" t="str">
        <v>Jumlah</v>
      </c>
      <c r="D2850">
        <f>VLOOKUP(C2844,'Data Panjang Balok'!$C$9:$N$424,3,FALSE)</f>
        <v>1</v>
      </c>
    </row>
    <row r="2851">
      <c r="A2851" t="str">
        <f>A2844</f>
        <v>Sloof</v>
      </c>
      <c r="B2851">
        <f>B2844</f>
        <v>87</v>
      </c>
      <c r="C2851" t="str">
        <v>Tul Atas Tumpuan</v>
      </c>
      <c r="D2851">
        <f>VLOOKUP(D2844,'Detail Balok'!$C$10:$AU$110,4,FALSE)</f>
        <v>4</v>
      </c>
      <c r="E2851" t="str">
        <v>D</v>
      </c>
      <c r="F2851">
        <f>VLOOKUP(D2844,'Detail Balok'!$C$10:$AU$110,6,FALSE)</f>
        <v>13</v>
      </c>
      <c r="I2851" t="str">
        <v>(</v>
      </c>
      <c r="J2851">
        <f>+D2846/4/1000</f>
        <v>3.3</v>
      </c>
      <c r="K2851" t="str">
        <v>+</v>
      </c>
      <c r="L2851">
        <f>MAX(VLOOKUP(F2851,N$6:P$15,3,FALSE)/1000,2/3*D2848/1000)+F$16*F2851/1000</f>
        <v>0.156</v>
      </c>
      <c r="M2851" t="str">
        <v>=</v>
      </c>
      <c r="N2851">
        <f>J2851+L2851</f>
        <v>3.456</v>
      </c>
      <c r="O2851" t="str">
        <v>+</v>
      </c>
      <c r="P2851">
        <f>D2851-D2852</f>
        <v>2</v>
      </c>
      <c r="Q2851" t="str">
        <v>x</v>
      </c>
      <c r="R2851">
        <f>IF(P2851&gt;0,$F$18*F2851/1000,0)</f>
        <v>0.195</v>
      </c>
      <c r="S2851" t="str">
        <v>)</v>
      </c>
      <c r="T2851" t="str">
        <v>x</v>
      </c>
      <c r="U2851">
        <f>0.006165*F2851^2</f>
        <v>1.041885</v>
      </c>
      <c r="X2851" t="str">
        <v>x</v>
      </c>
      <c r="Y2851">
        <f>D2850</f>
        <v>1</v>
      </c>
      <c r="Z2851" t="str">
        <v>=</v>
      </c>
      <c r="AA2851">
        <f>IF(AA2854=0,(D2851*N2851+P2851*R2851)*U2851*Y2851,0)</f>
        <v>14.80935339</v>
      </c>
    </row>
    <row r="2852">
      <c r="A2852" t="str">
        <f>A2844</f>
        <v>Sloof</v>
      </c>
      <c r="B2852">
        <f>B2844</f>
        <v>87</v>
      </c>
      <c r="C2852" t="str">
        <v>Tul Atas Lapangan</v>
      </c>
      <c r="D2852">
        <f>VLOOKUP(D2844,'Detail Balok'!$C$10:$AU$110,7,FALSE)</f>
        <v>2</v>
      </c>
      <c r="E2852" t="str">
        <v>D</v>
      </c>
      <c r="F2852">
        <f>VLOOKUP(D2844,'Detail Balok'!$C$10:$AU$110,9,FALSE)</f>
        <v>13</v>
      </c>
      <c r="I2852" t="str">
        <v>(</v>
      </c>
      <c r="J2852">
        <f>+D2846/2/1000</f>
        <v>6.6</v>
      </c>
      <c r="K2852" t="str">
        <v>+</v>
      </c>
      <c r="M2852" t="str">
        <v>=</v>
      </c>
      <c r="N2852">
        <f>J2852+L2852</f>
        <v>6.6</v>
      </c>
      <c r="O2852" t="str">
        <v>+</v>
      </c>
      <c r="P2852">
        <f>MAX(D2852-D2851,D2852-D2853)</f>
        <v>-2</v>
      </c>
      <c r="Q2852" t="str">
        <v>x</v>
      </c>
      <c r="R2852">
        <f>IF(P2852&gt;0,2*(1-2*$F$19-1/2)*D2847/1000,0)</f>
        <v>0</v>
      </c>
      <c r="S2852" t="str">
        <v>)</v>
      </c>
      <c r="T2852" t="str">
        <v>x</v>
      </c>
      <c r="U2852">
        <f>0.006165*F2852^2</f>
        <v>1.041885</v>
      </c>
      <c r="X2852" t="str">
        <v>x</v>
      </c>
      <c r="Y2852">
        <f>D2850</f>
        <v>1</v>
      </c>
      <c r="Z2852" t="str">
        <v>=</v>
      </c>
      <c r="AA2852">
        <f>IF(AA2854=0,(D2852*N2852+P2852*R2852)*U2852*Y2852,0)</f>
        <v>13.752881999999998</v>
      </c>
    </row>
    <row r="2853">
      <c r="A2853" t="str">
        <f>A2844</f>
        <v>Sloof</v>
      </c>
      <c r="B2853">
        <f>B2844</f>
        <v>87</v>
      </c>
      <c r="C2853" t="str">
        <v>Tul Atas Tumpuan</v>
      </c>
      <c r="D2853">
        <f>VLOOKUP(D2844,'Detail Balok'!$C$10:$AU$110,10,FALSE)</f>
        <v>4</v>
      </c>
      <c r="E2853" t="str">
        <v>D</v>
      </c>
      <c r="F2853">
        <f>VLOOKUP(D2844,'Detail Balok'!$C$10:$AU$110,12,FALSE)</f>
        <v>13</v>
      </c>
      <c r="I2853" t="str">
        <v>(</v>
      </c>
      <c r="J2853">
        <f>+D2846/4/1000</f>
        <v>3.3</v>
      </c>
      <c r="K2853" t="str">
        <v>+</v>
      </c>
      <c r="L2853">
        <f>MAX(VLOOKUP(F2853,N$6:P$15,3,FALSE)/1000,2/3*D2848/1000)+F$16*F2853/1000</f>
        <v>0.156</v>
      </c>
      <c r="M2853" t="str">
        <v>=</v>
      </c>
      <c r="N2853">
        <f>J2853+L2853</f>
        <v>3.456</v>
      </c>
      <c r="O2853" t="str">
        <v>+</v>
      </c>
      <c r="P2853">
        <f>D2853-D2852</f>
        <v>2</v>
      </c>
      <c r="Q2853" t="str">
        <v>x</v>
      </c>
      <c r="R2853">
        <f>IF(P2853&gt;0,$F$18*F2853/1000,0)</f>
        <v>0.195</v>
      </c>
      <c r="S2853" t="str">
        <v>)</v>
      </c>
      <c r="T2853" t="str">
        <v>x</v>
      </c>
      <c r="U2853">
        <f>0.006165*F2853^2</f>
        <v>1.041885</v>
      </c>
      <c r="X2853" t="str">
        <v>x</v>
      </c>
      <c r="Y2853">
        <f>D2850</f>
        <v>1</v>
      </c>
      <c r="Z2853" t="str">
        <v>=</v>
      </c>
      <c r="AA2853">
        <f>IF(AA2854=0,(D2853*N2853+P2853*R2853)*U2853*Y2853,0)</f>
        <v>14.80935339</v>
      </c>
    </row>
    <row r="2854">
      <c r="A2854" t="str">
        <f>A2844</f>
        <v>Sloof</v>
      </c>
      <c r="B2854">
        <f>B2844</f>
        <v>87</v>
      </c>
      <c r="D2854">
        <f>IF(AND(D2851=D2852,D2852=D2853,D2851=D2853),D2851,0)</f>
        <v>0</v>
      </c>
      <c r="E2854" t="str">
        <v>D</v>
      </c>
      <c r="F2854">
        <f>IF(AND(F2851=F2852,F2851=F2853,F2852=F2853),F2851,0)</f>
        <v>13</v>
      </c>
      <c r="L2854" t="str">
        <v>Total panjang per balok</v>
      </c>
      <c r="M2854" t="str">
        <v>=</v>
      </c>
      <c r="N2854">
        <f>IF(AND(D2851=D2852,D2851=D2853,D2852=D2853,F2851=F2852,F2851=F2853,F2852=F2853),SUM(N2851:N2853),0)</f>
        <v>0</v>
      </c>
      <c r="O2854" t="str">
        <v>+</v>
      </c>
      <c r="P2854">
        <f>IF(N2854&gt;12,ROUNDDOWN(N2854/12,0),0)</f>
        <v>0</v>
      </c>
      <c r="Q2854" t="str">
        <v>x</v>
      </c>
      <c r="R2854">
        <f>IF(P2854&gt;0,MAX(VLOOKUP(F2854,$D$6:$G$15,3,FALSE),600),0)/1000</f>
        <v>0</v>
      </c>
      <c r="T2854" t="str">
        <v>x</v>
      </c>
      <c r="U2854">
        <f>U2853</f>
        <v>1.041885</v>
      </c>
      <c r="V2854" t="str">
        <v>x</v>
      </c>
      <c r="W2854">
        <f>D2854</f>
        <v>0</v>
      </c>
      <c r="X2854" t="str">
        <v>x</v>
      </c>
      <c r="Y2854">
        <f>Y2853</f>
        <v>1</v>
      </c>
      <c r="Z2854" t="str">
        <v>=</v>
      </c>
      <c r="AA2854">
        <f>(N2854+P2854*R2854/1000)*U2854*W2854*Y2854</f>
        <v>0</v>
      </c>
    </row>
    <row r="2856">
      <c r="A2856" t="str">
        <f>A2844</f>
        <v>Sloof</v>
      </c>
      <c r="B2856">
        <f>B2844</f>
        <v>87</v>
      </c>
      <c r="C2856" t="str">
        <v>Tul Peminggang</v>
      </c>
      <c r="D2856">
        <f>VLOOKUP(D2844,'Detail Balok'!$C$10:$AU$110,13,FALSE)</f>
        <v>2</v>
      </c>
      <c r="E2856" t="str">
        <v>D</v>
      </c>
      <c r="F2856">
        <f>VLOOKUP(D2844,'Detail Balok'!$C$10:$AU$110,15,FALSE)</f>
        <v>8</v>
      </c>
      <c r="J2856">
        <f>+D2846/1000</f>
        <v>13.2</v>
      </c>
      <c r="K2856" t="str">
        <v>+</v>
      </c>
      <c r="L2856">
        <f>2*$F$16*F2856/1000</f>
        <v>0.192</v>
      </c>
      <c r="M2856" t="str">
        <v>=</v>
      </c>
      <c r="N2856">
        <f>J2856+L2856</f>
        <v>13.392</v>
      </c>
      <c r="O2856" t="str">
        <v>+</v>
      </c>
      <c r="P2856">
        <f>IF(N2856&gt;12,ROUNDDOWN(N2856/12,0),0)</f>
        <v>1</v>
      </c>
      <c r="Q2856" t="str">
        <v>x</v>
      </c>
      <c r="R2856">
        <f>IF(P2856&gt;0,MAX(VLOOKUP(F2856,$D$6:$G$15,3,FALSE),600),0)/1000</f>
        <v>0.6</v>
      </c>
      <c r="T2856" t="str">
        <v>x</v>
      </c>
      <c r="U2856">
        <f>0.006165*F2856^2</f>
        <v>0.39456</v>
      </c>
      <c r="V2856" t="str">
        <v>x</v>
      </c>
      <c r="W2856">
        <f>+D2856</f>
        <v>2</v>
      </c>
      <c r="X2856" t="str">
        <v>x</v>
      </c>
      <c r="Y2856">
        <f>D2850</f>
        <v>1</v>
      </c>
      <c r="Z2856" t="str">
        <v>=</v>
      </c>
      <c r="AA2856">
        <f>(N2856+P2856*R2856/1000)*U2856*W2856*Y2856</f>
        <v>10.568368512000001</v>
      </c>
    </row>
    <row r="2859">
      <c r="A2859" t="str">
        <f>A2844</f>
        <v>Sloof</v>
      </c>
      <c r="B2859">
        <f>B2844</f>
        <v>87</v>
      </c>
      <c r="C2859" t="str">
        <v>Tul Bawah Tumpuan</v>
      </c>
      <c r="D2859">
        <f>VLOOKUP(D2844,'Detail Balok'!$C$10:$AU$110,22,FALSE)</f>
        <v>4</v>
      </c>
      <c r="E2859" t="str">
        <v>D</v>
      </c>
      <c r="F2859">
        <f>VLOOKUP(D2844,'Detail Balok'!$C$10:$AU$110,24,FALSE)</f>
        <v>13</v>
      </c>
      <c r="I2859" t="str">
        <v>(</v>
      </c>
      <c r="J2859">
        <f>+J2851</f>
        <v>3.3</v>
      </c>
      <c r="K2859" t="str">
        <v>+</v>
      </c>
      <c r="L2859">
        <f>MAX(VLOOKUP(F2859,N$6:P$15,3,FALSE)/1000,2/3*D2849/1000)+F$16*F2859/1000</f>
        <v>0.156</v>
      </c>
      <c r="M2859" t="str">
        <v>=</v>
      </c>
      <c r="N2859">
        <f>J2859+L2859</f>
        <v>3.456</v>
      </c>
      <c r="O2859" t="str">
        <v>+</v>
      </c>
      <c r="P2859">
        <f>D2859-D2860</f>
        <v>0</v>
      </c>
      <c r="Q2859" t="str">
        <v>x</v>
      </c>
      <c r="R2859">
        <f>IF(P2859&gt;0,$F$18*F2859/1000,0)</f>
        <v>0</v>
      </c>
      <c r="S2859" t="str">
        <v>)</v>
      </c>
      <c r="T2859" t="str">
        <v>x</v>
      </c>
      <c r="U2859">
        <f>0.006165*F2859^2</f>
        <v>1.041885</v>
      </c>
      <c r="X2859" t="str">
        <v>x</v>
      </c>
      <c r="Y2859">
        <f>D2850</f>
        <v>1</v>
      </c>
      <c r="Z2859" t="str">
        <v>=</v>
      </c>
      <c r="AA2859">
        <f>IF(AA2862=0,(D2859*N2859+P2859*R2859)*U2859*Y2859,0)</f>
        <v>0</v>
      </c>
    </row>
    <row r="2860">
      <c r="A2860" t="str">
        <f>A2844</f>
        <v>Sloof</v>
      </c>
      <c r="B2860">
        <f>B2844</f>
        <v>87</v>
      </c>
      <c r="C2860" t="str">
        <v>Tul Bawah Lapangan</v>
      </c>
      <c r="D2860">
        <f>VLOOKUP(D2844,'Detail Balok'!$C$10:$AU$110,25,FALSE)</f>
        <v>4</v>
      </c>
      <c r="E2860" t="str">
        <v>D</v>
      </c>
      <c r="F2860">
        <f>VLOOKUP(D2844,'Detail Balok'!$C$10:$AU$110,27,FALSE)</f>
        <v>13</v>
      </c>
      <c r="I2860" t="str">
        <v>(</v>
      </c>
      <c r="J2860">
        <f>+J2852</f>
        <v>6.6</v>
      </c>
      <c r="K2860" t="str">
        <v>+</v>
      </c>
      <c r="M2860" t="str">
        <v>=</v>
      </c>
      <c r="N2860">
        <f>J2860+L2860</f>
        <v>6.6</v>
      </c>
      <c r="O2860" t="str">
        <v>+</v>
      </c>
      <c r="P2860">
        <f>MAX(D2860-D2859,D2860-D2861)</f>
        <v>0</v>
      </c>
      <c r="Q2860" t="str">
        <v>x</v>
      </c>
      <c r="R2860">
        <f>IF(P2860&gt;0,2*(1-2*$F$19-1/2)*D2847/1000,0)</f>
        <v>0</v>
      </c>
      <c r="S2860" t="str">
        <v>)</v>
      </c>
      <c r="T2860" t="str">
        <v>x</v>
      </c>
      <c r="U2860">
        <f>0.006165*F2860^2</f>
        <v>1.041885</v>
      </c>
      <c r="X2860" t="str">
        <v>x</v>
      </c>
      <c r="Y2860">
        <f>D2850</f>
        <v>1</v>
      </c>
      <c r="Z2860" t="str">
        <v>=</v>
      </c>
      <c r="AA2860">
        <f>IF(AA2862=0,(D2860*N2860+P2860*R2860)*U2860*Y2860,0)</f>
        <v>0</v>
      </c>
    </row>
    <row r="2861">
      <c r="A2861" t="str">
        <f>A2844</f>
        <v>Sloof</v>
      </c>
      <c r="B2861">
        <f>B2844</f>
        <v>87</v>
      </c>
      <c r="C2861" t="str">
        <v>Tul Bawah Tumpuan</v>
      </c>
      <c r="D2861">
        <f>VLOOKUP(D2844,'Detail Balok'!$C$10:$AU$110,28,FALSE)</f>
        <v>4</v>
      </c>
      <c r="E2861" t="str">
        <v>D</v>
      </c>
      <c r="F2861">
        <f>VLOOKUP(D2844,'Detail Balok'!$C$10:$AU$110,30,FALSE)</f>
        <v>13</v>
      </c>
      <c r="I2861" t="str">
        <v>(</v>
      </c>
      <c r="J2861">
        <f>+J2853</f>
        <v>3.3</v>
      </c>
      <c r="K2861" t="str">
        <v>+</v>
      </c>
      <c r="L2861">
        <f>MAX(VLOOKUP(F2861,N$6:P$15,3,FALSE)/1000,2/3*D2849/1000)+F$16*F2861/1000</f>
        <v>0.156</v>
      </c>
      <c r="M2861" t="str">
        <v>=</v>
      </c>
      <c r="N2861">
        <f>J2861+L2861</f>
        <v>3.456</v>
      </c>
      <c r="O2861" t="str">
        <v>+</v>
      </c>
      <c r="P2861">
        <f>D2861-D2860</f>
        <v>0</v>
      </c>
      <c r="Q2861" t="str">
        <v>x</v>
      </c>
      <c r="R2861">
        <f>IF(P2861&gt;0,$F$18*F2861/1000,0)</f>
        <v>0</v>
      </c>
      <c r="S2861" t="str">
        <v>)</v>
      </c>
      <c r="T2861" t="str">
        <v>x</v>
      </c>
      <c r="U2861">
        <f>0.006165*F2861^2</f>
        <v>1.041885</v>
      </c>
      <c r="X2861" t="str">
        <v>x</v>
      </c>
      <c r="Y2861">
        <f>D2850</f>
        <v>1</v>
      </c>
      <c r="Z2861" t="str">
        <v>=</v>
      </c>
      <c r="AA2861">
        <f>IF(AA2862=0,(D2861*N2861+P2861*R2861)*U2861*Y2861,0)</f>
        <v>0</v>
      </c>
    </row>
    <row r="2862">
      <c r="A2862" t="str">
        <f>A2844</f>
        <v>Sloof</v>
      </c>
      <c r="B2862">
        <f>B2844</f>
        <v>87</v>
      </c>
      <c r="D2862">
        <f>IF(AND(D2859=D2860,D2860=D2861,D2859=D2861),D2859,0)</f>
        <v>4</v>
      </c>
      <c r="E2862" t="str">
        <v>D</v>
      </c>
      <c r="F2862">
        <f>IF(AND(F2859=F2860,F2859=F2861,F2860=F2861),F2859,0)</f>
        <v>13</v>
      </c>
      <c r="L2862" t="str">
        <v>Total panjang per balok</v>
      </c>
      <c r="M2862" t="str">
        <v>=</v>
      </c>
      <c r="N2862">
        <f>IF(AND(D2859=D2860,D2859=D2861,D2860=D2861,F2859=F2860,F2859=F2861,F2860=F2861),SUM(N2859:N2861),0)</f>
        <v>13.511999999999999</v>
      </c>
      <c r="O2862" t="str">
        <v>+</v>
      </c>
      <c r="P2862">
        <f>IF(N2862&gt;12,ROUNDDOWN(N2862/12,0),0)</f>
        <v>1</v>
      </c>
      <c r="Q2862" t="str">
        <v>x</v>
      </c>
      <c r="R2862">
        <f>IF(P2862&gt;0,MAX(VLOOKUP(F2862,$D$6:$G$15,3,FALSE),600),0)/1000</f>
        <v>0.65</v>
      </c>
      <c r="T2862" t="str">
        <v>x</v>
      </c>
      <c r="U2862">
        <f>U2861</f>
        <v>1.041885</v>
      </c>
      <c r="V2862" t="str">
        <v>x</v>
      </c>
      <c r="W2862">
        <f>D2862</f>
        <v>4</v>
      </c>
      <c r="X2862" t="str">
        <v>x</v>
      </c>
      <c r="Y2862">
        <f>Y2861</f>
        <v>1</v>
      </c>
      <c r="Z2862" t="str">
        <v>=</v>
      </c>
      <c r="AA2862">
        <f>(N2862+P2862*R2862/1000)*U2862*W2862*Y2862</f>
        <v>56.31450938099999</v>
      </c>
    </row>
    <row r="2864">
      <c r="A2864" t="str">
        <f>A2844</f>
        <v>Sloof</v>
      </c>
      <c r="B2864">
        <f>B2844</f>
        <v>87</v>
      </c>
      <c r="C2864" t="str">
        <v>Sengkang Tumpuan</v>
      </c>
      <c r="D2864">
        <f>VLOOKUP(D2844,'Detail Balok'!$C$10:$AU$110,31,FALSE)</f>
        <v>0</v>
      </c>
      <c r="E2864" t="str">
        <v>D</v>
      </c>
      <c r="F2864">
        <f>VLOOKUP(D2844,'Detail Balok'!$C$10:$AU$110,33,FALSE)</f>
        <v>8</v>
      </c>
      <c r="G2864" t="str">
        <v>-</v>
      </c>
      <c r="H2864">
        <f>VLOOKUP(D2844,'Detail Balok'!$C$10:$AU$110,35,FALSE)</f>
        <v>125</v>
      </c>
      <c r="J2864">
        <f>(IF(D2864=0,(2*(D2845+G2845))-(F$5*8),IF(D2864=3,(2*(D2845+G2845))-(F$5*8)+(G2845-2*F$5),IF(D2864=4,(2*(D2845+G2845))-(F$5*8)+2*(G2845-2*F$5)))))/1000</f>
        <v>0.98</v>
      </c>
      <c r="K2864" t="str">
        <v>+</v>
      </c>
      <c r="L2864">
        <f>IF(D2864=0,2*MAX(6*F2864,75),(D2864-1)*2*MAX(6*F2864,75))/1000</f>
        <v>0.15</v>
      </c>
      <c r="M2864" t="str">
        <v>=</v>
      </c>
      <c r="N2864">
        <f>J2864+L2864</f>
        <v>1.13</v>
      </c>
      <c r="T2864" t="str">
        <v>x</v>
      </c>
      <c r="U2864">
        <f>0.006165*F2864^2</f>
        <v>0.39456</v>
      </c>
      <c r="V2864" t="str">
        <v>x</v>
      </c>
      <c r="W2864">
        <f>IF(D2847&gt;4*G2845,ROUND(MAX(D2847/4,2*G2845)/H2864,0)+1,ROUND(D2847/H2864,0)+1)</f>
        <v>27</v>
      </c>
      <c r="X2864" t="str">
        <v>x</v>
      </c>
      <c r="Y2864">
        <f>D2850</f>
        <v>1</v>
      </c>
      <c r="Z2864" t="str">
        <v>=</v>
      </c>
      <c r="AA2864">
        <f>N2864*U2864*W2864*Y2864</f>
        <v>12.0380256</v>
      </c>
    </row>
    <row r="2865">
      <c r="A2865" t="str">
        <f>A2844</f>
        <v>Sloof</v>
      </c>
      <c r="B2865">
        <f>B2844</f>
        <v>87</v>
      </c>
      <c r="C2865" t="str">
        <v>Sengkang Lapangan</v>
      </c>
      <c r="D2865">
        <f>VLOOKUP(D2844,'Detail Balok'!$C$10:$AU$110,36,FALSE)</f>
        <v>0</v>
      </c>
      <c r="E2865" t="str">
        <v>D</v>
      </c>
      <c r="F2865">
        <f>VLOOKUP(D2844,'Detail Balok'!$C$10:$AU$110,38,FALSE)</f>
        <v>8</v>
      </c>
      <c r="G2865" t="str">
        <v>-</v>
      </c>
      <c r="H2865">
        <f>VLOOKUP(D2844,'Detail Balok'!$C$10:$AU$110,40,FALSE)</f>
        <v>150</v>
      </c>
      <c r="J2865">
        <f>(IF(D2865=0,(2*(D2845+G2845))-(F$5*8),IF(D2865=3,(2*(D2845+G2845))-(F$5*8)+(G2845-2*F$5),IF(D2865=4,(2*(D2845+G2845))-(F$5*8)+2*(G2845-2*F$5)))))/1000</f>
        <v>0.98</v>
      </c>
      <c r="K2865" t="str">
        <v>+</v>
      </c>
      <c r="L2865">
        <f>IF(D2865=0,2*MAX(6*F2865,75),(D2865-1)*2*MAX(6*F2865,75))/1000</f>
        <v>0.15</v>
      </c>
      <c r="M2865" t="str">
        <v>=</v>
      </c>
      <c r="N2865">
        <f>J2865+L2865</f>
        <v>1.13</v>
      </c>
      <c r="T2865" t="str">
        <v>x</v>
      </c>
      <c r="U2865">
        <f>0.006165*F2865^2</f>
        <v>0.39456</v>
      </c>
      <c r="V2865" t="str">
        <v>x</v>
      </c>
      <c r="W2865">
        <f>IF(D2847-MAX(D2847/4,2*G2845)*2&gt;0,ROUND((D2847-MAX(D2847/4,2*G2845)*2)/H2865,0),0)</f>
        <v>44</v>
      </c>
      <c r="X2865" t="str">
        <v>x</v>
      </c>
      <c r="Y2865">
        <f>D2850</f>
        <v>1</v>
      </c>
      <c r="Z2865" t="str">
        <v>=</v>
      </c>
      <c r="AA2865">
        <f>N2865*U2865*W2865*Y2865</f>
        <v>19.6175232</v>
      </c>
    </row>
    <row r="2866">
      <c r="A2866" t="str">
        <f>A2844</f>
        <v>Sloof</v>
      </c>
      <c r="B2866">
        <f>B2844</f>
        <v>87</v>
      </c>
      <c r="C2866" t="str">
        <v>Sengkang Tumpuan</v>
      </c>
      <c r="D2866">
        <f>VLOOKUP(D2844,'Detail Balok'!$C$10:$AU$110,41,FALSE)</f>
        <v>0</v>
      </c>
      <c r="E2866" t="str">
        <v>D</v>
      </c>
      <c r="F2866">
        <f>VLOOKUP(D2844,'Detail Balok'!$C$10:$AU$110,43,FALSE)</f>
        <v>8</v>
      </c>
      <c r="G2866" t="str">
        <v>-</v>
      </c>
      <c r="H2866">
        <f>VLOOKUP(D2844,'Detail Balok'!$C$10:$AU$110,45,FALSE)</f>
        <v>125</v>
      </c>
      <c r="J2866">
        <f>(IF(D2866=0,(2*(D2845+G2845))-(F$5*8),IF(D2866=3,(2*(D2845+G2845))-(F$5*8)+(G2845-2*F$5),IF(D2866=4,(2*(D2845+G2845))-(F$5*8)+2*(G2845-2*F$5)))))/1000</f>
        <v>0.98</v>
      </c>
      <c r="K2866" t="str">
        <v>+</v>
      </c>
      <c r="L2866">
        <f>IF(D2866=0,2*MAX(6*F2866,75),(D2866-1)*2*MAX(6*F2866,75))/1000</f>
        <v>0.15</v>
      </c>
      <c r="M2866" t="str">
        <v>=</v>
      </c>
      <c r="N2866">
        <f>J2866+L2866</f>
        <v>1.13</v>
      </c>
      <c r="T2866" t="str">
        <v>x</v>
      </c>
      <c r="U2866">
        <f>0.006165*F2866^2</f>
        <v>0.39456</v>
      </c>
      <c r="V2866" t="str">
        <v>x</v>
      </c>
      <c r="W2866">
        <f>IF(D2847&gt;4*G2845,ROUND(MAX(D2847/4,2*G2845)/H2866,0)+1,0)</f>
        <v>27</v>
      </c>
      <c r="X2866" t="str">
        <v>x</v>
      </c>
      <c r="Y2866">
        <f>D2850</f>
        <v>1</v>
      </c>
      <c r="Z2866" t="str">
        <v>=</v>
      </c>
      <c r="AA2866">
        <f>N2866*U2866*W2866*Y2866</f>
        <v>12.0380256</v>
      </c>
    </row>
    <row r="2868">
      <c r="A2868" t="str">
        <f>A2844</f>
        <v>Sloof</v>
      </c>
      <c r="B2868">
        <f>B2844</f>
        <v>87</v>
      </c>
      <c r="C2868" t="str">
        <v>Kait Horizontal Tump.</v>
      </c>
      <c r="D2868">
        <f>VLOOKUP(D2844,'Detail Balok'!$C$10:$BJ$110,46,FALSE)</f>
        <v>0</v>
      </c>
      <c r="E2868" t="str">
        <v>D</v>
      </c>
      <c r="F2868">
        <f>VLOOKUP(D2844,'Detail Balok'!$C$10:$BJ$110,48,FALSE)</f>
        <v>0</v>
      </c>
      <c r="G2868" t="str">
        <v>-</v>
      </c>
      <c r="H2868">
        <f>VLOOKUP(D2844,'Detail Balok'!$C$10:$BJ$110,50,FALSE)</f>
        <v>100</v>
      </c>
      <c r="J2868">
        <f>(D2845-2*F$5)/1000</f>
        <v>0.12</v>
      </c>
      <c r="K2868" t="str">
        <v>+</v>
      </c>
      <c r="L2868">
        <f>IF(D2868=0,2*MAX(6*F2868,75),(D2868-1)*2*MAX(6*F2868,75))/1000</f>
        <v>0.15</v>
      </c>
      <c r="M2868" t="str">
        <v>=</v>
      </c>
      <c r="N2868">
        <f>J2868+L2868</f>
        <v>0.27</v>
      </c>
      <c r="T2868" t="str">
        <v>x</v>
      </c>
      <c r="U2868">
        <f>0.006165*F2868^2</f>
        <v>0</v>
      </c>
      <c r="V2868" t="str">
        <v>x</v>
      </c>
      <c r="W2868">
        <f>W2864</f>
        <v>27</v>
      </c>
      <c r="X2868" t="str">
        <v>x</v>
      </c>
      <c r="Y2868">
        <f>D2854</f>
        <v>0</v>
      </c>
      <c r="Z2868" t="str">
        <v>=</v>
      </c>
      <c r="AA2868">
        <f>N2868*U2868*W2868*Y2868</f>
        <v>0</v>
      </c>
    </row>
    <row r="2869">
      <c r="A2869" t="str">
        <f>A2844</f>
        <v>Sloof</v>
      </c>
      <c r="B2869">
        <f>B2844</f>
        <v>87</v>
      </c>
      <c r="C2869" t="str">
        <v>Kait Horizontal Lap.</v>
      </c>
      <c r="D2869">
        <f>VLOOKUP(D2844,'Detail Balok'!$C$10:$BJ$110,51,FALSE)</f>
        <v>0</v>
      </c>
      <c r="E2869" t="str">
        <v>D</v>
      </c>
      <c r="F2869">
        <f>VLOOKUP(D2844,'Detail Balok'!$C$10:$BJ$110,53,FALSE)</f>
        <v>0</v>
      </c>
      <c r="G2869" t="str">
        <v>-</v>
      </c>
      <c r="H2869">
        <f>VLOOKUP(D2844,'Detail Balok'!$C$10:$BJ$110,55,FALSE)</f>
        <v>100</v>
      </c>
      <c r="J2869">
        <f>(D2845-2*F$5)/1000</f>
        <v>0.12</v>
      </c>
      <c r="K2869" t="str">
        <v>+</v>
      </c>
      <c r="L2869">
        <f>IF(D2869=0,2*MAX(6*F2869,75),(D2869-1)*2*MAX(6*F2869,75))/1000</f>
        <v>0.15</v>
      </c>
      <c r="M2869" t="str">
        <v>=</v>
      </c>
      <c r="N2869">
        <f>J2869+L2869</f>
        <v>0.27</v>
      </c>
      <c r="T2869" t="str">
        <v>x</v>
      </c>
      <c r="U2869">
        <f>0.006165*F2869^2</f>
        <v>0</v>
      </c>
      <c r="V2869" t="str">
        <v>x</v>
      </c>
      <c r="W2869">
        <f>W2865</f>
        <v>44</v>
      </c>
      <c r="X2869" t="str">
        <v>x</v>
      </c>
      <c r="Y2869">
        <f>D2854</f>
        <v>0</v>
      </c>
      <c r="Z2869" t="str">
        <v>=</v>
      </c>
      <c r="AA2869">
        <f>N2869*U2869*W2869*Y2869</f>
        <v>0</v>
      </c>
    </row>
    <row r="2870">
      <c r="A2870" t="str">
        <f>A2844</f>
        <v>Sloof</v>
      </c>
      <c r="B2870">
        <f>B2844</f>
        <v>87</v>
      </c>
      <c r="C2870" t="str">
        <v>Kait Horizontal Tump.</v>
      </c>
      <c r="D2870">
        <f>VLOOKUP(D2844,'Detail Balok'!$C$10:$BJ$110,56,FALSE)</f>
        <v>0</v>
      </c>
      <c r="E2870" t="str">
        <v>D</v>
      </c>
      <c r="F2870">
        <f>VLOOKUP(D2844,'Detail Balok'!$C$10:$BJ$110,58,FALSE)</f>
        <v>0</v>
      </c>
      <c r="G2870" t="str">
        <v>-</v>
      </c>
      <c r="H2870">
        <f>VLOOKUP(D2844,'Detail Balok'!$C$10:$BJ$110,60,FALSE)</f>
        <v>100</v>
      </c>
      <c r="J2870">
        <f>(D2845-2*F$5)/1000</f>
        <v>0.12</v>
      </c>
      <c r="K2870" t="str">
        <v>+</v>
      </c>
      <c r="L2870">
        <f>IF(D2870=0,2*MAX(6*F2870,75),(D2870-1)*2*MAX(6*F2870,75))/1000</f>
        <v>0.15</v>
      </c>
      <c r="M2870" t="str">
        <v>=</v>
      </c>
      <c r="N2870">
        <f>J2870+L2870</f>
        <v>0.27</v>
      </c>
      <c r="T2870" t="str">
        <v>x</v>
      </c>
      <c r="U2870">
        <f>0.006165*F2870^2</f>
        <v>0</v>
      </c>
      <c r="V2870" t="str">
        <v>x</v>
      </c>
      <c r="W2870">
        <f>W2866</f>
        <v>27</v>
      </c>
      <c r="X2870" t="str">
        <v>x</v>
      </c>
      <c r="Y2870">
        <f>D2854</f>
        <v>0</v>
      </c>
      <c r="Z2870" t="str">
        <v>=</v>
      </c>
      <c r="AA2870">
        <f>N2870*U2870*W2870*Y2870</f>
        <v>0</v>
      </c>
    </row>
    <row r="2874">
      <c r="A2874" t="str">
        <f>A2844</f>
        <v>Sloof</v>
      </c>
      <c r="B2874">
        <f>B2844+1</f>
        <v>88</v>
      </c>
      <c r="C2874" t="str">
        <f>CONCATENATE(A2874," no. ",B2874)</f>
        <v>Sloof no. 88</v>
      </c>
      <c r="D2874" t="str">
        <f>VLOOKUP(C2874,'Data Panjang Balok'!$C$9:$N$424,2,FALSE)</f>
        <v>TB245-2</v>
      </c>
    </row>
    <row r="2875">
      <c r="C2875" t="str">
        <v>Dimensi</v>
      </c>
      <c r="D2875">
        <f>VLOOKUP(D2874,'Detail Balok'!$C$10:$AU$110,2,FALSE)</f>
        <v>200</v>
      </c>
      <c r="F2875" t="str">
        <v>x</v>
      </c>
      <c r="G2875">
        <f>VLOOKUP(D2874,'Detail Balok'!$C$10:$AU$110,3,FALSE)</f>
        <v>450</v>
      </c>
    </row>
    <row r="2876">
      <c r="C2876" t="str">
        <v>Panjang as ke as</v>
      </c>
      <c r="D2876">
        <f>VLOOKUP(C2874,'Data Panjang Balok'!$C$9:$N$424,4,FALSE)</f>
        <v>8000</v>
      </c>
    </row>
    <row r="2877">
      <c r="C2877" t="str">
        <v>Panjang netto</v>
      </c>
      <c r="D2877">
        <f>VLOOKUP(C2874,'Data Panjang Balok'!$C$9:$N$424,7,FALSE)</f>
        <v>8000</v>
      </c>
    </row>
    <row r="2878">
      <c r="C2878" t="str">
        <v>Kolom / balok kiri</v>
      </c>
      <c r="D2878">
        <f>VLOOKUP(C2874,'Data Panjang Balok'!$C$9:$N$424,9,FALSE)</f>
        <v>0</v>
      </c>
    </row>
    <row r="2879">
      <c r="C2879" t="str">
        <v>Kolom / balok kanan</v>
      </c>
      <c r="D2879">
        <f>VLOOKUP(C2874,'Data Panjang Balok'!$C$9:$N$424,10,FALSE)</f>
        <v>0</v>
      </c>
    </row>
    <row r="2880">
      <c r="C2880" t="str">
        <v>Jumlah</v>
      </c>
      <c r="D2880">
        <f>VLOOKUP(C2874,'Data Panjang Balok'!$C$9:$N$424,3,FALSE)</f>
        <v>1</v>
      </c>
    </row>
    <row r="2881">
      <c r="A2881" t="str">
        <f>A2874</f>
        <v>Sloof</v>
      </c>
      <c r="B2881">
        <f>B2874</f>
        <v>88</v>
      </c>
      <c r="C2881" t="str">
        <v>Tul Atas Tumpuan</v>
      </c>
      <c r="D2881">
        <f>VLOOKUP(D2874,'Detail Balok'!$C$10:$AU$110,4,FALSE)</f>
        <v>4</v>
      </c>
      <c r="E2881" t="str">
        <v>D</v>
      </c>
      <c r="F2881">
        <f>VLOOKUP(D2874,'Detail Balok'!$C$10:$AU$110,6,FALSE)</f>
        <v>13</v>
      </c>
      <c r="I2881" t="str">
        <v>(</v>
      </c>
      <c r="J2881">
        <f>+D2876/4/1000</f>
        <v>2</v>
      </c>
      <c r="K2881" t="str">
        <v>+</v>
      </c>
      <c r="L2881">
        <f>MAX(VLOOKUP(F2881,N$6:P$15,3,FALSE)/1000,2/3*D2878/1000)+F$16*F2881/1000</f>
        <v>0.156</v>
      </c>
      <c r="M2881" t="str">
        <v>=</v>
      </c>
      <c r="N2881">
        <f>J2881+L2881</f>
        <v>2.156</v>
      </c>
      <c r="O2881" t="str">
        <v>+</v>
      </c>
      <c r="P2881">
        <f>D2881-D2882</f>
        <v>2</v>
      </c>
      <c r="Q2881" t="str">
        <v>x</v>
      </c>
      <c r="R2881">
        <f>IF(P2881&gt;0,$F$18*F2881/1000,0)</f>
        <v>0.195</v>
      </c>
      <c r="S2881" t="str">
        <v>)</v>
      </c>
      <c r="T2881" t="str">
        <v>x</v>
      </c>
      <c r="U2881">
        <f>0.006165*F2881^2</f>
        <v>1.041885</v>
      </c>
      <c r="X2881" t="str">
        <v>x</v>
      </c>
      <c r="Y2881">
        <f>D2880</f>
        <v>1</v>
      </c>
      <c r="Z2881" t="str">
        <v>=</v>
      </c>
      <c r="AA2881">
        <f>IF(AA2884=0,(D2881*N2881+P2881*R2881)*U2881*Y2881,0)</f>
        <v>9.39155139</v>
      </c>
    </row>
    <row r="2882">
      <c r="A2882" t="str">
        <f>A2874</f>
        <v>Sloof</v>
      </c>
      <c r="B2882">
        <f>B2874</f>
        <v>88</v>
      </c>
      <c r="C2882" t="str">
        <v>Tul Atas Lapangan</v>
      </c>
      <c r="D2882">
        <f>VLOOKUP(D2874,'Detail Balok'!$C$10:$AU$110,7,FALSE)</f>
        <v>2</v>
      </c>
      <c r="E2882" t="str">
        <v>D</v>
      </c>
      <c r="F2882">
        <f>VLOOKUP(D2874,'Detail Balok'!$C$10:$AU$110,9,FALSE)</f>
        <v>13</v>
      </c>
      <c r="I2882" t="str">
        <v>(</v>
      </c>
      <c r="J2882">
        <f>+D2876/2/1000</f>
        <v>4</v>
      </c>
      <c r="K2882" t="str">
        <v>+</v>
      </c>
      <c r="M2882" t="str">
        <v>=</v>
      </c>
      <c r="N2882">
        <f>J2882+L2882</f>
        <v>4</v>
      </c>
      <c r="O2882" t="str">
        <v>+</v>
      </c>
      <c r="P2882">
        <f>MAX(D2882-D2881,D2882-D2883)</f>
        <v>-2</v>
      </c>
      <c r="Q2882" t="str">
        <v>x</v>
      </c>
      <c r="R2882">
        <f>IF(P2882&gt;0,2*(1-2*$F$19-1/2)*D2877/1000,0)</f>
        <v>0</v>
      </c>
      <c r="S2882" t="str">
        <v>)</v>
      </c>
      <c r="T2882" t="str">
        <v>x</v>
      </c>
      <c r="U2882">
        <f>0.006165*F2882^2</f>
        <v>1.041885</v>
      </c>
      <c r="X2882" t="str">
        <v>x</v>
      </c>
      <c r="Y2882">
        <f>D2880</f>
        <v>1</v>
      </c>
      <c r="Z2882" t="str">
        <v>=</v>
      </c>
      <c r="AA2882">
        <f>IF(AA2884=0,(D2882*N2882+P2882*R2882)*U2882*Y2882,0)</f>
        <v>8.33508</v>
      </c>
    </row>
    <row r="2883">
      <c r="A2883" t="str">
        <f>A2874</f>
        <v>Sloof</v>
      </c>
      <c r="B2883">
        <f>B2874</f>
        <v>88</v>
      </c>
      <c r="C2883" t="str">
        <v>Tul Atas Tumpuan</v>
      </c>
      <c r="D2883">
        <f>VLOOKUP(D2874,'Detail Balok'!$C$10:$AU$110,10,FALSE)</f>
        <v>4</v>
      </c>
      <c r="E2883" t="str">
        <v>D</v>
      </c>
      <c r="F2883">
        <f>VLOOKUP(D2874,'Detail Balok'!$C$10:$AU$110,12,FALSE)</f>
        <v>13</v>
      </c>
      <c r="I2883" t="str">
        <v>(</v>
      </c>
      <c r="J2883">
        <f>+D2876/4/1000</f>
        <v>2</v>
      </c>
      <c r="K2883" t="str">
        <v>+</v>
      </c>
      <c r="L2883">
        <f>MAX(VLOOKUP(F2883,N$6:P$15,3,FALSE)/1000,2/3*D2878/1000)+F$16*F2883/1000</f>
        <v>0.156</v>
      </c>
      <c r="M2883" t="str">
        <v>=</v>
      </c>
      <c r="N2883">
        <f>J2883+L2883</f>
        <v>2.156</v>
      </c>
      <c r="O2883" t="str">
        <v>+</v>
      </c>
      <c r="P2883">
        <f>D2883-D2882</f>
        <v>2</v>
      </c>
      <c r="Q2883" t="str">
        <v>x</v>
      </c>
      <c r="R2883">
        <f>IF(P2883&gt;0,$F$18*F2883/1000,0)</f>
        <v>0.195</v>
      </c>
      <c r="S2883" t="str">
        <v>)</v>
      </c>
      <c r="T2883" t="str">
        <v>x</v>
      </c>
      <c r="U2883">
        <f>0.006165*F2883^2</f>
        <v>1.041885</v>
      </c>
      <c r="X2883" t="str">
        <v>x</v>
      </c>
      <c r="Y2883">
        <f>D2880</f>
        <v>1</v>
      </c>
      <c r="Z2883" t="str">
        <v>=</v>
      </c>
      <c r="AA2883">
        <f>IF(AA2884=0,(D2883*N2883+P2883*R2883)*U2883*Y2883,0)</f>
        <v>9.39155139</v>
      </c>
    </row>
    <row r="2884">
      <c r="A2884" t="str">
        <f>A2874</f>
        <v>Sloof</v>
      </c>
      <c r="B2884">
        <f>B2874</f>
        <v>88</v>
      </c>
      <c r="D2884">
        <f>IF(AND(D2881=D2882,D2882=D2883,D2881=D2883),D2881,0)</f>
        <v>0</v>
      </c>
      <c r="E2884" t="str">
        <v>D</v>
      </c>
      <c r="F2884">
        <f>IF(AND(F2881=F2882,F2881=F2883,F2882=F2883),F2881,0)</f>
        <v>13</v>
      </c>
      <c r="L2884" t="str">
        <v>Total panjang per balok</v>
      </c>
      <c r="M2884" t="str">
        <v>=</v>
      </c>
      <c r="N2884">
        <f>IF(AND(D2881=D2882,D2881=D2883,D2882=D2883,F2881=F2882,F2881=F2883,F2882=F2883),SUM(N2881:N2883),0)</f>
        <v>0</v>
      </c>
      <c r="O2884" t="str">
        <v>+</v>
      </c>
      <c r="P2884">
        <f>IF(N2884&gt;12,ROUNDDOWN(N2884/12,0),0)</f>
        <v>0</v>
      </c>
      <c r="Q2884" t="str">
        <v>x</v>
      </c>
      <c r="R2884">
        <f>IF(P2884&gt;0,MAX(VLOOKUP(F2884,$D$6:$G$15,3,FALSE),600),0)/1000</f>
        <v>0</v>
      </c>
      <c r="T2884" t="str">
        <v>x</v>
      </c>
      <c r="U2884">
        <f>U2883</f>
        <v>1.041885</v>
      </c>
      <c r="V2884" t="str">
        <v>x</v>
      </c>
      <c r="W2884">
        <f>D2884</f>
        <v>0</v>
      </c>
      <c r="X2884" t="str">
        <v>x</v>
      </c>
      <c r="Y2884">
        <f>Y2883</f>
        <v>1</v>
      </c>
      <c r="Z2884" t="str">
        <v>=</v>
      </c>
      <c r="AA2884">
        <f>(N2884+P2884*R2884/1000)*U2884*W2884*Y2884</f>
        <v>0</v>
      </c>
    </row>
    <row r="2886">
      <c r="A2886" t="str">
        <f>A2874</f>
        <v>Sloof</v>
      </c>
      <c r="B2886">
        <f>B2874</f>
        <v>88</v>
      </c>
      <c r="C2886" t="str">
        <v>Tul Peminggang</v>
      </c>
      <c r="D2886">
        <f>VLOOKUP(D2874,'Detail Balok'!$C$10:$AU$110,13,FALSE)</f>
        <v>2</v>
      </c>
      <c r="E2886" t="str">
        <v>D</v>
      </c>
      <c r="F2886">
        <f>VLOOKUP(D2874,'Detail Balok'!$C$10:$AU$110,15,FALSE)</f>
        <v>8</v>
      </c>
      <c r="J2886">
        <f>+D2876/1000</f>
        <v>8</v>
      </c>
      <c r="K2886" t="str">
        <v>+</v>
      </c>
      <c r="L2886">
        <f>2*$F$16*F2886/1000</f>
        <v>0.192</v>
      </c>
      <c r="M2886" t="str">
        <v>=</v>
      </c>
      <c r="N2886">
        <f>J2886+L2886</f>
        <v>8.192</v>
      </c>
      <c r="O2886" t="str">
        <v>+</v>
      </c>
      <c r="P2886">
        <f>IF(N2886&gt;12,ROUNDDOWN(N2886/12,0),0)</f>
        <v>0</v>
      </c>
      <c r="Q2886" t="str">
        <v>x</v>
      </c>
      <c r="R2886">
        <f>IF(P2886&gt;0,MAX(VLOOKUP(F2886,$D$6:$G$15,3,FALSE),600),0)/1000</f>
        <v>0</v>
      </c>
      <c r="T2886" t="str">
        <v>x</v>
      </c>
      <c r="U2886">
        <f>0.006165*F2886^2</f>
        <v>0.39456</v>
      </c>
      <c r="V2886" t="str">
        <v>x</v>
      </c>
      <c r="W2886">
        <f>+D2886</f>
        <v>2</v>
      </c>
      <c r="X2886" t="str">
        <v>x</v>
      </c>
      <c r="Y2886">
        <f>D2880</f>
        <v>1</v>
      </c>
      <c r="Z2886" t="str">
        <v>=</v>
      </c>
      <c r="AA2886">
        <f>(N2886+P2886*R2886/1000)*U2886*W2886*Y2886</f>
        <v>6.46447104</v>
      </c>
    </row>
    <row r="2889">
      <c r="A2889" t="str">
        <f>A2874</f>
        <v>Sloof</v>
      </c>
      <c r="B2889">
        <f>B2874</f>
        <v>88</v>
      </c>
      <c r="C2889" t="str">
        <v>Tul Bawah Tumpuan</v>
      </c>
      <c r="D2889">
        <f>VLOOKUP(D2874,'Detail Balok'!$C$10:$AU$110,22,FALSE)</f>
        <v>4</v>
      </c>
      <c r="E2889" t="str">
        <v>D</v>
      </c>
      <c r="F2889">
        <f>VLOOKUP(D2874,'Detail Balok'!$C$10:$AU$110,24,FALSE)</f>
        <v>13</v>
      </c>
      <c r="I2889" t="str">
        <v>(</v>
      </c>
      <c r="J2889">
        <f>+J2881</f>
        <v>2</v>
      </c>
      <c r="K2889" t="str">
        <v>+</v>
      </c>
      <c r="L2889">
        <f>MAX(VLOOKUP(F2889,N$6:P$15,3,FALSE)/1000,2/3*D2879/1000)+F$16*F2889/1000</f>
        <v>0.156</v>
      </c>
      <c r="M2889" t="str">
        <v>=</v>
      </c>
      <c r="N2889">
        <f>J2889+L2889</f>
        <v>2.156</v>
      </c>
      <c r="O2889" t="str">
        <v>+</v>
      </c>
      <c r="P2889">
        <f>D2889-D2890</f>
        <v>0</v>
      </c>
      <c r="Q2889" t="str">
        <v>x</v>
      </c>
      <c r="R2889">
        <f>IF(P2889&gt;0,$F$18*F2889/1000,0)</f>
        <v>0</v>
      </c>
      <c r="S2889" t="str">
        <v>)</v>
      </c>
      <c r="T2889" t="str">
        <v>x</v>
      </c>
      <c r="U2889">
        <f>0.006165*F2889^2</f>
        <v>1.041885</v>
      </c>
      <c r="X2889" t="str">
        <v>x</v>
      </c>
      <c r="Y2889">
        <f>D2880</f>
        <v>1</v>
      </c>
      <c r="Z2889" t="str">
        <v>=</v>
      </c>
      <c r="AA2889">
        <f>IF(AA2892=0,(D2889*N2889+P2889*R2889)*U2889*Y2889,0)</f>
        <v>0</v>
      </c>
    </row>
    <row r="2890">
      <c r="A2890" t="str">
        <f>A2874</f>
        <v>Sloof</v>
      </c>
      <c r="B2890">
        <f>B2874</f>
        <v>88</v>
      </c>
      <c r="C2890" t="str">
        <v>Tul Bawah Lapangan</v>
      </c>
      <c r="D2890">
        <f>VLOOKUP(D2874,'Detail Balok'!$C$10:$AU$110,25,FALSE)</f>
        <v>4</v>
      </c>
      <c r="E2890" t="str">
        <v>D</v>
      </c>
      <c r="F2890">
        <f>VLOOKUP(D2874,'Detail Balok'!$C$10:$AU$110,27,FALSE)</f>
        <v>13</v>
      </c>
      <c r="I2890" t="str">
        <v>(</v>
      </c>
      <c r="J2890">
        <f>+J2882</f>
        <v>4</v>
      </c>
      <c r="K2890" t="str">
        <v>+</v>
      </c>
      <c r="M2890" t="str">
        <v>=</v>
      </c>
      <c r="N2890">
        <f>J2890+L2890</f>
        <v>4</v>
      </c>
      <c r="O2890" t="str">
        <v>+</v>
      </c>
      <c r="P2890">
        <f>MAX(D2890-D2889,D2890-D2891)</f>
        <v>0</v>
      </c>
      <c r="Q2890" t="str">
        <v>x</v>
      </c>
      <c r="R2890">
        <f>IF(P2890&gt;0,2*(1-2*$F$19-1/2)*D2877/1000,0)</f>
        <v>0</v>
      </c>
      <c r="S2890" t="str">
        <v>)</v>
      </c>
      <c r="T2890" t="str">
        <v>x</v>
      </c>
      <c r="U2890">
        <f>0.006165*F2890^2</f>
        <v>1.041885</v>
      </c>
      <c r="X2890" t="str">
        <v>x</v>
      </c>
      <c r="Y2890">
        <f>D2880</f>
        <v>1</v>
      </c>
      <c r="Z2890" t="str">
        <v>=</v>
      </c>
      <c r="AA2890">
        <f>IF(AA2892=0,(D2890*N2890+P2890*R2890)*U2890*Y2890,0)</f>
        <v>0</v>
      </c>
    </row>
    <row r="2891">
      <c r="A2891" t="str">
        <f>A2874</f>
        <v>Sloof</v>
      </c>
      <c r="B2891">
        <f>B2874</f>
        <v>88</v>
      </c>
      <c r="C2891" t="str">
        <v>Tul Bawah Tumpuan</v>
      </c>
      <c r="D2891">
        <f>VLOOKUP(D2874,'Detail Balok'!$C$10:$AU$110,28,FALSE)</f>
        <v>4</v>
      </c>
      <c r="E2891" t="str">
        <v>D</v>
      </c>
      <c r="F2891">
        <f>VLOOKUP(D2874,'Detail Balok'!$C$10:$AU$110,30,FALSE)</f>
        <v>13</v>
      </c>
      <c r="I2891" t="str">
        <v>(</v>
      </c>
      <c r="J2891">
        <f>+J2883</f>
        <v>2</v>
      </c>
      <c r="K2891" t="str">
        <v>+</v>
      </c>
      <c r="L2891">
        <f>MAX(VLOOKUP(F2891,N$6:P$15,3,FALSE)/1000,2/3*D2879/1000)+F$16*F2891/1000</f>
        <v>0.156</v>
      </c>
      <c r="M2891" t="str">
        <v>=</v>
      </c>
      <c r="N2891">
        <f>J2891+L2891</f>
        <v>2.156</v>
      </c>
      <c r="O2891" t="str">
        <v>+</v>
      </c>
      <c r="P2891">
        <f>D2891-D2890</f>
        <v>0</v>
      </c>
      <c r="Q2891" t="str">
        <v>x</v>
      </c>
      <c r="R2891">
        <f>IF(P2891&gt;0,$F$18*F2891/1000,0)</f>
        <v>0</v>
      </c>
      <c r="S2891" t="str">
        <v>)</v>
      </c>
      <c r="T2891" t="str">
        <v>x</v>
      </c>
      <c r="U2891">
        <f>0.006165*F2891^2</f>
        <v>1.041885</v>
      </c>
      <c r="X2891" t="str">
        <v>x</v>
      </c>
      <c r="Y2891">
        <f>D2880</f>
        <v>1</v>
      </c>
      <c r="Z2891" t="str">
        <v>=</v>
      </c>
      <c r="AA2891">
        <f>IF(AA2892=0,(D2891*N2891+P2891*R2891)*U2891*Y2891,0)</f>
        <v>0</v>
      </c>
    </row>
    <row r="2892">
      <c r="A2892" t="str">
        <f>A2874</f>
        <v>Sloof</v>
      </c>
      <c r="B2892">
        <f>B2874</f>
        <v>88</v>
      </c>
      <c r="D2892">
        <f>IF(AND(D2889=D2890,D2890=D2891,D2889=D2891),D2889,0)</f>
        <v>4</v>
      </c>
      <c r="E2892" t="str">
        <v>D</v>
      </c>
      <c r="F2892">
        <f>IF(AND(F2889=F2890,F2889=F2891,F2890=F2891),F2889,0)</f>
        <v>13</v>
      </c>
      <c r="L2892" t="str">
        <v>Total panjang per balok</v>
      </c>
      <c r="M2892" t="str">
        <v>=</v>
      </c>
      <c r="N2892">
        <f>IF(AND(D2889=D2890,D2889=D2891,D2890=D2891,F2889=F2890,F2889=F2891,F2890=F2891),SUM(N2889:N2891),0)</f>
        <v>8.312000000000001</v>
      </c>
      <c r="O2892" t="str">
        <v>+</v>
      </c>
      <c r="P2892">
        <f>IF(N2892&gt;12,ROUNDDOWN(N2892/12,0),0)</f>
        <v>0</v>
      </c>
      <c r="Q2892" t="str">
        <v>x</v>
      </c>
      <c r="R2892">
        <f>IF(P2892&gt;0,MAX(VLOOKUP(F2892,$D$6:$G$15,3,FALSE),600),0)/1000</f>
        <v>0</v>
      </c>
      <c r="T2892" t="str">
        <v>x</v>
      </c>
      <c r="U2892">
        <f>U2891</f>
        <v>1.041885</v>
      </c>
      <c r="V2892" t="str">
        <v>x</v>
      </c>
      <c r="W2892">
        <f>D2892</f>
        <v>4</v>
      </c>
      <c r="X2892" t="str">
        <v>x</v>
      </c>
      <c r="Y2892">
        <f>Y2891</f>
        <v>1</v>
      </c>
      <c r="Z2892" t="str">
        <v>=</v>
      </c>
      <c r="AA2892">
        <f>(N2892+P2892*R2892/1000)*U2892*W2892*Y2892</f>
        <v>34.64059248</v>
      </c>
    </row>
    <row r="2894">
      <c r="A2894" t="str">
        <f>A2874</f>
        <v>Sloof</v>
      </c>
      <c r="B2894">
        <f>B2874</f>
        <v>88</v>
      </c>
      <c r="C2894" t="str">
        <v>Sengkang Tumpuan</v>
      </c>
      <c r="D2894">
        <f>VLOOKUP(D2874,'Detail Balok'!$C$10:$AU$110,31,FALSE)</f>
        <v>0</v>
      </c>
      <c r="E2894" t="str">
        <v>D</v>
      </c>
      <c r="F2894">
        <f>VLOOKUP(D2874,'Detail Balok'!$C$10:$AU$110,33,FALSE)</f>
        <v>8</v>
      </c>
      <c r="G2894" t="str">
        <v>-</v>
      </c>
      <c r="H2894">
        <f>VLOOKUP(D2874,'Detail Balok'!$C$10:$AU$110,35,FALSE)</f>
        <v>125</v>
      </c>
      <c r="J2894">
        <f>(IF(D2894=0,(2*(D2875+G2875))-(F$5*8),IF(D2894=3,(2*(D2875+G2875))-(F$5*8)+(G2875-2*F$5),IF(D2894=4,(2*(D2875+G2875))-(F$5*8)+2*(G2875-2*F$5)))))/1000</f>
        <v>0.98</v>
      </c>
      <c r="K2894" t="str">
        <v>+</v>
      </c>
      <c r="L2894">
        <f>IF(D2894=0,2*MAX(6*F2894,75),(D2894-1)*2*MAX(6*F2894,75))/1000</f>
        <v>0.15</v>
      </c>
      <c r="M2894" t="str">
        <v>=</v>
      </c>
      <c r="N2894">
        <f>J2894+L2894</f>
        <v>1.13</v>
      </c>
      <c r="T2894" t="str">
        <v>x</v>
      </c>
      <c r="U2894">
        <f>0.006165*F2894^2</f>
        <v>0.39456</v>
      </c>
      <c r="V2894" t="str">
        <v>x</v>
      </c>
      <c r="W2894">
        <f>IF(D2877&gt;4*G2875,ROUND(MAX(D2877/4,2*G2875)/H2894,0)+1,ROUND(D2877/H2894,0)+1)</f>
        <v>17</v>
      </c>
      <c r="X2894" t="str">
        <v>x</v>
      </c>
      <c r="Y2894">
        <f>D2880</f>
        <v>1</v>
      </c>
      <c r="Z2894" t="str">
        <v>=</v>
      </c>
      <c r="AA2894">
        <f>N2894*U2894*W2894*Y2894</f>
        <v>7.5794976</v>
      </c>
    </row>
    <row r="2895">
      <c r="A2895" t="str">
        <f>A2874</f>
        <v>Sloof</v>
      </c>
      <c r="B2895">
        <f>B2874</f>
        <v>88</v>
      </c>
      <c r="C2895" t="str">
        <v>Sengkang Lapangan</v>
      </c>
      <c r="D2895">
        <f>VLOOKUP(D2874,'Detail Balok'!$C$10:$AU$110,36,FALSE)</f>
        <v>0</v>
      </c>
      <c r="E2895" t="str">
        <v>D</v>
      </c>
      <c r="F2895">
        <f>VLOOKUP(D2874,'Detail Balok'!$C$10:$AU$110,38,FALSE)</f>
        <v>8</v>
      </c>
      <c r="G2895" t="str">
        <v>-</v>
      </c>
      <c r="H2895">
        <f>VLOOKUP(D2874,'Detail Balok'!$C$10:$AU$110,40,FALSE)</f>
        <v>150</v>
      </c>
      <c r="J2895">
        <f>(IF(D2895=0,(2*(D2875+G2875))-(F$5*8),IF(D2895=3,(2*(D2875+G2875))-(F$5*8)+(G2875-2*F$5),IF(D2895=4,(2*(D2875+G2875))-(F$5*8)+2*(G2875-2*F$5)))))/1000</f>
        <v>0.98</v>
      </c>
      <c r="K2895" t="str">
        <v>+</v>
      </c>
      <c r="L2895">
        <f>IF(D2895=0,2*MAX(6*F2895,75),(D2895-1)*2*MAX(6*F2895,75))/1000</f>
        <v>0.15</v>
      </c>
      <c r="M2895" t="str">
        <v>=</v>
      </c>
      <c r="N2895">
        <f>J2895+L2895</f>
        <v>1.13</v>
      </c>
      <c r="T2895" t="str">
        <v>x</v>
      </c>
      <c r="U2895">
        <f>0.006165*F2895^2</f>
        <v>0.39456</v>
      </c>
      <c r="V2895" t="str">
        <v>x</v>
      </c>
      <c r="W2895">
        <f>IF(D2877-MAX(D2877/4,2*G2875)*2&gt;0,ROUND((D2877-MAX(D2877/4,2*G2875)*2)/H2895,0),0)</f>
        <v>27</v>
      </c>
      <c r="X2895" t="str">
        <v>x</v>
      </c>
      <c r="Y2895">
        <f>D2880</f>
        <v>1</v>
      </c>
      <c r="Z2895" t="str">
        <v>=</v>
      </c>
      <c r="AA2895">
        <f>N2895*U2895*W2895*Y2895</f>
        <v>12.0380256</v>
      </c>
    </row>
    <row r="2896">
      <c r="A2896" t="str">
        <f>A2874</f>
        <v>Sloof</v>
      </c>
      <c r="B2896">
        <f>B2874</f>
        <v>88</v>
      </c>
      <c r="C2896" t="str">
        <v>Sengkang Tumpuan</v>
      </c>
      <c r="D2896">
        <f>VLOOKUP(D2874,'Detail Balok'!$C$10:$AU$110,41,FALSE)</f>
        <v>0</v>
      </c>
      <c r="E2896" t="str">
        <v>D</v>
      </c>
      <c r="F2896">
        <f>VLOOKUP(D2874,'Detail Balok'!$C$10:$AU$110,43,FALSE)</f>
        <v>8</v>
      </c>
      <c r="G2896" t="str">
        <v>-</v>
      </c>
      <c r="H2896">
        <f>VLOOKUP(D2874,'Detail Balok'!$C$10:$AU$110,45,FALSE)</f>
        <v>125</v>
      </c>
      <c r="J2896">
        <f>(IF(D2896=0,(2*(D2875+G2875))-(F$5*8),IF(D2896=3,(2*(D2875+G2875))-(F$5*8)+(G2875-2*F$5),IF(D2896=4,(2*(D2875+G2875))-(F$5*8)+2*(G2875-2*F$5)))))/1000</f>
        <v>0.98</v>
      </c>
      <c r="K2896" t="str">
        <v>+</v>
      </c>
      <c r="L2896">
        <f>IF(D2896=0,2*MAX(6*F2896,75),(D2896-1)*2*MAX(6*F2896,75))/1000</f>
        <v>0.15</v>
      </c>
      <c r="M2896" t="str">
        <v>=</v>
      </c>
      <c r="N2896">
        <f>J2896+L2896</f>
        <v>1.13</v>
      </c>
      <c r="T2896" t="str">
        <v>x</v>
      </c>
      <c r="U2896">
        <f>0.006165*F2896^2</f>
        <v>0.39456</v>
      </c>
      <c r="V2896" t="str">
        <v>x</v>
      </c>
      <c r="W2896">
        <f>IF(D2877&gt;4*G2875,ROUND(MAX(D2877/4,2*G2875)/H2896,0)+1,0)</f>
        <v>17</v>
      </c>
      <c r="X2896" t="str">
        <v>x</v>
      </c>
      <c r="Y2896">
        <f>D2880</f>
        <v>1</v>
      </c>
      <c r="Z2896" t="str">
        <v>=</v>
      </c>
      <c r="AA2896">
        <f>N2896*U2896*W2896*Y2896</f>
        <v>7.5794976</v>
      </c>
    </row>
    <row r="2898">
      <c r="A2898" t="str">
        <f>A2874</f>
        <v>Sloof</v>
      </c>
      <c r="B2898">
        <f>B2874</f>
        <v>88</v>
      </c>
      <c r="C2898" t="str">
        <v>Kait Horizontal Tump.</v>
      </c>
      <c r="D2898">
        <f>VLOOKUP(D2874,'Detail Balok'!$C$10:$BJ$110,46,FALSE)</f>
        <v>0</v>
      </c>
      <c r="E2898" t="str">
        <v>D</v>
      </c>
      <c r="F2898">
        <f>VLOOKUP(D2874,'Detail Balok'!$C$10:$BJ$110,48,FALSE)</f>
        <v>0</v>
      </c>
      <c r="G2898" t="str">
        <v>-</v>
      </c>
      <c r="H2898">
        <f>VLOOKUP(D2874,'Detail Balok'!$C$10:$BJ$110,50,FALSE)</f>
        <v>100</v>
      </c>
      <c r="J2898">
        <f>(D2875-2*F$5)/1000</f>
        <v>0.12</v>
      </c>
      <c r="K2898" t="str">
        <v>+</v>
      </c>
      <c r="L2898">
        <f>IF(D2898=0,2*MAX(6*F2898,75),(D2898-1)*2*MAX(6*F2898,75))/1000</f>
        <v>0.15</v>
      </c>
      <c r="M2898" t="str">
        <v>=</v>
      </c>
      <c r="N2898">
        <f>J2898+L2898</f>
        <v>0.27</v>
      </c>
      <c r="T2898" t="str">
        <v>x</v>
      </c>
      <c r="U2898">
        <f>0.006165*F2898^2</f>
        <v>0</v>
      </c>
      <c r="V2898" t="str">
        <v>x</v>
      </c>
      <c r="W2898">
        <f>W2894</f>
        <v>17</v>
      </c>
      <c r="X2898" t="str">
        <v>x</v>
      </c>
      <c r="Y2898">
        <f>D2884</f>
        <v>0</v>
      </c>
      <c r="Z2898" t="str">
        <v>=</v>
      </c>
      <c r="AA2898">
        <f>N2898*U2898*W2898*Y2898</f>
        <v>0</v>
      </c>
    </row>
    <row r="2899">
      <c r="A2899" t="str">
        <f>A2874</f>
        <v>Sloof</v>
      </c>
      <c r="B2899">
        <f>B2874</f>
        <v>88</v>
      </c>
      <c r="C2899" t="str">
        <v>Kait Horizontal Lap.</v>
      </c>
      <c r="D2899">
        <f>VLOOKUP(D2874,'Detail Balok'!$C$10:$BJ$110,51,FALSE)</f>
        <v>0</v>
      </c>
      <c r="E2899" t="str">
        <v>D</v>
      </c>
      <c r="F2899">
        <f>VLOOKUP(D2874,'Detail Balok'!$C$10:$BJ$110,53,FALSE)</f>
        <v>0</v>
      </c>
      <c r="G2899" t="str">
        <v>-</v>
      </c>
      <c r="H2899">
        <f>VLOOKUP(D2874,'Detail Balok'!$C$10:$BJ$110,55,FALSE)</f>
        <v>100</v>
      </c>
      <c r="J2899">
        <f>(D2875-2*F$5)/1000</f>
        <v>0.12</v>
      </c>
      <c r="K2899" t="str">
        <v>+</v>
      </c>
      <c r="L2899">
        <f>IF(D2899=0,2*MAX(6*F2899,75),(D2899-1)*2*MAX(6*F2899,75))/1000</f>
        <v>0.15</v>
      </c>
      <c r="M2899" t="str">
        <v>=</v>
      </c>
      <c r="N2899">
        <f>J2899+L2899</f>
        <v>0.27</v>
      </c>
      <c r="T2899" t="str">
        <v>x</v>
      </c>
      <c r="U2899">
        <f>0.006165*F2899^2</f>
        <v>0</v>
      </c>
      <c r="V2899" t="str">
        <v>x</v>
      </c>
      <c r="W2899">
        <f>W2895</f>
        <v>27</v>
      </c>
      <c r="X2899" t="str">
        <v>x</v>
      </c>
      <c r="Y2899">
        <f>D2884</f>
        <v>0</v>
      </c>
      <c r="Z2899" t="str">
        <v>=</v>
      </c>
      <c r="AA2899">
        <f>N2899*U2899*W2899*Y2899</f>
        <v>0</v>
      </c>
    </row>
    <row r="2900">
      <c r="A2900" t="str">
        <f>A2874</f>
        <v>Sloof</v>
      </c>
      <c r="B2900">
        <f>B2874</f>
        <v>88</v>
      </c>
      <c r="C2900" t="str">
        <v>Kait Horizontal Tump.</v>
      </c>
      <c r="D2900">
        <f>VLOOKUP(D2874,'Detail Balok'!$C$10:$BJ$110,56,FALSE)</f>
        <v>0</v>
      </c>
      <c r="E2900" t="str">
        <v>D</v>
      </c>
      <c r="F2900">
        <f>VLOOKUP(D2874,'Detail Balok'!$C$10:$BJ$110,58,FALSE)</f>
        <v>0</v>
      </c>
      <c r="G2900" t="str">
        <v>-</v>
      </c>
      <c r="H2900">
        <f>VLOOKUP(D2874,'Detail Balok'!$C$10:$BJ$110,60,FALSE)</f>
        <v>100</v>
      </c>
      <c r="J2900">
        <f>(D2875-2*F$5)/1000</f>
        <v>0.12</v>
      </c>
      <c r="K2900" t="str">
        <v>+</v>
      </c>
      <c r="L2900">
        <f>IF(D2900=0,2*MAX(6*F2900,75),(D2900-1)*2*MAX(6*F2900,75))/1000</f>
        <v>0.15</v>
      </c>
      <c r="M2900" t="str">
        <v>=</v>
      </c>
      <c r="N2900">
        <f>J2900+L2900</f>
        <v>0.27</v>
      </c>
      <c r="T2900" t="str">
        <v>x</v>
      </c>
      <c r="U2900">
        <f>0.006165*F2900^2</f>
        <v>0</v>
      </c>
      <c r="V2900" t="str">
        <v>x</v>
      </c>
      <c r="W2900">
        <f>W2896</f>
        <v>17</v>
      </c>
      <c r="X2900" t="str">
        <v>x</v>
      </c>
      <c r="Y2900">
        <f>D2884</f>
        <v>0</v>
      </c>
      <c r="Z2900" t="str">
        <v>=</v>
      </c>
      <c r="AA2900">
        <f>N2900*U2900*W2900*Y2900</f>
        <v>0</v>
      </c>
    </row>
    <row r="2904">
      <c r="A2904" t="str">
        <f>A2874</f>
        <v>Sloof</v>
      </c>
      <c r="B2904">
        <f>B2874+1</f>
        <v>89</v>
      </c>
      <c r="C2904" t="str">
        <f>CONCATENATE(A2904," no. ",B2904)</f>
        <v>Sloof no. 89</v>
      </c>
      <c r="D2904" t="str">
        <f>VLOOKUP(C2904,'Data Panjang Balok'!$C$9:$N$424,2,FALSE)</f>
        <v>TB25-1</v>
      </c>
    </row>
    <row r="2905">
      <c r="C2905" t="str">
        <v>Dimensi</v>
      </c>
      <c r="D2905">
        <f>VLOOKUP(D2904,'Detail Balok'!$C$10:$AU$110,2,FALSE)</f>
        <v>200</v>
      </c>
      <c r="F2905" t="str">
        <v>x</v>
      </c>
      <c r="G2905">
        <f>VLOOKUP(D2904,'Detail Balok'!$C$10:$AU$110,3,FALSE)</f>
        <v>500</v>
      </c>
    </row>
    <row r="2906">
      <c r="C2906" t="str">
        <v>Panjang as ke as</v>
      </c>
      <c r="D2906">
        <f>VLOOKUP(C2904,'Data Panjang Balok'!$C$9:$N$424,4,FALSE)</f>
        <v>3000</v>
      </c>
    </row>
    <row r="2907">
      <c r="C2907" t="str">
        <v>Panjang netto</v>
      </c>
      <c r="D2907">
        <f>VLOOKUP(C2904,'Data Panjang Balok'!$C$9:$N$424,7,FALSE)</f>
        <v>3000</v>
      </c>
    </row>
    <row r="2908">
      <c r="C2908" t="str">
        <v>Kolom / balok kiri</v>
      </c>
      <c r="D2908">
        <f>VLOOKUP(C2904,'Data Panjang Balok'!$C$9:$N$424,9,FALSE)</f>
        <v>0</v>
      </c>
    </row>
    <row r="2909">
      <c r="C2909" t="str">
        <v>Kolom / balok kanan</v>
      </c>
      <c r="D2909">
        <f>VLOOKUP(C2904,'Data Panjang Balok'!$C$9:$N$424,10,FALSE)</f>
        <v>0</v>
      </c>
    </row>
    <row r="2910">
      <c r="C2910" t="str">
        <v>Jumlah</v>
      </c>
      <c r="D2910">
        <f>VLOOKUP(C2904,'Data Panjang Balok'!$C$9:$N$424,3,FALSE)</f>
        <v>1</v>
      </c>
    </row>
    <row r="2911">
      <c r="A2911" t="str">
        <f>A2904</f>
        <v>Sloof</v>
      </c>
      <c r="B2911">
        <f>B2904</f>
        <v>89</v>
      </c>
      <c r="C2911" t="str">
        <v>Tul Atas Tumpuan</v>
      </c>
      <c r="D2911">
        <f>VLOOKUP(D2904,'Detail Balok'!$C$10:$AU$110,4,FALSE)</f>
        <v>3</v>
      </c>
      <c r="E2911" t="str">
        <v>D</v>
      </c>
      <c r="F2911">
        <f>VLOOKUP(D2904,'Detail Balok'!$C$10:$AU$110,6,FALSE)</f>
        <v>16</v>
      </c>
      <c r="I2911" t="str">
        <v>(</v>
      </c>
      <c r="J2911">
        <f>+D2906/4/1000</f>
        <v>0.75</v>
      </c>
      <c r="K2911" t="str">
        <v>+</v>
      </c>
      <c r="L2911">
        <f>MAX(VLOOKUP(F2911,N$6:P$15,3,FALSE)/1000,2/3*D2908/1000)+F$16*F2911/1000</f>
        <v>0.192</v>
      </c>
      <c r="M2911" t="str">
        <v>=</v>
      </c>
      <c r="N2911">
        <f>J2911+L2911</f>
        <v>0.942</v>
      </c>
      <c r="O2911" t="str">
        <v>+</v>
      </c>
      <c r="P2911">
        <f>D2911-D2912</f>
        <v>0</v>
      </c>
      <c r="Q2911" t="str">
        <v>x</v>
      </c>
      <c r="R2911">
        <f>IF(P2911&gt;0,$F$18*F2911/1000,0)</f>
        <v>0</v>
      </c>
      <c r="S2911" t="str">
        <v>)</v>
      </c>
      <c r="T2911" t="str">
        <v>x</v>
      </c>
      <c r="U2911">
        <f>0.006165*F2911^2</f>
        <v>1.57824</v>
      </c>
      <c r="X2911" t="str">
        <v>x</v>
      </c>
      <c r="Y2911">
        <f>D2910</f>
        <v>1</v>
      </c>
      <c r="Z2911" t="str">
        <v>=</v>
      </c>
      <c r="AA2911">
        <f>IF(AA2914=0,(D2911*N2911+P2911*R2911)*U2911*Y2911,0)</f>
        <v>0</v>
      </c>
    </row>
    <row r="2912">
      <c r="A2912" t="str">
        <f>A2904</f>
        <v>Sloof</v>
      </c>
      <c r="B2912">
        <f>B2904</f>
        <v>89</v>
      </c>
      <c r="C2912" t="str">
        <v>Tul Atas Lapangan</v>
      </c>
      <c r="D2912">
        <f>VLOOKUP(D2904,'Detail Balok'!$C$10:$AU$110,7,FALSE)</f>
        <v>3</v>
      </c>
      <c r="E2912" t="str">
        <v>D</v>
      </c>
      <c r="F2912">
        <f>VLOOKUP(D2904,'Detail Balok'!$C$10:$AU$110,9,FALSE)</f>
        <v>16</v>
      </c>
      <c r="I2912" t="str">
        <v>(</v>
      </c>
      <c r="J2912">
        <f>+D2906/2/1000</f>
        <v>1.5</v>
      </c>
      <c r="K2912" t="str">
        <v>+</v>
      </c>
      <c r="M2912" t="str">
        <v>=</v>
      </c>
      <c r="N2912">
        <f>J2912+L2912</f>
        <v>1.5</v>
      </c>
      <c r="O2912" t="str">
        <v>+</v>
      </c>
      <c r="P2912">
        <f>MAX(D2912-D2911,D2912-D2913)</f>
        <v>0</v>
      </c>
      <c r="Q2912" t="str">
        <v>x</v>
      </c>
      <c r="R2912">
        <f>IF(P2912&gt;0,2*(1-2*$F$19-1/2)*D2907/1000,0)</f>
        <v>0</v>
      </c>
      <c r="S2912" t="str">
        <v>)</v>
      </c>
      <c r="T2912" t="str">
        <v>x</v>
      </c>
      <c r="U2912">
        <f>0.006165*F2912^2</f>
        <v>1.57824</v>
      </c>
      <c r="X2912" t="str">
        <v>x</v>
      </c>
      <c r="Y2912">
        <f>D2910</f>
        <v>1</v>
      </c>
      <c r="Z2912" t="str">
        <v>=</v>
      </c>
      <c r="AA2912">
        <f>IF(AA2914=0,(D2912*N2912+P2912*R2912)*U2912*Y2912,0)</f>
        <v>0</v>
      </c>
    </row>
    <row r="2913">
      <c r="A2913" t="str">
        <f>A2904</f>
        <v>Sloof</v>
      </c>
      <c r="B2913">
        <f>B2904</f>
        <v>89</v>
      </c>
      <c r="C2913" t="str">
        <v>Tul Atas Tumpuan</v>
      </c>
      <c r="D2913">
        <f>VLOOKUP(D2904,'Detail Balok'!$C$10:$AU$110,10,FALSE)</f>
        <v>3</v>
      </c>
      <c r="E2913" t="str">
        <v>D</v>
      </c>
      <c r="F2913">
        <f>VLOOKUP(D2904,'Detail Balok'!$C$10:$AU$110,12,FALSE)</f>
        <v>16</v>
      </c>
      <c r="I2913" t="str">
        <v>(</v>
      </c>
      <c r="J2913">
        <f>+D2906/4/1000</f>
        <v>0.75</v>
      </c>
      <c r="K2913" t="str">
        <v>+</v>
      </c>
      <c r="L2913">
        <f>MAX(VLOOKUP(F2913,N$6:P$15,3,FALSE)/1000,2/3*D2908/1000)+F$16*F2913/1000</f>
        <v>0.192</v>
      </c>
      <c r="M2913" t="str">
        <v>=</v>
      </c>
      <c r="N2913">
        <f>J2913+L2913</f>
        <v>0.942</v>
      </c>
      <c r="O2913" t="str">
        <v>+</v>
      </c>
      <c r="P2913">
        <f>D2913-D2912</f>
        <v>0</v>
      </c>
      <c r="Q2913" t="str">
        <v>x</v>
      </c>
      <c r="R2913">
        <f>IF(P2913&gt;0,$F$18*F2913/1000,0)</f>
        <v>0</v>
      </c>
      <c r="S2913" t="str">
        <v>)</v>
      </c>
      <c r="T2913" t="str">
        <v>x</v>
      </c>
      <c r="U2913">
        <f>0.006165*F2913^2</f>
        <v>1.57824</v>
      </c>
      <c r="X2913" t="str">
        <v>x</v>
      </c>
      <c r="Y2913">
        <f>D2910</f>
        <v>1</v>
      </c>
      <c r="Z2913" t="str">
        <v>=</v>
      </c>
      <c r="AA2913">
        <f>IF(AA2914=0,(D2913*N2913+P2913*R2913)*U2913*Y2913,0)</f>
        <v>0</v>
      </c>
    </row>
    <row r="2914">
      <c r="A2914" t="str">
        <f>A2904</f>
        <v>Sloof</v>
      </c>
      <c r="B2914">
        <f>B2904</f>
        <v>89</v>
      </c>
      <c r="D2914">
        <f>IF(AND(D2911=D2912,D2912=D2913,D2911=D2913),D2911,0)</f>
        <v>3</v>
      </c>
      <c r="E2914" t="str">
        <v>D</v>
      </c>
      <c r="F2914">
        <f>IF(AND(F2911=F2912,F2911=F2913,F2912=F2913),F2911,0)</f>
        <v>16</v>
      </c>
      <c r="L2914" t="str">
        <v>Total panjang per balok</v>
      </c>
      <c r="M2914" t="str">
        <v>=</v>
      </c>
      <c r="N2914">
        <f>IF(AND(D2911=D2912,D2911=D2913,D2912=D2913,F2911=F2912,F2911=F2913,F2912=F2913),SUM(N2911:N2913),0)</f>
        <v>3.3840000000000003</v>
      </c>
      <c r="O2914" t="str">
        <v>+</v>
      </c>
      <c r="P2914">
        <f>IF(N2914&gt;12,ROUNDDOWN(N2914/12,0),0)</f>
        <v>0</v>
      </c>
      <c r="Q2914" t="str">
        <v>x</v>
      </c>
      <c r="R2914">
        <f>IF(P2914&gt;0,MAX(VLOOKUP(F2914,$D$6:$G$15,3,FALSE),600),0)/1000</f>
        <v>0</v>
      </c>
      <c r="T2914" t="str">
        <v>x</v>
      </c>
      <c r="U2914">
        <f>U2913</f>
        <v>1.57824</v>
      </c>
      <c r="V2914" t="str">
        <v>x</v>
      </c>
      <c r="W2914">
        <f>D2914</f>
        <v>3</v>
      </c>
      <c r="X2914" t="str">
        <v>x</v>
      </c>
      <c r="Y2914">
        <f>Y2913</f>
        <v>1</v>
      </c>
      <c r="Z2914" t="str">
        <v>=</v>
      </c>
      <c r="AA2914">
        <f>(N2914+P2914*R2914/1000)*U2914*W2914*Y2914</f>
        <v>16.022292480000004</v>
      </c>
    </row>
    <row r="2916">
      <c r="A2916" t="str">
        <f>A2904</f>
        <v>Sloof</v>
      </c>
      <c r="B2916">
        <f>B2904</f>
        <v>89</v>
      </c>
      <c r="C2916" t="str">
        <v>Tul Peminggang</v>
      </c>
      <c r="D2916">
        <f>VLOOKUP(D2904,'Detail Balok'!$C$10:$AU$110,13,FALSE)</f>
        <v>2</v>
      </c>
      <c r="E2916" t="str">
        <v>D</v>
      </c>
      <c r="F2916">
        <f>VLOOKUP(D2904,'Detail Balok'!$C$10:$AU$110,15,FALSE)</f>
        <v>10</v>
      </c>
      <c r="J2916">
        <f>+D2906/1000</f>
        <v>3</v>
      </c>
      <c r="K2916" t="str">
        <v>+</v>
      </c>
      <c r="L2916">
        <f>2*$F$16*F2916/1000</f>
        <v>0.24</v>
      </c>
      <c r="M2916" t="str">
        <v>=</v>
      </c>
      <c r="N2916">
        <f>J2916+L2916</f>
        <v>3.24</v>
      </c>
      <c r="O2916" t="str">
        <v>+</v>
      </c>
      <c r="P2916">
        <f>IF(N2916&gt;12,ROUNDDOWN(N2916/12,0),0)</f>
        <v>0</v>
      </c>
      <c r="Q2916" t="str">
        <v>x</v>
      </c>
      <c r="R2916">
        <f>IF(P2916&gt;0,MAX(VLOOKUP(F2916,$D$6:$G$15,3,FALSE),600),0)/1000</f>
        <v>0</v>
      </c>
      <c r="T2916" t="str">
        <v>x</v>
      </c>
      <c r="U2916">
        <f>0.006165*F2916^2</f>
        <v>0.6165</v>
      </c>
      <c r="V2916" t="str">
        <v>x</v>
      </c>
      <c r="W2916">
        <f>+D2916</f>
        <v>2</v>
      </c>
      <c r="X2916" t="str">
        <v>x</v>
      </c>
      <c r="Y2916">
        <f>D2910</f>
        <v>1</v>
      </c>
      <c r="Z2916" t="str">
        <v>=</v>
      </c>
      <c r="AA2916">
        <f>(N2916+P2916*R2916/1000)*U2916*W2916*Y2916</f>
        <v>3.9949200000000005</v>
      </c>
    </row>
    <row r="2919">
      <c r="A2919" t="str">
        <f>A2904</f>
        <v>Sloof</v>
      </c>
      <c r="B2919">
        <f>B2904</f>
        <v>89</v>
      </c>
      <c r="C2919" t="str">
        <v>Tul Bawah Tumpuan</v>
      </c>
      <c r="D2919">
        <f>VLOOKUP(D2904,'Detail Balok'!$C$10:$AU$110,22,FALSE)</f>
        <v>3</v>
      </c>
      <c r="E2919" t="str">
        <v>D</v>
      </c>
      <c r="F2919">
        <f>VLOOKUP(D2904,'Detail Balok'!$C$10:$AU$110,24,FALSE)</f>
        <v>16</v>
      </c>
      <c r="I2919" t="str">
        <v>(</v>
      </c>
      <c r="J2919">
        <f>+J2911</f>
        <v>0.75</v>
      </c>
      <c r="K2919" t="str">
        <v>+</v>
      </c>
      <c r="L2919">
        <f>MAX(VLOOKUP(F2919,N$6:P$15,3,FALSE)/1000,2/3*D2909/1000)+F$16*F2919/1000</f>
        <v>0.192</v>
      </c>
      <c r="M2919" t="str">
        <v>=</v>
      </c>
      <c r="N2919">
        <f>J2919+L2919</f>
        <v>0.942</v>
      </c>
      <c r="O2919" t="str">
        <v>+</v>
      </c>
      <c r="P2919">
        <f>D2919-D2920</f>
        <v>0</v>
      </c>
      <c r="Q2919" t="str">
        <v>x</v>
      </c>
      <c r="R2919">
        <f>IF(P2919&gt;0,$F$18*F2919/1000,0)</f>
        <v>0</v>
      </c>
      <c r="S2919" t="str">
        <v>)</v>
      </c>
      <c r="T2919" t="str">
        <v>x</v>
      </c>
      <c r="U2919">
        <f>0.006165*F2919^2</f>
        <v>1.57824</v>
      </c>
      <c r="X2919" t="str">
        <v>x</v>
      </c>
      <c r="Y2919">
        <f>D2910</f>
        <v>1</v>
      </c>
      <c r="Z2919" t="str">
        <v>=</v>
      </c>
      <c r="AA2919">
        <f>IF(AA2922=0,(D2919*N2919+P2919*R2919)*U2919*Y2919,0)</f>
        <v>0</v>
      </c>
    </row>
    <row r="2920">
      <c r="A2920" t="str">
        <f>A2904</f>
        <v>Sloof</v>
      </c>
      <c r="B2920">
        <f>B2904</f>
        <v>89</v>
      </c>
      <c r="C2920" t="str">
        <v>Tul Bawah Lapangan</v>
      </c>
      <c r="D2920">
        <f>VLOOKUP(D2904,'Detail Balok'!$C$10:$AU$110,25,FALSE)</f>
        <v>3</v>
      </c>
      <c r="E2920" t="str">
        <v>D</v>
      </c>
      <c r="F2920">
        <f>VLOOKUP(D2904,'Detail Balok'!$C$10:$AU$110,27,FALSE)</f>
        <v>16</v>
      </c>
      <c r="I2920" t="str">
        <v>(</v>
      </c>
      <c r="J2920">
        <f>+J2912</f>
        <v>1.5</v>
      </c>
      <c r="K2920" t="str">
        <v>+</v>
      </c>
      <c r="M2920" t="str">
        <v>=</v>
      </c>
      <c r="N2920">
        <f>J2920+L2920</f>
        <v>1.5</v>
      </c>
      <c r="O2920" t="str">
        <v>+</v>
      </c>
      <c r="P2920">
        <f>MAX(D2920-D2919,D2920-D2921)</f>
        <v>0</v>
      </c>
      <c r="Q2920" t="str">
        <v>x</v>
      </c>
      <c r="R2920">
        <f>IF(P2920&gt;0,2*(1-2*$F$19-1/2)*D2907/1000,0)</f>
        <v>0</v>
      </c>
      <c r="S2920" t="str">
        <v>)</v>
      </c>
      <c r="T2920" t="str">
        <v>x</v>
      </c>
      <c r="U2920">
        <f>0.006165*F2920^2</f>
        <v>1.57824</v>
      </c>
      <c r="X2920" t="str">
        <v>x</v>
      </c>
      <c r="Y2920">
        <f>D2910</f>
        <v>1</v>
      </c>
      <c r="Z2920" t="str">
        <v>=</v>
      </c>
      <c r="AA2920">
        <f>IF(AA2922=0,(D2920*N2920+P2920*R2920)*U2920*Y2920,0)</f>
        <v>0</v>
      </c>
    </row>
    <row r="2921">
      <c r="A2921" t="str">
        <f>A2904</f>
        <v>Sloof</v>
      </c>
      <c r="B2921">
        <f>B2904</f>
        <v>89</v>
      </c>
      <c r="C2921" t="str">
        <v>Tul Bawah Tumpuan</v>
      </c>
      <c r="D2921">
        <f>VLOOKUP(D2904,'Detail Balok'!$C$10:$AU$110,28,FALSE)</f>
        <v>3</v>
      </c>
      <c r="E2921" t="str">
        <v>D</v>
      </c>
      <c r="F2921">
        <f>VLOOKUP(D2904,'Detail Balok'!$C$10:$AU$110,30,FALSE)</f>
        <v>16</v>
      </c>
      <c r="I2921" t="str">
        <v>(</v>
      </c>
      <c r="J2921">
        <f>+J2913</f>
        <v>0.75</v>
      </c>
      <c r="K2921" t="str">
        <v>+</v>
      </c>
      <c r="L2921">
        <f>MAX(VLOOKUP(F2921,N$6:P$15,3,FALSE)/1000,2/3*D2909/1000)+F$16*F2921/1000</f>
        <v>0.192</v>
      </c>
      <c r="M2921" t="str">
        <v>=</v>
      </c>
      <c r="N2921">
        <f>J2921+L2921</f>
        <v>0.942</v>
      </c>
      <c r="O2921" t="str">
        <v>+</v>
      </c>
      <c r="P2921">
        <f>D2921-D2920</f>
        <v>0</v>
      </c>
      <c r="Q2921" t="str">
        <v>x</v>
      </c>
      <c r="R2921">
        <f>IF(P2921&gt;0,$F$18*F2921/1000,0)</f>
        <v>0</v>
      </c>
      <c r="S2921" t="str">
        <v>)</v>
      </c>
      <c r="T2921" t="str">
        <v>x</v>
      </c>
      <c r="U2921">
        <f>0.006165*F2921^2</f>
        <v>1.57824</v>
      </c>
      <c r="X2921" t="str">
        <v>x</v>
      </c>
      <c r="Y2921">
        <f>D2910</f>
        <v>1</v>
      </c>
      <c r="Z2921" t="str">
        <v>=</v>
      </c>
      <c r="AA2921">
        <f>IF(AA2922=0,(D2921*N2921+P2921*R2921)*U2921*Y2921,0)</f>
        <v>0</v>
      </c>
    </row>
    <row r="2922">
      <c r="A2922" t="str">
        <f>A2904</f>
        <v>Sloof</v>
      </c>
      <c r="B2922">
        <f>B2904</f>
        <v>89</v>
      </c>
      <c r="D2922">
        <f>IF(AND(D2919=D2920,D2920=D2921,D2919=D2921),D2919,0)</f>
        <v>3</v>
      </c>
      <c r="E2922" t="str">
        <v>D</v>
      </c>
      <c r="F2922">
        <f>IF(AND(F2919=F2920,F2919=F2921,F2920=F2921),F2919,0)</f>
        <v>16</v>
      </c>
      <c r="L2922" t="str">
        <v>Total panjang per balok</v>
      </c>
      <c r="M2922" t="str">
        <v>=</v>
      </c>
      <c r="N2922">
        <f>IF(AND(D2919=D2920,D2919=D2921,D2920=D2921,F2919=F2920,F2919=F2921,F2920=F2921),SUM(N2919:N2921),0)</f>
        <v>3.3840000000000003</v>
      </c>
      <c r="O2922" t="str">
        <v>+</v>
      </c>
      <c r="P2922">
        <f>IF(N2922&gt;12,ROUNDDOWN(N2922/12,0),0)</f>
        <v>0</v>
      </c>
      <c r="Q2922" t="str">
        <v>x</v>
      </c>
      <c r="R2922">
        <f>IF(P2922&gt;0,MAX(VLOOKUP(F2922,$D$6:$G$15,3,FALSE),600),0)/1000</f>
        <v>0</v>
      </c>
      <c r="T2922" t="str">
        <v>x</v>
      </c>
      <c r="U2922">
        <f>U2921</f>
        <v>1.57824</v>
      </c>
      <c r="V2922" t="str">
        <v>x</v>
      </c>
      <c r="W2922">
        <f>D2922</f>
        <v>3</v>
      </c>
      <c r="X2922" t="str">
        <v>x</v>
      </c>
      <c r="Y2922">
        <f>Y2921</f>
        <v>1</v>
      </c>
      <c r="Z2922" t="str">
        <v>=</v>
      </c>
      <c r="AA2922">
        <f>(N2922+P2922*R2922/1000)*U2922*W2922*Y2922</f>
        <v>16.022292480000004</v>
      </c>
    </row>
    <row r="2924">
      <c r="A2924" t="str">
        <f>A2904</f>
        <v>Sloof</v>
      </c>
      <c r="B2924">
        <f>B2904</f>
        <v>89</v>
      </c>
      <c r="C2924" t="str">
        <v>Sengkang Tumpuan</v>
      </c>
      <c r="D2924">
        <f>VLOOKUP(D2904,'Detail Balok'!$C$10:$AU$110,31,FALSE)</f>
        <v>0</v>
      </c>
      <c r="E2924" t="str">
        <v>D</v>
      </c>
      <c r="F2924">
        <f>VLOOKUP(D2904,'Detail Balok'!$C$10:$AU$110,33,FALSE)</f>
        <v>10</v>
      </c>
      <c r="G2924" t="str">
        <v>-</v>
      </c>
      <c r="H2924">
        <f>VLOOKUP(D2904,'Detail Balok'!$C$10:$AU$110,35,FALSE)</f>
        <v>200</v>
      </c>
      <c r="J2924">
        <f>(IF(D2924=0,(2*(D2905+G2905))-(F$5*8),IF(D2924=3,(2*(D2905+G2905))-(F$5*8)+(G2905-2*F$5),IF(D2924=4,(2*(D2905+G2905))-(F$5*8)+2*(G2905-2*F$5)))))/1000</f>
        <v>1.08</v>
      </c>
      <c r="K2924" t="str">
        <v>+</v>
      </c>
      <c r="L2924">
        <f>IF(D2924=0,2*MAX(6*F2924,75),(D2924-1)*2*MAX(6*F2924,75))/1000</f>
        <v>0.15</v>
      </c>
      <c r="M2924" t="str">
        <v>=</v>
      </c>
      <c r="N2924">
        <f>J2924+L2924</f>
        <v>1.23</v>
      </c>
      <c r="T2924" t="str">
        <v>x</v>
      </c>
      <c r="U2924">
        <f>0.006165*F2924^2</f>
        <v>0.6165</v>
      </c>
      <c r="V2924" t="str">
        <v>x</v>
      </c>
      <c r="W2924">
        <f>IF(D2907&gt;4*G2905,ROUND(MAX(D2907/4,2*G2905)/H2924,0)+1,ROUND(D2907/H2924,0)+1)</f>
        <v>6</v>
      </c>
      <c r="X2924" t="str">
        <v>x</v>
      </c>
      <c r="Y2924">
        <f>D2910</f>
        <v>1</v>
      </c>
      <c r="Z2924" t="str">
        <v>=</v>
      </c>
      <c r="AA2924">
        <f>N2924*U2924*W2924*Y2924</f>
        <v>4.5497700000000005</v>
      </c>
    </row>
    <row r="2925">
      <c r="A2925" t="str">
        <f>A2904</f>
        <v>Sloof</v>
      </c>
      <c r="B2925">
        <f>B2904</f>
        <v>89</v>
      </c>
      <c r="C2925" t="str">
        <v>Sengkang Lapangan</v>
      </c>
      <c r="D2925">
        <f>VLOOKUP(D2904,'Detail Balok'!$C$10:$AU$110,36,FALSE)</f>
        <v>0</v>
      </c>
      <c r="E2925" t="str">
        <v>D</v>
      </c>
      <c r="F2925">
        <f>VLOOKUP(D2904,'Detail Balok'!$C$10:$AU$110,38,FALSE)</f>
        <v>10</v>
      </c>
      <c r="G2925" t="str">
        <v>-</v>
      </c>
      <c r="H2925">
        <f>VLOOKUP(D2904,'Detail Balok'!$C$10:$AU$110,40,FALSE)</f>
        <v>200</v>
      </c>
      <c r="J2925">
        <f>(IF(D2925=0,(2*(D2905+G2905))-(F$5*8),IF(D2925=3,(2*(D2905+G2905))-(F$5*8)+(G2905-2*F$5),IF(D2925=4,(2*(D2905+G2905))-(F$5*8)+2*(G2905-2*F$5)))))/1000</f>
        <v>1.08</v>
      </c>
      <c r="K2925" t="str">
        <v>+</v>
      </c>
      <c r="L2925">
        <f>IF(D2925=0,2*MAX(6*F2925,75),(D2925-1)*2*MAX(6*F2925,75))/1000</f>
        <v>0.15</v>
      </c>
      <c r="M2925" t="str">
        <v>=</v>
      </c>
      <c r="N2925">
        <f>J2925+L2925</f>
        <v>1.23</v>
      </c>
      <c r="T2925" t="str">
        <v>x</v>
      </c>
      <c r="U2925">
        <f>0.006165*F2925^2</f>
        <v>0.6165</v>
      </c>
      <c r="V2925" t="str">
        <v>x</v>
      </c>
      <c r="W2925">
        <f>IF(D2907-MAX(D2907/4,2*G2905)*2&gt;0,ROUND((D2907-MAX(D2907/4,2*G2905)*2)/H2925,0),0)</f>
        <v>5</v>
      </c>
      <c r="X2925" t="str">
        <v>x</v>
      </c>
      <c r="Y2925">
        <f>D2910</f>
        <v>1</v>
      </c>
      <c r="Z2925" t="str">
        <v>=</v>
      </c>
      <c r="AA2925">
        <f>N2925*U2925*W2925*Y2925</f>
        <v>3.791475</v>
      </c>
    </row>
    <row r="2926">
      <c r="A2926" t="str">
        <f>A2904</f>
        <v>Sloof</v>
      </c>
      <c r="B2926">
        <f>B2904</f>
        <v>89</v>
      </c>
      <c r="C2926" t="str">
        <v>Sengkang Tumpuan</v>
      </c>
      <c r="D2926">
        <f>VLOOKUP(D2904,'Detail Balok'!$C$10:$AU$110,41,FALSE)</f>
        <v>0</v>
      </c>
      <c r="E2926" t="str">
        <v>D</v>
      </c>
      <c r="F2926">
        <f>VLOOKUP(D2904,'Detail Balok'!$C$10:$AU$110,43,FALSE)</f>
        <v>10</v>
      </c>
      <c r="G2926" t="str">
        <v>-</v>
      </c>
      <c r="H2926">
        <f>VLOOKUP(D2904,'Detail Balok'!$C$10:$AU$110,45,FALSE)</f>
        <v>200</v>
      </c>
      <c r="J2926">
        <f>(IF(D2926=0,(2*(D2905+G2905))-(F$5*8),IF(D2926=3,(2*(D2905+G2905))-(F$5*8)+(G2905-2*F$5),IF(D2926=4,(2*(D2905+G2905))-(F$5*8)+2*(G2905-2*F$5)))))/1000</f>
        <v>1.08</v>
      </c>
      <c r="K2926" t="str">
        <v>+</v>
      </c>
      <c r="L2926">
        <f>IF(D2926=0,2*MAX(6*F2926,75),(D2926-1)*2*MAX(6*F2926,75))/1000</f>
        <v>0.15</v>
      </c>
      <c r="M2926" t="str">
        <v>=</v>
      </c>
      <c r="N2926">
        <f>J2926+L2926</f>
        <v>1.23</v>
      </c>
      <c r="T2926" t="str">
        <v>x</v>
      </c>
      <c r="U2926">
        <f>0.006165*F2926^2</f>
        <v>0.6165</v>
      </c>
      <c r="V2926" t="str">
        <v>x</v>
      </c>
      <c r="W2926">
        <f>IF(D2907&gt;4*G2905,ROUND(MAX(D2907/4,2*G2905)/H2926,0)+1,0)</f>
        <v>6</v>
      </c>
      <c r="X2926" t="str">
        <v>x</v>
      </c>
      <c r="Y2926">
        <f>D2910</f>
        <v>1</v>
      </c>
      <c r="Z2926" t="str">
        <v>=</v>
      </c>
      <c r="AA2926">
        <f>N2926*U2926*W2926*Y2926</f>
        <v>4.5497700000000005</v>
      </c>
    </row>
    <row r="2928">
      <c r="A2928" t="str">
        <f>A2904</f>
        <v>Sloof</v>
      </c>
      <c r="B2928">
        <f>B2904</f>
        <v>89</v>
      </c>
      <c r="C2928" t="str">
        <v>Kait Horizontal Tump.</v>
      </c>
      <c r="D2928">
        <f>VLOOKUP(D2904,'Detail Balok'!$C$10:$BJ$110,46,FALSE)</f>
        <v>0</v>
      </c>
      <c r="E2928" t="str">
        <v>D</v>
      </c>
      <c r="F2928">
        <f>VLOOKUP(D2904,'Detail Balok'!$C$10:$BJ$110,48,FALSE)</f>
        <v>0</v>
      </c>
      <c r="G2928" t="str">
        <v>-</v>
      </c>
      <c r="H2928">
        <f>VLOOKUP(D2904,'Detail Balok'!$C$10:$BJ$110,50,FALSE)</f>
        <v>100</v>
      </c>
      <c r="J2928">
        <f>(D2905-2*F$5)/1000</f>
        <v>0.12</v>
      </c>
      <c r="K2928" t="str">
        <v>+</v>
      </c>
      <c r="L2928">
        <f>IF(D2928=0,2*MAX(6*F2928,75),(D2928-1)*2*MAX(6*F2928,75))/1000</f>
        <v>0.15</v>
      </c>
      <c r="M2928" t="str">
        <v>=</v>
      </c>
      <c r="N2928">
        <f>J2928+L2928</f>
        <v>0.27</v>
      </c>
      <c r="T2928" t="str">
        <v>x</v>
      </c>
      <c r="U2928">
        <f>0.006165*F2928^2</f>
        <v>0</v>
      </c>
      <c r="V2928" t="str">
        <v>x</v>
      </c>
      <c r="W2928">
        <f>W2924</f>
        <v>6</v>
      </c>
      <c r="X2928" t="str">
        <v>x</v>
      </c>
      <c r="Y2928">
        <f>D2914</f>
        <v>3</v>
      </c>
      <c r="Z2928" t="str">
        <v>=</v>
      </c>
      <c r="AA2928">
        <f>N2928*U2928*W2928*Y2928</f>
        <v>0</v>
      </c>
    </row>
    <row r="2929">
      <c r="A2929" t="str">
        <f>A2904</f>
        <v>Sloof</v>
      </c>
      <c r="B2929">
        <f>B2904</f>
        <v>89</v>
      </c>
      <c r="C2929" t="str">
        <v>Kait Horizontal Lap.</v>
      </c>
      <c r="D2929">
        <f>VLOOKUP(D2904,'Detail Balok'!$C$10:$BJ$110,51,FALSE)</f>
        <v>0</v>
      </c>
      <c r="E2929" t="str">
        <v>D</v>
      </c>
      <c r="F2929">
        <f>VLOOKUP(D2904,'Detail Balok'!$C$10:$BJ$110,53,FALSE)</f>
        <v>0</v>
      </c>
      <c r="G2929" t="str">
        <v>-</v>
      </c>
      <c r="H2929">
        <f>VLOOKUP(D2904,'Detail Balok'!$C$10:$BJ$110,55,FALSE)</f>
        <v>100</v>
      </c>
      <c r="J2929">
        <f>(D2905-2*F$5)/1000</f>
        <v>0.12</v>
      </c>
      <c r="K2929" t="str">
        <v>+</v>
      </c>
      <c r="L2929">
        <f>IF(D2929=0,2*MAX(6*F2929,75),(D2929-1)*2*MAX(6*F2929,75))/1000</f>
        <v>0.15</v>
      </c>
      <c r="M2929" t="str">
        <v>=</v>
      </c>
      <c r="N2929">
        <f>J2929+L2929</f>
        <v>0.27</v>
      </c>
      <c r="T2929" t="str">
        <v>x</v>
      </c>
      <c r="U2929">
        <f>0.006165*F2929^2</f>
        <v>0</v>
      </c>
      <c r="V2929" t="str">
        <v>x</v>
      </c>
      <c r="W2929">
        <f>W2925</f>
        <v>5</v>
      </c>
      <c r="X2929" t="str">
        <v>x</v>
      </c>
      <c r="Y2929">
        <f>D2914</f>
        <v>3</v>
      </c>
      <c r="Z2929" t="str">
        <v>=</v>
      </c>
      <c r="AA2929">
        <f>N2929*U2929*W2929*Y2929</f>
        <v>0</v>
      </c>
    </row>
    <row r="2930">
      <c r="A2930" t="str">
        <f>A2904</f>
        <v>Sloof</v>
      </c>
      <c r="B2930">
        <f>B2904</f>
        <v>89</v>
      </c>
      <c r="C2930" t="str">
        <v>Kait Horizontal Tump.</v>
      </c>
      <c r="D2930">
        <f>VLOOKUP(D2904,'Detail Balok'!$C$10:$BJ$110,56,FALSE)</f>
        <v>0</v>
      </c>
      <c r="E2930" t="str">
        <v>D</v>
      </c>
      <c r="F2930">
        <f>VLOOKUP(D2904,'Detail Balok'!$C$10:$BJ$110,58,FALSE)</f>
        <v>0</v>
      </c>
      <c r="G2930" t="str">
        <v>-</v>
      </c>
      <c r="H2930">
        <f>VLOOKUP(D2904,'Detail Balok'!$C$10:$BJ$110,60,FALSE)</f>
        <v>100</v>
      </c>
      <c r="J2930">
        <f>(D2905-2*F$5)/1000</f>
        <v>0.12</v>
      </c>
      <c r="K2930" t="str">
        <v>+</v>
      </c>
      <c r="L2930">
        <f>IF(D2930=0,2*MAX(6*F2930,75),(D2930-1)*2*MAX(6*F2930,75))/1000</f>
        <v>0.15</v>
      </c>
      <c r="M2930" t="str">
        <v>=</v>
      </c>
      <c r="N2930">
        <f>J2930+L2930</f>
        <v>0.27</v>
      </c>
      <c r="T2930" t="str">
        <v>x</v>
      </c>
      <c r="U2930">
        <f>0.006165*F2930^2</f>
        <v>0</v>
      </c>
      <c r="V2930" t="str">
        <v>x</v>
      </c>
      <c r="W2930">
        <f>W2926</f>
        <v>6</v>
      </c>
      <c r="X2930" t="str">
        <v>x</v>
      </c>
      <c r="Y2930">
        <f>D2914</f>
        <v>3</v>
      </c>
      <c r="Z2930" t="str">
        <v>=</v>
      </c>
      <c r="AA2930">
        <f>N2930*U2930*W2930*Y2930</f>
        <v>0</v>
      </c>
    </row>
    <row r="2934">
      <c r="A2934" t="str">
        <v>Lantai 1</v>
      </c>
      <c r="B2934">
        <v>1</v>
      </c>
      <c r="C2934" t="str">
        <f>CONCATENATE(A2934," no. ",B2934)</f>
        <v>Lantai 1 no. 1</v>
      </c>
      <c r="D2934" t="str">
        <f>VLOOKUP(C2934,'Data Panjang Balok'!$C$9:$N$424,2,FALSE)</f>
        <v>B245-1</v>
      </c>
    </row>
    <row r="2935">
      <c r="C2935" t="str">
        <v>Dimensi</v>
      </c>
      <c r="D2935">
        <f>VLOOKUP(D2934,'Detail Balok'!$C$10:$AU$110,2,FALSE)</f>
        <v>200</v>
      </c>
      <c r="F2935" t="str">
        <v>x</v>
      </c>
      <c r="G2935">
        <f>VLOOKUP(D2934,'Detail Balok'!$C$10:$AU$110,3,FALSE)</f>
        <v>450</v>
      </c>
    </row>
    <row r="2936">
      <c r="C2936" t="str">
        <v>Panjang as ke as</v>
      </c>
      <c r="D2936">
        <f>VLOOKUP(C2934,'Data Panjang Balok'!$C$9:$N$424,4,FALSE)</f>
        <v>7000</v>
      </c>
    </row>
    <row r="2937">
      <c r="C2937" t="str">
        <v>Panjang netto</v>
      </c>
      <c r="D2937">
        <f>VLOOKUP(C2934,'Data Panjang Balok'!$C$9:$N$424,7,FALSE)</f>
        <v>7000</v>
      </c>
    </row>
    <row r="2938">
      <c r="C2938" t="str">
        <v>Kolom / balok kiri</v>
      </c>
      <c r="D2938">
        <f>VLOOKUP(C2934,'Data Panjang Balok'!$C$9:$N$424,9,FALSE)</f>
        <v>0</v>
      </c>
    </row>
    <row r="2939">
      <c r="C2939" t="str">
        <v>Kolom / balok kanan</v>
      </c>
      <c r="D2939">
        <f>VLOOKUP(C2934,'Data Panjang Balok'!$C$9:$N$424,10,FALSE)</f>
        <v>0</v>
      </c>
    </row>
    <row r="2940">
      <c r="C2940" t="str">
        <v>Jumlah</v>
      </c>
      <c r="D2940">
        <f>VLOOKUP(C2934,'Data Panjang Balok'!$C$9:$N$424,3,FALSE)</f>
        <v>1</v>
      </c>
    </row>
    <row r="2941">
      <c r="A2941" t="str">
        <f>A2934</f>
        <v>Lantai 1</v>
      </c>
      <c r="B2941">
        <f>B2934</f>
        <v>1</v>
      </c>
      <c r="C2941" t="str">
        <v>Tul Atas Tumpuan</v>
      </c>
      <c r="D2941">
        <f>VLOOKUP(D2934,'Detail Balok'!$C$10:$AU$110,4,FALSE)</f>
        <v>2</v>
      </c>
      <c r="E2941" t="str">
        <v>D</v>
      </c>
      <c r="F2941">
        <f>VLOOKUP(D2934,'Detail Balok'!$C$10:$AU$110,6,FALSE)</f>
        <v>13</v>
      </c>
      <c r="I2941" t="str">
        <v>(</v>
      </c>
      <c r="J2941">
        <f>+D2936/4/1000</f>
        <v>1.75</v>
      </c>
      <c r="K2941" t="str">
        <v>+</v>
      </c>
      <c r="L2941">
        <f>MAX(VLOOKUP(F2941,N$6:P$15,3,FALSE)/1000,2/3*D2938/1000)+F$16*F2941/1000</f>
        <v>0.156</v>
      </c>
      <c r="M2941" t="str">
        <v>=</v>
      </c>
      <c r="N2941">
        <f>J2941+L2941</f>
        <v>1.906</v>
      </c>
      <c r="O2941" t="str">
        <v>+</v>
      </c>
      <c r="P2941">
        <f>D2941-D2942</f>
        <v>0</v>
      </c>
      <c r="Q2941" t="str">
        <v>x</v>
      </c>
      <c r="R2941">
        <f>IF(P2941&gt;0,$F$18*F2941/1000,0)</f>
        <v>0</v>
      </c>
      <c r="S2941" t="str">
        <v>)</v>
      </c>
      <c r="T2941" t="str">
        <v>x</v>
      </c>
      <c r="U2941">
        <f>0.006165*F2941^2</f>
        <v>1.041885</v>
      </c>
      <c r="X2941" t="str">
        <v>x</v>
      </c>
      <c r="Y2941">
        <f>D2940</f>
        <v>1</v>
      </c>
      <c r="Z2941" t="str">
        <v>=</v>
      </c>
      <c r="AA2941">
        <f>IF(AA2944=0,(D2941*N2941+P2941*R2941)*U2941*Y2941,0)</f>
        <v>0</v>
      </c>
    </row>
    <row r="2942">
      <c r="A2942" t="str">
        <f>A2934</f>
        <v>Lantai 1</v>
      </c>
      <c r="B2942">
        <f>B2934</f>
        <v>1</v>
      </c>
      <c r="C2942" t="str">
        <v>Tul Atas Lapangan</v>
      </c>
      <c r="D2942">
        <f>VLOOKUP(D2934,'Detail Balok'!$C$10:$AU$110,7,FALSE)</f>
        <v>2</v>
      </c>
      <c r="E2942" t="str">
        <v>D</v>
      </c>
      <c r="F2942">
        <f>VLOOKUP(D2934,'Detail Balok'!$C$10:$AU$110,9,FALSE)</f>
        <v>13</v>
      </c>
      <c r="I2942" t="str">
        <v>(</v>
      </c>
      <c r="J2942">
        <f>+D2936/2/1000</f>
        <v>3.5</v>
      </c>
      <c r="K2942" t="str">
        <v>+</v>
      </c>
      <c r="M2942" t="str">
        <v>=</v>
      </c>
      <c r="N2942">
        <f>J2942+L2942</f>
        <v>3.5</v>
      </c>
      <c r="O2942" t="str">
        <v>+</v>
      </c>
      <c r="P2942">
        <f>MAX(D2942-D2941,D2942-D2943)</f>
        <v>0</v>
      </c>
      <c r="Q2942" t="str">
        <v>x</v>
      </c>
      <c r="R2942">
        <f>IF(P2942&gt;0,2*(1-2*$F$19-1/2)*D2937/1000,0)</f>
        <v>0</v>
      </c>
      <c r="S2942" t="str">
        <v>)</v>
      </c>
      <c r="T2942" t="str">
        <v>x</v>
      </c>
      <c r="U2942">
        <f>0.006165*F2942^2</f>
        <v>1.041885</v>
      </c>
      <c r="X2942" t="str">
        <v>x</v>
      </c>
      <c r="Y2942">
        <f>D2940</f>
        <v>1</v>
      </c>
      <c r="Z2942" t="str">
        <v>=</v>
      </c>
      <c r="AA2942">
        <f>IF(AA2944=0,(D2942*N2942+P2942*R2942)*U2942*Y2942,0)</f>
        <v>0</v>
      </c>
    </row>
    <row r="2943">
      <c r="A2943" t="str">
        <f>A2934</f>
        <v>Lantai 1</v>
      </c>
      <c r="B2943">
        <f>B2934</f>
        <v>1</v>
      </c>
      <c r="C2943" t="str">
        <v>Tul Atas Tumpuan</v>
      </c>
      <c r="D2943">
        <f>VLOOKUP(D2934,'Detail Balok'!$C$10:$AU$110,10,FALSE)</f>
        <v>2</v>
      </c>
      <c r="E2943" t="str">
        <v>D</v>
      </c>
      <c r="F2943">
        <f>VLOOKUP(D2934,'Detail Balok'!$C$10:$AU$110,12,FALSE)</f>
        <v>13</v>
      </c>
      <c r="I2943" t="str">
        <v>(</v>
      </c>
      <c r="J2943">
        <f>+D2936/4/1000</f>
        <v>1.75</v>
      </c>
      <c r="K2943" t="str">
        <v>+</v>
      </c>
      <c r="L2943">
        <f>MAX(VLOOKUP(F2943,N$6:P$15,3,FALSE)/1000,2/3*D2938/1000)+F$16*F2943/1000</f>
        <v>0.156</v>
      </c>
      <c r="M2943" t="str">
        <v>=</v>
      </c>
      <c r="N2943">
        <f>J2943+L2943</f>
        <v>1.906</v>
      </c>
      <c r="O2943" t="str">
        <v>+</v>
      </c>
      <c r="P2943">
        <f>D2943-D2942</f>
        <v>0</v>
      </c>
      <c r="Q2943" t="str">
        <v>x</v>
      </c>
      <c r="R2943">
        <f>IF(P2943&gt;0,$F$18*F2943/1000,0)</f>
        <v>0</v>
      </c>
      <c r="S2943" t="str">
        <v>)</v>
      </c>
      <c r="T2943" t="str">
        <v>x</v>
      </c>
      <c r="U2943">
        <f>0.006165*F2943^2</f>
        <v>1.041885</v>
      </c>
      <c r="X2943" t="str">
        <v>x</v>
      </c>
      <c r="Y2943">
        <f>D2940</f>
        <v>1</v>
      </c>
      <c r="Z2943" t="str">
        <v>=</v>
      </c>
      <c r="AA2943">
        <f>IF(AA2944=0,(D2943*N2943+P2943*R2943)*U2943*Y2943,0)</f>
        <v>0</v>
      </c>
    </row>
    <row r="2944">
      <c r="A2944" t="str">
        <f>A2934</f>
        <v>Lantai 1</v>
      </c>
      <c r="B2944">
        <f>B2934</f>
        <v>1</v>
      </c>
      <c r="D2944">
        <f>IF(AND(D2941=D2942,D2942=D2943,D2941=D2943),D2941,0)</f>
        <v>2</v>
      </c>
      <c r="E2944" t="str">
        <v>D</v>
      </c>
      <c r="F2944">
        <f>IF(AND(F2941=F2942,F2941=F2943,F2942=F2943),F2941,0)</f>
        <v>13</v>
      </c>
      <c r="L2944" t="str">
        <v>Total panjang per balok</v>
      </c>
      <c r="M2944" t="str">
        <v>=</v>
      </c>
      <c r="N2944">
        <f>IF(AND(D2941=D2942,D2941=D2943,D2942=D2943,F2941=F2942,F2941=F2943,F2942=F2943),SUM(N2941:N2943),0)</f>
        <v>7.311999999999999</v>
      </c>
      <c r="O2944" t="str">
        <v>+</v>
      </c>
      <c r="P2944">
        <f>IF(N2944&gt;12,ROUNDDOWN(N2944/12,0),0)</f>
        <v>0</v>
      </c>
      <c r="Q2944" t="str">
        <v>x</v>
      </c>
      <c r="R2944">
        <f>IF(P2944&gt;0,MAX(VLOOKUP(F2944,$D$6:$G$15,3,FALSE),600),0)/1000</f>
        <v>0</v>
      </c>
      <c r="T2944" t="str">
        <v>x</v>
      </c>
      <c r="U2944">
        <f>U2943</f>
        <v>1.041885</v>
      </c>
      <c r="V2944" t="str">
        <v>x</v>
      </c>
      <c r="W2944">
        <f>D2944</f>
        <v>2</v>
      </c>
      <c r="X2944" t="str">
        <v>x</v>
      </c>
      <c r="Y2944">
        <f>Y2943</f>
        <v>1</v>
      </c>
      <c r="Z2944" t="str">
        <v>=</v>
      </c>
      <c r="AA2944">
        <f>(N2944+P2944*R2944/1000)*U2944*W2944*Y2944</f>
        <v>15.236526239999998</v>
      </c>
    </row>
    <row r="2946">
      <c r="A2946" t="str">
        <f>A2934</f>
        <v>Lantai 1</v>
      </c>
      <c r="B2946">
        <f>B2934</f>
        <v>1</v>
      </c>
      <c r="C2946" t="str">
        <v>Tul Peminggang</v>
      </c>
      <c r="D2946">
        <f>VLOOKUP(D2934,'Detail Balok'!$C$10:$AU$110,13,FALSE)</f>
        <v>2</v>
      </c>
      <c r="E2946" t="str">
        <v>D</v>
      </c>
      <c r="F2946">
        <f>VLOOKUP(D2934,'Detail Balok'!$C$10:$AU$110,15,FALSE)</f>
        <v>8</v>
      </c>
      <c r="J2946">
        <f>+D2936/1000</f>
        <v>7</v>
      </c>
      <c r="K2946" t="str">
        <v>+</v>
      </c>
      <c r="L2946">
        <f>2*$F$16*F2946/1000</f>
        <v>0.192</v>
      </c>
      <c r="M2946" t="str">
        <v>=</v>
      </c>
      <c r="N2946">
        <f>J2946+L2946</f>
        <v>7.192</v>
      </c>
      <c r="O2946" t="str">
        <v>+</v>
      </c>
      <c r="P2946">
        <f>IF(N2946&gt;12,ROUNDDOWN(N2946/12,0),0)</f>
        <v>0</v>
      </c>
      <c r="Q2946" t="str">
        <v>x</v>
      </c>
      <c r="R2946">
        <f>IF(P2946&gt;0,MAX(VLOOKUP(F2946,$D$6:$G$15,3,FALSE),600),0)/1000</f>
        <v>0</v>
      </c>
      <c r="T2946" t="str">
        <v>x</v>
      </c>
      <c r="U2946">
        <f>0.006165*F2946^2</f>
        <v>0.39456</v>
      </c>
      <c r="V2946" t="str">
        <v>x</v>
      </c>
      <c r="W2946">
        <f>+D2946</f>
        <v>2</v>
      </c>
      <c r="X2946" t="str">
        <v>x</v>
      </c>
      <c r="Y2946">
        <f>D2940</f>
        <v>1</v>
      </c>
      <c r="Z2946" t="str">
        <v>=</v>
      </c>
      <c r="AA2946">
        <f>(N2946+P2946*R2946/1000)*U2946*W2946*Y2946</f>
        <v>5.675351040000001</v>
      </c>
    </row>
    <row r="2949">
      <c r="A2949" t="str">
        <f>A2934</f>
        <v>Lantai 1</v>
      </c>
      <c r="B2949">
        <f>B2934</f>
        <v>1</v>
      </c>
      <c r="C2949" t="str">
        <v>Tul Bawah Tumpuan</v>
      </c>
      <c r="D2949">
        <f>VLOOKUP(D2934,'Detail Balok'!$C$10:$AU$110,22,FALSE)</f>
        <v>2</v>
      </c>
      <c r="E2949" t="str">
        <v>D</v>
      </c>
      <c r="F2949">
        <f>VLOOKUP(D2934,'Detail Balok'!$C$10:$AU$110,24,FALSE)</f>
        <v>13</v>
      </c>
      <c r="I2949" t="str">
        <v>(</v>
      </c>
      <c r="J2949">
        <f>+J2941</f>
        <v>1.75</v>
      </c>
      <c r="K2949" t="str">
        <v>+</v>
      </c>
      <c r="L2949">
        <f>MAX(VLOOKUP(F2949,N$6:P$15,3,FALSE)/1000,2/3*D2939/1000)+F$16*F2949/1000</f>
        <v>0.156</v>
      </c>
      <c r="M2949" t="str">
        <v>=</v>
      </c>
      <c r="N2949">
        <f>J2949+L2949</f>
        <v>1.906</v>
      </c>
      <c r="O2949" t="str">
        <v>+</v>
      </c>
      <c r="P2949">
        <f>D2949-D2950</f>
        <v>0</v>
      </c>
      <c r="Q2949" t="str">
        <v>x</v>
      </c>
      <c r="R2949">
        <f>IF(P2949&gt;0,$F$18*F2949/1000,0)</f>
        <v>0</v>
      </c>
      <c r="S2949" t="str">
        <v>)</v>
      </c>
      <c r="T2949" t="str">
        <v>x</v>
      </c>
      <c r="U2949">
        <f>0.006165*F2949^2</f>
        <v>1.041885</v>
      </c>
      <c r="X2949" t="str">
        <v>x</v>
      </c>
      <c r="Y2949">
        <f>D2940</f>
        <v>1</v>
      </c>
      <c r="Z2949" t="str">
        <v>=</v>
      </c>
      <c r="AA2949">
        <f>IF(AA2952=0,(D2949*N2949+P2949*R2949)*U2949*Y2949,0)</f>
        <v>0</v>
      </c>
    </row>
    <row r="2950">
      <c r="A2950" t="str">
        <f>A2934</f>
        <v>Lantai 1</v>
      </c>
      <c r="B2950">
        <f>B2934</f>
        <v>1</v>
      </c>
      <c r="C2950" t="str">
        <v>Tul Bawah Lapangan</v>
      </c>
      <c r="D2950">
        <f>VLOOKUP(D2934,'Detail Balok'!$C$10:$AU$110,25,FALSE)</f>
        <v>2</v>
      </c>
      <c r="E2950" t="str">
        <v>D</v>
      </c>
      <c r="F2950">
        <f>VLOOKUP(D2934,'Detail Balok'!$C$10:$AU$110,27,FALSE)</f>
        <v>13</v>
      </c>
      <c r="I2950" t="str">
        <v>(</v>
      </c>
      <c r="J2950">
        <f>+J2942</f>
        <v>3.5</v>
      </c>
      <c r="K2950" t="str">
        <v>+</v>
      </c>
      <c r="M2950" t="str">
        <v>=</v>
      </c>
      <c r="N2950">
        <f>J2950+L2950</f>
        <v>3.5</v>
      </c>
      <c r="O2950" t="str">
        <v>+</v>
      </c>
      <c r="P2950">
        <f>MAX(D2950-D2949,D2950-D2951)</f>
        <v>0</v>
      </c>
      <c r="Q2950" t="str">
        <v>x</v>
      </c>
      <c r="R2950">
        <f>IF(P2950&gt;0,2*(1-2*$F$19-1/2)*D2937/1000,0)</f>
        <v>0</v>
      </c>
      <c r="S2950" t="str">
        <v>)</v>
      </c>
      <c r="T2950" t="str">
        <v>x</v>
      </c>
      <c r="U2950">
        <f>0.006165*F2950^2</f>
        <v>1.041885</v>
      </c>
      <c r="X2950" t="str">
        <v>x</v>
      </c>
      <c r="Y2950">
        <f>D2940</f>
        <v>1</v>
      </c>
      <c r="Z2950" t="str">
        <v>=</v>
      </c>
      <c r="AA2950">
        <f>IF(AA2952=0,(D2950*N2950+P2950*R2950)*U2950*Y2950,0)</f>
        <v>0</v>
      </c>
    </row>
    <row r="2951">
      <c r="A2951" t="str">
        <f>A2934</f>
        <v>Lantai 1</v>
      </c>
      <c r="B2951">
        <f>B2934</f>
        <v>1</v>
      </c>
      <c r="C2951" t="str">
        <v>Tul Bawah Tumpuan</v>
      </c>
      <c r="D2951">
        <f>VLOOKUP(D2934,'Detail Balok'!$C$10:$AU$110,28,FALSE)</f>
        <v>2</v>
      </c>
      <c r="E2951" t="str">
        <v>D</v>
      </c>
      <c r="F2951">
        <f>VLOOKUP(D2934,'Detail Balok'!$C$10:$AU$110,30,FALSE)</f>
        <v>13</v>
      </c>
      <c r="I2951" t="str">
        <v>(</v>
      </c>
      <c r="J2951">
        <f>+J2943</f>
        <v>1.75</v>
      </c>
      <c r="K2951" t="str">
        <v>+</v>
      </c>
      <c r="L2951">
        <f>MAX(VLOOKUP(F2951,N$6:P$15,3,FALSE)/1000,2/3*D2939/1000)+F$16*F2951/1000</f>
        <v>0.156</v>
      </c>
      <c r="M2951" t="str">
        <v>=</v>
      </c>
      <c r="N2951">
        <f>J2951+L2951</f>
        <v>1.906</v>
      </c>
      <c r="O2951" t="str">
        <v>+</v>
      </c>
      <c r="P2951">
        <f>D2951-D2950</f>
        <v>0</v>
      </c>
      <c r="Q2951" t="str">
        <v>x</v>
      </c>
      <c r="R2951">
        <f>IF(P2951&gt;0,$F$18*F2951/1000,0)</f>
        <v>0</v>
      </c>
      <c r="S2951" t="str">
        <v>)</v>
      </c>
      <c r="T2951" t="str">
        <v>x</v>
      </c>
      <c r="U2951">
        <f>0.006165*F2951^2</f>
        <v>1.041885</v>
      </c>
      <c r="X2951" t="str">
        <v>x</v>
      </c>
      <c r="Y2951">
        <f>D2940</f>
        <v>1</v>
      </c>
      <c r="Z2951" t="str">
        <v>=</v>
      </c>
      <c r="AA2951">
        <f>IF(AA2952=0,(D2951*N2951+P2951*R2951)*U2951*Y2951,0)</f>
        <v>0</v>
      </c>
    </row>
    <row r="2952">
      <c r="A2952" t="str">
        <f>A2934</f>
        <v>Lantai 1</v>
      </c>
      <c r="B2952">
        <f>B2934</f>
        <v>1</v>
      </c>
      <c r="D2952">
        <f>IF(AND(D2949=D2950,D2950=D2951,D2949=D2951),D2949,0)</f>
        <v>2</v>
      </c>
      <c r="E2952" t="str">
        <v>D</v>
      </c>
      <c r="F2952">
        <f>IF(AND(F2949=F2950,F2949=F2951,F2950=F2951),F2949,0)</f>
        <v>13</v>
      </c>
      <c r="L2952" t="str">
        <v>Total panjang per balok</v>
      </c>
      <c r="M2952" t="str">
        <v>=</v>
      </c>
      <c r="N2952">
        <f>IF(AND(D2949=D2950,D2949=D2951,D2950=D2951,F2949=F2950,F2949=F2951,F2950=F2951),SUM(N2949:N2951),0)</f>
        <v>7.311999999999999</v>
      </c>
      <c r="O2952" t="str">
        <v>+</v>
      </c>
      <c r="P2952">
        <f>IF(N2952&gt;12,ROUNDDOWN(N2952/12,0),0)</f>
        <v>0</v>
      </c>
      <c r="Q2952" t="str">
        <v>x</v>
      </c>
      <c r="R2952">
        <f>IF(P2952&gt;0,MAX(VLOOKUP(F2952,$D$6:$G$15,3,FALSE),600),0)/1000</f>
        <v>0</v>
      </c>
      <c r="T2952" t="str">
        <v>x</v>
      </c>
      <c r="U2952">
        <f>U2951</f>
        <v>1.041885</v>
      </c>
      <c r="V2952" t="str">
        <v>x</v>
      </c>
      <c r="W2952">
        <f>D2952</f>
        <v>2</v>
      </c>
      <c r="X2952" t="str">
        <v>x</v>
      </c>
      <c r="Y2952">
        <f>Y2951</f>
        <v>1</v>
      </c>
      <c r="Z2952" t="str">
        <v>=</v>
      </c>
      <c r="AA2952">
        <f>(N2952+P2952*R2952/1000)*U2952*W2952*Y2952</f>
        <v>15.236526239999998</v>
      </c>
    </row>
    <row r="2954">
      <c r="A2954" t="str">
        <f>A2934</f>
        <v>Lantai 1</v>
      </c>
      <c r="B2954">
        <f>B2934</f>
        <v>1</v>
      </c>
      <c r="C2954" t="str">
        <v>Sengkang Tumpuan</v>
      </c>
      <c r="D2954">
        <f>VLOOKUP(D2934,'Detail Balok'!$C$10:$AU$110,31,FALSE)</f>
        <v>0</v>
      </c>
      <c r="E2954" t="str">
        <v>D</v>
      </c>
      <c r="F2954">
        <f>VLOOKUP(D2934,'Detail Balok'!$C$10:$AU$110,33,FALSE)</f>
        <v>8</v>
      </c>
      <c r="G2954" t="str">
        <v>-</v>
      </c>
      <c r="H2954">
        <f>VLOOKUP(D2934,'Detail Balok'!$C$10:$AU$110,35,FALSE)</f>
        <v>100</v>
      </c>
      <c r="J2954">
        <f>(IF(D2954=0,(2*(D2935+G2935))-(F$5*8),IF(D2954=3,(2*(D2935+G2935))-(F$5*8)+(G2935-2*F$5),IF(D2954=4,(2*(D2935+G2935))-(F$5*8)+2*(G2935-2*F$5)))))/1000</f>
        <v>0.98</v>
      </c>
      <c r="K2954" t="str">
        <v>+</v>
      </c>
      <c r="L2954">
        <f>IF(D2954=0,2*MAX(6*F2954,75),(D2954-1)*2*MAX(6*F2954,75))/1000</f>
        <v>0.15</v>
      </c>
      <c r="M2954" t="str">
        <v>=</v>
      </c>
      <c r="N2954">
        <f>J2954+L2954</f>
        <v>1.13</v>
      </c>
      <c r="T2954" t="str">
        <v>x</v>
      </c>
      <c r="U2954">
        <f>0.006165*F2954^2</f>
        <v>0.39456</v>
      </c>
      <c r="V2954" t="str">
        <v>x</v>
      </c>
      <c r="W2954">
        <f>IF(D2937&gt;4*G2935,ROUND(MAX(D2937/4,2*G2935)/H2954,0)+1,ROUND(D2937/H2954,0)+1)</f>
        <v>19</v>
      </c>
      <c r="X2954" t="str">
        <v>x</v>
      </c>
      <c r="Y2954">
        <f>D2940</f>
        <v>1</v>
      </c>
      <c r="Z2954" t="str">
        <v>=</v>
      </c>
      <c r="AA2954">
        <f>N2954*U2954*W2954*Y2954</f>
        <v>8.4712032</v>
      </c>
    </row>
    <row r="2955">
      <c r="A2955" t="str">
        <f>A2934</f>
        <v>Lantai 1</v>
      </c>
      <c r="B2955">
        <f>B2934</f>
        <v>1</v>
      </c>
      <c r="C2955" t="str">
        <v>Sengkang Lapangan</v>
      </c>
      <c r="D2955">
        <f>VLOOKUP(D2934,'Detail Balok'!$C$10:$AU$110,36,FALSE)</f>
        <v>0</v>
      </c>
      <c r="E2955" t="str">
        <v>D</v>
      </c>
      <c r="F2955">
        <f>VLOOKUP(D2934,'Detail Balok'!$C$10:$AU$110,38,FALSE)</f>
        <v>8</v>
      </c>
      <c r="G2955" t="str">
        <v>-</v>
      </c>
      <c r="H2955">
        <f>VLOOKUP(D2934,'Detail Balok'!$C$10:$AU$110,40,FALSE)</f>
        <v>200</v>
      </c>
      <c r="J2955">
        <f>(IF(D2955=0,(2*(D2935+G2935))-(F$5*8),IF(D2955=3,(2*(D2935+G2935))-(F$5*8)+(G2935-2*F$5),IF(D2955=4,(2*(D2935+G2935))-(F$5*8)+2*(G2935-2*F$5)))))/1000</f>
        <v>0.98</v>
      </c>
      <c r="K2955" t="str">
        <v>+</v>
      </c>
      <c r="L2955">
        <f>IF(D2955=0,2*MAX(6*F2955,75),(D2955-1)*2*MAX(6*F2955,75))/1000</f>
        <v>0.15</v>
      </c>
      <c r="M2955" t="str">
        <v>=</v>
      </c>
      <c r="N2955">
        <f>J2955+L2955</f>
        <v>1.13</v>
      </c>
      <c r="T2955" t="str">
        <v>x</v>
      </c>
      <c r="U2955">
        <f>0.006165*F2955^2</f>
        <v>0.39456</v>
      </c>
      <c r="V2955" t="str">
        <v>x</v>
      </c>
      <c r="W2955">
        <f>IF(D2937-MAX(D2937/4,2*G2935)*2&gt;0,ROUND((D2937-MAX(D2937/4,2*G2935)*2)/H2955,0),0)</f>
        <v>18</v>
      </c>
      <c r="X2955" t="str">
        <v>x</v>
      </c>
      <c r="Y2955">
        <f>D2940</f>
        <v>1</v>
      </c>
      <c r="Z2955" t="str">
        <v>=</v>
      </c>
      <c r="AA2955">
        <f>N2955*U2955*W2955*Y2955</f>
        <v>8.0253504</v>
      </c>
    </row>
    <row r="2956">
      <c r="A2956" t="str">
        <f>A2934</f>
        <v>Lantai 1</v>
      </c>
      <c r="B2956">
        <f>B2934</f>
        <v>1</v>
      </c>
      <c r="C2956" t="str">
        <v>Sengkang Tumpuan</v>
      </c>
      <c r="D2956">
        <f>VLOOKUP(D2934,'Detail Balok'!$C$10:$AU$110,41,FALSE)</f>
        <v>0</v>
      </c>
      <c r="E2956" t="str">
        <v>D</v>
      </c>
      <c r="F2956">
        <f>VLOOKUP(D2934,'Detail Balok'!$C$10:$AU$110,43,FALSE)</f>
        <v>8</v>
      </c>
      <c r="G2956" t="str">
        <v>-</v>
      </c>
      <c r="H2956">
        <f>VLOOKUP(D2934,'Detail Balok'!$C$10:$AU$110,45,FALSE)</f>
        <v>100</v>
      </c>
      <c r="J2956">
        <f>(IF(D2956=0,(2*(D2935+G2935))-(F$5*8),IF(D2956=3,(2*(D2935+G2935))-(F$5*8)+(G2935-2*F$5),IF(D2956=4,(2*(D2935+G2935))-(F$5*8)+2*(G2935-2*F$5)))))/1000</f>
        <v>0.98</v>
      </c>
      <c r="K2956" t="str">
        <v>+</v>
      </c>
      <c r="L2956">
        <f>IF(D2956=0,2*MAX(6*F2956,75),(D2956-1)*2*MAX(6*F2956,75))/1000</f>
        <v>0.15</v>
      </c>
      <c r="M2956" t="str">
        <v>=</v>
      </c>
      <c r="N2956">
        <f>J2956+L2956</f>
        <v>1.13</v>
      </c>
      <c r="T2956" t="str">
        <v>x</v>
      </c>
      <c r="U2956">
        <f>0.006165*F2956^2</f>
        <v>0.39456</v>
      </c>
      <c r="V2956" t="str">
        <v>x</v>
      </c>
      <c r="W2956">
        <f>IF(D2937&gt;4*G2935,ROUND(MAX(D2937/4,2*G2935)/H2956,0)+1,0)</f>
        <v>19</v>
      </c>
      <c r="X2956" t="str">
        <v>x</v>
      </c>
      <c r="Y2956">
        <f>D2940</f>
        <v>1</v>
      </c>
      <c r="Z2956" t="str">
        <v>=</v>
      </c>
      <c r="AA2956">
        <f>N2956*U2956*W2956*Y2956</f>
        <v>8.4712032</v>
      </c>
    </row>
    <row r="2958">
      <c r="A2958" t="str">
        <f>A2934</f>
        <v>Lantai 1</v>
      </c>
      <c r="B2958">
        <f>B2934</f>
        <v>1</v>
      </c>
      <c r="C2958" t="str">
        <v>Kait Horizontal Tump.</v>
      </c>
      <c r="D2958">
        <f>VLOOKUP(D2934,'Detail Balok'!$C$10:$BJ$110,46,FALSE)</f>
        <v>0</v>
      </c>
      <c r="E2958" t="str">
        <v>D</v>
      </c>
      <c r="F2958">
        <f>VLOOKUP(D2934,'Detail Balok'!$C$10:$BJ$110,48,FALSE)</f>
        <v>0</v>
      </c>
      <c r="G2958" t="str">
        <v>-</v>
      </c>
      <c r="H2958">
        <f>VLOOKUP(D2934,'Detail Balok'!$C$10:$BJ$110,50,FALSE)</f>
        <v>100</v>
      </c>
      <c r="J2958">
        <f>(D2935-2*F$5)/1000</f>
        <v>0.12</v>
      </c>
      <c r="K2958" t="str">
        <v>+</v>
      </c>
      <c r="L2958">
        <f>IF(D2958=0,2*MAX(6*F2958,75),(D2958-1)*2*MAX(6*F2958,75))/1000</f>
        <v>0.15</v>
      </c>
      <c r="M2958" t="str">
        <v>=</v>
      </c>
      <c r="N2958">
        <f>J2958+L2958</f>
        <v>0.27</v>
      </c>
      <c r="T2958" t="str">
        <v>x</v>
      </c>
      <c r="U2958">
        <f>0.006165*F2958^2</f>
        <v>0</v>
      </c>
      <c r="V2958" t="str">
        <v>x</v>
      </c>
      <c r="W2958">
        <f>W2954</f>
        <v>19</v>
      </c>
      <c r="X2958" t="str">
        <v>x</v>
      </c>
      <c r="Y2958">
        <f>D2944</f>
        <v>2</v>
      </c>
      <c r="Z2958" t="str">
        <v>=</v>
      </c>
      <c r="AA2958">
        <f>N2958*U2958*W2958*Y2958</f>
        <v>0</v>
      </c>
    </row>
    <row r="2959">
      <c r="A2959" t="str">
        <f>A2934</f>
        <v>Lantai 1</v>
      </c>
      <c r="B2959">
        <f>B2934</f>
        <v>1</v>
      </c>
      <c r="C2959" t="str">
        <v>Kait Horizontal Lap.</v>
      </c>
      <c r="D2959">
        <f>VLOOKUP(D2934,'Detail Balok'!$C$10:$BJ$110,51,FALSE)</f>
        <v>0</v>
      </c>
      <c r="E2959" t="str">
        <v>D</v>
      </c>
      <c r="F2959">
        <f>VLOOKUP(D2934,'Detail Balok'!$C$10:$BJ$110,53,FALSE)</f>
        <v>0</v>
      </c>
      <c r="G2959" t="str">
        <v>-</v>
      </c>
      <c r="H2959">
        <f>VLOOKUP(D2934,'Detail Balok'!$C$10:$BJ$110,55,FALSE)</f>
        <v>100</v>
      </c>
      <c r="J2959">
        <f>(D2935-2*F$5)/1000</f>
        <v>0.12</v>
      </c>
      <c r="K2959" t="str">
        <v>+</v>
      </c>
      <c r="L2959">
        <f>IF(D2959=0,2*MAX(6*F2959,75),(D2959-1)*2*MAX(6*F2959,75))/1000</f>
        <v>0.15</v>
      </c>
      <c r="M2959" t="str">
        <v>=</v>
      </c>
      <c r="N2959">
        <f>J2959+L2959</f>
        <v>0.27</v>
      </c>
      <c r="T2959" t="str">
        <v>x</v>
      </c>
      <c r="U2959">
        <f>0.006165*F2959^2</f>
        <v>0</v>
      </c>
      <c r="V2959" t="str">
        <v>x</v>
      </c>
      <c r="W2959">
        <f>W2955</f>
        <v>18</v>
      </c>
      <c r="X2959" t="str">
        <v>x</v>
      </c>
      <c r="Y2959">
        <f>D2944</f>
        <v>2</v>
      </c>
      <c r="Z2959" t="str">
        <v>=</v>
      </c>
      <c r="AA2959">
        <f>N2959*U2959*W2959*Y2959</f>
        <v>0</v>
      </c>
    </row>
    <row r="2960">
      <c r="A2960" t="str">
        <f>A2934</f>
        <v>Lantai 1</v>
      </c>
      <c r="B2960">
        <f>B2934</f>
        <v>1</v>
      </c>
      <c r="C2960" t="str">
        <v>Kait Horizontal Tump.</v>
      </c>
      <c r="D2960">
        <f>VLOOKUP(D2934,'Detail Balok'!$C$10:$BJ$110,56,FALSE)</f>
        <v>0</v>
      </c>
      <c r="E2960" t="str">
        <v>D</v>
      </c>
      <c r="F2960">
        <f>VLOOKUP(D2934,'Detail Balok'!$C$10:$BJ$110,58,FALSE)</f>
        <v>0</v>
      </c>
      <c r="G2960" t="str">
        <v>-</v>
      </c>
      <c r="H2960">
        <f>VLOOKUP(D2934,'Detail Balok'!$C$10:$BJ$110,60,FALSE)</f>
        <v>100</v>
      </c>
      <c r="J2960">
        <f>(D2935-2*F$5)/1000</f>
        <v>0.12</v>
      </c>
      <c r="K2960" t="str">
        <v>+</v>
      </c>
      <c r="L2960">
        <f>IF(D2960=0,2*MAX(6*F2960,75),(D2960-1)*2*MAX(6*F2960,75))/1000</f>
        <v>0.15</v>
      </c>
      <c r="M2960" t="str">
        <v>=</v>
      </c>
      <c r="N2960">
        <f>J2960+L2960</f>
        <v>0.27</v>
      </c>
      <c r="T2960" t="str">
        <v>x</v>
      </c>
      <c r="U2960">
        <f>0.006165*F2960^2</f>
        <v>0</v>
      </c>
      <c r="V2960" t="str">
        <v>x</v>
      </c>
      <c r="W2960">
        <f>W2956</f>
        <v>19</v>
      </c>
      <c r="X2960" t="str">
        <v>x</v>
      </c>
      <c r="Y2960">
        <f>D2944</f>
        <v>2</v>
      </c>
      <c r="Z2960" t="str">
        <v>=</v>
      </c>
      <c r="AA2960">
        <f>N2960*U2960*W2960*Y2960</f>
        <v>0</v>
      </c>
    </row>
    <row r="2964">
      <c r="A2964" t="str">
        <f>A2934</f>
        <v>Lantai 1</v>
      </c>
      <c r="B2964">
        <f>B2934+1</f>
        <v>2</v>
      </c>
      <c r="C2964" t="str">
        <f>CONCATENATE(A2964," no. ",B2964)</f>
        <v>Lantai 1 no. 2</v>
      </c>
      <c r="D2964" t="str">
        <f>VLOOKUP(C2964,'Data Panjang Balok'!$C$9:$N$424,2,FALSE)</f>
        <v>B245-1</v>
      </c>
    </row>
    <row r="2965">
      <c r="C2965" t="str">
        <v>Dimensi</v>
      </c>
      <c r="D2965">
        <f>VLOOKUP(D2964,'Detail Balok'!$C$10:$AU$110,2,FALSE)</f>
        <v>200</v>
      </c>
      <c r="F2965" t="str">
        <v>x</v>
      </c>
      <c r="G2965">
        <f>VLOOKUP(D2964,'Detail Balok'!$C$10:$AU$110,3,FALSE)</f>
        <v>450</v>
      </c>
    </row>
    <row r="2966">
      <c r="C2966" t="str">
        <v>Panjang as ke as</v>
      </c>
      <c r="D2966">
        <f>VLOOKUP(C2964,'Data Panjang Balok'!$C$9:$N$424,4,FALSE)</f>
        <v>6000</v>
      </c>
    </row>
    <row r="2967">
      <c r="C2967" t="str">
        <v>Panjang netto</v>
      </c>
      <c r="D2967">
        <f>VLOOKUP(C2964,'Data Panjang Balok'!$C$9:$N$424,7,FALSE)</f>
        <v>6000</v>
      </c>
    </row>
    <row r="2968">
      <c r="C2968" t="str">
        <v>Kolom / balok kiri</v>
      </c>
      <c r="D2968">
        <f>VLOOKUP(C2964,'Data Panjang Balok'!$C$9:$N$424,9,FALSE)</f>
        <v>0</v>
      </c>
    </row>
    <row r="2969">
      <c r="C2969" t="str">
        <v>Kolom / balok kanan</v>
      </c>
      <c r="D2969">
        <f>VLOOKUP(C2964,'Data Panjang Balok'!$C$9:$N$424,10,FALSE)</f>
        <v>0</v>
      </c>
    </row>
    <row r="2970">
      <c r="C2970" t="str">
        <v>Jumlah</v>
      </c>
      <c r="D2970">
        <f>VLOOKUP(C2964,'Data Panjang Balok'!$C$9:$N$424,3,FALSE)</f>
        <v>1</v>
      </c>
    </row>
    <row r="2971">
      <c r="A2971" t="str">
        <f>A2964</f>
        <v>Lantai 1</v>
      </c>
      <c r="B2971">
        <f>B2964</f>
        <v>2</v>
      </c>
      <c r="C2971" t="str">
        <v>Tul Atas Tumpuan</v>
      </c>
      <c r="D2971">
        <f>VLOOKUP(D2964,'Detail Balok'!$C$10:$AU$110,4,FALSE)</f>
        <v>2</v>
      </c>
      <c r="E2971" t="str">
        <v>D</v>
      </c>
      <c r="F2971">
        <f>VLOOKUP(D2964,'Detail Balok'!$C$10:$AU$110,6,FALSE)</f>
        <v>13</v>
      </c>
      <c r="I2971" t="str">
        <v>(</v>
      </c>
      <c r="J2971">
        <f>+D2966/4/1000</f>
        <v>1.5</v>
      </c>
      <c r="K2971" t="str">
        <v>+</v>
      </c>
      <c r="L2971">
        <f>MAX(VLOOKUP(F2971,N$6:P$15,3,FALSE)/1000,2/3*D2968/1000)+F$16*F2971/1000</f>
        <v>0.156</v>
      </c>
      <c r="M2971" t="str">
        <v>=</v>
      </c>
      <c r="N2971">
        <f>J2971+L2971</f>
        <v>1.656</v>
      </c>
      <c r="O2971" t="str">
        <v>+</v>
      </c>
      <c r="P2971">
        <f>D2971-D2972</f>
        <v>0</v>
      </c>
      <c r="Q2971" t="str">
        <v>x</v>
      </c>
      <c r="R2971">
        <f>IF(P2971&gt;0,$F$18*F2971/1000,0)</f>
        <v>0</v>
      </c>
      <c r="S2971" t="str">
        <v>)</v>
      </c>
      <c r="T2971" t="str">
        <v>x</v>
      </c>
      <c r="U2971">
        <f>0.006165*F2971^2</f>
        <v>1.041885</v>
      </c>
      <c r="X2971" t="str">
        <v>x</v>
      </c>
      <c r="Y2971">
        <f>D2970</f>
        <v>1</v>
      </c>
      <c r="Z2971" t="str">
        <v>=</v>
      </c>
      <c r="AA2971">
        <f>IF(AA2974=0,(D2971*N2971+P2971*R2971)*U2971*Y2971,0)</f>
        <v>0</v>
      </c>
    </row>
    <row r="2972">
      <c r="A2972" t="str">
        <f>A2964</f>
        <v>Lantai 1</v>
      </c>
      <c r="B2972">
        <f>B2964</f>
        <v>2</v>
      </c>
      <c r="C2972" t="str">
        <v>Tul Atas Lapangan</v>
      </c>
      <c r="D2972">
        <f>VLOOKUP(D2964,'Detail Balok'!$C$10:$AU$110,7,FALSE)</f>
        <v>2</v>
      </c>
      <c r="E2972" t="str">
        <v>D</v>
      </c>
      <c r="F2972">
        <f>VLOOKUP(D2964,'Detail Balok'!$C$10:$AU$110,9,FALSE)</f>
        <v>13</v>
      </c>
      <c r="I2972" t="str">
        <v>(</v>
      </c>
      <c r="J2972">
        <f>+D2966/2/1000</f>
        <v>3</v>
      </c>
      <c r="K2972" t="str">
        <v>+</v>
      </c>
      <c r="M2972" t="str">
        <v>=</v>
      </c>
      <c r="N2972">
        <f>J2972+L2972</f>
        <v>3</v>
      </c>
      <c r="O2972" t="str">
        <v>+</v>
      </c>
      <c r="P2972">
        <f>MAX(D2972-D2971,D2972-D2973)</f>
        <v>0</v>
      </c>
      <c r="Q2972" t="str">
        <v>x</v>
      </c>
      <c r="R2972">
        <f>IF(P2972&gt;0,2*(1-2*$F$19-1/2)*D2967/1000,0)</f>
        <v>0</v>
      </c>
      <c r="S2972" t="str">
        <v>)</v>
      </c>
      <c r="T2972" t="str">
        <v>x</v>
      </c>
      <c r="U2972">
        <f>0.006165*F2972^2</f>
        <v>1.041885</v>
      </c>
      <c r="X2972" t="str">
        <v>x</v>
      </c>
      <c r="Y2972">
        <f>D2970</f>
        <v>1</v>
      </c>
      <c r="Z2972" t="str">
        <v>=</v>
      </c>
      <c r="AA2972">
        <f>IF(AA2974=0,(D2972*N2972+P2972*R2972)*U2972*Y2972,0)</f>
        <v>0</v>
      </c>
    </row>
    <row r="2973">
      <c r="A2973" t="str">
        <f>A2964</f>
        <v>Lantai 1</v>
      </c>
      <c r="B2973">
        <f>B2964</f>
        <v>2</v>
      </c>
      <c r="C2973" t="str">
        <v>Tul Atas Tumpuan</v>
      </c>
      <c r="D2973">
        <f>VLOOKUP(D2964,'Detail Balok'!$C$10:$AU$110,10,FALSE)</f>
        <v>2</v>
      </c>
      <c r="E2973" t="str">
        <v>D</v>
      </c>
      <c r="F2973">
        <f>VLOOKUP(D2964,'Detail Balok'!$C$10:$AU$110,12,FALSE)</f>
        <v>13</v>
      </c>
      <c r="I2973" t="str">
        <v>(</v>
      </c>
      <c r="J2973">
        <f>+D2966/4/1000</f>
        <v>1.5</v>
      </c>
      <c r="K2973" t="str">
        <v>+</v>
      </c>
      <c r="L2973">
        <f>MAX(VLOOKUP(F2973,N$6:P$15,3,FALSE)/1000,2/3*D2968/1000)+F$16*F2973/1000</f>
        <v>0.156</v>
      </c>
      <c r="M2973" t="str">
        <v>=</v>
      </c>
      <c r="N2973">
        <f>J2973+L2973</f>
        <v>1.656</v>
      </c>
      <c r="O2973" t="str">
        <v>+</v>
      </c>
      <c r="P2973">
        <f>D2973-D2972</f>
        <v>0</v>
      </c>
      <c r="Q2973" t="str">
        <v>x</v>
      </c>
      <c r="R2973">
        <f>IF(P2973&gt;0,$F$18*F2973/1000,0)</f>
        <v>0</v>
      </c>
      <c r="S2973" t="str">
        <v>)</v>
      </c>
      <c r="T2973" t="str">
        <v>x</v>
      </c>
      <c r="U2973">
        <f>0.006165*F2973^2</f>
        <v>1.041885</v>
      </c>
      <c r="X2973" t="str">
        <v>x</v>
      </c>
      <c r="Y2973">
        <f>D2970</f>
        <v>1</v>
      </c>
      <c r="Z2973" t="str">
        <v>=</v>
      </c>
      <c r="AA2973">
        <f>IF(AA2974=0,(D2973*N2973+P2973*R2973)*U2973*Y2973,0)</f>
        <v>0</v>
      </c>
    </row>
    <row r="2974">
      <c r="A2974" t="str">
        <f>A2964</f>
        <v>Lantai 1</v>
      </c>
      <c r="B2974">
        <f>B2964</f>
        <v>2</v>
      </c>
      <c r="D2974">
        <f>IF(AND(D2971=D2972,D2972=D2973,D2971=D2973),D2971,0)</f>
        <v>2</v>
      </c>
      <c r="E2974" t="str">
        <v>D</v>
      </c>
      <c r="F2974">
        <f>IF(AND(F2971=F2972,F2971=F2973,F2972=F2973),F2971,0)</f>
        <v>13</v>
      </c>
      <c r="L2974" t="str">
        <v>Total panjang per balok</v>
      </c>
      <c r="M2974" t="str">
        <v>=</v>
      </c>
      <c r="N2974">
        <f>IF(AND(D2971=D2972,D2971=D2973,D2972=D2973,F2971=F2972,F2971=F2973,F2972=F2973),SUM(N2971:N2973),0)</f>
        <v>6.311999999999999</v>
      </c>
      <c r="O2974" t="str">
        <v>+</v>
      </c>
      <c r="P2974">
        <f>IF(N2974&gt;12,ROUNDDOWN(N2974/12,0),0)</f>
        <v>0</v>
      </c>
      <c r="Q2974" t="str">
        <v>x</v>
      </c>
      <c r="R2974">
        <f>IF(P2974&gt;0,MAX(VLOOKUP(F2974,$D$6:$G$15,3,FALSE),600),0)/1000</f>
        <v>0</v>
      </c>
      <c r="T2974" t="str">
        <v>x</v>
      </c>
      <c r="U2974">
        <f>U2973</f>
        <v>1.041885</v>
      </c>
      <c r="V2974" t="str">
        <v>x</v>
      </c>
      <c r="W2974">
        <f>D2974</f>
        <v>2</v>
      </c>
      <c r="X2974" t="str">
        <v>x</v>
      </c>
      <c r="Y2974">
        <f>Y2973</f>
        <v>1</v>
      </c>
      <c r="Z2974" t="str">
        <v>=</v>
      </c>
      <c r="AA2974">
        <f>(N2974+P2974*R2974/1000)*U2974*W2974*Y2974</f>
        <v>13.152756239999999</v>
      </c>
    </row>
    <row r="2976">
      <c r="A2976" t="str">
        <f>A2964</f>
        <v>Lantai 1</v>
      </c>
      <c r="B2976">
        <f>B2964</f>
        <v>2</v>
      </c>
      <c r="C2976" t="str">
        <v>Tul Peminggang</v>
      </c>
      <c r="D2976">
        <f>VLOOKUP(D2964,'Detail Balok'!$C$10:$AU$110,13,FALSE)</f>
        <v>2</v>
      </c>
      <c r="E2976" t="str">
        <v>D</v>
      </c>
      <c r="F2976">
        <f>VLOOKUP(D2964,'Detail Balok'!$C$10:$AU$110,15,FALSE)</f>
        <v>8</v>
      </c>
      <c r="J2976">
        <f>+D2966/1000</f>
        <v>6</v>
      </c>
      <c r="K2976" t="str">
        <v>+</v>
      </c>
      <c r="L2976">
        <f>2*$F$16*F2976/1000</f>
        <v>0.192</v>
      </c>
      <c r="M2976" t="str">
        <v>=</v>
      </c>
      <c r="N2976">
        <f>J2976+L2976</f>
        <v>6.192</v>
      </c>
      <c r="O2976" t="str">
        <v>+</v>
      </c>
      <c r="P2976">
        <f>IF(N2976&gt;12,ROUNDDOWN(N2976/12,0),0)</f>
        <v>0</v>
      </c>
      <c r="Q2976" t="str">
        <v>x</v>
      </c>
      <c r="R2976">
        <f>IF(P2976&gt;0,MAX(VLOOKUP(F2976,$D$6:$G$15,3,FALSE),600),0)/1000</f>
        <v>0</v>
      </c>
      <c r="T2976" t="str">
        <v>x</v>
      </c>
      <c r="U2976">
        <f>0.006165*F2976^2</f>
        <v>0.39456</v>
      </c>
      <c r="V2976" t="str">
        <v>x</v>
      </c>
      <c r="W2976">
        <f>+D2976</f>
        <v>2</v>
      </c>
      <c r="X2976" t="str">
        <v>x</v>
      </c>
      <c r="Y2976">
        <f>D2970</f>
        <v>1</v>
      </c>
      <c r="Z2976" t="str">
        <v>=</v>
      </c>
      <c r="AA2976">
        <f>(N2976+P2976*R2976/1000)*U2976*W2976*Y2976</f>
        <v>4.88623104</v>
      </c>
    </row>
    <row r="2979">
      <c r="A2979" t="str">
        <f>A2964</f>
        <v>Lantai 1</v>
      </c>
      <c r="B2979">
        <f>B2964</f>
        <v>2</v>
      </c>
      <c r="C2979" t="str">
        <v>Tul Bawah Tumpuan</v>
      </c>
      <c r="D2979">
        <f>VLOOKUP(D2964,'Detail Balok'!$C$10:$AU$110,22,FALSE)</f>
        <v>2</v>
      </c>
      <c r="E2979" t="str">
        <v>D</v>
      </c>
      <c r="F2979">
        <f>VLOOKUP(D2964,'Detail Balok'!$C$10:$AU$110,24,FALSE)</f>
        <v>13</v>
      </c>
      <c r="I2979" t="str">
        <v>(</v>
      </c>
      <c r="J2979">
        <f>+J2971</f>
        <v>1.5</v>
      </c>
      <c r="K2979" t="str">
        <v>+</v>
      </c>
      <c r="L2979">
        <f>MAX(VLOOKUP(F2979,N$6:P$15,3,FALSE)/1000,2/3*D2969/1000)+F$16*F2979/1000</f>
        <v>0.156</v>
      </c>
      <c r="M2979" t="str">
        <v>=</v>
      </c>
      <c r="N2979">
        <f>J2979+L2979</f>
        <v>1.656</v>
      </c>
      <c r="O2979" t="str">
        <v>+</v>
      </c>
      <c r="P2979">
        <f>D2979-D2980</f>
        <v>0</v>
      </c>
      <c r="Q2979" t="str">
        <v>x</v>
      </c>
      <c r="R2979">
        <f>IF(P2979&gt;0,$F$18*F2979/1000,0)</f>
        <v>0</v>
      </c>
      <c r="S2979" t="str">
        <v>)</v>
      </c>
      <c r="T2979" t="str">
        <v>x</v>
      </c>
      <c r="U2979">
        <f>0.006165*F2979^2</f>
        <v>1.041885</v>
      </c>
      <c r="X2979" t="str">
        <v>x</v>
      </c>
      <c r="Y2979">
        <f>D2970</f>
        <v>1</v>
      </c>
      <c r="Z2979" t="str">
        <v>=</v>
      </c>
      <c r="AA2979">
        <f>IF(AA2982=0,(D2979*N2979+P2979*R2979)*U2979*Y2979,0)</f>
        <v>0</v>
      </c>
    </row>
    <row r="2980">
      <c r="A2980" t="str">
        <f>A2964</f>
        <v>Lantai 1</v>
      </c>
      <c r="B2980">
        <f>B2964</f>
        <v>2</v>
      </c>
      <c r="C2980" t="str">
        <v>Tul Bawah Lapangan</v>
      </c>
      <c r="D2980">
        <f>VLOOKUP(D2964,'Detail Balok'!$C$10:$AU$110,25,FALSE)</f>
        <v>2</v>
      </c>
      <c r="E2980" t="str">
        <v>D</v>
      </c>
      <c r="F2980">
        <f>VLOOKUP(D2964,'Detail Balok'!$C$10:$AU$110,27,FALSE)</f>
        <v>13</v>
      </c>
      <c r="I2980" t="str">
        <v>(</v>
      </c>
      <c r="J2980">
        <f>+J2972</f>
        <v>3</v>
      </c>
      <c r="K2980" t="str">
        <v>+</v>
      </c>
      <c r="M2980" t="str">
        <v>=</v>
      </c>
      <c r="N2980">
        <f>J2980+L2980</f>
        <v>3</v>
      </c>
      <c r="O2980" t="str">
        <v>+</v>
      </c>
      <c r="P2980">
        <f>MAX(D2980-D2979,D2980-D2981)</f>
        <v>0</v>
      </c>
      <c r="Q2980" t="str">
        <v>x</v>
      </c>
      <c r="R2980">
        <f>IF(P2980&gt;0,2*(1-2*$F$19-1/2)*D2967/1000,0)</f>
        <v>0</v>
      </c>
      <c r="S2980" t="str">
        <v>)</v>
      </c>
      <c r="T2980" t="str">
        <v>x</v>
      </c>
      <c r="U2980">
        <f>0.006165*F2980^2</f>
        <v>1.041885</v>
      </c>
      <c r="X2980" t="str">
        <v>x</v>
      </c>
      <c r="Y2980">
        <f>D2970</f>
        <v>1</v>
      </c>
      <c r="Z2980" t="str">
        <v>=</v>
      </c>
      <c r="AA2980">
        <f>IF(AA2982=0,(D2980*N2980+P2980*R2980)*U2980*Y2980,0)</f>
        <v>0</v>
      </c>
    </row>
    <row r="2981">
      <c r="A2981" t="str">
        <f>A2964</f>
        <v>Lantai 1</v>
      </c>
      <c r="B2981">
        <f>B2964</f>
        <v>2</v>
      </c>
      <c r="C2981" t="str">
        <v>Tul Bawah Tumpuan</v>
      </c>
      <c r="D2981">
        <f>VLOOKUP(D2964,'Detail Balok'!$C$10:$AU$110,28,FALSE)</f>
        <v>2</v>
      </c>
      <c r="E2981" t="str">
        <v>D</v>
      </c>
      <c r="F2981">
        <f>VLOOKUP(D2964,'Detail Balok'!$C$10:$AU$110,30,FALSE)</f>
        <v>13</v>
      </c>
      <c r="I2981" t="str">
        <v>(</v>
      </c>
      <c r="J2981">
        <f>+J2973</f>
        <v>1.5</v>
      </c>
      <c r="K2981" t="str">
        <v>+</v>
      </c>
      <c r="L2981">
        <f>MAX(VLOOKUP(F2981,N$6:P$15,3,FALSE)/1000,2/3*D2969/1000)+F$16*F2981/1000</f>
        <v>0.156</v>
      </c>
      <c r="M2981" t="str">
        <v>=</v>
      </c>
      <c r="N2981">
        <f>J2981+L2981</f>
        <v>1.656</v>
      </c>
      <c r="O2981" t="str">
        <v>+</v>
      </c>
      <c r="P2981">
        <f>D2981-D2980</f>
        <v>0</v>
      </c>
      <c r="Q2981" t="str">
        <v>x</v>
      </c>
      <c r="R2981">
        <f>IF(P2981&gt;0,$F$18*F2981/1000,0)</f>
        <v>0</v>
      </c>
      <c r="S2981" t="str">
        <v>)</v>
      </c>
      <c r="T2981" t="str">
        <v>x</v>
      </c>
      <c r="U2981">
        <f>0.006165*F2981^2</f>
        <v>1.041885</v>
      </c>
      <c r="X2981" t="str">
        <v>x</v>
      </c>
      <c r="Y2981">
        <f>D2970</f>
        <v>1</v>
      </c>
      <c r="Z2981" t="str">
        <v>=</v>
      </c>
      <c r="AA2981">
        <f>IF(AA2982=0,(D2981*N2981+P2981*R2981)*U2981*Y2981,0)</f>
        <v>0</v>
      </c>
    </row>
    <row r="2982">
      <c r="A2982" t="str">
        <f>A2964</f>
        <v>Lantai 1</v>
      </c>
      <c r="B2982">
        <f>B2964</f>
        <v>2</v>
      </c>
      <c r="D2982">
        <f>IF(AND(D2979=D2980,D2980=D2981,D2979=D2981),D2979,0)</f>
        <v>2</v>
      </c>
      <c r="E2982" t="str">
        <v>D</v>
      </c>
      <c r="F2982">
        <f>IF(AND(F2979=F2980,F2979=F2981,F2980=F2981),F2979,0)</f>
        <v>13</v>
      </c>
      <c r="L2982" t="str">
        <v>Total panjang per balok</v>
      </c>
      <c r="M2982" t="str">
        <v>=</v>
      </c>
      <c r="N2982">
        <f>IF(AND(D2979=D2980,D2979=D2981,D2980=D2981,F2979=F2980,F2979=F2981,F2980=F2981),SUM(N2979:N2981),0)</f>
        <v>6.311999999999999</v>
      </c>
      <c r="O2982" t="str">
        <v>+</v>
      </c>
      <c r="P2982">
        <f>IF(N2982&gt;12,ROUNDDOWN(N2982/12,0),0)</f>
        <v>0</v>
      </c>
      <c r="Q2982" t="str">
        <v>x</v>
      </c>
      <c r="R2982">
        <f>IF(P2982&gt;0,MAX(VLOOKUP(F2982,$D$6:$G$15,3,FALSE),600),0)/1000</f>
        <v>0</v>
      </c>
      <c r="T2982" t="str">
        <v>x</v>
      </c>
      <c r="U2982">
        <f>U2981</f>
        <v>1.041885</v>
      </c>
      <c r="V2982" t="str">
        <v>x</v>
      </c>
      <c r="W2982">
        <f>D2982</f>
        <v>2</v>
      </c>
      <c r="X2982" t="str">
        <v>x</v>
      </c>
      <c r="Y2982">
        <f>Y2981</f>
        <v>1</v>
      </c>
      <c r="Z2982" t="str">
        <v>=</v>
      </c>
      <c r="AA2982">
        <f>(N2982+P2982*R2982/1000)*U2982*W2982*Y2982</f>
        <v>13.152756239999999</v>
      </c>
    </row>
    <row r="2984">
      <c r="A2984" t="str">
        <f>A2964</f>
        <v>Lantai 1</v>
      </c>
      <c r="B2984">
        <f>B2964</f>
        <v>2</v>
      </c>
      <c r="C2984" t="str">
        <v>Sengkang Tumpuan</v>
      </c>
      <c r="D2984">
        <f>VLOOKUP(D2964,'Detail Balok'!$C$10:$AU$110,31,FALSE)</f>
        <v>0</v>
      </c>
      <c r="E2984" t="str">
        <v>D</v>
      </c>
      <c r="F2984">
        <f>VLOOKUP(D2964,'Detail Balok'!$C$10:$AU$110,33,FALSE)</f>
        <v>8</v>
      </c>
      <c r="G2984" t="str">
        <v>-</v>
      </c>
      <c r="H2984">
        <f>VLOOKUP(D2964,'Detail Balok'!$C$10:$AU$110,35,FALSE)</f>
        <v>100</v>
      </c>
      <c r="J2984">
        <f>(IF(D2984=0,(2*(D2965+G2965))-(F$5*8),IF(D2984=3,(2*(D2965+G2965))-(F$5*8)+(G2965-2*F$5),IF(D2984=4,(2*(D2965+G2965))-(F$5*8)+2*(G2965-2*F$5)))))/1000</f>
        <v>0.98</v>
      </c>
      <c r="K2984" t="str">
        <v>+</v>
      </c>
      <c r="L2984">
        <f>IF(D2984=0,2*MAX(6*F2984,75),(D2984-1)*2*MAX(6*F2984,75))/1000</f>
        <v>0.15</v>
      </c>
      <c r="M2984" t="str">
        <v>=</v>
      </c>
      <c r="N2984">
        <f>J2984+L2984</f>
        <v>1.13</v>
      </c>
      <c r="T2984" t="str">
        <v>x</v>
      </c>
      <c r="U2984">
        <f>0.006165*F2984^2</f>
        <v>0.39456</v>
      </c>
      <c r="V2984" t="str">
        <v>x</v>
      </c>
      <c r="W2984">
        <f>IF(D2967&gt;4*G2965,ROUND(MAX(D2967/4,2*G2965)/H2984,0)+1,ROUND(D2967/H2984,0)+1)</f>
        <v>16</v>
      </c>
      <c r="X2984" t="str">
        <v>x</v>
      </c>
      <c r="Y2984">
        <f>D2970</f>
        <v>1</v>
      </c>
      <c r="Z2984" t="str">
        <v>=</v>
      </c>
      <c r="AA2984">
        <f>N2984*U2984*W2984*Y2984</f>
        <v>7.1336448</v>
      </c>
    </row>
    <row r="2985">
      <c r="A2985" t="str">
        <f>A2964</f>
        <v>Lantai 1</v>
      </c>
      <c r="B2985">
        <f>B2964</f>
        <v>2</v>
      </c>
      <c r="C2985" t="str">
        <v>Sengkang Lapangan</v>
      </c>
      <c r="D2985">
        <f>VLOOKUP(D2964,'Detail Balok'!$C$10:$AU$110,36,FALSE)</f>
        <v>0</v>
      </c>
      <c r="E2985" t="str">
        <v>D</v>
      </c>
      <c r="F2985">
        <f>VLOOKUP(D2964,'Detail Balok'!$C$10:$AU$110,38,FALSE)</f>
        <v>8</v>
      </c>
      <c r="G2985" t="str">
        <v>-</v>
      </c>
      <c r="H2985">
        <f>VLOOKUP(D2964,'Detail Balok'!$C$10:$AU$110,40,FALSE)</f>
        <v>200</v>
      </c>
      <c r="J2985">
        <f>(IF(D2985=0,(2*(D2965+G2965))-(F$5*8),IF(D2985=3,(2*(D2965+G2965))-(F$5*8)+(G2965-2*F$5),IF(D2985=4,(2*(D2965+G2965))-(F$5*8)+2*(G2965-2*F$5)))))/1000</f>
        <v>0.98</v>
      </c>
      <c r="K2985" t="str">
        <v>+</v>
      </c>
      <c r="L2985">
        <f>IF(D2985=0,2*MAX(6*F2985,75),(D2985-1)*2*MAX(6*F2985,75))/1000</f>
        <v>0.15</v>
      </c>
      <c r="M2985" t="str">
        <v>=</v>
      </c>
      <c r="N2985">
        <f>J2985+L2985</f>
        <v>1.13</v>
      </c>
      <c r="T2985" t="str">
        <v>x</v>
      </c>
      <c r="U2985">
        <f>0.006165*F2985^2</f>
        <v>0.39456</v>
      </c>
      <c r="V2985" t="str">
        <v>x</v>
      </c>
      <c r="W2985">
        <f>IF(D2967-MAX(D2967/4,2*G2965)*2&gt;0,ROUND((D2967-MAX(D2967/4,2*G2965)*2)/H2985,0),0)</f>
        <v>15</v>
      </c>
      <c r="X2985" t="str">
        <v>x</v>
      </c>
      <c r="Y2985">
        <f>D2970</f>
        <v>1</v>
      </c>
      <c r="Z2985" t="str">
        <v>=</v>
      </c>
      <c r="AA2985">
        <f>N2985*U2985*W2985*Y2985</f>
        <v>6.687792</v>
      </c>
    </row>
    <row r="2986">
      <c r="A2986" t="str">
        <f>A2964</f>
        <v>Lantai 1</v>
      </c>
      <c r="B2986">
        <f>B2964</f>
        <v>2</v>
      </c>
      <c r="C2986" t="str">
        <v>Sengkang Tumpuan</v>
      </c>
      <c r="D2986">
        <f>VLOOKUP(D2964,'Detail Balok'!$C$10:$AU$110,41,FALSE)</f>
        <v>0</v>
      </c>
      <c r="E2986" t="str">
        <v>D</v>
      </c>
      <c r="F2986">
        <f>VLOOKUP(D2964,'Detail Balok'!$C$10:$AU$110,43,FALSE)</f>
        <v>8</v>
      </c>
      <c r="G2986" t="str">
        <v>-</v>
      </c>
      <c r="H2986">
        <f>VLOOKUP(D2964,'Detail Balok'!$C$10:$AU$110,45,FALSE)</f>
        <v>100</v>
      </c>
      <c r="J2986">
        <f>(IF(D2986=0,(2*(D2965+G2965))-(F$5*8),IF(D2986=3,(2*(D2965+G2965))-(F$5*8)+(G2965-2*F$5),IF(D2986=4,(2*(D2965+G2965))-(F$5*8)+2*(G2965-2*F$5)))))/1000</f>
        <v>0.98</v>
      </c>
      <c r="K2986" t="str">
        <v>+</v>
      </c>
      <c r="L2986">
        <f>IF(D2986=0,2*MAX(6*F2986,75),(D2986-1)*2*MAX(6*F2986,75))/1000</f>
        <v>0.15</v>
      </c>
      <c r="M2986" t="str">
        <v>=</v>
      </c>
      <c r="N2986">
        <f>J2986+L2986</f>
        <v>1.13</v>
      </c>
      <c r="T2986" t="str">
        <v>x</v>
      </c>
      <c r="U2986">
        <f>0.006165*F2986^2</f>
        <v>0.39456</v>
      </c>
      <c r="V2986" t="str">
        <v>x</v>
      </c>
      <c r="W2986">
        <f>IF(D2967&gt;4*G2965,ROUND(MAX(D2967/4,2*G2965)/H2986,0)+1,0)</f>
        <v>16</v>
      </c>
      <c r="X2986" t="str">
        <v>x</v>
      </c>
      <c r="Y2986">
        <f>D2970</f>
        <v>1</v>
      </c>
      <c r="Z2986" t="str">
        <v>=</v>
      </c>
      <c r="AA2986">
        <f>N2986*U2986*W2986*Y2986</f>
        <v>7.1336448</v>
      </c>
    </row>
    <row r="2988">
      <c r="A2988" t="str">
        <f>A2964</f>
        <v>Lantai 1</v>
      </c>
      <c r="B2988">
        <f>B2964</f>
        <v>2</v>
      </c>
      <c r="C2988" t="str">
        <v>Kait Horizontal Tump.</v>
      </c>
      <c r="D2988">
        <f>VLOOKUP(D2964,'Detail Balok'!$C$10:$BJ$110,46,FALSE)</f>
        <v>0</v>
      </c>
      <c r="E2988" t="str">
        <v>D</v>
      </c>
      <c r="F2988">
        <f>VLOOKUP(D2964,'Detail Balok'!$C$10:$BJ$110,48,FALSE)</f>
        <v>0</v>
      </c>
      <c r="G2988" t="str">
        <v>-</v>
      </c>
      <c r="H2988">
        <f>VLOOKUP(D2964,'Detail Balok'!$C$10:$BJ$110,50,FALSE)</f>
        <v>100</v>
      </c>
      <c r="J2988">
        <f>(D2965-2*F$5)/1000</f>
        <v>0.12</v>
      </c>
      <c r="K2988" t="str">
        <v>+</v>
      </c>
      <c r="L2988">
        <f>IF(D2988=0,2*MAX(6*F2988,75),(D2988-1)*2*MAX(6*F2988,75))/1000</f>
        <v>0.15</v>
      </c>
      <c r="M2988" t="str">
        <v>=</v>
      </c>
      <c r="N2988">
        <f>J2988+L2988</f>
        <v>0.27</v>
      </c>
      <c r="T2988" t="str">
        <v>x</v>
      </c>
      <c r="U2988">
        <f>0.006165*F2988^2</f>
        <v>0</v>
      </c>
      <c r="V2988" t="str">
        <v>x</v>
      </c>
      <c r="W2988">
        <f>W2984</f>
        <v>16</v>
      </c>
      <c r="X2988" t="str">
        <v>x</v>
      </c>
      <c r="Y2988">
        <f>D2974</f>
        <v>2</v>
      </c>
      <c r="Z2988" t="str">
        <v>=</v>
      </c>
      <c r="AA2988">
        <f>N2988*U2988*W2988*Y2988</f>
        <v>0</v>
      </c>
    </row>
    <row r="2989">
      <c r="A2989" t="str">
        <f>A2964</f>
        <v>Lantai 1</v>
      </c>
      <c r="B2989">
        <f>B2964</f>
        <v>2</v>
      </c>
      <c r="C2989" t="str">
        <v>Kait Horizontal Lap.</v>
      </c>
      <c r="D2989">
        <f>VLOOKUP(D2964,'Detail Balok'!$C$10:$BJ$110,51,FALSE)</f>
        <v>0</v>
      </c>
      <c r="E2989" t="str">
        <v>D</v>
      </c>
      <c r="F2989">
        <f>VLOOKUP(D2964,'Detail Balok'!$C$10:$BJ$110,53,FALSE)</f>
        <v>0</v>
      </c>
      <c r="G2989" t="str">
        <v>-</v>
      </c>
      <c r="H2989">
        <f>VLOOKUP(D2964,'Detail Balok'!$C$10:$BJ$110,55,FALSE)</f>
        <v>100</v>
      </c>
      <c r="J2989">
        <f>(D2965-2*F$5)/1000</f>
        <v>0.12</v>
      </c>
      <c r="K2989" t="str">
        <v>+</v>
      </c>
      <c r="L2989">
        <f>IF(D2989=0,2*MAX(6*F2989,75),(D2989-1)*2*MAX(6*F2989,75))/1000</f>
        <v>0.15</v>
      </c>
      <c r="M2989" t="str">
        <v>=</v>
      </c>
      <c r="N2989">
        <f>J2989+L2989</f>
        <v>0.27</v>
      </c>
      <c r="T2989" t="str">
        <v>x</v>
      </c>
      <c r="U2989">
        <f>0.006165*F2989^2</f>
        <v>0</v>
      </c>
      <c r="V2989" t="str">
        <v>x</v>
      </c>
      <c r="W2989">
        <f>W2985</f>
        <v>15</v>
      </c>
      <c r="X2989" t="str">
        <v>x</v>
      </c>
      <c r="Y2989">
        <f>D2974</f>
        <v>2</v>
      </c>
      <c r="Z2989" t="str">
        <v>=</v>
      </c>
      <c r="AA2989">
        <f>N2989*U2989*W2989*Y2989</f>
        <v>0</v>
      </c>
    </row>
    <row r="2990">
      <c r="A2990" t="str">
        <f>A2964</f>
        <v>Lantai 1</v>
      </c>
      <c r="B2990">
        <f>B2964</f>
        <v>2</v>
      </c>
      <c r="C2990" t="str">
        <v>Kait Horizontal Tump.</v>
      </c>
      <c r="D2990">
        <f>VLOOKUP(D2964,'Detail Balok'!$C$10:$BJ$110,56,FALSE)</f>
        <v>0</v>
      </c>
      <c r="E2990" t="str">
        <v>D</v>
      </c>
      <c r="F2990">
        <f>VLOOKUP(D2964,'Detail Balok'!$C$10:$BJ$110,58,FALSE)</f>
        <v>0</v>
      </c>
      <c r="G2990" t="str">
        <v>-</v>
      </c>
      <c r="H2990">
        <f>VLOOKUP(D2964,'Detail Balok'!$C$10:$BJ$110,60,FALSE)</f>
        <v>100</v>
      </c>
      <c r="J2990">
        <f>(D2965-2*F$5)/1000</f>
        <v>0.12</v>
      </c>
      <c r="K2990" t="str">
        <v>+</v>
      </c>
      <c r="L2990">
        <f>IF(D2990=0,2*MAX(6*F2990,75),(D2990-1)*2*MAX(6*F2990,75))/1000</f>
        <v>0.15</v>
      </c>
      <c r="M2990" t="str">
        <v>=</v>
      </c>
      <c r="N2990">
        <f>J2990+L2990</f>
        <v>0.27</v>
      </c>
      <c r="T2990" t="str">
        <v>x</v>
      </c>
      <c r="U2990">
        <f>0.006165*F2990^2</f>
        <v>0</v>
      </c>
      <c r="V2990" t="str">
        <v>x</v>
      </c>
      <c r="W2990">
        <f>W2986</f>
        <v>16</v>
      </c>
      <c r="X2990" t="str">
        <v>x</v>
      </c>
      <c r="Y2990">
        <f>D2974</f>
        <v>2</v>
      </c>
      <c r="Z2990" t="str">
        <v>=</v>
      </c>
      <c r="AA2990">
        <f>N2990*U2990*W2990*Y2990</f>
        <v>0</v>
      </c>
    </row>
    <row r="2994">
      <c r="A2994" t="str">
        <f>A2964</f>
        <v>Lantai 1</v>
      </c>
      <c r="B2994">
        <f>B2964+1</f>
        <v>3</v>
      </c>
      <c r="C2994" t="str">
        <f>CONCATENATE(A2994," no. ",B2994)</f>
        <v>Lantai 1 no. 3</v>
      </c>
      <c r="D2994" t="str">
        <f>VLOOKUP(C2994,'Data Panjang Balok'!$C$9:$N$424,2,FALSE)</f>
        <v>B245-1</v>
      </c>
    </row>
    <row r="2995">
      <c r="C2995" t="str">
        <v>Dimensi</v>
      </c>
      <c r="D2995">
        <f>VLOOKUP(D2994,'Detail Balok'!$C$10:$AU$110,2,FALSE)</f>
        <v>200</v>
      </c>
      <c r="F2995" t="str">
        <v>x</v>
      </c>
      <c r="G2995">
        <f>VLOOKUP(D2994,'Detail Balok'!$C$10:$AU$110,3,FALSE)</f>
        <v>450</v>
      </c>
    </row>
    <row r="2996">
      <c r="C2996" t="str">
        <v>Panjang as ke as</v>
      </c>
      <c r="D2996">
        <f>VLOOKUP(C2994,'Data Panjang Balok'!$C$9:$N$424,4,FALSE)</f>
        <v>5000</v>
      </c>
    </row>
    <row r="2997">
      <c r="C2997" t="str">
        <v>Panjang netto</v>
      </c>
      <c r="D2997">
        <f>VLOOKUP(C2994,'Data Panjang Balok'!$C$9:$N$424,7,FALSE)</f>
        <v>5000</v>
      </c>
    </row>
    <row r="2998">
      <c r="C2998" t="str">
        <v>Kolom / balok kiri</v>
      </c>
      <c r="D2998">
        <f>VLOOKUP(C2994,'Data Panjang Balok'!$C$9:$N$424,9,FALSE)</f>
        <v>0</v>
      </c>
    </row>
    <row r="2999">
      <c r="C2999" t="str">
        <v>Kolom / balok kanan</v>
      </c>
      <c r="D2999">
        <f>VLOOKUP(C2994,'Data Panjang Balok'!$C$9:$N$424,10,FALSE)</f>
        <v>0</v>
      </c>
    </row>
    <row r="3000">
      <c r="C3000" t="str">
        <v>Jumlah</v>
      </c>
      <c r="D3000">
        <f>VLOOKUP(C2994,'Data Panjang Balok'!$C$9:$N$424,3,FALSE)</f>
        <v>1</v>
      </c>
    </row>
    <row r="3001">
      <c r="A3001" t="str">
        <f>A2994</f>
        <v>Lantai 1</v>
      </c>
      <c r="B3001">
        <f>B2994</f>
        <v>3</v>
      </c>
      <c r="C3001" t="str">
        <v>Tul Atas Tumpuan</v>
      </c>
      <c r="D3001">
        <f>VLOOKUP(D2994,'Detail Balok'!$C$10:$AU$110,4,FALSE)</f>
        <v>2</v>
      </c>
      <c r="E3001" t="str">
        <v>D</v>
      </c>
      <c r="F3001">
        <f>VLOOKUP(D2994,'Detail Balok'!$C$10:$AU$110,6,FALSE)</f>
        <v>13</v>
      </c>
      <c r="I3001" t="str">
        <v>(</v>
      </c>
      <c r="J3001">
        <f>+D2996/4/1000</f>
        <v>1.25</v>
      </c>
      <c r="K3001" t="str">
        <v>+</v>
      </c>
      <c r="L3001">
        <f>MAX(VLOOKUP(F3001,N$6:P$15,3,FALSE)/1000,2/3*D2998/1000)+F$16*F3001/1000</f>
        <v>0.156</v>
      </c>
      <c r="M3001" t="str">
        <v>=</v>
      </c>
      <c r="N3001">
        <f>J3001+L3001</f>
        <v>1.406</v>
      </c>
      <c r="O3001" t="str">
        <v>+</v>
      </c>
      <c r="P3001">
        <f>D3001-D3002</f>
        <v>0</v>
      </c>
      <c r="Q3001" t="str">
        <v>x</v>
      </c>
      <c r="R3001">
        <f>IF(P3001&gt;0,$F$18*F3001/1000,0)</f>
        <v>0</v>
      </c>
      <c r="S3001" t="str">
        <v>)</v>
      </c>
      <c r="T3001" t="str">
        <v>x</v>
      </c>
      <c r="U3001">
        <f>0.006165*F3001^2</f>
        <v>1.041885</v>
      </c>
      <c r="X3001" t="str">
        <v>x</v>
      </c>
      <c r="Y3001">
        <f>D3000</f>
        <v>1</v>
      </c>
      <c r="Z3001" t="str">
        <v>=</v>
      </c>
      <c r="AA3001">
        <f>IF(AA3004=0,(D3001*N3001+P3001*R3001)*U3001*Y3001,0)</f>
        <v>0</v>
      </c>
    </row>
    <row r="3002">
      <c r="A3002" t="str">
        <f>A2994</f>
        <v>Lantai 1</v>
      </c>
      <c r="B3002">
        <f>B2994</f>
        <v>3</v>
      </c>
      <c r="C3002" t="str">
        <v>Tul Atas Lapangan</v>
      </c>
      <c r="D3002">
        <f>VLOOKUP(D2994,'Detail Balok'!$C$10:$AU$110,7,FALSE)</f>
        <v>2</v>
      </c>
      <c r="E3002" t="str">
        <v>D</v>
      </c>
      <c r="F3002">
        <f>VLOOKUP(D2994,'Detail Balok'!$C$10:$AU$110,9,FALSE)</f>
        <v>13</v>
      </c>
      <c r="I3002" t="str">
        <v>(</v>
      </c>
      <c r="J3002">
        <f>+D2996/2/1000</f>
        <v>2.5</v>
      </c>
      <c r="K3002" t="str">
        <v>+</v>
      </c>
      <c r="M3002" t="str">
        <v>=</v>
      </c>
      <c r="N3002">
        <f>J3002+L3002</f>
        <v>2.5</v>
      </c>
      <c r="O3002" t="str">
        <v>+</v>
      </c>
      <c r="P3002">
        <f>MAX(D3002-D3001,D3002-D3003)</f>
        <v>0</v>
      </c>
      <c r="Q3002" t="str">
        <v>x</v>
      </c>
      <c r="R3002">
        <f>IF(P3002&gt;0,2*(1-2*$F$19-1/2)*D2997/1000,0)</f>
        <v>0</v>
      </c>
      <c r="S3002" t="str">
        <v>)</v>
      </c>
      <c r="T3002" t="str">
        <v>x</v>
      </c>
      <c r="U3002">
        <f>0.006165*F3002^2</f>
        <v>1.041885</v>
      </c>
      <c r="X3002" t="str">
        <v>x</v>
      </c>
      <c r="Y3002">
        <f>D3000</f>
        <v>1</v>
      </c>
      <c r="Z3002" t="str">
        <v>=</v>
      </c>
      <c r="AA3002">
        <f>IF(AA3004=0,(D3002*N3002+P3002*R3002)*U3002*Y3002,0)</f>
        <v>0</v>
      </c>
    </row>
    <row r="3003">
      <c r="A3003" t="str">
        <f>A2994</f>
        <v>Lantai 1</v>
      </c>
      <c r="B3003">
        <f>B2994</f>
        <v>3</v>
      </c>
      <c r="C3003" t="str">
        <v>Tul Atas Tumpuan</v>
      </c>
      <c r="D3003">
        <f>VLOOKUP(D2994,'Detail Balok'!$C$10:$AU$110,10,FALSE)</f>
        <v>2</v>
      </c>
      <c r="E3003" t="str">
        <v>D</v>
      </c>
      <c r="F3003">
        <f>VLOOKUP(D2994,'Detail Balok'!$C$10:$AU$110,12,FALSE)</f>
        <v>13</v>
      </c>
      <c r="I3003" t="str">
        <v>(</v>
      </c>
      <c r="J3003">
        <f>+D2996/4/1000</f>
        <v>1.25</v>
      </c>
      <c r="K3003" t="str">
        <v>+</v>
      </c>
      <c r="L3003">
        <f>MAX(VLOOKUP(F3003,N$6:P$15,3,FALSE)/1000,2/3*D2998/1000)+F$16*F3003/1000</f>
        <v>0.156</v>
      </c>
      <c r="M3003" t="str">
        <v>=</v>
      </c>
      <c r="N3003">
        <f>J3003+L3003</f>
        <v>1.406</v>
      </c>
      <c r="O3003" t="str">
        <v>+</v>
      </c>
      <c r="P3003">
        <f>D3003-D3002</f>
        <v>0</v>
      </c>
      <c r="Q3003" t="str">
        <v>x</v>
      </c>
      <c r="R3003">
        <f>IF(P3003&gt;0,$F$18*F3003/1000,0)</f>
        <v>0</v>
      </c>
      <c r="S3003" t="str">
        <v>)</v>
      </c>
      <c r="T3003" t="str">
        <v>x</v>
      </c>
      <c r="U3003">
        <f>0.006165*F3003^2</f>
        <v>1.041885</v>
      </c>
      <c r="X3003" t="str">
        <v>x</v>
      </c>
      <c r="Y3003">
        <f>D3000</f>
        <v>1</v>
      </c>
      <c r="Z3003" t="str">
        <v>=</v>
      </c>
      <c r="AA3003">
        <f>IF(AA3004=0,(D3003*N3003+P3003*R3003)*U3003*Y3003,0)</f>
        <v>0</v>
      </c>
    </row>
    <row r="3004">
      <c r="A3004" t="str">
        <f>A2994</f>
        <v>Lantai 1</v>
      </c>
      <c r="B3004">
        <f>B2994</f>
        <v>3</v>
      </c>
      <c r="D3004">
        <f>IF(AND(D3001=D3002,D3002=D3003,D3001=D3003),D3001,0)</f>
        <v>2</v>
      </c>
      <c r="E3004" t="str">
        <v>D</v>
      </c>
      <c r="F3004">
        <f>IF(AND(F3001=F3002,F3001=F3003,F3002=F3003),F3001,0)</f>
        <v>13</v>
      </c>
      <c r="L3004" t="str">
        <v>Total panjang per balok</v>
      </c>
      <c r="M3004" t="str">
        <v>=</v>
      </c>
      <c r="N3004">
        <f>IF(AND(D3001=D3002,D3001=D3003,D3002=D3003,F3001=F3002,F3001=F3003,F3002=F3003),SUM(N3001:N3003),0)</f>
        <v>5.311999999999999</v>
      </c>
      <c r="O3004" t="str">
        <v>+</v>
      </c>
      <c r="P3004">
        <f>IF(N3004&gt;12,ROUNDDOWN(N3004/12,0),0)</f>
        <v>0</v>
      </c>
      <c r="Q3004" t="str">
        <v>x</v>
      </c>
      <c r="R3004">
        <f>IF(P3004&gt;0,MAX(VLOOKUP(F3004,$D$6:$G$15,3,FALSE),600),0)/1000</f>
        <v>0</v>
      </c>
      <c r="T3004" t="str">
        <v>x</v>
      </c>
      <c r="U3004">
        <f>U3003</f>
        <v>1.041885</v>
      </c>
      <c r="V3004" t="str">
        <v>x</v>
      </c>
      <c r="W3004">
        <f>D3004</f>
        <v>2</v>
      </c>
      <c r="X3004" t="str">
        <v>x</v>
      </c>
      <c r="Y3004">
        <f>Y3003</f>
        <v>1</v>
      </c>
      <c r="Z3004" t="str">
        <v>=</v>
      </c>
      <c r="AA3004">
        <f>(N3004+P3004*R3004/1000)*U3004*W3004*Y3004</f>
        <v>11.068986239999997</v>
      </c>
    </row>
    <row r="3006">
      <c r="A3006" t="str">
        <f>A2994</f>
        <v>Lantai 1</v>
      </c>
      <c r="B3006">
        <f>B2994</f>
        <v>3</v>
      </c>
      <c r="C3006" t="str">
        <v>Tul Peminggang</v>
      </c>
      <c r="D3006">
        <f>VLOOKUP(D2994,'Detail Balok'!$C$10:$AU$110,13,FALSE)</f>
        <v>2</v>
      </c>
      <c r="E3006" t="str">
        <v>D</v>
      </c>
      <c r="F3006">
        <f>VLOOKUP(D2994,'Detail Balok'!$C$10:$AU$110,15,FALSE)</f>
        <v>8</v>
      </c>
      <c r="J3006">
        <f>+D2996/1000</f>
        <v>5</v>
      </c>
      <c r="K3006" t="str">
        <v>+</v>
      </c>
      <c r="L3006">
        <f>2*$F$16*F3006/1000</f>
        <v>0.192</v>
      </c>
      <c r="M3006" t="str">
        <v>=</v>
      </c>
      <c r="N3006">
        <f>J3006+L3006</f>
        <v>5.192</v>
      </c>
      <c r="O3006" t="str">
        <v>+</v>
      </c>
      <c r="P3006">
        <f>IF(N3006&gt;12,ROUNDDOWN(N3006/12,0),0)</f>
        <v>0</v>
      </c>
      <c r="Q3006" t="str">
        <v>x</v>
      </c>
      <c r="R3006">
        <f>IF(P3006&gt;0,MAX(VLOOKUP(F3006,$D$6:$G$15,3,FALSE),600),0)/1000</f>
        <v>0</v>
      </c>
      <c r="T3006" t="str">
        <v>x</v>
      </c>
      <c r="U3006">
        <f>0.006165*F3006^2</f>
        <v>0.39456</v>
      </c>
      <c r="V3006" t="str">
        <v>x</v>
      </c>
      <c r="W3006">
        <f>+D3006</f>
        <v>2</v>
      </c>
      <c r="X3006" t="str">
        <v>x</v>
      </c>
      <c r="Y3006">
        <f>D3000</f>
        <v>1</v>
      </c>
      <c r="Z3006" t="str">
        <v>=</v>
      </c>
      <c r="AA3006">
        <f>(N3006+P3006*R3006/1000)*U3006*W3006*Y3006</f>
        <v>4.097111040000001</v>
      </c>
    </row>
    <row r="3009">
      <c r="A3009" t="str">
        <f>A2994</f>
        <v>Lantai 1</v>
      </c>
      <c r="B3009">
        <f>B2994</f>
        <v>3</v>
      </c>
      <c r="C3009" t="str">
        <v>Tul Bawah Tumpuan</v>
      </c>
      <c r="D3009">
        <f>VLOOKUP(D2994,'Detail Balok'!$C$10:$AU$110,22,FALSE)</f>
        <v>2</v>
      </c>
      <c r="E3009" t="str">
        <v>D</v>
      </c>
      <c r="F3009">
        <f>VLOOKUP(D2994,'Detail Balok'!$C$10:$AU$110,24,FALSE)</f>
        <v>13</v>
      </c>
      <c r="I3009" t="str">
        <v>(</v>
      </c>
      <c r="J3009">
        <f>+J3001</f>
        <v>1.25</v>
      </c>
      <c r="K3009" t="str">
        <v>+</v>
      </c>
      <c r="L3009">
        <f>MAX(VLOOKUP(F3009,N$6:P$15,3,FALSE)/1000,2/3*D2999/1000)+F$16*F3009/1000</f>
        <v>0.156</v>
      </c>
      <c r="M3009" t="str">
        <v>=</v>
      </c>
      <c r="N3009">
        <f>J3009+L3009</f>
        <v>1.406</v>
      </c>
      <c r="O3009" t="str">
        <v>+</v>
      </c>
      <c r="P3009">
        <f>D3009-D3010</f>
        <v>0</v>
      </c>
      <c r="Q3009" t="str">
        <v>x</v>
      </c>
      <c r="R3009">
        <f>IF(P3009&gt;0,$F$18*F3009/1000,0)</f>
        <v>0</v>
      </c>
      <c r="S3009" t="str">
        <v>)</v>
      </c>
      <c r="T3009" t="str">
        <v>x</v>
      </c>
      <c r="U3009">
        <f>0.006165*F3009^2</f>
        <v>1.041885</v>
      </c>
      <c r="X3009" t="str">
        <v>x</v>
      </c>
      <c r="Y3009">
        <f>D3000</f>
        <v>1</v>
      </c>
      <c r="Z3009" t="str">
        <v>=</v>
      </c>
      <c r="AA3009">
        <f>IF(AA3012=0,(D3009*N3009+P3009*R3009)*U3009*Y3009,0)</f>
        <v>0</v>
      </c>
    </row>
    <row r="3010">
      <c r="A3010" t="str">
        <f>A2994</f>
        <v>Lantai 1</v>
      </c>
      <c r="B3010">
        <f>B2994</f>
        <v>3</v>
      </c>
      <c r="C3010" t="str">
        <v>Tul Bawah Lapangan</v>
      </c>
      <c r="D3010">
        <f>VLOOKUP(D2994,'Detail Balok'!$C$10:$AU$110,25,FALSE)</f>
        <v>2</v>
      </c>
      <c r="E3010" t="str">
        <v>D</v>
      </c>
      <c r="F3010">
        <f>VLOOKUP(D2994,'Detail Balok'!$C$10:$AU$110,27,FALSE)</f>
        <v>13</v>
      </c>
      <c r="I3010" t="str">
        <v>(</v>
      </c>
      <c r="J3010">
        <f>+J3002</f>
        <v>2.5</v>
      </c>
      <c r="K3010" t="str">
        <v>+</v>
      </c>
      <c r="M3010" t="str">
        <v>=</v>
      </c>
      <c r="N3010">
        <f>J3010+L3010</f>
        <v>2.5</v>
      </c>
      <c r="O3010" t="str">
        <v>+</v>
      </c>
      <c r="P3010">
        <f>MAX(D3010-D3009,D3010-D3011)</f>
        <v>0</v>
      </c>
      <c r="Q3010" t="str">
        <v>x</v>
      </c>
      <c r="R3010">
        <f>IF(P3010&gt;0,2*(1-2*$F$19-1/2)*D2997/1000,0)</f>
        <v>0</v>
      </c>
      <c r="S3010" t="str">
        <v>)</v>
      </c>
      <c r="T3010" t="str">
        <v>x</v>
      </c>
      <c r="U3010">
        <f>0.006165*F3010^2</f>
        <v>1.041885</v>
      </c>
      <c r="X3010" t="str">
        <v>x</v>
      </c>
      <c r="Y3010">
        <f>D3000</f>
        <v>1</v>
      </c>
      <c r="Z3010" t="str">
        <v>=</v>
      </c>
      <c r="AA3010">
        <f>IF(AA3012=0,(D3010*N3010+P3010*R3010)*U3010*Y3010,0)</f>
        <v>0</v>
      </c>
    </row>
    <row r="3011">
      <c r="A3011" t="str">
        <f>A2994</f>
        <v>Lantai 1</v>
      </c>
      <c r="B3011">
        <f>B2994</f>
        <v>3</v>
      </c>
      <c r="C3011" t="str">
        <v>Tul Bawah Tumpuan</v>
      </c>
      <c r="D3011">
        <f>VLOOKUP(D2994,'Detail Balok'!$C$10:$AU$110,28,FALSE)</f>
        <v>2</v>
      </c>
      <c r="E3011" t="str">
        <v>D</v>
      </c>
      <c r="F3011">
        <f>VLOOKUP(D2994,'Detail Balok'!$C$10:$AU$110,30,FALSE)</f>
        <v>13</v>
      </c>
      <c r="I3011" t="str">
        <v>(</v>
      </c>
      <c r="J3011">
        <f>+J3003</f>
        <v>1.25</v>
      </c>
      <c r="K3011" t="str">
        <v>+</v>
      </c>
      <c r="L3011">
        <f>MAX(VLOOKUP(F3011,N$6:P$15,3,FALSE)/1000,2/3*D2999/1000)+F$16*F3011/1000</f>
        <v>0.156</v>
      </c>
      <c r="M3011" t="str">
        <v>=</v>
      </c>
      <c r="N3011">
        <f>J3011+L3011</f>
        <v>1.406</v>
      </c>
      <c r="O3011" t="str">
        <v>+</v>
      </c>
      <c r="P3011">
        <f>D3011-D3010</f>
        <v>0</v>
      </c>
      <c r="Q3011" t="str">
        <v>x</v>
      </c>
      <c r="R3011">
        <f>IF(P3011&gt;0,$F$18*F3011/1000,0)</f>
        <v>0</v>
      </c>
      <c r="S3011" t="str">
        <v>)</v>
      </c>
      <c r="T3011" t="str">
        <v>x</v>
      </c>
      <c r="U3011">
        <f>0.006165*F3011^2</f>
        <v>1.041885</v>
      </c>
      <c r="X3011" t="str">
        <v>x</v>
      </c>
      <c r="Y3011">
        <f>D3000</f>
        <v>1</v>
      </c>
      <c r="Z3011" t="str">
        <v>=</v>
      </c>
      <c r="AA3011">
        <f>IF(AA3012=0,(D3011*N3011+P3011*R3011)*U3011*Y3011,0)</f>
        <v>0</v>
      </c>
    </row>
    <row r="3012">
      <c r="A3012" t="str">
        <f>A2994</f>
        <v>Lantai 1</v>
      </c>
      <c r="B3012">
        <f>B2994</f>
        <v>3</v>
      </c>
      <c r="D3012">
        <f>IF(AND(D3009=D3010,D3010=D3011,D3009=D3011),D3009,0)</f>
        <v>2</v>
      </c>
      <c r="E3012" t="str">
        <v>D</v>
      </c>
      <c r="F3012">
        <f>IF(AND(F3009=F3010,F3009=F3011,F3010=F3011),F3009,0)</f>
        <v>13</v>
      </c>
      <c r="L3012" t="str">
        <v>Total panjang per balok</v>
      </c>
      <c r="M3012" t="str">
        <v>=</v>
      </c>
      <c r="N3012">
        <f>IF(AND(D3009=D3010,D3009=D3011,D3010=D3011,F3009=F3010,F3009=F3011,F3010=F3011),SUM(N3009:N3011),0)</f>
        <v>5.311999999999999</v>
      </c>
      <c r="O3012" t="str">
        <v>+</v>
      </c>
      <c r="P3012">
        <f>IF(N3012&gt;12,ROUNDDOWN(N3012/12,0),0)</f>
        <v>0</v>
      </c>
      <c r="Q3012" t="str">
        <v>x</v>
      </c>
      <c r="R3012">
        <f>IF(P3012&gt;0,MAX(VLOOKUP(F3012,$D$6:$G$15,3,FALSE),600),0)/1000</f>
        <v>0</v>
      </c>
      <c r="T3012" t="str">
        <v>x</v>
      </c>
      <c r="U3012">
        <f>U3011</f>
        <v>1.041885</v>
      </c>
      <c r="V3012" t="str">
        <v>x</v>
      </c>
      <c r="W3012">
        <f>D3012</f>
        <v>2</v>
      </c>
      <c r="X3012" t="str">
        <v>x</v>
      </c>
      <c r="Y3012">
        <f>Y3011</f>
        <v>1</v>
      </c>
      <c r="Z3012" t="str">
        <v>=</v>
      </c>
      <c r="AA3012">
        <f>(N3012+P3012*R3012/1000)*U3012*W3012*Y3012</f>
        <v>11.068986239999997</v>
      </c>
    </row>
    <row r="3014">
      <c r="A3014" t="str">
        <f>A2994</f>
        <v>Lantai 1</v>
      </c>
      <c r="B3014">
        <f>B2994</f>
        <v>3</v>
      </c>
      <c r="C3014" t="str">
        <v>Sengkang Tumpuan</v>
      </c>
      <c r="D3014">
        <f>VLOOKUP(D2994,'Detail Balok'!$C$10:$AU$110,31,FALSE)</f>
        <v>0</v>
      </c>
      <c r="E3014" t="str">
        <v>D</v>
      </c>
      <c r="F3014">
        <f>VLOOKUP(D2994,'Detail Balok'!$C$10:$AU$110,33,FALSE)</f>
        <v>8</v>
      </c>
      <c r="G3014" t="str">
        <v>-</v>
      </c>
      <c r="H3014">
        <f>VLOOKUP(D2994,'Detail Balok'!$C$10:$AU$110,35,FALSE)</f>
        <v>100</v>
      </c>
      <c r="J3014">
        <f>(IF(D3014=0,(2*(D2995+G2995))-(F$5*8),IF(D3014=3,(2*(D2995+G2995))-(F$5*8)+(G2995-2*F$5),IF(D3014=4,(2*(D2995+G2995))-(F$5*8)+2*(G2995-2*F$5)))))/1000</f>
        <v>0.98</v>
      </c>
      <c r="K3014" t="str">
        <v>+</v>
      </c>
      <c r="L3014">
        <f>IF(D3014=0,2*MAX(6*F3014,75),(D3014-1)*2*MAX(6*F3014,75))/1000</f>
        <v>0.15</v>
      </c>
      <c r="M3014" t="str">
        <v>=</v>
      </c>
      <c r="N3014">
        <f>J3014+L3014</f>
        <v>1.13</v>
      </c>
      <c r="T3014" t="str">
        <v>x</v>
      </c>
      <c r="U3014">
        <f>0.006165*F3014^2</f>
        <v>0.39456</v>
      </c>
      <c r="V3014" t="str">
        <v>x</v>
      </c>
      <c r="W3014">
        <f>IF(D2997&gt;4*G2995,ROUND(MAX(D2997/4,2*G2995)/H3014,0)+1,ROUND(D2997/H3014,0)+1)</f>
        <v>14</v>
      </c>
      <c r="X3014" t="str">
        <v>x</v>
      </c>
      <c r="Y3014">
        <f>D3000</f>
        <v>1</v>
      </c>
      <c r="Z3014" t="str">
        <v>=</v>
      </c>
      <c r="AA3014">
        <f>N3014*U3014*W3014*Y3014</f>
        <v>6.2419392</v>
      </c>
    </row>
    <row r="3015">
      <c r="A3015" t="str">
        <f>A2994</f>
        <v>Lantai 1</v>
      </c>
      <c r="B3015">
        <f>B2994</f>
        <v>3</v>
      </c>
      <c r="C3015" t="str">
        <v>Sengkang Lapangan</v>
      </c>
      <c r="D3015">
        <f>VLOOKUP(D2994,'Detail Balok'!$C$10:$AU$110,36,FALSE)</f>
        <v>0</v>
      </c>
      <c r="E3015" t="str">
        <v>D</v>
      </c>
      <c r="F3015">
        <f>VLOOKUP(D2994,'Detail Balok'!$C$10:$AU$110,38,FALSE)</f>
        <v>8</v>
      </c>
      <c r="G3015" t="str">
        <v>-</v>
      </c>
      <c r="H3015">
        <f>VLOOKUP(D2994,'Detail Balok'!$C$10:$AU$110,40,FALSE)</f>
        <v>200</v>
      </c>
      <c r="J3015">
        <f>(IF(D3015=0,(2*(D2995+G2995))-(F$5*8),IF(D3015=3,(2*(D2995+G2995))-(F$5*8)+(G2995-2*F$5),IF(D3015=4,(2*(D2995+G2995))-(F$5*8)+2*(G2995-2*F$5)))))/1000</f>
        <v>0.98</v>
      </c>
      <c r="K3015" t="str">
        <v>+</v>
      </c>
      <c r="L3015">
        <f>IF(D3015=0,2*MAX(6*F3015,75),(D3015-1)*2*MAX(6*F3015,75))/1000</f>
        <v>0.15</v>
      </c>
      <c r="M3015" t="str">
        <v>=</v>
      </c>
      <c r="N3015">
        <f>J3015+L3015</f>
        <v>1.13</v>
      </c>
      <c r="T3015" t="str">
        <v>x</v>
      </c>
      <c r="U3015">
        <f>0.006165*F3015^2</f>
        <v>0.39456</v>
      </c>
      <c r="V3015" t="str">
        <v>x</v>
      </c>
      <c r="W3015">
        <f>IF(D2997-MAX(D2997/4,2*G2995)*2&gt;0,ROUND((D2997-MAX(D2997/4,2*G2995)*2)/H3015,0),0)</f>
        <v>13</v>
      </c>
      <c r="X3015" t="str">
        <v>x</v>
      </c>
      <c r="Y3015">
        <f>D3000</f>
        <v>1</v>
      </c>
      <c r="Z3015" t="str">
        <v>=</v>
      </c>
      <c r="AA3015">
        <f>N3015*U3015*W3015*Y3015</f>
        <v>5.7960864</v>
      </c>
    </row>
    <row r="3016">
      <c r="A3016" t="str">
        <f>A2994</f>
        <v>Lantai 1</v>
      </c>
      <c r="B3016">
        <f>B2994</f>
        <v>3</v>
      </c>
      <c r="C3016" t="str">
        <v>Sengkang Tumpuan</v>
      </c>
      <c r="D3016">
        <f>VLOOKUP(D2994,'Detail Balok'!$C$10:$AU$110,41,FALSE)</f>
        <v>0</v>
      </c>
      <c r="E3016" t="str">
        <v>D</v>
      </c>
      <c r="F3016">
        <f>VLOOKUP(D2994,'Detail Balok'!$C$10:$AU$110,43,FALSE)</f>
        <v>8</v>
      </c>
      <c r="G3016" t="str">
        <v>-</v>
      </c>
      <c r="H3016">
        <f>VLOOKUP(D2994,'Detail Balok'!$C$10:$AU$110,45,FALSE)</f>
        <v>100</v>
      </c>
      <c r="J3016">
        <f>(IF(D3016=0,(2*(D2995+G2995))-(F$5*8),IF(D3016=3,(2*(D2995+G2995))-(F$5*8)+(G2995-2*F$5),IF(D3016=4,(2*(D2995+G2995))-(F$5*8)+2*(G2995-2*F$5)))))/1000</f>
        <v>0.98</v>
      </c>
      <c r="K3016" t="str">
        <v>+</v>
      </c>
      <c r="L3016">
        <f>IF(D3016=0,2*MAX(6*F3016,75),(D3016-1)*2*MAX(6*F3016,75))/1000</f>
        <v>0.15</v>
      </c>
      <c r="M3016" t="str">
        <v>=</v>
      </c>
      <c r="N3016">
        <f>J3016+L3016</f>
        <v>1.13</v>
      </c>
      <c r="T3016" t="str">
        <v>x</v>
      </c>
      <c r="U3016">
        <f>0.006165*F3016^2</f>
        <v>0.39456</v>
      </c>
      <c r="V3016" t="str">
        <v>x</v>
      </c>
      <c r="W3016">
        <f>IF(D2997&gt;4*G2995,ROUND(MAX(D2997/4,2*G2995)/H3016,0)+1,0)</f>
        <v>14</v>
      </c>
      <c r="X3016" t="str">
        <v>x</v>
      </c>
      <c r="Y3016">
        <f>D3000</f>
        <v>1</v>
      </c>
      <c r="Z3016" t="str">
        <v>=</v>
      </c>
      <c r="AA3016">
        <f>N3016*U3016*W3016*Y3016</f>
        <v>6.2419392</v>
      </c>
    </row>
    <row r="3018">
      <c r="A3018" t="str">
        <f>A2994</f>
        <v>Lantai 1</v>
      </c>
      <c r="B3018">
        <f>B2994</f>
        <v>3</v>
      </c>
      <c r="C3018" t="str">
        <v>Kait Horizontal Tump.</v>
      </c>
      <c r="D3018">
        <f>VLOOKUP(D2994,'Detail Balok'!$C$10:$BJ$110,46,FALSE)</f>
        <v>0</v>
      </c>
      <c r="E3018" t="str">
        <v>D</v>
      </c>
      <c r="F3018">
        <f>VLOOKUP(D2994,'Detail Balok'!$C$10:$BJ$110,48,FALSE)</f>
        <v>0</v>
      </c>
      <c r="G3018" t="str">
        <v>-</v>
      </c>
      <c r="H3018">
        <f>VLOOKUP(D2994,'Detail Balok'!$C$10:$BJ$110,50,FALSE)</f>
        <v>100</v>
      </c>
      <c r="J3018">
        <f>(D2995-2*F$5)/1000</f>
        <v>0.12</v>
      </c>
      <c r="K3018" t="str">
        <v>+</v>
      </c>
      <c r="L3018">
        <f>IF(D3018=0,2*MAX(6*F3018,75),(D3018-1)*2*MAX(6*F3018,75))/1000</f>
        <v>0.15</v>
      </c>
      <c r="M3018" t="str">
        <v>=</v>
      </c>
      <c r="N3018">
        <f>J3018+L3018</f>
        <v>0.27</v>
      </c>
      <c r="T3018" t="str">
        <v>x</v>
      </c>
      <c r="U3018">
        <f>0.006165*F3018^2</f>
        <v>0</v>
      </c>
      <c r="V3018" t="str">
        <v>x</v>
      </c>
      <c r="W3018">
        <f>W3014</f>
        <v>14</v>
      </c>
      <c r="X3018" t="str">
        <v>x</v>
      </c>
      <c r="Y3018">
        <f>D3004</f>
        <v>2</v>
      </c>
      <c r="Z3018" t="str">
        <v>=</v>
      </c>
      <c r="AA3018">
        <f>N3018*U3018*W3018*Y3018</f>
        <v>0</v>
      </c>
    </row>
    <row r="3019">
      <c r="A3019" t="str">
        <f>A2994</f>
        <v>Lantai 1</v>
      </c>
      <c r="B3019">
        <f>B2994</f>
        <v>3</v>
      </c>
      <c r="C3019" t="str">
        <v>Kait Horizontal Lap.</v>
      </c>
      <c r="D3019">
        <f>VLOOKUP(D2994,'Detail Balok'!$C$10:$BJ$110,51,FALSE)</f>
        <v>0</v>
      </c>
      <c r="E3019" t="str">
        <v>D</v>
      </c>
      <c r="F3019">
        <f>VLOOKUP(D2994,'Detail Balok'!$C$10:$BJ$110,53,FALSE)</f>
        <v>0</v>
      </c>
      <c r="G3019" t="str">
        <v>-</v>
      </c>
      <c r="H3019">
        <f>VLOOKUP(D2994,'Detail Balok'!$C$10:$BJ$110,55,FALSE)</f>
        <v>100</v>
      </c>
      <c r="J3019">
        <f>(D2995-2*F$5)/1000</f>
        <v>0.12</v>
      </c>
      <c r="K3019" t="str">
        <v>+</v>
      </c>
      <c r="L3019">
        <f>IF(D3019=0,2*MAX(6*F3019,75),(D3019-1)*2*MAX(6*F3019,75))/1000</f>
        <v>0.15</v>
      </c>
      <c r="M3019" t="str">
        <v>=</v>
      </c>
      <c r="N3019">
        <f>J3019+L3019</f>
        <v>0.27</v>
      </c>
      <c r="T3019" t="str">
        <v>x</v>
      </c>
      <c r="U3019">
        <f>0.006165*F3019^2</f>
        <v>0</v>
      </c>
      <c r="V3019" t="str">
        <v>x</v>
      </c>
      <c r="W3019">
        <f>W3015</f>
        <v>13</v>
      </c>
      <c r="X3019" t="str">
        <v>x</v>
      </c>
      <c r="Y3019">
        <f>D3004</f>
        <v>2</v>
      </c>
      <c r="Z3019" t="str">
        <v>=</v>
      </c>
      <c r="AA3019">
        <f>N3019*U3019*W3019*Y3019</f>
        <v>0</v>
      </c>
    </row>
    <row r="3020">
      <c r="A3020" t="str">
        <f>A2994</f>
        <v>Lantai 1</v>
      </c>
      <c r="B3020">
        <f>B2994</f>
        <v>3</v>
      </c>
      <c r="C3020" t="str">
        <v>Kait Horizontal Tump.</v>
      </c>
      <c r="D3020">
        <f>VLOOKUP(D2994,'Detail Balok'!$C$10:$BJ$110,56,FALSE)</f>
        <v>0</v>
      </c>
      <c r="E3020" t="str">
        <v>D</v>
      </c>
      <c r="F3020">
        <f>VLOOKUP(D2994,'Detail Balok'!$C$10:$BJ$110,58,FALSE)</f>
        <v>0</v>
      </c>
      <c r="G3020" t="str">
        <v>-</v>
      </c>
      <c r="H3020">
        <f>VLOOKUP(D2994,'Detail Balok'!$C$10:$BJ$110,60,FALSE)</f>
        <v>100</v>
      </c>
      <c r="J3020">
        <f>(D2995-2*F$5)/1000</f>
        <v>0.12</v>
      </c>
      <c r="K3020" t="str">
        <v>+</v>
      </c>
      <c r="L3020">
        <f>IF(D3020=0,2*MAX(6*F3020,75),(D3020-1)*2*MAX(6*F3020,75))/1000</f>
        <v>0.15</v>
      </c>
      <c r="M3020" t="str">
        <v>=</v>
      </c>
      <c r="N3020">
        <f>J3020+L3020</f>
        <v>0.27</v>
      </c>
      <c r="T3020" t="str">
        <v>x</v>
      </c>
      <c r="U3020">
        <f>0.006165*F3020^2</f>
        <v>0</v>
      </c>
      <c r="V3020" t="str">
        <v>x</v>
      </c>
      <c r="W3020">
        <f>W3016</f>
        <v>14</v>
      </c>
      <c r="X3020" t="str">
        <v>x</v>
      </c>
      <c r="Y3020">
        <f>D3004</f>
        <v>2</v>
      </c>
      <c r="Z3020" t="str">
        <v>=</v>
      </c>
      <c r="AA3020">
        <f>N3020*U3020*W3020*Y3020</f>
        <v>0</v>
      </c>
    </row>
    <row r="3024">
      <c r="A3024" t="str">
        <f>A2994</f>
        <v>Lantai 1</v>
      </c>
      <c r="B3024">
        <f>B2994+1</f>
        <v>4</v>
      </c>
      <c r="C3024" t="str">
        <f>CONCATENATE(A3024," no. ",B3024)</f>
        <v>Lantai 1 no. 4</v>
      </c>
      <c r="D3024" t="str">
        <f>VLOOKUP(C3024,'Data Panjang Balok'!$C$9:$N$424,2,FALSE)</f>
        <v>B25-1</v>
      </c>
    </row>
    <row r="3025">
      <c r="C3025" t="str">
        <v>Dimensi</v>
      </c>
      <c r="D3025">
        <f>VLOOKUP(D3024,'Detail Balok'!$C$10:$AU$110,2,FALSE)</f>
        <v>200</v>
      </c>
      <c r="F3025" t="str">
        <v>x</v>
      </c>
      <c r="G3025">
        <f>VLOOKUP(D3024,'Detail Balok'!$C$10:$AU$110,3,FALSE)</f>
        <v>500</v>
      </c>
    </row>
    <row r="3026">
      <c r="C3026" t="str">
        <v>Panjang as ke as</v>
      </c>
      <c r="D3026">
        <f>VLOOKUP(C3024,'Data Panjang Balok'!$C$9:$N$424,4,FALSE)</f>
        <v>7000</v>
      </c>
    </row>
    <row r="3027">
      <c r="C3027" t="str">
        <v>Panjang netto</v>
      </c>
      <c r="D3027">
        <f>VLOOKUP(C3024,'Data Panjang Balok'!$C$9:$N$424,7,FALSE)</f>
        <v>7000</v>
      </c>
    </row>
    <row r="3028">
      <c r="C3028" t="str">
        <v>Kolom / balok kiri</v>
      </c>
      <c r="D3028">
        <f>VLOOKUP(C3024,'Data Panjang Balok'!$C$9:$N$424,9,FALSE)</f>
        <v>0</v>
      </c>
    </row>
    <row r="3029">
      <c r="C3029" t="str">
        <v>Kolom / balok kanan</v>
      </c>
      <c r="D3029">
        <f>VLOOKUP(C3024,'Data Panjang Balok'!$C$9:$N$424,10,FALSE)</f>
        <v>0</v>
      </c>
    </row>
    <row r="3030">
      <c r="C3030" t="str">
        <v>Jumlah</v>
      </c>
      <c r="D3030">
        <f>VLOOKUP(C3024,'Data Panjang Balok'!$C$9:$N$424,3,FALSE)</f>
        <v>1</v>
      </c>
    </row>
    <row r="3031">
      <c r="A3031" t="str">
        <f>A3024</f>
        <v>Lantai 1</v>
      </c>
      <c r="B3031">
        <f>B3024</f>
        <v>4</v>
      </c>
      <c r="C3031" t="str">
        <v>Tul Atas Tumpuan</v>
      </c>
      <c r="D3031">
        <f>VLOOKUP(D3024,'Detail Balok'!$C$10:$AU$110,4,FALSE)</f>
        <v>2</v>
      </c>
      <c r="E3031" t="str">
        <v>D</v>
      </c>
      <c r="F3031">
        <f>VLOOKUP(D3024,'Detail Balok'!$C$10:$AU$110,6,FALSE)</f>
        <v>16</v>
      </c>
      <c r="I3031" t="str">
        <v>(</v>
      </c>
      <c r="J3031">
        <f>+D3026/4/1000</f>
        <v>1.75</v>
      </c>
      <c r="K3031" t="str">
        <v>+</v>
      </c>
      <c r="L3031">
        <f>MAX(VLOOKUP(F3031,N$6:P$15,3,FALSE)/1000,2/3*D3028/1000)+F$16*F3031/1000</f>
        <v>0.192</v>
      </c>
      <c r="M3031" t="str">
        <v>=</v>
      </c>
      <c r="N3031">
        <f>J3031+L3031</f>
        <v>1.942</v>
      </c>
      <c r="O3031" t="str">
        <v>+</v>
      </c>
      <c r="P3031">
        <f>D3031-D3032</f>
        <v>0</v>
      </c>
      <c r="Q3031" t="str">
        <v>x</v>
      </c>
      <c r="R3031">
        <f>IF(P3031&gt;0,$F$18*F3031/1000,0)</f>
        <v>0</v>
      </c>
      <c r="S3031" t="str">
        <v>)</v>
      </c>
      <c r="T3031" t="str">
        <v>x</v>
      </c>
      <c r="U3031">
        <f>0.006165*F3031^2</f>
        <v>1.57824</v>
      </c>
      <c r="X3031" t="str">
        <v>x</v>
      </c>
      <c r="Y3031">
        <f>D3030</f>
        <v>1</v>
      </c>
      <c r="Z3031" t="str">
        <v>=</v>
      </c>
      <c r="AA3031">
        <f>IF(AA3034=0,(D3031*N3031+P3031*R3031)*U3031*Y3031,0)</f>
        <v>0</v>
      </c>
    </row>
    <row r="3032">
      <c r="A3032" t="str">
        <f>A3024</f>
        <v>Lantai 1</v>
      </c>
      <c r="B3032">
        <f>B3024</f>
        <v>4</v>
      </c>
      <c r="C3032" t="str">
        <v>Tul Atas Lapangan</v>
      </c>
      <c r="D3032">
        <f>VLOOKUP(D3024,'Detail Balok'!$C$10:$AU$110,7,FALSE)</f>
        <v>2</v>
      </c>
      <c r="E3032" t="str">
        <v>D</v>
      </c>
      <c r="F3032">
        <f>VLOOKUP(D3024,'Detail Balok'!$C$10:$AU$110,9,FALSE)</f>
        <v>16</v>
      </c>
      <c r="I3032" t="str">
        <v>(</v>
      </c>
      <c r="J3032">
        <f>+D3026/2/1000</f>
        <v>3.5</v>
      </c>
      <c r="K3032" t="str">
        <v>+</v>
      </c>
      <c r="M3032" t="str">
        <v>=</v>
      </c>
      <c r="N3032">
        <f>J3032+L3032</f>
        <v>3.5</v>
      </c>
      <c r="O3032" t="str">
        <v>+</v>
      </c>
      <c r="P3032">
        <f>MAX(D3032-D3031,D3032-D3033)</f>
        <v>0</v>
      </c>
      <c r="Q3032" t="str">
        <v>x</v>
      </c>
      <c r="R3032">
        <f>IF(P3032&gt;0,2*(1-2*$F$19-1/2)*D3027/1000,0)</f>
        <v>0</v>
      </c>
      <c r="S3032" t="str">
        <v>)</v>
      </c>
      <c r="T3032" t="str">
        <v>x</v>
      </c>
      <c r="U3032">
        <f>0.006165*F3032^2</f>
        <v>1.57824</v>
      </c>
      <c r="X3032" t="str">
        <v>x</v>
      </c>
      <c r="Y3032">
        <f>D3030</f>
        <v>1</v>
      </c>
      <c r="Z3032" t="str">
        <v>=</v>
      </c>
      <c r="AA3032">
        <f>IF(AA3034=0,(D3032*N3032+P3032*R3032)*U3032*Y3032,0)</f>
        <v>0</v>
      </c>
    </row>
    <row r="3033">
      <c r="A3033" t="str">
        <f>A3024</f>
        <v>Lantai 1</v>
      </c>
      <c r="B3033">
        <f>B3024</f>
        <v>4</v>
      </c>
      <c r="C3033" t="str">
        <v>Tul Atas Tumpuan</v>
      </c>
      <c r="D3033">
        <f>VLOOKUP(D3024,'Detail Balok'!$C$10:$AU$110,10,FALSE)</f>
        <v>2</v>
      </c>
      <c r="E3033" t="str">
        <v>D</v>
      </c>
      <c r="F3033">
        <f>VLOOKUP(D3024,'Detail Balok'!$C$10:$AU$110,12,FALSE)</f>
        <v>16</v>
      </c>
      <c r="I3033" t="str">
        <v>(</v>
      </c>
      <c r="J3033">
        <f>+D3026/4/1000</f>
        <v>1.75</v>
      </c>
      <c r="K3033" t="str">
        <v>+</v>
      </c>
      <c r="L3033">
        <f>MAX(VLOOKUP(F3033,N$6:P$15,3,FALSE)/1000,2/3*D3028/1000)+F$16*F3033/1000</f>
        <v>0.192</v>
      </c>
      <c r="M3033" t="str">
        <v>=</v>
      </c>
      <c r="N3033">
        <f>J3033+L3033</f>
        <v>1.942</v>
      </c>
      <c r="O3033" t="str">
        <v>+</v>
      </c>
      <c r="P3033">
        <f>D3033-D3032</f>
        <v>0</v>
      </c>
      <c r="Q3033" t="str">
        <v>x</v>
      </c>
      <c r="R3033">
        <f>IF(P3033&gt;0,$F$18*F3033/1000,0)</f>
        <v>0</v>
      </c>
      <c r="S3033" t="str">
        <v>)</v>
      </c>
      <c r="T3033" t="str">
        <v>x</v>
      </c>
      <c r="U3033">
        <f>0.006165*F3033^2</f>
        <v>1.57824</v>
      </c>
      <c r="X3033" t="str">
        <v>x</v>
      </c>
      <c r="Y3033">
        <f>D3030</f>
        <v>1</v>
      </c>
      <c r="Z3033" t="str">
        <v>=</v>
      </c>
      <c r="AA3033">
        <f>IF(AA3034=0,(D3033*N3033+P3033*R3033)*U3033*Y3033,0)</f>
        <v>0</v>
      </c>
    </row>
    <row r="3034">
      <c r="A3034" t="str">
        <f>A3024</f>
        <v>Lantai 1</v>
      </c>
      <c r="B3034">
        <f>B3024</f>
        <v>4</v>
      </c>
      <c r="D3034">
        <f>IF(AND(D3031=D3032,D3032=D3033,D3031=D3033),D3031,0)</f>
        <v>2</v>
      </c>
      <c r="E3034" t="str">
        <v>D</v>
      </c>
      <c r="F3034">
        <f>IF(AND(F3031=F3032,F3031=F3033,F3032=F3033),F3031,0)</f>
        <v>16</v>
      </c>
      <c r="L3034" t="str">
        <v>Total panjang per balok</v>
      </c>
      <c r="M3034" t="str">
        <v>=</v>
      </c>
      <c r="N3034">
        <f>IF(AND(D3031=D3032,D3031=D3033,D3032=D3033,F3031=F3032,F3031=F3033,F3032=F3033),SUM(N3031:N3033),0)</f>
        <v>7.384</v>
      </c>
      <c r="O3034" t="str">
        <v>+</v>
      </c>
      <c r="P3034">
        <f>IF(N3034&gt;12,ROUNDDOWN(N3034/12,0),0)</f>
        <v>0</v>
      </c>
      <c r="Q3034" t="str">
        <v>x</v>
      </c>
      <c r="R3034">
        <f>IF(P3034&gt;0,MAX(VLOOKUP(F3034,$D$6:$G$15,3,FALSE),600),0)/1000</f>
        <v>0</v>
      </c>
      <c r="T3034" t="str">
        <v>x</v>
      </c>
      <c r="U3034">
        <f>U3033</f>
        <v>1.57824</v>
      </c>
      <c r="V3034" t="str">
        <v>x</v>
      </c>
      <c r="W3034">
        <f>D3034</f>
        <v>2</v>
      </c>
      <c r="X3034" t="str">
        <v>x</v>
      </c>
      <c r="Y3034">
        <f>Y3033</f>
        <v>1</v>
      </c>
      <c r="Z3034" t="str">
        <v>=</v>
      </c>
      <c r="AA3034">
        <f>(N3034+P3034*R3034/1000)*U3034*W3034*Y3034</f>
        <v>23.307448320000002</v>
      </c>
    </row>
    <row r="3036">
      <c r="A3036" t="str">
        <f>A3024</f>
        <v>Lantai 1</v>
      </c>
      <c r="B3036">
        <f>B3024</f>
        <v>4</v>
      </c>
      <c r="C3036" t="str">
        <v>Tul Peminggang</v>
      </c>
      <c r="D3036">
        <f>VLOOKUP(D3024,'Detail Balok'!$C$10:$AU$110,13,FALSE)</f>
        <v>2</v>
      </c>
      <c r="E3036" t="str">
        <v>D</v>
      </c>
      <c r="F3036">
        <f>VLOOKUP(D3024,'Detail Balok'!$C$10:$AU$110,15,FALSE)</f>
        <v>10</v>
      </c>
      <c r="J3036">
        <f>+D3026/1000</f>
        <v>7</v>
      </c>
      <c r="K3036" t="str">
        <v>+</v>
      </c>
      <c r="L3036">
        <f>2*$F$16*F3036/1000</f>
        <v>0.24</v>
      </c>
      <c r="M3036" t="str">
        <v>=</v>
      </c>
      <c r="N3036">
        <f>J3036+L3036</f>
        <v>7.24</v>
      </c>
      <c r="O3036" t="str">
        <v>+</v>
      </c>
      <c r="P3036">
        <f>IF(N3036&gt;12,ROUNDDOWN(N3036/12,0),0)</f>
        <v>0</v>
      </c>
      <c r="Q3036" t="str">
        <v>x</v>
      </c>
      <c r="R3036">
        <f>IF(P3036&gt;0,MAX(VLOOKUP(F3036,$D$6:$G$15,3,FALSE),600),0)/1000</f>
        <v>0</v>
      </c>
      <c r="T3036" t="str">
        <v>x</v>
      </c>
      <c r="U3036">
        <f>0.006165*F3036^2</f>
        <v>0.6165</v>
      </c>
      <c r="V3036" t="str">
        <v>x</v>
      </c>
      <c r="W3036">
        <f>+D3036</f>
        <v>2</v>
      </c>
      <c r="X3036" t="str">
        <v>x</v>
      </c>
      <c r="Y3036">
        <f>D3030</f>
        <v>1</v>
      </c>
      <c r="Z3036" t="str">
        <v>=</v>
      </c>
      <c r="AA3036">
        <f>(N3036+P3036*R3036/1000)*U3036*W3036*Y3036</f>
        <v>8.92692</v>
      </c>
    </row>
    <row r="3039">
      <c r="A3039" t="str">
        <f>A3024</f>
        <v>Lantai 1</v>
      </c>
      <c r="B3039">
        <f>B3024</f>
        <v>4</v>
      </c>
      <c r="C3039" t="str">
        <v>Tul Bawah Tumpuan</v>
      </c>
      <c r="D3039">
        <f>VLOOKUP(D3024,'Detail Balok'!$C$10:$AU$110,22,FALSE)</f>
        <v>2</v>
      </c>
      <c r="E3039" t="str">
        <v>D</v>
      </c>
      <c r="F3039">
        <f>VLOOKUP(D3024,'Detail Balok'!$C$10:$AU$110,24,FALSE)</f>
        <v>16</v>
      </c>
      <c r="I3039" t="str">
        <v>(</v>
      </c>
      <c r="J3039">
        <f>+J3031</f>
        <v>1.75</v>
      </c>
      <c r="K3039" t="str">
        <v>+</v>
      </c>
      <c r="L3039">
        <f>MAX(VLOOKUP(F3039,N$6:P$15,3,FALSE)/1000,2/3*D3029/1000)+F$16*F3039/1000</f>
        <v>0.192</v>
      </c>
      <c r="M3039" t="str">
        <v>=</v>
      </c>
      <c r="N3039">
        <f>J3039+L3039</f>
        <v>1.942</v>
      </c>
      <c r="O3039" t="str">
        <v>+</v>
      </c>
      <c r="P3039">
        <f>D3039-D3040</f>
        <v>0</v>
      </c>
      <c r="Q3039" t="str">
        <v>x</v>
      </c>
      <c r="R3039">
        <f>IF(P3039&gt;0,$F$18*F3039/1000,0)</f>
        <v>0</v>
      </c>
      <c r="S3039" t="str">
        <v>)</v>
      </c>
      <c r="T3039" t="str">
        <v>x</v>
      </c>
      <c r="U3039">
        <f>0.006165*F3039^2</f>
        <v>1.57824</v>
      </c>
      <c r="X3039" t="str">
        <v>x</v>
      </c>
      <c r="Y3039">
        <f>D3030</f>
        <v>1</v>
      </c>
      <c r="Z3039" t="str">
        <v>=</v>
      </c>
      <c r="AA3039">
        <f>IF(AA3042=0,(D3039*N3039+P3039*R3039)*U3039*Y3039,0)</f>
        <v>0</v>
      </c>
    </row>
    <row r="3040">
      <c r="A3040" t="str">
        <f>A3024</f>
        <v>Lantai 1</v>
      </c>
      <c r="B3040">
        <f>B3024</f>
        <v>4</v>
      </c>
      <c r="C3040" t="str">
        <v>Tul Bawah Lapangan</v>
      </c>
      <c r="D3040">
        <f>VLOOKUP(D3024,'Detail Balok'!$C$10:$AU$110,25,FALSE)</f>
        <v>2</v>
      </c>
      <c r="E3040" t="str">
        <v>D</v>
      </c>
      <c r="F3040">
        <f>VLOOKUP(D3024,'Detail Balok'!$C$10:$AU$110,27,FALSE)</f>
        <v>16</v>
      </c>
      <c r="I3040" t="str">
        <v>(</v>
      </c>
      <c r="J3040">
        <f>+J3032</f>
        <v>3.5</v>
      </c>
      <c r="K3040" t="str">
        <v>+</v>
      </c>
      <c r="M3040" t="str">
        <v>=</v>
      </c>
      <c r="N3040">
        <f>J3040+L3040</f>
        <v>3.5</v>
      </c>
      <c r="O3040" t="str">
        <v>+</v>
      </c>
      <c r="P3040">
        <f>MAX(D3040-D3039,D3040-D3041)</f>
        <v>0</v>
      </c>
      <c r="Q3040" t="str">
        <v>x</v>
      </c>
      <c r="R3040">
        <f>IF(P3040&gt;0,2*(1-2*$F$19-1/2)*D3027/1000,0)</f>
        <v>0</v>
      </c>
      <c r="S3040" t="str">
        <v>)</v>
      </c>
      <c r="T3040" t="str">
        <v>x</v>
      </c>
      <c r="U3040">
        <f>0.006165*F3040^2</f>
        <v>1.57824</v>
      </c>
      <c r="X3040" t="str">
        <v>x</v>
      </c>
      <c r="Y3040">
        <f>D3030</f>
        <v>1</v>
      </c>
      <c r="Z3040" t="str">
        <v>=</v>
      </c>
      <c r="AA3040">
        <f>IF(AA3042=0,(D3040*N3040+P3040*R3040)*U3040*Y3040,0)</f>
        <v>0</v>
      </c>
    </row>
    <row r="3041">
      <c r="A3041" t="str">
        <f>A3024</f>
        <v>Lantai 1</v>
      </c>
      <c r="B3041">
        <f>B3024</f>
        <v>4</v>
      </c>
      <c r="C3041" t="str">
        <v>Tul Bawah Tumpuan</v>
      </c>
      <c r="D3041">
        <f>VLOOKUP(D3024,'Detail Balok'!$C$10:$AU$110,28,FALSE)</f>
        <v>2</v>
      </c>
      <c r="E3041" t="str">
        <v>D</v>
      </c>
      <c r="F3041">
        <f>VLOOKUP(D3024,'Detail Balok'!$C$10:$AU$110,30,FALSE)</f>
        <v>16</v>
      </c>
      <c r="I3041" t="str">
        <v>(</v>
      </c>
      <c r="J3041">
        <f>+J3033</f>
        <v>1.75</v>
      </c>
      <c r="K3041" t="str">
        <v>+</v>
      </c>
      <c r="L3041">
        <f>MAX(VLOOKUP(F3041,N$6:P$15,3,FALSE)/1000,2/3*D3029/1000)+F$16*F3041/1000</f>
        <v>0.192</v>
      </c>
      <c r="M3041" t="str">
        <v>=</v>
      </c>
      <c r="N3041">
        <f>J3041+L3041</f>
        <v>1.942</v>
      </c>
      <c r="O3041" t="str">
        <v>+</v>
      </c>
      <c r="P3041">
        <f>D3041-D3040</f>
        <v>0</v>
      </c>
      <c r="Q3041" t="str">
        <v>x</v>
      </c>
      <c r="R3041">
        <f>IF(P3041&gt;0,$F$18*F3041/1000,0)</f>
        <v>0</v>
      </c>
      <c r="S3041" t="str">
        <v>)</v>
      </c>
      <c r="T3041" t="str">
        <v>x</v>
      </c>
      <c r="U3041">
        <f>0.006165*F3041^2</f>
        <v>1.57824</v>
      </c>
      <c r="X3041" t="str">
        <v>x</v>
      </c>
      <c r="Y3041">
        <f>D3030</f>
        <v>1</v>
      </c>
      <c r="Z3041" t="str">
        <v>=</v>
      </c>
      <c r="AA3041">
        <f>IF(AA3042=0,(D3041*N3041+P3041*R3041)*U3041*Y3041,0)</f>
        <v>0</v>
      </c>
    </row>
    <row r="3042">
      <c r="A3042" t="str">
        <f>A3024</f>
        <v>Lantai 1</v>
      </c>
      <c r="B3042">
        <f>B3024</f>
        <v>4</v>
      </c>
      <c r="D3042">
        <f>IF(AND(D3039=D3040,D3040=D3041,D3039=D3041),D3039,0)</f>
        <v>2</v>
      </c>
      <c r="E3042" t="str">
        <v>D</v>
      </c>
      <c r="F3042">
        <f>IF(AND(F3039=F3040,F3039=F3041,F3040=F3041),F3039,0)</f>
        <v>16</v>
      </c>
      <c r="L3042" t="str">
        <v>Total panjang per balok</v>
      </c>
      <c r="M3042" t="str">
        <v>=</v>
      </c>
      <c r="N3042">
        <f>IF(AND(D3039=D3040,D3039=D3041,D3040=D3041,F3039=F3040,F3039=F3041,F3040=F3041),SUM(N3039:N3041),0)</f>
        <v>7.384</v>
      </c>
      <c r="O3042" t="str">
        <v>+</v>
      </c>
      <c r="P3042">
        <f>IF(N3042&gt;12,ROUNDDOWN(N3042/12,0),0)</f>
        <v>0</v>
      </c>
      <c r="Q3042" t="str">
        <v>x</v>
      </c>
      <c r="R3042">
        <f>IF(P3042&gt;0,MAX(VLOOKUP(F3042,$D$6:$G$15,3,FALSE),600),0)/1000</f>
        <v>0</v>
      </c>
      <c r="T3042" t="str">
        <v>x</v>
      </c>
      <c r="U3042">
        <f>U3041</f>
        <v>1.57824</v>
      </c>
      <c r="V3042" t="str">
        <v>x</v>
      </c>
      <c r="W3042">
        <f>D3042</f>
        <v>2</v>
      </c>
      <c r="X3042" t="str">
        <v>x</v>
      </c>
      <c r="Y3042">
        <f>Y3041</f>
        <v>1</v>
      </c>
      <c r="Z3042" t="str">
        <v>=</v>
      </c>
      <c r="AA3042">
        <f>(N3042+P3042*R3042/1000)*U3042*W3042*Y3042</f>
        <v>23.307448320000002</v>
      </c>
    </row>
    <row r="3044">
      <c r="A3044" t="str">
        <f>A3024</f>
        <v>Lantai 1</v>
      </c>
      <c r="B3044">
        <f>B3024</f>
        <v>4</v>
      </c>
      <c r="C3044" t="str">
        <v>Sengkang Tumpuan</v>
      </c>
      <c r="D3044">
        <f>VLOOKUP(D3024,'Detail Balok'!$C$10:$AU$110,31,FALSE)</f>
        <v>0</v>
      </c>
      <c r="E3044" t="str">
        <v>D</v>
      </c>
      <c r="F3044">
        <f>VLOOKUP(D3024,'Detail Balok'!$C$10:$AU$110,33,FALSE)</f>
        <v>10</v>
      </c>
      <c r="G3044" t="str">
        <v>-</v>
      </c>
      <c r="H3044">
        <f>VLOOKUP(D3024,'Detail Balok'!$C$10:$AU$110,35,FALSE)</f>
        <v>100</v>
      </c>
      <c r="J3044">
        <f>(IF(D3044=0,(2*(D3025+G3025))-(F$5*8),IF(D3044=3,(2*(D3025+G3025))-(F$5*8)+(G3025-2*F$5),IF(D3044=4,(2*(D3025+G3025))-(F$5*8)+2*(G3025-2*F$5)))))/1000</f>
        <v>1.08</v>
      </c>
      <c r="K3044" t="str">
        <v>+</v>
      </c>
      <c r="L3044">
        <f>IF(D3044=0,2*MAX(6*F3044,75),(D3044-1)*2*MAX(6*F3044,75))/1000</f>
        <v>0.15</v>
      </c>
      <c r="M3044" t="str">
        <v>=</v>
      </c>
      <c r="N3044">
        <f>J3044+L3044</f>
        <v>1.23</v>
      </c>
      <c r="T3044" t="str">
        <v>x</v>
      </c>
      <c r="U3044">
        <f>0.006165*F3044^2</f>
        <v>0.6165</v>
      </c>
      <c r="V3044" t="str">
        <v>x</v>
      </c>
      <c r="W3044">
        <f>IF(D3027&gt;4*G3025,ROUND(MAX(D3027/4,2*G3025)/H3044,0)+1,ROUND(D3027/H3044,0)+1)</f>
        <v>19</v>
      </c>
      <c r="X3044" t="str">
        <v>x</v>
      </c>
      <c r="Y3044">
        <f>D3030</f>
        <v>1</v>
      </c>
      <c r="Z3044" t="str">
        <v>=</v>
      </c>
      <c r="AA3044">
        <f>N3044*U3044*W3044*Y3044</f>
        <v>14.407605</v>
      </c>
    </row>
    <row r="3045">
      <c r="A3045" t="str">
        <f>A3024</f>
        <v>Lantai 1</v>
      </c>
      <c r="B3045">
        <f>B3024</f>
        <v>4</v>
      </c>
      <c r="C3045" t="str">
        <v>Sengkang Lapangan</v>
      </c>
      <c r="D3045">
        <f>VLOOKUP(D3024,'Detail Balok'!$C$10:$AU$110,36,FALSE)</f>
        <v>0</v>
      </c>
      <c r="E3045" t="str">
        <v>D</v>
      </c>
      <c r="F3045">
        <f>VLOOKUP(D3024,'Detail Balok'!$C$10:$AU$110,38,FALSE)</f>
        <v>10</v>
      </c>
      <c r="G3045" t="str">
        <v>-</v>
      </c>
      <c r="H3045">
        <f>VLOOKUP(D3024,'Detail Balok'!$C$10:$AU$110,40,FALSE)</f>
        <v>200</v>
      </c>
      <c r="J3045">
        <f>(IF(D3045=0,(2*(D3025+G3025))-(F$5*8),IF(D3045=3,(2*(D3025+G3025))-(F$5*8)+(G3025-2*F$5),IF(D3045=4,(2*(D3025+G3025))-(F$5*8)+2*(G3025-2*F$5)))))/1000</f>
        <v>1.08</v>
      </c>
      <c r="K3045" t="str">
        <v>+</v>
      </c>
      <c r="L3045">
        <f>IF(D3045=0,2*MAX(6*F3045,75),(D3045-1)*2*MAX(6*F3045,75))/1000</f>
        <v>0.15</v>
      </c>
      <c r="M3045" t="str">
        <v>=</v>
      </c>
      <c r="N3045">
        <f>J3045+L3045</f>
        <v>1.23</v>
      </c>
      <c r="T3045" t="str">
        <v>x</v>
      </c>
      <c r="U3045">
        <f>0.006165*F3045^2</f>
        <v>0.6165</v>
      </c>
      <c r="V3045" t="str">
        <v>x</v>
      </c>
      <c r="W3045">
        <f>IF(D3027-MAX(D3027/4,2*G3025)*2&gt;0,ROUND((D3027-MAX(D3027/4,2*G3025)*2)/H3045,0),0)</f>
        <v>18</v>
      </c>
      <c r="X3045" t="str">
        <v>x</v>
      </c>
      <c r="Y3045">
        <f>D3030</f>
        <v>1</v>
      </c>
      <c r="Z3045" t="str">
        <v>=</v>
      </c>
      <c r="AA3045">
        <f>N3045*U3045*W3045*Y3045</f>
        <v>13.649310000000002</v>
      </c>
    </row>
    <row r="3046">
      <c r="A3046" t="str">
        <f>A3024</f>
        <v>Lantai 1</v>
      </c>
      <c r="B3046">
        <f>B3024</f>
        <v>4</v>
      </c>
      <c r="C3046" t="str">
        <v>Sengkang Tumpuan</v>
      </c>
      <c r="D3046">
        <f>VLOOKUP(D3024,'Detail Balok'!$C$10:$AU$110,41,FALSE)</f>
        <v>0</v>
      </c>
      <c r="E3046" t="str">
        <v>D</v>
      </c>
      <c r="F3046">
        <f>VLOOKUP(D3024,'Detail Balok'!$C$10:$AU$110,43,FALSE)</f>
        <v>10</v>
      </c>
      <c r="G3046" t="str">
        <v>-</v>
      </c>
      <c r="H3046">
        <f>VLOOKUP(D3024,'Detail Balok'!$C$10:$AU$110,45,FALSE)</f>
        <v>100</v>
      </c>
      <c r="J3046">
        <f>(IF(D3046=0,(2*(D3025+G3025))-(F$5*8),IF(D3046=3,(2*(D3025+G3025))-(F$5*8)+(G3025-2*F$5),IF(D3046=4,(2*(D3025+G3025))-(F$5*8)+2*(G3025-2*F$5)))))/1000</f>
        <v>1.08</v>
      </c>
      <c r="K3046" t="str">
        <v>+</v>
      </c>
      <c r="L3046">
        <f>IF(D3046=0,2*MAX(6*F3046,75),(D3046-1)*2*MAX(6*F3046,75))/1000</f>
        <v>0.15</v>
      </c>
      <c r="M3046" t="str">
        <v>=</v>
      </c>
      <c r="N3046">
        <f>J3046+L3046</f>
        <v>1.23</v>
      </c>
      <c r="T3046" t="str">
        <v>x</v>
      </c>
      <c r="U3046">
        <f>0.006165*F3046^2</f>
        <v>0.6165</v>
      </c>
      <c r="V3046" t="str">
        <v>x</v>
      </c>
      <c r="W3046">
        <f>IF(D3027&gt;4*G3025,ROUND(MAX(D3027/4,2*G3025)/H3046,0)+1,0)</f>
        <v>19</v>
      </c>
      <c r="X3046" t="str">
        <v>x</v>
      </c>
      <c r="Y3046">
        <f>D3030</f>
        <v>1</v>
      </c>
      <c r="Z3046" t="str">
        <v>=</v>
      </c>
      <c r="AA3046">
        <f>N3046*U3046*W3046*Y3046</f>
        <v>14.407605</v>
      </c>
    </row>
    <row r="3048">
      <c r="A3048" t="str">
        <f>A3024</f>
        <v>Lantai 1</v>
      </c>
      <c r="B3048">
        <f>B3024</f>
        <v>4</v>
      </c>
      <c r="C3048" t="str">
        <v>Kait Horizontal Tump.</v>
      </c>
      <c r="D3048">
        <f>VLOOKUP(D3024,'Detail Balok'!$C$10:$BJ$110,46,FALSE)</f>
        <v>0</v>
      </c>
      <c r="E3048" t="str">
        <v>D</v>
      </c>
      <c r="F3048">
        <f>VLOOKUP(D3024,'Detail Balok'!$C$10:$BJ$110,48,FALSE)</f>
        <v>0</v>
      </c>
      <c r="G3048" t="str">
        <v>-</v>
      </c>
      <c r="H3048">
        <f>VLOOKUP(D3024,'Detail Balok'!$C$10:$BJ$110,50,FALSE)</f>
        <v>100</v>
      </c>
      <c r="J3048">
        <f>(D3025-2*F$5)/1000</f>
        <v>0.12</v>
      </c>
      <c r="K3048" t="str">
        <v>+</v>
      </c>
      <c r="L3048">
        <f>IF(D3048=0,2*MAX(6*F3048,75),(D3048-1)*2*MAX(6*F3048,75))/1000</f>
        <v>0.15</v>
      </c>
      <c r="M3048" t="str">
        <v>=</v>
      </c>
      <c r="N3048">
        <f>J3048+L3048</f>
        <v>0.27</v>
      </c>
      <c r="T3048" t="str">
        <v>x</v>
      </c>
      <c r="U3048">
        <f>0.006165*F3048^2</f>
        <v>0</v>
      </c>
      <c r="V3048" t="str">
        <v>x</v>
      </c>
      <c r="W3048">
        <f>W3044</f>
        <v>19</v>
      </c>
      <c r="X3048" t="str">
        <v>x</v>
      </c>
      <c r="Y3048">
        <f>D3034</f>
        <v>2</v>
      </c>
      <c r="Z3048" t="str">
        <v>=</v>
      </c>
      <c r="AA3048">
        <f>N3048*U3048*W3048*Y3048</f>
        <v>0</v>
      </c>
    </row>
    <row r="3049">
      <c r="A3049" t="str">
        <f>A3024</f>
        <v>Lantai 1</v>
      </c>
      <c r="B3049">
        <f>B3024</f>
        <v>4</v>
      </c>
      <c r="C3049" t="str">
        <v>Kait Horizontal Lap.</v>
      </c>
      <c r="D3049">
        <f>VLOOKUP(D3024,'Detail Balok'!$C$10:$BJ$110,51,FALSE)</f>
        <v>0</v>
      </c>
      <c r="E3049" t="str">
        <v>D</v>
      </c>
      <c r="F3049">
        <f>VLOOKUP(D3024,'Detail Balok'!$C$10:$BJ$110,53,FALSE)</f>
        <v>0</v>
      </c>
      <c r="G3049" t="str">
        <v>-</v>
      </c>
      <c r="H3049">
        <f>VLOOKUP(D3024,'Detail Balok'!$C$10:$BJ$110,55,FALSE)</f>
        <v>100</v>
      </c>
      <c r="J3049">
        <f>(D3025-2*F$5)/1000</f>
        <v>0.12</v>
      </c>
      <c r="K3049" t="str">
        <v>+</v>
      </c>
      <c r="L3049">
        <f>IF(D3049=0,2*MAX(6*F3049,75),(D3049-1)*2*MAX(6*F3049,75))/1000</f>
        <v>0.15</v>
      </c>
      <c r="M3049" t="str">
        <v>=</v>
      </c>
      <c r="N3049">
        <f>J3049+L3049</f>
        <v>0.27</v>
      </c>
      <c r="T3049" t="str">
        <v>x</v>
      </c>
      <c r="U3049">
        <f>0.006165*F3049^2</f>
        <v>0</v>
      </c>
      <c r="V3049" t="str">
        <v>x</v>
      </c>
      <c r="W3049">
        <f>W3045</f>
        <v>18</v>
      </c>
      <c r="X3049" t="str">
        <v>x</v>
      </c>
      <c r="Y3049">
        <f>D3034</f>
        <v>2</v>
      </c>
      <c r="Z3049" t="str">
        <v>=</v>
      </c>
      <c r="AA3049">
        <f>N3049*U3049*W3049*Y3049</f>
        <v>0</v>
      </c>
    </row>
    <row r="3050">
      <c r="A3050" t="str">
        <f>A3024</f>
        <v>Lantai 1</v>
      </c>
      <c r="B3050">
        <f>B3024</f>
        <v>4</v>
      </c>
      <c r="C3050" t="str">
        <v>Kait Horizontal Tump.</v>
      </c>
      <c r="D3050">
        <f>VLOOKUP(D3024,'Detail Balok'!$C$10:$BJ$110,56,FALSE)</f>
        <v>0</v>
      </c>
      <c r="E3050" t="str">
        <v>D</v>
      </c>
      <c r="F3050">
        <f>VLOOKUP(D3024,'Detail Balok'!$C$10:$BJ$110,58,FALSE)</f>
        <v>0</v>
      </c>
      <c r="G3050" t="str">
        <v>-</v>
      </c>
      <c r="H3050">
        <f>VLOOKUP(D3024,'Detail Balok'!$C$10:$BJ$110,60,FALSE)</f>
        <v>100</v>
      </c>
      <c r="J3050">
        <f>(D3025-2*F$5)/1000</f>
        <v>0.12</v>
      </c>
      <c r="K3050" t="str">
        <v>+</v>
      </c>
      <c r="L3050">
        <f>IF(D3050=0,2*MAX(6*F3050,75),(D3050-1)*2*MAX(6*F3050,75))/1000</f>
        <v>0.15</v>
      </c>
      <c r="M3050" t="str">
        <v>=</v>
      </c>
      <c r="N3050">
        <f>J3050+L3050</f>
        <v>0.27</v>
      </c>
      <c r="T3050" t="str">
        <v>x</v>
      </c>
      <c r="U3050">
        <f>0.006165*F3050^2</f>
        <v>0</v>
      </c>
      <c r="V3050" t="str">
        <v>x</v>
      </c>
      <c r="W3050">
        <f>W3046</f>
        <v>19</v>
      </c>
      <c r="X3050" t="str">
        <v>x</v>
      </c>
      <c r="Y3050">
        <f>D3034</f>
        <v>2</v>
      </c>
      <c r="Z3050" t="str">
        <v>=</v>
      </c>
      <c r="AA3050">
        <f>N3050*U3050*W3050*Y3050</f>
        <v>0</v>
      </c>
    </row>
    <row r="3054">
      <c r="A3054" t="str">
        <f>A3024</f>
        <v>Lantai 1</v>
      </c>
      <c r="B3054">
        <f>B3024+1</f>
        <v>5</v>
      </c>
      <c r="C3054" t="str">
        <f>CONCATENATE(A3054," no. ",B3054)</f>
        <v>Lantai 1 no. 5</v>
      </c>
      <c r="D3054" t="str">
        <f>VLOOKUP(C3054,'Data Panjang Balok'!$C$9:$N$424,2,FALSE)</f>
        <v>B24-2</v>
      </c>
    </row>
    <row r="3055">
      <c r="C3055" t="str">
        <v>Dimensi</v>
      </c>
      <c r="D3055">
        <f>VLOOKUP(D3054,'Detail Balok'!$C$10:$AU$110,2,FALSE)</f>
        <v>200</v>
      </c>
      <c r="F3055" t="str">
        <v>x</v>
      </c>
      <c r="G3055">
        <f>VLOOKUP(D3054,'Detail Balok'!$C$10:$AU$110,3,FALSE)</f>
        <v>400</v>
      </c>
    </row>
    <row r="3056">
      <c r="C3056" t="str">
        <v>Panjang as ke as</v>
      </c>
      <c r="D3056">
        <f>VLOOKUP(C3054,'Data Panjang Balok'!$C$9:$N$424,4,FALSE)</f>
        <v>4835</v>
      </c>
    </row>
    <row r="3057">
      <c r="C3057" t="str">
        <v>Panjang netto</v>
      </c>
      <c r="D3057">
        <f>VLOOKUP(C3054,'Data Panjang Balok'!$C$9:$N$424,7,FALSE)</f>
        <v>4835</v>
      </c>
    </row>
    <row r="3058">
      <c r="C3058" t="str">
        <v>Kolom / balok kiri</v>
      </c>
      <c r="D3058">
        <f>VLOOKUP(C3054,'Data Panjang Balok'!$C$9:$N$424,9,FALSE)</f>
        <v>0</v>
      </c>
    </row>
    <row r="3059">
      <c r="C3059" t="str">
        <v>Kolom / balok kanan</v>
      </c>
      <c r="D3059">
        <f>VLOOKUP(C3054,'Data Panjang Balok'!$C$9:$N$424,10,FALSE)</f>
        <v>0</v>
      </c>
    </row>
    <row r="3060">
      <c r="C3060" t="str">
        <v>Jumlah</v>
      </c>
      <c r="D3060">
        <f>VLOOKUP(C3054,'Data Panjang Balok'!$C$9:$N$424,3,FALSE)</f>
        <v>1</v>
      </c>
    </row>
    <row r="3061">
      <c r="A3061" t="str">
        <f>A3054</f>
        <v>Lantai 1</v>
      </c>
      <c r="B3061">
        <f>B3054</f>
        <v>5</v>
      </c>
      <c r="C3061" t="str">
        <v>Tul Atas Tumpuan</v>
      </c>
      <c r="D3061">
        <f>VLOOKUP(D3054,'Detail Balok'!$C$10:$AU$110,4,FALSE)</f>
        <v>2</v>
      </c>
      <c r="E3061" t="str">
        <v>D</v>
      </c>
      <c r="F3061">
        <f>VLOOKUP(D3054,'Detail Balok'!$C$10:$AU$110,6,FALSE)</f>
        <v>16</v>
      </c>
      <c r="I3061" t="str">
        <v>(</v>
      </c>
      <c r="J3061">
        <f>+D3056/4/1000</f>
        <v>1.20875</v>
      </c>
      <c r="K3061" t="str">
        <v>+</v>
      </c>
      <c r="L3061">
        <f>MAX(VLOOKUP(F3061,N$6:P$15,3,FALSE)/1000,2/3*D3058/1000)+F$16*F3061/1000</f>
        <v>0.192</v>
      </c>
      <c r="M3061" t="str">
        <v>=</v>
      </c>
      <c r="N3061">
        <f>J3061+L3061</f>
        <v>1.40075</v>
      </c>
      <c r="O3061" t="str">
        <v>+</v>
      </c>
      <c r="P3061">
        <f>D3061-D3062</f>
        <v>0</v>
      </c>
      <c r="Q3061" t="str">
        <v>x</v>
      </c>
      <c r="R3061">
        <f>IF(P3061&gt;0,$F$18*F3061/1000,0)</f>
        <v>0</v>
      </c>
      <c r="S3061" t="str">
        <v>)</v>
      </c>
      <c r="T3061" t="str">
        <v>x</v>
      </c>
      <c r="U3061">
        <f>0.006165*F3061^2</f>
        <v>1.57824</v>
      </c>
      <c r="X3061" t="str">
        <v>x</v>
      </c>
      <c r="Y3061">
        <f>D3060</f>
        <v>1</v>
      </c>
      <c r="Z3061" t="str">
        <v>=</v>
      </c>
      <c r="AA3061">
        <f>IF(AA3064=0,(D3061*N3061+P3061*R3061)*U3061*Y3061,0)</f>
        <v>0</v>
      </c>
    </row>
    <row r="3062">
      <c r="A3062" t="str">
        <f>A3054</f>
        <v>Lantai 1</v>
      </c>
      <c r="B3062">
        <f>B3054</f>
        <v>5</v>
      </c>
      <c r="C3062" t="str">
        <v>Tul Atas Lapangan</v>
      </c>
      <c r="D3062">
        <f>VLOOKUP(D3054,'Detail Balok'!$C$10:$AU$110,7,FALSE)</f>
        <v>2</v>
      </c>
      <c r="E3062" t="str">
        <v>D</v>
      </c>
      <c r="F3062">
        <f>VLOOKUP(D3054,'Detail Balok'!$C$10:$AU$110,9,FALSE)</f>
        <v>16</v>
      </c>
      <c r="I3062" t="str">
        <v>(</v>
      </c>
      <c r="J3062">
        <f>+D3056/2/1000</f>
        <v>2.4175</v>
      </c>
      <c r="K3062" t="str">
        <v>+</v>
      </c>
      <c r="M3062" t="str">
        <v>=</v>
      </c>
      <c r="N3062">
        <f>J3062+L3062</f>
        <v>2.4175</v>
      </c>
      <c r="O3062" t="str">
        <v>+</v>
      </c>
      <c r="P3062">
        <f>MAX(D3062-D3061,D3062-D3063)</f>
        <v>0</v>
      </c>
      <c r="Q3062" t="str">
        <v>x</v>
      </c>
      <c r="R3062">
        <f>IF(P3062&gt;0,2*(1-2*$F$19-1/2)*D3057/1000,0)</f>
        <v>0</v>
      </c>
      <c r="S3062" t="str">
        <v>)</v>
      </c>
      <c r="T3062" t="str">
        <v>x</v>
      </c>
      <c r="U3062">
        <f>0.006165*F3062^2</f>
        <v>1.57824</v>
      </c>
      <c r="X3062" t="str">
        <v>x</v>
      </c>
      <c r="Y3062">
        <f>D3060</f>
        <v>1</v>
      </c>
      <c r="Z3062" t="str">
        <v>=</v>
      </c>
      <c r="AA3062">
        <f>IF(AA3064=0,(D3062*N3062+P3062*R3062)*U3062*Y3062,0)</f>
        <v>0</v>
      </c>
    </row>
    <row r="3063">
      <c r="A3063" t="str">
        <f>A3054</f>
        <v>Lantai 1</v>
      </c>
      <c r="B3063">
        <f>B3054</f>
        <v>5</v>
      </c>
      <c r="C3063" t="str">
        <v>Tul Atas Tumpuan</v>
      </c>
      <c r="D3063">
        <f>VLOOKUP(D3054,'Detail Balok'!$C$10:$AU$110,10,FALSE)</f>
        <v>2</v>
      </c>
      <c r="E3063" t="str">
        <v>D</v>
      </c>
      <c r="F3063">
        <f>VLOOKUP(D3054,'Detail Balok'!$C$10:$AU$110,12,FALSE)</f>
        <v>16</v>
      </c>
      <c r="I3063" t="str">
        <v>(</v>
      </c>
      <c r="J3063">
        <f>+D3056/4/1000</f>
        <v>1.20875</v>
      </c>
      <c r="K3063" t="str">
        <v>+</v>
      </c>
      <c r="L3063">
        <f>MAX(VLOOKUP(F3063,N$6:P$15,3,FALSE)/1000,2/3*D3058/1000)+F$16*F3063/1000</f>
        <v>0.192</v>
      </c>
      <c r="M3063" t="str">
        <v>=</v>
      </c>
      <c r="N3063">
        <f>J3063+L3063</f>
        <v>1.40075</v>
      </c>
      <c r="O3063" t="str">
        <v>+</v>
      </c>
      <c r="P3063">
        <f>D3063-D3062</f>
        <v>0</v>
      </c>
      <c r="Q3063" t="str">
        <v>x</v>
      </c>
      <c r="R3063">
        <f>IF(P3063&gt;0,$F$18*F3063/1000,0)</f>
        <v>0</v>
      </c>
      <c r="S3063" t="str">
        <v>)</v>
      </c>
      <c r="T3063" t="str">
        <v>x</v>
      </c>
      <c r="U3063">
        <f>0.006165*F3063^2</f>
        <v>1.57824</v>
      </c>
      <c r="X3063" t="str">
        <v>x</v>
      </c>
      <c r="Y3063">
        <f>D3060</f>
        <v>1</v>
      </c>
      <c r="Z3063" t="str">
        <v>=</v>
      </c>
      <c r="AA3063">
        <f>IF(AA3064=0,(D3063*N3063+P3063*R3063)*U3063*Y3063,0)</f>
        <v>0</v>
      </c>
    </row>
    <row r="3064">
      <c r="A3064" t="str">
        <f>A3054</f>
        <v>Lantai 1</v>
      </c>
      <c r="B3064">
        <f>B3054</f>
        <v>5</v>
      </c>
      <c r="D3064">
        <f>IF(AND(D3061=D3062,D3062=D3063,D3061=D3063),D3061,0)</f>
        <v>2</v>
      </c>
      <c r="E3064" t="str">
        <v>D</v>
      </c>
      <c r="F3064">
        <f>IF(AND(F3061=F3062,F3061=F3063,F3062=F3063),F3061,0)</f>
        <v>16</v>
      </c>
      <c r="L3064" t="str">
        <v>Total panjang per balok</v>
      </c>
      <c r="M3064" t="str">
        <v>=</v>
      </c>
      <c r="N3064">
        <f>IF(AND(D3061=D3062,D3061=D3063,D3062=D3063,F3061=F3062,F3061=F3063,F3062=F3063),SUM(N3061:N3063),0)</f>
        <v>5.218999999999999</v>
      </c>
      <c r="O3064" t="str">
        <v>+</v>
      </c>
      <c r="P3064">
        <f>IF(N3064&gt;12,ROUNDDOWN(N3064/12,0),0)</f>
        <v>0</v>
      </c>
      <c r="Q3064" t="str">
        <v>x</v>
      </c>
      <c r="R3064">
        <f>IF(P3064&gt;0,MAX(VLOOKUP(F3064,$D$6:$G$15,3,FALSE),600),0)/1000</f>
        <v>0</v>
      </c>
      <c r="T3064" t="str">
        <v>x</v>
      </c>
      <c r="U3064">
        <f>U3063</f>
        <v>1.57824</v>
      </c>
      <c r="V3064" t="str">
        <v>x</v>
      </c>
      <c r="W3064">
        <f>D3064</f>
        <v>2</v>
      </c>
      <c r="X3064" t="str">
        <v>x</v>
      </c>
      <c r="Y3064">
        <f>Y3063</f>
        <v>1</v>
      </c>
      <c r="Z3064" t="str">
        <v>=</v>
      </c>
      <c r="AA3064">
        <f>(N3064+P3064*R3064/1000)*U3064*W3064*Y3064</f>
        <v>16.47366912</v>
      </c>
    </row>
    <row r="3066">
      <c r="A3066" t="str">
        <f>A3054</f>
        <v>Lantai 1</v>
      </c>
      <c r="B3066">
        <f>B3054</f>
        <v>5</v>
      </c>
      <c r="C3066" t="str">
        <v>Tul Peminggang</v>
      </c>
      <c r="D3066">
        <f>VLOOKUP(D3054,'Detail Balok'!$C$10:$AU$110,13,FALSE)</f>
        <v>0</v>
      </c>
      <c r="E3066" t="str">
        <v>D</v>
      </c>
      <c r="F3066">
        <f>VLOOKUP(D3054,'Detail Balok'!$C$10:$AU$110,15,FALSE)</f>
        <v>6</v>
      </c>
      <c r="J3066">
        <f>+D3056/1000</f>
        <v>4.835</v>
      </c>
      <c r="K3066" t="str">
        <v>+</v>
      </c>
      <c r="L3066">
        <f>2*$F$16*F3066/1000</f>
        <v>0.144</v>
      </c>
      <c r="M3066" t="str">
        <v>=</v>
      </c>
      <c r="N3066">
        <f>J3066+L3066</f>
        <v>4.979</v>
      </c>
      <c r="O3066" t="str">
        <v>+</v>
      </c>
      <c r="P3066">
        <f>IF(N3066&gt;12,ROUNDDOWN(N3066/12,0),0)</f>
        <v>0</v>
      </c>
      <c r="Q3066" t="str">
        <v>x</v>
      </c>
      <c r="R3066">
        <f>IF(P3066&gt;0,MAX(VLOOKUP(F3066,$D$6:$G$15,3,FALSE),600),0)/1000</f>
        <v>0</v>
      </c>
      <c r="T3066" t="str">
        <v>x</v>
      </c>
      <c r="U3066">
        <f>0.006165*F3066^2</f>
        <v>0.22194000000000003</v>
      </c>
      <c r="V3066" t="str">
        <v>x</v>
      </c>
      <c r="W3066">
        <f>+D3066</f>
        <v>0</v>
      </c>
      <c r="X3066" t="str">
        <v>x</v>
      </c>
      <c r="Y3066">
        <f>D3060</f>
        <v>1</v>
      </c>
      <c r="Z3066" t="str">
        <v>=</v>
      </c>
      <c r="AA3066">
        <f>(N3066+P3066*R3066/1000)*U3066*W3066*Y3066</f>
        <v>0</v>
      </c>
    </row>
    <row r="3069">
      <c r="A3069" t="str">
        <f>A3054</f>
        <v>Lantai 1</v>
      </c>
      <c r="B3069">
        <f>B3054</f>
        <v>5</v>
      </c>
      <c r="C3069" t="str">
        <v>Tul Bawah Tumpuan</v>
      </c>
      <c r="D3069">
        <f>VLOOKUP(D3054,'Detail Balok'!$C$10:$AU$110,22,FALSE)</f>
        <v>2</v>
      </c>
      <c r="E3069" t="str">
        <v>D</v>
      </c>
      <c r="F3069">
        <f>VLOOKUP(D3054,'Detail Balok'!$C$10:$AU$110,24,FALSE)</f>
        <v>16</v>
      </c>
      <c r="I3069" t="str">
        <v>(</v>
      </c>
      <c r="J3069">
        <f>+J3061</f>
        <v>1.20875</v>
      </c>
      <c r="K3069" t="str">
        <v>+</v>
      </c>
      <c r="L3069">
        <f>MAX(VLOOKUP(F3069,N$6:P$15,3,FALSE)/1000,2/3*D3059/1000)+F$16*F3069/1000</f>
        <v>0.192</v>
      </c>
      <c r="M3069" t="str">
        <v>=</v>
      </c>
      <c r="N3069">
        <f>J3069+L3069</f>
        <v>1.40075</v>
      </c>
      <c r="O3069" t="str">
        <v>+</v>
      </c>
      <c r="P3069">
        <f>D3069-D3070</f>
        <v>0</v>
      </c>
      <c r="Q3069" t="str">
        <v>x</v>
      </c>
      <c r="R3069">
        <f>IF(P3069&gt;0,$F$18*F3069/1000,0)</f>
        <v>0</v>
      </c>
      <c r="S3069" t="str">
        <v>)</v>
      </c>
      <c r="T3069" t="str">
        <v>x</v>
      </c>
      <c r="U3069">
        <f>0.006165*F3069^2</f>
        <v>1.57824</v>
      </c>
      <c r="X3069" t="str">
        <v>x</v>
      </c>
      <c r="Y3069">
        <f>D3060</f>
        <v>1</v>
      </c>
      <c r="Z3069" t="str">
        <v>=</v>
      </c>
      <c r="AA3069">
        <f>IF(AA3072=0,(D3069*N3069+P3069*R3069)*U3069*Y3069,0)</f>
        <v>0</v>
      </c>
    </row>
    <row r="3070">
      <c r="A3070" t="str">
        <f>A3054</f>
        <v>Lantai 1</v>
      </c>
      <c r="B3070">
        <f>B3054</f>
        <v>5</v>
      </c>
      <c r="C3070" t="str">
        <v>Tul Bawah Lapangan</v>
      </c>
      <c r="D3070">
        <f>VLOOKUP(D3054,'Detail Balok'!$C$10:$AU$110,25,FALSE)</f>
        <v>2</v>
      </c>
      <c r="E3070" t="str">
        <v>D</v>
      </c>
      <c r="F3070">
        <f>VLOOKUP(D3054,'Detail Balok'!$C$10:$AU$110,27,FALSE)</f>
        <v>16</v>
      </c>
      <c r="I3070" t="str">
        <v>(</v>
      </c>
      <c r="J3070">
        <f>+J3062</f>
        <v>2.4175</v>
      </c>
      <c r="K3070" t="str">
        <v>+</v>
      </c>
      <c r="M3070" t="str">
        <v>=</v>
      </c>
      <c r="N3070">
        <f>J3070+L3070</f>
        <v>2.4175</v>
      </c>
      <c r="O3070" t="str">
        <v>+</v>
      </c>
      <c r="P3070">
        <f>MAX(D3070-D3069,D3070-D3071)</f>
        <v>0</v>
      </c>
      <c r="Q3070" t="str">
        <v>x</v>
      </c>
      <c r="R3070">
        <f>IF(P3070&gt;0,2*(1-2*$F$19-1/2)*D3057/1000,0)</f>
        <v>0</v>
      </c>
      <c r="S3070" t="str">
        <v>)</v>
      </c>
      <c r="T3070" t="str">
        <v>x</v>
      </c>
      <c r="U3070">
        <f>0.006165*F3070^2</f>
        <v>1.57824</v>
      </c>
      <c r="X3070" t="str">
        <v>x</v>
      </c>
      <c r="Y3070">
        <f>D3060</f>
        <v>1</v>
      </c>
      <c r="Z3070" t="str">
        <v>=</v>
      </c>
      <c r="AA3070">
        <f>IF(AA3072=0,(D3070*N3070+P3070*R3070)*U3070*Y3070,0)</f>
        <v>0</v>
      </c>
    </row>
    <row r="3071">
      <c r="A3071" t="str">
        <f>A3054</f>
        <v>Lantai 1</v>
      </c>
      <c r="B3071">
        <f>B3054</f>
        <v>5</v>
      </c>
      <c r="C3071" t="str">
        <v>Tul Bawah Tumpuan</v>
      </c>
      <c r="D3071">
        <f>VLOOKUP(D3054,'Detail Balok'!$C$10:$AU$110,28,FALSE)</f>
        <v>2</v>
      </c>
      <c r="E3071" t="str">
        <v>D</v>
      </c>
      <c r="F3071">
        <f>VLOOKUP(D3054,'Detail Balok'!$C$10:$AU$110,30,FALSE)</f>
        <v>16</v>
      </c>
      <c r="I3071" t="str">
        <v>(</v>
      </c>
      <c r="J3071">
        <f>+J3063</f>
        <v>1.20875</v>
      </c>
      <c r="K3071" t="str">
        <v>+</v>
      </c>
      <c r="L3071">
        <f>MAX(VLOOKUP(F3071,N$6:P$15,3,FALSE)/1000,2/3*D3059/1000)+F$16*F3071/1000</f>
        <v>0.192</v>
      </c>
      <c r="M3071" t="str">
        <v>=</v>
      </c>
      <c r="N3071">
        <f>J3071+L3071</f>
        <v>1.40075</v>
      </c>
      <c r="O3071" t="str">
        <v>+</v>
      </c>
      <c r="P3071">
        <f>D3071-D3070</f>
        <v>0</v>
      </c>
      <c r="Q3071" t="str">
        <v>x</v>
      </c>
      <c r="R3071">
        <f>IF(P3071&gt;0,$F$18*F3071/1000,0)</f>
        <v>0</v>
      </c>
      <c r="S3071" t="str">
        <v>)</v>
      </c>
      <c r="T3071" t="str">
        <v>x</v>
      </c>
      <c r="U3071">
        <f>0.006165*F3071^2</f>
        <v>1.57824</v>
      </c>
      <c r="X3071" t="str">
        <v>x</v>
      </c>
      <c r="Y3071">
        <f>D3060</f>
        <v>1</v>
      </c>
      <c r="Z3071" t="str">
        <v>=</v>
      </c>
      <c r="AA3071">
        <f>IF(AA3072=0,(D3071*N3071+P3071*R3071)*U3071*Y3071,0)</f>
        <v>0</v>
      </c>
    </row>
    <row r="3072">
      <c r="A3072" t="str">
        <f>A3054</f>
        <v>Lantai 1</v>
      </c>
      <c r="B3072">
        <f>B3054</f>
        <v>5</v>
      </c>
      <c r="D3072">
        <f>IF(AND(D3069=D3070,D3070=D3071,D3069=D3071),D3069,0)</f>
        <v>2</v>
      </c>
      <c r="E3072" t="str">
        <v>D</v>
      </c>
      <c r="F3072">
        <f>IF(AND(F3069=F3070,F3069=F3071,F3070=F3071),F3069,0)</f>
        <v>16</v>
      </c>
      <c r="L3072" t="str">
        <v>Total panjang per balok</v>
      </c>
      <c r="M3072" t="str">
        <v>=</v>
      </c>
      <c r="N3072">
        <f>IF(AND(D3069=D3070,D3069=D3071,D3070=D3071,F3069=F3070,F3069=F3071,F3070=F3071),SUM(N3069:N3071),0)</f>
        <v>5.218999999999999</v>
      </c>
      <c r="O3072" t="str">
        <v>+</v>
      </c>
      <c r="P3072">
        <f>IF(N3072&gt;12,ROUNDDOWN(N3072/12,0),0)</f>
        <v>0</v>
      </c>
      <c r="Q3072" t="str">
        <v>x</v>
      </c>
      <c r="R3072">
        <f>IF(P3072&gt;0,MAX(VLOOKUP(F3072,$D$6:$G$15,3,FALSE),600),0)/1000</f>
        <v>0</v>
      </c>
      <c r="T3072" t="str">
        <v>x</v>
      </c>
      <c r="U3072">
        <f>U3071</f>
        <v>1.57824</v>
      </c>
      <c r="V3072" t="str">
        <v>x</v>
      </c>
      <c r="W3072">
        <f>D3072</f>
        <v>2</v>
      </c>
      <c r="X3072" t="str">
        <v>x</v>
      </c>
      <c r="Y3072">
        <f>Y3071</f>
        <v>1</v>
      </c>
      <c r="Z3072" t="str">
        <v>=</v>
      </c>
      <c r="AA3072">
        <f>(N3072+P3072*R3072/1000)*U3072*W3072*Y3072</f>
        <v>16.47366912</v>
      </c>
    </row>
    <row r="3074">
      <c r="A3074" t="str">
        <f>A3054</f>
        <v>Lantai 1</v>
      </c>
      <c r="B3074">
        <f>B3054</f>
        <v>5</v>
      </c>
      <c r="C3074" t="str">
        <v>Sengkang Tumpuan</v>
      </c>
      <c r="D3074">
        <f>VLOOKUP(D3054,'Detail Balok'!$C$10:$AU$110,31,FALSE)</f>
        <v>0</v>
      </c>
      <c r="E3074" t="str">
        <v>D</v>
      </c>
      <c r="F3074">
        <f>VLOOKUP(D3054,'Detail Balok'!$C$10:$AU$110,33,FALSE)</f>
        <v>8</v>
      </c>
      <c r="G3074" t="str">
        <v>-</v>
      </c>
      <c r="H3074">
        <f>VLOOKUP(D3054,'Detail Balok'!$C$10:$AU$110,35,FALSE)</f>
        <v>100</v>
      </c>
      <c r="J3074">
        <f>(IF(D3074=0,(2*(D3055+G3055))-(F$5*8),IF(D3074=3,(2*(D3055+G3055))-(F$5*8)+(G3055-2*F$5),IF(D3074=4,(2*(D3055+G3055))-(F$5*8)+2*(G3055-2*F$5)))))/1000</f>
        <v>0.88</v>
      </c>
      <c r="K3074" t="str">
        <v>+</v>
      </c>
      <c r="L3074">
        <f>IF(D3074=0,2*MAX(6*F3074,75),(D3074-1)*2*MAX(6*F3074,75))/1000</f>
        <v>0.15</v>
      </c>
      <c r="M3074" t="str">
        <v>=</v>
      </c>
      <c r="N3074">
        <f>J3074+L3074</f>
        <v>1.03</v>
      </c>
      <c r="T3074" t="str">
        <v>x</v>
      </c>
      <c r="U3074">
        <f>0.006165*F3074^2</f>
        <v>0.39456</v>
      </c>
      <c r="V3074" t="str">
        <v>x</v>
      </c>
      <c r="W3074">
        <f>IF(D3057&gt;4*G3055,ROUND(MAX(D3057/4,2*G3055)/H3074,0)+1,ROUND(D3057/H3074,0)+1)</f>
        <v>13</v>
      </c>
      <c r="X3074" t="str">
        <v>x</v>
      </c>
      <c r="Y3074">
        <f>D3060</f>
        <v>1</v>
      </c>
      <c r="Z3074" t="str">
        <v>=</v>
      </c>
      <c r="AA3074">
        <f>N3074*U3074*W3074*Y3074</f>
        <v>5.2831584000000005</v>
      </c>
    </row>
    <row r="3075">
      <c r="A3075" t="str">
        <f>A3054</f>
        <v>Lantai 1</v>
      </c>
      <c r="B3075">
        <f>B3054</f>
        <v>5</v>
      </c>
      <c r="C3075" t="str">
        <v>Sengkang Lapangan</v>
      </c>
      <c r="D3075">
        <f>VLOOKUP(D3054,'Detail Balok'!$C$10:$AU$110,36,FALSE)</f>
        <v>0</v>
      </c>
      <c r="E3075" t="str">
        <v>D</v>
      </c>
      <c r="F3075">
        <f>VLOOKUP(D3054,'Detail Balok'!$C$10:$AU$110,38,FALSE)</f>
        <v>8</v>
      </c>
      <c r="G3075" t="str">
        <v>-</v>
      </c>
      <c r="H3075">
        <f>VLOOKUP(D3054,'Detail Balok'!$C$10:$AU$110,40,FALSE)</f>
        <v>200</v>
      </c>
      <c r="J3075">
        <f>(IF(D3075=0,(2*(D3055+G3055))-(F$5*8),IF(D3075=3,(2*(D3055+G3055))-(F$5*8)+(G3055-2*F$5),IF(D3075=4,(2*(D3055+G3055))-(F$5*8)+2*(G3055-2*F$5)))))/1000</f>
        <v>0.88</v>
      </c>
      <c r="K3075" t="str">
        <v>+</v>
      </c>
      <c r="L3075">
        <f>IF(D3075=0,2*MAX(6*F3075,75),(D3075-1)*2*MAX(6*F3075,75))/1000</f>
        <v>0.15</v>
      </c>
      <c r="M3075" t="str">
        <v>=</v>
      </c>
      <c r="N3075">
        <f>J3075+L3075</f>
        <v>1.03</v>
      </c>
      <c r="T3075" t="str">
        <v>x</v>
      </c>
      <c r="U3075">
        <f>0.006165*F3075^2</f>
        <v>0.39456</v>
      </c>
      <c r="V3075" t="str">
        <v>x</v>
      </c>
      <c r="W3075">
        <f>IF(D3057-MAX(D3057/4,2*G3055)*2&gt;0,ROUND((D3057-MAX(D3057/4,2*G3055)*2)/H3075,0),0)</f>
        <v>12</v>
      </c>
      <c r="X3075" t="str">
        <v>x</v>
      </c>
      <c r="Y3075">
        <f>D3060</f>
        <v>1</v>
      </c>
      <c r="Z3075" t="str">
        <v>=</v>
      </c>
      <c r="AA3075">
        <f>N3075*U3075*W3075*Y3075</f>
        <v>4.876761600000001</v>
      </c>
    </row>
    <row r="3076">
      <c r="A3076" t="str">
        <f>A3054</f>
        <v>Lantai 1</v>
      </c>
      <c r="B3076">
        <f>B3054</f>
        <v>5</v>
      </c>
      <c r="C3076" t="str">
        <v>Sengkang Tumpuan</v>
      </c>
      <c r="D3076">
        <f>VLOOKUP(D3054,'Detail Balok'!$C$10:$AU$110,41,FALSE)</f>
        <v>0</v>
      </c>
      <c r="E3076" t="str">
        <v>D</v>
      </c>
      <c r="F3076">
        <f>VLOOKUP(D3054,'Detail Balok'!$C$10:$AU$110,43,FALSE)</f>
        <v>8</v>
      </c>
      <c r="G3076" t="str">
        <v>-</v>
      </c>
      <c r="H3076">
        <f>VLOOKUP(D3054,'Detail Balok'!$C$10:$AU$110,45,FALSE)</f>
        <v>100</v>
      </c>
      <c r="J3076">
        <f>(IF(D3076=0,(2*(D3055+G3055))-(F$5*8),IF(D3076=3,(2*(D3055+G3055))-(F$5*8)+(G3055-2*F$5),IF(D3076=4,(2*(D3055+G3055))-(F$5*8)+2*(G3055-2*F$5)))))/1000</f>
        <v>0.88</v>
      </c>
      <c r="K3076" t="str">
        <v>+</v>
      </c>
      <c r="L3076">
        <f>IF(D3076=0,2*MAX(6*F3076,75),(D3076-1)*2*MAX(6*F3076,75))/1000</f>
        <v>0.15</v>
      </c>
      <c r="M3076" t="str">
        <v>=</v>
      </c>
      <c r="N3076">
        <f>J3076+L3076</f>
        <v>1.03</v>
      </c>
      <c r="T3076" t="str">
        <v>x</v>
      </c>
      <c r="U3076">
        <f>0.006165*F3076^2</f>
        <v>0.39456</v>
      </c>
      <c r="V3076" t="str">
        <v>x</v>
      </c>
      <c r="W3076">
        <f>IF(D3057&gt;4*G3055,ROUND(MAX(D3057/4,2*G3055)/H3076,0)+1,0)</f>
        <v>13</v>
      </c>
      <c r="X3076" t="str">
        <v>x</v>
      </c>
      <c r="Y3076">
        <f>D3060</f>
        <v>1</v>
      </c>
      <c r="Z3076" t="str">
        <v>=</v>
      </c>
      <c r="AA3076">
        <f>N3076*U3076*W3076*Y3076</f>
        <v>5.2831584000000005</v>
      </c>
    </row>
    <row r="3078">
      <c r="A3078" t="str">
        <f>A3054</f>
        <v>Lantai 1</v>
      </c>
      <c r="B3078">
        <f>B3054</f>
        <v>5</v>
      </c>
      <c r="C3078" t="str">
        <v>Kait Horizontal Tump.</v>
      </c>
      <c r="D3078">
        <f>VLOOKUP(D3054,'Detail Balok'!$C$10:$BJ$110,46,FALSE)</f>
        <v>0</v>
      </c>
      <c r="E3078" t="str">
        <v>D</v>
      </c>
      <c r="F3078">
        <f>VLOOKUP(D3054,'Detail Balok'!$C$10:$BJ$110,48,FALSE)</f>
        <v>0</v>
      </c>
      <c r="G3078" t="str">
        <v>-</v>
      </c>
      <c r="H3078">
        <f>VLOOKUP(D3054,'Detail Balok'!$C$10:$BJ$110,50,FALSE)</f>
        <v>100</v>
      </c>
      <c r="J3078">
        <f>(D3055-2*F$5)/1000</f>
        <v>0.12</v>
      </c>
      <c r="K3078" t="str">
        <v>+</v>
      </c>
      <c r="L3078">
        <f>IF(D3078=0,2*MAX(6*F3078,75),(D3078-1)*2*MAX(6*F3078,75))/1000</f>
        <v>0.15</v>
      </c>
      <c r="M3078" t="str">
        <v>=</v>
      </c>
      <c r="N3078">
        <f>J3078+L3078</f>
        <v>0.27</v>
      </c>
      <c r="T3078" t="str">
        <v>x</v>
      </c>
      <c r="U3078">
        <f>0.006165*F3078^2</f>
        <v>0</v>
      </c>
      <c r="V3078" t="str">
        <v>x</v>
      </c>
      <c r="W3078">
        <f>W3074</f>
        <v>13</v>
      </c>
      <c r="X3078" t="str">
        <v>x</v>
      </c>
      <c r="Y3078">
        <f>D3064</f>
        <v>2</v>
      </c>
      <c r="Z3078" t="str">
        <v>=</v>
      </c>
      <c r="AA3078">
        <f>N3078*U3078*W3078*Y3078</f>
        <v>0</v>
      </c>
    </row>
    <row r="3079">
      <c r="A3079" t="str">
        <f>A3054</f>
        <v>Lantai 1</v>
      </c>
      <c r="B3079">
        <f>B3054</f>
        <v>5</v>
      </c>
      <c r="C3079" t="str">
        <v>Kait Horizontal Lap.</v>
      </c>
      <c r="D3079">
        <f>VLOOKUP(D3054,'Detail Balok'!$C$10:$BJ$110,51,FALSE)</f>
        <v>0</v>
      </c>
      <c r="E3079" t="str">
        <v>D</v>
      </c>
      <c r="F3079">
        <f>VLOOKUP(D3054,'Detail Balok'!$C$10:$BJ$110,53,FALSE)</f>
        <v>0</v>
      </c>
      <c r="G3079" t="str">
        <v>-</v>
      </c>
      <c r="H3079">
        <f>VLOOKUP(D3054,'Detail Balok'!$C$10:$BJ$110,55,FALSE)</f>
        <v>100</v>
      </c>
      <c r="J3079">
        <f>(D3055-2*F$5)/1000</f>
        <v>0.12</v>
      </c>
      <c r="K3079" t="str">
        <v>+</v>
      </c>
      <c r="L3079">
        <f>IF(D3079=0,2*MAX(6*F3079,75),(D3079-1)*2*MAX(6*F3079,75))/1000</f>
        <v>0.15</v>
      </c>
      <c r="M3079" t="str">
        <v>=</v>
      </c>
      <c r="N3079">
        <f>J3079+L3079</f>
        <v>0.27</v>
      </c>
      <c r="T3079" t="str">
        <v>x</v>
      </c>
      <c r="U3079">
        <f>0.006165*F3079^2</f>
        <v>0</v>
      </c>
      <c r="V3079" t="str">
        <v>x</v>
      </c>
      <c r="W3079">
        <f>W3075</f>
        <v>12</v>
      </c>
      <c r="X3079" t="str">
        <v>x</v>
      </c>
      <c r="Y3079">
        <f>D3064</f>
        <v>2</v>
      </c>
      <c r="Z3079" t="str">
        <v>=</v>
      </c>
      <c r="AA3079">
        <f>N3079*U3079*W3079*Y3079</f>
        <v>0</v>
      </c>
    </row>
    <row r="3080">
      <c r="A3080" t="str">
        <f>A3054</f>
        <v>Lantai 1</v>
      </c>
      <c r="B3080">
        <f>B3054</f>
        <v>5</v>
      </c>
      <c r="C3080" t="str">
        <v>Kait Horizontal Tump.</v>
      </c>
      <c r="D3080">
        <f>VLOOKUP(D3054,'Detail Balok'!$C$10:$BJ$110,56,FALSE)</f>
        <v>0</v>
      </c>
      <c r="E3080" t="str">
        <v>D</v>
      </c>
      <c r="F3080">
        <f>VLOOKUP(D3054,'Detail Balok'!$C$10:$BJ$110,58,FALSE)</f>
        <v>0</v>
      </c>
      <c r="G3080" t="str">
        <v>-</v>
      </c>
      <c r="H3080">
        <f>VLOOKUP(D3054,'Detail Balok'!$C$10:$BJ$110,60,FALSE)</f>
        <v>100</v>
      </c>
      <c r="J3080">
        <f>(D3055-2*F$5)/1000</f>
        <v>0.12</v>
      </c>
      <c r="K3080" t="str">
        <v>+</v>
      </c>
      <c r="L3080">
        <f>IF(D3080=0,2*MAX(6*F3080,75),(D3080-1)*2*MAX(6*F3080,75))/1000</f>
        <v>0.15</v>
      </c>
      <c r="M3080" t="str">
        <v>=</v>
      </c>
      <c r="N3080">
        <f>J3080+L3080</f>
        <v>0.27</v>
      </c>
      <c r="T3080" t="str">
        <v>x</v>
      </c>
      <c r="U3080">
        <f>0.006165*F3080^2</f>
        <v>0</v>
      </c>
      <c r="V3080" t="str">
        <v>x</v>
      </c>
      <c r="W3080">
        <f>W3076</f>
        <v>13</v>
      </c>
      <c r="X3080" t="str">
        <v>x</v>
      </c>
      <c r="Y3080">
        <f>D3064</f>
        <v>2</v>
      </c>
      <c r="Z3080" t="str">
        <v>=</v>
      </c>
      <c r="AA3080">
        <f>N3080*U3080*W3080*Y3080</f>
        <v>0</v>
      </c>
    </row>
    <row r="3084">
      <c r="A3084" t="str">
        <f>A3054</f>
        <v>Lantai 1</v>
      </c>
      <c r="B3084">
        <f>B3054+1</f>
        <v>6</v>
      </c>
      <c r="C3084" t="str">
        <f>CONCATENATE(A3084," no. ",B3084)</f>
        <v>Lantai 1 no. 6</v>
      </c>
      <c r="D3084" t="str">
        <f>VLOOKUP(C3084,'Data Panjang Balok'!$C$9:$N$424,2,FALSE)</f>
        <v>B24-3</v>
      </c>
    </row>
    <row r="3085">
      <c r="C3085" t="str">
        <v>Dimensi</v>
      </c>
      <c r="D3085">
        <f>VLOOKUP(D3084,'Detail Balok'!$C$10:$AU$110,2,FALSE)</f>
        <v>200</v>
      </c>
      <c r="F3085" t="str">
        <v>x</v>
      </c>
      <c r="G3085">
        <f>VLOOKUP(D3084,'Detail Balok'!$C$10:$AU$110,3,FALSE)</f>
        <v>400</v>
      </c>
    </row>
    <row r="3086">
      <c r="C3086" t="str">
        <v>Panjang as ke as</v>
      </c>
      <c r="D3086">
        <f>VLOOKUP(C3084,'Data Panjang Balok'!$C$9:$N$424,4,FALSE)</f>
        <v>4265</v>
      </c>
    </row>
    <row r="3087">
      <c r="C3087" t="str">
        <v>Panjang netto</v>
      </c>
      <c r="D3087">
        <f>VLOOKUP(C3084,'Data Panjang Balok'!$C$9:$N$424,7,FALSE)</f>
        <v>4265</v>
      </c>
    </row>
    <row r="3088">
      <c r="C3088" t="str">
        <v>Kolom / balok kiri</v>
      </c>
      <c r="D3088">
        <f>VLOOKUP(C3084,'Data Panjang Balok'!$C$9:$N$424,9,FALSE)</f>
        <v>0</v>
      </c>
    </row>
    <row r="3089">
      <c r="C3089" t="str">
        <v>Kolom / balok kanan</v>
      </c>
      <c r="D3089">
        <f>VLOOKUP(C3084,'Data Panjang Balok'!$C$9:$N$424,10,FALSE)</f>
        <v>0</v>
      </c>
    </row>
    <row r="3090">
      <c r="C3090" t="str">
        <v>Jumlah</v>
      </c>
      <c r="D3090">
        <f>VLOOKUP(C3084,'Data Panjang Balok'!$C$9:$N$424,3,FALSE)</f>
        <v>1</v>
      </c>
    </row>
    <row r="3091">
      <c r="A3091" t="str">
        <f>A3084</f>
        <v>Lantai 1</v>
      </c>
      <c r="B3091">
        <f>B3084</f>
        <v>6</v>
      </c>
      <c r="C3091" t="str">
        <v>Tul Atas Tumpuan</v>
      </c>
      <c r="D3091">
        <f>VLOOKUP(D3084,'Detail Balok'!$C$10:$AU$110,4,FALSE)</f>
        <v>3</v>
      </c>
      <c r="E3091" t="str">
        <v>D</v>
      </c>
      <c r="F3091">
        <f>VLOOKUP(D3084,'Detail Balok'!$C$10:$AU$110,6,FALSE)</f>
        <v>16</v>
      </c>
      <c r="I3091" t="str">
        <v>(</v>
      </c>
      <c r="J3091">
        <f>+D3086/4/1000</f>
        <v>1.06625</v>
      </c>
      <c r="K3091" t="str">
        <v>+</v>
      </c>
      <c r="L3091">
        <f>MAX(VLOOKUP(F3091,N$6:P$15,3,FALSE)/1000,2/3*D3088/1000)+F$16*F3091/1000</f>
        <v>0.192</v>
      </c>
      <c r="M3091" t="str">
        <v>=</v>
      </c>
      <c r="N3091">
        <f>J3091+L3091</f>
        <v>1.2582499999999999</v>
      </c>
      <c r="O3091" t="str">
        <v>+</v>
      </c>
      <c r="P3091">
        <f>D3091-D3092</f>
        <v>0</v>
      </c>
      <c r="Q3091" t="str">
        <v>x</v>
      </c>
      <c r="R3091">
        <f>IF(P3091&gt;0,$F$18*F3091/1000,0)</f>
        <v>0</v>
      </c>
      <c r="S3091" t="str">
        <v>)</v>
      </c>
      <c r="T3091" t="str">
        <v>x</v>
      </c>
      <c r="U3091">
        <f>0.006165*F3091^2</f>
        <v>1.57824</v>
      </c>
      <c r="X3091" t="str">
        <v>x</v>
      </c>
      <c r="Y3091">
        <f>D3090</f>
        <v>1</v>
      </c>
      <c r="Z3091" t="str">
        <v>=</v>
      </c>
      <c r="AA3091">
        <f>IF(AA3094=0,(D3091*N3091+P3091*R3091)*U3091*Y3091,0)</f>
        <v>0</v>
      </c>
    </row>
    <row r="3092">
      <c r="A3092" t="str">
        <f>A3084</f>
        <v>Lantai 1</v>
      </c>
      <c r="B3092">
        <f>B3084</f>
        <v>6</v>
      </c>
      <c r="C3092" t="str">
        <v>Tul Atas Lapangan</v>
      </c>
      <c r="D3092">
        <f>VLOOKUP(D3084,'Detail Balok'!$C$10:$AU$110,7,FALSE)</f>
        <v>3</v>
      </c>
      <c r="E3092" t="str">
        <v>D</v>
      </c>
      <c r="F3092">
        <f>VLOOKUP(D3084,'Detail Balok'!$C$10:$AU$110,9,FALSE)</f>
        <v>16</v>
      </c>
      <c r="I3092" t="str">
        <v>(</v>
      </c>
      <c r="J3092">
        <f>+D3086/2/1000</f>
        <v>2.1325</v>
      </c>
      <c r="K3092" t="str">
        <v>+</v>
      </c>
      <c r="M3092" t="str">
        <v>=</v>
      </c>
      <c r="N3092">
        <f>J3092+L3092</f>
        <v>2.1325</v>
      </c>
      <c r="O3092" t="str">
        <v>+</v>
      </c>
      <c r="P3092">
        <f>MAX(D3092-D3091,D3092-D3093)</f>
        <v>0</v>
      </c>
      <c r="Q3092" t="str">
        <v>x</v>
      </c>
      <c r="R3092">
        <f>IF(P3092&gt;0,2*(1-2*$F$19-1/2)*D3087/1000,0)</f>
        <v>0</v>
      </c>
      <c r="S3092" t="str">
        <v>)</v>
      </c>
      <c r="T3092" t="str">
        <v>x</v>
      </c>
      <c r="U3092">
        <f>0.006165*F3092^2</f>
        <v>1.57824</v>
      </c>
      <c r="X3092" t="str">
        <v>x</v>
      </c>
      <c r="Y3092">
        <f>D3090</f>
        <v>1</v>
      </c>
      <c r="Z3092" t="str">
        <v>=</v>
      </c>
      <c r="AA3092">
        <f>IF(AA3094=0,(D3092*N3092+P3092*R3092)*U3092*Y3092,0)</f>
        <v>0</v>
      </c>
    </row>
    <row r="3093">
      <c r="A3093" t="str">
        <f>A3084</f>
        <v>Lantai 1</v>
      </c>
      <c r="B3093">
        <f>B3084</f>
        <v>6</v>
      </c>
      <c r="C3093" t="str">
        <v>Tul Atas Tumpuan</v>
      </c>
      <c r="D3093">
        <f>VLOOKUP(D3084,'Detail Balok'!$C$10:$AU$110,10,FALSE)</f>
        <v>3</v>
      </c>
      <c r="E3093" t="str">
        <v>D</v>
      </c>
      <c r="F3093">
        <f>VLOOKUP(D3084,'Detail Balok'!$C$10:$AU$110,12,FALSE)</f>
        <v>16</v>
      </c>
      <c r="I3093" t="str">
        <v>(</v>
      </c>
      <c r="J3093">
        <f>+D3086/4/1000</f>
        <v>1.06625</v>
      </c>
      <c r="K3093" t="str">
        <v>+</v>
      </c>
      <c r="L3093">
        <f>MAX(VLOOKUP(F3093,N$6:P$15,3,FALSE)/1000,2/3*D3088/1000)+F$16*F3093/1000</f>
        <v>0.192</v>
      </c>
      <c r="M3093" t="str">
        <v>=</v>
      </c>
      <c r="N3093">
        <f>J3093+L3093</f>
        <v>1.2582499999999999</v>
      </c>
      <c r="O3093" t="str">
        <v>+</v>
      </c>
      <c r="P3093">
        <f>D3093-D3092</f>
        <v>0</v>
      </c>
      <c r="Q3093" t="str">
        <v>x</v>
      </c>
      <c r="R3093">
        <f>IF(P3093&gt;0,$F$18*F3093/1000,0)</f>
        <v>0</v>
      </c>
      <c r="S3093" t="str">
        <v>)</v>
      </c>
      <c r="T3093" t="str">
        <v>x</v>
      </c>
      <c r="U3093">
        <f>0.006165*F3093^2</f>
        <v>1.57824</v>
      </c>
      <c r="X3093" t="str">
        <v>x</v>
      </c>
      <c r="Y3093">
        <f>D3090</f>
        <v>1</v>
      </c>
      <c r="Z3093" t="str">
        <v>=</v>
      </c>
      <c r="AA3093">
        <f>IF(AA3094=0,(D3093*N3093+P3093*R3093)*U3093*Y3093,0)</f>
        <v>0</v>
      </c>
    </row>
    <row r="3094">
      <c r="A3094" t="str">
        <f>A3084</f>
        <v>Lantai 1</v>
      </c>
      <c r="B3094">
        <f>B3084</f>
        <v>6</v>
      </c>
      <c r="D3094">
        <f>IF(AND(D3091=D3092,D3092=D3093,D3091=D3093),D3091,0)</f>
        <v>3</v>
      </c>
      <c r="E3094" t="str">
        <v>D</v>
      </c>
      <c r="F3094">
        <f>IF(AND(F3091=F3092,F3091=F3093,F3092=F3093),F3091,0)</f>
        <v>16</v>
      </c>
      <c r="L3094" t="str">
        <v>Total panjang per balok</v>
      </c>
      <c r="M3094" t="str">
        <v>=</v>
      </c>
      <c r="N3094">
        <f>IF(AND(D3091=D3092,D3091=D3093,D3092=D3093,F3091=F3092,F3091=F3093,F3092=F3093),SUM(N3091:N3093),0)</f>
        <v>4.648999999999999</v>
      </c>
      <c r="O3094" t="str">
        <v>+</v>
      </c>
      <c r="P3094">
        <f>IF(N3094&gt;12,ROUNDDOWN(N3094/12,0),0)</f>
        <v>0</v>
      </c>
      <c r="Q3094" t="str">
        <v>x</v>
      </c>
      <c r="R3094">
        <f>IF(P3094&gt;0,MAX(VLOOKUP(F3094,$D$6:$G$15,3,FALSE),600),0)/1000</f>
        <v>0</v>
      </c>
      <c r="T3094" t="str">
        <v>x</v>
      </c>
      <c r="U3094">
        <f>U3093</f>
        <v>1.57824</v>
      </c>
      <c r="V3094" t="str">
        <v>x</v>
      </c>
      <c r="W3094">
        <f>D3094</f>
        <v>3</v>
      </c>
      <c r="X3094" t="str">
        <v>x</v>
      </c>
      <c r="Y3094">
        <f>Y3093</f>
        <v>1</v>
      </c>
      <c r="Z3094" t="str">
        <v>=</v>
      </c>
      <c r="AA3094">
        <f>(N3094+P3094*R3094/1000)*U3094*W3094*Y3094</f>
        <v>22.011713279999995</v>
      </c>
    </row>
    <row r="3096">
      <c r="A3096" t="str">
        <f>A3084</f>
        <v>Lantai 1</v>
      </c>
      <c r="B3096">
        <f>B3084</f>
        <v>6</v>
      </c>
      <c r="C3096" t="str">
        <v>Tul Peminggang</v>
      </c>
      <c r="D3096">
        <f>VLOOKUP(D3084,'Detail Balok'!$C$10:$AU$110,13,FALSE)</f>
        <v>0</v>
      </c>
      <c r="E3096" t="str">
        <v>D</v>
      </c>
      <c r="F3096">
        <f>VLOOKUP(D3084,'Detail Balok'!$C$10:$AU$110,15,FALSE)</f>
        <v>6</v>
      </c>
      <c r="J3096">
        <f>+D3086/1000</f>
        <v>4.265</v>
      </c>
      <c r="K3096" t="str">
        <v>+</v>
      </c>
      <c r="L3096">
        <f>2*$F$16*F3096/1000</f>
        <v>0.144</v>
      </c>
      <c r="M3096" t="str">
        <v>=</v>
      </c>
      <c r="N3096">
        <f>J3096+L3096</f>
        <v>4.409</v>
      </c>
      <c r="O3096" t="str">
        <v>+</v>
      </c>
      <c r="P3096">
        <f>IF(N3096&gt;12,ROUNDDOWN(N3096/12,0),0)</f>
        <v>0</v>
      </c>
      <c r="Q3096" t="str">
        <v>x</v>
      </c>
      <c r="R3096">
        <f>IF(P3096&gt;0,MAX(VLOOKUP(F3096,$D$6:$G$15,3,FALSE),600),0)/1000</f>
        <v>0</v>
      </c>
      <c r="T3096" t="str">
        <v>x</v>
      </c>
      <c r="U3096">
        <f>0.006165*F3096^2</f>
        <v>0.22194000000000003</v>
      </c>
      <c r="V3096" t="str">
        <v>x</v>
      </c>
      <c r="W3096">
        <f>+D3096</f>
        <v>0</v>
      </c>
      <c r="X3096" t="str">
        <v>x</v>
      </c>
      <c r="Y3096">
        <f>D3090</f>
        <v>1</v>
      </c>
      <c r="Z3096" t="str">
        <v>=</v>
      </c>
      <c r="AA3096">
        <f>(N3096+P3096*R3096/1000)*U3096*W3096*Y3096</f>
        <v>0</v>
      </c>
    </row>
    <row r="3099">
      <c r="A3099" t="str">
        <f>A3084</f>
        <v>Lantai 1</v>
      </c>
      <c r="B3099">
        <f>B3084</f>
        <v>6</v>
      </c>
      <c r="C3099" t="str">
        <v>Tul Bawah Tumpuan</v>
      </c>
      <c r="D3099">
        <f>VLOOKUP(D3084,'Detail Balok'!$C$10:$AU$110,22,FALSE)</f>
        <v>3</v>
      </c>
      <c r="E3099" t="str">
        <v>D</v>
      </c>
      <c r="F3099">
        <f>VLOOKUP(D3084,'Detail Balok'!$C$10:$AU$110,24,FALSE)</f>
        <v>16</v>
      </c>
      <c r="I3099" t="str">
        <v>(</v>
      </c>
      <c r="J3099">
        <f>+J3091</f>
        <v>1.06625</v>
      </c>
      <c r="K3099" t="str">
        <v>+</v>
      </c>
      <c r="L3099">
        <f>MAX(VLOOKUP(F3099,N$6:P$15,3,FALSE)/1000,2/3*D3089/1000)+F$16*F3099/1000</f>
        <v>0.192</v>
      </c>
      <c r="M3099" t="str">
        <v>=</v>
      </c>
      <c r="N3099">
        <f>J3099+L3099</f>
        <v>1.2582499999999999</v>
      </c>
      <c r="O3099" t="str">
        <v>+</v>
      </c>
      <c r="P3099">
        <f>D3099-D3100</f>
        <v>0</v>
      </c>
      <c r="Q3099" t="str">
        <v>x</v>
      </c>
      <c r="R3099">
        <f>IF(P3099&gt;0,$F$18*F3099/1000,0)</f>
        <v>0</v>
      </c>
      <c r="S3099" t="str">
        <v>)</v>
      </c>
      <c r="T3099" t="str">
        <v>x</v>
      </c>
      <c r="U3099">
        <f>0.006165*F3099^2</f>
        <v>1.57824</v>
      </c>
      <c r="X3099" t="str">
        <v>x</v>
      </c>
      <c r="Y3099">
        <f>D3090</f>
        <v>1</v>
      </c>
      <c r="Z3099" t="str">
        <v>=</v>
      </c>
      <c r="AA3099">
        <f>IF(AA3102=0,(D3099*N3099+P3099*R3099)*U3099*Y3099,0)</f>
        <v>0</v>
      </c>
    </row>
    <row r="3100">
      <c r="A3100" t="str">
        <f>A3084</f>
        <v>Lantai 1</v>
      </c>
      <c r="B3100">
        <f>B3084</f>
        <v>6</v>
      </c>
      <c r="C3100" t="str">
        <v>Tul Bawah Lapangan</v>
      </c>
      <c r="D3100">
        <f>VLOOKUP(D3084,'Detail Balok'!$C$10:$AU$110,25,FALSE)</f>
        <v>3</v>
      </c>
      <c r="E3100" t="str">
        <v>D</v>
      </c>
      <c r="F3100">
        <f>VLOOKUP(D3084,'Detail Balok'!$C$10:$AU$110,27,FALSE)</f>
        <v>16</v>
      </c>
      <c r="I3100" t="str">
        <v>(</v>
      </c>
      <c r="J3100">
        <f>+J3092</f>
        <v>2.1325</v>
      </c>
      <c r="K3100" t="str">
        <v>+</v>
      </c>
      <c r="M3100" t="str">
        <v>=</v>
      </c>
      <c r="N3100">
        <f>J3100+L3100</f>
        <v>2.1325</v>
      </c>
      <c r="O3100" t="str">
        <v>+</v>
      </c>
      <c r="P3100">
        <f>MAX(D3100-D3099,D3100-D3101)</f>
        <v>0</v>
      </c>
      <c r="Q3100" t="str">
        <v>x</v>
      </c>
      <c r="R3100">
        <f>IF(P3100&gt;0,2*(1-2*$F$19-1/2)*D3087/1000,0)</f>
        <v>0</v>
      </c>
      <c r="S3100" t="str">
        <v>)</v>
      </c>
      <c r="T3100" t="str">
        <v>x</v>
      </c>
      <c r="U3100">
        <f>0.006165*F3100^2</f>
        <v>1.57824</v>
      </c>
      <c r="X3100" t="str">
        <v>x</v>
      </c>
      <c r="Y3100">
        <f>D3090</f>
        <v>1</v>
      </c>
      <c r="Z3100" t="str">
        <v>=</v>
      </c>
      <c r="AA3100">
        <f>IF(AA3102=0,(D3100*N3100+P3100*R3100)*U3100*Y3100,0)</f>
        <v>0</v>
      </c>
    </row>
    <row r="3101">
      <c r="A3101" t="str">
        <f>A3084</f>
        <v>Lantai 1</v>
      </c>
      <c r="B3101">
        <f>B3084</f>
        <v>6</v>
      </c>
      <c r="C3101" t="str">
        <v>Tul Bawah Tumpuan</v>
      </c>
      <c r="D3101">
        <f>VLOOKUP(D3084,'Detail Balok'!$C$10:$AU$110,28,FALSE)</f>
        <v>3</v>
      </c>
      <c r="E3101" t="str">
        <v>D</v>
      </c>
      <c r="F3101">
        <f>VLOOKUP(D3084,'Detail Balok'!$C$10:$AU$110,30,FALSE)</f>
        <v>16</v>
      </c>
      <c r="I3101" t="str">
        <v>(</v>
      </c>
      <c r="J3101">
        <f>+J3093</f>
        <v>1.06625</v>
      </c>
      <c r="K3101" t="str">
        <v>+</v>
      </c>
      <c r="L3101">
        <f>MAX(VLOOKUP(F3101,N$6:P$15,3,FALSE)/1000,2/3*D3089/1000)+F$16*F3101/1000</f>
        <v>0.192</v>
      </c>
      <c r="M3101" t="str">
        <v>=</v>
      </c>
      <c r="N3101">
        <f>J3101+L3101</f>
        <v>1.2582499999999999</v>
      </c>
      <c r="O3101" t="str">
        <v>+</v>
      </c>
      <c r="P3101">
        <f>D3101-D3100</f>
        <v>0</v>
      </c>
      <c r="Q3101" t="str">
        <v>x</v>
      </c>
      <c r="R3101">
        <f>IF(P3101&gt;0,$F$18*F3101/1000,0)</f>
        <v>0</v>
      </c>
      <c r="S3101" t="str">
        <v>)</v>
      </c>
      <c r="T3101" t="str">
        <v>x</v>
      </c>
      <c r="U3101">
        <f>0.006165*F3101^2</f>
        <v>1.57824</v>
      </c>
      <c r="X3101" t="str">
        <v>x</v>
      </c>
      <c r="Y3101">
        <f>D3090</f>
        <v>1</v>
      </c>
      <c r="Z3101" t="str">
        <v>=</v>
      </c>
      <c r="AA3101">
        <f>IF(AA3102=0,(D3101*N3101+P3101*R3101)*U3101*Y3101,0)</f>
        <v>0</v>
      </c>
    </row>
    <row r="3102">
      <c r="A3102" t="str">
        <f>A3084</f>
        <v>Lantai 1</v>
      </c>
      <c r="B3102">
        <f>B3084</f>
        <v>6</v>
      </c>
      <c r="D3102">
        <f>IF(AND(D3099=D3100,D3100=D3101,D3099=D3101),D3099,0)</f>
        <v>3</v>
      </c>
      <c r="E3102" t="str">
        <v>D</v>
      </c>
      <c r="F3102">
        <f>IF(AND(F3099=F3100,F3099=F3101,F3100=F3101),F3099,0)</f>
        <v>16</v>
      </c>
      <c r="L3102" t="str">
        <v>Total panjang per balok</v>
      </c>
      <c r="M3102" t="str">
        <v>=</v>
      </c>
      <c r="N3102">
        <f>IF(AND(D3099=D3100,D3099=D3101,D3100=D3101,F3099=F3100,F3099=F3101,F3100=F3101),SUM(N3099:N3101),0)</f>
        <v>4.648999999999999</v>
      </c>
      <c r="O3102" t="str">
        <v>+</v>
      </c>
      <c r="P3102">
        <f>IF(N3102&gt;12,ROUNDDOWN(N3102/12,0),0)</f>
        <v>0</v>
      </c>
      <c r="Q3102" t="str">
        <v>x</v>
      </c>
      <c r="R3102">
        <f>IF(P3102&gt;0,MAX(VLOOKUP(F3102,$D$6:$G$15,3,FALSE),600),0)/1000</f>
        <v>0</v>
      </c>
      <c r="T3102" t="str">
        <v>x</v>
      </c>
      <c r="U3102">
        <f>U3101</f>
        <v>1.57824</v>
      </c>
      <c r="V3102" t="str">
        <v>x</v>
      </c>
      <c r="W3102">
        <f>D3102</f>
        <v>3</v>
      </c>
      <c r="X3102" t="str">
        <v>x</v>
      </c>
      <c r="Y3102">
        <f>Y3101</f>
        <v>1</v>
      </c>
      <c r="Z3102" t="str">
        <v>=</v>
      </c>
      <c r="AA3102">
        <f>(N3102+P3102*R3102/1000)*U3102*W3102*Y3102</f>
        <v>22.011713279999995</v>
      </c>
    </row>
    <row r="3104">
      <c r="A3104" t="str">
        <f>A3084</f>
        <v>Lantai 1</v>
      </c>
      <c r="B3104">
        <f>B3084</f>
        <v>6</v>
      </c>
      <c r="C3104" t="str">
        <v>Sengkang Tumpuan</v>
      </c>
      <c r="D3104">
        <f>VLOOKUP(D3084,'Detail Balok'!$C$10:$AU$110,31,FALSE)</f>
        <v>0</v>
      </c>
      <c r="E3104" t="str">
        <v>D</v>
      </c>
      <c r="F3104">
        <f>VLOOKUP(D3084,'Detail Balok'!$C$10:$AU$110,33,FALSE)</f>
        <v>10</v>
      </c>
      <c r="G3104" t="str">
        <v>-</v>
      </c>
      <c r="H3104">
        <f>VLOOKUP(D3084,'Detail Balok'!$C$10:$AU$110,35,FALSE)</f>
        <v>100</v>
      </c>
      <c r="J3104">
        <f>(IF(D3104=0,(2*(D3085+G3085))-(F$5*8),IF(D3104=3,(2*(D3085+G3085))-(F$5*8)+(G3085-2*F$5),IF(D3104=4,(2*(D3085+G3085))-(F$5*8)+2*(G3085-2*F$5)))))/1000</f>
        <v>0.88</v>
      </c>
      <c r="K3104" t="str">
        <v>+</v>
      </c>
      <c r="L3104">
        <f>IF(D3104=0,2*MAX(6*F3104,75),(D3104-1)*2*MAX(6*F3104,75))/1000</f>
        <v>0.15</v>
      </c>
      <c r="M3104" t="str">
        <v>=</v>
      </c>
      <c r="N3104">
        <f>J3104+L3104</f>
        <v>1.03</v>
      </c>
      <c r="T3104" t="str">
        <v>x</v>
      </c>
      <c r="U3104">
        <f>0.006165*F3104^2</f>
        <v>0.6165</v>
      </c>
      <c r="V3104" t="str">
        <v>x</v>
      </c>
      <c r="W3104">
        <f>IF(D3087&gt;4*G3085,ROUND(MAX(D3087/4,2*G3085)/H3104,0)+1,ROUND(D3087/H3104,0)+1)</f>
        <v>12</v>
      </c>
      <c r="X3104" t="str">
        <v>x</v>
      </c>
      <c r="Y3104">
        <f>D3090</f>
        <v>1</v>
      </c>
      <c r="Z3104" t="str">
        <v>=</v>
      </c>
      <c r="AA3104">
        <f>N3104*U3104*W3104*Y3104</f>
        <v>7.6199400000000015</v>
      </c>
    </row>
    <row r="3105">
      <c r="A3105" t="str">
        <f>A3084</f>
        <v>Lantai 1</v>
      </c>
      <c r="B3105">
        <f>B3084</f>
        <v>6</v>
      </c>
      <c r="C3105" t="str">
        <v>Sengkang Lapangan</v>
      </c>
      <c r="D3105">
        <f>VLOOKUP(D3084,'Detail Balok'!$C$10:$AU$110,36,FALSE)</f>
        <v>0</v>
      </c>
      <c r="E3105" t="str">
        <v>D</v>
      </c>
      <c r="F3105">
        <f>VLOOKUP(D3084,'Detail Balok'!$C$10:$AU$110,38,FALSE)</f>
        <v>10</v>
      </c>
      <c r="G3105" t="str">
        <v>-</v>
      </c>
      <c r="H3105">
        <f>VLOOKUP(D3084,'Detail Balok'!$C$10:$AU$110,40,FALSE)</f>
        <v>200</v>
      </c>
      <c r="J3105">
        <f>(IF(D3105=0,(2*(D3085+G3085))-(F$5*8),IF(D3105=3,(2*(D3085+G3085))-(F$5*8)+(G3085-2*F$5),IF(D3105=4,(2*(D3085+G3085))-(F$5*8)+2*(G3085-2*F$5)))))/1000</f>
        <v>0.88</v>
      </c>
      <c r="K3105" t="str">
        <v>+</v>
      </c>
      <c r="L3105">
        <f>IF(D3105=0,2*MAX(6*F3105,75),(D3105-1)*2*MAX(6*F3105,75))/1000</f>
        <v>0.15</v>
      </c>
      <c r="M3105" t="str">
        <v>=</v>
      </c>
      <c r="N3105">
        <f>J3105+L3105</f>
        <v>1.03</v>
      </c>
      <c r="T3105" t="str">
        <v>x</v>
      </c>
      <c r="U3105">
        <f>0.006165*F3105^2</f>
        <v>0.6165</v>
      </c>
      <c r="V3105" t="str">
        <v>x</v>
      </c>
      <c r="W3105">
        <f>IF(D3087-MAX(D3087/4,2*G3085)*2&gt;0,ROUND((D3087-MAX(D3087/4,2*G3085)*2)/H3105,0),0)</f>
        <v>11</v>
      </c>
      <c r="X3105" t="str">
        <v>x</v>
      </c>
      <c r="Y3105">
        <f>D3090</f>
        <v>1</v>
      </c>
      <c r="Z3105" t="str">
        <v>=</v>
      </c>
      <c r="AA3105">
        <f>N3105*U3105*W3105*Y3105</f>
        <v>6.984945000000001</v>
      </c>
    </row>
    <row r="3106">
      <c r="A3106" t="str">
        <f>A3084</f>
        <v>Lantai 1</v>
      </c>
      <c r="B3106">
        <f>B3084</f>
        <v>6</v>
      </c>
      <c r="C3106" t="str">
        <v>Sengkang Tumpuan</v>
      </c>
      <c r="D3106">
        <f>VLOOKUP(D3084,'Detail Balok'!$C$10:$AU$110,41,FALSE)</f>
        <v>0</v>
      </c>
      <c r="E3106" t="str">
        <v>D</v>
      </c>
      <c r="F3106">
        <f>VLOOKUP(D3084,'Detail Balok'!$C$10:$AU$110,43,FALSE)</f>
        <v>10</v>
      </c>
      <c r="G3106" t="str">
        <v>-</v>
      </c>
      <c r="H3106">
        <f>VLOOKUP(D3084,'Detail Balok'!$C$10:$AU$110,45,FALSE)</f>
        <v>100</v>
      </c>
      <c r="J3106">
        <f>(IF(D3106=0,(2*(D3085+G3085))-(F$5*8),IF(D3106=3,(2*(D3085+G3085))-(F$5*8)+(G3085-2*F$5),IF(D3106=4,(2*(D3085+G3085))-(F$5*8)+2*(G3085-2*F$5)))))/1000</f>
        <v>0.88</v>
      </c>
      <c r="K3106" t="str">
        <v>+</v>
      </c>
      <c r="L3106">
        <f>IF(D3106=0,2*MAX(6*F3106,75),(D3106-1)*2*MAX(6*F3106,75))/1000</f>
        <v>0.15</v>
      </c>
      <c r="M3106" t="str">
        <v>=</v>
      </c>
      <c r="N3106">
        <f>J3106+L3106</f>
        <v>1.03</v>
      </c>
      <c r="T3106" t="str">
        <v>x</v>
      </c>
      <c r="U3106">
        <f>0.006165*F3106^2</f>
        <v>0.6165</v>
      </c>
      <c r="V3106" t="str">
        <v>x</v>
      </c>
      <c r="W3106">
        <f>IF(D3087&gt;4*G3085,ROUND(MAX(D3087/4,2*G3085)/H3106,0)+1,0)</f>
        <v>12</v>
      </c>
      <c r="X3106" t="str">
        <v>x</v>
      </c>
      <c r="Y3106">
        <f>D3090</f>
        <v>1</v>
      </c>
      <c r="Z3106" t="str">
        <v>=</v>
      </c>
      <c r="AA3106">
        <f>N3106*U3106*W3106*Y3106</f>
        <v>7.6199400000000015</v>
      </c>
    </row>
    <row r="3108">
      <c r="A3108" t="str">
        <f>A3084</f>
        <v>Lantai 1</v>
      </c>
      <c r="B3108">
        <f>B3084</f>
        <v>6</v>
      </c>
      <c r="C3108" t="str">
        <v>Kait Horizontal Tump.</v>
      </c>
      <c r="D3108">
        <f>VLOOKUP(D3084,'Detail Balok'!$C$10:$BJ$110,46,FALSE)</f>
        <v>0</v>
      </c>
      <c r="E3108" t="str">
        <v>D</v>
      </c>
      <c r="F3108">
        <f>VLOOKUP(D3084,'Detail Balok'!$C$10:$BJ$110,48,FALSE)</f>
        <v>0</v>
      </c>
      <c r="G3108" t="str">
        <v>-</v>
      </c>
      <c r="H3108">
        <f>VLOOKUP(D3084,'Detail Balok'!$C$10:$BJ$110,50,FALSE)</f>
        <v>100</v>
      </c>
      <c r="J3108">
        <f>(D3085-2*F$5)/1000</f>
        <v>0.12</v>
      </c>
      <c r="K3108" t="str">
        <v>+</v>
      </c>
      <c r="L3108">
        <f>IF(D3108=0,2*MAX(6*F3108,75),(D3108-1)*2*MAX(6*F3108,75))/1000</f>
        <v>0.15</v>
      </c>
      <c r="M3108" t="str">
        <v>=</v>
      </c>
      <c r="N3108">
        <f>J3108+L3108</f>
        <v>0.27</v>
      </c>
      <c r="T3108" t="str">
        <v>x</v>
      </c>
      <c r="U3108">
        <f>0.006165*F3108^2</f>
        <v>0</v>
      </c>
      <c r="V3108" t="str">
        <v>x</v>
      </c>
      <c r="W3108">
        <f>W3104</f>
        <v>12</v>
      </c>
      <c r="X3108" t="str">
        <v>x</v>
      </c>
      <c r="Y3108">
        <f>D3094</f>
        <v>3</v>
      </c>
      <c r="Z3108" t="str">
        <v>=</v>
      </c>
      <c r="AA3108">
        <f>N3108*U3108*W3108*Y3108</f>
        <v>0</v>
      </c>
    </row>
    <row r="3109">
      <c r="A3109" t="str">
        <f>A3084</f>
        <v>Lantai 1</v>
      </c>
      <c r="B3109">
        <f>B3084</f>
        <v>6</v>
      </c>
      <c r="C3109" t="str">
        <v>Kait Horizontal Lap.</v>
      </c>
      <c r="D3109">
        <f>VLOOKUP(D3084,'Detail Balok'!$C$10:$BJ$110,51,FALSE)</f>
        <v>0</v>
      </c>
      <c r="E3109" t="str">
        <v>D</v>
      </c>
      <c r="F3109">
        <f>VLOOKUP(D3084,'Detail Balok'!$C$10:$BJ$110,53,FALSE)</f>
        <v>0</v>
      </c>
      <c r="G3109" t="str">
        <v>-</v>
      </c>
      <c r="H3109">
        <f>VLOOKUP(D3084,'Detail Balok'!$C$10:$BJ$110,55,FALSE)</f>
        <v>100</v>
      </c>
      <c r="J3109">
        <f>(D3085-2*F$5)/1000</f>
        <v>0.12</v>
      </c>
      <c r="K3109" t="str">
        <v>+</v>
      </c>
      <c r="L3109">
        <f>IF(D3109=0,2*MAX(6*F3109,75),(D3109-1)*2*MAX(6*F3109,75))/1000</f>
        <v>0.15</v>
      </c>
      <c r="M3109" t="str">
        <v>=</v>
      </c>
      <c r="N3109">
        <f>J3109+L3109</f>
        <v>0.27</v>
      </c>
      <c r="T3109" t="str">
        <v>x</v>
      </c>
      <c r="U3109">
        <f>0.006165*F3109^2</f>
        <v>0</v>
      </c>
      <c r="V3109" t="str">
        <v>x</v>
      </c>
      <c r="W3109">
        <f>W3105</f>
        <v>11</v>
      </c>
      <c r="X3109" t="str">
        <v>x</v>
      </c>
      <c r="Y3109">
        <f>D3094</f>
        <v>3</v>
      </c>
      <c r="Z3109" t="str">
        <v>=</v>
      </c>
      <c r="AA3109">
        <f>N3109*U3109*W3109*Y3109</f>
        <v>0</v>
      </c>
    </row>
    <row r="3110">
      <c r="A3110" t="str">
        <f>A3084</f>
        <v>Lantai 1</v>
      </c>
      <c r="B3110">
        <f>B3084</f>
        <v>6</v>
      </c>
      <c r="C3110" t="str">
        <v>Kait Horizontal Tump.</v>
      </c>
      <c r="D3110">
        <f>VLOOKUP(D3084,'Detail Balok'!$C$10:$BJ$110,56,FALSE)</f>
        <v>0</v>
      </c>
      <c r="E3110" t="str">
        <v>D</v>
      </c>
      <c r="F3110">
        <f>VLOOKUP(D3084,'Detail Balok'!$C$10:$BJ$110,58,FALSE)</f>
        <v>0</v>
      </c>
      <c r="G3110" t="str">
        <v>-</v>
      </c>
      <c r="H3110">
        <f>VLOOKUP(D3084,'Detail Balok'!$C$10:$BJ$110,60,FALSE)</f>
        <v>100</v>
      </c>
      <c r="J3110">
        <f>(D3085-2*F$5)/1000</f>
        <v>0.12</v>
      </c>
      <c r="K3110" t="str">
        <v>+</v>
      </c>
      <c r="L3110">
        <f>IF(D3110=0,2*MAX(6*F3110,75),(D3110-1)*2*MAX(6*F3110,75))/1000</f>
        <v>0.15</v>
      </c>
      <c r="M3110" t="str">
        <v>=</v>
      </c>
      <c r="N3110">
        <f>J3110+L3110</f>
        <v>0.27</v>
      </c>
      <c r="T3110" t="str">
        <v>x</v>
      </c>
      <c r="U3110">
        <f>0.006165*F3110^2</f>
        <v>0</v>
      </c>
      <c r="V3110" t="str">
        <v>x</v>
      </c>
      <c r="W3110">
        <f>W3106</f>
        <v>12</v>
      </c>
      <c r="X3110" t="str">
        <v>x</v>
      </c>
      <c r="Y3110">
        <f>D3094</f>
        <v>3</v>
      </c>
      <c r="Z3110" t="str">
        <v>=</v>
      </c>
      <c r="AA3110">
        <f>N3110*U3110*W3110*Y3110</f>
        <v>0</v>
      </c>
    </row>
    <row r="3114">
      <c r="A3114" t="str">
        <f>A3084</f>
        <v>Lantai 1</v>
      </c>
      <c r="B3114">
        <f>B3084+1</f>
        <v>7</v>
      </c>
      <c r="C3114" t="str">
        <f>CONCATENATE(A3114," no. ",B3114)</f>
        <v>Lantai 1 no. 7</v>
      </c>
      <c r="D3114" t="str">
        <f>VLOOKUP(C3114,'Data Panjang Balok'!$C$9:$N$424,2,FALSE)</f>
        <v>B23-2</v>
      </c>
    </row>
    <row r="3115">
      <c r="C3115" t="str">
        <v>Dimensi</v>
      </c>
      <c r="D3115">
        <f>VLOOKUP(D3114,'Detail Balok'!$C$10:$AU$110,2,FALSE)</f>
        <v>200</v>
      </c>
      <c r="F3115" t="str">
        <v>x</v>
      </c>
      <c r="G3115">
        <f>VLOOKUP(D3114,'Detail Balok'!$C$10:$AU$110,3,FALSE)</f>
        <v>300</v>
      </c>
    </row>
    <row r="3116">
      <c r="C3116" t="str">
        <v>Panjang as ke as</v>
      </c>
      <c r="D3116">
        <f>VLOOKUP(C3114,'Data Panjang Balok'!$C$9:$N$424,4,FALSE)</f>
        <v>3335</v>
      </c>
    </row>
    <row r="3117">
      <c r="C3117" t="str">
        <v>Panjang netto</v>
      </c>
      <c r="D3117">
        <f>VLOOKUP(C3114,'Data Panjang Balok'!$C$9:$N$424,7,FALSE)</f>
        <v>3335</v>
      </c>
    </row>
    <row r="3118">
      <c r="C3118" t="str">
        <v>Kolom / balok kiri</v>
      </c>
      <c r="D3118">
        <f>VLOOKUP(C3114,'Data Panjang Balok'!$C$9:$N$424,9,FALSE)</f>
        <v>0</v>
      </c>
    </row>
    <row r="3119">
      <c r="C3119" t="str">
        <v>Kolom / balok kanan</v>
      </c>
      <c r="D3119">
        <f>VLOOKUP(C3114,'Data Panjang Balok'!$C$9:$N$424,10,FALSE)</f>
        <v>0</v>
      </c>
    </row>
    <row r="3120">
      <c r="C3120" t="str">
        <v>Jumlah</v>
      </c>
      <c r="D3120">
        <f>VLOOKUP(C3114,'Data Panjang Balok'!$C$9:$N$424,3,FALSE)</f>
        <v>1</v>
      </c>
    </row>
    <row r="3121">
      <c r="A3121" t="str">
        <f>A3114</f>
        <v>Lantai 1</v>
      </c>
      <c r="B3121">
        <f>B3114</f>
        <v>7</v>
      </c>
      <c r="C3121" t="str">
        <v>Tul Atas Tumpuan</v>
      </c>
      <c r="D3121">
        <f>VLOOKUP(D3114,'Detail Balok'!$C$10:$AU$110,4,FALSE)</f>
        <v>4</v>
      </c>
      <c r="E3121" t="str">
        <v>D</v>
      </c>
      <c r="F3121">
        <f>VLOOKUP(D3114,'Detail Balok'!$C$10:$AU$110,6,FALSE)</f>
        <v>13</v>
      </c>
      <c r="I3121" t="str">
        <v>(</v>
      </c>
      <c r="J3121">
        <f>+D3116/4/1000</f>
        <v>0.83375</v>
      </c>
      <c r="K3121" t="str">
        <v>+</v>
      </c>
      <c r="L3121">
        <f>MAX(VLOOKUP(F3121,N$6:P$15,3,FALSE)/1000,2/3*D3118/1000)+F$16*F3121/1000</f>
        <v>0.156</v>
      </c>
      <c r="M3121" t="str">
        <v>=</v>
      </c>
      <c r="N3121">
        <f>J3121+L3121</f>
        <v>0.98975</v>
      </c>
      <c r="O3121" t="str">
        <v>+</v>
      </c>
      <c r="P3121">
        <f>D3121-D3122</f>
        <v>2</v>
      </c>
      <c r="Q3121" t="str">
        <v>x</v>
      </c>
      <c r="R3121">
        <f>IF(P3121&gt;0,$F$18*F3121/1000,0)</f>
        <v>0.195</v>
      </c>
      <c r="S3121" t="str">
        <v>)</v>
      </c>
      <c r="T3121" t="str">
        <v>x</v>
      </c>
      <c r="U3121">
        <f>0.006165*F3121^2</f>
        <v>1.041885</v>
      </c>
      <c r="X3121" t="str">
        <v>x</v>
      </c>
      <c r="Y3121">
        <f>D3120</f>
        <v>1</v>
      </c>
      <c r="Z3121" t="str">
        <v>=</v>
      </c>
      <c r="AA3121">
        <f>IF(AA3124=0,(D3121*N3121+P3121*R3121)*U3121*Y3121,0)</f>
        <v>4.531157865</v>
      </c>
    </row>
    <row r="3122">
      <c r="A3122" t="str">
        <f>A3114</f>
        <v>Lantai 1</v>
      </c>
      <c r="B3122">
        <f>B3114</f>
        <v>7</v>
      </c>
      <c r="C3122" t="str">
        <v>Tul Atas Lapangan</v>
      </c>
      <c r="D3122">
        <f>VLOOKUP(D3114,'Detail Balok'!$C$10:$AU$110,7,FALSE)</f>
        <v>2</v>
      </c>
      <c r="E3122" t="str">
        <v>D</v>
      </c>
      <c r="F3122">
        <f>VLOOKUP(D3114,'Detail Balok'!$C$10:$AU$110,9,FALSE)</f>
        <v>13</v>
      </c>
      <c r="I3122" t="str">
        <v>(</v>
      </c>
      <c r="J3122">
        <f>+D3116/2/1000</f>
        <v>1.6675</v>
      </c>
      <c r="K3122" t="str">
        <v>+</v>
      </c>
      <c r="M3122" t="str">
        <v>=</v>
      </c>
      <c r="N3122">
        <f>J3122+L3122</f>
        <v>1.6675</v>
      </c>
      <c r="O3122" t="str">
        <v>+</v>
      </c>
      <c r="P3122">
        <f>MAX(D3122-D3121,D3122-D3123)</f>
        <v>-2</v>
      </c>
      <c r="Q3122" t="str">
        <v>x</v>
      </c>
      <c r="R3122">
        <f>IF(P3122&gt;0,2*(1-2*$F$19-1/2)*D3117/1000,0)</f>
        <v>0</v>
      </c>
      <c r="S3122" t="str">
        <v>)</v>
      </c>
      <c r="T3122" t="str">
        <v>x</v>
      </c>
      <c r="U3122">
        <f>0.006165*F3122^2</f>
        <v>1.041885</v>
      </c>
      <c r="X3122" t="str">
        <v>x</v>
      </c>
      <c r="Y3122">
        <f>D3120</f>
        <v>1</v>
      </c>
      <c r="Z3122" t="str">
        <v>=</v>
      </c>
      <c r="AA3122">
        <f>IF(AA3124=0,(D3122*N3122+P3122*R3122)*U3122*Y3122,0)</f>
        <v>3.474686475</v>
      </c>
    </row>
    <row r="3123">
      <c r="A3123" t="str">
        <f>A3114</f>
        <v>Lantai 1</v>
      </c>
      <c r="B3123">
        <f>B3114</f>
        <v>7</v>
      </c>
      <c r="C3123" t="str">
        <v>Tul Atas Tumpuan</v>
      </c>
      <c r="D3123">
        <f>VLOOKUP(D3114,'Detail Balok'!$C$10:$AU$110,10,FALSE)</f>
        <v>4</v>
      </c>
      <c r="E3123" t="str">
        <v>D</v>
      </c>
      <c r="F3123">
        <f>VLOOKUP(D3114,'Detail Balok'!$C$10:$AU$110,12,FALSE)</f>
        <v>13</v>
      </c>
      <c r="I3123" t="str">
        <v>(</v>
      </c>
      <c r="J3123">
        <f>+D3116/4/1000</f>
        <v>0.83375</v>
      </c>
      <c r="K3123" t="str">
        <v>+</v>
      </c>
      <c r="L3123">
        <f>MAX(VLOOKUP(F3123,N$6:P$15,3,FALSE)/1000,2/3*D3118/1000)+F$16*F3123/1000</f>
        <v>0.156</v>
      </c>
      <c r="M3123" t="str">
        <v>=</v>
      </c>
      <c r="N3123">
        <f>J3123+L3123</f>
        <v>0.98975</v>
      </c>
      <c r="O3123" t="str">
        <v>+</v>
      </c>
      <c r="P3123">
        <f>D3123-D3122</f>
        <v>2</v>
      </c>
      <c r="Q3123" t="str">
        <v>x</v>
      </c>
      <c r="R3123">
        <f>IF(P3123&gt;0,$F$18*F3123/1000,0)</f>
        <v>0.195</v>
      </c>
      <c r="S3123" t="str">
        <v>)</v>
      </c>
      <c r="T3123" t="str">
        <v>x</v>
      </c>
      <c r="U3123">
        <f>0.006165*F3123^2</f>
        <v>1.041885</v>
      </c>
      <c r="X3123" t="str">
        <v>x</v>
      </c>
      <c r="Y3123">
        <f>D3120</f>
        <v>1</v>
      </c>
      <c r="Z3123" t="str">
        <v>=</v>
      </c>
      <c r="AA3123">
        <f>IF(AA3124=0,(D3123*N3123+P3123*R3123)*U3123*Y3123,0)</f>
        <v>4.531157865</v>
      </c>
    </row>
    <row r="3124">
      <c r="A3124" t="str">
        <f>A3114</f>
        <v>Lantai 1</v>
      </c>
      <c r="B3124">
        <f>B3114</f>
        <v>7</v>
      </c>
      <c r="D3124">
        <f>IF(AND(D3121=D3122,D3122=D3123,D3121=D3123),D3121,0)</f>
        <v>0</v>
      </c>
      <c r="E3124" t="str">
        <v>D</v>
      </c>
      <c r="F3124">
        <f>IF(AND(F3121=F3122,F3121=F3123,F3122=F3123),F3121,0)</f>
        <v>13</v>
      </c>
      <c r="L3124" t="str">
        <v>Total panjang per balok</v>
      </c>
      <c r="M3124" t="str">
        <v>=</v>
      </c>
      <c r="N3124">
        <f>IF(AND(D3121=D3122,D3121=D3123,D3122=D3123,F3121=F3122,F3121=F3123,F3122=F3123),SUM(N3121:N3123),0)</f>
        <v>0</v>
      </c>
      <c r="O3124" t="str">
        <v>+</v>
      </c>
      <c r="P3124">
        <f>IF(N3124&gt;12,ROUNDDOWN(N3124/12,0),0)</f>
        <v>0</v>
      </c>
      <c r="Q3124" t="str">
        <v>x</v>
      </c>
      <c r="R3124">
        <f>IF(P3124&gt;0,MAX(VLOOKUP(F3124,$D$6:$G$15,3,FALSE),600),0)/1000</f>
        <v>0</v>
      </c>
      <c r="T3124" t="str">
        <v>x</v>
      </c>
      <c r="U3124">
        <f>U3123</f>
        <v>1.041885</v>
      </c>
      <c r="V3124" t="str">
        <v>x</v>
      </c>
      <c r="W3124">
        <f>D3124</f>
        <v>0</v>
      </c>
      <c r="X3124" t="str">
        <v>x</v>
      </c>
      <c r="Y3124">
        <f>Y3123</f>
        <v>1</v>
      </c>
      <c r="Z3124" t="str">
        <v>=</v>
      </c>
      <c r="AA3124">
        <f>(N3124+P3124*R3124/1000)*U3124*W3124*Y3124</f>
        <v>0</v>
      </c>
    </row>
    <row r="3126">
      <c r="A3126" t="str">
        <f>A3114</f>
        <v>Lantai 1</v>
      </c>
      <c r="B3126">
        <f>B3114</f>
        <v>7</v>
      </c>
      <c r="C3126" t="str">
        <v>Tul Peminggang</v>
      </c>
      <c r="D3126">
        <f>VLOOKUP(D3114,'Detail Balok'!$C$10:$AU$110,13,FALSE)</f>
        <v>0</v>
      </c>
      <c r="E3126" t="str">
        <v>D</v>
      </c>
      <c r="F3126">
        <f>VLOOKUP(D3114,'Detail Balok'!$C$10:$AU$110,15,FALSE)</f>
        <v>6</v>
      </c>
      <c r="J3126">
        <f>+D3116/1000</f>
        <v>3.335</v>
      </c>
      <c r="K3126" t="str">
        <v>+</v>
      </c>
      <c r="L3126">
        <f>2*$F$16*F3126/1000</f>
        <v>0.144</v>
      </c>
      <c r="M3126" t="str">
        <v>=</v>
      </c>
      <c r="N3126">
        <f>J3126+L3126</f>
        <v>3.479</v>
      </c>
      <c r="O3126" t="str">
        <v>+</v>
      </c>
      <c r="P3126">
        <f>IF(N3126&gt;12,ROUNDDOWN(N3126/12,0),0)</f>
        <v>0</v>
      </c>
      <c r="Q3126" t="str">
        <v>x</v>
      </c>
      <c r="R3126">
        <f>IF(P3126&gt;0,MAX(VLOOKUP(F3126,$D$6:$G$15,3,FALSE),600),0)/1000</f>
        <v>0</v>
      </c>
      <c r="T3126" t="str">
        <v>x</v>
      </c>
      <c r="U3126">
        <f>0.006165*F3126^2</f>
        <v>0.22194000000000003</v>
      </c>
      <c r="V3126" t="str">
        <v>x</v>
      </c>
      <c r="W3126">
        <f>+D3126</f>
        <v>0</v>
      </c>
      <c r="X3126" t="str">
        <v>x</v>
      </c>
      <c r="Y3126">
        <f>D3120</f>
        <v>1</v>
      </c>
      <c r="Z3126" t="str">
        <v>=</v>
      </c>
      <c r="AA3126">
        <f>(N3126+P3126*R3126/1000)*U3126*W3126*Y3126</f>
        <v>0</v>
      </c>
    </row>
    <row r="3129">
      <c r="A3129" t="str">
        <f>A3114</f>
        <v>Lantai 1</v>
      </c>
      <c r="B3129">
        <f>B3114</f>
        <v>7</v>
      </c>
      <c r="C3129" t="str">
        <v>Tul Bawah Tumpuan</v>
      </c>
      <c r="D3129">
        <f>VLOOKUP(D3114,'Detail Balok'!$C$10:$AU$110,22,FALSE)</f>
        <v>2</v>
      </c>
      <c r="E3129" t="str">
        <v>D</v>
      </c>
      <c r="F3129">
        <f>VLOOKUP(D3114,'Detail Balok'!$C$10:$AU$110,24,FALSE)</f>
        <v>13</v>
      </c>
      <c r="I3129" t="str">
        <v>(</v>
      </c>
      <c r="J3129">
        <f>+J3121</f>
        <v>0.83375</v>
      </c>
      <c r="K3129" t="str">
        <v>+</v>
      </c>
      <c r="L3129">
        <f>MAX(VLOOKUP(F3129,N$6:P$15,3,FALSE)/1000,2/3*D3119/1000)+F$16*F3129/1000</f>
        <v>0.156</v>
      </c>
      <c r="M3129" t="str">
        <v>=</v>
      </c>
      <c r="N3129">
        <f>J3129+L3129</f>
        <v>0.98975</v>
      </c>
      <c r="O3129" t="str">
        <v>+</v>
      </c>
      <c r="P3129">
        <f>D3129-D3130</f>
        <v>0</v>
      </c>
      <c r="Q3129" t="str">
        <v>x</v>
      </c>
      <c r="R3129">
        <f>IF(P3129&gt;0,$F$18*F3129/1000,0)</f>
        <v>0</v>
      </c>
      <c r="S3129" t="str">
        <v>)</v>
      </c>
      <c r="T3129" t="str">
        <v>x</v>
      </c>
      <c r="U3129">
        <f>0.006165*F3129^2</f>
        <v>1.041885</v>
      </c>
      <c r="X3129" t="str">
        <v>x</v>
      </c>
      <c r="Y3129">
        <f>D3120</f>
        <v>1</v>
      </c>
      <c r="Z3129" t="str">
        <v>=</v>
      </c>
      <c r="AA3129">
        <f>IF(AA3132=0,(D3129*N3129+P3129*R3129)*U3129*Y3129,0)</f>
        <v>0</v>
      </c>
    </row>
    <row r="3130">
      <c r="A3130" t="str">
        <f>A3114</f>
        <v>Lantai 1</v>
      </c>
      <c r="B3130">
        <f>B3114</f>
        <v>7</v>
      </c>
      <c r="C3130" t="str">
        <v>Tul Bawah Lapangan</v>
      </c>
      <c r="D3130">
        <f>VLOOKUP(D3114,'Detail Balok'!$C$10:$AU$110,25,FALSE)</f>
        <v>2</v>
      </c>
      <c r="E3130" t="str">
        <v>D</v>
      </c>
      <c r="F3130">
        <f>VLOOKUP(D3114,'Detail Balok'!$C$10:$AU$110,27,FALSE)</f>
        <v>13</v>
      </c>
      <c r="I3130" t="str">
        <v>(</v>
      </c>
      <c r="J3130">
        <f>+J3122</f>
        <v>1.6675</v>
      </c>
      <c r="K3130" t="str">
        <v>+</v>
      </c>
      <c r="M3130" t="str">
        <v>=</v>
      </c>
      <c r="N3130">
        <f>J3130+L3130</f>
        <v>1.6675</v>
      </c>
      <c r="O3130" t="str">
        <v>+</v>
      </c>
      <c r="P3130">
        <f>MAX(D3130-D3129,D3130-D3131)</f>
        <v>0</v>
      </c>
      <c r="Q3130" t="str">
        <v>x</v>
      </c>
      <c r="R3130">
        <f>IF(P3130&gt;0,2*(1-2*$F$19-1/2)*D3117/1000,0)</f>
        <v>0</v>
      </c>
      <c r="S3130" t="str">
        <v>)</v>
      </c>
      <c r="T3130" t="str">
        <v>x</v>
      </c>
      <c r="U3130">
        <f>0.006165*F3130^2</f>
        <v>1.041885</v>
      </c>
      <c r="X3130" t="str">
        <v>x</v>
      </c>
      <c r="Y3130">
        <f>D3120</f>
        <v>1</v>
      </c>
      <c r="Z3130" t="str">
        <v>=</v>
      </c>
      <c r="AA3130">
        <f>IF(AA3132=0,(D3130*N3130+P3130*R3130)*U3130*Y3130,0)</f>
        <v>0</v>
      </c>
    </row>
    <row r="3131">
      <c r="A3131" t="str">
        <f>A3114</f>
        <v>Lantai 1</v>
      </c>
      <c r="B3131">
        <f>B3114</f>
        <v>7</v>
      </c>
      <c r="C3131" t="str">
        <v>Tul Bawah Tumpuan</v>
      </c>
      <c r="D3131">
        <f>VLOOKUP(D3114,'Detail Balok'!$C$10:$AU$110,28,FALSE)</f>
        <v>2</v>
      </c>
      <c r="E3131" t="str">
        <v>D</v>
      </c>
      <c r="F3131">
        <f>VLOOKUP(D3114,'Detail Balok'!$C$10:$AU$110,30,FALSE)</f>
        <v>13</v>
      </c>
      <c r="I3131" t="str">
        <v>(</v>
      </c>
      <c r="J3131">
        <f>+J3123</f>
        <v>0.83375</v>
      </c>
      <c r="K3131" t="str">
        <v>+</v>
      </c>
      <c r="L3131">
        <f>MAX(VLOOKUP(F3131,N$6:P$15,3,FALSE)/1000,2/3*D3119/1000)+F$16*F3131/1000</f>
        <v>0.156</v>
      </c>
      <c r="M3131" t="str">
        <v>=</v>
      </c>
      <c r="N3131">
        <f>J3131+L3131</f>
        <v>0.98975</v>
      </c>
      <c r="O3131" t="str">
        <v>+</v>
      </c>
      <c r="P3131">
        <f>D3131-D3130</f>
        <v>0</v>
      </c>
      <c r="Q3131" t="str">
        <v>x</v>
      </c>
      <c r="R3131">
        <f>IF(P3131&gt;0,$F$18*F3131/1000,0)</f>
        <v>0</v>
      </c>
      <c r="S3131" t="str">
        <v>)</v>
      </c>
      <c r="T3131" t="str">
        <v>x</v>
      </c>
      <c r="U3131">
        <f>0.006165*F3131^2</f>
        <v>1.041885</v>
      </c>
      <c r="X3131" t="str">
        <v>x</v>
      </c>
      <c r="Y3131">
        <f>D3120</f>
        <v>1</v>
      </c>
      <c r="Z3131" t="str">
        <v>=</v>
      </c>
      <c r="AA3131">
        <f>IF(AA3132=0,(D3131*N3131+P3131*R3131)*U3131*Y3131,0)</f>
        <v>0</v>
      </c>
    </row>
    <row r="3132">
      <c r="A3132" t="str">
        <f>A3114</f>
        <v>Lantai 1</v>
      </c>
      <c r="B3132">
        <f>B3114</f>
        <v>7</v>
      </c>
      <c r="D3132">
        <f>IF(AND(D3129=D3130,D3130=D3131,D3129=D3131),D3129,0)</f>
        <v>2</v>
      </c>
      <c r="E3132" t="str">
        <v>D</v>
      </c>
      <c r="F3132">
        <f>IF(AND(F3129=F3130,F3129=F3131,F3130=F3131),F3129,0)</f>
        <v>13</v>
      </c>
      <c r="L3132" t="str">
        <v>Total panjang per balok</v>
      </c>
      <c r="M3132" t="str">
        <v>=</v>
      </c>
      <c r="N3132">
        <f>IF(AND(D3129=D3130,D3129=D3131,D3130=D3131,F3129=F3130,F3129=F3131,F3130=F3131),SUM(N3129:N3131),0)</f>
        <v>3.647</v>
      </c>
      <c r="O3132" t="str">
        <v>+</v>
      </c>
      <c r="P3132">
        <f>IF(N3132&gt;12,ROUNDDOWN(N3132/12,0),0)</f>
        <v>0</v>
      </c>
      <c r="Q3132" t="str">
        <v>x</v>
      </c>
      <c r="R3132">
        <f>IF(P3132&gt;0,MAX(VLOOKUP(F3132,$D$6:$G$15,3,FALSE),600),0)/1000</f>
        <v>0</v>
      </c>
      <c r="T3132" t="str">
        <v>x</v>
      </c>
      <c r="U3132">
        <f>U3131</f>
        <v>1.041885</v>
      </c>
      <c r="V3132" t="str">
        <v>x</v>
      </c>
      <c r="W3132">
        <f>D3132</f>
        <v>2</v>
      </c>
      <c r="X3132" t="str">
        <v>x</v>
      </c>
      <c r="Y3132">
        <f>Y3131</f>
        <v>1</v>
      </c>
      <c r="Z3132" t="str">
        <v>=</v>
      </c>
      <c r="AA3132">
        <f>(N3132+P3132*R3132/1000)*U3132*W3132*Y3132</f>
        <v>7.599509189999999</v>
      </c>
    </row>
    <row r="3134">
      <c r="A3134" t="str">
        <f>A3114</f>
        <v>Lantai 1</v>
      </c>
      <c r="B3134">
        <f>B3114</f>
        <v>7</v>
      </c>
      <c r="C3134" t="str">
        <v>Sengkang Tumpuan</v>
      </c>
      <c r="D3134">
        <f>VLOOKUP(D3114,'Detail Balok'!$C$10:$AU$110,31,FALSE)</f>
        <v>0</v>
      </c>
      <c r="E3134" t="str">
        <v>D</v>
      </c>
      <c r="F3134">
        <f>VLOOKUP(D3114,'Detail Balok'!$C$10:$AU$110,33,FALSE)</f>
        <v>8</v>
      </c>
      <c r="G3134" t="str">
        <v>-</v>
      </c>
      <c r="H3134">
        <f>VLOOKUP(D3114,'Detail Balok'!$C$10:$AU$110,35,FALSE)</f>
        <v>100</v>
      </c>
      <c r="J3134">
        <f>(IF(D3134=0,(2*(D3115+G3115))-(F$5*8),IF(D3134=3,(2*(D3115+G3115))-(F$5*8)+(G3115-2*F$5),IF(D3134=4,(2*(D3115+G3115))-(F$5*8)+2*(G3115-2*F$5)))))/1000</f>
        <v>0.68</v>
      </c>
      <c r="K3134" t="str">
        <v>+</v>
      </c>
      <c r="L3134">
        <f>IF(D3134=0,2*MAX(6*F3134,75),(D3134-1)*2*MAX(6*F3134,75))/1000</f>
        <v>0.15</v>
      </c>
      <c r="M3134" t="str">
        <v>=</v>
      </c>
      <c r="N3134">
        <f>J3134+L3134</f>
        <v>0.8300000000000001</v>
      </c>
      <c r="T3134" t="str">
        <v>x</v>
      </c>
      <c r="U3134">
        <f>0.006165*F3134^2</f>
        <v>0.39456</v>
      </c>
      <c r="V3134" t="str">
        <v>x</v>
      </c>
      <c r="W3134">
        <f>IF(D3117&gt;4*G3115,ROUND(MAX(D3117/4,2*G3115)/H3134,0)+1,ROUND(D3117/H3134,0)+1)</f>
        <v>9</v>
      </c>
      <c r="X3134" t="str">
        <v>x</v>
      </c>
      <c r="Y3134">
        <f>D3120</f>
        <v>1</v>
      </c>
      <c r="Z3134" t="str">
        <v>=</v>
      </c>
      <c r="AA3134">
        <f>N3134*U3134*W3134*Y3134</f>
        <v>2.9473632000000003</v>
      </c>
    </row>
    <row r="3135">
      <c r="A3135" t="str">
        <f>A3114</f>
        <v>Lantai 1</v>
      </c>
      <c r="B3135">
        <f>B3114</f>
        <v>7</v>
      </c>
      <c r="C3135" t="str">
        <v>Sengkang Lapangan</v>
      </c>
      <c r="D3135">
        <f>VLOOKUP(D3114,'Detail Balok'!$C$10:$AU$110,36,FALSE)</f>
        <v>0</v>
      </c>
      <c r="E3135" t="str">
        <v>D</v>
      </c>
      <c r="F3135">
        <f>VLOOKUP(D3114,'Detail Balok'!$C$10:$AU$110,38,FALSE)</f>
        <v>8</v>
      </c>
      <c r="G3135" t="str">
        <v>-</v>
      </c>
      <c r="H3135">
        <f>VLOOKUP(D3114,'Detail Balok'!$C$10:$AU$110,40,FALSE)</f>
        <v>150</v>
      </c>
      <c r="J3135">
        <f>(IF(D3135=0,(2*(D3115+G3115))-(F$5*8),IF(D3135=3,(2*(D3115+G3115))-(F$5*8)+(G3115-2*F$5),IF(D3135=4,(2*(D3115+G3115))-(F$5*8)+2*(G3115-2*F$5)))))/1000</f>
        <v>0.68</v>
      </c>
      <c r="K3135" t="str">
        <v>+</v>
      </c>
      <c r="L3135">
        <f>IF(D3135=0,2*MAX(6*F3135,75),(D3135-1)*2*MAX(6*F3135,75))/1000</f>
        <v>0.15</v>
      </c>
      <c r="M3135" t="str">
        <v>=</v>
      </c>
      <c r="N3135">
        <f>J3135+L3135</f>
        <v>0.8300000000000001</v>
      </c>
      <c r="T3135" t="str">
        <v>x</v>
      </c>
      <c r="U3135">
        <f>0.006165*F3135^2</f>
        <v>0.39456</v>
      </c>
      <c r="V3135" t="str">
        <v>x</v>
      </c>
      <c r="W3135">
        <f>IF(D3117-MAX(D3117/4,2*G3115)*2&gt;0,ROUND((D3117-MAX(D3117/4,2*G3115)*2)/H3135,0),0)</f>
        <v>11</v>
      </c>
      <c r="X3135" t="str">
        <v>x</v>
      </c>
      <c r="Y3135">
        <f>D3120</f>
        <v>1</v>
      </c>
      <c r="Z3135" t="str">
        <v>=</v>
      </c>
      <c r="AA3135">
        <f>N3135*U3135*W3135*Y3135</f>
        <v>3.6023328</v>
      </c>
    </row>
    <row r="3136">
      <c r="A3136" t="str">
        <f>A3114</f>
        <v>Lantai 1</v>
      </c>
      <c r="B3136">
        <f>B3114</f>
        <v>7</v>
      </c>
      <c r="C3136" t="str">
        <v>Sengkang Tumpuan</v>
      </c>
      <c r="D3136">
        <f>VLOOKUP(D3114,'Detail Balok'!$C$10:$AU$110,41,FALSE)</f>
        <v>0</v>
      </c>
      <c r="E3136" t="str">
        <v>D</v>
      </c>
      <c r="F3136">
        <f>VLOOKUP(D3114,'Detail Balok'!$C$10:$AU$110,43,FALSE)</f>
        <v>8</v>
      </c>
      <c r="G3136" t="str">
        <v>-</v>
      </c>
      <c r="H3136">
        <f>VLOOKUP(D3114,'Detail Balok'!$C$10:$AU$110,45,FALSE)</f>
        <v>100</v>
      </c>
      <c r="J3136">
        <f>(IF(D3136=0,(2*(D3115+G3115))-(F$5*8),IF(D3136=3,(2*(D3115+G3115))-(F$5*8)+(G3115-2*F$5),IF(D3136=4,(2*(D3115+G3115))-(F$5*8)+2*(G3115-2*F$5)))))/1000</f>
        <v>0.68</v>
      </c>
      <c r="K3136" t="str">
        <v>+</v>
      </c>
      <c r="L3136">
        <f>IF(D3136=0,2*MAX(6*F3136,75),(D3136-1)*2*MAX(6*F3136,75))/1000</f>
        <v>0.15</v>
      </c>
      <c r="M3136" t="str">
        <v>=</v>
      </c>
      <c r="N3136">
        <f>J3136+L3136</f>
        <v>0.8300000000000001</v>
      </c>
      <c r="T3136" t="str">
        <v>x</v>
      </c>
      <c r="U3136">
        <f>0.006165*F3136^2</f>
        <v>0.39456</v>
      </c>
      <c r="V3136" t="str">
        <v>x</v>
      </c>
      <c r="W3136">
        <f>IF(D3117&gt;4*G3115,ROUND(MAX(D3117/4,2*G3115)/H3136,0)+1,0)</f>
        <v>9</v>
      </c>
      <c r="X3136" t="str">
        <v>x</v>
      </c>
      <c r="Y3136">
        <f>D3120</f>
        <v>1</v>
      </c>
      <c r="Z3136" t="str">
        <v>=</v>
      </c>
      <c r="AA3136">
        <f>N3136*U3136*W3136*Y3136</f>
        <v>2.9473632000000003</v>
      </c>
    </row>
    <row r="3138">
      <c r="A3138" t="str">
        <f>A3114</f>
        <v>Lantai 1</v>
      </c>
      <c r="B3138">
        <f>B3114</f>
        <v>7</v>
      </c>
      <c r="C3138" t="str">
        <v>Kait Horizontal Tump.</v>
      </c>
      <c r="D3138">
        <f>VLOOKUP(D3114,'Detail Balok'!$C$10:$BJ$110,46,FALSE)</f>
        <v>0</v>
      </c>
      <c r="E3138" t="str">
        <v>D</v>
      </c>
      <c r="F3138">
        <f>VLOOKUP(D3114,'Detail Balok'!$C$10:$BJ$110,48,FALSE)</f>
        <v>0</v>
      </c>
      <c r="G3138" t="str">
        <v>-</v>
      </c>
      <c r="H3138">
        <f>VLOOKUP(D3114,'Detail Balok'!$C$10:$BJ$110,50,FALSE)</f>
        <v>100</v>
      </c>
      <c r="J3138">
        <f>(D3115-2*F$5)/1000</f>
        <v>0.12</v>
      </c>
      <c r="K3138" t="str">
        <v>+</v>
      </c>
      <c r="L3138">
        <f>IF(D3138=0,2*MAX(6*F3138,75),(D3138-1)*2*MAX(6*F3138,75))/1000</f>
        <v>0.15</v>
      </c>
      <c r="M3138" t="str">
        <v>=</v>
      </c>
      <c r="N3138">
        <f>J3138+L3138</f>
        <v>0.27</v>
      </c>
      <c r="T3138" t="str">
        <v>x</v>
      </c>
      <c r="U3138">
        <f>0.006165*F3138^2</f>
        <v>0</v>
      </c>
      <c r="V3138" t="str">
        <v>x</v>
      </c>
      <c r="W3138">
        <f>W3134</f>
        <v>9</v>
      </c>
      <c r="X3138" t="str">
        <v>x</v>
      </c>
      <c r="Y3138">
        <f>D3124</f>
        <v>0</v>
      </c>
      <c r="Z3138" t="str">
        <v>=</v>
      </c>
      <c r="AA3138">
        <f>N3138*U3138*W3138*Y3138</f>
        <v>0</v>
      </c>
    </row>
    <row r="3139">
      <c r="A3139" t="str">
        <f>A3114</f>
        <v>Lantai 1</v>
      </c>
      <c r="B3139">
        <f>B3114</f>
        <v>7</v>
      </c>
      <c r="C3139" t="str">
        <v>Kait Horizontal Lap.</v>
      </c>
      <c r="D3139">
        <f>VLOOKUP(D3114,'Detail Balok'!$C$10:$BJ$110,51,FALSE)</f>
        <v>0</v>
      </c>
      <c r="E3139" t="str">
        <v>D</v>
      </c>
      <c r="F3139">
        <f>VLOOKUP(D3114,'Detail Balok'!$C$10:$BJ$110,53,FALSE)</f>
        <v>0</v>
      </c>
      <c r="G3139" t="str">
        <v>-</v>
      </c>
      <c r="H3139">
        <f>VLOOKUP(D3114,'Detail Balok'!$C$10:$BJ$110,55,FALSE)</f>
        <v>100</v>
      </c>
      <c r="J3139">
        <f>(D3115-2*F$5)/1000</f>
        <v>0.12</v>
      </c>
      <c r="K3139" t="str">
        <v>+</v>
      </c>
      <c r="L3139">
        <f>IF(D3139=0,2*MAX(6*F3139,75),(D3139-1)*2*MAX(6*F3139,75))/1000</f>
        <v>0.15</v>
      </c>
      <c r="M3139" t="str">
        <v>=</v>
      </c>
      <c r="N3139">
        <f>J3139+L3139</f>
        <v>0.27</v>
      </c>
      <c r="T3139" t="str">
        <v>x</v>
      </c>
      <c r="U3139">
        <f>0.006165*F3139^2</f>
        <v>0</v>
      </c>
      <c r="V3139" t="str">
        <v>x</v>
      </c>
      <c r="W3139">
        <f>W3135</f>
        <v>11</v>
      </c>
      <c r="X3139" t="str">
        <v>x</v>
      </c>
      <c r="Y3139">
        <f>D3124</f>
        <v>0</v>
      </c>
      <c r="Z3139" t="str">
        <v>=</v>
      </c>
      <c r="AA3139">
        <f>N3139*U3139*W3139*Y3139</f>
        <v>0</v>
      </c>
    </row>
    <row r="3140">
      <c r="A3140" t="str">
        <f>A3114</f>
        <v>Lantai 1</v>
      </c>
      <c r="B3140">
        <f>B3114</f>
        <v>7</v>
      </c>
      <c r="C3140" t="str">
        <v>Kait Horizontal Tump.</v>
      </c>
      <c r="D3140">
        <f>VLOOKUP(D3114,'Detail Balok'!$C$10:$BJ$110,56,FALSE)</f>
        <v>0</v>
      </c>
      <c r="E3140" t="str">
        <v>D</v>
      </c>
      <c r="F3140">
        <f>VLOOKUP(D3114,'Detail Balok'!$C$10:$BJ$110,58,FALSE)</f>
        <v>0</v>
      </c>
      <c r="G3140" t="str">
        <v>-</v>
      </c>
      <c r="H3140">
        <f>VLOOKUP(D3114,'Detail Balok'!$C$10:$BJ$110,60,FALSE)</f>
        <v>100</v>
      </c>
      <c r="J3140">
        <f>(D3115-2*F$5)/1000</f>
        <v>0.12</v>
      </c>
      <c r="K3140" t="str">
        <v>+</v>
      </c>
      <c r="L3140">
        <f>IF(D3140=0,2*MAX(6*F3140,75),(D3140-1)*2*MAX(6*F3140,75))/1000</f>
        <v>0.15</v>
      </c>
      <c r="M3140" t="str">
        <v>=</v>
      </c>
      <c r="N3140">
        <f>J3140+L3140</f>
        <v>0.27</v>
      </c>
      <c r="T3140" t="str">
        <v>x</v>
      </c>
      <c r="U3140">
        <f>0.006165*F3140^2</f>
        <v>0</v>
      </c>
      <c r="V3140" t="str">
        <v>x</v>
      </c>
      <c r="W3140">
        <f>W3136</f>
        <v>9</v>
      </c>
      <c r="X3140" t="str">
        <v>x</v>
      </c>
      <c r="Y3140">
        <f>D3124</f>
        <v>0</v>
      </c>
      <c r="Z3140" t="str">
        <v>=</v>
      </c>
      <c r="AA3140">
        <f>N3140*U3140*W3140*Y3140</f>
        <v>0</v>
      </c>
    </row>
    <row r="3144">
      <c r="A3144" t="str">
        <f>A3114</f>
        <v>Lantai 1</v>
      </c>
      <c r="B3144">
        <f>B3114+1</f>
        <v>8</v>
      </c>
      <c r="C3144" t="str">
        <f>CONCATENATE(A3144," no. ",B3144)</f>
        <v>Lantai 1 no. 8</v>
      </c>
      <c r="D3144" t="str">
        <f>VLOOKUP(C3144,'Data Panjang Balok'!$C$9:$N$424,2,FALSE)</f>
        <v>B245-4</v>
      </c>
    </row>
    <row r="3145">
      <c r="C3145" t="str">
        <v>Dimensi</v>
      </c>
      <c r="D3145">
        <f>VLOOKUP(D3144,'Detail Balok'!$C$10:$AU$110,2,FALSE)</f>
        <v>200</v>
      </c>
      <c r="F3145" t="str">
        <v>x</v>
      </c>
      <c r="G3145">
        <f>VLOOKUP(D3144,'Detail Balok'!$C$10:$AU$110,3,FALSE)</f>
        <v>450</v>
      </c>
    </row>
    <row r="3146">
      <c r="C3146" t="str">
        <v>Panjang as ke as</v>
      </c>
      <c r="D3146">
        <f>VLOOKUP(C3144,'Data Panjang Balok'!$C$9:$N$424,4,FALSE)</f>
        <v>5265</v>
      </c>
    </row>
    <row r="3147">
      <c r="C3147" t="str">
        <v>Panjang netto</v>
      </c>
      <c r="D3147">
        <f>VLOOKUP(C3144,'Data Panjang Balok'!$C$9:$N$424,7,FALSE)</f>
        <v>5265</v>
      </c>
    </row>
    <row r="3148">
      <c r="C3148" t="str">
        <v>Kolom / balok kiri</v>
      </c>
      <c r="D3148">
        <f>VLOOKUP(C3144,'Data Panjang Balok'!$C$9:$N$424,9,FALSE)</f>
        <v>0</v>
      </c>
    </row>
    <row r="3149">
      <c r="C3149" t="str">
        <v>Kolom / balok kanan</v>
      </c>
      <c r="D3149">
        <f>VLOOKUP(C3144,'Data Panjang Balok'!$C$9:$N$424,10,FALSE)</f>
        <v>0</v>
      </c>
    </row>
    <row r="3150">
      <c r="C3150" t="str">
        <v>Jumlah</v>
      </c>
      <c r="D3150">
        <f>VLOOKUP(C3144,'Data Panjang Balok'!$C$9:$N$424,3,FALSE)</f>
        <v>1</v>
      </c>
    </row>
    <row r="3151">
      <c r="A3151" t="str">
        <f>A3144</f>
        <v>Lantai 1</v>
      </c>
      <c r="B3151">
        <f>B3144</f>
        <v>8</v>
      </c>
      <c r="C3151" t="str">
        <v>Tul Atas Tumpuan</v>
      </c>
      <c r="D3151">
        <f>VLOOKUP(D3144,'Detail Balok'!$C$10:$AU$110,4,FALSE)</f>
        <v>3</v>
      </c>
      <c r="E3151" t="str">
        <v>D</v>
      </c>
      <c r="F3151">
        <f>VLOOKUP(D3144,'Detail Balok'!$C$10:$AU$110,6,FALSE)</f>
        <v>16</v>
      </c>
      <c r="I3151" t="str">
        <v>(</v>
      </c>
      <c r="J3151">
        <f>+D3146/4/1000</f>
        <v>1.31625</v>
      </c>
      <c r="K3151" t="str">
        <v>+</v>
      </c>
      <c r="L3151">
        <f>MAX(VLOOKUP(F3151,N$6:P$15,3,FALSE)/1000,2/3*D3148/1000)+F$16*F3151/1000</f>
        <v>0.192</v>
      </c>
      <c r="M3151" t="str">
        <v>=</v>
      </c>
      <c r="N3151">
        <f>J3151+L3151</f>
        <v>1.5082499999999999</v>
      </c>
      <c r="O3151" t="str">
        <v>+</v>
      </c>
      <c r="P3151">
        <f>D3151-D3152</f>
        <v>0</v>
      </c>
      <c r="Q3151" t="str">
        <v>x</v>
      </c>
      <c r="R3151">
        <f>IF(P3151&gt;0,$F$18*F3151/1000,0)</f>
        <v>0</v>
      </c>
      <c r="S3151" t="str">
        <v>)</v>
      </c>
      <c r="T3151" t="str">
        <v>x</v>
      </c>
      <c r="U3151">
        <f>0.006165*F3151^2</f>
        <v>1.57824</v>
      </c>
      <c r="X3151" t="str">
        <v>x</v>
      </c>
      <c r="Y3151">
        <f>D3150</f>
        <v>1</v>
      </c>
      <c r="Z3151" t="str">
        <v>=</v>
      </c>
      <c r="AA3151">
        <f>IF(AA3154=0,(D3151*N3151+P3151*R3151)*U3151*Y3151,0)</f>
        <v>0</v>
      </c>
    </row>
    <row r="3152">
      <c r="A3152" t="str">
        <f>A3144</f>
        <v>Lantai 1</v>
      </c>
      <c r="B3152">
        <f>B3144</f>
        <v>8</v>
      </c>
      <c r="C3152" t="str">
        <v>Tul Atas Lapangan</v>
      </c>
      <c r="D3152">
        <f>VLOOKUP(D3144,'Detail Balok'!$C$10:$AU$110,7,FALSE)</f>
        <v>3</v>
      </c>
      <c r="E3152" t="str">
        <v>D</v>
      </c>
      <c r="F3152">
        <f>VLOOKUP(D3144,'Detail Balok'!$C$10:$AU$110,9,FALSE)</f>
        <v>16</v>
      </c>
      <c r="I3152" t="str">
        <v>(</v>
      </c>
      <c r="J3152">
        <f>+D3146/2/1000</f>
        <v>2.6325</v>
      </c>
      <c r="K3152" t="str">
        <v>+</v>
      </c>
      <c r="M3152" t="str">
        <v>=</v>
      </c>
      <c r="N3152">
        <f>J3152+L3152</f>
        <v>2.6325</v>
      </c>
      <c r="O3152" t="str">
        <v>+</v>
      </c>
      <c r="P3152">
        <f>MAX(D3152-D3151,D3152-D3153)</f>
        <v>0</v>
      </c>
      <c r="Q3152" t="str">
        <v>x</v>
      </c>
      <c r="R3152">
        <f>IF(P3152&gt;0,2*(1-2*$F$19-1/2)*D3147/1000,0)</f>
        <v>0</v>
      </c>
      <c r="S3152" t="str">
        <v>)</v>
      </c>
      <c r="T3152" t="str">
        <v>x</v>
      </c>
      <c r="U3152">
        <f>0.006165*F3152^2</f>
        <v>1.57824</v>
      </c>
      <c r="X3152" t="str">
        <v>x</v>
      </c>
      <c r="Y3152">
        <f>D3150</f>
        <v>1</v>
      </c>
      <c r="Z3152" t="str">
        <v>=</v>
      </c>
      <c r="AA3152">
        <f>IF(AA3154=0,(D3152*N3152+P3152*R3152)*U3152*Y3152,0)</f>
        <v>0</v>
      </c>
    </row>
    <row r="3153">
      <c r="A3153" t="str">
        <f>A3144</f>
        <v>Lantai 1</v>
      </c>
      <c r="B3153">
        <f>B3144</f>
        <v>8</v>
      </c>
      <c r="C3153" t="str">
        <v>Tul Atas Tumpuan</v>
      </c>
      <c r="D3153">
        <f>VLOOKUP(D3144,'Detail Balok'!$C$10:$AU$110,10,FALSE)</f>
        <v>3</v>
      </c>
      <c r="E3153" t="str">
        <v>D</v>
      </c>
      <c r="F3153">
        <f>VLOOKUP(D3144,'Detail Balok'!$C$10:$AU$110,12,FALSE)</f>
        <v>16</v>
      </c>
      <c r="I3153" t="str">
        <v>(</v>
      </c>
      <c r="J3153">
        <f>+D3146/4/1000</f>
        <v>1.31625</v>
      </c>
      <c r="K3153" t="str">
        <v>+</v>
      </c>
      <c r="L3153">
        <f>MAX(VLOOKUP(F3153,N$6:P$15,3,FALSE)/1000,2/3*D3148/1000)+F$16*F3153/1000</f>
        <v>0.192</v>
      </c>
      <c r="M3153" t="str">
        <v>=</v>
      </c>
      <c r="N3153">
        <f>J3153+L3153</f>
        <v>1.5082499999999999</v>
      </c>
      <c r="O3153" t="str">
        <v>+</v>
      </c>
      <c r="P3153">
        <f>D3153-D3152</f>
        <v>0</v>
      </c>
      <c r="Q3153" t="str">
        <v>x</v>
      </c>
      <c r="R3153">
        <f>IF(P3153&gt;0,$F$18*F3153/1000,0)</f>
        <v>0</v>
      </c>
      <c r="S3153" t="str">
        <v>)</v>
      </c>
      <c r="T3153" t="str">
        <v>x</v>
      </c>
      <c r="U3153">
        <f>0.006165*F3153^2</f>
        <v>1.57824</v>
      </c>
      <c r="X3153" t="str">
        <v>x</v>
      </c>
      <c r="Y3153">
        <f>D3150</f>
        <v>1</v>
      </c>
      <c r="Z3153" t="str">
        <v>=</v>
      </c>
      <c r="AA3153">
        <f>IF(AA3154=0,(D3153*N3153+P3153*R3153)*U3153*Y3153,0)</f>
        <v>0</v>
      </c>
    </row>
    <row r="3154">
      <c r="A3154" t="str">
        <f>A3144</f>
        <v>Lantai 1</v>
      </c>
      <c r="B3154">
        <f>B3144</f>
        <v>8</v>
      </c>
      <c r="D3154">
        <f>IF(AND(D3151=D3152,D3152=D3153,D3151=D3153),D3151,0)</f>
        <v>3</v>
      </c>
      <c r="E3154" t="str">
        <v>D</v>
      </c>
      <c r="F3154">
        <f>IF(AND(F3151=F3152,F3151=F3153,F3152=F3153),F3151,0)</f>
        <v>16</v>
      </c>
      <c r="L3154" t="str">
        <v>Total panjang per balok</v>
      </c>
      <c r="M3154" t="str">
        <v>=</v>
      </c>
      <c r="N3154">
        <f>IF(AND(D3151=D3152,D3151=D3153,D3152=D3153,F3151=F3152,F3151=F3153,F3152=F3153),SUM(N3151:N3153),0)</f>
        <v>5.648999999999999</v>
      </c>
      <c r="O3154" t="str">
        <v>+</v>
      </c>
      <c r="P3154">
        <f>IF(N3154&gt;12,ROUNDDOWN(N3154/12,0),0)</f>
        <v>0</v>
      </c>
      <c r="Q3154" t="str">
        <v>x</v>
      </c>
      <c r="R3154">
        <f>IF(P3154&gt;0,MAX(VLOOKUP(F3154,$D$6:$G$15,3,FALSE),600),0)/1000</f>
        <v>0</v>
      </c>
      <c r="T3154" t="str">
        <v>x</v>
      </c>
      <c r="U3154">
        <f>U3153</f>
        <v>1.57824</v>
      </c>
      <c r="V3154" t="str">
        <v>x</v>
      </c>
      <c r="W3154">
        <f>D3154</f>
        <v>3</v>
      </c>
      <c r="X3154" t="str">
        <v>x</v>
      </c>
      <c r="Y3154">
        <f>Y3153</f>
        <v>1</v>
      </c>
      <c r="Z3154" t="str">
        <v>=</v>
      </c>
      <c r="AA3154">
        <f>(N3154+P3154*R3154/1000)*U3154*W3154*Y3154</f>
        <v>26.746433279999998</v>
      </c>
    </row>
    <row r="3156">
      <c r="A3156" t="str">
        <f>A3144</f>
        <v>Lantai 1</v>
      </c>
      <c r="B3156">
        <f>B3144</f>
        <v>8</v>
      </c>
      <c r="C3156" t="str">
        <v>Tul Peminggang</v>
      </c>
      <c r="D3156">
        <f>VLOOKUP(D3144,'Detail Balok'!$C$10:$AU$110,13,FALSE)</f>
        <v>2</v>
      </c>
      <c r="E3156" t="str">
        <v>D</v>
      </c>
      <c r="F3156">
        <f>VLOOKUP(D3144,'Detail Balok'!$C$10:$AU$110,15,FALSE)</f>
        <v>8</v>
      </c>
      <c r="J3156">
        <f>+D3146/1000</f>
        <v>5.265</v>
      </c>
      <c r="K3156" t="str">
        <v>+</v>
      </c>
      <c r="L3156">
        <f>2*$F$16*F3156/1000</f>
        <v>0.192</v>
      </c>
      <c r="M3156" t="str">
        <v>=</v>
      </c>
      <c r="N3156">
        <f>J3156+L3156</f>
        <v>5.457</v>
      </c>
      <c r="O3156" t="str">
        <v>+</v>
      </c>
      <c r="P3156">
        <f>IF(N3156&gt;12,ROUNDDOWN(N3156/12,0),0)</f>
        <v>0</v>
      </c>
      <c r="Q3156" t="str">
        <v>x</v>
      </c>
      <c r="R3156">
        <f>IF(P3156&gt;0,MAX(VLOOKUP(F3156,$D$6:$G$15,3,FALSE),600),0)/1000</f>
        <v>0</v>
      </c>
      <c r="T3156" t="str">
        <v>x</v>
      </c>
      <c r="U3156">
        <f>0.006165*F3156^2</f>
        <v>0.39456</v>
      </c>
      <c r="V3156" t="str">
        <v>x</v>
      </c>
      <c r="W3156">
        <f>+D3156</f>
        <v>2</v>
      </c>
      <c r="X3156" t="str">
        <v>x</v>
      </c>
      <c r="Y3156">
        <f>D3150</f>
        <v>1</v>
      </c>
      <c r="Z3156" t="str">
        <v>=</v>
      </c>
      <c r="AA3156">
        <f>(N3156+P3156*R3156/1000)*U3156*W3156*Y3156</f>
        <v>4.30622784</v>
      </c>
    </row>
    <row r="3159">
      <c r="A3159" t="str">
        <f>A3144</f>
        <v>Lantai 1</v>
      </c>
      <c r="B3159">
        <f>B3144</f>
        <v>8</v>
      </c>
      <c r="C3159" t="str">
        <v>Tul Bawah Tumpuan</v>
      </c>
      <c r="D3159">
        <f>VLOOKUP(D3144,'Detail Balok'!$C$10:$AU$110,22,FALSE)</f>
        <v>3</v>
      </c>
      <c r="E3159" t="str">
        <v>D</v>
      </c>
      <c r="F3159">
        <f>VLOOKUP(D3144,'Detail Balok'!$C$10:$AU$110,24,FALSE)</f>
        <v>16</v>
      </c>
      <c r="I3159" t="str">
        <v>(</v>
      </c>
      <c r="J3159">
        <f>+J3151</f>
        <v>1.31625</v>
      </c>
      <c r="K3159" t="str">
        <v>+</v>
      </c>
      <c r="L3159">
        <f>MAX(VLOOKUP(F3159,N$6:P$15,3,FALSE)/1000,2/3*D3149/1000)+F$16*F3159/1000</f>
        <v>0.192</v>
      </c>
      <c r="M3159" t="str">
        <v>=</v>
      </c>
      <c r="N3159">
        <f>J3159+L3159</f>
        <v>1.5082499999999999</v>
      </c>
      <c r="O3159" t="str">
        <v>+</v>
      </c>
      <c r="P3159">
        <f>D3159-D3160</f>
        <v>0</v>
      </c>
      <c r="Q3159" t="str">
        <v>x</v>
      </c>
      <c r="R3159">
        <f>IF(P3159&gt;0,$F$18*F3159/1000,0)</f>
        <v>0</v>
      </c>
      <c r="S3159" t="str">
        <v>)</v>
      </c>
      <c r="T3159" t="str">
        <v>x</v>
      </c>
      <c r="U3159">
        <f>0.006165*F3159^2</f>
        <v>1.57824</v>
      </c>
      <c r="X3159" t="str">
        <v>x</v>
      </c>
      <c r="Y3159">
        <f>D3150</f>
        <v>1</v>
      </c>
      <c r="Z3159" t="str">
        <v>=</v>
      </c>
      <c r="AA3159">
        <f>IF(AA3162=0,(D3159*N3159+P3159*R3159)*U3159*Y3159,0)</f>
        <v>0</v>
      </c>
    </row>
    <row r="3160">
      <c r="A3160" t="str">
        <f>A3144</f>
        <v>Lantai 1</v>
      </c>
      <c r="B3160">
        <f>B3144</f>
        <v>8</v>
      </c>
      <c r="C3160" t="str">
        <v>Tul Bawah Lapangan</v>
      </c>
      <c r="D3160">
        <f>VLOOKUP(D3144,'Detail Balok'!$C$10:$AU$110,25,FALSE)</f>
        <v>3</v>
      </c>
      <c r="E3160" t="str">
        <v>D</v>
      </c>
      <c r="F3160">
        <f>VLOOKUP(D3144,'Detail Balok'!$C$10:$AU$110,27,FALSE)</f>
        <v>16</v>
      </c>
      <c r="I3160" t="str">
        <v>(</v>
      </c>
      <c r="J3160">
        <f>+J3152</f>
        <v>2.6325</v>
      </c>
      <c r="K3160" t="str">
        <v>+</v>
      </c>
      <c r="M3160" t="str">
        <v>=</v>
      </c>
      <c r="N3160">
        <f>J3160+L3160</f>
        <v>2.6325</v>
      </c>
      <c r="O3160" t="str">
        <v>+</v>
      </c>
      <c r="P3160">
        <f>MAX(D3160-D3159,D3160-D3161)</f>
        <v>0</v>
      </c>
      <c r="Q3160" t="str">
        <v>x</v>
      </c>
      <c r="R3160">
        <f>IF(P3160&gt;0,2*(1-2*$F$19-1/2)*D3147/1000,0)</f>
        <v>0</v>
      </c>
      <c r="S3160" t="str">
        <v>)</v>
      </c>
      <c r="T3160" t="str">
        <v>x</v>
      </c>
      <c r="U3160">
        <f>0.006165*F3160^2</f>
        <v>1.57824</v>
      </c>
      <c r="X3160" t="str">
        <v>x</v>
      </c>
      <c r="Y3160">
        <f>D3150</f>
        <v>1</v>
      </c>
      <c r="Z3160" t="str">
        <v>=</v>
      </c>
      <c r="AA3160">
        <f>IF(AA3162=0,(D3160*N3160+P3160*R3160)*U3160*Y3160,0)</f>
        <v>0</v>
      </c>
    </row>
    <row r="3161">
      <c r="A3161" t="str">
        <f>A3144</f>
        <v>Lantai 1</v>
      </c>
      <c r="B3161">
        <f>B3144</f>
        <v>8</v>
      </c>
      <c r="C3161" t="str">
        <v>Tul Bawah Tumpuan</v>
      </c>
      <c r="D3161">
        <f>VLOOKUP(D3144,'Detail Balok'!$C$10:$AU$110,28,FALSE)</f>
        <v>3</v>
      </c>
      <c r="E3161" t="str">
        <v>D</v>
      </c>
      <c r="F3161">
        <f>VLOOKUP(D3144,'Detail Balok'!$C$10:$AU$110,30,FALSE)</f>
        <v>16</v>
      </c>
      <c r="I3161" t="str">
        <v>(</v>
      </c>
      <c r="J3161">
        <f>+J3153</f>
        <v>1.31625</v>
      </c>
      <c r="K3161" t="str">
        <v>+</v>
      </c>
      <c r="L3161">
        <f>MAX(VLOOKUP(F3161,N$6:P$15,3,FALSE)/1000,2/3*D3149/1000)+F$16*F3161/1000</f>
        <v>0.192</v>
      </c>
      <c r="M3161" t="str">
        <v>=</v>
      </c>
      <c r="N3161">
        <f>J3161+L3161</f>
        <v>1.5082499999999999</v>
      </c>
      <c r="O3161" t="str">
        <v>+</v>
      </c>
      <c r="P3161">
        <f>D3161-D3160</f>
        <v>0</v>
      </c>
      <c r="Q3161" t="str">
        <v>x</v>
      </c>
      <c r="R3161">
        <f>IF(P3161&gt;0,$F$18*F3161/1000,0)</f>
        <v>0</v>
      </c>
      <c r="S3161" t="str">
        <v>)</v>
      </c>
      <c r="T3161" t="str">
        <v>x</v>
      </c>
      <c r="U3161">
        <f>0.006165*F3161^2</f>
        <v>1.57824</v>
      </c>
      <c r="X3161" t="str">
        <v>x</v>
      </c>
      <c r="Y3161">
        <f>D3150</f>
        <v>1</v>
      </c>
      <c r="Z3161" t="str">
        <v>=</v>
      </c>
      <c r="AA3161">
        <f>IF(AA3162=0,(D3161*N3161+P3161*R3161)*U3161*Y3161,0)</f>
        <v>0</v>
      </c>
    </row>
    <row r="3162">
      <c r="A3162" t="str">
        <f>A3144</f>
        <v>Lantai 1</v>
      </c>
      <c r="B3162">
        <f>B3144</f>
        <v>8</v>
      </c>
      <c r="D3162">
        <f>IF(AND(D3159=D3160,D3160=D3161,D3159=D3161),D3159,0)</f>
        <v>3</v>
      </c>
      <c r="E3162" t="str">
        <v>D</v>
      </c>
      <c r="F3162">
        <f>IF(AND(F3159=F3160,F3159=F3161,F3160=F3161),F3159,0)</f>
        <v>16</v>
      </c>
      <c r="L3162" t="str">
        <v>Total panjang per balok</v>
      </c>
      <c r="M3162" t="str">
        <v>=</v>
      </c>
      <c r="N3162">
        <f>IF(AND(D3159=D3160,D3159=D3161,D3160=D3161,F3159=F3160,F3159=F3161,F3160=F3161),SUM(N3159:N3161),0)</f>
        <v>5.648999999999999</v>
      </c>
      <c r="O3162" t="str">
        <v>+</v>
      </c>
      <c r="P3162">
        <f>IF(N3162&gt;12,ROUNDDOWN(N3162/12,0),0)</f>
        <v>0</v>
      </c>
      <c r="Q3162" t="str">
        <v>x</v>
      </c>
      <c r="R3162">
        <f>IF(P3162&gt;0,MAX(VLOOKUP(F3162,$D$6:$G$15,3,FALSE),600),0)/1000</f>
        <v>0</v>
      </c>
      <c r="T3162" t="str">
        <v>x</v>
      </c>
      <c r="U3162">
        <f>U3161</f>
        <v>1.57824</v>
      </c>
      <c r="V3162" t="str">
        <v>x</v>
      </c>
      <c r="W3162">
        <f>D3162</f>
        <v>3</v>
      </c>
      <c r="X3162" t="str">
        <v>x</v>
      </c>
      <c r="Y3162">
        <f>Y3161</f>
        <v>1</v>
      </c>
      <c r="Z3162" t="str">
        <v>=</v>
      </c>
      <c r="AA3162">
        <f>(N3162+P3162*R3162/1000)*U3162*W3162*Y3162</f>
        <v>26.746433279999998</v>
      </c>
    </row>
    <row r="3164">
      <c r="A3164" t="str">
        <f>A3144</f>
        <v>Lantai 1</v>
      </c>
      <c r="B3164">
        <f>B3144</f>
        <v>8</v>
      </c>
      <c r="C3164" t="str">
        <v>Sengkang Tumpuan</v>
      </c>
      <c r="D3164">
        <f>VLOOKUP(D3144,'Detail Balok'!$C$10:$AU$110,31,FALSE)</f>
        <v>0</v>
      </c>
      <c r="E3164" t="str">
        <v>D</v>
      </c>
      <c r="F3164">
        <f>VLOOKUP(D3144,'Detail Balok'!$C$10:$AU$110,33,FALSE)</f>
        <v>8</v>
      </c>
      <c r="G3164" t="str">
        <v>-</v>
      </c>
      <c r="H3164">
        <f>VLOOKUP(D3144,'Detail Balok'!$C$10:$AU$110,35,FALSE)</f>
        <v>100</v>
      </c>
      <c r="J3164">
        <f>(IF(D3164=0,(2*(D3145+G3145))-(F$5*8),IF(D3164=3,(2*(D3145+G3145))-(F$5*8)+(G3145-2*F$5),IF(D3164=4,(2*(D3145+G3145))-(F$5*8)+2*(G3145-2*F$5)))))/1000</f>
        <v>0.98</v>
      </c>
      <c r="K3164" t="str">
        <v>+</v>
      </c>
      <c r="L3164">
        <f>IF(D3164=0,2*MAX(6*F3164,75),(D3164-1)*2*MAX(6*F3164,75))/1000</f>
        <v>0.15</v>
      </c>
      <c r="M3164" t="str">
        <v>=</v>
      </c>
      <c r="N3164">
        <f>J3164+L3164</f>
        <v>1.13</v>
      </c>
      <c r="T3164" t="str">
        <v>x</v>
      </c>
      <c r="U3164">
        <f>0.006165*F3164^2</f>
        <v>0.39456</v>
      </c>
      <c r="V3164" t="str">
        <v>x</v>
      </c>
      <c r="W3164">
        <f>IF(D3147&gt;4*G3145,ROUND(MAX(D3147/4,2*G3145)/H3164,0)+1,ROUND(D3147/H3164,0)+1)</f>
        <v>14</v>
      </c>
      <c r="X3164" t="str">
        <v>x</v>
      </c>
      <c r="Y3164">
        <f>D3150</f>
        <v>1</v>
      </c>
      <c r="Z3164" t="str">
        <v>=</v>
      </c>
      <c r="AA3164">
        <f>N3164*U3164*W3164*Y3164</f>
        <v>6.2419392</v>
      </c>
    </row>
    <row r="3165">
      <c r="A3165" t="str">
        <f>A3144</f>
        <v>Lantai 1</v>
      </c>
      <c r="B3165">
        <f>B3144</f>
        <v>8</v>
      </c>
      <c r="C3165" t="str">
        <v>Sengkang Lapangan</v>
      </c>
      <c r="D3165">
        <f>VLOOKUP(D3144,'Detail Balok'!$C$10:$AU$110,36,FALSE)</f>
        <v>0</v>
      </c>
      <c r="E3165" t="str">
        <v>D</v>
      </c>
      <c r="F3165">
        <f>VLOOKUP(D3144,'Detail Balok'!$C$10:$AU$110,38,FALSE)</f>
        <v>8</v>
      </c>
      <c r="G3165" t="str">
        <v>-</v>
      </c>
      <c r="H3165">
        <f>VLOOKUP(D3144,'Detail Balok'!$C$10:$AU$110,40,FALSE)</f>
        <v>200</v>
      </c>
      <c r="J3165">
        <f>(IF(D3165=0,(2*(D3145+G3145))-(F$5*8),IF(D3165=3,(2*(D3145+G3145))-(F$5*8)+(G3145-2*F$5),IF(D3165=4,(2*(D3145+G3145))-(F$5*8)+2*(G3145-2*F$5)))))/1000</f>
        <v>0.98</v>
      </c>
      <c r="K3165" t="str">
        <v>+</v>
      </c>
      <c r="L3165">
        <f>IF(D3165=0,2*MAX(6*F3165,75),(D3165-1)*2*MAX(6*F3165,75))/1000</f>
        <v>0.15</v>
      </c>
      <c r="M3165" t="str">
        <v>=</v>
      </c>
      <c r="N3165">
        <f>J3165+L3165</f>
        <v>1.13</v>
      </c>
      <c r="T3165" t="str">
        <v>x</v>
      </c>
      <c r="U3165">
        <f>0.006165*F3165^2</f>
        <v>0.39456</v>
      </c>
      <c r="V3165" t="str">
        <v>x</v>
      </c>
      <c r="W3165">
        <f>IF(D3147-MAX(D3147/4,2*G3145)*2&gt;0,ROUND((D3147-MAX(D3147/4,2*G3145)*2)/H3165,0),0)</f>
        <v>13</v>
      </c>
      <c r="X3165" t="str">
        <v>x</v>
      </c>
      <c r="Y3165">
        <f>D3150</f>
        <v>1</v>
      </c>
      <c r="Z3165" t="str">
        <v>=</v>
      </c>
      <c r="AA3165">
        <f>N3165*U3165*W3165*Y3165</f>
        <v>5.7960864</v>
      </c>
    </row>
    <row r="3166">
      <c r="A3166" t="str">
        <f>A3144</f>
        <v>Lantai 1</v>
      </c>
      <c r="B3166">
        <f>B3144</f>
        <v>8</v>
      </c>
      <c r="C3166" t="str">
        <v>Sengkang Tumpuan</v>
      </c>
      <c r="D3166">
        <f>VLOOKUP(D3144,'Detail Balok'!$C$10:$AU$110,41,FALSE)</f>
        <v>0</v>
      </c>
      <c r="E3166" t="str">
        <v>D</v>
      </c>
      <c r="F3166">
        <f>VLOOKUP(D3144,'Detail Balok'!$C$10:$AU$110,43,FALSE)</f>
        <v>8</v>
      </c>
      <c r="G3166" t="str">
        <v>-</v>
      </c>
      <c r="H3166">
        <f>VLOOKUP(D3144,'Detail Balok'!$C$10:$AU$110,45,FALSE)</f>
        <v>100</v>
      </c>
      <c r="J3166">
        <f>(IF(D3166=0,(2*(D3145+G3145))-(F$5*8),IF(D3166=3,(2*(D3145+G3145))-(F$5*8)+(G3145-2*F$5),IF(D3166=4,(2*(D3145+G3145))-(F$5*8)+2*(G3145-2*F$5)))))/1000</f>
        <v>0.98</v>
      </c>
      <c r="K3166" t="str">
        <v>+</v>
      </c>
      <c r="L3166">
        <f>IF(D3166=0,2*MAX(6*F3166,75),(D3166-1)*2*MAX(6*F3166,75))/1000</f>
        <v>0.15</v>
      </c>
      <c r="M3166" t="str">
        <v>=</v>
      </c>
      <c r="N3166">
        <f>J3166+L3166</f>
        <v>1.13</v>
      </c>
      <c r="T3166" t="str">
        <v>x</v>
      </c>
      <c r="U3166">
        <f>0.006165*F3166^2</f>
        <v>0.39456</v>
      </c>
      <c r="V3166" t="str">
        <v>x</v>
      </c>
      <c r="W3166">
        <f>IF(D3147&gt;4*G3145,ROUND(MAX(D3147/4,2*G3145)/H3166,0)+1,0)</f>
        <v>14</v>
      </c>
      <c r="X3166" t="str">
        <v>x</v>
      </c>
      <c r="Y3166">
        <f>D3150</f>
        <v>1</v>
      </c>
      <c r="Z3166" t="str">
        <v>=</v>
      </c>
      <c r="AA3166">
        <f>N3166*U3166*W3166*Y3166</f>
        <v>6.2419392</v>
      </c>
    </row>
    <row r="3168">
      <c r="A3168" t="str">
        <f>A3144</f>
        <v>Lantai 1</v>
      </c>
      <c r="B3168">
        <f>B3144</f>
        <v>8</v>
      </c>
      <c r="C3168" t="str">
        <v>Kait Horizontal Tump.</v>
      </c>
      <c r="D3168">
        <f>VLOOKUP(D3144,'Detail Balok'!$C$10:$BJ$110,46,FALSE)</f>
        <v>0</v>
      </c>
      <c r="E3168" t="str">
        <v>D</v>
      </c>
      <c r="F3168">
        <f>VLOOKUP(D3144,'Detail Balok'!$C$10:$BJ$110,48,FALSE)</f>
        <v>0</v>
      </c>
      <c r="G3168" t="str">
        <v>-</v>
      </c>
      <c r="H3168">
        <f>VLOOKUP(D3144,'Detail Balok'!$C$10:$BJ$110,50,FALSE)</f>
        <v>100</v>
      </c>
      <c r="J3168">
        <f>(D3145-2*F$5)/1000</f>
        <v>0.12</v>
      </c>
      <c r="K3168" t="str">
        <v>+</v>
      </c>
      <c r="L3168">
        <f>IF(D3168=0,2*MAX(6*F3168,75),(D3168-1)*2*MAX(6*F3168,75))/1000</f>
        <v>0.15</v>
      </c>
      <c r="M3168" t="str">
        <v>=</v>
      </c>
      <c r="N3168">
        <f>J3168+L3168</f>
        <v>0.27</v>
      </c>
      <c r="T3168" t="str">
        <v>x</v>
      </c>
      <c r="U3168">
        <f>0.006165*F3168^2</f>
        <v>0</v>
      </c>
      <c r="V3168" t="str">
        <v>x</v>
      </c>
      <c r="W3168">
        <f>W3164</f>
        <v>14</v>
      </c>
      <c r="X3168" t="str">
        <v>x</v>
      </c>
      <c r="Y3168">
        <f>D3154</f>
        <v>3</v>
      </c>
      <c r="Z3168" t="str">
        <v>=</v>
      </c>
      <c r="AA3168">
        <f>N3168*U3168*W3168*Y3168</f>
        <v>0</v>
      </c>
    </row>
    <row r="3169">
      <c r="A3169" t="str">
        <f>A3144</f>
        <v>Lantai 1</v>
      </c>
      <c r="B3169">
        <f>B3144</f>
        <v>8</v>
      </c>
      <c r="C3169" t="str">
        <v>Kait Horizontal Lap.</v>
      </c>
      <c r="D3169">
        <f>VLOOKUP(D3144,'Detail Balok'!$C$10:$BJ$110,51,FALSE)</f>
        <v>0</v>
      </c>
      <c r="E3169" t="str">
        <v>D</v>
      </c>
      <c r="F3169">
        <f>VLOOKUP(D3144,'Detail Balok'!$C$10:$BJ$110,53,FALSE)</f>
        <v>0</v>
      </c>
      <c r="G3169" t="str">
        <v>-</v>
      </c>
      <c r="H3169">
        <f>VLOOKUP(D3144,'Detail Balok'!$C$10:$BJ$110,55,FALSE)</f>
        <v>100</v>
      </c>
      <c r="J3169">
        <f>(D3145-2*F$5)/1000</f>
        <v>0.12</v>
      </c>
      <c r="K3169" t="str">
        <v>+</v>
      </c>
      <c r="L3169">
        <f>IF(D3169=0,2*MAX(6*F3169,75),(D3169-1)*2*MAX(6*F3169,75))/1000</f>
        <v>0.15</v>
      </c>
      <c r="M3169" t="str">
        <v>=</v>
      </c>
      <c r="N3169">
        <f>J3169+L3169</f>
        <v>0.27</v>
      </c>
      <c r="T3169" t="str">
        <v>x</v>
      </c>
      <c r="U3169">
        <f>0.006165*F3169^2</f>
        <v>0</v>
      </c>
      <c r="V3169" t="str">
        <v>x</v>
      </c>
      <c r="W3169">
        <f>W3165</f>
        <v>13</v>
      </c>
      <c r="X3169" t="str">
        <v>x</v>
      </c>
      <c r="Y3169">
        <f>D3154</f>
        <v>3</v>
      </c>
      <c r="Z3169" t="str">
        <v>=</v>
      </c>
      <c r="AA3169">
        <f>N3169*U3169*W3169*Y3169</f>
        <v>0</v>
      </c>
    </row>
    <row r="3170">
      <c r="A3170" t="str">
        <f>A3144</f>
        <v>Lantai 1</v>
      </c>
      <c r="B3170">
        <f>B3144</f>
        <v>8</v>
      </c>
      <c r="C3170" t="str">
        <v>Kait Horizontal Tump.</v>
      </c>
      <c r="D3170">
        <f>VLOOKUP(D3144,'Detail Balok'!$C$10:$BJ$110,56,FALSE)</f>
        <v>0</v>
      </c>
      <c r="E3170" t="str">
        <v>D</v>
      </c>
      <c r="F3170">
        <f>VLOOKUP(D3144,'Detail Balok'!$C$10:$BJ$110,58,FALSE)</f>
        <v>0</v>
      </c>
      <c r="G3170" t="str">
        <v>-</v>
      </c>
      <c r="H3170">
        <f>VLOOKUP(D3144,'Detail Balok'!$C$10:$BJ$110,60,FALSE)</f>
        <v>100</v>
      </c>
      <c r="J3170">
        <f>(D3145-2*F$5)/1000</f>
        <v>0.12</v>
      </c>
      <c r="K3170" t="str">
        <v>+</v>
      </c>
      <c r="L3170">
        <f>IF(D3170=0,2*MAX(6*F3170,75),(D3170-1)*2*MAX(6*F3170,75))/1000</f>
        <v>0.15</v>
      </c>
      <c r="M3170" t="str">
        <v>=</v>
      </c>
      <c r="N3170">
        <f>J3170+L3170</f>
        <v>0.27</v>
      </c>
      <c r="T3170" t="str">
        <v>x</v>
      </c>
      <c r="U3170">
        <f>0.006165*F3170^2</f>
        <v>0</v>
      </c>
      <c r="V3170" t="str">
        <v>x</v>
      </c>
      <c r="W3170">
        <f>W3166</f>
        <v>14</v>
      </c>
      <c r="X3170" t="str">
        <v>x</v>
      </c>
      <c r="Y3170">
        <f>D3154</f>
        <v>3</v>
      </c>
      <c r="Z3170" t="str">
        <v>=</v>
      </c>
      <c r="AA3170">
        <f>N3170*U3170*W3170*Y3170</f>
        <v>0</v>
      </c>
    </row>
    <row r="3174">
      <c r="A3174" t="str">
        <f>A3144</f>
        <v>Lantai 1</v>
      </c>
      <c r="B3174">
        <f>B3144+1</f>
        <v>9</v>
      </c>
      <c r="C3174" t="str">
        <f>CONCATENATE(A3174," no. ",B3174)</f>
        <v>Lantai 1 no. 9</v>
      </c>
      <c r="D3174" t="str">
        <f>VLOOKUP(C3174,'Data Panjang Balok'!$C$9:$N$424,2,FALSE)</f>
        <v>B245-1</v>
      </c>
    </row>
    <row r="3175">
      <c r="C3175" t="str">
        <v>Dimensi</v>
      </c>
      <c r="D3175">
        <f>VLOOKUP(D3174,'Detail Balok'!$C$10:$AU$110,2,FALSE)</f>
        <v>200</v>
      </c>
      <c r="F3175" t="str">
        <v>x</v>
      </c>
      <c r="G3175">
        <f>VLOOKUP(D3174,'Detail Balok'!$C$10:$AU$110,3,FALSE)</f>
        <v>450</v>
      </c>
    </row>
    <row r="3176">
      <c r="C3176" t="str">
        <v>Panjang as ke as</v>
      </c>
      <c r="D3176">
        <f>VLOOKUP(C3174,'Data Panjang Balok'!$C$9:$N$424,4,FALSE)</f>
        <v>3435</v>
      </c>
    </row>
    <row r="3177">
      <c r="C3177" t="str">
        <v>Panjang netto</v>
      </c>
      <c r="D3177">
        <f>VLOOKUP(C3174,'Data Panjang Balok'!$C$9:$N$424,7,FALSE)</f>
        <v>3435</v>
      </c>
    </row>
    <row r="3178">
      <c r="C3178" t="str">
        <v>Kolom / balok kiri</v>
      </c>
      <c r="D3178">
        <f>VLOOKUP(C3174,'Data Panjang Balok'!$C$9:$N$424,9,FALSE)</f>
        <v>0</v>
      </c>
    </row>
    <row r="3179">
      <c r="C3179" t="str">
        <v>Kolom / balok kanan</v>
      </c>
      <c r="D3179">
        <f>VLOOKUP(C3174,'Data Panjang Balok'!$C$9:$N$424,10,FALSE)</f>
        <v>0</v>
      </c>
    </row>
    <row r="3180">
      <c r="C3180" t="str">
        <v>Jumlah</v>
      </c>
      <c r="D3180">
        <f>VLOOKUP(C3174,'Data Panjang Balok'!$C$9:$N$424,3,FALSE)</f>
        <v>1</v>
      </c>
    </row>
    <row r="3181">
      <c r="A3181" t="str">
        <f>A3174</f>
        <v>Lantai 1</v>
      </c>
      <c r="B3181">
        <f>B3174</f>
        <v>9</v>
      </c>
      <c r="C3181" t="str">
        <v>Tul Atas Tumpuan</v>
      </c>
      <c r="D3181">
        <f>VLOOKUP(D3174,'Detail Balok'!$C$10:$AU$110,4,FALSE)</f>
        <v>2</v>
      </c>
      <c r="E3181" t="str">
        <v>D</v>
      </c>
      <c r="F3181">
        <f>VLOOKUP(D3174,'Detail Balok'!$C$10:$AU$110,6,FALSE)</f>
        <v>13</v>
      </c>
      <c r="I3181" t="str">
        <v>(</v>
      </c>
      <c r="J3181">
        <f>+D3176/4/1000</f>
        <v>0.85875</v>
      </c>
      <c r="K3181" t="str">
        <v>+</v>
      </c>
      <c r="L3181">
        <f>MAX(VLOOKUP(F3181,N$6:P$15,3,FALSE)/1000,2/3*D3178/1000)+F$16*F3181/1000</f>
        <v>0.156</v>
      </c>
      <c r="M3181" t="str">
        <v>=</v>
      </c>
      <c r="N3181">
        <f>J3181+L3181</f>
        <v>1.01475</v>
      </c>
      <c r="O3181" t="str">
        <v>+</v>
      </c>
      <c r="P3181">
        <f>D3181-D3182</f>
        <v>0</v>
      </c>
      <c r="Q3181" t="str">
        <v>x</v>
      </c>
      <c r="R3181">
        <f>IF(P3181&gt;0,$F$18*F3181/1000,0)</f>
        <v>0</v>
      </c>
      <c r="S3181" t="str">
        <v>)</v>
      </c>
      <c r="T3181" t="str">
        <v>x</v>
      </c>
      <c r="U3181">
        <f>0.006165*F3181^2</f>
        <v>1.041885</v>
      </c>
      <c r="X3181" t="str">
        <v>x</v>
      </c>
      <c r="Y3181">
        <f>D3180</f>
        <v>1</v>
      </c>
      <c r="Z3181" t="str">
        <v>=</v>
      </c>
      <c r="AA3181">
        <f>IF(AA3184=0,(D3181*N3181+P3181*R3181)*U3181*Y3181,0)</f>
        <v>0</v>
      </c>
    </row>
    <row r="3182">
      <c r="A3182" t="str">
        <f>A3174</f>
        <v>Lantai 1</v>
      </c>
      <c r="B3182">
        <f>B3174</f>
        <v>9</v>
      </c>
      <c r="C3182" t="str">
        <v>Tul Atas Lapangan</v>
      </c>
      <c r="D3182">
        <f>VLOOKUP(D3174,'Detail Balok'!$C$10:$AU$110,7,FALSE)</f>
        <v>2</v>
      </c>
      <c r="E3182" t="str">
        <v>D</v>
      </c>
      <c r="F3182">
        <f>VLOOKUP(D3174,'Detail Balok'!$C$10:$AU$110,9,FALSE)</f>
        <v>13</v>
      </c>
      <c r="I3182" t="str">
        <v>(</v>
      </c>
      <c r="J3182">
        <f>+D3176/2/1000</f>
        <v>1.7175</v>
      </c>
      <c r="K3182" t="str">
        <v>+</v>
      </c>
      <c r="M3182" t="str">
        <v>=</v>
      </c>
      <c r="N3182">
        <f>J3182+L3182</f>
        <v>1.7175</v>
      </c>
      <c r="O3182" t="str">
        <v>+</v>
      </c>
      <c r="P3182">
        <f>MAX(D3182-D3181,D3182-D3183)</f>
        <v>0</v>
      </c>
      <c r="Q3182" t="str">
        <v>x</v>
      </c>
      <c r="R3182">
        <f>IF(P3182&gt;0,2*(1-2*$F$19-1/2)*D3177/1000,0)</f>
        <v>0</v>
      </c>
      <c r="S3182" t="str">
        <v>)</v>
      </c>
      <c r="T3182" t="str">
        <v>x</v>
      </c>
      <c r="U3182">
        <f>0.006165*F3182^2</f>
        <v>1.041885</v>
      </c>
      <c r="X3182" t="str">
        <v>x</v>
      </c>
      <c r="Y3182">
        <f>D3180</f>
        <v>1</v>
      </c>
      <c r="Z3182" t="str">
        <v>=</v>
      </c>
      <c r="AA3182">
        <f>IF(AA3184=0,(D3182*N3182+P3182*R3182)*U3182*Y3182,0)</f>
        <v>0</v>
      </c>
    </row>
    <row r="3183">
      <c r="A3183" t="str">
        <f>A3174</f>
        <v>Lantai 1</v>
      </c>
      <c r="B3183">
        <f>B3174</f>
        <v>9</v>
      </c>
      <c r="C3183" t="str">
        <v>Tul Atas Tumpuan</v>
      </c>
      <c r="D3183">
        <f>VLOOKUP(D3174,'Detail Balok'!$C$10:$AU$110,10,FALSE)</f>
        <v>2</v>
      </c>
      <c r="E3183" t="str">
        <v>D</v>
      </c>
      <c r="F3183">
        <f>VLOOKUP(D3174,'Detail Balok'!$C$10:$AU$110,12,FALSE)</f>
        <v>13</v>
      </c>
      <c r="I3183" t="str">
        <v>(</v>
      </c>
      <c r="J3183">
        <f>+D3176/4/1000</f>
        <v>0.85875</v>
      </c>
      <c r="K3183" t="str">
        <v>+</v>
      </c>
      <c r="L3183">
        <f>MAX(VLOOKUP(F3183,N$6:P$15,3,FALSE)/1000,2/3*D3178/1000)+F$16*F3183/1000</f>
        <v>0.156</v>
      </c>
      <c r="M3183" t="str">
        <v>=</v>
      </c>
      <c r="N3183">
        <f>J3183+L3183</f>
        <v>1.01475</v>
      </c>
      <c r="O3183" t="str">
        <v>+</v>
      </c>
      <c r="P3183">
        <f>D3183-D3182</f>
        <v>0</v>
      </c>
      <c r="Q3183" t="str">
        <v>x</v>
      </c>
      <c r="R3183">
        <f>IF(P3183&gt;0,$F$18*F3183/1000,0)</f>
        <v>0</v>
      </c>
      <c r="S3183" t="str">
        <v>)</v>
      </c>
      <c r="T3183" t="str">
        <v>x</v>
      </c>
      <c r="U3183">
        <f>0.006165*F3183^2</f>
        <v>1.041885</v>
      </c>
      <c r="X3183" t="str">
        <v>x</v>
      </c>
      <c r="Y3183">
        <f>D3180</f>
        <v>1</v>
      </c>
      <c r="Z3183" t="str">
        <v>=</v>
      </c>
      <c r="AA3183">
        <f>IF(AA3184=0,(D3183*N3183+P3183*R3183)*U3183*Y3183,0)</f>
        <v>0</v>
      </c>
    </row>
    <row r="3184">
      <c r="A3184" t="str">
        <f>A3174</f>
        <v>Lantai 1</v>
      </c>
      <c r="B3184">
        <f>B3174</f>
        <v>9</v>
      </c>
      <c r="D3184">
        <f>IF(AND(D3181=D3182,D3182=D3183,D3181=D3183),D3181,0)</f>
        <v>2</v>
      </c>
      <c r="E3184" t="str">
        <v>D</v>
      </c>
      <c r="F3184">
        <f>IF(AND(F3181=F3182,F3181=F3183,F3182=F3183),F3181,0)</f>
        <v>13</v>
      </c>
      <c r="L3184" t="str">
        <v>Total panjang per balok</v>
      </c>
      <c r="M3184" t="str">
        <v>=</v>
      </c>
      <c r="N3184">
        <f>IF(AND(D3181=D3182,D3181=D3183,D3182=D3183,F3181=F3182,F3181=F3183,F3182=F3183),SUM(N3181:N3183),0)</f>
        <v>3.747</v>
      </c>
      <c r="O3184" t="str">
        <v>+</v>
      </c>
      <c r="P3184">
        <f>IF(N3184&gt;12,ROUNDDOWN(N3184/12,0),0)</f>
        <v>0</v>
      </c>
      <c r="Q3184" t="str">
        <v>x</v>
      </c>
      <c r="R3184">
        <f>IF(P3184&gt;0,MAX(VLOOKUP(F3184,$D$6:$G$15,3,FALSE),600),0)/1000</f>
        <v>0</v>
      </c>
      <c r="T3184" t="str">
        <v>x</v>
      </c>
      <c r="U3184">
        <f>U3183</f>
        <v>1.041885</v>
      </c>
      <c r="V3184" t="str">
        <v>x</v>
      </c>
      <c r="W3184">
        <f>D3184</f>
        <v>2</v>
      </c>
      <c r="X3184" t="str">
        <v>x</v>
      </c>
      <c r="Y3184">
        <f>Y3183</f>
        <v>1</v>
      </c>
      <c r="Z3184" t="str">
        <v>=</v>
      </c>
      <c r="AA3184">
        <f>(N3184+P3184*R3184/1000)*U3184*W3184*Y3184</f>
        <v>7.80788619</v>
      </c>
    </row>
    <row r="3186">
      <c r="A3186" t="str">
        <f>A3174</f>
        <v>Lantai 1</v>
      </c>
      <c r="B3186">
        <f>B3174</f>
        <v>9</v>
      </c>
      <c r="C3186" t="str">
        <v>Tul Peminggang</v>
      </c>
      <c r="D3186">
        <f>VLOOKUP(D3174,'Detail Balok'!$C$10:$AU$110,13,FALSE)</f>
        <v>2</v>
      </c>
      <c r="E3186" t="str">
        <v>D</v>
      </c>
      <c r="F3186">
        <f>VLOOKUP(D3174,'Detail Balok'!$C$10:$AU$110,15,FALSE)</f>
        <v>8</v>
      </c>
      <c r="J3186">
        <f>+D3176/1000</f>
        <v>3.435</v>
      </c>
      <c r="K3186" t="str">
        <v>+</v>
      </c>
      <c r="L3186">
        <f>2*$F$16*F3186/1000</f>
        <v>0.192</v>
      </c>
      <c r="M3186" t="str">
        <v>=</v>
      </c>
      <c r="N3186">
        <f>J3186+L3186</f>
        <v>3.6270000000000002</v>
      </c>
      <c r="O3186" t="str">
        <v>+</v>
      </c>
      <c r="P3186">
        <f>IF(N3186&gt;12,ROUNDDOWN(N3186/12,0),0)</f>
        <v>0</v>
      </c>
      <c r="Q3186" t="str">
        <v>x</v>
      </c>
      <c r="R3186">
        <f>IF(P3186&gt;0,MAX(VLOOKUP(F3186,$D$6:$G$15,3,FALSE),600),0)/1000</f>
        <v>0</v>
      </c>
      <c r="T3186" t="str">
        <v>x</v>
      </c>
      <c r="U3186">
        <f>0.006165*F3186^2</f>
        <v>0.39456</v>
      </c>
      <c r="V3186" t="str">
        <v>x</v>
      </c>
      <c r="W3186">
        <f>+D3186</f>
        <v>2</v>
      </c>
      <c r="X3186" t="str">
        <v>x</v>
      </c>
      <c r="Y3186">
        <f>D3180</f>
        <v>1</v>
      </c>
      <c r="Z3186" t="str">
        <v>=</v>
      </c>
      <c r="AA3186">
        <f>(N3186+P3186*R3186/1000)*U3186*W3186*Y3186</f>
        <v>2.86213824</v>
      </c>
    </row>
    <row r="3189">
      <c r="A3189" t="str">
        <f>A3174</f>
        <v>Lantai 1</v>
      </c>
      <c r="B3189">
        <f>B3174</f>
        <v>9</v>
      </c>
      <c r="C3189" t="str">
        <v>Tul Bawah Tumpuan</v>
      </c>
      <c r="D3189">
        <f>VLOOKUP(D3174,'Detail Balok'!$C$10:$AU$110,22,FALSE)</f>
        <v>2</v>
      </c>
      <c r="E3189" t="str">
        <v>D</v>
      </c>
      <c r="F3189">
        <f>VLOOKUP(D3174,'Detail Balok'!$C$10:$AU$110,24,FALSE)</f>
        <v>13</v>
      </c>
      <c r="I3189" t="str">
        <v>(</v>
      </c>
      <c r="J3189">
        <f>+J3181</f>
        <v>0.85875</v>
      </c>
      <c r="K3189" t="str">
        <v>+</v>
      </c>
      <c r="L3189">
        <f>MAX(VLOOKUP(F3189,N$6:P$15,3,FALSE)/1000,2/3*D3179/1000)+F$16*F3189/1000</f>
        <v>0.156</v>
      </c>
      <c r="M3189" t="str">
        <v>=</v>
      </c>
      <c r="N3189">
        <f>J3189+L3189</f>
        <v>1.01475</v>
      </c>
      <c r="O3189" t="str">
        <v>+</v>
      </c>
      <c r="P3189">
        <f>D3189-D3190</f>
        <v>0</v>
      </c>
      <c r="Q3189" t="str">
        <v>x</v>
      </c>
      <c r="R3189">
        <f>IF(P3189&gt;0,$F$18*F3189/1000,0)</f>
        <v>0</v>
      </c>
      <c r="S3189" t="str">
        <v>)</v>
      </c>
      <c r="T3189" t="str">
        <v>x</v>
      </c>
      <c r="U3189">
        <f>0.006165*F3189^2</f>
        <v>1.041885</v>
      </c>
      <c r="X3189" t="str">
        <v>x</v>
      </c>
      <c r="Y3189">
        <f>D3180</f>
        <v>1</v>
      </c>
      <c r="Z3189" t="str">
        <v>=</v>
      </c>
      <c r="AA3189">
        <f>IF(AA3192=0,(D3189*N3189+P3189*R3189)*U3189*Y3189,0)</f>
        <v>0</v>
      </c>
    </row>
    <row r="3190">
      <c r="A3190" t="str">
        <f>A3174</f>
        <v>Lantai 1</v>
      </c>
      <c r="B3190">
        <f>B3174</f>
        <v>9</v>
      </c>
      <c r="C3190" t="str">
        <v>Tul Bawah Lapangan</v>
      </c>
      <c r="D3190">
        <f>VLOOKUP(D3174,'Detail Balok'!$C$10:$AU$110,25,FALSE)</f>
        <v>2</v>
      </c>
      <c r="E3190" t="str">
        <v>D</v>
      </c>
      <c r="F3190">
        <f>VLOOKUP(D3174,'Detail Balok'!$C$10:$AU$110,27,FALSE)</f>
        <v>13</v>
      </c>
      <c r="I3190" t="str">
        <v>(</v>
      </c>
      <c r="J3190">
        <f>+J3182</f>
        <v>1.7175</v>
      </c>
      <c r="K3190" t="str">
        <v>+</v>
      </c>
      <c r="M3190" t="str">
        <v>=</v>
      </c>
      <c r="N3190">
        <f>J3190+L3190</f>
        <v>1.7175</v>
      </c>
      <c r="O3190" t="str">
        <v>+</v>
      </c>
      <c r="P3190">
        <f>MAX(D3190-D3189,D3190-D3191)</f>
        <v>0</v>
      </c>
      <c r="Q3190" t="str">
        <v>x</v>
      </c>
      <c r="R3190">
        <f>IF(P3190&gt;0,2*(1-2*$F$19-1/2)*D3177/1000,0)</f>
        <v>0</v>
      </c>
      <c r="S3190" t="str">
        <v>)</v>
      </c>
      <c r="T3190" t="str">
        <v>x</v>
      </c>
      <c r="U3190">
        <f>0.006165*F3190^2</f>
        <v>1.041885</v>
      </c>
      <c r="X3190" t="str">
        <v>x</v>
      </c>
      <c r="Y3190">
        <f>D3180</f>
        <v>1</v>
      </c>
      <c r="Z3190" t="str">
        <v>=</v>
      </c>
      <c r="AA3190">
        <f>IF(AA3192=0,(D3190*N3190+P3190*R3190)*U3190*Y3190,0)</f>
        <v>0</v>
      </c>
    </row>
    <row r="3191">
      <c r="A3191" t="str">
        <f>A3174</f>
        <v>Lantai 1</v>
      </c>
      <c r="B3191">
        <f>B3174</f>
        <v>9</v>
      </c>
      <c r="C3191" t="str">
        <v>Tul Bawah Tumpuan</v>
      </c>
      <c r="D3191">
        <f>VLOOKUP(D3174,'Detail Balok'!$C$10:$AU$110,28,FALSE)</f>
        <v>2</v>
      </c>
      <c r="E3191" t="str">
        <v>D</v>
      </c>
      <c r="F3191">
        <f>VLOOKUP(D3174,'Detail Balok'!$C$10:$AU$110,30,FALSE)</f>
        <v>13</v>
      </c>
      <c r="I3191" t="str">
        <v>(</v>
      </c>
      <c r="J3191">
        <f>+J3183</f>
        <v>0.85875</v>
      </c>
      <c r="K3191" t="str">
        <v>+</v>
      </c>
      <c r="L3191">
        <f>MAX(VLOOKUP(F3191,N$6:P$15,3,FALSE)/1000,2/3*D3179/1000)+F$16*F3191/1000</f>
        <v>0.156</v>
      </c>
      <c r="M3191" t="str">
        <v>=</v>
      </c>
      <c r="N3191">
        <f>J3191+L3191</f>
        <v>1.01475</v>
      </c>
      <c r="O3191" t="str">
        <v>+</v>
      </c>
      <c r="P3191">
        <f>D3191-D3190</f>
        <v>0</v>
      </c>
      <c r="Q3191" t="str">
        <v>x</v>
      </c>
      <c r="R3191">
        <f>IF(P3191&gt;0,$F$18*F3191/1000,0)</f>
        <v>0</v>
      </c>
      <c r="S3191" t="str">
        <v>)</v>
      </c>
      <c r="T3191" t="str">
        <v>x</v>
      </c>
      <c r="U3191">
        <f>0.006165*F3191^2</f>
        <v>1.041885</v>
      </c>
      <c r="X3191" t="str">
        <v>x</v>
      </c>
      <c r="Y3191">
        <f>D3180</f>
        <v>1</v>
      </c>
      <c r="Z3191" t="str">
        <v>=</v>
      </c>
      <c r="AA3191">
        <f>IF(AA3192=0,(D3191*N3191+P3191*R3191)*U3191*Y3191,0)</f>
        <v>0</v>
      </c>
    </row>
    <row r="3192">
      <c r="A3192" t="str">
        <f>A3174</f>
        <v>Lantai 1</v>
      </c>
      <c r="B3192">
        <f>B3174</f>
        <v>9</v>
      </c>
      <c r="D3192">
        <f>IF(AND(D3189=D3190,D3190=D3191,D3189=D3191),D3189,0)</f>
        <v>2</v>
      </c>
      <c r="E3192" t="str">
        <v>D</v>
      </c>
      <c r="F3192">
        <f>IF(AND(F3189=F3190,F3189=F3191,F3190=F3191),F3189,0)</f>
        <v>13</v>
      </c>
      <c r="L3192" t="str">
        <v>Total panjang per balok</v>
      </c>
      <c r="M3192" t="str">
        <v>=</v>
      </c>
      <c r="N3192">
        <f>IF(AND(D3189=D3190,D3189=D3191,D3190=D3191,F3189=F3190,F3189=F3191,F3190=F3191),SUM(N3189:N3191),0)</f>
        <v>3.747</v>
      </c>
      <c r="O3192" t="str">
        <v>+</v>
      </c>
      <c r="P3192">
        <f>IF(N3192&gt;12,ROUNDDOWN(N3192/12,0),0)</f>
        <v>0</v>
      </c>
      <c r="Q3192" t="str">
        <v>x</v>
      </c>
      <c r="R3192">
        <f>IF(P3192&gt;0,MAX(VLOOKUP(F3192,$D$6:$G$15,3,FALSE),600),0)/1000</f>
        <v>0</v>
      </c>
      <c r="T3192" t="str">
        <v>x</v>
      </c>
      <c r="U3192">
        <f>U3191</f>
        <v>1.041885</v>
      </c>
      <c r="V3192" t="str">
        <v>x</v>
      </c>
      <c r="W3192">
        <f>D3192</f>
        <v>2</v>
      </c>
      <c r="X3192" t="str">
        <v>x</v>
      </c>
      <c r="Y3192">
        <f>Y3191</f>
        <v>1</v>
      </c>
      <c r="Z3192" t="str">
        <v>=</v>
      </c>
      <c r="AA3192">
        <f>(N3192+P3192*R3192/1000)*U3192*W3192*Y3192</f>
        <v>7.80788619</v>
      </c>
    </row>
    <row r="3194">
      <c r="A3194" t="str">
        <f>A3174</f>
        <v>Lantai 1</v>
      </c>
      <c r="B3194">
        <f>B3174</f>
        <v>9</v>
      </c>
      <c r="C3194" t="str">
        <v>Sengkang Tumpuan</v>
      </c>
      <c r="D3194">
        <f>VLOOKUP(D3174,'Detail Balok'!$C$10:$AU$110,31,FALSE)</f>
        <v>0</v>
      </c>
      <c r="E3194" t="str">
        <v>D</v>
      </c>
      <c r="F3194">
        <f>VLOOKUP(D3174,'Detail Balok'!$C$10:$AU$110,33,FALSE)</f>
        <v>8</v>
      </c>
      <c r="G3194" t="str">
        <v>-</v>
      </c>
      <c r="H3194">
        <f>VLOOKUP(D3174,'Detail Balok'!$C$10:$AU$110,35,FALSE)</f>
        <v>100</v>
      </c>
      <c r="J3194">
        <f>(IF(D3194=0,(2*(D3175+G3175))-(F$5*8),IF(D3194=3,(2*(D3175+G3175))-(F$5*8)+(G3175-2*F$5),IF(D3194=4,(2*(D3175+G3175))-(F$5*8)+2*(G3175-2*F$5)))))/1000</f>
        <v>0.98</v>
      </c>
      <c r="K3194" t="str">
        <v>+</v>
      </c>
      <c r="L3194">
        <f>IF(D3194=0,2*MAX(6*F3194,75),(D3194-1)*2*MAX(6*F3194,75))/1000</f>
        <v>0.15</v>
      </c>
      <c r="M3194" t="str">
        <v>=</v>
      </c>
      <c r="N3194">
        <f>J3194+L3194</f>
        <v>1.13</v>
      </c>
      <c r="T3194" t="str">
        <v>x</v>
      </c>
      <c r="U3194">
        <f>0.006165*F3194^2</f>
        <v>0.39456</v>
      </c>
      <c r="V3194" t="str">
        <v>x</v>
      </c>
      <c r="W3194">
        <f>IF(D3177&gt;4*G3175,ROUND(MAX(D3177/4,2*G3175)/H3194,0)+1,ROUND(D3177/H3194,0)+1)</f>
        <v>10</v>
      </c>
      <c r="X3194" t="str">
        <v>x</v>
      </c>
      <c r="Y3194">
        <f>D3180</f>
        <v>1</v>
      </c>
      <c r="Z3194" t="str">
        <v>=</v>
      </c>
      <c r="AA3194">
        <f>N3194*U3194*W3194*Y3194</f>
        <v>4.458528</v>
      </c>
    </row>
    <row r="3195">
      <c r="A3195" t="str">
        <f>A3174</f>
        <v>Lantai 1</v>
      </c>
      <c r="B3195">
        <f>B3174</f>
        <v>9</v>
      </c>
      <c r="C3195" t="str">
        <v>Sengkang Lapangan</v>
      </c>
      <c r="D3195">
        <f>VLOOKUP(D3174,'Detail Balok'!$C$10:$AU$110,36,FALSE)</f>
        <v>0</v>
      </c>
      <c r="E3195" t="str">
        <v>D</v>
      </c>
      <c r="F3195">
        <f>VLOOKUP(D3174,'Detail Balok'!$C$10:$AU$110,38,FALSE)</f>
        <v>8</v>
      </c>
      <c r="G3195" t="str">
        <v>-</v>
      </c>
      <c r="H3195">
        <f>VLOOKUP(D3174,'Detail Balok'!$C$10:$AU$110,40,FALSE)</f>
        <v>200</v>
      </c>
      <c r="J3195">
        <f>(IF(D3195=0,(2*(D3175+G3175))-(F$5*8),IF(D3195=3,(2*(D3175+G3175))-(F$5*8)+(G3175-2*F$5),IF(D3195=4,(2*(D3175+G3175))-(F$5*8)+2*(G3175-2*F$5)))))/1000</f>
        <v>0.98</v>
      </c>
      <c r="K3195" t="str">
        <v>+</v>
      </c>
      <c r="L3195">
        <f>IF(D3195=0,2*MAX(6*F3195,75),(D3195-1)*2*MAX(6*F3195,75))/1000</f>
        <v>0.15</v>
      </c>
      <c r="M3195" t="str">
        <v>=</v>
      </c>
      <c r="N3195">
        <f>J3195+L3195</f>
        <v>1.13</v>
      </c>
      <c r="T3195" t="str">
        <v>x</v>
      </c>
      <c r="U3195">
        <f>0.006165*F3195^2</f>
        <v>0.39456</v>
      </c>
      <c r="V3195" t="str">
        <v>x</v>
      </c>
      <c r="W3195">
        <f>IF(D3177-MAX(D3177/4,2*G3175)*2&gt;0,ROUND((D3177-MAX(D3177/4,2*G3175)*2)/H3195,0),0)</f>
        <v>8</v>
      </c>
      <c r="X3195" t="str">
        <v>x</v>
      </c>
      <c r="Y3195">
        <f>D3180</f>
        <v>1</v>
      </c>
      <c r="Z3195" t="str">
        <v>=</v>
      </c>
      <c r="AA3195">
        <f>N3195*U3195*W3195*Y3195</f>
        <v>3.5668224</v>
      </c>
    </row>
    <row r="3196">
      <c r="A3196" t="str">
        <f>A3174</f>
        <v>Lantai 1</v>
      </c>
      <c r="B3196">
        <f>B3174</f>
        <v>9</v>
      </c>
      <c r="C3196" t="str">
        <v>Sengkang Tumpuan</v>
      </c>
      <c r="D3196">
        <f>VLOOKUP(D3174,'Detail Balok'!$C$10:$AU$110,41,FALSE)</f>
        <v>0</v>
      </c>
      <c r="E3196" t="str">
        <v>D</v>
      </c>
      <c r="F3196">
        <f>VLOOKUP(D3174,'Detail Balok'!$C$10:$AU$110,43,FALSE)</f>
        <v>8</v>
      </c>
      <c r="G3196" t="str">
        <v>-</v>
      </c>
      <c r="H3196">
        <f>VLOOKUP(D3174,'Detail Balok'!$C$10:$AU$110,45,FALSE)</f>
        <v>100</v>
      </c>
      <c r="J3196">
        <f>(IF(D3196=0,(2*(D3175+G3175))-(F$5*8),IF(D3196=3,(2*(D3175+G3175))-(F$5*8)+(G3175-2*F$5),IF(D3196=4,(2*(D3175+G3175))-(F$5*8)+2*(G3175-2*F$5)))))/1000</f>
        <v>0.98</v>
      </c>
      <c r="K3196" t="str">
        <v>+</v>
      </c>
      <c r="L3196">
        <f>IF(D3196=0,2*MAX(6*F3196,75),(D3196-1)*2*MAX(6*F3196,75))/1000</f>
        <v>0.15</v>
      </c>
      <c r="M3196" t="str">
        <v>=</v>
      </c>
      <c r="N3196">
        <f>J3196+L3196</f>
        <v>1.13</v>
      </c>
      <c r="T3196" t="str">
        <v>x</v>
      </c>
      <c r="U3196">
        <f>0.006165*F3196^2</f>
        <v>0.39456</v>
      </c>
      <c r="V3196" t="str">
        <v>x</v>
      </c>
      <c r="W3196">
        <f>IF(D3177&gt;4*G3175,ROUND(MAX(D3177/4,2*G3175)/H3196,0)+1,0)</f>
        <v>10</v>
      </c>
      <c r="X3196" t="str">
        <v>x</v>
      </c>
      <c r="Y3196">
        <f>D3180</f>
        <v>1</v>
      </c>
      <c r="Z3196" t="str">
        <v>=</v>
      </c>
      <c r="AA3196">
        <f>N3196*U3196*W3196*Y3196</f>
        <v>4.458528</v>
      </c>
    </row>
    <row r="3198">
      <c r="A3198" t="str">
        <f>A3174</f>
        <v>Lantai 1</v>
      </c>
      <c r="B3198">
        <f>B3174</f>
        <v>9</v>
      </c>
      <c r="C3198" t="str">
        <v>Kait Horizontal Tump.</v>
      </c>
      <c r="D3198">
        <f>VLOOKUP(D3174,'Detail Balok'!$C$10:$BJ$110,46,FALSE)</f>
        <v>0</v>
      </c>
      <c r="E3198" t="str">
        <v>D</v>
      </c>
      <c r="F3198">
        <f>VLOOKUP(D3174,'Detail Balok'!$C$10:$BJ$110,48,FALSE)</f>
        <v>0</v>
      </c>
      <c r="G3198" t="str">
        <v>-</v>
      </c>
      <c r="H3198">
        <f>VLOOKUP(D3174,'Detail Balok'!$C$10:$BJ$110,50,FALSE)</f>
        <v>100</v>
      </c>
      <c r="J3198">
        <f>(D3175-2*F$5)/1000</f>
        <v>0.12</v>
      </c>
      <c r="K3198" t="str">
        <v>+</v>
      </c>
      <c r="L3198">
        <f>IF(D3198=0,2*MAX(6*F3198,75),(D3198-1)*2*MAX(6*F3198,75))/1000</f>
        <v>0.15</v>
      </c>
      <c r="M3198" t="str">
        <v>=</v>
      </c>
      <c r="N3198">
        <f>J3198+L3198</f>
        <v>0.27</v>
      </c>
      <c r="T3198" t="str">
        <v>x</v>
      </c>
      <c r="U3198">
        <f>0.006165*F3198^2</f>
        <v>0</v>
      </c>
      <c r="V3198" t="str">
        <v>x</v>
      </c>
      <c r="W3198">
        <f>W3194</f>
        <v>10</v>
      </c>
      <c r="X3198" t="str">
        <v>x</v>
      </c>
      <c r="Y3198">
        <f>D3184</f>
        <v>2</v>
      </c>
      <c r="Z3198" t="str">
        <v>=</v>
      </c>
      <c r="AA3198">
        <f>N3198*U3198*W3198*Y3198</f>
        <v>0</v>
      </c>
    </row>
    <row r="3199">
      <c r="A3199" t="str">
        <f>A3174</f>
        <v>Lantai 1</v>
      </c>
      <c r="B3199">
        <f>B3174</f>
        <v>9</v>
      </c>
      <c r="C3199" t="str">
        <v>Kait Horizontal Lap.</v>
      </c>
      <c r="D3199">
        <f>VLOOKUP(D3174,'Detail Balok'!$C$10:$BJ$110,51,FALSE)</f>
        <v>0</v>
      </c>
      <c r="E3199" t="str">
        <v>D</v>
      </c>
      <c r="F3199">
        <f>VLOOKUP(D3174,'Detail Balok'!$C$10:$BJ$110,53,FALSE)</f>
        <v>0</v>
      </c>
      <c r="G3199" t="str">
        <v>-</v>
      </c>
      <c r="H3199">
        <f>VLOOKUP(D3174,'Detail Balok'!$C$10:$BJ$110,55,FALSE)</f>
        <v>100</v>
      </c>
      <c r="J3199">
        <f>(D3175-2*F$5)/1000</f>
        <v>0.12</v>
      </c>
      <c r="K3199" t="str">
        <v>+</v>
      </c>
      <c r="L3199">
        <f>IF(D3199=0,2*MAX(6*F3199,75),(D3199-1)*2*MAX(6*F3199,75))/1000</f>
        <v>0.15</v>
      </c>
      <c r="M3199" t="str">
        <v>=</v>
      </c>
      <c r="N3199">
        <f>J3199+L3199</f>
        <v>0.27</v>
      </c>
      <c r="T3199" t="str">
        <v>x</v>
      </c>
      <c r="U3199">
        <f>0.006165*F3199^2</f>
        <v>0</v>
      </c>
      <c r="V3199" t="str">
        <v>x</v>
      </c>
      <c r="W3199">
        <f>W3195</f>
        <v>8</v>
      </c>
      <c r="X3199" t="str">
        <v>x</v>
      </c>
      <c r="Y3199">
        <f>D3184</f>
        <v>2</v>
      </c>
      <c r="Z3199" t="str">
        <v>=</v>
      </c>
      <c r="AA3199">
        <f>N3199*U3199*W3199*Y3199</f>
        <v>0</v>
      </c>
    </row>
    <row r="3200">
      <c r="A3200" t="str">
        <f>A3174</f>
        <v>Lantai 1</v>
      </c>
      <c r="B3200">
        <f>B3174</f>
        <v>9</v>
      </c>
      <c r="C3200" t="str">
        <v>Kait Horizontal Tump.</v>
      </c>
      <c r="D3200">
        <f>VLOOKUP(D3174,'Detail Balok'!$C$10:$BJ$110,56,FALSE)</f>
        <v>0</v>
      </c>
      <c r="E3200" t="str">
        <v>D</v>
      </c>
      <c r="F3200">
        <f>VLOOKUP(D3174,'Detail Balok'!$C$10:$BJ$110,58,FALSE)</f>
        <v>0</v>
      </c>
      <c r="G3200" t="str">
        <v>-</v>
      </c>
      <c r="H3200">
        <f>VLOOKUP(D3174,'Detail Balok'!$C$10:$BJ$110,60,FALSE)</f>
        <v>100</v>
      </c>
      <c r="J3200">
        <f>(D3175-2*F$5)/1000</f>
        <v>0.12</v>
      </c>
      <c r="K3200" t="str">
        <v>+</v>
      </c>
      <c r="L3200">
        <f>IF(D3200=0,2*MAX(6*F3200,75),(D3200-1)*2*MAX(6*F3200,75))/1000</f>
        <v>0.15</v>
      </c>
      <c r="M3200" t="str">
        <v>=</v>
      </c>
      <c r="N3200">
        <f>J3200+L3200</f>
        <v>0.27</v>
      </c>
      <c r="T3200" t="str">
        <v>x</v>
      </c>
      <c r="U3200">
        <f>0.006165*F3200^2</f>
        <v>0</v>
      </c>
      <c r="V3200" t="str">
        <v>x</v>
      </c>
      <c r="W3200">
        <f>W3196</f>
        <v>10</v>
      </c>
      <c r="X3200" t="str">
        <v>x</v>
      </c>
      <c r="Y3200">
        <f>D3184</f>
        <v>2</v>
      </c>
      <c r="Z3200" t="str">
        <v>=</v>
      </c>
      <c r="AA3200">
        <f>N3200*U3200*W3200*Y3200</f>
        <v>0</v>
      </c>
    </row>
    <row r="3204">
      <c r="A3204" t="str">
        <f>A3174</f>
        <v>Lantai 1</v>
      </c>
      <c r="B3204">
        <f>B3174+1</f>
        <v>10</v>
      </c>
      <c r="C3204" t="str">
        <f>CONCATENATE(A3204," no. ",B3204)</f>
        <v>Lantai 1 no. 10</v>
      </c>
      <c r="D3204" t="str">
        <f>VLOOKUP(C3204,'Data Panjang Balok'!$C$9:$N$424,2,FALSE)</f>
        <v>B245-5</v>
      </c>
    </row>
    <row r="3205">
      <c r="C3205" t="str">
        <v>Dimensi</v>
      </c>
      <c r="D3205">
        <f>VLOOKUP(D3204,'Detail Balok'!$C$10:$AU$110,2,FALSE)</f>
        <v>200</v>
      </c>
      <c r="F3205" t="str">
        <v>x</v>
      </c>
      <c r="G3205">
        <f>VLOOKUP(D3204,'Detail Balok'!$C$10:$AU$110,3,FALSE)</f>
        <v>450</v>
      </c>
    </row>
    <row r="3206">
      <c r="C3206" t="str">
        <v>Panjang as ke as</v>
      </c>
      <c r="D3206">
        <f>VLOOKUP(C3204,'Data Panjang Balok'!$C$9:$N$424,4,FALSE)</f>
        <v>4265</v>
      </c>
    </row>
    <row r="3207">
      <c r="C3207" t="str">
        <v>Panjang netto</v>
      </c>
      <c r="D3207">
        <f>VLOOKUP(C3204,'Data Panjang Balok'!$C$9:$N$424,7,FALSE)</f>
        <v>4265</v>
      </c>
    </row>
    <row r="3208">
      <c r="C3208" t="str">
        <v>Kolom / balok kiri</v>
      </c>
      <c r="D3208">
        <f>VLOOKUP(C3204,'Data Panjang Balok'!$C$9:$N$424,9,FALSE)</f>
        <v>0</v>
      </c>
    </row>
    <row r="3209">
      <c r="C3209" t="str">
        <v>Kolom / balok kanan</v>
      </c>
      <c r="D3209">
        <f>VLOOKUP(C3204,'Data Panjang Balok'!$C$9:$N$424,10,FALSE)</f>
        <v>0</v>
      </c>
    </row>
    <row r="3210">
      <c r="C3210" t="str">
        <v>Jumlah</v>
      </c>
      <c r="D3210">
        <f>VLOOKUP(C3204,'Data Panjang Balok'!$C$9:$N$424,3,FALSE)</f>
        <v>1</v>
      </c>
    </row>
    <row r="3211">
      <c r="A3211" t="str">
        <f>A3204</f>
        <v>Lantai 1</v>
      </c>
      <c r="B3211">
        <f>B3204</f>
        <v>10</v>
      </c>
      <c r="C3211" t="str">
        <v>Tul Atas Tumpuan</v>
      </c>
      <c r="D3211">
        <f>VLOOKUP(D3204,'Detail Balok'!$C$10:$AU$110,4,FALSE)</f>
        <v>3</v>
      </c>
      <c r="E3211" t="str">
        <v>D</v>
      </c>
      <c r="F3211">
        <f>VLOOKUP(D3204,'Detail Balok'!$C$10:$AU$110,6,FALSE)</f>
        <v>16</v>
      </c>
      <c r="I3211" t="str">
        <v>(</v>
      </c>
      <c r="J3211">
        <f>+D3206/4/1000</f>
        <v>1.06625</v>
      </c>
      <c r="K3211" t="str">
        <v>+</v>
      </c>
      <c r="L3211">
        <f>MAX(VLOOKUP(F3211,N$6:P$15,3,FALSE)/1000,2/3*D3208/1000)+F$16*F3211/1000</f>
        <v>0.192</v>
      </c>
      <c r="M3211" t="str">
        <v>=</v>
      </c>
      <c r="N3211">
        <f>J3211+L3211</f>
        <v>1.2582499999999999</v>
      </c>
      <c r="O3211" t="str">
        <v>+</v>
      </c>
      <c r="P3211">
        <f>D3211-D3212</f>
        <v>0</v>
      </c>
      <c r="Q3211" t="str">
        <v>x</v>
      </c>
      <c r="R3211">
        <f>IF(P3211&gt;0,$F$18*F3211/1000,0)</f>
        <v>0</v>
      </c>
      <c r="S3211" t="str">
        <v>)</v>
      </c>
      <c r="T3211" t="str">
        <v>x</v>
      </c>
      <c r="U3211">
        <f>0.006165*F3211^2</f>
        <v>1.57824</v>
      </c>
      <c r="X3211" t="str">
        <v>x</v>
      </c>
      <c r="Y3211">
        <f>D3210</f>
        <v>1</v>
      </c>
      <c r="Z3211" t="str">
        <v>=</v>
      </c>
      <c r="AA3211">
        <f>IF(AA3214=0,(D3211*N3211+P3211*R3211)*U3211*Y3211,0)</f>
        <v>0</v>
      </c>
    </row>
    <row r="3212">
      <c r="A3212" t="str">
        <f>A3204</f>
        <v>Lantai 1</v>
      </c>
      <c r="B3212">
        <f>B3204</f>
        <v>10</v>
      </c>
      <c r="C3212" t="str">
        <v>Tul Atas Lapangan</v>
      </c>
      <c r="D3212">
        <f>VLOOKUP(D3204,'Detail Balok'!$C$10:$AU$110,7,FALSE)</f>
        <v>3</v>
      </c>
      <c r="E3212" t="str">
        <v>D</v>
      </c>
      <c r="F3212">
        <f>VLOOKUP(D3204,'Detail Balok'!$C$10:$AU$110,9,FALSE)</f>
        <v>16</v>
      </c>
      <c r="I3212" t="str">
        <v>(</v>
      </c>
      <c r="J3212">
        <f>+D3206/2/1000</f>
        <v>2.1325</v>
      </c>
      <c r="K3212" t="str">
        <v>+</v>
      </c>
      <c r="M3212" t="str">
        <v>=</v>
      </c>
      <c r="N3212">
        <f>J3212+L3212</f>
        <v>2.1325</v>
      </c>
      <c r="O3212" t="str">
        <v>+</v>
      </c>
      <c r="P3212">
        <f>MAX(D3212-D3211,D3212-D3213)</f>
        <v>0</v>
      </c>
      <c r="Q3212" t="str">
        <v>x</v>
      </c>
      <c r="R3212">
        <f>IF(P3212&gt;0,2*(1-2*$F$19-1/2)*D3207/1000,0)</f>
        <v>0</v>
      </c>
      <c r="S3212" t="str">
        <v>)</v>
      </c>
      <c r="T3212" t="str">
        <v>x</v>
      </c>
      <c r="U3212">
        <f>0.006165*F3212^2</f>
        <v>1.57824</v>
      </c>
      <c r="X3212" t="str">
        <v>x</v>
      </c>
      <c r="Y3212">
        <f>D3210</f>
        <v>1</v>
      </c>
      <c r="Z3212" t="str">
        <v>=</v>
      </c>
      <c r="AA3212">
        <f>IF(AA3214=0,(D3212*N3212+P3212*R3212)*U3212*Y3212,0)</f>
        <v>0</v>
      </c>
    </row>
    <row r="3213">
      <c r="A3213" t="str">
        <f>A3204</f>
        <v>Lantai 1</v>
      </c>
      <c r="B3213">
        <f>B3204</f>
        <v>10</v>
      </c>
      <c r="C3213" t="str">
        <v>Tul Atas Tumpuan</v>
      </c>
      <c r="D3213">
        <f>VLOOKUP(D3204,'Detail Balok'!$C$10:$AU$110,10,FALSE)</f>
        <v>3</v>
      </c>
      <c r="E3213" t="str">
        <v>D</v>
      </c>
      <c r="F3213">
        <f>VLOOKUP(D3204,'Detail Balok'!$C$10:$AU$110,12,FALSE)</f>
        <v>16</v>
      </c>
      <c r="I3213" t="str">
        <v>(</v>
      </c>
      <c r="J3213">
        <f>+D3206/4/1000</f>
        <v>1.06625</v>
      </c>
      <c r="K3213" t="str">
        <v>+</v>
      </c>
      <c r="L3213">
        <f>MAX(VLOOKUP(F3213,N$6:P$15,3,FALSE)/1000,2/3*D3208/1000)+F$16*F3213/1000</f>
        <v>0.192</v>
      </c>
      <c r="M3213" t="str">
        <v>=</v>
      </c>
      <c r="N3213">
        <f>J3213+L3213</f>
        <v>1.2582499999999999</v>
      </c>
      <c r="O3213" t="str">
        <v>+</v>
      </c>
      <c r="P3213">
        <f>D3213-D3212</f>
        <v>0</v>
      </c>
      <c r="Q3213" t="str">
        <v>x</v>
      </c>
      <c r="R3213">
        <f>IF(P3213&gt;0,$F$18*F3213/1000,0)</f>
        <v>0</v>
      </c>
      <c r="S3213" t="str">
        <v>)</v>
      </c>
      <c r="T3213" t="str">
        <v>x</v>
      </c>
      <c r="U3213">
        <f>0.006165*F3213^2</f>
        <v>1.57824</v>
      </c>
      <c r="X3213" t="str">
        <v>x</v>
      </c>
      <c r="Y3213">
        <f>D3210</f>
        <v>1</v>
      </c>
      <c r="Z3213" t="str">
        <v>=</v>
      </c>
      <c r="AA3213">
        <f>IF(AA3214=0,(D3213*N3213+P3213*R3213)*U3213*Y3213,0)</f>
        <v>0</v>
      </c>
    </row>
    <row r="3214">
      <c r="A3214" t="str">
        <f>A3204</f>
        <v>Lantai 1</v>
      </c>
      <c r="B3214">
        <f>B3204</f>
        <v>10</v>
      </c>
      <c r="D3214">
        <f>IF(AND(D3211=D3212,D3212=D3213,D3211=D3213),D3211,0)</f>
        <v>3</v>
      </c>
      <c r="E3214" t="str">
        <v>D</v>
      </c>
      <c r="F3214">
        <f>IF(AND(F3211=F3212,F3211=F3213,F3212=F3213),F3211,0)</f>
        <v>16</v>
      </c>
      <c r="L3214" t="str">
        <v>Total panjang per balok</v>
      </c>
      <c r="M3214" t="str">
        <v>=</v>
      </c>
      <c r="N3214">
        <f>IF(AND(D3211=D3212,D3211=D3213,D3212=D3213,F3211=F3212,F3211=F3213,F3212=F3213),SUM(N3211:N3213),0)</f>
        <v>4.648999999999999</v>
      </c>
      <c r="O3214" t="str">
        <v>+</v>
      </c>
      <c r="P3214">
        <f>IF(N3214&gt;12,ROUNDDOWN(N3214/12,0),0)</f>
        <v>0</v>
      </c>
      <c r="Q3214" t="str">
        <v>x</v>
      </c>
      <c r="R3214">
        <f>IF(P3214&gt;0,MAX(VLOOKUP(F3214,$D$6:$G$15,3,FALSE),600),0)/1000</f>
        <v>0</v>
      </c>
      <c r="T3214" t="str">
        <v>x</v>
      </c>
      <c r="U3214">
        <f>U3213</f>
        <v>1.57824</v>
      </c>
      <c r="V3214" t="str">
        <v>x</v>
      </c>
      <c r="W3214">
        <f>D3214</f>
        <v>3</v>
      </c>
      <c r="X3214" t="str">
        <v>x</v>
      </c>
      <c r="Y3214">
        <f>Y3213</f>
        <v>1</v>
      </c>
      <c r="Z3214" t="str">
        <v>=</v>
      </c>
      <c r="AA3214">
        <f>(N3214+P3214*R3214/1000)*U3214*W3214*Y3214</f>
        <v>22.011713279999995</v>
      </c>
    </row>
    <row r="3216">
      <c r="A3216" t="str">
        <f>A3204</f>
        <v>Lantai 1</v>
      </c>
      <c r="B3216">
        <f>B3204</f>
        <v>10</v>
      </c>
      <c r="C3216" t="str">
        <v>Tul Peminggang</v>
      </c>
      <c r="D3216">
        <f>VLOOKUP(D3204,'Detail Balok'!$C$10:$AU$110,13,FALSE)</f>
        <v>2</v>
      </c>
      <c r="E3216" t="str">
        <v>D</v>
      </c>
      <c r="F3216">
        <f>VLOOKUP(D3204,'Detail Balok'!$C$10:$AU$110,15,FALSE)</f>
        <v>10</v>
      </c>
      <c r="J3216">
        <f>+D3206/1000</f>
        <v>4.265</v>
      </c>
      <c r="K3216" t="str">
        <v>+</v>
      </c>
      <c r="L3216">
        <f>2*$F$16*F3216/1000</f>
        <v>0.24</v>
      </c>
      <c r="M3216" t="str">
        <v>=</v>
      </c>
      <c r="N3216">
        <f>J3216+L3216</f>
        <v>4.505</v>
      </c>
      <c r="O3216" t="str">
        <v>+</v>
      </c>
      <c r="P3216">
        <f>IF(N3216&gt;12,ROUNDDOWN(N3216/12,0),0)</f>
        <v>0</v>
      </c>
      <c r="Q3216" t="str">
        <v>x</v>
      </c>
      <c r="R3216">
        <f>IF(P3216&gt;0,MAX(VLOOKUP(F3216,$D$6:$G$15,3,FALSE),600),0)/1000</f>
        <v>0</v>
      </c>
      <c r="T3216" t="str">
        <v>x</v>
      </c>
      <c r="U3216">
        <f>0.006165*F3216^2</f>
        <v>0.6165</v>
      </c>
      <c r="V3216" t="str">
        <v>x</v>
      </c>
      <c r="W3216">
        <f>+D3216</f>
        <v>2</v>
      </c>
      <c r="X3216" t="str">
        <v>x</v>
      </c>
      <c r="Y3216">
        <f>D3210</f>
        <v>1</v>
      </c>
      <c r="Z3216" t="str">
        <v>=</v>
      </c>
      <c r="AA3216">
        <f>(N3216+P3216*R3216/1000)*U3216*W3216*Y3216</f>
        <v>5.554665</v>
      </c>
    </row>
    <row r="3219">
      <c r="A3219" t="str">
        <f>A3204</f>
        <v>Lantai 1</v>
      </c>
      <c r="B3219">
        <f>B3204</f>
        <v>10</v>
      </c>
      <c r="C3219" t="str">
        <v>Tul Bawah Tumpuan</v>
      </c>
      <c r="D3219">
        <f>VLOOKUP(D3204,'Detail Balok'!$C$10:$AU$110,22,FALSE)</f>
        <v>4</v>
      </c>
      <c r="E3219" t="str">
        <v>D</v>
      </c>
      <c r="F3219">
        <f>VLOOKUP(D3204,'Detail Balok'!$C$10:$AU$110,24,FALSE)</f>
        <v>16</v>
      </c>
      <c r="I3219" t="str">
        <v>(</v>
      </c>
      <c r="J3219">
        <f>+J3211</f>
        <v>1.06625</v>
      </c>
      <c r="K3219" t="str">
        <v>+</v>
      </c>
      <c r="L3219">
        <f>MAX(VLOOKUP(F3219,N$6:P$15,3,FALSE)/1000,2/3*D3209/1000)+F$16*F3219/1000</f>
        <v>0.192</v>
      </c>
      <c r="M3219" t="str">
        <v>=</v>
      </c>
      <c r="N3219">
        <f>J3219+L3219</f>
        <v>1.2582499999999999</v>
      </c>
      <c r="O3219" t="str">
        <v>+</v>
      </c>
      <c r="P3219">
        <f>D3219-D3220</f>
        <v>0</v>
      </c>
      <c r="Q3219" t="str">
        <v>x</v>
      </c>
      <c r="R3219">
        <f>IF(P3219&gt;0,$F$18*F3219/1000,0)</f>
        <v>0</v>
      </c>
      <c r="S3219" t="str">
        <v>)</v>
      </c>
      <c r="T3219" t="str">
        <v>x</v>
      </c>
      <c r="U3219">
        <f>0.006165*F3219^2</f>
        <v>1.57824</v>
      </c>
      <c r="X3219" t="str">
        <v>x</v>
      </c>
      <c r="Y3219">
        <f>D3210</f>
        <v>1</v>
      </c>
      <c r="Z3219" t="str">
        <v>=</v>
      </c>
      <c r="AA3219">
        <f>IF(AA3222=0,(D3219*N3219+P3219*R3219)*U3219*Y3219,0)</f>
        <v>0</v>
      </c>
    </row>
    <row r="3220">
      <c r="A3220" t="str">
        <f>A3204</f>
        <v>Lantai 1</v>
      </c>
      <c r="B3220">
        <f>B3204</f>
        <v>10</v>
      </c>
      <c r="C3220" t="str">
        <v>Tul Bawah Lapangan</v>
      </c>
      <c r="D3220">
        <f>VLOOKUP(D3204,'Detail Balok'!$C$10:$AU$110,25,FALSE)</f>
        <v>4</v>
      </c>
      <c r="E3220" t="str">
        <v>D</v>
      </c>
      <c r="F3220">
        <f>VLOOKUP(D3204,'Detail Balok'!$C$10:$AU$110,27,FALSE)</f>
        <v>16</v>
      </c>
      <c r="I3220" t="str">
        <v>(</v>
      </c>
      <c r="J3220">
        <f>+J3212</f>
        <v>2.1325</v>
      </c>
      <c r="K3220" t="str">
        <v>+</v>
      </c>
      <c r="M3220" t="str">
        <v>=</v>
      </c>
      <c r="N3220">
        <f>J3220+L3220</f>
        <v>2.1325</v>
      </c>
      <c r="O3220" t="str">
        <v>+</v>
      </c>
      <c r="P3220">
        <f>MAX(D3220-D3219,D3220-D3221)</f>
        <v>0</v>
      </c>
      <c r="Q3220" t="str">
        <v>x</v>
      </c>
      <c r="R3220">
        <f>IF(P3220&gt;0,2*(1-2*$F$19-1/2)*D3207/1000,0)</f>
        <v>0</v>
      </c>
      <c r="S3220" t="str">
        <v>)</v>
      </c>
      <c r="T3220" t="str">
        <v>x</v>
      </c>
      <c r="U3220">
        <f>0.006165*F3220^2</f>
        <v>1.57824</v>
      </c>
      <c r="X3220" t="str">
        <v>x</v>
      </c>
      <c r="Y3220">
        <f>D3210</f>
        <v>1</v>
      </c>
      <c r="Z3220" t="str">
        <v>=</v>
      </c>
      <c r="AA3220">
        <f>IF(AA3222=0,(D3220*N3220+P3220*R3220)*U3220*Y3220,0)</f>
        <v>0</v>
      </c>
    </row>
    <row r="3221">
      <c r="A3221" t="str">
        <f>A3204</f>
        <v>Lantai 1</v>
      </c>
      <c r="B3221">
        <f>B3204</f>
        <v>10</v>
      </c>
      <c r="C3221" t="str">
        <v>Tul Bawah Tumpuan</v>
      </c>
      <c r="D3221">
        <f>VLOOKUP(D3204,'Detail Balok'!$C$10:$AU$110,28,FALSE)</f>
        <v>4</v>
      </c>
      <c r="E3221" t="str">
        <v>D</v>
      </c>
      <c r="F3221">
        <f>VLOOKUP(D3204,'Detail Balok'!$C$10:$AU$110,30,FALSE)</f>
        <v>16</v>
      </c>
      <c r="I3221" t="str">
        <v>(</v>
      </c>
      <c r="J3221">
        <f>+J3213</f>
        <v>1.06625</v>
      </c>
      <c r="K3221" t="str">
        <v>+</v>
      </c>
      <c r="L3221">
        <f>MAX(VLOOKUP(F3221,N$6:P$15,3,FALSE)/1000,2/3*D3209/1000)+F$16*F3221/1000</f>
        <v>0.192</v>
      </c>
      <c r="M3221" t="str">
        <v>=</v>
      </c>
      <c r="N3221">
        <f>J3221+L3221</f>
        <v>1.2582499999999999</v>
      </c>
      <c r="O3221" t="str">
        <v>+</v>
      </c>
      <c r="P3221">
        <f>D3221-D3220</f>
        <v>0</v>
      </c>
      <c r="Q3221" t="str">
        <v>x</v>
      </c>
      <c r="R3221">
        <f>IF(P3221&gt;0,$F$18*F3221/1000,0)</f>
        <v>0</v>
      </c>
      <c r="S3221" t="str">
        <v>)</v>
      </c>
      <c r="T3221" t="str">
        <v>x</v>
      </c>
      <c r="U3221">
        <f>0.006165*F3221^2</f>
        <v>1.57824</v>
      </c>
      <c r="X3221" t="str">
        <v>x</v>
      </c>
      <c r="Y3221">
        <f>D3210</f>
        <v>1</v>
      </c>
      <c r="Z3221" t="str">
        <v>=</v>
      </c>
      <c r="AA3221">
        <f>IF(AA3222=0,(D3221*N3221+P3221*R3221)*U3221*Y3221,0)</f>
        <v>0</v>
      </c>
    </row>
    <row r="3222">
      <c r="A3222" t="str">
        <f>A3204</f>
        <v>Lantai 1</v>
      </c>
      <c r="B3222">
        <f>B3204</f>
        <v>10</v>
      </c>
      <c r="D3222">
        <f>IF(AND(D3219=D3220,D3220=D3221,D3219=D3221),D3219,0)</f>
        <v>4</v>
      </c>
      <c r="E3222" t="str">
        <v>D</v>
      </c>
      <c r="F3222">
        <f>IF(AND(F3219=F3220,F3219=F3221,F3220=F3221),F3219,0)</f>
        <v>16</v>
      </c>
      <c r="L3222" t="str">
        <v>Total panjang per balok</v>
      </c>
      <c r="M3222" t="str">
        <v>=</v>
      </c>
      <c r="N3222">
        <f>IF(AND(D3219=D3220,D3219=D3221,D3220=D3221,F3219=F3220,F3219=F3221,F3220=F3221),SUM(N3219:N3221),0)</f>
        <v>4.648999999999999</v>
      </c>
      <c r="O3222" t="str">
        <v>+</v>
      </c>
      <c r="P3222">
        <f>IF(N3222&gt;12,ROUNDDOWN(N3222/12,0),0)</f>
        <v>0</v>
      </c>
      <c r="Q3222" t="str">
        <v>x</v>
      </c>
      <c r="R3222">
        <f>IF(P3222&gt;0,MAX(VLOOKUP(F3222,$D$6:$G$15,3,FALSE),600),0)/1000</f>
        <v>0</v>
      </c>
      <c r="T3222" t="str">
        <v>x</v>
      </c>
      <c r="U3222">
        <f>U3221</f>
        <v>1.57824</v>
      </c>
      <c r="V3222" t="str">
        <v>x</v>
      </c>
      <c r="W3222">
        <f>D3222</f>
        <v>4</v>
      </c>
      <c r="X3222" t="str">
        <v>x</v>
      </c>
      <c r="Y3222">
        <f>Y3221</f>
        <v>1</v>
      </c>
      <c r="Z3222" t="str">
        <v>=</v>
      </c>
      <c r="AA3222">
        <f>(N3222+P3222*R3222/1000)*U3222*W3222*Y3222</f>
        <v>29.348951039999996</v>
      </c>
    </row>
    <row r="3224">
      <c r="A3224" t="str">
        <f>A3204</f>
        <v>Lantai 1</v>
      </c>
      <c r="B3224">
        <f>B3204</f>
        <v>10</v>
      </c>
      <c r="C3224" t="str">
        <v>Sengkang Tumpuan</v>
      </c>
      <c r="D3224">
        <f>VLOOKUP(D3204,'Detail Balok'!$C$10:$AU$110,31,FALSE)</f>
        <v>0</v>
      </c>
      <c r="E3224" t="str">
        <v>D</v>
      </c>
      <c r="F3224">
        <f>VLOOKUP(D3204,'Detail Balok'!$C$10:$AU$110,33,FALSE)</f>
        <v>10</v>
      </c>
      <c r="G3224" t="str">
        <v>-</v>
      </c>
      <c r="H3224">
        <f>VLOOKUP(D3204,'Detail Balok'!$C$10:$AU$110,35,FALSE)</f>
        <v>80</v>
      </c>
      <c r="J3224">
        <f>(IF(D3224=0,(2*(D3205+G3205))-(F$5*8),IF(D3224=3,(2*(D3205+G3205))-(F$5*8)+(G3205-2*F$5),IF(D3224=4,(2*(D3205+G3205))-(F$5*8)+2*(G3205-2*F$5)))))/1000</f>
        <v>0.98</v>
      </c>
      <c r="K3224" t="str">
        <v>+</v>
      </c>
      <c r="L3224">
        <f>IF(D3224=0,2*MAX(6*F3224,75),(D3224-1)*2*MAX(6*F3224,75))/1000</f>
        <v>0.15</v>
      </c>
      <c r="M3224" t="str">
        <v>=</v>
      </c>
      <c r="N3224">
        <f>J3224+L3224</f>
        <v>1.13</v>
      </c>
      <c r="T3224" t="str">
        <v>x</v>
      </c>
      <c r="U3224">
        <f>0.006165*F3224^2</f>
        <v>0.6165</v>
      </c>
      <c r="V3224" t="str">
        <v>x</v>
      </c>
      <c r="W3224">
        <f>IF(D3207&gt;4*G3205,ROUND(MAX(D3207/4,2*G3205)/H3224,0)+1,ROUND(D3207/H3224,0)+1)</f>
        <v>14</v>
      </c>
      <c r="X3224" t="str">
        <v>x</v>
      </c>
      <c r="Y3224">
        <f>D3210</f>
        <v>1</v>
      </c>
      <c r="Z3224" t="str">
        <v>=</v>
      </c>
      <c r="AA3224">
        <f>N3224*U3224*W3224*Y3224</f>
        <v>9.753029999999999</v>
      </c>
    </row>
    <row r="3225">
      <c r="A3225" t="str">
        <f>A3204</f>
        <v>Lantai 1</v>
      </c>
      <c r="B3225">
        <f>B3204</f>
        <v>10</v>
      </c>
      <c r="C3225" t="str">
        <v>Sengkang Lapangan</v>
      </c>
      <c r="D3225">
        <f>VLOOKUP(D3204,'Detail Balok'!$C$10:$AU$110,36,FALSE)</f>
        <v>0</v>
      </c>
      <c r="E3225" t="str">
        <v>D</v>
      </c>
      <c r="F3225">
        <f>VLOOKUP(D3204,'Detail Balok'!$C$10:$AU$110,38,FALSE)</f>
        <v>10</v>
      </c>
      <c r="G3225" t="str">
        <v>-</v>
      </c>
      <c r="H3225">
        <f>VLOOKUP(D3204,'Detail Balok'!$C$10:$AU$110,40,FALSE)</f>
        <v>200</v>
      </c>
      <c r="J3225">
        <f>(IF(D3225=0,(2*(D3205+G3205))-(F$5*8),IF(D3225=3,(2*(D3205+G3205))-(F$5*8)+(G3205-2*F$5),IF(D3225=4,(2*(D3205+G3205))-(F$5*8)+2*(G3205-2*F$5)))))/1000</f>
        <v>0.98</v>
      </c>
      <c r="K3225" t="str">
        <v>+</v>
      </c>
      <c r="L3225">
        <f>IF(D3225=0,2*MAX(6*F3225,75),(D3225-1)*2*MAX(6*F3225,75))/1000</f>
        <v>0.15</v>
      </c>
      <c r="M3225" t="str">
        <v>=</v>
      </c>
      <c r="N3225">
        <f>J3225+L3225</f>
        <v>1.13</v>
      </c>
      <c r="T3225" t="str">
        <v>x</v>
      </c>
      <c r="U3225">
        <f>0.006165*F3225^2</f>
        <v>0.6165</v>
      </c>
      <c r="V3225" t="str">
        <v>x</v>
      </c>
      <c r="W3225">
        <f>IF(D3207-MAX(D3207/4,2*G3205)*2&gt;0,ROUND((D3207-MAX(D3207/4,2*G3205)*2)/H3225,0),0)</f>
        <v>11</v>
      </c>
      <c r="X3225" t="str">
        <v>x</v>
      </c>
      <c r="Y3225">
        <f>D3210</f>
        <v>1</v>
      </c>
      <c r="Z3225" t="str">
        <v>=</v>
      </c>
      <c r="AA3225">
        <f>N3225*U3225*W3225*Y3225</f>
        <v>7.663094999999999</v>
      </c>
    </row>
    <row r="3226">
      <c r="A3226" t="str">
        <f>A3204</f>
        <v>Lantai 1</v>
      </c>
      <c r="B3226">
        <f>B3204</f>
        <v>10</v>
      </c>
      <c r="C3226" t="str">
        <v>Sengkang Tumpuan</v>
      </c>
      <c r="D3226">
        <f>VLOOKUP(D3204,'Detail Balok'!$C$10:$AU$110,41,FALSE)</f>
        <v>0</v>
      </c>
      <c r="E3226" t="str">
        <v>D</v>
      </c>
      <c r="F3226">
        <f>VLOOKUP(D3204,'Detail Balok'!$C$10:$AU$110,43,FALSE)</f>
        <v>10</v>
      </c>
      <c r="G3226" t="str">
        <v>-</v>
      </c>
      <c r="H3226">
        <f>VLOOKUP(D3204,'Detail Balok'!$C$10:$AU$110,45,FALSE)</f>
        <v>80</v>
      </c>
      <c r="J3226">
        <f>(IF(D3226=0,(2*(D3205+G3205))-(F$5*8),IF(D3226=3,(2*(D3205+G3205))-(F$5*8)+(G3205-2*F$5),IF(D3226=4,(2*(D3205+G3205))-(F$5*8)+2*(G3205-2*F$5)))))/1000</f>
        <v>0.98</v>
      </c>
      <c r="K3226" t="str">
        <v>+</v>
      </c>
      <c r="L3226">
        <f>IF(D3226=0,2*MAX(6*F3226,75),(D3226-1)*2*MAX(6*F3226,75))/1000</f>
        <v>0.15</v>
      </c>
      <c r="M3226" t="str">
        <v>=</v>
      </c>
      <c r="N3226">
        <f>J3226+L3226</f>
        <v>1.13</v>
      </c>
      <c r="T3226" t="str">
        <v>x</v>
      </c>
      <c r="U3226">
        <f>0.006165*F3226^2</f>
        <v>0.6165</v>
      </c>
      <c r="V3226" t="str">
        <v>x</v>
      </c>
      <c r="W3226">
        <f>IF(D3207&gt;4*G3205,ROUND(MAX(D3207/4,2*G3205)/H3226,0)+1,0)</f>
        <v>14</v>
      </c>
      <c r="X3226" t="str">
        <v>x</v>
      </c>
      <c r="Y3226">
        <f>D3210</f>
        <v>1</v>
      </c>
      <c r="Z3226" t="str">
        <v>=</v>
      </c>
      <c r="AA3226">
        <f>N3226*U3226*W3226*Y3226</f>
        <v>9.753029999999999</v>
      </c>
    </row>
    <row r="3228">
      <c r="A3228" t="str">
        <f>A3204</f>
        <v>Lantai 1</v>
      </c>
      <c r="B3228">
        <f>B3204</f>
        <v>10</v>
      </c>
      <c r="C3228" t="str">
        <v>Kait Horizontal Tump.</v>
      </c>
      <c r="D3228">
        <f>VLOOKUP(D3204,'Detail Balok'!$C$10:$BJ$110,46,FALSE)</f>
        <v>0</v>
      </c>
      <c r="E3228" t="str">
        <v>D</v>
      </c>
      <c r="F3228">
        <f>VLOOKUP(D3204,'Detail Balok'!$C$10:$BJ$110,48,FALSE)</f>
        <v>0</v>
      </c>
      <c r="G3228" t="str">
        <v>-</v>
      </c>
      <c r="H3228">
        <f>VLOOKUP(D3204,'Detail Balok'!$C$10:$BJ$110,50,FALSE)</f>
        <v>100</v>
      </c>
      <c r="J3228">
        <f>(D3205-2*F$5)/1000</f>
        <v>0.12</v>
      </c>
      <c r="K3228" t="str">
        <v>+</v>
      </c>
      <c r="L3228">
        <f>IF(D3228=0,2*MAX(6*F3228,75),(D3228-1)*2*MAX(6*F3228,75))/1000</f>
        <v>0.15</v>
      </c>
      <c r="M3228" t="str">
        <v>=</v>
      </c>
      <c r="N3228">
        <f>J3228+L3228</f>
        <v>0.27</v>
      </c>
      <c r="T3228" t="str">
        <v>x</v>
      </c>
      <c r="U3228">
        <f>0.006165*F3228^2</f>
        <v>0</v>
      </c>
      <c r="V3228" t="str">
        <v>x</v>
      </c>
      <c r="W3228">
        <f>W3224</f>
        <v>14</v>
      </c>
      <c r="X3228" t="str">
        <v>x</v>
      </c>
      <c r="Y3228">
        <f>D3214</f>
        <v>3</v>
      </c>
      <c r="Z3228" t="str">
        <v>=</v>
      </c>
      <c r="AA3228">
        <f>N3228*U3228*W3228*Y3228</f>
        <v>0</v>
      </c>
    </row>
    <row r="3229">
      <c r="A3229" t="str">
        <f>A3204</f>
        <v>Lantai 1</v>
      </c>
      <c r="B3229">
        <f>B3204</f>
        <v>10</v>
      </c>
      <c r="C3229" t="str">
        <v>Kait Horizontal Lap.</v>
      </c>
      <c r="D3229">
        <f>VLOOKUP(D3204,'Detail Balok'!$C$10:$BJ$110,51,FALSE)</f>
        <v>0</v>
      </c>
      <c r="E3229" t="str">
        <v>D</v>
      </c>
      <c r="F3229">
        <f>VLOOKUP(D3204,'Detail Balok'!$C$10:$BJ$110,53,FALSE)</f>
        <v>0</v>
      </c>
      <c r="G3229" t="str">
        <v>-</v>
      </c>
      <c r="H3229">
        <f>VLOOKUP(D3204,'Detail Balok'!$C$10:$BJ$110,55,FALSE)</f>
        <v>100</v>
      </c>
      <c r="J3229">
        <f>(D3205-2*F$5)/1000</f>
        <v>0.12</v>
      </c>
      <c r="K3229" t="str">
        <v>+</v>
      </c>
      <c r="L3229">
        <f>IF(D3229=0,2*MAX(6*F3229,75),(D3229-1)*2*MAX(6*F3229,75))/1000</f>
        <v>0.15</v>
      </c>
      <c r="M3229" t="str">
        <v>=</v>
      </c>
      <c r="N3229">
        <f>J3229+L3229</f>
        <v>0.27</v>
      </c>
      <c r="T3229" t="str">
        <v>x</v>
      </c>
      <c r="U3229">
        <f>0.006165*F3229^2</f>
        <v>0</v>
      </c>
      <c r="V3229" t="str">
        <v>x</v>
      </c>
      <c r="W3229">
        <f>W3225</f>
        <v>11</v>
      </c>
      <c r="X3229" t="str">
        <v>x</v>
      </c>
      <c r="Y3229">
        <f>D3214</f>
        <v>3</v>
      </c>
      <c r="Z3229" t="str">
        <v>=</v>
      </c>
      <c r="AA3229">
        <f>N3229*U3229*W3229*Y3229</f>
        <v>0</v>
      </c>
    </row>
    <row r="3230">
      <c r="A3230" t="str">
        <f>A3204</f>
        <v>Lantai 1</v>
      </c>
      <c r="B3230">
        <f>B3204</f>
        <v>10</v>
      </c>
      <c r="C3230" t="str">
        <v>Kait Horizontal Tump.</v>
      </c>
      <c r="D3230">
        <f>VLOOKUP(D3204,'Detail Balok'!$C$10:$BJ$110,56,FALSE)</f>
        <v>0</v>
      </c>
      <c r="E3230" t="str">
        <v>D</v>
      </c>
      <c r="F3230">
        <f>VLOOKUP(D3204,'Detail Balok'!$C$10:$BJ$110,58,FALSE)</f>
        <v>0</v>
      </c>
      <c r="G3230" t="str">
        <v>-</v>
      </c>
      <c r="H3230">
        <f>VLOOKUP(D3204,'Detail Balok'!$C$10:$BJ$110,60,FALSE)</f>
        <v>100</v>
      </c>
      <c r="J3230">
        <f>(D3205-2*F$5)/1000</f>
        <v>0.12</v>
      </c>
      <c r="K3230" t="str">
        <v>+</v>
      </c>
      <c r="L3230">
        <f>IF(D3230=0,2*MAX(6*F3230,75),(D3230-1)*2*MAX(6*F3230,75))/1000</f>
        <v>0.15</v>
      </c>
      <c r="M3230" t="str">
        <v>=</v>
      </c>
      <c r="N3230">
        <f>J3230+L3230</f>
        <v>0.27</v>
      </c>
      <c r="T3230" t="str">
        <v>x</v>
      </c>
      <c r="U3230">
        <f>0.006165*F3230^2</f>
        <v>0</v>
      </c>
      <c r="V3230" t="str">
        <v>x</v>
      </c>
      <c r="W3230">
        <f>W3226</f>
        <v>14</v>
      </c>
      <c r="X3230" t="str">
        <v>x</v>
      </c>
      <c r="Y3230">
        <f>D3214</f>
        <v>3</v>
      </c>
      <c r="Z3230" t="str">
        <v>=</v>
      </c>
      <c r="AA3230">
        <f>N3230*U3230*W3230*Y3230</f>
        <v>0</v>
      </c>
    </row>
    <row r="3234">
      <c r="A3234" t="str">
        <f>A3204</f>
        <v>Lantai 1</v>
      </c>
      <c r="B3234">
        <f>B3204+1</f>
        <v>11</v>
      </c>
      <c r="C3234" t="str">
        <f>CONCATENATE(A3234," no. ",B3234)</f>
        <v>Lantai 1 no. 11</v>
      </c>
      <c r="D3234" t="str">
        <f>VLOOKUP(C3234,'Data Panjang Balok'!$C$9:$N$424,2,FALSE)</f>
        <v>B245-1</v>
      </c>
    </row>
    <row r="3235">
      <c r="C3235" t="str">
        <v>Dimensi</v>
      </c>
      <c r="D3235">
        <f>VLOOKUP(D3234,'Detail Balok'!$C$10:$AU$110,2,FALSE)</f>
        <v>200</v>
      </c>
      <c r="F3235" t="str">
        <v>x</v>
      </c>
      <c r="G3235">
        <f>VLOOKUP(D3234,'Detail Balok'!$C$10:$AU$110,3,FALSE)</f>
        <v>450</v>
      </c>
    </row>
    <row r="3236">
      <c r="C3236" t="str">
        <v>Panjang as ke as</v>
      </c>
      <c r="D3236">
        <f>VLOOKUP(C3234,'Data Panjang Balok'!$C$9:$N$424,4,FALSE)</f>
        <v>1050</v>
      </c>
    </row>
    <row r="3237">
      <c r="C3237" t="str">
        <v>Panjang netto</v>
      </c>
      <c r="D3237">
        <f>VLOOKUP(C3234,'Data Panjang Balok'!$C$9:$N$424,7,FALSE)</f>
        <v>1050</v>
      </c>
    </row>
    <row r="3238">
      <c r="C3238" t="str">
        <v>Kolom / balok kiri</v>
      </c>
      <c r="D3238">
        <f>VLOOKUP(C3234,'Data Panjang Balok'!$C$9:$N$424,9,FALSE)</f>
        <v>0</v>
      </c>
    </row>
    <row r="3239">
      <c r="C3239" t="str">
        <v>Kolom / balok kanan</v>
      </c>
      <c r="D3239">
        <f>VLOOKUP(C3234,'Data Panjang Balok'!$C$9:$N$424,10,FALSE)</f>
        <v>0</v>
      </c>
    </row>
    <row r="3240">
      <c r="C3240" t="str">
        <v>Jumlah</v>
      </c>
      <c r="D3240">
        <f>VLOOKUP(C3234,'Data Panjang Balok'!$C$9:$N$424,3,FALSE)</f>
        <v>1</v>
      </c>
    </row>
    <row r="3241">
      <c r="A3241" t="str">
        <f>A3234</f>
        <v>Lantai 1</v>
      </c>
      <c r="B3241">
        <f>B3234</f>
        <v>11</v>
      </c>
      <c r="C3241" t="str">
        <v>Tul Atas Tumpuan</v>
      </c>
      <c r="D3241">
        <f>VLOOKUP(D3234,'Detail Balok'!$C$10:$AU$110,4,FALSE)</f>
        <v>2</v>
      </c>
      <c r="E3241" t="str">
        <v>D</v>
      </c>
      <c r="F3241">
        <f>VLOOKUP(D3234,'Detail Balok'!$C$10:$AU$110,6,FALSE)</f>
        <v>13</v>
      </c>
      <c r="I3241" t="str">
        <v>(</v>
      </c>
      <c r="J3241">
        <f>+D3236/4/1000</f>
        <v>0.2625</v>
      </c>
      <c r="K3241" t="str">
        <v>+</v>
      </c>
      <c r="L3241">
        <f>MAX(VLOOKUP(F3241,N$6:P$15,3,FALSE)/1000,2/3*D3238/1000)+F$16*F3241/1000</f>
        <v>0.156</v>
      </c>
      <c r="M3241" t="str">
        <v>=</v>
      </c>
      <c r="N3241">
        <f>J3241+L3241</f>
        <v>0.4185</v>
      </c>
      <c r="O3241" t="str">
        <v>+</v>
      </c>
      <c r="P3241">
        <f>D3241-D3242</f>
        <v>0</v>
      </c>
      <c r="Q3241" t="str">
        <v>x</v>
      </c>
      <c r="R3241">
        <f>IF(P3241&gt;0,$F$18*F3241/1000,0)</f>
        <v>0</v>
      </c>
      <c r="S3241" t="str">
        <v>)</v>
      </c>
      <c r="T3241" t="str">
        <v>x</v>
      </c>
      <c r="U3241">
        <f>0.006165*F3241^2</f>
        <v>1.041885</v>
      </c>
      <c r="X3241" t="str">
        <v>x</v>
      </c>
      <c r="Y3241">
        <f>D3240</f>
        <v>1</v>
      </c>
      <c r="Z3241" t="str">
        <v>=</v>
      </c>
      <c r="AA3241">
        <f>IF(AA3244=0,(D3241*N3241+P3241*R3241)*U3241*Y3241,0)</f>
        <v>0</v>
      </c>
    </row>
    <row r="3242">
      <c r="A3242" t="str">
        <f>A3234</f>
        <v>Lantai 1</v>
      </c>
      <c r="B3242">
        <f>B3234</f>
        <v>11</v>
      </c>
      <c r="C3242" t="str">
        <v>Tul Atas Lapangan</v>
      </c>
      <c r="D3242">
        <f>VLOOKUP(D3234,'Detail Balok'!$C$10:$AU$110,7,FALSE)</f>
        <v>2</v>
      </c>
      <c r="E3242" t="str">
        <v>D</v>
      </c>
      <c r="F3242">
        <f>VLOOKUP(D3234,'Detail Balok'!$C$10:$AU$110,9,FALSE)</f>
        <v>13</v>
      </c>
      <c r="I3242" t="str">
        <v>(</v>
      </c>
      <c r="J3242">
        <f>+D3236/2/1000</f>
        <v>0.525</v>
      </c>
      <c r="K3242" t="str">
        <v>+</v>
      </c>
      <c r="M3242" t="str">
        <v>=</v>
      </c>
      <c r="N3242">
        <f>J3242+L3242</f>
        <v>0.525</v>
      </c>
      <c r="O3242" t="str">
        <v>+</v>
      </c>
      <c r="P3242">
        <f>MAX(D3242-D3241,D3242-D3243)</f>
        <v>0</v>
      </c>
      <c r="Q3242" t="str">
        <v>x</v>
      </c>
      <c r="R3242">
        <f>IF(P3242&gt;0,2*(1-2*$F$19-1/2)*D3237/1000,0)</f>
        <v>0</v>
      </c>
      <c r="S3242" t="str">
        <v>)</v>
      </c>
      <c r="T3242" t="str">
        <v>x</v>
      </c>
      <c r="U3242">
        <f>0.006165*F3242^2</f>
        <v>1.041885</v>
      </c>
      <c r="X3242" t="str">
        <v>x</v>
      </c>
      <c r="Y3242">
        <f>D3240</f>
        <v>1</v>
      </c>
      <c r="Z3242" t="str">
        <v>=</v>
      </c>
      <c r="AA3242">
        <f>IF(AA3244=0,(D3242*N3242+P3242*R3242)*U3242*Y3242,0)</f>
        <v>0</v>
      </c>
    </row>
    <row r="3243">
      <c r="A3243" t="str">
        <f>A3234</f>
        <v>Lantai 1</v>
      </c>
      <c r="B3243">
        <f>B3234</f>
        <v>11</v>
      </c>
      <c r="C3243" t="str">
        <v>Tul Atas Tumpuan</v>
      </c>
      <c r="D3243">
        <f>VLOOKUP(D3234,'Detail Balok'!$C$10:$AU$110,10,FALSE)</f>
        <v>2</v>
      </c>
      <c r="E3243" t="str">
        <v>D</v>
      </c>
      <c r="F3243">
        <f>VLOOKUP(D3234,'Detail Balok'!$C$10:$AU$110,12,FALSE)</f>
        <v>13</v>
      </c>
      <c r="I3243" t="str">
        <v>(</v>
      </c>
      <c r="J3243">
        <f>+D3236/4/1000</f>
        <v>0.2625</v>
      </c>
      <c r="K3243" t="str">
        <v>+</v>
      </c>
      <c r="L3243">
        <f>MAX(VLOOKUP(F3243,N$6:P$15,3,FALSE)/1000,2/3*D3238/1000)+F$16*F3243/1000</f>
        <v>0.156</v>
      </c>
      <c r="M3243" t="str">
        <v>=</v>
      </c>
      <c r="N3243">
        <f>J3243+L3243</f>
        <v>0.4185</v>
      </c>
      <c r="O3243" t="str">
        <v>+</v>
      </c>
      <c r="P3243">
        <f>D3243-D3242</f>
        <v>0</v>
      </c>
      <c r="Q3243" t="str">
        <v>x</v>
      </c>
      <c r="R3243">
        <f>IF(P3243&gt;0,$F$18*F3243/1000,0)</f>
        <v>0</v>
      </c>
      <c r="S3243" t="str">
        <v>)</v>
      </c>
      <c r="T3243" t="str">
        <v>x</v>
      </c>
      <c r="U3243">
        <f>0.006165*F3243^2</f>
        <v>1.041885</v>
      </c>
      <c r="X3243" t="str">
        <v>x</v>
      </c>
      <c r="Y3243">
        <f>D3240</f>
        <v>1</v>
      </c>
      <c r="Z3243" t="str">
        <v>=</v>
      </c>
      <c r="AA3243">
        <f>IF(AA3244=0,(D3243*N3243+P3243*R3243)*U3243*Y3243,0)</f>
        <v>0</v>
      </c>
    </row>
    <row r="3244">
      <c r="A3244" t="str">
        <f>A3234</f>
        <v>Lantai 1</v>
      </c>
      <c r="B3244">
        <f>B3234</f>
        <v>11</v>
      </c>
      <c r="D3244">
        <f>IF(AND(D3241=D3242,D3242=D3243,D3241=D3243),D3241,0)</f>
        <v>2</v>
      </c>
      <c r="E3244" t="str">
        <v>D</v>
      </c>
      <c r="F3244">
        <f>IF(AND(F3241=F3242,F3241=F3243,F3242=F3243),F3241,0)</f>
        <v>13</v>
      </c>
      <c r="L3244" t="str">
        <v>Total panjang per balok</v>
      </c>
      <c r="M3244" t="str">
        <v>=</v>
      </c>
      <c r="N3244">
        <f>IF(AND(D3241=D3242,D3241=D3243,D3242=D3243,F3241=F3242,F3241=F3243,F3242=F3243),SUM(N3241:N3243),0)</f>
        <v>1.362</v>
      </c>
      <c r="O3244" t="str">
        <v>+</v>
      </c>
      <c r="P3244">
        <f>IF(N3244&gt;12,ROUNDDOWN(N3244/12,0),0)</f>
        <v>0</v>
      </c>
      <c r="Q3244" t="str">
        <v>x</v>
      </c>
      <c r="R3244">
        <f>IF(P3244&gt;0,MAX(VLOOKUP(F3244,$D$6:$G$15,3,FALSE),600),0)/1000</f>
        <v>0</v>
      </c>
      <c r="T3244" t="str">
        <v>x</v>
      </c>
      <c r="U3244">
        <f>U3243</f>
        <v>1.041885</v>
      </c>
      <c r="V3244" t="str">
        <v>x</v>
      </c>
      <c r="W3244">
        <f>D3244</f>
        <v>2</v>
      </c>
      <c r="X3244" t="str">
        <v>x</v>
      </c>
      <c r="Y3244">
        <f>Y3243</f>
        <v>1</v>
      </c>
      <c r="Z3244" t="str">
        <v>=</v>
      </c>
      <c r="AA3244">
        <f>(N3244+P3244*R3244/1000)*U3244*W3244*Y3244</f>
        <v>2.8380947400000003</v>
      </c>
    </row>
    <row r="3246">
      <c r="A3246" t="str">
        <f>A3234</f>
        <v>Lantai 1</v>
      </c>
      <c r="B3246">
        <f>B3234</f>
        <v>11</v>
      </c>
      <c r="C3246" t="str">
        <v>Tul Peminggang</v>
      </c>
      <c r="D3246">
        <f>VLOOKUP(D3234,'Detail Balok'!$C$10:$AU$110,13,FALSE)</f>
        <v>2</v>
      </c>
      <c r="E3246" t="str">
        <v>D</v>
      </c>
      <c r="F3246">
        <f>VLOOKUP(D3234,'Detail Balok'!$C$10:$AU$110,15,FALSE)</f>
        <v>8</v>
      </c>
      <c r="J3246">
        <f>+D3236/1000</f>
        <v>1.05</v>
      </c>
      <c r="K3246" t="str">
        <v>+</v>
      </c>
      <c r="L3246">
        <f>2*$F$16*F3246/1000</f>
        <v>0.192</v>
      </c>
      <c r="M3246" t="str">
        <v>=</v>
      </c>
      <c r="N3246">
        <f>J3246+L3246</f>
        <v>1.242</v>
      </c>
      <c r="O3246" t="str">
        <v>+</v>
      </c>
      <c r="P3246">
        <f>IF(N3246&gt;12,ROUNDDOWN(N3246/12,0),0)</f>
        <v>0</v>
      </c>
      <c r="Q3246" t="str">
        <v>x</v>
      </c>
      <c r="R3246">
        <f>IF(P3246&gt;0,MAX(VLOOKUP(F3246,$D$6:$G$15,3,FALSE),600),0)/1000</f>
        <v>0</v>
      </c>
      <c r="T3246" t="str">
        <v>x</v>
      </c>
      <c r="U3246">
        <f>0.006165*F3246^2</f>
        <v>0.39456</v>
      </c>
      <c r="V3246" t="str">
        <v>x</v>
      </c>
      <c r="W3246">
        <f>+D3246</f>
        <v>2</v>
      </c>
      <c r="X3246" t="str">
        <v>x</v>
      </c>
      <c r="Y3246">
        <f>D3240</f>
        <v>1</v>
      </c>
      <c r="Z3246" t="str">
        <v>=</v>
      </c>
      <c r="AA3246">
        <f>(N3246+P3246*R3246/1000)*U3246*W3246*Y3246</f>
        <v>0.98008704</v>
      </c>
    </row>
    <row r="3249">
      <c r="A3249" t="str">
        <f>A3234</f>
        <v>Lantai 1</v>
      </c>
      <c r="B3249">
        <f>B3234</f>
        <v>11</v>
      </c>
      <c r="C3249" t="str">
        <v>Tul Bawah Tumpuan</v>
      </c>
      <c r="D3249">
        <f>VLOOKUP(D3234,'Detail Balok'!$C$10:$AU$110,22,FALSE)</f>
        <v>2</v>
      </c>
      <c r="E3249" t="str">
        <v>D</v>
      </c>
      <c r="F3249">
        <f>VLOOKUP(D3234,'Detail Balok'!$C$10:$AU$110,24,FALSE)</f>
        <v>13</v>
      </c>
      <c r="I3249" t="str">
        <v>(</v>
      </c>
      <c r="J3249">
        <f>+J3241</f>
        <v>0.2625</v>
      </c>
      <c r="K3249" t="str">
        <v>+</v>
      </c>
      <c r="L3249">
        <f>MAX(VLOOKUP(F3249,N$6:P$15,3,FALSE)/1000,2/3*D3239/1000)+F$16*F3249/1000</f>
        <v>0.156</v>
      </c>
      <c r="M3249" t="str">
        <v>=</v>
      </c>
      <c r="N3249">
        <f>J3249+L3249</f>
        <v>0.4185</v>
      </c>
      <c r="O3249" t="str">
        <v>+</v>
      </c>
      <c r="P3249">
        <f>D3249-D3250</f>
        <v>0</v>
      </c>
      <c r="Q3249" t="str">
        <v>x</v>
      </c>
      <c r="R3249">
        <f>IF(P3249&gt;0,$F$18*F3249/1000,0)</f>
        <v>0</v>
      </c>
      <c r="S3249" t="str">
        <v>)</v>
      </c>
      <c r="T3249" t="str">
        <v>x</v>
      </c>
      <c r="U3249">
        <f>0.006165*F3249^2</f>
        <v>1.041885</v>
      </c>
      <c r="X3249" t="str">
        <v>x</v>
      </c>
      <c r="Y3249">
        <f>D3240</f>
        <v>1</v>
      </c>
      <c r="Z3249" t="str">
        <v>=</v>
      </c>
      <c r="AA3249">
        <f>IF(AA3252=0,(D3249*N3249+P3249*R3249)*U3249*Y3249,0)</f>
        <v>0</v>
      </c>
    </row>
    <row r="3250">
      <c r="A3250" t="str">
        <f>A3234</f>
        <v>Lantai 1</v>
      </c>
      <c r="B3250">
        <f>B3234</f>
        <v>11</v>
      </c>
      <c r="C3250" t="str">
        <v>Tul Bawah Lapangan</v>
      </c>
      <c r="D3250">
        <f>VLOOKUP(D3234,'Detail Balok'!$C$10:$AU$110,25,FALSE)</f>
        <v>2</v>
      </c>
      <c r="E3250" t="str">
        <v>D</v>
      </c>
      <c r="F3250">
        <f>VLOOKUP(D3234,'Detail Balok'!$C$10:$AU$110,27,FALSE)</f>
        <v>13</v>
      </c>
      <c r="I3250" t="str">
        <v>(</v>
      </c>
      <c r="J3250">
        <f>+J3242</f>
        <v>0.525</v>
      </c>
      <c r="K3250" t="str">
        <v>+</v>
      </c>
      <c r="M3250" t="str">
        <v>=</v>
      </c>
      <c r="N3250">
        <f>J3250+L3250</f>
        <v>0.525</v>
      </c>
      <c r="O3250" t="str">
        <v>+</v>
      </c>
      <c r="P3250">
        <f>MAX(D3250-D3249,D3250-D3251)</f>
        <v>0</v>
      </c>
      <c r="Q3250" t="str">
        <v>x</v>
      </c>
      <c r="R3250">
        <f>IF(P3250&gt;0,2*(1-2*$F$19-1/2)*D3237/1000,0)</f>
        <v>0</v>
      </c>
      <c r="S3250" t="str">
        <v>)</v>
      </c>
      <c r="T3250" t="str">
        <v>x</v>
      </c>
      <c r="U3250">
        <f>0.006165*F3250^2</f>
        <v>1.041885</v>
      </c>
      <c r="X3250" t="str">
        <v>x</v>
      </c>
      <c r="Y3250">
        <f>D3240</f>
        <v>1</v>
      </c>
      <c r="Z3250" t="str">
        <v>=</v>
      </c>
      <c r="AA3250">
        <f>IF(AA3252=0,(D3250*N3250+P3250*R3250)*U3250*Y3250,0)</f>
        <v>0</v>
      </c>
    </row>
    <row r="3251">
      <c r="A3251" t="str">
        <f>A3234</f>
        <v>Lantai 1</v>
      </c>
      <c r="B3251">
        <f>B3234</f>
        <v>11</v>
      </c>
      <c r="C3251" t="str">
        <v>Tul Bawah Tumpuan</v>
      </c>
      <c r="D3251">
        <f>VLOOKUP(D3234,'Detail Balok'!$C$10:$AU$110,28,FALSE)</f>
        <v>2</v>
      </c>
      <c r="E3251" t="str">
        <v>D</v>
      </c>
      <c r="F3251">
        <f>VLOOKUP(D3234,'Detail Balok'!$C$10:$AU$110,30,FALSE)</f>
        <v>13</v>
      </c>
      <c r="I3251" t="str">
        <v>(</v>
      </c>
      <c r="J3251">
        <f>+J3243</f>
        <v>0.2625</v>
      </c>
      <c r="K3251" t="str">
        <v>+</v>
      </c>
      <c r="L3251">
        <f>MAX(VLOOKUP(F3251,N$6:P$15,3,FALSE)/1000,2/3*D3239/1000)+F$16*F3251/1000</f>
        <v>0.156</v>
      </c>
      <c r="M3251" t="str">
        <v>=</v>
      </c>
      <c r="N3251">
        <f>J3251+L3251</f>
        <v>0.4185</v>
      </c>
      <c r="O3251" t="str">
        <v>+</v>
      </c>
      <c r="P3251">
        <f>D3251-D3250</f>
        <v>0</v>
      </c>
      <c r="Q3251" t="str">
        <v>x</v>
      </c>
      <c r="R3251">
        <f>IF(P3251&gt;0,$F$18*F3251/1000,0)</f>
        <v>0</v>
      </c>
      <c r="S3251" t="str">
        <v>)</v>
      </c>
      <c r="T3251" t="str">
        <v>x</v>
      </c>
      <c r="U3251">
        <f>0.006165*F3251^2</f>
        <v>1.041885</v>
      </c>
      <c r="X3251" t="str">
        <v>x</v>
      </c>
      <c r="Y3251">
        <f>D3240</f>
        <v>1</v>
      </c>
      <c r="Z3251" t="str">
        <v>=</v>
      </c>
      <c r="AA3251">
        <f>IF(AA3252=0,(D3251*N3251+P3251*R3251)*U3251*Y3251,0)</f>
        <v>0</v>
      </c>
    </row>
    <row r="3252">
      <c r="A3252" t="str">
        <f>A3234</f>
        <v>Lantai 1</v>
      </c>
      <c r="B3252">
        <f>B3234</f>
        <v>11</v>
      </c>
      <c r="D3252">
        <f>IF(AND(D3249=D3250,D3250=D3251,D3249=D3251),D3249,0)</f>
        <v>2</v>
      </c>
      <c r="E3252" t="str">
        <v>D</v>
      </c>
      <c r="F3252">
        <f>IF(AND(F3249=F3250,F3249=F3251,F3250=F3251),F3249,0)</f>
        <v>13</v>
      </c>
      <c r="L3252" t="str">
        <v>Total panjang per balok</v>
      </c>
      <c r="M3252" t="str">
        <v>=</v>
      </c>
      <c r="N3252">
        <f>IF(AND(D3249=D3250,D3249=D3251,D3250=D3251,F3249=F3250,F3249=F3251,F3250=F3251),SUM(N3249:N3251),0)</f>
        <v>1.362</v>
      </c>
      <c r="O3252" t="str">
        <v>+</v>
      </c>
      <c r="P3252">
        <f>IF(N3252&gt;12,ROUNDDOWN(N3252/12,0),0)</f>
        <v>0</v>
      </c>
      <c r="Q3252" t="str">
        <v>x</v>
      </c>
      <c r="R3252">
        <f>IF(P3252&gt;0,MAX(VLOOKUP(F3252,$D$6:$G$15,3,FALSE),600),0)/1000</f>
        <v>0</v>
      </c>
      <c r="T3252" t="str">
        <v>x</v>
      </c>
      <c r="U3252">
        <f>U3251</f>
        <v>1.041885</v>
      </c>
      <c r="V3252" t="str">
        <v>x</v>
      </c>
      <c r="W3252">
        <f>D3252</f>
        <v>2</v>
      </c>
      <c r="X3252" t="str">
        <v>x</v>
      </c>
      <c r="Y3252">
        <f>Y3251</f>
        <v>1</v>
      </c>
      <c r="Z3252" t="str">
        <v>=</v>
      </c>
      <c r="AA3252">
        <f>(N3252+P3252*R3252/1000)*U3252*W3252*Y3252</f>
        <v>2.8380947400000003</v>
      </c>
    </row>
    <row r="3254">
      <c r="A3254" t="str">
        <f>A3234</f>
        <v>Lantai 1</v>
      </c>
      <c r="B3254">
        <f>B3234</f>
        <v>11</v>
      </c>
      <c r="C3254" t="str">
        <v>Sengkang Tumpuan</v>
      </c>
      <c r="D3254">
        <f>VLOOKUP(D3234,'Detail Balok'!$C$10:$AU$110,31,FALSE)</f>
        <v>0</v>
      </c>
      <c r="E3254" t="str">
        <v>D</v>
      </c>
      <c r="F3254">
        <f>VLOOKUP(D3234,'Detail Balok'!$C$10:$AU$110,33,FALSE)</f>
        <v>8</v>
      </c>
      <c r="G3254" t="str">
        <v>-</v>
      </c>
      <c r="H3254">
        <f>VLOOKUP(D3234,'Detail Balok'!$C$10:$AU$110,35,FALSE)</f>
        <v>100</v>
      </c>
      <c r="J3254">
        <f>(IF(D3254=0,(2*(D3235+G3235))-(F$5*8),IF(D3254=3,(2*(D3235+G3235))-(F$5*8)+(G3235-2*F$5),IF(D3254=4,(2*(D3235+G3235))-(F$5*8)+2*(G3235-2*F$5)))))/1000</f>
        <v>0.98</v>
      </c>
      <c r="K3254" t="str">
        <v>+</v>
      </c>
      <c r="L3254">
        <f>IF(D3254=0,2*MAX(6*F3254,75),(D3254-1)*2*MAX(6*F3254,75))/1000</f>
        <v>0.15</v>
      </c>
      <c r="M3254" t="str">
        <v>=</v>
      </c>
      <c r="N3254">
        <f>J3254+L3254</f>
        <v>1.13</v>
      </c>
      <c r="T3254" t="str">
        <v>x</v>
      </c>
      <c r="U3254">
        <f>0.006165*F3254^2</f>
        <v>0.39456</v>
      </c>
      <c r="V3254" t="str">
        <v>x</v>
      </c>
      <c r="W3254">
        <f>IF(D3237&gt;4*G3235,ROUND(MAX(D3237/4,2*G3235)/H3254,0)+1,ROUND(D3237/H3254,0)+1)</f>
        <v>12</v>
      </c>
      <c r="X3254" t="str">
        <v>x</v>
      </c>
      <c r="Y3254">
        <f>D3240</f>
        <v>1</v>
      </c>
      <c r="Z3254" t="str">
        <v>=</v>
      </c>
      <c r="AA3254">
        <f>N3254*U3254*W3254*Y3254</f>
        <v>5.3502336</v>
      </c>
    </row>
    <row r="3255">
      <c r="A3255" t="str">
        <f>A3234</f>
        <v>Lantai 1</v>
      </c>
      <c r="B3255">
        <f>B3234</f>
        <v>11</v>
      </c>
      <c r="C3255" t="str">
        <v>Sengkang Lapangan</v>
      </c>
      <c r="D3255">
        <f>VLOOKUP(D3234,'Detail Balok'!$C$10:$AU$110,36,FALSE)</f>
        <v>0</v>
      </c>
      <c r="E3255" t="str">
        <v>D</v>
      </c>
      <c r="F3255">
        <f>VLOOKUP(D3234,'Detail Balok'!$C$10:$AU$110,38,FALSE)</f>
        <v>8</v>
      </c>
      <c r="G3255" t="str">
        <v>-</v>
      </c>
      <c r="H3255">
        <f>VLOOKUP(D3234,'Detail Balok'!$C$10:$AU$110,40,FALSE)</f>
        <v>200</v>
      </c>
      <c r="J3255">
        <f>(IF(D3255=0,(2*(D3235+G3235))-(F$5*8),IF(D3255=3,(2*(D3235+G3235))-(F$5*8)+(G3235-2*F$5),IF(D3255=4,(2*(D3235+G3235))-(F$5*8)+2*(G3235-2*F$5)))))/1000</f>
        <v>0.98</v>
      </c>
      <c r="K3255" t="str">
        <v>+</v>
      </c>
      <c r="L3255">
        <f>IF(D3255=0,2*MAX(6*F3255,75),(D3255-1)*2*MAX(6*F3255,75))/1000</f>
        <v>0.15</v>
      </c>
      <c r="M3255" t="str">
        <v>=</v>
      </c>
      <c r="N3255">
        <f>J3255+L3255</f>
        <v>1.13</v>
      </c>
      <c r="T3255" t="str">
        <v>x</v>
      </c>
      <c r="U3255">
        <f>0.006165*F3255^2</f>
        <v>0.39456</v>
      </c>
      <c r="V3255" t="str">
        <v>x</v>
      </c>
      <c r="W3255">
        <f>IF(D3237-MAX(D3237/4,2*G3235)*2&gt;0,ROUND((D3237-MAX(D3237/4,2*G3235)*2)/H3255,0),0)</f>
        <v>0</v>
      </c>
      <c r="X3255" t="str">
        <v>x</v>
      </c>
      <c r="Y3255">
        <f>D3240</f>
        <v>1</v>
      </c>
      <c r="Z3255" t="str">
        <v>=</v>
      </c>
      <c r="AA3255">
        <f>N3255*U3255*W3255*Y3255</f>
        <v>0</v>
      </c>
    </row>
    <row r="3256">
      <c r="A3256" t="str">
        <f>A3234</f>
        <v>Lantai 1</v>
      </c>
      <c r="B3256">
        <f>B3234</f>
        <v>11</v>
      </c>
      <c r="C3256" t="str">
        <v>Sengkang Tumpuan</v>
      </c>
      <c r="D3256">
        <f>VLOOKUP(D3234,'Detail Balok'!$C$10:$AU$110,41,FALSE)</f>
        <v>0</v>
      </c>
      <c r="E3256" t="str">
        <v>D</v>
      </c>
      <c r="F3256">
        <f>VLOOKUP(D3234,'Detail Balok'!$C$10:$AU$110,43,FALSE)</f>
        <v>8</v>
      </c>
      <c r="G3256" t="str">
        <v>-</v>
      </c>
      <c r="H3256">
        <f>VLOOKUP(D3234,'Detail Balok'!$C$10:$AU$110,45,FALSE)</f>
        <v>100</v>
      </c>
      <c r="J3256">
        <f>(IF(D3256=0,(2*(D3235+G3235))-(F$5*8),IF(D3256=3,(2*(D3235+G3235))-(F$5*8)+(G3235-2*F$5),IF(D3256=4,(2*(D3235+G3235))-(F$5*8)+2*(G3235-2*F$5)))))/1000</f>
        <v>0.98</v>
      </c>
      <c r="K3256" t="str">
        <v>+</v>
      </c>
      <c r="L3256">
        <f>IF(D3256=0,2*MAX(6*F3256,75),(D3256-1)*2*MAX(6*F3256,75))/1000</f>
        <v>0.15</v>
      </c>
      <c r="M3256" t="str">
        <v>=</v>
      </c>
      <c r="N3256">
        <f>J3256+L3256</f>
        <v>1.13</v>
      </c>
      <c r="T3256" t="str">
        <v>x</v>
      </c>
      <c r="U3256">
        <f>0.006165*F3256^2</f>
        <v>0.39456</v>
      </c>
      <c r="V3256" t="str">
        <v>x</v>
      </c>
      <c r="W3256">
        <f>IF(D3237&gt;4*G3235,ROUND(MAX(D3237/4,2*G3235)/H3256,0)+1,0)</f>
        <v>0</v>
      </c>
      <c r="X3256" t="str">
        <v>x</v>
      </c>
      <c r="Y3256">
        <f>D3240</f>
        <v>1</v>
      </c>
      <c r="Z3256" t="str">
        <v>=</v>
      </c>
      <c r="AA3256">
        <f>N3256*U3256*W3256*Y3256</f>
        <v>0</v>
      </c>
    </row>
    <row r="3258">
      <c r="A3258" t="str">
        <f>A3234</f>
        <v>Lantai 1</v>
      </c>
      <c r="B3258">
        <f>B3234</f>
        <v>11</v>
      </c>
      <c r="C3258" t="str">
        <v>Kait Horizontal Tump.</v>
      </c>
      <c r="D3258">
        <f>VLOOKUP(D3234,'Detail Balok'!$C$10:$BJ$110,46,FALSE)</f>
        <v>0</v>
      </c>
      <c r="E3258" t="str">
        <v>D</v>
      </c>
      <c r="F3258">
        <f>VLOOKUP(D3234,'Detail Balok'!$C$10:$BJ$110,48,FALSE)</f>
        <v>0</v>
      </c>
      <c r="G3258" t="str">
        <v>-</v>
      </c>
      <c r="H3258">
        <f>VLOOKUP(D3234,'Detail Balok'!$C$10:$BJ$110,50,FALSE)</f>
        <v>100</v>
      </c>
      <c r="J3258">
        <f>(D3235-2*F$5)/1000</f>
        <v>0.12</v>
      </c>
      <c r="K3258" t="str">
        <v>+</v>
      </c>
      <c r="L3258">
        <f>IF(D3258=0,2*MAX(6*F3258,75),(D3258-1)*2*MAX(6*F3258,75))/1000</f>
        <v>0.15</v>
      </c>
      <c r="M3258" t="str">
        <v>=</v>
      </c>
      <c r="N3258">
        <f>J3258+L3258</f>
        <v>0.27</v>
      </c>
      <c r="T3258" t="str">
        <v>x</v>
      </c>
      <c r="U3258">
        <f>0.006165*F3258^2</f>
        <v>0</v>
      </c>
      <c r="V3258" t="str">
        <v>x</v>
      </c>
      <c r="W3258">
        <f>W3254</f>
        <v>12</v>
      </c>
      <c r="X3258" t="str">
        <v>x</v>
      </c>
      <c r="Y3258">
        <f>D3244</f>
        <v>2</v>
      </c>
      <c r="Z3258" t="str">
        <v>=</v>
      </c>
      <c r="AA3258">
        <f>N3258*U3258*W3258*Y3258</f>
        <v>0</v>
      </c>
    </row>
    <row r="3259">
      <c r="A3259" t="str">
        <f>A3234</f>
        <v>Lantai 1</v>
      </c>
      <c r="B3259">
        <f>B3234</f>
        <v>11</v>
      </c>
      <c r="C3259" t="str">
        <v>Kait Horizontal Lap.</v>
      </c>
      <c r="D3259">
        <f>VLOOKUP(D3234,'Detail Balok'!$C$10:$BJ$110,51,FALSE)</f>
        <v>0</v>
      </c>
      <c r="E3259" t="str">
        <v>D</v>
      </c>
      <c r="F3259">
        <f>VLOOKUP(D3234,'Detail Balok'!$C$10:$BJ$110,53,FALSE)</f>
        <v>0</v>
      </c>
      <c r="G3259" t="str">
        <v>-</v>
      </c>
      <c r="H3259">
        <f>VLOOKUP(D3234,'Detail Balok'!$C$10:$BJ$110,55,FALSE)</f>
        <v>100</v>
      </c>
      <c r="J3259">
        <f>(D3235-2*F$5)/1000</f>
        <v>0.12</v>
      </c>
      <c r="K3259" t="str">
        <v>+</v>
      </c>
      <c r="L3259">
        <f>IF(D3259=0,2*MAX(6*F3259,75),(D3259-1)*2*MAX(6*F3259,75))/1000</f>
        <v>0.15</v>
      </c>
      <c r="M3259" t="str">
        <v>=</v>
      </c>
      <c r="N3259">
        <f>J3259+L3259</f>
        <v>0.27</v>
      </c>
      <c r="T3259" t="str">
        <v>x</v>
      </c>
      <c r="U3259">
        <f>0.006165*F3259^2</f>
        <v>0</v>
      </c>
      <c r="V3259" t="str">
        <v>x</v>
      </c>
      <c r="W3259">
        <f>W3255</f>
        <v>0</v>
      </c>
      <c r="X3259" t="str">
        <v>x</v>
      </c>
      <c r="Y3259">
        <f>D3244</f>
        <v>2</v>
      </c>
      <c r="Z3259" t="str">
        <v>=</v>
      </c>
      <c r="AA3259">
        <f>N3259*U3259*W3259*Y3259</f>
        <v>0</v>
      </c>
    </row>
    <row r="3260">
      <c r="A3260" t="str">
        <f>A3234</f>
        <v>Lantai 1</v>
      </c>
      <c r="B3260">
        <f>B3234</f>
        <v>11</v>
      </c>
      <c r="C3260" t="str">
        <v>Kait Horizontal Tump.</v>
      </c>
      <c r="D3260">
        <f>VLOOKUP(D3234,'Detail Balok'!$C$10:$BJ$110,56,FALSE)</f>
        <v>0</v>
      </c>
      <c r="E3260" t="str">
        <v>D</v>
      </c>
      <c r="F3260">
        <f>VLOOKUP(D3234,'Detail Balok'!$C$10:$BJ$110,58,FALSE)</f>
        <v>0</v>
      </c>
      <c r="G3260" t="str">
        <v>-</v>
      </c>
      <c r="H3260">
        <f>VLOOKUP(D3234,'Detail Balok'!$C$10:$BJ$110,60,FALSE)</f>
        <v>100</v>
      </c>
      <c r="J3260">
        <f>(D3235-2*F$5)/1000</f>
        <v>0.12</v>
      </c>
      <c r="K3260" t="str">
        <v>+</v>
      </c>
      <c r="L3260">
        <f>IF(D3260=0,2*MAX(6*F3260,75),(D3260-1)*2*MAX(6*F3260,75))/1000</f>
        <v>0.15</v>
      </c>
      <c r="M3260" t="str">
        <v>=</v>
      </c>
      <c r="N3260">
        <f>J3260+L3260</f>
        <v>0.27</v>
      </c>
      <c r="T3260" t="str">
        <v>x</v>
      </c>
      <c r="U3260">
        <f>0.006165*F3260^2</f>
        <v>0</v>
      </c>
      <c r="V3260" t="str">
        <v>x</v>
      </c>
      <c r="W3260">
        <f>W3256</f>
        <v>0</v>
      </c>
      <c r="X3260" t="str">
        <v>x</v>
      </c>
      <c r="Y3260">
        <f>D3244</f>
        <v>2</v>
      </c>
      <c r="Z3260" t="str">
        <v>=</v>
      </c>
      <c r="AA3260">
        <f>N3260*U3260*W3260*Y3260</f>
        <v>0</v>
      </c>
    </row>
    <row r="3264">
      <c r="A3264" t="str">
        <f>A3234</f>
        <v>Lantai 1</v>
      </c>
      <c r="B3264">
        <f>B3234+1</f>
        <v>12</v>
      </c>
      <c r="C3264" t="str">
        <f>CONCATENATE(A3264," no. ",B3264)</f>
        <v>Lantai 1 no. 12</v>
      </c>
      <c r="D3264" t="str">
        <f>VLOOKUP(C3264,'Data Panjang Balok'!$C$9:$N$424,2,FALSE)</f>
        <v>B245-1</v>
      </c>
    </row>
    <row r="3265">
      <c r="C3265" t="str">
        <v>Dimensi</v>
      </c>
      <c r="D3265">
        <f>VLOOKUP(D3264,'Detail Balok'!$C$10:$AU$110,2,FALSE)</f>
        <v>200</v>
      </c>
      <c r="F3265" t="str">
        <v>x</v>
      </c>
      <c r="G3265">
        <f>VLOOKUP(D3264,'Detail Balok'!$C$10:$AU$110,3,FALSE)</f>
        <v>450</v>
      </c>
    </row>
    <row r="3266">
      <c r="C3266" t="str">
        <v>Panjang as ke as</v>
      </c>
      <c r="D3266">
        <f>VLOOKUP(C3264,'Data Panjang Balok'!$C$9:$N$424,4,FALSE)</f>
        <v>2100</v>
      </c>
    </row>
    <row r="3267">
      <c r="C3267" t="str">
        <v>Panjang netto</v>
      </c>
      <c r="D3267">
        <f>VLOOKUP(C3264,'Data Panjang Balok'!$C$9:$N$424,7,FALSE)</f>
        <v>2100</v>
      </c>
    </row>
    <row r="3268">
      <c r="C3268" t="str">
        <v>Kolom / balok kiri</v>
      </c>
      <c r="D3268">
        <f>VLOOKUP(C3264,'Data Panjang Balok'!$C$9:$N$424,9,FALSE)</f>
        <v>0</v>
      </c>
    </row>
    <row r="3269">
      <c r="C3269" t="str">
        <v>Kolom / balok kanan</v>
      </c>
      <c r="D3269">
        <f>VLOOKUP(C3264,'Data Panjang Balok'!$C$9:$N$424,10,FALSE)</f>
        <v>0</v>
      </c>
    </row>
    <row r="3270">
      <c r="C3270" t="str">
        <v>Jumlah</v>
      </c>
      <c r="D3270">
        <f>VLOOKUP(C3264,'Data Panjang Balok'!$C$9:$N$424,3,FALSE)</f>
        <v>1</v>
      </c>
    </row>
    <row r="3271">
      <c r="A3271" t="str">
        <f>A3264</f>
        <v>Lantai 1</v>
      </c>
      <c r="B3271">
        <f>B3264</f>
        <v>12</v>
      </c>
      <c r="C3271" t="str">
        <v>Tul Atas Tumpuan</v>
      </c>
      <c r="D3271">
        <f>VLOOKUP(D3264,'Detail Balok'!$C$10:$AU$110,4,FALSE)</f>
        <v>2</v>
      </c>
      <c r="E3271" t="str">
        <v>D</v>
      </c>
      <c r="F3271">
        <f>VLOOKUP(D3264,'Detail Balok'!$C$10:$AU$110,6,FALSE)</f>
        <v>13</v>
      </c>
      <c r="I3271" t="str">
        <v>(</v>
      </c>
      <c r="J3271">
        <f>+D3266/4/1000</f>
        <v>0.525</v>
      </c>
      <c r="K3271" t="str">
        <v>+</v>
      </c>
      <c r="L3271">
        <f>MAX(VLOOKUP(F3271,N$6:P$15,3,FALSE)/1000,2/3*D3268/1000)+F$16*F3271/1000</f>
        <v>0.156</v>
      </c>
      <c r="M3271" t="str">
        <v>=</v>
      </c>
      <c r="N3271">
        <f>J3271+L3271</f>
        <v>0.681</v>
      </c>
      <c r="O3271" t="str">
        <v>+</v>
      </c>
      <c r="P3271">
        <f>D3271-D3272</f>
        <v>0</v>
      </c>
      <c r="Q3271" t="str">
        <v>x</v>
      </c>
      <c r="R3271">
        <f>IF(P3271&gt;0,$F$18*F3271/1000,0)</f>
        <v>0</v>
      </c>
      <c r="S3271" t="str">
        <v>)</v>
      </c>
      <c r="T3271" t="str">
        <v>x</v>
      </c>
      <c r="U3271">
        <f>0.006165*F3271^2</f>
        <v>1.041885</v>
      </c>
      <c r="X3271" t="str">
        <v>x</v>
      </c>
      <c r="Y3271">
        <f>D3270</f>
        <v>1</v>
      </c>
      <c r="Z3271" t="str">
        <v>=</v>
      </c>
      <c r="AA3271">
        <f>IF(AA3274=0,(D3271*N3271+P3271*R3271)*U3271*Y3271,0)</f>
        <v>0</v>
      </c>
    </row>
    <row r="3272">
      <c r="A3272" t="str">
        <f>A3264</f>
        <v>Lantai 1</v>
      </c>
      <c r="B3272">
        <f>B3264</f>
        <v>12</v>
      </c>
      <c r="C3272" t="str">
        <v>Tul Atas Lapangan</v>
      </c>
      <c r="D3272">
        <f>VLOOKUP(D3264,'Detail Balok'!$C$10:$AU$110,7,FALSE)</f>
        <v>2</v>
      </c>
      <c r="E3272" t="str">
        <v>D</v>
      </c>
      <c r="F3272">
        <f>VLOOKUP(D3264,'Detail Balok'!$C$10:$AU$110,9,FALSE)</f>
        <v>13</v>
      </c>
      <c r="I3272" t="str">
        <v>(</v>
      </c>
      <c r="J3272">
        <f>+D3266/2/1000</f>
        <v>1.05</v>
      </c>
      <c r="K3272" t="str">
        <v>+</v>
      </c>
      <c r="M3272" t="str">
        <v>=</v>
      </c>
      <c r="N3272">
        <f>J3272+L3272</f>
        <v>1.05</v>
      </c>
      <c r="O3272" t="str">
        <v>+</v>
      </c>
      <c r="P3272">
        <f>MAX(D3272-D3271,D3272-D3273)</f>
        <v>0</v>
      </c>
      <c r="Q3272" t="str">
        <v>x</v>
      </c>
      <c r="R3272">
        <f>IF(P3272&gt;0,2*(1-2*$F$19-1/2)*D3267/1000,0)</f>
        <v>0</v>
      </c>
      <c r="S3272" t="str">
        <v>)</v>
      </c>
      <c r="T3272" t="str">
        <v>x</v>
      </c>
      <c r="U3272">
        <f>0.006165*F3272^2</f>
        <v>1.041885</v>
      </c>
      <c r="X3272" t="str">
        <v>x</v>
      </c>
      <c r="Y3272">
        <f>D3270</f>
        <v>1</v>
      </c>
      <c r="Z3272" t="str">
        <v>=</v>
      </c>
      <c r="AA3272">
        <f>IF(AA3274=0,(D3272*N3272+P3272*R3272)*U3272*Y3272,0)</f>
        <v>0</v>
      </c>
    </row>
    <row r="3273">
      <c r="A3273" t="str">
        <f>A3264</f>
        <v>Lantai 1</v>
      </c>
      <c r="B3273">
        <f>B3264</f>
        <v>12</v>
      </c>
      <c r="C3273" t="str">
        <v>Tul Atas Tumpuan</v>
      </c>
      <c r="D3273">
        <f>VLOOKUP(D3264,'Detail Balok'!$C$10:$AU$110,10,FALSE)</f>
        <v>2</v>
      </c>
      <c r="E3273" t="str">
        <v>D</v>
      </c>
      <c r="F3273">
        <f>VLOOKUP(D3264,'Detail Balok'!$C$10:$AU$110,12,FALSE)</f>
        <v>13</v>
      </c>
      <c r="I3273" t="str">
        <v>(</v>
      </c>
      <c r="J3273">
        <f>+D3266/4/1000</f>
        <v>0.525</v>
      </c>
      <c r="K3273" t="str">
        <v>+</v>
      </c>
      <c r="L3273">
        <f>MAX(VLOOKUP(F3273,N$6:P$15,3,FALSE)/1000,2/3*D3268/1000)+F$16*F3273/1000</f>
        <v>0.156</v>
      </c>
      <c r="M3273" t="str">
        <v>=</v>
      </c>
      <c r="N3273">
        <f>J3273+L3273</f>
        <v>0.681</v>
      </c>
      <c r="O3273" t="str">
        <v>+</v>
      </c>
      <c r="P3273">
        <f>D3273-D3272</f>
        <v>0</v>
      </c>
      <c r="Q3273" t="str">
        <v>x</v>
      </c>
      <c r="R3273">
        <f>IF(P3273&gt;0,$F$18*F3273/1000,0)</f>
        <v>0</v>
      </c>
      <c r="S3273" t="str">
        <v>)</v>
      </c>
      <c r="T3273" t="str">
        <v>x</v>
      </c>
      <c r="U3273">
        <f>0.006165*F3273^2</f>
        <v>1.041885</v>
      </c>
      <c r="X3273" t="str">
        <v>x</v>
      </c>
      <c r="Y3273">
        <f>D3270</f>
        <v>1</v>
      </c>
      <c r="Z3273" t="str">
        <v>=</v>
      </c>
      <c r="AA3273">
        <f>IF(AA3274=0,(D3273*N3273+P3273*R3273)*U3273*Y3273,0)</f>
        <v>0</v>
      </c>
    </row>
    <row r="3274">
      <c r="A3274" t="str">
        <f>A3264</f>
        <v>Lantai 1</v>
      </c>
      <c r="B3274">
        <f>B3264</f>
        <v>12</v>
      </c>
      <c r="D3274">
        <f>IF(AND(D3271=D3272,D3272=D3273,D3271=D3273),D3271,0)</f>
        <v>2</v>
      </c>
      <c r="E3274" t="str">
        <v>D</v>
      </c>
      <c r="F3274">
        <f>IF(AND(F3271=F3272,F3271=F3273,F3272=F3273),F3271,0)</f>
        <v>13</v>
      </c>
      <c r="L3274" t="str">
        <v>Total panjang per balok</v>
      </c>
      <c r="M3274" t="str">
        <v>=</v>
      </c>
      <c r="N3274">
        <f>IF(AND(D3271=D3272,D3271=D3273,D3272=D3273,F3271=F3272,F3271=F3273,F3272=F3273),SUM(N3271:N3273),0)</f>
        <v>2.412</v>
      </c>
      <c r="O3274" t="str">
        <v>+</v>
      </c>
      <c r="P3274">
        <f>IF(N3274&gt;12,ROUNDDOWN(N3274/12,0),0)</f>
        <v>0</v>
      </c>
      <c r="Q3274" t="str">
        <v>x</v>
      </c>
      <c r="R3274">
        <f>IF(P3274&gt;0,MAX(VLOOKUP(F3274,$D$6:$G$15,3,FALSE),600),0)/1000</f>
        <v>0</v>
      </c>
      <c r="T3274" t="str">
        <v>x</v>
      </c>
      <c r="U3274">
        <f>U3273</f>
        <v>1.041885</v>
      </c>
      <c r="V3274" t="str">
        <v>x</v>
      </c>
      <c r="W3274">
        <f>D3274</f>
        <v>2</v>
      </c>
      <c r="X3274" t="str">
        <v>x</v>
      </c>
      <c r="Y3274">
        <f>Y3273</f>
        <v>1</v>
      </c>
      <c r="Z3274" t="str">
        <v>=</v>
      </c>
      <c r="AA3274">
        <f>(N3274+P3274*R3274/1000)*U3274*W3274*Y3274</f>
        <v>5.0260532399999995</v>
      </c>
    </row>
    <row r="3276">
      <c r="A3276" t="str">
        <f>A3264</f>
        <v>Lantai 1</v>
      </c>
      <c r="B3276">
        <f>B3264</f>
        <v>12</v>
      </c>
      <c r="C3276" t="str">
        <v>Tul Peminggang</v>
      </c>
      <c r="D3276">
        <f>VLOOKUP(D3264,'Detail Balok'!$C$10:$AU$110,13,FALSE)</f>
        <v>2</v>
      </c>
      <c r="E3276" t="str">
        <v>D</v>
      </c>
      <c r="F3276">
        <f>VLOOKUP(D3264,'Detail Balok'!$C$10:$AU$110,15,FALSE)</f>
        <v>8</v>
      </c>
      <c r="J3276">
        <f>+D3266/1000</f>
        <v>2.1</v>
      </c>
      <c r="K3276" t="str">
        <v>+</v>
      </c>
      <c r="L3276">
        <f>2*$F$16*F3276/1000</f>
        <v>0.192</v>
      </c>
      <c r="M3276" t="str">
        <v>=</v>
      </c>
      <c r="N3276">
        <f>J3276+L3276</f>
        <v>2.2920000000000003</v>
      </c>
      <c r="O3276" t="str">
        <v>+</v>
      </c>
      <c r="P3276">
        <f>IF(N3276&gt;12,ROUNDDOWN(N3276/12,0),0)</f>
        <v>0</v>
      </c>
      <c r="Q3276" t="str">
        <v>x</v>
      </c>
      <c r="R3276">
        <f>IF(P3276&gt;0,MAX(VLOOKUP(F3276,$D$6:$G$15,3,FALSE),600),0)/1000</f>
        <v>0</v>
      </c>
      <c r="T3276" t="str">
        <v>x</v>
      </c>
      <c r="U3276">
        <f>0.006165*F3276^2</f>
        <v>0.39456</v>
      </c>
      <c r="V3276" t="str">
        <v>x</v>
      </c>
      <c r="W3276">
        <f>+D3276</f>
        <v>2</v>
      </c>
      <c r="X3276" t="str">
        <v>x</v>
      </c>
      <c r="Y3276">
        <f>D3270</f>
        <v>1</v>
      </c>
      <c r="Z3276" t="str">
        <v>=</v>
      </c>
      <c r="AA3276">
        <f>(N3276+P3276*R3276/1000)*U3276*W3276*Y3276</f>
        <v>1.8086630400000003</v>
      </c>
    </row>
    <row r="3279">
      <c r="A3279" t="str">
        <f>A3264</f>
        <v>Lantai 1</v>
      </c>
      <c r="B3279">
        <f>B3264</f>
        <v>12</v>
      </c>
      <c r="C3279" t="str">
        <v>Tul Bawah Tumpuan</v>
      </c>
      <c r="D3279">
        <f>VLOOKUP(D3264,'Detail Balok'!$C$10:$AU$110,22,FALSE)</f>
        <v>2</v>
      </c>
      <c r="E3279" t="str">
        <v>D</v>
      </c>
      <c r="F3279">
        <f>VLOOKUP(D3264,'Detail Balok'!$C$10:$AU$110,24,FALSE)</f>
        <v>13</v>
      </c>
      <c r="I3279" t="str">
        <v>(</v>
      </c>
      <c r="J3279">
        <f>+J3271</f>
        <v>0.525</v>
      </c>
      <c r="K3279" t="str">
        <v>+</v>
      </c>
      <c r="L3279">
        <f>MAX(VLOOKUP(F3279,N$6:P$15,3,FALSE)/1000,2/3*D3269/1000)+F$16*F3279/1000</f>
        <v>0.156</v>
      </c>
      <c r="M3279" t="str">
        <v>=</v>
      </c>
      <c r="N3279">
        <f>J3279+L3279</f>
        <v>0.681</v>
      </c>
      <c r="O3279" t="str">
        <v>+</v>
      </c>
      <c r="P3279">
        <f>D3279-D3280</f>
        <v>0</v>
      </c>
      <c r="Q3279" t="str">
        <v>x</v>
      </c>
      <c r="R3279">
        <f>IF(P3279&gt;0,$F$18*F3279/1000,0)</f>
        <v>0</v>
      </c>
      <c r="S3279" t="str">
        <v>)</v>
      </c>
      <c r="T3279" t="str">
        <v>x</v>
      </c>
      <c r="U3279">
        <f>0.006165*F3279^2</f>
        <v>1.041885</v>
      </c>
      <c r="X3279" t="str">
        <v>x</v>
      </c>
      <c r="Y3279">
        <f>D3270</f>
        <v>1</v>
      </c>
      <c r="Z3279" t="str">
        <v>=</v>
      </c>
      <c r="AA3279">
        <f>IF(AA3282=0,(D3279*N3279+P3279*R3279)*U3279*Y3279,0)</f>
        <v>0</v>
      </c>
    </row>
    <row r="3280">
      <c r="A3280" t="str">
        <f>A3264</f>
        <v>Lantai 1</v>
      </c>
      <c r="B3280">
        <f>B3264</f>
        <v>12</v>
      </c>
      <c r="C3280" t="str">
        <v>Tul Bawah Lapangan</v>
      </c>
      <c r="D3280">
        <f>VLOOKUP(D3264,'Detail Balok'!$C$10:$AU$110,25,FALSE)</f>
        <v>2</v>
      </c>
      <c r="E3280" t="str">
        <v>D</v>
      </c>
      <c r="F3280">
        <f>VLOOKUP(D3264,'Detail Balok'!$C$10:$AU$110,27,FALSE)</f>
        <v>13</v>
      </c>
      <c r="I3280" t="str">
        <v>(</v>
      </c>
      <c r="J3280">
        <f>+J3272</f>
        <v>1.05</v>
      </c>
      <c r="K3280" t="str">
        <v>+</v>
      </c>
      <c r="M3280" t="str">
        <v>=</v>
      </c>
      <c r="N3280">
        <f>J3280+L3280</f>
        <v>1.05</v>
      </c>
      <c r="O3280" t="str">
        <v>+</v>
      </c>
      <c r="P3280">
        <f>MAX(D3280-D3279,D3280-D3281)</f>
        <v>0</v>
      </c>
      <c r="Q3280" t="str">
        <v>x</v>
      </c>
      <c r="R3280">
        <f>IF(P3280&gt;0,2*(1-2*$F$19-1/2)*D3267/1000,0)</f>
        <v>0</v>
      </c>
      <c r="S3280" t="str">
        <v>)</v>
      </c>
      <c r="T3280" t="str">
        <v>x</v>
      </c>
      <c r="U3280">
        <f>0.006165*F3280^2</f>
        <v>1.041885</v>
      </c>
      <c r="X3280" t="str">
        <v>x</v>
      </c>
      <c r="Y3280">
        <f>D3270</f>
        <v>1</v>
      </c>
      <c r="Z3280" t="str">
        <v>=</v>
      </c>
      <c r="AA3280">
        <f>IF(AA3282=0,(D3280*N3280+P3280*R3280)*U3280*Y3280,0)</f>
        <v>0</v>
      </c>
    </row>
    <row r="3281">
      <c r="A3281" t="str">
        <f>A3264</f>
        <v>Lantai 1</v>
      </c>
      <c r="B3281">
        <f>B3264</f>
        <v>12</v>
      </c>
      <c r="C3281" t="str">
        <v>Tul Bawah Tumpuan</v>
      </c>
      <c r="D3281">
        <f>VLOOKUP(D3264,'Detail Balok'!$C$10:$AU$110,28,FALSE)</f>
        <v>2</v>
      </c>
      <c r="E3281" t="str">
        <v>D</v>
      </c>
      <c r="F3281">
        <f>VLOOKUP(D3264,'Detail Balok'!$C$10:$AU$110,30,FALSE)</f>
        <v>13</v>
      </c>
      <c r="I3281" t="str">
        <v>(</v>
      </c>
      <c r="J3281">
        <f>+J3273</f>
        <v>0.525</v>
      </c>
      <c r="K3281" t="str">
        <v>+</v>
      </c>
      <c r="L3281">
        <f>MAX(VLOOKUP(F3281,N$6:P$15,3,FALSE)/1000,2/3*D3269/1000)+F$16*F3281/1000</f>
        <v>0.156</v>
      </c>
      <c r="M3281" t="str">
        <v>=</v>
      </c>
      <c r="N3281">
        <f>J3281+L3281</f>
        <v>0.681</v>
      </c>
      <c r="O3281" t="str">
        <v>+</v>
      </c>
      <c r="P3281">
        <f>D3281-D3280</f>
        <v>0</v>
      </c>
      <c r="Q3281" t="str">
        <v>x</v>
      </c>
      <c r="R3281">
        <f>IF(P3281&gt;0,$F$18*F3281/1000,0)</f>
        <v>0</v>
      </c>
      <c r="S3281" t="str">
        <v>)</v>
      </c>
      <c r="T3281" t="str">
        <v>x</v>
      </c>
      <c r="U3281">
        <f>0.006165*F3281^2</f>
        <v>1.041885</v>
      </c>
      <c r="X3281" t="str">
        <v>x</v>
      </c>
      <c r="Y3281">
        <f>D3270</f>
        <v>1</v>
      </c>
      <c r="Z3281" t="str">
        <v>=</v>
      </c>
      <c r="AA3281">
        <f>IF(AA3282=0,(D3281*N3281+P3281*R3281)*U3281*Y3281,0)</f>
        <v>0</v>
      </c>
    </row>
    <row r="3282">
      <c r="A3282" t="str">
        <f>A3264</f>
        <v>Lantai 1</v>
      </c>
      <c r="B3282">
        <f>B3264</f>
        <v>12</v>
      </c>
      <c r="D3282">
        <f>IF(AND(D3279=D3280,D3280=D3281,D3279=D3281),D3279,0)</f>
        <v>2</v>
      </c>
      <c r="E3282" t="str">
        <v>D</v>
      </c>
      <c r="F3282">
        <f>IF(AND(F3279=F3280,F3279=F3281,F3280=F3281),F3279,0)</f>
        <v>13</v>
      </c>
      <c r="L3282" t="str">
        <v>Total panjang per balok</v>
      </c>
      <c r="M3282" t="str">
        <v>=</v>
      </c>
      <c r="N3282">
        <f>IF(AND(D3279=D3280,D3279=D3281,D3280=D3281,F3279=F3280,F3279=F3281,F3280=F3281),SUM(N3279:N3281),0)</f>
        <v>2.412</v>
      </c>
      <c r="O3282" t="str">
        <v>+</v>
      </c>
      <c r="P3282">
        <f>IF(N3282&gt;12,ROUNDDOWN(N3282/12,0),0)</f>
        <v>0</v>
      </c>
      <c r="Q3282" t="str">
        <v>x</v>
      </c>
      <c r="R3282">
        <f>IF(P3282&gt;0,MAX(VLOOKUP(F3282,$D$6:$G$15,3,FALSE),600),0)/1000</f>
        <v>0</v>
      </c>
      <c r="T3282" t="str">
        <v>x</v>
      </c>
      <c r="U3282">
        <f>U3281</f>
        <v>1.041885</v>
      </c>
      <c r="V3282" t="str">
        <v>x</v>
      </c>
      <c r="W3282">
        <f>D3282</f>
        <v>2</v>
      </c>
      <c r="X3282" t="str">
        <v>x</v>
      </c>
      <c r="Y3282">
        <f>Y3281</f>
        <v>1</v>
      </c>
      <c r="Z3282" t="str">
        <v>=</v>
      </c>
      <c r="AA3282">
        <f>(N3282+P3282*R3282/1000)*U3282*W3282*Y3282</f>
        <v>5.0260532399999995</v>
      </c>
    </row>
    <row r="3284">
      <c r="A3284" t="str">
        <f>A3264</f>
        <v>Lantai 1</v>
      </c>
      <c r="B3284">
        <f>B3264</f>
        <v>12</v>
      </c>
      <c r="C3284" t="str">
        <v>Sengkang Tumpuan</v>
      </c>
      <c r="D3284">
        <f>VLOOKUP(D3264,'Detail Balok'!$C$10:$AU$110,31,FALSE)</f>
        <v>0</v>
      </c>
      <c r="E3284" t="str">
        <v>D</v>
      </c>
      <c r="F3284">
        <f>VLOOKUP(D3264,'Detail Balok'!$C$10:$AU$110,33,FALSE)</f>
        <v>8</v>
      </c>
      <c r="G3284" t="str">
        <v>-</v>
      </c>
      <c r="H3284">
        <f>VLOOKUP(D3264,'Detail Balok'!$C$10:$AU$110,35,FALSE)</f>
        <v>100</v>
      </c>
      <c r="J3284">
        <f>(IF(D3284=0,(2*(D3265+G3265))-(F$5*8),IF(D3284=3,(2*(D3265+G3265))-(F$5*8)+(G3265-2*F$5),IF(D3284=4,(2*(D3265+G3265))-(F$5*8)+2*(G3265-2*F$5)))))/1000</f>
        <v>0.98</v>
      </c>
      <c r="K3284" t="str">
        <v>+</v>
      </c>
      <c r="L3284">
        <f>IF(D3284=0,2*MAX(6*F3284,75),(D3284-1)*2*MAX(6*F3284,75))/1000</f>
        <v>0.15</v>
      </c>
      <c r="M3284" t="str">
        <v>=</v>
      </c>
      <c r="N3284">
        <f>J3284+L3284</f>
        <v>1.13</v>
      </c>
      <c r="T3284" t="str">
        <v>x</v>
      </c>
      <c r="U3284">
        <f>0.006165*F3284^2</f>
        <v>0.39456</v>
      </c>
      <c r="V3284" t="str">
        <v>x</v>
      </c>
      <c r="W3284">
        <f>IF(D3267&gt;4*G3265,ROUND(MAX(D3267/4,2*G3265)/H3284,0)+1,ROUND(D3267/H3284,0)+1)</f>
        <v>10</v>
      </c>
      <c r="X3284" t="str">
        <v>x</v>
      </c>
      <c r="Y3284">
        <f>D3270</f>
        <v>1</v>
      </c>
      <c r="Z3284" t="str">
        <v>=</v>
      </c>
      <c r="AA3284">
        <f>N3284*U3284*W3284*Y3284</f>
        <v>4.458528</v>
      </c>
    </row>
    <row r="3285">
      <c r="A3285" t="str">
        <f>A3264</f>
        <v>Lantai 1</v>
      </c>
      <c r="B3285">
        <f>B3264</f>
        <v>12</v>
      </c>
      <c r="C3285" t="str">
        <v>Sengkang Lapangan</v>
      </c>
      <c r="D3285">
        <f>VLOOKUP(D3264,'Detail Balok'!$C$10:$AU$110,36,FALSE)</f>
        <v>0</v>
      </c>
      <c r="E3285" t="str">
        <v>D</v>
      </c>
      <c r="F3285">
        <f>VLOOKUP(D3264,'Detail Balok'!$C$10:$AU$110,38,FALSE)</f>
        <v>8</v>
      </c>
      <c r="G3285" t="str">
        <v>-</v>
      </c>
      <c r="H3285">
        <f>VLOOKUP(D3264,'Detail Balok'!$C$10:$AU$110,40,FALSE)</f>
        <v>200</v>
      </c>
      <c r="J3285">
        <f>(IF(D3285=0,(2*(D3265+G3265))-(F$5*8),IF(D3285=3,(2*(D3265+G3265))-(F$5*8)+(G3265-2*F$5),IF(D3285=4,(2*(D3265+G3265))-(F$5*8)+2*(G3265-2*F$5)))))/1000</f>
        <v>0.98</v>
      </c>
      <c r="K3285" t="str">
        <v>+</v>
      </c>
      <c r="L3285">
        <f>IF(D3285=0,2*MAX(6*F3285,75),(D3285-1)*2*MAX(6*F3285,75))/1000</f>
        <v>0.15</v>
      </c>
      <c r="M3285" t="str">
        <v>=</v>
      </c>
      <c r="N3285">
        <f>J3285+L3285</f>
        <v>1.13</v>
      </c>
      <c r="T3285" t="str">
        <v>x</v>
      </c>
      <c r="U3285">
        <f>0.006165*F3285^2</f>
        <v>0.39456</v>
      </c>
      <c r="V3285" t="str">
        <v>x</v>
      </c>
      <c r="W3285">
        <f>IF(D3267-MAX(D3267/4,2*G3265)*2&gt;0,ROUND((D3267-MAX(D3267/4,2*G3265)*2)/H3285,0),0)</f>
        <v>2</v>
      </c>
      <c r="X3285" t="str">
        <v>x</v>
      </c>
      <c r="Y3285">
        <f>D3270</f>
        <v>1</v>
      </c>
      <c r="Z3285" t="str">
        <v>=</v>
      </c>
      <c r="AA3285">
        <f>N3285*U3285*W3285*Y3285</f>
        <v>0.8917056</v>
      </c>
    </row>
    <row r="3286">
      <c r="A3286" t="str">
        <f>A3264</f>
        <v>Lantai 1</v>
      </c>
      <c r="B3286">
        <f>B3264</f>
        <v>12</v>
      </c>
      <c r="C3286" t="str">
        <v>Sengkang Tumpuan</v>
      </c>
      <c r="D3286">
        <f>VLOOKUP(D3264,'Detail Balok'!$C$10:$AU$110,41,FALSE)</f>
        <v>0</v>
      </c>
      <c r="E3286" t="str">
        <v>D</v>
      </c>
      <c r="F3286">
        <f>VLOOKUP(D3264,'Detail Balok'!$C$10:$AU$110,43,FALSE)</f>
        <v>8</v>
      </c>
      <c r="G3286" t="str">
        <v>-</v>
      </c>
      <c r="H3286">
        <f>VLOOKUP(D3264,'Detail Balok'!$C$10:$AU$110,45,FALSE)</f>
        <v>100</v>
      </c>
      <c r="J3286">
        <f>(IF(D3286=0,(2*(D3265+G3265))-(F$5*8),IF(D3286=3,(2*(D3265+G3265))-(F$5*8)+(G3265-2*F$5),IF(D3286=4,(2*(D3265+G3265))-(F$5*8)+2*(G3265-2*F$5)))))/1000</f>
        <v>0.98</v>
      </c>
      <c r="K3286" t="str">
        <v>+</v>
      </c>
      <c r="L3286">
        <f>IF(D3286=0,2*MAX(6*F3286,75),(D3286-1)*2*MAX(6*F3286,75))/1000</f>
        <v>0.15</v>
      </c>
      <c r="M3286" t="str">
        <v>=</v>
      </c>
      <c r="N3286">
        <f>J3286+L3286</f>
        <v>1.13</v>
      </c>
      <c r="T3286" t="str">
        <v>x</v>
      </c>
      <c r="U3286">
        <f>0.006165*F3286^2</f>
        <v>0.39456</v>
      </c>
      <c r="V3286" t="str">
        <v>x</v>
      </c>
      <c r="W3286">
        <f>IF(D3267&gt;4*G3265,ROUND(MAX(D3267/4,2*G3265)/H3286,0)+1,0)</f>
        <v>10</v>
      </c>
      <c r="X3286" t="str">
        <v>x</v>
      </c>
      <c r="Y3286">
        <f>D3270</f>
        <v>1</v>
      </c>
      <c r="Z3286" t="str">
        <v>=</v>
      </c>
      <c r="AA3286">
        <f>N3286*U3286*W3286*Y3286</f>
        <v>4.458528</v>
      </c>
    </row>
    <row r="3288">
      <c r="A3288" t="str">
        <f>A3264</f>
        <v>Lantai 1</v>
      </c>
      <c r="B3288">
        <f>B3264</f>
        <v>12</v>
      </c>
      <c r="C3288" t="str">
        <v>Kait Horizontal Tump.</v>
      </c>
      <c r="D3288">
        <f>VLOOKUP(D3264,'Detail Balok'!$C$10:$BJ$110,46,FALSE)</f>
        <v>0</v>
      </c>
      <c r="E3288" t="str">
        <v>D</v>
      </c>
      <c r="F3288">
        <f>VLOOKUP(D3264,'Detail Balok'!$C$10:$BJ$110,48,FALSE)</f>
        <v>0</v>
      </c>
      <c r="G3288" t="str">
        <v>-</v>
      </c>
      <c r="H3288">
        <f>VLOOKUP(D3264,'Detail Balok'!$C$10:$BJ$110,50,FALSE)</f>
        <v>100</v>
      </c>
      <c r="J3288">
        <f>(D3265-2*F$5)/1000</f>
        <v>0.12</v>
      </c>
      <c r="K3288" t="str">
        <v>+</v>
      </c>
      <c r="L3288">
        <f>IF(D3288=0,2*MAX(6*F3288,75),(D3288-1)*2*MAX(6*F3288,75))/1000</f>
        <v>0.15</v>
      </c>
      <c r="M3288" t="str">
        <v>=</v>
      </c>
      <c r="N3288">
        <f>J3288+L3288</f>
        <v>0.27</v>
      </c>
      <c r="T3288" t="str">
        <v>x</v>
      </c>
      <c r="U3288">
        <f>0.006165*F3288^2</f>
        <v>0</v>
      </c>
      <c r="V3288" t="str">
        <v>x</v>
      </c>
      <c r="W3288">
        <f>W3284</f>
        <v>10</v>
      </c>
      <c r="X3288" t="str">
        <v>x</v>
      </c>
      <c r="Y3288">
        <f>D3274</f>
        <v>2</v>
      </c>
      <c r="Z3288" t="str">
        <v>=</v>
      </c>
      <c r="AA3288">
        <f>N3288*U3288*W3288*Y3288</f>
        <v>0</v>
      </c>
    </row>
    <row r="3289">
      <c r="A3289" t="str">
        <f>A3264</f>
        <v>Lantai 1</v>
      </c>
      <c r="B3289">
        <f>B3264</f>
        <v>12</v>
      </c>
      <c r="C3289" t="str">
        <v>Kait Horizontal Lap.</v>
      </c>
      <c r="D3289">
        <f>VLOOKUP(D3264,'Detail Balok'!$C$10:$BJ$110,51,FALSE)</f>
        <v>0</v>
      </c>
      <c r="E3289" t="str">
        <v>D</v>
      </c>
      <c r="F3289">
        <f>VLOOKUP(D3264,'Detail Balok'!$C$10:$BJ$110,53,FALSE)</f>
        <v>0</v>
      </c>
      <c r="G3289" t="str">
        <v>-</v>
      </c>
      <c r="H3289">
        <f>VLOOKUP(D3264,'Detail Balok'!$C$10:$BJ$110,55,FALSE)</f>
        <v>100</v>
      </c>
      <c r="J3289">
        <f>(D3265-2*F$5)/1000</f>
        <v>0.12</v>
      </c>
      <c r="K3289" t="str">
        <v>+</v>
      </c>
      <c r="L3289">
        <f>IF(D3289=0,2*MAX(6*F3289,75),(D3289-1)*2*MAX(6*F3289,75))/1000</f>
        <v>0.15</v>
      </c>
      <c r="M3289" t="str">
        <v>=</v>
      </c>
      <c r="N3289">
        <f>J3289+L3289</f>
        <v>0.27</v>
      </c>
      <c r="T3289" t="str">
        <v>x</v>
      </c>
      <c r="U3289">
        <f>0.006165*F3289^2</f>
        <v>0</v>
      </c>
      <c r="V3289" t="str">
        <v>x</v>
      </c>
      <c r="W3289">
        <f>W3285</f>
        <v>2</v>
      </c>
      <c r="X3289" t="str">
        <v>x</v>
      </c>
      <c r="Y3289">
        <f>D3274</f>
        <v>2</v>
      </c>
      <c r="Z3289" t="str">
        <v>=</v>
      </c>
      <c r="AA3289">
        <f>N3289*U3289*W3289*Y3289</f>
        <v>0</v>
      </c>
    </row>
    <row r="3290">
      <c r="A3290" t="str">
        <f>A3264</f>
        <v>Lantai 1</v>
      </c>
      <c r="B3290">
        <f>B3264</f>
        <v>12</v>
      </c>
      <c r="C3290" t="str">
        <v>Kait Horizontal Tump.</v>
      </c>
      <c r="D3290">
        <f>VLOOKUP(D3264,'Detail Balok'!$C$10:$BJ$110,56,FALSE)</f>
        <v>0</v>
      </c>
      <c r="E3290" t="str">
        <v>D</v>
      </c>
      <c r="F3290">
        <f>VLOOKUP(D3264,'Detail Balok'!$C$10:$BJ$110,58,FALSE)</f>
        <v>0</v>
      </c>
      <c r="G3290" t="str">
        <v>-</v>
      </c>
      <c r="H3290">
        <f>VLOOKUP(D3264,'Detail Balok'!$C$10:$BJ$110,60,FALSE)</f>
        <v>100</v>
      </c>
      <c r="J3290">
        <f>(D3265-2*F$5)/1000</f>
        <v>0.12</v>
      </c>
      <c r="K3290" t="str">
        <v>+</v>
      </c>
      <c r="L3290">
        <f>IF(D3290=0,2*MAX(6*F3290,75),(D3290-1)*2*MAX(6*F3290,75))/1000</f>
        <v>0.15</v>
      </c>
      <c r="M3290" t="str">
        <v>=</v>
      </c>
      <c r="N3290">
        <f>J3290+L3290</f>
        <v>0.27</v>
      </c>
      <c r="T3290" t="str">
        <v>x</v>
      </c>
      <c r="U3290">
        <f>0.006165*F3290^2</f>
        <v>0</v>
      </c>
      <c r="V3290" t="str">
        <v>x</v>
      </c>
      <c r="W3290">
        <f>W3286</f>
        <v>10</v>
      </c>
      <c r="X3290" t="str">
        <v>x</v>
      </c>
      <c r="Y3290">
        <f>D3274</f>
        <v>2</v>
      </c>
      <c r="Z3290" t="str">
        <v>=</v>
      </c>
      <c r="AA3290">
        <f>N3290*U3290*W3290*Y3290</f>
        <v>0</v>
      </c>
    </row>
    <row r="3294">
      <c r="A3294" t="str">
        <f>A3264</f>
        <v>Lantai 1</v>
      </c>
      <c r="B3294">
        <f>B3264+1</f>
        <v>13</v>
      </c>
      <c r="C3294" t="str">
        <f>CONCATENATE(A3294," no. ",B3294)</f>
        <v>Lantai 1 no. 13</v>
      </c>
      <c r="D3294" t="str">
        <f>VLOOKUP(C3294,'Data Panjang Balok'!$C$9:$N$424,2,FALSE)</f>
        <v>B245-4</v>
      </c>
    </row>
    <row r="3295">
      <c r="C3295" t="str">
        <v>Dimensi</v>
      </c>
      <c r="D3295">
        <f>VLOOKUP(D3294,'Detail Balok'!$C$10:$AU$110,2,FALSE)</f>
        <v>200</v>
      </c>
      <c r="F3295" t="str">
        <v>x</v>
      </c>
      <c r="G3295">
        <f>VLOOKUP(D3294,'Detail Balok'!$C$10:$AU$110,3,FALSE)</f>
        <v>450</v>
      </c>
    </row>
    <row r="3296">
      <c r="C3296" t="str">
        <v>Panjang as ke as</v>
      </c>
      <c r="D3296">
        <f>VLOOKUP(C3294,'Data Panjang Balok'!$C$9:$N$424,4,FALSE)</f>
        <v>3335</v>
      </c>
    </row>
    <row r="3297">
      <c r="C3297" t="str">
        <v>Panjang netto</v>
      </c>
      <c r="D3297">
        <f>VLOOKUP(C3294,'Data Panjang Balok'!$C$9:$N$424,7,FALSE)</f>
        <v>3335</v>
      </c>
    </row>
    <row r="3298">
      <c r="C3298" t="str">
        <v>Kolom / balok kiri</v>
      </c>
      <c r="D3298">
        <f>VLOOKUP(C3294,'Data Panjang Balok'!$C$9:$N$424,9,FALSE)</f>
        <v>0</v>
      </c>
    </row>
    <row r="3299">
      <c r="C3299" t="str">
        <v>Kolom / balok kanan</v>
      </c>
      <c r="D3299">
        <f>VLOOKUP(C3294,'Data Panjang Balok'!$C$9:$N$424,10,FALSE)</f>
        <v>0</v>
      </c>
    </row>
    <row r="3300">
      <c r="C3300" t="str">
        <v>Jumlah</v>
      </c>
      <c r="D3300">
        <f>VLOOKUP(C3294,'Data Panjang Balok'!$C$9:$N$424,3,FALSE)</f>
        <v>1</v>
      </c>
    </row>
    <row r="3301">
      <c r="A3301" t="str">
        <f>A3294</f>
        <v>Lantai 1</v>
      </c>
      <c r="B3301">
        <f>B3294</f>
        <v>13</v>
      </c>
      <c r="C3301" t="str">
        <v>Tul Atas Tumpuan</v>
      </c>
      <c r="D3301">
        <f>VLOOKUP(D3294,'Detail Balok'!$C$10:$AU$110,4,FALSE)</f>
        <v>3</v>
      </c>
      <c r="E3301" t="str">
        <v>D</v>
      </c>
      <c r="F3301">
        <f>VLOOKUP(D3294,'Detail Balok'!$C$10:$AU$110,6,FALSE)</f>
        <v>16</v>
      </c>
      <c r="I3301" t="str">
        <v>(</v>
      </c>
      <c r="J3301">
        <f>+D3296/4/1000</f>
        <v>0.83375</v>
      </c>
      <c r="K3301" t="str">
        <v>+</v>
      </c>
      <c r="L3301">
        <f>MAX(VLOOKUP(F3301,N$6:P$15,3,FALSE)/1000,2/3*D3298/1000)+F$16*F3301/1000</f>
        <v>0.192</v>
      </c>
      <c r="M3301" t="str">
        <v>=</v>
      </c>
      <c r="N3301">
        <f>J3301+L3301</f>
        <v>1.02575</v>
      </c>
      <c r="O3301" t="str">
        <v>+</v>
      </c>
      <c r="P3301">
        <f>D3301-D3302</f>
        <v>0</v>
      </c>
      <c r="Q3301" t="str">
        <v>x</v>
      </c>
      <c r="R3301">
        <f>IF(P3301&gt;0,$F$18*F3301/1000,0)</f>
        <v>0</v>
      </c>
      <c r="S3301" t="str">
        <v>)</v>
      </c>
      <c r="T3301" t="str">
        <v>x</v>
      </c>
      <c r="U3301">
        <f>0.006165*F3301^2</f>
        <v>1.57824</v>
      </c>
      <c r="X3301" t="str">
        <v>x</v>
      </c>
      <c r="Y3301">
        <f>D3300</f>
        <v>1</v>
      </c>
      <c r="Z3301" t="str">
        <v>=</v>
      </c>
      <c r="AA3301">
        <f>IF(AA3304=0,(D3301*N3301+P3301*R3301)*U3301*Y3301,0)</f>
        <v>0</v>
      </c>
    </row>
    <row r="3302">
      <c r="A3302" t="str">
        <f>A3294</f>
        <v>Lantai 1</v>
      </c>
      <c r="B3302">
        <f>B3294</f>
        <v>13</v>
      </c>
      <c r="C3302" t="str">
        <v>Tul Atas Lapangan</v>
      </c>
      <c r="D3302">
        <f>VLOOKUP(D3294,'Detail Balok'!$C$10:$AU$110,7,FALSE)</f>
        <v>3</v>
      </c>
      <c r="E3302" t="str">
        <v>D</v>
      </c>
      <c r="F3302">
        <f>VLOOKUP(D3294,'Detail Balok'!$C$10:$AU$110,9,FALSE)</f>
        <v>16</v>
      </c>
      <c r="I3302" t="str">
        <v>(</v>
      </c>
      <c r="J3302">
        <f>+D3296/2/1000</f>
        <v>1.6675</v>
      </c>
      <c r="K3302" t="str">
        <v>+</v>
      </c>
      <c r="M3302" t="str">
        <v>=</v>
      </c>
      <c r="N3302">
        <f>J3302+L3302</f>
        <v>1.6675</v>
      </c>
      <c r="O3302" t="str">
        <v>+</v>
      </c>
      <c r="P3302">
        <f>MAX(D3302-D3301,D3302-D3303)</f>
        <v>0</v>
      </c>
      <c r="Q3302" t="str">
        <v>x</v>
      </c>
      <c r="R3302">
        <f>IF(P3302&gt;0,2*(1-2*$F$19-1/2)*D3297/1000,0)</f>
        <v>0</v>
      </c>
      <c r="S3302" t="str">
        <v>)</v>
      </c>
      <c r="T3302" t="str">
        <v>x</v>
      </c>
      <c r="U3302">
        <f>0.006165*F3302^2</f>
        <v>1.57824</v>
      </c>
      <c r="X3302" t="str">
        <v>x</v>
      </c>
      <c r="Y3302">
        <f>D3300</f>
        <v>1</v>
      </c>
      <c r="Z3302" t="str">
        <v>=</v>
      </c>
      <c r="AA3302">
        <f>IF(AA3304=0,(D3302*N3302+P3302*R3302)*U3302*Y3302,0)</f>
        <v>0</v>
      </c>
    </row>
    <row r="3303">
      <c r="A3303" t="str">
        <f>A3294</f>
        <v>Lantai 1</v>
      </c>
      <c r="B3303">
        <f>B3294</f>
        <v>13</v>
      </c>
      <c r="C3303" t="str">
        <v>Tul Atas Tumpuan</v>
      </c>
      <c r="D3303">
        <f>VLOOKUP(D3294,'Detail Balok'!$C$10:$AU$110,10,FALSE)</f>
        <v>3</v>
      </c>
      <c r="E3303" t="str">
        <v>D</v>
      </c>
      <c r="F3303">
        <f>VLOOKUP(D3294,'Detail Balok'!$C$10:$AU$110,12,FALSE)</f>
        <v>16</v>
      </c>
      <c r="I3303" t="str">
        <v>(</v>
      </c>
      <c r="J3303">
        <f>+D3296/4/1000</f>
        <v>0.83375</v>
      </c>
      <c r="K3303" t="str">
        <v>+</v>
      </c>
      <c r="L3303">
        <f>MAX(VLOOKUP(F3303,N$6:P$15,3,FALSE)/1000,2/3*D3298/1000)+F$16*F3303/1000</f>
        <v>0.192</v>
      </c>
      <c r="M3303" t="str">
        <v>=</v>
      </c>
      <c r="N3303">
        <f>J3303+L3303</f>
        <v>1.02575</v>
      </c>
      <c r="O3303" t="str">
        <v>+</v>
      </c>
      <c r="P3303">
        <f>D3303-D3302</f>
        <v>0</v>
      </c>
      <c r="Q3303" t="str">
        <v>x</v>
      </c>
      <c r="R3303">
        <f>IF(P3303&gt;0,$F$18*F3303/1000,0)</f>
        <v>0</v>
      </c>
      <c r="S3303" t="str">
        <v>)</v>
      </c>
      <c r="T3303" t="str">
        <v>x</v>
      </c>
      <c r="U3303">
        <f>0.006165*F3303^2</f>
        <v>1.57824</v>
      </c>
      <c r="X3303" t="str">
        <v>x</v>
      </c>
      <c r="Y3303">
        <f>D3300</f>
        <v>1</v>
      </c>
      <c r="Z3303" t="str">
        <v>=</v>
      </c>
      <c r="AA3303">
        <f>IF(AA3304=0,(D3303*N3303+P3303*R3303)*U3303*Y3303,0)</f>
        <v>0</v>
      </c>
    </row>
    <row r="3304">
      <c r="A3304" t="str">
        <f>A3294</f>
        <v>Lantai 1</v>
      </c>
      <c r="B3304">
        <f>B3294</f>
        <v>13</v>
      </c>
      <c r="D3304">
        <f>IF(AND(D3301=D3302,D3302=D3303,D3301=D3303),D3301,0)</f>
        <v>3</v>
      </c>
      <c r="E3304" t="str">
        <v>D</v>
      </c>
      <c r="F3304">
        <f>IF(AND(F3301=F3302,F3301=F3303,F3302=F3303),F3301,0)</f>
        <v>16</v>
      </c>
      <c r="L3304" t="str">
        <v>Total panjang per balok</v>
      </c>
      <c r="M3304" t="str">
        <v>=</v>
      </c>
      <c r="N3304">
        <f>IF(AND(D3301=D3302,D3301=D3303,D3302=D3303,F3301=F3302,F3301=F3303,F3302=F3303),SUM(N3301:N3303),0)</f>
        <v>3.719</v>
      </c>
      <c r="O3304" t="str">
        <v>+</v>
      </c>
      <c r="P3304">
        <f>IF(N3304&gt;12,ROUNDDOWN(N3304/12,0),0)</f>
        <v>0</v>
      </c>
      <c r="Q3304" t="str">
        <v>x</v>
      </c>
      <c r="R3304">
        <f>IF(P3304&gt;0,MAX(VLOOKUP(F3304,$D$6:$G$15,3,FALSE),600),0)/1000</f>
        <v>0</v>
      </c>
      <c r="T3304" t="str">
        <v>x</v>
      </c>
      <c r="U3304">
        <f>U3303</f>
        <v>1.57824</v>
      </c>
      <c r="V3304" t="str">
        <v>x</v>
      </c>
      <c r="W3304">
        <f>D3304</f>
        <v>3</v>
      </c>
      <c r="X3304" t="str">
        <v>x</v>
      </c>
      <c r="Y3304">
        <f>Y3303</f>
        <v>1</v>
      </c>
      <c r="Z3304" t="str">
        <v>=</v>
      </c>
      <c r="AA3304">
        <f>(N3304+P3304*R3304/1000)*U3304*W3304*Y3304</f>
        <v>17.60842368</v>
      </c>
    </row>
    <row r="3306">
      <c r="A3306" t="str">
        <f>A3294</f>
        <v>Lantai 1</v>
      </c>
      <c r="B3306">
        <f>B3294</f>
        <v>13</v>
      </c>
      <c r="C3306" t="str">
        <v>Tul Peminggang</v>
      </c>
      <c r="D3306">
        <f>VLOOKUP(D3294,'Detail Balok'!$C$10:$AU$110,13,FALSE)</f>
        <v>2</v>
      </c>
      <c r="E3306" t="str">
        <v>D</v>
      </c>
      <c r="F3306">
        <f>VLOOKUP(D3294,'Detail Balok'!$C$10:$AU$110,15,FALSE)</f>
        <v>8</v>
      </c>
      <c r="J3306">
        <f>+D3296/1000</f>
        <v>3.335</v>
      </c>
      <c r="K3306" t="str">
        <v>+</v>
      </c>
      <c r="L3306">
        <f>2*$F$16*F3306/1000</f>
        <v>0.192</v>
      </c>
      <c r="M3306" t="str">
        <v>=</v>
      </c>
      <c r="N3306">
        <f>J3306+L3306</f>
        <v>3.527</v>
      </c>
      <c r="O3306" t="str">
        <v>+</v>
      </c>
      <c r="P3306">
        <f>IF(N3306&gt;12,ROUNDDOWN(N3306/12,0),0)</f>
        <v>0</v>
      </c>
      <c r="Q3306" t="str">
        <v>x</v>
      </c>
      <c r="R3306">
        <f>IF(P3306&gt;0,MAX(VLOOKUP(F3306,$D$6:$G$15,3,FALSE),600),0)/1000</f>
        <v>0</v>
      </c>
      <c r="T3306" t="str">
        <v>x</v>
      </c>
      <c r="U3306">
        <f>0.006165*F3306^2</f>
        <v>0.39456</v>
      </c>
      <c r="V3306" t="str">
        <v>x</v>
      </c>
      <c r="W3306">
        <f>+D3306</f>
        <v>2</v>
      </c>
      <c r="X3306" t="str">
        <v>x</v>
      </c>
      <c r="Y3306">
        <f>D3300</f>
        <v>1</v>
      </c>
      <c r="Z3306" t="str">
        <v>=</v>
      </c>
      <c r="AA3306">
        <f>(N3306+P3306*R3306/1000)*U3306*W3306*Y3306</f>
        <v>2.7832262400000003</v>
      </c>
    </row>
    <row r="3309">
      <c r="A3309" t="str">
        <f>A3294</f>
        <v>Lantai 1</v>
      </c>
      <c r="B3309">
        <f>B3294</f>
        <v>13</v>
      </c>
      <c r="C3309" t="str">
        <v>Tul Bawah Tumpuan</v>
      </c>
      <c r="D3309">
        <f>VLOOKUP(D3294,'Detail Balok'!$C$10:$AU$110,22,FALSE)</f>
        <v>3</v>
      </c>
      <c r="E3309" t="str">
        <v>D</v>
      </c>
      <c r="F3309">
        <f>VLOOKUP(D3294,'Detail Balok'!$C$10:$AU$110,24,FALSE)</f>
        <v>16</v>
      </c>
      <c r="I3309" t="str">
        <v>(</v>
      </c>
      <c r="J3309">
        <f>+J3301</f>
        <v>0.83375</v>
      </c>
      <c r="K3309" t="str">
        <v>+</v>
      </c>
      <c r="L3309">
        <f>MAX(VLOOKUP(F3309,N$6:P$15,3,FALSE)/1000,2/3*D3299/1000)+F$16*F3309/1000</f>
        <v>0.192</v>
      </c>
      <c r="M3309" t="str">
        <v>=</v>
      </c>
      <c r="N3309">
        <f>J3309+L3309</f>
        <v>1.02575</v>
      </c>
      <c r="O3309" t="str">
        <v>+</v>
      </c>
      <c r="P3309">
        <f>D3309-D3310</f>
        <v>0</v>
      </c>
      <c r="Q3309" t="str">
        <v>x</v>
      </c>
      <c r="R3309">
        <f>IF(P3309&gt;0,$F$18*F3309/1000,0)</f>
        <v>0</v>
      </c>
      <c r="S3309" t="str">
        <v>)</v>
      </c>
      <c r="T3309" t="str">
        <v>x</v>
      </c>
      <c r="U3309">
        <f>0.006165*F3309^2</f>
        <v>1.57824</v>
      </c>
      <c r="X3309" t="str">
        <v>x</v>
      </c>
      <c r="Y3309">
        <f>D3300</f>
        <v>1</v>
      </c>
      <c r="Z3309" t="str">
        <v>=</v>
      </c>
      <c r="AA3309">
        <f>IF(AA3312=0,(D3309*N3309+P3309*R3309)*U3309*Y3309,0)</f>
        <v>0</v>
      </c>
    </row>
    <row r="3310">
      <c r="A3310" t="str">
        <f>A3294</f>
        <v>Lantai 1</v>
      </c>
      <c r="B3310">
        <f>B3294</f>
        <v>13</v>
      </c>
      <c r="C3310" t="str">
        <v>Tul Bawah Lapangan</v>
      </c>
      <c r="D3310">
        <f>VLOOKUP(D3294,'Detail Balok'!$C$10:$AU$110,25,FALSE)</f>
        <v>3</v>
      </c>
      <c r="E3310" t="str">
        <v>D</v>
      </c>
      <c r="F3310">
        <f>VLOOKUP(D3294,'Detail Balok'!$C$10:$AU$110,27,FALSE)</f>
        <v>16</v>
      </c>
      <c r="I3310" t="str">
        <v>(</v>
      </c>
      <c r="J3310">
        <f>+J3302</f>
        <v>1.6675</v>
      </c>
      <c r="K3310" t="str">
        <v>+</v>
      </c>
      <c r="M3310" t="str">
        <v>=</v>
      </c>
      <c r="N3310">
        <f>J3310+L3310</f>
        <v>1.6675</v>
      </c>
      <c r="O3310" t="str">
        <v>+</v>
      </c>
      <c r="P3310">
        <f>MAX(D3310-D3309,D3310-D3311)</f>
        <v>0</v>
      </c>
      <c r="Q3310" t="str">
        <v>x</v>
      </c>
      <c r="R3310">
        <f>IF(P3310&gt;0,2*(1-2*$F$19-1/2)*D3297/1000,0)</f>
        <v>0</v>
      </c>
      <c r="S3310" t="str">
        <v>)</v>
      </c>
      <c r="T3310" t="str">
        <v>x</v>
      </c>
      <c r="U3310">
        <f>0.006165*F3310^2</f>
        <v>1.57824</v>
      </c>
      <c r="X3310" t="str">
        <v>x</v>
      </c>
      <c r="Y3310">
        <f>D3300</f>
        <v>1</v>
      </c>
      <c r="Z3310" t="str">
        <v>=</v>
      </c>
      <c r="AA3310">
        <f>IF(AA3312=0,(D3310*N3310+P3310*R3310)*U3310*Y3310,0)</f>
        <v>0</v>
      </c>
    </row>
    <row r="3311">
      <c r="A3311" t="str">
        <f>A3294</f>
        <v>Lantai 1</v>
      </c>
      <c r="B3311">
        <f>B3294</f>
        <v>13</v>
      </c>
      <c r="C3311" t="str">
        <v>Tul Bawah Tumpuan</v>
      </c>
      <c r="D3311">
        <f>VLOOKUP(D3294,'Detail Balok'!$C$10:$AU$110,28,FALSE)</f>
        <v>3</v>
      </c>
      <c r="E3311" t="str">
        <v>D</v>
      </c>
      <c r="F3311">
        <f>VLOOKUP(D3294,'Detail Balok'!$C$10:$AU$110,30,FALSE)</f>
        <v>16</v>
      </c>
      <c r="I3311" t="str">
        <v>(</v>
      </c>
      <c r="J3311">
        <f>+J3303</f>
        <v>0.83375</v>
      </c>
      <c r="K3311" t="str">
        <v>+</v>
      </c>
      <c r="L3311">
        <f>MAX(VLOOKUP(F3311,N$6:P$15,3,FALSE)/1000,2/3*D3299/1000)+F$16*F3311/1000</f>
        <v>0.192</v>
      </c>
      <c r="M3311" t="str">
        <v>=</v>
      </c>
      <c r="N3311">
        <f>J3311+L3311</f>
        <v>1.02575</v>
      </c>
      <c r="O3311" t="str">
        <v>+</v>
      </c>
      <c r="P3311">
        <f>D3311-D3310</f>
        <v>0</v>
      </c>
      <c r="Q3311" t="str">
        <v>x</v>
      </c>
      <c r="R3311">
        <f>IF(P3311&gt;0,$F$18*F3311/1000,0)</f>
        <v>0</v>
      </c>
      <c r="S3311" t="str">
        <v>)</v>
      </c>
      <c r="T3311" t="str">
        <v>x</v>
      </c>
      <c r="U3311">
        <f>0.006165*F3311^2</f>
        <v>1.57824</v>
      </c>
      <c r="X3311" t="str">
        <v>x</v>
      </c>
      <c r="Y3311">
        <f>D3300</f>
        <v>1</v>
      </c>
      <c r="Z3311" t="str">
        <v>=</v>
      </c>
      <c r="AA3311">
        <f>IF(AA3312=0,(D3311*N3311+P3311*R3311)*U3311*Y3311,0)</f>
        <v>0</v>
      </c>
    </row>
    <row r="3312">
      <c r="A3312" t="str">
        <f>A3294</f>
        <v>Lantai 1</v>
      </c>
      <c r="B3312">
        <f>B3294</f>
        <v>13</v>
      </c>
      <c r="D3312">
        <f>IF(AND(D3309=D3310,D3310=D3311,D3309=D3311),D3309,0)</f>
        <v>3</v>
      </c>
      <c r="E3312" t="str">
        <v>D</v>
      </c>
      <c r="F3312">
        <f>IF(AND(F3309=F3310,F3309=F3311,F3310=F3311),F3309,0)</f>
        <v>16</v>
      </c>
      <c r="L3312" t="str">
        <v>Total panjang per balok</v>
      </c>
      <c r="M3312" t="str">
        <v>=</v>
      </c>
      <c r="N3312">
        <f>IF(AND(D3309=D3310,D3309=D3311,D3310=D3311,F3309=F3310,F3309=F3311,F3310=F3311),SUM(N3309:N3311),0)</f>
        <v>3.719</v>
      </c>
      <c r="O3312" t="str">
        <v>+</v>
      </c>
      <c r="P3312">
        <f>IF(N3312&gt;12,ROUNDDOWN(N3312/12,0),0)</f>
        <v>0</v>
      </c>
      <c r="Q3312" t="str">
        <v>x</v>
      </c>
      <c r="R3312">
        <f>IF(P3312&gt;0,MAX(VLOOKUP(F3312,$D$6:$G$15,3,FALSE),600),0)/1000</f>
        <v>0</v>
      </c>
      <c r="T3312" t="str">
        <v>x</v>
      </c>
      <c r="U3312">
        <f>U3311</f>
        <v>1.57824</v>
      </c>
      <c r="V3312" t="str">
        <v>x</v>
      </c>
      <c r="W3312">
        <f>D3312</f>
        <v>3</v>
      </c>
      <c r="X3312" t="str">
        <v>x</v>
      </c>
      <c r="Y3312">
        <f>Y3311</f>
        <v>1</v>
      </c>
      <c r="Z3312" t="str">
        <v>=</v>
      </c>
      <c r="AA3312">
        <f>(N3312+P3312*R3312/1000)*U3312*W3312*Y3312</f>
        <v>17.60842368</v>
      </c>
    </row>
    <row r="3314">
      <c r="A3314" t="str">
        <f>A3294</f>
        <v>Lantai 1</v>
      </c>
      <c r="B3314">
        <f>B3294</f>
        <v>13</v>
      </c>
      <c r="C3314" t="str">
        <v>Sengkang Tumpuan</v>
      </c>
      <c r="D3314">
        <f>VLOOKUP(D3294,'Detail Balok'!$C$10:$AU$110,31,FALSE)</f>
        <v>0</v>
      </c>
      <c r="E3314" t="str">
        <v>D</v>
      </c>
      <c r="F3314">
        <f>VLOOKUP(D3294,'Detail Balok'!$C$10:$AU$110,33,FALSE)</f>
        <v>8</v>
      </c>
      <c r="G3314" t="str">
        <v>-</v>
      </c>
      <c r="H3314">
        <f>VLOOKUP(D3294,'Detail Balok'!$C$10:$AU$110,35,FALSE)</f>
        <v>100</v>
      </c>
      <c r="J3314">
        <f>(IF(D3314=0,(2*(D3295+G3295))-(F$5*8),IF(D3314=3,(2*(D3295+G3295))-(F$5*8)+(G3295-2*F$5),IF(D3314=4,(2*(D3295+G3295))-(F$5*8)+2*(G3295-2*F$5)))))/1000</f>
        <v>0.98</v>
      </c>
      <c r="K3314" t="str">
        <v>+</v>
      </c>
      <c r="L3314">
        <f>IF(D3314=0,2*MAX(6*F3314,75),(D3314-1)*2*MAX(6*F3314,75))/1000</f>
        <v>0.15</v>
      </c>
      <c r="M3314" t="str">
        <v>=</v>
      </c>
      <c r="N3314">
        <f>J3314+L3314</f>
        <v>1.13</v>
      </c>
      <c r="T3314" t="str">
        <v>x</v>
      </c>
      <c r="U3314">
        <f>0.006165*F3314^2</f>
        <v>0.39456</v>
      </c>
      <c r="V3314" t="str">
        <v>x</v>
      </c>
      <c r="W3314">
        <f>IF(D3297&gt;4*G3295,ROUND(MAX(D3297/4,2*G3295)/H3314,0)+1,ROUND(D3297/H3314,0)+1)</f>
        <v>10</v>
      </c>
      <c r="X3314" t="str">
        <v>x</v>
      </c>
      <c r="Y3314">
        <f>D3300</f>
        <v>1</v>
      </c>
      <c r="Z3314" t="str">
        <v>=</v>
      </c>
      <c r="AA3314">
        <f>N3314*U3314*W3314*Y3314</f>
        <v>4.458528</v>
      </c>
    </row>
    <row r="3315">
      <c r="A3315" t="str">
        <f>A3294</f>
        <v>Lantai 1</v>
      </c>
      <c r="B3315">
        <f>B3294</f>
        <v>13</v>
      </c>
      <c r="C3315" t="str">
        <v>Sengkang Lapangan</v>
      </c>
      <c r="D3315">
        <f>VLOOKUP(D3294,'Detail Balok'!$C$10:$AU$110,36,FALSE)</f>
        <v>0</v>
      </c>
      <c r="E3315" t="str">
        <v>D</v>
      </c>
      <c r="F3315">
        <f>VLOOKUP(D3294,'Detail Balok'!$C$10:$AU$110,38,FALSE)</f>
        <v>8</v>
      </c>
      <c r="G3315" t="str">
        <v>-</v>
      </c>
      <c r="H3315">
        <f>VLOOKUP(D3294,'Detail Balok'!$C$10:$AU$110,40,FALSE)</f>
        <v>200</v>
      </c>
      <c r="J3315">
        <f>(IF(D3315=0,(2*(D3295+G3295))-(F$5*8),IF(D3315=3,(2*(D3295+G3295))-(F$5*8)+(G3295-2*F$5),IF(D3315=4,(2*(D3295+G3295))-(F$5*8)+2*(G3295-2*F$5)))))/1000</f>
        <v>0.98</v>
      </c>
      <c r="K3315" t="str">
        <v>+</v>
      </c>
      <c r="L3315">
        <f>IF(D3315=0,2*MAX(6*F3315,75),(D3315-1)*2*MAX(6*F3315,75))/1000</f>
        <v>0.15</v>
      </c>
      <c r="M3315" t="str">
        <v>=</v>
      </c>
      <c r="N3315">
        <f>J3315+L3315</f>
        <v>1.13</v>
      </c>
      <c r="T3315" t="str">
        <v>x</v>
      </c>
      <c r="U3315">
        <f>0.006165*F3315^2</f>
        <v>0.39456</v>
      </c>
      <c r="V3315" t="str">
        <v>x</v>
      </c>
      <c r="W3315">
        <f>IF(D3297-MAX(D3297/4,2*G3295)*2&gt;0,ROUND((D3297-MAX(D3297/4,2*G3295)*2)/H3315,0),0)</f>
        <v>8</v>
      </c>
      <c r="X3315" t="str">
        <v>x</v>
      </c>
      <c r="Y3315">
        <f>D3300</f>
        <v>1</v>
      </c>
      <c r="Z3315" t="str">
        <v>=</v>
      </c>
      <c r="AA3315">
        <f>N3315*U3315*W3315*Y3315</f>
        <v>3.5668224</v>
      </c>
    </row>
    <row r="3316">
      <c r="A3316" t="str">
        <f>A3294</f>
        <v>Lantai 1</v>
      </c>
      <c r="B3316">
        <f>B3294</f>
        <v>13</v>
      </c>
      <c r="C3316" t="str">
        <v>Sengkang Tumpuan</v>
      </c>
      <c r="D3316">
        <f>VLOOKUP(D3294,'Detail Balok'!$C$10:$AU$110,41,FALSE)</f>
        <v>0</v>
      </c>
      <c r="E3316" t="str">
        <v>D</v>
      </c>
      <c r="F3316">
        <f>VLOOKUP(D3294,'Detail Balok'!$C$10:$AU$110,43,FALSE)</f>
        <v>8</v>
      </c>
      <c r="G3316" t="str">
        <v>-</v>
      </c>
      <c r="H3316">
        <f>VLOOKUP(D3294,'Detail Balok'!$C$10:$AU$110,45,FALSE)</f>
        <v>100</v>
      </c>
      <c r="J3316">
        <f>(IF(D3316=0,(2*(D3295+G3295))-(F$5*8),IF(D3316=3,(2*(D3295+G3295))-(F$5*8)+(G3295-2*F$5),IF(D3316=4,(2*(D3295+G3295))-(F$5*8)+2*(G3295-2*F$5)))))/1000</f>
        <v>0.98</v>
      </c>
      <c r="K3316" t="str">
        <v>+</v>
      </c>
      <c r="L3316">
        <f>IF(D3316=0,2*MAX(6*F3316,75),(D3316-1)*2*MAX(6*F3316,75))/1000</f>
        <v>0.15</v>
      </c>
      <c r="M3316" t="str">
        <v>=</v>
      </c>
      <c r="N3316">
        <f>J3316+L3316</f>
        <v>1.13</v>
      </c>
      <c r="T3316" t="str">
        <v>x</v>
      </c>
      <c r="U3316">
        <f>0.006165*F3316^2</f>
        <v>0.39456</v>
      </c>
      <c r="V3316" t="str">
        <v>x</v>
      </c>
      <c r="W3316">
        <f>IF(D3297&gt;4*G3295,ROUND(MAX(D3297/4,2*G3295)/H3316,0)+1,0)</f>
        <v>10</v>
      </c>
      <c r="X3316" t="str">
        <v>x</v>
      </c>
      <c r="Y3316">
        <f>D3300</f>
        <v>1</v>
      </c>
      <c r="Z3316" t="str">
        <v>=</v>
      </c>
      <c r="AA3316">
        <f>N3316*U3316*W3316*Y3316</f>
        <v>4.458528</v>
      </c>
    </row>
    <row r="3318">
      <c r="A3318" t="str">
        <f>A3294</f>
        <v>Lantai 1</v>
      </c>
      <c r="B3318">
        <f>B3294</f>
        <v>13</v>
      </c>
      <c r="C3318" t="str">
        <v>Kait Horizontal Tump.</v>
      </c>
      <c r="D3318">
        <f>VLOOKUP(D3294,'Detail Balok'!$C$10:$BJ$110,46,FALSE)</f>
        <v>0</v>
      </c>
      <c r="E3318" t="str">
        <v>D</v>
      </c>
      <c r="F3318">
        <f>VLOOKUP(D3294,'Detail Balok'!$C$10:$BJ$110,48,FALSE)</f>
        <v>0</v>
      </c>
      <c r="G3318" t="str">
        <v>-</v>
      </c>
      <c r="H3318">
        <f>VLOOKUP(D3294,'Detail Balok'!$C$10:$BJ$110,50,FALSE)</f>
        <v>100</v>
      </c>
      <c r="J3318">
        <f>(D3295-2*F$5)/1000</f>
        <v>0.12</v>
      </c>
      <c r="K3318" t="str">
        <v>+</v>
      </c>
      <c r="L3318">
        <f>IF(D3318=0,2*MAX(6*F3318,75),(D3318-1)*2*MAX(6*F3318,75))/1000</f>
        <v>0.15</v>
      </c>
      <c r="M3318" t="str">
        <v>=</v>
      </c>
      <c r="N3318">
        <f>J3318+L3318</f>
        <v>0.27</v>
      </c>
      <c r="T3318" t="str">
        <v>x</v>
      </c>
      <c r="U3318">
        <f>0.006165*F3318^2</f>
        <v>0</v>
      </c>
      <c r="V3318" t="str">
        <v>x</v>
      </c>
      <c r="W3318">
        <f>W3314</f>
        <v>10</v>
      </c>
      <c r="X3318" t="str">
        <v>x</v>
      </c>
      <c r="Y3318">
        <f>D3304</f>
        <v>3</v>
      </c>
      <c r="Z3318" t="str">
        <v>=</v>
      </c>
      <c r="AA3318">
        <f>N3318*U3318*W3318*Y3318</f>
        <v>0</v>
      </c>
    </row>
    <row r="3319">
      <c r="A3319" t="str">
        <f>A3294</f>
        <v>Lantai 1</v>
      </c>
      <c r="B3319">
        <f>B3294</f>
        <v>13</v>
      </c>
      <c r="C3319" t="str">
        <v>Kait Horizontal Lap.</v>
      </c>
      <c r="D3319">
        <f>VLOOKUP(D3294,'Detail Balok'!$C$10:$BJ$110,51,FALSE)</f>
        <v>0</v>
      </c>
      <c r="E3319" t="str">
        <v>D</v>
      </c>
      <c r="F3319">
        <f>VLOOKUP(D3294,'Detail Balok'!$C$10:$BJ$110,53,FALSE)</f>
        <v>0</v>
      </c>
      <c r="G3319" t="str">
        <v>-</v>
      </c>
      <c r="H3319">
        <f>VLOOKUP(D3294,'Detail Balok'!$C$10:$BJ$110,55,FALSE)</f>
        <v>100</v>
      </c>
      <c r="J3319">
        <f>(D3295-2*F$5)/1000</f>
        <v>0.12</v>
      </c>
      <c r="K3319" t="str">
        <v>+</v>
      </c>
      <c r="L3319">
        <f>IF(D3319=0,2*MAX(6*F3319,75),(D3319-1)*2*MAX(6*F3319,75))/1000</f>
        <v>0.15</v>
      </c>
      <c r="M3319" t="str">
        <v>=</v>
      </c>
      <c r="N3319">
        <f>J3319+L3319</f>
        <v>0.27</v>
      </c>
      <c r="T3319" t="str">
        <v>x</v>
      </c>
      <c r="U3319">
        <f>0.006165*F3319^2</f>
        <v>0</v>
      </c>
      <c r="V3319" t="str">
        <v>x</v>
      </c>
      <c r="W3319">
        <f>W3315</f>
        <v>8</v>
      </c>
      <c r="X3319" t="str">
        <v>x</v>
      </c>
      <c r="Y3319">
        <f>D3304</f>
        <v>3</v>
      </c>
      <c r="Z3319" t="str">
        <v>=</v>
      </c>
      <c r="AA3319">
        <f>N3319*U3319*W3319*Y3319</f>
        <v>0</v>
      </c>
    </row>
    <row r="3320">
      <c r="A3320" t="str">
        <f>A3294</f>
        <v>Lantai 1</v>
      </c>
      <c r="B3320">
        <f>B3294</f>
        <v>13</v>
      </c>
      <c r="C3320" t="str">
        <v>Kait Horizontal Tump.</v>
      </c>
      <c r="D3320">
        <f>VLOOKUP(D3294,'Detail Balok'!$C$10:$BJ$110,56,FALSE)</f>
        <v>0</v>
      </c>
      <c r="E3320" t="str">
        <v>D</v>
      </c>
      <c r="F3320">
        <f>VLOOKUP(D3294,'Detail Balok'!$C$10:$BJ$110,58,FALSE)</f>
        <v>0</v>
      </c>
      <c r="G3320" t="str">
        <v>-</v>
      </c>
      <c r="H3320">
        <f>VLOOKUP(D3294,'Detail Balok'!$C$10:$BJ$110,60,FALSE)</f>
        <v>100</v>
      </c>
      <c r="J3320">
        <f>(D3295-2*F$5)/1000</f>
        <v>0.12</v>
      </c>
      <c r="K3320" t="str">
        <v>+</v>
      </c>
      <c r="L3320">
        <f>IF(D3320=0,2*MAX(6*F3320,75),(D3320-1)*2*MAX(6*F3320,75))/1000</f>
        <v>0.15</v>
      </c>
      <c r="M3320" t="str">
        <v>=</v>
      </c>
      <c r="N3320">
        <f>J3320+L3320</f>
        <v>0.27</v>
      </c>
      <c r="T3320" t="str">
        <v>x</v>
      </c>
      <c r="U3320">
        <f>0.006165*F3320^2</f>
        <v>0</v>
      </c>
      <c r="V3320" t="str">
        <v>x</v>
      </c>
      <c r="W3320">
        <f>W3316</f>
        <v>10</v>
      </c>
      <c r="X3320" t="str">
        <v>x</v>
      </c>
      <c r="Y3320">
        <f>D3304</f>
        <v>3</v>
      </c>
      <c r="Z3320" t="str">
        <v>=</v>
      </c>
      <c r="AA3320">
        <f>N3320*U3320*W3320*Y3320</f>
        <v>0</v>
      </c>
    </row>
    <row r="3324">
      <c r="A3324" t="str">
        <f>A3294</f>
        <v>Lantai 1</v>
      </c>
      <c r="B3324">
        <f>B3294+1</f>
        <v>14</v>
      </c>
      <c r="C3324" t="str">
        <f>CONCATENATE(A3324," no. ",B3324)</f>
        <v>Lantai 1 no. 14</v>
      </c>
      <c r="D3324" t="str">
        <f>VLOOKUP(C3324,'Data Panjang Balok'!$C$9:$N$424,2,FALSE)</f>
        <v>B245-4</v>
      </c>
    </row>
    <row r="3325">
      <c r="C3325" t="str">
        <v>Dimensi</v>
      </c>
      <c r="D3325">
        <f>VLOOKUP(D3324,'Detail Balok'!$C$10:$AU$110,2,FALSE)</f>
        <v>200</v>
      </c>
      <c r="F3325" t="str">
        <v>x</v>
      </c>
      <c r="G3325">
        <f>VLOOKUP(D3324,'Detail Balok'!$C$10:$AU$110,3,FALSE)</f>
        <v>450</v>
      </c>
    </row>
    <row r="3326">
      <c r="C3326" t="str">
        <v>Panjang as ke as</v>
      </c>
      <c r="D3326">
        <f>VLOOKUP(C3324,'Data Panjang Balok'!$C$9:$N$424,4,FALSE)</f>
        <v>5165</v>
      </c>
    </row>
    <row r="3327">
      <c r="C3327" t="str">
        <v>Panjang netto</v>
      </c>
      <c r="D3327">
        <f>VLOOKUP(C3324,'Data Panjang Balok'!$C$9:$N$424,7,FALSE)</f>
        <v>5165</v>
      </c>
    </row>
    <row r="3328">
      <c r="C3328" t="str">
        <v>Kolom / balok kiri</v>
      </c>
      <c r="D3328">
        <f>VLOOKUP(C3324,'Data Panjang Balok'!$C$9:$N$424,9,FALSE)</f>
        <v>0</v>
      </c>
    </row>
    <row r="3329">
      <c r="C3329" t="str">
        <v>Kolom / balok kanan</v>
      </c>
      <c r="D3329">
        <f>VLOOKUP(C3324,'Data Panjang Balok'!$C$9:$N$424,10,FALSE)</f>
        <v>0</v>
      </c>
    </row>
    <row r="3330">
      <c r="C3330" t="str">
        <v>Jumlah</v>
      </c>
      <c r="D3330">
        <f>VLOOKUP(C3324,'Data Panjang Balok'!$C$9:$N$424,3,FALSE)</f>
        <v>1</v>
      </c>
    </row>
    <row r="3331">
      <c r="A3331" t="str">
        <f>A3324</f>
        <v>Lantai 1</v>
      </c>
      <c r="B3331">
        <f>B3324</f>
        <v>14</v>
      </c>
      <c r="C3331" t="str">
        <v>Tul Atas Tumpuan</v>
      </c>
      <c r="D3331">
        <f>VLOOKUP(D3324,'Detail Balok'!$C$10:$AU$110,4,FALSE)</f>
        <v>3</v>
      </c>
      <c r="E3331" t="str">
        <v>D</v>
      </c>
      <c r="F3331">
        <f>VLOOKUP(D3324,'Detail Balok'!$C$10:$AU$110,6,FALSE)</f>
        <v>16</v>
      </c>
      <c r="I3331" t="str">
        <v>(</v>
      </c>
      <c r="J3331">
        <f>+D3326/4/1000</f>
        <v>1.29125</v>
      </c>
      <c r="K3331" t="str">
        <v>+</v>
      </c>
      <c r="L3331">
        <f>MAX(VLOOKUP(F3331,N$6:P$15,3,FALSE)/1000,2/3*D3328/1000)+F$16*F3331/1000</f>
        <v>0.192</v>
      </c>
      <c r="M3331" t="str">
        <v>=</v>
      </c>
      <c r="N3331">
        <f>J3331+L3331</f>
        <v>1.48325</v>
      </c>
      <c r="O3331" t="str">
        <v>+</v>
      </c>
      <c r="P3331">
        <f>D3331-D3332</f>
        <v>0</v>
      </c>
      <c r="Q3331" t="str">
        <v>x</v>
      </c>
      <c r="R3331">
        <f>IF(P3331&gt;0,$F$18*F3331/1000,0)</f>
        <v>0</v>
      </c>
      <c r="S3331" t="str">
        <v>)</v>
      </c>
      <c r="T3331" t="str">
        <v>x</v>
      </c>
      <c r="U3331">
        <f>0.006165*F3331^2</f>
        <v>1.57824</v>
      </c>
      <c r="X3331" t="str">
        <v>x</v>
      </c>
      <c r="Y3331">
        <f>D3330</f>
        <v>1</v>
      </c>
      <c r="Z3331" t="str">
        <v>=</v>
      </c>
      <c r="AA3331">
        <f>IF(AA3334=0,(D3331*N3331+P3331*R3331)*U3331*Y3331,0)</f>
        <v>0</v>
      </c>
    </row>
    <row r="3332">
      <c r="A3332" t="str">
        <f>A3324</f>
        <v>Lantai 1</v>
      </c>
      <c r="B3332">
        <f>B3324</f>
        <v>14</v>
      </c>
      <c r="C3332" t="str">
        <v>Tul Atas Lapangan</v>
      </c>
      <c r="D3332">
        <f>VLOOKUP(D3324,'Detail Balok'!$C$10:$AU$110,7,FALSE)</f>
        <v>3</v>
      </c>
      <c r="E3332" t="str">
        <v>D</v>
      </c>
      <c r="F3332">
        <f>VLOOKUP(D3324,'Detail Balok'!$C$10:$AU$110,9,FALSE)</f>
        <v>16</v>
      </c>
      <c r="I3332" t="str">
        <v>(</v>
      </c>
      <c r="J3332">
        <f>+D3326/2/1000</f>
        <v>2.5825</v>
      </c>
      <c r="K3332" t="str">
        <v>+</v>
      </c>
      <c r="M3332" t="str">
        <v>=</v>
      </c>
      <c r="N3332">
        <f>J3332+L3332</f>
        <v>2.5825</v>
      </c>
      <c r="O3332" t="str">
        <v>+</v>
      </c>
      <c r="P3332">
        <f>MAX(D3332-D3331,D3332-D3333)</f>
        <v>0</v>
      </c>
      <c r="Q3332" t="str">
        <v>x</v>
      </c>
      <c r="R3332">
        <f>IF(P3332&gt;0,2*(1-2*$F$19-1/2)*D3327/1000,0)</f>
        <v>0</v>
      </c>
      <c r="S3332" t="str">
        <v>)</v>
      </c>
      <c r="T3332" t="str">
        <v>x</v>
      </c>
      <c r="U3332">
        <f>0.006165*F3332^2</f>
        <v>1.57824</v>
      </c>
      <c r="X3332" t="str">
        <v>x</v>
      </c>
      <c r="Y3332">
        <f>D3330</f>
        <v>1</v>
      </c>
      <c r="Z3332" t="str">
        <v>=</v>
      </c>
      <c r="AA3332">
        <f>IF(AA3334=0,(D3332*N3332+P3332*R3332)*U3332*Y3332,0)</f>
        <v>0</v>
      </c>
    </row>
    <row r="3333">
      <c r="A3333" t="str">
        <f>A3324</f>
        <v>Lantai 1</v>
      </c>
      <c r="B3333">
        <f>B3324</f>
        <v>14</v>
      </c>
      <c r="C3333" t="str">
        <v>Tul Atas Tumpuan</v>
      </c>
      <c r="D3333">
        <f>VLOOKUP(D3324,'Detail Balok'!$C$10:$AU$110,10,FALSE)</f>
        <v>3</v>
      </c>
      <c r="E3333" t="str">
        <v>D</v>
      </c>
      <c r="F3333">
        <f>VLOOKUP(D3324,'Detail Balok'!$C$10:$AU$110,12,FALSE)</f>
        <v>16</v>
      </c>
      <c r="I3333" t="str">
        <v>(</v>
      </c>
      <c r="J3333">
        <f>+D3326/4/1000</f>
        <v>1.29125</v>
      </c>
      <c r="K3333" t="str">
        <v>+</v>
      </c>
      <c r="L3333">
        <f>MAX(VLOOKUP(F3333,N$6:P$15,3,FALSE)/1000,2/3*D3328/1000)+F$16*F3333/1000</f>
        <v>0.192</v>
      </c>
      <c r="M3333" t="str">
        <v>=</v>
      </c>
      <c r="N3333">
        <f>J3333+L3333</f>
        <v>1.48325</v>
      </c>
      <c r="O3333" t="str">
        <v>+</v>
      </c>
      <c r="P3333">
        <f>D3333-D3332</f>
        <v>0</v>
      </c>
      <c r="Q3333" t="str">
        <v>x</v>
      </c>
      <c r="R3333">
        <f>IF(P3333&gt;0,$F$18*F3333/1000,0)</f>
        <v>0</v>
      </c>
      <c r="S3333" t="str">
        <v>)</v>
      </c>
      <c r="T3333" t="str">
        <v>x</v>
      </c>
      <c r="U3333">
        <f>0.006165*F3333^2</f>
        <v>1.57824</v>
      </c>
      <c r="X3333" t="str">
        <v>x</v>
      </c>
      <c r="Y3333">
        <f>D3330</f>
        <v>1</v>
      </c>
      <c r="Z3333" t="str">
        <v>=</v>
      </c>
      <c r="AA3333">
        <f>IF(AA3334=0,(D3333*N3333+P3333*R3333)*U3333*Y3333,0)</f>
        <v>0</v>
      </c>
    </row>
    <row r="3334">
      <c r="A3334" t="str">
        <f>A3324</f>
        <v>Lantai 1</v>
      </c>
      <c r="B3334">
        <f>B3324</f>
        <v>14</v>
      </c>
      <c r="D3334">
        <f>IF(AND(D3331=D3332,D3332=D3333,D3331=D3333),D3331,0)</f>
        <v>3</v>
      </c>
      <c r="E3334" t="str">
        <v>D</v>
      </c>
      <c r="F3334">
        <f>IF(AND(F3331=F3332,F3331=F3333,F3332=F3333),F3331,0)</f>
        <v>16</v>
      </c>
      <c r="L3334" t="str">
        <v>Total panjang per balok</v>
      </c>
      <c r="M3334" t="str">
        <v>=</v>
      </c>
      <c r="N3334">
        <f>IF(AND(D3331=D3332,D3331=D3333,D3332=D3333,F3331=F3332,F3331=F3333,F3332=F3333),SUM(N3331:N3333),0)</f>
        <v>5.5489999999999995</v>
      </c>
      <c r="O3334" t="str">
        <v>+</v>
      </c>
      <c r="P3334">
        <f>IF(N3334&gt;12,ROUNDDOWN(N3334/12,0),0)</f>
        <v>0</v>
      </c>
      <c r="Q3334" t="str">
        <v>x</v>
      </c>
      <c r="R3334">
        <f>IF(P3334&gt;0,MAX(VLOOKUP(F3334,$D$6:$G$15,3,FALSE),600),0)/1000</f>
        <v>0</v>
      </c>
      <c r="T3334" t="str">
        <v>x</v>
      </c>
      <c r="U3334">
        <f>U3333</f>
        <v>1.57824</v>
      </c>
      <c r="V3334" t="str">
        <v>x</v>
      </c>
      <c r="W3334">
        <f>D3334</f>
        <v>3</v>
      </c>
      <c r="X3334" t="str">
        <v>x</v>
      </c>
      <c r="Y3334">
        <f>Y3333</f>
        <v>1</v>
      </c>
      <c r="Z3334" t="str">
        <v>=</v>
      </c>
      <c r="AA3334">
        <f>(N3334+P3334*R3334/1000)*U3334*W3334*Y3334</f>
        <v>26.27296128</v>
      </c>
    </row>
    <row r="3336">
      <c r="A3336" t="str">
        <f>A3324</f>
        <v>Lantai 1</v>
      </c>
      <c r="B3336">
        <f>B3324</f>
        <v>14</v>
      </c>
      <c r="C3336" t="str">
        <v>Tul Peminggang</v>
      </c>
      <c r="D3336">
        <f>VLOOKUP(D3324,'Detail Balok'!$C$10:$AU$110,13,FALSE)</f>
        <v>2</v>
      </c>
      <c r="E3336" t="str">
        <v>D</v>
      </c>
      <c r="F3336">
        <f>VLOOKUP(D3324,'Detail Balok'!$C$10:$AU$110,15,FALSE)</f>
        <v>8</v>
      </c>
      <c r="J3336">
        <f>+D3326/1000</f>
        <v>5.165</v>
      </c>
      <c r="K3336" t="str">
        <v>+</v>
      </c>
      <c r="L3336">
        <f>2*$F$16*F3336/1000</f>
        <v>0.192</v>
      </c>
      <c r="M3336" t="str">
        <v>=</v>
      </c>
      <c r="N3336">
        <f>J3336+L3336</f>
        <v>5.357</v>
      </c>
      <c r="O3336" t="str">
        <v>+</v>
      </c>
      <c r="P3336">
        <f>IF(N3336&gt;12,ROUNDDOWN(N3336/12,0),0)</f>
        <v>0</v>
      </c>
      <c r="Q3336" t="str">
        <v>x</v>
      </c>
      <c r="R3336">
        <f>IF(P3336&gt;0,MAX(VLOOKUP(F3336,$D$6:$G$15,3,FALSE),600),0)/1000</f>
        <v>0</v>
      </c>
      <c r="T3336" t="str">
        <v>x</v>
      </c>
      <c r="U3336">
        <f>0.006165*F3336^2</f>
        <v>0.39456</v>
      </c>
      <c r="V3336" t="str">
        <v>x</v>
      </c>
      <c r="W3336">
        <f>+D3336</f>
        <v>2</v>
      </c>
      <c r="X3336" t="str">
        <v>x</v>
      </c>
      <c r="Y3336">
        <f>D3330</f>
        <v>1</v>
      </c>
      <c r="Z3336" t="str">
        <v>=</v>
      </c>
      <c r="AA3336">
        <f>(N3336+P3336*R3336/1000)*U3336*W3336*Y3336</f>
        <v>4.22731584</v>
      </c>
    </row>
    <row r="3339">
      <c r="A3339" t="str">
        <f>A3324</f>
        <v>Lantai 1</v>
      </c>
      <c r="B3339">
        <f>B3324</f>
        <v>14</v>
      </c>
      <c r="C3339" t="str">
        <v>Tul Bawah Tumpuan</v>
      </c>
      <c r="D3339">
        <f>VLOOKUP(D3324,'Detail Balok'!$C$10:$AU$110,22,FALSE)</f>
        <v>3</v>
      </c>
      <c r="E3339" t="str">
        <v>D</v>
      </c>
      <c r="F3339">
        <f>VLOOKUP(D3324,'Detail Balok'!$C$10:$AU$110,24,FALSE)</f>
        <v>16</v>
      </c>
      <c r="I3339" t="str">
        <v>(</v>
      </c>
      <c r="J3339">
        <f>+J3331</f>
        <v>1.29125</v>
      </c>
      <c r="K3339" t="str">
        <v>+</v>
      </c>
      <c r="L3339">
        <f>MAX(VLOOKUP(F3339,N$6:P$15,3,FALSE)/1000,2/3*D3329/1000)+F$16*F3339/1000</f>
        <v>0.192</v>
      </c>
      <c r="M3339" t="str">
        <v>=</v>
      </c>
      <c r="N3339">
        <f>J3339+L3339</f>
        <v>1.48325</v>
      </c>
      <c r="O3339" t="str">
        <v>+</v>
      </c>
      <c r="P3339">
        <f>D3339-D3340</f>
        <v>0</v>
      </c>
      <c r="Q3339" t="str">
        <v>x</v>
      </c>
      <c r="R3339">
        <f>IF(P3339&gt;0,$F$18*F3339/1000,0)</f>
        <v>0</v>
      </c>
      <c r="S3339" t="str">
        <v>)</v>
      </c>
      <c r="T3339" t="str">
        <v>x</v>
      </c>
      <c r="U3339">
        <f>0.006165*F3339^2</f>
        <v>1.57824</v>
      </c>
      <c r="X3339" t="str">
        <v>x</v>
      </c>
      <c r="Y3339">
        <f>D3330</f>
        <v>1</v>
      </c>
      <c r="Z3339" t="str">
        <v>=</v>
      </c>
      <c r="AA3339">
        <f>IF(AA3342=0,(D3339*N3339+P3339*R3339)*U3339*Y3339,0)</f>
        <v>0</v>
      </c>
    </row>
    <row r="3340">
      <c r="A3340" t="str">
        <f>A3324</f>
        <v>Lantai 1</v>
      </c>
      <c r="B3340">
        <f>B3324</f>
        <v>14</v>
      </c>
      <c r="C3340" t="str">
        <v>Tul Bawah Lapangan</v>
      </c>
      <c r="D3340">
        <f>VLOOKUP(D3324,'Detail Balok'!$C$10:$AU$110,25,FALSE)</f>
        <v>3</v>
      </c>
      <c r="E3340" t="str">
        <v>D</v>
      </c>
      <c r="F3340">
        <f>VLOOKUP(D3324,'Detail Balok'!$C$10:$AU$110,27,FALSE)</f>
        <v>16</v>
      </c>
      <c r="I3340" t="str">
        <v>(</v>
      </c>
      <c r="J3340">
        <f>+J3332</f>
        <v>2.5825</v>
      </c>
      <c r="K3340" t="str">
        <v>+</v>
      </c>
      <c r="M3340" t="str">
        <v>=</v>
      </c>
      <c r="N3340">
        <f>J3340+L3340</f>
        <v>2.5825</v>
      </c>
      <c r="O3340" t="str">
        <v>+</v>
      </c>
      <c r="P3340">
        <f>MAX(D3340-D3339,D3340-D3341)</f>
        <v>0</v>
      </c>
      <c r="Q3340" t="str">
        <v>x</v>
      </c>
      <c r="R3340">
        <f>IF(P3340&gt;0,2*(1-2*$F$19-1/2)*D3327/1000,0)</f>
        <v>0</v>
      </c>
      <c r="S3340" t="str">
        <v>)</v>
      </c>
      <c r="T3340" t="str">
        <v>x</v>
      </c>
      <c r="U3340">
        <f>0.006165*F3340^2</f>
        <v>1.57824</v>
      </c>
      <c r="X3340" t="str">
        <v>x</v>
      </c>
      <c r="Y3340">
        <f>D3330</f>
        <v>1</v>
      </c>
      <c r="Z3340" t="str">
        <v>=</v>
      </c>
      <c r="AA3340">
        <f>IF(AA3342=0,(D3340*N3340+P3340*R3340)*U3340*Y3340,0)</f>
        <v>0</v>
      </c>
    </row>
    <row r="3341">
      <c r="A3341" t="str">
        <f>A3324</f>
        <v>Lantai 1</v>
      </c>
      <c r="B3341">
        <f>B3324</f>
        <v>14</v>
      </c>
      <c r="C3341" t="str">
        <v>Tul Bawah Tumpuan</v>
      </c>
      <c r="D3341">
        <f>VLOOKUP(D3324,'Detail Balok'!$C$10:$AU$110,28,FALSE)</f>
        <v>3</v>
      </c>
      <c r="E3341" t="str">
        <v>D</v>
      </c>
      <c r="F3341">
        <f>VLOOKUP(D3324,'Detail Balok'!$C$10:$AU$110,30,FALSE)</f>
        <v>16</v>
      </c>
      <c r="I3341" t="str">
        <v>(</v>
      </c>
      <c r="J3341">
        <f>+J3333</f>
        <v>1.29125</v>
      </c>
      <c r="K3341" t="str">
        <v>+</v>
      </c>
      <c r="L3341">
        <f>MAX(VLOOKUP(F3341,N$6:P$15,3,FALSE)/1000,2/3*D3329/1000)+F$16*F3341/1000</f>
        <v>0.192</v>
      </c>
      <c r="M3341" t="str">
        <v>=</v>
      </c>
      <c r="N3341">
        <f>J3341+L3341</f>
        <v>1.48325</v>
      </c>
      <c r="O3341" t="str">
        <v>+</v>
      </c>
      <c r="P3341">
        <f>D3341-D3340</f>
        <v>0</v>
      </c>
      <c r="Q3341" t="str">
        <v>x</v>
      </c>
      <c r="R3341">
        <f>IF(P3341&gt;0,$F$18*F3341/1000,0)</f>
        <v>0</v>
      </c>
      <c r="S3341" t="str">
        <v>)</v>
      </c>
      <c r="T3341" t="str">
        <v>x</v>
      </c>
      <c r="U3341">
        <f>0.006165*F3341^2</f>
        <v>1.57824</v>
      </c>
      <c r="X3341" t="str">
        <v>x</v>
      </c>
      <c r="Y3341">
        <f>D3330</f>
        <v>1</v>
      </c>
      <c r="Z3341" t="str">
        <v>=</v>
      </c>
      <c r="AA3341">
        <f>IF(AA3342=0,(D3341*N3341+P3341*R3341)*U3341*Y3341,0)</f>
        <v>0</v>
      </c>
    </row>
    <row r="3342">
      <c r="A3342" t="str">
        <f>A3324</f>
        <v>Lantai 1</v>
      </c>
      <c r="B3342">
        <f>B3324</f>
        <v>14</v>
      </c>
      <c r="D3342">
        <f>IF(AND(D3339=D3340,D3340=D3341,D3339=D3341),D3339,0)</f>
        <v>3</v>
      </c>
      <c r="E3342" t="str">
        <v>D</v>
      </c>
      <c r="F3342">
        <f>IF(AND(F3339=F3340,F3339=F3341,F3340=F3341),F3339,0)</f>
        <v>16</v>
      </c>
      <c r="L3342" t="str">
        <v>Total panjang per balok</v>
      </c>
      <c r="M3342" t="str">
        <v>=</v>
      </c>
      <c r="N3342">
        <f>IF(AND(D3339=D3340,D3339=D3341,D3340=D3341,F3339=F3340,F3339=F3341,F3340=F3341),SUM(N3339:N3341),0)</f>
        <v>5.5489999999999995</v>
      </c>
      <c r="O3342" t="str">
        <v>+</v>
      </c>
      <c r="P3342">
        <f>IF(N3342&gt;12,ROUNDDOWN(N3342/12,0),0)</f>
        <v>0</v>
      </c>
      <c r="Q3342" t="str">
        <v>x</v>
      </c>
      <c r="R3342">
        <f>IF(P3342&gt;0,MAX(VLOOKUP(F3342,$D$6:$G$15,3,FALSE),600),0)/1000</f>
        <v>0</v>
      </c>
      <c r="T3342" t="str">
        <v>x</v>
      </c>
      <c r="U3342">
        <f>U3341</f>
        <v>1.57824</v>
      </c>
      <c r="V3342" t="str">
        <v>x</v>
      </c>
      <c r="W3342">
        <f>D3342</f>
        <v>3</v>
      </c>
      <c r="X3342" t="str">
        <v>x</v>
      </c>
      <c r="Y3342">
        <f>Y3341</f>
        <v>1</v>
      </c>
      <c r="Z3342" t="str">
        <v>=</v>
      </c>
      <c r="AA3342">
        <f>(N3342+P3342*R3342/1000)*U3342*W3342*Y3342</f>
        <v>26.27296128</v>
      </c>
    </row>
    <row r="3344">
      <c r="A3344" t="str">
        <f>A3324</f>
        <v>Lantai 1</v>
      </c>
      <c r="B3344">
        <f>B3324</f>
        <v>14</v>
      </c>
      <c r="C3344" t="str">
        <v>Sengkang Tumpuan</v>
      </c>
      <c r="D3344">
        <f>VLOOKUP(D3324,'Detail Balok'!$C$10:$AU$110,31,FALSE)</f>
        <v>0</v>
      </c>
      <c r="E3344" t="str">
        <v>D</v>
      </c>
      <c r="F3344">
        <f>VLOOKUP(D3324,'Detail Balok'!$C$10:$AU$110,33,FALSE)</f>
        <v>8</v>
      </c>
      <c r="G3344" t="str">
        <v>-</v>
      </c>
      <c r="H3344">
        <f>VLOOKUP(D3324,'Detail Balok'!$C$10:$AU$110,35,FALSE)</f>
        <v>100</v>
      </c>
      <c r="J3344">
        <f>(IF(D3344=0,(2*(D3325+G3325))-(F$5*8),IF(D3344=3,(2*(D3325+G3325))-(F$5*8)+(G3325-2*F$5),IF(D3344=4,(2*(D3325+G3325))-(F$5*8)+2*(G3325-2*F$5)))))/1000</f>
        <v>0.98</v>
      </c>
      <c r="K3344" t="str">
        <v>+</v>
      </c>
      <c r="L3344">
        <f>IF(D3344=0,2*MAX(6*F3344,75),(D3344-1)*2*MAX(6*F3344,75))/1000</f>
        <v>0.15</v>
      </c>
      <c r="M3344" t="str">
        <v>=</v>
      </c>
      <c r="N3344">
        <f>J3344+L3344</f>
        <v>1.13</v>
      </c>
      <c r="T3344" t="str">
        <v>x</v>
      </c>
      <c r="U3344">
        <f>0.006165*F3344^2</f>
        <v>0.39456</v>
      </c>
      <c r="V3344" t="str">
        <v>x</v>
      </c>
      <c r="W3344">
        <f>IF(D3327&gt;4*G3325,ROUND(MAX(D3327/4,2*G3325)/H3344,0)+1,ROUND(D3327/H3344,0)+1)</f>
        <v>14</v>
      </c>
      <c r="X3344" t="str">
        <v>x</v>
      </c>
      <c r="Y3344">
        <f>D3330</f>
        <v>1</v>
      </c>
      <c r="Z3344" t="str">
        <v>=</v>
      </c>
      <c r="AA3344">
        <f>N3344*U3344*W3344*Y3344</f>
        <v>6.2419392</v>
      </c>
    </row>
    <row r="3345">
      <c r="A3345" t="str">
        <f>A3324</f>
        <v>Lantai 1</v>
      </c>
      <c r="B3345">
        <f>B3324</f>
        <v>14</v>
      </c>
      <c r="C3345" t="str">
        <v>Sengkang Lapangan</v>
      </c>
      <c r="D3345">
        <f>VLOOKUP(D3324,'Detail Balok'!$C$10:$AU$110,36,FALSE)</f>
        <v>0</v>
      </c>
      <c r="E3345" t="str">
        <v>D</v>
      </c>
      <c r="F3345">
        <f>VLOOKUP(D3324,'Detail Balok'!$C$10:$AU$110,38,FALSE)</f>
        <v>8</v>
      </c>
      <c r="G3345" t="str">
        <v>-</v>
      </c>
      <c r="H3345">
        <f>VLOOKUP(D3324,'Detail Balok'!$C$10:$AU$110,40,FALSE)</f>
        <v>200</v>
      </c>
      <c r="J3345">
        <f>(IF(D3345=0,(2*(D3325+G3325))-(F$5*8),IF(D3345=3,(2*(D3325+G3325))-(F$5*8)+(G3325-2*F$5),IF(D3345=4,(2*(D3325+G3325))-(F$5*8)+2*(G3325-2*F$5)))))/1000</f>
        <v>0.98</v>
      </c>
      <c r="K3345" t="str">
        <v>+</v>
      </c>
      <c r="L3345">
        <f>IF(D3345=0,2*MAX(6*F3345,75),(D3345-1)*2*MAX(6*F3345,75))/1000</f>
        <v>0.15</v>
      </c>
      <c r="M3345" t="str">
        <v>=</v>
      </c>
      <c r="N3345">
        <f>J3345+L3345</f>
        <v>1.13</v>
      </c>
      <c r="T3345" t="str">
        <v>x</v>
      </c>
      <c r="U3345">
        <f>0.006165*F3345^2</f>
        <v>0.39456</v>
      </c>
      <c r="V3345" t="str">
        <v>x</v>
      </c>
      <c r="W3345">
        <f>IF(D3327-MAX(D3327/4,2*G3325)*2&gt;0,ROUND((D3327-MAX(D3327/4,2*G3325)*2)/H3345,0),0)</f>
        <v>13</v>
      </c>
      <c r="X3345" t="str">
        <v>x</v>
      </c>
      <c r="Y3345">
        <f>D3330</f>
        <v>1</v>
      </c>
      <c r="Z3345" t="str">
        <v>=</v>
      </c>
      <c r="AA3345">
        <f>N3345*U3345*W3345*Y3345</f>
        <v>5.7960864</v>
      </c>
    </row>
    <row r="3346">
      <c r="A3346" t="str">
        <f>A3324</f>
        <v>Lantai 1</v>
      </c>
      <c r="B3346">
        <f>B3324</f>
        <v>14</v>
      </c>
      <c r="C3346" t="str">
        <v>Sengkang Tumpuan</v>
      </c>
      <c r="D3346">
        <f>VLOOKUP(D3324,'Detail Balok'!$C$10:$AU$110,41,FALSE)</f>
        <v>0</v>
      </c>
      <c r="E3346" t="str">
        <v>D</v>
      </c>
      <c r="F3346">
        <f>VLOOKUP(D3324,'Detail Balok'!$C$10:$AU$110,43,FALSE)</f>
        <v>8</v>
      </c>
      <c r="G3346" t="str">
        <v>-</v>
      </c>
      <c r="H3346">
        <f>VLOOKUP(D3324,'Detail Balok'!$C$10:$AU$110,45,FALSE)</f>
        <v>100</v>
      </c>
      <c r="J3346">
        <f>(IF(D3346=0,(2*(D3325+G3325))-(F$5*8),IF(D3346=3,(2*(D3325+G3325))-(F$5*8)+(G3325-2*F$5),IF(D3346=4,(2*(D3325+G3325))-(F$5*8)+2*(G3325-2*F$5)))))/1000</f>
        <v>0.98</v>
      </c>
      <c r="K3346" t="str">
        <v>+</v>
      </c>
      <c r="L3346">
        <f>IF(D3346=0,2*MAX(6*F3346,75),(D3346-1)*2*MAX(6*F3346,75))/1000</f>
        <v>0.15</v>
      </c>
      <c r="M3346" t="str">
        <v>=</v>
      </c>
      <c r="N3346">
        <f>J3346+L3346</f>
        <v>1.13</v>
      </c>
      <c r="T3346" t="str">
        <v>x</v>
      </c>
      <c r="U3346">
        <f>0.006165*F3346^2</f>
        <v>0.39456</v>
      </c>
      <c r="V3346" t="str">
        <v>x</v>
      </c>
      <c r="W3346">
        <f>IF(D3327&gt;4*G3325,ROUND(MAX(D3327/4,2*G3325)/H3346,0)+1,0)</f>
        <v>14</v>
      </c>
      <c r="X3346" t="str">
        <v>x</v>
      </c>
      <c r="Y3346">
        <f>D3330</f>
        <v>1</v>
      </c>
      <c r="Z3346" t="str">
        <v>=</v>
      </c>
      <c r="AA3346">
        <f>N3346*U3346*W3346*Y3346</f>
        <v>6.2419392</v>
      </c>
    </row>
    <row r="3348">
      <c r="A3348" t="str">
        <f>A3324</f>
        <v>Lantai 1</v>
      </c>
      <c r="B3348">
        <f>B3324</f>
        <v>14</v>
      </c>
      <c r="C3348" t="str">
        <v>Kait Horizontal Tump.</v>
      </c>
      <c r="D3348">
        <f>VLOOKUP(D3324,'Detail Balok'!$C$10:$BJ$110,46,FALSE)</f>
        <v>0</v>
      </c>
      <c r="E3348" t="str">
        <v>D</v>
      </c>
      <c r="F3348">
        <f>VLOOKUP(D3324,'Detail Balok'!$C$10:$BJ$110,48,FALSE)</f>
        <v>0</v>
      </c>
      <c r="G3348" t="str">
        <v>-</v>
      </c>
      <c r="H3348">
        <f>VLOOKUP(D3324,'Detail Balok'!$C$10:$BJ$110,50,FALSE)</f>
        <v>100</v>
      </c>
      <c r="J3348">
        <f>(D3325-2*F$5)/1000</f>
        <v>0.12</v>
      </c>
      <c r="K3348" t="str">
        <v>+</v>
      </c>
      <c r="L3348">
        <f>IF(D3348=0,2*MAX(6*F3348,75),(D3348-1)*2*MAX(6*F3348,75))/1000</f>
        <v>0.15</v>
      </c>
      <c r="M3348" t="str">
        <v>=</v>
      </c>
      <c r="N3348">
        <f>J3348+L3348</f>
        <v>0.27</v>
      </c>
      <c r="T3348" t="str">
        <v>x</v>
      </c>
      <c r="U3348">
        <f>0.006165*F3348^2</f>
        <v>0</v>
      </c>
      <c r="V3348" t="str">
        <v>x</v>
      </c>
      <c r="W3348">
        <f>W3344</f>
        <v>14</v>
      </c>
      <c r="X3348" t="str">
        <v>x</v>
      </c>
      <c r="Y3348">
        <f>D3334</f>
        <v>3</v>
      </c>
      <c r="Z3348" t="str">
        <v>=</v>
      </c>
      <c r="AA3348">
        <f>N3348*U3348*W3348*Y3348</f>
        <v>0</v>
      </c>
    </row>
    <row r="3349">
      <c r="A3349" t="str">
        <f>A3324</f>
        <v>Lantai 1</v>
      </c>
      <c r="B3349">
        <f>B3324</f>
        <v>14</v>
      </c>
      <c r="C3349" t="str">
        <v>Kait Horizontal Lap.</v>
      </c>
      <c r="D3349">
        <f>VLOOKUP(D3324,'Detail Balok'!$C$10:$BJ$110,51,FALSE)</f>
        <v>0</v>
      </c>
      <c r="E3349" t="str">
        <v>D</v>
      </c>
      <c r="F3349">
        <f>VLOOKUP(D3324,'Detail Balok'!$C$10:$BJ$110,53,FALSE)</f>
        <v>0</v>
      </c>
      <c r="G3349" t="str">
        <v>-</v>
      </c>
      <c r="H3349">
        <f>VLOOKUP(D3324,'Detail Balok'!$C$10:$BJ$110,55,FALSE)</f>
        <v>100</v>
      </c>
      <c r="J3349">
        <f>(D3325-2*F$5)/1000</f>
        <v>0.12</v>
      </c>
      <c r="K3349" t="str">
        <v>+</v>
      </c>
      <c r="L3349">
        <f>IF(D3349=0,2*MAX(6*F3349,75),(D3349-1)*2*MAX(6*F3349,75))/1000</f>
        <v>0.15</v>
      </c>
      <c r="M3349" t="str">
        <v>=</v>
      </c>
      <c r="N3349">
        <f>J3349+L3349</f>
        <v>0.27</v>
      </c>
      <c r="T3349" t="str">
        <v>x</v>
      </c>
      <c r="U3349">
        <f>0.006165*F3349^2</f>
        <v>0</v>
      </c>
      <c r="V3349" t="str">
        <v>x</v>
      </c>
      <c r="W3349">
        <f>W3345</f>
        <v>13</v>
      </c>
      <c r="X3349" t="str">
        <v>x</v>
      </c>
      <c r="Y3349">
        <f>D3334</f>
        <v>3</v>
      </c>
      <c r="Z3349" t="str">
        <v>=</v>
      </c>
      <c r="AA3349">
        <f>N3349*U3349*W3349*Y3349</f>
        <v>0</v>
      </c>
    </row>
    <row r="3350">
      <c r="A3350" t="str">
        <f>A3324</f>
        <v>Lantai 1</v>
      </c>
      <c r="B3350">
        <f>B3324</f>
        <v>14</v>
      </c>
      <c r="C3350" t="str">
        <v>Kait Horizontal Tump.</v>
      </c>
      <c r="D3350">
        <f>VLOOKUP(D3324,'Detail Balok'!$C$10:$BJ$110,56,FALSE)</f>
        <v>0</v>
      </c>
      <c r="E3350" t="str">
        <v>D</v>
      </c>
      <c r="F3350">
        <f>VLOOKUP(D3324,'Detail Balok'!$C$10:$BJ$110,58,FALSE)</f>
        <v>0</v>
      </c>
      <c r="G3350" t="str">
        <v>-</v>
      </c>
      <c r="H3350">
        <f>VLOOKUP(D3324,'Detail Balok'!$C$10:$BJ$110,60,FALSE)</f>
        <v>100</v>
      </c>
      <c r="J3350">
        <f>(D3325-2*F$5)/1000</f>
        <v>0.12</v>
      </c>
      <c r="K3350" t="str">
        <v>+</v>
      </c>
      <c r="L3350">
        <f>IF(D3350=0,2*MAX(6*F3350,75),(D3350-1)*2*MAX(6*F3350,75))/1000</f>
        <v>0.15</v>
      </c>
      <c r="M3350" t="str">
        <v>=</v>
      </c>
      <c r="N3350">
        <f>J3350+L3350</f>
        <v>0.27</v>
      </c>
      <c r="T3350" t="str">
        <v>x</v>
      </c>
      <c r="U3350">
        <f>0.006165*F3350^2</f>
        <v>0</v>
      </c>
      <c r="V3350" t="str">
        <v>x</v>
      </c>
      <c r="W3350">
        <f>W3346</f>
        <v>14</v>
      </c>
      <c r="X3350" t="str">
        <v>x</v>
      </c>
      <c r="Y3350">
        <f>D3334</f>
        <v>3</v>
      </c>
      <c r="Z3350" t="str">
        <v>=</v>
      </c>
      <c r="AA3350">
        <f>N3350*U3350*W3350*Y3350</f>
        <v>0</v>
      </c>
    </row>
    <row r="3354">
      <c r="A3354" t="str">
        <f>A3324</f>
        <v>Lantai 1</v>
      </c>
      <c r="B3354">
        <f>B3324+1</f>
        <v>15</v>
      </c>
      <c r="C3354" t="str">
        <f>CONCATENATE(A3354," no. ",B3354)</f>
        <v>Lantai 1 no. 15</v>
      </c>
      <c r="D3354" t="str">
        <f>VLOOKUP(C3354,'Data Panjang Balok'!$C$9:$N$424,2,FALSE)</f>
        <v>Potongan I</v>
      </c>
    </row>
    <row r="3355">
      <c r="C3355" t="str">
        <v>Dimensi</v>
      </c>
      <c r="D3355">
        <f>VLOOKUP(D3354,'Detail Balok'!$C$10:$AU$110,2,FALSE)</f>
        <v>200</v>
      </c>
      <c r="F3355" t="str">
        <v>x</v>
      </c>
      <c r="G3355">
        <f>VLOOKUP(D3354,'Detail Balok'!$C$10:$AU$110,3,FALSE)</f>
        <v>450</v>
      </c>
    </row>
    <row r="3356">
      <c r="C3356" t="str">
        <v>Panjang as ke as</v>
      </c>
      <c r="D3356">
        <f>VLOOKUP(C3354,'Data Panjang Balok'!$C$9:$N$424,4,FALSE)</f>
        <v>1750</v>
      </c>
    </row>
    <row r="3357">
      <c r="C3357" t="str">
        <v>Panjang netto</v>
      </c>
      <c r="D3357">
        <f>VLOOKUP(C3354,'Data Panjang Balok'!$C$9:$N$424,7,FALSE)</f>
        <v>1750</v>
      </c>
    </row>
    <row r="3358">
      <c r="C3358" t="str">
        <v>Kolom / balok kiri</v>
      </c>
      <c r="D3358">
        <f>VLOOKUP(C3354,'Data Panjang Balok'!$C$9:$N$424,9,FALSE)</f>
        <v>0</v>
      </c>
    </row>
    <row r="3359">
      <c r="C3359" t="str">
        <v>Kolom / balok kanan</v>
      </c>
      <c r="D3359">
        <f>VLOOKUP(C3354,'Data Panjang Balok'!$C$9:$N$424,10,FALSE)</f>
        <v>0</v>
      </c>
    </row>
    <row r="3360">
      <c r="C3360" t="str">
        <v>Jumlah</v>
      </c>
      <c r="D3360">
        <f>VLOOKUP(C3354,'Data Panjang Balok'!$C$9:$N$424,3,FALSE)</f>
        <v>1</v>
      </c>
    </row>
    <row r="3361">
      <c r="A3361" t="str">
        <f>A3354</f>
        <v>Lantai 1</v>
      </c>
      <c r="B3361">
        <f>B3354</f>
        <v>15</v>
      </c>
      <c r="C3361" t="str">
        <v>Tul Atas Tumpuan</v>
      </c>
      <c r="D3361">
        <f>VLOOKUP(D3354,'Detail Balok'!$C$10:$AU$110,4,FALSE)</f>
        <v>4</v>
      </c>
      <c r="E3361" t="str">
        <v>D</v>
      </c>
      <c r="F3361">
        <f>VLOOKUP(D3354,'Detail Balok'!$C$10:$AU$110,6,FALSE)</f>
        <v>16</v>
      </c>
      <c r="I3361" t="str">
        <v>(</v>
      </c>
      <c r="J3361">
        <f>+D3356/4/1000</f>
        <v>0.4375</v>
      </c>
      <c r="K3361" t="str">
        <v>+</v>
      </c>
      <c r="L3361">
        <f>MAX(VLOOKUP(F3361,N$6:P$15,3,FALSE)/1000,2/3*D3358/1000)+F$16*F3361/1000</f>
        <v>0.192</v>
      </c>
      <c r="M3361" t="str">
        <v>=</v>
      </c>
      <c r="N3361">
        <f>J3361+L3361</f>
        <v>0.6295</v>
      </c>
      <c r="O3361" t="str">
        <v>+</v>
      </c>
      <c r="P3361">
        <f>D3361-D3362</f>
        <v>0</v>
      </c>
      <c r="Q3361" t="str">
        <v>x</v>
      </c>
      <c r="R3361">
        <f>IF(P3361&gt;0,$F$18*F3361/1000,0)</f>
        <v>0</v>
      </c>
      <c r="S3361" t="str">
        <v>)</v>
      </c>
      <c r="T3361" t="str">
        <v>x</v>
      </c>
      <c r="U3361">
        <f>0.006165*F3361^2</f>
        <v>1.57824</v>
      </c>
      <c r="X3361" t="str">
        <v>x</v>
      </c>
      <c r="Y3361">
        <f>D3360</f>
        <v>1</v>
      </c>
      <c r="Z3361" t="str">
        <v>=</v>
      </c>
      <c r="AA3361">
        <f>IF(AA3364=0,(D3361*N3361+P3361*R3361)*U3361*Y3361,0)</f>
        <v>0</v>
      </c>
    </row>
    <row r="3362">
      <c r="A3362" t="str">
        <f>A3354</f>
        <v>Lantai 1</v>
      </c>
      <c r="B3362">
        <f>B3354</f>
        <v>15</v>
      </c>
      <c r="C3362" t="str">
        <v>Tul Atas Lapangan</v>
      </c>
      <c r="D3362">
        <f>VLOOKUP(D3354,'Detail Balok'!$C$10:$AU$110,7,FALSE)</f>
        <v>4</v>
      </c>
      <c r="E3362" t="str">
        <v>D</v>
      </c>
      <c r="F3362">
        <f>VLOOKUP(D3354,'Detail Balok'!$C$10:$AU$110,9,FALSE)</f>
        <v>16</v>
      </c>
      <c r="I3362" t="str">
        <v>(</v>
      </c>
      <c r="J3362">
        <f>+D3356/2/1000</f>
        <v>0.875</v>
      </c>
      <c r="K3362" t="str">
        <v>+</v>
      </c>
      <c r="M3362" t="str">
        <v>=</v>
      </c>
      <c r="N3362">
        <f>J3362+L3362</f>
        <v>0.875</v>
      </c>
      <c r="O3362" t="str">
        <v>+</v>
      </c>
      <c r="P3362">
        <f>MAX(D3362-D3361,D3362-D3363)</f>
        <v>0</v>
      </c>
      <c r="Q3362" t="str">
        <v>x</v>
      </c>
      <c r="R3362">
        <f>IF(P3362&gt;0,2*(1-2*$F$19-1/2)*D3357/1000,0)</f>
        <v>0</v>
      </c>
      <c r="S3362" t="str">
        <v>)</v>
      </c>
      <c r="T3362" t="str">
        <v>x</v>
      </c>
      <c r="U3362">
        <f>0.006165*F3362^2</f>
        <v>1.57824</v>
      </c>
      <c r="X3362" t="str">
        <v>x</v>
      </c>
      <c r="Y3362">
        <f>D3360</f>
        <v>1</v>
      </c>
      <c r="Z3362" t="str">
        <v>=</v>
      </c>
      <c r="AA3362">
        <f>IF(AA3364=0,(D3362*N3362+P3362*R3362)*U3362*Y3362,0)</f>
        <v>0</v>
      </c>
    </row>
    <row r="3363">
      <c r="A3363" t="str">
        <f>A3354</f>
        <v>Lantai 1</v>
      </c>
      <c r="B3363">
        <f>B3354</f>
        <v>15</v>
      </c>
      <c r="C3363" t="str">
        <v>Tul Atas Tumpuan</v>
      </c>
      <c r="D3363">
        <f>VLOOKUP(D3354,'Detail Balok'!$C$10:$AU$110,10,FALSE)</f>
        <v>4</v>
      </c>
      <c r="E3363" t="str">
        <v>D</v>
      </c>
      <c r="F3363">
        <f>VLOOKUP(D3354,'Detail Balok'!$C$10:$AU$110,12,FALSE)</f>
        <v>16</v>
      </c>
      <c r="I3363" t="str">
        <v>(</v>
      </c>
      <c r="J3363">
        <f>+D3356/4/1000</f>
        <v>0.4375</v>
      </c>
      <c r="K3363" t="str">
        <v>+</v>
      </c>
      <c r="L3363">
        <f>MAX(VLOOKUP(F3363,N$6:P$15,3,FALSE)/1000,2/3*D3358/1000)+F$16*F3363/1000</f>
        <v>0.192</v>
      </c>
      <c r="M3363" t="str">
        <v>=</v>
      </c>
      <c r="N3363">
        <f>J3363+L3363</f>
        <v>0.6295</v>
      </c>
      <c r="O3363" t="str">
        <v>+</v>
      </c>
      <c r="P3363">
        <f>D3363-D3362</f>
        <v>0</v>
      </c>
      <c r="Q3363" t="str">
        <v>x</v>
      </c>
      <c r="R3363">
        <f>IF(P3363&gt;0,$F$18*F3363/1000,0)</f>
        <v>0</v>
      </c>
      <c r="S3363" t="str">
        <v>)</v>
      </c>
      <c r="T3363" t="str">
        <v>x</v>
      </c>
      <c r="U3363">
        <f>0.006165*F3363^2</f>
        <v>1.57824</v>
      </c>
      <c r="X3363" t="str">
        <v>x</v>
      </c>
      <c r="Y3363">
        <f>D3360</f>
        <v>1</v>
      </c>
      <c r="Z3363" t="str">
        <v>=</v>
      </c>
      <c r="AA3363">
        <f>IF(AA3364=0,(D3363*N3363+P3363*R3363)*U3363*Y3363,0)</f>
        <v>0</v>
      </c>
    </row>
    <row r="3364">
      <c r="A3364" t="str">
        <f>A3354</f>
        <v>Lantai 1</v>
      </c>
      <c r="B3364">
        <f>B3354</f>
        <v>15</v>
      </c>
      <c r="D3364">
        <f>IF(AND(D3361=D3362,D3362=D3363,D3361=D3363),D3361,0)</f>
        <v>4</v>
      </c>
      <c r="E3364" t="str">
        <v>D</v>
      </c>
      <c r="F3364">
        <f>IF(AND(F3361=F3362,F3361=F3363,F3362=F3363),F3361,0)</f>
        <v>16</v>
      </c>
      <c r="L3364" t="str">
        <v>Total panjang per balok</v>
      </c>
      <c r="M3364" t="str">
        <v>=</v>
      </c>
      <c r="N3364">
        <f>IF(AND(D3361=D3362,D3361=D3363,D3362=D3363,F3361=F3362,F3361=F3363,F3362=F3363),SUM(N3361:N3363),0)</f>
        <v>2.134</v>
      </c>
      <c r="O3364" t="str">
        <v>+</v>
      </c>
      <c r="P3364">
        <f>IF(N3364&gt;12,ROUNDDOWN(N3364/12,0),0)</f>
        <v>0</v>
      </c>
      <c r="Q3364" t="str">
        <v>x</v>
      </c>
      <c r="R3364">
        <f>IF(P3364&gt;0,MAX(VLOOKUP(F3364,$D$6:$G$15,3,FALSE),600),0)/1000</f>
        <v>0</v>
      </c>
      <c r="T3364" t="str">
        <v>x</v>
      </c>
      <c r="U3364">
        <f>U3363</f>
        <v>1.57824</v>
      </c>
      <c r="V3364" t="str">
        <v>x</v>
      </c>
      <c r="W3364">
        <f>D3364</f>
        <v>4</v>
      </c>
      <c r="X3364" t="str">
        <v>x</v>
      </c>
      <c r="Y3364">
        <f>Y3363</f>
        <v>1</v>
      </c>
      <c r="Z3364" t="str">
        <v>=</v>
      </c>
      <c r="AA3364">
        <f>(N3364+P3364*R3364/1000)*U3364*W3364*Y3364</f>
        <v>13.47185664</v>
      </c>
    </row>
    <row r="3366">
      <c r="A3366" t="str">
        <f>A3354</f>
        <v>Lantai 1</v>
      </c>
      <c r="B3366">
        <f>B3354</f>
        <v>15</v>
      </c>
      <c r="C3366" t="str">
        <v>Tul Peminggang</v>
      </c>
      <c r="D3366">
        <f>VLOOKUP(D3354,'Detail Balok'!$C$10:$AU$110,13,FALSE)</f>
        <v>2</v>
      </c>
      <c r="E3366" t="str">
        <v>D</v>
      </c>
      <c r="F3366">
        <f>VLOOKUP(D3354,'Detail Balok'!$C$10:$AU$110,15,FALSE)</f>
        <v>10</v>
      </c>
      <c r="J3366">
        <f>+D3356/1000</f>
        <v>1.75</v>
      </c>
      <c r="K3366" t="str">
        <v>+</v>
      </c>
      <c r="L3366">
        <f>2*$F$16*F3366/1000</f>
        <v>0.24</v>
      </c>
      <c r="M3366" t="str">
        <v>=</v>
      </c>
      <c r="N3366">
        <f>J3366+L3366</f>
        <v>1.99</v>
      </c>
      <c r="O3366" t="str">
        <v>+</v>
      </c>
      <c r="P3366">
        <f>IF(N3366&gt;12,ROUNDDOWN(N3366/12,0),0)</f>
        <v>0</v>
      </c>
      <c r="Q3366" t="str">
        <v>x</v>
      </c>
      <c r="R3366">
        <f>IF(P3366&gt;0,MAX(VLOOKUP(F3366,$D$6:$G$15,3,FALSE),600),0)/1000</f>
        <v>0</v>
      </c>
      <c r="T3366" t="str">
        <v>x</v>
      </c>
      <c r="U3366">
        <f>0.006165*F3366^2</f>
        <v>0.6165</v>
      </c>
      <c r="V3366" t="str">
        <v>x</v>
      </c>
      <c r="W3366">
        <f>+D3366</f>
        <v>2</v>
      </c>
      <c r="X3366" t="str">
        <v>x</v>
      </c>
      <c r="Y3366">
        <f>D3360</f>
        <v>1</v>
      </c>
      <c r="Z3366" t="str">
        <v>=</v>
      </c>
      <c r="AA3366">
        <f>(N3366+P3366*R3366/1000)*U3366*W3366*Y3366</f>
        <v>2.4536700000000002</v>
      </c>
    </row>
    <row r="3369">
      <c r="A3369" t="str">
        <f>A3354</f>
        <v>Lantai 1</v>
      </c>
      <c r="B3369">
        <f>B3354</f>
        <v>15</v>
      </c>
      <c r="C3369" t="str">
        <v>Tul Bawah Tumpuan</v>
      </c>
      <c r="D3369">
        <f>VLOOKUP(D3354,'Detail Balok'!$C$10:$AU$110,22,FALSE)</f>
        <v>3</v>
      </c>
      <c r="E3369" t="str">
        <v>D</v>
      </c>
      <c r="F3369">
        <f>VLOOKUP(D3354,'Detail Balok'!$C$10:$AU$110,24,FALSE)</f>
        <v>16</v>
      </c>
      <c r="I3369" t="str">
        <v>(</v>
      </c>
      <c r="J3369">
        <f>+J3361</f>
        <v>0.4375</v>
      </c>
      <c r="K3369" t="str">
        <v>+</v>
      </c>
      <c r="L3369">
        <f>MAX(VLOOKUP(F3369,N$6:P$15,3,FALSE)/1000,2/3*D3359/1000)+F$16*F3369/1000</f>
        <v>0.192</v>
      </c>
      <c r="M3369" t="str">
        <v>=</v>
      </c>
      <c r="N3369">
        <f>J3369+L3369</f>
        <v>0.6295</v>
      </c>
      <c r="O3369" t="str">
        <v>+</v>
      </c>
      <c r="P3369">
        <f>D3369-D3370</f>
        <v>0</v>
      </c>
      <c r="Q3369" t="str">
        <v>x</v>
      </c>
      <c r="R3369">
        <f>IF(P3369&gt;0,$F$18*F3369/1000,0)</f>
        <v>0</v>
      </c>
      <c r="S3369" t="str">
        <v>)</v>
      </c>
      <c r="T3369" t="str">
        <v>x</v>
      </c>
      <c r="U3369">
        <f>0.006165*F3369^2</f>
        <v>1.57824</v>
      </c>
      <c r="X3369" t="str">
        <v>x</v>
      </c>
      <c r="Y3369">
        <f>D3360</f>
        <v>1</v>
      </c>
      <c r="Z3369" t="str">
        <v>=</v>
      </c>
      <c r="AA3369">
        <f>IF(AA3372=0,(D3369*N3369+P3369*R3369)*U3369*Y3369,0)</f>
        <v>0</v>
      </c>
    </row>
    <row r="3370">
      <c r="A3370" t="str">
        <f>A3354</f>
        <v>Lantai 1</v>
      </c>
      <c r="B3370">
        <f>B3354</f>
        <v>15</v>
      </c>
      <c r="C3370" t="str">
        <v>Tul Bawah Lapangan</v>
      </c>
      <c r="D3370">
        <f>VLOOKUP(D3354,'Detail Balok'!$C$10:$AU$110,25,FALSE)</f>
        <v>3</v>
      </c>
      <c r="E3370" t="str">
        <v>D</v>
      </c>
      <c r="F3370">
        <f>VLOOKUP(D3354,'Detail Balok'!$C$10:$AU$110,27,FALSE)</f>
        <v>16</v>
      </c>
      <c r="I3370" t="str">
        <v>(</v>
      </c>
      <c r="J3370">
        <f>+J3362</f>
        <v>0.875</v>
      </c>
      <c r="K3370" t="str">
        <v>+</v>
      </c>
      <c r="M3370" t="str">
        <v>=</v>
      </c>
      <c r="N3370">
        <f>J3370+L3370</f>
        <v>0.875</v>
      </c>
      <c r="O3370" t="str">
        <v>+</v>
      </c>
      <c r="P3370">
        <f>MAX(D3370-D3369,D3370-D3371)</f>
        <v>0</v>
      </c>
      <c r="Q3370" t="str">
        <v>x</v>
      </c>
      <c r="R3370">
        <f>IF(P3370&gt;0,2*(1-2*$F$19-1/2)*D3357/1000,0)</f>
        <v>0</v>
      </c>
      <c r="S3370" t="str">
        <v>)</v>
      </c>
      <c r="T3370" t="str">
        <v>x</v>
      </c>
      <c r="U3370">
        <f>0.006165*F3370^2</f>
        <v>1.57824</v>
      </c>
      <c r="X3370" t="str">
        <v>x</v>
      </c>
      <c r="Y3370">
        <f>D3360</f>
        <v>1</v>
      </c>
      <c r="Z3370" t="str">
        <v>=</v>
      </c>
      <c r="AA3370">
        <f>IF(AA3372=0,(D3370*N3370+P3370*R3370)*U3370*Y3370,0)</f>
        <v>0</v>
      </c>
    </row>
    <row r="3371">
      <c r="A3371" t="str">
        <f>A3354</f>
        <v>Lantai 1</v>
      </c>
      <c r="B3371">
        <f>B3354</f>
        <v>15</v>
      </c>
      <c r="C3371" t="str">
        <v>Tul Bawah Tumpuan</v>
      </c>
      <c r="D3371">
        <f>VLOOKUP(D3354,'Detail Balok'!$C$10:$AU$110,28,FALSE)</f>
        <v>3</v>
      </c>
      <c r="E3371" t="str">
        <v>D</v>
      </c>
      <c r="F3371">
        <f>VLOOKUP(D3354,'Detail Balok'!$C$10:$AU$110,30,FALSE)</f>
        <v>16</v>
      </c>
      <c r="I3371" t="str">
        <v>(</v>
      </c>
      <c r="J3371">
        <f>+J3363</f>
        <v>0.4375</v>
      </c>
      <c r="K3371" t="str">
        <v>+</v>
      </c>
      <c r="L3371">
        <f>MAX(VLOOKUP(F3371,N$6:P$15,3,FALSE)/1000,2/3*D3359/1000)+F$16*F3371/1000</f>
        <v>0.192</v>
      </c>
      <c r="M3371" t="str">
        <v>=</v>
      </c>
      <c r="N3371">
        <f>J3371+L3371</f>
        <v>0.6295</v>
      </c>
      <c r="O3371" t="str">
        <v>+</v>
      </c>
      <c r="P3371">
        <f>D3371-D3370</f>
        <v>0</v>
      </c>
      <c r="Q3371" t="str">
        <v>x</v>
      </c>
      <c r="R3371">
        <f>IF(P3371&gt;0,$F$18*F3371/1000,0)</f>
        <v>0</v>
      </c>
      <c r="S3371" t="str">
        <v>)</v>
      </c>
      <c r="T3371" t="str">
        <v>x</v>
      </c>
      <c r="U3371">
        <f>0.006165*F3371^2</f>
        <v>1.57824</v>
      </c>
      <c r="X3371" t="str">
        <v>x</v>
      </c>
      <c r="Y3371">
        <f>D3360</f>
        <v>1</v>
      </c>
      <c r="Z3371" t="str">
        <v>=</v>
      </c>
      <c r="AA3371">
        <f>IF(AA3372=0,(D3371*N3371+P3371*R3371)*U3371*Y3371,0)</f>
        <v>0</v>
      </c>
    </row>
    <row r="3372">
      <c r="A3372" t="str">
        <f>A3354</f>
        <v>Lantai 1</v>
      </c>
      <c r="B3372">
        <f>B3354</f>
        <v>15</v>
      </c>
      <c r="D3372">
        <f>IF(AND(D3369=D3370,D3370=D3371,D3369=D3371),D3369,0)</f>
        <v>3</v>
      </c>
      <c r="E3372" t="str">
        <v>D</v>
      </c>
      <c r="F3372">
        <f>IF(AND(F3369=F3370,F3369=F3371,F3370=F3371),F3369,0)</f>
        <v>16</v>
      </c>
      <c r="L3372" t="str">
        <v>Total panjang per balok</v>
      </c>
      <c r="M3372" t="str">
        <v>=</v>
      </c>
      <c r="N3372">
        <f>IF(AND(D3369=D3370,D3369=D3371,D3370=D3371,F3369=F3370,F3369=F3371,F3370=F3371),SUM(N3369:N3371),0)</f>
        <v>2.134</v>
      </c>
      <c r="O3372" t="str">
        <v>+</v>
      </c>
      <c r="P3372">
        <f>IF(N3372&gt;12,ROUNDDOWN(N3372/12,0),0)</f>
        <v>0</v>
      </c>
      <c r="Q3372" t="str">
        <v>x</v>
      </c>
      <c r="R3372">
        <f>IF(P3372&gt;0,MAX(VLOOKUP(F3372,$D$6:$G$15,3,FALSE),600),0)/1000</f>
        <v>0</v>
      </c>
      <c r="T3372" t="str">
        <v>x</v>
      </c>
      <c r="U3372">
        <f>U3371</f>
        <v>1.57824</v>
      </c>
      <c r="V3372" t="str">
        <v>x</v>
      </c>
      <c r="W3372">
        <f>D3372</f>
        <v>3</v>
      </c>
      <c r="X3372" t="str">
        <v>x</v>
      </c>
      <c r="Y3372">
        <f>Y3371</f>
        <v>1</v>
      </c>
      <c r="Z3372" t="str">
        <v>=</v>
      </c>
      <c r="AA3372">
        <f>(N3372+P3372*R3372/1000)*U3372*W3372*Y3372</f>
        <v>10.10389248</v>
      </c>
    </row>
    <row r="3374">
      <c r="A3374" t="str">
        <f>A3354</f>
        <v>Lantai 1</v>
      </c>
      <c r="B3374">
        <f>B3354</f>
        <v>15</v>
      </c>
      <c r="C3374" t="str">
        <v>Sengkang Tumpuan</v>
      </c>
      <c r="D3374">
        <f>VLOOKUP(D3354,'Detail Balok'!$C$10:$AU$110,31,FALSE)</f>
        <v>0</v>
      </c>
      <c r="E3374" t="str">
        <v>D</v>
      </c>
      <c r="F3374">
        <f>VLOOKUP(D3354,'Detail Balok'!$C$10:$AU$110,33,FALSE)</f>
        <v>10</v>
      </c>
      <c r="G3374" t="str">
        <v>-</v>
      </c>
      <c r="H3374">
        <f>VLOOKUP(D3354,'Detail Balok'!$C$10:$AU$110,35,FALSE)</f>
        <v>75</v>
      </c>
      <c r="J3374">
        <f>(IF(D3374=0,(2*(D3355+G3355))-(F$5*8),IF(D3374=3,(2*(D3355+G3355))-(F$5*8)+(G3355-2*F$5),IF(D3374=4,(2*(D3355+G3355))-(F$5*8)+2*(G3355-2*F$5)))))/1000</f>
        <v>0.98</v>
      </c>
      <c r="K3374" t="str">
        <v>+</v>
      </c>
      <c r="L3374">
        <f>IF(D3374=0,2*MAX(6*F3374,75),(D3374-1)*2*MAX(6*F3374,75))/1000</f>
        <v>0.15</v>
      </c>
      <c r="M3374" t="str">
        <v>=</v>
      </c>
      <c r="N3374">
        <f>J3374+L3374</f>
        <v>1.13</v>
      </c>
      <c r="T3374" t="str">
        <v>x</v>
      </c>
      <c r="U3374">
        <f>0.006165*F3374^2</f>
        <v>0.6165</v>
      </c>
      <c r="V3374" t="str">
        <v>x</v>
      </c>
      <c r="W3374">
        <f>IF(D3357&gt;4*G3355,ROUND(MAX(D3357/4,2*G3355)/H3374,0)+1,ROUND(D3357/H3374,0)+1)</f>
        <v>24</v>
      </c>
      <c r="X3374" t="str">
        <v>x</v>
      </c>
      <c r="Y3374">
        <f>D3360</f>
        <v>1</v>
      </c>
      <c r="Z3374" t="str">
        <v>=</v>
      </c>
      <c r="AA3374">
        <f>N3374*U3374*W3374*Y3374</f>
        <v>16.719479999999997</v>
      </c>
    </row>
    <row r="3375">
      <c r="A3375" t="str">
        <f>A3354</f>
        <v>Lantai 1</v>
      </c>
      <c r="B3375">
        <f>B3354</f>
        <v>15</v>
      </c>
      <c r="C3375" t="str">
        <v>Sengkang Lapangan</v>
      </c>
      <c r="D3375">
        <f>VLOOKUP(D3354,'Detail Balok'!$C$10:$AU$110,36,FALSE)</f>
        <v>0</v>
      </c>
      <c r="E3375" t="str">
        <v>D</v>
      </c>
      <c r="F3375">
        <f>VLOOKUP(D3354,'Detail Balok'!$C$10:$AU$110,38,FALSE)</f>
        <v>10</v>
      </c>
      <c r="G3375" t="str">
        <v>-</v>
      </c>
      <c r="H3375">
        <f>VLOOKUP(D3354,'Detail Balok'!$C$10:$AU$110,40,FALSE)</f>
        <v>75</v>
      </c>
      <c r="J3375">
        <f>(IF(D3375=0,(2*(D3355+G3355))-(F$5*8),IF(D3375=3,(2*(D3355+G3355))-(F$5*8)+(G3355-2*F$5),IF(D3375=4,(2*(D3355+G3355))-(F$5*8)+2*(G3355-2*F$5)))))/1000</f>
        <v>0.98</v>
      </c>
      <c r="K3375" t="str">
        <v>+</v>
      </c>
      <c r="L3375">
        <f>IF(D3375=0,2*MAX(6*F3375,75),(D3375-1)*2*MAX(6*F3375,75))/1000</f>
        <v>0.15</v>
      </c>
      <c r="M3375" t="str">
        <v>=</v>
      </c>
      <c r="N3375">
        <f>J3375+L3375</f>
        <v>1.13</v>
      </c>
      <c r="T3375" t="str">
        <v>x</v>
      </c>
      <c r="U3375">
        <f>0.006165*F3375^2</f>
        <v>0.6165</v>
      </c>
      <c r="V3375" t="str">
        <v>x</v>
      </c>
      <c r="W3375">
        <f>IF(D3357-MAX(D3357/4,2*G3355)*2&gt;0,ROUND((D3357-MAX(D3357/4,2*G3355)*2)/H3375,0),0)</f>
        <v>0</v>
      </c>
      <c r="X3375" t="str">
        <v>x</v>
      </c>
      <c r="Y3375">
        <f>D3360</f>
        <v>1</v>
      </c>
      <c r="Z3375" t="str">
        <v>=</v>
      </c>
      <c r="AA3375">
        <f>N3375*U3375*W3375*Y3375</f>
        <v>0</v>
      </c>
    </row>
    <row r="3376">
      <c r="A3376" t="str">
        <f>A3354</f>
        <v>Lantai 1</v>
      </c>
      <c r="B3376">
        <f>B3354</f>
        <v>15</v>
      </c>
      <c r="C3376" t="str">
        <v>Sengkang Tumpuan</v>
      </c>
      <c r="D3376">
        <f>VLOOKUP(D3354,'Detail Balok'!$C$10:$AU$110,41,FALSE)</f>
        <v>0</v>
      </c>
      <c r="E3376" t="str">
        <v>D</v>
      </c>
      <c r="F3376">
        <f>VLOOKUP(D3354,'Detail Balok'!$C$10:$AU$110,43,FALSE)</f>
        <v>10</v>
      </c>
      <c r="G3376" t="str">
        <v>-</v>
      </c>
      <c r="H3376">
        <f>VLOOKUP(D3354,'Detail Balok'!$C$10:$AU$110,45,FALSE)</f>
        <v>75</v>
      </c>
      <c r="J3376">
        <f>(IF(D3376=0,(2*(D3355+G3355))-(F$5*8),IF(D3376=3,(2*(D3355+G3355))-(F$5*8)+(G3355-2*F$5),IF(D3376=4,(2*(D3355+G3355))-(F$5*8)+2*(G3355-2*F$5)))))/1000</f>
        <v>0.98</v>
      </c>
      <c r="K3376" t="str">
        <v>+</v>
      </c>
      <c r="L3376">
        <f>IF(D3376=0,2*MAX(6*F3376,75),(D3376-1)*2*MAX(6*F3376,75))/1000</f>
        <v>0.15</v>
      </c>
      <c r="M3376" t="str">
        <v>=</v>
      </c>
      <c r="N3376">
        <f>J3376+L3376</f>
        <v>1.13</v>
      </c>
      <c r="T3376" t="str">
        <v>x</v>
      </c>
      <c r="U3376">
        <f>0.006165*F3376^2</f>
        <v>0.6165</v>
      </c>
      <c r="V3376" t="str">
        <v>x</v>
      </c>
      <c r="W3376">
        <f>IF(D3357&gt;4*G3355,ROUND(MAX(D3357/4,2*G3355)/H3376,0)+1,0)</f>
        <v>0</v>
      </c>
      <c r="X3376" t="str">
        <v>x</v>
      </c>
      <c r="Y3376">
        <f>D3360</f>
        <v>1</v>
      </c>
      <c r="Z3376" t="str">
        <v>=</v>
      </c>
      <c r="AA3376">
        <f>N3376*U3376*W3376*Y3376</f>
        <v>0</v>
      </c>
    </row>
    <row r="3378">
      <c r="A3378" t="str">
        <f>A3354</f>
        <v>Lantai 1</v>
      </c>
      <c r="B3378">
        <f>B3354</f>
        <v>15</v>
      </c>
      <c r="C3378" t="str">
        <v>Kait Horizontal Tump.</v>
      </c>
      <c r="D3378">
        <f>VLOOKUP(D3354,'Detail Balok'!$C$10:$BJ$110,46,FALSE)</f>
        <v>0</v>
      </c>
      <c r="E3378" t="str">
        <v>D</v>
      </c>
      <c r="F3378">
        <f>VLOOKUP(D3354,'Detail Balok'!$C$10:$BJ$110,48,FALSE)</f>
        <v>0</v>
      </c>
      <c r="G3378" t="str">
        <v>-</v>
      </c>
      <c r="H3378">
        <f>VLOOKUP(D3354,'Detail Balok'!$C$10:$BJ$110,50,FALSE)</f>
        <v>100</v>
      </c>
      <c r="J3378">
        <f>(D3355-2*F$5)/1000</f>
        <v>0.12</v>
      </c>
      <c r="K3378" t="str">
        <v>+</v>
      </c>
      <c r="L3378">
        <f>IF(D3378=0,2*MAX(6*F3378,75),(D3378-1)*2*MAX(6*F3378,75))/1000</f>
        <v>0.15</v>
      </c>
      <c r="M3378" t="str">
        <v>=</v>
      </c>
      <c r="N3378">
        <f>J3378+L3378</f>
        <v>0.27</v>
      </c>
      <c r="T3378" t="str">
        <v>x</v>
      </c>
      <c r="U3378">
        <f>0.006165*F3378^2</f>
        <v>0</v>
      </c>
      <c r="V3378" t="str">
        <v>x</v>
      </c>
      <c r="W3378">
        <f>W3374</f>
        <v>24</v>
      </c>
      <c r="X3378" t="str">
        <v>x</v>
      </c>
      <c r="Y3378">
        <f>D3364</f>
        <v>4</v>
      </c>
      <c r="Z3378" t="str">
        <v>=</v>
      </c>
      <c r="AA3378">
        <f>N3378*U3378*W3378*Y3378</f>
        <v>0</v>
      </c>
    </row>
    <row r="3379">
      <c r="A3379" t="str">
        <f>A3354</f>
        <v>Lantai 1</v>
      </c>
      <c r="B3379">
        <f>B3354</f>
        <v>15</v>
      </c>
      <c r="C3379" t="str">
        <v>Kait Horizontal Lap.</v>
      </c>
      <c r="D3379">
        <f>VLOOKUP(D3354,'Detail Balok'!$C$10:$BJ$110,51,FALSE)</f>
        <v>0</v>
      </c>
      <c r="E3379" t="str">
        <v>D</v>
      </c>
      <c r="F3379">
        <f>VLOOKUP(D3354,'Detail Balok'!$C$10:$BJ$110,53,FALSE)</f>
        <v>0</v>
      </c>
      <c r="G3379" t="str">
        <v>-</v>
      </c>
      <c r="H3379">
        <f>VLOOKUP(D3354,'Detail Balok'!$C$10:$BJ$110,55,FALSE)</f>
        <v>100</v>
      </c>
      <c r="J3379">
        <f>(D3355-2*F$5)/1000</f>
        <v>0.12</v>
      </c>
      <c r="K3379" t="str">
        <v>+</v>
      </c>
      <c r="L3379">
        <f>IF(D3379=0,2*MAX(6*F3379,75),(D3379-1)*2*MAX(6*F3379,75))/1000</f>
        <v>0.15</v>
      </c>
      <c r="M3379" t="str">
        <v>=</v>
      </c>
      <c r="N3379">
        <f>J3379+L3379</f>
        <v>0.27</v>
      </c>
      <c r="T3379" t="str">
        <v>x</v>
      </c>
      <c r="U3379">
        <f>0.006165*F3379^2</f>
        <v>0</v>
      </c>
      <c r="V3379" t="str">
        <v>x</v>
      </c>
      <c r="W3379">
        <f>W3375</f>
        <v>0</v>
      </c>
      <c r="X3379" t="str">
        <v>x</v>
      </c>
      <c r="Y3379">
        <f>D3364</f>
        <v>4</v>
      </c>
      <c r="Z3379" t="str">
        <v>=</v>
      </c>
      <c r="AA3379">
        <f>N3379*U3379*W3379*Y3379</f>
        <v>0</v>
      </c>
    </row>
    <row r="3380">
      <c r="A3380" t="str">
        <f>A3354</f>
        <v>Lantai 1</v>
      </c>
      <c r="B3380">
        <f>B3354</f>
        <v>15</v>
      </c>
      <c r="C3380" t="str">
        <v>Kait Horizontal Tump.</v>
      </c>
      <c r="D3380">
        <f>VLOOKUP(D3354,'Detail Balok'!$C$10:$BJ$110,56,FALSE)</f>
        <v>0</v>
      </c>
      <c r="E3380" t="str">
        <v>D</v>
      </c>
      <c r="F3380">
        <f>VLOOKUP(D3354,'Detail Balok'!$C$10:$BJ$110,58,FALSE)</f>
        <v>0</v>
      </c>
      <c r="G3380" t="str">
        <v>-</v>
      </c>
      <c r="H3380">
        <f>VLOOKUP(D3354,'Detail Balok'!$C$10:$BJ$110,60,FALSE)</f>
        <v>100</v>
      </c>
      <c r="J3380">
        <f>(D3355-2*F$5)/1000</f>
        <v>0.12</v>
      </c>
      <c r="K3380" t="str">
        <v>+</v>
      </c>
      <c r="L3380">
        <f>IF(D3380=0,2*MAX(6*F3380,75),(D3380-1)*2*MAX(6*F3380,75))/1000</f>
        <v>0.15</v>
      </c>
      <c r="M3380" t="str">
        <v>=</v>
      </c>
      <c r="N3380">
        <f>J3380+L3380</f>
        <v>0.27</v>
      </c>
      <c r="T3380" t="str">
        <v>x</v>
      </c>
      <c r="U3380">
        <f>0.006165*F3380^2</f>
        <v>0</v>
      </c>
      <c r="V3380" t="str">
        <v>x</v>
      </c>
      <c r="W3380">
        <f>W3376</f>
        <v>0</v>
      </c>
      <c r="X3380" t="str">
        <v>x</v>
      </c>
      <c r="Y3380">
        <f>D3364</f>
        <v>4</v>
      </c>
      <c r="Z3380" t="str">
        <v>=</v>
      </c>
      <c r="AA3380">
        <f>N3380*U3380*W3380*Y3380</f>
        <v>0</v>
      </c>
    </row>
    <row r="3384">
      <c r="A3384" t="str">
        <f>A3354</f>
        <v>Lantai 1</v>
      </c>
      <c r="B3384">
        <f>B3354+1</f>
        <v>16</v>
      </c>
      <c r="C3384" t="str">
        <f>CONCATENATE(A3384," no. ",B3384)</f>
        <v>Lantai 1 no. 16</v>
      </c>
      <c r="D3384" t="str">
        <f>VLOOKUP(C3384,'Data Panjang Balok'!$C$9:$N$424,2,FALSE)</f>
        <v>B77-1</v>
      </c>
    </row>
    <row r="3385">
      <c r="C3385" t="str">
        <v>Dimensi</v>
      </c>
      <c r="D3385">
        <f>VLOOKUP(D3384,'Detail Balok'!$C$10:$AU$110,2,FALSE)</f>
        <v>700</v>
      </c>
      <c r="F3385" t="str">
        <v>x</v>
      </c>
      <c r="G3385">
        <f>VLOOKUP(D3384,'Detail Balok'!$C$10:$AU$110,3,FALSE)</f>
        <v>700</v>
      </c>
    </row>
    <row r="3386">
      <c r="C3386" t="str">
        <v>Panjang as ke as</v>
      </c>
      <c r="D3386">
        <f>VLOOKUP(C3384,'Data Panjang Balok'!$C$9:$N$424,4,FALSE)</f>
        <v>7750</v>
      </c>
    </row>
    <row r="3387">
      <c r="C3387" t="str">
        <v>Panjang netto</v>
      </c>
      <c r="D3387">
        <f>VLOOKUP(C3384,'Data Panjang Balok'!$C$9:$N$424,7,FALSE)</f>
        <v>7750</v>
      </c>
    </row>
    <row r="3388">
      <c r="C3388" t="str">
        <v>Kolom / balok kiri</v>
      </c>
      <c r="D3388">
        <f>VLOOKUP(C3384,'Data Panjang Balok'!$C$9:$N$424,9,FALSE)</f>
        <v>0</v>
      </c>
    </row>
    <row r="3389">
      <c r="C3389" t="str">
        <v>Kolom / balok kanan</v>
      </c>
      <c r="D3389">
        <f>VLOOKUP(C3384,'Data Panjang Balok'!$C$9:$N$424,10,FALSE)</f>
        <v>0</v>
      </c>
    </row>
    <row r="3390">
      <c r="C3390" t="str">
        <v>Jumlah</v>
      </c>
      <c r="D3390">
        <f>VLOOKUP(C3384,'Data Panjang Balok'!$C$9:$N$424,3,FALSE)</f>
        <v>1</v>
      </c>
    </row>
    <row r="3391">
      <c r="A3391" t="str">
        <f>A3384</f>
        <v>Lantai 1</v>
      </c>
      <c r="B3391">
        <f>B3384</f>
        <v>16</v>
      </c>
      <c r="C3391" t="str">
        <v>Tul Atas Tumpuan</v>
      </c>
      <c r="D3391">
        <f>VLOOKUP(D3384,'Detail Balok'!$C$10:$AU$110,4,FALSE)</f>
        <v>9</v>
      </c>
      <c r="E3391" t="str">
        <v>D</v>
      </c>
      <c r="F3391">
        <f>VLOOKUP(D3384,'Detail Balok'!$C$10:$AU$110,6,FALSE)</f>
        <v>22</v>
      </c>
      <c r="I3391" t="str">
        <v>(</v>
      </c>
      <c r="J3391">
        <f>+D3386/4/1000</f>
        <v>1.9375</v>
      </c>
      <c r="K3391" t="str">
        <v>+</v>
      </c>
      <c r="L3391">
        <f>MAX(VLOOKUP(F3391,N$6:P$15,3,FALSE)/1000,2/3*D3388/1000)+F$16*F3391/1000</f>
        <v>0.264</v>
      </c>
      <c r="M3391" t="str">
        <v>=</v>
      </c>
      <c r="N3391">
        <f>J3391+L3391</f>
        <v>2.2015000000000002</v>
      </c>
      <c r="O3391" t="str">
        <v>+</v>
      </c>
      <c r="P3391">
        <f>D3391-D3392</f>
        <v>3</v>
      </c>
      <c r="Q3391" t="str">
        <v>x</v>
      </c>
      <c r="R3391">
        <f>IF(P3391&gt;0,$F$18*F3391/1000,0)</f>
        <v>0.33</v>
      </c>
      <c r="S3391" t="str">
        <v>)</v>
      </c>
      <c r="T3391" t="str">
        <v>x</v>
      </c>
      <c r="U3391">
        <f>0.006165*F3391^2</f>
        <v>2.98386</v>
      </c>
      <c r="X3391" t="str">
        <v>x</v>
      </c>
      <c r="Y3391">
        <f>D3390</f>
        <v>1</v>
      </c>
      <c r="Z3391" t="str">
        <v>=</v>
      </c>
      <c r="AA3391">
        <f>IF(AA3394=0,(D3391*N3391+P3391*R3391)*U3391*Y3391,0)</f>
        <v>62.07473151</v>
      </c>
    </row>
    <row r="3392">
      <c r="A3392" t="str">
        <f>A3384</f>
        <v>Lantai 1</v>
      </c>
      <c r="B3392">
        <f>B3384</f>
        <v>16</v>
      </c>
      <c r="C3392" t="str">
        <v>Tul Atas Lapangan</v>
      </c>
      <c r="D3392">
        <f>VLOOKUP(D3384,'Detail Balok'!$C$10:$AU$110,7,FALSE)</f>
        <v>6</v>
      </c>
      <c r="E3392" t="str">
        <v>D</v>
      </c>
      <c r="F3392">
        <f>VLOOKUP(D3384,'Detail Balok'!$C$10:$AU$110,9,FALSE)</f>
        <v>22</v>
      </c>
      <c r="I3392" t="str">
        <v>(</v>
      </c>
      <c r="J3392">
        <f>+D3386/2/1000</f>
        <v>3.875</v>
      </c>
      <c r="K3392" t="str">
        <v>+</v>
      </c>
      <c r="M3392" t="str">
        <v>=</v>
      </c>
      <c r="N3392">
        <f>J3392+L3392</f>
        <v>3.875</v>
      </c>
      <c r="O3392" t="str">
        <v>+</v>
      </c>
      <c r="P3392">
        <f>MAX(D3392-D3391,D3392-D3393)</f>
        <v>0</v>
      </c>
      <c r="Q3392" t="str">
        <v>x</v>
      </c>
      <c r="R3392">
        <f>IF(P3392&gt;0,2*(1-2*$F$19-1/2)*D3387/1000,0)</f>
        <v>0</v>
      </c>
      <c r="S3392" t="str">
        <v>)</v>
      </c>
      <c r="T3392" t="str">
        <v>x</v>
      </c>
      <c r="U3392">
        <f>0.006165*F3392^2</f>
        <v>2.98386</v>
      </c>
      <c r="X3392" t="str">
        <v>x</v>
      </c>
      <c r="Y3392">
        <f>D3390</f>
        <v>1</v>
      </c>
      <c r="Z3392" t="str">
        <v>=</v>
      </c>
      <c r="AA3392">
        <f>IF(AA3394=0,(D3392*N3392+P3392*R3392)*U3392*Y3392,0)</f>
        <v>69.374745</v>
      </c>
    </row>
    <row r="3393">
      <c r="A3393" t="str">
        <f>A3384</f>
        <v>Lantai 1</v>
      </c>
      <c r="B3393">
        <f>B3384</f>
        <v>16</v>
      </c>
      <c r="C3393" t="str">
        <v>Tul Atas Tumpuan</v>
      </c>
      <c r="D3393">
        <f>VLOOKUP(D3384,'Detail Balok'!$C$10:$AU$110,10,FALSE)</f>
        <v>6</v>
      </c>
      <c r="E3393" t="str">
        <v>D</v>
      </c>
      <c r="F3393">
        <f>VLOOKUP(D3384,'Detail Balok'!$C$10:$AU$110,12,FALSE)</f>
        <v>22</v>
      </c>
      <c r="I3393" t="str">
        <v>(</v>
      </c>
      <c r="J3393">
        <f>+D3386/4/1000</f>
        <v>1.9375</v>
      </c>
      <c r="K3393" t="str">
        <v>+</v>
      </c>
      <c r="L3393">
        <f>MAX(VLOOKUP(F3393,N$6:P$15,3,FALSE)/1000,2/3*D3388/1000)+F$16*F3393/1000</f>
        <v>0.264</v>
      </c>
      <c r="M3393" t="str">
        <v>=</v>
      </c>
      <c r="N3393">
        <f>J3393+L3393</f>
        <v>2.2015000000000002</v>
      </c>
      <c r="O3393" t="str">
        <v>+</v>
      </c>
      <c r="P3393">
        <f>D3393-D3392</f>
        <v>0</v>
      </c>
      <c r="Q3393" t="str">
        <v>x</v>
      </c>
      <c r="R3393">
        <f>IF(P3393&gt;0,$F$18*F3393/1000,0)</f>
        <v>0</v>
      </c>
      <c r="S3393" t="str">
        <v>)</v>
      </c>
      <c r="T3393" t="str">
        <v>x</v>
      </c>
      <c r="U3393">
        <f>0.006165*F3393^2</f>
        <v>2.98386</v>
      </c>
      <c r="X3393" t="str">
        <v>x</v>
      </c>
      <c r="Y3393">
        <f>D3390</f>
        <v>1</v>
      </c>
      <c r="Z3393" t="str">
        <v>=</v>
      </c>
      <c r="AA3393">
        <f>IF(AA3394=0,(D3393*N3393+P3393*R3393)*U3393*Y3393,0)</f>
        <v>39.413806740000005</v>
      </c>
    </row>
    <row r="3394">
      <c r="A3394" t="str">
        <f>A3384</f>
        <v>Lantai 1</v>
      </c>
      <c r="B3394">
        <f>B3384</f>
        <v>16</v>
      </c>
      <c r="D3394">
        <f>IF(AND(D3391=D3392,D3392=D3393,D3391=D3393),D3391,0)</f>
        <v>0</v>
      </c>
      <c r="E3394" t="str">
        <v>D</v>
      </c>
      <c r="F3394">
        <f>IF(AND(F3391=F3392,F3391=F3393,F3392=F3393),F3391,0)</f>
        <v>22</v>
      </c>
      <c r="L3394" t="str">
        <v>Total panjang per balok</v>
      </c>
      <c r="M3394" t="str">
        <v>=</v>
      </c>
      <c r="N3394">
        <f>IF(AND(D3391=D3392,D3391=D3393,D3392=D3393,F3391=F3392,F3391=F3393,F3392=F3393),SUM(N3391:N3393),0)</f>
        <v>0</v>
      </c>
      <c r="O3394" t="str">
        <v>+</v>
      </c>
      <c r="P3394">
        <f>IF(N3394&gt;12,ROUNDDOWN(N3394/12,0),0)</f>
        <v>0</v>
      </c>
      <c r="Q3394" t="str">
        <v>x</v>
      </c>
      <c r="R3394">
        <f>IF(P3394&gt;0,MAX(VLOOKUP(F3394,$D$6:$G$15,3,FALSE),600),0)/1000</f>
        <v>0</v>
      </c>
      <c r="T3394" t="str">
        <v>x</v>
      </c>
      <c r="U3394">
        <f>U3393</f>
        <v>2.98386</v>
      </c>
      <c r="V3394" t="str">
        <v>x</v>
      </c>
      <c r="W3394">
        <f>D3394</f>
        <v>0</v>
      </c>
      <c r="X3394" t="str">
        <v>x</v>
      </c>
      <c r="Y3394">
        <f>Y3393</f>
        <v>1</v>
      </c>
      <c r="Z3394" t="str">
        <v>=</v>
      </c>
      <c r="AA3394">
        <f>(N3394+P3394*R3394/1000)*U3394*W3394*Y3394</f>
        <v>0</v>
      </c>
    </row>
    <row r="3396">
      <c r="A3396" t="str">
        <f>A3384</f>
        <v>Lantai 1</v>
      </c>
      <c r="B3396">
        <f>B3384</f>
        <v>16</v>
      </c>
      <c r="C3396" t="str">
        <v>Tul Peminggang</v>
      </c>
      <c r="D3396">
        <f>VLOOKUP(D3384,'Detail Balok'!$C$10:$AU$110,13,FALSE)</f>
        <v>2</v>
      </c>
      <c r="E3396" t="str">
        <v>D</v>
      </c>
      <c r="F3396">
        <f>VLOOKUP(D3384,'Detail Balok'!$C$10:$AU$110,15,FALSE)</f>
        <v>10</v>
      </c>
      <c r="J3396">
        <f>+D3386/1000</f>
        <v>7.75</v>
      </c>
      <c r="K3396" t="str">
        <v>+</v>
      </c>
      <c r="L3396">
        <f>2*$F$16*F3396/1000</f>
        <v>0.24</v>
      </c>
      <c r="M3396" t="str">
        <v>=</v>
      </c>
      <c r="N3396">
        <f>J3396+L3396</f>
        <v>7.99</v>
      </c>
      <c r="O3396" t="str">
        <v>+</v>
      </c>
      <c r="P3396">
        <f>IF(N3396&gt;12,ROUNDDOWN(N3396/12,0),0)</f>
        <v>0</v>
      </c>
      <c r="Q3396" t="str">
        <v>x</v>
      </c>
      <c r="R3396">
        <f>IF(P3396&gt;0,MAX(VLOOKUP(F3396,$D$6:$G$15,3,FALSE),600),0)/1000</f>
        <v>0</v>
      </c>
      <c r="T3396" t="str">
        <v>x</v>
      </c>
      <c r="U3396">
        <f>0.006165*F3396^2</f>
        <v>0.6165</v>
      </c>
      <c r="V3396" t="str">
        <v>x</v>
      </c>
      <c r="W3396">
        <f>+D3396</f>
        <v>2</v>
      </c>
      <c r="X3396" t="str">
        <v>x</v>
      </c>
      <c r="Y3396">
        <f>D3390</f>
        <v>1</v>
      </c>
      <c r="Z3396" t="str">
        <v>=</v>
      </c>
      <c r="AA3396">
        <f>(N3396+P3396*R3396/1000)*U3396*W3396*Y3396</f>
        <v>9.85167</v>
      </c>
    </row>
    <row r="3399">
      <c r="A3399" t="str">
        <f>A3384</f>
        <v>Lantai 1</v>
      </c>
      <c r="B3399">
        <f>B3384</f>
        <v>16</v>
      </c>
      <c r="C3399" t="str">
        <v>Tul Bawah Tumpuan</v>
      </c>
      <c r="D3399">
        <f>VLOOKUP(D3384,'Detail Balok'!$C$10:$AU$110,22,FALSE)</f>
        <v>9</v>
      </c>
      <c r="E3399" t="str">
        <v>D</v>
      </c>
      <c r="F3399">
        <f>VLOOKUP(D3384,'Detail Balok'!$C$10:$AU$110,24,FALSE)</f>
        <v>22</v>
      </c>
      <c r="I3399" t="str">
        <v>(</v>
      </c>
      <c r="J3399">
        <f>+J3391</f>
        <v>1.9375</v>
      </c>
      <c r="K3399" t="str">
        <v>+</v>
      </c>
      <c r="L3399">
        <f>MAX(VLOOKUP(F3399,N$6:P$15,3,FALSE)/1000,2/3*D3389/1000)+F$16*F3399/1000</f>
        <v>0.264</v>
      </c>
      <c r="M3399" t="str">
        <v>=</v>
      </c>
      <c r="N3399">
        <f>J3399+L3399</f>
        <v>2.2015000000000002</v>
      </c>
      <c r="O3399" t="str">
        <v>+</v>
      </c>
      <c r="P3399">
        <f>D3399-D3400</f>
        <v>-7</v>
      </c>
      <c r="Q3399" t="str">
        <v>x</v>
      </c>
      <c r="R3399">
        <f>IF(P3399&gt;0,$F$18*F3399/1000,0)</f>
        <v>0</v>
      </c>
      <c r="S3399" t="str">
        <v>)</v>
      </c>
      <c r="T3399" t="str">
        <v>x</v>
      </c>
      <c r="U3399">
        <f>0.006165*F3399^2</f>
        <v>2.98386</v>
      </c>
      <c r="X3399" t="str">
        <v>x</v>
      </c>
      <c r="Y3399">
        <f>D3390</f>
        <v>1</v>
      </c>
      <c r="Z3399" t="str">
        <v>=</v>
      </c>
      <c r="AA3399">
        <f>IF(AA3402=0,(D3399*N3399+P3399*R3399)*U3399*Y3399,0)</f>
        <v>59.120710110000005</v>
      </c>
    </row>
    <row r="3400">
      <c r="A3400" t="str">
        <f>A3384</f>
        <v>Lantai 1</v>
      </c>
      <c r="B3400">
        <f>B3384</f>
        <v>16</v>
      </c>
      <c r="C3400" t="str">
        <v>Tul Bawah Lapangan</v>
      </c>
      <c r="D3400">
        <f>VLOOKUP(D3384,'Detail Balok'!$C$10:$AU$110,25,FALSE)</f>
        <v>16</v>
      </c>
      <c r="E3400" t="str">
        <v>D</v>
      </c>
      <c r="F3400">
        <f>VLOOKUP(D3384,'Detail Balok'!$C$10:$AU$110,27,FALSE)</f>
        <v>22</v>
      </c>
      <c r="I3400" t="str">
        <v>(</v>
      </c>
      <c r="J3400">
        <f>+J3392</f>
        <v>3.875</v>
      </c>
      <c r="K3400" t="str">
        <v>+</v>
      </c>
      <c r="M3400" t="str">
        <v>=</v>
      </c>
      <c r="N3400">
        <f>J3400+L3400</f>
        <v>3.875</v>
      </c>
      <c r="O3400" t="str">
        <v>+</v>
      </c>
      <c r="P3400">
        <f>MAX(D3400-D3399,D3400-D3401)</f>
        <v>12</v>
      </c>
      <c r="Q3400" t="str">
        <v>x</v>
      </c>
      <c r="R3400">
        <f>IF(P3400&gt;0,2*(1-2*$F$19-1/2)*D3387/1000,0)</f>
        <v>1.5499999999999996</v>
      </c>
      <c r="S3400" t="str">
        <v>)</v>
      </c>
      <c r="T3400" t="str">
        <v>x</v>
      </c>
      <c r="U3400">
        <f>0.006165*F3400^2</f>
        <v>2.98386</v>
      </c>
      <c r="X3400" t="str">
        <v>x</v>
      </c>
      <c r="Y3400">
        <f>D3390</f>
        <v>1</v>
      </c>
      <c r="Z3400" t="str">
        <v>=</v>
      </c>
      <c r="AA3400">
        <f>IF(AA3402=0,(D3400*N3400+P3400*R3400)*U3400*Y3400,0)</f>
        <v>240.499116</v>
      </c>
    </row>
    <row r="3401">
      <c r="A3401" t="str">
        <f>A3384</f>
        <v>Lantai 1</v>
      </c>
      <c r="B3401">
        <f>B3384</f>
        <v>16</v>
      </c>
      <c r="C3401" t="str">
        <v>Tul Bawah Tumpuan</v>
      </c>
      <c r="D3401">
        <f>VLOOKUP(D3384,'Detail Balok'!$C$10:$AU$110,28,FALSE)</f>
        <v>4</v>
      </c>
      <c r="E3401" t="str">
        <v>D</v>
      </c>
      <c r="F3401">
        <f>VLOOKUP(D3384,'Detail Balok'!$C$10:$AU$110,30,FALSE)</f>
        <v>22</v>
      </c>
      <c r="I3401" t="str">
        <v>(</v>
      </c>
      <c r="J3401">
        <f>+J3393</f>
        <v>1.9375</v>
      </c>
      <c r="K3401" t="str">
        <v>+</v>
      </c>
      <c r="L3401">
        <f>MAX(VLOOKUP(F3401,N$6:P$15,3,FALSE)/1000,2/3*D3389/1000)+F$16*F3401/1000</f>
        <v>0.264</v>
      </c>
      <c r="M3401" t="str">
        <v>=</v>
      </c>
      <c r="N3401">
        <f>J3401+L3401</f>
        <v>2.2015000000000002</v>
      </c>
      <c r="O3401" t="str">
        <v>+</v>
      </c>
      <c r="P3401">
        <f>D3401-D3400</f>
        <v>-12</v>
      </c>
      <c r="Q3401" t="str">
        <v>x</v>
      </c>
      <c r="R3401">
        <f>IF(P3401&gt;0,$F$18*F3401/1000,0)</f>
        <v>0</v>
      </c>
      <c r="S3401" t="str">
        <v>)</v>
      </c>
      <c r="T3401" t="str">
        <v>x</v>
      </c>
      <c r="U3401">
        <f>0.006165*F3401^2</f>
        <v>2.98386</v>
      </c>
      <c r="X3401" t="str">
        <v>x</v>
      </c>
      <c r="Y3401">
        <f>D3390</f>
        <v>1</v>
      </c>
      <c r="Z3401" t="str">
        <v>=</v>
      </c>
      <c r="AA3401">
        <f>IF(AA3402=0,(D3401*N3401+P3401*R3401)*U3401*Y3401,0)</f>
        <v>26.27587116</v>
      </c>
    </row>
    <row r="3402">
      <c r="A3402" t="str">
        <f>A3384</f>
        <v>Lantai 1</v>
      </c>
      <c r="B3402">
        <f>B3384</f>
        <v>16</v>
      </c>
      <c r="D3402">
        <f>IF(AND(D3399=D3400,D3400=D3401,D3399=D3401),D3399,0)</f>
        <v>0</v>
      </c>
      <c r="E3402" t="str">
        <v>D</v>
      </c>
      <c r="F3402">
        <f>IF(AND(F3399=F3400,F3399=F3401,F3400=F3401),F3399,0)</f>
        <v>22</v>
      </c>
      <c r="L3402" t="str">
        <v>Total panjang per balok</v>
      </c>
      <c r="M3402" t="str">
        <v>=</v>
      </c>
      <c r="N3402">
        <f>IF(AND(D3399=D3400,D3399=D3401,D3400=D3401,F3399=F3400,F3399=F3401,F3400=F3401),SUM(N3399:N3401),0)</f>
        <v>0</v>
      </c>
      <c r="O3402" t="str">
        <v>+</v>
      </c>
      <c r="P3402">
        <f>IF(N3402&gt;12,ROUNDDOWN(N3402/12,0),0)</f>
        <v>0</v>
      </c>
      <c r="Q3402" t="str">
        <v>x</v>
      </c>
      <c r="R3402">
        <f>IF(P3402&gt;0,MAX(VLOOKUP(F3402,$D$6:$G$15,3,FALSE),600),0)/1000</f>
        <v>0</v>
      </c>
      <c r="T3402" t="str">
        <v>x</v>
      </c>
      <c r="U3402">
        <f>U3401</f>
        <v>2.98386</v>
      </c>
      <c r="V3402" t="str">
        <v>x</v>
      </c>
      <c r="W3402">
        <f>D3402</f>
        <v>0</v>
      </c>
      <c r="X3402" t="str">
        <v>x</v>
      </c>
      <c r="Y3402">
        <f>Y3401</f>
        <v>1</v>
      </c>
      <c r="Z3402" t="str">
        <v>=</v>
      </c>
      <c r="AA3402">
        <f>(N3402+P3402*R3402/1000)*U3402*W3402*Y3402</f>
        <v>0</v>
      </c>
    </row>
    <row r="3404">
      <c r="A3404" t="str">
        <f>A3384</f>
        <v>Lantai 1</v>
      </c>
      <c r="B3404">
        <f>B3384</f>
        <v>16</v>
      </c>
      <c r="C3404" t="str">
        <v>Sengkang Tumpuan</v>
      </c>
      <c r="D3404">
        <f>VLOOKUP(D3384,'Detail Balok'!$C$10:$AU$110,31,FALSE)</f>
        <v>4</v>
      </c>
      <c r="E3404" t="str">
        <v>D</v>
      </c>
      <c r="F3404">
        <f>VLOOKUP(D3384,'Detail Balok'!$C$10:$AU$110,33,FALSE)</f>
        <v>13</v>
      </c>
      <c r="G3404" t="str">
        <v>-</v>
      </c>
      <c r="H3404">
        <f>VLOOKUP(D3384,'Detail Balok'!$C$10:$AU$110,35,FALSE)</f>
        <v>80</v>
      </c>
      <c r="J3404">
        <f>(IF(D3404=0,(2*(D3385+G3385))-(F$5*8),IF(D3404=3,(2*(D3385+G3385))-(F$5*8)+(G3385-2*F$5),IF(D3404=4,(2*(D3385+G3385))-(F$5*8)+2*(G3385-2*F$5)))))/1000</f>
        <v>3.72</v>
      </c>
      <c r="K3404" t="str">
        <v>+</v>
      </c>
      <c r="L3404">
        <f>IF(D3404=0,2*MAX(6*F3404,75),(D3404-1)*2*MAX(6*F3404,75))/1000</f>
        <v>0.468</v>
      </c>
      <c r="M3404" t="str">
        <v>=</v>
      </c>
      <c r="N3404">
        <f>J3404+L3404</f>
        <v>4.188000000000001</v>
      </c>
      <c r="T3404" t="str">
        <v>x</v>
      </c>
      <c r="U3404">
        <f>0.006165*F3404^2</f>
        <v>1.041885</v>
      </c>
      <c r="V3404" t="str">
        <v>x</v>
      </c>
      <c r="W3404">
        <f>IF(D3387&gt;4*G3385,ROUND(MAX(D3387/4,2*G3385)/H3404,0)+1,ROUND(D3387/H3404,0)+1)</f>
        <v>25</v>
      </c>
      <c r="X3404" t="str">
        <v>x</v>
      </c>
      <c r="Y3404">
        <f>D3390</f>
        <v>1</v>
      </c>
      <c r="Z3404" t="str">
        <v>=</v>
      </c>
      <c r="AA3404">
        <f>N3404*U3404*W3404*Y3404</f>
        <v>109.0853595</v>
      </c>
    </row>
    <row r="3405">
      <c r="A3405" t="str">
        <f>A3384</f>
        <v>Lantai 1</v>
      </c>
      <c r="B3405">
        <f>B3384</f>
        <v>16</v>
      </c>
      <c r="C3405" t="str">
        <v>Sengkang Lapangan</v>
      </c>
      <c r="D3405">
        <f>VLOOKUP(D3384,'Detail Balok'!$C$10:$AU$110,36,FALSE)</f>
        <v>3</v>
      </c>
      <c r="E3405" t="str">
        <v>D</v>
      </c>
      <c r="F3405">
        <f>VLOOKUP(D3384,'Detail Balok'!$C$10:$AU$110,38,FALSE)</f>
        <v>13</v>
      </c>
      <c r="G3405" t="str">
        <v>-</v>
      </c>
      <c r="H3405">
        <f>VLOOKUP(D3384,'Detail Balok'!$C$10:$AU$110,40,FALSE)</f>
        <v>100</v>
      </c>
      <c r="J3405">
        <f>(IF(D3405=0,(2*(D3385+G3385))-(F$5*8),IF(D3405=3,(2*(D3385+G3385))-(F$5*8)+(G3385-2*F$5),IF(D3405=4,(2*(D3385+G3385))-(F$5*8)+2*(G3385-2*F$5)))))/1000</f>
        <v>3.1</v>
      </c>
      <c r="K3405" t="str">
        <v>+</v>
      </c>
      <c r="L3405">
        <f>IF(D3405=0,2*MAX(6*F3405,75),(D3405-1)*2*MAX(6*F3405,75))/1000</f>
        <v>0.312</v>
      </c>
      <c r="M3405" t="str">
        <v>=</v>
      </c>
      <c r="N3405">
        <f>J3405+L3405</f>
        <v>3.412</v>
      </c>
      <c r="T3405" t="str">
        <v>x</v>
      </c>
      <c r="U3405">
        <f>0.006165*F3405^2</f>
        <v>1.041885</v>
      </c>
      <c r="V3405" t="str">
        <v>x</v>
      </c>
      <c r="W3405">
        <f>IF(D3387-MAX(D3387/4,2*G3385)*2&gt;0,ROUND((D3387-MAX(D3387/4,2*G3385)*2)/H3405,0),0)</f>
        <v>39</v>
      </c>
      <c r="X3405" t="str">
        <v>x</v>
      </c>
      <c r="Y3405">
        <f>D3390</f>
        <v>1</v>
      </c>
      <c r="Z3405" t="str">
        <v>=</v>
      </c>
      <c r="AA3405">
        <f>N3405*U3405*W3405*Y3405</f>
        <v>138.64155318</v>
      </c>
    </row>
    <row r="3406">
      <c r="A3406" t="str">
        <f>A3384</f>
        <v>Lantai 1</v>
      </c>
      <c r="B3406">
        <f>B3384</f>
        <v>16</v>
      </c>
      <c r="C3406" t="str">
        <v>Sengkang Tumpuan</v>
      </c>
      <c r="D3406">
        <f>VLOOKUP(D3384,'Detail Balok'!$C$10:$AU$110,41,FALSE)</f>
        <v>3</v>
      </c>
      <c r="E3406" t="str">
        <v>D</v>
      </c>
      <c r="F3406">
        <f>VLOOKUP(D3384,'Detail Balok'!$C$10:$AU$110,43,FALSE)</f>
        <v>13</v>
      </c>
      <c r="G3406" t="str">
        <v>-</v>
      </c>
      <c r="H3406">
        <f>VLOOKUP(D3384,'Detail Balok'!$C$10:$AU$110,45,FALSE)</f>
        <v>100</v>
      </c>
      <c r="J3406">
        <f>(IF(D3406=0,(2*(D3385+G3385))-(F$5*8),IF(D3406=3,(2*(D3385+G3385))-(F$5*8)+(G3385-2*F$5),IF(D3406=4,(2*(D3385+G3385))-(F$5*8)+2*(G3385-2*F$5)))))/1000</f>
        <v>3.1</v>
      </c>
      <c r="K3406" t="str">
        <v>+</v>
      </c>
      <c r="L3406">
        <f>IF(D3406=0,2*MAX(6*F3406,75),(D3406-1)*2*MAX(6*F3406,75))/1000</f>
        <v>0.312</v>
      </c>
      <c r="M3406" t="str">
        <v>=</v>
      </c>
      <c r="N3406">
        <f>J3406+L3406</f>
        <v>3.412</v>
      </c>
      <c r="T3406" t="str">
        <v>x</v>
      </c>
      <c r="U3406">
        <f>0.006165*F3406^2</f>
        <v>1.041885</v>
      </c>
      <c r="V3406" t="str">
        <v>x</v>
      </c>
      <c r="W3406">
        <f>IF(D3387&gt;4*G3385,ROUND(MAX(D3387/4,2*G3385)/H3406,0)+1,0)</f>
        <v>20</v>
      </c>
      <c r="X3406" t="str">
        <v>x</v>
      </c>
      <c r="Y3406">
        <f>D3390</f>
        <v>1</v>
      </c>
      <c r="Z3406" t="str">
        <v>=</v>
      </c>
      <c r="AA3406">
        <f>N3406*U3406*W3406*Y3406</f>
        <v>71.0982324</v>
      </c>
    </row>
    <row r="3408">
      <c r="A3408" t="str">
        <f>A3384</f>
        <v>Lantai 1</v>
      </c>
      <c r="B3408">
        <f>B3384</f>
        <v>16</v>
      </c>
      <c r="C3408" t="str">
        <v>Kait Horizontal Tump.</v>
      </c>
      <c r="D3408">
        <f>VLOOKUP(D3384,'Detail Balok'!$C$10:$BJ$110,46,FALSE)</f>
        <v>0</v>
      </c>
      <c r="E3408" t="str">
        <v>D</v>
      </c>
      <c r="F3408">
        <f>VLOOKUP(D3384,'Detail Balok'!$C$10:$BJ$110,48,FALSE)</f>
        <v>0</v>
      </c>
      <c r="G3408" t="str">
        <v>-</v>
      </c>
      <c r="H3408">
        <f>VLOOKUP(D3384,'Detail Balok'!$C$10:$BJ$110,50,FALSE)</f>
        <v>100</v>
      </c>
      <c r="J3408">
        <f>(D3385-2*F$5)/1000</f>
        <v>0.62</v>
      </c>
      <c r="K3408" t="str">
        <v>+</v>
      </c>
      <c r="L3408">
        <f>IF(D3408=0,2*MAX(6*F3408,75),(D3408-1)*2*MAX(6*F3408,75))/1000</f>
        <v>0.15</v>
      </c>
      <c r="M3408" t="str">
        <v>=</v>
      </c>
      <c r="N3408">
        <f>J3408+L3408</f>
        <v>0.77</v>
      </c>
      <c r="T3408" t="str">
        <v>x</v>
      </c>
      <c r="U3408">
        <f>0.006165*F3408^2</f>
        <v>0</v>
      </c>
      <c r="V3408" t="str">
        <v>x</v>
      </c>
      <c r="W3408">
        <f>W3404</f>
        <v>25</v>
      </c>
      <c r="X3408" t="str">
        <v>x</v>
      </c>
      <c r="Y3408">
        <f>D3394</f>
        <v>0</v>
      </c>
      <c r="Z3408" t="str">
        <v>=</v>
      </c>
      <c r="AA3408">
        <f>N3408*U3408*W3408*Y3408</f>
        <v>0</v>
      </c>
    </row>
    <row r="3409">
      <c r="A3409" t="str">
        <f>A3384</f>
        <v>Lantai 1</v>
      </c>
      <c r="B3409">
        <f>B3384</f>
        <v>16</v>
      </c>
      <c r="C3409" t="str">
        <v>Kait Horizontal Lap.</v>
      </c>
      <c r="D3409">
        <f>VLOOKUP(D3384,'Detail Balok'!$C$10:$BJ$110,51,FALSE)</f>
        <v>0</v>
      </c>
      <c r="E3409" t="str">
        <v>D</v>
      </c>
      <c r="F3409">
        <f>VLOOKUP(D3384,'Detail Balok'!$C$10:$BJ$110,53,FALSE)</f>
        <v>0</v>
      </c>
      <c r="G3409" t="str">
        <v>-</v>
      </c>
      <c r="H3409">
        <f>VLOOKUP(D3384,'Detail Balok'!$C$10:$BJ$110,55,FALSE)</f>
        <v>100</v>
      </c>
      <c r="J3409">
        <f>(D3385-2*F$5)/1000</f>
        <v>0.62</v>
      </c>
      <c r="K3409" t="str">
        <v>+</v>
      </c>
      <c r="L3409">
        <f>IF(D3409=0,2*MAX(6*F3409,75),(D3409-1)*2*MAX(6*F3409,75))/1000</f>
        <v>0.15</v>
      </c>
      <c r="M3409" t="str">
        <v>=</v>
      </c>
      <c r="N3409">
        <f>J3409+L3409</f>
        <v>0.77</v>
      </c>
      <c r="T3409" t="str">
        <v>x</v>
      </c>
      <c r="U3409">
        <f>0.006165*F3409^2</f>
        <v>0</v>
      </c>
      <c r="V3409" t="str">
        <v>x</v>
      </c>
      <c r="W3409">
        <f>W3405</f>
        <v>39</v>
      </c>
      <c r="X3409" t="str">
        <v>x</v>
      </c>
      <c r="Y3409">
        <f>D3394</f>
        <v>0</v>
      </c>
      <c r="Z3409" t="str">
        <v>=</v>
      </c>
      <c r="AA3409">
        <f>N3409*U3409*W3409*Y3409</f>
        <v>0</v>
      </c>
    </row>
    <row r="3410">
      <c r="A3410" t="str">
        <f>A3384</f>
        <v>Lantai 1</v>
      </c>
      <c r="B3410">
        <f>B3384</f>
        <v>16</v>
      </c>
      <c r="C3410" t="str">
        <v>Kait Horizontal Tump.</v>
      </c>
      <c r="D3410">
        <f>VLOOKUP(D3384,'Detail Balok'!$C$10:$BJ$110,56,FALSE)</f>
        <v>0</v>
      </c>
      <c r="E3410" t="str">
        <v>D</v>
      </c>
      <c r="F3410">
        <f>VLOOKUP(D3384,'Detail Balok'!$C$10:$BJ$110,58,FALSE)</f>
        <v>0</v>
      </c>
      <c r="G3410" t="str">
        <v>-</v>
      </c>
      <c r="H3410">
        <f>VLOOKUP(D3384,'Detail Balok'!$C$10:$BJ$110,60,FALSE)</f>
        <v>100</v>
      </c>
      <c r="J3410">
        <f>(D3385-2*F$5)/1000</f>
        <v>0.62</v>
      </c>
      <c r="K3410" t="str">
        <v>+</v>
      </c>
      <c r="L3410">
        <f>IF(D3410=0,2*MAX(6*F3410,75),(D3410-1)*2*MAX(6*F3410,75))/1000</f>
        <v>0.15</v>
      </c>
      <c r="M3410" t="str">
        <v>=</v>
      </c>
      <c r="N3410">
        <f>J3410+L3410</f>
        <v>0.77</v>
      </c>
      <c r="T3410" t="str">
        <v>x</v>
      </c>
      <c r="U3410">
        <f>0.006165*F3410^2</f>
        <v>0</v>
      </c>
      <c r="V3410" t="str">
        <v>x</v>
      </c>
      <c r="W3410">
        <f>W3406</f>
        <v>20</v>
      </c>
      <c r="X3410" t="str">
        <v>x</v>
      </c>
      <c r="Y3410">
        <f>D3394</f>
        <v>0</v>
      </c>
      <c r="Z3410" t="str">
        <v>=</v>
      </c>
      <c r="AA3410">
        <f>N3410*U3410*W3410*Y3410</f>
        <v>0</v>
      </c>
    </row>
    <row r="3414">
      <c r="A3414" t="str">
        <f>A3384</f>
        <v>Lantai 1</v>
      </c>
      <c r="B3414">
        <f>B3384+1</f>
        <v>17</v>
      </c>
      <c r="C3414" t="str">
        <f>CONCATENATE(A3414," no. ",B3414)</f>
        <v>Lantai 1 no. 17</v>
      </c>
      <c r="D3414" t="str">
        <f>VLOOKUP(C3414,'Data Panjang Balok'!$C$9:$N$424,2,FALSE)</f>
        <v>B24-2</v>
      </c>
    </row>
    <row r="3415">
      <c r="C3415" t="str">
        <v>Dimensi</v>
      </c>
      <c r="D3415">
        <f>VLOOKUP(D3414,'Detail Balok'!$C$10:$AU$110,2,FALSE)</f>
        <v>200</v>
      </c>
      <c r="F3415" t="str">
        <v>x</v>
      </c>
      <c r="G3415">
        <f>VLOOKUP(D3414,'Detail Balok'!$C$10:$AU$110,3,FALSE)</f>
        <v>400</v>
      </c>
    </row>
    <row r="3416">
      <c r="C3416" t="str">
        <v>Panjang as ke as</v>
      </c>
      <c r="D3416">
        <f>VLOOKUP(C3414,'Data Panjang Balok'!$C$9:$N$424,4,FALSE)</f>
        <v>5800</v>
      </c>
    </row>
    <row r="3417">
      <c r="C3417" t="str">
        <v>Panjang netto</v>
      </c>
      <c r="D3417">
        <f>VLOOKUP(C3414,'Data Panjang Balok'!$C$9:$N$424,7,FALSE)</f>
        <v>5800</v>
      </c>
    </row>
    <row r="3418">
      <c r="C3418" t="str">
        <v>Kolom / balok kiri</v>
      </c>
      <c r="D3418">
        <f>VLOOKUP(C3414,'Data Panjang Balok'!$C$9:$N$424,9,FALSE)</f>
        <v>0</v>
      </c>
    </row>
    <row r="3419">
      <c r="C3419" t="str">
        <v>Kolom / balok kanan</v>
      </c>
      <c r="D3419">
        <f>VLOOKUP(C3414,'Data Panjang Balok'!$C$9:$N$424,10,FALSE)</f>
        <v>0</v>
      </c>
    </row>
    <row r="3420">
      <c r="C3420" t="str">
        <v>Jumlah</v>
      </c>
      <c r="D3420">
        <f>VLOOKUP(C3414,'Data Panjang Balok'!$C$9:$N$424,3,FALSE)</f>
        <v>1</v>
      </c>
    </row>
    <row r="3421">
      <c r="A3421" t="str">
        <f>A3414</f>
        <v>Lantai 1</v>
      </c>
      <c r="B3421">
        <f>B3414</f>
        <v>17</v>
      </c>
      <c r="C3421" t="str">
        <v>Tul Atas Tumpuan</v>
      </c>
      <c r="D3421">
        <f>VLOOKUP(D3414,'Detail Balok'!$C$10:$AU$110,4,FALSE)</f>
        <v>2</v>
      </c>
      <c r="E3421" t="str">
        <v>D</v>
      </c>
      <c r="F3421">
        <f>VLOOKUP(D3414,'Detail Balok'!$C$10:$AU$110,6,FALSE)</f>
        <v>16</v>
      </c>
      <c r="I3421" t="str">
        <v>(</v>
      </c>
      <c r="J3421">
        <f>+D3416/4/1000</f>
        <v>1.45</v>
      </c>
      <c r="K3421" t="str">
        <v>+</v>
      </c>
      <c r="L3421">
        <f>MAX(VLOOKUP(F3421,N$6:P$15,3,FALSE)/1000,2/3*D3418/1000)+F$16*F3421/1000</f>
        <v>0.192</v>
      </c>
      <c r="M3421" t="str">
        <v>=</v>
      </c>
      <c r="N3421">
        <f>J3421+L3421</f>
        <v>1.642</v>
      </c>
      <c r="O3421" t="str">
        <v>+</v>
      </c>
      <c r="P3421">
        <f>D3421-D3422</f>
        <v>0</v>
      </c>
      <c r="Q3421" t="str">
        <v>x</v>
      </c>
      <c r="R3421">
        <f>IF(P3421&gt;0,$F$18*F3421/1000,0)</f>
        <v>0</v>
      </c>
      <c r="S3421" t="str">
        <v>)</v>
      </c>
      <c r="T3421" t="str">
        <v>x</v>
      </c>
      <c r="U3421">
        <f>0.006165*F3421^2</f>
        <v>1.57824</v>
      </c>
      <c r="X3421" t="str">
        <v>x</v>
      </c>
      <c r="Y3421">
        <f>D3420</f>
        <v>1</v>
      </c>
      <c r="Z3421" t="str">
        <v>=</v>
      </c>
      <c r="AA3421">
        <f>IF(AA3424=0,(D3421*N3421+P3421*R3421)*U3421*Y3421,0)</f>
        <v>0</v>
      </c>
    </row>
    <row r="3422">
      <c r="A3422" t="str">
        <f>A3414</f>
        <v>Lantai 1</v>
      </c>
      <c r="B3422">
        <f>B3414</f>
        <v>17</v>
      </c>
      <c r="C3422" t="str">
        <v>Tul Atas Lapangan</v>
      </c>
      <c r="D3422">
        <f>VLOOKUP(D3414,'Detail Balok'!$C$10:$AU$110,7,FALSE)</f>
        <v>2</v>
      </c>
      <c r="E3422" t="str">
        <v>D</v>
      </c>
      <c r="F3422">
        <f>VLOOKUP(D3414,'Detail Balok'!$C$10:$AU$110,9,FALSE)</f>
        <v>16</v>
      </c>
      <c r="I3422" t="str">
        <v>(</v>
      </c>
      <c r="J3422">
        <f>+D3416/2/1000</f>
        <v>2.9</v>
      </c>
      <c r="K3422" t="str">
        <v>+</v>
      </c>
      <c r="M3422" t="str">
        <v>=</v>
      </c>
      <c r="N3422">
        <f>J3422+L3422</f>
        <v>2.9</v>
      </c>
      <c r="O3422" t="str">
        <v>+</v>
      </c>
      <c r="P3422">
        <f>MAX(D3422-D3421,D3422-D3423)</f>
        <v>0</v>
      </c>
      <c r="Q3422" t="str">
        <v>x</v>
      </c>
      <c r="R3422">
        <f>IF(P3422&gt;0,2*(1-2*$F$19-1/2)*D3417/1000,0)</f>
        <v>0</v>
      </c>
      <c r="S3422" t="str">
        <v>)</v>
      </c>
      <c r="T3422" t="str">
        <v>x</v>
      </c>
      <c r="U3422">
        <f>0.006165*F3422^2</f>
        <v>1.57824</v>
      </c>
      <c r="X3422" t="str">
        <v>x</v>
      </c>
      <c r="Y3422">
        <f>D3420</f>
        <v>1</v>
      </c>
      <c r="Z3422" t="str">
        <v>=</v>
      </c>
      <c r="AA3422">
        <f>IF(AA3424=0,(D3422*N3422+P3422*R3422)*U3422*Y3422,0)</f>
        <v>0</v>
      </c>
    </row>
    <row r="3423">
      <c r="A3423" t="str">
        <f>A3414</f>
        <v>Lantai 1</v>
      </c>
      <c r="B3423">
        <f>B3414</f>
        <v>17</v>
      </c>
      <c r="C3423" t="str">
        <v>Tul Atas Tumpuan</v>
      </c>
      <c r="D3423">
        <f>VLOOKUP(D3414,'Detail Balok'!$C$10:$AU$110,10,FALSE)</f>
        <v>2</v>
      </c>
      <c r="E3423" t="str">
        <v>D</v>
      </c>
      <c r="F3423">
        <f>VLOOKUP(D3414,'Detail Balok'!$C$10:$AU$110,12,FALSE)</f>
        <v>16</v>
      </c>
      <c r="I3423" t="str">
        <v>(</v>
      </c>
      <c r="J3423">
        <f>+D3416/4/1000</f>
        <v>1.45</v>
      </c>
      <c r="K3423" t="str">
        <v>+</v>
      </c>
      <c r="L3423">
        <f>MAX(VLOOKUP(F3423,N$6:P$15,3,FALSE)/1000,2/3*D3418/1000)+F$16*F3423/1000</f>
        <v>0.192</v>
      </c>
      <c r="M3423" t="str">
        <v>=</v>
      </c>
      <c r="N3423">
        <f>J3423+L3423</f>
        <v>1.642</v>
      </c>
      <c r="O3423" t="str">
        <v>+</v>
      </c>
      <c r="P3423">
        <f>D3423-D3422</f>
        <v>0</v>
      </c>
      <c r="Q3423" t="str">
        <v>x</v>
      </c>
      <c r="R3423">
        <f>IF(P3423&gt;0,$F$18*F3423/1000,0)</f>
        <v>0</v>
      </c>
      <c r="S3423" t="str">
        <v>)</v>
      </c>
      <c r="T3423" t="str">
        <v>x</v>
      </c>
      <c r="U3423">
        <f>0.006165*F3423^2</f>
        <v>1.57824</v>
      </c>
      <c r="X3423" t="str">
        <v>x</v>
      </c>
      <c r="Y3423">
        <f>D3420</f>
        <v>1</v>
      </c>
      <c r="Z3423" t="str">
        <v>=</v>
      </c>
      <c r="AA3423">
        <f>IF(AA3424=0,(D3423*N3423+P3423*R3423)*U3423*Y3423,0)</f>
        <v>0</v>
      </c>
    </row>
    <row r="3424">
      <c r="A3424" t="str">
        <f>A3414</f>
        <v>Lantai 1</v>
      </c>
      <c r="B3424">
        <f>B3414</f>
        <v>17</v>
      </c>
      <c r="D3424">
        <f>IF(AND(D3421=D3422,D3422=D3423,D3421=D3423),D3421,0)</f>
        <v>2</v>
      </c>
      <c r="E3424" t="str">
        <v>D</v>
      </c>
      <c r="F3424">
        <f>IF(AND(F3421=F3422,F3421=F3423,F3422=F3423),F3421,0)</f>
        <v>16</v>
      </c>
      <c r="L3424" t="str">
        <v>Total panjang per balok</v>
      </c>
      <c r="M3424" t="str">
        <v>=</v>
      </c>
      <c r="N3424">
        <f>IF(AND(D3421=D3422,D3421=D3423,D3422=D3423,F3421=F3422,F3421=F3423,F3422=F3423),SUM(N3421:N3423),0)</f>
        <v>6.183999999999999</v>
      </c>
      <c r="O3424" t="str">
        <v>+</v>
      </c>
      <c r="P3424">
        <f>IF(N3424&gt;12,ROUNDDOWN(N3424/12,0),0)</f>
        <v>0</v>
      </c>
      <c r="Q3424" t="str">
        <v>x</v>
      </c>
      <c r="R3424">
        <f>IF(P3424&gt;0,MAX(VLOOKUP(F3424,$D$6:$G$15,3,FALSE),600),0)/1000</f>
        <v>0</v>
      </c>
      <c r="T3424" t="str">
        <v>x</v>
      </c>
      <c r="U3424">
        <f>U3423</f>
        <v>1.57824</v>
      </c>
      <c r="V3424" t="str">
        <v>x</v>
      </c>
      <c r="W3424">
        <f>D3424</f>
        <v>2</v>
      </c>
      <c r="X3424" t="str">
        <v>x</v>
      </c>
      <c r="Y3424">
        <f>Y3423</f>
        <v>1</v>
      </c>
      <c r="Z3424" t="str">
        <v>=</v>
      </c>
      <c r="AA3424">
        <f>(N3424+P3424*R3424/1000)*U3424*W3424*Y3424</f>
        <v>19.519672319999998</v>
      </c>
    </row>
    <row r="3426">
      <c r="A3426" t="str">
        <f>A3414</f>
        <v>Lantai 1</v>
      </c>
      <c r="B3426">
        <f>B3414</f>
        <v>17</v>
      </c>
      <c r="C3426" t="str">
        <v>Tul Peminggang</v>
      </c>
      <c r="D3426">
        <f>VLOOKUP(D3414,'Detail Balok'!$C$10:$AU$110,13,FALSE)</f>
        <v>0</v>
      </c>
      <c r="E3426" t="str">
        <v>D</v>
      </c>
      <c r="F3426">
        <f>VLOOKUP(D3414,'Detail Balok'!$C$10:$AU$110,15,FALSE)</f>
        <v>6</v>
      </c>
      <c r="J3426">
        <f>+D3416/1000</f>
        <v>5.8</v>
      </c>
      <c r="K3426" t="str">
        <v>+</v>
      </c>
      <c r="L3426">
        <f>2*$F$16*F3426/1000</f>
        <v>0.144</v>
      </c>
      <c r="M3426" t="str">
        <v>=</v>
      </c>
      <c r="N3426">
        <f>J3426+L3426</f>
        <v>5.944</v>
      </c>
      <c r="O3426" t="str">
        <v>+</v>
      </c>
      <c r="P3426">
        <f>IF(N3426&gt;12,ROUNDDOWN(N3426/12,0),0)</f>
        <v>0</v>
      </c>
      <c r="Q3426" t="str">
        <v>x</v>
      </c>
      <c r="R3426">
        <f>IF(P3426&gt;0,MAX(VLOOKUP(F3426,$D$6:$G$15,3,FALSE),600),0)/1000</f>
        <v>0</v>
      </c>
      <c r="T3426" t="str">
        <v>x</v>
      </c>
      <c r="U3426">
        <f>0.006165*F3426^2</f>
        <v>0.22194000000000003</v>
      </c>
      <c r="V3426" t="str">
        <v>x</v>
      </c>
      <c r="W3426">
        <f>+D3426</f>
        <v>0</v>
      </c>
      <c r="X3426" t="str">
        <v>x</v>
      </c>
      <c r="Y3426">
        <f>D3420</f>
        <v>1</v>
      </c>
      <c r="Z3426" t="str">
        <v>=</v>
      </c>
      <c r="AA3426">
        <f>(N3426+P3426*R3426/1000)*U3426*W3426*Y3426</f>
        <v>0</v>
      </c>
    </row>
    <row r="3429">
      <c r="A3429" t="str">
        <f>A3414</f>
        <v>Lantai 1</v>
      </c>
      <c r="B3429">
        <f>B3414</f>
        <v>17</v>
      </c>
      <c r="C3429" t="str">
        <v>Tul Bawah Tumpuan</v>
      </c>
      <c r="D3429">
        <f>VLOOKUP(D3414,'Detail Balok'!$C$10:$AU$110,22,FALSE)</f>
        <v>2</v>
      </c>
      <c r="E3429" t="str">
        <v>D</v>
      </c>
      <c r="F3429">
        <f>VLOOKUP(D3414,'Detail Balok'!$C$10:$AU$110,24,FALSE)</f>
        <v>16</v>
      </c>
      <c r="I3429" t="str">
        <v>(</v>
      </c>
      <c r="J3429">
        <f>+J3421</f>
        <v>1.45</v>
      </c>
      <c r="K3429" t="str">
        <v>+</v>
      </c>
      <c r="L3429">
        <f>MAX(VLOOKUP(F3429,N$6:P$15,3,FALSE)/1000,2/3*D3419/1000)+F$16*F3429/1000</f>
        <v>0.192</v>
      </c>
      <c r="M3429" t="str">
        <v>=</v>
      </c>
      <c r="N3429">
        <f>J3429+L3429</f>
        <v>1.642</v>
      </c>
      <c r="O3429" t="str">
        <v>+</v>
      </c>
      <c r="P3429">
        <f>D3429-D3430</f>
        <v>0</v>
      </c>
      <c r="Q3429" t="str">
        <v>x</v>
      </c>
      <c r="R3429">
        <f>IF(P3429&gt;0,$F$18*F3429/1000,0)</f>
        <v>0</v>
      </c>
      <c r="S3429" t="str">
        <v>)</v>
      </c>
      <c r="T3429" t="str">
        <v>x</v>
      </c>
      <c r="U3429">
        <f>0.006165*F3429^2</f>
        <v>1.57824</v>
      </c>
      <c r="X3429" t="str">
        <v>x</v>
      </c>
      <c r="Y3429">
        <f>D3420</f>
        <v>1</v>
      </c>
      <c r="Z3429" t="str">
        <v>=</v>
      </c>
      <c r="AA3429">
        <f>IF(AA3432=0,(D3429*N3429+P3429*R3429)*U3429*Y3429,0)</f>
        <v>0</v>
      </c>
    </row>
    <row r="3430">
      <c r="A3430" t="str">
        <f>A3414</f>
        <v>Lantai 1</v>
      </c>
      <c r="B3430">
        <f>B3414</f>
        <v>17</v>
      </c>
      <c r="C3430" t="str">
        <v>Tul Bawah Lapangan</v>
      </c>
      <c r="D3430">
        <f>VLOOKUP(D3414,'Detail Balok'!$C$10:$AU$110,25,FALSE)</f>
        <v>2</v>
      </c>
      <c r="E3430" t="str">
        <v>D</v>
      </c>
      <c r="F3430">
        <f>VLOOKUP(D3414,'Detail Balok'!$C$10:$AU$110,27,FALSE)</f>
        <v>16</v>
      </c>
      <c r="I3430" t="str">
        <v>(</v>
      </c>
      <c r="J3430">
        <f>+J3422</f>
        <v>2.9</v>
      </c>
      <c r="K3430" t="str">
        <v>+</v>
      </c>
      <c r="M3430" t="str">
        <v>=</v>
      </c>
      <c r="N3430">
        <f>J3430+L3430</f>
        <v>2.9</v>
      </c>
      <c r="O3430" t="str">
        <v>+</v>
      </c>
      <c r="P3430">
        <f>MAX(D3430-D3429,D3430-D3431)</f>
        <v>0</v>
      </c>
      <c r="Q3430" t="str">
        <v>x</v>
      </c>
      <c r="R3430">
        <f>IF(P3430&gt;0,2*(1-2*$F$19-1/2)*D3417/1000,0)</f>
        <v>0</v>
      </c>
      <c r="S3430" t="str">
        <v>)</v>
      </c>
      <c r="T3430" t="str">
        <v>x</v>
      </c>
      <c r="U3430">
        <f>0.006165*F3430^2</f>
        <v>1.57824</v>
      </c>
      <c r="X3430" t="str">
        <v>x</v>
      </c>
      <c r="Y3430">
        <f>D3420</f>
        <v>1</v>
      </c>
      <c r="Z3430" t="str">
        <v>=</v>
      </c>
      <c r="AA3430">
        <f>IF(AA3432=0,(D3430*N3430+P3430*R3430)*U3430*Y3430,0)</f>
        <v>0</v>
      </c>
    </row>
    <row r="3431">
      <c r="A3431" t="str">
        <f>A3414</f>
        <v>Lantai 1</v>
      </c>
      <c r="B3431">
        <f>B3414</f>
        <v>17</v>
      </c>
      <c r="C3431" t="str">
        <v>Tul Bawah Tumpuan</v>
      </c>
      <c r="D3431">
        <f>VLOOKUP(D3414,'Detail Balok'!$C$10:$AU$110,28,FALSE)</f>
        <v>2</v>
      </c>
      <c r="E3431" t="str">
        <v>D</v>
      </c>
      <c r="F3431">
        <f>VLOOKUP(D3414,'Detail Balok'!$C$10:$AU$110,30,FALSE)</f>
        <v>16</v>
      </c>
      <c r="I3431" t="str">
        <v>(</v>
      </c>
      <c r="J3431">
        <f>+J3423</f>
        <v>1.45</v>
      </c>
      <c r="K3431" t="str">
        <v>+</v>
      </c>
      <c r="L3431">
        <f>MAX(VLOOKUP(F3431,N$6:P$15,3,FALSE)/1000,2/3*D3419/1000)+F$16*F3431/1000</f>
        <v>0.192</v>
      </c>
      <c r="M3431" t="str">
        <v>=</v>
      </c>
      <c r="N3431">
        <f>J3431+L3431</f>
        <v>1.642</v>
      </c>
      <c r="O3431" t="str">
        <v>+</v>
      </c>
      <c r="P3431">
        <f>D3431-D3430</f>
        <v>0</v>
      </c>
      <c r="Q3431" t="str">
        <v>x</v>
      </c>
      <c r="R3431">
        <f>IF(P3431&gt;0,$F$18*F3431/1000,0)</f>
        <v>0</v>
      </c>
      <c r="S3431" t="str">
        <v>)</v>
      </c>
      <c r="T3431" t="str">
        <v>x</v>
      </c>
      <c r="U3431">
        <f>0.006165*F3431^2</f>
        <v>1.57824</v>
      </c>
      <c r="X3431" t="str">
        <v>x</v>
      </c>
      <c r="Y3431">
        <f>D3420</f>
        <v>1</v>
      </c>
      <c r="Z3431" t="str">
        <v>=</v>
      </c>
      <c r="AA3431">
        <f>IF(AA3432=0,(D3431*N3431+P3431*R3431)*U3431*Y3431,0)</f>
        <v>0</v>
      </c>
    </row>
    <row r="3432">
      <c r="A3432" t="str">
        <f>A3414</f>
        <v>Lantai 1</v>
      </c>
      <c r="B3432">
        <f>B3414</f>
        <v>17</v>
      </c>
      <c r="D3432">
        <f>IF(AND(D3429=D3430,D3430=D3431,D3429=D3431),D3429,0)</f>
        <v>2</v>
      </c>
      <c r="E3432" t="str">
        <v>D</v>
      </c>
      <c r="F3432">
        <f>IF(AND(F3429=F3430,F3429=F3431,F3430=F3431),F3429,0)</f>
        <v>16</v>
      </c>
      <c r="L3432" t="str">
        <v>Total panjang per balok</v>
      </c>
      <c r="M3432" t="str">
        <v>=</v>
      </c>
      <c r="N3432">
        <f>IF(AND(D3429=D3430,D3429=D3431,D3430=D3431,F3429=F3430,F3429=F3431,F3430=F3431),SUM(N3429:N3431),0)</f>
        <v>6.183999999999999</v>
      </c>
      <c r="O3432" t="str">
        <v>+</v>
      </c>
      <c r="P3432">
        <f>IF(N3432&gt;12,ROUNDDOWN(N3432/12,0),0)</f>
        <v>0</v>
      </c>
      <c r="Q3432" t="str">
        <v>x</v>
      </c>
      <c r="R3432">
        <f>IF(P3432&gt;0,MAX(VLOOKUP(F3432,$D$6:$G$15,3,FALSE),600),0)/1000</f>
        <v>0</v>
      </c>
      <c r="T3432" t="str">
        <v>x</v>
      </c>
      <c r="U3432">
        <f>U3431</f>
        <v>1.57824</v>
      </c>
      <c r="V3432" t="str">
        <v>x</v>
      </c>
      <c r="W3432">
        <f>D3432</f>
        <v>2</v>
      </c>
      <c r="X3432" t="str">
        <v>x</v>
      </c>
      <c r="Y3432">
        <f>Y3431</f>
        <v>1</v>
      </c>
      <c r="Z3432" t="str">
        <v>=</v>
      </c>
      <c r="AA3432">
        <f>(N3432+P3432*R3432/1000)*U3432*W3432*Y3432</f>
        <v>19.519672319999998</v>
      </c>
    </row>
    <row r="3434">
      <c r="A3434" t="str">
        <f>A3414</f>
        <v>Lantai 1</v>
      </c>
      <c r="B3434">
        <f>B3414</f>
        <v>17</v>
      </c>
      <c r="C3434" t="str">
        <v>Sengkang Tumpuan</v>
      </c>
      <c r="D3434">
        <f>VLOOKUP(D3414,'Detail Balok'!$C$10:$AU$110,31,FALSE)</f>
        <v>0</v>
      </c>
      <c r="E3434" t="str">
        <v>D</v>
      </c>
      <c r="F3434">
        <f>VLOOKUP(D3414,'Detail Balok'!$C$10:$AU$110,33,FALSE)</f>
        <v>8</v>
      </c>
      <c r="G3434" t="str">
        <v>-</v>
      </c>
      <c r="H3434">
        <f>VLOOKUP(D3414,'Detail Balok'!$C$10:$AU$110,35,FALSE)</f>
        <v>100</v>
      </c>
      <c r="J3434">
        <f>(IF(D3434=0,(2*(D3415+G3415))-(F$5*8),IF(D3434=3,(2*(D3415+G3415))-(F$5*8)+(G3415-2*F$5),IF(D3434=4,(2*(D3415+G3415))-(F$5*8)+2*(G3415-2*F$5)))))/1000</f>
        <v>0.88</v>
      </c>
      <c r="K3434" t="str">
        <v>+</v>
      </c>
      <c r="L3434">
        <f>IF(D3434=0,2*MAX(6*F3434,75),(D3434-1)*2*MAX(6*F3434,75))/1000</f>
        <v>0.15</v>
      </c>
      <c r="M3434" t="str">
        <v>=</v>
      </c>
      <c r="N3434">
        <f>J3434+L3434</f>
        <v>1.03</v>
      </c>
      <c r="T3434" t="str">
        <v>x</v>
      </c>
      <c r="U3434">
        <f>0.006165*F3434^2</f>
        <v>0.39456</v>
      </c>
      <c r="V3434" t="str">
        <v>x</v>
      </c>
      <c r="W3434">
        <f>IF(D3417&gt;4*G3415,ROUND(MAX(D3417/4,2*G3415)/H3434,0)+1,ROUND(D3417/H3434,0)+1)</f>
        <v>16</v>
      </c>
      <c r="X3434" t="str">
        <v>x</v>
      </c>
      <c r="Y3434">
        <f>D3420</f>
        <v>1</v>
      </c>
      <c r="Z3434" t="str">
        <v>=</v>
      </c>
      <c r="AA3434">
        <f>N3434*U3434*W3434*Y3434</f>
        <v>6.502348800000001</v>
      </c>
    </row>
    <row r="3435">
      <c r="A3435" t="str">
        <f>A3414</f>
        <v>Lantai 1</v>
      </c>
      <c r="B3435">
        <f>B3414</f>
        <v>17</v>
      </c>
      <c r="C3435" t="str">
        <v>Sengkang Lapangan</v>
      </c>
      <c r="D3435">
        <f>VLOOKUP(D3414,'Detail Balok'!$C$10:$AU$110,36,FALSE)</f>
        <v>0</v>
      </c>
      <c r="E3435" t="str">
        <v>D</v>
      </c>
      <c r="F3435">
        <f>VLOOKUP(D3414,'Detail Balok'!$C$10:$AU$110,38,FALSE)</f>
        <v>8</v>
      </c>
      <c r="G3435" t="str">
        <v>-</v>
      </c>
      <c r="H3435">
        <f>VLOOKUP(D3414,'Detail Balok'!$C$10:$AU$110,40,FALSE)</f>
        <v>200</v>
      </c>
      <c r="J3435">
        <f>(IF(D3435=0,(2*(D3415+G3415))-(F$5*8),IF(D3435=3,(2*(D3415+G3415))-(F$5*8)+(G3415-2*F$5),IF(D3435=4,(2*(D3415+G3415))-(F$5*8)+2*(G3415-2*F$5)))))/1000</f>
        <v>0.88</v>
      </c>
      <c r="K3435" t="str">
        <v>+</v>
      </c>
      <c r="L3435">
        <f>IF(D3435=0,2*MAX(6*F3435,75),(D3435-1)*2*MAX(6*F3435,75))/1000</f>
        <v>0.15</v>
      </c>
      <c r="M3435" t="str">
        <v>=</v>
      </c>
      <c r="N3435">
        <f>J3435+L3435</f>
        <v>1.03</v>
      </c>
      <c r="T3435" t="str">
        <v>x</v>
      </c>
      <c r="U3435">
        <f>0.006165*F3435^2</f>
        <v>0.39456</v>
      </c>
      <c r="V3435" t="str">
        <v>x</v>
      </c>
      <c r="W3435">
        <f>IF(D3417-MAX(D3417/4,2*G3415)*2&gt;0,ROUND((D3417-MAX(D3417/4,2*G3415)*2)/H3435,0),0)</f>
        <v>15</v>
      </c>
      <c r="X3435" t="str">
        <v>x</v>
      </c>
      <c r="Y3435">
        <f>D3420</f>
        <v>1</v>
      </c>
      <c r="Z3435" t="str">
        <v>=</v>
      </c>
      <c r="AA3435">
        <f>N3435*U3435*W3435*Y3435</f>
        <v>6.0959520000000005</v>
      </c>
    </row>
    <row r="3436">
      <c r="A3436" t="str">
        <f>A3414</f>
        <v>Lantai 1</v>
      </c>
      <c r="B3436">
        <f>B3414</f>
        <v>17</v>
      </c>
      <c r="C3436" t="str">
        <v>Sengkang Tumpuan</v>
      </c>
      <c r="D3436">
        <f>VLOOKUP(D3414,'Detail Balok'!$C$10:$AU$110,41,FALSE)</f>
        <v>0</v>
      </c>
      <c r="E3436" t="str">
        <v>D</v>
      </c>
      <c r="F3436">
        <f>VLOOKUP(D3414,'Detail Balok'!$C$10:$AU$110,43,FALSE)</f>
        <v>8</v>
      </c>
      <c r="G3436" t="str">
        <v>-</v>
      </c>
      <c r="H3436">
        <f>VLOOKUP(D3414,'Detail Balok'!$C$10:$AU$110,45,FALSE)</f>
        <v>100</v>
      </c>
      <c r="J3436">
        <f>(IF(D3436=0,(2*(D3415+G3415))-(F$5*8),IF(D3436=3,(2*(D3415+G3415))-(F$5*8)+(G3415-2*F$5),IF(D3436=4,(2*(D3415+G3415))-(F$5*8)+2*(G3415-2*F$5)))))/1000</f>
        <v>0.88</v>
      </c>
      <c r="K3436" t="str">
        <v>+</v>
      </c>
      <c r="L3436">
        <f>IF(D3436=0,2*MAX(6*F3436,75),(D3436-1)*2*MAX(6*F3436,75))/1000</f>
        <v>0.15</v>
      </c>
      <c r="M3436" t="str">
        <v>=</v>
      </c>
      <c r="N3436">
        <f>J3436+L3436</f>
        <v>1.03</v>
      </c>
      <c r="T3436" t="str">
        <v>x</v>
      </c>
      <c r="U3436">
        <f>0.006165*F3436^2</f>
        <v>0.39456</v>
      </c>
      <c r="V3436" t="str">
        <v>x</v>
      </c>
      <c r="W3436">
        <f>IF(D3417&gt;4*G3415,ROUND(MAX(D3417/4,2*G3415)/H3436,0)+1,0)</f>
        <v>16</v>
      </c>
      <c r="X3436" t="str">
        <v>x</v>
      </c>
      <c r="Y3436">
        <f>D3420</f>
        <v>1</v>
      </c>
      <c r="Z3436" t="str">
        <v>=</v>
      </c>
      <c r="AA3436">
        <f>N3436*U3436*W3436*Y3436</f>
        <v>6.502348800000001</v>
      </c>
    </row>
    <row r="3438">
      <c r="A3438" t="str">
        <f>A3414</f>
        <v>Lantai 1</v>
      </c>
      <c r="B3438">
        <f>B3414</f>
        <v>17</v>
      </c>
      <c r="C3438" t="str">
        <v>Kait Horizontal Tump.</v>
      </c>
      <c r="D3438">
        <f>VLOOKUP(D3414,'Detail Balok'!$C$10:$BJ$110,46,FALSE)</f>
        <v>0</v>
      </c>
      <c r="E3438" t="str">
        <v>D</v>
      </c>
      <c r="F3438">
        <f>VLOOKUP(D3414,'Detail Balok'!$C$10:$BJ$110,48,FALSE)</f>
        <v>0</v>
      </c>
      <c r="G3438" t="str">
        <v>-</v>
      </c>
      <c r="H3438">
        <f>VLOOKUP(D3414,'Detail Balok'!$C$10:$BJ$110,50,FALSE)</f>
        <v>100</v>
      </c>
      <c r="J3438">
        <f>(D3415-2*F$5)/1000</f>
        <v>0.12</v>
      </c>
      <c r="K3438" t="str">
        <v>+</v>
      </c>
      <c r="L3438">
        <f>IF(D3438=0,2*MAX(6*F3438,75),(D3438-1)*2*MAX(6*F3438,75))/1000</f>
        <v>0.15</v>
      </c>
      <c r="M3438" t="str">
        <v>=</v>
      </c>
      <c r="N3438">
        <f>J3438+L3438</f>
        <v>0.27</v>
      </c>
      <c r="T3438" t="str">
        <v>x</v>
      </c>
      <c r="U3438">
        <f>0.006165*F3438^2</f>
        <v>0</v>
      </c>
      <c r="V3438" t="str">
        <v>x</v>
      </c>
      <c r="W3438">
        <f>W3434</f>
        <v>16</v>
      </c>
      <c r="X3438" t="str">
        <v>x</v>
      </c>
      <c r="Y3438">
        <f>D3424</f>
        <v>2</v>
      </c>
      <c r="Z3438" t="str">
        <v>=</v>
      </c>
      <c r="AA3438">
        <f>N3438*U3438*W3438*Y3438</f>
        <v>0</v>
      </c>
    </row>
    <row r="3439">
      <c r="A3439" t="str">
        <f>A3414</f>
        <v>Lantai 1</v>
      </c>
      <c r="B3439">
        <f>B3414</f>
        <v>17</v>
      </c>
      <c r="C3439" t="str">
        <v>Kait Horizontal Lap.</v>
      </c>
      <c r="D3439">
        <f>VLOOKUP(D3414,'Detail Balok'!$C$10:$BJ$110,51,FALSE)</f>
        <v>0</v>
      </c>
      <c r="E3439" t="str">
        <v>D</v>
      </c>
      <c r="F3439">
        <f>VLOOKUP(D3414,'Detail Balok'!$C$10:$BJ$110,53,FALSE)</f>
        <v>0</v>
      </c>
      <c r="G3439" t="str">
        <v>-</v>
      </c>
      <c r="H3439">
        <f>VLOOKUP(D3414,'Detail Balok'!$C$10:$BJ$110,55,FALSE)</f>
        <v>100</v>
      </c>
      <c r="J3439">
        <f>(D3415-2*F$5)/1000</f>
        <v>0.12</v>
      </c>
      <c r="K3439" t="str">
        <v>+</v>
      </c>
      <c r="L3439">
        <f>IF(D3439=0,2*MAX(6*F3439,75),(D3439-1)*2*MAX(6*F3439,75))/1000</f>
        <v>0.15</v>
      </c>
      <c r="M3439" t="str">
        <v>=</v>
      </c>
      <c r="N3439">
        <f>J3439+L3439</f>
        <v>0.27</v>
      </c>
      <c r="T3439" t="str">
        <v>x</v>
      </c>
      <c r="U3439">
        <f>0.006165*F3439^2</f>
        <v>0</v>
      </c>
      <c r="V3439" t="str">
        <v>x</v>
      </c>
      <c r="W3439">
        <f>W3435</f>
        <v>15</v>
      </c>
      <c r="X3439" t="str">
        <v>x</v>
      </c>
      <c r="Y3439">
        <f>D3424</f>
        <v>2</v>
      </c>
      <c r="Z3439" t="str">
        <v>=</v>
      </c>
      <c r="AA3439">
        <f>N3439*U3439*W3439*Y3439</f>
        <v>0</v>
      </c>
    </row>
    <row r="3440">
      <c r="A3440" t="str">
        <f>A3414</f>
        <v>Lantai 1</v>
      </c>
      <c r="B3440">
        <f>B3414</f>
        <v>17</v>
      </c>
      <c r="C3440" t="str">
        <v>Kait Horizontal Tump.</v>
      </c>
      <c r="D3440">
        <f>VLOOKUP(D3414,'Detail Balok'!$C$10:$BJ$110,56,FALSE)</f>
        <v>0</v>
      </c>
      <c r="E3440" t="str">
        <v>D</v>
      </c>
      <c r="F3440">
        <f>VLOOKUP(D3414,'Detail Balok'!$C$10:$BJ$110,58,FALSE)</f>
        <v>0</v>
      </c>
      <c r="G3440" t="str">
        <v>-</v>
      </c>
      <c r="H3440">
        <f>VLOOKUP(D3414,'Detail Balok'!$C$10:$BJ$110,60,FALSE)</f>
        <v>100</v>
      </c>
      <c r="J3440">
        <f>(D3415-2*F$5)/1000</f>
        <v>0.12</v>
      </c>
      <c r="K3440" t="str">
        <v>+</v>
      </c>
      <c r="L3440">
        <f>IF(D3440=0,2*MAX(6*F3440,75),(D3440-1)*2*MAX(6*F3440,75))/1000</f>
        <v>0.15</v>
      </c>
      <c r="M3440" t="str">
        <v>=</v>
      </c>
      <c r="N3440">
        <f>J3440+L3440</f>
        <v>0.27</v>
      </c>
      <c r="T3440" t="str">
        <v>x</v>
      </c>
      <c r="U3440">
        <f>0.006165*F3440^2</f>
        <v>0</v>
      </c>
      <c r="V3440" t="str">
        <v>x</v>
      </c>
      <c r="W3440">
        <f>W3436</f>
        <v>16</v>
      </c>
      <c r="X3440" t="str">
        <v>x</v>
      </c>
      <c r="Y3440">
        <f>D3424</f>
        <v>2</v>
      </c>
      <c r="Z3440" t="str">
        <v>=</v>
      </c>
      <c r="AA3440">
        <f>N3440*U3440*W3440*Y3440</f>
        <v>0</v>
      </c>
    </row>
    <row r="3444">
      <c r="A3444" t="str">
        <f>A3414</f>
        <v>Lantai 1</v>
      </c>
      <c r="B3444">
        <f>B3414+1</f>
        <v>18</v>
      </c>
      <c r="C3444" t="str">
        <f>CONCATENATE(A3444," no. ",B3444)</f>
        <v>Lantai 1 no. 18</v>
      </c>
      <c r="D3444" t="str">
        <f>VLOOKUP(C3444,'Data Panjang Balok'!$C$9:$N$424,2,FALSE)</f>
        <v>B57-4</v>
      </c>
    </row>
    <row r="3445">
      <c r="C3445" t="str">
        <v>Dimensi</v>
      </c>
      <c r="D3445">
        <f>VLOOKUP(D3444,'Detail Balok'!$C$10:$AU$110,2,FALSE)</f>
        <v>500</v>
      </c>
      <c r="F3445" t="str">
        <v>x</v>
      </c>
      <c r="G3445">
        <f>VLOOKUP(D3444,'Detail Balok'!$C$10:$AU$110,3,FALSE)</f>
        <v>700</v>
      </c>
    </row>
    <row r="3446">
      <c r="C3446" t="str">
        <v>Panjang as ke as</v>
      </c>
      <c r="D3446">
        <f>VLOOKUP(C3444,'Data Panjang Balok'!$C$9:$N$424,4,FALSE)</f>
        <v>11100</v>
      </c>
    </row>
    <row r="3447">
      <c r="C3447" t="str">
        <v>Panjang netto</v>
      </c>
      <c r="D3447">
        <f>VLOOKUP(C3444,'Data Panjang Balok'!$C$9:$N$424,7,FALSE)</f>
        <v>11100</v>
      </c>
    </row>
    <row r="3448">
      <c r="C3448" t="str">
        <v>Kolom / balok kiri</v>
      </c>
      <c r="D3448">
        <f>VLOOKUP(C3444,'Data Panjang Balok'!$C$9:$N$424,9,FALSE)</f>
        <v>0</v>
      </c>
    </row>
    <row r="3449">
      <c r="C3449" t="str">
        <v>Kolom / balok kanan</v>
      </c>
      <c r="D3449">
        <f>VLOOKUP(C3444,'Data Panjang Balok'!$C$9:$N$424,10,FALSE)</f>
        <v>0</v>
      </c>
    </row>
    <row r="3450">
      <c r="C3450" t="str">
        <v>Jumlah</v>
      </c>
      <c r="D3450">
        <f>VLOOKUP(C3444,'Data Panjang Balok'!$C$9:$N$424,3,FALSE)</f>
        <v>1</v>
      </c>
    </row>
    <row r="3451">
      <c r="A3451" t="str">
        <f>A3444</f>
        <v>Lantai 1</v>
      </c>
      <c r="B3451">
        <f>B3444</f>
        <v>18</v>
      </c>
      <c r="C3451" t="str">
        <v>Tul Atas Tumpuan</v>
      </c>
      <c r="D3451">
        <f>VLOOKUP(D3444,'Detail Balok'!$C$10:$AU$110,4,FALSE)</f>
        <v>10</v>
      </c>
      <c r="E3451" t="str">
        <v>D</v>
      </c>
      <c r="F3451">
        <f>VLOOKUP(D3444,'Detail Balok'!$C$10:$AU$110,6,FALSE)</f>
        <v>22</v>
      </c>
      <c r="I3451" t="str">
        <v>(</v>
      </c>
      <c r="J3451">
        <f>+D3446/4/1000</f>
        <v>2.775</v>
      </c>
      <c r="K3451" t="str">
        <v>+</v>
      </c>
      <c r="L3451">
        <f>MAX(VLOOKUP(F3451,N$6:P$15,3,FALSE)/1000,2/3*D3448/1000)+F$16*F3451/1000</f>
        <v>0.264</v>
      </c>
      <c r="M3451" t="str">
        <v>=</v>
      </c>
      <c r="N3451">
        <f>J3451+L3451</f>
        <v>3.0389999999999997</v>
      </c>
      <c r="O3451" t="str">
        <v>+</v>
      </c>
      <c r="P3451">
        <f>D3451-D3452</f>
        <v>6</v>
      </c>
      <c r="Q3451" t="str">
        <v>x</v>
      </c>
      <c r="R3451">
        <f>IF(P3451&gt;0,$F$18*F3451/1000,0)</f>
        <v>0.33</v>
      </c>
      <c r="S3451" t="str">
        <v>)</v>
      </c>
      <c r="T3451" t="str">
        <v>x</v>
      </c>
      <c r="U3451">
        <f>0.006165*F3451^2</f>
        <v>2.98386</v>
      </c>
      <c r="X3451" t="str">
        <v>x</v>
      </c>
      <c r="Y3451">
        <f>D3450</f>
        <v>1</v>
      </c>
      <c r="Z3451" t="str">
        <v>=</v>
      </c>
      <c r="AA3451">
        <f>IF(AA3454=0,(D3451*N3451+P3451*R3451)*U3451*Y3451,0)</f>
        <v>96.58754819999999</v>
      </c>
    </row>
    <row r="3452">
      <c r="A3452" t="str">
        <f>A3444</f>
        <v>Lantai 1</v>
      </c>
      <c r="B3452">
        <f>B3444</f>
        <v>18</v>
      </c>
      <c r="C3452" t="str">
        <v>Tul Atas Lapangan</v>
      </c>
      <c r="D3452">
        <f>VLOOKUP(D3444,'Detail Balok'!$C$10:$AU$110,7,FALSE)</f>
        <v>4</v>
      </c>
      <c r="E3452" t="str">
        <v>D</v>
      </c>
      <c r="F3452">
        <f>VLOOKUP(D3444,'Detail Balok'!$C$10:$AU$110,9,FALSE)</f>
        <v>22</v>
      </c>
      <c r="I3452" t="str">
        <v>(</v>
      </c>
      <c r="J3452">
        <f>+D3446/2/1000</f>
        <v>5.55</v>
      </c>
      <c r="K3452" t="str">
        <v>+</v>
      </c>
      <c r="M3452" t="str">
        <v>=</v>
      </c>
      <c r="N3452">
        <f>J3452+L3452</f>
        <v>5.55</v>
      </c>
      <c r="O3452" t="str">
        <v>+</v>
      </c>
      <c r="P3452">
        <f>MAX(D3452-D3451,D3452-D3453)</f>
        <v>-2</v>
      </c>
      <c r="Q3452" t="str">
        <v>x</v>
      </c>
      <c r="R3452">
        <f>IF(P3452&gt;0,2*(1-2*$F$19-1/2)*D3447/1000,0)</f>
        <v>0</v>
      </c>
      <c r="S3452" t="str">
        <v>)</v>
      </c>
      <c r="T3452" t="str">
        <v>x</v>
      </c>
      <c r="U3452">
        <f>0.006165*F3452^2</f>
        <v>2.98386</v>
      </c>
      <c r="X3452" t="str">
        <v>x</v>
      </c>
      <c r="Y3452">
        <f>D3450</f>
        <v>1</v>
      </c>
      <c r="Z3452" t="str">
        <v>=</v>
      </c>
      <c r="AA3452">
        <f>IF(AA3454=0,(D3452*N3452+P3452*R3452)*U3452*Y3452,0)</f>
        <v>66.241692</v>
      </c>
    </row>
    <row r="3453">
      <c r="A3453" t="str">
        <f>A3444</f>
        <v>Lantai 1</v>
      </c>
      <c r="B3453">
        <f>B3444</f>
        <v>18</v>
      </c>
      <c r="C3453" t="str">
        <v>Tul Atas Tumpuan</v>
      </c>
      <c r="D3453">
        <f>VLOOKUP(D3444,'Detail Balok'!$C$10:$AU$110,10,FALSE)</f>
        <v>6</v>
      </c>
      <c r="E3453" t="str">
        <v>D</v>
      </c>
      <c r="F3453">
        <f>VLOOKUP(D3444,'Detail Balok'!$C$10:$AU$110,12,FALSE)</f>
        <v>22</v>
      </c>
      <c r="I3453" t="str">
        <v>(</v>
      </c>
      <c r="J3453">
        <f>+D3446/4/1000</f>
        <v>2.775</v>
      </c>
      <c r="K3453" t="str">
        <v>+</v>
      </c>
      <c r="L3453">
        <f>MAX(VLOOKUP(F3453,N$6:P$15,3,FALSE)/1000,2/3*D3448/1000)+F$16*F3453/1000</f>
        <v>0.264</v>
      </c>
      <c r="M3453" t="str">
        <v>=</v>
      </c>
      <c r="N3453">
        <f>J3453+L3453</f>
        <v>3.0389999999999997</v>
      </c>
      <c r="O3453" t="str">
        <v>+</v>
      </c>
      <c r="P3453">
        <f>D3453-D3452</f>
        <v>2</v>
      </c>
      <c r="Q3453" t="str">
        <v>x</v>
      </c>
      <c r="R3453">
        <f>IF(P3453&gt;0,$F$18*F3453/1000,0)</f>
        <v>0.33</v>
      </c>
      <c r="S3453" t="str">
        <v>)</v>
      </c>
      <c r="T3453" t="str">
        <v>x</v>
      </c>
      <c r="U3453">
        <f>0.006165*F3453^2</f>
        <v>2.98386</v>
      </c>
      <c r="X3453" t="str">
        <v>x</v>
      </c>
      <c r="Y3453">
        <f>D3450</f>
        <v>1</v>
      </c>
      <c r="Z3453" t="str">
        <v>=</v>
      </c>
      <c r="AA3453">
        <f>IF(AA3454=0,(D3453*N3453+P3453*R3453)*U3453*Y3453,0)</f>
        <v>56.377050839999995</v>
      </c>
    </row>
    <row r="3454">
      <c r="A3454" t="str">
        <f>A3444</f>
        <v>Lantai 1</v>
      </c>
      <c r="B3454">
        <f>B3444</f>
        <v>18</v>
      </c>
      <c r="D3454">
        <f>IF(AND(D3451=D3452,D3452=D3453,D3451=D3453),D3451,0)</f>
        <v>0</v>
      </c>
      <c r="E3454" t="str">
        <v>D</v>
      </c>
      <c r="F3454">
        <f>IF(AND(F3451=F3452,F3451=F3453,F3452=F3453),F3451,0)</f>
        <v>22</v>
      </c>
      <c r="L3454" t="str">
        <v>Total panjang per balok</v>
      </c>
      <c r="M3454" t="str">
        <v>=</v>
      </c>
      <c r="N3454">
        <f>IF(AND(D3451=D3452,D3451=D3453,D3452=D3453,F3451=F3452,F3451=F3453,F3452=F3453),SUM(N3451:N3453),0)</f>
        <v>0</v>
      </c>
      <c r="O3454" t="str">
        <v>+</v>
      </c>
      <c r="P3454">
        <f>IF(N3454&gt;12,ROUNDDOWN(N3454/12,0),0)</f>
        <v>0</v>
      </c>
      <c r="Q3454" t="str">
        <v>x</v>
      </c>
      <c r="R3454">
        <f>IF(P3454&gt;0,MAX(VLOOKUP(F3454,$D$6:$G$15,3,FALSE),600),0)/1000</f>
        <v>0</v>
      </c>
      <c r="T3454" t="str">
        <v>x</v>
      </c>
      <c r="U3454">
        <f>U3453</f>
        <v>2.98386</v>
      </c>
      <c r="V3454" t="str">
        <v>x</v>
      </c>
      <c r="W3454">
        <f>D3454</f>
        <v>0</v>
      </c>
      <c r="X3454" t="str">
        <v>x</v>
      </c>
      <c r="Y3454">
        <f>Y3453</f>
        <v>1</v>
      </c>
      <c r="Z3454" t="str">
        <v>=</v>
      </c>
      <c r="AA3454">
        <f>(N3454+P3454*R3454/1000)*U3454*W3454*Y3454</f>
        <v>0</v>
      </c>
    </row>
    <row r="3456">
      <c r="A3456" t="str">
        <f>A3444</f>
        <v>Lantai 1</v>
      </c>
      <c r="B3456">
        <f>B3444</f>
        <v>18</v>
      </c>
      <c r="C3456" t="str">
        <v>Tul Peminggang</v>
      </c>
      <c r="D3456">
        <f>VLOOKUP(D3444,'Detail Balok'!$C$10:$AU$110,13,FALSE)</f>
        <v>2</v>
      </c>
      <c r="E3456" t="str">
        <v>D</v>
      </c>
      <c r="F3456">
        <f>VLOOKUP(D3444,'Detail Balok'!$C$10:$AU$110,15,FALSE)</f>
        <v>10</v>
      </c>
      <c r="J3456">
        <f>+D3446/1000</f>
        <v>11.1</v>
      </c>
      <c r="K3456" t="str">
        <v>+</v>
      </c>
      <c r="L3456">
        <f>2*$F$16*F3456/1000</f>
        <v>0.24</v>
      </c>
      <c r="M3456" t="str">
        <v>=</v>
      </c>
      <c r="N3456">
        <f>J3456+L3456</f>
        <v>11.34</v>
      </c>
      <c r="O3456" t="str">
        <v>+</v>
      </c>
      <c r="P3456">
        <f>IF(N3456&gt;12,ROUNDDOWN(N3456/12,0),0)</f>
        <v>0</v>
      </c>
      <c r="Q3456" t="str">
        <v>x</v>
      </c>
      <c r="R3456">
        <f>IF(P3456&gt;0,MAX(VLOOKUP(F3456,$D$6:$G$15,3,FALSE),600),0)/1000</f>
        <v>0</v>
      </c>
      <c r="T3456" t="str">
        <v>x</v>
      </c>
      <c r="U3456">
        <f>0.006165*F3456^2</f>
        <v>0.6165</v>
      </c>
      <c r="V3456" t="str">
        <v>x</v>
      </c>
      <c r="W3456">
        <f>+D3456</f>
        <v>2</v>
      </c>
      <c r="X3456" t="str">
        <v>x</v>
      </c>
      <c r="Y3456">
        <f>D3450</f>
        <v>1</v>
      </c>
      <c r="Z3456" t="str">
        <v>=</v>
      </c>
      <c r="AA3456">
        <f>(N3456+P3456*R3456/1000)*U3456*W3456*Y3456</f>
        <v>13.982220000000002</v>
      </c>
    </row>
    <row r="3459">
      <c r="A3459" t="str">
        <f>A3444</f>
        <v>Lantai 1</v>
      </c>
      <c r="B3459">
        <f>B3444</f>
        <v>18</v>
      </c>
      <c r="C3459" t="str">
        <v>Tul Bawah Tumpuan</v>
      </c>
      <c r="D3459">
        <f>VLOOKUP(D3444,'Detail Balok'!$C$10:$AU$110,22,FALSE)</f>
        <v>5</v>
      </c>
      <c r="E3459" t="str">
        <v>D</v>
      </c>
      <c r="F3459">
        <f>VLOOKUP(D3444,'Detail Balok'!$C$10:$AU$110,24,FALSE)</f>
        <v>22</v>
      </c>
      <c r="I3459" t="str">
        <v>(</v>
      </c>
      <c r="J3459">
        <f>+J3451</f>
        <v>2.775</v>
      </c>
      <c r="K3459" t="str">
        <v>+</v>
      </c>
      <c r="L3459">
        <f>MAX(VLOOKUP(F3459,N$6:P$15,3,FALSE)/1000,2/3*D3449/1000)+F$16*F3459/1000</f>
        <v>0.264</v>
      </c>
      <c r="M3459" t="str">
        <v>=</v>
      </c>
      <c r="N3459">
        <f>J3459+L3459</f>
        <v>3.0389999999999997</v>
      </c>
      <c r="O3459" t="str">
        <v>+</v>
      </c>
      <c r="P3459">
        <f>D3459-D3460</f>
        <v>-5</v>
      </c>
      <c r="Q3459" t="str">
        <v>x</v>
      </c>
      <c r="R3459">
        <f>IF(P3459&gt;0,$F$18*F3459/1000,0)</f>
        <v>0</v>
      </c>
      <c r="S3459" t="str">
        <v>)</v>
      </c>
      <c r="T3459" t="str">
        <v>x</v>
      </c>
      <c r="U3459">
        <f>0.006165*F3459^2</f>
        <v>2.98386</v>
      </c>
      <c r="X3459" t="str">
        <v>x</v>
      </c>
      <c r="Y3459">
        <f>D3450</f>
        <v>1</v>
      </c>
      <c r="Z3459" t="str">
        <v>=</v>
      </c>
      <c r="AA3459">
        <f>IF(AA3462=0,(D3459*N3459+P3459*R3459)*U3459*Y3459,0)</f>
        <v>45.3397527</v>
      </c>
    </row>
    <row r="3460">
      <c r="A3460" t="str">
        <f>A3444</f>
        <v>Lantai 1</v>
      </c>
      <c r="B3460">
        <f>B3444</f>
        <v>18</v>
      </c>
      <c r="C3460" t="str">
        <v>Tul Bawah Lapangan</v>
      </c>
      <c r="D3460">
        <f>VLOOKUP(D3444,'Detail Balok'!$C$10:$AU$110,25,FALSE)</f>
        <v>10</v>
      </c>
      <c r="E3460" t="str">
        <v>D</v>
      </c>
      <c r="F3460">
        <f>VLOOKUP(D3444,'Detail Balok'!$C$10:$AU$110,27,FALSE)</f>
        <v>22</v>
      </c>
      <c r="I3460" t="str">
        <v>(</v>
      </c>
      <c r="J3460">
        <f>+J3452</f>
        <v>5.55</v>
      </c>
      <c r="K3460" t="str">
        <v>+</v>
      </c>
      <c r="M3460" t="str">
        <v>=</v>
      </c>
      <c r="N3460">
        <f>J3460+L3460</f>
        <v>5.55</v>
      </c>
      <c r="O3460" t="str">
        <v>+</v>
      </c>
      <c r="P3460">
        <f>MAX(D3460-D3459,D3460-D3461)</f>
        <v>5</v>
      </c>
      <c r="Q3460" t="str">
        <v>x</v>
      </c>
      <c r="R3460">
        <f>IF(P3460&gt;0,2*(1-2*$F$19-1/2)*D3447/1000,0)</f>
        <v>2.2199999999999998</v>
      </c>
      <c r="S3460" t="str">
        <v>)</v>
      </c>
      <c r="T3460" t="str">
        <v>x</v>
      </c>
      <c r="U3460">
        <f>0.006165*F3460^2</f>
        <v>2.98386</v>
      </c>
      <c r="X3460" t="str">
        <v>x</v>
      </c>
      <c r="Y3460">
        <f>D3450</f>
        <v>1</v>
      </c>
      <c r="Z3460" t="str">
        <v>=</v>
      </c>
      <c r="AA3460">
        <f>IF(AA3462=0,(D3460*N3460+P3460*R3460)*U3460*Y3460,0)</f>
        <v>198.72507599999997</v>
      </c>
    </row>
    <row r="3461">
      <c r="A3461" t="str">
        <f>A3444</f>
        <v>Lantai 1</v>
      </c>
      <c r="B3461">
        <f>B3444</f>
        <v>18</v>
      </c>
      <c r="C3461" t="str">
        <v>Tul Bawah Tumpuan</v>
      </c>
      <c r="D3461">
        <f>VLOOKUP(D3444,'Detail Balok'!$C$10:$AU$110,28,FALSE)</f>
        <v>5</v>
      </c>
      <c r="E3461" t="str">
        <v>D</v>
      </c>
      <c r="F3461">
        <f>VLOOKUP(D3444,'Detail Balok'!$C$10:$AU$110,30,FALSE)</f>
        <v>22</v>
      </c>
      <c r="I3461" t="str">
        <v>(</v>
      </c>
      <c r="J3461">
        <f>+J3453</f>
        <v>2.775</v>
      </c>
      <c r="K3461" t="str">
        <v>+</v>
      </c>
      <c r="L3461">
        <f>MAX(VLOOKUP(F3461,N$6:P$15,3,FALSE)/1000,2/3*D3449/1000)+F$16*F3461/1000</f>
        <v>0.264</v>
      </c>
      <c r="M3461" t="str">
        <v>=</v>
      </c>
      <c r="N3461">
        <f>J3461+L3461</f>
        <v>3.0389999999999997</v>
      </c>
      <c r="O3461" t="str">
        <v>+</v>
      </c>
      <c r="P3461">
        <f>D3461-D3460</f>
        <v>-5</v>
      </c>
      <c r="Q3461" t="str">
        <v>x</v>
      </c>
      <c r="R3461">
        <f>IF(P3461&gt;0,$F$18*F3461/1000,0)</f>
        <v>0</v>
      </c>
      <c r="S3461" t="str">
        <v>)</v>
      </c>
      <c r="T3461" t="str">
        <v>x</v>
      </c>
      <c r="U3461">
        <f>0.006165*F3461^2</f>
        <v>2.98386</v>
      </c>
      <c r="X3461" t="str">
        <v>x</v>
      </c>
      <c r="Y3461">
        <f>D3450</f>
        <v>1</v>
      </c>
      <c r="Z3461" t="str">
        <v>=</v>
      </c>
      <c r="AA3461">
        <f>IF(AA3462=0,(D3461*N3461+P3461*R3461)*U3461*Y3461,0)</f>
        <v>45.3397527</v>
      </c>
    </row>
    <row r="3462">
      <c r="A3462" t="str">
        <f>A3444</f>
        <v>Lantai 1</v>
      </c>
      <c r="B3462">
        <f>B3444</f>
        <v>18</v>
      </c>
      <c r="D3462">
        <f>IF(AND(D3459=D3460,D3460=D3461,D3459=D3461),D3459,0)</f>
        <v>0</v>
      </c>
      <c r="E3462" t="str">
        <v>D</v>
      </c>
      <c r="F3462">
        <f>IF(AND(F3459=F3460,F3459=F3461,F3460=F3461),F3459,0)</f>
        <v>22</v>
      </c>
      <c r="L3462" t="str">
        <v>Total panjang per balok</v>
      </c>
      <c r="M3462" t="str">
        <v>=</v>
      </c>
      <c r="N3462">
        <f>IF(AND(D3459=D3460,D3459=D3461,D3460=D3461,F3459=F3460,F3459=F3461,F3460=F3461),SUM(N3459:N3461),0)</f>
        <v>0</v>
      </c>
      <c r="O3462" t="str">
        <v>+</v>
      </c>
      <c r="P3462">
        <f>IF(N3462&gt;12,ROUNDDOWN(N3462/12,0),0)</f>
        <v>0</v>
      </c>
      <c r="Q3462" t="str">
        <v>x</v>
      </c>
      <c r="R3462">
        <f>IF(P3462&gt;0,MAX(VLOOKUP(F3462,$D$6:$G$15,3,FALSE),600),0)/1000</f>
        <v>0</v>
      </c>
      <c r="T3462" t="str">
        <v>x</v>
      </c>
      <c r="U3462">
        <f>U3461</f>
        <v>2.98386</v>
      </c>
      <c r="V3462" t="str">
        <v>x</v>
      </c>
      <c r="W3462">
        <f>D3462</f>
        <v>0</v>
      </c>
      <c r="X3462" t="str">
        <v>x</v>
      </c>
      <c r="Y3462">
        <f>Y3461</f>
        <v>1</v>
      </c>
      <c r="Z3462" t="str">
        <v>=</v>
      </c>
      <c r="AA3462">
        <f>(N3462+P3462*R3462/1000)*U3462*W3462*Y3462</f>
        <v>0</v>
      </c>
    </row>
    <row r="3464">
      <c r="A3464" t="str">
        <f>A3444</f>
        <v>Lantai 1</v>
      </c>
      <c r="B3464">
        <f>B3444</f>
        <v>18</v>
      </c>
      <c r="C3464" t="str">
        <v>Sengkang Tumpuan</v>
      </c>
      <c r="D3464">
        <f>VLOOKUP(D3444,'Detail Balok'!$C$10:$AU$110,31,FALSE)</f>
        <v>3</v>
      </c>
      <c r="E3464" t="str">
        <v>D</v>
      </c>
      <c r="F3464">
        <f>VLOOKUP(D3444,'Detail Balok'!$C$10:$AU$110,33,FALSE)</f>
        <v>10</v>
      </c>
      <c r="G3464" t="str">
        <v>-</v>
      </c>
      <c r="H3464">
        <f>VLOOKUP(D3444,'Detail Balok'!$C$10:$AU$110,35,FALSE)</f>
        <v>80</v>
      </c>
      <c r="J3464">
        <f>(IF(D3464=0,(2*(D3445+G3445))-(F$5*8),IF(D3464=3,(2*(D3445+G3445))-(F$5*8)+(G3445-2*F$5),IF(D3464=4,(2*(D3445+G3445))-(F$5*8)+2*(G3445-2*F$5)))))/1000</f>
        <v>2.7</v>
      </c>
      <c r="K3464" t="str">
        <v>+</v>
      </c>
      <c r="L3464">
        <f>IF(D3464=0,2*MAX(6*F3464,75),(D3464-1)*2*MAX(6*F3464,75))/1000</f>
        <v>0.3</v>
      </c>
      <c r="M3464" t="str">
        <v>=</v>
      </c>
      <c r="N3464">
        <f>J3464+L3464</f>
        <v>3</v>
      </c>
      <c r="T3464" t="str">
        <v>x</v>
      </c>
      <c r="U3464">
        <f>0.006165*F3464^2</f>
        <v>0.6165</v>
      </c>
      <c r="V3464" t="str">
        <v>x</v>
      </c>
      <c r="W3464">
        <f>IF(D3447&gt;4*G3445,ROUND(MAX(D3447/4,2*G3445)/H3464,0)+1,ROUND(D3447/H3464,0)+1)</f>
        <v>36</v>
      </c>
      <c r="X3464" t="str">
        <v>x</v>
      </c>
      <c r="Y3464">
        <f>D3450</f>
        <v>1</v>
      </c>
      <c r="Z3464" t="str">
        <v>=</v>
      </c>
      <c r="AA3464">
        <f>N3464*U3464*W3464*Y3464</f>
        <v>66.58200000000001</v>
      </c>
    </row>
    <row r="3465">
      <c r="A3465" t="str">
        <f>A3444</f>
        <v>Lantai 1</v>
      </c>
      <c r="B3465">
        <f>B3444</f>
        <v>18</v>
      </c>
      <c r="C3465" t="str">
        <v>Sengkang Lapangan</v>
      </c>
      <c r="D3465">
        <f>VLOOKUP(D3444,'Detail Balok'!$C$10:$AU$110,36,FALSE)</f>
        <v>0</v>
      </c>
      <c r="E3465" t="str">
        <v>D</v>
      </c>
      <c r="F3465">
        <f>VLOOKUP(D3444,'Detail Balok'!$C$10:$AU$110,38,FALSE)</f>
        <v>10</v>
      </c>
      <c r="G3465" t="str">
        <v>-</v>
      </c>
      <c r="H3465">
        <f>VLOOKUP(D3444,'Detail Balok'!$C$10:$AU$110,40,FALSE)</f>
        <v>150</v>
      </c>
      <c r="J3465">
        <f>(IF(D3465=0,(2*(D3445+G3445))-(F$5*8),IF(D3465=3,(2*(D3445+G3445))-(F$5*8)+(G3445-2*F$5),IF(D3465=4,(2*(D3445+G3445))-(F$5*8)+2*(G3445-2*F$5)))))/1000</f>
        <v>2.08</v>
      </c>
      <c r="K3465" t="str">
        <v>+</v>
      </c>
      <c r="L3465">
        <f>IF(D3465=0,2*MAX(6*F3465,75),(D3465-1)*2*MAX(6*F3465,75))/1000</f>
        <v>0.15</v>
      </c>
      <c r="M3465" t="str">
        <v>=</v>
      </c>
      <c r="N3465">
        <f>J3465+L3465</f>
        <v>2.23</v>
      </c>
      <c r="T3465" t="str">
        <v>x</v>
      </c>
      <c r="U3465">
        <f>0.006165*F3465^2</f>
        <v>0.6165</v>
      </c>
      <c r="V3465" t="str">
        <v>x</v>
      </c>
      <c r="W3465">
        <f>IF(D3447-MAX(D3447/4,2*G3445)*2&gt;0,ROUND((D3447-MAX(D3447/4,2*G3445)*2)/H3465,0),0)</f>
        <v>37</v>
      </c>
      <c r="X3465" t="str">
        <v>x</v>
      </c>
      <c r="Y3465">
        <f>D3450</f>
        <v>1</v>
      </c>
      <c r="Z3465" t="str">
        <v>=</v>
      </c>
      <c r="AA3465">
        <f>N3465*U3465*W3465*Y3465</f>
        <v>50.867415</v>
      </c>
    </row>
    <row r="3466">
      <c r="A3466" t="str">
        <f>A3444</f>
        <v>Lantai 1</v>
      </c>
      <c r="B3466">
        <f>B3444</f>
        <v>18</v>
      </c>
      <c r="C3466" t="str">
        <v>Sengkang Tumpuan</v>
      </c>
      <c r="D3466">
        <f>VLOOKUP(D3444,'Detail Balok'!$C$10:$AU$110,41,FALSE)</f>
        <v>3</v>
      </c>
      <c r="E3466" t="str">
        <v>D</v>
      </c>
      <c r="F3466">
        <f>VLOOKUP(D3444,'Detail Balok'!$C$10:$AU$110,43,FALSE)</f>
        <v>10</v>
      </c>
      <c r="G3466" t="str">
        <v>-</v>
      </c>
      <c r="H3466">
        <f>VLOOKUP(D3444,'Detail Balok'!$C$10:$AU$110,45,FALSE)</f>
        <v>80</v>
      </c>
      <c r="J3466">
        <f>(IF(D3466=0,(2*(D3445+G3445))-(F$5*8),IF(D3466=3,(2*(D3445+G3445))-(F$5*8)+(G3445-2*F$5),IF(D3466=4,(2*(D3445+G3445))-(F$5*8)+2*(G3445-2*F$5)))))/1000</f>
        <v>2.7</v>
      </c>
      <c r="K3466" t="str">
        <v>+</v>
      </c>
      <c r="L3466">
        <f>IF(D3466=0,2*MAX(6*F3466,75),(D3466-1)*2*MAX(6*F3466,75))/1000</f>
        <v>0.3</v>
      </c>
      <c r="M3466" t="str">
        <v>=</v>
      </c>
      <c r="N3466">
        <f>J3466+L3466</f>
        <v>3</v>
      </c>
      <c r="T3466" t="str">
        <v>x</v>
      </c>
      <c r="U3466">
        <f>0.006165*F3466^2</f>
        <v>0.6165</v>
      </c>
      <c r="V3466" t="str">
        <v>x</v>
      </c>
      <c r="W3466">
        <f>IF(D3447&gt;4*G3445,ROUND(MAX(D3447/4,2*G3445)/H3466,0)+1,0)</f>
        <v>36</v>
      </c>
      <c r="X3466" t="str">
        <v>x</v>
      </c>
      <c r="Y3466">
        <f>D3450</f>
        <v>1</v>
      </c>
      <c r="Z3466" t="str">
        <v>=</v>
      </c>
      <c r="AA3466">
        <f>N3466*U3466*W3466*Y3466</f>
        <v>66.58200000000001</v>
      </c>
    </row>
    <row r="3468">
      <c r="A3468" t="str">
        <f>A3444</f>
        <v>Lantai 1</v>
      </c>
      <c r="B3468">
        <f>B3444</f>
        <v>18</v>
      </c>
      <c r="C3468" t="str">
        <v>Kait Horizontal Tump.</v>
      </c>
      <c r="D3468">
        <f>VLOOKUP(D3444,'Detail Balok'!$C$10:$BJ$110,46,FALSE)</f>
        <v>0</v>
      </c>
      <c r="E3468" t="str">
        <v>D</v>
      </c>
      <c r="F3468">
        <f>VLOOKUP(D3444,'Detail Balok'!$C$10:$BJ$110,48,FALSE)</f>
        <v>0</v>
      </c>
      <c r="G3468" t="str">
        <v>-</v>
      </c>
      <c r="H3468">
        <f>VLOOKUP(D3444,'Detail Balok'!$C$10:$BJ$110,50,FALSE)</f>
        <v>100</v>
      </c>
      <c r="J3468">
        <f>(D3445-2*F$5)/1000</f>
        <v>0.42</v>
      </c>
      <c r="K3468" t="str">
        <v>+</v>
      </c>
      <c r="L3468">
        <f>IF(D3468=0,2*MAX(6*F3468,75),(D3468-1)*2*MAX(6*F3468,75))/1000</f>
        <v>0.15</v>
      </c>
      <c r="M3468" t="str">
        <v>=</v>
      </c>
      <c r="N3468">
        <f>J3468+L3468</f>
        <v>0.57</v>
      </c>
      <c r="T3468" t="str">
        <v>x</v>
      </c>
      <c r="U3468">
        <f>0.006165*F3468^2</f>
        <v>0</v>
      </c>
      <c r="V3468" t="str">
        <v>x</v>
      </c>
      <c r="W3468">
        <f>W3464</f>
        <v>36</v>
      </c>
      <c r="X3468" t="str">
        <v>x</v>
      </c>
      <c r="Y3468">
        <f>D3454</f>
        <v>0</v>
      </c>
      <c r="Z3468" t="str">
        <v>=</v>
      </c>
      <c r="AA3468">
        <f>N3468*U3468*W3468*Y3468</f>
        <v>0</v>
      </c>
    </row>
    <row r="3469">
      <c r="A3469" t="str">
        <f>A3444</f>
        <v>Lantai 1</v>
      </c>
      <c r="B3469">
        <f>B3444</f>
        <v>18</v>
      </c>
      <c r="C3469" t="str">
        <v>Kait Horizontal Lap.</v>
      </c>
      <c r="D3469">
        <f>VLOOKUP(D3444,'Detail Balok'!$C$10:$BJ$110,51,FALSE)</f>
        <v>0</v>
      </c>
      <c r="E3469" t="str">
        <v>D</v>
      </c>
      <c r="F3469">
        <f>VLOOKUP(D3444,'Detail Balok'!$C$10:$BJ$110,53,FALSE)</f>
        <v>0</v>
      </c>
      <c r="G3469" t="str">
        <v>-</v>
      </c>
      <c r="H3469">
        <f>VLOOKUP(D3444,'Detail Balok'!$C$10:$BJ$110,55,FALSE)</f>
        <v>100</v>
      </c>
      <c r="J3469">
        <f>(D3445-2*F$5)/1000</f>
        <v>0.42</v>
      </c>
      <c r="K3469" t="str">
        <v>+</v>
      </c>
      <c r="L3469">
        <f>IF(D3469=0,2*MAX(6*F3469,75),(D3469-1)*2*MAX(6*F3469,75))/1000</f>
        <v>0.15</v>
      </c>
      <c r="M3469" t="str">
        <v>=</v>
      </c>
      <c r="N3469">
        <f>J3469+L3469</f>
        <v>0.57</v>
      </c>
      <c r="T3469" t="str">
        <v>x</v>
      </c>
      <c r="U3469">
        <f>0.006165*F3469^2</f>
        <v>0</v>
      </c>
      <c r="V3469" t="str">
        <v>x</v>
      </c>
      <c r="W3469">
        <f>W3465</f>
        <v>37</v>
      </c>
      <c r="X3469" t="str">
        <v>x</v>
      </c>
      <c r="Y3469">
        <f>D3454</f>
        <v>0</v>
      </c>
      <c r="Z3469" t="str">
        <v>=</v>
      </c>
      <c r="AA3469">
        <f>N3469*U3469*W3469*Y3469</f>
        <v>0</v>
      </c>
    </row>
    <row r="3470">
      <c r="A3470" t="str">
        <f>A3444</f>
        <v>Lantai 1</v>
      </c>
      <c r="B3470">
        <f>B3444</f>
        <v>18</v>
      </c>
      <c r="C3470" t="str">
        <v>Kait Horizontal Tump.</v>
      </c>
      <c r="D3470">
        <f>VLOOKUP(D3444,'Detail Balok'!$C$10:$BJ$110,56,FALSE)</f>
        <v>0</v>
      </c>
      <c r="E3470" t="str">
        <v>D</v>
      </c>
      <c r="F3470">
        <f>VLOOKUP(D3444,'Detail Balok'!$C$10:$BJ$110,58,FALSE)</f>
        <v>0</v>
      </c>
      <c r="G3470" t="str">
        <v>-</v>
      </c>
      <c r="H3470">
        <f>VLOOKUP(D3444,'Detail Balok'!$C$10:$BJ$110,60,FALSE)</f>
        <v>100</v>
      </c>
      <c r="J3470">
        <f>(D3445-2*F$5)/1000</f>
        <v>0.42</v>
      </c>
      <c r="K3470" t="str">
        <v>+</v>
      </c>
      <c r="L3470">
        <f>IF(D3470=0,2*MAX(6*F3470,75),(D3470-1)*2*MAX(6*F3470,75))/1000</f>
        <v>0.15</v>
      </c>
      <c r="M3470" t="str">
        <v>=</v>
      </c>
      <c r="N3470">
        <f>J3470+L3470</f>
        <v>0.57</v>
      </c>
      <c r="T3470" t="str">
        <v>x</v>
      </c>
      <c r="U3470">
        <f>0.006165*F3470^2</f>
        <v>0</v>
      </c>
      <c r="V3470" t="str">
        <v>x</v>
      </c>
      <c r="W3470">
        <f>W3466</f>
        <v>36</v>
      </c>
      <c r="X3470" t="str">
        <v>x</v>
      </c>
      <c r="Y3470">
        <f>D3454</f>
        <v>0</v>
      </c>
      <c r="Z3470" t="str">
        <v>=</v>
      </c>
      <c r="AA3470">
        <f>N3470*U3470*W3470*Y3470</f>
        <v>0</v>
      </c>
    </row>
    <row r="3474">
      <c r="A3474" t="str">
        <f>A3444</f>
        <v>Lantai 1</v>
      </c>
      <c r="B3474">
        <f>B3444+1</f>
        <v>19</v>
      </c>
      <c r="C3474" t="str">
        <f>CONCATENATE(A3474," no. ",B3474)</f>
        <v>Lantai 1 no. 19</v>
      </c>
      <c r="D3474" t="str">
        <f>VLOOKUP(C3474,'Data Panjang Balok'!$C$9:$N$424,2,FALSE)</f>
        <v>B23-1</v>
      </c>
    </row>
    <row r="3475">
      <c r="C3475" t="str">
        <v>Dimensi</v>
      </c>
      <c r="D3475">
        <f>VLOOKUP(D3474,'Detail Balok'!$C$10:$AU$110,2,FALSE)</f>
        <v>200</v>
      </c>
      <c r="F3475" t="str">
        <v>x</v>
      </c>
      <c r="G3475">
        <f>VLOOKUP(D3474,'Detail Balok'!$C$10:$AU$110,3,FALSE)</f>
        <v>300</v>
      </c>
    </row>
    <row r="3476">
      <c r="C3476" t="str">
        <v>Panjang as ke as</v>
      </c>
      <c r="D3476">
        <f>VLOOKUP(C3474,'Data Panjang Balok'!$C$9:$N$424,4,FALSE)</f>
        <v>1200</v>
      </c>
    </row>
    <row r="3477">
      <c r="C3477" t="str">
        <v>Panjang netto</v>
      </c>
      <c r="D3477">
        <f>VLOOKUP(C3474,'Data Panjang Balok'!$C$9:$N$424,7,FALSE)</f>
        <v>1200</v>
      </c>
    </row>
    <row r="3478">
      <c r="C3478" t="str">
        <v>Kolom / balok kiri</v>
      </c>
      <c r="D3478">
        <f>VLOOKUP(C3474,'Data Panjang Balok'!$C$9:$N$424,9,FALSE)</f>
        <v>0</v>
      </c>
    </row>
    <row r="3479">
      <c r="C3479" t="str">
        <v>Kolom / balok kanan</v>
      </c>
      <c r="D3479">
        <f>VLOOKUP(C3474,'Data Panjang Balok'!$C$9:$N$424,10,FALSE)</f>
        <v>0</v>
      </c>
    </row>
    <row r="3480">
      <c r="C3480" t="str">
        <v>Jumlah</v>
      </c>
      <c r="D3480">
        <f>VLOOKUP(C3474,'Data Panjang Balok'!$C$9:$N$424,3,FALSE)</f>
        <v>1</v>
      </c>
    </row>
    <row r="3481">
      <c r="A3481" t="str">
        <f>A3474</f>
        <v>Lantai 1</v>
      </c>
      <c r="B3481">
        <f>B3474</f>
        <v>19</v>
      </c>
      <c r="C3481" t="str">
        <v>Tul Atas Tumpuan</v>
      </c>
      <c r="D3481">
        <f>VLOOKUP(D3474,'Detail Balok'!$C$10:$AU$110,4,FALSE)</f>
        <v>2</v>
      </c>
      <c r="E3481" t="str">
        <v>D</v>
      </c>
      <c r="F3481">
        <f>VLOOKUP(D3474,'Detail Balok'!$C$10:$AU$110,6,FALSE)</f>
        <v>13</v>
      </c>
      <c r="I3481" t="str">
        <v>(</v>
      </c>
      <c r="J3481">
        <f>+D3476/4/1000</f>
        <v>0.3</v>
      </c>
      <c r="K3481" t="str">
        <v>+</v>
      </c>
      <c r="L3481">
        <f>MAX(VLOOKUP(F3481,N$6:P$15,3,FALSE)/1000,2/3*D3478/1000)+F$16*F3481/1000</f>
        <v>0.156</v>
      </c>
      <c r="M3481" t="str">
        <v>=</v>
      </c>
      <c r="N3481">
        <f>J3481+L3481</f>
        <v>0.45599999999999996</v>
      </c>
      <c r="O3481" t="str">
        <v>+</v>
      </c>
      <c r="P3481">
        <f>D3481-D3482</f>
        <v>0</v>
      </c>
      <c r="Q3481" t="str">
        <v>x</v>
      </c>
      <c r="R3481">
        <f>IF(P3481&gt;0,$F$18*F3481/1000,0)</f>
        <v>0</v>
      </c>
      <c r="S3481" t="str">
        <v>)</v>
      </c>
      <c r="T3481" t="str">
        <v>x</v>
      </c>
      <c r="U3481">
        <f>0.006165*F3481^2</f>
        <v>1.041885</v>
      </c>
      <c r="X3481" t="str">
        <v>x</v>
      </c>
      <c r="Y3481">
        <f>D3480</f>
        <v>1</v>
      </c>
      <c r="Z3481" t="str">
        <v>=</v>
      </c>
      <c r="AA3481">
        <f>IF(AA3484=0,(D3481*N3481+P3481*R3481)*U3481*Y3481,0)</f>
        <v>0</v>
      </c>
    </row>
    <row r="3482">
      <c r="A3482" t="str">
        <f>A3474</f>
        <v>Lantai 1</v>
      </c>
      <c r="B3482">
        <f>B3474</f>
        <v>19</v>
      </c>
      <c r="C3482" t="str">
        <v>Tul Atas Lapangan</v>
      </c>
      <c r="D3482">
        <f>VLOOKUP(D3474,'Detail Balok'!$C$10:$AU$110,7,FALSE)</f>
        <v>2</v>
      </c>
      <c r="E3482" t="str">
        <v>D</v>
      </c>
      <c r="F3482">
        <f>VLOOKUP(D3474,'Detail Balok'!$C$10:$AU$110,9,FALSE)</f>
        <v>13</v>
      </c>
      <c r="I3482" t="str">
        <v>(</v>
      </c>
      <c r="J3482">
        <f>+D3476/2/1000</f>
        <v>0.6</v>
      </c>
      <c r="K3482" t="str">
        <v>+</v>
      </c>
      <c r="M3482" t="str">
        <v>=</v>
      </c>
      <c r="N3482">
        <f>J3482+L3482</f>
        <v>0.6</v>
      </c>
      <c r="O3482" t="str">
        <v>+</v>
      </c>
      <c r="P3482">
        <f>MAX(D3482-D3481,D3482-D3483)</f>
        <v>0</v>
      </c>
      <c r="Q3482" t="str">
        <v>x</v>
      </c>
      <c r="R3482">
        <f>IF(P3482&gt;0,2*(1-2*$F$19-1/2)*D3477/1000,0)</f>
        <v>0</v>
      </c>
      <c r="S3482" t="str">
        <v>)</v>
      </c>
      <c r="T3482" t="str">
        <v>x</v>
      </c>
      <c r="U3482">
        <f>0.006165*F3482^2</f>
        <v>1.041885</v>
      </c>
      <c r="X3482" t="str">
        <v>x</v>
      </c>
      <c r="Y3482">
        <f>D3480</f>
        <v>1</v>
      </c>
      <c r="Z3482" t="str">
        <v>=</v>
      </c>
      <c r="AA3482">
        <f>IF(AA3484=0,(D3482*N3482+P3482*R3482)*U3482*Y3482,0)</f>
        <v>0</v>
      </c>
    </row>
    <row r="3483">
      <c r="A3483" t="str">
        <f>A3474</f>
        <v>Lantai 1</v>
      </c>
      <c r="B3483">
        <f>B3474</f>
        <v>19</v>
      </c>
      <c r="C3483" t="str">
        <v>Tul Atas Tumpuan</v>
      </c>
      <c r="D3483">
        <f>VLOOKUP(D3474,'Detail Balok'!$C$10:$AU$110,10,FALSE)</f>
        <v>2</v>
      </c>
      <c r="E3483" t="str">
        <v>D</v>
      </c>
      <c r="F3483">
        <f>VLOOKUP(D3474,'Detail Balok'!$C$10:$AU$110,12,FALSE)</f>
        <v>13</v>
      </c>
      <c r="I3483" t="str">
        <v>(</v>
      </c>
      <c r="J3483">
        <f>+D3476/4/1000</f>
        <v>0.3</v>
      </c>
      <c r="K3483" t="str">
        <v>+</v>
      </c>
      <c r="L3483">
        <f>MAX(VLOOKUP(F3483,N$6:P$15,3,FALSE)/1000,2/3*D3478/1000)+F$16*F3483/1000</f>
        <v>0.156</v>
      </c>
      <c r="M3483" t="str">
        <v>=</v>
      </c>
      <c r="N3483">
        <f>J3483+L3483</f>
        <v>0.45599999999999996</v>
      </c>
      <c r="O3483" t="str">
        <v>+</v>
      </c>
      <c r="P3483">
        <f>D3483-D3482</f>
        <v>0</v>
      </c>
      <c r="Q3483" t="str">
        <v>x</v>
      </c>
      <c r="R3483">
        <f>IF(P3483&gt;0,$F$18*F3483/1000,0)</f>
        <v>0</v>
      </c>
      <c r="S3483" t="str">
        <v>)</v>
      </c>
      <c r="T3483" t="str">
        <v>x</v>
      </c>
      <c r="U3483">
        <f>0.006165*F3483^2</f>
        <v>1.041885</v>
      </c>
      <c r="X3483" t="str">
        <v>x</v>
      </c>
      <c r="Y3483">
        <f>D3480</f>
        <v>1</v>
      </c>
      <c r="Z3483" t="str">
        <v>=</v>
      </c>
      <c r="AA3483">
        <f>IF(AA3484=0,(D3483*N3483+P3483*R3483)*U3483*Y3483,0)</f>
        <v>0</v>
      </c>
    </row>
    <row r="3484">
      <c r="A3484" t="str">
        <f>A3474</f>
        <v>Lantai 1</v>
      </c>
      <c r="B3484">
        <f>B3474</f>
        <v>19</v>
      </c>
      <c r="D3484">
        <f>IF(AND(D3481=D3482,D3482=D3483,D3481=D3483),D3481,0)</f>
        <v>2</v>
      </c>
      <c r="E3484" t="str">
        <v>D</v>
      </c>
      <c r="F3484">
        <f>IF(AND(F3481=F3482,F3481=F3483,F3482=F3483),F3481,0)</f>
        <v>13</v>
      </c>
      <c r="L3484" t="str">
        <v>Total panjang per balok</v>
      </c>
      <c r="M3484" t="str">
        <v>=</v>
      </c>
      <c r="N3484">
        <f>IF(AND(D3481=D3482,D3481=D3483,D3482=D3483,F3481=F3482,F3481=F3483,F3482=F3483),SUM(N3481:N3483),0)</f>
        <v>1.512</v>
      </c>
      <c r="O3484" t="str">
        <v>+</v>
      </c>
      <c r="P3484">
        <f>IF(N3484&gt;12,ROUNDDOWN(N3484/12,0),0)</f>
        <v>0</v>
      </c>
      <c r="Q3484" t="str">
        <v>x</v>
      </c>
      <c r="R3484">
        <f>IF(P3484&gt;0,MAX(VLOOKUP(F3484,$D$6:$G$15,3,FALSE),600),0)/1000</f>
        <v>0</v>
      </c>
      <c r="T3484" t="str">
        <v>x</v>
      </c>
      <c r="U3484">
        <f>U3483</f>
        <v>1.041885</v>
      </c>
      <c r="V3484" t="str">
        <v>x</v>
      </c>
      <c r="W3484">
        <f>D3484</f>
        <v>2</v>
      </c>
      <c r="X3484" t="str">
        <v>x</v>
      </c>
      <c r="Y3484">
        <f>Y3483</f>
        <v>1</v>
      </c>
      <c r="Z3484" t="str">
        <v>=</v>
      </c>
      <c r="AA3484">
        <f>(N3484+P3484*R3484/1000)*U3484*W3484*Y3484</f>
        <v>3.1506602399999997</v>
      </c>
    </row>
    <row r="3486">
      <c r="A3486" t="str">
        <f>A3474</f>
        <v>Lantai 1</v>
      </c>
      <c r="B3486">
        <f>B3474</f>
        <v>19</v>
      </c>
      <c r="C3486" t="str">
        <v>Tul Peminggang</v>
      </c>
      <c r="D3486">
        <f>VLOOKUP(D3474,'Detail Balok'!$C$10:$AU$110,13,FALSE)</f>
        <v>0</v>
      </c>
      <c r="E3486" t="str">
        <v>D</v>
      </c>
      <c r="F3486">
        <f>VLOOKUP(D3474,'Detail Balok'!$C$10:$AU$110,15,FALSE)</f>
        <v>6</v>
      </c>
      <c r="J3486">
        <f>+D3476/1000</f>
        <v>1.2</v>
      </c>
      <c r="K3486" t="str">
        <v>+</v>
      </c>
      <c r="L3486">
        <f>2*$F$16*F3486/1000</f>
        <v>0.144</v>
      </c>
      <c r="M3486" t="str">
        <v>=</v>
      </c>
      <c r="N3486">
        <f>J3486+L3486</f>
        <v>1.3439999999999999</v>
      </c>
      <c r="O3486" t="str">
        <v>+</v>
      </c>
      <c r="P3486">
        <f>IF(N3486&gt;12,ROUNDDOWN(N3486/12,0),0)</f>
        <v>0</v>
      </c>
      <c r="Q3486" t="str">
        <v>x</v>
      </c>
      <c r="R3486">
        <f>IF(P3486&gt;0,MAX(VLOOKUP(F3486,$D$6:$G$15,3,FALSE),600),0)/1000</f>
        <v>0</v>
      </c>
      <c r="T3486" t="str">
        <v>x</v>
      </c>
      <c r="U3486">
        <f>0.006165*F3486^2</f>
        <v>0.22194000000000003</v>
      </c>
      <c r="V3486" t="str">
        <v>x</v>
      </c>
      <c r="W3486">
        <f>+D3486</f>
        <v>0</v>
      </c>
      <c r="X3486" t="str">
        <v>x</v>
      </c>
      <c r="Y3486">
        <f>D3480</f>
        <v>1</v>
      </c>
      <c r="Z3486" t="str">
        <v>=</v>
      </c>
      <c r="AA3486">
        <f>(N3486+P3486*R3486/1000)*U3486*W3486*Y3486</f>
        <v>0</v>
      </c>
    </row>
    <row r="3489">
      <c r="A3489" t="str">
        <f>A3474</f>
        <v>Lantai 1</v>
      </c>
      <c r="B3489">
        <f>B3474</f>
        <v>19</v>
      </c>
      <c r="C3489" t="str">
        <v>Tul Bawah Tumpuan</v>
      </c>
      <c r="D3489">
        <f>VLOOKUP(D3474,'Detail Balok'!$C$10:$AU$110,22,FALSE)</f>
        <v>2</v>
      </c>
      <c r="E3489" t="str">
        <v>D</v>
      </c>
      <c r="F3489">
        <f>VLOOKUP(D3474,'Detail Balok'!$C$10:$AU$110,24,FALSE)</f>
        <v>13</v>
      </c>
      <c r="I3489" t="str">
        <v>(</v>
      </c>
      <c r="J3489">
        <f>+J3481</f>
        <v>0.3</v>
      </c>
      <c r="K3489" t="str">
        <v>+</v>
      </c>
      <c r="L3489">
        <f>MAX(VLOOKUP(F3489,N$6:P$15,3,FALSE)/1000,2/3*D3479/1000)+F$16*F3489/1000</f>
        <v>0.156</v>
      </c>
      <c r="M3489" t="str">
        <v>=</v>
      </c>
      <c r="N3489">
        <f>J3489+L3489</f>
        <v>0.45599999999999996</v>
      </c>
      <c r="O3489" t="str">
        <v>+</v>
      </c>
      <c r="P3489">
        <f>D3489-D3490</f>
        <v>0</v>
      </c>
      <c r="Q3489" t="str">
        <v>x</v>
      </c>
      <c r="R3489">
        <f>IF(P3489&gt;0,$F$18*F3489/1000,0)</f>
        <v>0</v>
      </c>
      <c r="S3489" t="str">
        <v>)</v>
      </c>
      <c r="T3489" t="str">
        <v>x</v>
      </c>
      <c r="U3489">
        <f>0.006165*F3489^2</f>
        <v>1.041885</v>
      </c>
      <c r="X3489" t="str">
        <v>x</v>
      </c>
      <c r="Y3489">
        <f>D3480</f>
        <v>1</v>
      </c>
      <c r="Z3489" t="str">
        <v>=</v>
      </c>
      <c r="AA3489">
        <f>IF(AA3492=0,(D3489*N3489+P3489*R3489)*U3489*Y3489,0)</f>
        <v>0</v>
      </c>
    </row>
    <row r="3490">
      <c r="A3490" t="str">
        <f>A3474</f>
        <v>Lantai 1</v>
      </c>
      <c r="B3490">
        <f>B3474</f>
        <v>19</v>
      </c>
      <c r="C3490" t="str">
        <v>Tul Bawah Lapangan</v>
      </c>
      <c r="D3490">
        <f>VLOOKUP(D3474,'Detail Balok'!$C$10:$AU$110,25,FALSE)</f>
        <v>2</v>
      </c>
      <c r="E3490" t="str">
        <v>D</v>
      </c>
      <c r="F3490">
        <f>VLOOKUP(D3474,'Detail Balok'!$C$10:$AU$110,27,FALSE)</f>
        <v>13</v>
      </c>
      <c r="I3490" t="str">
        <v>(</v>
      </c>
      <c r="J3490">
        <f>+J3482</f>
        <v>0.6</v>
      </c>
      <c r="K3490" t="str">
        <v>+</v>
      </c>
      <c r="M3490" t="str">
        <v>=</v>
      </c>
      <c r="N3490">
        <f>J3490+L3490</f>
        <v>0.6</v>
      </c>
      <c r="O3490" t="str">
        <v>+</v>
      </c>
      <c r="P3490">
        <f>MAX(D3490-D3489,D3490-D3491)</f>
        <v>0</v>
      </c>
      <c r="Q3490" t="str">
        <v>x</v>
      </c>
      <c r="R3490">
        <f>IF(P3490&gt;0,2*(1-2*$F$19-1/2)*D3477/1000,0)</f>
        <v>0</v>
      </c>
      <c r="S3490" t="str">
        <v>)</v>
      </c>
      <c r="T3490" t="str">
        <v>x</v>
      </c>
      <c r="U3490">
        <f>0.006165*F3490^2</f>
        <v>1.041885</v>
      </c>
      <c r="X3490" t="str">
        <v>x</v>
      </c>
      <c r="Y3490">
        <f>D3480</f>
        <v>1</v>
      </c>
      <c r="Z3490" t="str">
        <v>=</v>
      </c>
      <c r="AA3490">
        <f>IF(AA3492=0,(D3490*N3490+P3490*R3490)*U3490*Y3490,0)</f>
        <v>0</v>
      </c>
    </row>
    <row r="3491">
      <c r="A3491" t="str">
        <f>A3474</f>
        <v>Lantai 1</v>
      </c>
      <c r="B3491">
        <f>B3474</f>
        <v>19</v>
      </c>
      <c r="C3491" t="str">
        <v>Tul Bawah Tumpuan</v>
      </c>
      <c r="D3491">
        <f>VLOOKUP(D3474,'Detail Balok'!$C$10:$AU$110,28,FALSE)</f>
        <v>2</v>
      </c>
      <c r="E3491" t="str">
        <v>D</v>
      </c>
      <c r="F3491">
        <f>VLOOKUP(D3474,'Detail Balok'!$C$10:$AU$110,30,FALSE)</f>
        <v>13</v>
      </c>
      <c r="I3491" t="str">
        <v>(</v>
      </c>
      <c r="J3491">
        <f>+J3483</f>
        <v>0.3</v>
      </c>
      <c r="K3491" t="str">
        <v>+</v>
      </c>
      <c r="L3491">
        <f>MAX(VLOOKUP(F3491,N$6:P$15,3,FALSE)/1000,2/3*D3479/1000)+F$16*F3491/1000</f>
        <v>0.156</v>
      </c>
      <c r="M3491" t="str">
        <v>=</v>
      </c>
      <c r="N3491">
        <f>J3491+L3491</f>
        <v>0.45599999999999996</v>
      </c>
      <c r="O3491" t="str">
        <v>+</v>
      </c>
      <c r="P3491">
        <f>D3491-D3490</f>
        <v>0</v>
      </c>
      <c r="Q3491" t="str">
        <v>x</v>
      </c>
      <c r="R3491">
        <f>IF(P3491&gt;0,$F$18*F3491/1000,0)</f>
        <v>0</v>
      </c>
      <c r="S3491" t="str">
        <v>)</v>
      </c>
      <c r="T3491" t="str">
        <v>x</v>
      </c>
      <c r="U3491">
        <f>0.006165*F3491^2</f>
        <v>1.041885</v>
      </c>
      <c r="X3491" t="str">
        <v>x</v>
      </c>
      <c r="Y3491">
        <f>D3480</f>
        <v>1</v>
      </c>
      <c r="Z3491" t="str">
        <v>=</v>
      </c>
      <c r="AA3491">
        <f>IF(AA3492=0,(D3491*N3491+P3491*R3491)*U3491*Y3491,0)</f>
        <v>0</v>
      </c>
    </row>
    <row r="3492">
      <c r="A3492" t="str">
        <f>A3474</f>
        <v>Lantai 1</v>
      </c>
      <c r="B3492">
        <f>B3474</f>
        <v>19</v>
      </c>
      <c r="D3492">
        <f>IF(AND(D3489=D3490,D3490=D3491,D3489=D3491),D3489,0)</f>
        <v>2</v>
      </c>
      <c r="E3492" t="str">
        <v>D</v>
      </c>
      <c r="F3492">
        <f>IF(AND(F3489=F3490,F3489=F3491,F3490=F3491),F3489,0)</f>
        <v>13</v>
      </c>
      <c r="L3492" t="str">
        <v>Total panjang per balok</v>
      </c>
      <c r="M3492" t="str">
        <v>=</v>
      </c>
      <c r="N3492">
        <f>IF(AND(D3489=D3490,D3489=D3491,D3490=D3491,F3489=F3490,F3489=F3491,F3490=F3491),SUM(N3489:N3491),0)</f>
        <v>1.512</v>
      </c>
      <c r="O3492" t="str">
        <v>+</v>
      </c>
      <c r="P3492">
        <f>IF(N3492&gt;12,ROUNDDOWN(N3492/12,0),0)</f>
        <v>0</v>
      </c>
      <c r="Q3492" t="str">
        <v>x</v>
      </c>
      <c r="R3492">
        <f>IF(P3492&gt;0,MAX(VLOOKUP(F3492,$D$6:$G$15,3,FALSE),600),0)/1000</f>
        <v>0</v>
      </c>
      <c r="T3492" t="str">
        <v>x</v>
      </c>
      <c r="U3492">
        <f>U3491</f>
        <v>1.041885</v>
      </c>
      <c r="V3492" t="str">
        <v>x</v>
      </c>
      <c r="W3492">
        <f>D3492</f>
        <v>2</v>
      </c>
      <c r="X3492" t="str">
        <v>x</v>
      </c>
      <c r="Y3492">
        <f>Y3491</f>
        <v>1</v>
      </c>
      <c r="Z3492" t="str">
        <v>=</v>
      </c>
      <c r="AA3492">
        <f>(N3492+P3492*R3492/1000)*U3492*W3492*Y3492</f>
        <v>3.1506602399999997</v>
      </c>
    </row>
    <row r="3494">
      <c r="A3494" t="str">
        <f>A3474</f>
        <v>Lantai 1</v>
      </c>
      <c r="B3494">
        <f>B3474</f>
        <v>19</v>
      </c>
      <c r="C3494" t="str">
        <v>Sengkang Tumpuan</v>
      </c>
      <c r="D3494">
        <f>VLOOKUP(D3474,'Detail Balok'!$C$10:$AU$110,31,FALSE)</f>
        <v>0</v>
      </c>
      <c r="E3494" t="str">
        <v>D</v>
      </c>
      <c r="F3494">
        <f>VLOOKUP(D3474,'Detail Balok'!$C$10:$AU$110,33,FALSE)</f>
        <v>8</v>
      </c>
      <c r="G3494" t="str">
        <v>-</v>
      </c>
      <c r="H3494">
        <f>VLOOKUP(D3474,'Detail Balok'!$C$10:$AU$110,35,FALSE)</f>
        <v>100</v>
      </c>
      <c r="J3494">
        <f>(IF(D3494=0,(2*(D3475+G3475))-(F$5*8),IF(D3494=3,(2*(D3475+G3475))-(F$5*8)+(G3475-2*F$5),IF(D3494=4,(2*(D3475+G3475))-(F$5*8)+2*(G3475-2*F$5)))))/1000</f>
        <v>0.68</v>
      </c>
      <c r="K3494" t="str">
        <v>+</v>
      </c>
      <c r="L3494">
        <f>IF(D3494=0,2*MAX(6*F3494,75),(D3494-1)*2*MAX(6*F3494,75))/1000</f>
        <v>0.15</v>
      </c>
      <c r="M3494" t="str">
        <v>=</v>
      </c>
      <c r="N3494">
        <f>J3494+L3494</f>
        <v>0.8300000000000001</v>
      </c>
      <c r="T3494" t="str">
        <v>x</v>
      </c>
      <c r="U3494">
        <f>0.006165*F3494^2</f>
        <v>0.39456</v>
      </c>
      <c r="V3494" t="str">
        <v>x</v>
      </c>
      <c r="W3494">
        <f>IF(D3477&gt;4*G3475,ROUND(MAX(D3477/4,2*G3475)/H3494,0)+1,ROUND(D3477/H3494,0)+1)</f>
        <v>13</v>
      </c>
      <c r="X3494" t="str">
        <v>x</v>
      </c>
      <c r="Y3494">
        <f>D3480</f>
        <v>1</v>
      </c>
      <c r="Z3494" t="str">
        <v>=</v>
      </c>
      <c r="AA3494">
        <f>N3494*U3494*W3494*Y3494</f>
        <v>4.2573024</v>
      </c>
    </row>
    <row r="3495">
      <c r="A3495" t="str">
        <f>A3474</f>
        <v>Lantai 1</v>
      </c>
      <c r="B3495">
        <f>B3474</f>
        <v>19</v>
      </c>
      <c r="C3495" t="str">
        <v>Sengkang Lapangan</v>
      </c>
      <c r="D3495">
        <f>VLOOKUP(D3474,'Detail Balok'!$C$10:$AU$110,36,FALSE)</f>
        <v>0</v>
      </c>
      <c r="E3495" t="str">
        <v>D</v>
      </c>
      <c r="F3495">
        <f>VLOOKUP(D3474,'Detail Balok'!$C$10:$AU$110,38,FALSE)</f>
        <v>8</v>
      </c>
      <c r="G3495" t="str">
        <v>-</v>
      </c>
      <c r="H3495">
        <f>VLOOKUP(D3474,'Detail Balok'!$C$10:$AU$110,40,FALSE)</f>
        <v>150</v>
      </c>
      <c r="J3495">
        <f>(IF(D3495=0,(2*(D3475+G3475))-(F$5*8),IF(D3495=3,(2*(D3475+G3475))-(F$5*8)+(G3475-2*F$5),IF(D3495=4,(2*(D3475+G3475))-(F$5*8)+2*(G3475-2*F$5)))))/1000</f>
        <v>0.68</v>
      </c>
      <c r="K3495" t="str">
        <v>+</v>
      </c>
      <c r="L3495">
        <f>IF(D3495=0,2*MAX(6*F3495,75),(D3495-1)*2*MAX(6*F3495,75))/1000</f>
        <v>0.15</v>
      </c>
      <c r="M3495" t="str">
        <v>=</v>
      </c>
      <c r="N3495">
        <f>J3495+L3495</f>
        <v>0.8300000000000001</v>
      </c>
      <c r="T3495" t="str">
        <v>x</v>
      </c>
      <c r="U3495">
        <f>0.006165*F3495^2</f>
        <v>0.39456</v>
      </c>
      <c r="V3495" t="str">
        <v>x</v>
      </c>
      <c r="W3495">
        <f>IF(D3477-MAX(D3477/4,2*G3475)*2&gt;0,ROUND((D3477-MAX(D3477/4,2*G3475)*2)/H3495,0),0)</f>
        <v>0</v>
      </c>
      <c r="X3495" t="str">
        <v>x</v>
      </c>
      <c r="Y3495">
        <f>D3480</f>
        <v>1</v>
      </c>
      <c r="Z3495" t="str">
        <v>=</v>
      </c>
      <c r="AA3495">
        <f>N3495*U3495*W3495*Y3495</f>
        <v>0</v>
      </c>
    </row>
    <row r="3496">
      <c r="A3496" t="str">
        <f>A3474</f>
        <v>Lantai 1</v>
      </c>
      <c r="B3496">
        <f>B3474</f>
        <v>19</v>
      </c>
      <c r="C3496" t="str">
        <v>Sengkang Tumpuan</v>
      </c>
      <c r="D3496">
        <f>VLOOKUP(D3474,'Detail Balok'!$C$10:$AU$110,41,FALSE)</f>
        <v>0</v>
      </c>
      <c r="E3496" t="str">
        <v>D</v>
      </c>
      <c r="F3496">
        <f>VLOOKUP(D3474,'Detail Balok'!$C$10:$AU$110,43,FALSE)</f>
        <v>8</v>
      </c>
      <c r="G3496" t="str">
        <v>-</v>
      </c>
      <c r="H3496">
        <f>VLOOKUP(D3474,'Detail Balok'!$C$10:$AU$110,45,FALSE)</f>
        <v>100</v>
      </c>
      <c r="J3496">
        <f>(IF(D3496=0,(2*(D3475+G3475))-(F$5*8),IF(D3496=3,(2*(D3475+G3475))-(F$5*8)+(G3475-2*F$5),IF(D3496=4,(2*(D3475+G3475))-(F$5*8)+2*(G3475-2*F$5)))))/1000</f>
        <v>0.68</v>
      </c>
      <c r="K3496" t="str">
        <v>+</v>
      </c>
      <c r="L3496">
        <f>IF(D3496=0,2*MAX(6*F3496,75),(D3496-1)*2*MAX(6*F3496,75))/1000</f>
        <v>0.15</v>
      </c>
      <c r="M3496" t="str">
        <v>=</v>
      </c>
      <c r="N3496">
        <f>J3496+L3496</f>
        <v>0.8300000000000001</v>
      </c>
      <c r="T3496" t="str">
        <v>x</v>
      </c>
      <c r="U3496">
        <f>0.006165*F3496^2</f>
        <v>0.39456</v>
      </c>
      <c r="V3496" t="str">
        <v>x</v>
      </c>
      <c r="W3496">
        <f>IF(D3477&gt;4*G3475,ROUND(MAX(D3477/4,2*G3475)/H3496,0)+1,0)</f>
        <v>0</v>
      </c>
      <c r="X3496" t="str">
        <v>x</v>
      </c>
      <c r="Y3496">
        <f>D3480</f>
        <v>1</v>
      </c>
      <c r="Z3496" t="str">
        <v>=</v>
      </c>
      <c r="AA3496">
        <f>N3496*U3496*W3496*Y3496</f>
        <v>0</v>
      </c>
    </row>
    <row r="3498">
      <c r="A3498" t="str">
        <f>A3474</f>
        <v>Lantai 1</v>
      </c>
      <c r="B3498">
        <f>B3474</f>
        <v>19</v>
      </c>
      <c r="C3498" t="str">
        <v>Kait Horizontal Tump.</v>
      </c>
      <c r="D3498">
        <f>VLOOKUP(D3474,'Detail Balok'!$C$10:$BJ$110,46,FALSE)</f>
        <v>0</v>
      </c>
      <c r="E3498" t="str">
        <v>D</v>
      </c>
      <c r="F3498">
        <f>VLOOKUP(D3474,'Detail Balok'!$C$10:$BJ$110,48,FALSE)</f>
        <v>0</v>
      </c>
      <c r="G3498" t="str">
        <v>-</v>
      </c>
      <c r="H3498">
        <f>VLOOKUP(D3474,'Detail Balok'!$C$10:$BJ$110,50,FALSE)</f>
        <v>100</v>
      </c>
      <c r="J3498">
        <f>(D3475-2*F$5)/1000</f>
        <v>0.12</v>
      </c>
      <c r="K3498" t="str">
        <v>+</v>
      </c>
      <c r="L3498">
        <f>IF(D3498=0,2*MAX(6*F3498,75),(D3498-1)*2*MAX(6*F3498,75))/1000</f>
        <v>0.15</v>
      </c>
      <c r="M3498" t="str">
        <v>=</v>
      </c>
      <c r="N3498">
        <f>J3498+L3498</f>
        <v>0.27</v>
      </c>
      <c r="T3498" t="str">
        <v>x</v>
      </c>
      <c r="U3498">
        <f>0.006165*F3498^2</f>
        <v>0</v>
      </c>
      <c r="V3498" t="str">
        <v>x</v>
      </c>
      <c r="W3498">
        <f>W3494</f>
        <v>13</v>
      </c>
      <c r="X3498" t="str">
        <v>x</v>
      </c>
      <c r="Y3498">
        <f>D3484</f>
        <v>2</v>
      </c>
      <c r="Z3498" t="str">
        <v>=</v>
      </c>
      <c r="AA3498">
        <f>N3498*U3498*W3498*Y3498</f>
        <v>0</v>
      </c>
    </row>
    <row r="3499">
      <c r="A3499" t="str">
        <f>A3474</f>
        <v>Lantai 1</v>
      </c>
      <c r="B3499">
        <f>B3474</f>
        <v>19</v>
      </c>
      <c r="C3499" t="str">
        <v>Kait Horizontal Lap.</v>
      </c>
      <c r="D3499">
        <f>VLOOKUP(D3474,'Detail Balok'!$C$10:$BJ$110,51,FALSE)</f>
        <v>0</v>
      </c>
      <c r="E3499" t="str">
        <v>D</v>
      </c>
      <c r="F3499">
        <f>VLOOKUP(D3474,'Detail Balok'!$C$10:$BJ$110,53,FALSE)</f>
        <v>0</v>
      </c>
      <c r="G3499" t="str">
        <v>-</v>
      </c>
      <c r="H3499">
        <f>VLOOKUP(D3474,'Detail Balok'!$C$10:$BJ$110,55,FALSE)</f>
        <v>100</v>
      </c>
      <c r="J3499">
        <f>(D3475-2*F$5)/1000</f>
        <v>0.12</v>
      </c>
      <c r="K3499" t="str">
        <v>+</v>
      </c>
      <c r="L3499">
        <f>IF(D3499=0,2*MAX(6*F3499,75),(D3499-1)*2*MAX(6*F3499,75))/1000</f>
        <v>0.15</v>
      </c>
      <c r="M3499" t="str">
        <v>=</v>
      </c>
      <c r="N3499">
        <f>J3499+L3499</f>
        <v>0.27</v>
      </c>
      <c r="T3499" t="str">
        <v>x</v>
      </c>
      <c r="U3499">
        <f>0.006165*F3499^2</f>
        <v>0</v>
      </c>
      <c r="V3499" t="str">
        <v>x</v>
      </c>
      <c r="W3499">
        <f>W3495</f>
        <v>0</v>
      </c>
      <c r="X3499" t="str">
        <v>x</v>
      </c>
      <c r="Y3499">
        <f>D3484</f>
        <v>2</v>
      </c>
      <c r="Z3499" t="str">
        <v>=</v>
      </c>
      <c r="AA3499">
        <f>N3499*U3499*W3499*Y3499</f>
        <v>0</v>
      </c>
    </row>
    <row r="3500">
      <c r="A3500" t="str">
        <f>A3474</f>
        <v>Lantai 1</v>
      </c>
      <c r="B3500">
        <f>B3474</f>
        <v>19</v>
      </c>
      <c r="C3500" t="str">
        <v>Kait Horizontal Tump.</v>
      </c>
      <c r="D3500">
        <f>VLOOKUP(D3474,'Detail Balok'!$C$10:$BJ$110,56,FALSE)</f>
        <v>0</v>
      </c>
      <c r="E3500" t="str">
        <v>D</v>
      </c>
      <c r="F3500">
        <f>VLOOKUP(D3474,'Detail Balok'!$C$10:$BJ$110,58,FALSE)</f>
        <v>0</v>
      </c>
      <c r="G3500" t="str">
        <v>-</v>
      </c>
      <c r="H3500">
        <f>VLOOKUP(D3474,'Detail Balok'!$C$10:$BJ$110,60,FALSE)</f>
        <v>100</v>
      </c>
      <c r="J3500">
        <f>(D3475-2*F$5)/1000</f>
        <v>0.12</v>
      </c>
      <c r="K3500" t="str">
        <v>+</v>
      </c>
      <c r="L3500">
        <f>IF(D3500=0,2*MAX(6*F3500,75),(D3500-1)*2*MAX(6*F3500,75))/1000</f>
        <v>0.15</v>
      </c>
      <c r="M3500" t="str">
        <v>=</v>
      </c>
      <c r="N3500">
        <f>J3500+L3500</f>
        <v>0.27</v>
      </c>
      <c r="T3500" t="str">
        <v>x</v>
      </c>
      <c r="U3500">
        <f>0.006165*F3500^2</f>
        <v>0</v>
      </c>
      <c r="V3500" t="str">
        <v>x</v>
      </c>
      <c r="W3500">
        <f>W3496</f>
        <v>0</v>
      </c>
      <c r="X3500" t="str">
        <v>x</v>
      </c>
      <c r="Y3500">
        <f>D3484</f>
        <v>2</v>
      </c>
      <c r="Z3500" t="str">
        <v>=</v>
      </c>
      <c r="AA3500">
        <f>N3500*U3500*W3500*Y3500</f>
        <v>0</v>
      </c>
    </row>
    <row r="3504">
      <c r="A3504" t="str">
        <f>A3474</f>
        <v>Lantai 1</v>
      </c>
      <c r="B3504">
        <f>B3474+1</f>
        <v>20</v>
      </c>
      <c r="C3504" t="str">
        <f>CONCATENATE(A3504," no. ",B3504)</f>
        <v>Lantai 1 no. 20</v>
      </c>
      <c r="D3504" t="str">
        <f>VLOOKUP(C3504,'Data Panjang Balok'!$C$9:$N$424,2,FALSE)</f>
        <v>B24-1</v>
      </c>
    </row>
    <row r="3505">
      <c r="C3505" t="str">
        <v>Dimensi</v>
      </c>
      <c r="D3505">
        <f>VLOOKUP(D3504,'Detail Balok'!$C$10:$AU$110,2,FALSE)</f>
        <v>200</v>
      </c>
      <c r="F3505" t="str">
        <v>x</v>
      </c>
      <c r="G3505">
        <f>VLOOKUP(D3504,'Detail Balok'!$C$10:$AU$110,3,FALSE)</f>
        <v>400</v>
      </c>
    </row>
    <row r="3506">
      <c r="C3506" t="str">
        <v>Panjang as ke as</v>
      </c>
      <c r="D3506">
        <f>VLOOKUP(C3504,'Data Panjang Balok'!$C$9:$N$424,4,FALSE)</f>
        <v>2635</v>
      </c>
    </row>
    <row r="3507">
      <c r="C3507" t="str">
        <v>Panjang netto</v>
      </c>
      <c r="D3507">
        <f>VLOOKUP(C3504,'Data Panjang Balok'!$C$9:$N$424,7,FALSE)</f>
        <v>2635</v>
      </c>
    </row>
    <row r="3508">
      <c r="C3508" t="str">
        <v>Kolom / balok kiri</v>
      </c>
      <c r="D3508">
        <f>VLOOKUP(C3504,'Data Panjang Balok'!$C$9:$N$424,9,FALSE)</f>
        <v>0</v>
      </c>
    </row>
    <row r="3509">
      <c r="C3509" t="str">
        <v>Kolom / balok kanan</v>
      </c>
      <c r="D3509">
        <f>VLOOKUP(C3504,'Data Panjang Balok'!$C$9:$N$424,10,FALSE)</f>
        <v>0</v>
      </c>
    </row>
    <row r="3510">
      <c r="C3510" t="str">
        <v>Jumlah</v>
      </c>
      <c r="D3510">
        <f>VLOOKUP(C3504,'Data Panjang Balok'!$C$9:$N$424,3,FALSE)</f>
        <v>1</v>
      </c>
    </row>
    <row r="3511">
      <c r="A3511" t="str">
        <f>A3504</f>
        <v>Lantai 1</v>
      </c>
      <c r="B3511">
        <f>B3504</f>
        <v>20</v>
      </c>
      <c r="C3511" t="str">
        <v>Tul Atas Tumpuan</v>
      </c>
      <c r="D3511">
        <f>VLOOKUP(D3504,'Detail Balok'!$C$10:$AU$110,4,FALSE)</f>
        <v>2</v>
      </c>
      <c r="E3511" t="str">
        <v>D</v>
      </c>
      <c r="F3511">
        <f>VLOOKUP(D3504,'Detail Balok'!$C$10:$AU$110,6,FALSE)</f>
        <v>13</v>
      </c>
      <c r="I3511" t="str">
        <v>(</v>
      </c>
      <c r="J3511">
        <f>+D3506/4/1000</f>
        <v>0.65875</v>
      </c>
      <c r="K3511" t="str">
        <v>+</v>
      </c>
      <c r="L3511">
        <f>MAX(VLOOKUP(F3511,N$6:P$15,3,FALSE)/1000,2/3*D3508/1000)+F$16*F3511/1000</f>
        <v>0.156</v>
      </c>
      <c r="M3511" t="str">
        <v>=</v>
      </c>
      <c r="N3511">
        <f>J3511+L3511</f>
        <v>0.81475</v>
      </c>
      <c r="O3511" t="str">
        <v>+</v>
      </c>
      <c r="P3511">
        <f>D3511-D3512</f>
        <v>0</v>
      </c>
      <c r="Q3511" t="str">
        <v>x</v>
      </c>
      <c r="R3511">
        <f>IF(P3511&gt;0,$F$18*F3511/1000,0)</f>
        <v>0</v>
      </c>
      <c r="S3511" t="str">
        <v>)</v>
      </c>
      <c r="T3511" t="str">
        <v>x</v>
      </c>
      <c r="U3511">
        <f>0.006165*F3511^2</f>
        <v>1.041885</v>
      </c>
      <c r="X3511" t="str">
        <v>x</v>
      </c>
      <c r="Y3511">
        <f>D3510</f>
        <v>1</v>
      </c>
      <c r="Z3511" t="str">
        <v>=</v>
      </c>
      <c r="AA3511">
        <f>IF(AA3514=0,(D3511*N3511+P3511*R3511)*U3511*Y3511,0)</f>
        <v>0</v>
      </c>
    </row>
    <row r="3512">
      <c r="A3512" t="str">
        <f>A3504</f>
        <v>Lantai 1</v>
      </c>
      <c r="B3512">
        <f>B3504</f>
        <v>20</v>
      </c>
      <c r="C3512" t="str">
        <v>Tul Atas Lapangan</v>
      </c>
      <c r="D3512">
        <f>VLOOKUP(D3504,'Detail Balok'!$C$10:$AU$110,7,FALSE)</f>
        <v>2</v>
      </c>
      <c r="E3512" t="str">
        <v>D</v>
      </c>
      <c r="F3512">
        <f>VLOOKUP(D3504,'Detail Balok'!$C$10:$AU$110,9,FALSE)</f>
        <v>13</v>
      </c>
      <c r="I3512" t="str">
        <v>(</v>
      </c>
      <c r="J3512">
        <f>+D3506/2/1000</f>
        <v>1.3175</v>
      </c>
      <c r="K3512" t="str">
        <v>+</v>
      </c>
      <c r="M3512" t="str">
        <v>=</v>
      </c>
      <c r="N3512">
        <f>J3512+L3512</f>
        <v>1.3175</v>
      </c>
      <c r="O3512" t="str">
        <v>+</v>
      </c>
      <c r="P3512">
        <f>MAX(D3512-D3511,D3512-D3513)</f>
        <v>0</v>
      </c>
      <c r="Q3512" t="str">
        <v>x</v>
      </c>
      <c r="R3512">
        <f>IF(P3512&gt;0,2*(1-2*$F$19-1/2)*D3507/1000,0)</f>
        <v>0</v>
      </c>
      <c r="S3512" t="str">
        <v>)</v>
      </c>
      <c r="T3512" t="str">
        <v>x</v>
      </c>
      <c r="U3512">
        <f>0.006165*F3512^2</f>
        <v>1.041885</v>
      </c>
      <c r="X3512" t="str">
        <v>x</v>
      </c>
      <c r="Y3512">
        <f>D3510</f>
        <v>1</v>
      </c>
      <c r="Z3512" t="str">
        <v>=</v>
      </c>
      <c r="AA3512">
        <f>IF(AA3514=0,(D3512*N3512+P3512*R3512)*U3512*Y3512,0)</f>
        <v>0</v>
      </c>
    </row>
    <row r="3513">
      <c r="A3513" t="str">
        <f>A3504</f>
        <v>Lantai 1</v>
      </c>
      <c r="B3513">
        <f>B3504</f>
        <v>20</v>
      </c>
      <c r="C3513" t="str">
        <v>Tul Atas Tumpuan</v>
      </c>
      <c r="D3513">
        <f>VLOOKUP(D3504,'Detail Balok'!$C$10:$AU$110,10,FALSE)</f>
        <v>2</v>
      </c>
      <c r="E3513" t="str">
        <v>D</v>
      </c>
      <c r="F3513">
        <f>VLOOKUP(D3504,'Detail Balok'!$C$10:$AU$110,12,FALSE)</f>
        <v>13</v>
      </c>
      <c r="I3513" t="str">
        <v>(</v>
      </c>
      <c r="J3513">
        <f>+D3506/4/1000</f>
        <v>0.65875</v>
      </c>
      <c r="K3513" t="str">
        <v>+</v>
      </c>
      <c r="L3513">
        <f>MAX(VLOOKUP(F3513,N$6:P$15,3,FALSE)/1000,2/3*D3508/1000)+F$16*F3513/1000</f>
        <v>0.156</v>
      </c>
      <c r="M3513" t="str">
        <v>=</v>
      </c>
      <c r="N3513">
        <f>J3513+L3513</f>
        <v>0.81475</v>
      </c>
      <c r="O3513" t="str">
        <v>+</v>
      </c>
      <c r="P3513">
        <f>D3513-D3512</f>
        <v>0</v>
      </c>
      <c r="Q3513" t="str">
        <v>x</v>
      </c>
      <c r="R3513">
        <f>IF(P3513&gt;0,$F$18*F3513/1000,0)</f>
        <v>0</v>
      </c>
      <c r="S3513" t="str">
        <v>)</v>
      </c>
      <c r="T3513" t="str">
        <v>x</v>
      </c>
      <c r="U3513">
        <f>0.006165*F3513^2</f>
        <v>1.041885</v>
      </c>
      <c r="X3513" t="str">
        <v>x</v>
      </c>
      <c r="Y3513">
        <f>D3510</f>
        <v>1</v>
      </c>
      <c r="Z3513" t="str">
        <v>=</v>
      </c>
      <c r="AA3513">
        <f>IF(AA3514=0,(D3513*N3513+P3513*R3513)*U3513*Y3513,0)</f>
        <v>0</v>
      </c>
    </row>
    <row r="3514">
      <c r="A3514" t="str">
        <f>A3504</f>
        <v>Lantai 1</v>
      </c>
      <c r="B3514">
        <f>B3504</f>
        <v>20</v>
      </c>
      <c r="D3514">
        <f>IF(AND(D3511=D3512,D3512=D3513,D3511=D3513),D3511,0)</f>
        <v>2</v>
      </c>
      <c r="E3514" t="str">
        <v>D</v>
      </c>
      <c r="F3514">
        <f>IF(AND(F3511=F3512,F3511=F3513,F3512=F3513),F3511,0)</f>
        <v>13</v>
      </c>
      <c r="L3514" t="str">
        <v>Total panjang per balok</v>
      </c>
      <c r="M3514" t="str">
        <v>=</v>
      </c>
      <c r="N3514">
        <f>IF(AND(D3511=D3512,D3511=D3513,D3512=D3513,F3511=F3512,F3511=F3513,F3512=F3513),SUM(N3511:N3513),0)</f>
        <v>2.947</v>
      </c>
      <c r="O3514" t="str">
        <v>+</v>
      </c>
      <c r="P3514">
        <f>IF(N3514&gt;12,ROUNDDOWN(N3514/12,0),0)</f>
        <v>0</v>
      </c>
      <c r="Q3514" t="str">
        <v>x</v>
      </c>
      <c r="R3514">
        <f>IF(P3514&gt;0,MAX(VLOOKUP(F3514,$D$6:$G$15,3,FALSE),600),0)/1000</f>
        <v>0</v>
      </c>
      <c r="T3514" t="str">
        <v>x</v>
      </c>
      <c r="U3514">
        <f>U3513</f>
        <v>1.041885</v>
      </c>
      <c r="V3514" t="str">
        <v>x</v>
      </c>
      <c r="W3514">
        <f>D3514</f>
        <v>2</v>
      </c>
      <c r="X3514" t="str">
        <v>x</v>
      </c>
      <c r="Y3514">
        <f>Y3513</f>
        <v>1</v>
      </c>
      <c r="Z3514" t="str">
        <v>=</v>
      </c>
      <c r="AA3514">
        <f>(N3514+P3514*R3514/1000)*U3514*W3514*Y3514</f>
        <v>6.14087019</v>
      </c>
    </row>
    <row r="3516">
      <c r="A3516" t="str">
        <f>A3504</f>
        <v>Lantai 1</v>
      </c>
      <c r="B3516">
        <f>B3504</f>
        <v>20</v>
      </c>
      <c r="C3516" t="str">
        <v>Tul Peminggang</v>
      </c>
      <c r="D3516">
        <f>VLOOKUP(D3504,'Detail Balok'!$C$10:$AU$110,13,FALSE)</f>
        <v>0</v>
      </c>
      <c r="E3516" t="str">
        <v>D</v>
      </c>
      <c r="F3516">
        <f>VLOOKUP(D3504,'Detail Balok'!$C$10:$AU$110,15,FALSE)</f>
        <v>6</v>
      </c>
      <c r="J3516">
        <f>+D3506/1000</f>
        <v>2.635</v>
      </c>
      <c r="K3516" t="str">
        <v>+</v>
      </c>
      <c r="L3516">
        <f>2*$F$16*F3516/1000</f>
        <v>0.144</v>
      </c>
      <c r="M3516" t="str">
        <v>=</v>
      </c>
      <c r="N3516">
        <f>J3516+L3516</f>
        <v>2.779</v>
      </c>
      <c r="O3516" t="str">
        <v>+</v>
      </c>
      <c r="P3516">
        <f>IF(N3516&gt;12,ROUNDDOWN(N3516/12,0),0)</f>
        <v>0</v>
      </c>
      <c r="Q3516" t="str">
        <v>x</v>
      </c>
      <c r="R3516">
        <f>IF(P3516&gt;0,MAX(VLOOKUP(F3516,$D$6:$G$15,3,FALSE),600),0)/1000</f>
        <v>0</v>
      </c>
      <c r="T3516" t="str">
        <v>x</v>
      </c>
      <c r="U3516">
        <f>0.006165*F3516^2</f>
        <v>0.22194000000000003</v>
      </c>
      <c r="V3516" t="str">
        <v>x</v>
      </c>
      <c r="W3516">
        <f>+D3516</f>
        <v>0</v>
      </c>
      <c r="X3516" t="str">
        <v>x</v>
      </c>
      <c r="Y3516">
        <f>D3510</f>
        <v>1</v>
      </c>
      <c r="Z3516" t="str">
        <v>=</v>
      </c>
      <c r="AA3516">
        <f>(N3516+P3516*R3516/1000)*U3516*W3516*Y3516</f>
        <v>0</v>
      </c>
    </row>
    <row r="3519">
      <c r="A3519" t="str">
        <f>A3504</f>
        <v>Lantai 1</v>
      </c>
      <c r="B3519">
        <f>B3504</f>
        <v>20</v>
      </c>
      <c r="C3519" t="str">
        <v>Tul Bawah Tumpuan</v>
      </c>
      <c r="D3519">
        <f>VLOOKUP(D3504,'Detail Balok'!$C$10:$AU$110,22,FALSE)</f>
        <v>2</v>
      </c>
      <c r="E3519" t="str">
        <v>D</v>
      </c>
      <c r="F3519">
        <f>VLOOKUP(D3504,'Detail Balok'!$C$10:$AU$110,24,FALSE)</f>
        <v>13</v>
      </c>
      <c r="I3519" t="str">
        <v>(</v>
      </c>
      <c r="J3519">
        <f>+J3511</f>
        <v>0.65875</v>
      </c>
      <c r="K3519" t="str">
        <v>+</v>
      </c>
      <c r="L3519">
        <f>MAX(VLOOKUP(F3519,N$6:P$15,3,FALSE)/1000,2/3*D3509/1000)+F$16*F3519/1000</f>
        <v>0.156</v>
      </c>
      <c r="M3519" t="str">
        <v>=</v>
      </c>
      <c r="N3519">
        <f>J3519+L3519</f>
        <v>0.81475</v>
      </c>
      <c r="O3519" t="str">
        <v>+</v>
      </c>
      <c r="P3519">
        <f>D3519-D3520</f>
        <v>0</v>
      </c>
      <c r="Q3519" t="str">
        <v>x</v>
      </c>
      <c r="R3519">
        <f>IF(P3519&gt;0,$F$18*F3519/1000,0)</f>
        <v>0</v>
      </c>
      <c r="S3519" t="str">
        <v>)</v>
      </c>
      <c r="T3519" t="str">
        <v>x</v>
      </c>
      <c r="U3519">
        <f>0.006165*F3519^2</f>
        <v>1.041885</v>
      </c>
      <c r="X3519" t="str">
        <v>x</v>
      </c>
      <c r="Y3519">
        <f>D3510</f>
        <v>1</v>
      </c>
      <c r="Z3519" t="str">
        <v>=</v>
      </c>
      <c r="AA3519">
        <f>IF(AA3522=0,(D3519*N3519+P3519*R3519)*U3519*Y3519,0)</f>
        <v>0</v>
      </c>
    </row>
    <row r="3520">
      <c r="A3520" t="str">
        <f>A3504</f>
        <v>Lantai 1</v>
      </c>
      <c r="B3520">
        <f>B3504</f>
        <v>20</v>
      </c>
      <c r="C3520" t="str">
        <v>Tul Bawah Lapangan</v>
      </c>
      <c r="D3520">
        <f>VLOOKUP(D3504,'Detail Balok'!$C$10:$AU$110,25,FALSE)</f>
        <v>2</v>
      </c>
      <c r="E3520" t="str">
        <v>D</v>
      </c>
      <c r="F3520">
        <f>VLOOKUP(D3504,'Detail Balok'!$C$10:$AU$110,27,FALSE)</f>
        <v>13</v>
      </c>
      <c r="I3520" t="str">
        <v>(</v>
      </c>
      <c r="J3520">
        <f>+J3512</f>
        <v>1.3175</v>
      </c>
      <c r="K3520" t="str">
        <v>+</v>
      </c>
      <c r="M3520" t="str">
        <v>=</v>
      </c>
      <c r="N3520">
        <f>J3520+L3520</f>
        <v>1.3175</v>
      </c>
      <c r="O3520" t="str">
        <v>+</v>
      </c>
      <c r="P3520">
        <f>MAX(D3520-D3519,D3520-D3521)</f>
        <v>0</v>
      </c>
      <c r="Q3520" t="str">
        <v>x</v>
      </c>
      <c r="R3520">
        <f>IF(P3520&gt;0,2*(1-2*$F$19-1/2)*D3507/1000,0)</f>
        <v>0</v>
      </c>
      <c r="S3520" t="str">
        <v>)</v>
      </c>
      <c r="T3520" t="str">
        <v>x</v>
      </c>
      <c r="U3520">
        <f>0.006165*F3520^2</f>
        <v>1.041885</v>
      </c>
      <c r="X3520" t="str">
        <v>x</v>
      </c>
      <c r="Y3520">
        <f>D3510</f>
        <v>1</v>
      </c>
      <c r="Z3520" t="str">
        <v>=</v>
      </c>
      <c r="AA3520">
        <f>IF(AA3522=0,(D3520*N3520+P3520*R3520)*U3520*Y3520,0)</f>
        <v>0</v>
      </c>
    </row>
    <row r="3521">
      <c r="A3521" t="str">
        <f>A3504</f>
        <v>Lantai 1</v>
      </c>
      <c r="B3521">
        <f>B3504</f>
        <v>20</v>
      </c>
      <c r="C3521" t="str">
        <v>Tul Bawah Tumpuan</v>
      </c>
      <c r="D3521">
        <f>VLOOKUP(D3504,'Detail Balok'!$C$10:$AU$110,28,FALSE)</f>
        <v>2</v>
      </c>
      <c r="E3521" t="str">
        <v>D</v>
      </c>
      <c r="F3521">
        <f>VLOOKUP(D3504,'Detail Balok'!$C$10:$AU$110,30,FALSE)</f>
        <v>13</v>
      </c>
      <c r="I3521" t="str">
        <v>(</v>
      </c>
      <c r="J3521">
        <f>+J3513</f>
        <v>0.65875</v>
      </c>
      <c r="K3521" t="str">
        <v>+</v>
      </c>
      <c r="L3521">
        <f>MAX(VLOOKUP(F3521,N$6:P$15,3,FALSE)/1000,2/3*D3509/1000)+F$16*F3521/1000</f>
        <v>0.156</v>
      </c>
      <c r="M3521" t="str">
        <v>=</v>
      </c>
      <c r="N3521">
        <f>J3521+L3521</f>
        <v>0.81475</v>
      </c>
      <c r="O3521" t="str">
        <v>+</v>
      </c>
      <c r="P3521">
        <f>D3521-D3520</f>
        <v>0</v>
      </c>
      <c r="Q3521" t="str">
        <v>x</v>
      </c>
      <c r="R3521">
        <f>IF(P3521&gt;0,$F$18*F3521/1000,0)</f>
        <v>0</v>
      </c>
      <c r="S3521" t="str">
        <v>)</v>
      </c>
      <c r="T3521" t="str">
        <v>x</v>
      </c>
      <c r="U3521">
        <f>0.006165*F3521^2</f>
        <v>1.041885</v>
      </c>
      <c r="X3521" t="str">
        <v>x</v>
      </c>
      <c r="Y3521">
        <f>D3510</f>
        <v>1</v>
      </c>
      <c r="Z3521" t="str">
        <v>=</v>
      </c>
      <c r="AA3521">
        <f>IF(AA3522=0,(D3521*N3521+P3521*R3521)*U3521*Y3521,0)</f>
        <v>0</v>
      </c>
    </row>
    <row r="3522">
      <c r="A3522" t="str">
        <f>A3504</f>
        <v>Lantai 1</v>
      </c>
      <c r="B3522">
        <f>B3504</f>
        <v>20</v>
      </c>
      <c r="D3522">
        <f>IF(AND(D3519=D3520,D3520=D3521,D3519=D3521),D3519,0)</f>
        <v>2</v>
      </c>
      <c r="E3522" t="str">
        <v>D</v>
      </c>
      <c r="F3522">
        <f>IF(AND(F3519=F3520,F3519=F3521,F3520=F3521),F3519,0)</f>
        <v>13</v>
      </c>
      <c r="L3522" t="str">
        <v>Total panjang per balok</v>
      </c>
      <c r="M3522" t="str">
        <v>=</v>
      </c>
      <c r="N3522">
        <f>IF(AND(D3519=D3520,D3519=D3521,D3520=D3521,F3519=F3520,F3519=F3521,F3520=F3521),SUM(N3519:N3521),0)</f>
        <v>2.947</v>
      </c>
      <c r="O3522" t="str">
        <v>+</v>
      </c>
      <c r="P3522">
        <f>IF(N3522&gt;12,ROUNDDOWN(N3522/12,0),0)</f>
        <v>0</v>
      </c>
      <c r="Q3522" t="str">
        <v>x</v>
      </c>
      <c r="R3522">
        <f>IF(P3522&gt;0,MAX(VLOOKUP(F3522,$D$6:$G$15,3,FALSE),600),0)/1000</f>
        <v>0</v>
      </c>
      <c r="T3522" t="str">
        <v>x</v>
      </c>
      <c r="U3522">
        <f>U3521</f>
        <v>1.041885</v>
      </c>
      <c r="V3522" t="str">
        <v>x</v>
      </c>
      <c r="W3522">
        <f>D3522</f>
        <v>2</v>
      </c>
      <c r="X3522" t="str">
        <v>x</v>
      </c>
      <c r="Y3522">
        <f>Y3521</f>
        <v>1</v>
      </c>
      <c r="Z3522" t="str">
        <v>=</v>
      </c>
      <c r="AA3522">
        <f>(N3522+P3522*R3522/1000)*U3522*W3522*Y3522</f>
        <v>6.14087019</v>
      </c>
    </row>
    <row r="3524">
      <c r="A3524" t="str">
        <f>A3504</f>
        <v>Lantai 1</v>
      </c>
      <c r="B3524">
        <f>B3504</f>
        <v>20</v>
      </c>
      <c r="C3524" t="str">
        <v>Sengkang Tumpuan</v>
      </c>
      <c r="D3524">
        <f>VLOOKUP(D3504,'Detail Balok'!$C$10:$AU$110,31,FALSE)</f>
        <v>0</v>
      </c>
      <c r="E3524" t="str">
        <v>D</v>
      </c>
      <c r="F3524">
        <f>VLOOKUP(D3504,'Detail Balok'!$C$10:$AU$110,33,FALSE)</f>
        <v>8</v>
      </c>
      <c r="G3524" t="str">
        <v>-</v>
      </c>
      <c r="H3524">
        <f>VLOOKUP(D3504,'Detail Balok'!$C$10:$AU$110,35,FALSE)</f>
        <v>100</v>
      </c>
      <c r="J3524">
        <f>(IF(D3524=0,(2*(D3505+G3505))-(F$5*8),IF(D3524=3,(2*(D3505+G3505))-(F$5*8)+(G3505-2*F$5),IF(D3524=4,(2*(D3505+G3505))-(F$5*8)+2*(G3505-2*F$5)))))/1000</f>
        <v>0.88</v>
      </c>
      <c r="K3524" t="str">
        <v>+</v>
      </c>
      <c r="L3524">
        <f>IF(D3524=0,2*MAX(6*F3524,75),(D3524-1)*2*MAX(6*F3524,75))/1000</f>
        <v>0.15</v>
      </c>
      <c r="M3524" t="str">
        <v>=</v>
      </c>
      <c r="N3524">
        <f>J3524+L3524</f>
        <v>1.03</v>
      </c>
      <c r="T3524" t="str">
        <v>x</v>
      </c>
      <c r="U3524">
        <f>0.006165*F3524^2</f>
        <v>0.39456</v>
      </c>
      <c r="V3524" t="str">
        <v>x</v>
      </c>
      <c r="W3524">
        <f>IF(D3507&gt;4*G3505,ROUND(MAX(D3507/4,2*G3505)/H3524,0)+1,ROUND(D3507/H3524,0)+1)</f>
        <v>9</v>
      </c>
      <c r="X3524" t="str">
        <v>x</v>
      </c>
      <c r="Y3524">
        <f>D3510</f>
        <v>1</v>
      </c>
      <c r="Z3524" t="str">
        <v>=</v>
      </c>
      <c r="AA3524">
        <f>N3524*U3524*W3524*Y3524</f>
        <v>3.6575712000000005</v>
      </c>
    </row>
    <row r="3525">
      <c r="A3525" t="str">
        <f>A3504</f>
        <v>Lantai 1</v>
      </c>
      <c r="B3525">
        <f>B3504</f>
        <v>20</v>
      </c>
      <c r="C3525" t="str">
        <v>Sengkang Lapangan</v>
      </c>
      <c r="D3525">
        <f>VLOOKUP(D3504,'Detail Balok'!$C$10:$AU$110,36,FALSE)</f>
        <v>0</v>
      </c>
      <c r="E3525" t="str">
        <v>D</v>
      </c>
      <c r="F3525">
        <f>VLOOKUP(D3504,'Detail Balok'!$C$10:$AU$110,38,FALSE)</f>
        <v>8</v>
      </c>
      <c r="G3525" t="str">
        <v>-</v>
      </c>
      <c r="H3525">
        <f>VLOOKUP(D3504,'Detail Balok'!$C$10:$AU$110,40,FALSE)</f>
        <v>200</v>
      </c>
      <c r="J3525">
        <f>(IF(D3525=0,(2*(D3505+G3505))-(F$5*8),IF(D3525=3,(2*(D3505+G3505))-(F$5*8)+(G3505-2*F$5),IF(D3525=4,(2*(D3505+G3505))-(F$5*8)+2*(G3505-2*F$5)))))/1000</f>
        <v>0.88</v>
      </c>
      <c r="K3525" t="str">
        <v>+</v>
      </c>
      <c r="L3525">
        <f>IF(D3525=0,2*MAX(6*F3525,75),(D3525-1)*2*MAX(6*F3525,75))/1000</f>
        <v>0.15</v>
      </c>
      <c r="M3525" t="str">
        <v>=</v>
      </c>
      <c r="N3525">
        <f>J3525+L3525</f>
        <v>1.03</v>
      </c>
      <c r="T3525" t="str">
        <v>x</v>
      </c>
      <c r="U3525">
        <f>0.006165*F3525^2</f>
        <v>0.39456</v>
      </c>
      <c r="V3525" t="str">
        <v>x</v>
      </c>
      <c r="W3525">
        <f>IF(D3507-MAX(D3507/4,2*G3505)*2&gt;0,ROUND((D3507-MAX(D3507/4,2*G3505)*2)/H3525,0),0)</f>
        <v>5</v>
      </c>
      <c r="X3525" t="str">
        <v>x</v>
      </c>
      <c r="Y3525">
        <f>D3510</f>
        <v>1</v>
      </c>
      <c r="Z3525" t="str">
        <v>=</v>
      </c>
      <c r="AA3525">
        <f>N3525*U3525*W3525*Y3525</f>
        <v>2.0319840000000005</v>
      </c>
    </row>
    <row r="3526">
      <c r="A3526" t="str">
        <f>A3504</f>
        <v>Lantai 1</v>
      </c>
      <c r="B3526">
        <f>B3504</f>
        <v>20</v>
      </c>
      <c r="C3526" t="str">
        <v>Sengkang Tumpuan</v>
      </c>
      <c r="D3526">
        <f>VLOOKUP(D3504,'Detail Balok'!$C$10:$AU$110,41,FALSE)</f>
        <v>0</v>
      </c>
      <c r="E3526" t="str">
        <v>D</v>
      </c>
      <c r="F3526">
        <f>VLOOKUP(D3504,'Detail Balok'!$C$10:$AU$110,43,FALSE)</f>
        <v>8</v>
      </c>
      <c r="G3526" t="str">
        <v>-</v>
      </c>
      <c r="H3526">
        <f>VLOOKUP(D3504,'Detail Balok'!$C$10:$AU$110,45,FALSE)</f>
        <v>100</v>
      </c>
      <c r="J3526">
        <f>(IF(D3526=0,(2*(D3505+G3505))-(F$5*8),IF(D3526=3,(2*(D3505+G3505))-(F$5*8)+(G3505-2*F$5),IF(D3526=4,(2*(D3505+G3505))-(F$5*8)+2*(G3505-2*F$5)))))/1000</f>
        <v>0.88</v>
      </c>
      <c r="K3526" t="str">
        <v>+</v>
      </c>
      <c r="L3526">
        <f>IF(D3526=0,2*MAX(6*F3526,75),(D3526-1)*2*MAX(6*F3526,75))/1000</f>
        <v>0.15</v>
      </c>
      <c r="M3526" t="str">
        <v>=</v>
      </c>
      <c r="N3526">
        <f>J3526+L3526</f>
        <v>1.03</v>
      </c>
      <c r="T3526" t="str">
        <v>x</v>
      </c>
      <c r="U3526">
        <f>0.006165*F3526^2</f>
        <v>0.39456</v>
      </c>
      <c r="V3526" t="str">
        <v>x</v>
      </c>
      <c r="W3526">
        <f>IF(D3507&gt;4*G3505,ROUND(MAX(D3507/4,2*G3505)/H3526,0)+1,0)</f>
        <v>9</v>
      </c>
      <c r="X3526" t="str">
        <v>x</v>
      </c>
      <c r="Y3526">
        <f>D3510</f>
        <v>1</v>
      </c>
      <c r="Z3526" t="str">
        <v>=</v>
      </c>
      <c r="AA3526">
        <f>N3526*U3526*W3526*Y3526</f>
        <v>3.6575712000000005</v>
      </c>
    </row>
    <row r="3528">
      <c r="A3528" t="str">
        <f>A3504</f>
        <v>Lantai 1</v>
      </c>
      <c r="B3528">
        <f>B3504</f>
        <v>20</v>
      </c>
      <c r="C3528" t="str">
        <v>Kait Horizontal Tump.</v>
      </c>
      <c r="D3528">
        <f>VLOOKUP(D3504,'Detail Balok'!$C$10:$BJ$110,46,FALSE)</f>
        <v>0</v>
      </c>
      <c r="E3528" t="str">
        <v>D</v>
      </c>
      <c r="F3528">
        <f>VLOOKUP(D3504,'Detail Balok'!$C$10:$BJ$110,48,FALSE)</f>
        <v>0</v>
      </c>
      <c r="G3528" t="str">
        <v>-</v>
      </c>
      <c r="H3528">
        <f>VLOOKUP(D3504,'Detail Balok'!$C$10:$BJ$110,50,FALSE)</f>
        <v>100</v>
      </c>
      <c r="J3528">
        <f>(D3505-2*F$5)/1000</f>
        <v>0.12</v>
      </c>
      <c r="K3528" t="str">
        <v>+</v>
      </c>
      <c r="L3528">
        <f>IF(D3528=0,2*MAX(6*F3528,75),(D3528-1)*2*MAX(6*F3528,75))/1000</f>
        <v>0.15</v>
      </c>
      <c r="M3528" t="str">
        <v>=</v>
      </c>
      <c r="N3528">
        <f>J3528+L3528</f>
        <v>0.27</v>
      </c>
      <c r="T3528" t="str">
        <v>x</v>
      </c>
      <c r="U3528">
        <f>0.006165*F3528^2</f>
        <v>0</v>
      </c>
      <c r="V3528" t="str">
        <v>x</v>
      </c>
      <c r="W3528">
        <f>W3524</f>
        <v>9</v>
      </c>
      <c r="X3528" t="str">
        <v>x</v>
      </c>
      <c r="Y3528">
        <f>D3514</f>
        <v>2</v>
      </c>
      <c r="Z3528" t="str">
        <v>=</v>
      </c>
      <c r="AA3528">
        <f>N3528*U3528*W3528*Y3528</f>
        <v>0</v>
      </c>
    </row>
    <row r="3529">
      <c r="A3529" t="str">
        <f>A3504</f>
        <v>Lantai 1</v>
      </c>
      <c r="B3529">
        <f>B3504</f>
        <v>20</v>
      </c>
      <c r="C3529" t="str">
        <v>Kait Horizontal Lap.</v>
      </c>
      <c r="D3529">
        <f>VLOOKUP(D3504,'Detail Balok'!$C$10:$BJ$110,51,FALSE)</f>
        <v>0</v>
      </c>
      <c r="E3529" t="str">
        <v>D</v>
      </c>
      <c r="F3529">
        <f>VLOOKUP(D3504,'Detail Balok'!$C$10:$BJ$110,53,FALSE)</f>
        <v>0</v>
      </c>
      <c r="G3529" t="str">
        <v>-</v>
      </c>
      <c r="H3529">
        <f>VLOOKUP(D3504,'Detail Balok'!$C$10:$BJ$110,55,FALSE)</f>
        <v>100</v>
      </c>
      <c r="J3529">
        <f>(D3505-2*F$5)/1000</f>
        <v>0.12</v>
      </c>
      <c r="K3529" t="str">
        <v>+</v>
      </c>
      <c r="L3529">
        <f>IF(D3529=0,2*MAX(6*F3529,75),(D3529-1)*2*MAX(6*F3529,75))/1000</f>
        <v>0.15</v>
      </c>
      <c r="M3529" t="str">
        <v>=</v>
      </c>
      <c r="N3529">
        <f>J3529+L3529</f>
        <v>0.27</v>
      </c>
      <c r="T3529" t="str">
        <v>x</v>
      </c>
      <c r="U3529">
        <f>0.006165*F3529^2</f>
        <v>0</v>
      </c>
      <c r="V3529" t="str">
        <v>x</v>
      </c>
      <c r="W3529">
        <f>W3525</f>
        <v>5</v>
      </c>
      <c r="X3529" t="str">
        <v>x</v>
      </c>
      <c r="Y3529">
        <f>D3514</f>
        <v>2</v>
      </c>
      <c r="Z3529" t="str">
        <v>=</v>
      </c>
      <c r="AA3529">
        <f>N3529*U3529*W3529*Y3529</f>
        <v>0</v>
      </c>
    </row>
    <row r="3530">
      <c r="A3530" t="str">
        <f>A3504</f>
        <v>Lantai 1</v>
      </c>
      <c r="B3530">
        <f>B3504</f>
        <v>20</v>
      </c>
      <c r="C3530" t="str">
        <v>Kait Horizontal Tump.</v>
      </c>
      <c r="D3530">
        <f>VLOOKUP(D3504,'Detail Balok'!$C$10:$BJ$110,56,FALSE)</f>
        <v>0</v>
      </c>
      <c r="E3530" t="str">
        <v>D</v>
      </c>
      <c r="F3530">
        <f>VLOOKUP(D3504,'Detail Balok'!$C$10:$BJ$110,58,FALSE)</f>
        <v>0</v>
      </c>
      <c r="G3530" t="str">
        <v>-</v>
      </c>
      <c r="H3530">
        <f>VLOOKUP(D3504,'Detail Balok'!$C$10:$BJ$110,60,FALSE)</f>
        <v>100</v>
      </c>
      <c r="J3530">
        <f>(D3505-2*F$5)/1000</f>
        <v>0.12</v>
      </c>
      <c r="K3530" t="str">
        <v>+</v>
      </c>
      <c r="L3530">
        <f>IF(D3530=0,2*MAX(6*F3530,75),(D3530-1)*2*MAX(6*F3530,75))/1000</f>
        <v>0.15</v>
      </c>
      <c r="M3530" t="str">
        <v>=</v>
      </c>
      <c r="N3530">
        <f>J3530+L3530</f>
        <v>0.27</v>
      </c>
      <c r="T3530" t="str">
        <v>x</v>
      </c>
      <c r="U3530">
        <f>0.006165*F3530^2</f>
        <v>0</v>
      </c>
      <c r="V3530" t="str">
        <v>x</v>
      </c>
      <c r="W3530">
        <f>W3526</f>
        <v>9</v>
      </c>
      <c r="X3530" t="str">
        <v>x</v>
      </c>
      <c r="Y3530">
        <f>D3514</f>
        <v>2</v>
      </c>
      <c r="Z3530" t="str">
        <v>=</v>
      </c>
      <c r="AA3530">
        <f>N3530*U3530*W3530*Y3530</f>
        <v>0</v>
      </c>
    </row>
    <row r="3534">
      <c r="A3534" t="str">
        <f>A3504</f>
        <v>Lantai 1</v>
      </c>
      <c r="B3534">
        <f>B3504+1</f>
        <v>21</v>
      </c>
      <c r="C3534" t="str">
        <f>CONCATENATE(A3534," no. ",B3534)</f>
        <v>Lantai 1 no. 21</v>
      </c>
      <c r="D3534" t="str">
        <f>VLOOKUP(C3534,'Data Panjang Balok'!$C$9:$N$424,2,FALSE)</f>
        <v>B245-6</v>
      </c>
    </row>
    <row r="3535">
      <c r="C3535" t="str">
        <v>Dimensi</v>
      </c>
      <c r="D3535">
        <f>VLOOKUP(D3534,'Detail Balok'!$C$10:$AU$110,2,FALSE)</f>
        <v>200</v>
      </c>
      <c r="F3535" t="str">
        <v>x</v>
      </c>
      <c r="G3535">
        <f>VLOOKUP(D3534,'Detail Balok'!$C$10:$AU$110,3,FALSE)</f>
        <v>450</v>
      </c>
    </row>
    <row r="3536">
      <c r="C3536" t="str">
        <v>Panjang as ke as</v>
      </c>
      <c r="D3536">
        <f>VLOOKUP(C3534,'Data Panjang Balok'!$C$9:$N$424,4,FALSE)</f>
        <v>3065</v>
      </c>
    </row>
    <row r="3537">
      <c r="C3537" t="str">
        <v>Panjang netto</v>
      </c>
      <c r="D3537">
        <f>VLOOKUP(C3534,'Data Panjang Balok'!$C$9:$N$424,7,FALSE)</f>
        <v>3065</v>
      </c>
    </row>
    <row r="3538">
      <c r="C3538" t="str">
        <v>Kolom / balok kiri</v>
      </c>
      <c r="D3538">
        <f>VLOOKUP(C3534,'Data Panjang Balok'!$C$9:$N$424,9,FALSE)</f>
        <v>0</v>
      </c>
    </row>
    <row r="3539">
      <c r="C3539" t="str">
        <v>Kolom / balok kanan</v>
      </c>
      <c r="D3539">
        <f>VLOOKUP(C3534,'Data Panjang Balok'!$C$9:$N$424,10,FALSE)</f>
        <v>0</v>
      </c>
    </row>
    <row r="3540">
      <c r="C3540" t="str">
        <v>Jumlah</v>
      </c>
      <c r="D3540">
        <f>VLOOKUP(C3534,'Data Panjang Balok'!$C$9:$N$424,3,FALSE)</f>
        <v>1</v>
      </c>
    </row>
    <row r="3541">
      <c r="A3541" t="str">
        <f>A3534</f>
        <v>Lantai 1</v>
      </c>
      <c r="B3541">
        <f>B3534</f>
        <v>21</v>
      </c>
      <c r="C3541" t="str">
        <v>Tul Atas Tumpuan</v>
      </c>
      <c r="D3541">
        <f>VLOOKUP(D3534,'Detail Balok'!$C$10:$AU$110,4,FALSE)</f>
        <v>4</v>
      </c>
      <c r="E3541" t="str">
        <v>D</v>
      </c>
      <c r="F3541">
        <f>VLOOKUP(D3534,'Detail Balok'!$C$10:$AU$110,6,FALSE)</f>
        <v>16</v>
      </c>
      <c r="I3541" t="str">
        <v>(</v>
      </c>
      <c r="J3541">
        <f>+D3536/4/1000</f>
        <v>0.76625</v>
      </c>
      <c r="K3541" t="str">
        <v>+</v>
      </c>
      <c r="L3541">
        <f>MAX(VLOOKUP(F3541,N$6:P$15,3,FALSE)/1000,2/3*D3538/1000)+F$16*F3541/1000</f>
        <v>0.192</v>
      </c>
      <c r="M3541" t="str">
        <v>=</v>
      </c>
      <c r="N3541">
        <f>J3541+L3541</f>
        <v>0.95825</v>
      </c>
      <c r="O3541" t="str">
        <v>+</v>
      </c>
      <c r="P3541">
        <f>D3541-D3542</f>
        <v>2</v>
      </c>
      <c r="Q3541" t="str">
        <v>x</v>
      </c>
      <c r="R3541">
        <f>IF(P3541&gt;0,$F$18*F3541/1000,0)</f>
        <v>0.24</v>
      </c>
      <c r="S3541" t="str">
        <v>)</v>
      </c>
      <c r="T3541" t="str">
        <v>x</v>
      </c>
      <c r="U3541">
        <f>0.006165*F3541^2</f>
        <v>1.57824</v>
      </c>
      <c r="X3541" t="str">
        <v>x</v>
      </c>
      <c r="Y3541">
        <f>D3540</f>
        <v>1</v>
      </c>
      <c r="Z3541" t="str">
        <v>=</v>
      </c>
      <c r="AA3541">
        <f>IF(AA3544=0,(D3541*N3541+P3541*R3541)*U3541*Y3541,0)</f>
        <v>6.806949120000001</v>
      </c>
    </row>
    <row r="3542">
      <c r="A3542" t="str">
        <f>A3534</f>
        <v>Lantai 1</v>
      </c>
      <c r="B3542">
        <f>B3534</f>
        <v>21</v>
      </c>
      <c r="C3542" t="str">
        <v>Tul Atas Lapangan</v>
      </c>
      <c r="D3542">
        <f>VLOOKUP(D3534,'Detail Balok'!$C$10:$AU$110,7,FALSE)</f>
        <v>2</v>
      </c>
      <c r="E3542" t="str">
        <v>D</v>
      </c>
      <c r="F3542">
        <f>VLOOKUP(D3534,'Detail Balok'!$C$10:$AU$110,9,FALSE)</f>
        <v>16</v>
      </c>
      <c r="I3542" t="str">
        <v>(</v>
      </c>
      <c r="J3542">
        <f>+D3536/2/1000</f>
        <v>1.5325</v>
      </c>
      <c r="K3542" t="str">
        <v>+</v>
      </c>
      <c r="M3542" t="str">
        <v>=</v>
      </c>
      <c r="N3542">
        <f>J3542+L3542</f>
        <v>1.5325</v>
      </c>
      <c r="O3542" t="str">
        <v>+</v>
      </c>
      <c r="P3542">
        <f>MAX(D3542-D3541,D3542-D3543)</f>
        <v>-2</v>
      </c>
      <c r="Q3542" t="str">
        <v>x</v>
      </c>
      <c r="R3542">
        <f>IF(P3542&gt;0,2*(1-2*$F$19-1/2)*D3537/1000,0)</f>
        <v>0</v>
      </c>
      <c r="S3542" t="str">
        <v>)</v>
      </c>
      <c r="T3542" t="str">
        <v>x</v>
      </c>
      <c r="U3542">
        <f>0.006165*F3542^2</f>
        <v>1.57824</v>
      </c>
      <c r="X3542" t="str">
        <v>x</v>
      </c>
      <c r="Y3542">
        <f>D3540</f>
        <v>1</v>
      </c>
      <c r="Z3542" t="str">
        <v>=</v>
      </c>
      <c r="AA3542">
        <f>IF(AA3544=0,(D3542*N3542+P3542*R3542)*U3542*Y3542,0)</f>
        <v>4.8373056000000005</v>
      </c>
    </row>
    <row r="3543">
      <c r="A3543" t="str">
        <f>A3534</f>
        <v>Lantai 1</v>
      </c>
      <c r="B3543">
        <f>B3534</f>
        <v>21</v>
      </c>
      <c r="C3543" t="str">
        <v>Tul Atas Tumpuan</v>
      </c>
      <c r="D3543">
        <f>VLOOKUP(D3534,'Detail Balok'!$C$10:$AU$110,10,FALSE)</f>
        <v>4</v>
      </c>
      <c r="E3543" t="str">
        <v>D</v>
      </c>
      <c r="F3543">
        <f>VLOOKUP(D3534,'Detail Balok'!$C$10:$AU$110,12,FALSE)</f>
        <v>16</v>
      </c>
      <c r="I3543" t="str">
        <v>(</v>
      </c>
      <c r="J3543">
        <f>+D3536/4/1000</f>
        <v>0.76625</v>
      </c>
      <c r="K3543" t="str">
        <v>+</v>
      </c>
      <c r="L3543">
        <f>MAX(VLOOKUP(F3543,N$6:P$15,3,FALSE)/1000,2/3*D3538/1000)+F$16*F3543/1000</f>
        <v>0.192</v>
      </c>
      <c r="M3543" t="str">
        <v>=</v>
      </c>
      <c r="N3543">
        <f>J3543+L3543</f>
        <v>0.95825</v>
      </c>
      <c r="O3543" t="str">
        <v>+</v>
      </c>
      <c r="P3543">
        <f>D3543-D3542</f>
        <v>2</v>
      </c>
      <c r="Q3543" t="str">
        <v>x</v>
      </c>
      <c r="R3543">
        <f>IF(P3543&gt;0,$F$18*F3543/1000,0)</f>
        <v>0.24</v>
      </c>
      <c r="S3543" t="str">
        <v>)</v>
      </c>
      <c r="T3543" t="str">
        <v>x</v>
      </c>
      <c r="U3543">
        <f>0.006165*F3543^2</f>
        <v>1.57824</v>
      </c>
      <c r="X3543" t="str">
        <v>x</v>
      </c>
      <c r="Y3543">
        <f>D3540</f>
        <v>1</v>
      </c>
      <c r="Z3543" t="str">
        <v>=</v>
      </c>
      <c r="AA3543">
        <f>IF(AA3544=0,(D3543*N3543+P3543*R3543)*U3543*Y3543,0)</f>
        <v>6.806949120000001</v>
      </c>
    </row>
    <row r="3544">
      <c r="A3544" t="str">
        <f>A3534</f>
        <v>Lantai 1</v>
      </c>
      <c r="B3544">
        <f>B3534</f>
        <v>21</v>
      </c>
      <c r="D3544">
        <f>IF(AND(D3541=D3542,D3542=D3543,D3541=D3543),D3541,0)</f>
        <v>0</v>
      </c>
      <c r="E3544" t="str">
        <v>D</v>
      </c>
      <c r="F3544">
        <f>IF(AND(F3541=F3542,F3541=F3543,F3542=F3543),F3541,0)</f>
        <v>16</v>
      </c>
      <c r="L3544" t="str">
        <v>Total panjang per balok</v>
      </c>
      <c r="M3544" t="str">
        <v>=</v>
      </c>
      <c r="N3544">
        <f>IF(AND(D3541=D3542,D3541=D3543,D3542=D3543,F3541=F3542,F3541=F3543,F3542=F3543),SUM(N3541:N3543),0)</f>
        <v>0</v>
      </c>
      <c r="O3544" t="str">
        <v>+</v>
      </c>
      <c r="P3544">
        <f>IF(N3544&gt;12,ROUNDDOWN(N3544/12,0),0)</f>
        <v>0</v>
      </c>
      <c r="Q3544" t="str">
        <v>x</v>
      </c>
      <c r="R3544">
        <f>IF(P3544&gt;0,MAX(VLOOKUP(F3544,$D$6:$G$15,3,FALSE),600),0)/1000</f>
        <v>0</v>
      </c>
      <c r="T3544" t="str">
        <v>x</v>
      </c>
      <c r="U3544">
        <f>U3543</f>
        <v>1.57824</v>
      </c>
      <c r="V3544" t="str">
        <v>x</v>
      </c>
      <c r="W3544">
        <f>D3544</f>
        <v>0</v>
      </c>
      <c r="X3544" t="str">
        <v>x</v>
      </c>
      <c r="Y3544">
        <f>Y3543</f>
        <v>1</v>
      </c>
      <c r="Z3544" t="str">
        <v>=</v>
      </c>
      <c r="AA3544">
        <f>(N3544+P3544*R3544/1000)*U3544*W3544*Y3544</f>
        <v>0</v>
      </c>
    </row>
    <row r="3546">
      <c r="A3546" t="str">
        <f>A3534</f>
        <v>Lantai 1</v>
      </c>
      <c r="B3546">
        <f>B3534</f>
        <v>21</v>
      </c>
      <c r="C3546" t="str">
        <v>Tul Peminggang</v>
      </c>
      <c r="D3546">
        <f>VLOOKUP(D3534,'Detail Balok'!$C$10:$AU$110,13,FALSE)</f>
        <v>2</v>
      </c>
      <c r="E3546" t="str">
        <v>D</v>
      </c>
      <c r="F3546">
        <f>VLOOKUP(D3534,'Detail Balok'!$C$10:$AU$110,15,FALSE)</f>
        <v>8</v>
      </c>
      <c r="J3546">
        <f>+D3536/1000</f>
        <v>3.065</v>
      </c>
      <c r="K3546" t="str">
        <v>+</v>
      </c>
      <c r="L3546">
        <f>2*$F$16*F3546/1000</f>
        <v>0.192</v>
      </c>
      <c r="M3546" t="str">
        <v>=</v>
      </c>
      <c r="N3546">
        <f>J3546+L3546</f>
        <v>3.257</v>
      </c>
      <c r="O3546" t="str">
        <v>+</v>
      </c>
      <c r="P3546">
        <f>IF(N3546&gt;12,ROUNDDOWN(N3546/12,0),0)</f>
        <v>0</v>
      </c>
      <c r="Q3546" t="str">
        <v>x</v>
      </c>
      <c r="R3546">
        <f>IF(P3546&gt;0,MAX(VLOOKUP(F3546,$D$6:$G$15,3,FALSE),600),0)/1000</f>
        <v>0</v>
      </c>
      <c r="T3546" t="str">
        <v>x</v>
      </c>
      <c r="U3546">
        <f>0.006165*F3546^2</f>
        <v>0.39456</v>
      </c>
      <c r="V3546" t="str">
        <v>x</v>
      </c>
      <c r="W3546">
        <f>+D3546</f>
        <v>2</v>
      </c>
      <c r="X3546" t="str">
        <v>x</v>
      </c>
      <c r="Y3546">
        <f>D3540</f>
        <v>1</v>
      </c>
      <c r="Z3546" t="str">
        <v>=</v>
      </c>
      <c r="AA3546">
        <f>(N3546+P3546*R3546/1000)*U3546*W3546*Y3546</f>
        <v>2.57016384</v>
      </c>
    </row>
    <row r="3549">
      <c r="A3549" t="str">
        <f>A3534</f>
        <v>Lantai 1</v>
      </c>
      <c r="B3549">
        <f>B3534</f>
        <v>21</v>
      </c>
      <c r="C3549" t="str">
        <v>Tul Bawah Tumpuan</v>
      </c>
      <c r="D3549">
        <f>VLOOKUP(D3534,'Detail Balok'!$C$10:$AU$110,22,FALSE)</f>
        <v>3</v>
      </c>
      <c r="E3549" t="str">
        <v>D</v>
      </c>
      <c r="F3549">
        <f>VLOOKUP(D3534,'Detail Balok'!$C$10:$AU$110,24,FALSE)</f>
        <v>16</v>
      </c>
      <c r="I3549" t="str">
        <v>(</v>
      </c>
      <c r="J3549">
        <f>+J3541</f>
        <v>0.76625</v>
      </c>
      <c r="K3549" t="str">
        <v>+</v>
      </c>
      <c r="L3549">
        <f>MAX(VLOOKUP(F3549,N$6:P$15,3,FALSE)/1000,2/3*D3539/1000)+F$16*F3549/1000</f>
        <v>0.192</v>
      </c>
      <c r="M3549" t="str">
        <v>=</v>
      </c>
      <c r="N3549">
        <f>J3549+L3549</f>
        <v>0.95825</v>
      </c>
      <c r="O3549" t="str">
        <v>+</v>
      </c>
      <c r="P3549">
        <f>D3549-D3550</f>
        <v>0</v>
      </c>
      <c r="Q3549" t="str">
        <v>x</v>
      </c>
      <c r="R3549">
        <f>IF(P3549&gt;0,$F$18*F3549/1000,0)</f>
        <v>0</v>
      </c>
      <c r="S3549" t="str">
        <v>)</v>
      </c>
      <c r="T3549" t="str">
        <v>x</v>
      </c>
      <c r="U3549">
        <f>0.006165*F3549^2</f>
        <v>1.57824</v>
      </c>
      <c r="X3549" t="str">
        <v>x</v>
      </c>
      <c r="Y3549">
        <f>D3540</f>
        <v>1</v>
      </c>
      <c r="Z3549" t="str">
        <v>=</v>
      </c>
      <c r="AA3549">
        <f>IF(AA3552=0,(D3549*N3549+P3549*R3549)*U3549*Y3549,0)</f>
        <v>0</v>
      </c>
    </row>
    <row r="3550">
      <c r="A3550" t="str">
        <f>A3534</f>
        <v>Lantai 1</v>
      </c>
      <c r="B3550">
        <f>B3534</f>
        <v>21</v>
      </c>
      <c r="C3550" t="str">
        <v>Tul Bawah Lapangan</v>
      </c>
      <c r="D3550">
        <f>VLOOKUP(D3534,'Detail Balok'!$C$10:$AU$110,25,FALSE)</f>
        <v>3</v>
      </c>
      <c r="E3550" t="str">
        <v>D</v>
      </c>
      <c r="F3550">
        <f>VLOOKUP(D3534,'Detail Balok'!$C$10:$AU$110,27,FALSE)</f>
        <v>16</v>
      </c>
      <c r="I3550" t="str">
        <v>(</v>
      </c>
      <c r="J3550">
        <f>+J3542</f>
        <v>1.5325</v>
      </c>
      <c r="K3550" t="str">
        <v>+</v>
      </c>
      <c r="M3550" t="str">
        <v>=</v>
      </c>
      <c r="N3550">
        <f>J3550+L3550</f>
        <v>1.5325</v>
      </c>
      <c r="O3550" t="str">
        <v>+</v>
      </c>
      <c r="P3550">
        <f>MAX(D3550-D3549,D3550-D3551)</f>
        <v>0</v>
      </c>
      <c r="Q3550" t="str">
        <v>x</v>
      </c>
      <c r="R3550">
        <f>IF(P3550&gt;0,2*(1-2*$F$19-1/2)*D3537/1000,0)</f>
        <v>0</v>
      </c>
      <c r="S3550" t="str">
        <v>)</v>
      </c>
      <c r="T3550" t="str">
        <v>x</v>
      </c>
      <c r="U3550">
        <f>0.006165*F3550^2</f>
        <v>1.57824</v>
      </c>
      <c r="X3550" t="str">
        <v>x</v>
      </c>
      <c r="Y3550">
        <f>D3540</f>
        <v>1</v>
      </c>
      <c r="Z3550" t="str">
        <v>=</v>
      </c>
      <c r="AA3550">
        <f>IF(AA3552=0,(D3550*N3550+P3550*R3550)*U3550*Y3550,0)</f>
        <v>0</v>
      </c>
    </row>
    <row r="3551">
      <c r="A3551" t="str">
        <f>A3534</f>
        <v>Lantai 1</v>
      </c>
      <c r="B3551">
        <f>B3534</f>
        <v>21</v>
      </c>
      <c r="C3551" t="str">
        <v>Tul Bawah Tumpuan</v>
      </c>
      <c r="D3551">
        <f>VLOOKUP(D3534,'Detail Balok'!$C$10:$AU$110,28,FALSE)</f>
        <v>3</v>
      </c>
      <c r="E3551" t="str">
        <v>D</v>
      </c>
      <c r="F3551">
        <f>VLOOKUP(D3534,'Detail Balok'!$C$10:$AU$110,30,FALSE)</f>
        <v>16</v>
      </c>
      <c r="I3551" t="str">
        <v>(</v>
      </c>
      <c r="J3551">
        <f>+J3543</f>
        <v>0.76625</v>
      </c>
      <c r="K3551" t="str">
        <v>+</v>
      </c>
      <c r="L3551">
        <f>MAX(VLOOKUP(F3551,N$6:P$15,3,FALSE)/1000,2/3*D3539/1000)+F$16*F3551/1000</f>
        <v>0.192</v>
      </c>
      <c r="M3551" t="str">
        <v>=</v>
      </c>
      <c r="N3551">
        <f>J3551+L3551</f>
        <v>0.95825</v>
      </c>
      <c r="O3551" t="str">
        <v>+</v>
      </c>
      <c r="P3551">
        <f>D3551-D3550</f>
        <v>0</v>
      </c>
      <c r="Q3551" t="str">
        <v>x</v>
      </c>
      <c r="R3551">
        <f>IF(P3551&gt;0,$F$18*F3551/1000,0)</f>
        <v>0</v>
      </c>
      <c r="S3551" t="str">
        <v>)</v>
      </c>
      <c r="T3551" t="str">
        <v>x</v>
      </c>
      <c r="U3551">
        <f>0.006165*F3551^2</f>
        <v>1.57824</v>
      </c>
      <c r="X3551" t="str">
        <v>x</v>
      </c>
      <c r="Y3551">
        <f>D3540</f>
        <v>1</v>
      </c>
      <c r="Z3551" t="str">
        <v>=</v>
      </c>
      <c r="AA3551">
        <f>IF(AA3552=0,(D3551*N3551+P3551*R3551)*U3551*Y3551,0)</f>
        <v>0</v>
      </c>
    </row>
    <row r="3552">
      <c r="A3552" t="str">
        <f>A3534</f>
        <v>Lantai 1</v>
      </c>
      <c r="B3552">
        <f>B3534</f>
        <v>21</v>
      </c>
      <c r="D3552">
        <f>IF(AND(D3549=D3550,D3550=D3551,D3549=D3551),D3549,0)</f>
        <v>3</v>
      </c>
      <c r="E3552" t="str">
        <v>D</v>
      </c>
      <c r="F3552">
        <f>IF(AND(F3549=F3550,F3549=F3551,F3550=F3551),F3549,0)</f>
        <v>16</v>
      </c>
      <c r="L3552" t="str">
        <v>Total panjang per balok</v>
      </c>
      <c r="M3552" t="str">
        <v>=</v>
      </c>
      <c r="N3552">
        <f>IF(AND(D3549=D3550,D3549=D3551,D3550=D3551,F3549=F3550,F3549=F3551,F3550=F3551),SUM(N3549:N3551),0)</f>
        <v>3.4490000000000003</v>
      </c>
      <c r="O3552" t="str">
        <v>+</v>
      </c>
      <c r="P3552">
        <f>IF(N3552&gt;12,ROUNDDOWN(N3552/12,0),0)</f>
        <v>0</v>
      </c>
      <c r="Q3552" t="str">
        <v>x</v>
      </c>
      <c r="R3552">
        <f>IF(P3552&gt;0,MAX(VLOOKUP(F3552,$D$6:$G$15,3,FALSE),600),0)/1000</f>
        <v>0</v>
      </c>
      <c r="T3552" t="str">
        <v>x</v>
      </c>
      <c r="U3552">
        <f>U3551</f>
        <v>1.57824</v>
      </c>
      <c r="V3552" t="str">
        <v>x</v>
      </c>
      <c r="W3552">
        <f>D3552</f>
        <v>3</v>
      </c>
      <c r="X3552" t="str">
        <v>x</v>
      </c>
      <c r="Y3552">
        <f>Y3551</f>
        <v>1</v>
      </c>
      <c r="Z3552" t="str">
        <v>=</v>
      </c>
      <c r="AA3552">
        <f>(N3552+P3552*R3552/1000)*U3552*W3552*Y3552</f>
        <v>16.330049280000004</v>
      </c>
    </row>
    <row r="3554">
      <c r="A3554" t="str">
        <f>A3534</f>
        <v>Lantai 1</v>
      </c>
      <c r="B3554">
        <f>B3534</f>
        <v>21</v>
      </c>
      <c r="C3554" t="str">
        <v>Sengkang Tumpuan</v>
      </c>
      <c r="D3554">
        <f>VLOOKUP(D3534,'Detail Balok'!$C$10:$AU$110,31,FALSE)</f>
        <v>0</v>
      </c>
      <c r="E3554" t="str">
        <v>D</v>
      </c>
      <c r="F3554">
        <f>VLOOKUP(D3534,'Detail Balok'!$C$10:$AU$110,33,FALSE)</f>
        <v>8</v>
      </c>
      <c r="G3554" t="str">
        <v>-</v>
      </c>
      <c r="H3554">
        <f>VLOOKUP(D3534,'Detail Balok'!$C$10:$AU$110,35,FALSE)</f>
        <v>75</v>
      </c>
      <c r="J3554">
        <f>(IF(D3554=0,(2*(D3535+G3535))-(F$5*8),IF(D3554=3,(2*(D3535+G3535))-(F$5*8)+(G3535-2*F$5),IF(D3554=4,(2*(D3535+G3535))-(F$5*8)+2*(G3535-2*F$5)))))/1000</f>
        <v>0.98</v>
      </c>
      <c r="K3554" t="str">
        <v>+</v>
      </c>
      <c r="L3554">
        <f>IF(D3554=0,2*MAX(6*F3554,75),(D3554-1)*2*MAX(6*F3554,75))/1000</f>
        <v>0.15</v>
      </c>
      <c r="M3554" t="str">
        <v>=</v>
      </c>
      <c r="N3554">
        <f>J3554+L3554</f>
        <v>1.13</v>
      </c>
      <c r="T3554" t="str">
        <v>x</v>
      </c>
      <c r="U3554">
        <f>0.006165*F3554^2</f>
        <v>0.39456</v>
      </c>
      <c r="V3554" t="str">
        <v>x</v>
      </c>
      <c r="W3554">
        <f>IF(D3537&gt;4*G3535,ROUND(MAX(D3537/4,2*G3535)/H3554,0)+1,ROUND(D3537/H3554,0)+1)</f>
        <v>13</v>
      </c>
      <c r="X3554" t="str">
        <v>x</v>
      </c>
      <c r="Y3554">
        <f>D3540</f>
        <v>1</v>
      </c>
      <c r="Z3554" t="str">
        <v>=</v>
      </c>
      <c r="AA3554">
        <f>N3554*U3554*W3554*Y3554</f>
        <v>5.7960864</v>
      </c>
    </row>
    <row r="3555">
      <c r="A3555" t="str">
        <f>A3534</f>
        <v>Lantai 1</v>
      </c>
      <c r="B3555">
        <f>B3534</f>
        <v>21</v>
      </c>
      <c r="C3555" t="str">
        <v>Sengkang Lapangan</v>
      </c>
      <c r="D3555">
        <f>VLOOKUP(D3534,'Detail Balok'!$C$10:$AU$110,36,FALSE)</f>
        <v>0</v>
      </c>
      <c r="E3555" t="str">
        <v>D</v>
      </c>
      <c r="F3555">
        <f>VLOOKUP(D3534,'Detail Balok'!$C$10:$AU$110,38,FALSE)</f>
        <v>8</v>
      </c>
      <c r="G3555" t="str">
        <v>-</v>
      </c>
      <c r="H3555">
        <f>VLOOKUP(D3534,'Detail Balok'!$C$10:$AU$110,40,FALSE)</f>
        <v>200</v>
      </c>
      <c r="J3555">
        <f>(IF(D3555=0,(2*(D3535+G3535))-(F$5*8),IF(D3555=3,(2*(D3535+G3535))-(F$5*8)+(G3535-2*F$5),IF(D3555=4,(2*(D3535+G3535))-(F$5*8)+2*(G3535-2*F$5)))))/1000</f>
        <v>0.98</v>
      </c>
      <c r="K3555" t="str">
        <v>+</v>
      </c>
      <c r="L3555">
        <f>IF(D3555=0,2*MAX(6*F3555,75),(D3555-1)*2*MAX(6*F3555,75))/1000</f>
        <v>0.15</v>
      </c>
      <c r="M3555" t="str">
        <v>=</v>
      </c>
      <c r="N3555">
        <f>J3555+L3555</f>
        <v>1.13</v>
      </c>
      <c r="T3555" t="str">
        <v>x</v>
      </c>
      <c r="U3555">
        <f>0.006165*F3555^2</f>
        <v>0.39456</v>
      </c>
      <c r="V3555" t="str">
        <v>x</v>
      </c>
      <c r="W3555">
        <f>IF(D3537-MAX(D3537/4,2*G3535)*2&gt;0,ROUND((D3537-MAX(D3537/4,2*G3535)*2)/H3555,0),0)</f>
        <v>6</v>
      </c>
      <c r="X3555" t="str">
        <v>x</v>
      </c>
      <c r="Y3555">
        <f>D3540</f>
        <v>1</v>
      </c>
      <c r="Z3555" t="str">
        <v>=</v>
      </c>
      <c r="AA3555">
        <f>N3555*U3555*W3555*Y3555</f>
        <v>2.6751168</v>
      </c>
    </row>
    <row r="3556">
      <c r="A3556" t="str">
        <f>A3534</f>
        <v>Lantai 1</v>
      </c>
      <c r="B3556">
        <f>B3534</f>
        <v>21</v>
      </c>
      <c r="C3556" t="str">
        <v>Sengkang Tumpuan</v>
      </c>
      <c r="D3556">
        <f>VLOOKUP(D3534,'Detail Balok'!$C$10:$AU$110,41,FALSE)</f>
        <v>0</v>
      </c>
      <c r="E3556" t="str">
        <v>D</v>
      </c>
      <c r="F3556">
        <f>VLOOKUP(D3534,'Detail Balok'!$C$10:$AU$110,43,FALSE)</f>
        <v>8</v>
      </c>
      <c r="G3556" t="str">
        <v>-</v>
      </c>
      <c r="H3556">
        <f>VLOOKUP(D3534,'Detail Balok'!$C$10:$AU$110,45,FALSE)</f>
        <v>75</v>
      </c>
      <c r="J3556">
        <f>(IF(D3556=0,(2*(D3535+G3535))-(F$5*8),IF(D3556=3,(2*(D3535+G3535))-(F$5*8)+(G3535-2*F$5),IF(D3556=4,(2*(D3535+G3535))-(F$5*8)+2*(G3535-2*F$5)))))/1000</f>
        <v>0.98</v>
      </c>
      <c r="K3556" t="str">
        <v>+</v>
      </c>
      <c r="L3556">
        <f>IF(D3556=0,2*MAX(6*F3556,75),(D3556-1)*2*MAX(6*F3556,75))/1000</f>
        <v>0.15</v>
      </c>
      <c r="M3556" t="str">
        <v>=</v>
      </c>
      <c r="N3556">
        <f>J3556+L3556</f>
        <v>1.13</v>
      </c>
      <c r="T3556" t="str">
        <v>x</v>
      </c>
      <c r="U3556">
        <f>0.006165*F3556^2</f>
        <v>0.39456</v>
      </c>
      <c r="V3556" t="str">
        <v>x</v>
      </c>
      <c r="W3556">
        <f>IF(D3537&gt;4*G3535,ROUND(MAX(D3537/4,2*G3535)/H3556,0)+1,0)</f>
        <v>13</v>
      </c>
      <c r="X3556" t="str">
        <v>x</v>
      </c>
      <c r="Y3556">
        <f>D3540</f>
        <v>1</v>
      </c>
      <c r="Z3556" t="str">
        <v>=</v>
      </c>
      <c r="AA3556">
        <f>N3556*U3556*W3556*Y3556</f>
        <v>5.7960864</v>
      </c>
    </row>
    <row r="3558">
      <c r="A3558" t="str">
        <f>A3534</f>
        <v>Lantai 1</v>
      </c>
      <c r="B3558">
        <f>B3534</f>
        <v>21</v>
      </c>
      <c r="C3558" t="str">
        <v>Kait Horizontal Tump.</v>
      </c>
      <c r="D3558">
        <f>VLOOKUP(D3534,'Detail Balok'!$C$10:$BJ$110,46,FALSE)</f>
        <v>0</v>
      </c>
      <c r="E3558" t="str">
        <v>D</v>
      </c>
      <c r="F3558">
        <f>VLOOKUP(D3534,'Detail Balok'!$C$10:$BJ$110,48,FALSE)</f>
        <v>0</v>
      </c>
      <c r="G3558" t="str">
        <v>-</v>
      </c>
      <c r="H3558">
        <f>VLOOKUP(D3534,'Detail Balok'!$C$10:$BJ$110,50,FALSE)</f>
        <v>100</v>
      </c>
      <c r="J3558">
        <f>(D3535-2*F$5)/1000</f>
        <v>0.12</v>
      </c>
      <c r="K3558" t="str">
        <v>+</v>
      </c>
      <c r="L3558">
        <f>IF(D3558=0,2*MAX(6*F3558,75),(D3558-1)*2*MAX(6*F3558,75))/1000</f>
        <v>0.15</v>
      </c>
      <c r="M3558" t="str">
        <v>=</v>
      </c>
      <c r="N3558">
        <f>J3558+L3558</f>
        <v>0.27</v>
      </c>
      <c r="T3558" t="str">
        <v>x</v>
      </c>
      <c r="U3558">
        <f>0.006165*F3558^2</f>
        <v>0</v>
      </c>
      <c r="V3558" t="str">
        <v>x</v>
      </c>
      <c r="W3558">
        <f>W3554</f>
        <v>13</v>
      </c>
      <c r="X3558" t="str">
        <v>x</v>
      </c>
      <c r="Y3558">
        <f>D3544</f>
        <v>0</v>
      </c>
      <c r="Z3558" t="str">
        <v>=</v>
      </c>
      <c r="AA3558">
        <f>N3558*U3558*W3558*Y3558</f>
        <v>0</v>
      </c>
    </row>
    <row r="3559">
      <c r="A3559" t="str">
        <f>A3534</f>
        <v>Lantai 1</v>
      </c>
      <c r="B3559">
        <f>B3534</f>
        <v>21</v>
      </c>
      <c r="C3559" t="str">
        <v>Kait Horizontal Lap.</v>
      </c>
      <c r="D3559">
        <f>VLOOKUP(D3534,'Detail Balok'!$C$10:$BJ$110,51,FALSE)</f>
        <v>0</v>
      </c>
      <c r="E3559" t="str">
        <v>D</v>
      </c>
      <c r="F3559">
        <f>VLOOKUP(D3534,'Detail Balok'!$C$10:$BJ$110,53,FALSE)</f>
        <v>0</v>
      </c>
      <c r="G3559" t="str">
        <v>-</v>
      </c>
      <c r="H3559">
        <f>VLOOKUP(D3534,'Detail Balok'!$C$10:$BJ$110,55,FALSE)</f>
        <v>100</v>
      </c>
      <c r="J3559">
        <f>(D3535-2*F$5)/1000</f>
        <v>0.12</v>
      </c>
      <c r="K3559" t="str">
        <v>+</v>
      </c>
      <c r="L3559">
        <f>IF(D3559=0,2*MAX(6*F3559,75),(D3559-1)*2*MAX(6*F3559,75))/1000</f>
        <v>0.15</v>
      </c>
      <c r="M3559" t="str">
        <v>=</v>
      </c>
      <c r="N3559">
        <f>J3559+L3559</f>
        <v>0.27</v>
      </c>
      <c r="T3559" t="str">
        <v>x</v>
      </c>
      <c r="U3559">
        <f>0.006165*F3559^2</f>
        <v>0</v>
      </c>
      <c r="V3559" t="str">
        <v>x</v>
      </c>
      <c r="W3559">
        <f>W3555</f>
        <v>6</v>
      </c>
      <c r="X3559" t="str">
        <v>x</v>
      </c>
      <c r="Y3559">
        <f>D3544</f>
        <v>0</v>
      </c>
      <c r="Z3559" t="str">
        <v>=</v>
      </c>
      <c r="AA3559">
        <f>N3559*U3559*W3559*Y3559</f>
        <v>0</v>
      </c>
    </row>
    <row r="3560">
      <c r="A3560" t="str">
        <f>A3534</f>
        <v>Lantai 1</v>
      </c>
      <c r="B3560">
        <f>B3534</f>
        <v>21</v>
      </c>
      <c r="C3560" t="str">
        <v>Kait Horizontal Tump.</v>
      </c>
      <c r="D3560">
        <f>VLOOKUP(D3534,'Detail Balok'!$C$10:$BJ$110,56,FALSE)</f>
        <v>0</v>
      </c>
      <c r="E3560" t="str">
        <v>D</v>
      </c>
      <c r="F3560">
        <f>VLOOKUP(D3534,'Detail Balok'!$C$10:$BJ$110,58,FALSE)</f>
        <v>0</v>
      </c>
      <c r="G3560" t="str">
        <v>-</v>
      </c>
      <c r="H3560">
        <f>VLOOKUP(D3534,'Detail Balok'!$C$10:$BJ$110,60,FALSE)</f>
        <v>100</v>
      </c>
      <c r="J3560">
        <f>(D3535-2*F$5)/1000</f>
        <v>0.12</v>
      </c>
      <c r="K3560" t="str">
        <v>+</v>
      </c>
      <c r="L3560">
        <f>IF(D3560=0,2*MAX(6*F3560,75),(D3560-1)*2*MAX(6*F3560,75))/1000</f>
        <v>0.15</v>
      </c>
      <c r="M3560" t="str">
        <v>=</v>
      </c>
      <c r="N3560">
        <f>J3560+L3560</f>
        <v>0.27</v>
      </c>
      <c r="T3560" t="str">
        <v>x</v>
      </c>
      <c r="U3560">
        <f>0.006165*F3560^2</f>
        <v>0</v>
      </c>
      <c r="V3560" t="str">
        <v>x</v>
      </c>
      <c r="W3560">
        <f>W3556</f>
        <v>13</v>
      </c>
      <c r="X3560" t="str">
        <v>x</v>
      </c>
      <c r="Y3560">
        <f>D3544</f>
        <v>0</v>
      </c>
      <c r="Z3560" t="str">
        <v>=</v>
      </c>
      <c r="AA3560">
        <f>N3560*U3560*W3560*Y3560</f>
        <v>0</v>
      </c>
    </row>
    <row r="3564">
      <c r="A3564" t="str">
        <f>A3534</f>
        <v>Lantai 1</v>
      </c>
      <c r="B3564">
        <f>B3534+1</f>
        <v>22</v>
      </c>
      <c r="C3564" t="str">
        <f>CONCATENATE(A3564," no. ",B3564)</f>
        <v>Lantai 1 no. 22</v>
      </c>
      <c r="D3564" t="str">
        <f>VLOOKUP(C3564,'Data Panjang Balok'!$C$9:$N$424,2,FALSE)</f>
        <v>B57-1</v>
      </c>
    </row>
    <row r="3565">
      <c r="C3565" t="str">
        <v>Dimensi</v>
      </c>
      <c r="D3565">
        <f>VLOOKUP(D3564,'Detail Balok'!$C$10:$AU$110,2,FALSE)</f>
        <v>500</v>
      </c>
      <c r="F3565" t="str">
        <v>x</v>
      </c>
      <c r="G3565">
        <f>VLOOKUP(D3564,'Detail Balok'!$C$10:$AU$110,3,FALSE)</f>
        <v>700</v>
      </c>
    </row>
    <row r="3566">
      <c r="C3566" t="str">
        <v>Panjang as ke as</v>
      </c>
      <c r="D3566">
        <f>VLOOKUP(C3564,'Data Panjang Balok'!$C$9:$N$424,4,FALSE)</f>
        <v>11100</v>
      </c>
    </row>
    <row r="3567">
      <c r="C3567" t="str">
        <v>Panjang netto</v>
      </c>
      <c r="D3567">
        <f>VLOOKUP(C3564,'Data Panjang Balok'!$C$9:$N$424,7,FALSE)</f>
        <v>11100</v>
      </c>
    </row>
    <row r="3568">
      <c r="C3568" t="str">
        <v>Kolom / balok kiri</v>
      </c>
      <c r="D3568">
        <f>VLOOKUP(C3564,'Data Panjang Balok'!$C$9:$N$424,9,FALSE)</f>
        <v>0</v>
      </c>
    </row>
    <row r="3569">
      <c r="C3569" t="str">
        <v>Kolom / balok kanan</v>
      </c>
      <c r="D3569">
        <f>VLOOKUP(C3564,'Data Panjang Balok'!$C$9:$N$424,10,FALSE)</f>
        <v>0</v>
      </c>
    </row>
    <row r="3570">
      <c r="C3570" t="str">
        <v>Jumlah</v>
      </c>
      <c r="D3570">
        <f>VLOOKUP(C3564,'Data Panjang Balok'!$C$9:$N$424,3,FALSE)</f>
        <v>1</v>
      </c>
    </row>
    <row r="3571">
      <c r="A3571" t="str">
        <f>A3564</f>
        <v>Lantai 1</v>
      </c>
      <c r="B3571">
        <f>B3564</f>
        <v>22</v>
      </c>
      <c r="C3571" t="str">
        <v>Tul Atas Tumpuan</v>
      </c>
      <c r="D3571">
        <f>VLOOKUP(D3564,'Detail Balok'!$C$10:$AU$110,4,FALSE)</f>
        <v>5</v>
      </c>
      <c r="E3571" t="str">
        <v>D</v>
      </c>
      <c r="F3571">
        <f>VLOOKUP(D3564,'Detail Balok'!$C$10:$AU$110,6,FALSE)</f>
        <v>22</v>
      </c>
      <c r="I3571" t="str">
        <v>(</v>
      </c>
      <c r="J3571">
        <f>+D3566/4/1000</f>
        <v>2.775</v>
      </c>
      <c r="K3571" t="str">
        <v>+</v>
      </c>
      <c r="L3571">
        <f>MAX(VLOOKUP(F3571,N$6:P$15,3,FALSE)/1000,2/3*D3568/1000)+F$16*F3571/1000</f>
        <v>0.264</v>
      </c>
      <c r="M3571" t="str">
        <v>=</v>
      </c>
      <c r="N3571">
        <f>J3571+L3571</f>
        <v>3.0389999999999997</v>
      </c>
      <c r="O3571" t="str">
        <v>+</v>
      </c>
      <c r="P3571">
        <f>D3571-D3572</f>
        <v>0</v>
      </c>
      <c r="Q3571" t="str">
        <v>x</v>
      </c>
      <c r="R3571">
        <f>IF(P3571&gt;0,$F$18*F3571/1000,0)</f>
        <v>0</v>
      </c>
      <c r="S3571" t="str">
        <v>)</v>
      </c>
      <c r="T3571" t="str">
        <v>x</v>
      </c>
      <c r="U3571">
        <f>0.006165*F3571^2</f>
        <v>2.98386</v>
      </c>
      <c r="X3571" t="str">
        <v>x</v>
      </c>
      <c r="Y3571">
        <f>D3570</f>
        <v>1</v>
      </c>
      <c r="Z3571" t="str">
        <v>=</v>
      </c>
      <c r="AA3571">
        <f>IF(AA3574=0,(D3571*N3571+P3571*R3571)*U3571*Y3571,0)</f>
        <v>0</v>
      </c>
    </row>
    <row r="3572">
      <c r="A3572" t="str">
        <f>A3564</f>
        <v>Lantai 1</v>
      </c>
      <c r="B3572">
        <f>B3564</f>
        <v>22</v>
      </c>
      <c r="C3572" t="str">
        <v>Tul Atas Lapangan</v>
      </c>
      <c r="D3572">
        <f>VLOOKUP(D3564,'Detail Balok'!$C$10:$AU$110,7,FALSE)</f>
        <v>5</v>
      </c>
      <c r="E3572" t="str">
        <v>D</v>
      </c>
      <c r="F3572">
        <f>VLOOKUP(D3564,'Detail Balok'!$C$10:$AU$110,9,FALSE)</f>
        <v>22</v>
      </c>
      <c r="I3572" t="str">
        <v>(</v>
      </c>
      <c r="J3572">
        <f>+D3566/2/1000</f>
        <v>5.55</v>
      </c>
      <c r="K3572" t="str">
        <v>+</v>
      </c>
      <c r="M3572" t="str">
        <v>=</v>
      </c>
      <c r="N3572">
        <f>J3572+L3572</f>
        <v>5.55</v>
      </c>
      <c r="O3572" t="str">
        <v>+</v>
      </c>
      <c r="P3572">
        <f>MAX(D3572-D3571,D3572-D3573)</f>
        <v>0</v>
      </c>
      <c r="Q3572" t="str">
        <v>x</v>
      </c>
      <c r="R3572">
        <f>IF(P3572&gt;0,2*(1-2*$F$19-1/2)*D3567/1000,0)</f>
        <v>0</v>
      </c>
      <c r="S3572" t="str">
        <v>)</v>
      </c>
      <c r="T3572" t="str">
        <v>x</v>
      </c>
      <c r="U3572">
        <f>0.006165*F3572^2</f>
        <v>2.98386</v>
      </c>
      <c r="X3572" t="str">
        <v>x</v>
      </c>
      <c r="Y3572">
        <f>D3570</f>
        <v>1</v>
      </c>
      <c r="Z3572" t="str">
        <v>=</v>
      </c>
      <c r="AA3572">
        <f>IF(AA3574=0,(D3572*N3572+P3572*R3572)*U3572*Y3572,0)</f>
        <v>0</v>
      </c>
    </row>
    <row r="3573">
      <c r="A3573" t="str">
        <f>A3564</f>
        <v>Lantai 1</v>
      </c>
      <c r="B3573">
        <f>B3564</f>
        <v>22</v>
      </c>
      <c r="C3573" t="str">
        <v>Tul Atas Tumpuan</v>
      </c>
      <c r="D3573">
        <f>VLOOKUP(D3564,'Detail Balok'!$C$10:$AU$110,10,FALSE)</f>
        <v>5</v>
      </c>
      <c r="E3573" t="str">
        <v>D</v>
      </c>
      <c r="F3573">
        <f>VLOOKUP(D3564,'Detail Balok'!$C$10:$AU$110,12,FALSE)</f>
        <v>22</v>
      </c>
      <c r="I3573" t="str">
        <v>(</v>
      </c>
      <c r="J3573">
        <f>+D3566/4/1000</f>
        <v>2.775</v>
      </c>
      <c r="K3573" t="str">
        <v>+</v>
      </c>
      <c r="L3573">
        <f>MAX(VLOOKUP(F3573,N$6:P$15,3,FALSE)/1000,2/3*D3568/1000)+F$16*F3573/1000</f>
        <v>0.264</v>
      </c>
      <c r="M3573" t="str">
        <v>=</v>
      </c>
      <c r="N3573">
        <f>J3573+L3573</f>
        <v>3.0389999999999997</v>
      </c>
      <c r="O3573" t="str">
        <v>+</v>
      </c>
      <c r="P3573">
        <f>D3573-D3572</f>
        <v>0</v>
      </c>
      <c r="Q3573" t="str">
        <v>x</v>
      </c>
      <c r="R3573">
        <f>IF(P3573&gt;0,$F$18*F3573/1000,0)</f>
        <v>0</v>
      </c>
      <c r="S3573" t="str">
        <v>)</v>
      </c>
      <c r="T3573" t="str">
        <v>x</v>
      </c>
      <c r="U3573">
        <f>0.006165*F3573^2</f>
        <v>2.98386</v>
      </c>
      <c r="X3573" t="str">
        <v>x</v>
      </c>
      <c r="Y3573">
        <f>D3570</f>
        <v>1</v>
      </c>
      <c r="Z3573" t="str">
        <v>=</v>
      </c>
      <c r="AA3573">
        <f>IF(AA3574=0,(D3573*N3573+P3573*R3573)*U3573*Y3573,0)</f>
        <v>0</v>
      </c>
    </row>
    <row r="3574">
      <c r="A3574" t="str">
        <f>A3564</f>
        <v>Lantai 1</v>
      </c>
      <c r="B3574">
        <f>B3564</f>
        <v>22</v>
      </c>
      <c r="D3574">
        <f>IF(AND(D3571=D3572,D3572=D3573,D3571=D3573),D3571,0)</f>
        <v>5</v>
      </c>
      <c r="E3574" t="str">
        <v>D</v>
      </c>
      <c r="F3574">
        <f>IF(AND(F3571=F3572,F3571=F3573,F3572=F3573),F3571,0)</f>
        <v>22</v>
      </c>
      <c r="L3574" t="str">
        <v>Total panjang per balok</v>
      </c>
      <c r="M3574" t="str">
        <v>=</v>
      </c>
      <c r="N3574">
        <f>IF(AND(D3571=D3572,D3571=D3573,D3572=D3573,F3571=F3572,F3571=F3573,F3572=F3573),SUM(N3571:N3573),0)</f>
        <v>11.627999999999998</v>
      </c>
      <c r="O3574" t="str">
        <v>+</v>
      </c>
      <c r="P3574">
        <f>IF(N3574&gt;12,ROUNDDOWN(N3574/12,0),0)</f>
        <v>0</v>
      </c>
      <c r="Q3574" t="str">
        <v>x</v>
      </c>
      <c r="R3574">
        <f>IF(P3574&gt;0,MAX(VLOOKUP(F3574,$D$6:$G$15,3,FALSE),600),0)/1000</f>
        <v>0</v>
      </c>
      <c r="T3574" t="str">
        <v>x</v>
      </c>
      <c r="U3574">
        <f>U3573</f>
        <v>2.98386</v>
      </c>
      <c r="V3574" t="str">
        <v>x</v>
      </c>
      <c r="W3574">
        <f>D3574</f>
        <v>5</v>
      </c>
      <c r="X3574" t="str">
        <v>x</v>
      </c>
      <c r="Y3574">
        <f>Y3573</f>
        <v>1</v>
      </c>
      <c r="Z3574" t="str">
        <v>=</v>
      </c>
      <c r="AA3574">
        <f>(N3574+P3574*R3574/1000)*U3574*W3574*Y3574</f>
        <v>173.4816204</v>
      </c>
    </row>
    <row r="3576">
      <c r="A3576" t="str">
        <f>A3564</f>
        <v>Lantai 1</v>
      </c>
      <c r="B3576">
        <f>B3564</f>
        <v>22</v>
      </c>
      <c r="C3576" t="str">
        <v>Tul Peminggang</v>
      </c>
      <c r="D3576">
        <f>VLOOKUP(D3564,'Detail Balok'!$C$10:$AU$110,13,FALSE)</f>
        <v>2</v>
      </c>
      <c r="E3576" t="str">
        <v>D</v>
      </c>
      <c r="F3576">
        <f>VLOOKUP(D3564,'Detail Balok'!$C$10:$AU$110,15,FALSE)</f>
        <v>13</v>
      </c>
      <c r="J3576">
        <f>+D3566/1000</f>
        <v>11.1</v>
      </c>
      <c r="K3576" t="str">
        <v>+</v>
      </c>
      <c r="L3576">
        <f>2*$F$16*F3576/1000</f>
        <v>0.312</v>
      </c>
      <c r="M3576" t="str">
        <v>=</v>
      </c>
      <c r="N3576">
        <f>J3576+L3576</f>
        <v>11.411999999999999</v>
      </c>
      <c r="O3576" t="str">
        <v>+</v>
      </c>
      <c r="P3576">
        <f>IF(N3576&gt;12,ROUNDDOWN(N3576/12,0),0)</f>
        <v>0</v>
      </c>
      <c r="Q3576" t="str">
        <v>x</v>
      </c>
      <c r="R3576">
        <f>IF(P3576&gt;0,MAX(VLOOKUP(F3576,$D$6:$G$15,3,FALSE),600),0)/1000</f>
        <v>0</v>
      </c>
      <c r="T3576" t="str">
        <v>x</v>
      </c>
      <c r="U3576">
        <f>0.006165*F3576^2</f>
        <v>1.041885</v>
      </c>
      <c r="V3576" t="str">
        <v>x</v>
      </c>
      <c r="W3576">
        <f>+D3576</f>
        <v>2</v>
      </c>
      <c r="X3576" t="str">
        <v>x</v>
      </c>
      <c r="Y3576">
        <f>D3570</f>
        <v>1</v>
      </c>
      <c r="Z3576" t="str">
        <v>=</v>
      </c>
      <c r="AA3576">
        <f>(N3576+P3576*R3576/1000)*U3576*W3576*Y3576</f>
        <v>23.779983239999996</v>
      </c>
    </row>
    <row r="3579">
      <c r="A3579" t="str">
        <f>A3564</f>
        <v>Lantai 1</v>
      </c>
      <c r="B3579">
        <f>B3564</f>
        <v>22</v>
      </c>
      <c r="C3579" t="str">
        <v>Tul Bawah Tumpuan</v>
      </c>
      <c r="D3579">
        <f>VLOOKUP(D3564,'Detail Balok'!$C$10:$AU$110,22,FALSE)</f>
        <v>5</v>
      </c>
      <c r="E3579" t="str">
        <v>D</v>
      </c>
      <c r="F3579">
        <f>VLOOKUP(D3564,'Detail Balok'!$C$10:$AU$110,24,FALSE)</f>
        <v>22</v>
      </c>
      <c r="I3579" t="str">
        <v>(</v>
      </c>
      <c r="J3579">
        <f>+J3571</f>
        <v>2.775</v>
      </c>
      <c r="K3579" t="str">
        <v>+</v>
      </c>
      <c r="L3579">
        <f>MAX(VLOOKUP(F3579,N$6:P$15,3,FALSE)/1000,2/3*D3569/1000)+F$16*F3579/1000</f>
        <v>0.264</v>
      </c>
      <c r="M3579" t="str">
        <v>=</v>
      </c>
      <c r="N3579">
        <f>J3579+L3579</f>
        <v>3.0389999999999997</v>
      </c>
      <c r="O3579" t="str">
        <v>+</v>
      </c>
      <c r="P3579">
        <f>D3579-D3580</f>
        <v>-5</v>
      </c>
      <c r="Q3579" t="str">
        <v>x</v>
      </c>
      <c r="R3579">
        <f>IF(P3579&gt;0,$F$18*F3579/1000,0)</f>
        <v>0</v>
      </c>
      <c r="S3579" t="str">
        <v>)</v>
      </c>
      <c r="T3579" t="str">
        <v>x</v>
      </c>
      <c r="U3579">
        <f>0.006165*F3579^2</f>
        <v>2.98386</v>
      </c>
      <c r="X3579" t="str">
        <v>x</v>
      </c>
      <c r="Y3579">
        <f>D3570</f>
        <v>1</v>
      </c>
      <c r="Z3579" t="str">
        <v>=</v>
      </c>
      <c r="AA3579">
        <f>IF(AA3582=0,(D3579*N3579+P3579*R3579)*U3579*Y3579,0)</f>
        <v>45.3397527</v>
      </c>
    </row>
    <row r="3580">
      <c r="A3580" t="str">
        <f>A3564</f>
        <v>Lantai 1</v>
      </c>
      <c r="B3580">
        <f>B3564</f>
        <v>22</v>
      </c>
      <c r="C3580" t="str">
        <v>Tul Bawah Lapangan</v>
      </c>
      <c r="D3580">
        <f>VLOOKUP(D3564,'Detail Balok'!$C$10:$AU$110,25,FALSE)</f>
        <v>10</v>
      </c>
      <c r="E3580" t="str">
        <v>D</v>
      </c>
      <c r="F3580">
        <f>VLOOKUP(D3564,'Detail Balok'!$C$10:$AU$110,27,FALSE)</f>
        <v>22</v>
      </c>
      <c r="I3580" t="str">
        <v>(</v>
      </c>
      <c r="J3580">
        <f>+J3572</f>
        <v>5.55</v>
      </c>
      <c r="K3580" t="str">
        <v>+</v>
      </c>
      <c r="M3580" t="str">
        <v>=</v>
      </c>
      <c r="N3580">
        <f>J3580+L3580</f>
        <v>5.55</v>
      </c>
      <c r="O3580" t="str">
        <v>+</v>
      </c>
      <c r="P3580">
        <f>MAX(D3580-D3579,D3580-D3581)</f>
        <v>5</v>
      </c>
      <c r="Q3580" t="str">
        <v>x</v>
      </c>
      <c r="R3580">
        <f>IF(P3580&gt;0,2*(1-2*$F$19-1/2)*D3567/1000,0)</f>
        <v>2.2199999999999998</v>
      </c>
      <c r="S3580" t="str">
        <v>)</v>
      </c>
      <c r="T3580" t="str">
        <v>x</v>
      </c>
      <c r="U3580">
        <f>0.006165*F3580^2</f>
        <v>2.98386</v>
      </c>
      <c r="X3580" t="str">
        <v>x</v>
      </c>
      <c r="Y3580">
        <f>D3570</f>
        <v>1</v>
      </c>
      <c r="Z3580" t="str">
        <v>=</v>
      </c>
      <c r="AA3580">
        <f>IF(AA3582=0,(D3580*N3580+P3580*R3580)*U3580*Y3580,0)</f>
        <v>198.72507599999997</v>
      </c>
    </row>
    <row r="3581">
      <c r="A3581" t="str">
        <f>A3564</f>
        <v>Lantai 1</v>
      </c>
      <c r="B3581">
        <f>B3564</f>
        <v>22</v>
      </c>
      <c r="C3581" t="str">
        <v>Tul Bawah Tumpuan</v>
      </c>
      <c r="D3581">
        <f>VLOOKUP(D3564,'Detail Balok'!$C$10:$AU$110,28,FALSE)</f>
        <v>5</v>
      </c>
      <c r="E3581" t="str">
        <v>D</v>
      </c>
      <c r="F3581">
        <f>VLOOKUP(D3564,'Detail Balok'!$C$10:$AU$110,30,FALSE)</f>
        <v>22</v>
      </c>
      <c r="I3581" t="str">
        <v>(</v>
      </c>
      <c r="J3581">
        <f>+J3573</f>
        <v>2.775</v>
      </c>
      <c r="K3581" t="str">
        <v>+</v>
      </c>
      <c r="L3581">
        <f>MAX(VLOOKUP(F3581,N$6:P$15,3,FALSE)/1000,2/3*D3569/1000)+F$16*F3581/1000</f>
        <v>0.264</v>
      </c>
      <c r="M3581" t="str">
        <v>=</v>
      </c>
      <c r="N3581">
        <f>J3581+L3581</f>
        <v>3.0389999999999997</v>
      </c>
      <c r="O3581" t="str">
        <v>+</v>
      </c>
      <c r="P3581">
        <f>D3581-D3580</f>
        <v>-5</v>
      </c>
      <c r="Q3581" t="str">
        <v>x</v>
      </c>
      <c r="R3581">
        <f>IF(P3581&gt;0,$F$18*F3581/1000,0)</f>
        <v>0</v>
      </c>
      <c r="S3581" t="str">
        <v>)</v>
      </c>
      <c r="T3581" t="str">
        <v>x</v>
      </c>
      <c r="U3581">
        <f>0.006165*F3581^2</f>
        <v>2.98386</v>
      </c>
      <c r="X3581" t="str">
        <v>x</v>
      </c>
      <c r="Y3581">
        <f>D3570</f>
        <v>1</v>
      </c>
      <c r="Z3581" t="str">
        <v>=</v>
      </c>
      <c r="AA3581">
        <f>IF(AA3582=0,(D3581*N3581+P3581*R3581)*U3581*Y3581,0)</f>
        <v>45.3397527</v>
      </c>
    </row>
    <row r="3582">
      <c r="A3582" t="str">
        <f>A3564</f>
        <v>Lantai 1</v>
      </c>
      <c r="B3582">
        <f>B3564</f>
        <v>22</v>
      </c>
      <c r="D3582">
        <f>IF(AND(D3579=D3580,D3580=D3581,D3579=D3581),D3579,0)</f>
        <v>0</v>
      </c>
      <c r="E3582" t="str">
        <v>D</v>
      </c>
      <c r="F3582">
        <f>IF(AND(F3579=F3580,F3579=F3581,F3580=F3581),F3579,0)</f>
        <v>22</v>
      </c>
      <c r="L3582" t="str">
        <v>Total panjang per balok</v>
      </c>
      <c r="M3582" t="str">
        <v>=</v>
      </c>
      <c r="N3582">
        <f>IF(AND(D3579=D3580,D3579=D3581,D3580=D3581,F3579=F3580,F3579=F3581,F3580=F3581),SUM(N3579:N3581),0)</f>
        <v>0</v>
      </c>
      <c r="O3582" t="str">
        <v>+</v>
      </c>
      <c r="P3582">
        <f>IF(N3582&gt;12,ROUNDDOWN(N3582/12,0),0)</f>
        <v>0</v>
      </c>
      <c r="Q3582" t="str">
        <v>x</v>
      </c>
      <c r="R3582">
        <f>IF(P3582&gt;0,MAX(VLOOKUP(F3582,$D$6:$G$15,3,FALSE),600),0)/1000</f>
        <v>0</v>
      </c>
      <c r="T3582" t="str">
        <v>x</v>
      </c>
      <c r="U3582">
        <f>U3581</f>
        <v>2.98386</v>
      </c>
      <c r="V3582" t="str">
        <v>x</v>
      </c>
      <c r="W3582">
        <f>D3582</f>
        <v>0</v>
      </c>
      <c r="X3582" t="str">
        <v>x</v>
      </c>
      <c r="Y3582">
        <f>Y3581</f>
        <v>1</v>
      </c>
      <c r="Z3582" t="str">
        <v>=</v>
      </c>
      <c r="AA3582">
        <f>(N3582+P3582*R3582/1000)*U3582*W3582*Y3582</f>
        <v>0</v>
      </c>
    </row>
    <row r="3584">
      <c r="A3584" t="str">
        <f>A3564</f>
        <v>Lantai 1</v>
      </c>
      <c r="B3584">
        <f>B3564</f>
        <v>22</v>
      </c>
      <c r="C3584" t="str">
        <v>Sengkang Tumpuan</v>
      </c>
      <c r="D3584">
        <f>VLOOKUP(D3564,'Detail Balok'!$C$10:$AU$110,31,FALSE)</f>
        <v>3</v>
      </c>
      <c r="E3584" t="str">
        <v>D</v>
      </c>
      <c r="F3584">
        <f>VLOOKUP(D3564,'Detail Balok'!$C$10:$AU$110,33,FALSE)</f>
        <v>13</v>
      </c>
      <c r="G3584" t="str">
        <v>-</v>
      </c>
      <c r="H3584">
        <f>VLOOKUP(D3564,'Detail Balok'!$C$10:$AU$110,35,FALSE)</f>
        <v>75</v>
      </c>
      <c r="J3584">
        <f>(IF(D3584=0,(2*(D3565+G3565))-(F$5*8),IF(D3584=3,(2*(D3565+G3565))-(F$5*8)+(G3565-2*F$5),IF(D3584=4,(2*(D3565+G3565))-(F$5*8)+2*(G3565-2*F$5)))))/1000</f>
        <v>2.7</v>
      </c>
      <c r="K3584" t="str">
        <v>+</v>
      </c>
      <c r="L3584">
        <f>IF(D3584=0,2*MAX(6*F3584,75),(D3584-1)*2*MAX(6*F3584,75))/1000</f>
        <v>0.312</v>
      </c>
      <c r="M3584" t="str">
        <v>=</v>
      </c>
      <c r="N3584">
        <f>J3584+L3584</f>
        <v>3.012</v>
      </c>
      <c r="T3584" t="str">
        <v>x</v>
      </c>
      <c r="U3584">
        <f>0.006165*F3584^2</f>
        <v>1.041885</v>
      </c>
      <c r="V3584" t="str">
        <v>x</v>
      </c>
      <c r="W3584">
        <f>IF(D3567&gt;4*G3565,ROUND(MAX(D3567/4,2*G3565)/H3584,0)+1,ROUND(D3567/H3584,0)+1)</f>
        <v>38</v>
      </c>
      <c r="X3584" t="str">
        <v>x</v>
      </c>
      <c r="Y3584">
        <f>D3570</f>
        <v>1</v>
      </c>
      <c r="Z3584" t="str">
        <v>=</v>
      </c>
      <c r="AA3584">
        <f>N3584*U3584*W3584*Y3584</f>
        <v>119.24998955999999</v>
      </c>
    </row>
    <row r="3585">
      <c r="A3585" t="str">
        <f>A3564</f>
        <v>Lantai 1</v>
      </c>
      <c r="B3585">
        <f>B3564</f>
        <v>22</v>
      </c>
      <c r="C3585" t="str">
        <v>Sengkang Lapangan</v>
      </c>
      <c r="D3585">
        <f>VLOOKUP(D3564,'Detail Balok'!$C$10:$AU$110,36,FALSE)</f>
        <v>0</v>
      </c>
      <c r="E3585" t="str">
        <v>D</v>
      </c>
      <c r="F3585">
        <f>VLOOKUP(D3564,'Detail Balok'!$C$10:$AU$110,38,FALSE)</f>
        <v>13</v>
      </c>
      <c r="G3585" t="str">
        <v>-</v>
      </c>
      <c r="H3585">
        <f>VLOOKUP(D3564,'Detail Balok'!$C$10:$AU$110,40,FALSE)</f>
        <v>150</v>
      </c>
      <c r="J3585">
        <f>(IF(D3585=0,(2*(D3565+G3565))-(F$5*8),IF(D3585=3,(2*(D3565+G3565))-(F$5*8)+(G3565-2*F$5),IF(D3585=4,(2*(D3565+G3565))-(F$5*8)+2*(G3565-2*F$5)))))/1000</f>
        <v>2.08</v>
      </c>
      <c r="K3585" t="str">
        <v>+</v>
      </c>
      <c r="L3585">
        <f>IF(D3585=0,2*MAX(6*F3585,75),(D3585-1)*2*MAX(6*F3585,75))/1000</f>
        <v>0.156</v>
      </c>
      <c r="M3585" t="str">
        <v>=</v>
      </c>
      <c r="N3585">
        <f>J3585+L3585</f>
        <v>2.236</v>
      </c>
      <c r="T3585" t="str">
        <v>x</v>
      </c>
      <c r="U3585">
        <f>0.006165*F3585^2</f>
        <v>1.041885</v>
      </c>
      <c r="V3585" t="str">
        <v>x</v>
      </c>
      <c r="W3585">
        <f>IF(D3567-MAX(D3567/4,2*G3565)*2&gt;0,ROUND((D3567-MAX(D3567/4,2*G3565)*2)/H3585,0),0)</f>
        <v>37</v>
      </c>
      <c r="X3585" t="str">
        <v>x</v>
      </c>
      <c r="Y3585">
        <f>D3570</f>
        <v>1</v>
      </c>
      <c r="Z3585" t="str">
        <v>=</v>
      </c>
      <c r="AA3585">
        <f>N3585*U3585*W3585*Y3585</f>
        <v>86.19722982</v>
      </c>
    </row>
    <row r="3586">
      <c r="A3586" t="str">
        <f>A3564</f>
        <v>Lantai 1</v>
      </c>
      <c r="B3586">
        <f>B3564</f>
        <v>22</v>
      </c>
      <c r="C3586" t="str">
        <v>Sengkang Tumpuan</v>
      </c>
      <c r="D3586">
        <f>VLOOKUP(D3564,'Detail Balok'!$C$10:$AU$110,41,FALSE)</f>
        <v>3</v>
      </c>
      <c r="E3586" t="str">
        <v>D</v>
      </c>
      <c r="F3586">
        <f>VLOOKUP(D3564,'Detail Balok'!$C$10:$AU$110,43,FALSE)</f>
        <v>13</v>
      </c>
      <c r="G3586" t="str">
        <v>-</v>
      </c>
      <c r="H3586">
        <f>VLOOKUP(D3564,'Detail Balok'!$C$10:$AU$110,45,FALSE)</f>
        <v>75</v>
      </c>
      <c r="J3586">
        <f>(IF(D3586=0,(2*(D3565+G3565))-(F$5*8),IF(D3586=3,(2*(D3565+G3565))-(F$5*8)+(G3565-2*F$5),IF(D3586=4,(2*(D3565+G3565))-(F$5*8)+2*(G3565-2*F$5)))))/1000</f>
        <v>2.7</v>
      </c>
      <c r="K3586" t="str">
        <v>+</v>
      </c>
      <c r="L3586">
        <f>IF(D3586=0,2*MAX(6*F3586,75),(D3586-1)*2*MAX(6*F3586,75))/1000</f>
        <v>0.312</v>
      </c>
      <c r="M3586" t="str">
        <v>=</v>
      </c>
      <c r="N3586">
        <f>J3586+L3586</f>
        <v>3.012</v>
      </c>
      <c r="T3586" t="str">
        <v>x</v>
      </c>
      <c r="U3586">
        <f>0.006165*F3586^2</f>
        <v>1.041885</v>
      </c>
      <c r="V3586" t="str">
        <v>x</v>
      </c>
      <c r="W3586">
        <f>IF(D3567&gt;4*G3565,ROUND(MAX(D3567/4,2*G3565)/H3586,0)+1,0)</f>
        <v>38</v>
      </c>
      <c r="X3586" t="str">
        <v>x</v>
      </c>
      <c r="Y3586">
        <f>D3570</f>
        <v>1</v>
      </c>
      <c r="Z3586" t="str">
        <v>=</v>
      </c>
      <c r="AA3586">
        <f>N3586*U3586*W3586*Y3586</f>
        <v>119.24998955999999</v>
      </c>
    </row>
    <row r="3588">
      <c r="A3588" t="str">
        <f>A3564</f>
        <v>Lantai 1</v>
      </c>
      <c r="B3588">
        <f>B3564</f>
        <v>22</v>
      </c>
      <c r="C3588" t="str">
        <v>Kait Horizontal Tump.</v>
      </c>
      <c r="D3588">
        <f>VLOOKUP(D3564,'Detail Balok'!$C$10:$BJ$110,46,FALSE)</f>
        <v>0</v>
      </c>
      <c r="E3588" t="str">
        <v>D</v>
      </c>
      <c r="F3588">
        <f>VLOOKUP(D3564,'Detail Balok'!$C$10:$BJ$110,48,FALSE)</f>
        <v>0</v>
      </c>
      <c r="G3588" t="str">
        <v>-</v>
      </c>
      <c r="H3588">
        <f>VLOOKUP(D3564,'Detail Balok'!$C$10:$BJ$110,50,FALSE)</f>
        <v>100</v>
      </c>
      <c r="J3588">
        <f>(D3565-2*F$5)/1000</f>
        <v>0.42</v>
      </c>
      <c r="K3588" t="str">
        <v>+</v>
      </c>
      <c r="L3588">
        <f>IF(D3588=0,2*MAX(6*F3588,75),(D3588-1)*2*MAX(6*F3588,75))/1000</f>
        <v>0.15</v>
      </c>
      <c r="M3588" t="str">
        <v>=</v>
      </c>
      <c r="N3588">
        <f>J3588+L3588</f>
        <v>0.57</v>
      </c>
      <c r="T3588" t="str">
        <v>x</v>
      </c>
      <c r="U3588">
        <f>0.006165*F3588^2</f>
        <v>0</v>
      </c>
      <c r="V3588" t="str">
        <v>x</v>
      </c>
      <c r="W3588">
        <f>W3584</f>
        <v>38</v>
      </c>
      <c r="X3588" t="str">
        <v>x</v>
      </c>
      <c r="Y3588">
        <f>D3574</f>
        <v>5</v>
      </c>
      <c r="Z3588" t="str">
        <v>=</v>
      </c>
      <c r="AA3588">
        <f>N3588*U3588*W3588*Y3588</f>
        <v>0</v>
      </c>
    </row>
    <row r="3589">
      <c r="A3589" t="str">
        <f>A3564</f>
        <v>Lantai 1</v>
      </c>
      <c r="B3589">
        <f>B3564</f>
        <v>22</v>
      </c>
      <c r="C3589" t="str">
        <v>Kait Horizontal Lap.</v>
      </c>
      <c r="D3589">
        <f>VLOOKUP(D3564,'Detail Balok'!$C$10:$BJ$110,51,FALSE)</f>
        <v>0</v>
      </c>
      <c r="E3589" t="str">
        <v>D</v>
      </c>
      <c r="F3589">
        <f>VLOOKUP(D3564,'Detail Balok'!$C$10:$BJ$110,53,FALSE)</f>
        <v>0</v>
      </c>
      <c r="G3589" t="str">
        <v>-</v>
      </c>
      <c r="H3589">
        <f>VLOOKUP(D3564,'Detail Balok'!$C$10:$BJ$110,55,FALSE)</f>
        <v>100</v>
      </c>
      <c r="J3589">
        <f>(D3565-2*F$5)/1000</f>
        <v>0.42</v>
      </c>
      <c r="K3589" t="str">
        <v>+</v>
      </c>
      <c r="L3589">
        <f>IF(D3589=0,2*MAX(6*F3589,75),(D3589-1)*2*MAX(6*F3589,75))/1000</f>
        <v>0.15</v>
      </c>
      <c r="M3589" t="str">
        <v>=</v>
      </c>
      <c r="N3589">
        <f>J3589+L3589</f>
        <v>0.57</v>
      </c>
      <c r="T3589" t="str">
        <v>x</v>
      </c>
      <c r="U3589">
        <f>0.006165*F3589^2</f>
        <v>0</v>
      </c>
      <c r="V3589" t="str">
        <v>x</v>
      </c>
      <c r="W3589">
        <f>W3585</f>
        <v>37</v>
      </c>
      <c r="X3589" t="str">
        <v>x</v>
      </c>
      <c r="Y3589">
        <f>D3574</f>
        <v>5</v>
      </c>
      <c r="Z3589" t="str">
        <v>=</v>
      </c>
      <c r="AA3589">
        <f>N3589*U3589*W3589*Y3589</f>
        <v>0</v>
      </c>
    </row>
    <row r="3590">
      <c r="A3590" t="str">
        <f>A3564</f>
        <v>Lantai 1</v>
      </c>
      <c r="B3590">
        <f>B3564</f>
        <v>22</v>
      </c>
      <c r="C3590" t="str">
        <v>Kait Horizontal Tump.</v>
      </c>
      <c r="D3590">
        <f>VLOOKUP(D3564,'Detail Balok'!$C$10:$BJ$110,56,FALSE)</f>
        <v>0</v>
      </c>
      <c r="E3590" t="str">
        <v>D</v>
      </c>
      <c r="F3590">
        <f>VLOOKUP(D3564,'Detail Balok'!$C$10:$BJ$110,58,FALSE)</f>
        <v>0</v>
      </c>
      <c r="G3590" t="str">
        <v>-</v>
      </c>
      <c r="H3590">
        <f>VLOOKUP(D3564,'Detail Balok'!$C$10:$BJ$110,60,FALSE)</f>
        <v>100</v>
      </c>
      <c r="J3590">
        <f>(D3565-2*F$5)/1000</f>
        <v>0.42</v>
      </c>
      <c r="K3590" t="str">
        <v>+</v>
      </c>
      <c r="L3590">
        <f>IF(D3590=0,2*MAX(6*F3590,75),(D3590-1)*2*MAX(6*F3590,75))/1000</f>
        <v>0.15</v>
      </c>
      <c r="M3590" t="str">
        <v>=</v>
      </c>
      <c r="N3590">
        <f>J3590+L3590</f>
        <v>0.57</v>
      </c>
      <c r="T3590" t="str">
        <v>x</v>
      </c>
      <c r="U3590">
        <f>0.006165*F3590^2</f>
        <v>0</v>
      </c>
      <c r="V3590" t="str">
        <v>x</v>
      </c>
      <c r="W3590">
        <f>W3586</f>
        <v>38</v>
      </c>
      <c r="X3590" t="str">
        <v>x</v>
      </c>
      <c r="Y3590">
        <f>D3574</f>
        <v>5</v>
      </c>
      <c r="Z3590" t="str">
        <v>=</v>
      </c>
      <c r="AA3590">
        <f>N3590*U3590*W3590*Y3590</f>
        <v>0</v>
      </c>
    </row>
    <row r="3594">
      <c r="A3594" t="str">
        <f>A3564</f>
        <v>Lantai 1</v>
      </c>
      <c r="B3594">
        <f>B3564+1</f>
        <v>23</v>
      </c>
      <c r="C3594" t="str">
        <f>CONCATENATE(A3594," no. ",B3594)</f>
        <v>Lantai 1 no. 23</v>
      </c>
      <c r="D3594" t="str">
        <f>VLOOKUP(C3594,'Data Panjang Balok'!$C$9:$N$424,2,FALSE)</f>
        <v>B23-1</v>
      </c>
    </row>
    <row r="3595">
      <c r="C3595" t="str">
        <v>Dimensi</v>
      </c>
      <c r="D3595">
        <f>VLOOKUP(D3594,'Detail Balok'!$C$10:$AU$110,2,FALSE)</f>
        <v>200</v>
      </c>
      <c r="F3595" t="str">
        <v>x</v>
      </c>
      <c r="G3595">
        <f>VLOOKUP(D3594,'Detail Balok'!$C$10:$AU$110,3,FALSE)</f>
        <v>300</v>
      </c>
    </row>
    <row r="3596">
      <c r="C3596" t="str">
        <v>Panjang as ke as</v>
      </c>
      <c r="D3596">
        <f>VLOOKUP(C3594,'Data Panjang Balok'!$C$9:$N$424,4,FALSE)</f>
        <v>1100</v>
      </c>
    </row>
    <row r="3597">
      <c r="C3597" t="str">
        <v>Panjang netto</v>
      </c>
      <c r="D3597">
        <f>VLOOKUP(C3594,'Data Panjang Balok'!$C$9:$N$424,7,FALSE)</f>
        <v>1100</v>
      </c>
    </row>
    <row r="3598">
      <c r="C3598" t="str">
        <v>Kolom / balok kiri</v>
      </c>
      <c r="D3598">
        <f>VLOOKUP(C3594,'Data Panjang Balok'!$C$9:$N$424,9,FALSE)</f>
        <v>0</v>
      </c>
    </row>
    <row r="3599">
      <c r="C3599" t="str">
        <v>Kolom / balok kanan</v>
      </c>
      <c r="D3599">
        <f>VLOOKUP(C3594,'Data Panjang Balok'!$C$9:$N$424,10,FALSE)</f>
        <v>0</v>
      </c>
    </row>
    <row r="3600">
      <c r="C3600" t="str">
        <v>Jumlah</v>
      </c>
      <c r="D3600">
        <f>VLOOKUP(C3594,'Data Panjang Balok'!$C$9:$N$424,3,FALSE)</f>
        <v>1</v>
      </c>
    </row>
    <row r="3601">
      <c r="A3601" t="str">
        <f>A3594</f>
        <v>Lantai 1</v>
      </c>
      <c r="B3601">
        <f>B3594</f>
        <v>23</v>
      </c>
      <c r="C3601" t="str">
        <v>Tul Atas Tumpuan</v>
      </c>
      <c r="D3601">
        <f>VLOOKUP(D3594,'Detail Balok'!$C$10:$AU$110,4,FALSE)</f>
        <v>2</v>
      </c>
      <c r="E3601" t="str">
        <v>D</v>
      </c>
      <c r="F3601">
        <f>VLOOKUP(D3594,'Detail Balok'!$C$10:$AU$110,6,FALSE)</f>
        <v>13</v>
      </c>
      <c r="I3601" t="str">
        <v>(</v>
      </c>
      <c r="J3601">
        <f>+D3596/4/1000</f>
        <v>0.275</v>
      </c>
      <c r="K3601" t="str">
        <v>+</v>
      </c>
      <c r="L3601">
        <f>MAX(VLOOKUP(F3601,N$6:P$15,3,FALSE)/1000,2/3*D3598/1000)+F$16*F3601/1000</f>
        <v>0.156</v>
      </c>
      <c r="M3601" t="str">
        <v>=</v>
      </c>
      <c r="N3601">
        <f>J3601+L3601</f>
        <v>0.43100000000000005</v>
      </c>
      <c r="O3601" t="str">
        <v>+</v>
      </c>
      <c r="P3601">
        <f>D3601-D3602</f>
        <v>0</v>
      </c>
      <c r="Q3601" t="str">
        <v>x</v>
      </c>
      <c r="R3601">
        <f>IF(P3601&gt;0,$F$18*F3601/1000,0)</f>
        <v>0</v>
      </c>
      <c r="S3601" t="str">
        <v>)</v>
      </c>
      <c r="T3601" t="str">
        <v>x</v>
      </c>
      <c r="U3601">
        <f>0.006165*F3601^2</f>
        <v>1.041885</v>
      </c>
      <c r="X3601" t="str">
        <v>x</v>
      </c>
      <c r="Y3601">
        <f>D3600</f>
        <v>1</v>
      </c>
      <c r="Z3601" t="str">
        <v>=</v>
      </c>
      <c r="AA3601">
        <f>IF(AA3604=0,(D3601*N3601+P3601*R3601)*U3601*Y3601,0)</f>
        <v>0</v>
      </c>
    </row>
    <row r="3602">
      <c r="A3602" t="str">
        <f>A3594</f>
        <v>Lantai 1</v>
      </c>
      <c r="B3602">
        <f>B3594</f>
        <v>23</v>
      </c>
      <c r="C3602" t="str">
        <v>Tul Atas Lapangan</v>
      </c>
      <c r="D3602">
        <f>VLOOKUP(D3594,'Detail Balok'!$C$10:$AU$110,7,FALSE)</f>
        <v>2</v>
      </c>
      <c r="E3602" t="str">
        <v>D</v>
      </c>
      <c r="F3602">
        <f>VLOOKUP(D3594,'Detail Balok'!$C$10:$AU$110,9,FALSE)</f>
        <v>13</v>
      </c>
      <c r="I3602" t="str">
        <v>(</v>
      </c>
      <c r="J3602">
        <f>+D3596/2/1000</f>
        <v>0.55</v>
      </c>
      <c r="K3602" t="str">
        <v>+</v>
      </c>
      <c r="M3602" t="str">
        <v>=</v>
      </c>
      <c r="N3602">
        <f>J3602+L3602</f>
        <v>0.55</v>
      </c>
      <c r="O3602" t="str">
        <v>+</v>
      </c>
      <c r="P3602">
        <f>MAX(D3602-D3601,D3602-D3603)</f>
        <v>0</v>
      </c>
      <c r="Q3602" t="str">
        <v>x</v>
      </c>
      <c r="R3602">
        <f>IF(P3602&gt;0,2*(1-2*$F$19-1/2)*D3597/1000,0)</f>
        <v>0</v>
      </c>
      <c r="S3602" t="str">
        <v>)</v>
      </c>
      <c r="T3602" t="str">
        <v>x</v>
      </c>
      <c r="U3602">
        <f>0.006165*F3602^2</f>
        <v>1.041885</v>
      </c>
      <c r="X3602" t="str">
        <v>x</v>
      </c>
      <c r="Y3602">
        <f>D3600</f>
        <v>1</v>
      </c>
      <c r="Z3602" t="str">
        <v>=</v>
      </c>
      <c r="AA3602">
        <f>IF(AA3604=0,(D3602*N3602+P3602*R3602)*U3602*Y3602,0)</f>
        <v>0</v>
      </c>
    </row>
    <row r="3603">
      <c r="A3603" t="str">
        <f>A3594</f>
        <v>Lantai 1</v>
      </c>
      <c r="B3603">
        <f>B3594</f>
        <v>23</v>
      </c>
      <c r="C3603" t="str">
        <v>Tul Atas Tumpuan</v>
      </c>
      <c r="D3603">
        <f>VLOOKUP(D3594,'Detail Balok'!$C$10:$AU$110,10,FALSE)</f>
        <v>2</v>
      </c>
      <c r="E3603" t="str">
        <v>D</v>
      </c>
      <c r="F3603">
        <f>VLOOKUP(D3594,'Detail Balok'!$C$10:$AU$110,12,FALSE)</f>
        <v>13</v>
      </c>
      <c r="I3603" t="str">
        <v>(</v>
      </c>
      <c r="J3603">
        <f>+D3596/4/1000</f>
        <v>0.275</v>
      </c>
      <c r="K3603" t="str">
        <v>+</v>
      </c>
      <c r="L3603">
        <f>MAX(VLOOKUP(F3603,N$6:P$15,3,FALSE)/1000,2/3*D3598/1000)+F$16*F3603/1000</f>
        <v>0.156</v>
      </c>
      <c r="M3603" t="str">
        <v>=</v>
      </c>
      <c r="N3603">
        <f>J3603+L3603</f>
        <v>0.43100000000000005</v>
      </c>
      <c r="O3603" t="str">
        <v>+</v>
      </c>
      <c r="P3603">
        <f>D3603-D3602</f>
        <v>0</v>
      </c>
      <c r="Q3603" t="str">
        <v>x</v>
      </c>
      <c r="R3603">
        <f>IF(P3603&gt;0,$F$18*F3603/1000,0)</f>
        <v>0</v>
      </c>
      <c r="S3603" t="str">
        <v>)</v>
      </c>
      <c r="T3603" t="str">
        <v>x</v>
      </c>
      <c r="U3603">
        <f>0.006165*F3603^2</f>
        <v>1.041885</v>
      </c>
      <c r="X3603" t="str">
        <v>x</v>
      </c>
      <c r="Y3603">
        <f>D3600</f>
        <v>1</v>
      </c>
      <c r="Z3603" t="str">
        <v>=</v>
      </c>
      <c r="AA3603">
        <f>IF(AA3604=0,(D3603*N3603+P3603*R3603)*U3603*Y3603,0)</f>
        <v>0</v>
      </c>
    </row>
    <row r="3604">
      <c r="A3604" t="str">
        <f>A3594</f>
        <v>Lantai 1</v>
      </c>
      <c r="B3604">
        <f>B3594</f>
        <v>23</v>
      </c>
      <c r="D3604">
        <f>IF(AND(D3601=D3602,D3602=D3603,D3601=D3603),D3601,0)</f>
        <v>2</v>
      </c>
      <c r="E3604" t="str">
        <v>D</v>
      </c>
      <c r="F3604">
        <f>IF(AND(F3601=F3602,F3601=F3603,F3602=F3603),F3601,0)</f>
        <v>13</v>
      </c>
      <c r="L3604" t="str">
        <v>Total panjang per balok</v>
      </c>
      <c r="M3604" t="str">
        <v>=</v>
      </c>
      <c r="N3604">
        <f>IF(AND(D3601=D3602,D3601=D3603,D3602=D3603,F3601=F3602,F3601=F3603,F3602=F3603),SUM(N3601:N3603),0)</f>
        <v>1.4120000000000001</v>
      </c>
      <c r="O3604" t="str">
        <v>+</v>
      </c>
      <c r="P3604">
        <f>IF(N3604&gt;12,ROUNDDOWN(N3604/12,0),0)</f>
        <v>0</v>
      </c>
      <c r="Q3604" t="str">
        <v>x</v>
      </c>
      <c r="R3604">
        <f>IF(P3604&gt;0,MAX(VLOOKUP(F3604,$D$6:$G$15,3,FALSE),600),0)/1000</f>
        <v>0</v>
      </c>
      <c r="T3604" t="str">
        <v>x</v>
      </c>
      <c r="U3604">
        <f>U3603</f>
        <v>1.041885</v>
      </c>
      <c r="V3604" t="str">
        <v>x</v>
      </c>
      <c r="W3604">
        <f>D3604</f>
        <v>2</v>
      </c>
      <c r="X3604" t="str">
        <v>x</v>
      </c>
      <c r="Y3604">
        <f>Y3603</f>
        <v>1</v>
      </c>
      <c r="Z3604" t="str">
        <v>=</v>
      </c>
      <c r="AA3604">
        <f>(N3604+P3604*R3604/1000)*U3604*W3604*Y3604</f>
        <v>2.94228324</v>
      </c>
    </row>
    <row r="3606">
      <c r="A3606" t="str">
        <f>A3594</f>
        <v>Lantai 1</v>
      </c>
      <c r="B3606">
        <f>B3594</f>
        <v>23</v>
      </c>
      <c r="C3606" t="str">
        <v>Tul Peminggang</v>
      </c>
      <c r="D3606">
        <f>VLOOKUP(D3594,'Detail Balok'!$C$10:$AU$110,13,FALSE)</f>
        <v>0</v>
      </c>
      <c r="E3606" t="str">
        <v>D</v>
      </c>
      <c r="F3606">
        <f>VLOOKUP(D3594,'Detail Balok'!$C$10:$AU$110,15,FALSE)</f>
        <v>6</v>
      </c>
      <c r="J3606">
        <f>+D3596/1000</f>
        <v>1.1</v>
      </c>
      <c r="K3606" t="str">
        <v>+</v>
      </c>
      <c r="L3606">
        <f>2*$F$16*F3606/1000</f>
        <v>0.144</v>
      </c>
      <c r="M3606" t="str">
        <v>=</v>
      </c>
      <c r="N3606">
        <f>J3606+L3606</f>
        <v>1.244</v>
      </c>
      <c r="O3606" t="str">
        <v>+</v>
      </c>
      <c r="P3606">
        <f>IF(N3606&gt;12,ROUNDDOWN(N3606/12,0),0)</f>
        <v>0</v>
      </c>
      <c r="Q3606" t="str">
        <v>x</v>
      </c>
      <c r="R3606">
        <f>IF(P3606&gt;0,MAX(VLOOKUP(F3606,$D$6:$G$15,3,FALSE),600),0)/1000</f>
        <v>0</v>
      </c>
      <c r="T3606" t="str">
        <v>x</v>
      </c>
      <c r="U3606">
        <f>0.006165*F3606^2</f>
        <v>0.22194000000000003</v>
      </c>
      <c r="V3606" t="str">
        <v>x</v>
      </c>
      <c r="W3606">
        <f>+D3606</f>
        <v>0</v>
      </c>
      <c r="X3606" t="str">
        <v>x</v>
      </c>
      <c r="Y3606">
        <f>D3600</f>
        <v>1</v>
      </c>
      <c r="Z3606" t="str">
        <v>=</v>
      </c>
      <c r="AA3606">
        <f>(N3606+P3606*R3606/1000)*U3606*W3606*Y3606</f>
        <v>0</v>
      </c>
    </row>
    <row r="3609">
      <c r="A3609" t="str">
        <f>A3594</f>
        <v>Lantai 1</v>
      </c>
      <c r="B3609">
        <f>B3594</f>
        <v>23</v>
      </c>
      <c r="C3609" t="str">
        <v>Tul Bawah Tumpuan</v>
      </c>
      <c r="D3609">
        <f>VLOOKUP(D3594,'Detail Balok'!$C$10:$AU$110,22,FALSE)</f>
        <v>2</v>
      </c>
      <c r="E3609" t="str">
        <v>D</v>
      </c>
      <c r="F3609">
        <f>VLOOKUP(D3594,'Detail Balok'!$C$10:$AU$110,24,FALSE)</f>
        <v>13</v>
      </c>
      <c r="I3609" t="str">
        <v>(</v>
      </c>
      <c r="J3609">
        <f>+J3601</f>
        <v>0.275</v>
      </c>
      <c r="K3609" t="str">
        <v>+</v>
      </c>
      <c r="L3609">
        <f>MAX(VLOOKUP(F3609,N$6:P$15,3,FALSE)/1000,2/3*D3599/1000)+F$16*F3609/1000</f>
        <v>0.156</v>
      </c>
      <c r="M3609" t="str">
        <v>=</v>
      </c>
      <c r="N3609">
        <f>J3609+L3609</f>
        <v>0.43100000000000005</v>
      </c>
      <c r="O3609" t="str">
        <v>+</v>
      </c>
      <c r="P3609">
        <f>D3609-D3610</f>
        <v>0</v>
      </c>
      <c r="Q3609" t="str">
        <v>x</v>
      </c>
      <c r="R3609">
        <f>IF(P3609&gt;0,$F$18*F3609/1000,0)</f>
        <v>0</v>
      </c>
      <c r="S3609" t="str">
        <v>)</v>
      </c>
      <c r="T3609" t="str">
        <v>x</v>
      </c>
      <c r="U3609">
        <f>0.006165*F3609^2</f>
        <v>1.041885</v>
      </c>
      <c r="X3609" t="str">
        <v>x</v>
      </c>
      <c r="Y3609">
        <f>D3600</f>
        <v>1</v>
      </c>
      <c r="Z3609" t="str">
        <v>=</v>
      </c>
      <c r="AA3609">
        <f>IF(AA3612=0,(D3609*N3609+P3609*R3609)*U3609*Y3609,0)</f>
        <v>0</v>
      </c>
    </row>
    <row r="3610">
      <c r="A3610" t="str">
        <f>A3594</f>
        <v>Lantai 1</v>
      </c>
      <c r="B3610">
        <f>B3594</f>
        <v>23</v>
      </c>
      <c r="C3610" t="str">
        <v>Tul Bawah Lapangan</v>
      </c>
      <c r="D3610">
        <f>VLOOKUP(D3594,'Detail Balok'!$C$10:$AU$110,25,FALSE)</f>
        <v>2</v>
      </c>
      <c r="E3610" t="str">
        <v>D</v>
      </c>
      <c r="F3610">
        <f>VLOOKUP(D3594,'Detail Balok'!$C$10:$AU$110,27,FALSE)</f>
        <v>13</v>
      </c>
      <c r="I3610" t="str">
        <v>(</v>
      </c>
      <c r="J3610">
        <f>+J3602</f>
        <v>0.55</v>
      </c>
      <c r="K3610" t="str">
        <v>+</v>
      </c>
      <c r="M3610" t="str">
        <v>=</v>
      </c>
      <c r="N3610">
        <f>J3610+L3610</f>
        <v>0.55</v>
      </c>
      <c r="O3610" t="str">
        <v>+</v>
      </c>
      <c r="P3610">
        <f>MAX(D3610-D3609,D3610-D3611)</f>
        <v>0</v>
      </c>
      <c r="Q3610" t="str">
        <v>x</v>
      </c>
      <c r="R3610">
        <f>IF(P3610&gt;0,2*(1-2*$F$19-1/2)*D3597/1000,0)</f>
        <v>0</v>
      </c>
      <c r="S3610" t="str">
        <v>)</v>
      </c>
      <c r="T3610" t="str">
        <v>x</v>
      </c>
      <c r="U3610">
        <f>0.006165*F3610^2</f>
        <v>1.041885</v>
      </c>
      <c r="X3610" t="str">
        <v>x</v>
      </c>
      <c r="Y3610">
        <f>D3600</f>
        <v>1</v>
      </c>
      <c r="Z3610" t="str">
        <v>=</v>
      </c>
      <c r="AA3610">
        <f>IF(AA3612=0,(D3610*N3610+P3610*R3610)*U3610*Y3610,0)</f>
        <v>0</v>
      </c>
    </row>
    <row r="3611">
      <c r="A3611" t="str">
        <f>A3594</f>
        <v>Lantai 1</v>
      </c>
      <c r="B3611">
        <f>B3594</f>
        <v>23</v>
      </c>
      <c r="C3611" t="str">
        <v>Tul Bawah Tumpuan</v>
      </c>
      <c r="D3611">
        <f>VLOOKUP(D3594,'Detail Balok'!$C$10:$AU$110,28,FALSE)</f>
        <v>2</v>
      </c>
      <c r="E3611" t="str">
        <v>D</v>
      </c>
      <c r="F3611">
        <f>VLOOKUP(D3594,'Detail Balok'!$C$10:$AU$110,30,FALSE)</f>
        <v>13</v>
      </c>
      <c r="I3611" t="str">
        <v>(</v>
      </c>
      <c r="J3611">
        <f>+J3603</f>
        <v>0.275</v>
      </c>
      <c r="K3611" t="str">
        <v>+</v>
      </c>
      <c r="L3611">
        <f>MAX(VLOOKUP(F3611,N$6:P$15,3,FALSE)/1000,2/3*D3599/1000)+F$16*F3611/1000</f>
        <v>0.156</v>
      </c>
      <c r="M3611" t="str">
        <v>=</v>
      </c>
      <c r="N3611">
        <f>J3611+L3611</f>
        <v>0.43100000000000005</v>
      </c>
      <c r="O3611" t="str">
        <v>+</v>
      </c>
      <c r="P3611">
        <f>D3611-D3610</f>
        <v>0</v>
      </c>
      <c r="Q3611" t="str">
        <v>x</v>
      </c>
      <c r="R3611">
        <f>IF(P3611&gt;0,$F$18*F3611/1000,0)</f>
        <v>0</v>
      </c>
      <c r="S3611" t="str">
        <v>)</v>
      </c>
      <c r="T3611" t="str">
        <v>x</v>
      </c>
      <c r="U3611">
        <f>0.006165*F3611^2</f>
        <v>1.041885</v>
      </c>
      <c r="X3611" t="str">
        <v>x</v>
      </c>
      <c r="Y3611">
        <f>D3600</f>
        <v>1</v>
      </c>
      <c r="Z3611" t="str">
        <v>=</v>
      </c>
      <c r="AA3611">
        <f>IF(AA3612=0,(D3611*N3611+P3611*R3611)*U3611*Y3611,0)</f>
        <v>0</v>
      </c>
    </row>
    <row r="3612">
      <c r="A3612" t="str">
        <f>A3594</f>
        <v>Lantai 1</v>
      </c>
      <c r="B3612">
        <f>B3594</f>
        <v>23</v>
      </c>
      <c r="D3612">
        <f>IF(AND(D3609=D3610,D3610=D3611,D3609=D3611),D3609,0)</f>
        <v>2</v>
      </c>
      <c r="E3612" t="str">
        <v>D</v>
      </c>
      <c r="F3612">
        <f>IF(AND(F3609=F3610,F3609=F3611,F3610=F3611),F3609,0)</f>
        <v>13</v>
      </c>
      <c r="L3612" t="str">
        <v>Total panjang per balok</v>
      </c>
      <c r="M3612" t="str">
        <v>=</v>
      </c>
      <c r="N3612">
        <f>IF(AND(D3609=D3610,D3609=D3611,D3610=D3611,F3609=F3610,F3609=F3611,F3610=F3611),SUM(N3609:N3611),0)</f>
        <v>1.4120000000000001</v>
      </c>
      <c r="O3612" t="str">
        <v>+</v>
      </c>
      <c r="P3612">
        <f>IF(N3612&gt;12,ROUNDDOWN(N3612/12,0),0)</f>
        <v>0</v>
      </c>
      <c r="Q3612" t="str">
        <v>x</v>
      </c>
      <c r="R3612">
        <f>IF(P3612&gt;0,MAX(VLOOKUP(F3612,$D$6:$G$15,3,FALSE),600),0)/1000</f>
        <v>0</v>
      </c>
      <c r="T3612" t="str">
        <v>x</v>
      </c>
      <c r="U3612">
        <f>U3611</f>
        <v>1.041885</v>
      </c>
      <c r="V3612" t="str">
        <v>x</v>
      </c>
      <c r="W3612">
        <f>D3612</f>
        <v>2</v>
      </c>
      <c r="X3612" t="str">
        <v>x</v>
      </c>
      <c r="Y3612">
        <f>Y3611</f>
        <v>1</v>
      </c>
      <c r="Z3612" t="str">
        <v>=</v>
      </c>
      <c r="AA3612">
        <f>(N3612+P3612*R3612/1000)*U3612*W3612*Y3612</f>
        <v>2.94228324</v>
      </c>
    </row>
    <row r="3614">
      <c r="A3614" t="str">
        <f>A3594</f>
        <v>Lantai 1</v>
      </c>
      <c r="B3614">
        <f>B3594</f>
        <v>23</v>
      </c>
      <c r="C3614" t="str">
        <v>Sengkang Tumpuan</v>
      </c>
      <c r="D3614">
        <f>VLOOKUP(D3594,'Detail Balok'!$C$10:$AU$110,31,FALSE)</f>
        <v>0</v>
      </c>
      <c r="E3614" t="str">
        <v>D</v>
      </c>
      <c r="F3614">
        <f>VLOOKUP(D3594,'Detail Balok'!$C$10:$AU$110,33,FALSE)</f>
        <v>8</v>
      </c>
      <c r="G3614" t="str">
        <v>-</v>
      </c>
      <c r="H3614">
        <f>VLOOKUP(D3594,'Detail Balok'!$C$10:$AU$110,35,FALSE)</f>
        <v>100</v>
      </c>
      <c r="J3614">
        <f>(IF(D3614=0,(2*(D3595+G3595))-(F$5*8),IF(D3614=3,(2*(D3595+G3595))-(F$5*8)+(G3595-2*F$5),IF(D3614=4,(2*(D3595+G3595))-(F$5*8)+2*(G3595-2*F$5)))))/1000</f>
        <v>0.68</v>
      </c>
      <c r="K3614" t="str">
        <v>+</v>
      </c>
      <c r="L3614">
        <f>IF(D3614=0,2*MAX(6*F3614,75),(D3614-1)*2*MAX(6*F3614,75))/1000</f>
        <v>0.15</v>
      </c>
      <c r="M3614" t="str">
        <v>=</v>
      </c>
      <c r="N3614">
        <f>J3614+L3614</f>
        <v>0.8300000000000001</v>
      </c>
      <c r="T3614" t="str">
        <v>x</v>
      </c>
      <c r="U3614">
        <f>0.006165*F3614^2</f>
        <v>0.39456</v>
      </c>
      <c r="V3614" t="str">
        <v>x</v>
      </c>
      <c r="W3614">
        <f>IF(D3597&gt;4*G3595,ROUND(MAX(D3597/4,2*G3595)/H3614,0)+1,ROUND(D3597/H3614,0)+1)</f>
        <v>12</v>
      </c>
      <c r="X3614" t="str">
        <v>x</v>
      </c>
      <c r="Y3614">
        <f>D3600</f>
        <v>1</v>
      </c>
      <c r="Z3614" t="str">
        <v>=</v>
      </c>
      <c r="AA3614">
        <f>N3614*U3614*W3614*Y3614</f>
        <v>3.9298176000000002</v>
      </c>
    </row>
    <row r="3615">
      <c r="A3615" t="str">
        <f>A3594</f>
        <v>Lantai 1</v>
      </c>
      <c r="B3615">
        <f>B3594</f>
        <v>23</v>
      </c>
      <c r="C3615" t="str">
        <v>Sengkang Lapangan</v>
      </c>
      <c r="D3615">
        <f>VLOOKUP(D3594,'Detail Balok'!$C$10:$AU$110,36,FALSE)</f>
        <v>0</v>
      </c>
      <c r="E3615" t="str">
        <v>D</v>
      </c>
      <c r="F3615">
        <f>VLOOKUP(D3594,'Detail Balok'!$C$10:$AU$110,38,FALSE)</f>
        <v>8</v>
      </c>
      <c r="G3615" t="str">
        <v>-</v>
      </c>
      <c r="H3615">
        <f>VLOOKUP(D3594,'Detail Balok'!$C$10:$AU$110,40,FALSE)</f>
        <v>150</v>
      </c>
      <c r="J3615">
        <f>(IF(D3615=0,(2*(D3595+G3595))-(F$5*8),IF(D3615=3,(2*(D3595+G3595))-(F$5*8)+(G3595-2*F$5),IF(D3615=4,(2*(D3595+G3595))-(F$5*8)+2*(G3595-2*F$5)))))/1000</f>
        <v>0.68</v>
      </c>
      <c r="K3615" t="str">
        <v>+</v>
      </c>
      <c r="L3615">
        <f>IF(D3615=0,2*MAX(6*F3615,75),(D3615-1)*2*MAX(6*F3615,75))/1000</f>
        <v>0.15</v>
      </c>
      <c r="M3615" t="str">
        <v>=</v>
      </c>
      <c r="N3615">
        <f>J3615+L3615</f>
        <v>0.8300000000000001</v>
      </c>
      <c r="T3615" t="str">
        <v>x</v>
      </c>
      <c r="U3615">
        <f>0.006165*F3615^2</f>
        <v>0.39456</v>
      </c>
      <c r="V3615" t="str">
        <v>x</v>
      </c>
      <c r="W3615">
        <f>IF(D3597-MAX(D3597/4,2*G3595)*2&gt;0,ROUND((D3597-MAX(D3597/4,2*G3595)*2)/H3615,0),0)</f>
        <v>0</v>
      </c>
      <c r="X3615" t="str">
        <v>x</v>
      </c>
      <c r="Y3615">
        <f>D3600</f>
        <v>1</v>
      </c>
      <c r="Z3615" t="str">
        <v>=</v>
      </c>
      <c r="AA3615">
        <f>N3615*U3615*W3615*Y3615</f>
        <v>0</v>
      </c>
    </row>
    <row r="3616">
      <c r="A3616" t="str">
        <f>A3594</f>
        <v>Lantai 1</v>
      </c>
      <c r="B3616">
        <f>B3594</f>
        <v>23</v>
      </c>
      <c r="C3616" t="str">
        <v>Sengkang Tumpuan</v>
      </c>
      <c r="D3616">
        <f>VLOOKUP(D3594,'Detail Balok'!$C$10:$AU$110,41,FALSE)</f>
        <v>0</v>
      </c>
      <c r="E3616" t="str">
        <v>D</v>
      </c>
      <c r="F3616">
        <f>VLOOKUP(D3594,'Detail Balok'!$C$10:$AU$110,43,FALSE)</f>
        <v>8</v>
      </c>
      <c r="G3616" t="str">
        <v>-</v>
      </c>
      <c r="H3616">
        <f>VLOOKUP(D3594,'Detail Balok'!$C$10:$AU$110,45,FALSE)</f>
        <v>100</v>
      </c>
      <c r="J3616">
        <f>(IF(D3616=0,(2*(D3595+G3595))-(F$5*8),IF(D3616=3,(2*(D3595+G3595))-(F$5*8)+(G3595-2*F$5),IF(D3616=4,(2*(D3595+G3595))-(F$5*8)+2*(G3595-2*F$5)))))/1000</f>
        <v>0.68</v>
      </c>
      <c r="K3616" t="str">
        <v>+</v>
      </c>
      <c r="L3616">
        <f>IF(D3616=0,2*MAX(6*F3616,75),(D3616-1)*2*MAX(6*F3616,75))/1000</f>
        <v>0.15</v>
      </c>
      <c r="M3616" t="str">
        <v>=</v>
      </c>
      <c r="N3616">
        <f>J3616+L3616</f>
        <v>0.8300000000000001</v>
      </c>
      <c r="T3616" t="str">
        <v>x</v>
      </c>
      <c r="U3616">
        <f>0.006165*F3616^2</f>
        <v>0.39456</v>
      </c>
      <c r="V3616" t="str">
        <v>x</v>
      </c>
      <c r="W3616">
        <f>IF(D3597&gt;4*G3595,ROUND(MAX(D3597/4,2*G3595)/H3616,0)+1,0)</f>
        <v>0</v>
      </c>
      <c r="X3616" t="str">
        <v>x</v>
      </c>
      <c r="Y3616">
        <f>D3600</f>
        <v>1</v>
      </c>
      <c r="Z3616" t="str">
        <v>=</v>
      </c>
      <c r="AA3616">
        <f>N3616*U3616*W3616*Y3616</f>
        <v>0</v>
      </c>
    </row>
    <row r="3618">
      <c r="A3618" t="str">
        <f>A3594</f>
        <v>Lantai 1</v>
      </c>
      <c r="B3618">
        <f>B3594</f>
        <v>23</v>
      </c>
      <c r="C3618" t="str">
        <v>Kait Horizontal Tump.</v>
      </c>
      <c r="D3618">
        <f>VLOOKUP(D3594,'Detail Balok'!$C$10:$BJ$110,46,FALSE)</f>
        <v>0</v>
      </c>
      <c r="E3618" t="str">
        <v>D</v>
      </c>
      <c r="F3618">
        <f>VLOOKUP(D3594,'Detail Balok'!$C$10:$BJ$110,48,FALSE)</f>
        <v>0</v>
      </c>
      <c r="G3618" t="str">
        <v>-</v>
      </c>
      <c r="H3618">
        <f>VLOOKUP(D3594,'Detail Balok'!$C$10:$BJ$110,50,FALSE)</f>
        <v>100</v>
      </c>
      <c r="J3618">
        <f>(D3595-2*F$5)/1000</f>
        <v>0.12</v>
      </c>
      <c r="K3618" t="str">
        <v>+</v>
      </c>
      <c r="L3618">
        <f>IF(D3618=0,2*MAX(6*F3618,75),(D3618-1)*2*MAX(6*F3618,75))/1000</f>
        <v>0.15</v>
      </c>
      <c r="M3618" t="str">
        <v>=</v>
      </c>
      <c r="N3618">
        <f>J3618+L3618</f>
        <v>0.27</v>
      </c>
      <c r="T3618" t="str">
        <v>x</v>
      </c>
      <c r="U3618">
        <f>0.006165*F3618^2</f>
        <v>0</v>
      </c>
      <c r="V3618" t="str">
        <v>x</v>
      </c>
      <c r="W3618">
        <f>W3614</f>
        <v>12</v>
      </c>
      <c r="X3618" t="str">
        <v>x</v>
      </c>
      <c r="Y3618">
        <f>D3604</f>
        <v>2</v>
      </c>
      <c r="Z3618" t="str">
        <v>=</v>
      </c>
      <c r="AA3618">
        <f>N3618*U3618*W3618*Y3618</f>
        <v>0</v>
      </c>
    </row>
    <row r="3619">
      <c r="A3619" t="str">
        <f>A3594</f>
        <v>Lantai 1</v>
      </c>
      <c r="B3619">
        <f>B3594</f>
        <v>23</v>
      </c>
      <c r="C3619" t="str">
        <v>Kait Horizontal Lap.</v>
      </c>
      <c r="D3619">
        <f>VLOOKUP(D3594,'Detail Balok'!$C$10:$BJ$110,51,FALSE)</f>
        <v>0</v>
      </c>
      <c r="E3619" t="str">
        <v>D</v>
      </c>
      <c r="F3619">
        <f>VLOOKUP(D3594,'Detail Balok'!$C$10:$BJ$110,53,FALSE)</f>
        <v>0</v>
      </c>
      <c r="G3619" t="str">
        <v>-</v>
      </c>
      <c r="H3619">
        <f>VLOOKUP(D3594,'Detail Balok'!$C$10:$BJ$110,55,FALSE)</f>
        <v>100</v>
      </c>
      <c r="J3619">
        <f>(D3595-2*F$5)/1000</f>
        <v>0.12</v>
      </c>
      <c r="K3619" t="str">
        <v>+</v>
      </c>
      <c r="L3619">
        <f>IF(D3619=0,2*MAX(6*F3619,75),(D3619-1)*2*MAX(6*F3619,75))/1000</f>
        <v>0.15</v>
      </c>
      <c r="M3619" t="str">
        <v>=</v>
      </c>
      <c r="N3619">
        <f>J3619+L3619</f>
        <v>0.27</v>
      </c>
      <c r="T3619" t="str">
        <v>x</v>
      </c>
      <c r="U3619">
        <f>0.006165*F3619^2</f>
        <v>0</v>
      </c>
      <c r="V3619" t="str">
        <v>x</v>
      </c>
      <c r="W3619">
        <f>W3615</f>
        <v>0</v>
      </c>
      <c r="X3619" t="str">
        <v>x</v>
      </c>
      <c r="Y3619">
        <f>D3604</f>
        <v>2</v>
      </c>
      <c r="Z3619" t="str">
        <v>=</v>
      </c>
      <c r="AA3619">
        <f>N3619*U3619*W3619*Y3619</f>
        <v>0</v>
      </c>
    </row>
    <row r="3620">
      <c r="A3620" t="str">
        <f>A3594</f>
        <v>Lantai 1</v>
      </c>
      <c r="B3620">
        <f>B3594</f>
        <v>23</v>
      </c>
      <c r="C3620" t="str">
        <v>Kait Horizontal Tump.</v>
      </c>
      <c r="D3620">
        <f>VLOOKUP(D3594,'Detail Balok'!$C$10:$BJ$110,56,FALSE)</f>
        <v>0</v>
      </c>
      <c r="E3620" t="str">
        <v>D</v>
      </c>
      <c r="F3620">
        <f>VLOOKUP(D3594,'Detail Balok'!$C$10:$BJ$110,58,FALSE)</f>
        <v>0</v>
      </c>
      <c r="G3620" t="str">
        <v>-</v>
      </c>
      <c r="H3620">
        <f>VLOOKUP(D3594,'Detail Balok'!$C$10:$BJ$110,60,FALSE)</f>
        <v>100</v>
      </c>
      <c r="J3620">
        <f>(D3595-2*F$5)/1000</f>
        <v>0.12</v>
      </c>
      <c r="K3620" t="str">
        <v>+</v>
      </c>
      <c r="L3620">
        <f>IF(D3620=0,2*MAX(6*F3620,75),(D3620-1)*2*MAX(6*F3620,75))/1000</f>
        <v>0.15</v>
      </c>
      <c r="M3620" t="str">
        <v>=</v>
      </c>
      <c r="N3620">
        <f>J3620+L3620</f>
        <v>0.27</v>
      </c>
      <c r="T3620" t="str">
        <v>x</v>
      </c>
      <c r="U3620">
        <f>0.006165*F3620^2</f>
        <v>0</v>
      </c>
      <c r="V3620" t="str">
        <v>x</v>
      </c>
      <c r="W3620">
        <f>W3616</f>
        <v>0</v>
      </c>
      <c r="X3620" t="str">
        <v>x</v>
      </c>
      <c r="Y3620">
        <f>D3604</f>
        <v>2</v>
      </c>
      <c r="Z3620" t="str">
        <v>=</v>
      </c>
      <c r="AA3620">
        <f>N3620*U3620*W3620*Y3620</f>
        <v>0</v>
      </c>
    </row>
    <row r="3624">
      <c r="A3624" t="str">
        <f>A3594</f>
        <v>Lantai 1</v>
      </c>
      <c r="B3624">
        <f>B3594+1</f>
        <v>24</v>
      </c>
      <c r="C3624" t="str">
        <f>CONCATENATE(A3624," no. ",B3624)</f>
        <v>Lantai 1 no. 24</v>
      </c>
      <c r="D3624" t="str">
        <f>VLOOKUP(C3624,'Data Panjang Balok'!$C$9:$N$424,2,FALSE)</f>
        <v>B23-1</v>
      </c>
    </row>
    <row r="3625">
      <c r="C3625" t="str">
        <v>Dimensi</v>
      </c>
      <c r="D3625">
        <f>VLOOKUP(D3624,'Detail Balok'!$C$10:$AU$110,2,FALSE)</f>
        <v>200</v>
      </c>
      <c r="F3625" t="str">
        <v>x</v>
      </c>
      <c r="G3625">
        <f>VLOOKUP(D3624,'Detail Balok'!$C$10:$AU$110,3,FALSE)</f>
        <v>300</v>
      </c>
    </row>
    <row r="3626">
      <c r="C3626" t="str">
        <v>Panjang as ke as</v>
      </c>
      <c r="D3626">
        <f>VLOOKUP(C3624,'Data Panjang Balok'!$C$9:$N$424,4,FALSE)</f>
        <v>1100</v>
      </c>
    </row>
    <row r="3627">
      <c r="C3627" t="str">
        <v>Panjang netto</v>
      </c>
      <c r="D3627">
        <f>VLOOKUP(C3624,'Data Panjang Balok'!$C$9:$N$424,7,FALSE)</f>
        <v>1100</v>
      </c>
    </row>
    <row r="3628">
      <c r="C3628" t="str">
        <v>Kolom / balok kiri</v>
      </c>
      <c r="D3628">
        <f>VLOOKUP(C3624,'Data Panjang Balok'!$C$9:$N$424,9,FALSE)</f>
        <v>0</v>
      </c>
    </row>
    <row r="3629">
      <c r="C3629" t="str">
        <v>Kolom / balok kanan</v>
      </c>
      <c r="D3629">
        <f>VLOOKUP(C3624,'Data Panjang Balok'!$C$9:$N$424,10,FALSE)</f>
        <v>0</v>
      </c>
    </row>
    <row r="3630">
      <c r="C3630" t="str">
        <v>Jumlah</v>
      </c>
      <c r="D3630">
        <f>VLOOKUP(C3624,'Data Panjang Balok'!$C$9:$N$424,3,FALSE)</f>
        <v>1</v>
      </c>
    </row>
    <row r="3631">
      <c r="A3631" t="str">
        <f>A3624</f>
        <v>Lantai 1</v>
      </c>
      <c r="B3631">
        <f>B3624</f>
        <v>24</v>
      </c>
      <c r="C3631" t="str">
        <v>Tul Atas Tumpuan</v>
      </c>
      <c r="D3631">
        <f>VLOOKUP(D3624,'Detail Balok'!$C$10:$AU$110,4,FALSE)</f>
        <v>2</v>
      </c>
      <c r="E3631" t="str">
        <v>D</v>
      </c>
      <c r="F3631">
        <f>VLOOKUP(D3624,'Detail Balok'!$C$10:$AU$110,6,FALSE)</f>
        <v>13</v>
      </c>
      <c r="I3631" t="str">
        <v>(</v>
      </c>
      <c r="J3631">
        <f>+D3626/4/1000</f>
        <v>0.275</v>
      </c>
      <c r="K3631" t="str">
        <v>+</v>
      </c>
      <c r="L3631">
        <f>MAX(VLOOKUP(F3631,N$6:P$15,3,FALSE)/1000,2/3*D3628/1000)+F$16*F3631/1000</f>
        <v>0.156</v>
      </c>
      <c r="M3631" t="str">
        <v>=</v>
      </c>
      <c r="N3631">
        <f>J3631+L3631</f>
        <v>0.43100000000000005</v>
      </c>
      <c r="O3631" t="str">
        <v>+</v>
      </c>
      <c r="P3631">
        <f>D3631-D3632</f>
        <v>0</v>
      </c>
      <c r="Q3631" t="str">
        <v>x</v>
      </c>
      <c r="R3631">
        <f>IF(P3631&gt;0,$F$18*F3631/1000,0)</f>
        <v>0</v>
      </c>
      <c r="S3631" t="str">
        <v>)</v>
      </c>
      <c r="T3631" t="str">
        <v>x</v>
      </c>
      <c r="U3631">
        <f>0.006165*F3631^2</f>
        <v>1.041885</v>
      </c>
      <c r="X3631" t="str">
        <v>x</v>
      </c>
      <c r="Y3631">
        <f>D3630</f>
        <v>1</v>
      </c>
      <c r="Z3631" t="str">
        <v>=</v>
      </c>
      <c r="AA3631">
        <f>IF(AA3634=0,(D3631*N3631+P3631*R3631)*U3631*Y3631,0)</f>
        <v>0</v>
      </c>
    </row>
    <row r="3632">
      <c r="A3632" t="str">
        <f>A3624</f>
        <v>Lantai 1</v>
      </c>
      <c r="B3632">
        <f>B3624</f>
        <v>24</v>
      </c>
      <c r="C3632" t="str">
        <v>Tul Atas Lapangan</v>
      </c>
      <c r="D3632">
        <f>VLOOKUP(D3624,'Detail Balok'!$C$10:$AU$110,7,FALSE)</f>
        <v>2</v>
      </c>
      <c r="E3632" t="str">
        <v>D</v>
      </c>
      <c r="F3632">
        <f>VLOOKUP(D3624,'Detail Balok'!$C$10:$AU$110,9,FALSE)</f>
        <v>13</v>
      </c>
      <c r="I3632" t="str">
        <v>(</v>
      </c>
      <c r="J3632">
        <f>+D3626/2/1000</f>
        <v>0.55</v>
      </c>
      <c r="K3632" t="str">
        <v>+</v>
      </c>
      <c r="M3632" t="str">
        <v>=</v>
      </c>
      <c r="N3632">
        <f>J3632+L3632</f>
        <v>0.55</v>
      </c>
      <c r="O3632" t="str">
        <v>+</v>
      </c>
      <c r="P3632">
        <f>MAX(D3632-D3631,D3632-D3633)</f>
        <v>0</v>
      </c>
      <c r="Q3632" t="str">
        <v>x</v>
      </c>
      <c r="R3632">
        <f>IF(P3632&gt;0,2*(1-2*$F$19-1/2)*D3627/1000,0)</f>
        <v>0</v>
      </c>
      <c r="S3632" t="str">
        <v>)</v>
      </c>
      <c r="T3632" t="str">
        <v>x</v>
      </c>
      <c r="U3632">
        <f>0.006165*F3632^2</f>
        <v>1.041885</v>
      </c>
      <c r="X3632" t="str">
        <v>x</v>
      </c>
      <c r="Y3632">
        <f>D3630</f>
        <v>1</v>
      </c>
      <c r="Z3632" t="str">
        <v>=</v>
      </c>
      <c r="AA3632">
        <f>IF(AA3634=0,(D3632*N3632+P3632*R3632)*U3632*Y3632,0)</f>
        <v>0</v>
      </c>
    </row>
    <row r="3633">
      <c r="A3633" t="str">
        <f>A3624</f>
        <v>Lantai 1</v>
      </c>
      <c r="B3633">
        <f>B3624</f>
        <v>24</v>
      </c>
      <c r="C3633" t="str">
        <v>Tul Atas Tumpuan</v>
      </c>
      <c r="D3633">
        <f>VLOOKUP(D3624,'Detail Balok'!$C$10:$AU$110,10,FALSE)</f>
        <v>2</v>
      </c>
      <c r="E3633" t="str">
        <v>D</v>
      </c>
      <c r="F3633">
        <f>VLOOKUP(D3624,'Detail Balok'!$C$10:$AU$110,12,FALSE)</f>
        <v>13</v>
      </c>
      <c r="I3633" t="str">
        <v>(</v>
      </c>
      <c r="J3633">
        <f>+D3626/4/1000</f>
        <v>0.275</v>
      </c>
      <c r="K3633" t="str">
        <v>+</v>
      </c>
      <c r="L3633">
        <f>MAX(VLOOKUP(F3633,N$6:P$15,3,FALSE)/1000,2/3*D3628/1000)+F$16*F3633/1000</f>
        <v>0.156</v>
      </c>
      <c r="M3633" t="str">
        <v>=</v>
      </c>
      <c r="N3633">
        <f>J3633+L3633</f>
        <v>0.43100000000000005</v>
      </c>
      <c r="O3633" t="str">
        <v>+</v>
      </c>
      <c r="P3633">
        <f>D3633-D3632</f>
        <v>0</v>
      </c>
      <c r="Q3633" t="str">
        <v>x</v>
      </c>
      <c r="R3633">
        <f>IF(P3633&gt;0,$F$18*F3633/1000,0)</f>
        <v>0</v>
      </c>
      <c r="S3633" t="str">
        <v>)</v>
      </c>
      <c r="T3633" t="str">
        <v>x</v>
      </c>
      <c r="U3633">
        <f>0.006165*F3633^2</f>
        <v>1.041885</v>
      </c>
      <c r="X3633" t="str">
        <v>x</v>
      </c>
      <c r="Y3633">
        <f>D3630</f>
        <v>1</v>
      </c>
      <c r="Z3633" t="str">
        <v>=</v>
      </c>
      <c r="AA3633">
        <f>IF(AA3634=0,(D3633*N3633+P3633*R3633)*U3633*Y3633,0)</f>
        <v>0</v>
      </c>
    </row>
    <row r="3634">
      <c r="A3634" t="str">
        <f>A3624</f>
        <v>Lantai 1</v>
      </c>
      <c r="B3634">
        <f>B3624</f>
        <v>24</v>
      </c>
      <c r="D3634">
        <f>IF(AND(D3631=D3632,D3632=D3633,D3631=D3633),D3631,0)</f>
        <v>2</v>
      </c>
      <c r="E3634" t="str">
        <v>D</v>
      </c>
      <c r="F3634">
        <f>IF(AND(F3631=F3632,F3631=F3633,F3632=F3633),F3631,0)</f>
        <v>13</v>
      </c>
      <c r="L3634" t="str">
        <v>Total panjang per balok</v>
      </c>
      <c r="M3634" t="str">
        <v>=</v>
      </c>
      <c r="N3634">
        <f>IF(AND(D3631=D3632,D3631=D3633,D3632=D3633,F3631=F3632,F3631=F3633,F3632=F3633),SUM(N3631:N3633),0)</f>
        <v>1.4120000000000001</v>
      </c>
      <c r="O3634" t="str">
        <v>+</v>
      </c>
      <c r="P3634">
        <f>IF(N3634&gt;12,ROUNDDOWN(N3634/12,0),0)</f>
        <v>0</v>
      </c>
      <c r="Q3634" t="str">
        <v>x</v>
      </c>
      <c r="R3634">
        <f>IF(P3634&gt;0,MAX(VLOOKUP(F3634,$D$6:$G$15,3,FALSE),600),0)/1000</f>
        <v>0</v>
      </c>
      <c r="T3634" t="str">
        <v>x</v>
      </c>
      <c r="U3634">
        <f>U3633</f>
        <v>1.041885</v>
      </c>
      <c r="V3634" t="str">
        <v>x</v>
      </c>
      <c r="W3634">
        <f>D3634</f>
        <v>2</v>
      </c>
      <c r="X3634" t="str">
        <v>x</v>
      </c>
      <c r="Y3634">
        <f>Y3633</f>
        <v>1</v>
      </c>
      <c r="Z3634" t="str">
        <v>=</v>
      </c>
      <c r="AA3634">
        <f>(N3634+P3634*R3634/1000)*U3634*W3634*Y3634</f>
        <v>2.94228324</v>
      </c>
    </row>
    <row r="3636">
      <c r="A3636" t="str">
        <f>A3624</f>
        <v>Lantai 1</v>
      </c>
      <c r="B3636">
        <f>B3624</f>
        <v>24</v>
      </c>
      <c r="C3636" t="str">
        <v>Tul Peminggang</v>
      </c>
      <c r="D3636">
        <f>VLOOKUP(D3624,'Detail Balok'!$C$10:$AU$110,13,FALSE)</f>
        <v>0</v>
      </c>
      <c r="E3636" t="str">
        <v>D</v>
      </c>
      <c r="F3636">
        <f>VLOOKUP(D3624,'Detail Balok'!$C$10:$AU$110,15,FALSE)</f>
        <v>6</v>
      </c>
      <c r="J3636">
        <f>+D3626/1000</f>
        <v>1.1</v>
      </c>
      <c r="K3636" t="str">
        <v>+</v>
      </c>
      <c r="L3636">
        <f>2*$F$16*F3636/1000</f>
        <v>0.144</v>
      </c>
      <c r="M3636" t="str">
        <v>=</v>
      </c>
      <c r="N3636">
        <f>J3636+L3636</f>
        <v>1.244</v>
      </c>
      <c r="O3636" t="str">
        <v>+</v>
      </c>
      <c r="P3636">
        <f>IF(N3636&gt;12,ROUNDDOWN(N3636/12,0),0)</f>
        <v>0</v>
      </c>
      <c r="Q3636" t="str">
        <v>x</v>
      </c>
      <c r="R3636">
        <f>IF(P3636&gt;0,MAX(VLOOKUP(F3636,$D$6:$G$15,3,FALSE),600),0)/1000</f>
        <v>0</v>
      </c>
      <c r="T3636" t="str">
        <v>x</v>
      </c>
      <c r="U3636">
        <f>0.006165*F3636^2</f>
        <v>0.22194000000000003</v>
      </c>
      <c r="V3636" t="str">
        <v>x</v>
      </c>
      <c r="W3636">
        <f>+D3636</f>
        <v>0</v>
      </c>
      <c r="X3636" t="str">
        <v>x</v>
      </c>
      <c r="Y3636">
        <f>D3630</f>
        <v>1</v>
      </c>
      <c r="Z3636" t="str">
        <v>=</v>
      </c>
      <c r="AA3636">
        <f>(N3636+P3636*R3636/1000)*U3636*W3636*Y3636</f>
        <v>0</v>
      </c>
    </row>
    <row r="3639">
      <c r="A3639" t="str">
        <f>A3624</f>
        <v>Lantai 1</v>
      </c>
      <c r="B3639">
        <f>B3624</f>
        <v>24</v>
      </c>
      <c r="C3639" t="str">
        <v>Tul Bawah Tumpuan</v>
      </c>
      <c r="D3639">
        <f>VLOOKUP(D3624,'Detail Balok'!$C$10:$AU$110,22,FALSE)</f>
        <v>2</v>
      </c>
      <c r="E3639" t="str">
        <v>D</v>
      </c>
      <c r="F3639">
        <f>VLOOKUP(D3624,'Detail Balok'!$C$10:$AU$110,24,FALSE)</f>
        <v>13</v>
      </c>
      <c r="I3639" t="str">
        <v>(</v>
      </c>
      <c r="J3639">
        <f>+J3631</f>
        <v>0.275</v>
      </c>
      <c r="K3639" t="str">
        <v>+</v>
      </c>
      <c r="L3639">
        <f>MAX(VLOOKUP(F3639,N$6:P$15,3,FALSE)/1000,2/3*D3629/1000)+F$16*F3639/1000</f>
        <v>0.156</v>
      </c>
      <c r="M3639" t="str">
        <v>=</v>
      </c>
      <c r="N3639">
        <f>J3639+L3639</f>
        <v>0.43100000000000005</v>
      </c>
      <c r="O3639" t="str">
        <v>+</v>
      </c>
      <c r="P3639">
        <f>D3639-D3640</f>
        <v>0</v>
      </c>
      <c r="Q3639" t="str">
        <v>x</v>
      </c>
      <c r="R3639">
        <f>IF(P3639&gt;0,$F$18*F3639/1000,0)</f>
        <v>0</v>
      </c>
      <c r="S3639" t="str">
        <v>)</v>
      </c>
      <c r="T3639" t="str">
        <v>x</v>
      </c>
      <c r="U3639">
        <f>0.006165*F3639^2</f>
        <v>1.041885</v>
      </c>
      <c r="X3639" t="str">
        <v>x</v>
      </c>
      <c r="Y3639">
        <f>D3630</f>
        <v>1</v>
      </c>
      <c r="Z3639" t="str">
        <v>=</v>
      </c>
      <c r="AA3639">
        <f>IF(AA3642=0,(D3639*N3639+P3639*R3639)*U3639*Y3639,0)</f>
        <v>0</v>
      </c>
    </row>
    <row r="3640">
      <c r="A3640" t="str">
        <f>A3624</f>
        <v>Lantai 1</v>
      </c>
      <c r="B3640">
        <f>B3624</f>
        <v>24</v>
      </c>
      <c r="C3640" t="str">
        <v>Tul Bawah Lapangan</v>
      </c>
      <c r="D3640">
        <f>VLOOKUP(D3624,'Detail Balok'!$C$10:$AU$110,25,FALSE)</f>
        <v>2</v>
      </c>
      <c r="E3640" t="str">
        <v>D</v>
      </c>
      <c r="F3640">
        <f>VLOOKUP(D3624,'Detail Balok'!$C$10:$AU$110,27,FALSE)</f>
        <v>13</v>
      </c>
      <c r="I3640" t="str">
        <v>(</v>
      </c>
      <c r="J3640">
        <f>+J3632</f>
        <v>0.55</v>
      </c>
      <c r="K3640" t="str">
        <v>+</v>
      </c>
      <c r="M3640" t="str">
        <v>=</v>
      </c>
      <c r="N3640">
        <f>J3640+L3640</f>
        <v>0.55</v>
      </c>
      <c r="O3640" t="str">
        <v>+</v>
      </c>
      <c r="P3640">
        <f>MAX(D3640-D3639,D3640-D3641)</f>
        <v>0</v>
      </c>
      <c r="Q3640" t="str">
        <v>x</v>
      </c>
      <c r="R3640">
        <f>IF(P3640&gt;0,2*(1-2*$F$19-1/2)*D3627/1000,0)</f>
        <v>0</v>
      </c>
      <c r="S3640" t="str">
        <v>)</v>
      </c>
      <c r="T3640" t="str">
        <v>x</v>
      </c>
      <c r="U3640">
        <f>0.006165*F3640^2</f>
        <v>1.041885</v>
      </c>
      <c r="X3640" t="str">
        <v>x</v>
      </c>
      <c r="Y3640">
        <f>D3630</f>
        <v>1</v>
      </c>
      <c r="Z3640" t="str">
        <v>=</v>
      </c>
      <c r="AA3640">
        <f>IF(AA3642=0,(D3640*N3640+P3640*R3640)*U3640*Y3640,0)</f>
        <v>0</v>
      </c>
    </row>
    <row r="3641">
      <c r="A3641" t="str">
        <f>A3624</f>
        <v>Lantai 1</v>
      </c>
      <c r="B3641">
        <f>B3624</f>
        <v>24</v>
      </c>
      <c r="C3641" t="str">
        <v>Tul Bawah Tumpuan</v>
      </c>
      <c r="D3641">
        <f>VLOOKUP(D3624,'Detail Balok'!$C$10:$AU$110,28,FALSE)</f>
        <v>2</v>
      </c>
      <c r="E3641" t="str">
        <v>D</v>
      </c>
      <c r="F3641">
        <f>VLOOKUP(D3624,'Detail Balok'!$C$10:$AU$110,30,FALSE)</f>
        <v>13</v>
      </c>
      <c r="I3641" t="str">
        <v>(</v>
      </c>
      <c r="J3641">
        <f>+J3633</f>
        <v>0.275</v>
      </c>
      <c r="K3641" t="str">
        <v>+</v>
      </c>
      <c r="L3641">
        <f>MAX(VLOOKUP(F3641,N$6:P$15,3,FALSE)/1000,2/3*D3629/1000)+F$16*F3641/1000</f>
        <v>0.156</v>
      </c>
      <c r="M3641" t="str">
        <v>=</v>
      </c>
      <c r="N3641">
        <f>J3641+L3641</f>
        <v>0.43100000000000005</v>
      </c>
      <c r="O3641" t="str">
        <v>+</v>
      </c>
      <c r="P3641">
        <f>D3641-D3640</f>
        <v>0</v>
      </c>
      <c r="Q3641" t="str">
        <v>x</v>
      </c>
      <c r="R3641">
        <f>IF(P3641&gt;0,$F$18*F3641/1000,0)</f>
        <v>0</v>
      </c>
      <c r="S3641" t="str">
        <v>)</v>
      </c>
      <c r="T3641" t="str">
        <v>x</v>
      </c>
      <c r="U3641">
        <f>0.006165*F3641^2</f>
        <v>1.041885</v>
      </c>
      <c r="X3641" t="str">
        <v>x</v>
      </c>
      <c r="Y3641">
        <f>D3630</f>
        <v>1</v>
      </c>
      <c r="Z3641" t="str">
        <v>=</v>
      </c>
      <c r="AA3641">
        <f>IF(AA3642=0,(D3641*N3641+P3641*R3641)*U3641*Y3641,0)</f>
        <v>0</v>
      </c>
    </row>
    <row r="3642">
      <c r="A3642" t="str">
        <f>A3624</f>
        <v>Lantai 1</v>
      </c>
      <c r="B3642">
        <f>B3624</f>
        <v>24</v>
      </c>
      <c r="D3642">
        <f>IF(AND(D3639=D3640,D3640=D3641,D3639=D3641),D3639,0)</f>
        <v>2</v>
      </c>
      <c r="E3642" t="str">
        <v>D</v>
      </c>
      <c r="F3642">
        <f>IF(AND(F3639=F3640,F3639=F3641,F3640=F3641),F3639,0)</f>
        <v>13</v>
      </c>
      <c r="L3642" t="str">
        <v>Total panjang per balok</v>
      </c>
      <c r="M3642" t="str">
        <v>=</v>
      </c>
      <c r="N3642">
        <f>IF(AND(D3639=D3640,D3639=D3641,D3640=D3641,F3639=F3640,F3639=F3641,F3640=F3641),SUM(N3639:N3641),0)</f>
        <v>1.4120000000000001</v>
      </c>
      <c r="O3642" t="str">
        <v>+</v>
      </c>
      <c r="P3642">
        <f>IF(N3642&gt;12,ROUNDDOWN(N3642/12,0),0)</f>
        <v>0</v>
      </c>
      <c r="Q3642" t="str">
        <v>x</v>
      </c>
      <c r="R3642">
        <f>IF(P3642&gt;0,MAX(VLOOKUP(F3642,$D$6:$G$15,3,FALSE),600),0)/1000</f>
        <v>0</v>
      </c>
      <c r="T3642" t="str">
        <v>x</v>
      </c>
      <c r="U3642">
        <f>U3641</f>
        <v>1.041885</v>
      </c>
      <c r="V3642" t="str">
        <v>x</v>
      </c>
      <c r="W3642">
        <f>D3642</f>
        <v>2</v>
      </c>
      <c r="X3642" t="str">
        <v>x</v>
      </c>
      <c r="Y3642">
        <f>Y3641</f>
        <v>1</v>
      </c>
      <c r="Z3642" t="str">
        <v>=</v>
      </c>
      <c r="AA3642">
        <f>(N3642+P3642*R3642/1000)*U3642*W3642*Y3642</f>
        <v>2.94228324</v>
      </c>
    </row>
    <row r="3644">
      <c r="A3644" t="str">
        <f>A3624</f>
        <v>Lantai 1</v>
      </c>
      <c r="B3644">
        <f>B3624</f>
        <v>24</v>
      </c>
      <c r="C3644" t="str">
        <v>Sengkang Tumpuan</v>
      </c>
      <c r="D3644">
        <f>VLOOKUP(D3624,'Detail Balok'!$C$10:$AU$110,31,FALSE)</f>
        <v>0</v>
      </c>
      <c r="E3644" t="str">
        <v>D</v>
      </c>
      <c r="F3644">
        <f>VLOOKUP(D3624,'Detail Balok'!$C$10:$AU$110,33,FALSE)</f>
        <v>8</v>
      </c>
      <c r="G3644" t="str">
        <v>-</v>
      </c>
      <c r="H3644">
        <f>VLOOKUP(D3624,'Detail Balok'!$C$10:$AU$110,35,FALSE)</f>
        <v>100</v>
      </c>
      <c r="J3644">
        <f>(IF(D3644=0,(2*(D3625+G3625))-(F$5*8),IF(D3644=3,(2*(D3625+G3625))-(F$5*8)+(G3625-2*F$5),IF(D3644=4,(2*(D3625+G3625))-(F$5*8)+2*(G3625-2*F$5)))))/1000</f>
        <v>0.68</v>
      </c>
      <c r="K3644" t="str">
        <v>+</v>
      </c>
      <c r="L3644">
        <f>IF(D3644=0,2*MAX(6*F3644,75),(D3644-1)*2*MAX(6*F3644,75))/1000</f>
        <v>0.15</v>
      </c>
      <c r="M3644" t="str">
        <v>=</v>
      </c>
      <c r="N3644">
        <f>J3644+L3644</f>
        <v>0.8300000000000001</v>
      </c>
      <c r="T3644" t="str">
        <v>x</v>
      </c>
      <c r="U3644">
        <f>0.006165*F3644^2</f>
        <v>0.39456</v>
      </c>
      <c r="V3644" t="str">
        <v>x</v>
      </c>
      <c r="W3644">
        <f>IF(D3627&gt;4*G3625,ROUND(MAX(D3627/4,2*G3625)/H3644,0)+1,ROUND(D3627/H3644,0)+1)</f>
        <v>12</v>
      </c>
      <c r="X3644" t="str">
        <v>x</v>
      </c>
      <c r="Y3644">
        <f>D3630</f>
        <v>1</v>
      </c>
      <c r="Z3644" t="str">
        <v>=</v>
      </c>
      <c r="AA3644">
        <f>N3644*U3644*W3644*Y3644</f>
        <v>3.9298176000000002</v>
      </c>
    </row>
    <row r="3645">
      <c r="A3645" t="str">
        <f>A3624</f>
        <v>Lantai 1</v>
      </c>
      <c r="B3645">
        <f>B3624</f>
        <v>24</v>
      </c>
      <c r="C3645" t="str">
        <v>Sengkang Lapangan</v>
      </c>
      <c r="D3645">
        <f>VLOOKUP(D3624,'Detail Balok'!$C$10:$AU$110,36,FALSE)</f>
        <v>0</v>
      </c>
      <c r="E3645" t="str">
        <v>D</v>
      </c>
      <c r="F3645">
        <f>VLOOKUP(D3624,'Detail Balok'!$C$10:$AU$110,38,FALSE)</f>
        <v>8</v>
      </c>
      <c r="G3645" t="str">
        <v>-</v>
      </c>
      <c r="H3645">
        <f>VLOOKUP(D3624,'Detail Balok'!$C$10:$AU$110,40,FALSE)</f>
        <v>150</v>
      </c>
      <c r="J3645">
        <f>(IF(D3645=0,(2*(D3625+G3625))-(F$5*8),IF(D3645=3,(2*(D3625+G3625))-(F$5*8)+(G3625-2*F$5),IF(D3645=4,(2*(D3625+G3625))-(F$5*8)+2*(G3625-2*F$5)))))/1000</f>
        <v>0.68</v>
      </c>
      <c r="K3645" t="str">
        <v>+</v>
      </c>
      <c r="L3645">
        <f>IF(D3645=0,2*MAX(6*F3645,75),(D3645-1)*2*MAX(6*F3645,75))/1000</f>
        <v>0.15</v>
      </c>
      <c r="M3645" t="str">
        <v>=</v>
      </c>
      <c r="N3645">
        <f>J3645+L3645</f>
        <v>0.8300000000000001</v>
      </c>
      <c r="T3645" t="str">
        <v>x</v>
      </c>
      <c r="U3645">
        <f>0.006165*F3645^2</f>
        <v>0.39456</v>
      </c>
      <c r="V3645" t="str">
        <v>x</v>
      </c>
      <c r="W3645">
        <f>IF(D3627-MAX(D3627/4,2*G3625)*2&gt;0,ROUND((D3627-MAX(D3627/4,2*G3625)*2)/H3645,0),0)</f>
        <v>0</v>
      </c>
      <c r="X3645" t="str">
        <v>x</v>
      </c>
      <c r="Y3645">
        <f>D3630</f>
        <v>1</v>
      </c>
      <c r="Z3645" t="str">
        <v>=</v>
      </c>
      <c r="AA3645">
        <f>N3645*U3645*W3645*Y3645</f>
        <v>0</v>
      </c>
    </row>
    <row r="3646">
      <c r="A3646" t="str">
        <f>A3624</f>
        <v>Lantai 1</v>
      </c>
      <c r="B3646">
        <f>B3624</f>
        <v>24</v>
      </c>
      <c r="C3646" t="str">
        <v>Sengkang Tumpuan</v>
      </c>
      <c r="D3646">
        <f>VLOOKUP(D3624,'Detail Balok'!$C$10:$AU$110,41,FALSE)</f>
        <v>0</v>
      </c>
      <c r="E3646" t="str">
        <v>D</v>
      </c>
      <c r="F3646">
        <f>VLOOKUP(D3624,'Detail Balok'!$C$10:$AU$110,43,FALSE)</f>
        <v>8</v>
      </c>
      <c r="G3646" t="str">
        <v>-</v>
      </c>
      <c r="H3646">
        <f>VLOOKUP(D3624,'Detail Balok'!$C$10:$AU$110,45,FALSE)</f>
        <v>100</v>
      </c>
      <c r="J3646">
        <f>(IF(D3646=0,(2*(D3625+G3625))-(F$5*8),IF(D3646=3,(2*(D3625+G3625))-(F$5*8)+(G3625-2*F$5),IF(D3646=4,(2*(D3625+G3625))-(F$5*8)+2*(G3625-2*F$5)))))/1000</f>
        <v>0.68</v>
      </c>
      <c r="K3646" t="str">
        <v>+</v>
      </c>
      <c r="L3646">
        <f>IF(D3646=0,2*MAX(6*F3646,75),(D3646-1)*2*MAX(6*F3646,75))/1000</f>
        <v>0.15</v>
      </c>
      <c r="M3646" t="str">
        <v>=</v>
      </c>
      <c r="N3646">
        <f>J3646+L3646</f>
        <v>0.8300000000000001</v>
      </c>
      <c r="T3646" t="str">
        <v>x</v>
      </c>
      <c r="U3646">
        <f>0.006165*F3646^2</f>
        <v>0.39456</v>
      </c>
      <c r="V3646" t="str">
        <v>x</v>
      </c>
      <c r="W3646">
        <f>IF(D3627&gt;4*G3625,ROUND(MAX(D3627/4,2*G3625)/H3646,0)+1,0)</f>
        <v>0</v>
      </c>
      <c r="X3646" t="str">
        <v>x</v>
      </c>
      <c r="Y3646">
        <f>D3630</f>
        <v>1</v>
      </c>
      <c r="Z3646" t="str">
        <v>=</v>
      </c>
      <c r="AA3646">
        <f>N3646*U3646*W3646*Y3646</f>
        <v>0</v>
      </c>
    </row>
    <row r="3648">
      <c r="A3648" t="str">
        <f>A3624</f>
        <v>Lantai 1</v>
      </c>
      <c r="B3648">
        <f>B3624</f>
        <v>24</v>
      </c>
      <c r="C3648" t="str">
        <v>Kait Horizontal Tump.</v>
      </c>
      <c r="D3648">
        <f>VLOOKUP(D3624,'Detail Balok'!$C$10:$BJ$110,46,FALSE)</f>
        <v>0</v>
      </c>
      <c r="E3648" t="str">
        <v>D</v>
      </c>
      <c r="F3648">
        <f>VLOOKUP(D3624,'Detail Balok'!$C$10:$BJ$110,48,FALSE)</f>
        <v>0</v>
      </c>
      <c r="G3648" t="str">
        <v>-</v>
      </c>
      <c r="H3648">
        <f>VLOOKUP(D3624,'Detail Balok'!$C$10:$BJ$110,50,FALSE)</f>
        <v>100</v>
      </c>
      <c r="J3648">
        <f>(D3625-2*F$5)/1000</f>
        <v>0.12</v>
      </c>
      <c r="K3648" t="str">
        <v>+</v>
      </c>
      <c r="L3648">
        <f>IF(D3648=0,2*MAX(6*F3648,75),(D3648-1)*2*MAX(6*F3648,75))/1000</f>
        <v>0.15</v>
      </c>
      <c r="M3648" t="str">
        <v>=</v>
      </c>
      <c r="N3648">
        <f>J3648+L3648</f>
        <v>0.27</v>
      </c>
      <c r="T3648" t="str">
        <v>x</v>
      </c>
      <c r="U3648">
        <f>0.006165*F3648^2</f>
        <v>0</v>
      </c>
      <c r="V3648" t="str">
        <v>x</v>
      </c>
      <c r="W3648">
        <f>W3644</f>
        <v>12</v>
      </c>
      <c r="X3648" t="str">
        <v>x</v>
      </c>
      <c r="Y3648">
        <f>D3634</f>
        <v>2</v>
      </c>
      <c r="Z3648" t="str">
        <v>=</v>
      </c>
      <c r="AA3648">
        <f>N3648*U3648*W3648*Y3648</f>
        <v>0</v>
      </c>
    </row>
    <row r="3649">
      <c r="A3649" t="str">
        <f>A3624</f>
        <v>Lantai 1</v>
      </c>
      <c r="B3649">
        <f>B3624</f>
        <v>24</v>
      </c>
      <c r="C3649" t="str">
        <v>Kait Horizontal Lap.</v>
      </c>
      <c r="D3649">
        <f>VLOOKUP(D3624,'Detail Balok'!$C$10:$BJ$110,51,FALSE)</f>
        <v>0</v>
      </c>
      <c r="E3649" t="str">
        <v>D</v>
      </c>
      <c r="F3649">
        <f>VLOOKUP(D3624,'Detail Balok'!$C$10:$BJ$110,53,FALSE)</f>
        <v>0</v>
      </c>
      <c r="G3649" t="str">
        <v>-</v>
      </c>
      <c r="H3649">
        <f>VLOOKUP(D3624,'Detail Balok'!$C$10:$BJ$110,55,FALSE)</f>
        <v>100</v>
      </c>
      <c r="J3649">
        <f>(D3625-2*F$5)/1000</f>
        <v>0.12</v>
      </c>
      <c r="K3649" t="str">
        <v>+</v>
      </c>
      <c r="L3649">
        <f>IF(D3649=0,2*MAX(6*F3649,75),(D3649-1)*2*MAX(6*F3649,75))/1000</f>
        <v>0.15</v>
      </c>
      <c r="M3649" t="str">
        <v>=</v>
      </c>
      <c r="N3649">
        <f>J3649+L3649</f>
        <v>0.27</v>
      </c>
      <c r="T3649" t="str">
        <v>x</v>
      </c>
      <c r="U3649">
        <f>0.006165*F3649^2</f>
        <v>0</v>
      </c>
      <c r="V3649" t="str">
        <v>x</v>
      </c>
      <c r="W3649">
        <f>W3645</f>
        <v>0</v>
      </c>
      <c r="X3649" t="str">
        <v>x</v>
      </c>
      <c r="Y3649">
        <f>D3634</f>
        <v>2</v>
      </c>
      <c r="Z3649" t="str">
        <v>=</v>
      </c>
      <c r="AA3649">
        <f>N3649*U3649*W3649*Y3649</f>
        <v>0</v>
      </c>
    </row>
    <row r="3650">
      <c r="A3650" t="str">
        <f>A3624</f>
        <v>Lantai 1</v>
      </c>
      <c r="B3650">
        <f>B3624</f>
        <v>24</v>
      </c>
      <c r="C3650" t="str">
        <v>Kait Horizontal Tump.</v>
      </c>
      <c r="D3650">
        <f>VLOOKUP(D3624,'Detail Balok'!$C$10:$BJ$110,56,FALSE)</f>
        <v>0</v>
      </c>
      <c r="E3650" t="str">
        <v>D</v>
      </c>
      <c r="F3650">
        <f>VLOOKUP(D3624,'Detail Balok'!$C$10:$BJ$110,58,FALSE)</f>
        <v>0</v>
      </c>
      <c r="G3650" t="str">
        <v>-</v>
      </c>
      <c r="H3650">
        <f>VLOOKUP(D3624,'Detail Balok'!$C$10:$BJ$110,60,FALSE)</f>
        <v>100</v>
      </c>
      <c r="J3650">
        <f>(D3625-2*F$5)/1000</f>
        <v>0.12</v>
      </c>
      <c r="K3650" t="str">
        <v>+</v>
      </c>
      <c r="L3650">
        <f>IF(D3650=0,2*MAX(6*F3650,75),(D3650-1)*2*MAX(6*F3650,75))/1000</f>
        <v>0.15</v>
      </c>
      <c r="M3650" t="str">
        <v>=</v>
      </c>
      <c r="N3650">
        <f>J3650+L3650</f>
        <v>0.27</v>
      </c>
      <c r="T3650" t="str">
        <v>x</v>
      </c>
      <c r="U3650">
        <f>0.006165*F3650^2</f>
        <v>0</v>
      </c>
      <c r="V3650" t="str">
        <v>x</v>
      </c>
      <c r="W3650">
        <f>W3646</f>
        <v>0</v>
      </c>
      <c r="X3650" t="str">
        <v>x</v>
      </c>
      <c r="Y3650">
        <f>D3634</f>
        <v>2</v>
      </c>
      <c r="Z3650" t="str">
        <v>=</v>
      </c>
      <c r="AA3650">
        <f>N3650*U3650*W3650*Y3650</f>
        <v>0</v>
      </c>
    </row>
    <row r="3654">
      <c r="A3654" t="str">
        <f>A3624</f>
        <v>Lantai 1</v>
      </c>
      <c r="B3654">
        <f>B3624+1</f>
        <v>25</v>
      </c>
      <c r="C3654" t="str">
        <f>CONCATENATE(A3654," no. ",B3654)</f>
        <v>Lantai 1 no. 25</v>
      </c>
      <c r="D3654" t="str">
        <f>VLOOKUP(C3654,'Data Panjang Balok'!$C$9:$N$424,2,FALSE)</f>
        <v>CL25-1</v>
      </c>
    </row>
    <row r="3655">
      <c r="C3655" t="str">
        <v>Dimensi</v>
      </c>
      <c r="D3655">
        <f>VLOOKUP(D3654,'Detail Balok'!$C$10:$AU$110,2,FALSE)</f>
        <v>200</v>
      </c>
      <c r="F3655" t="str">
        <v>x</v>
      </c>
      <c r="G3655">
        <f>VLOOKUP(D3654,'Detail Balok'!$C$10:$AU$110,3,FALSE)</f>
        <v>500</v>
      </c>
    </row>
    <row r="3656">
      <c r="C3656" t="str">
        <v>Panjang as ke as</v>
      </c>
      <c r="D3656">
        <f>VLOOKUP(C3654,'Data Panjang Balok'!$C$9:$N$424,4,FALSE)</f>
        <v>4250</v>
      </c>
    </row>
    <row r="3657">
      <c r="C3657" t="str">
        <v>Panjang netto</v>
      </c>
      <c r="D3657">
        <f>VLOOKUP(C3654,'Data Panjang Balok'!$C$9:$N$424,7,FALSE)</f>
        <v>4250</v>
      </c>
    </row>
    <row r="3658">
      <c r="C3658" t="str">
        <v>Kolom / balok kiri</v>
      </c>
      <c r="D3658">
        <f>VLOOKUP(C3654,'Data Panjang Balok'!$C$9:$N$424,9,FALSE)</f>
        <v>0</v>
      </c>
    </row>
    <row r="3659">
      <c r="C3659" t="str">
        <v>Kolom / balok kanan</v>
      </c>
      <c r="D3659">
        <f>VLOOKUP(C3654,'Data Panjang Balok'!$C$9:$N$424,10,FALSE)</f>
        <v>0</v>
      </c>
    </row>
    <row r="3660">
      <c r="C3660" t="str">
        <v>Jumlah</v>
      </c>
      <c r="D3660">
        <f>VLOOKUP(C3654,'Data Panjang Balok'!$C$9:$N$424,3,FALSE)</f>
        <v>1</v>
      </c>
    </row>
    <row r="3661">
      <c r="A3661" t="str">
        <f>A3654</f>
        <v>Lantai 1</v>
      </c>
      <c r="B3661">
        <f>B3654</f>
        <v>25</v>
      </c>
      <c r="C3661" t="str">
        <v>Tul Atas Tumpuan</v>
      </c>
      <c r="D3661">
        <f>VLOOKUP(D3654,'Detail Balok'!$C$10:$AU$110,4,FALSE)</f>
        <v>5</v>
      </c>
      <c r="E3661" t="str">
        <v>D</v>
      </c>
      <c r="F3661">
        <f>VLOOKUP(D3654,'Detail Balok'!$C$10:$AU$110,6,FALSE)</f>
        <v>16</v>
      </c>
      <c r="I3661" t="str">
        <v>(</v>
      </c>
      <c r="J3661">
        <f>+D3656/4/1000</f>
        <v>1.0625</v>
      </c>
      <c r="K3661" t="str">
        <v>+</v>
      </c>
      <c r="L3661">
        <f>MAX(VLOOKUP(F3661,N$6:P$15,3,FALSE)/1000,2/3*D3658/1000)+F$16*F3661/1000</f>
        <v>0.192</v>
      </c>
      <c r="M3661" t="str">
        <v>=</v>
      </c>
      <c r="N3661">
        <f>J3661+L3661</f>
        <v>1.2545</v>
      </c>
      <c r="O3661" t="str">
        <v>+</v>
      </c>
      <c r="P3661">
        <f>D3661-D3662</f>
        <v>2</v>
      </c>
      <c r="Q3661" t="str">
        <v>x</v>
      </c>
      <c r="R3661">
        <f>IF(P3661&gt;0,$F$18*F3661/1000,0)</f>
        <v>0.24</v>
      </c>
      <c r="S3661" t="str">
        <v>)</v>
      </c>
      <c r="T3661" t="str">
        <v>x</v>
      </c>
      <c r="U3661">
        <f>0.006165*F3661^2</f>
        <v>1.57824</v>
      </c>
      <c r="X3661" t="str">
        <v>x</v>
      </c>
      <c r="Y3661">
        <f>D3660</f>
        <v>1</v>
      </c>
      <c r="Z3661" t="str">
        <v>=</v>
      </c>
      <c r="AA3661">
        <f>IF(AA3664=0,(D3661*N3661+P3661*R3661)*U3661*Y3661,0)</f>
        <v>10.6570656</v>
      </c>
    </row>
    <row r="3662">
      <c r="A3662" t="str">
        <f>A3654</f>
        <v>Lantai 1</v>
      </c>
      <c r="B3662">
        <f>B3654</f>
        <v>25</v>
      </c>
      <c r="C3662" t="str">
        <v>Tul Atas Lapangan</v>
      </c>
      <c r="D3662">
        <f>VLOOKUP(D3654,'Detail Balok'!$C$10:$AU$110,7,FALSE)</f>
        <v>3</v>
      </c>
      <c r="E3662" t="str">
        <v>D</v>
      </c>
      <c r="F3662">
        <f>VLOOKUP(D3654,'Detail Balok'!$C$10:$AU$110,9,FALSE)</f>
        <v>16</v>
      </c>
      <c r="I3662" t="str">
        <v>(</v>
      </c>
      <c r="J3662">
        <f>+D3656/2/1000</f>
        <v>2.125</v>
      </c>
      <c r="K3662" t="str">
        <v>+</v>
      </c>
      <c r="M3662" t="str">
        <v>=</v>
      </c>
      <c r="N3662">
        <f>J3662+L3662</f>
        <v>2.125</v>
      </c>
      <c r="O3662" t="str">
        <v>+</v>
      </c>
      <c r="P3662">
        <f>MAX(D3662-D3661,D3662-D3663)</f>
        <v>-2</v>
      </c>
      <c r="Q3662" t="str">
        <v>x</v>
      </c>
      <c r="R3662">
        <f>IF(P3662&gt;0,2*(1-2*$F$19-1/2)*D3657/1000,0)</f>
        <v>0</v>
      </c>
      <c r="S3662" t="str">
        <v>)</v>
      </c>
      <c r="T3662" t="str">
        <v>x</v>
      </c>
      <c r="U3662">
        <f>0.006165*F3662^2</f>
        <v>1.57824</v>
      </c>
      <c r="X3662" t="str">
        <v>x</v>
      </c>
      <c r="Y3662">
        <f>D3660</f>
        <v>1</v>
      </c>
      <c r="Z3662" t="str">
        <v>=</v>
      </c>
      <c r="AA3662">
        <f>IF(AA3664=0,(D3662*N3662+P3662*R3662)*U3662*Y3662,0)</f>
        <v>10.06128</v>
      </c>
    </row>
    <row r="3663">
      <c r="A3663" t="str">
        <f>A3654</f>
        <v>Lantai 1</v>
      </c>
      <c r="B3663">
        <f>B3654</f>
        <v>25</v>
      </c>
      <c r="C3663" t="str">
        <v>Tul Atas Tumpuan</v>
      </c>
      <c r="D3663">
        <f>VLOOKUP(D3654,'Detail Balok'!$C$10:$AU$110,10,FALSE)</f>
        <v>5</v>
      </c>
      <c r="E3663" t="str">
        <v>D</v>
      </c>
      <c r="F3663">
        <f>VLOOKUP(D3654,'Detail Balok'!$C$10:$AU$110,12,FALSE)</f>
        <v>16</v>
      </c>
      <c r="I3663" t="str">
        <v>(</v>
      </c>
      <c r="J3663">
        <f>+D3656/4/1000</f>
        <v>1.0625</v>
      </c>
      <c r="K3663" t="str">
        <v>+</v>
      </c>
      <c r="L3663">
        <f>MAX(VLOOKUP(F3663,N$6:P$15,3,FALSE)/1000,2/3*D3658/1000)+F$16*F3663/1000</f>
        <v>0.192</v>
      </c>
      <c r="M3663" t="str">
        <v>=</v>
      </c>
      <c r="N3663">
        <f>J3663+L3663</f>
        <v>1.2545</v>
      </c>
      <c r="O3663" t="str">
        <v>+</v>
      </c>
      <c r="P3663">
        <f>D3663-D3662</f>
        <v>2</v>
      </c>
      <c r="Q3663" t="str">
        <v>x</v>
      </c>
      <c r="R3663">
        <f>IF(P3663&gt;0,$F$18*F3663/1000,0)</f>
        <v>0.24</v>
      </c>
      <c r="S3663" t="str">
        <v>)</v>
      </c>
      <c r="T3663" t="str">
        <v>x</v>
      </c>
      <c r="U3663">
        <f>0.006165*F3663^2</f>
        <v>1.57824</v>
      </c>
      <c r="X3663" t="str">
        <v>x</v>
      </c>
      <c r="Y3663">
        <f>D3660</f>
        <v>1</v>
      </c>
      <c r="Z3663" t="str">
        <v>=</v>
      </c>
      <c r="AA3663">
        <f>IF(AA3664=0,(D3663*N3663+P3663*R3663)*U3663*Y3663,0)</f>
        <v>10.6570656</v>
      </c>
    </row>
    <row r="3664">
      <c r="A3664" t="str">
        <f>A3654</f>
        <v>Lantai 1</v>
      </c>
      <c r="B3664">
        <f>B3654</f>
        <v>25</v>
      </c>
      <c r="D3664">
        <f>IF(AND(D3661=D3662,D3662=D3663,D3661=D3663),D3661,0)</f>
        <v>0</v>
      </c>
      <c r="E3664" t="str">
        <v>D</v>
      </c>
      <c r="F3664">
        <f>IF(AND(F3661=F3662,F3661=F3663,F3662=F3663),F3661,0)</f>
        <v>16</v>
      </c>
      <c r="L3664" t="str">
        <v>Total panjang per balok</v>
      </c>
      <c r="M3664" t="str">
        <v>=</v>
      </c>
      <c r="N3664">
        <f>IF(AND(D3661=D3662,D3661=D3663,D3662=D3663,F3661=F3662,F3661=F3663,F3662=F3663),SUM(N3661:N3663),0)</f>
        <v>0</v>
      </c>
      <c r="O3664" t="str">
        <v>+</v>
      </c>
      <c r="P3664">
        <f>IF(N3664&gt;12,ROUNDDOWN(N3664/12,0),0)</f>
        <v>0</v>
      </c>
      <c r="Q3664" t="str">
        <v>x</v>
      </c>
      <c r="R3664">
        <f>IF(P3664&gt;0,MAX(VLOOKUP(F3664,$D$6:$G$15,3,FALSE),600),0)/1000</f>
        <v>0</v>
      </c>
      <c r="T3664" t="str">
        <v>x</v>
      </c>
      <c r="U3664">
        <f>U3663</f>
        <v>1.57824</v>
      </c>
      <c r="V3664" t="str">
        <v>x</v>
      </c>
      <c r="W3664">
        <f>D3664</f>
        <v>0</v>
      </c>
      <c r="X3664" t="str">
        <v>x</v>
      </c>
      <c r="Y3664">
        <f>Y3663</f>
        <v>1</v>
      </c>
      <c r="Z3664" t="str">
        <v>=</v>
      </c>
      <c r="AA3664">
        <f>(N3664+P3664*R3664/1000)*U3664*W3664*Y3664</f>
        <v>0</v>
      </c>
    </row>
    <row r="3666">
      <c r="A3666" t="str">
        <f>A3654</f>
        <v>Lantai 1</v>
      </c>
      <c r="B3666">
        <f>B3654</f>
        <v>25</v>
      </c>
      <c r="C3666" t="str">
        <v>Tul Peminggang</v>
      </c>
      <c r="D3666">
        <f>VLOOKUP(D3654,'Detail Balok'!$C$10:$AU$110,13,FALSE)</f>
        <v>2</v>
      </c>
      <c r="E3666" t="str">
        <v>D</v>
      </c>
      <c r="F3666">
        <f>VLOOKUP(D3654,'Detail Balok'!$C$10:$AU$110,15,FALSE)</f>
        <v>10</v>
      </c>
      <c r="J3666">
        <f>+D3656/1000</f>
        <v>4.25</v>
      </c>
      <c r="K3666" t="str">
        <v>+</v>
      </c>
      <c r="L3666">
        <f>2*$F$16*F3666/1000</f>
        <v>0.24</v>
      </c>
      <c r="M3666" t="str">
        <v>=</v>
      </c>
      <c r="N3666">
        <f>J3666+L3666</f>
        <v>4.49</v>
      </c>
      <c r="O3666" t="str">
        <v>+</v>
      </c>
      <c r="P3666">
        <f>IF(N3666&gt;12,ROUNDDOWN(N3666/12,0),0)</f>
        <v>0</v>
      </c>
      <c r="Q3666" t="str">
        <v>x</v>
      </c>
      <c r="R3666">
        <f>IF(P3666&gt;0,MAX(VLOOKUP(F3666,$D$6:$G$15,3,FALSE),600),0)/1000</f>
        <v>0</v>
      </c>
      <c r="T3666" t="str">
        <v>x</v>
      </c>
      <c r="U3666">
        <f>0.006165*F3666^2</f>
        <v>0.6165</v>
      </c>
      <c r="V3666" t="str">
        <v>x</v>
      </c>
      <c r="W3666">
        <f>+D3666</f>
        <v>2</v>
      </c>
      <c r="X3666" t="str">
        <v>x</v>
      </c>
      <c r="Y3666">
        <f>D3660</f>
        <v>1</v>
      </c>
      <c r="Z3666" t="str">
        <v>=</v>
      </c>
      <c r="AA3666">
        <f>(N3666+P3666*R3666/1000)*U3666*W3666*Y3666</f>
        <v>5.53617</v>
      </c>
    </row>
    <row r="3669">
      <c r="A3669" t="str">
        <f>A3654</f>
        <v>Lantai 1</v>
      </c>
      <c r="B3669">
        <f>B3654</f>
        <v>25</v>
      </c>
      <c r="C3669" t="str">
        <v>Tul Bawah Tumpuan</v>
      </c>
      <c r="D3669">
        <f>VLOOKUP(D3654,'Detail Balok'!$C$10:$AU$110,22,FALSE)</f>
        <v>3</v>
      </c>
      <c r="E3669" t="str">
        <v>D</v>
      </c>
      <c r="F3669">
        <f>VLOOKUP(D3654,'Detail Balok'!$C$10:$AU$110,24,FALSE)</f>
        <v>16</v>
      </c>
      <c r="I3669" t="str">
        <v>(</v>
      </c>
      <c r="J3669">
        <f>+J3661</f>
        <v>1.0625</v>
      </c>
      <c r="K3669" t="str">
        <v>+</v>
      </c>
      <c r="L3669">
        <f>MAX(VLOOKUP(F3669,N$6:P$15,3,FALSE)/1000,2/3*D3659/1000)+F$16*F3669/1000</f>
        <v>0.192</v>
      </c>
      <c r="M3669" t="str">
        <v>=</v>
      </c>
      <c r="N3669">
        <f>J3669+L3669</f>
        <v>1.2545</v>
      </c>
      <c r="O3669" t="str">
        <v>+</v>
      </c>
      <c r="P3669">
        <f>D3669-D3670</f>
        <v>0</v>
      </c>
      <c r="Q3669" t="str">
        <v>x</v>
      </c>
      <c r="R3669">
        <f>IF(P3669&gt;0,$F$18*F3669/1000,0)</f>
        <v>0</v>
      </c>
      <c r="S3669" t="str">
        <v>)</v>
      </c>
      <c r="T3669" t="str">
        <v>x</v>
      </c>
      <c r="U3669">
        <f>0.006165*F3669^2</f>
        <v>1.57824</v>
      </c>
      <c r="X3669" t="str">
        <v>x</v>
      </c>
      <c r="Y3669">
        <f>D3660</f>
        <v>1</v>
      </c>
      <c r="Z3669" t="str">
        <v>=</v>
      </c>
      <c r="AA3669">
        <f>IF(AA3672=0,(D3669*N3669+P3669*R3669)*U3669*Y3669,0)</f>
        <v>0</v>
      </c>
    </row>
    <row r="3670">
      <c r="A3670" t="str">
        <f>A3654</f>
        <v>Lantai 1</v>
      </c>
      <c r="B3670">
        <f>B3654</f>
        <v>25</v>
      </c>
      <c r="C3670" t="str">
        <v>Tul Bawah Lapangan</v>
      </c>
      <c r="D3670">
        <f>VLOOKUP(D3654,'Detail Balok'!$C$10:$AU$110,25,FALSE)</f>
        <v>3</v>
      </c>
      <c r="E3670" t="str">
        <v>D</v>
      </c>
      <c r="F3670">
        <f>VLOOKUP(D3654,'Detail Balok'!$C$10:$AU$110,27,FALSE)</f>
        <v>16</v>
      </c>
      <c r="I3670" t="str">
        <v>(</v>
      </c>
      <c r="J3670">
        <f>+J3662</f>
        <v>2.125</v>
      </c>
      <c r="K3670" t="str">
        <v>+</v>
      </c>
      <c r="M3670" t="str">
        <v>=</v>
      </c>
      <c r="N3670">
        <f>J3670+L3670</f>
        <v>2.125</v>
      </c>
      <c r="O3670" t="str">
        <v>+</v>
      </c>
      <c r="P3670">
        <f>MAX(D3670-D3669,D3670-D3671)</f>
        <v>0</v>
      </c>
      <c r="Q3670" t="str">
        <v>x</v>
      </c>
      <c r="R3670">
        <f>IF(P3670&gt;0,2*(1-2*$F$19-1/2)*D3657/1000,0)</f>
        <v>0</v>
      </c>
      <c r="S3670" t="str">
        <v>)</v>
      </c>
      <c r="T3670" t="str">
        <v>x</v>
      </c>
      <c r="U3670">
        <f>0.006165*F3670^2</f>
        <v>1.57824</v>
      </c>
      <c r="X3670" t="str">
        <v>x</v>
      </c>
      <c r="Y3670">
        <f>D3660</f>
        <v>1</v>
      </c>
      <c r="Z3670" t="str">
        <v>=</v>
      </c>
      <c r="AA3670">
        <f>IF(AA3672=0,(D3670*N3670+P3670*R3670)*U3670*Y3670,0)</f>
        <v>0</v>
      </c>
    </row>
    <row r="3671">
      <c r="A3671" t="str">
        <f>A3654</f>
        <v>Lantai 1</v>
      </c>
      <c r="B3671">
        <f>B3654</f>
        <v>25</v>
      </c>
      <c r="C3671" t="str">
        <v>Tul Bawah Tumpuan</v>
      </c>
      <c r="D3671">
        <f>VLOOKUP(D3654,'Detail Balok'!$C$10:$AU$110,28,FALSE)</f>
        <v>3</v>
      </c>
      <c r="E3671" t="str">
        <v>D</v>
      </c>
      <c r="F3671">
        <f>VLOOKUP(D3654,'Detail Balok'!$C$10:$AU$110,30,FALSE)</f>
        <v>16</v>
      </c>
      <c r="I3671" t="str">
        <v>(</v>
      </c>
      <c r="J3671">
        <f>+J3663</f>
        <v>1.0625</v>
      </c>
      <c r="K3671" t="str">
        <v>+</v>
      </c>
      <c r="L3671">
        <f>MAX(VLOOKUP(F3671,N$6:P$15,3,FALSE)/1000,2/3*D3659/1000)+F$16*F3671/1000</f>
        <v>0.192</v>
      </c>
      <c r="M3671" t="str">
        <v>=</v>
      </c>
      <c r="N3671">
        <f>J3671+L3671</f>
        <v>1.2545</v>
      </c>
      <c r="O3671" t="str">
        <v>+</v>
      </c>
      <c r="P3671">
        <f>D3671-D3670</f>
        <v>0</v>
      </c>
      <c r="Q3671" t="str">
        <v>x</v>
      </c>
      <c r="R3671">
        <f>IF(P3671&gt;0,$F$18*F3671/1000,0)</f>
        <v>0</v>
      </c>
      <c r="S3671" t="str">
        <v>)</v>
      </c>
      <c r="T3671" t="str">
        <v>x</v>
      </c>
      <c r="U3671">
        <f>0.006165*F3671^2</f>
        <v>1.57824</v>
      </c>
      <c r="X3671" t="str">
        <v>x</v>
      </c>
      <c r="Y3671">
        <f>D3660</f>
        <v>1</v>
      </c>
      <c r="Z3671" t="str">
        <v>=</v>
      </c>
      <c r="AA3671">
        <f>IF(AA3672=0,(D3671*N3671+P3671*R3671)*U3671*Y3671,0)</f>
        <v>0</v>
      </c>
    </row>
    <row r="3672">
      <c r="A3672" t="str">
        <f>A3654</f>
        <v>Lantai 1</v>
      </c>
      <c r="B3672">
        <f>B3654</f>
        <v>25</v>
      </c>
      <c r="D3672">
        <f>IF(AND(D3669=D3670,D3670=D3671,D3669=D3671),D3669,0)</f>
        <v>3</v>
      </c>
      <c r="E3672" t="str">
        <v>D</v>
      </c>
      <c r="F3672">
        <f>IF(AND(F3669=F3670,F3669=F3671,F3670=F3671),F3669,0)</f>
        <v>16</v>
      </c>
      <c r="L3672" t="str">
        <v>Total panjang per balok</v>
      </c>
      <c r="M3672" t="str">
        <v>=</v>
      </c>
      <c r="N3672">
        <f>IF(AND(D3669=D3670,D3669=D3671,D3670=D3671,F3669=F3670,F3669=F3671,F3670=F3671),SUM(N3669:N3671),0)</f>
        <v>4.634</v>
      </c>
      <c r="O3672" t="str">
        <v>+</v>
      </c>
      <c r="P3672">
        <f>IF(N3672&gt;12,ROUNDDOWN(N3672/12,0),0)</f>
        <v>0</v>
      </c>
      <c r="Q3672" t="str">
        <v>x</v>
      </c>
      <c r="R3672">
        <f>IF(P3672&gt;0,MAX(VLOOKUP(F3672,$D$6:$G$15,3,FALSE),600),0)/1000</f>
        <v>0</v>
      </c>
      <c r="T3672" t="str">
        <v>x</v>
      </c>
      <c r="U3672">
        <f>U3671</f>
        <v>1.57824</v>
      </c>
      <c r="V3672" t="str">
        <v>x</v>
      </c>
      <c r="W3672">
        <f>D3672</f>
        <v>3</v>
      </c>
      <c r="X3672" t="str">
        <v>x</v>
      </c>
      <c r="Y3672">
        <f>Y3671</f>
        <v>1</v>
      </c>
      <c r="Z3672" t="str">
        <v>=</v>
      </c>
      <c r="AA3672">
        <f>(N3672+P3672*R3672/1000)*U3672*W3672*Y3672</f>
        <v>21.940692480000003</v>
      </c>
    </row>
    <row r="3674">
      <c r="A3674" t="str">
        <f>A3654</f>
        <v>Lantai 1</v>
      </c>
      <c r="B3674">
        <f>B3654</f>
        <v>25</v>
      </c>
      <c r="C3674" t="str">
        <v>Sengkang Tumpuan</v>
      </c>
      <c r="D3674">
        <f>VLOOKUP(D3654,'Detail Balok'!$C$10:$AU$110,31,FALSE)</f>
        <v>0</v>
      </c>
      <c r="E3674" t="str">
        <v>D</v>
      </c>
      <c r="F3674">
        <f>VLOOKUP(D3654,'Detail Balok'!$C$10:$AU$110,33,FALSE)</f>
        <v>10</v>
      </c>
      <c r="G3674" t="str">
        <v>-</v>
      </c>
      <c r="H3674">
        <f>VLOOKUP(D3654,'Detail Balok'!$C$10:$AU$110,35,FALSE)</f>
        <v>200</v>
      </c>
      <c r="J3674">
        <f>(IF(D3674=0,(2*(D3655+G3655))-(F$5*8),IF(D3674=3,(2*(D3655+G3655))-(F$5*8)+(G3655-2*F$5),IF(D3674=4,(2*(D3655+G3655))-(F$5*8)+2*(G3655-2*F$5)))))/1000</f>
        <v>1.08</v>
      </c>
      <c r="K3674" t="str">
        <v>+</v>
      </c>
      <c r="L3674">
        <f>IF(D3674=0,2*MAX(6*F3674,75),(D3674-1)*2*MAX(6*F3674,75))/1000</f>
        <v>0.15</v>
      </c>
      <c r="M3674" t="str">
        <v>=</v>
      </c>
      <c r="N3674">
        <f>J3674+L3674</f>
        <v>1.23</v>
      </c>
      <c r="T3674" t="str">
        <v>x</v>
      </c>
      <c r="U3674">
        <f>0.006165*F3674^2</f>
        <v>0.6165</v>
      </c>
      <c r="V3674" t="str">
        <v>x</v>
      </c>
      <c r="W3674">
        <f>IF(D3657&gt;4*G3655,ROUND(MAX(D3657/4,2*G3655)/H3674,0)+1,ROUND(D3657/H3674,0)+1)</f>
        <v>6</v>
      </c>
      <c r="X3674" t="str">
        <v>x</v>
      </c>
      <c r="Y3674">
        <f>D3660</f>
        <v>1</v>
      </c>
      <c r="Z3674" t="str">
        <v>=</v>
      </c>
      <c r="AA3674">
        <f>N3674*U3674*W3674*Y3674</f>
        <v>4.5497700000000005</v>
      </c>
    </row>
    <row r="3675">
      <c r="A3675" t="str">
        <f>A3654</f>
        <v>Lantai 1</v>
      </c>
      <c r="B3675">
        <f>B3654</f>
        <v>25</v>
      </c>
      <c r="C3675" t="str">
        <v>Sengkang Lapangan</v>
      </c>
      <c r="D3675">
        <f>VLOOKUP(D3654,'Detail Balok'!$C$10:$AU$110,36,FALSE)</f>
        <v>0</v>
      </c>
      <c r="E3675" t="str">
        <v>D</v>
      </c>
      <c r="F3675">
        <f>VLOOKUP(D3654,'Detail Balok'!$C$10:$AU$110,38,FALSE)</f>
        <v>10</v>
      </c>
      <c r="G3675" t="str">
        <v>-</v>
      </c>
      <c r="H3675">
        <f>VLOOKUP(D3654,'Detail Balok'!$C$10:$AU$110,40,FALSE)</f>
        <v>200</v>
      </c>
      <c r="J3675">
        <f>(IF(D3675=0,(2*(D3655+G3655))-(F$5*8),IF(D3675=3,(2*(D3655+G3655))-(F$5*8)+(G3655-2*F$5),IF(D3675=4,(2*(D3655+G3655))-(F$5*8)+2*(G3655-2*F$5)))))/1000</f>
        <v>1.08</v>
      </c>
      <c r="K3675" t="str">
        <v>+</v>
      </c>
      <c r="L3675">
        <f>IF(D3675=0,2*MAX(6*F3675,75),(D3675-1)*2*MAX(6*F3675,75))/1000</f>
        <v>0.15</v>
      </c>
      <c r="M3675" t="str">
        <v>=</v>
      </c>
      <c r="N3675">
        <f>J3675+L3675</f>
        <v>1.23</v>
      </c>
      <c r="T3675" t="str">
        <v>x</v>
      </c>
      <c r="U3675">
        <f>0.006165*F3675^2</f>
        <v>0.6165</v>
      </c>
      <c r="V3675" t="str">
        <v>x</v>
      </c>
      <c r="W3675">
        <f>IF(D3657-MAX(D3657/4,2*G3655)*2&gt;0,ROUND((D3657-MAX(D3657/4,2*G3655)*2)/H3675,0),0)</f>
        <v>11</v>
      </c>
      <c r="X3675" t="str">
        <v>x</v>
      </c>
      <c r="Y3675">
        <f>D3660</f>
        <v>1</v>
      </c>
      <c r="Z3675" t="str">
        <v>=</v>
      </c>
      <c r="AA3675">
        <f>N3675*U3675*W3675*Y3675</f>
        <v>8.341245</v>
      </c>
    </row>
    <row r="3676">
      <c r="A3676" t="str">
        <f>A3654</f>
        <v>Lantai 1</v>
      </c>
      <c r="B3676">
        <f>B3654</f>
        <v>25</v>
      </c>
      <c r="C3676" t="str">
        <v>Sengkang Tumpuan</v>
      </c>
      <c r="D3676">
        <f>VLOOKUP(D3654,'Detail Balok'!$C$10:$AU$110,41,FALSE)</f>
        <v>0</v>
      </c>
      <c r="E3676" t="str">
        <v>D</v>
      </c>
      <c r="F3676">
        <f>VLOOKUP(D3654,'Detail Balok'!$C$10:$AU$110,43,FALSE)</f>
        <v>10</v>
      </c>
      <c r="G3676" t="str">
        <v>-</v>
      </c>
      <c r="H3676">
        <f>VLOOKUP(D3654,'Detail Balok'!$C$10:$AU$110,45,FALSE)</f>
        <v>200</v>
      </c>
      <c r="J3676">
        <f>(IF(D3676=0,(2*(D3655+G3655))-(F$5*8),IF(D3676=3,(2*(D3655+G3655))-(F$5*8)+(G3655-2*F$5),IF(D3676=4,(2*(D3655+G3655))-(F$5*8)+2*(G3655-2*F$5)))))/1000</f>
        <v>1.08</v>
      </c>
      <c r="K3676" t="str">
        <v>+</v>
      </c>
      <c r="L3676">
        <f>IF(D3676=0,2*MAX(6*F3676,75),(D3676-1)*2*MAX(6*F3676,75))/1000</f>
        <v>0.15</v>
      </c>
      <c r="M3676" t="str">
        <v>=</v>
      </c>
      <c r="N3676">
        <f>J3676+L3676</f>
        <v>1.23</v>
      </c>
      <c r="T3676" t="str">
        <v>x</v>
      </c>
      <c r="U3676">
        <f>0.006165*F3676^2</f>
        <v>0.6165</v>
      </c>
      <c r="V3676" t="str">
        <v>x</v>
      </c>
      <c r="W3676">
        <f>IF(D3657&gt;4*G3655,ROUND(MAX(D3657/4,2*G3655)/H3676,0)+1,0)</f>
        <v>6</v>
      </c>
      <c r="X3676" t="str">
        <v>x</v>
      </c>
      <c r="Y3676">
        <f>D3660</f>
        <v>1</v>
      </c>
      <c r="Z3676" t="str">
        <v>=</v>
      </c>
      <c r="AA3676">
        <f>N3676*U3676*W3676*Y3676</f>
        <v>4.5497700000000005</v>
      </c>
    </row>
    <row r="3678">
      <c r="A3678" t="str">
        <f>A3654</f>
        <v>Lantai 1</v>
      </c>
      <c r="B3678">
        <f>B3654</f>
        <v>25</v>
      </c>
      <c r="C3678" t="str">
        <v>Kait Horizontal Tump.</v>
      </c>
      <c r="D3678">
        <f>VLOOKUP(D3654,'Detail Balok'!$C$10:$BJ$110,46,FALSE)</f>
        <v>0</v>
      </c>
      <c r="E3678" t="str">
        <v>D</v>
      </c>
      <c r="F3678">
        <f>VLOOKUP(D3654,'Detail Balok'!$C$10:$BJ$110,48,FALSE)</f>
        <v>0</v>
      </c>
      <c r="G3678" t="str">
        <v>-</v>
      </c>
      <c r="H3678">
        <f>VLOOKUP(D3654,'Detail Balok'!$C$10:$BJ$110,50,FALSE)</f>
        <v>100</v>
      </c>
      <c r="J3678">
        <f>(D3655-2*F$5)/1000</f>
        <v>0.12</v>
      </c>
      <c r="K3678" t="str">
        <v>+</v>
      </c>
      <c r="L3678">
        <f>IF(D3678=0,2*MAX(6*F3678,75),(D3678-1)*2*MAX(6*F3678,75))/1000</f>
        <v>0.15</v>
      </c>
      <c r="M3678" t="str">
        <v>=</v>
      </c>
      <c r="N3678">
        <f>J3678+L3678</f>
        <v>0.27</v>
      </c>
      <c r="T3678" t="str">
        <v>x</v>
      </c>
      <c r="U3678">
        <f>0.006165*F3678^2</f>
        <v>0</v>
      </c>
      <c r="V3678" t="str">
        <v>x</v>
      </c>
      <c r="W3678">
        <f>W3674</f>
        <v>6</v>
      </c>
      <c r="X3678" t="str">
        <v>x</v>
      </c>
      <c r="Y3678">
        <f>D3664</f>
        <v>0</v>
      </c>
      <c r="Z3678" t="str">
        <v>=</v>
      </c>
      <c r="AA3678">
        <f>N3678*U3678*W3678*Y3678</f>
        <v>0</v>
      </c>
    </row>
    <row r="3679">
      <c r="A3679" t="str">
        <f>A3654</f>
        <v>Lantai 1</v>
      </c>
      <c r="B3679">
        <f>B3654</f>
        <v>25</v>
      </c>
      <c r="C3679" t="str">
        <v>Kait Horizontal Lap.</v>
      </c>
      <c r="D3679">
        <f>VLOOKUP(D3654,'Detail Balok'!$C$10:$BJ$110,51,FALSE)</f>
        <v>0</v>
      </c>
      <c r="E3679" t="str">
        <v>D</v>
      </c>
      <c r="F3679">
        <f>VLOOKUP(D3654,'Detail Balok'!$C$10:$BJ$110,53,FALSE)</f>
        <v>0</v>
      </c>
      <c r="G3679" t="str">
        <v>-</v>
      </c>
      <c r="H3679">
        <f>VLOOKUP(D3654,'Detail Balok'!$C$10:$BJ$110,55,FALSE)</f>
        <v>100</v>
      </c>
      <c r="J3679">
        <f>(D3655-2*F$5)/1000</f>
        <v>0.12</v>
      </c>
      <c r="K3679" t="str">
        <v>+</v>
      </c>
      <c r="L3679">
        <f>IF(D3679=0,2*MAX(6*F3679,75),(D3679-1)*2*MAX(6*F3679,75))/1000</f>
        <v>0.15</v>
      </c>
      <c r="M3679" t="str">
        <v>=</v>
      </c>
      <c r="N3679">
        <f>J3679+L3679</f>
        <v>0.27</v>
      </c>
      <c r="T3679" t="str">
        <v>x</v>
      </c>
      <c r="U3679">
        <f>0.006165*F3679^2</f>
        <v>0</v>
      </c>
      <c r="V3679" t="str">
        <v>x</v>
      </c>
      <c r="W3679">
        <f>W3675</f>
        <v>11</v>
      </c>
      <c r="X3679" t="str">
        <v>x</v>
      </c>
      <c r="Y3679">
        <f>D3664</f>
        <v>0</v>
      </c>
      <c r="Z3679" t="str">
        <v>=</v>
      </c>
      <c r="AA3679">
        <f>N3679*U3679*W3679*Y3679</f>
        <v>0</v>
      </c>
    </row>
    <row r="3680">
      <c r="A3680" t="str">
        <f>A3654</f>
        <v>Lantai 1</v>
      </c>
      <c r="B3680">
        <f>B3654</f>
        <v>25</v>
      </c>
      <c r="C3680" t="str">
        <v>Kait Horizontal Tump.</v>
      </c>
      <c r="D3680">
        <f>VLOOKUP(D3654,'Detail Balok'!$C$10:$BJ$110,56,FALSE)</f>
        <v>0</v>
      </c>
      <c r="E3680" t="str">
        <v>D</v>
      </c>
      <c r="F3680">
        <f>VLOOKUP(D3654,'Detail Balok'!$C$10:$BJ$110,58,FALSE)</f>
        <v>0</v>
      </c>
      <c r="G3680" t="str">
        <v>-</v>
      </c>
      <c r="H3680">
        <f>VLOOKUP(D3654,'Detail Balok'!$C$10:$BJ$110,60,FALSE)</f>
        <v>100</v>
      </c>
      <c r="J3680">
        <f>(D3655-2*F$5)/1000</f>
        <v>0.12</v>
      </c>
      <c r="K3680" t="str">
        <v>+</v>
      </c>
      <c r="L3680">
        <f>IF(D3680=0,2*MAX(6*F3680,75),(D3680-1)*2*MAX(6*F3680,75))/1000</f>
        <v>0.15</v>
      </c>
      <c r="M3680" t="str">
        <v>=</v>
      </c>
      <c r="N3680">
        <f>J3680+L3680</f>
        <v>0.27</v>
      </c>
      <c r="T3680" t="str">
        <v>x</v>
      </c>
      <c r="U3680">
        <f>0.006165*F3680^2</f>
        <v>0</v>
      </c>
      <c r="V3680" t="str">
        <v>x</v>
      </c>
      <c r="W3680">
        <f>W3676</f>
        <v>6</v>
      </c>
      <c r="X3680" t="str">
        <v>x</v>
      </c>
      <c r="Y3680">
        <f>D3664</f>
        <v>0</v>
      </c>
      <c r="Z3680" t="str">
        <v>=</v>
      </c>
      <c r="AA3680">
        <f>N3680*U3680*W3680*Y3680</f>
        <v>0</v>
      </c>
    </row>
    <row r="3684">
      <c r="A3684" t="str">
        <f>A3654</f>
        <v>Lantai 1</v>
      </c>
      <c r="B3684">
        <f>B3654+1</f>
        <v>26</v>
      </c>
      <c r="C3684" t="str">
        <f>CONCATENATE(A3684," no. ",B3684)</f>
        <v>Lantai 1 no. 26</v>
      </c>
      <c r="D3684" t="str">
        <f>VLOOKUP(C3684,'Data Panjang Balok'!$C$9:$N$424,2,FALSE)</f>
        <v>B24-1</v>
      </c>
    </row>
    <row r="3685">
      <c r="C3685" t="str">
        <v>Dimensi</v>
      </c>
      <c r="D3685">
        <f>VLOOKUP(D3684,'Detail Balok'!$C$10:$AU$110,2,FALSE)</f>
        <v>200</v>
      </c>
      <c r="F3685" t="str">
        <v>x</v>
      </c>
      <c r="G3685">
        <f>VLOOKUP(D3684,'Detail Balok'!$C$10:$AU$110,3,FALSE)</f>
        <v>400</v>
      </c>
    </row>
    <row r="3686">
      <c r="C3686" t="str">
        <v>Panjang as ke as</v>
      </c>
      <c r="D3686">
        <f>VLOOKUP(C3684,'Data Panjang Balok'!$C$9:$N$424,4,FALSE)</f>
        <v>2000</v>
      </c>
    </row>
    <row r="3687">
      <c r="C3687" t="str">
        <v>Panjang netto</v>
      </c>
      <c r="D3687">
        <f>VLOOKUP(C3684,'Data Panjang Balok'!$C$9:$N$424,7,FALSE)</f>
        <v>2000</v>
      </c>
    </row>
    <row r="3688">
      <c r="C3688" t="str">
        <v>Kolom / balok kiri</v>
      </c>
      <c r="D3688">
        <f>VLOOKUP(C3684,'Data Panjang Balok'!$C$9:$N$424,9,FALSE)</f>
        <v>0</v>
      </c>
    </row>
    <row r="3689">
      <c r="C3689" t="str">
        <v>Kolom / balok kanan</v>
      </c>
      <c r="D3689">
        <f>VLOOKUP(C3684,'Data Panjang Balok'!$C$9:$N$424,10,FALSE)</f>
        <v>0</v>
      </c>
    </row>
    <row r="3690">
      <c r="C3690" t="str">
        <v>Jumlah</v>
      </c>
      <c r="D3690">
        <f>VLOOKUP(C3684,'Data Panjang Balok'!$C$9:$N$424,3,FALSE)</f>
        <v>1</v>
      </c>
    </row>
    <row r="3691">
      <c r="A3691" t="str">
        <f>A3684</f>
        <v>Lantai 1</v>
      </c>
      <c r="B3691">
        <f>B3684</f>
        <v>26</v>
      </c>
      <c r="C3691" t="str">
        <v>Tul Atas Tumpuan</v>
      </c>
      <c r="D3691">
        <f>VLOOKUP(D3684,'Detail Balok'!$C$10:$AU$110,4,FALSE)</f>
        <v>2</v>
      </c>
      <c r="E3691" t="str">
        <v>D</v>
      </c>
      <c r="F3691">
        <f>VLOOKUP(D3684,'Detail Balok'!$C$10:$AU$110,6,FALSE)</f>
        <v>13</v>
      </c>
      <c r="I3691" t="str">
        <v>(</v>
      </c>
      <c r="J3691">
        <f>+D3686/4/1000</f>
        <v>0.5</v>
      </c>
      <c r="K3691" t="str">
        <v>+</v>
      </c>
      <c r="L3691">
        <f>MAX(VLOOKUP(F3691,N$6:P$15,3,FALSE)/1000,2/3*D3688/1000)+F$16*F3691/1000</f>
        <v>0.156</v>
      </c>
      <c r="M3691" t="str">
        <v>=</v>
      </c>
      <c r="N3691">
        <f>J3691+L3691</f>
        <v>0.656</v>
      </c>
      <c r="O3691" t="str">
        <v>+</v>
      </c>
      <c r="P3691">
        <f>D3691-D3692</f>
        <v>0</v>
      </c>
      <c r="Q3691" t="str">
        <v>x</v>
      </c>
      <c r="R3691">
        <f>IF(P3691&gt;0,$F$18*F3691/1000,0)</f>
        <v>0</v>
      </c>
      <c r="S3691" t="str">
        <v>)</v>
      </c>
      <c r="T3691" t="str">
        <v>x</v>
      </c>
      <c r="U3691">
        <f>0.006165*F3691^2</f>
        <v>1.041885</v>
      </c>
      <c r="X3691" t="str">
        <v>x</v>
      </c>
      <c r="Y3691">
        <f>D3690</f>
        <v>1</v>
      </c>
      <c r="Z3691" t="str">
        <v>=</v>
      </c>
      <c r="AA3691">
        <f>IF(AA3694=0,(D3691*N3691+P3691*R3691)*U3691*Y3691,0)</f>
        <v>0</v>
      </c>
    </row>
    <row r="3692">
      <c r="A3692" t="str">
        <f>A3684</f>
        <v>Lantai 1</v>
      </c>
      <c r="B3692">
        <f>B3684</f>
        <v>26</v>
      </c>
      <c r="C3692" t="str">
        <v>Tul Atas Lapangan</v>
      </c>
      <c r="D3692">
        <f>VLOOKUP(D3684,'Detail Balok'!$C$10:$AU$110,7,FALSE)</f>
        <v>2</v>
      </c>
      <c r="E3692" t="str">
        <v>D</v>
      </c>
      <c r="F3692">
        <f>VLOOKUP(D3684,'Detail Balok'!$C$10:$AU$110,9,FALSE)</f>
        <v>13</v>
      </c>
      <c r="I3692" t="str">
        <v>(</v>
      </c>
      <c r="J3692">
        <f>+D3686/2/1000</f>
        <v>1</v>
      </c>
      <c r="K3692" t="str">
        <v>+</v>
      </c>
      <c r="M3692" t="str">
        <v>=</v>
      </c>
      <c r="N3692">
        <f>J3692+L3692</f>
        <v>1</v>
      </c>
      <c r="O3692" t="str">
        <v>+</v>
      </c>
      <c r="P3692">
        <f>MAX(D3692-D3691,D3692-D3693)</f>
        <v>0</v>
      </c>
      <c r="Q3692" t="str">
        <v>x</v>
      </c>
      <c r="R3692">
        <f>IF(P3692&gt;0,2*(1-2*$F$19-1/2)*D3687/1000,0)</f>
        <v>0</v>
      </c>
      <c r="S3692" t="str">
        <v>)</v>
      </c>
      <c r="T3692" t="str">
        <v>x</v>
      </c>
      <c r="U3692">
        <f>0.006165*F3692^2</f>
        <v>1.041885</v>
      </c>
      <c r="X3692" t="str">
        <v>x</v>
      </c>
      <c r="Y3692">
        <f>D3690</f>
        <v>1</v>
      </c>
      <c r="Z3692" t="str">
        <v>=</v>
      </c>
      <c r="AA3692">
        <f>IF(AA3694=0,(D3692*N3692+P3692*R3692)*U3692*Y3692,0)</f>
        <v>0</v>
      </c>
    </row>
    <row r="3693">
      <c r="A3693" t="str">
        <f>A3684</f>
        <v>Lantai 1</v>
      </c>
      <c r="B3693">
        <f>B3684</f>
        <v>26</v>
      </c>
      <c r="C3693" t="str">
        <v>Tul Atas Tumpuan</v>
      </c>
      <c r="D3693">
        <f>VLOOKUP(D3684,'Detail Balok'!$C$10:$AU$110,10,FALSE)</f>
        <v>2</v>
      </c>
      <c r="E3693" t="str">
        <v>D</v>
      </c>
      <c r="F3693">
        <f>VLOOKUP(D3684,'Detail Balok'!$C$10:$AU$110,12,FALSE)</f>
        <v>13</v>
      </c>
      <c r="I3693" t="str">
        <v>(</v>
      </c>
      <c r="J3693">
        <f>+D3686/4/1000</f>
        <v>0.5</v>
      </c>
      <c r="K3693" t="str">
        <v>+</v>
      </c>
      <c r="L3693">
        <f>MAX(VLOOKUP(F3693,N$6:P$15,3,FALSE)/1000,2/3*D3688/1000)+F$16*F3693/1000</f>
        <v>0.156</v>
      </c>
      <c r="M3693" t="str">
        <v>=</v>
      </c>
      <c r="N3693">
        <f>J3693+L3693</f>
        <v>0.656</v>
      </c>
      <c r="O3693" t="str">
        <v>+</v>
      </c>
      <c r="P3693">
        <f>D3693-D3692</f>
        <v>0</v>
      </c>
      <c r="Q3693" t="str">
        <v>x</v>
      </c>
      <c r="R3693">
        <f>IF(P3693&gt;0,$F$18*F3693/1000,0)</f>
        <v>0</v>
      </c>
      <c r="S3693" t="str">
        <v>)</v>
      </c>
      <c r="T3693" t="str">
        <v>x</v>
      </c>
      <c r="U3693">
        <f>0.006165*F3693^2</f>
        <v>1.041885</v>
      </c>
      <c r="X3693" t="str">
        <v>x</v>
      </c>
      <c r="Y3693">
        <f>D3690</f>
        <v>1</v>
      </c>
      <c r="Z3693" t="str">
        <v>=</v>
      </c>
      <c r="AA3693">
        <f>IF(AA3694=0,(D3693*N3693+P3693*R3693)*U3693*Y3693,0)</f>
        <v>0</v>
      </c>
    </row>
    <row r="3694">
      <c r="A3694" t="str">
        <f>A3684</f>
        <v>Lantai 1</v>
      </c>
      <c r="B3694">
        <f>B3684</f>
        <v>26</v>
      </c>
      <c r="D3694">
        <f>IF(AND(D3691=D3692,D3692=D3693,D3691=D3693),D3691,0)</f>
        <v>2</v>
      </c>
      <c r="E3694" t="str">
        <v>D</v>
      </c>
      <c r="F3694">
        <f>IF(AND(F3691=F3692,F3691=F3693,F3692=F3693),F3691,0)</f>
        <v>13</v>
      </c>
      <c r="L3694" t="str">
        <v>Total panjang per balok</v>
      </c>
      <c r="M3694" t="str">
        <v>=</v>
      </c>
      <c r="N3694">
        <f>IF(AND(D3691=D3692,D3691=D3693,D3692=D3693,F3691=F3692,F3691=F3693,F3692=F3693),SUM(N3691:N3693),0)</f>
        <v>2.3120000000000003</v>
      </c>
      <c r="O3694" t="str">
        <v>+</v>
      </c>
      <c r="P3694">
        <f>IF(N3694&gt;12,ROUNDDOWN(N3694/12,0),0)</f>
        <v>0</v>
      </c>
      <c r="Q3694" t="str">
        <v>x</v>
      </c>
      <c r="R3694">
        <f>IF(P3694&gt;0,MAX(VLOOKUP(F3694,$D$6:$G$15,3,FALSE),600),0)/1000</f>
        <v>0</v>
      </c>
      <c r="T3694" t="str">
        <v>x</v>
      </c>
      <c r="U3694">
        <f>U3693</f>
        <v>1.041885</v>
      </c>
      <c r="V3694" t="str">
        <v>x</v>
      </c>
      <c r="W3694">
        <f>D3694</f>
        <v>2</v>
      </c>
      <c r="X3694" t="str">
        <v>x</v>
      </c>
      <c r="Y3694">
        <f>Y3693</f>
        <v>1</v>
      </c>
      <c r="Z3694" t="str">
        <v>=</v>
      </c>
      <c r="AA3694">
        <f>(N3694+P3694*R3694/1000)*U3694*W3694*Y3694</f>
        <v>4.81767624</v>
      </c>
    </row>
    <row r="3696">
      <c r="A3696" t="str">
        <f>A3684</f>
        <v>Lantai 1</v>
      </c>
      <c r="B3696">
        <f>B3684</f>
        <v>26</v>
      </c>
      <c r="C3696" t="str">
        <v>Tul Peminggang</v>
      </c>
      <c r="D3696">
        <f>VLOOKUP(D3684,'Detail Balok'!$C$10:$AU$110,13,FALSE)</f>
        <v>0</v>
      </c>
      <c r="E3696" t="str">
        <v>D</v>
      </c>
      <c r="F3696">
        <f>VLOOKUP(D3684,'Detail Balok'!$C$10:$AU$110,15,FALSE)</f>
        <v>6</v>
      </c>
      <c r="J3696">
        <f>+D3686/1000</f>
        <v>2</v>
      </c>
      <c r="K3696" t="str">
        <v>+</v>
      </c>
      <c r="L3696">
        <f>2*$F$16*F3696/1000</f>
        <v>0.144</v>
      </c>
      <c r="M3696" t="str">
        <v>=</v>
      </c>
      <c r="N3696">
        <f>J3696+L3696</f>
        <v>2.144</v>
      </c>
      <c r="O3696" t="str">
        <v>+</v>
      </c>
      <c r="P3696">
        <f>IF(N3696&gt;12,ROUNDDOWN(N3696/12,0),0)</f>
        <v>0</v>
      </c>
      <c r="Q3696" t="str">
        <v>x</v>
      </c>
      <c r="R3696">
        <f>IF(P3696&gt;0,MAX(VLOOKUP(F3696,$D$6:$G$15,3,FALSE),600),0)/1000</f>
        <v>0</v>
      </c>
      <c r="T3696" t="str">
        <v>x</v>
      </c>
      <c r="U3696">
        <f>0.006165*F3696^2</f>
        <v>0.22194000000000003</v>
      </c>
      <c r="V3696" t="str">
        <v>x</v>
      </c>
      <c r="W3696">
        <f>+D3696</f>
        <v>0</v>
      </c>
      <c r="X3696" t="str">
        <v>x</v>
      </c>
      <c r="Y3696">
        <f>D3690</f>
        <v>1</v>
      </c>
      <c r="Z3696" t="str">
        <v>=</v>
      </c>
      <c r="AA3696">
        <f>(N3696+P3696*R3696/1000)*U3696*W3696*Y3696</f>
        <v>0</v>
      </c>
    </row>
    <row r="3699">
      <c r="A3699" t="str">
        <f>A3684</f>
        <v>Lantai 1</v>
      </c>
      <c r="B3699">
        <f>B3684</f>
        <v>26</v>
      </c>
      <c r="C3699" t="str">
        <v>Tul Bawah Tumpuan</v>
      </c>
      <c r="D3699">
        <f>VLOOKUP(D3684,'Detail Balok'!$C$10:$AU$110,22,FALSE)</f>
        <v>2</v>
      </c>
      <c r="E3699" t="str">
        <v>D</v>
      </c>
      <c r="F3699">
        <f>VLOOKUP(D3684,'Detail Balok'!$C$10:$AU$110,24,FALSE)</f>
        <v>13</v>
      </c>
      <c r="I3699" t="str">
        <v>(</v>
      </c>
      <c r="J3699">
        <f>+J3691</f>
        <v>0.5</v>
      </c>
      <c r="K3699" t="str">
        <v>+</v>
      </c>
      <c r="L3699">
        <f>MAX(VLOOKUP(F3699,N$6:P$15,3,FALSE)/1000,2/3*D3689/1000)+F$16*F3699/1000</f>
        <v>0.156</v>
      </c>
      <c r="M3699" t="str">
        <v>=</v>
      </c>
      <c r="N3699">
        <f>J3699+L3699</f>
        <v>0.656</v>
      </c>
      <c r="O3699" t="str">
        <v>+</v>
      </c>
      <c r="P3699">
        <f>D3699-D3700</f>
        <v>0</v>
      </c>
      <c r="Q3699" t="str">
        <v>x</v>
      </c>
      <c r="R3699">
        <f>IF(P3699&gt;0,$F$18*F3699/1000,0)</f>
        <v>0</v>
      </c>
      <c r="S3699" t="str">
        <v>)</v>
      </c>
      <c r="T3699" t="str">
        <v>x</v>
      </c>
      <c r="U3699">
        <f>0.006165*F3699^2</f>
        <v>1.041885</v>
      </c>
      <c r="X3699" t="str">
        <v>x</v>
      </c>
      <c r="Y3699">
        <f>D3690</f>
        <v>1</v>
      </c>
      <c r="Z3699" t="str">
        <v>=</v>
      </c>
      <c r="AA3699">
        <f>IF(AA3702=0,(D3699*N3699+P3699*R3699)*U3699*Y3699,0)</f>
        <v>0</v>
      </c>
    </row>
    <row r="3700">
      <c r="A3700" t="str">
        <f>A3684</f>
        <v>Lantai 1</v>
      </c>
      <c r="B3700">
        <f>B3684</f>
        <v>26</v>
      </c>
      <c r="C3700" t="str">
        <v>Tul Bawah Lapangan</v>
      </c>
      <c r="D3700">
        <f>VLOOKUP(D3684,'Detail Balok'!$C$10:$AU$110,25,FALSE)</f>
        <v>2</v>
      </c>
      <c r="E3700" t="str">
        <v>D</v>
      </c>
      <c r="F3700">
        <f>VLOOKUP(D3684,'Detail Balok'!$C$10:$AU$110,27,FALSE)</f>
        <v>13</v>
      </c>
      <c r="I3700" t="str">
        <v>(</v>
      </c>
      <c r="J3700">
        <f>+J3692</f>
        <v>1</v>
      </c>
      <c r="K3700" t="str">
        <v>+</v>
      </c>
      <c r="M3700" t="str">
        <v>=</v>
      </c>
      <c r="N3700">
        <f>J3700+L3700</f>
        <v>1</v>
      </c>
      <c r="O3700" t="str">
        <v>+</v>
      </c>
      <c r="P3700">
        <f>MAX(D3700-D3699,D3700-D3701)</f>
        <v>0</v>
      </c>
      <c r="Q3700" t="str">
        <v>x</v>
      </c>
      <c r="R3700">
        <f>IF(P3700&gt;0,2*(1-2*$F$19-1/2)*D3687/1000,0)</f>
        <v>0</v>
      </c>
      <c r="S3700" t="str">
        <v>)</v>
      </c>
      <c r="T3700" t="str">
        <v>x</v>
      </c>
      <c r="U3700">
        <f>0.006165*F3700^2</f>
        <v>1.041885</v>
      </c>
      <c r="X3700" t="str">
        <v>x</v>
      </c>
      <c r="Y3700">
        <f>D3690</f>
        <v>1</v>
      </c>
      <c r="Z3700" t="str">
        <v>=</v>
      </c>
      <c r="AA3700">
        <f>IF(AA3702=0,(D3700*N3700+P3700*R3700)*U3700*Y3700,0)</f>
        <v>0</v>
      </c>
    </row>
    <row r="3701">
      <c r="A3701" t="str">
        <f>A3684</f>
        <v>Lantai 1</v>
      </c>
      <c r="B3701">
        <f>B3684</f>
        <v>26</v>
      </c>
      <c r="C3701" t="str">
        <v>Tul Bawah Tumpuan</v>
      </c>
      <c r="D3701">
        <f>VLOOKUP(D3684,'Detail Balok'!$C$10:$AU$110,28,FALSE)</f>
        <v>2</v>
      </c>
      <c r="E3701" t="str">
        <v>D</v>
      </c>
      <c r="F3701">
        <f>VLOOKUP(D3684,'Detail Balok'!$C$10:$AU$110,30,FALSE)</f>
        <v>13</v>
      </c>
      <c r="I3701" t="str">
        <v>(</v>
      </c>
      <c r="J3701">
        <f>+J3693</f>
        <v>0.5</v>
      </c>
      <c r="K3701" t="str">
        <v>+</v>
      </c>
      <c r="L3701">
        <f>MAX(VLOOKUP(F3701,N$6:P$15,3,FALSE)/1000,2/3*D3689/1000)+F$16*F3701/1000</f>
        <v>0.156</v>
      </c>
      <c r="M3701" t="str">
        <v>=</v>
      </c>
      <c r="N3701">
        <f>J3701+L3701</f>
        <v>0.656</v>
      </c>
      <c r="O3701" t="str">
        <v>+</v>
      </c>
      <c r="P3701">
        <f>D3701-D3700</f>
        <v>0</v>
      </c>
      <c r="Q3701" t="str">
        <v>x</v>
      </c>
      <c r="R3701">
        <f>IF(P3701&gt;0,$F$18*F3701/1000,0)</f>
        <v>0</v>
      </c>
      <c r="S3701" t="str">
        <v>)</v>
      </c>
      <c r="T3701" t="str">
        <v>x</v>
      </c>
      <c r="U3701">
        <f>0.006165*F3701^2</f>
        <v>1.041885</v>
      </c>
      <c r="X3701" t="str">
        <v>x</v>
      </c>
      <c r="Y3701">
        <f>D3690</f>
        <v>1</v>
      </c>
      <c r="Z3701" t="str">
        <v>=</v>
      </c>
      <c r="AA3701">
        <f>IF(AA3702=0,(D3701*N3701+P3701*R3701)*U3701*Y3701,0)</f>
        <v>0</v>
      </c>
    </row>
    <row r="3702">
      <c r="A3702" t="str">
        <f>A3684</f>
        <v>Lantai 1</v>
      </c>
      <c r="B3702">
        <f>B3684</f>
        <v>26</v>
      </c>
      <c r="D3702">
        <f>IF(AND(D3699=D3700,D3700=D3701,D3699=D3701),D3699,0)</f>
        <v>2</v>
      </c>
      <c r="E3702" t="str">
        <v>D</v>
      </c>
      <c r="F3702">
        <f>IF(AND(F3699=F3700,F3699=F3701,F3700=F3701),F3699,0)</f>
        <v>13</v>
      </c>
      <c r="L3702" t="str">
        <v>Total panjang per balok</v>
      </c>
      <c r="M3702" t="str">
        <v>=</v>
      </c>
      <c r="N3702">
        <f>IF(AND(D3699=D3700,D3699=D3701,D3700=D3701,F3699=F3700,F3699=F3701,F3700=F3701),SUM(N3699:N3701),0)</f>
        <v>2.3120000000000003</v>
      </c>
      <c r="O3702" t="str">
        <v>+</v>
      </c>
      <c r="P3702">
        <f>IF(N3702&gt;12,ROUNDDOWN(N3702/12,0),0)</f>
        <v>0</v>
      </c>
      <c r="Q3702" t="str">
        <v>x</v>
      </c>
      <c r="R3702">
        <f>IF(P3702&gt;0,MAX(VLOOKUP(F3702,$D$6:$G$15,3,FALSE),600),0)/1000</f>
        <v>0</v>
      </c>
      <c r="T3702" t="str">
        <v>x</v>
      </c>
      <c r="U3702">
        <f>U3701</f>
        <v>1.041885</v>
      </c>
      <c r="V3702" t="str">
        <v>x</v>
      </c>
      <c r="W3702">
        <f>D3702</f>
        <v>2</v>
      </c>
      <c r="X3702" t="str">
        <v>x</v>
      </c>
      <c r="Y3702">
        <f>Y3701</f>
        <v>1</v>
      </c>
      <c r="Z3702" t="str">
        <v>=</v>
      </c>
      <c r="AA3702">
        <f>(N3702+P3702*R3702/1000)*U3702*W3702*Y3702</f>
        <v>4.81767624</v>
      </c>
    </row>
    <row r="3704">
      <c r="A3704" t="str">
        <f>A3684</f>
        <v>Lantai 1</v>
      </c>
      <c r="B3704">
        <f>B3684</f>
        <v>26</v>
      </c>
      <c r="C3704" t="str">
        <v>Sengkang Tumpuan</v>
      </c>
      <c r="D3704">
        <f>VLOOKUP(D3684,'Detail Balok'!$C$10:$AU$110,31,FALSE)</f>
        <v>0</v>
      </c>
      <c r="E3704" t="str">
        <v>D</v>
      </c>
      <c r="F3704">
        <f>VLOOKUP(D3684,'Detail Balok'!$C$10:$AU$110,33,FALSE)</f>
        <v>8</v>
      </c>
      <c r="G3704" t="str">
        <v>-</v>
      </c>
      <c r="H3704">
        <f>VLOOKUP(D3684,'Detail Balok'!$C$10:$AU$110,35,FALSE)</f>
        <v>100</v>
      </c>
      <c r="J3704">
        <f>(IF(D3704=0,(2*(D3685+G3685))-(F$5*8),IF(D3704=3,(2*(D3685+G3685))-(F$5*8)+(G3685-2*F$5),IF(D3704=4,(2*(D3685+G3685))-(F$5*8)+2*(G3685-2*F$5)))))/1000</f>
        <v>0.88</v>
      </c>
      <c r="K3704" t="str">
        <v>+</v>
      </c>
      <c r="L3704">
        <f>IF(D3704=0,2*MAX(6*F3704,75),(D3704-1)*2*MAX(6*F3704,75))/1000</f>
        <v>0.15</v>
      </c>
      <c r="M3704" t="str">
        <v>=</v>
      </c>
      <c r="N3704">
        <f>J3704+L3704</f>
        <v>1.03</v>
      </c>
      <c r="T3704" t="str">
        <v>x</v>
      </c>
      <c r="U3704">
        <f>0.006165*F3704^2</f>
        <v>0.39456</v>
      </c>
      <c r="V3704" t="str">
        <v>x</v>
      </c>
      <c r="W3704">
        <f>IF(D3687&gt;4*G3685,ROUND(MAX(D3687/4,2*G3685)/H3704,0)+1,ROUND(D3687/H3704,0)+1)</f>
        <v>9</v>
      </c>
      <c r="X3704" t="str">
        <v>x</v>
      </c>
      <c r="Y3704">
        <f>D3690</f>
        <v>1</v>
      </c>
      <c r="Z3704" t="str">
        <v>=</v>
      </c>
      <c r="AA3704">
        <f>N3704*U3704*W3704*Y3704</f>
        <v>3.6575712000000005</v>
      </c>
    </row>
    <row r="3705">
      <c r="A3705" t="str">
        <f>A3684</f>
        <v>Lantai 1</v>
      </c>
      <c r="B3705">
        <f>B3684</f>
        <v>26</v>
      </c>
      <c r="C3705" t="str">
        <v>Sengkang Lapangan</v>
      </c>
      <c r="D3705">
        <f>VLOOKUP(D3684,'Detail Balok'!$C$10:$AU$110,36,FALSE)</f>
        <v>0</v>
      </c>
      <c r="E3705" t="str">
        <v>D</v>
      </c>
      <c r="F3705">
        <f>VLOOKUP(D3684,'Detail Balok'!$C$10:$AU$110,38,FALSE)</f>
        <v>8</v>
      </c>
      <c r="G3705" t="str">
        <v>-</v>
      </c>
      <c r="H3705">
        <f>VLOOKUP(D3684,'Detail Balok'!$C$10:$AU$110,40,FALSE)</f>
        <v>200</v>
      </c>
      <c r="J3705">
        <f>(IF(D3705=0,(2*(D3685+G3685))-(F$5*8),IF(D3705=3,(2*(D3685+G3685))-(F$5*8)+(G3685-2*F$5),IF(D3705=4,(2*(D3685+G3685))-(F$5*8)+2*(G3685-2*F$5)))))/1000</f>
        <v>0.88</v>
      </c>
      <c r="K3705" t="str">
        <v>+</v>
      </c>
      <c r="L3705">
        <f>IF(D3705=0,2*MAX(6*F3705,75),(D3705-1)*2*MAX(6*F3705,75))/1000</f>
        <v>0.15</v>
      </c>
      <c r="M3705" t="str">
        <v>=</v>
      </c>
      <c r="N3705">
        <f>J3705+L3705</f>
        <v>1.03</v>
      </c>
      <c r="T3705" t="str">
        <v>x</v>
      </c>
      <c r="U3705">
        <f>0.006165*F3705^2</f>
        <v>0.39456</v>
      </c>
      <c r="V3705" t="str">
        <v>x</v>
      </c>
      <c r="W3705">
        <f>IF(D3687-MAX(D3687/4,2*G3685)*2&gt;0,ROUND((D3687-MAX(D3687/4,2*G3685)*2)/H3705,0),0)</f>
        <v>2</v>
      </c>
      <c r="X3705" t="str">
        <v>x</v>
      </c>
      <c r="Y3705">
        <f>D3690</f>
        <v>1</v>
      </c>
      <c r="Z3705" t="str">
        <v>=</v>
      </c>
      <c r="AA3705">
        <f>N3705*U3705*W3705*Y3705</f>
        <v>0.8127936000000001</v>
      </c>
    </row>
    <row r="3706">
      <c r="A3706" t="str">
        <f>A3684</f>
        <v>Lantai 1</v>
      </c>
      <c r="B3706">
        <f>B3684</f>
        <v>26</v>
      </c>
      <c r="C3706" t="str">
        <v>Sengkang Tumpuan</v>
      </c>
      <c r="D3706">
        <f>VLOOKUP(D3684,'Detail Balok'!$C$10:$AU$110,41,FALSE)</f>
        <v>0</v>
      </c>
      <c r="E3706" t="str">
        <v>D</v>
      </c>
      <c r="F3706">
        <f>VLOOKUP(D3684,'Detail Balok'!$C$10:$AU$110,43,FALSE)</f>
        <v>8</v>
      </c>
      <c r="G3706" t="str">
        <v>-</v>
      </c>
      <c r="H3706">
        <f>VLOOKUP(D3684,'Detail Balok'!$C$10:$AU$110,45,FALSE)</f>
        <v>100</v>
      </c>
      <c r="J3706">
        <f>(IF(D3706=0,(2*(D3685+G3685))-(F$5*8),IF(D3706=3,(2*(D3685+G3685))-(F$5*8)+(G3685-2*F$5),IF(D3706=4,(2*(D3685+G3685))-(F$5*8)+2*(G3685-2*F$5)))))/1000</f>
        <v>0.88</v>
      </c>
      <c r="K3706" t="str">
        <v>+</v>
      </c>
      <c r="L3706">
        <f>IF(D3706=0,2*MAX(6*F3706,75),(D3706-1)*2*MAX(6*F3706,75))/1000</f>
        <v>0.15</v>
      </c>
      <c r="M3706" t="str">
        <v>=</v>
      </c>
      <c r="N3706">
        <f>J3706+L3706</f>
        <v>1.03</v>
      </c>
      <c r="T3706" t="str">
        <v>x</v>
      </c>
      <c r="U3706">
        <f>0.006165*F3706^2</f>
        <v>0.39456</v>
      </c>
      <c r="V3706" t="str">
        <v>x</v>
      </c>
      <c r="W3706">
        <f>IF(D3687&gt;4*G3685,ROUND(MAX(D3687/4,2*G3685)/H3706,0)+1,0)</f>
        <v>9</v>
      </c>
      <c r="X3706" t="str">
        <v>x</v>
      </c>
      <c r="Y3706">
        <f>D3690</f>
        <v>1</v>
      </c>
      <c r="Z3706" t="str">
        <v>=</v>
      </c>
      <c r="AA3706">
        <f>N3706*U3706*W3706*Y3706</f>
        <v>3.6575712000000005</v>
      </c>
    </row>
    <row r="3708">
      <c r="A3708" t="str">
        <f>A3684</f>
        <v>Lantai 1</v>
      </c>
      <c r="B3708">
        <f>B3684</f>
        <v>26</v>
      </c>
      <c r="C3708" t="str">
        <v>Kait Horizontal Tump.</v>
      </c>
      <c r="D3708">
        <f>VLOOKUP(D3684,'Detail Balok'!$C$10:$BJ$110,46,FALSE)</f>
        <v>0</v>
      </c>
      <c r="E3708" t="str">
        <v>D</v>
      </c>
      <c r="F3708">
        <f>VLOOKUP(D3684,'Detail Balok'!$C$10:$BJ$110,48,FALSE)</f>
        <v>0</v>
      </c>
      <c r="G3708" t="str">
        <v>-</v>
      </c>
      <c r="H3708">
        <f>VLOOKUP(D3684,'Detail Balok'!$C$10:$BJ$110,50,FALSE)</f>
        <v>100</v>
      </c>
      <c r="J3708">
        <f>(D3685-2*F$5)/1000</f>
        <v>0.12</v>
      </c>
      <c r="K3708" t="str">
        <v>+</v>
      </c>
      <c r="L3708">
        <f>IF(D3708=0,2*MAX(6*F3708,75),(D3708-1)*2*MAX(6*F3708,75))/1000</f>
        <v>0.15</v>
      </c>
      <c r="M3708" t="str">
        <v>=</v>
      </c>
      <c r="N3708">
        <f>J3708+L3708</f>
        <v>0.27</v>
      </c>
      <c r="T3708" t="str">
        <v>x</v>
      </c>
      <c r="U3708">
        <f>0.006165*F3708^2</f>
        <v>0</v>
      </c>
      <c r="V3708" t="str">
        <v>x</v>
      </c>
      <c r="W3708">
        <f>W3704</f>
        <v>9</v>
      </c>
      <c r="X3708" t="str">
        <v>x</v>
      </c>
      <c r="Y3708">
        <f>D3694</f>
        <v>2</v>
      </c>
      <c r="Z3708" t="str">
        <v>=</v>
      </c>
      <c r="AA3708">
        <f>N3708*U3708*W3708*Y3708</f>
        <v>0</v>
      </c>
    </row>
    <row r="3709">
      <c r="A3709" t="str">
        <f>A3684</f>
        <v>Lantai 1</v>
      </c>
      <c r="B3709">
        <f>B3684</f>
        <v>26</v>
      </c>
      <c r="C3709" t="str">
        <v>Kait Horizontal Lap.</v>
      </c>
      <c r="D3709">
        <f>VLOOKUP(D3684,'Detail Balok'!$C$10:$BJ$110,51,FALSE)</f>
        <v>0</v>
      </c>
      <c r="E3709" t="str">
        <v>D</v>
      </c>
      <c r="F3709">
        <f>VLOOKUP(D3684,'Detail Balok'!$C$10:$BJ$110,53,FALSE)</f>
        <v>0</v>
      </c>
      <c r="G3709" t="str">
        <v>-</v>
      </c>
      <c r="H3709">
        <f>VLOOKUP(D3684,'Detail Balok'!$C$10:$BJ$110,55,FALSE)</f>
        <v>100</v>
      </c>
      <c r="J3709">
        <f>(D3685-2*F$5)/1000</f>
        <v>0.12</v>
      </c>
      <c r="K3709" t="str">
        <v>+</v>
      </c>
      <c r="L3709">
        <f>IF(D3709=0,2*MAX(6*F3709,75),(D3709-1)*2*MAX(6*F3709,75))/1000</f>
        <v>0.15</v>
      </c>
      <c r="M3709" t="str">
        <v>=</v>
      </c>
      <c r="N3709">
        <f>J3709+L3709</f>
        <v>0.27</v>
      </c>
      <c r="T3709" t="str">
        <v>x</v>
      </c>
      <c r="U3709">
        <f>0.006165*F3709^2</f>
        <v>0</v>
      </c>
      <c r="V3709" t="str">
        <v>x</v>
      </c>
      <c r="W3709">
        <f>W3705</f>
        <v>2</v>
      </c>
      <c r="X3709" t="str">
        <v>x</v>
      </c>
      <c r="Y3709">
        <f>D3694</f>
        <v>2</v>
      </c>
      <c r="Z3709" t="str">
        <v>=</v>
      </c>
      <c r="AA3709">
        <f>N3709*U3709*W3709*Y3709</f>
        <v>0</v>
      </c>
    </row>
    <row r="3710">
      <c r="A3710" t="str">
        <f>A3684</f>
        <v>Lantai 1</v>
      </c>
      <c r="B3710">
        <f>B3684</f>
        <v>26</v>
      </c>
      <c r="C3710" t="str">
        <v>Kait Horizontal Tump.</v>
      </c>
      <c r="D3710">
        <f>VLOOKUP(D3684,'Detail Balok'!$C$10:$BJ$110,56,FALSE)</f>
        <v>0</v>
      </c>
      <c r="E3710" t="str">
        <v>D</v>
      </c>
      <c r="F3710">
        <f>VLOOKUP(D3684,'Detail Balok'!$C$10:$BJ$110,58,FALSE)</f>
        <v>0</v>
      </c>
      <c r="G3710" t="str">
        <v>-</v>
      </c>
      <c r="H3710">
        <f>VLOOKUP(D3684,'Detail Balok'!$C$10:$BJ$110,60,FALSE)</f>
        <v>100</v>
      </c>
      <c r="J3710">
        <f>(D3685-2*F$5)/1000</f>
        <v>0.12</v>
      </c>
      <c r="K3710" t="str">
        <v>+</v>
      </c>
      <c r="L3710">
        <f>IF(D3710=0,2*MAX(6*F3710,75),(D3710-1)*2*MAX(6*F3710,75))/1000</f>
        <v>0.15</v>
      </c>
      <c r="M3710" t="str">
        <v>=</v>
      </c>
      <c r="N3710">
        <f>J3710+L3710</f>
        <v>0.27</v>
      </c>
      <c r="T3710" t="str">
        <v>x</v>
      </c>
      <c r="U3710">
        <f>0.006165*F3710^2</f>
        <v>0</v>
      </c>
      <c r="V3710" t="str">
        <v>x</v>
      </c>
      <c r="W3710">
        <f>W3706</f>
        <v>9</v>
      </c>
      <c r="X3710" t="str">
        <v>x</v>
      </c>
      <c r="Y3710">
        <f>D3694</f>
        <v>2</v>
      </c>
      <c r="Z3710" t="str">
        <v>=</v>
      </c>
      <c r="AA3710">
        <f>N3710*U3710*W3710*Y3710</f>
        <v>0</v>
      </c>
    </row>
    <row r="3714">
      <c r="A3714" t="str">
        <f>A3684</f>
        <v>Lantai 1</v>
      </c>
      <c r="B3714">
        <f>B3684+1</f>
        <v>27</v>
      </c>
      <c r="C3714" t="str">
        <f>CONCATENATE(A3714," no. ",B3714)</f>
        <v>Lantai 1 no. 27</v>
      </c>
      <c r="D3714" t="str">
        <f>VLOOKUP(C3714,'Data Panjang Balok'!$C$9:$N$424,2,FALSE)</f>
        <v>B57-4</v>
      </c>
    </row>
    <row r="3715">
      <c r="C3715" t="str">
        <v>Dimensi</v>
      </c>
      <c r="D3715">
        <f>VLOOKUP(D3714,'Detail Balok'!$C$10:$AU$110,2,FALSE)</f>
        <v>500</v>
      </c>
      <c r="F3715" t="str">
        <v>x</v>
      </c>
      <c r="G3715">
        <f>VLOOKUP(D3714,'Detail Balok'!$C$10:$AU$110,3,FALSE)</f>
        <v>700</v>
      </c>
    </row>
    <row r="3716">
      <c r="C3716" t="str">
        <v>Panjang as ke as</v>
      </c>
      <c r="D3716">
        <f>VLOOKUP(C3714,'Data Panjang Balok'!$C$9:$N$424,4,FALSE)</f>
        <v>11100</v>
      </c>
    </row>
    <row r="3717">
      <c r="C3717" t="str">
        <v>Panjang netto</v>
      </c>
      <c r="D3717">
        <f>VLOOKUP(C3714,'Data Panjang Balok'!$C$9:$N$424,7,FALSE)</f>
        <v>11100</v>
      </c>
    </row>
    <row r="3718">
      <c r="C3718" t="str">
        <v>Kolom / balok kiri</v>
      </c>
      <c r="D3718">
        <f>VLOOKUP(C3714,'Data Panjang Balok'!$C$9:$N$424,9,FALSE)</f>
        <v>0</v>
      </c>
    </row>
    <row r="3719">
      <c r="C3719" t="str">
        <v>Kolom / balok kanan</v>
      </c>
      <c r="D3719">
        <f>VLOOKUP(C3714,'Data Panjang Balok'!$C$9:$N$424,10,FALSE)</f>
        <v>0</v>
      </c>
    </row>
    <row r="3720">
      <c r="C3720" t="str">
        <v>Jumlah</v>
      </c>
      <c r="D3720">
        <f>VLOOKUP(C3714,'Data Panjang Balok'!$C$9:$N$424,3,FALSE)</f>
        <v>1</v>
      </c>
    </row>
    <row r="3721">
      <c r="A3721" t="str">
        <f>A3714</f>
        <v>Lantai 1</v>
      </c>
      <c r="B3721">
        <f>B3714</f>
        <v>27</v>
      </c>
      <c r="C3721" t="str">
        <v>Tul Atas Tumpuan</v>
      </c>
      <c r="D3721">
        <f>VLOOKUP(D3714,'Detail Balok'!$C$10:$AU$110,4,FALSE)</f>
        <v>10</v>
      </c>
      <c r="E3721" t="str">
        <v>D</v>
      </c>
      <c r="F3721">
        <f>VLOOKUP(D3714,'Detail Balok'!$C$10:$AU$110,6,FALSE)</f>
        <v>22</v>
      </c>
      <c r="I3721" t="str">
        <v>(</v>
      </c>
      <c r="J3721">
        <f>+D3716/4/1000</f>
        <v>2.775</v>
      </c>
      <c r="K3721" t="str">
        <v>+</v>
      </c>
      <c r="L3721">
        <f>MAX(VLOOKUP(F3721,N$6:P$15,3,FALSE)/1000,2/3*D3718/1000)+F$16*F3721/1000</f>
        <v>0.264</v>
      </c>
      <c r="M3721" t="str">
        <v>=</v>
      </c>
      <c r="N3721">
        <f>J3721+L3721</f>
        <v>3.0389999999999997</v>
      </c>
      <c r="O3721" t="str">
        <v>+</v>
      </c>
      <c r="P3721">
        <f>D3721-D3722</f>
        <v>6</v>
      </c>
      <c r="Q3721" t="str">
        <v>x</v>
      </c>
      <c r="R3721">
        <f>IF(P3721&gt;0,$F$18*F3721/1000,0)</f>
        <v>0.33</v>
      </c>
      <c r="S3721" t="str">
        <v>)</v>
      </c>
      <c r="T3721" t="str">
        <v>x</v>
      </c>
      <c r="U3721">
        <f>0.006165*F3721^2</f>
        <v>2.98386</v>
      </c>
      <c r="X3721" t="str">
        <v>x</v>
      </c>
      <c r="Y3721">
        <f>D3720</f>
        <v>1</v>
      </c>
      <c r="Z3721" t="str">
        <v>=</v>
      </c>
      <c r="AA3721">
        <f>IF(AA3724=0,(D3721*N3721+P3721*R3721)*U3721*Y3721,0)</f>
        <v>96.58754819999999</v>
      </c>
    </row>
    <row r="3722">
      <c r="A3722" t="str">
        <f>A3714</f>
        <v>Lantai 1</v>
      </c>
      <c r="B3722">
        <f>B3714</f>
        <v>27</v>
      </c>
      <c r="C3722" t="str">
        <v>Tul Atas Lapangan</v>
      </c>
      <c r="D3722">
        <f>VLOOKUP(D3714,'Detail Balok'!$C$10:$AU$110,7,FALSE)</f>
        <v>4</v>
      </c>
      <c r="E3722" t="str">
        <v>D</v>
      </c>
      <c r="F3722">
        <f>VLOOKUP(D3714,'Detail Balok'!$C$10:$AU$110,9,FALSE)</f>
        <v>22</v>
      </c>
      <c r="I3722" t="str">
        <v>(</v>
      </c>
      <c r="J3722">
        <f>+D3716/2/1000</f>
        <v>5.55</v>
      </c>
      <c r="K3722" t="str">
        <v>+</v>
      </c>
      <c r="M3722" t="str">
        <v>=</v>
      </c>
      <c r="N3722">
        <f>J3722+L3722</f>
        <v>5.55</v>
      </c>
      <c r="O3722" t="str">
        <v>+</v>
      </c>
      <c r="P3722">
        <f>MAX(D3722-D3721,D3722-D3723)</f>
        <v>-2</v>
      </c>
      <c r="Q3722" t="str">
        <v>x</v>
      </c>
      <c r="R3722">
        <f>IF(P3722&gt;0,2*(1-2*$F$19-1/2)*D3717/1000,0)</f>
        <v>0</v>
      </c>
      <c r="S3722" t="str">
        <v>)</v>
      </c>
      <c r="T3722" t="str">
        <v>x</v>
      </c>
      <c r="U3722">
        <f>0.006165*F3722^2</f>
        <v>2.98386</v>
      </c>
      <c r="X3722" t="str">
        <v>x</v>
      </c>
      <c r="Y3722">
        <f>D3720</f>
        <v>1</v>
      </c>
      <c r="Z3722" t="str">
        <v>=</v>
      </c>
      <c r="AA3722">
        <f>IF(AA3724=0,(D3722*N3722+P3722*R3722)*U3722*Y3722,0)</f>
        <v>66.241692</v>
      </c>
    </row>
    <row r="3723">
      <c r="A3723" t="str">
        <f>A3714</f>
        <v>Lantai 1</v>
      </c>
      <c r="B3723">
        <f>B3714</f>
        <v>27</v>
      </c>
      <c r="C3723" t="str">
        <v>Tul Atas Tumpuan</v>
      </c>
      <c r="D3723">
        <f>VLOOKUP(D3714,'Detail Balok'!$C$10:$AU$110,10,FALSE)</f>
        <v>6</v>
      </c>
      <c r="E3723" t="str">
        <v>D</v>
      </c>
      <c r="F3723">
        <f>VLOOKUP(D3714,'Detail Balok'!$C$10:$AU$110,12,FALSE)</f>
        <v>22</v>
      </c>
      <c r="I3723" t="str">
        <v>(</v>
      </c>
      <c r="J3723">
        <f>+D3716/4/1000</f>
        <v>2.775</v>
      </c>
      <c r="K3723" t="str">
        <v>+</v>
      </c>
      <c r="L3723">
        <f>MAX(VLOOKUP(F3723,N$6:P$15,3,FALSE)/1000,2/3*D3718/1000)+F$16*F3723/1000</f>
        <v>0.264</v>
      </c>
      <c r="M3723" t="str">
        <v>=</v>
      </c>
      <c r="N3723">
        <f>J3723+L3723</f>
        <v>3.0389999999999997</v>
      </c>
      <c r="O3723" t="str">
        <v>+</v>
      </c>
      <c r="P3723">
        <f>D3723-D3722</f>
        <v>2</v>
      </c>
      <c r="Q3723" t="str">
        <v>x</v>
      </c>
      <c r="R3723">
        <f>IF(P3723&gt;0,$F$18*F3723/1000,0)</f>
        <v>0.33</v>
      </c>
      <c r="S3723" t="str">
        <v>)</v>
      </c>
      <c r="T3723" t="str">
        <v>x</v>
      </c>
      <c r="U3723">
        <f>0.006165*F3723^2</f>
        <v>2.98386</v>
      </c>
      <c r="X3723" t="str">
        <v>x</v>
      </c>
      <c r="Y3723">
        <f>D3720</f>
        <v>1</v>
      </c>
      <c r="Z3723" t="str">
        <v>=</v>
      </c>
      <c r="AA3723">
        <f>IF(AA3724=0,(D3723*N3723+P3723*R3723)*U3723*Y3723,0)</f>
        <v>56.377050839999995</v>
      </c>
    </row>
    <row r="3724">
      <c r="A3724" t="str">
        <f>A3714</f>
        <v>Lantai 1</v>
      </c>
      <c r="B3724">
        <f>B3714</f>
        <v>27</v>
      </c>
      <c r="D3724">
        <f>IF(AND(D3721=D3722,D3722=D3723,D3721=D3723),D3721,0)</f>
        <v>0</v>
      </c>
      <c r="E3724" t="str">
        <v>D</v>
      </c>
      <c r="F3724">
        <f>IF(AND(F3721=F3722,F3721=F3723,F3722=F3723),F3721,0)</f>
        <v>22</v>
      </c>
      <c r="L3724" t="str">
        <v>Total panjang per balok</v>
      </c>
      <c r="M3724" t="str">
        <v>=</v>
      </c>
      <c r="N3724">
        <f>IF(AND(D3721=D3722,D3721=D3723,D3722=D3723,F3721=F3722,F3721=F3723,F3722=F3723),SUM(N3721:N3723),0)</f>
        <v>0</v>
      </c>
      <c r="O3724" t="str">
        <v>+</v>
      </c>
      <c r="P3724">
        <f>IF(N3724&gt;12,ROUNDDOWN(N3724/12,0),0)</f>
        <v>0</v>
      </c>
      <c r="Q3724" t="str">
        <v>x</v>
      </c>
      <c r="R3724">
        <f>IF(P3724&gt;0,MAX(VLOOKUP(F3724,$D$6:$G$15,3,FALSE),600),0)/1000</f>
        <v>0</v>
      </c>
      <c r="T3724" t="str">
        <v>x</v>
      </c>
      <c r="U3724">
        <f>U3723</f>
        <v>2.98386</v>
      </c>
      <c r="V3724" t="str">
        <v>x</v>
      </c>
      <c r="W3724">
        <f>D3724</f>
        <v>0</v>
      </c>
      <c r="X3724" t="str">
        <v>x</v>
      </c>
      <c r="Y3724">
        <f>Y3723</f>
        <v>1</v>
      </c>
      <c r="Z3724" t="str">
        <v>=</v>
      </c>
      <c r="AA3724">
        <f>(N3724+P3724*R3724/1000)*U3724*W3724*Y3724</f>
        <v>0</v>
      </c>
    </row>
    <row r="3726">
      <c r="A3726" t="str">
        <f>A3714</f>
        <v>Lantai 1</v>
      </c>
      <c r="B3726">
        <f>B3714</f>
        <v>27</v>
      </c>
      <c r="C3726" t="str">
        <v>Tul Peminggang</v>
      </c>
      <c r="D3726">
        <f>VLOOKUP(D3714,'Detail Balok'!$C$10:$AU$110,13,FALSE)</f>
        <v>2</v>
      </c>
      <c r="E3726" t="str">
        <v>D</v>
      </c>
      <c r="F3726">
        <f>VLOOKUP(D3714,'Detail Balok'!$C$10:$AU$110,15,FALSE)</f>
        <v>10</v>
      </c>
      <c r="J3726">
        <f>+D3716/1000</f>
        <v>11.1</v>
      </c>
      <c r="K3726" t="str">
        <v>+</v>
      </c>
      <c r="L3726">
        <f>2*$F$16*F3726/1000</f>
        <v>0.24</v>
      </c>
      <c r="M3726" t="str">
        <v>=</v>
      </c>
      <c r="N3726">
        <f>J3726+L3726</f>
        <v>11.34</v>
      </c>
      <c r="O3726" t="str">
        <v>+</v>
      </c>
      <c r="P3726">
        <f>IF(N3726&gt;12,ROUNDDOWN(N3726/12,0),0)</f>
        <v>0</v>
      </c>
      <c r="Q3726" t="str">
        <v>x</v>
      </c>
      <c r="R3726">
        <f>IF(P3726&gt;0,MAX(VLOOKUP(F3726,$D$6:$G$15,3,FALSE),600),0)/1000</f>
        <v>0</v>
      </c>
      <c r="T3726" t="str">
        <v>x</v>
      </c>
      <c r="U3726">
        <f>0.006165*F3726^2</f>
        <v>0.6165</v>
      </c>
      <c r="V3726" t="str">
        <v>x</v>
      </c>
      <c r="W3726">
        <f>+D3726</f>
        <v>2</v>
      </c>
      <c r="X3726" t="str">
        <v>x</v>
      </c>
      <c r="Y3726">
        <f>D3720</f>
        <v>1</v>
      </c>
      <c r="Z3726" t="str">
        <v>=</v>
      </c>
      <c r="AA3726">
        <f>(N3726+P3726*R3726/1000)*U3726*W3726*Y3726</f>
        <v>13.982220000000002</v>
      </c>
    </row>
    <row r="3729">
      <c r="A3729" t="str">
        <f>A3714</f>
        <v>Lantai 1</v>
      </c>
      <c r="B3729">
        <f>B3714</f>
        <v>27</v>
      </c>
      <c r="C3729" t="str">
        <v>Tul Bawah Tumpuan</v>
      </c>
      <c r="D3729">
        <f>VLOOKUP(D3714,'Detail Balok'!$C$10:$AU$110,22,FALSE)</f>
        <v>5</v>
      </c>
      <c r="E3729" t="str">
        <v>D</v>
      </c>
      <c r="F3729">
        <f>VLOOKUP(D3714,'Detail Balok'!$C$10:$AU$110,24,FALSE)</f>
        <v>22</v>
      </c>
      <c r="I3729" t="str">
        <v>(</v>
      </c>
      <c r="J3729">
        <f>+J3721</f>
        <v>2.775</v>
      </c>
      <c r="K3729" t="str">
        <v>+</v>
      </c>
      <c r="L3729">
        <f>MAX(VLOOKUP(F3729,N$6:P$15,3,FALSE)/1000,2/3*D3719/1000)+F$16*F3729/1000</f>
        <v>0.264</v>
      </c>
      <c r="M3729" t="str">
        <v>=</v>
      </c>
      <c r="N3729">
        <f>J3729+L3729</f>
        <v>3.0389999999999997</v>
      </c>
      <c r="O3729" t="str">
        <v>+</v>
      </c>
      <c r="P3729">
        <f>D3729-D3730</f>
        <v>-5</v>
      </c>
      <c r="Q3729" t="str">
        <v>x</v>
      </c>
      <c r="R3729">
        <f>IF(P3729&gt;0,$F$18*F3729/1000,0)</f>
        <v>0</v>
      </c>
      <c r="S3729" t="str">
        <v>)</v>
      </c>
      <c r="T3729" t="str">
        <v>x</v>
      </c>
      <c r="U3729">
        <f>0.006165*F3729^2</f>
        <v>2.98386</v>
      </c>
      <c r="X3729" t="str">
        <v>x</v>
      </c>
      <c r="Y3729">
        <f>D3720</f>
        <v>1</v>
      </c>
      <c r="Z3729" t="str">
        <v>=</v>
      </c>
      <c r="AA3729">
        <f>IF(AA3732=0,(D3729*N3729+P3729*R3729)*U3729*Y3729,0)</f>
        <v>45.3397527</v>
      </c>
    </row>
    <row r="3730">
      <c r="A3730" t="str">
        <f>A3714</f>
        <v>Lantai 1</v>
      </c>
      <c r="B3730">
        <f>B3714</f>
        <v>27</v>
      </c>
      <c r="C3730" t="str">
        <v>Tul Bawah Lapangan</v>
      </c>
      <c r="D3730">
        <f>VLOOKUP(D3714,'Detail Balok'!$C$10:$AU$110,25,FALSE)</f>
        <v>10</v>
      </c>
      <c r="E3730" t="str">
        <v>D</v>
      </c>
      <c r="F3730">
        <f>VLOOKUP(D3714,'Detail Balok'!$C$10:$AU$110,27,FALSE)</f>
        <v>22</v>
      </c>
      <c r="I3730" t="str">
        <v>(</v>
      </c>
      <c r="J3730">
        <f>+J3722</f>
        <v>5.55</v>
      </c>
      <c r="K3730" t="str">
        <v>+</v>
      </c>
      <c r="M3730" t="str">
        <v>=</v>
      </c>
      <c r="N3730">
        <f>J3730+L3730</f>
        <v>5.55</v>
      </c>
      <c r="O3730" t="str">
        <v>+</v>
      </c>
      <c r="P3730">
        <f>MAX(D3730-D3729,D3730-D3731)</f>
        <v>5</v>
      </c>
      <c r="Q3730" t="str">
        <v>x</v>
      </c>
      <c r="R3730">
        <f>IF(P3730&gt;0,2*(1-2*$F$19-1/2)*D3717/1000,0)</f>
        <v>2.2199999999999998</v>
      </c>
      <c r="S3730" t="str">
        <v>)</v>
      </c>
      <c r="T3730" t="str">
        <v>x</v>
      </c>
      <c r="U3730">
        <f>0.006165*F3730^2</f>
        <v>2.98386</v>
      </c>
      <c r="X3730" t="str">
        <v>x</v>
      </c>
      <c r="Y3730">
        <f>D3720</f>
        <v>1</v>
      </c>
      <c r="Z3730" t="str">
        <v>=</v>
      </c>
      <c r="AA3730">
        <f>IF(AA3732=0,(D3730*N3730+P3730*R3730)*U3730*Y3730,0)</f>
        <v>198.72507599999997</v>
      </c>
    </row>
    <row r="3731">
      <c r="A3731" t="str">
        <f>A3714</f>
        <v>Lantai 1</v>
      </c>
      <c r="B3731">
        <f>B3714</f>
        <v>27</v>
      </c>
      <c r="C3731" t="str">
        <v>Tul Bawah Tumpuan</v>
      </c>
      <c r="D3731">
        <f>VLOOKUP(D3714,'Detail Balok'!$C$10:$AU$110,28,FALSE)</f>
        <v>5</v>
      </c>
      <c r="E3731" t="str">
        <v>D</v>
      </c>
      <c r="F3731">
        <f>VLOOKUP(D3714,'Detail Balok'!$C$10:$AU$110,30,FALSE)</f>
        <v>22</v>
      </c>
      <c r="I3731" t="str">
        <v>(</v>
      </c>
      <c r="J3731">
        <f>+J3723</f>
        <v>2.775</v>
      </c>
      <c r="K3731" t="str">
        <v>+</v>
      </c>
      <c r="L3731">
        <f>MAX(VLOOKUP(F3731,N$6:P$15,3,FALSE)/1000,2/3*D3719/1000)+F$16*F3731/1000</f>
        <v>0.264</v>
      </c>
      <c r="M3731" t="str">
        <v>=</v>
      </c>
      <c r="N3731">
        <f>J3731+L3731</f>
        <v>3.0389999999999997</v>
      </c>
      <c r="O3731" t="str">
        <v>+</v>
      </c>
      <c r="P3731">
        <f>D3731-D3730</f>
        <v>-5</v>
      </c>
      <c r="Q3731" t="str">
        <v>x</v>
      </c>
      <c r="R3731">
        <f>IF(P3731&gt;0,$F$18*F3731/1000,0)</f>
        <v>0</v>
      </c>
      <c r="S3731" t="str">
        <v>)</v>
      </c>
      <c r="T3731" t="str">
        <v>x</v>
      </c>
      <c r="U3731">
        <f>0.006165*F3731^2</f>
        <v>2.98386</v>
      </c>
      <c r="X3731" t="str">
        <v>x</v>
      </c>
      <c r="Y3731">
        <f>D3720</f>
        <v>1</v>
      </c>
      <c r="Z3731" t="str">
        <v>=</v>
      </c>
      <c r="AA3731">
        <f>IF(AA3732=0,(D3731*N3731+P3731*R3731)*U3731*Y3731,0)</f>
        <v>45.3397527</v>
      </c>
    </row>
    <row r="3732">
      <c r="A3732" t="str">
        <f>A3714</f>
        <v>Lantai 1</v>
      </c>
      <c r="B3732">
        <f>B3714</f>
        <v>27</v>
      </c>
      <c r="D3732">
        <f>IF(AND(D3729=D3730,D3730=D3731,D3729=D3731),D3729,0)</f>
        <v>0</v>
      </c>
      <c r="E3732" t="str">
        <v>D</v>
      </c>
      <c r="F3732">
        <f>IF(AND(F3729=F3730,F3729=F3731,F3730=F3731),F3729,0)</f>
        <v>22</v>
      </c>
      <c r="L3732" t="str">
        <v>Total panjang per balok</v>
      </c>
      <c r="M3732" t="str">
        <v>=</v>
      </c>
      <c r="N3732">
        <f>IF(AND(D3729=D3730,D3729=D3731,D3730=D3731,F3729=F3730,F3729=F3731,F3730=F3731),SUM(N3729:N3731),0)</f>
        <v>0</v>
      </c>
      <c r="O3732" t="str">
        <v>+</v>
      </c>
      <c r="P3732">
        <f>IF(N3732&gt;12,ROUNDDOWN(N3732/12,0),0)</f>
        <v>0</v>
      </c>
      <c r="Q3732" t="str">
        <v>x</v>
      </c>
      <c r="R3732">
        <f>IF(P3732&gt;0,MAX(VLOOKUP(F3732,$D$6:$G$15,3,FALSE),600),0)/1000</f>
        <v>0</v>
      </c>
      <c r="T3732" t="str">
        <v>x</v>
      </c>
      <c r="U3732">
        <f>U3731</f>
        <v>2.98386</v>
      </c>
      <c r="V3732" t="str">
        <v>x</v>
      </c>
      <c r="W3732">
        <f>D3732</f>
        <v>0</v>
      </c>
      <c r="X3732" t="str">
        <v>x</v>
      </c>
      <c r="Y3732">
        <f>Y3731</f>
        <v>1</v>
      </c>
      <c r="Z3732" t="str">
        <v>=</v>
      </c>
      <c r="AA3732">
        <f>(N3732+P3732*R3732/1000)*U3732*W3732*Y3732</f>
        <v>0</v>
      </c>
    </row>
    <row r="3734">
      <c r="A3734" t="str">
        <f>A3714</f>
        <v>Lantai 1</v>
      </c>
      <c r="B3734">
        <f>B3714</f>
        <v>27</v>
      </c>
      <c r="C3734" t="str">
        <v>Sengkang Tumpuan</v>
      </c>
      <c r="D3734">
        <f>VLOOKUP(D3714,'Detail Balok'!$C$10:$AU$110,31,FALSE)</f>
        <v>3</v>
      </c>
      <c r="E3734" t="str">
        <v>D</v>
      </c>
      <c r="F3734">
        <f>VLOOKUP(D3714,'Detail Balok'!$C$10:$AU$110,33,FALSE)</f>
        <v>10</v>
      </c>
      <c r="G3734" t="str">
        <v>-</v>
      </c>
      <c r="H3734">
        <f>VLOOKUP(D3714,'Detail Balok'!$C$10:$AU$110,35,FALSE)</f>
        <v>80</v>
      </c>
      <c r="J3734">
        <f>(IF(D3734=0,(2*(D3715+G3715))-(F$5*8),IF(D3734=3,(2*(D3715+G3715))-(F$5*8)+(G3715-2*F$5),IF(D3734=4,(2*(D3715+G3715))-(F$5*8)+2*(G3715-2*F$5)))))/1000</f>
        <v>2.7</v>
      </c>
      <c r="K3734" t="str">
        <v>+</v>
      </c>
      <c r="L3734">
        <f>IF(D3734=0,2*MAX(6*F3734,75),(D3734-1)*2*MAX(6*F3734,75))/1000</f>
        <v>0.3</v>
      </c>
      <c r="M3734" t="str">
        <v>=</v>
      </c>
      <c r="N3734">
        <f>J3734+L3734</f>
        <v>3</v>
      </c>
      <c r="T3734" t="str">
        <v>x</v>
      </c>
      <c r="U3734">
        <f>0.006165*F3734^2</f>
        <v>0.6165</v>
      </c>
      <c r="V3734" t="str">
        <v>x</v>
      </c>
      <c r="W3734">
        <f>IF(D3717&gt;4*G3715,ROUND(MAX(D3717/4,2*G3715)/H3734,0)+1,ROUND(D3717/H3734,0)+1)</f>
        <v>36</v>
      </c>
      <c r="X3734" t="str">
        <v>x</v>
      </c>
      <c r="Y3734">
        <f>D3720</f>
        <v>1</v>
      </c>
      <c r="Z3734" t="str">
        <v>=</v>
      </c>
      <c r="AA3734">
        <f>N3734*U3734*W3734*Y3734</f>
        <v>66.58200000000001</v>
      </c>
    </row>
    <row r="3735">
      <c r="A3735" t="str">
        <f>A3714</f>
        <v>Lantai 1</v>
      </c>
      <c r="B3735">
        <f>B3714</f>
        <v>27</v>
      </c>
      <c r="C3735" t="str">
        <v>Sengkang Lapangan</v>
      </c>
      <c r="D3735">
        <f>VLOOKUP(D3714,'Detail Balok'!$C$10:$AU$110,36,FALSE)</f>
        <v>0</v>
      </c>
      <c r="E3735" t="str">
        <v>D</v>
      </c>
      <c r="F3735">
        <f>VLOOKUP(D3714,'Detail Balok'!$C$10:$AU$110,38,FALSE)</f>
        <v>10</v>
      </c>
      <c r="G3735" t="str">
        <v>-</v>
      </c>
      <c r="H3735">
        <f>VLOOKUP(D3714,'Detail Balok'!$C$10:$AU$110,40,FALSE)</f>
        <v>150</v>
      </c>
      <c r="J3735">
        <f>(IF(D3735=0,(2*(D3715+G3715))-(F$5*8),IF(D3735=3,(2*(D3715+G3715))-(F$5*8)+(G3715-2*F$5),IF(D3735=4,(2*(D3715+G3715))-(F$5*8)+2*(G3715-2*F$5)))))/1000</f>
        <v>2.08</v>
      </c>
      <c r="K3735" t="str">
        <v>+</v>
      </c>
      <c r="L3735">
        <f>IF(D3735=0,2*MAX(6*F3735,75),(D3735-1)*2*MAX(6*F3735,75))/1000</f>
        <v>0.15</v>
      </c>
      <c r="M3735" t="str">
        <v>=</v>
      </c>
      <c r="N3735">
        <f>J3735+L3735</f>
        <v>2.23</v>
      </c>
      <c r="T3735" t="str">
        <v>x</v>
      </c>
      <c r="U3735">
        <f>0.006165*F3735^2</f>
        <v>0.6165</v>
      </c>
      <c r="V3735" t="str">
        <v>x</v>
      </c>
      <c r="W3735">
        <f>IF(D3717-MAX(D3717/4,2*G3715)*2&gt;0,ROUND((D3717-MAX(D3717/4,2*G3715)*2)/H3735,0),0)</f>
        <v>37</v>
      </c>
      <c r="X3735" t="str">
        <v>x</v>
      </c>
      <c r="Y3735">
        <f>D3720</f>
        <v>1</v>
      </c>
      <c r="Z3735" t="str">
        <v>=</v>
      </c>
      <c r="AA3735">
        <f>N3735*U3735*W3735*Y3735</f>
        <v>50.867415</v>
      </c>
    </row>
    <row r="3736">
      <c r="A3736" t="str">
        <f>A3714</f>
        <v>Lantai 1</v>
      </c>
      <c r="B3736">
        <f>B3714</f>
        <v>27</v>
      </c>
      <c r="C3736" t="str">
        <v>Sengkang Tumpuan</v>
      </c>
      <c r="D3736">
        <f>VLOOKUP(D3714,'Detail Balok'!$C$10:$AU$110,41,FALSE)</f>
        <v>3</v>
      </c>
      <c r="E3736" t="str">
        <v>D</v>
      </c>
      <c r="F3736">
        <f>VLOOKUP(D3714,'Detail Balok'!$C$10:$AU$110,43,FALSE)</f>
        <v>10</v>
      </c>
      <c r="G3736" t="str">
        <v>-</v>
      </c>
      <c r="H3736">
        <f>VLOOKUP(D3714,'Detail Balok'!$C$10:$AU$110,45,FALSE)</f>
        <v>80</v>
      </c>
      <c r="J3736">
        <f>(IF(D3736=0,(2*(D3715+G3715))-(F$5*8),IF(D3736=3,(2*(D3715+G3715))-(F$5*8)+(G3715-2*F$5),IF(D3736=4,(2*(D3715+G3715))-(F$5*8)+2*(G3715-2*F$5)))))/1000</f>
        <v>2.7</v>
      </c>
      <c r="K3736" t="str">
        <v>+</v>
      </c>
      <c r="L3736">
        <f>IF(D3736=0,2*MAX(6*F3736,75),(D3736-1)*2*MAX(6*F3736,75))/1000</f>
        <v>0.3</v>
      </c>
      <c r="M3736" t="str">
        <v>=</v>
      </c>
      <c r="N3736">
        <f>J3736+L3736</f>
        <v>3</v>
      </c>
      <c r="T3736" t="str">
        <v>x</v>
      </c>
      <c r="U3736">
        <f>0.006165*F3736^2</f>
        <v>0.6165</v>
      </c>
      <c r="V3736" t="str">
        <v>x</v>
      </c>
      <c r="W3736">
        <f>IF(D3717&gt;4*G3715,ROUND(MAX(D3717/4,2*G3715)/H3736,0)+1,0)</f>
        <v>36</v>
      </c>
      <c r="X3736" t="str">
        <v>x</v>
      </c>
      <c r="Y3736">
        <f>D3720</f>
        <v>1</v>
      </c>
      <c r="Z3736" t="str">
        <v>=</v>
      </c>
      <c r="AA3736">
        <f>N3736*U3736*W3736*Y3736</f>
        <v>66.58200000000001</v>
      </c>
    </row>
    <row r="3738">
      <c r="A3738" t="str">
        <f>A3714</f>
        <v>Lantai 1</v>
      </c>
      <c r="B3738">
        <f>B3714</f>
        <v>27</v>
      </c>
      <c r="C3738" t="str">
        <v>Kait Horizontal Tump.</v>
      </c>
      <c r="D3738">
        <f>VLOOKUP(D3714,'Detail Balok'!$C$10:$BJ$110,46,FALSE)</f>
        <v>0</v>
      </c>
      <c r="E3738" t="str">
        <v>D</v>
      </c>
      <c r="F3738">
        <f>VLOOKUP(D3714,'Detail Balok'!$C$10:$BJ$110,48,FALSE)</f>
        <v>0</v>
      </c>
      <c r="G3738" t="str">
        <v>-</v>
      </c>
      <c r="H3738">
        <f>VLOOKUP(D3714,'Detail Balok'!$C$10:$BJ$110,50,FALSE)</f>
        <v>100</v>
      </c>
      <c r="J3738">
        <f>(D3715-2*F$5)/1000</f>
        <v>0.42</v>
      </c>
      <c r="K3738" t="str">
        <v>+</v>
      </c>
      <c r="L3738">
        <f>IF(D3738=0,2*MAX(6*F3738,75),(D3738-1)*2*MAX(6*F3738,75))/1000</f>
        <v>0.15</v>
      </c>
      <c r="M3738" t="str">
        <v>=</v>
      </c>
      <c r="N3738">
        <f>J3738+L3738</f>
        <v>0.57</v>
      </c>
      <c r="T3738" t="str">
        <v>x</v>
      </c>
      <c r="U3738">
        <f>0.006165*F3738^2</f>
        <v>0</v>
      </c>
      <c r="V3738" t="str">
        <v>x</v>
      </c>
      <c r="W3738">
        <f>W3734</f>
        <v>36</v>
      </c>
      <c r="X3738" t="str">
        <v>x</v>
      </c>
      <c r="Y3738">
        <f>D3724</f>
        <v>0</v>
      </c>
      <c r="Z3738" t="str">
        <v>=</v>
      </c>
      <c r="AA3738">
        <f>N3738*U3738*W3738*Y3738</f>
        <v>0</v>
      </c>
    </row>
    <row r="3739">
      <c r="A3739" t="str">
        <f>A3714</f>
        <v>Lantai 1</v>
      </c>
      <c r="B3739">
        <f>B3714</f>
        <v>27</v>
      </c>
      <c r="C3739" t="str">
        <v>Kait Horizontal Lap.</v>
      </c>
      <c r="D3739">
        <f>VLOOKUP(D3714,'Detail Balok'!$C$10:$BJ$110,51,FALSE)</f>
        <v>0</v>
      </c>
      <c r="E3739" t="str">
        <v>D</v>
      </c>
      <c r="F3739">
        <f>VLOOKUP(D3714,'Detail Balok'!$C$10:$BJ$110,53,FALSE)</f>
        <v>0</v>
      </c>
      <c r="G3739" t="str">
        <v>-</v>
      </c>
      <c r="H3739">
        <f>VLOOKUP(D3714,'Detail Balok'!$C$10:$BJ$110,55,FALSE)</f>
        <v>100</v>
      </c>
      <c r="J3739">
        <f>(D3715-2*F$5)/1000</f>
        <v>0.42</v>
      </c>
      <c r="K3739" t="str">
        <v>+</v>
      </c>
      <c r="L3739">
        <f>IF(D3739=0,2*MAX(6*F3739,75),(D3739-1)*2*MAX(6*F3739,75))/1000</f>
        <v>0.15</v>
      </c>
      <c r="M3739" t="str">
        <v>=</v>
      </c>
      <c r="N3739">
        <f>J3739+L3739</f>
        <v>0.57</v>
      </c>
      <c r="T3739" t="str">
        <v>x</v>
      </c>
      <c r="U3739">
        <f>0.006165*F3739^2</f>
        <v>0</v>
      </c>
      <c r="V3739" t="str">
        <v>x</v>
      </c>
      <c r="W3739">
        <f>W3735</f>
        <v>37</v>
      </c>
      <c r="X3739" t="str">
        <v>x</v>
      </c>
      <c r="Y3739">
        <f>D3724</f>
        <v>0</v>
      </c>
      <c r="Z3739" t="str">
        <v>=</v>
      </c>
      <c r="AA3739">
        <f>N3739*U3739*W3739*Y3739</f>
        <v>0</v>
      </c>
    </row>
    <row r="3740">
      <c r="A3740" t="str">
        <f>A3714</f>
        <v>Lantai 1</v>
      </c>
      <c r="B3740">
        <f>B3714</f>
        <v>27</v>
      </c>
      <c r="C3740" t="str">
        <v>Kait Horizontal Tump.</v>
      </c>
      <c r="D3740">
        <f>VLOOKUP(D3714,'Detail Balok'!$C$10:$BJ$110,56,FALSE)</f>
        <v>0</v>
      </c>
      <c r="E3740" t="str">
        <v>D</v>
      </c>
      <c r="F3740">
        <f>VLOOKUP(D3714,'Detail Balok'!$C$10:$BJ$110,58,FALSE)</f>
        <v>0</v>
      </c>
      <c r="G3740" t="str">
        <v>-</v>
      </c>
      <c r="H3740">
        <f>VLOOKUP(D3714,'Detail Balok'!$C$10:$BJ$110,60,FALSE)</f>
        <v>100</v>
      </c>
      <c r="J3740">
        <f>(D3715-2*F$5)/1000</f>
        <v>0.42</v>
      </c>
      <c r="K3740" t="str">
        <v>+</v>
      </c>
      <c r="L3740">
        <f>IF(D3740=0,2*MAX(6*F3740,75),(D3740-1)*2*MAX(6*F3740,75))/1000</f>
        <v>0.15</v>
      </c>
      <c r="M3740" t="str">
        <v>=</v>
      </c>
      <c r="N3740">
        <f>J3740+L3740</f>
        <v>0.57</v>
      </c>
      <c r="T3740" t="str">
        <v>x</v>
      </c>
      <c r="U3740">
        <f>0.006165*F3740^2</f>
        <v>0</v>
      </c>
      <c r="V3740" t="str">
        <v>x</v>
      </c>
      <c r="W3740">
        <f>W3736</f>
        <v>36</v>
      </c>
      <c r="X3740" t="str">
        <v>x</v>
      </c>
      <c r="Y3740">
        <f>D3724</f>
        <v>0</v>
      </c>
      <c r="Z3740" t="str">
        <v>=</v>
      </c>
      <c r="AA3740">
        <f>N3740*U3740*W3740*Y3740</f>
        <v>0</v>
      </c>
    </row>
    <row r="3744">
      <c r="A3744" t="str">
        <f>A3714</f>
        <v>Lantai 1</v>
      </c>
      <c r="B3744">
        <f>B3714+1</f>
        <v>28</v>
      </c>
      <c r="C3744" t="str">
        <f>CONCATENATE(A3744," no. ",B3744)</f>
        <v>Lantai 1 no. 28</v>
      </c>
      <c r="D3744" t="str">
        <f>VLOOKUP(C3744,'Data Panjang Balok'!$C$9:$N$424,2,FALSE)</f>
        <v>Potongan M</v>
      </c>
    </row>
    <row r="3745">
      <c r="C3745" t="str">
        <v>Dimensi</v>
      </c>
      <c r="D3745">
        <f>VLOOKUP(D3744,'Detail Balok'!$C$10:$AU$110,2,FALSE)</f>
        <v>500</v>
      </c>
      <c r="F3745" t="str">
        <v>x</v>
      </c>
      <c r="G3745">
        <f>VLOOKUP(D3744,'Detail Balok'!$C$10:$AU$110,3,FALSE)</f>
        <v>700</v>
      </c>
    </row>
    <row r="3746">
      <c r="C3746" t="str">
        <v>Panjang as ke as</v>
      </c>
      <c r="D3746">
        <f>VLOOKUP(C3744,'Data Panjang Balok'!$C$9:$N$424,4,FALSE)</f>
        <v>4100</v>
      </c>
    </row>
    <row r="3747">
      <c r="C3747" t="str">
        <v>Panjang netto</v>
      </c>
      <c r="D3747">
        <f>VLOOKUP(C3744,'Data Panjang Balok'!$C$9:$N$424,7,FALSE)</f>
        <v>4100</v>
      </c>
    </row>
    <row r="3748">
      <c r="C3748" t="str">
        <v>Kolom / balok kiri</v>
      </c>
      <c r="D3748">
        <f>VLOOKUP(C3744,'Data Panjang Balok'!$C$9:$N$424,9,FALSE)</f>
        <v>0</v>
      </c>
    </row>
    <row r="3749">
      <c r="C3749" t="str">
        <v>Kolom / balok kanan</v>
      </c>
      <c r="D3749">
        <f>VLOOKUP(C3744,'Data Panjang Balok'!$C$9:$N$424,10,FALSE)</f>
        <v>0</v>
      </c>
    </row>
    <row r="3750">
      <c r="C3750" t="str">
        <v>Jumlah</v>
      </c>
      <c r="D3750">
        <f>VLOOKUP(C3744,'Data Panjang Balok'!$C$9:$N$424,3,FALSE)</f>
        <v>1</v>
      </c>
    </row>
    <row r="3751">
      <c r="A3751" t="str">
        <f>A3744</f>
        <v>Lantai 1</v>
      </c>
      <c r="B3751">
        <f>B3744</f>
        <v>28</v>
      </c>
      <c r="C3751" t="str">
        <v>Tul Atas Tumpuan</v>
      </c>
      <c r="D3751">
        <f>VLOOKUP(D3744,'Detail Balok'!$C$10:$AU$110,4,FALSE)</f>
        <v>6</v>
      </c>
      <c r="E3751" t="str">
        <v>D</v>
      </c>
      <c r="F3751">
        <f>VLOOKUP(D3744,'Detail Balok'!$C$10:$AU$110,6,FALSE)</f>
        <v>22</v>
      </c>
      <c r="I3751" t="str">
        <v>(</v>
      </c>
      <c r="J3751">
        <f>+D3746/4/1000</f>
        <v>1.025</v>
      </c>
      <c r="K3751" t="str">
        <v>+</v>
      </c>
      <c r="L3751">
        <f>MAX(VLOOKUP(F3751,N$6:P$15,3,FALSE)/1000,2/3*D3748/1000)+F$16*F3751/1000</f>
        <v>0.264</v>
      </c>
      <c r="M3751" t="str">
        <v>=</v>
      </c>
      <c r="N3751">
        <f>J3751+L3751</f>
        <v>1.289</v>
      </c>
      <c r="O3751" t="str">
        <v>+</v>
      </c>
      <c r="P3751">
        <f>D3751-D3752</f>
        <v>0</v>
      </c>
      <c r="Q3751" t="str">
        <v>x</v>
      </c>
      <c r="R3751">
        <f>IF(P3751&gt;0,$F$18*F3751/1000,0)</f>
        <v>0</v>
      </c>
      <c r="S3751" t="str">
        <v>)</v>
      </c>
      <c r="T3751" t="str">
        <v>x</v>
      </c>
      <c r="U3751">
        <f>0.006165*F3751^2</f>
        <v>2.98386</v>
      </c>
      <c r="X3751" t="str">
        <v>x</v>
      </c>
      <c r="Y3751">
        <f>D3750</f>
        <v>1</v>
      </c>
      <c r="Z3751" t="str">
        <v>=</v>
      </c>
      <c r="AA3751">
        <f>IF(AA3754=0,(D3751*N3751+P3751*R3751)*U3751*Y3751,0)</f>
        <v>0</v>
      </c>
    </row>
    <row r="3752">
      <c r="A3752" t="str">
        <f>A3744</f>
        <v>Lantai 1</v>
      </c>
      <c r="B3752">
        <f>B3744</f>
        <v>28</v>
      </c>
      <c r="C3752" t="str">
        <v>Tul Atas Lapangan</v>
      </c>
      <c r="D3752">
        <f>VLOOKUP(D3744,'Detail Balok'!$C$10:$AU$110,7,FALSE)</f>
        <v>6</v>
      </c>
      <c r="E3752" t="str">
        <v>D</v>
      </c>
      <c r="F3752">
        <f>VLOOKUP(D3744,'Detail Balok'!$C$10:$AU$110,9,FALSE)</f>
        <v>22</v>
      </c>
      <c r="I3752" t="str">
        <v>(</v>
      </c>
      <c r="J3752">
        <f>+D3746/2/1000</f>
        <v>2.05</v>
      </c>
      <c r="K3752" t="str">
        <v>+</v>
      </c>
      <c r="M3752" t="str">
        <v>=</v>
      </c>
      <c r="N3752">
        <f>J3752+L3752</f>
        <v>2.05</v>
      </c>
      <c r="O3752" t="str">
        <v>+</v>
      </c>
      <c r="P3752">
        <f>MAX(D3752-D3751,D3752-D3753)</f>
        <v>0</v>
      </c>
      <c r="Q3752" t="str">
        <v>x</v>
      </c>
      <c r="R3752">
        <f>IF(P3752&gt;0,2*(1-2*$F$19-1/2)*D3747/1000,0)</f>
        <v>0</v>
      </c>
      <c r="S3752" t="str">
        <v>)</v>
      </c>
      <c r="T3752" t="str">
        <v>x</v>
      </c>
      <c r="U3752">
        <f>0.006165*F3752^2</f>
        <v>2.98386</v>
      </c>
      <c r="X3752" t="str">
        <v>x</v>
      </c>
      <c r="Y3752">
        <f>D3750</f>
        <v>1</v>
      </c>
      <c r="Z3752" t="str">
        <v>=</v>
      </c>
      <c r="AA3752">
        <f>IF(AA3754=0,(D3752*N3752+P3752*R3752)*U3752*Y3752,0)</f>
        <v>0</v>
      </c>
    </row>
    <row r="3753">
      <c r="A3753" t="str">
        <f>A3744</f>
        <v>Lantai 1</v>
      </c>
      <c r="B3753">
        <f>B3744</f>
        <v>28</v>
      </c>
      <c r="C3753" t="str">
        <v>Tul Atas Tumpuan</v>
      </c>
      <c r="D3753">
        <f>VLOOKUP(D3744,'Detail Balok'!$C$10:$AU$110,10,FALSE)</f>
        <v>6</v>
      </c>
      <c r="E3753" t="str">
        <v>D</v>
      </c>
      <c r="F3753">
        <f>VLOOKUP(D3744,'Detail Balok'!$C$10:$AU$110,12,FALSE)</f>
        <v>22</v>
      </c>
      <c r="I3753" t="str">
        <v>(</v>
      </c>
      <c r="J3753">
        <f>+D3746/4/1000</f>
        <v>1.025</v>
      </c>
      <c r="K3753" t="str">
        <v>+</v>
      </c>
      <c r="L3753">
        <f>MAX(VLOOKUP(F3753,N$6:P$15,3,FALSE)/1000,2/3*D3748/1000)+F$16*F3753/1000</f>
        <v>0.264</v>
      </c>
      <c r="M3753" t="str">
        <v>=</v>
      </c>
      <c r="N3753">
        <f>J3753+L3753</f>
        <v>1.289</v>
      </c>
      <c r="O3753" t="str">
        <v>+</v>
      </c>
      <c r="P3753">
        <f>D3753-D3752</f>
        <v>0</v>
      </c>
      <c r="Q3753" t="str">
        <v>x</v>
      </c>
      <c r="R3753">
        <f>IF(P3753&gt;0,$F$18*F3753/1000,0)</f>
        <v>0</v>
      </c>
      <c r="S3753" t="str">
        <v>)</v>
      </c>
      <c r="T3753" t="str">
        <v>x</v>
      </c>
      <c r="U3753">
        <f>0.006165*F3753^2</f>
        <v>2.98386</v>
      </c>
      <c r="X3753" t="str">
        <v>x</v>
      </c>
      <c r="Y3753">
        <f>D3750</f>
        <v>1</v>
      </c>
      <c r="Z3753" t="str">
        <v>=</v>
      </c>
      <c r="AA3753">
        <f>IF(AA3754=0,(D3753*N3753+P3753*R3753)*U3753*Y3753,0)</f>
        <v>0</v>
      </c>
    </row>
    <row r="3754">
      <c r="A3754" t="str">
        <f>A3744</f>
        <v>Lantai 1</v>
      </c>
      <c r="B3754">
        <f>B3744</f>
        <v>28</v>
      </c>
      <c r="D3754">
        <f>IF(AND(D3751=D3752,D3752=D3753,D3751=D3753),D3751,0)</f>
        <v>6</v>
      </c>
      <c r="E3754" t="str">
        <v>D</v>
      </c>
      <c r="F3754">
        <f>IF(AND(F3751=F3752,F3751=F3753,F3752=F3753),F3751,0)</f>
        <v>22</v>
      </c>
      <c r="L3754" t="str">
        <v>Total panjang per balok</v>
      </c>
      <c r="M3754" t="str">
        <v>=</v>
      </c>
      <c r="N3754">
        <f>IF(AND(D3751=D3752,D3751=D3753,D3752=D3753,F3751=F3752,F3751=F3753,F3752=F3753),SUM(N3751:N3753),0)</f>
        <v>4.627999999999999</v>
      </c>
      <c r="O3754" t="str">
        <v>+</v>
      </c>
      <c r="P3754">
        <f>IF(N3754&gt;12,ROUNDDOWN(N3754/12,0),0)</f>
        <v>0</v>
      </c>
      <c r="Q3754" t="str">
        <v>x</v>
      </c>
      <c r="R3754">
        <f>IF(P3754&gt;0,MAX(VLOOKUP(F3754,$D$6:$G$15,3,FALSE),600),0)/1000</f>
        <v>0</v>
      </c>
      <c r="T3754" t="str">
        <v>x</v>
      </c>
      <c r="U3754">
        <f>U3753</f>
        <v>2.98386</v>
      </c>
      <c r="V3754" t="str">
        <v>x</v>
      </c>
      <c r="W3754">
        <f>D3754</f>
        <v>6</v>
      </c>
      <c r="X3754" t="str">
        <v>x</v>
      </c>
      <c r="Y3754">
        <f>Y3753</f>
        <v>1</v>
      </c>
      <c r="Z3754" t="str">
        <v>=</v>
      </c>
      <c r="AA3754">
        <f>(N3754+P3754*R3754/1000)*U3754*W3754*Y3754</f>
        <v>82.85582447999998</v>
      </c>
    </row>
    <row r="3756">
      <c r="A3756" t="str">
        <f>A3744</f>
        <v>Lantai 1</v>
      </c>
      <c r="B3756">
        <f>B3744</f>
        <v>28</v>
      </c>
      <c r="C3756" t="str">
        <v>Tul Peminggang</v>
      </c>
      <c r="D3756">
        <f>VLOOKUP(D3744,'Detail Balok'!$C$10:$AU$110,13,FALSE)</f>
        <v>2</v>
      </c>
      <c r="E3756" t="str">
        <v>D</v>
      </c>
      <c r="F3756">
        <f>VLOOKUP(D3744,'Detail Balok'!$C$10:$AU$110,15,FALSE)</f>
        <v>10</v>
      </c>
      <c r="J3756">
        <f>+D3746/1000</f>
        <v>4.1</v>
      </c>
      <c r="K3756" t="str">
        <v>+</v>
      </c>
      <c r="L3756">
        <f>2*$F$16*F3756/1000</f>
        <v>0.24</v>
      </c>
      <c r="M3756" t="str">
        <v>=</v>
      </c>
      <c r="N3756">
        <f>J3756+L3756</f>
        <v>4.34</v>
      </c>
      <c r="O3756" t="str">
        <v>+</v>
      </c>
      <c r="P3756">
        <f>IF(N3756&gt;12,ROUNDDOWN(N3756/12,0),0)</f>
        <v>0</v>
      </c>
      <c r="Q3756" t="str">
        <v>x</v>
      </c>
      <c r="R3756">
        <f>IF(P3756&gt;0,MAX(VLOOKUP(F3756,$D$6:$G$15,3,FALSE),600),0)/1000</f>
        <v>0</v>
      </c>
      <c r="T3756" t="str">
        <v>x</v>
      </c>
      <c r="U3756">
        <f>0.006165*F3756^2</f>
        <v>0.6165</v>
      </c>
      <c r="V3756" t="str">
        <v>x</v>
      </c>
      <c r="W3756">
        <f>+D3756</f>
        <v>2</v>
      </c>
      <c r="X3756" t="str">
        <v>x</v>
      </c>
      <c r="Y3756">
        <f>D3750</f>
        <v>1</v>
      </c>
      <c r="Z3756" t="str">
        <v>=</v>
      </c>
      <c r="AA3756">
        <f>(N3756+P3756*R3756/1000)*U3756*W3756*Y3756</f>
        <v>5.3512200000000005</v>
      </c>
    </row>
    <row r="3759">
      <c r="A3759" t="str">
        <f>A3744</f>
        <v>Lantai 1</v>
      </c>
      <c r="B3759">
        <f>B3744</f>
        <v>28</v>
      </c>
      <c r="C3759" t="str">
        <v>Tul Bawah Tumpuan</v>
      </c>
      <c r="D3759">
        <f>VLOOKUP(D3744,'Detail Balok'!$C$10:$AU$110,22,FALSE)</f>
        <v>5</v>
      </c>
      <c r="E3759" t="str">
        <v>D</v>
      </c>
      <c r="F3759">
        <f>VLOOKUP(D3744,'Detail Balok'!$C$10:$AU$110,24,FALSE)</f>
        <v>22</v>
      </c>
      <c r="I3759" t="str">
        <v>(</v>
      </c>
      <c r="J3759">
        <f>+J3751</f>
        <v>1.025</v>
      </c>
      <c r="K3759" t="str">
        <v>+</v>
      </c>
      <c r="L3759">
        <f>MAX(VLOOKUP(F3759,N$6:P$15,3,FALSE)/1000,2/3*D3749/1000)+F$16*F3759/1000</f>
        <v>0.264</v>
      </c>
      <c r="M3759" t="str">
        <v>=</v>
      </c>
      <c r="N3759">
        <f>J3759+L3759</f>
        <v>1.289</v>
      </c>
      <c r="O3759" t="str">
        <v>+</v>
      </c>
      <c r="P3759">
        <f>D3759-D3760</f>
        <v>0</v>
      </c>
      <c r="Q3759" t="str">
        <v>x</v>
      </c>
      <c r="R3759">
        <f>IF(P3759&gt;0,$F$18*F3759/1000,0)</f>
        <v>0</v>
      </c>
      <c r="S3759" t="str">
        <v>)</v>
      </c>
      <c r="T3759" t="str">
        <v>x</v>
      </c>
      <c r="U3759">
        <f>0.006165*F3759^2</f>
        <v>2.98386</v>
      </c>
      <c r="X3759" t="str">
        <v>x</v>
      </c>
      <c r="Y3759">
        <f>D3750</f>
        <v>1</v>
      </c>
      <c r="Z3759" t="str">
        <v>=</v>
      </c>
      <c r="AA3759">
        <f>IF(AA3762=0,(D3759*N3759+P3759*R3759)*U3759*Y3759,0)</f>
        <v>0</v>
      </c>
    </row>
    <row r="3760">
      <c r="A3760" t="str">
        <f>A3744</f>
        <v>Lantai 1</v>
      </c>
      <c r="B3760">
        <f>B3744</f>
        <v>28</v>
      </c>
      <c r="C3760" t="str">
        <v>Tul Bawah Lapangan</v>
      </c>
      <c r="D3760">
        <f>VLOOKUP(D3744,'Detail Balok'!$C$10:$AU$110,25,FALSE)</f>
        <v>5</v>
      </c>
      <c r="E3760" t="str">
        <v>D</v>
      </c>
      <c r="F3760">
        <f>VLOOKUP(D3744,'Detail Balok'!$C$10:$AU$110,27,FALSE)</f>
        <v>22</v>
      </c>
      <c r="I3760" t="str">
        <v>(</v>
      </c>
      <c r="J3760">
        <f>+J3752</f>
        <v>2.05</v>
      </c>
      <c r="K3760" t="str">
        <v>+</v>
      </c>
      <c r="M3760" t="str">
        <v>=</v>
      </c>
      <c r="N3760">
        <f>J3760+L3760</f>
        <v>2.05</v>
      </c>
      <c r="O3760" t="str">
        <v>+</v>
      </c>
      <c r="P3760">
        <f>MAX(D3760-D3759,D3760-D3761)</f>
        <v>0</v>
      </c>
      <c r="Q3760" t="str">
        <v>x</v>
      </c>
      <c r="R3760">
        <f>IF(P3760&gt;0,2*(1-2*$F$19-1/2)*D3747/1000,0)</f>
        <v>0</v>
      </c>
      <c r="S3760" t="str">
        <v>)</v>
      </c>
      <c r="T3760" t="str">
        <v>x</v>
      </c>
      <c r="U3760">
        <f>0.006165*F3760^2</f>
        <v>2.98386</v>
      </c>
      <c r="X3760" t="str">
        <v>x</v>
      </c>
      <c r="Y3760">
        <f>D3750</f>
        <v>1</v>
      </c>
      <c r="Z3760" t="str">
        <v>=</v>
      </c>
      <c r="AA3760">
        <f>IF(AA3762=0,(D3760*N3760+P3760*R3760)*U3760*Y3760,0)</f>
        <v>0</v>
      </c>
    </row>
    <row r="3761">
      <c r="A3761" t="str">
        <f>A3744</f>
        <v>Lantai 1</v>
      </c>
      <c r="B3761">
        <f>B3744</f>
        <v>28</v>
      </c>
      <c r="C3761" t="str">
        <v>Tul Bawah Tumpuan</v>
      </c>
      <c r="D3761">
        <f>VLOOKUP(D3744,'Detail Balok'!$C$10:$AU$110,28,FALSE)</f>
        <v>5</v>
      </c>
      <c r="E3761" t="str">
        <v>D</v>
      </c>
      <c r="F3761">
        <f>VLOOKUP(D3744,'Detail Balok'!$C$10:$AU$110,30,FALSE)</f>
        <v>22</v>
      </c>
      <c r="I3761" t="str">
        <v>(</v>
      </c>
      <c r="J3761">
        <f>+J3753</f>
        <v>1.025</v>
      </c>
      <c r="K3761" t="str">
        <v>+</v>
      </c>
      <c r="L3761">
        <f>MAX(VLOOKUP(F3761,N$6:P$15,3,FALSE)/1000,2/3*D3749/1000)+F$16*F3761/1000</f>
        <v>0.264</v>
      </c>
      <c r="M3761" t="str">
        <v>=</v>
      </c>
      <c r="N3761">
        <f>J3761+L3761</f>
        <v>1.289</v>
      </c>
      <c r="O3761" t="str">
        <v>+</v>
      </c>
      <c r="P3761">
        <f>D3761-D3760</f>
        <v>0</v>
      </c>
      <c r="Q3761" t="str">
        <v>x</v>
      </c>
      <c r="R3761">
        <f>IF(P3761&gt;0,$F$18*F3761/1000,0)</f>
        <v>0</v>
      </c>
      <c r="S3761" t="str">
        <v>)</v>
      </c>
      <c r="T3761" t="str">
        <v>x</v>
      </c>
      <c r="U3761">
        <f>0.006165*F3761^2</f>
        <v>2.98386</v>
      </c>
      <c r="X3761" t="str">
        <v>x</v>
      </c>
      <c r="Y3761">
        <f>D3750</f>
        <v>1</v>
      </c>
      <c r="Z3761" t="str">
        <v>=</v>
      </c>
      <c r="AA3761">
        <f>IF(AA3762=0,(D3761*N3761+P3761*R3761)*U3761*Y3761,0)</f>
        <v>0</v>
      </c>
    </row>
    <row r="3762">
      <c r="A3762" t="str">
        <f>A3744</f>
        <v>Lantai 1</v>
      </c>
      <c r="B3762">
        <f>B3744</f>
        <v>28</v>
      </c>
      <c r="D3762">
        <f>IF(AND(D3759=D3760,D3760=D3761,D3759=D3761),D3759,0)</f>
        <v>5</v>
      </c>
      <c r="E3762" t="str">
        <v>D</v>
      </c>
      <c r="F3762">
        <f>IF(AND(F3759=F3760,F3759=F3761,F3760=F3761),F3759,0)</f>
        <v>22</v>
      </c>
      <c r="L3762" t="str">
        <v>Total panjang per balok</v>
      </c>
      <c r="M3762" t="str">
        <v>=</v>
      </c>
      <c r="N3762">
        <f>IF(AND(D3759=D3760,D3759=D3761,D3760=D3761,F3759=F3760,F3759=F3761,F3760=F3761),SUM(N3759:N3761),0)</f>
        <v>4.627999999999999</v>
      </c>
      <c r="O3762" t="str">
        <v>+</v>
      </c>
      <c r="P3762">
        <f>IF(N3762&gt;12,ROUNDDOWN(N3762/12,0),0)</f>
        <v>0</v>
      </c>
      <c r="Q3762" t="str">
        <v>x</v>
      </c>
      <c r="R3762">
        <f>IF(P3762&gt;0,MAX(VLOOKUP(F3762,$D$6:$G$15,3,FALSE),600),0)/1000</f>
        <v>0</v>
      </c>
      <c r="T3762" t="str">
        <v>x</v>
      </c>
      <c r="U3762">
        <f>U3761</f>
        <v>2.98386</v>
      </c>
      <c r="V3762" t="str">
        <v>x</v>
      </c>
      <c r="W3762">
        <f>D3762</f>
        <v>5</v>
      </c>
      <c r="X3762" t="str">
        <v>x</v>
      </c>
      <c r="Y3762">
        <f>Y3761</f>
        <v>1</v>
      </c>
      <c r="Z3762" t="str">
        <v>=</v>
      </c>
      <c r="AA3762">
        <f>(N3762+P3762*R3762/1000)*U3762*W3762*Y3762</f>
        <v>69.04652039999999</v>
      </c>
    </row>
    <row r="3764">
      <c r="A3764" t="str">
        <f>A3744</f>
        <v>Lantai 1</v>
      </c>
      <c r="B3764">
        <f>B3744</f>
        <v>28</v>
      </c>
      <c r="C3764" t="str">
        <v>Sengkang Tumpuan</v>
      </c>
      <c r="D3764">
        <f>VLOOKUP(D3744,'Detail Balok'!$C$10:$AU$110,31,FALSE)</f>
        <v>3</v>
      </c>
      <c r="E3764" t="str">
        <v>D</v>
      </c>
      <c r="F3764">
        <f>VLOOKUP(D3744,'Detail Balok'!$C$10:$AU$110,33,FALSE)</f>
        <v>10</v>
      </c>
      <c r="G3764" t="str">
        <v>-</v>
      </c>
      <c r="H3764">
        <f>VLOOKUP(D3744,'Detail Balok'!$C$10:$AU$110,35,FALSE)</f>
        <v>80</v>
      </c>
      <c r="J3764">
        <f>(IF(D3764=0,(2*(D3745+G3745))-(F$5*8),IF(D3764=3,(2*(D3745+G3745))-(F$5*8)+(G3745-2*F$5),IF(D3764=4,(2*(D3745+G3745))-(F$5*8)+2*(G3745-2*F$5)))))/1000</f>
        <v>2.7</v>
      </c>
      <c r="K3764" t="str">
        <v>+</v>
      </c>
      <c r="L3764">
        <f>IF(D3764=0,2*MAX(6*F3764,75),(D3764-1)*2*MAX(6*F3764,75))/1000</f>
        <v>0.3</v>
      </c>
      <c r="M3764" t="str">
        <v>=</v>
      </c>
      <c r="N3764">
        <f>J3764+L3764</f>
        <v>3</v>
      </c>
      <c r="T3764" t="str">
        <v>x</v>
      </c>
      <c r="U3764">
        <f>0.006165*F3764^2</f>
        <v>0.6165</v>
      </c>
      <c r="V3764" t="str">
        <v>x</v>
      </c>
      <c r="W3764">
        <f>IF(D3747&gt;4*G3745,ROUND(MAX(D3747/4,2*G3745)/H3764,0)+1,ROUND(D3747/H3764,0)+1)</f>
        <v>19</v>
      </c>
      <c r="X3764" t="str">
        <v>x</v>
      </c>
      <c r="Y3764">
        <f>D3750</f>
        <v>1</v>
      </c>
      <c r="Z3764" t="str">
        <v>=</v>
      </c>
      <c r="AA3764">
        <f>N3764*U3764*W3764*Y3764</f>
        <v>35.1405</v>
      </c>
    </row>
    <row r="3765">
      <c r="A3765" t="str">
        <f>A3744</f>
        <v>Lantai 1</v>
      </c>
      <c r="B3765">
        <f>B3744</f>
        <v>28</v>
      </c>
      <c r="C3765" t="str">
        <v>Sengkang Lapangan</v>
      </c>
      <c r="D3765">
        <f>VLOOKUP(D3744,'Detail Balok'!$C$10:$AU$110,36,FALSE)</f>
        <v>3</v>
      </c>
      <c r="E3765" t="str">
        <v>D</v>
      </c>
      <c r="F3765">
        <f>VLOOKUP(D3744,'Detail Balok'!$C$10:$AU$110,38,FALSE)</f>
        <v>10</v>
      </c>
      <c r="G3765" t="str">
        <v>-</v>
      </c>
      <c r="H3765">
        <f>VLOOKUP(D3744,'Detail Balok'!$C$10:$AU$110,40,FALSE)</f>
        <v>80</v>
      </c>
      <c r="J3765">
        <f>(IF(D3765=0,(2*(D3745+G3745))-(F$5*8),IF(D3765=3,(2*(D3745+G3745))-(F$5*8)+(G3745-2*F$5),IF(D3765=4,(2*(D3745+G3745))-(F$5*8)+2*(G3745-2*F$5)))))/1000</f>
        <v>2.7</v>
      </c>
      <c r="K3765" t="str">
        <v>+</v>
      </c>
      <c r="L3765">
        <f>IF(D3765=0,2*MAX(6*F3765,75),(D3765-1)*2*MAX(6*F3765,75))/1000</f>
        <v>0.3</v>
      </c>
      <c r="M3765" t="str">
        <v>=</v>
      </c>
      <c r="N3765">
        <f>J3765+L3765</f>
        <v>3</v>
      </c>
      <c r="T3765" t="str">
        <v>x</v>
      </c>
      <c r="U3765">
        <f>0.006165*F3765^2</f>
        <v>0.6165</v>
      </c>
      <c r="V3765" t="str">
        <v>x</v>
      </c>
      <c r="W3765">
        <f>IF(D3747-MAX(D3747/4,2*G3745)*2&gt;0,ROUND((D3747-MAX(D3747/4,2*G3745)*2)/H3765,0),0)</f>
        <v>16</v>
      </c>
      <c r="X3765" t="str">
        <v>x</v>
      </c>
      <c r="Y3765">
        <f>D3750</f>
        <v>1</v>
      </c>
      <c r="Z3765" t="str">
        <v>=</v>
      </c>
      <c r="AA3765">
        <f>N3765*U3765*W3765*Y3765</f>
        <v>29.592000000000002</v>
      </c>
    </row>
    <row r="3766">
      <c r="A3766" t="str">
        <f>A3744</f>
        <v>Lantai 1</v>
      </c>
      <c r="B3766">
        <f>B3744</f>
        <v>28</v>
      </c>
      <c r="C3766" t="str">
        <v>Sengkang Tumpuan</v>
      </c>
      <c r="D3766">
        <f>VLOOKUP(D3744,'Detail Balok'!$C$10:$AU$110,41,FALSE)</f>
        <v>3</v>
      </c>
      <c r="E3766" t="str">
        <v>D</v>
      </c>
      <c r="F3766">
        <f>VLOOKUP(D3744,'Detail Balok'!$C$10:$AU$110,43,FALSE)</f>
        <v>10</v>
      </c>
      <c r="G3766" t="str">
        <v>-</v>
      </c>
      <c r="H3766">
        <f>VLOOKUP(D3744,'Detail Balok'!$C$10:$AU$110,45,FALSE)</f>
        <v>80</v>
      </c>
      <c r="J3766">
        <f>(IF(D3766=0,(2*(D3745+G3745))-(F$5*8),IF(D3766=3,(2*(D3745+G3745))-(F$5*8)+(G3745-2*F$5),IF(D3766=4,(2*(D3745+G3745))-(F$5*8)+2*(G3745-2*F$5)))))/1000</f>
        <v>2.7</v>
      </c>
      <c r="K3766" t="str">
        <v>+</v>
      </c>
      <c r="L3766">
        <f>IF(D3766=0,2*MAX(6*F3766,75),(D3766-1)*2*MAX(6*F3766,75))/1000</f>
        <v>0.3</v>
      </c>
      <c r="M3766" t="str">
        <v>=</v>
      </c>
      <c r="N3766">
        <f>J3766+L3766</f>
        <v>3</v>
      </c>
      <c r="T3766" t="str">
        <v>x</v>
      </c>
      <c r="U3766">
        <f>0.006165*F3766^2</f>
        <v>0.6165</v>
      </c>
      <c r="V3766" t="str">
        <v>x</v>
      </c>
      <c r="W3766">
        <f>IF(D3747&gt;4*G3745,ROUND(MAX(D3747/4,2*G3745)/H3766,0)+1,0)</f>
        <v>19</v>
      </c>
      <c r="X3766" t="str">
        <v>x</v>
      </c>
      <c r="Y3766">
        <f>D3750</f>
        <v>1</v>
      </c>
      <c r="Z3766" t="str">
        <v>=</v>
      </c>
      <c r="AA3766">
        <f>N3766*U3766*W3766*Y3766</f>
        <v>35.1405</v>
      </c>
    </row>
    <row r="3768">
      <c r="A3768" t="str">
        <f>A3744</f>
        <v>Lantai 1</v>
      </c>
      <c r="B3768">
        <f>B3744</f>
        <v>28</v>
      </c>
      <c r="C3768" t="str">
        <v>Kait Horizontal Tump.</v>
      </c>
      <c r="D3768">
        <f>VLOOKUP(D3744,'Detail Balok'!$C$10:$BJ$110,46,FALSE)</f>
        <v>0</v>
      </c>
      <c r="E3768" t="str">
        <v>D</v>
      </c>
      <c r="F3768">
        <f>VLOOKUP(D3744,'Detail Balok'!$C$10:$BJ$110,48,FALSE)</f>
        <v>0</v>
      </c>
      <c r="G3768" t="str">
        <v>-</v>
      </c>
      <c r="H3768">
        <f>VLOOKUP(D3744,'Detail Balok'!$C$10:$BJ$110,50,FALSE)</f>
        <v>100</v>
      </c>
      <c r="J3768">
        <f>(D3745-2*F$5)/1000</f>
        <v>0.42</v>
      </c>
      <c r="K3768" t="str">
        <v>+</v>
      </c>
      <c r="L3768">
        <f>IF(D3768=0,2*MAX(6*F3768,75),(D3768-1)*2*MAX(6*F3768,75))/1000</f>
        <v>0.15</v>
      </c>
      <c r="M3768" t="str">
        <v>=</v>
      </c>
      <c r="N3768">
        <f>J3768+L3768</f>
        <v>0.57</v>
      </c>
      <c r="T3768" t="str">
        <v>x</v>
      </c>
      <c r="U3768">
        <f>0.006165*F3768^2</f>
        <v>0</v>
      </c>
      <c r="V3768" t="str">
        <v>x</v>
      </c>
      <c r="W3768">
        <f>W3764</f>
        <v>19</v>
      </c>
      <c r="X3768" t="str">
        <v>x</v>
      </c>
      <c r="Y3768">
        <f>D3754</f>
        <v>6</v>
      </c>
      <c r="Z3768" t="str">
        <v>=</v>
      </c>
      <c r="AA3768">
        <f>N3768*U3768*W3768*Y3768</f>
        <v>0</v>
      </c>
    </row>
    <row r="3769">
      <c r="A3769" t="str">
        <f>A3744</f>
        <v>Lantai 1</v>
      </c>
      <c r="B3769">
        <f>B3744</f>
        <v>28</v>
      </c>
      <c r="C3769" t="str">
        <v>Kait Horizontal Lap.</v>
      </c>
      <c r="D3769">
        <f>VLOOKUP(D3744,'Detail Balok'!$C$10:$BJ$110,51,FALSE)</f>
        <v>0</v>
      </c>
      <c r="E3769" t="str">
        <v>D</v>
      </c>
      <c r="F3769">
        <f>VLOOKUP(D3744,'Detail Balok'!$C$10:$BJ$110,53,FALSE)</f>
        <v>0</v>
      </c>
      <c r="G3769" t="str">
        <v>-</v>
      </c>
      <c r="H3769">
        <f>VLOOKUP(D3744,'Detail Balok'!$C$10:$BJ$110,55,FALSE)</f>
        <v>100</v>
      </c>
      <c r="J3769">
        <f>(D3745-2*F$5)/1000</f>
        <v>0.42</v>
      </c>
      <c r="K3769" t="str">
        <v>+</v>
      </c>
      <c r="L3769">
        <f>IF(D3769=0,2*MAX(6*F3769,75),(D3769-1)*2*MAX(6*F3769,75))/1000</f>
        <v>0.15</v>
      </c>
      <c r="M3769" t="str">
        <v>=</v>
      </c>
      <c r="N3769">
        <f>J3769+L3769</f>
        <v>0.57</v>
      </c>
      <c r="T3769" t="str">
        <v>x</v>
      </c>
      <c r="U3769">
        <f>0.006165*F3769^2</f>
        <v>0</v>
      </c>
      <c r="V3769" t="str">
        <v>x</v>
      </c>
      <c r="W3769">
        <f>W3765</f>
        <v>16</v>
      </c>
      <c r="X3769" t="str">
        <v>x</v>
      </c>
      <c r="Y3769">
        <f>D3754</f>
        <v>6</v>
      </c>
      <c r="Z3769" t="str">
        <v>=</v>
      </c>
      <c r="AA3769">
        <f>N3769*U3769*W3769*Y3769</f>
        <v>0</v>
      </c>
    </row>
    <row r="3770">
      <c r="A3770" t="str">
        <f>A3744</f>
        <v>Lantai 1</v>
      </c>
      <c r="B3770">
        <f>B3744</f>
        <v>28</v>
      </c>
      <c r="C3770" t="str">
        <v>Kait Horizontal Tump.</v>
      </c>
      <c r="D3770">
        <f>VLOOKUP(D3744,'Detail Balok'!$C$10:$BJ$110,56,FALSE)</f>
        <v>0</v>
      </c>
      <c r="E3770" t="str">
        <v>D</v>
      </c>
      <c r="F3770">
        <f>VLOOKUP(D3744,'Detail Balok'!$C$10:$BJ$110,58,FALSE)</f>
        <v>0</v>
      </c>
      <c r="G3770" t="str">
        <v>-</v>
      </c>
      <c r="H3770">
        <f>VLOOKUP(D3744,'Detail Balok'!$C$10:$BJ$110,60,FALSE)</f>
        <v>100</v>
      </c>
      <c r="J3770">
        <f>(D3745-2*F$5)/1000</f>
        <v>0.42</v>
      </c>
      <c r="K3770" t="str">
        <v>+</v>
      </c>
      <c r="L3770">
        <f>IF(D3770=0,2*MAX(6*F3770,75),(D3770-1)*2*MAX(6*F3770,75))/1000</f>
        <v>0.15</v>
      </c>
      <c r="M3770" t="str">
        <v>=</v>
      </c>
      <c r="N3770">
        <f>J3770+L3770</f>
        <v>0.57</v>
      </c>
      <c r="T3770" t="str">
        <v>x</v>
      </c>
      <c r="U3770">
        <f>0.006165*F3770^2</f>
        <v>0</v>
      </c>
      <c r="V3770" t="str">
        <v>x</v>
      </c>
      <c r="W3770">
        <f>W3766</f>
        <v>19</v>
      </c>
      <c r="X3770" t="str">
        <v>x</v>
      </c>
      <c r="Y3770">
        <f>D3754</f>
        <v>6</v>
      </c>
      <c r="Z3770" t="str">
        <v>=</v>
      </c>
      <c r="AA3770">
        <f>N3770*U3770*W3770*Y3770</f>
        <v>0</v>
      </c>
    </row>
    <row r="3774">
      <c r="A3774" t="str">
        <f>A3744</f>
        <v>Lantai 1</v>
      </c>
      <c r="B3774">
        <f>B3744+1</f>
        <v>29</v>
      </c>
      <c r="C3774" t="str">
        <f>CONCATENATE(A3774," no. ",B3774)</f>
        <v>Lantai 1 no. 29</v>
      </c>
      <c r="D3774" t="str">
        <f>VLOOKUP(C3774,'Data Panjang Balok'!$C$9:$N$424,2,FALSE)</f>
        <v>B57-1</v>
      </c>
    </row>
    <row r="3775">
      <c r="C3775" t="str">
        <v>Dimensi</v>
      </c>
      <c r="D3775">
        <f>VLOOKUP(D3774,'Detail Balok'!$C$10:$AU$110,2,FALSE)</f>
        <v>500</v>
      </c>
      <c r="F3775" t="str">
        <v>x</v>
      </c>
      <c r="G3775">
        <f>VLOOKUP(D3774,'Detail Balok'!$C$10:$AU$110,3,FALSE)</f>
        <v>700</v>
      </c>
    </row>
    <row r="3776">
      <c r="C3776" t="str">
        <v>Panjang as ke as</v>
      </c>
      <c r="D3776">
        <f>VLOOKUP(C3774,'Data Panjang Balok'!$C$9:$N$424,4,FALSE)</f>
        <v>7000</v>
      </c>
    </row>
    <row r="3777">
      <c r="C3777" t="str">
        <v>Panjang netto</v>
      </c>
      <c r="D3777">
        <f>VLOOKUP(C3774,'Data Panjang Balok'!$C$9:$N$424,7,FALSE)</f>
        <v>7000</v>
      </c>
    </row>
    <row r="3778">
      <c r="C3778" t="str">
        <v>Kolom / balok kiri</v>
      </c>
      <c r="D3778">
        <f>VLOOKUP(C3774,'Data Panjang Balok'!$C$9:$N$424,9,FALSE)</f>
        <v>0</v>
      </c>
    </row>
    <row r="3779">
      <c r="C3779" t="str">
        <v>Kolom / balok kanan</v>
      </c>
      <c r="D3779">
        <f>VLOOKUP(C3774,'Data Panjang Balok'!$C$9:$N$424,10,FALSE)</f>
        <v>0</v>
      </c>
    </row>
    <row r="3780">
      <c r="C3780" t="str">
        <v>Jumlah</v>
      </c>
      <c r="D3780">
        <f>VLOOKUP(C3774,'Data Panjang Balok'!$C$9:$N$424,3,FALSE)</f>
        <v>1</v>
      </c>
    </row>
    <row r="3781">
      <c r="A3781" t="str">
        <f>A3774</f>
        <v>Lantai 1</v>
      </c>
      <c r="B3781">
        <f>B3774</f>
        <v>29</v>
      </c>
      <c r="C3781" t="str">
        <v>Tul Atas Tumpuan</v>
      </c>
      <c r="D3781">
        <f>VLOOKUP(D3774,'Detail Balok'!$C$10:$AU$110,4,FALSE)</f>
        <v>5</v>
      </c>
      <c r="E3781" t="str">
        <v>D</v>
      </c>
      <c r="F3781">
        <f>VLOOKUP(D3774,'Detail Balok'!$C$10:$AU$110,6,FALSE)</f>
        <v>22</v>
      </c>
      <c r="I3781" t="str">
        <v>(</v>
      </c>
      <c r="J3781">
        <f>+D3776/4/1000</f>
        <v>1.75</v>
      </c>
      <c r="K3781" t="str">
        <v>+</v>
      </c>
      <c r="L3781">
        <f>MAX(VLOOKUP(F3781,N$6:P$15,3,FALSE)/1000,2/3*D3778/1000)+F$16*F3781/1000</f>
        <v>0.264</v>
      </c>
      <c r="M3781" t="str">
        <v>=</v>
      </c>
      <c r="N3781">
        <f>J3781+L3781</f>
        <v>2.0140000000000002</v>
      </c>
      <c r="O3781" t="str">
        <v>+</v>
      </c>
      <c r="P3781">
        <f>D3781-D3782</f>
        <v>0</v>
      </c>
      <c r="Q3781" t="str">
        <v>x</v>
      </c>
      <c r="R3781">
        <f>IF(P3781&gt;0,$F$18*F3781/1000,0)</f>
        <v>0</v>
      </c>
      <c r="S3781" t="str">
        <v>)</v>
      </c>
      <c r="T3781" t="str">
        <v>x</v>
      </c>
      <c r="U3781">
        <f>0.006165*F3781^2</f>
        <v>2.98386</v>
      </c>
      <c r="X3781" t="str">
        <v>x</v>
      </c>
      <c r="Y3781">
        <f>D3780</f>
        <v>1</v>
      </c>
      <c r="Z3781" t="str">
        <v>=</v>
      </c>
      <c r="AA3781">
        <f>IF(AA3784=0,(D3781*N3781+P3781*R3781)*U3781*Y3781,0)</f>
        <v>0</v>
      </c>
    </row>
    <row r="3782">
      <c r="A3782" t="str">
        <f>A3774</f>
        <v>Lantai 1</v>
      </c>
      <c r="B3782">
        <f>B3774</f>
        <v>29</v>
      </c>
      <c r="C3782" t="str">
        <v>Tul Atas Lapangan</v>
      </c>
      <c r="D3782">
        <f>VLOOKUP(D3774,'Detail Balok'!$C$10:$AU$110,7,FALSE)</f>
        <v>5</v>
      </c>
      <c r="E3782" t="str">
        <v>D</v>
      </c>
      <c r="F3782">
        <f>VLOOKUP(D3774,'Detail Balok'!$C$10:$AU$110,9,FALSE)</f>
        <v>22</v>
      </c>
      <c r="I3782" t="str">
        <v>(</v>
      </c>
      <c r="J3782">
        <f>+D3776/2/1000</f>
        <v>3.5</v>
      </c>
      <c r="K3782" t="str">
        <v>+</v>
      </c>
      <c r="M3782" t="str">
        <v>=</v>
      </c>
      <c r="N3782">
        <f>J3782+L3782</f>
        <v>3.5</v>
      </c>
      <c r="O3782" t="str">
        <v>+</v>
      </c>
      <c r="P3782">
        <f>MAX(D3782-D3781,D3782-D3783)</f>
        <v>0</v>
      </c>
      <c r="Q3782" t="str">
        <v>x</v>
      </c>
      <c r="R3782">
        <f>IF(P3782&gt;0,2*(1-2*$F$19-1/2)*D3777/1000,0)</f>
        <v>0</v>
      </c>
      <c r="S3782" t="str">
        <v>)</v>
      </c>
      <c r="T3782" t="str">
        <v>x</v>
      </c>
      <c r="U3782">
        <f>0.006165*F3782^2</f>
        <v>2.98386</v>
      </c>
      <c r="X3782" t="str">
        <v>x</v>
      </c>
      <c r="Y3782">
        <f>D3780</f>
        <v>1</v>
      </c>
      <c r="Z3782" t="str">
        <v>=</v>
      </c>
      <c r="AA3782">
        <f>IF(AA3784=0,(D3782*N3782+P3782*R3782)*U3782*Y3782,0)</f>
        <v>0</v>
      </c>
    </row>
    <row r="3783">
      <c r="A3783" t="str">
        <f>A3774</f>
        <v>Lantai 1</v>
      </c>
      <c r="B3783">
        <f>B3774</f>
        <v>29</v>
      </c>
      <c r="C3783" t="str">
        <v>Tul Atas Tumpuan</v>
      </c>
      <c r="D3783">
        <f>VLOOKUP(D3774,'Detail Balok'!$C$10:$AU$110,10,FALSE)</f>
        <v>5</v>
      </c>
      <c r="E3783" t="str">
        <v>D</v>
      </c>
      <c r="F3783">
        <f>VLOOKUP(D3774,'Detail Balok'!$C$10:$AU$110,12,FALSE)</f>
        <v>22</v>
      </c>
      <c r="I3783" t="str">
        <v>(</v>
      </c>
      <c r="J3783">
        <f>+D3776/4/1000</f>
        <v>1.75</v>
      </c>
      <c r="K3783" t="str">
        <v>+</v>
      </c>
      <c r="L3783">
        <f>MAX(VLOOKUP(F3783,N$6:P$15,3,FALSE)/1000,2/3*D3778/1000)+F$16*F3783/1000</f>
        <v>0.264</v>
      </c>
      <c r="M3783" t="str">
        <v>=</v>
      </c>
      <c r="N3783">
        <f>J3783+L3783</f>
        <v>2.0140000000000002</v>
      </c>
      <c r="O3783" t="str">
        <v>+</v>
      </c>
      <c r="P3783">
        <f>D3783-D3782</f>
        <v>0</v>
      </c>
      <c r="Q3783" t="str">
        <v>x</v>
      </c>
      <c r="R3783">
        <f>IF(P3783&gt;0,$F$18*F3783/1000,0)</f>
        <v>0</v>
      </c>
      <c r="S3783" t="str">
        <v>)</v>
      </c>
      <c r="T3783" t="str">
        <v>x</v>
      </c>
      <c r="U3783">
        <f>0.006165*F3783^2</f>
        <v>2.98386</v>
      </c>
      <c r="X3783" t="str">
        <v>x</v>
      </c>
      <c r="Y3783">
        <f>D3780</f>
        <v>1</v>
      </c>
      <c r="Z3783" t="str">
        <v>=</v>
      </c>
      <c r="AA3783">
        <f>IF(AA3784=0,(D3783*N3783+P3783*R3783)*U3783*Y3783,0)</f>
        <v>0</v>
      </c>
    </row>
    <row r="3784">
      <c r="A3784" t="str">
        <f>A3774</f>
        <v>Lantai 1</v>
      </c>
      <c r="B3784">
        <f>B3774</f>
        <v>29</v>
      </c>
      <c r="D3784">
        <f>IF(AND(D3781=D3782,D3782=D3783,D3781=D3783),D3781,0)</f>
        <v>5</v>
      </c>
      <c r="E3784" t="str">
        <v>D</v>
      </c>
      <c r="F3784">
        <f>IF(AND(F3781=F3782,F3781=F3783,F3782=F3783),F3781,0)</f>
        <v>22</v>
      </c>
      <c r="L3784" t="str">
        <v>Total panjang per balok</v>
      </c>
      <c r="M3784" t="str">
        <v>=</v>
      </c>
      <c r="N3784">
        <f>IF(AND(D3781=D3782,D3781=D3783,D3782=D3783,F3781=F3782,F3781=F3783,F3782=F3783),SUM(N3781:N3783),0)</f>
        <v>7.5280000000000005</v>
      </c>
      <c r="O3784" t="str">
        <v>+</v>
      </c>
      <c r="P3784">
        <f>IF(N3784&gt;12,ROUNDDOWN(N3784/12,0),0)</f>
        <v>0</v>
      </c>
      <c r="Q3784" t="str">
        <v>x</v>
      </c>
      <c r="R3784">
        <f>IF(P3784&gt;0,MAX(VLOOKUP(F3784,$D$6:$G$15,3,FALSE),600),0)/1000</f>
        <v>0</v>
      </c>
      <c r="T3784" t="str">
        <v>x</v>
      </c>
      <c r="U3784">
        <f>U3783</f>
        <v>2.98386</v>
      </c>
      <c r="V3784" t="str">
        <v>x</v>
      </c>
      <c r="W3784">
        <f>D3784</f>
        <v>5</v>
      </c>
      <c r="X3784" t="str">
        <v>x</v>
      </c>
      <c r="Y3784">
        <f>Y3783</f>
        <v>1</v>
      </c>
      <c r="Z3784" t="str">
        <v>=</v>
      </c>
      <c r="AA3784">
        <f>(N3784+P3784*R3784/1000)*U3784*W3784*Y3784</f>
        <v>112.3124904</v>
      </c>
    </row>
    <row r="3786">
      <c r="A3786" t="str">
        <f>A3774</f>
        <v>Lantai 1</v>
      </c>
      <c r="B3786">
        <f>B3774</f>
        <v>29</v>
      </c>
      <c r="C3786" t="str">
        <v>Tul Peminggang</v>
      </c>
      <c r="D3786">
        <f>VLOOKUP(D3774,'Detail Balok'!$C$10:$AU$110,13,FALSE)</f>
        <v>2</v>
      </c>
      <c r="E3786" t="str">
        <v>D</v>
      </c>
      <c r="F3786">
        <f>VLOOKUP(D3774,'Detail Balok'!$C$10:$AU$110,15,FALSE)</f>
        <v>13</v>
      </c>
      <c r="J3786">
        <f>+D3776/1000</f>
        <v>7</v>
      </c>
      <c r="K3786" t="str">
        <v>+</v>
      </c>
      <c r="L3786">
        <f>2*$F$16*F3786/1000</f>
        <v>0.312</v>
      </c>
      <c r="M3786" t="str">
        <v>=</v>
      </c>
      <c r="N3786">
        <f>J3786+L3786</f>
        <v>7.312</v>
      </c>
      <c r="O3786" t="str">
        <v>+</v>
      </c>
      <c r="P3786">
        <f>IF(N3786&gt;12,ROUNDDOWN(N3786/12,0),0)</f>
        <v>0</v>
      </c>
      <c r="Q3786" t="str">
        <v>x</v>
      </c>
      <c r="R3786">
        <f>IF(P3786&gt;0,MAX(VLOOKUP(F3786,$D$6:$G$15,3,FALSE),600),0)/1000</f>
        <v>0</v>
      </c>
      <c r="T3786" t="str">
        <v>x</v>
      </c>
      <c r="U3786">
        <f>0.006165*F3786^2</f>
        <v>1.041885</v>
      </c>
      <c r="V3786" t="str">
        <v>x</v>
      </c>
      <c r="W3786">
        <f>+D3786</f>
        <v>2</v>
      </c>
      <c r="X3786" t="str">
        <v>x</v>
      </c>
      <c r="Y3786">
        <f>D3780</f>
        <v>1</v>
      </c>
      <c r="Z3786" t="str">
        <v>=</v>
      </c>
      <c r="AA3786">
        <f>(N3786+P3786*R3786/1000)*U3786*W3786*Y3786</f>
        <v>15.23652624</v>
      </c>
    </row>
    <row r="3789">
      <c r="A3789" t="str">
        <f>A3774</f>
        <v>Lantai 1</v>
      </c>
      <c r="B3789">
        <f>B3774</f>
        <v>29</v>
      </c>
      <c r="C3789" t="str">
        <v>Tul Bawah Tumpuan</v>
      </c>
      <c r="D3789">
        <f>VLOOKUP(D3774,'Detail Balok'!$C$10:$AU$110,22,FALSE)</f>
        <v>5</v>
      </c>
      <c r="E3789" t="str">
        <v>D</v>
      </c>
      <c r="F3789">
        <f>VLOOKUP(D3774,'Detail Balok'!$C$10:$AU$110,24,FALSE)</f>
        <v>22</v>
      </c>
      <c r="I3789" t="str">
        <v>(</v>
      </c>
      <c r="J3789">
        <f>+J3781</f>
        <v>1.75</v>
      </c>
      <c r="K3789" t="str">
        <v>+</v>
      </c>
      <c r="L3789">
        <f>MAX(VLOOKUP(F3789,N$6:P$15,3,FALSE)/1000,2/3*D3779/1000)+F$16*F3789/1000</f>
        <v>0.264</v>
      </c>
      <c r="M3789" t="str">
        <v>=</v>
      </c>
      <c r="N3789">
        <f>J3789+L3789</f>
        <v>2.0140000000000002</v>
      </c>
      <c r="O3789" t="str">
        <v>+</v>
      </c>
      <c r="P3789">
        <f>D3789-D3790</f>
        <v>-5</v>
      </c>
      <c r="Q3789" t="str">
        <v>x</v>
      </c>
      <c r="R3789">
        <f>IF(P3789&gt;0,$F$18*F3789/1000,0)</f>
        <v>0</v>
      </c>
      <c r="S3789" t="str">
        <v>)</v>
      </c>
      <c r="T3789" t="str">
        <v>x</v>
      </c>
      <c r="U3789">
        <f>0.006165*F3789^2</f>
        <v>2.98386</v>
      </c>
      <c r="X3789" t="str">
        <v>x</v>
      </c>
      <c r="Y3789">
        <f>D3780</f>
        <v>1</v>
      </c>
      <c r="Z3789" t="str">
        <v>=</v>
      </c>
      <c r="AA3789">
        <f>IF(AA3792=0,(D3789*N3789+P3789*R3789)*U3789*Y3789,0)</f>
        <v>30.0474702</v>
      </c>
    </row>
    <row r="3790">
      <c r="A3790" t="str">
        <f>A3774</f>
        <v>Lantai 1</v>
      </c>
      <c r="B3790">
        <f>B3774</f>
        <v>29</v>
      </c>
      <c r="C3790" t="str">
        <v>Tul Bawah Lapangan</v>
      </c>
      <c r="D3790">
        <f>VLOOKUP(D3774,'Detail Balok'!$C$10:$AU$110,25,FALSE)</f>
        <v>10</v>
      </c>
      <c r="E3790" t="str">
        <v>D</v>
      </c>
      <c r="F3790">
        <f>VLOOKUP(D3774,'Detail Balok'!$C$10:$AU$110,27,FALSE)</f>
        <v>22</v>
      </c>
      <c r="I3790" t="str">
        <v>(</v>
      </c>
      <c r="J3790">
        <f>+J3782</f>
        <v>3.5</v>
      </c>
      <c r="K3790" t="str">
        <v>+</v>
      </c>
      <c r="M3790" t="str">
        <v>=</v>
      </c>
      <c r="N3790">
        <f>J3790+L3790</f>
        <v>3.5</v>
      </c>
      <c r="O3790" t="str">
        <v>+</v>
      </c>
      <c r="P3790">
        <f>MAX(D3790-D3789,D3790-D3791)</f>
        <v>5</v>
      </c>
      <c r="Q3790" t="str">
        <v>x</v>
      </c>
      <c r="R3790">
        <f>IF(P3790&gt;0,2*(1-2*$F$19-1/2)*D3777/1000,0)</f>
        <v>1.3999999999999997</v>
      </c>
      <c r="S3790" t="str">
        <v>)</v>
      </c>
      <c r="T3790" t="str">
        <v>x</v>
      </c>
      <c r="U3790">
        <f>0.006165*F3790^2</f>
        <v>2.98386</v>
      </c>
      <c r="X3790" t="str">
        <v>x</v>
      </c>
      <c r="Y3790">
        <f>D3780</f>
        <v>1</v>
      </c>
      <c r="Z3790" t="str">
        <v>=</v>
      </c>
      <c r="AA3790">
        <f>IF(AA3792=0,(D3790*N3790+P3790*R3790)*U3790*Y3790,0)</f>
        <v>125.32212</v>
      </c>
    </row>
    <row r="3791">
      <c r="A3791" t="str">
        <f>A3774</f>
        <v>Lantai 1</v>
      </c>
      <c r="B3791">
        <f>B3774</f>
        <v>29</v>
      </c>
      <c r="C3791" t="str">
        <v>Tul Bawah Tumpuan</v>
      </c>
      <c r="D3791">
        <f>VLOOKUP(D3774,'Detail Balok'!$C$10:$AU$110,28,FALSE)</f>
        <v>5</v>
      </c>
      <c r="E3791" t="str">
        <v>D</v>
      </c>
      <c r="F3791">
        <f>VLOOKUP(D3774,'Detail Balok'!$C$10:$AU$110,30,FALSE)</f>
        <v>22</v>
      </c>
      <c r="I3791" t="str">
        <v>(</v>
      </c>
      <c r="J3791">
        <f>+J3783</f>
        <v>1.75</v>
      </c>
      <c r="K3791" t="str">
        <v>+</v>
      </c>
      <c r="L3791">
        <f>MAX(VLOOKUP(F3791,N$6:P$15,3,FALSE)/1000,2/3*D3779/1000)+F$16*F3791/1000</f>
        <v>0.264</v>
      </c>
      <c r="M3791" t="str">
        <v>=</v>
      </c>
      <c r="N3791">
        <f>J3791+L3791</f>
        <v>2.0140000000000002</v>
      </c>
      <c r="O3791" t="str">
        <v>+</v>
      </c>
      <c r="P3791">
        <f>D3791-D3790</f>
        <v>-5</v>
      </c>
      <c r="Q3791" t="str">
        <v>x</v>
      </c>
      <c r="R3791">
        <f>IF(P3791&gt;0,$F$18*F3791/1000,0)</f>
        <v>0</v>
      </c>
      <c r="S3791" t="str">
        <v>)</v>
      </c>
      <c r="T3791" t="str">
        <v>x</v>
      </c>
      <c r="U3791">
        <f>0.006165*F3791^2</f>
        <v>2.98386</v>
      </c>
      <c r="X3791" t="str">
        <v>x</v>
      </c>
      <c r="Y3791">
        <f>D3780</f>
        <v>1</v>
      </c>
      <c r="Z3791" t="str">
        <v>=</v>
      </c>
      <c r="AA3791">
        <f>IF(AA3792=0,(D3791*N3791+P3791*R3791)*U3791*Y3791,0)</f>
        <v>30.0474702</v>
      </c>
    </row>
    <row r="3792">
      <c r="A3792" t="str">
        <f>A3774</f>
        <v>Lantai 1</v>
      </c>
      <c r="B3792">
        <f>B3774</f>
        <v>29</v>
      </c>
      <c r="D3792">
        <f>IF(AND(D3789=D3790,D3790=D3791,D3789=D3791),D3789,0)</f>
        <v>0</v>
      </c>
      <c r="E3792" t="str">
        <v>D</v>
      </c>
      <c r="F3792">
        <f>IF(AND(F3789=F3790,F3789=F3791,F3790=F3791),F3789,0)</f>
        <v>22</v>
      </c>
      <c r="L3792" t="str">
        <v>Total panjang per balok</v>
      </c>
      <c r="M3792" t="str">
        <v>=</v>
      </c>
      <c r="N3792">
        <f>IF(AND(D3789=D3790,D3789=D3791,D3790=D3791,F3789=F3790,F3789=F3791,F3790=F3791),SUM(N3789:N3791),0)</f>
        <v>0</v>
      </c>
      <c r="O3792" t="str">
        <v>+</v>
      </c>
      <c r="P3792">
        <f>IF(N3792&gt;12,ROUNDDOWN(N3792/12,0),0)</f>
        <v>0</v>
      </c>
      <c r="Q3792" t="str">
        <v>x</v>
      </c>
      <c r="R3792">
        <f>IF(P3792&gt;0,MAX(VLOOKUP(F3792,$D$6:$G$15,3,FALSE),600),0)/1000</f>
        <v>0</v>
      </c>
      <c r="T3792" t="str">
        <v>x</v>
      </c>
      <c r="U3792">
        <f>U3791</f>
        <v>2.98386</v>
      </c>
      <c r="V3792" t="str">
        <v>x</v>
      </c>
      <c r="W3792">
        <f>D3792</f>
        <v>0</v>
      </c>
      <c r="X3792" t="str">
        <v>x</v>
      </c>
      <c r="Y3792">
        <f>Y3791</f>
        <v>1</v>
      </c>
      <c r="Z3792" t="str">
        <v>=</v>
      </c>
      <c r="AA3792">
        <f>(N3792+P3792*R3792/1000)*U3792*W3792*Y3792</f>
        <v>0</v>
      </c>
    </row>
    <row r="3794">
      <c r="A3794" t="str">
        <f>A3774</f>
        <v>Lantai 1</v>
      </c>
      <c r="B3794">
        <f>B3774</f>
        <v>29</v>
      </c>
      <c r="C3794" t="str">
        <v>Sengkang Tumpuan</v>
      </c>
      <c r="D3794">
        <f>VLOOKUP(D3774,'Detail Balok'!$C$10:$AU$110,31,FALSE)</f>
        <v>3</v>
      </c>
      <c r="E3794" t="str">
        <v>D</v>
      </c>
      <c r="F3794">
        <f>VLOOKUP(D3774,'Detail Balok'!$C$10:$AU$110,33,FALSE)</f>
        <v>13</v>
      </c>
      <c r="G3794" t="str">
        <v>-</v>
      </c>
      <c r="H3794">
        <f>VLOOKUP(D3774,'Detail Balok'!$C$10:$AU$110,35,FALSE)</f>
        <v>75</v>
      </c>
      <c r="J3794">
        <f>(IF(D3794=0,(2*(D3775+G3775))-(F$5*8),IF(D3794=3,(2*(D3775+G3775))-(F$5*8)+(G3775-2*F$5),IF(D3794=4,(2*(D3775+G3775))-(F$5*8)+2*(G3775-2*F$5)))))/1000</f>
        <v>2.7</v>
      </c>
      <c r="K3794" t="str">
        <v>+</v>
      </c>
      <c r="L3794">
        <f>IF(D3794=0,2*MAX(6*F3794,75),(D3794-1)*2*MAX(6*F3794,75))/1000</f>
        <v>0.312</v>
      </c>
      <c r="M3794" t="str">
        <v>=</v>
      </c>
      <c r="N3794">
        <f>J3794+L3794</f>
        <v>3.012</v>
      </c>
      <c r="T3794" t="str">
        <v>x</v>
      </c>
      <c r="U3794">
        <f>0.006165*F3794^2</f>
        <v>1.041885</v>
      </c>
      <c r="V3794" t="str">
        <v>x</v>
      </c>
      <c r="W3794">
        <f>IF(D3777&gt;4*G3775,ROUND(MAX(D3777/4,2*G3775)/H3794,0)+1,ROUND(D3777/H3794,0)+1)</f>
        <v>24</v>
      </c>
      <c r="X3794" t="str">
        <v>x</v>
      </c>
      <c r="Y3794">
        <f>D3780</f>
        <v>1</v>
      </c>
      <c r="Z3794" t="str">
        <v>=</v>
      </c>
      <c r="AA3794">
        <f>N3794*U3794*W3794*Y3794</f>
        <v>75.31578288</v>
      </c>
    </row>
    <row r="3795">
      <c r="A3795" t="str">
        <f>A3774</f>
        <v>Lantai 1</v>
      </c>
      <c r="B3795">
        <f>B3774</f>
        <v>29</v>
      </c>
      <c r="C3795" t="str">
        <v>Sengkang Lapangan</v>
      </c>
      <c r="D3795">
        <f>VLOOKUP(D3774,'Detail Balok'!$C$10:$AU$110,36,FALSE)</f>
        <v>0</v>
      </c>
      <c r="E3795" t="str">
        <v>D</v>
      </c>
      <c r="F3795">
        <f>VLOOKUP(D3774,'Detail Balok'!$C$10:$AU$110,38,FALSE)</f>
        <v>13</v>
      </c>
      <c r="G3795" t="str">
        <v>-</v>
      </c>
      <c r="H3795">
        <f>VLOOKUP(D3774,'Detail Balok'!$C$10:$AU$110,40,FALSE)</f>
        <v>150</v>
      </c>
      <c r="J3795">
        <f>(IF(D3795=0,(2*(D3775+G3775))-(F$5*8),IF(D3795=3,(2*(D3775+G3775))-(F$5*8)+(G3775-2*F$5),IF(D3795=4,(2*(D3775+G3775))-(F$5*8)+2*(G3775-2*F$5)))))/1000</f>
        <v>2.08</v>
      </c>
      <c r="K3795" t="str">
        <v>+</v>
      </c>
      <c r="L3795">
        <f>IF(D3795=0,2*MAX(6*F3795,75),(D3795-1)*2*MAX(6*F3795,75))/1000</f>
        <v>0.156</v>
      </c>
      <c r="M3795" t="str">
        <v>=</v>
      </c>
      <c r="N3795">
        <f>J3795+L3795</f>
        <v>2.236</v>
      </c>
      <c r="T3795" t="str">
        <v>x</v>
      </c>
      <c r="U3795">
        <f>0.006165*F3795^2</f>
        <v>1.041885</v>
      </c>
      <c r="V3795" t="str">
        <v>x</v>
      </c>
      <c r="W3795">
        <f>IF(D3777-MAX(D3777/4,2*G3775)*2&gt;0,ROUND((D3777-MAX(D3777/4,2*G3775)*2)/H3795,0),0)</f>
        <v>23</v>
      </c>
      <c r="X3795" t="str">
        <v>x</v>
      </c>
      <c r="Y3795">
        <f>D3780</f>
        <v>1</v>
      </c>
      <c r="Z3795" t="str">
        <v>=</v>
      </c>
      <c r="AA3795">
        <f>N3795*U3795*W3795*Y3795</f>
        <v>53.582061780000004</v>
      </c>
    </row>
    <row r="3796">
      <c r="A3796" t="str">
        <f>A3774</f>
        <v>Lantai 1</v>
      </c>
      <c r="B3796">
        <f>B3774</f>
        <v>29</v>
      </c>
      <c r="C3796" t="str">
        <v>Sengkang Tumpuan</v>
      </c>
      <c r="D3796">
        <f>VLOOKUP(D3774,'Detail Balok'!$C$10:$AU$110,41,FALSE)</f>
        <v>3</v>
      </c>
      <c r="E3796" t="str">
        <v>D</v>
      </c>
      <c r="F3796">
        <f>VLOOKUP(D3774,'Detail Balok'!$C$10:$AU$110,43,FALSE)</f>
        <v>13</v>
      </c>
      <c r="G3796" t="str">
        <v>-</v>
      </c>
      <c r="H3796">
        <f>VLOOKUP(D3774,'Detail Balok'!$C$10:$AU$110,45,FALSE)</f>
        <v>75</v>
      </c>
      <c r="J3796">
        <f>(IF(D3796=0,(2*(D3775+G3775))-(F$5*8),IF(D3796=3,(2*(D3775+G3775))-(F$5*8)+(G3775-2*F$5),IF(D3796=4,(2*(D3775+G3775))-(F$5*8)+2*(G3775-2*F$5)))))/1000</f>
        <v>2.7</v>
      </c>
      <c r="K3796" t="str">
        <v>+</v>
      </c>
      <c r="L3796">
        <f>IF(D3796=0,2*MAX(6*F3796,75),(D3796-1)*2*MAX(6*F3796,75))/1000</f>
        <v>0.312</v>
      </c>
      <c r="M3796" t="str">
        <v>=</v>
      </c>
      <c r="N3796">
        <f>J3796+L3796</f>
        <v>3.012</v>
      </c>
      <c r="T3796" t="str">
        <v>x</v>
      </c>
      <c r="U3796">
        <f>0.006165*F3796^2</f>
        <v>1.041885</v>
      </c>
      <c r="V3796" t="str">
        <v>x</v>
      </c>
      <c r="W3796">
        <f>IF(D3777&gt;4*G3775,ROUND(MAX(D3777/4,2*G3775)/H3796,0)+1,0)</f>
        <v>24</v>
      </c>
      <c r="X3796" t="str">
        <v>x</v>
      </c>
      <c r="Y3796">
        <f>D3780</f>
        <v>1</v>
      </c>
      <c r="Z3796" t="str">
        <v>=</v>
      </c>
      <c r="AA3796">
        <f>N3796*U3796*W3796*Y3796</f>
        <v>75.31578288</v>
      </c>
    </row>
    <row r="3798">
      <c r="A3798" t="str">
        <f>A3774</f>
        <v>Lantai 1</v>
      </c>
      <c r="B3798">
        <f>B3774</f>
        <v>29</v>
      </c>
      <c r="C3798" t="str">
        <v>Kait Horizontal Tump.</v>
      </c>
      <c r="D3798">
        <f>VLOOKUP(D3774,'Detail Balok'!$C$10:$BJ$110,46,FALSE)</f>
        <v>0</v>
      </c>
      <c r="E3798" t="str">
        <v>D</v>
      </c>
      <c r="F3798">
        <f>VLOOKUP(D3774,'Detail Balok'!$C$10:$BJ$110,48,FALSE)</f>
        <v>0</v>
      </c>
      <c r="G3798" t="str">
        <v>-</v>
      </c>
      <c r="H3798">
        <f>VLOOKUP(D3774,'Detail Balok'!$C$10:$BJ$110,50,FALSE)</f>
        <v>100</v>
      </c>
      <c r="J3798">
        <f>(D3775-2*F$5)/1000</f>
        <v>0.42</v>
      </c>
      <c r="K3798" t="str">
        <v>+</v>
      </c>
      <c r="L3798">
        <f>IF(D3798=0,2*MAX(6*F3798,75),(D3798-1)*2*MAX(6*F3798,75))/1000</f>
        <v>0.15</v>
      </c>
      <c r="M3798" t="str">
        <v>=</v>
      </c>
      <c r="N3798">
        <f>J3798+L3798</f>
        <v>0.57</v>
      </c>
      <c r="T3798" t="str">
        <v>x</v>
      </c>
      <c r="U3798">
        <f>0.006165*F3798^2</f>
        <v>0</v>
      </c>
      <c r="V3798" t="str">
        <v>x</v>
      </c>
      <c r="W3798">
        <f>W3794</f>
        <v>24</v>
      </c>
      <c r="X3798" t="str">
        <v>x</v>
      </c>
      <c r="Y3798">
        <f>D3784</f>
        <v>5</v>
      </c>
      <c r="Z3798" t="str">
        <v>=</v>
      </c>
      <c r="AA3798">
        <f>N3798*U3798*W3798*Y3798</f>
        <v>0</v>
      </c>
    </row>
    <row r="3799">
      <c r="A3799" t="str">
        <f>A3774</f>
        <v>Lantai 1</v>
      </c>
      <c r="B3799">
        <f>B3774</f>
        <v>29</v>
      </c>
      <c r="C3799" t="str">
        <v>Kait Horizontal Lap.</v>
      </c>
      <c r="D3799">
        <f>VLOOKUP(D3774,'Detail Balok'!$C$10:$BJ$110,51,FALSE)</f>
        <v>0</v>
      </c>
      <c r="E3799" t="str">
        <v>D</v>
      </c>
      <c r="F3799">
        <f>VLOOKUP(D3774,'Detail Balok'!$C$10:$BJ$110,53,FALSE)</f>
        <v>0</v>
      </c>
      <c r="G3799" t="str">
        <v>-</v>
      </c>
      <c r="H3799">
        <f>VLOOKUP(D3774,'Detail Balok'!$C$10:$BJ$110,55,FALSE)</f>
        <v>100</v>
      </c>
      <c r="J3799">
        <f>(D3775-2*F$5)/1000</f>
        <v>0.42</v>
      </c>
      <c r="K3799" t="str">
        <v>+</v>
      </c>
      <c r="L3799">
        <f>IF(D3799=0,2*MAX(6*F3799,75),(D3799-1)*2*MAX(6*F3799,75))/1000</f>
        <v>0.15</v>
      </c>
      <c r="M3799" t="str">
        <v>=</v>
      </c>
      <c r="N3799">
        <f>J3799+L3799</f>
        <v>0.57</v>
      </c>
      <c r="T3799" t="str">
        <v>x</v>
      </c>
      <c r="U3799">
        <f>0.006165*F3799^2</f>
        <v>0</v>
      </c>
      <c r="V3799" t="str">
        <v>x</v>
      </c>
      <c r="W3799">
        <f>W3795</f>
        <v>23</v>
      </c>
      <c r="X3799" t="str">
        <v>x</v>
      </c>
      <c r="Y3799">
        <f>D3784</f>
        <v>5</v>
      </c>
      <c r="Z3799" t="str">
        <v>=</v>
      </c>
      <c r="AA3799">
        <f>N3799*U3799*W3799*Y3799</f>
        <v>0</v>
      </c>
    </row>
    <row r="3800">
      <c r="A3800" t="str">
        <f>A3774</f>
        <v>Lantai 1</v>
      </c>
      <c r="B3800">
        <f>B3774</f>
        <v>29</v>
      </c>
      <c r="C3800" t="str">
        <v>Kait Horizontal Tump.</v>
      </c>
      <c r="D3800">
        <f>VLOOKUP(D3774,'Detail Balok'!$C$10:$BJ$110,56,FALSE)</f>
        <v>0</v>
      </c>
      <c r="E3800" t="str">
        <v>D</v>
      </c>
      <c r="F3800">
        <f>VLOOKUP(D3774,'Detail Balok'!$C$10:$BJ$110,58,FALSE)</f>
        <v>0</v>
      </c>
      <c r="G3800" t="str">
        <v>-</v>
      </c>
      <c r="H3800">
        <f>VLOOKUP(D3774,'Detail Balok'!$C$10:$BJ$110,60,FALSE)</f>
        <v>100</v>
      </c>
      <c r="J3800">
        <f>(D3775-2*F$5)/1000</f>
        <v>0.42</v>
      </c>
      <c r="K3800" t="str">
        <v>+</v>
      </c>
      <c r="L3800">
        <f>IF(D3800=0,2*MAX(6*F3800,75),(D3800-1)*2*MAX(6*F3800,75))/1000</f>
        <v>0.15</v>
      </c>
      <c r="M3800" t="str">
        <v>=</v>
      </c>
      <c r="N3800">
        <f>J3800+L3800</f>
        <v>0.57</v>
      </c>
      <c r="T3800" t="str">
        <v>x</v>
      </c>
      <c r="U3800">
        <f>0.006165*F3800^2</f>
        <v>0</v>
      </c>
      <c r="V3800" t="str">
        <v>x</v>
      </c>
      <c r="W3800">
        <f>W3796</f>
        <v>24</v>
      </c>
      <c r="X3800" t="str">
        <v>x</v>
      </c>
      <c r="Y3800">
        <f>D3784</f>
        <v>5</v>
      </c>
      <c r="Z3800" t="str">
        <v>=</v>
      </c>
      <c r="AA3800">
        <f>N3800*U3800*W3800*Y3800</f>
        <v>0</v>
      </c>
    </row>
    <row r="3804">
      <c r="A3804" t="str">
        <f>A3774</f>
        <v>Lantai 1</v>
      </c>
      <c r="B3804">
        <f>B3774+1</f>
        <v>30</v>
      </c>
      <c r="C3804" t="str">
        <f>CONCATENATE(A3804," no. ",B3804)</f>
        <v>Lantai 1 no. 30</v>
      </c>
      <c r="D3804" t="str">
        <f>VLOOKUP(C3804,'Data Panjang Balok'!$C$9:$N$424,2,FALSE)</f>
        <v>B57-1</v>
      </c>
    </row>
    <row r="3805">
      <c r="C3805" t="str">
        <v>Dimensi</v>
      </c>
      <c r="D3805">
        <f>VLOOKUP(D3804,'Detail Balok'!$C$10:$AU$110,2,FALSE)</f>
        <v>500</v>
      </c>
      <c r="F3805" t="str">
        <v>x</v>
      </c>
      <c r="G3805">
        <f>VLOOKUP(D3804,'Detail Balok'!$C$10:$AU$110,3,FALSE)</f>
        <v>700</v>
      </c>
    </row>
    <row r="3806">
      <c r="C3806" t="str">
        <v>Panjang as ke as</v>
      </c>
      <c r="D3806">
        <f>VLOOKUP(C3804,'Data Panjang Balok'!$C$9:$N$424,4,FALSE)</f>
        <v>4100</v>
      </c>
    </row>
    <row r="3807">
      <c r="C3807" t="str">
        <v>Panjang netto</v>
      </c>
      <c r="D3807">
        <f>VLOOKUP(C3804,'Data Panjang Balok'!$C$9:$N$424,7,FALSE)</f>
        <v>4100</v>
      </c>
    </row>
    <row r="3808">
      <c r="C3808" t="str">
        <v>Kolom / balok kiri</v>
      </c>
      <c r="D3808">
        <f>VLOOKUP(C3804,'Data Panjang Balok'!$C$9:$N$424,9,FALSE)</f>
        <v>0</v>
      </c>
    </row>
    <row r="3809">
      <c r="C3809" t="str">
        <v>Kolom / balok kanan</v>
      </c>
      <c r="D3809">
        <f>VLOOKUP(C3804,'Data Panjang Balok'!$C$9:$N$424,10,FALSE)</f>
        <v>0</v>
      </c>
    </row>
    <row r="3810">
      <c r="C3810" t="str">
        <v>Jumlah</v>
      </c>
      <c r="D3810">
        <f>VLOOKUP(C3804,'Data Panjang Balok'!$C$9:$N$424,3,FALSE)</f>
        <v>1</v>
      </c>
    </row>
    <row r="3811">
      <c r="A3811" t="str">
        <f>A3804</f>
        <v>Lantai 1</v>
      </c>
      <c r="B3811">
        <f>B3804</f>
        <v>30</v>
      </c>
      <c r="C3811" t="str">
        <v>Tul Atas Tumpuan</v>
      </c>
      <c r="D3811">
        <f>VLOOKUP(D3804,'Detail Balok'!$C$10:$AU$110,4,FALSE)</f>
        <v>5</v>
      </c>
      <c r="E3811" t="str">
        <v>D</v>
      </c>
      <c r="F3811">
        <f>VLOOKUP(D3804,'Detail Balok'!$C$10:$AU$110,6,FALSE)</f>
        <v>22</v>
      </c>
      <c r="I3811" t="str">
        <v>(</v>
      </c>
      <c r="J3811">
        <f>+D3806/4/1000</f>
        <v>1.025</v>
      </c>
      <c r="K3811" t="str">
        <v>+</v>
      </c>
      <c r="L3811">
        <f>MAX(VLOOKUP(F3811,N$6:P$15,3,FALSE)/1000,2/3*D3808/1000)+F$16*F3811/1000</f>
        <v>0.264</v>
      </c>
      <c r="M3811" t="str">
        <v>=</v>
      </c>
      <c r="N3811">
        <f>J3811+L3811</f>
        <v>1.289</v>
      </c>
      <c r="O3811" t="str">
        <v>+</v>
      </c>
      <c r="P3811">
        <f>D3811-D3812</f>
        <v>0</v>
      </c>
      <c r="Q3811" t="str">
        <v>x</v>
      </c>
      <c r="R3811">
        <f>IF(P3811&gt;0,$F$18*F3811/1000,0)</f>
        <v>0</v>
      </c>
      <c r="S3811" t="str">
        <v>)</v>
      </c>
      <c r="T3811" t="str">
        <v>x</v>
      </c>
      <c r="U3811">
        <f>0.006165*F3811^2</f>
        <v>2.98386</v>
      </c>
      <c r="X3811" t="str">
        <v>x</v>
      </c>
      <c r="Y3811">
        <f>D3810</f>
        <v>1</v>
      </c>
      <c r="Z3811" t="str">
        <v>=</v>
      </c>
      <c r="AA3811">
        <f>IF(AA3814=0,(D3811*N3811+P3811*R3811)*U3811*Y3811,0)</f>
        <v>0</v>
      </c>
    </row>
    <row r="3812">
      <c r="A3812" t="str">
        <f>A3804</f>
        <v>Lantai 1</v>
      </c>
      <c r="B3812">
        <f>B3804</f>
        <v>30</v>
      </c>
      <c r="C3812" t="str">
        <v>Tul Atas Lapangan</v>
      </c>
      <c r="D3812">
        <f>VLOOKUP(D3804,'Detail Balok'!$C$10:$AU$110,7,FALSE)</f>
        <v>5</v>
      </c>
      <c r="E3812" t="str">
        <v>D</v>
      </c>
      <c r="F3812">
        <f>VLOOKUP(D3804,'Detail Balok'!$C$10:$AU$110,9,FALSE)</f>
        <v>22</v>
      </c>
      <c r="I3812" t="str">
        <v>(</v>
      </c>
      <c r="J3812">
        <f>+D3806/2/1000</f>
        <v>2.05</v>
      </c>
      <c r="K3812" t="str">
        <v>+</v>
      </c>
      <c r="M3812" t="str">
        <v>=</v>
      </c>
      <c r="N3812">
        <f>J3812+L3812</f>
        <v>2.05</v>
      </c>
      <c r="O3812" t="str">
        <v>+</v>
      </c>
      <c r="P3812">
        <f>MAX(D3812-D3811,D3812-D3813)</f>
        <v>0</v>
      </c>
      <c r="Q3812" t="str">
        <v>x</v>
      </c>
      <c r="R3812">
        <f>IF(P3812&gt;0,2*(1-2*$F$19-1/2)*D3807/1000,0)</f>
        <v>0</v>
      </c>
      <c r="S3812" t="str">
        <v>)</v>
      </c>
      <c r="T3812" t="str">
        <v>x</v>
      </c>
      <c r="U3812">
        <f>0.006165*F3812^2</f>
        <v>2.98386</v>
      </c>
      <c r="X3812" t="str">
        <v>x</v>
      </c>
      <c r="Y3812">
        <f>D3810</f>
        <v>1</v>
      </c>
      <c r="Z3812" t="str">
        <v>=</v>
      </c>
      <c r="AA3812">
        <f>IF(AA3814=0,(D3812*N3812+P3812*R3812)*U3812*Y3812,0)</f>
        <v>0</v>
      </c>
    </row>
    <row r="3813">
      <c r="A3813" t="str">
        <f>A3804</f>
        <v>Lantai 1</v>
      </c>
      <c r="B3813">
        <f>B3804</f>
        <v>30</v>
      </c>
      <c r="C3813" t="str">
        <v>Tul Atas Tumpuan</v>
      </c>
      <c r="D3813">
        <f>VLOOKUP(D3804,'Detail Balok'!$C$10:$AU$110,10,FALSE)</f>
        <v>5</v>
      </c>
      <c r="E3813" t="str">
        <v>D</v>
      </c>
      <c r="F3813">
        <f>VLOOKUP(D3804,'Detail Balok'!$C$10:$AU$110,12,FALSE)</f>
        <v>22</v>
      </c>
      <c r="I3813" t="str">
        <v>(</v>
      </c>
      <c r="J3813">
        <f>+D3806/4/1000</f>
        <v>1.025</v>
      </c>
      <c r="K3813" t="str">
        <v>+</v>
      </c>
      <c r="L3813">
        <f>MAX(VLOOKUP(F3813,N$6:P$15,3,FALSE)/1000,2/3*D3808/1000)+F$16*F3813/1000</f>
        <v>0.264</v>
      </c>
      <c r="M3813" t="str">
        <v>=</v>
      </c>
      <c r="N3813">
        <f>J3813+L3813</f>
        <v>1.289</v>
      </c>
      <c r="O3813" t="str">
        <v>+</v>
      </c>
      <c r="P3813">
        <f>D3813-D3812</f>
        <v>0</v>
      </c>
      <c r="Q3813" t="str">
        <v>x</v>
      </c>
      <c r="R3813">
        <f>IF(P3813&gt;0,$F$18*F3813/1000,0)</f>
        <v>0</v>
      </c>
      <c r="S3813" t="str">
        <v>)</v>
      </c>
      <c r="T3813" t="str">
        <v>x</v>
      </c>
      <c r="U3813">
        <f>0.006165*F3813^2</f>
        <v>2.98386</v>
      </c>
      <c r="X3813" t="str">
        <v>x</v>
      </c>
      <c r="Y3813">
        <f>D3810</f>
        <v>1</v>
      </c>
      <c r="Z3813" t="str">
        <v>=</v>
      </c>
      <c r="AA3813">
        <f>IF(AA3814=0,(D3813*N3813+P3813*R3813)*U3813*Y3813,0)</f>
        <v>0</v>
      </c>
    </row>
    <row r="3814">
      <c r="A3814" t="str">
        <f>A3804</f>
        <v>Lantai 1</v>
      </c>
      <c r="B3814">
        <f>B3804</f>
        <v>30</v>
      </c>
      <c r="D3814">
        <f>IF(AND(D3811=D3812,D3812=D3813,D3811=D3813),D3811,0)</f>
        <v>5</v>
      </c>
      <c r="E3814" t="str">
        <v>D</v>
      </c>
      <c r="F3814">
        <f>IF(AND(F3811=F3812,F3811=F3813,F3812=F3813),F3811,0)</f>
        <v>22</v>
      </c>
      <c r="L3814" t="str">
        <v>Total panjang per balok</v>
      </c>
      <c r="M3814" t="str">
        <v>=</v>
      </c>
      <c r="N3814">
        <f>IF(AND(D3811=D3812,D3811=D3813,D3812=D3813,F3811=F3812,F3811=F3813,F3812=F3813),SUM(N3811:N3813),0)</f>
        <v>4.627999999999999</v>
      </c>
      <c r="O3814" t="str">
        <v>+</v>
      </c>
      <c r="P3814">
        <f>IF(N3814&gt;12,ROUNDDOWN(N3814/12,0),0)</f>
        <v>0</v>
      </c>
      <c r="Q3814" t="str">
        <v>x</v>
      </c>
      <c r="R3814">
        <f>IF(P3814&gt;0,MAX(VLOOKUP(F3814,$D$6:$G$15,3,FALSE),600),0)/1000</f>
        <v>0</v>
      </c>
      <c r="T3814" t="str">
        <v>x</v>
      </c>
      <c r="U3814">
        <f>U3813</f>
        <v>2.98386</v>
      </c>
      <c r="V3814" t="str">
        <v>x</v>
      </c>
      <c r="W3814">
        <f>D3814</f>
        <v>5</v>
      </c>
      <c r="X3814" t="str">
        <v>x</v>
      </c>
      <c r="Y3814">
        <f>Y3813</f>
        <v>1</v>
      </c>
      <c r="Z3814" t="str">
        <v>=</v>
      </c>
      <c r="AA3814">
        <f>(N3814+P3814*R3814/1000)*U3814*W3814*Y3814</f>
        <v>69.04652039999999</v>
      </c>
    </row>
    <row r="3816">
      <c r="A3816" t="str">
        <f>A3804</f>
        <v>Lantai 1</v>
      </c>
      <c r="B3816">
        <f>B3804</f>
        <v>30</v>
      </c>
      <c r="C3816" t="str">
        <v>Tul Peminggang</v>
      </c>
      <c r="D3816">
        <f>VLOOKUP(D3804,'Detail Balok'!$C$10:$AU$110,13,FALSE)</f>
        <v>2</v>
      </c>
      <c r="E3816" t="str">
        <v>D</v>
      </c>
      <c r="F3816">
        <f>VLOOKUP(D3804,'Detail Balok'!$C$10:$AU$110,15,FALSE)</f>
        <v>13</v>
      </c>
      <c r="J3816">
        <f>+D3806/1000</f>
        <v>4.1</v>
      </c>
      <c r="K3816" t="str">
        <v>+</v>
      </c>
      <c r="L3816">
        <f>2*$F$16*F3816/1000</f>
        <v>0.312</v>
      </c>
      <c r="M3816" t="str">
        <v>=</v>
      </c>
      <c r="N3816">
        <f>J3816+L3816</f>
        <v>4.412</v>
      </c>
      <c r="O3816" t="str">
        <v>+</v>
      </c>
      <c r="P3816">
        <f>IF(N3816&gt;12,ROUNDDOWN(N3816/12,0),0)</f>
        <v>0</v>
      </c>
      <c r="Q3816" t="str">
        <v>x</v>
      </c>
      <c r="R3816">
        <f>IF(P3816&gt;0,MAX(VLOOKUP(F3816,$D$6:$G$15,3,FALSE),600),0)/1000</f>
        <v>0</v>
      </c>
      <c r="T3816" t="str">
        <v>x</v>
      </c>
      <c r="U3816">
        <f>0.006165*F3816^2</f>
        <v>1.041885</v>
      </c>
      <c r="V3816" t="str">
        <v>x</v>
      </c>
      <c r="W3816">
        <f>+D3816</f>
        <v>2</v>
      </c>
      <c r="X3816" t="str">
        <v>x</v>
      </c>
      <c r="Y3816">
        <f>D3810</f>
        <v>1</v>
      </c>
      <c r="Z3816" t="str">
        <v>=</v>
      </c>
      <c r="AA3816">
        <f>(N3816+P3816*R3816/1000)*U3816*W3816*Y3816</f>
        <v>9.19359324</v>
      </c>
    </row>
    <row r="3819">
      <c r="A3819" t="str">
        <f>A3804</f>
        <v>Lantai 1</v>
      </c>
      <c r="B3819">
        <f>B3804</f>
        <v>30</v>
      </c>
      <c r="C3819" t="str">
        <v>Tul Bawah Tumpuan</v>
      </c>
      <c r="D3819">
        <f>VLOOKUP(D3804,'Detail Balok'!$C$10:$AU$110,22,FALSE)</f>
        <v>5</v>
      </c>
      <c r="E3819" t="str">
        <v>D</v>
      </c>
      <c r="F3819">
        <f>VLOOKUP(D3804,'Detail Balok'!$C$10:$AU$110,24,FALSE)</f>
        <v>22</v>
      </c>
      <c r="I3819" t="str">
        <v>(</v>
      </c>
      <c r="J3819">
        <f>+J3811</f>
        <v>1.025</v>
      </c>
      <c r="K3819" t="str">
        <v>+</v>
      </c>
      <c r="L3819">
        <f>MAX(VLOOKUP(F3819,N$6:P$15,3,FALSE)/1000,2/3*D3809/1000)+F$16*F3819/1000</f>
        <v>0.264</v>
      </c>
      <c r="M3819" t="str">
        <v>=</v>
      </c>
      <c r="N3819">
        <f>J3819+L3819</f>
        <v>1.289</v>
      </c>
      <c r="O3819" t="str">
        <v>+</v>
      </c>
      <c r="P3819">
        <f>D3819-D3820</f>
        <v>-5</v>
      </c>
      <c r="Q3819" t="str">
        <v>x</v>
      </c>
      <c r="R3819">
        <f>IF(P3819&gt;0,$F$18*F3819/1000,0)</f>
        <v>0</v>
      </c>
      <c r="S3819" t="str">
        <v>)</v>
      </c>
      <c r="T3819" t="str">
        <v>x</v>
      </c>
      <c r="U3819">
        <f>0.006165*F3819^2</f>
        <v>2.98386</v>
      </c>
      <c r="X3819" t="str">
        <v>x</v>
      </c>
      <c r="Y3819">
        <f>D3810</f>
        <v>1</v>
      </c>
      <c r="Z3819" t="str">
        <v>=</v>
      </c>
      <c r="AA3819">
        <f>IF(AA3822=0,(D3819*N3819+P3819*R3819)*U3819*Y3819,0)</f>
        <v>19.230977699999997</v>
      </c>
    </row>
    <row r="3820">
      <c r="A3820" t="str">
        <f>A3804</f>
        <v>Lantai 1</v>
      </c>
      <c r="B3820">
        <f>B3804</f>
        <v>30</v>
      </c>
      <c r="C3820" t="str">
        <v>Tul Bawah Lapangan</v>
      </c>
      <c r="D3820">
        <f>VLOOKUP(D3804,'Detail Balok'!$C$10:$AU$110,25,FALSE)</f>
        <v>10</v>
      </c>
      <c r="E3820" t="str">
        <v>D</v>
      </c>
      <c r="F3820">
        <f>VLOOKUP(D3804,'Detail Balok'!$C$10:$AU$110,27,FALSE)</f>
        <v>22</v>
      </c>
      <c r="I3820" t="str">
        <v>(</v>
      </c>
      <c r="J3820">
        <f>+J3812</f>
        <v>2.05</v>
      </c>
      <c r="K3820" t="str">
        <v>+</v>
      </c>
      <c r="M3820" t="str">
        <v>=</v>
      </c>
      <c r="N3820">
        <f>J3820+L3820</f>
        <v>2.05</v>
      </c>
      <c r="O3820" t="str">
        <v>+</v>
      </c>
      <c r="P3820">
        <f>MAX(D3820-D3819,D3820-D3821)</f>
        <v>5</v>
      </c>
      <c r="Q3820" t="str">
        <v>x</v>
      </c>
      <c r="R3820">
        <f>IF(P3820&gt;0,2*(1-2*$F$19-1/2)*D3807/1000,0)</f>
        <v>0.8199999999999997</v>
      </c>
      <c r="S3820" t="str">
        <v>)</v>
      </c>
      <c r="T3820" t="str">
        <v>x</v>
      </c>
      <c r="U3820">
        <f>0.006165*F3820^2</f>
        <v>2.98386</v>
      </c>
      <c r="X3820" t="str">
        <v>x</v>
      </c>
      <c r="Y3820">
        <f>D3810</f>
        <v>1</v>
      </c>
      <c r="Z3820" t="str">
        <v>=</v>
      </c>
      <c r="AA3820">
        <f>IF(AA3822=0,(D3820*N3820+P3820*R3820)*U3820*Y3820,0)</f>
        <v>73.40295599999999</v>
      </c>
    </row>
    <row r="3821">
      <c r="A3821" t="str">
        <f>A3804</f>
        <v>Lantai 1</v>
      </c>
      <c r="B3821">
        <f>B3804</f>
        <v>30</v>
      </c>
      <c r="C3821" t="str">
        <v>Tul Bawah Tumpuan</v>
      </c>
      <c r="D3821">
        <f>VLOOKUP(D3804,'Detail Balok'!$C$10:$AU$110,28,FALSE)</f>
        <v>5</v>
      </c>
      <c r="E3821" t="str">
        <v>D</v>
      </c>
      <c r="F3821">
        <f>VLOOKUP(D3804,'Detail Balok'!$C$10:$AU$110,30,FALSE)</f>
        <v>22</v>
      </c>
      <c r="I3821" t="str">
        <v>(</v>
      </c>
      <c r="J3821">
        <f>+J3813</f>
        <v>1.025</v>
      </c>
      <c r="K3821" t="str">
        <v>+</v>
      </c>
      <c r="L3821">
        <f>MAX(VLOOKUP(F3821,N$6:P$15,3,FALSE)/1000,2/3*D3809/1000)+F$16*F3821/1000</f>
        <v>0.264</v>
      </c>
      <c r="M3821" t="str">
        <v>=</v>
      </c>
      <c r="N3821">
        <f>J3821+L3821</f>
        <v>1.289</v>
      </c>
      <c r="O3821" t="str">
        <v>+</v>
      </c>
      <c r="P3821">
        <f>D3821-D3820</f>
        <v>-5</v>
      </c>
      <c r="Q3821" t="str">
        <v>x</v>
      </c>
      <c r="R3821">
        <f>IF(P3821&gt;0,$F$18*F3821/1000,0)</f>
        <v>0</v>
      </c>
      <c r="S3821" t="str">
        <v>)</v>
      </c>
      <c r="T3821" t="str">
        <v>x</v>
      </c>
      <c r="U3821">
        <f>0.006165*F3821^2</f>
        <v>2.98386</v>
      </c>
      <c r="X3821" t="str">
        <v>x</v>
      </c>
      <c r="Y3821">
        <f>D3810</f>
        <v>1</v>
      </c>
      <c r="Z3821" t="str">
        <v>=</v>
      </c>
      <c r="AA3821">
        <f>IF(AA3822=0,(D3821*N3821+P3821*R3821)*U3821*Y3821,0)</f>
        <v>19.230977699999997</v>
      </c>
    </row>
    <row r="3822">
      <c r="A3822" t="str">
        <f>A3804</f>
        <v>Lantai 1</v>
      </c>
      <c r="B3822">
        <f>B3804</f>
        <v>30</v>
      </c>
      <c r="D3822">
        <f>IF(AND(D3819=D3820,D3820=D3821,D3819=D3821),D3819,0)</f>
        <v>0</v>
      </c>
      <c r="E3822" t="str">
        <v>D</v>
      </c>
      <c r="F3822">
        <f>IF(AND(F3819=F3820,F3819=F3821,F3820=F3821),F3819,0)</f>
        <v>22</v>
      </c>
      <c r="L3822" t="str">
        <v>Total panjang per balok</v>
      </c>
      <c r="M3822" t="str">
        <v>=</v>
      </c>
      <c r="N3822">
        <f>IF(AND(D3819=D3820,D3819=D3821,D3820=D3821,F3819=F3820,F3819=F3821,F3820=F3821),SUM(N3819:N3821),0)</f>
        <v>0</v>
      </c>
      <c r="O3822" t="str">
        <v>+</v>
      </c>
      <c r="P3822">
        <f>IF(N3822&gt;12,ROUNDDOWN(N3822/12,0),0)</f>
        <v>0</v>
      </c>
      <c r="Q3822" t="str">
        <v>x</v>
      </c>
      <c r="R3822">
        <f>IF(P3822&gt;0,MAX(VLOOKUP(F3822,$D$6:$G$15,3,FALSE),600),0)/1000</f>
        <v>0</v>
      </c>
      <c r="T3822" t="str">
        <v>x</v>
      </c>
      <c r="U3822">
        <f>U3821</f>
        <v>2.98386</v>
      </c>
      <c r="V3822" t="str">
        <v>x</v>
      </c>
      <c r="W3822">
        <f>D3822</f>
        <v>0</v>
      </c>
      <c r="X3822" t="str">
        <v>x</v>
      </c>
      <c r="Y3822">
        <f>Y3821</f>
        <v>1</v>
      </c>
      <c r="Z3822" t="str">
        <v>=</v>
      </c>
      <c r="AA3822">
        <f>(N3822+P3822*R3822/1000)*U3822*W3822*Y3822</f>
        <v>0</v>
      </c>
    </row>
    <row r="3824">
      <c r="A3824" t="str">
        <f>A3804</f>
        <v>Lantai 1</v>
      </c>
      <c r="B3824">
        <f>B3804</f>
        <v>30</v>
      </c>
      <c r="C3824" t="str">
        <v>Sengkang Tumpuan</v>
      </c>
      <c r="D3824">
        <f>VLOOKUP(D3804,'Detail Balok'!$C$10:$AU$110,31,FALSE)</f>
        <v>3</v>
      </c>
      <c r="E3824" t="str">
        <v>D</v>
      </c>
      <c r="F3824">
        <f>VLOOKUP(D3804,'Detail Balok'!$C$10:$AU$110,33,FALSE)</f>
        <v>13</v>
      </c>
      <c r="G3824" t="str">
        <v>-</v>
      </c>
      <c r="H3824">
        <f>VLOOKUP(D3804,'Detail Balok'!$C$10:$AU$110,35,FALSE)</f>
        <v>75</v>
      </c>
      <c r="J3824">
        <f>(IF(D3824=0,(2*(D3805+G3805))-(F$5*8),IF(D3824=3,(2*(D3805+G3805))-(F$5*8)+(G3805-2*F$5),IF(D3824=4,(2*(D3805+G3805))-(F$5*8)+2*(G3805-2*F$5)))))/1000</f>
        <v>2.7</v>
      </c>
      <c r="K3824" t="str">
        <v>+</v>
      </c>
      <c r="L3824">
        <f>IF(D3824=0,2*MAX(6*F3824,75),(D3824-1)*2*MAX(6*F3824,75))/1000</f>
        <v>0.312</v>
      </c>
      <c r="M3824" t="str">
        <v>=</v>
      </c>
      <c r="N3824">
        <f>J3824+L3824</f>
        <v>3.012</v>
      </c>
      <c r="T3824" t="str">
        <v>x</v>
      </c>
      <c r="U3824">
        <f>0.006165*F3824^2</f>
        <v>1.041885</v>
      </c>
      <c r="V3824" t="str">
        <v>x</v>
      </c>
      <c r="W3824">
        <f>IF(D3807&gt;4*G3805,ROUND(MAX(D3807/4,2*G3805)/H3824,0)+1,ROUND(D3807/H3824,0)+1)</f>
        <v>20</v>
      </c>
      <c r="X3824" t="str">
        <v>x</v>
      </c>
      <c r="Y3824">
        <f>D3810</f>
        <v>1</v>
      </c>
      <c r="Z3824" t="str">
        <v>=</v>
      </c>
      <c r="AA3824">
        <f>N3824*U3824*W3824*Y3824</f>
        <v>62.763152399999996</v>
      </c>
    </row>
    <row r="3825">
      <c r="A3825" t="str">
        <f>A3804</f>
        <v>Lantai 1</v>
      </c>
      <c r="B3825">
        <f>B3804</f>
        <v>30</v>
      </c>
      <c r="C3825" t="str">
        <v>Sengkang Lapangan</v>
      </c>
      <c r="D3825">
        <f>VLOOKUP(D3804,'Detail Balok'!$C$10:$AU$110,36,FALSE)</f>
        <v>0</v>
      </c>
      <c r="E3825" t="str">
        <v>D</v>
      </c>
      <c r="F3825">
        <f>VLOOKUP(D3804,'Detail Balok'!$C$10:$AU$110,38,FALSE)</f>
        <v>13</v>
      </c>
      <c r="G3825" t="str">
        <v>-</v>
      </c>
      <c r="H3825">
        <f>VLOOKUP(D3804,'Detail Balok'!$C$10:$AU$110,40,FALSE)</f>
        <v>150</v>
      </c>
      <c r="J3825">
        <f>(IF(D3825=0,(2*(D3805+G3805))-(F$5*8),IF(D3825=3,(2*(D3805+G3805))-(F$5*8)+(G3805-2*F$5),IF(D3825=4,(2*(D3805+G3805))-(F$5*8)+2*(G3805-2*F$5)))))/1000</f>
        <v>2.08</v>
      </c>
      <c r="K3825" t="str">
        <v>+</v>
      </c>
      <c r="L3825">
        <f>IF(D3825=0,2*MAX(6*F3825,75),(D3825-1)*2*MAX(6*F3825,75))/1000</f>
        <v>0.156</v>
      </c>
      <c r="M3825" t="str">
        <v>=</v>
      </c>
      <c r="N3825">
        <f>J3825+L3825</f>
        <v>2.236</v>
      </c>
      <c r="T3825" t="str">
        <v>x</v>
      </c>
      <c r="U3825">
        <f>0.006165*F3825^2</f>
        <v>1.041885</v>
      </c>
      <c r="V3825" t="str">
        <v>x</v>
      </c>
      <c r="W3825">
        <f>IF(D3807-MAX(D3807/4,2*G3805)*2&gt;0,ROUND((D3807-MAX(D3807/4,2*G3805)*2)/H3825,0),0)</f>
        <v>9</v>
      </c>
      <c r="X3825" t="str">
        <v>x</v>
      </c>
      <c r="Y3825">
        <f>D3810</f>
        <v>1</v>
      </c>
      <c r="Z3825" t="str">
        <v>=</v>
      </c>
      <c r="AA3825">
        <f>N3825*U3825*W3825*Y3825</f>
        <v>20.966893740000003</v>
      </c>
    </row>
    <row r="3826">
      <c r="A3826" t="str">
        <f>A3804</f>
        <v>Lantai 1</v>
      </c>
      <c r="B3826">
        <f>B3804</f>
        <v>30</v>
      </c>
      <c r="C3826" t="str">
        <v>Sengkang Tumpuan</v>
      </c>
      <c r="D3826">
        <f>VLOOKUP(D3804,'Detail Balok'!$C$10:$AU$110,41,FALSE)</f>
        <v>3</v>
      </c>
      <c r="E3826" t="str">
        <v>D</v>
      </c>
      <c r="F3826">
        <f>VLOOKUP(D3804,'Detail Balok'!$C$10:$AU$110,43,FALSE)</f>
        <v>13</v>
      </c>
      <c r="G3826" t="str">
        <v>-</v>
      </c>
      <c r="H3826">
        <f>VLOOKUP(D3804,'Detail Balok'!$C$10:$AU$110,45,FALSE)</f>
        <v>75</v>
      </c>
      <c r="J3826">
        <f>(IF(D3826=0,(2*(D3805+G3805))-(F$5*8),IF(D3826=3,(2*(D3805+G3805))-(F$5*8)+(G3805-2*F$5),IF(D3826=4,(2*(D3805+G3805))-(F$5*8)+2*(G3805-2*F$5)))))/1000</f>
        <v>2.7</v>
      </c>
      <c r="K3826" t="str">
        <v>+</v>
      </c>
      <c r="L3826">
        <f>IF(D3826=0,2*MAX(6*F3826,75),(D3826-1)*2*MAX(6*F3826,75))/1000</f>
        <v>0.312</v>
      </c>
      <c r="M3826" t="str">
        <v>=</v>
      </c>
      <c r="N3826">
        <f>J3826+L3826</f>
        <v>3.012</v>
      </c>
      <c r="T3826" t="str">
        <v>x</v>
      </c>
      <c r="U3826">
        <f>0.006165*F3826^2</f>
        <v>1.041885</v>
      </c>
      <c r="V3826" t="str">
        <v>x</v>
      </c>
      <c r="W3826">
        <f>IF(D3807&gt;4*G3805,ROUND(MAX(D3807/4,2*G3805)/H3826,0)+1,0)</f>
        <v>20</v>
      </c>
      <c r="X3826" t="str">
        <v>x</v>
      </c>
      <c r="Y3826">
        <f>D3810</f>
        <v>1</v>
      </c>
      <c r="Z3826" t="str">
        <v>=</v>
      </c>
      <c r="AA3826">
        <f>N3826*U3826*W3826*Y3826</f>
        <v>62.763152399999996</v>
      </c>
    </row>
    <row r="3828">
      <c r="A3828" t="str">
        <f>A3804</f>
        <v>Lantai 1</v>
      </c>
      <c r="B3828">
        <f>B3804</f>
        <v>30</v>
      </c>
      <c r="C3828" t="str">
        <v>Kait Horizontal Tump.</v>
      </c>
      <c r="D3828">
        <f>VLOOKUP(D3804,'Detail Balok'!$C$10:$BJ$110,46,FALSE)</f>
        <v>0</v>
      </c>
      <c r="E3828" t="str">
        <v>D</v>
      </c>
      <c r="F3828">
        <f>VLOOKUP(D3804,'Detail Balok'!$C$10:$BJ$110,48,FALSE)</f>
        <v>0</v>
      </c>
      <c r="G3828" t="str">
        <v>-</v>
      </c>
      <c r="H3828">
        <f>VLOOKUP(D3804,'Detail Balok'!$C$10:$BJ$110,50,FALSE)</f>
        <v>100</v>
      </c>
      <c r="J3828">
        <f>(D3805-2*F$5)/1000</f>
        <v>0.42</v>
      </c>
      <c r="K3828" t="str">
        <v>+</v>
      </c>
      <c r="L3828">
        <f>IF(D3828=0,2*MAX(6*F3828,75),(D3828-1)*2*MAX(6*F3828,75))/1000</f>
        <v>0.15</v>
      </c>
      <c r="M3828" t="str">
        <v>=</v>
      </c>
      <c r="N3828">
        <f>J3828+L3828</f>
        <v>0.57</v>
      </c>
      <c r="T3828" t="str">
        <v>x</v>
      </c>
      <c r="U3828">
        <f>0.006165*F3828^2</f>
        <v>0</v>
      </c>
      <c r="V3828" t="str">
        <v>x</v>
      </c>
      <c r="W3828">
        <f>W3824</f>
        <v>20</v>
      </c>
      <c r="X3828" t="str">
        <v>x</v>
      </c>
      <c r="Y3828">
        <f>D3814</f>
        <v>5</v>
      </c>
      <c r="Z3828" t="str">
        <v>=</v>
      </c>
      <c r="AA3828">
        <f>N3828*U3828*W3828*Y3828</f>
        <v>0</v>
      </c>
    </row>
    <row r="3829">
      <c r="A3829" t="str">
        <f>A3804</f>
        <v>Lantai 1</v>
      </c>
      <c r="B3829">
        <f>B3804</f>
        <v>30</v>
      </c>
      <c r="C3829" t="str">
        <v>Kait Horizontal Lap.</v>
      </c>
      <c r="D3829">
        <f>VLOOKUP(D3804,'Detail Balok'!$C$10:$BJ$110,51,FALSE)</f>
        <v>0</v>
      </c>
      <c r="E3829" t="str">
        <v>D</v>
      </c>
      <c r="F3829">
        <f>VLOOKUP(D3804,'Detail Balok'!$C$10:$BJ$110,53,FALSE)</f>
        <v>0</v>
      </c>
      <c r="G3829" t="str">
        <v>-</v>
      </c>
      <c r="H3829">
        <f>VLOOKUP(D3804,'Detail Balok'!$C$10:$BJ$110,55,FALSE)</f>
        <v>100</v>
      </c>
      <c r="J3829">
        <f>(D3805-2*F$5)/1000</f>
        <v>0.42</v>
      </c>
      <c r="K3829" t="str">
        <v>+</v>
      </c>
      <c r="L3829">
        <f>IF(D3829=0,2*MAX(6*F3829,75),(D3829-1)*2*MAX(6*F3829,75))/1000</f>
        <v>0.15</v>
      </c>
      <c r="M3829" t="str">
        <v>=</v>
      </c>
      <c r="N3829">
        <f>J3829+L3829</f>
        <v>0.57</v>
      </c>
      <c r="T3829" t="str">
        <v>x</v>
      </c>
      <c r="U3829">
        <f>0.006165*F3829^2</f>
        <v>0</v>
      </c>
      <c r="V3829" t="str">
        <v>x</v>
      </c>
      <c r="W3829">
        <f>W3825</f>
        <v>9</v>
      </c>
      <c r="X3829" t="str">
        <v>x</v>
      </c>
      <c r="Y3829">
        <f>D3814</f>
        <v>5</v>
      </c>
      <c r="Z3829" t="str">
        <v>=</v>
      </c>
      <c r="AA3829">
        <f>N3829*U3829*W3829*Y3829</f>
        <v>0</v>
      </c>
    </row>
    <row r="3830">
      <c r="A3830" t="str">
        <f>A3804</f>
        <v>Lantai 1</v>
      </c>
      <c r="B3830">
        <f>B3804</f>
        <v>30</v>
      </c>
      <c r="C3830" t="str">
        <v>Kait Horizontal Tump.</v>
      </c>
      <c r="D3830">
        <f>VLOOKUP(D3804,'Detail Balok'!$C$10:$BJ$110,56,FALSE)</f>
        <v>0</v>
      </c>
      <c r="E3830" t="str">
        <v>D</v>
      </c>
      <c r="F3830">
        <f>VLOOKUP(D3804,'Detail Balok'!$C$10:$BJ$110,58,FALSE)</f>
        <v>0</v>
      </c>
      <c r="G3830" t="str">
        <v>-</v>
      </c>
      <c r="H3830">
        <f>VLOOKUP(D3804,'Detail Balok'!$C$10:$BJ$110,60,FALSE)</f>
        <v>100</v>
      </c>
      <c r="J3830">
        <f>(D3805-2*F$5)/1000</f>
        <v>0.42</v>
      </c>
      <c r="K3830" t="str">
        <v>+</v>
      </c>
      <c r="L3830">
        <f>IF(D3830=0,2*MAX(6*F3830,75),(D3830-1)*2*MAX(6*F3830,75))/1000</f>
        <v>0.15</v>
      </c>
      <c r="M3830" t="str">
        <v>=</v>
      </c>
      <c r="N3830">
        <f>J3830+L3830</f>
        <v>0.57</v>
      </c>
      <c r="T3830" t="str">
        <v>x</v>
      </c>
      <c r="U3830">
        <f>0.006165*F3830^2</f>
        <v>0</v>
      </c>
      <c r="V3830" t="str">
        <v>x</v>
      </c>
      <c r="W3830">
        <f>W3826</f>
        <v>20</v>
      </c>
      <c r="X3830" t="str">
        <v>x</v>
      </c>
      <c r="Y3830">
        <f>D3814</f>
        <v>5</v>
      </c>
      <c r="Z3830" t="str">
        <v>=</v>
      </c>
      <c r="AA3830">
        <f>N3830*U3830*W3830*Y3830</f>
        <v>0</v>
      </c>
    </row>
    <row r="3834">
      <c r="A3834" t="str">
        <f>A3804</f>
        <v>Lantai 1</v>
      </c>
      <c r="B3834">
        <f>B3804+1</f>
        <v>31</v>
      </c>
      <c r="C3834" t="str">
        <f>CONCATENATE(A3834," no. ",B3834)</f>
        <v>Lantai 1 no. 31</v>
      </c>
      <c r="D3834" t="str">
        <f>VLOOKUP(C3834,'Data Panjang Balok'!$C$9:$N$424,2,FALSE)</f>
        <v>B67-1</v>
      </c>
    </row>
    <row r="3835">
      <c r="C3835" t="str">
        <v>Dimensi</v>
      </c>
      <c r="D3835">
        <f>VLOOKUP(D3834,'Detail Balok'!$C$10:$AU$110,2,FALSE)</f>
        <v>600</v>
      </c>
      <c r="F3835" t="str">
        <v>x</v>
      </c>
      <c r="G3835">
        <f>VLOOKUP(D3834,'Detail Balok'!$C$10:$AU$110,3,FALSE)</f>
        <v>700</v>
      </c>
    </row>
    <row r="3836">
      <c r="C3836" t="str">
        <v>Panjang as ke as</v>
      </c>
      <c r="D3836">
        <f>VLOOKUP(C3834,'Data Panjang Balok'!$C$9:$N$424,4,FALSE)</f>
        <v>7000</v>
      </c>
    </row>
    <row r="3837">
      <c r="C3837" t="str">
        <v>Panjang netto</v>
      </c>
      <c r="D3837">
        <f>VLOOKUP(C3834,'Data Panjang Balok'!$C$9:$N$424,7,FALSE)</f>
        <v>7000</v>
      </c>
    </row>
    <row r="3838">
      <c r="C3838" t="str">
        <v>Kolom / balok kiri</v>
      </c>
      <c r="D3838">
        <f>VLOOKUP(C3834,'Data Panjang Balok'!$C$9:$N$424,9,FALSE)</f>
        <v>0</v>
      </c>
    </row>
    <row r="3839">
      <c r="C3839" t="str">
        <v>Kolom / balok kanan</v>
      </c>
      <c r="D3839">
        <f>VLOOKUP(C3834,'Data Panjang Balok'!$C$9:$N$424,10,FALSE)</f>
        <v>0</v>
      </c>
    </row>
    <row r="3840">
      <c r="C3840" t="str">
        <v>Jumlah</v>
      </c>
      <c r="D3840">
        <f>VLOOKUP(C3834,'Data Panjang Balok'!$C$9:$N$424,3,FALSE)</f>
        <v>1</v>
      </c>
    </row>
    <row r="3841">
      <c r="A3841" t="str">
        <f>A3834</f>
        <v>Lantai 1</v>
      </c>
      <c r="B3841">
        <f>B3834</f>
        <v>31</v>
      </c>
      <c r="C3841" t="str">
        <v>Tul Atas Tumpuan</v>
      </c>
      <c r="D3841">
        <f>VLOOKUP(D3834,'Detail Balok'!$C$10:$AU$110,4,FALSE)</f>
        <v>6</v>
      </c>
      <c r="E3841" t="str">
        <v>D</v>
      </c>
      <c r="F3841">
        <f>VLOOKUP(D3834,'Detail Balok'!$C$10:$AU$110,6,FALSE)</f>
        <v>22</v>
      </c>
      <c r="I3841" t="str">
        <v>(</v>
      </c>
      <c r="J3841">
        <f>+D3836/4/1000</f>
        <v>1.75</v>
      </c>
      <c r="K3841" t="str">
        <v>+</v>
      </c>
      <c r="L3841">
        <f>MAX(VLOOKUP(F3841,N$6:P$15,3,FALSE)/1000,2/3*D3838/1000)+F$16*F3841/1000</f>
        <v>0.264</v>
      </c>
      <c r="M3841" t="str">
        <v>=</v>
      </c>
      <c r="N3841">
        <f>J3841+L3841</f>
        <v>2.0140000000000002</v>
      </c>
      <c r="O3841" t="str">
        <v>+</v>
      </c>
      <c r="P3841">
        <f>D3841-D3842</f>
        <v>2</v>
      </c>
      <c r="Q3841" t="str">
        <v>x</v>
      </c>
      <c r="R3841">
        <f>IF(P3841&gt;0,$F$18*F3841/1000,0)</f>
        <v>0.33</v>
      </c>
      <c r="S3841" t="str">
        <v>)</v>
      </c>
      <c r="T3841" t="str">
        <v>x</v>
      </c>
      <c r="U3841">
        <f>0.006165*F3841^2</f>
        <v>2.98386</v>
      </c>
      <c r="X3841" t="str">
        <v>x</v>
      </c>
      <c r="Y3841">
        <f>D3840</f>
        <v>1</v>
      </c>
      <c r="Z3841" t="str">
        <v>=</v>
      </c>
      <c r="AA3841">
        <f>IF(AA3844=0,(D3841*N3841+P3841*R3841)*U3841*Y3841,0)</f>
        <v>38.026311840000005</v>
      </c>
    </row>
    <row r="3842">
      <c r="A3842" t="str">
        <f>A3834</f>
        <v>Lantai 1</v>
      </c>
      <c r="B3842">
        <f>B3834</f>
        <v>31</v>
      </c>
      <c r="C3842" t="str">
        <v>Tul Atas Lapangan</v>
      </c>
      <c r="D3842">
        <f>VLOOKUP(D3834,'Detail Balok'!$C$10:$AU$110,7,FALSE)</f>
        <v>4</v>
      </c>
      <c r="E3842" t="str">
        <v>D</v>
      </c>
      <c r="F3842">
        <f>VLOOKUP(D3834,'Detail Balok'!$C$10:$AU$110,9,FALSE)</f>
        <v>22</v>
      </c>
      <c r="I3842" t="str">
        <v>(</v>
      </c>
      <c r="J3842">
        <f>+D3836/2/1000</f>
        <v>3.5</v>
      </c>
      <c r="K3842" t="str">
        <v>+</v>
      </c>
      <c r="M3842" t="str">
        <v>=</v>
      </c>
      <c r="N3842">
        <f>J3842+L3842</f>
        <v>3.5</v>
      </c>
      <c r="O3842" t="str">
        <v>+</v>
      </c>
      <c r="P3842">
        <f>MAX(D3842-D3841,D3842-D3843)</f>
        <v>0</v>
      </c>
      <c r="Q3842" t="str">
        <v>x</v>
      </c>
      <c r="R3842">
        <f>IF(P3842&gt;0,2*(1-2*$F$19-1/2)*D3837/1000,0)</f>
        <v>0</v>
      </c>
      <c r="S3842" t="str">
        <v>)</v>
      </c>
      <c r="T3842" t="str">
        <v>x</v>
      </c>
      <c r="U3842">
        <f>0.006165*F3842^2</f>
        <v>2.98386</v>
      </c>
      <c r="X3842" t="str">
        <v>x</v>
      </c>
      <c r="Y3842">
        <f>D3840</f>
        <v>1</v>
      </c>
      <c r="Z3842" t="str">
        <v>=</v>
      </c>
      <c r="AA3842">
        <f>IF(AA3844=0,(D3842*N3842+P3842*R3842)*U3842*Y3842,0)</f>
        <v>41.77404</v>
      </c>
    </row>
    <row r="3843">
      <c r="A3843" t="str">
        <f>A3834</f>
        <v>Lantai 1</v>
      </c>
      <c r="B3843">
        <f>B3834</f>
        <v>31</v>
      </c>
      <c r="C3843" t="str">
        <v>Tul Atas Tumpuan</v>
      </c>
      <c r="D3843">
        <f>VLOOKUP(D3834,'Detail Balok'!$C$10:$AU$110,10,FALSE)</f>
        <v>4</v>
      </c>
      <c r="E3843" t="str">
        <v>D</v>
      </c>
      <c r="F3843">
        <f>VLOOKUP(D3834,'Detail Balok'!$C$10:$AU$110,12,FALSE)</f>
        <v>22</v>
      </c>
      <c r="I3843" t="str">
        <v>(</v>
      </c>
      <c r="J3843">
        <f>+D3836/4/1000</f>
        <v>1.75</v>
      </c>
      <c r="K3843" t="str">
        <v>+</v>
      </c>
      <c r="L3843">
        <f>MAX(VLOOKUP(F3843,N$6:P$15,3,FALSE)/1000,2/3*D3838/1000)+F$16*F3843/1000</f>
        <v>0.264</v>
      </c>
      <c r="M3843" t="str">
        <v>=</v>
      </c>
      <c r="N3843">
        <f>J3843+L3843</f>
        <v>2.0140000000000002</v>
      </c>
      <c r="O3843" t="str">
        <v>+</v>
      </c>
      <c r="P3843">
        <f>D3843-D3842</f>
        <v>0</v>
      </c>
      <c r="Q3843" t="str">
        <v>x</v>
      </c>
      <c r="R3843">
        <f>IF(P3843&gt;0,$F$18*F3843/1000,0)</f>
        <v>0</v>
      </c>
      <c r="S3843" t="str">
        <v>)</v>
      </c>
      <c r="T3843" t="str">
        <v>x</v>
      </c>
      <c r="U3843">
        <f>0.006165*F3843^2</f>
        <v>2.98386</v>
      </c>
      <c r="X3843" t="str">
        <v>x</v>
      </c>
      <c r="Y3843">
        <f>D3840</f>
        <v>1</v>
      </c>
      <c r="Z3843" t="str">
        <v>=</v>
      </c>
      <c r="AA3843">
        <f>IF(AA3844=0,(D3843*N3843+P3843*R3843)*U3843*Y3843,0)</f>
        <v>24.037976160000003</v>
      </c>
    </row>
    <row r="3844">
      <c r="A3844" t="str">
        <f>A3834</f>
        <v>Lantai 1</v>
      </c>
      <c r="B3844">
        <f>B3834</f>
        <v>31</v>
      </c>
      <c r="D3844">
        <f>IF(AND(D3841=D3842,D3842=D3843,D3841=D3843),D3841,0)</f>
        <v>0</v>
      </c>
      <c r="E3844" t="str">
        <v>D</v>
      </c>
      <c r="F3844">
        <f>IF(AND(F3841=F3842,F3841=F3843,F3842=F3843),F3841,0)</f>
        <v>22</v>
      </c>
      <c r="L3844" t="str">
        <v>Total panjang per balok</v>
      </c>
      <c r="M3844" t="str">
        <v>=</v>
      </c>
      <c r="N3844">
        <f>IF(AND(D3841=D3842,D3841=D3843,D3842=D3843,F3841=F3842,F3841=F3843,F3842=F3843),SUM(N3841:N3843),0)</f>
        <v>0</v>
      </c>
      <c r="O3844" t="str">
        <v>+</v>
      </c>
      <c r="P3844">
        <f>IF(N3844&gt;12,ROUNDDOWN(N3844/12,0),0)</f>
        <v>0</v>
      </c>
      <c r="Q3844" t="str">
        <v>x</v>
      </c>
      <c r="R3844">
        <f>IF(P3844&gt;0,MAX(VLOOKUP(F3844,$D$6:$G$15,3,FALSE),600),0)/1000</f>
        <v>0</v>
      </c>
      <c r="T3844" t="str">
        <v>x</v>
      </c>
      <c r="U3844">
        <f>U3843</f>
        <v>2.98386</v>
      </c>
      <c r="V3844" t="str">
        <v>x</v>
      </c>
      <c r="W3844">
        <f>D3844</f>
        <v>0</v>
      </c>
      <c r="X3844" t="str">
        <v>x</v>
      </c>
      <c r="Y3844">
        <f>Y3843</f>
        <v>1</v>
      </c>
      <c r="Z3844" t="str">
        <v>=</v>
      </c>
      <c r="AA3844">
        <f>(N3844+P3844*R3844/1000)*U3844*W3844*Y3844</f>
        <v>0</v>
      </c>
    </row>
    <row r="3846">
      <c r="A3846" t="str">
        <f>A3834</f>
        <v>Lantai 1</v>
      </c>
      <c r="B3846">
        <f>B3834</f>
        <v>31</v>
      </c>
      <c r="C3846" t="str">
        <v>Tul Peminggang</v>
      </c>
      <c r="D3846">
        <f>VLOOKUP(D3834,'Detail Balok'!$C$10:$AU$110,13,FALSE)</f>
        <v>2</v>
      </c>
      <c r="E3846" t="str">
        <v>D</v>
      </c>
      <c r="F3846">
        <f>VLOOKUP(D3834,'Detail Balok'!$C$10:$AU$110,15,FALSE)</f>
        <v>10</v>
      </c>
      <c r="J3846">
        <f>+D3836/1000</f>
        <v>7</v>
      </c>
      <c r="K3846" t="str">
        <v>+</v>
      </c>
      <c r="L3846">
        <f>2*$F$16*F3846/1000</f>
        <v>0.24</v>
      </c>
      <c r="M3846" t="str">
        <v>=</v>
      </c>
      <c r="N3846">
        <f>J3846+L3846</f>
        <v>7.24</v>
      </c>
      <c r="O3846" t="str">
        <v>+</v>
      </c>
      <c r="P3846">
        <f>IF(N3846&gt;12,ROUNDDOWN(N3846/12,0),0)</f>
        <v>0</v>
      </c>
      <c r="Q3846" t="str">
        <v>x</v>
      </c>
      <c r="R3846">
        <f>IF(P3846&gt;0,MAX(VLOOKUP(F3846,$D$6:$G$15,3,FALSE),600),0)/1000</f>
        <v>0</v>
      </c>
      <c r="T3846" t="str">
        <v>x</v>
      </c>
      <c r="U3846">
        <f>0.006165*F3846^2</f>
        <v>0.6165</v>
      </c>
      <c r="V3846" t="str">
        <v>x</v>
      </c>
      <c r="W3846">
        <f>+D3846</f>
        <v>2</v>
      </c>
      <c r="X3846" t="str">
        <v>x</v>
      </c>
      <c r="Y3846">
        <f>D3840</f>
        <v>1</v>
      </c>
      <c r="Z3846" t="str">
        <v>=</v>
      </c>
      <c r="AA3846">
        <f>(N3846+P3846*R3846/1000)*U3846*W3846*Y3846</f>
        <v>8.92692</v>
      </c>
    </row>
    <row r="3849">
      <c r="A3849" t="str">
        <f>A3834</f>
        <v>Lantai 1</v>
      </c>
      <c r="B3849">
        <f>B3834</f>
        <v>31</v>
      </c>
      <c r="C3849" t="str">
        <v>Tul Bawah Tumpuan</v>
      </c>
      <c r="D3849">
        <f>VLOOKUP(D3834,'Detail Balok'!$C$10:$AU$110,22,FALSE)</f>
        <v>5</v>
      </c>
      <c r="E3849" t="str">
        <v>D</v>
      </c>
      <c r="F3849">
        <f>VLOOKUP(D3834,'Detail Balok'!$C$10:$AU$110,24,FALSE)</f>
        <v>22</v>
      </c>
      <c r="I3849" t="str">
        <v>(</v>
      </c>
      <c r="J3849">
        <f>+J3841</f>
        <v>1.75</v>
      </c>
      <c r="K3849" t="str">
        <v>+</v>
      </c>
      <c r="L3849">
        <f>MAX(VLOOKUP(F3849,N$6:P$15,3,FALSE)/1000,2/3*D3839/1000)+F$16*F3849/1000</f>
        <v>0.264</v>
      </c>
      <c r="M3849" t="str">
        <v>=</v>
      </c>
      <c r="N3849">
        <f>J3849+L3849</f>
        <v>2.0140000000000002</v>
      </c>
      <c r="O3849" t="str">
        <v>+</v>
      </c>
      <c r="P3849">
        <f>D3849-D3850</f>
        <v>-4</v>
      </c>
      <c r="Q3849" t="str">
        <v>x</v>
      </c>
      <c r="R3849">
        <f>IF(P3849&gt;0,$F$18*F3849/1000,0)</f>
        <v>0</v>
      </c>
      <c r="S3849" t="str">
        <v>)</v>
      </c>
      <c r="T3849" t="str">
        <v>x</v>
      </c>
      <c r="U3849">
        <f>0.006165*F3849^2</f>
        <v>2.98386</v>
      </c>
      <c r="X3849" t="str">
        <v>x</v>
      </c>
      <c r="Y3849">
        <f>D3840</f>
        <v>1</v>
      </c>
      <c r="Z3849" t="str">
        <v>=</v>
      </c>
      <c r="AA3849">
        <f>IF(AA3852=0,(D3849*N3849+P3849*R3849)*U3849*Y3849,0)</f>
        <v>30.0474702</v>
      </c>
    </row>
    <row r="3850">
      <c r="A3850" t="str">
        <f>A3834</f>
        <v>Lantai 1</v>
      </c>
      <c r="B3850">
        <f>B3834</f>
        <v>31</v>
      </c>
      <c r="C3850" t="str">
        <v>Tul Bawah Lapangan</v>
      </c>
      <c r="D3850">
        <f>VLOOKUP(D3834,'Detail Balok'!$C$10:$AU$110,25,FALSE)</f>
        <v>9</v>
      </c>
      <c r="E3850" t="str">
        <v>D</v>
      </c>
      <c r="F3850">
        <f>VLOOKUP(D3834,'Detail Balok'!$C$10:$AU$110,27,FALSE)</f>
        <v>22</v>
      </c>
      <c r="I3850" t="str">
        <v>(</v>
      </c>
      <c r="J3850">
        <f>+J3842</f>
        <v>3.5</v>
      </c>
      <c r="K3850" t="str">
        <v>+</v>
      </c>
      <c r="M3850" t="str">
        <v>=</v>
      </c>
      <c r="N3850">
        <f>J3850+L3850</f>
        <v>3.5</v>
      </c>
      <c r="O3850" t="str">
        <v>+</v>
      </c>
      <c r="P3850">
        <f>MAX(D3850-D3849,D3850-D3851)</f>
        <v>4</v>
      </c>
      <c r="Q3850" t="str">
        <v>x</v>
      </c>
      <c r="R3850">
        <f>IF(P3850&gt;0,2*(1-2*$F$19-1/2)*D3837/1000,0)</f>
        <v>1.3999999999999997</v>
      </c>
      <c r="S3850" t="str">
        <v>)</v>
      </c>
      <c r="T3850" t="str">
        <v>x</v>
      </c>
      <c r="U3850">
        <f>0.006165*F3850^2</f>
        <v>2.98386</v>
      </c>
      <c r="X3850" t="str">
        <v>x</v>
      </c>
      <c r="Y3850">
        <f>D3840</f>
        <v>1</v>
      </c>
      <c r="Z3850" t="str">
        <v>=</v>
      </c>
      <c r="AA3850">
        <f>IF(AA3852=0,(D3850*N3850+P3850*R3850)*U3850*Y3850,0)</f>
        <v>110.701206</v>
      </c>
    </row>
    <row r="3851">
      <c r="A3851" t="str">
        <f>A3834</f>
        <v>Lantai 1</v>
      </c>
      <c r="B3851">
        <f>B3834</f>
        <v>31</v>
      </c>
      <c r="C3851" t="str">
        <v>Tul Bawah Tumpuan</v>
      </c>
      <c r="D3851">
        <f>VLOOKUP(D3834,'Detail Balok'!$C$10:$AU$110,28,FALSE)</f>
        <v>5</v>
      </c>
      <c r="E3851" t="str">
        <v>D</v>
      </c>
      <c r="F3851">
        <f>VLOOKUP(D3834,'Detail Balok'!$C$10:$AU$110,30,FALSE)</f>
        <v>22</v>
      </c>
      <c r="I3851" t="str">
        <v>(</v>
      </c>
      <c r="J3851">
        <f>+J3843</f>
        <v>1.75</v>
      </c>
      <c r="K3851" t="str">
        <v>+</v>
      </c>
      <c r="L3851">
        <f>MAX(VLOOKUP(F3851,N$6:P$15,3,FALSE)/1000,2/3*D3839/1000)+F$16*F3851/1000</f>
        <v>0.264</v>
      </c>
      <c r="M3851" t="str">
        <v>=</v>
      </c>
      <c r="N3851">
        <f>J3851+L3851</f>
        <v>2.0140000000000002</v>
      </c>
      <c r="O3851" t="str">
        <v>+</v>
      </c>
      <c r="P3851">
        <f>D3851-D3850</f>
        <v>-4</v>
      </c>
      <c r="Q3851" t="str">
        <v>x</v>
      </c>
      <c r="R3851">
        <f>IF(P3851&gt;0,$F$18*F3851/1000,0)</f>
        <v>0</v>
      </c>
      <c r="S3851" t="str">
        <v>)</v>
      </c>
      <c r="T3851" t="str">
        <v>x</v>
      </c>
      <c r="U3851">
        <f>0.006165*F3851^2</f>
        <v>2.98386</v>
      </c>
      <c r="X3851" t="str">
        <v>x</v>
      </c>
      <c r="Y3851">
        <f>D3840</f>
        <v>1</v>
      </c>
      <c r="Z3851" t="str">
        <v>=</v>
      </c>
      <c r="AA3851">
        <f>IF(AA3852=0,(D3851*N3851+P3851*R3851)*U3851*Y3851,0)</f>
        <v>30.0474702</v>
      </c>
    </row>
    <row r="3852">
      <c r="A3852" t="str">
        <f>A3834</f>
        <v>Lantai 1</v>
      </c>
      <c r="B3852">
        <f>B3834</f>
        <v>31</v>
      </c>
      <c r="D3852">
        <f>IF(AND(D3849=D3850,D3850=D3851,D3849=D3851),D3849,0)</f>
        <v>0</v>
      </c>
      <c r="E3852" t="str">
        <v>D</v>
      </c>
      <c r="F3852">
        <f>IF(AND(F3849=F3850,F3849=F3851,F3850=F3851),F3849,0)</f>
        <v>22</v>
      </c>
      <c r="L3852" t="str">
        <v>Total panjang per balok</v>
      </c>
      <c r="M3852" t="str">
        <v>=</v>
      </c>
      <c r="N3852">
        <f>IF(AND(D3849=D3850,D3849=D3851,D3850=D3851,F3849=F3850,F3849=F3851,F3850=F3851),SUM(N3849:N3851),0)</f>
        <v>0</v>
      </c>
      <c r="O3852" t="str">
        <v>+</v>
      </c>
      <c r="P3852">
        <f>IF(N3852&gt;12,ROUNDDOWN(N3852/12,0),0)</f>
        <v>0</v>
      </c>
      <c r="Q3852" t="str">
        <v>x</v>
      </c>
      <c r="R3852">
        <f>IF(P3852&gt;0,MAX(VLOOKUP(F3852,$D$6:$G$15,3,FALSE),600),0)/1000</f>
        <v>0</v>
      </c>
      <c r="T3852" t="str">
        <v>x</v>
      </c>
      <c r="U3852">
        <f>U3851</f>
        <v>2.98386</v>
      </c>
      <c r="V3852" t="str">
        <v>x</v>
      </c>
      <c r="W3852">
        <f>D3852</f>
        <v>0</v>
      </c>
      <c r="X3852" t="str">
        <v>x</v>
      </c>
      <c r="Y3852">
        <f>Y3851</f>
        <v>1</v>
      </c>
      <c r="Z3852" t="str">
        <v>=</v>
      </c>
      <c r="AA3852">
        <f>(N3852+P3852*R3852/1000)*U3852*W3852*Y3852</f>
        <v>0</v>
      </c>
    </row>
    <row r="3854">
      <c r="A3854" t="str">
        <f>A3834</f>
        <v>Lantai 1</v>
      </c>
      <c r="B3854">
        <f>B3834</f>
        <v>31</v>
      </c>
      <c r="C3854" t="str">
        <v>Sengkang Tumpuan</v>
      </c>
      <c r="D3854">
        <f>VLOOKUP(D3834,'Detail Balok'!$C$10:$AU$110,31,FALSE)</f>
        <v>3</v>
      </c>
      <c r="E3854" t="str">
        <v>D</v>
      </c>
      <c r="F3854">
        <f>VLOOKUP(D3834,'Detail Balok'!$C$10:$AU$110,33,FALSE)</f>
        <v>13</v>
      </c>
      <c r="G3854" t="str">
        <v>-</v>
      </c>
      <c r="H3854">
        <f>VLOOKUP(D3834,'Detail Balok'!$C$10:$AU$110,35,FALSE)</f>
        <v>80</v>
      </c>
      <c r="J3854">
        <f>(IF(D3854=0,(2*(D3835+G3835))-(F$5*8),IF(D3854=3,(2*(D3835+G3835))-(F$5*8)+(G3835-2*F$5),IF(D3854=4,(2*(D3835+G3835))-(F$5*8)+2*(G3835-2*F$5)))))/1000</f>
        <v>2.9</v>
      </c>
      <c r="K3854" t="str">
        <v>+</v>
      </c>
      <c r="L3854">
        <f>IF(D3854=0,2*MAX(6*F3854,75),(D3854-1)*2*MAX(6*F3854,75))/1000</f>
        <v>0.312</v>
      </c>
      <c r="M3854" t="str">
        <v>=</v>
      </c>
      <c r="N3854">
        <f>J3854+L3854</f>
        <v>3.2119999999999997</v>
      </c>
      <c r="T3854" t="str">
        <v>x</v>
      </c>
      <c r="U3854">
        <f>0.006165*F3854^2</f>
        <v>1.041885</v>
      </c>
      <c r="V3854" t="str">
        <v>x</v>
      </c>
      <c r="W3854">
        <f>IF(D3837&gt;4*G3835,ROUND(MAX(D3837/4,2*G3835)/H3854,0)+1,ROUND(D3837/H3854,0)+1)</f>
        <v>23</v>
      </c>
      <c r="X3854" t="str">
        <v>x</v>
      </c>
      <c r="Y3854">
        <f>D3840</f>
        <v>1</v>
      </c>
      <c r="Z3854" t="str">
        <v>=</v>
      </c>
      <c r="AA3854">
        <f>N3854*U3854*W3854*Y3854</f>
        <v>76.97029625999998</v>
      </c>
    </row>
    <row r="3855">
      <c r="A3855" t="str">
        <f>A3834</f>
        <v>Lantai 1</v>
      </c>
      <c r="B3855">
        <f>B3834</f>
        <v>31</v>
      </c>
      <c r="C3855" t="str">
        <v>Sengkang Lapangan</v>
      </c>
      <c r="D3855">
        <f>VLOOKUP(D3834,'Detail Balok'!$C$10:$AU$110,36,FALSE)</f>
        <v>0</v>
      </c>
      <c r="E3855" t="str">
        <v>D</v>
      </c>
      <c r="F3855">
        <f>VLOOKUP(D3834,'Detail Balok'!$C$10:$AU$110,38,FALSE)</f>
        <v>13</v>
      </c>
      <c r="G3855" t="str">
        <v>-</v>
      </c>
      <c r="H3855">
        <f>VLOOKUP(D3834,'Detail Balok'!$C$10:$AU$110,40,FALSE)</f>
        <v>150</v>
      </c>
      <c r="J3855">
        <f>(IF(D3855=0,(2*(D3835+G3835))-(F$5*8),IF(D3855=3,(2*(D3835+G3835))-(F$5*8)+(G3835-2*F$5),IF(D3855=4,(2*(D3835+G3835))-(F$5*8)+2*(G3835-2*F$5)))))/1000</f>
        <v>2.28</v>
      </c>
      <c r="K3855" t="str">
        <v>+</v>
      </c>
      <c r="L3855">
        <f>IF(D3855=0,2*MAX(6*F3855,75),(D3855-1)*2*MAX(6*F3855,75))/1000</f>
        <v>0.156</v>
      </c>
      <c r="M3855" t="str">
        <v>=</v>
      </c>
      <c r="N3855">
        <f>J3855+L3855</f>
        <v>2.436</v>
      </c>
      <c r="T3855" t="str">
        <v>x</v>
      </c>
      <c r="U3855">
        <f>0.006165*F3855^2</f>
        <v>1.041885</v>
      </c>
      <c r="V3855" t="str">
        <v>x</v>
      </c>
      <c r="W3855">
        <f>IF(D3837-MAX(D3837/4,2*G3835)*2&gt;0,ROUND((D3837-MAX(D3837/4,2*G3835)*2)/H3855,0),0)</f>
        <v>23</v>
      </c>
      <c r="X3855" t="str">
        <v>x</v>
      </c>
      <c r="Y3855">
        <f>D3840</f>
        <v>1</v>
      </c>
      <c r="Z3855" t="str">
        <v>=</v>
      </c>
      <c r="AA3855">
        <f>N3855*U3855*W3855*Y3855</f>
        <v>58.374732779999995</v>
      </c>
    </row>
    <row r="3856">
      <c r="A3856" t="str">
        <f>A3834</f>
        <v>Lantai 1</v>
      </c>
      <c r="B3856">
        <f>B3834</f>
        <v>31</v>
      </c>
      <c r="C3856" t="str">
        <v>Sengkang Tumpuan</v>
      </c>
      <c r="D3856">
        <f>VLOOKUP(D3834,'Detail Balok'!$C$10:$AU$110,41,FALSE)</f>
        <v>3</v>
      </c>
      <c r="E3856" t="str">
        <v>D</v>
      </c>
      <c r="F3856">
        <f>VLOOKUP(D3834,'Detail Balok'!$C$10:$AU$110,43,FALSE)</f>
        <v>13</v>
      </c>
      <c r="G3856" t="str">
        <v>-</v>
      </c>
      <c r="H3856">
        <f>VLOOKUP(D3834,'Detail Balok'!$C$10:$AU$110,45,FALSE)</f>
        <v>80</v>
      </c>
      <c r="J3856">
        <f>(IF(D3856=0,(2*(D3835+G3835))-(F$5*8),IF(D3856=3,(2*(D3835+G3835))-(F$5*8)+(G3835-2*F$5),IF(D3856=4,(2*(D3835+G3835))-(F$5*8)+2*(G3835-2*F$5)))))/1000</f>
        <v>2.9</v>
      </c>
      <c r="K3856" t="str">
        <v>+</v>
      </c>
      <c r="L3856">
        <f>IF(D3856=0,2*MAX(6*F3856,75),(D3856-1)*2*MAX(6*F3856,75))/1000</f>
        <v>0.312</v>
      </c>
      <c r="M3856" t="str">
        <v>=</v>
      </c>
      <c r="N3856">
        <f>J3856+L3856</f>
        <v>3.2119999999999997</v>
      </c>
      <c r="T3856" t="str">
        <v>x</v>
      </c>
      <c r="U3856">
        <f>0.006165*F3856^2</f>
        <v>1.041885</v>
      </c>
      <c r="V3856" t="str">
        <v>x</v>
      </c>
      <c r="W3856">
        <f>IF(D3837&gt;4*G3835,ROUND(MAX(D3837/4,2*G3835)/H3856,0)+1,0)</f>
        <v>23</v>
      </c>
      <c r="X3856" t="str">
        <v>x</v>
      </c>
      <c r="Y3856">
        <f>D3840</f>
        <v>1</v>
      </c>
      <c r="Z3856" t="str">
        <v>=</v>
      </c>
      <c r="AA3856">
        <f>N3856*U3856*W3856*Y3856</f>
        <v>76.97029625999998</v>
      </c>
    </row>
    <row r="3858">
      <c r="A3858" t="str">
        <f>A3834</f>
        <v>Lantai 1</v>
      </c>
      <c r="B3858">
        <f>B3834</f>
        <v>31</v>
      </c>
      <c r="C3858" t="str">
        <v>Kait Horizontal Tump.</v>
      </c>
      <c r="D3858">
        <f>VLOOKUP(D3834,'Detail Balok'!$C$10:$BJ$110,46,FALSE)</f>
        <v>0</v>
      </c>
      <c r="E3858" t="str">
        <v>D</v>
      </c>
      <c r="F3858">
        <f>VLOOKUP(D3834,'Detail Balok'!$C$10:$BJ$110,48,FALSE)</f>
        <v>0</v>
      </c>
      <c r="G3858" t="str">
        <v>-</v>
      </c>
      <c r="H3858">
        <f>VLOOKUP(D3834,'Detail Balok'!$C$10:$BJ$110,50,FALSE)</f>
        <v>100</v>
      </c>
      <c r="J3858">
        <f>(D3835-2*F$5)/1000</f>
        <v>0.52</v>
      </c>
      <c r="K3858" t="str">
        <v>+</v>
      </c>
      <c r="L3858">
        <f>IF(D3858=0,2*MAX(6*F3858,75),(D3858-1)*2*MAX(6*F3858,75))/1000</f>
        <v>0.15</v>
      </c>
      <c r="M3858" t="str">
        <v>=</v>
      </c>
      <c r="N3858">
        <f>J3858+L3858</f>
        <v>0.67</v>
      </c>
      <c r="T3858" t="str">
        <v>x</v>
      </c>
      <c r="U3858">
        <f>0.006165*F3858^2</f>
        <v>0</v>
      </c>
      <c r="V3858" t="str">
        <v>x</v>
      </c>
      <c r="W3858">
        <f>W3854</f>
        <v>23</v>
      </c>
      <c r="X3858" t="str">
        <v>x</v>
      </c>
      <c r="Y3858">
        <f>D3844</f>
        <v>0</v>
      </c>
      <c r="Z3858" t="str">
        <v>=</v>
      </c>
      <c r="AA3858">
        <f>N3858*U3858*W3858*Y3858</f>
        <v>0</v>
      </c>
    </row>
    <row r="3859">
      <c r="A3859" t="str">
        <f>A3834</f>
        <v>Lantai 1</v>
      </c>
      <c r="B3859">
        <f>B3834</f>
        <v>31</v>
      </c>
      <c r="C3859" t="str">
        <v>Kait Horizontal Lap.</v>
      </c>
      <c r="D3859">
        <f>VLOOKUP(D3834,'Detail Balok'!$C$10:$BJ$110,51,FALSE)</f>
        <v>0</v>
      </c>
      <c r="E3859" t="str">
        <v>D</v>
      </c>
      <c r="F3859">
        <f>VLOOKUP(D3834,'Detail Balok'!$C$10:$BJ$110,53,FALSE)</f>
        <v>0</v>
      </c>
      <c r="G3859" t="str">
        <v>-</v>
      </c>
      <c r="H3859">
        <f>VLOOKUP(D3834,'Detail Balok'!$C$10:$BJ$110,55,FALSE)</f>
        <v>100</v>
      </c>
      <c r="J3859">
        <f>(D3835-2*F$5)/1000</f>
        <v>0.52</v>
      </c>
      <c r="K3859" t="str">
        <v>+</v>
      </c>
      <c r="L3859">
        <f>IF(D3859=0,2*MAX(6*F3859,75),(D3859-1)*2*MAX(6*F3859,75))/1000</f>
        <v>0.15</v>
      </c>
      <c r="M3859" t="str">
        <v>=</v>
      </c>
      <c r="N3859">
        <f>J3859+L3859</f>
        <v>0.67</v>
      </c>
      <c r="T3859" t="str">
        <v>x</v>
      </c>
      <c r="U3859">
        <f>0.006165*F3859^2</f>
        <v>0</v>
      </c>
      <c r="V3859" t="str">
        <v>x</v>
      </c>
      <c r="W3859">
        <f>W3855</f>
        <v>23</v>
      </c>
      <c r="X3859" t="str">
        <v>x</v>
      </c>
      <c r="Y3859">
        <f>D3844</f>
        <v>0</v>
      </c>
      <c r="Z3859" t="str">
        <v>=</v>
      </c>
      <c r="AA3859">
        <f>N3859*U3859*W3859*Y3859</f>
        <v>0</v>
      </c>
    </row>
    <row r="3860">
      <c r="A3860" t="str">
        <f>A3834</f>
        <v>Lantai 1</v>
      </c>
      <c r="B3860">
        <f>B3834</f>
        <v>31</v>
      </c>
      <c r="C3860" t="str">
        <v>Kait Horizontal Tump.</v>
      </c>
      <c r="D3860">
        <f>VLOOKUP(D3834,'Detail Balok'!$C$10:$BJ$110,56,FALSE)</f>
        <v>0</v>
      </c>
      <c r="E3860" t="str">
        <v>D</v>
      </c>
      <c r="F3860">
        <f>VLOOKUP(D3834,'Detail Balok'!$C$10:$BJ$110,58,FALSE)</f>
        <v>0</v>
      </c>
      <c r="G3860" t="str">
        <v>-</v>
      </c>
      <c r="H3860">
        <f>VLOOKUP(D3834,'Detail Balok'!$C$10:$BJ$110,60,FALSE)</f>
        <v>100</v>
      </c>
      <c r="J3860">
        <f>(D3835-2*F$5)/1000</f>
        <v>0.52</v>
      </c>
      <c r="K3860" t="str">
        <v>+</v>
      </c>
      <c r="L3860">
        <f>IF(D3860=0,2*MAX(6*F3860,75),(D3860-1)*2*MAX(6*F3860,75))/1000</f>
        <v>0.15</v>
      </c>
      <c r="M3860" t="str">
        <v>=</v>
      </c>
      <c r="N3860">
        <f>J3860+L3860</f>
        <v>0.67</v>
      </c>
      <c r="T3860" t="str">
        <v>x</v>
      </c>
      <c r="U3860">
        <f>0.006165*F3860^2</f>
        <v>0</v>
      </c>
      <c r="V3860" t="str">
        <v>x</v>
      </c>
      <c r="W3860">
        <f>W3856</f>
        <v>23</v>
      </c>
      <c r="X3860" t="str">
        <v>x</v>
      </c>
      <c r="Y3860">
        <f>D3844</f>
        <v>0</v>
      </c>
      <c r="Z3860" t="str">
        <v>=</v>
      </c>
      <c r="AA3860">
        <f>N3860*U3860*W3860*Y3860</f>
        <v>0</v>
      </c>
    </row>
    <row r="3864">
      <c r="A3864" t="str">
        <f>A3834</f>
        <v>Lantai 1</v>
      </c>
      <c r="B3864">
        <f>B3834+1</f>
        <v>32</v>
      </c>
      <c r="C3864" t="str">
        <f>CONCATENATE(A3864," no. ",B3864)</f>
        <v>Lantai 1 no. 32</v>
      </c>
      <c r="D3864" t="str">
        <f>VLOOKUP(C3864,'Data Panjang Balok'!$C$9:$N$424,2,FALSE)</f>
        <v>BB</v>
      </c>
    </row>
    <row r="3865">
      <c r="C3865" t="str">
        <v>Dimensi</v>
      </c>
      <c r="D3865">
        <f>VLOOKUP(D3864,'Detail Balok'!$C$10:$AU$110,2,FALSE)</f>
        <v>200</v>
      </c>
      <c r="F3865" t="str">
        <v>x</v>
      </c>
      <c r="G3865">
        <f>VLOOKUP(D3864,'Detail Balok'!$C$10:$AU$110,3,FALSE)</f>
        <v>150</v>
      </c>
    </row>
    <row r="3866">
      <c r="C3866" t="str">
        <v>Panjang as ke as</v>
      </c>
      <c r="D3866">
        <f>VLOOKUP(C3864,'Data Panjang Balok'!$C$9:$N$424,4,FALSE)</f>
        <v>3200</v>
      </c>
    </row>
    <row r="3867">
      <c r="C3867" t="str">
        <v>Panjang netto</v>
      </c>
      <c r="D3867">
        <f>VLOOKUP(C3864,'Data Panjang Balok'!$C$9:$N$424,7,FALSE)</f>
        <v>3200</v>
      </c>
    </row>
    <row r="3868">
      <c r="C3868" t="str">
        <v>Kolom / balok kiri</v>
      </c>
      <c r="D3868">
        <f>VLOOKUP(C3864,'Data Panjang Balok'!$C$9:$N$424,9,FALSE)</f>
        <v>0</v>
      </c>
    </row>
    <row r="3869">
      <c r="C3869" t="str">
        <v>Kolom / balok kanan</v>
      </c>
      <c r="D3869">
        <f>VLOOKUP(C3864,'Data Panjang Balok'!$C$9:$N$424,10,FALSE)</f>
        <v>0</v>
      </c>
    </row>
    <row r="3870">
      <c r="C3870" t="str">
        <v>Jumlah</v>
      </c>
      <c r="D3870">
        <f>VLOOKUP(C3864,'Data Panjang Balok'!$C$9:$N$424,3,FALSE)</f>
        <v>1</v>
      </c>
    </row>
    <row r="3871">
      <c r="A3871" t="str">
        <f>A3864</f>
        <v>Lantai 1</v>
      </c>
      <c r="B3871">
        <f>B3864</f>
        <v>32</v>
      </c>
      <c r="C3871" t="str">
        <v>Tul Atas Tumpuan</v>
      </c>
      <c r="D3871">
        <f>VLOOKUP(D3864,'Detail Balok'!$C$10:$AU$110,4,FALSE)</f>
        <v>2</v>
      </c>
      <c r="E3871" t="str">
        <v>D</v>
      </c>
      <c r="F3871">
        <f>VLOOKUP(D3864,'Detail Balok'!$C$10:$AU$110,6,FALSE)</f>
        <v>10</v>
      </c>
      <c r="I3871" t="str">
        <v>(</v>
      </c>
      <c r="J3871">
        <f>+D3866/4/1000</f>
        <v>0.8</v>
      </c>
      <c r="K3871" t="str">
        <v>+</v>
      </c>
      <c r="L3871">
        <f>MAX(VLOOKUP(F3871,N$6:P$15,3,FALSE)/1000,2/3*D3868/1000)+F$16*F3871/1000</f>
        <v>0.12</v>
      </c>
      <c r="M3871" t="str">
        <v>=</v>
      </c>
      <c r="N3871">
        <f>J3871+L3871</f>
        <v>0.92</v>
      </c>
      <c r="O3871" t="str">
        <v>+</v>
      </c>
      <c r="P3871">
        <f>D3871-D3872</f>
        <v>0</v>
      </c>
      <c r="Q3871" t="str">
        <v>x</v>
      </c>
      <c r="R3871">
        <f>IF(P3871&gt;0,$F$18*F3871/1000,0)</f>
        <v>0</v>
      </c>
      <c r="S3871" t="str">
        <v>)</v>
      </c>
      <c r="T3871" t="str">
        <v>x</v>
      </c>
      <c r="U3871">
        <f>0.006165*F3871^2</f>
        <v>0.6165</v>
      </c>
      <c r="X3871" t="str">
        <v>x</v>
      </c>
      <c r="Y3871">
        <f>D3870</f>
        <v>1</v>
      </c>
      <c r="Z3871" t="str">
        <v>=</v>
      </c>
      <c r="AA3871">
        <f>IF(AA3874=0,(D3871*N3871+P3871*R3871)*U3871*Y3871,0)</f>
        <v>0</v>
      </c>
    </row>
    <row r="3872">
      <c r="A3872" t="str">
        <f>A3864</f>
        <v>Lantai 1</v>
      </c>
      <c r="B3872">
        <f>B3864</f>
        <v>32</v>
      </c>
      <c r="C3872" t="str">
        <v>Tul Atas Lapangan</v>
      </c>
      <c r="D3872">
        <f>VLOOKUP(D3864,'Detail Balok'!$C$10:$AU$110,7,FALSE)</f>
        <v>2</v>
      </c>
      <c r="E3872" t="str">
        <v>D</v>
      </c>
      <c r="F3872">
        <f>VLOOKUP(D3864,'Detail Balok'!$C$10:$AU$110,9,FALSE)</f>
        <v>10</v>
      </c>
      <c r="I3872" t="str">
        <v>(</v>
      </c>
      <c r="J3872">
        <f>+D3866/2/1000</f>
        <v>1.6</v>
      </c>
      <c r="K3872" t="str">
        <v>+</v>
      </c>
      <c r="M3872" t="str">
        <v>=</v>
      </c>
      <c r="N3872">
        <f>J3872+L3872</f>
        <v>1.6</v>
      </c>
      <c r="O3872" t="str">
        <v>+</v>
      </c>
      <c r="P3872">
        <f>MAX(D3872-D3871,D3872-D3873)</f>
        <v>0</v>
      </c>
      <c r="Q3872" t="str">
        <v>x</v>
      </c>
      <c r="R3872">
        <f>IF(P3872&gt;0,2*(1-2*$F$19-1/2)*D3867/1000,0)</f>
        <v>0</v>
      </c>
      <c r="S3872" t="str">
        <v>)</v>
      </c>
      <c r="T3872" t="str">
        <v>x</v>
      </c>
      <c r="U3872">
        <f>0.006165*F3872^2</f>
        <v>0.6165</v>
      </c>
      <c r="X3872" t="str">
        <v>x</v>
      </c>
      <c r="Y3872">
        <f>D3870</f>
        <v>1</v>
      </c>
      <c r="Z3872" t="str">
        <v>=</v>
      </c>
      <c r="AA3872">
        <f>IF(AA3874=0,(D3872*N3872+P3872*R3872)*U3872*Y3872,0)</f>
        <v>0</v>
      </c>
    </row>
    <row r="3873">
      <c r="A3873" t="str">
        <f>A3864</f>
        <v>Lantai 1</v>
      </c>
      <c r="B3873">
        <f>B3864</f>
        <v>32</v>
      </c>
      <c r="C3873" t="str">
        <v>Tul Atas Tumpuan</v>
      </c>
      <c r="D3873">
        <f>VLOOKUP(D3864,'Detail Balok'!$C$10:$AU$110,10,FALSE)</f>
        <v>2</v>
      </c>
      <c r="E3873" t="str">
        <v>D</v>
      </c>
      <c r="F3873">
        <f>VLOOKUP(D3864,'Detail Balok'!$C$10:$AU$110,12,FALSE)</f>
        <v>10</v>
      </c>
      <c r="I3873" t="str">
        <v>(</v>
      </c>
      <c r="J3873">
        <f>+D3866/4/1000</f>
        <v>0.8</v>
      </c>
      <c r="K3873" t="str">
        <v>+</v>
      </c>
      <c r="L3873">
        <f>MAX(VLOOKUP(F3873,N$6:P$15,3,FALSE)/1000,2/3*D3868/1000)+F$16*F3873/1000</f>
        <v>0.12</v>
      </c>
      <c r="M3873" t="str">
        <v>=</v>
      </c>
      <c r="N3873">
        <f>J3873+L3873</f>
        <v>0.92</v>
      </c>
      <c r="O3873" t="str">
        <v>+</v>
      </c>
      <c r="P3873">
        <f>D3873-D3872</f>
        <v>0</v>
      </c>
      <c r="Q3873" t="str">
        <v>x</v>
      </c>
      <c r="R3873">
        <f>IF(P3873&gt;0,$F$18*F3873/1000,0)</f>
        <v>0</v>
      </c>
      <c r="S3873" t="str">
        <v>)</v>
      </c>
      <c r="T3873" t="str">
        <v>x</v>
      </c>
      <c r="U3873">
        <f>0.006165*F3873^2</f>
        <v>0.6165</v>
      </c>
      <c r="X3873" t="str">
        <v>x</v>
      </c>
      <c r="Y3873">
        <f>D3870</f>
        <v>1</v>
      </c>
      <c r="Z3873" t="str">
        <v>=</v>
      </c>
      <c r="AA3873">
        <f>IF(AA3874=0,(D3873*N3873+P3873*R3873)*U3873*Y3873,0)</f>
        <v>0</v>
      </c>
    </row>
    <row r="3874">
      <c r="A3874" t="str">
        <f>A3864</f>
        <v>Lantai 1</v>
      </c>
      <c r="B3874">
        <f>B3864</f>
        <v>32</v>
      </c>
      <c r="D3874">
        <f>IF(AND(D3871=D3872,D3872=D3873,D3871=D3873),D3871,0)</f>
        <v>2</v>
      </c>
      <c r="E3874" t="str">
        <v>D</v>
      </c>
      <c r="F3874">
        <f>IF(AND(F3871=F3872,F3871=F3873,F3872=F3873),F3871,0)</f>
        <v>10</v>
      </c>
      <c r="L3874" t="str">
        <v>Total panjang per balok</v>
      </c>
      <c r="M3874" t="str">
        <v>=</v>
      </c>
      <c r="N3874">
        <f>IF(AND(D3871=D3872,D3871=D3873,D3872=D3873,F3871=F3872,F3871=F3873,F3872=F3873),SUM(N3871:N3873),0)</f>
        <v>3.44</v>
      </c>
      <c r="O3874" t="str">
        <v>+</v>
      </c>
      <c r="P3874">
        <f>IF(N3874&gt;12,ROUNDDOWN(N3874/12,0),0)</f>
        <v>0</v>
      </c>
      <c r="Q3874" t="str">
        <v>x</v>
      </c>
      <c r="R3874">
        <f>IF(P3874&gt;0,MAX(VLOOKUP(F3874,$D$6:$G$15,3,FALSE),600),0)/1000</f>
        <v>0</v>
      </c>
      <c r="T3874" t="str">
        <v>x</v>
      </c>
      <c r="U3874">
        <f>U3873</f>
        <v>0.6165</v>
      </c>
      <c r="V3874" t="str">
        <v>x</v>
      </c>
      <c r="W3874">
        <f>D3874</f>
        <v>2</v>
      </c>
      <c r="X3874" t="str">
        <v>x</v>
      </c>
      <c r="Y3874">
        <f>Y3873</f>
        <v>1</v>
      </c>
      <c r="Z3874" t="str">
        <v>=</v>
      </c>
      <c r="AA3874">
        <f>(N3874+P3874*R3874/1000)*U3874*W3874*Y3874</f>
        <v>4.24152</v>
      </c>
    </row>
    <row r="3876">
      <c r="A3876" t="str">
        <f>A3864</f>
        <v>Lantai 1</v>
      </c>
      <c r="B3876">
        <f>B3864</f>
        <v>32</v>
      </c>
      <c r="C3876" t="str">
        <v>Tul Peminggang</v>
      </c>
      <c r="D3876">
        <f>VLOOKUP(D3864,'Detail Balok'!$C$10:$AU$110,13,FALSE)</f>
        <v>0</v>
      </c>
      <c r="E3876" t="str">
        <v>D</v>
      </c>
      <c r="F3876">
        <f>VLOOKUP(D3864,'Detail Balok'!$C$10:$AU$110,15,FALSE)</f>
        <v>6</v>
      </c>
      <c r="J3876">
        <f>+D3866/1000</f>
        <v>3.2</v>
      </c>
      <c r="K3876" t="str">
        <v>+</v>
      </c>
      <c r="L3876">
        <f>2*$F$16*F3876/1000</f>
        <v>0.144</v>
      </c>
      <c r="M3876" t="str">
        <v>=</v>
      </c>
      <c r="N3876">
        <f>J3876+L3876</f>
        <v>3.3440000000000003</v>
      </c>
      <c r="O3876" t="str">
        <v>+</v>
      </c>
      <c r="P3876">
        <f>IF(N3876&gt;12,ROUNDDOWN(N3876/12,0),0)</f>
        <v>0</v>
      </c>
      <c r="Q3876" t="str">
        <v>x</v>
      </c>
      <c r="R3876">
        <f>IF(P3876&gt;0,MAX(VLOOKUP(F3876,$D$6:$G$15,3,FALSE),600),0)/1000</f>
        <v>0</v>
      </c>
      <c r="T3876" t="str">
        <v>x</v>
      </c>
      <c r="U3876">
        <f>0.006165*F3876^2</f>
        <v>0.22194000000000003</v>
      </c>
      <c r="V3876" t="str">
        <v>x</v>
      </c>
      <c r="W3876">
        <f>+D3876</f>
        <v>0</v>
      </c>
      <c r="X3876" t="str">
        <v>x</v>
      </c>
      <c r="Y3876">
        <f>D3870</f>
        <v>1</v>
      </c>
      <c r="Z3876" t="str">
        <v>=</v>
      </c>
      <c r="AA3876">
        <f>(N3876+P3876*R3876/1000)*U3876*W3876*Y3876</f>
        <v>0</v>
      </c>
    </row>
    <row r="3879">
      <c r="A3879" t="str">
        <f>A3864</f>
        <v>Lantai 1</v>
      </c>
      <c r="B3879">
        <f>B3864</f>
        <v>32</v>
      </c>
      <c r="C3879" t="str">
        <v>Tul Bawah Tumpuan</v>
      </c>
      <c r="D3879">
        <f>VLOOKUP(D3864,'Detail Balok'!$C$10:$AU$110,22,FALSE)</f>
        <v>2</v>
      </c>
      <c r="E3879" t="str">
        <v>D</v>
      </c>
      <c r="F3879">
        <f>VLOOKUP(D3864,'Detail Balok'!$C$10:$AU$110,24,FALSE)</f>
        <v>10</v>
      </c>
      <c r="I3879" t="str">
        <v>(</v>
      </c>
      <c r="J3879">
        <f>+J3871</f>
        <v>0.8</v>
      </c>
      <c r="K3879" t="str">
        <v>+</v>
      </c>
      <c r="L3879">
        <f>MAX(VLOOKUP(F3879,N$6:P$15,3,FALSE)/1000,2/3*D3869/1000)+F$16*F3879/1000</f>
        <v>0.12</v>
      </c>
      <c r="M3879" t="str">
        <v>=</v>
      </c>
      <c r="N3879">
        <f>J3879+L3879</f>
        <v>0.92</v>
      </c>
      <c r="O3879" t="str">
        <v>+</v>
      </c>
      <c r="P3879">
        <f>D3879-D3880</f>
        <v>0</v>
      </c>
      <c r="Q3879" t="str">
        <v>x</v>
      </c>
      <c r="R3879">
        <f>IF(P3879&gt;0,$F$18*F3879/1000,0)</f>
        <v>0</v>
      </c>
      <c r="S3879" t="str">
        <v>)</v>
      </c>
      <c r="T3879" t="str">
        <v>x</v>
      </c>
      <c r="U3879">
        <f>0.006165*F3879^2</f>
        <v>0.6165</v>
      </c>
      <c r="X3879" t="str">
        <v>x</v>
      </c>
      <c r="Y3879">
        <f>D3870</f>
        <v>1</v>
      </c>
      <c r="Z3879" t="str">
        <v>=</v>
      </c>
      <c r="AA3879">
        <f>IF(AA3882=0,(D3879*N3879+P3879*R3879)*U3879*Y3879,0)</f>
        <v>0</v>
      </c>
    </row>
    <row r="3880">
      <c r="A3880" t="str">
        <f>A3864</f>
        <v>Lantai 1</v>
      </c>
      <c r="B3880">
        <f>B3864</f>
        <v>32</v>
      </c>
      <c r="C3880" t="str">
        <v>Tul Bawah Lapangan</v>
      </c>
      <c r="D3880">
        <f>VLOOKUP(D3864,'Detail Balok'!$C$10:$AU$110,25,FALSE)</f>
        <v>2</v>
      </c>
      <c r="E3880" t="str">
        <v>D</v>
      </c>
      <c r="F3880">
        <f>VLOOKUP(D3864,'Detail Balok'!$C$10:$AU$110,27,FALSE)</f>
        <v>10</v>
      </c>
      <c r="I3880" t="str">
        <v>(</v>
      </c>
      <c r="J3880">
        <f>+J3872</f>
        <v>1.6</v>
      </c>
      <c r="K3880" t="str">
        <v>+</v>
      </c>
      <c r="M3880" t="str">
        <v>=</v>
      </c>
      <c r="N3880">
        <f>J3880+L3880</f>
        <v>1.6</v>
      </c>
      <c r="O3880" t="str">
        <v>+</v>
      </c>
      <c r="P3880">
        <f>MAX(D3880-D3879,D3880-D3881)</f>
        <v>0</v>
      </c>
      <c r="Q3880" t="str">
        <v>x</v>
      </c>
      <c r="R3880">
        <f>IF(P3880&gt;0,2*(1-2*$F$19-1/2)*D3867/1000,0)</f>
        <v>0</v>
      </c>
      <c r="S3880" t="str">
        <v>)</v>
      </c>
      <c r="T3880" t="str">
        <v>x</v>
      </c>
      <c r="U3880">
        <f>0.006165*F3880^2</f>
        <v>0.6165</v>
      </c>
      <c r="X3880" t="str">
        <v>x</v>
      </c>
      <c r="Y3880">
        <f>D3870</f>
        <v>1</v>
      </c>
      <c r="Z3880" t="str">
        <v>=</v>
      </c>
      <c r="AA3880">
        <f>IF(AA3882=0,(D3880*N3880+P3880*R3880)*U3880*Y3880,0)</f>
        <v>0</v>
      </c>
    </row>
    <row r="3881">
      <c r="A3881" t="str">
        <f>A3864</f>
        <v>Lantai 1</v>
      </c>
      <c r="B3881">
        <f>B3864</f>
        <v>32</v>
      </c>
      <c r="C3881" t="str">
        <v>Tul Bawah Tumpuan</v>
      </c>
      <c r="D3881">
        <f>VLOOKUP(D3864,'Detail Balok'!$C$10:$AU$110,28,FALSE)</f>
        <v>2</v>
      </c>
      <c r="E3881" t="str">
        <v>D</v>
      </c>
      <c r="F3881">
        <f>VLOOKUP(D3864,'Detail Balok'!$C$10:$AU$110,30,FALSE)</f>
        <v>10</v>
      </c>
      <c r="I3881" t="str">
        <v>(</v>
      </c>
      <c r="J3881">
        <f>+J3873</f>
        <v>0.8</v>
      </c>
      <c r="K3881" t="str">
        <v>+</v>
      </c>
      <c r="L3881">
        <f>MAX(VLOOKUP(F3881,N$6:P$15,3,FALSE)/1000,2/3*D3869/1000)+F$16*F3881/1000</f>
        <v>0.12</v>
      </c>
      <c r="M3881" t="str">
        <v>=</v>
      </c>
      <c r="N3881">
        <f>J3881+L3881</f>
        <v>0.92</v>
      </c>
      <c r="O3881" t="str">
        <v>+</v>
      </c>
      <c r="P3881">
        <f>D3881-D3880</f>
        <v>0</v>
      </c>
      <c r="Q3881" t="str">
        <v>x</v>
      </c>
      <c r="R3881">
        <f>IF(P3881&gt;0,$F$18*F3881/1000,0)</f>
        <v>0</v>
      </c>
      <c r="S3881" t="str">
        <v>)</v>
      </c>
      <c r="T3881" t="str">
        <v>x</v>
      </c>
      <c r="U3881">
        <f>0.006165*F3881^2</f>
        <v>0.6165</v>
      </c>
      <c r="X3881" t="str">
        <v>x</v>
      </c>
      <c r="Y3881">
        <f>D3870</f>
        <v>1</v>
      </c>
      <c r="Z3881" t="str">
        <v>=</v>
      </c>
      <c r="AA3881">
        <f>IF(AA3882=0,(D3881*N3881+P3881*R3881)*U3881*Y3881,0)</f>
        <v>0</v>
      </c>
    </row>
    <row r="3882">
      <c r="A3882" t="str">
        <f>A3864</f>
        <v>Lantai 1</v>
      </c>
      <c r="B3882">
        <f>B3864</f>
        <v>32</v>
      </c>
      <c r="D3882">
        <f>IF(AND(D3879=D3880,D3880=D3881,D3879=D3881),D3879,0)</f>
        <v>2</v>
      </c>
      <c r="E3882" t="str">
        <v>D</v>
      </c>
      <c r="F3882">
        <f>IF(AND(F3879=F3880,F3879=F3881,F3880=F3881),F3879,0)</f>
        <v>10</v>
      </c>
      <c r="L3882" t="str">
        <v>Total panjang per balok</v>
      </c>
      <c r="M3882" t="str">
        <v>=</v>
      </c>
      <c r="N3882">
        <f>IF(AND(D3879=D3880,D3879=D3881,D3880=D3881,F3879=F3880,F3879=F3881,F3880=F3881),SUM(N3879:N3881),0)</f>
        <v>3.44</v>
      </c>
      <c r="O3882" t="str">
        <v>+</v>
      </c>
      <c r="P3882">
        <f>IF(N3882&gt;12,ROUNDDOWN(N3882/12,0),0)</f>
        <v>0</v>
      </c>
      <c r="Q3882" t="str">
        <v>x</v>
      </c>
      <c r="R3882">
        <f>IF(P3882&gt;0,MAX(VLOOKUP(F3882,$D$6:$G$15,3,FALSE),600),0)/1000</f>
        <v>0</v>
      </c>
      <c r="T3882" t="str">
        <v>x</v>
      </c>
      <c r="U3882">
        <f>U3881</f>
        <v>0.6165</v>
      </c>
      <c r="V3882" t="str">
        <v>x</v>
      </c>
      <c r="W3882">
        <f>D3882</f>
        <v>2</v>
      </c>
      <c r="X3882" t="str">
        <v>x</v>
      </c>
      <c r="Y3882">
        <f>Y3881</f>
        <v>1</v>
      </c>
      <c r="Z3882" t="str">
        <v>=</v>
      </c>
      <c r="AA3882">
        <f>(N3882+P3882*R3882/1000)*U3882*W3882*Y3882</f>
        <v>4.24152</v>
      </c>
    </row>
    <row r="3884">
      <c r="A3884" t="str">
        <f>A3864</f>
        <v>Lantai 1</v>
      </c>
      <c r="B3884">
        <f>B3864</f>
        <v>32</v>
      </c>
      <c r="C3884" t="str">
        <v>Sengkang Tumpuan</v>
      </c>
      <c r="D3884">
        <f>VLOOKUP(D3864,'Detail Balok'!$C$10:$AU$110,31,FALSE)</f>
        <v>0</v>
      </c>
      <c r="E3884" t="str">
        <v>D</v>
      </c>
      <c r="F3884">
        <f>VLOOKUP(D3864,'Detail Balok'!$C$10:$AU$110,33,FALSE)</f>
        <v>8</v>
      </c>
      <c r="G3884" t="str">
        <v>-</v>
      </c>
      <c r="H3884">
        <f>VLOOKUP(D3864,'Detail Balok'!$C$10:$AU$110,35,FALSE)</f>
        <v>100</v>
      </c>
      <c r="J3884">
        <f>(IF(D3884=0,(2*(D3865+G3865))-(F$5*8),IF(D3884=3,(2*(D3865+G3865))-(F$5*8)+(G3865-2*F$5),IF(D3884=4,(2*(D3865+G3865))-(F$5*8)+2*(G3865-2*F$5)))))/1000</f>
        <v>0.38</v>
      </c>
      <c r="K3884" t="str">
        <v>+</v>
      </c>
      <c r="L3884">
        <f>IF(D3884=0,2*MAX(6*F3884,75),(D3884-1)*2*MAX(6*F3884,75))/1000</f>
        <v>0.15</v>
      </c>
      <c r="M3884" t="str">
        <v>=</v>
      </c>
      <c r="N3884">
        <f>J3884+L3884</f>
        <v>0.53</v>
      </c>
      <c r="T3884" t="str">
        <v>x</v>
      </c>
      <c r="U3884">
        <f>0.006165*F3884^2</f>
        <v>0.39456</v>
      </c>
      <c r="V3884" t="str">
        <v>x</v>
      </c>
      <c r="W3884">
        <f>IF(D3867&gt;4*G3865,ROUND(MAX(D3867/4,2*G3865)/H3884,0)+1,ROUND(D3867/H3884,0)+1)</f>
        <v>9</v>
      </c>
      <c r="X3884" t="str">
        <v>x</v>
      </c>
      <c r="Y3884">
        <f>D3870</f>
        <v>1</v>
      </c>
      <c r="Z3884" t="str">
        <v>=</v>
      </c>
      <c r="AA3884">
        <f>N3884*U3884*W3884*Y3884</f>
        <v>1.8820512000000003</v>
      </c>
    </row>
    <row r="3885">
      <c r="A3885" t="str">
        <f>A3864</f>
        <v>Lantai 1</v>
      </c>
      <c r="B3885">
        <f>B3864</f>
        <v>32</v>
      </c>
      <c r="C3885" t="str">
        <v>Sengkang Lapangan</v>
      </c>
      <c r="D3885">
        <f>VLOOKUP(D3864,'Detail Balok'!$C$10:$AU$110,36,FALSE)</f>
        <v>0</v>
      </c>
      <c r="E3885" t="str">
        <v>D</v>
      </c>
      <c r="F3885">
        <f>VLOOKUP(D3864,'Detail Balok'!$C$10:$AU$110,38,FALSE)</f>
        <v>8</v>
      </c>
      <c r="G3885" t="str">
        <v>-</v>
      </c>
      <c r="H3885">
        <f>VLOOKUP(D3864,'Detail Balok'!$C$10:$AU$110,40,FALSE)</f>
        <v>100</v>
      </c>
      <c r="J3885">
        <f>(IF(D3885=0,(2*(D3865+G3865))-(F$5*8),IF(D3885=3,(2*(D3865+G3865))-(F$5*8)+(G3865-2*F$5),IF(D3885=4,(2*(D3865+G3865))-(F$5*8)+2*(G3865-2*F$5)))))/1000</f>
        <v>0.38</v>
      </c>
      <c r="K3885" t="str">
        <v>+</v>
      </c>
      <c r="L3885">
        <f>IF(D3885=0,2*MAX(6*F3885,75),(D3885-1)*2*MAX(6*F3885,75))/1000</f>
        <v>0.15</v>
      </c>
      <c r="M3885" t="str">
        <v>=</v>
      </c>
      <c r="N3885">
        <f>J3885+L3885</f>
        <v>0.53</v>
      </c>
      <c r="T3885" t="str">
        <v>x</v>
      </c>
      <c r="U3885">
        <f>0.006165*F3885^2</f>
        <v>0.39456</v>
      </c>
      <c r="V3885" t="str">
        <v>x</v>
      </c>
      <c r="W3885">
        <f>IF(D3867-MAX(D3867/4,2*G3865)*2&gt;0,ROUND((D3867-MAX(D3867/4,2*G3865)*2)/H3885,0),0)</f>
        <v>16</v>
      </c>
      <c r="X3885" t="str">
        <v>x</v>
      </c>
      <c r="Y3885">
        <f>D3870</f>
        <v>1</v>
      </c>
      <c r="Z3885" t="str">
        <v>=</v>
      </c>
      <c r="AA3885">
        <f>N3885*U3885*W3885*Y3885</f>
        <v>3.3458688000000003</v>
      </c>
    </row>
    <row r="3886">
      <c r="A3886" t="str">
        <f>A3864</f>
        <v>Lantai 1</v>
      </c>
      <c r="B3886">
        <f>B3864</f>
        <v>32</v>
      </c>
      <c r="C3886" t="str">
        <v>Sengkang Tumpuan</v>
      </c>
      <c r="D3886">
        <f>VLOOKUP(D3864,'Detail Balok'!$C$10:$AU$110,41,FALSE)</f>
        <v>0</v>
      </c>
      <c r="E3886" t="str">
        <v>D</v>
      </c>
      <c r="F3886">
        <f>VLOOKUP(D3864,'Detail Balok'!$C$10:$AU$110,43,FALSE)</f>
        <v>8</v>
      </c>
      <c r="G3886" t="str">
        <v>-</v>
      </c>
      <c r="H3886">
        <f>VLOOKUP(D3864,'Detail Balok'!$C$10:$AU$110,45,FALSE)</f>
        <v>100</v>
      </c>
      <c r="J3886">
        <f>(IF(D3886=0,(2*(D3865+G3865))-(F$5*8),IF(D3886=3,(2*(D3865+G3865))-(F$5*8)+(G3865-2*F$5),IF(D3886=4,(2*(D3865+G3865))-(F$5*8)+2*(G3865-2*F$5)))))/1000</f>
        <v>0.38</v>
      </c>
      <c r="K3886" t="str">
        <v>+</v>
      </c>
      <c r="L3886">
        <f>IF(D3886=0,2*MAX(6*F3886,75),(D3886-1)*2*MAX(6*F3886,75))/1000</f>
        <v>0.15</v>
      </c>
      <c r="M3886" t="str">
        <v>=</v>
      </c>
      <c r="N3886">
        <f>J3886+L3886</f>
        <v>0.53</v>
      </c>
      <c r="T3886" t="str">
        <v>x</v>
      </c>
      <c r="U3886">
        <f>0.006165*F3886^2</f>
        <v>0.39456</v>
      </c>
      <c r="V3886" t="str">
        <v>x</v>
      </c>
      <c r="W3886">
        <f>IF(D3867&gt;4*G3865,ROUND(MAX(D3867/4,2*G3865)/H3886,0)+1,0)</f>
        <v>9</v>
      </c>
      <c r="X3886" t="str">
        <v>x</v>
      </c>
      <c r="Y3886">
        <f>D3870</f>
        <v>1</v>
      </c>
      <c r="Z3886" t="str">
        <v>=</v>
      </c>
      <c r="AA3886">
        <f>N3886*U3886*W3886*Y3886</f>
        <v>1.8820512000000003</v>
      </c>
    </row>
    <row r="3888">
      <c r="A3888" t="str">
        <f>A3864</f>
        <v>Lantai 1</v>
      </c>
      <c r="B3888">
        <f>B3864</f>
        <v>32</v>
      </c>
      <c r="C3888" t="str">
        <v>Kait Horizontal Tump.</v>
      </c>
      <c r="D3888">
        <f>VLOOKUP(D3864,'Detail Balok'!$C$10:$BJ$110,46,FALSE)</f>
        <v>0</v>
      </c>
      <c r="E3888" t="str">
        <v>D</v>
      </c>
      <c r="F3888">
        <f>VLOOKUP(D3864,'Detail Balok'!$C$10:$BJ$110,48,FALSE)</f>
        <v>0</v>
      </c>
      <c r="G3888" t="str">
        <v>-</v>
      </c>
      <c r="H3888">
        <f>VLOOKUP(D3864,'Detail Balok'!$C$10:$BJ$110,50,FALSE)</f>
        <v>100</v>
      </c>
      <c r="J3888">
        <f>(D3865-2*F$5)/1000</f>
        <v>0.12</v>
      </c>
      <c r="K3888" t="str">
        <v>+</v>
      </c>
      <c r="L3888">
        <f>IF(D3888=0,2*MAX(6*F3888,75),(D3888-1)*2*MAX(6*F3888,75))/1000</f>
        <v>0.15</v>
      </c>
      <c r="M3888" t="str">
        <v>=</v>
      </c>
      <c r="N3888">
        <f>J3888+L3888</f>
        <v>0.27</v>
      </c>
      <c r="T3888" t="str">
        <v>x</v>
      </c>
      <c r="U3888">
        <f>0.006165*F3888^2</f>
        <v>0</v>
      </c>
      <c r="V3888" t="str">
        <v>x</v>
      </c>
      <c r="W3888">
        <f>W3884</f>
        <v>9</v>
      </c>
      <c r="X3888" t="str">
        <v>x</v>
      </c>
      <c r="Y3888">
        <f>D3874</f>
        <v>2</v>
      </c>
      <c r="Z3888" t="str">
        <v>=</v>
      </c>
      <c r="AA3888">
        <f>N3888*U3888*W3888*Y3888</f>
        <v>0</v>
      </c>
    </row>
    <row r="3889">
      <c r="A3889" t="str">
        <f>A3864</f>
        <v>Lantai 1</v>
      </c>
      <c r="B3889">
        <f>B3864</f>
        <v>32</v>
      </c>
      <c r="C3889" t="str">
        <v>Kait Horizontal Lap.</v>
      </c>
      <c r="D3889">
        <f>VLOOKUP(D3864,'Detail Balok'!$C$10:$BJ$110,51,FALSE)</f>
        <v>0</v>
      </c>
      <c r="E3889" t="str">
        <v>D</v>
      </c>
      <c r="F3889">
        <f>VLOOKUP(D3864,'Detail Balok'!$C$10:$BJ$110,53,FALSE)</f>
        <v>0</v>
      </c>
      <c r="G3889" t="str">
        <v>-</v>
      </c>
      <c r="H3889">
        <f>VLOOKUP(D3864,'Detail Balok'!$C$10:$BJ$110,55,FALSE)</f>
        <v>100</v>
      </c>
      <c r="J3889">
        <f>(D3865-2*F$5)/1000</f>
        <v>0.12</v>
      </c>
      <c r="K3889" t="str">
        <v>+</v>
      </c>
      <c r="L3889">
        <f>IF(D3889=0,2*MAX(6*F3889,75),(D3889-1)*2*MAX(6*F3889,75))/1000</f>
        <v>0.15</v>
      </c>
      <c r="M3889" t="str">
        <v>=</v>
      </c>
      <c r="N3889">
        <f>J3889+L3889</f>
        <v>0.27</v>
      </c>
      <c r="T3889" t="str">
        <v>x</v>
      </c>
      <c r="U3889">
        <f>0.006165*F3889^2</f>
        <v>0</v>
      </c>
      <c r="V3889" t="str">
        <v>x</v>
      </c>
      <c r="W3889">
        <f>W3885</f>
        <v>16</v>
      </c>
      <c r="X3889" t="str">
        <v>x</v>
      </c>
      <c r="Y3889">
        <f>D3874</f>
        <v>2</v>
      </c>
      <c r="Z3889" t="str">
        <v>=</v>
      </c>
      <c r="AA3889">
        <f>N3889*U3889*W3889*Y3889</f>
        <v>0</v>
      </c>
    </row>
    <row r="3890">
      <c r="A3890" t="str">
        <f>A3864</f>
        <v>Lantai 1</v>
      </c>
      <c r="B3890">
        <f>B3864</f>
        <v>32</v>
      </c>
      <c r="C3890" t="str">
        <v>Kait Horizontal Tump.</v>
      </c>
      <c r="D3890">
        <f>VLOOKUP(D3864,'Detail Balok'!$C$10:$BJ$110,56,FALSE)</f>
        <v>0</v>
      </c>
      <c r="E3890" t="str">
        <v>D</v>
      </c>
      <c r="F3890">
        <f>VLOOKUP(D3864,'Detail Balok'!$C$10:$BJ$110,58,FALSE)</f>
        <v>0</v>
      </c>
      <c r="G3890" t="str">
        <v>-</v>
      </c>
      <c r="H3890">
        <f>VLOOKUP(D3864,'Detail Balok'!$C$10:$BJ$110,60,FALSE)</f>
        <v>100</v>
      </c>
      <c r="J3890">
        <f>(D3865-2*F$5)/1000</f>
        <v>0.12</v>
      </c>
      <c r="K3890" t="str">
        <v>+</v>
      </c>
      <c r="L3890">
        <f>IF(D3890=0,2*MAX(6*F3890,75),(D3890-1)*2*MAX(6*F3890,75))/1000</f>
        <v>0.15</v>
      </c>
      <c r="M3890" t="str">
        <v>=</v>
      </c>
      <c r="N3890">
        <f>J3890+L3890</f>
        <v>0.27</v>
      </c>
      <c r="T3890" t="str">
        <v>x</v>
      </c>
      <c r="U3890">
        <f>0.006165*F3890^2</f>
        <v>0</v>
      </c>
      <c r="V3890" t="str">
        <v>x</v>
      </c>
      <c r="W3890">
        <f>W3886</f>
        <v>9</v>
      </c>
      <c r="X3890" t="str">
        <v>x</v>
      </c>
      <c r="Y3890">
        <f>D3874</f>
        <v>2</v>
      </c>
      <c r="Z3890" t="str">
        <v>=</v>
      </c>
      <c r="AA3890">
        <f>N3890*U3890*W3890*Y3890</f>
        <v>0</v>
      </c>
    </row>
    <row r="3894">
      <c r="A3894" t="str">
        <f>A3864</f>
        <v>Lantai 1</v>
      </c>
      <c r="B3894">
        <f>B3864+1</f>
        <v>33</v>
      </c>
      <c r="C3894" t="str">
        <f>CONCATENATE(A3894," no. ",B3894)</f>
        <v>Lantai 1 no. 33</v>
      </c>
      <c r="D3894" t="str">
        <f>VLOOKUP(C3894,'Data Panjang Balok'!$C$9:$N$424,2,FALSE)</f>
        <v>B245-1</v>
      </c>
    </row>
    <row r="3895">
      <c r="C3895" t="str">
        <v>Dimensi</v>
      </c>
      <c r="D3895">
        <f>VLOOKUP(D3894,'Detail Balok'!$C$10:$AU$110,2,FALSE)</f>
        <v>200</v>
      </c>
      <c r="F3895" t="str">
        <v>x</v>
      </c>
      <c r="G3895">
        <f>VLOOKUP(D3894,'Detail Balok'!$C$10:$AU$110,3,FALSE)</f>
        <v>450</v>
      </c>
    </row>
    <row r="3896">
      <c r="C3896" t="str">
        <v>Panjang as ke as</v>
      </c>
      <c r="D3896">
        <f>VLOOKUP(C3894,'Data Panjang Balok'!$C$9:$N$424,4,FALSE)</f>
        <v>1770</v>
      </c>
    </row>
    <row r="3897">
      <c r="C3897" t="str">
        <v>Panjang netto</v>
      </c>
      <c r="D3897">
        <f>VLOOKUP(C3894,'Data Panjang Balok'!$C$9:$N$424,7,FALSE)</f>
        <v>1770</v>
      </c>
    </row>
    <row r="3898">
      <c r="C3898" t="str">
        <v>Kolom / balok kiri</v>
      </c>
      <c r="D3898">
        <f>VLOOKUP(C3894,'Data Panjang Balok'!$C$9:$N$424,9,FALSE)</f>
        <v>0</v>
      </c>
    </row>
    <row r="3899">
      <c r="C3899" t="str">
        <v>Kolom / balok kanan</v>
      </c>
      <c r="D3899">
        <f>VLOOKUP(C3894,'Data Panjang Balok'!$C$9:$N$424,10,FALSE)</f>
        <v>0</v>
      </c>
    </row>
    <row r="3900">
      <c r="C3900" t="str">
        <v>Jumlah</v>
      </c>
      <c r="D3900">
        <f>VLOOKUP(C3894,'Data Panjang Balok'!$C$9:$N$424,3,FALSE)</f>
        <v>1</v>
      </c>
    </row>
    <row r="3901">
      <c r="A3901" t="str">
        <f>A3894</f>
        <v>Lantai 1</v>
      </c>
      <c r="B3901">
        <f>B3894</f>
        <v>33</v>
      </c>
      <c r="C3901" t="str">
        <v>Tul Atas Tumpuan</v>
      </c>
      <c r="D3901">
        <f>VLOOKUP(D3894,'Detail Balok'!$C$10:$AU$110,4,FALSE)</f>
        <v>2</v>
      </c>
      <c r="E3901" t="str">
        <v>D</v>
      </c>
      <c r="F3901">
        <f>VLOOKUP(D3894,'Detail Balok'!$C$10:$AU$110,6,FALSE)</f>
        <v>13</v>
      </c>
      <c r="I3901" t="str">
        <v>(</v>
      </c>
      <c r="J3901">
        <f>+D3896/4/1000</f>
        <v>0.4425</v>
      </c>
      <c r="K3901" t="str">
        <v>+</v>
      </c>
      <c r="L3901">
        <f>MAX(VLOOKUP(F3901,N$6:P$15,3,FALSE)/1000,2/3*D3898/1000)+F$16*F3901/1000</f>
        <v>0.156</v>
      </c>
      <c r="M3901" t="str">
        <v>=</v>
      </c>
      <c r="N3901">
        <f>J3901+L3901</f>
        <v>0.5985</v>
      </c>
      <c r="O3901" t="str">
        <v>+</v>
      </c>
      <c r="P3901">
        <f>D3901-D3902</f>
        <v>0</v>
      </c>
      <c r="Q3901" t="str">
        <v>x</v>
      </c>
      <c r="R3901">
        <f>IF(P3901&gt;0,$F$18*F3901/1000,0)</f>
        <v>0</v>
      </c>
      <c r="S3901" t="str">
        <v>)</v>
      </c>
      <c r="T3901" t="str">
        <v>x</v>
      </c>
      <c r="U3901">
        <f>0.006165*F3901^2</f>
        <v>1.041885</v>
      </c>
      <c r="X3901" t="str">
        <v>x</v>
      </c>
      <c r="Y3901">
        <f>D3900</f>
        <v>1</v>
      </c>
      <c r="Z3901" t="str">
        <v>=</v>
      </c>
      <c r="AA3901">
        <f>IF(AA3904=0,(D3901*N3901+P3901*R3901)*U3901*Y3901,0)</f>
        <v>0</v>
      </c>
    </row>
    <row r="3902">
      <c r="A3902" t="str">
        <f>A3894</f>
        <v>Lantai 1</v>
      </c>
      <c r="B3902">
        <f>B3894</f>
        <v>33</v>
      </c>
      <c r="C3902" t="str">
        <v>Tul Atas Lapangan</v>
      </c>
      <c r="D3902">
        <f>VLOOKUP(D3894,'Detail Balok'!$C$10:$AU$110,7,FALSE)</f>
        <v>2</v>
      </c>
      <c r="E3902" t="str">
        <v>D</v>
      </c>
      <c r="F3902">
        <f>VLOOKUP(D3894,'Detail Balok'!$C$10:$AU$110,9,FALSE)</f>
        <v>13</v>
      </c>
      <c r="I3902" t="str">
        <v>(</v>
      </c>
      <c r="J3902">
        <f>+D3896/2/1000</f>
        <v>0.885</v>
      </c>
      <c r="K3902" t="str">
        <v>+</v>
      </c>
      <c r="M3902" t="str">
        <v>=</v>
      </c>
      <c r="N3902">
        <f>J3902+L3902</f>
        <v>0.885</v>
      </c>
      <c r="O3902" t="str">
        <v>+</v>
      </c>
      <c r="P3902">
        <f>MAX(D3902-D3901,D3902-D3903)</f>
        <v>0</v>
      </c>
      <c r="Q3902" t="str">
        <v>x</v>
      </c>
      <c r="R3902">
        <f>IF(P3902&gt;0,2*(1-2*$F$19-1/2)*D3897/1000,0)</f>
        <v>0</v>
      </c>
      <c r="S3902" t="str">
        <v>)</v>
      </c>
      <c r="T3902" t="str">
        <v>x</v>
      </c>
      <c r="U3902">
        <f>0.006165*F3902^2</f>
        <v>1.041885</v>
      </c>
      <c r="X3902" t="str">
        <v>x</v>
      </c>
      <c r="Y3902">
        <f>D3900</f>
        <v>1</v>
      </c>
      <c r="Z3902" t="str">
        <v>=</v>
      </c>
      <c r="AA3902">
        <f>IF(AA3904=0,(D3902*N3902+P3902*R3902)*U3902*Y3902,0)</f>
        <v>0</v>
      </c>
    </row>
    <row r="3903">
      <c r="A3903" t="str">
        <f>A3894</f>
        <v>Lantai 1</v>
      </c>
      <c r="B3903">
        <f>B3894</f>
        <v>33</v>
      </c>
      <c r="C3903" t="str">
        <v>Tul Atas Tumpuan</v>
      </c>
      <c r="D3903">
        <f>VLOOKUP(D3894,'Detail Balok'!$C$10:$AU$110,10,FALSE)</f>
        <v>2</v>
      </c>
      <c r="E3903" t="str">
        <v>D</v>
      </c>
      <c r="F3903">
        <f>VLOOKUP(D3894,'Detail Balok'!$C$10:$AU$110,12,FALSE)</f>
        <v>13</v>
      </c>
      <c r="I3903" t="str">
        <v>(</v>
      </c>
      <c r="J3903">
        <f>+D3896/4/1000</f>
        <v>0.4425</v>
      </c>
      <c r="K3903" t="str">
        <v>+</v>
      </c>
      <c r="L3903">
        <f>MAX(VLOOKUP(F3903,N$6:P$15,3,FALSE)/1000,2/3*D3898/1000)+F$16*F3903/1000</f>
        <v>0.156</v>
      </c>
      <c r="M3903" t="str">
        <v>=</v>
      </c>
      <c r="N3903">
        <f>J3903+L3903</f>
        <v>0.5985</v>
      </c>
      <c r="O3903" t="str">
        <v>+</v>
      </c>
      <c r="P3903">
        <f>D3903-D3902</f>
        <v>0</v>
      </c>
      <c r="Q3903" t="str">
        <v>x</v>
      </c>
      <c r="R3903">
        <f>IF(P3903&gt;0,$F$18*F3903/1000,0)</f>
        <v>0</v>
      </c>
      <c r="S3903" t="str">
        <v>)</v>
      </c>
      <c r="T3903" t="str">
        <v>x</v>
      </c>
      <c r="U3903">
        <f>0.006165*F3903^2</f>
        <v>1.041885</v>
      </c>
      <c r="X3903" t="str">
        <v>x</v>
      </c>
      <c r="Y3903">
        <f>D3900</f>
        <v>1</v>
      </c>
      <c r="Z3903" t="str">
        <v>=</v>
      </c>
      <c r="AA3903">
        <f>IF(AA3904=0,(D3903*N3903+P3903*R3903)*U3903*Y3903,0)</f>
        <v>0</v>
      </c>
    </row>
    <row r="3904">
      <c r="A3904" t="str">
        <f>A3894</f>
        <v>Lantai 1</v>
      </c>
      <c r="B3904">
        <f>B3894</f>
        <v>33</v>
      </c>
      <c r="D3904">
        <f>IF(AND(D3901=D3902,D3902=D3903,D3901=D3903),D3901,0)</f>
        <v>2</v>
      </c>
      <c r="E3904" t="str">
        <v>D</v>
      </c>
      <c r="F3904">
        <f>IF(AND(F3901=F3902,F3901=F3903,F3902=F3903),F3901,0)</f>
        <v>13</v>
      </c>
      <c r="L3904" t="str">
        <v>Total panjang per balok</v>
      </c>
      <c r="M3904" t="str">
        <v>=</v>
      </c>
      <c r="N3904">
        <f>IF(AND(D3901=D3902,D3901=D3903,D3902=D3903,F3901=F3902,F3901=F3903,F3902=F3903),SUM(N3901:N3903),0)</f>
        <v>2.082</v>
      </c>
      <c r="O3904" t="str">
        <v>+</v>
      </c>
      <c r="P3904">
        <f>IF(N3904&gt;12,ROUNDDOWN(N3904/12,0),0)</f>
        <v>0</v>
      </c>
      <c r="Q3904" t="str">
        <v>x</v>
      </c>
      <c r="R3904">
        <f>IF(P3904&gt;0,MAX(VLOOKUP(F3904,$D$6:$G$15,3,FALSE),600),0)/1000</f>
        <v>0</v>
      </c>
      <c r="T3904" t="str">
        <v>x</v>
      </c>
      <c r="U3904">
        <f>U3903</f>
        <v>1.041885</v>
      </c>
      <c r="V3904" t="str">
        <v>x</v>
      </c>
      <c r="W3904">
        <f>D3904</f>
        <v>2</v>
      </c>
      <c r="X3904" t="str">
        <v>x</v>
      </c>
      <c r="Y3904">
        <f>Y3903</f>
        <v>1</v>
      </c>
      <c r="Z3904" t="str">
        <v>=</v>
      </c>
      <c r="AA3904">
        <f>(N3904+P3904*R3904/1000)*U3904*W3904*Y3904</f>
        <v>4.3384091399999996</v>
      </c>
    </row>
    <row r="3906">
      <c r="A3906" t="str">
        <f>A3894</f>
        <v>Lantai 1</v>
      </c>
      <c r="B3906">
        <f>B3894</f>
        <v>33</v>
      </c>
      <c r="C3906" t="str">
        <v>Tul Peminggang</v>
      </c>
      <c r="D3906">
        <f>VLOOKUP(D3894,'Detail Balok'!$C$10:$AU$110,13,FALSE)</f>
        <v>2</v>
      </c>
      <c r="E3906" t="str">
        <v>D</v>
      </c>
      <c r="F3906">
        <f>VLOOKUP(D3894,'Detail Balok'!$C$10:$AU$110,15,FALSE)</f>
        <v>8</v>
      </c>
      <c r="J3906">
        <f>+D3896/1000</f>
        <v>1.77</v>
      </c>
      <c r="K3906" t="str">
        <v>+</v>
      </c>
      <c r="L3906">
        <f>2*$F$16*F3906/1000</f>
        <v>0.192</v>
      </c>
      <c r="M3906" t="str">
        <v>=</v>
      </c>
      <c r="N3906">
        <f>J3906+L3906</f>
        <v>1.962</v>
      </c>
      <c r="O3906" t="str">
        <v>+</v>
      </c>
      <c r="P3906">
        <f>IF(N3906&gt;12,ROUNDDOWN(N3906/12,0),0)</f>
        <v>0</v>
      </c>
      <c r="Q3906" t="str">
        <v>x</v>
      </c>
      <c r="R3906">
        <f>IF(P3906&gt;0,MAX(VLOOKUP(F3906,$D$6:$G$15,3,FALSE),600),0)/1000</f>
        <v>0</v>
      </c>
      <c r="T3906" t="str">
        <v>x</v>
      </c>
      <c r="U3906">
        <f>0.006165*F3906^2</f>
        <v>0.39456</v>
      </c>
      <c r="V3906" t="str">
        <v>x</v>
      </c>
      <c r="W3906">
        <f>+D3906</f>
        <v>2</v>
      </c>
      <c r="X3906" t="str">
        <v>x</v>
      </c>
      <c r="Y3906">
        <f>D3900</f>
        <v>1</v>
      </c>
      <c r="Z3906" t="str">
        <v>=</v>
      </c>
      <c r="AA3906">
        <f>(N3906+P3906*R3906/1000)*U3906*W3906*Y3906</f>
        <v>1.54825344</v>
      </c>
    </row>
    <row r="3909">
      <c r="A3909" t="str">
        <f>A3894</f>
        <v>Lantai 1</v>
      </c>
      <c r="B3909">
        <f>B3894</f>
        <v>33</v>
      </c>
      <c r="C3909" t="str">
        <v>Tul Bawah Tumpuan</v>
      </c>
      <c r="D3909">
        <f>VLOOKUP(D3894,'Detail Balok'!$C$10:$AU$110,22,FALSE)</f>
        <v>2</v>
      </c>
      <c r="E3909" t="str">
        <v>D</v>
      </c>
      <c r="F3909">
        <f>VLOOKUP(D3894,'Detail Balok'!$C$10:$AU$110,24,FALSE)</f>
        <v>13</v>
      </c>
      <c r="I3909" t="str">
        <v>(</v>
      </c>
      <c r="J3909">
        <f>+J3901</f>
        <v>0.4425</v>
      </c>
      <c r="K3909" t="str">
        <v>+</v>
      </c>
      <c r="L3909">
        <f>MAX(VLOOKUP(F3909,N$6:P$15,3,FALSE)/1000,2/3*D3899/1000)+F$16*F3909/1000</f>
        <v>0.156</v>
      </c>
      <c r="M3909" t="str">
        <v>=</v>
      </c>
      <c r="N3909">
        <f>J3909+L3909</f>
        <v>0.5985</v>
      </c>
      <c r="O3909" t="str">
        <v>+</v>
      </c>
      <c r="P3909">
        <f>D3909-D3910</f>
        <v>0</v>
      </c>
      <c r="Q3909" t="str">
        <v>x</v>
      </c>
      <c r="R3909">
        <f>IF(P3909&gt;0,$F$18*F3909/1000,0)</f>
        <v>0</v>
      </c>
      <c r="S3909" t="str">
        <v>)</v>
      </c>
      <c r="T3909" t="str">
        <v>x</v>
      </c>
      <c r="U3909">
        <f>0.006165*F3909^2</f>
        <v>1.041885</v>
      </c>
      <c r="X3909" t="str">
        <v>x</v>
      </c>
      <c r="Y3909">
        <f>D3900</f>
        <v>1</v>
      </c>
      <c r="Z3909" t="str">
        <v>=</v>
      </c>
      <c r="AA3909">
        <f>IF(AA3912=0,(D3909*N3909+P3909*R3909)*U3909*Y3909,0)</f>
        <v>0</v>
      </c>
    </row>
    <row r="3910">
      <c r="A3910" t="str">
        <f>A3894</f>
        <v>Lantai 1</v>
      </c>
      <c r="B3910">
        <f>B3894</f>
        <v>33</v>
      </c>
      <c r="C3910" t="str">
        <v>Tul Bawah Lapangan</v>
      </c>
      <c r="D3910">
        <f>VLOOKUP(D3894,'Detail Balok'!$C$10:$AU$110,25,FALSE)</f>
        <v>2</v>
      </c>
      <c r="E3910" t="str">
        <v>D</v>
      </c>
      <c r="F3910">
        <f>VLOOKUP(D3894,'Detail Balok'!$C$10:$AU$110,27,FALSE)</f>
        <v>13</v>
      </c>
      <c r="I3910" t="str">
        <v>(</v>
      </c>
      <c r="J3910">
        <f>+J3902</f>
        <v>0.885</v>
      </c>
      <c r="K3910" t="str">
        <v>+</v>
      </c>
      <c r="M3910" t="str">
        <v>=</v>
      </c>
      <c r="N3910">
        <f>J3910+L3910</f>
        <v>0.885</v>
      </c>
      <c r="O3910" t="str">
        <v>+</v>
      </c>
      <c r="P3910">
        <f>MAX(D3910-D3909,D3910-D3911)</f>
        <v>0</v>
      </c>
      <c r="Q3910" t="str">
        <v>x</v>
      </c>
      <c r="R3910">
        <f>IF(P3910&gt;0,2*(1-2*$F$19-1/2)*D3897/1000,0)</f>
        <v>0</v>
      </c>
      <c r="S3910" t="str">
        <v>)</v>
      </c>
      <c r="T3910" t="str">
        <v>x</v>
      </c>
      <c r="U3910">
        <f>0.006165*F3910^2</f>
        <v>1.041885</v>
      </c>
      <c r="X3910" t="str">
        <v>x</v>
      </c>
      <c r="Y3910">
        <f>D3900</f>
        <v>1</v>
      </c>
      <c r="Z3910" t="str">
        <v>=</v>
      </c>
      <c r="AA3910">
        <f>IF(AA3912=0,(D3910*N3910+P3910*R3910)*U3910*Y3910,0)</f>
        <v>0</v>
      </c>
    </row>
    <row r="3911">
      <c r="A3911" t="str">
        <f>A3894</f>
        <v>Lantai 1</v>
      </c>
      <c r="B3911">
        <f>B3894</f>
        <v>33</v>
      </c>
      <c r="C3911" t="str">
        <v>Tul Bawah Tumpuan</v>
      </c>
      <c r="D3911">
        <f>VLOOKUP(D3894,'Detail Balok'!$C$10:$AU$110,28,FALSE)</f>
        <v>2</v>
      </c>
      <c r="E3911" t="str">
        <v>D</v>
      </c>
      <c r="F3911">
        <f>VLOOKUP(D3894,'Detail Balok'!$C$10:$AU$110,30,FALSE)</f>
        <v>13</v>
      </c>
      <c r="I3911" t="str">
        <v>(</v>
      </c>
      <c r="J3911">
        <f>+J3903</f>
        <v>0.4425</v>
      </c>
      <c r="K3911" t="str">
        <v>+</v>
      </c>
      <c r="L3911">
        <f>MAX(VLOOKUP(F3911,N$6:P$15,3,FALSE)/1000,2/3*D3899/1000)+F$16*F3911/1000</f>
        <v>0.156</v>
      </c>
      <c r="M3911" t="str">
        <v>=</v>
      </c>
      <c r="N3911">
        <f>J3911+L3911</f>
        <v>0.5985</v>
      </c>
      <c r="O3911" t="str">
        <v>+</v>
      </c>
      <c r="P3911">
        <f>D3911-D3910</f>
        <v>0</v>
      </c>
      <c r="Q3911" t="str">
        <v>x</v>
      </c>
      <c r="R3911">
        <f>IF(P3911&gt;0,$F$18*F3911/1000,0)</f>
        <v>0</v>
      </c>
      <c r="S3911" t="str">
        <v>)</v>
      </c>
      <c r="T3911" t="str">
        <v>x</v>
      </c>
      <c r="U3911">
        <f>0.006165*F3911^2</f>
        <v>1.041885</v>
      </c>
      <c r="X3911" t="str">
        <v>x</v>
      </c>
      <c r="Y3911">
        <f>D3900</f>
        <v>1</v>
      </c>
      <c r="Z3911" t="str">
        <v>=</v>
      </c>
      <c r="AA3911">
        <f>IF(AA3912=0,(D3911*N3911+P3911*R3911)*U3911*Y3911,0)</f>
        <v>0</v>
      </c>
    </row>
    <row r="3912">
      <c r="A3912" t="str">
        <f>A3894</f>
        <v>Lantai 1</v>
      </c>
      <c r="B3912">
        <f>B3894</f>
        <v>33</v>
      </c>
      <c r="D3912">
        <f>IF(AND(D3909=D3910,D3910=D3911,D3909=D3911),D3909,0)</f>
        <v>2</v>
      </c>
      <c r="E3912" t="str">
        <v>D</v>
      </c>
      <c r="F3912">
        <f>IF(AND(F3909=F3910,F3909=F3911,F3910=F3911),F3909,0)</f>
        <v>13</v>
      </c>
      <c r="L3912" t="str">
        <v>Total panjang per balok</v>
      </c>
      <c r="M3912" t="str">
        <v>=</v>
      </c>
      <c r="N3912">
        <f>IF(AND(D3909=D3910,D3909=D3911,D3910=D3911,F3909=F3910,F3909=F3911,F3910=F3911),SUM(N3909:N3911),0)</f>
        <v>2.082</v>
      </c>
      <c r="O3912" t="str">
        <v>+</v>
      </c>
      <c r="P3912">
        <f>IF(N3912&gt;12,ROUNDDOWN(N3912/12,0),0)</f>
        <v>0</v>
      </c>
      <c r="Q3912" t="str">
        <v>x</v>
      </c>
      <c r="R3912">
        <f>IF(P3912&gt;0,MAX(VLOOKUP(F3912,$D$6:$G$15,3,FALSE),600),0)/1000</f>
        <v>0</v>
      </c>
      <c r="T3912" t="str">
        <v>x</v>
      </c>
      <c r="U3912">
        <f>U3911</f>
        <v>1.041885</v>
      </c>
      <c r="V3912" t="str">
        <v>x</v>
      </c>
      <c r="W3912">
        <f>D3912</f>
        <v>2</v>
      </c>
      <c r="X3912" t="str">
        <v>x</v>
      </c>
      <c r="Y3912">
        <f>Y3911</f>
        <v>1</v>
      </c>
      <c r="Z3912" t="str">
        <v>=</v>
      </c>
      <c r="AA3912">
        <f>(N3912+P3912*R3912/1000)*U3912*W3912*Y3912</f>
        <v>4.3384091399999996</v>
      </c>
    </row>
    <row r="3914">
      <c r="A3914" t="str">
        <f>A3894</f>
        <v>Lantai 1</v>
      </c>
      <c r="B3914">
        <f>B3894</f>
        <v>33</v>
      </c>
      <c r="C3914" t="str">
        <v>Sengkang Tumpuan</v>
      </c>
      <c r="D3914">
        <f>VLOOKUP(D3894,'Detail Balok'!$C$10:$AU$110,31,FALSE)</f>
        <v>0</v>
      </c>
      <c r="E3914" t="str">
        <v>D</v>
      </c>
      <c r="F3914">
        <f>VLOOKUP(D3894,'Detail Balok'!$C$10:$AU$110,33,FALSE)</f>
        <v>8</v>
      </c>
      <c r="G3914" t="str">
        <v>-</v>
      </c>
      <c r="H3914">
        <f>VLOOKUP(D3894,'Detail Balok'!$C$10:$AU$110,35,FALSE)</f>
        <v>100</v>
      </c>
      <c r="J3914">
        <f>(IF(D3914=0,(2*(D3895+G3895))-(F$5*8),IF(D3914=3,(2*(D3895+G3895))-(F$5*8)+(G3895-2*F$5),IF(D3914=4,(2*(D3895+G3895))-(F$5*8)+2*(G3895-2*F$5)))))/1000</f>
        <v>0.98</v>
      </c>
      <c r="K3914" t="str">
        <v>+</v>
      </c>
      <c r="L3914">
        <f>IF(D3914=0,2*MAX(6*F3914,75),(D3914-1)*2*MAX(6*F3914,75))/1000</f>
        <v>0.15</v>
      </c>
      <c r="M3914" t="str">
        <v>=</v>
      </c>
      <c r="N3914">
        <f>J3914+L3914</f>
        <v>1.13</v>
      </c>
      <c r="T3914" t="str">
        <v>x</v>
      </c>
      <c r="U3914">
        <f>0.006165*F3914^2</f>
        <v>0.39456</v>
      </c>
      <c r="V3914" t="str">
        <v>x</v>
      </c>
      <c r="W3914">
        <f>IF(D3897&gt;4*G3895,ROUND(MAX(D3897/4,2*G3895)/H3914,0)+1,ROUND(D3897/H3914,0)+1)</f>
        <v>19</v>
      </c>
      <c r="X3914" t="str">
        <v>x</v>
      </c>
      <c r="Y3914">
        <f>D3900</f>
        <v>1</v>
      </c>
      <c r="Z3914" t="str">
        <v>=</v>
      </c>
      <c r="AA3914">
        <f>N3914*U3914*W3914*Y3914</f>
        <v>8.4712032</v>
      </c>
    </row>
    <row r="3915">
      <c r="A3915" t="str">
        <f>A3894</f>
        <v>Lantai 1</v>
      </c>
      <c r="B3915">
        <f>B3894</f>
        <v>33</v>
      </c>
      <c r="C3915" t="str">
        <v>Sengkang Lapangan</v>
      </c>
      <c r="D3915">
        <f>VLOOKUP(D3894,'Detail Balok'!$C$10:$AU$110,36,FALSE)</f>
        <v>0</v>
      </c>
      <c r="E3915" t="str">
        <v>D</v>
      </c>
      <c r="F3915">
        <f>VLOOKUP(D3894,'Detail Balok'!$C$10:$AU$110,38,FALSE)</f>
        <v>8</v>
      </c>
      <c r="G3915" t="str">
        <v>-</v>
      </c>
      <c r="H3915">
        <f>VLOOKUP(D3894,'Detail Balok'!$C$10:$AU$110,40,FALSE)</f>
        <v>200</v>
      </c>
      <c r="J3915">
        <f>(IF(D3915=0,(2*(D3895+G3895))-(F$5*8),IF(D3915=3,(2*(D3895+G3895))-(F$5*8)+(G3895-2*F$5),IF(D3915=4,(2*(D3895+G3895))-(F$5*8)+2*(G3895-2*F$5)))))/1000</f>
        <v>0.98</v>
      </c>
      <c r="K3915" t="str">
        <v>+</v>
      </c>
      <c r="L3915">
        <f>IF(D3915=0,2*MAX(6*F3915,75),(D3915-1)*2*MAX(6*F3915,75))/1000</f>
        <v>0.15</v>
      </c>
      <c r="M3915" t="str">
        <v>=</v>
      </c>
      <c r="N3915">
        <f>J3915+L3915</f>
        <v>1.13</v>
      </c>
      <c r="T3915" t="str">
        <v>x</v>
      </c>
      <c r="U3915">
        <f>0.006165*F3915^2</f>
        <v>0.39456</v>
      </c>
      <c r="V3915" t="str">
        <v>x</v>
      </c>
      <c r="W3915">
        <f>IF(D3897-MAX(D3897/4,2*G3895)*2&gt;0,ROUND((D3897-MAX(D3897/4,2*G3895)*2)/H3915,0),0)</f>
        <v>0</v>
      </c>
      <c r="X3915" t="str">
        <v>x</v>
      </c>
      <c r="Y3915">
        <f>D3900</f>
        <v>1</v>
      </c>
      <c r="Z3915" t="str">
        <v>=</v>
      </c>
      <c r="AA3915">
        <f>N3915*U3915*W3915*Y3915</f>
        <v>0</v>
      </c>
    </row>
    <row r="3916">
      <c r="A3916" t="str">
        <f>A3894</f>
        <v>Lantai 1</v>
      </c>
      <c r="B3916">
        <f>B3894</f>
        <v>33</v>
      </c>
      <c r="C3916" t="str">
        <v>Sengkang Tumpuan</v>
      </c>
      <c r="D3916">
        <f>VLOOKUP(D3894,'Detail Balok'!$C$10:$AU$110,41,FALSE)</f>
        <v>0</v>
      </c>
      <c r="E3916" t="str">
        <v>D</v>
      </c>
      <c r="F3916">
        <f>VLOOKUP(D3894,'Detail Balok'!$C$10:$AU$110,43,FALSE)</f>
        <v>8</v>
      </c>
      <c r="G3916" t="str">
        <v>-</v>
      </c>
      <c r="H3916">
        <f>VLOOKUP(D3894,'Detail Balok'!$C$10:$AU$110,45,FALSE)</f>
        <v>100</v>
      </c>
      <c r="J3916">
        <f>(IF(D3916=0,(2*(D3895+G3895))-(F$5*8),IF(D3916=3,(2*(D3895+G3895))-(F$5*8)+(G3895-2*F$5),IF(D3916=4,(2*(D3895+G3895))-(F$5*8)+2*(G3895-2*F$5)))))/1000</f>
        <v>0.98</v>
      </c>
      <c r="K3916" t="str">
        <v>+</v>
      </c>
      <c r="L3916">
        <f>IF(D3916=0,2*MAX(6*F3916,75),(D3916-1)*2*MAX(6*F3916,75))/1000</f>
        <v>0.15</v>
      </c>
      <c r="M3916" t="str">
        <v>=</v>
      </c>
      <c r="N3916">
        <f>J3916+L3916</f>
        <v>1.13</v>
      </c>
      <c r="T3916" t="str">
        <v>x</v>
      </c>
      <c r="U3916">
        <f>0.006165*F3916^2</f>
        <v>0.39456</v>
      </c>
      <c r="V3916" t="str">
        <v>x</v>
      </c>
      <c r="W3916">
        <f>IF(D3897&gt;4*G3895,ROUND(MAX(D3897/4,2*G3895)/H3916,0)+1,0)</f>
        <v>0</v>
      </c>
      <c r="X3916" t="str">
        <v>x</v>
      </c>
      <c r="Y3916">
        <f>D3900</f>
        <v>1</v>
      </c>
      <c r="Z3916" t="str">
        <v>=</v>
      </c>
      <c r="AA3916">
        <f>N3916*U3916*W3916*Y3916</f>
        <v>0</v>
      </c>
    </row>
    <row r="3918">
      <c r="A3918" t="str">
        <f>A3894</f>
        <v>Lantai 1</v>
      </c>
      <c r="B3918">
        <f>B3894</f>
        <v>33</v>
      </c>
      <c r="C3918" t="str">
        <v>Kait Horizontal Tump.</v>
      </c>
      <c r="D3918">
        <f>VLOOKUP(D3894,'Detail Balok'!$C$10:$BJ$110,46,FALSE)</f>
        <v>0</v>
      </c>
      <c r="E3918" t="str">
        <v>D</v>
      </c>
      <c r="F3918">
        <f>VLOOKUP(D3894,'Detail Balok'!$C$10:$BJ$110,48,FALSE)</f>
        <v>0</v>
      </c>
      <c r="G3918" t="str">
        <v>-</v>
      </c>
      <c r="H3918">
        <f>VLOOKUP(D3894,'Detail Balok'!$C$10:$BJ$110,50,FALSE)</f>
        <v>100</v>
      </c>
      <c r="J3918">
        <f>(D3895-2*F$5)/1000</f>
        <v>0.12</v>
      </c>
      <c r="K3918" t="str">
        <v>+</v>
      </c>
      <c r="L3918">
        <f>IF(D3918=0,2*MAX(6*F3918,75),(D3918-1)*2*MAX(6*F3918,75))/1000</f>
        <v>0.15</v>
      </c>
      <c r="M3918" t="str">
        <v>=</v>
      </c>
      <c r="N3918">
        <f>J3918+L3918</f>
        <v>0.27</v>
      </c>
      <c r="T3918" t="str">
        <v>x</v>
      </c>
      <c r="U3918">
        <f>0.006165*F3918^2</f>
        <v>0</v>
      </c>
      <c r="V3918" t="str">
        <v>x</v>
      </c>
      <c r="W3918">
        <f>W3914</f>
        <v>19</v>
      </c>
      <c r="X3918" t="str">
        <v>x</v>
      </c>
      <c r="Y3918">
        <f>D3904</f>
        <v>2</v>
      </c>
      <c r="Z3918" t="str">
        <v>=</v>
      </c>
      <c r="AA3918">
        <f>N3918*U3918*W3918*Y3918</f>
        <v>0</v>
      </c>
    </row>
    <row r="3919">
      <c r="A3919" t="str">
        <f>A3894</f>
        <v>Lantai 1</v>
      </c>
      <c r="B3919">
        <f>B3894</f>
        <v>33</v>
      </c>
      <c r="C3919" t="str">
        <v>Kait Horizontal Lap.</v>
      </c>
      <c r="D3919">
        <f>VLOOKUP(D3894,'Detail Balok'!$C$10:$BJ$110,51,FALSE)</f>
        <v>0</v>
      </c>
      <c r="E3919" t="str">
        <v>D</v>
      </c>
      <c r="F3919">
        <f>VLOOKUP(D3894,'Detail Balok'!$C$10:$BJ$110,53,FALSE)</f>
        <v>0</v>
      </c>
      <c r="G3919" t="str">
        <v>-</v>
      </c>
      <c r="H3919">
        <f>VLOOKUP(D3894,'Detail Balok'!$C$10:$BJ$110,55,FALSE)</f>
        <v>100</v>
      </c>
      <c r="J3919">
        <f>(D3895-2*F$5)/1000</f>
        <v>0.12</v>
      </c>
      <c r="K3919" t="str">
        <v>+</v>
      </c>
      <c r="L3919">
        <f>IF(D3919=0,2*MAX(6*F3919,75),(D3919-1)*2*MAX(6*F3919,75))/1000</f>
        <v>0.15</v>
      </c>
      <c r="M3919" t="str">
        <v>=</v>
      </c>
      <c r="N3919">
        <f>J3919+L3919</f>
        <v>0.27</v>
      </c>
      <c r="T3919" t="str">
        <v>x</v>
      </c>
      <c r="U3919">
        <f>0.006165*F3919^2</f>
        <v>0</v>
      </c>
      <c r="V3919" t="str">
        <v>x</v>
      </c>
      <c r="W3919">
        <f>W3915</f>
        <v>0</v>
      </c>
      <c r="X3919" t="str">
        <v>x</v>
      </c>
      <c r="Y3919">
        <f>D3904</f>
        <v>2</v>
      </c>
      <c r="Z3919" t="str">
        <v>=</v>
      </c>
      <c r="AA3919">
        <f>N3919*U3919*W3919*Y3919</f>
        <v>0</v>
      </c>
    </row>
    <row r="3920">
      <c r="A3920" t="str">
        <f>A3894</f>
        <v>Lantai 1</v>
      </c>
      <c r="B3920">
        <f>B3894</f>
        <v>33</v>
      </c>
      <c r="C3920" t="str">
        <v>Kait Horizontal Tump.</v>
      </c>
      <c r="D3920">
        <f>VLOOKUP(D3894,'Detail Balok'!$C$10:$BJ$110,56,FALSE)</f>
        <v>0</v>
      </c>
      <c r="E3920" t="str">
        <v>D</v>
      </c>
      <c r="F3920">
        <f>VLOOKUP(D3894,'Detail Balok'!$C$10:$BJ$110,58,FALSE)</f>
        <v>0</v>
      </c>
      <c r="G3920" t="str">
        <v>-</v>
      </c>
      <c r="H3920">
        <f>VLOOKUP(D3894,'Detail Balok'!$C$10:$BJ$110,60,FALSE)</f>
        <v>100</v>
      </c>
      <c r="J3920">
        <f>(D3895-2*F$5)/1000</f>
        <v>0.12</v>
      </c>
      <c r="K3920" t="str">
        <v>+</v>
      </c>
      <c r="L3920">
        <f>IF(D3920=0,2*MAX(6*F3920,75),(D3920-1)*2*MAX(6*F3920,75))/1000</f>
        <v>0.15</v>
      </c>
      <c r="M3920" t="str">
        <v>=</v>
      </c>
      <c r="N3920">
        <f>J3920+L3920</f>
        <v>0.27</v>
      </c>
      <c r="T3920" t="str">
        <v>x</v>
      </c>
      <c r="U3920">
        <f>0.006165*F3920^2</f>
        <v>0</v>
      </c>
      <c r="V3920" t="str">
        <v>x</v>
      </c>
      <c r="W3920">
        <f>W3916</f>
        <v>0</v>
      </c>
      <c r="X3920" t="str">
        <v>x</v>
      </c>
      <c r="Y3920">
        <f>D3904</f>
        <v>2</v>
      </c>
      <c r="Z3920" t="str">
        <v>=</v>
      </c>
      <c r="AA3920">
        <f>N3920*U3920*W3920*Y3920</f>
        <v>0</v>
      </c>
    </row>
    <row r="3924">
      <c r="A3924" t="str">
        <f>A3894</f>
        <v>Lantai 1</v>
      </c>
      <c r="B3924">
        <f>B3894+1</f>
        <v>34</v>
      </c>
      <c r="C3924" t="str">
        <f>CONCATENATE(A3924," no. ",B3924)</f>
        <v>Lantai 1 no. 34</v>
      </c>
      <c r="D3924" t="str">
        <f>VLOOKUP(C3924,'Data Panjang Balok'!$C$9:$N$424,2,FALSE)</f>
        <v>B245-1</v>
      </c>
    </row>
    <row r="3925">
      <c r="C3925" t="str">
        <v>Dimensi</v>
      </c>
      <c r="D3925">
        <f>VLOOKUP(D3924,'Detail Balok'!$C$10:$AU$110,2,FALSE)</f>
        <v>200</v>
      </c>
      <c r="F3925" t="str">
        <v>x</v>
      </c>
      <c r="G3925">
        <f>VLOOKUP(D3924,'Detail Balok'!$C$10:$AU$110,3,FALSE)</f>
        <v>450</v>
      </c>
    </row>
    <row r="3926">
      <c r="C3926" t="str">
        <v>Panjang as ke as</v>
      </c>
      <c r="D3926">
        <f>VLOOKUP(C3924,'Data Panjang Balok'!$C$9:$N$424,4,FALSE)</f>
        <v>3135</v>
      </c>
    </row>
    <row r="3927">
      <c r="C3927" t="str">
        <v>Panjang netto</v>
      </c>
      <c r="D3927">
        <f>VLOOKUP(C3924,'Data Panjang Balok'!$C$9:$N$424,7,FALSE)</f>
        <v>3135</v>
      </c>
    </row>
    <row r="3928">
      <c r="C3928" t="str">
        <v>Kolom / balok kiri</v>
      </c>
      <c r="D3928">
        <f>VLOOKUP(C3924,'Data Panjang Balok'!$C$9:$N$424,9,FALSE)</f>
        <v>0</v>
      </c>
    </row>
    <row r="3929">
      <c r="C3929" t="str">
        <v>Kolom / balok kanan</v>
      </c>
      <c r="D3929">
        <f>VLOOKUP(C3924,'Data Panjang Balok'!$C$9:$N$424,10,FALSE)</f>
        <v>0</v>
      </c>
    </row>
    <row r="3930">
      <c r="C3930" t="str">
        <v>Jumlah</v>
      </c>
      <c r="D3930">
        <f>VLOOKUP(C3924,'Data Panjang Balok'!$C$9:$N$424,3,FALSE)</f>
        <v>1</v>
      </c>
    </row>
    <row r="3931">
      <c r="A3931" t="str">
        <f>A3924</f>
        <v>Lantai 1</v>
      </c>
      <c r="B3931">
        <f>B3924</f>
        <v>34</v>
      </c>
      <c r="C3931" t="str">
        <v>Tul Atas Tumpuan</v>
      </c>
      <c r="D3931">
        <f>VLOOKUP(D3924,'Detail Balok'!$C$10:$AU$110,4,FALSE)</f>
        <v>2</v>
      </c>
      <c r="E3931" t="str">
        <v>D</v>
      </c>
      <c r="F3931">
        <f>VLOOKUP(D3924,'Detail Balok'!$C$10:$AU$110,6,FALSE)</f>
        <v>13</v>
      </c>
      <c r="I3931" t="str">
        <v>(</v>
      </c>
      <c r="J3931">
        <f>+D3926/4/1000</f>
        <v>0.78375</v>
      </c>
      <c r="K3931" t="str">
        <v>+</v>
      </c>
      <c r="L3931">
        <f>MAX(VLOOKUP(F3931,N$6:P$15,3,FALSE)/1000,2/3*D3928/1000)+F$16*F3931/1000</f>
        <v>0.156</v>
      </c>
      <c r="M3931" t="str">
        <v>=</v>
      </c>
      <c r="N3931">
        <f>J3931+L3931</f>
        <v>0.93975</v>
      </c>
      <c r="O3931" t="str">
        <v>+</v>
      </c>
      <c r="P3931">
        <f>D3931-D3932</f>
        <v>0</v>
      </c>
      <c r="Q3931" t="str">
        <v>x</v>
      </c>
      <c r="R3931">
        <f>IF(P3931&gt;0,$F$18*F3931/1000,0)</f>
        <v>0</v>
      </c>
      <c r="S3931" t="str">
        <v>)</v>
      </c>
      <c r="T3931" t="str">
        <v>x</v>
      </c>
      <c r="U3931">
        <f>0.006165*F3931^2</f>
        <v>1.041885</v>
      </c>
      <c r="X3931" t="str">
        <v>x</v>
      </c>
      <c r="Y3931">
        <f>D3930</f>
        <v>1</v>
      </c>
      <c r="Z3931" t="str">
        <v>=</v>
      </c>
      <c r="AA3931">
        <f>IF(AA3934=0,(D3931*N3931+P3931*R3931)*U3931*Y3931,0)</f>
        <v>0</v>
      </c>
    </row>
    <row r="3932">
      <c r="A3932" t="str">
        <f>A3924</f>
        <v>Lantai 1</v>
      </c>
      <c r="B3932">
        <f>B3924</f>
        <v>34</v>
      </c>
      <c r="C3932" t="str">
        <v>Tul Atas Lapangan</v>
      </c>
      <c r="D3932">
        <f>VLOOKUP(D3924,'Detail Balok'!$C$10:$AU$110,7,FALSE)</f>
        <v>2</v>
      </c>
      <c r="E3932" t="str">
        <v>D</v>
      </c>
      <c r="F3932">
        <f>VLOOKUP(D3924,'Detail Balok'!$C$10:$AU$110,9,FALSE)</f>
        <v>13</v>
      </c>
      <c r="I3932" t="str">
        <v>(</v>
      </c>
      <c r="J3932">
        <f>+D3926/2/1000</f>
        <v>1.5675</v>
      </c>
      <c r="K3932" t="str">
        <v>+</v>
      </c>
      <c r="M3932" t="str">
        <v>=</v>
      </c>
      <c r="N3932">
        <f>J3932+L3932</f>
        <v>1.5675</v>
      </c>
      <c r="O3932" t="str">
        <v>+</v>
      </c>
      <c r="P3932">
        <f>MAX(D3932-D3931,D3932-D3933)</f>
        <v>0</v>
      </c>
      <c r="Q3932" t="str">
        <v>x</v>
      </c>
      <c r="R3932">
        <f>IF(P3932&gt;0,2*(1-2*$F$19-1/2)*D3927/1000,0)</f>
        <v>0</v>
      </c>
      <c r="S3932" t="str">
        <v>)</v>
      </c>
      <c r="T3932" t="str">
        <v>x</v>
      </c>
      <c r="U3932">
        <f>0.006165*F3932^2</f>
        <v>1.041885</v>
      </c>
      <c r="X3932" t="str">
        <v>x</v>
      </c>
      <c r="Y3932">
        <f>D3930</f>
        <v>1</v>
      </c>
      <c r="Z3932" t="str">
        <v>=</v>
      </c>
      <c r="AA3932">
        <f>IF(AA3934=0,(D3932*N3932+P3932*R3932)*U3932*Y3932,0)</f>
        <v>0</v>
      </c>
    </row>
    <row r="3933">
      <c r="A3933" t="str">
        <f>A3924</f>
        <v>Lantai 1</v>
      </c>
      <c r="B3933">
        <f>B3924</f>
        <v>34</v>
      </c>
      <c r="C3933" t="str">
        <v>Tul Atas Tumpuan</v>
      </c>
      <c r="D3933">
        <f>VLOOKUP(D3924,'Detail Balok'!$C$10:$AU$110,10,FALSE)</f>
        <v>2</v>
      </c>
      <c r="E3933" t="str">
        <v>D</v>
      </c>
      <c r="F3933">
        <f>VLOOKUP(D3924,'Detail Balok'!$C$10:$AU$110,12,FALSE)</f>
        <v>13</v>
      </c>
      <c r="I3933" t="str">
        <v>(</v>
      </c>
      <c r="J3933">
        <f>+D3926/4/1000</f>
        <v>0.78375</v>
      </c>
      <c r="K3933" t="str">
        <v>+</v>
      </c>
      <c r="L3933">
        <f>MAX(VLOOKUP(F3933,N$6:P$15,3,FALSE)/1000,2/3*D3928/1000)+F$16*F3933/1000</f>
        <v>0.156</v>
      </c>
      <c r="M3933" t="str">
        <v>=</v>
      </c>
      <c r="N3933">
        <f>J3933+L3933</f>
        <v>0.93975</v>
      </c>
      <c r="O3933" t="str">
        <v>+</v>
      </c>
      <c r="P3933">
        <f>D3933-D3932</f>
        <v>0</v>
      </c>
      <c r="Q3933" t="str">
        <v>x</v>
      </c>
      <c r="R3933">
        <f>IF(P3933&gt;0,$F$18*F3933/1000,0)</f>
        <v>0</v>
      </c>
      <c r="S3933" t="str">
        <v>)</v>
      </c>
      <c r="T3933" t="str">
        <v>x</v>
      </c>
      <c r="U3933">
        <f>0.006165*F3933^2</f>
        <v>1.041885</v>
      </c>
      <c r="X3933" t="str">
        <v>x</v>
      </c>
      <c r="Y3933">
        <f>D3930</f>
        <v>1</v>
      </c>
      <c r="Z3933" t="str">
        <v>=</v>
      </c>
      <c r="AA3933">
        <f>IF(AA3934=0,(D3933*N3933+P3933*R3933)*U3933*Y3933,0)</f>
        <v>0</v>
      </c>
    </row>
    <row r="3934">
      <c r="A3934" t="str">
        <f>A3924</f>
        <v>Lantai 1</v>
      </c>
      <c r="B3934">
        <f>B3924</f>
        <v>34</v>
      </c>
      <c r="D3934">
        <f>IF(AND(D3931=D3932,D3932=D3933,D3931=D3933),D3931,0)</f>
        <v>2</v>
      </c>
      <c r="E3934" t="str">
        <v>D</v>
      </c>
      <c r="F3934">
        <f>IF(AND(F3931=F3932,F3931=F3933,F3932=F3933),F3931,0)</f>
        <v>13</v>
      </c>
      <c r="L3934" t="str">
        <v>Total panjang per balok</v>
      </c>
      <c r="M3934" t="str">
        <v>=</v>
      </c>
      <c r="N3934">
        <f>IF(AND(D3931=D3932,D3931=D3933,D3932=D3933,F3931=F3932,F3931=F3933,F3932=F3933),SUM(N3931:N3933),0)</f>
        <v>3.447</v>
      </c>
      <c r="O3934" t="str">
        <v>+</v>
      </c>
      <c r="P3934">
        <f>IF(N3934&gt;12,ROUNDDOWN(N3934/12,0),0)</f>
        <v>0</v>
      </c>
      <c r="Q3934" t="str">
        <v>x</v>
      </c>
      <c r="R3934">
        <f>IF(P3934&gt;0,MAX(VLOOKUP(F3934,$D$6:$G$15,3,FALSE),600),0)/1000</f>
        <v>0</v>
      </c>
      <c r="T3934" t="str">
        <v>x</v>
      </c>
      <c r="U3934">
        <f>U3933</f>
        <v>1.041885</v>
      </c>
      <c r="V3934" t="str">
        <v>x</v>
      </c>
      <c r="W3934">
        <f>D3934</f>
        <v>2</v>
      </c>
      <c r="X3934" t="str">
        <v>x</v>
      </c>
      <c r="Y3934">
        <f>Y3933</f>
        <v>1</v>
      </c>
      <c r="Z3934" t="str">
        <v>=</v>
      </c>
      <c r="AA3934">
        <f>(N3934+P3934*R3934/1000)*U3934*W3934*Y3934</f>
        <v>7.18275519</v>
      </c>
    </row>
    <row r="3936">
      <c r="A3936" t="str">
        <f>A3924</f>
        <v>Lantai 1</v>
      </c>
      <c r="B3936">
        <f>B3924</f>
        <v>34</v>
      </c>
      <c r="C3936" t="str">
        <v>Tul Peminggang</v>
      </c>
      <c r="D3936">
        <f>VLOOKUP(D3924,'Detail Balok'!$C$10:$AU$110,13,FALSE)</f>
        <v>2</v>
      </c>
      <c r="E3936" t="str">
        <v>D</v>
      </c>
      <c r="F3936">
        <f>VLOOKUP(D3924,'Detail Balok'!$C$10:$AU$110,15,FALSE)</f>
        <v>8</v>
      </c>
      <c r="J3936">
        <f>+D3926/1000</f>
        <v>3.135</v>
      </c>
      <c r="K3936" t="str">
        <v>+</v>
      </c>
      <c r="L3936">
        <f>2*$F$16*F3936/1000</f>
        <v>0.192</v>
      </c>
      <c r="M3936" t="str">
        <v>=</v>
      </c>
      <c r="N3936">
        <f>J3936+L3936</f>
        <v>3.327</v>
      </c>
      <c r="O3936" t="str">
        <v>+</v>
      </c>
      <c r="P3936">
        <f>IF(N3936&gt;12,ROUNDDOWN(N3936/12,0),0)</f>
        <v>0</v>
      </c>
      <c r="Q3936" t="str">
        <v>x</v>
      </c>
      <c r="R3936">
        <f>IF(P3936&gt;0,MAX(VLOOKUP(F3936,$D$6:$G$15,3,FALSE),600),0)/1000</f>
        <v>0</v>
      </c>
      <c r="T3936" t="str">
        <v>x</v>
      </c>
      <c r="U3936">
        <f>0.006165*F3936^2</f>
        <v>0.39456</v>
      </c>
      <c r="V3936" t="str">
        <v>x</v>
      </c>
      <c r="W3936">
        <f>+D3936</f>
        <v>2</v>
      </c>
      <c r="X3936" t="str">
        <v>x</v>
      </c>
      <c r="Y3936">
        <f>D3930</f>
        <v>1</v>
      </c>
      <c r="Z3936" t="str">
        <v>=</v>
      </c>
      <c r="AA3936">
        <f>(N3936+P3936*R3936/1000)*U3936*W3936*Y3936</f>
        <v>2.62540224</v>
      </c>
    </row>
    <row r="3939">
      <c r="A3939" t="str">
        <f>A3924</f>
        <v>Lantai 1</v>
      </c>
      <c r="B3939">
        <f>B3924</f>
        <v>34</v>
      </c>
      <c r="C3939" t="str">
        <v>Tul Bawah Tumpuan</v>
      </c>
      <c r="D3939">
        <f>VLOOKUP(D3924,'Detail Balok'!$C$10:$AU$110,22,FALSE)</f>
        <v>2</v>
      </c>
      <c r="E3939" t="str">
        <v>D</v>
      </c>
      <c r="F3939">
        <f>VLOOKUP(D3924,'Detail Balok'!$C$10:$AU$110,24,FALSE)</f>
        <v>13</v>
      </c>
      <c r="I3939" t="str">
        <v>(</v>
      </c>
      <c r="J3939">
        <f>+J3931</f>
        <v>0.78375</v>
      </c>
      <c r="K3939" t="str">
        <v>+</v>
      </c>
      <c r="L3939">
        <f>MAX(VLOOKUP(F3939,N$6:P$15,3,FALSE)/1000,2/3*D3929/1000)+F$16*F3939/1000</f>
        <v>0.156</v>
      </c>
      <c r="M3939" t="str">
        <v>=</v>
      </c>
      <c r="N3939">
        <f>J3939+L3939</f>
        <v>0.93975</v>
      </c>
      <c r="O3939" t="str">
        <v>+</v>
      </c>
      <c r="P3939">
        <f>D3939-D3940</f>
        <v>0</v>
      </c>
      <c r="Q3939" t="str">
        <v>x</v>
      </c>
      <c r="R3939">
        <f>IF(P3939&gt;0,$F$18*F3939/1000,0)</f>
        <v>0</v>
      </c>
      <c r="S3939" t="str">
        <v>)</v>
      </c>
      <c r="T3939" t="str">
        <v>x</v>
      </c>
      <c r="U3939">
        <f>0.006165*F3939^2</f>
        <v>1.041885</v>
      </c>
      <c r="X3939" t="str">
        <v>x</v>
      </c>
      <c r="Y3939">
        <f>D3930</f>
        <v>1</v>
      </c>
      <c r="Z3939" t="str">
        <v>=</v>
      </c>
      <c r="AA3939">
        <f>IF(AA3942=0,(D3939*N3939+P3939*R3939)*U3939*Y3939,0)</f>
        <v>0</v>
      </c>
    </row>
    <row r="3940">
      <c r="A3940" t="str">
        <f>A3924</f>
        <v>Lantai 1</v>
      </c>
      <c r="B3940">
        <f>B3924</f>
        <v>34</v>
      </c>
      <c r="C3940" t="str">
        <v>Tul Bawah Lapangan</v>
      </c>
      <c r="D3940">
        <f>VLOOKUP(D3924,'Detail Balok'!$C$10:$AU$110,25,FALSE)</f>
        <v>2</v>
      </c>
      <c r="E3940" t="str">
        <v>D</v>
      </c>
      <c r="F3940">
        <f>VLOOKUP(D3924,'Detail Balok'!$C$10:$AU$110,27,FALSE)</f>
        <v>13</v>
      </c>
      <c r="I3940" t="str">
        <v>(</v>
      </c>
      <c r="J3940">
        <f>+J3932</f>
        <v>1.5675</v>
      </c>
      <c r="K3940" t="str">
        <v>+</v>
      </c>
      <c r="M3940" t="str">
        <v>=</v>
      </c>
      <c r="N3940">
        <f>J3940+L3940</f>
        <v>1.5675</v>
      </c>
      <c r="O3940" t="str">
        <v>+</v>
      </c>
      <c r="P3940">
        <f>MAX(D3940-D3939,D3940-D3941)</f>
        <v>0</v>
      </c>
      <c r="Q3940" t="str">
        <v>x</v>
      </c>
      <c r="R3940">
        <f>IF(P3940&gt;0,2*(1-2*$F$19-1/2)*D3927/1000,0)</f>
        <v>0</v>
      </c>
      <c r="S3940" t="str">
        <v>)</v>
      </c>
      <c r="T3940" t="str">
        <v>x</v>
      </c>
      <c r="U3940">
        <f>0.006165*F3940^2</f>
        <v>1.041885</v>
      </c>
      <c r="X3940" t="str">
        <v>x</v>
      </c>
      <c r="Y3940">
        <f>D3930</f>
        <v>1</v>
      </c>
      <c r="Z3940" t="str">
        <v>=</v>
      </c>
      <c r="AA3940">
        <f>IF(AA3942=0,(D3940*N3940+P3940*R3940)*U3940*Y3940,0)</f>
        <v>0</v>
      </c>
    </row>
    <row r="3941">
      <c r="A3941" t="str">
        <f>A3924</f>
        <v>Lantai 1</v>
      </c>
      <c r="B3941">
        <f>B3924</f>
        <v>34</v>
      </c>
      <c r="C3941" t="str">
        <v>Tul Bawah Tumpuan</v>
      </c>
      <c r="D3941">
        <f>VLOOKUP(D3924,'Detail Balok'!$C$10:$AU$110,28,FALSE)</f>
        <v>2</v>
      </c>
      <c r="E3941" t="str">
        <v>D</v>
      </c>
      <c r="F3941">
        <f>VLOOKUP(D3924,'Detail Balok'!$C$10:$AU$110,30,FALSE)</f>
        <v>13</v>
      </c>
      <c r="I3941" t="str">
        <v>(</v>
      </c>
      <c r="J3941">
        <f>+J3933</f>
        <v>0.78375</v>
      </c>
      <c r="K3941" t="str">
        <v>+</v>
      </c>
      <c r="L3941">
        <f>MAX(VLOOKUP(F3941,N$6:P$15,3,FALSE)/1000,2/3*D3929/1000)+F$16*F3941/1000</f>
        <v>0.156</v>
      </c>
      <c r="M3941" t="str">
        <v>=</v>
      </c>
      <c r="N3941">
        <f>J3941+L3941</f>
        <v>0.93975</v>
      </c>
      <c r="O3941" t="str">
        <v>+</v>
      </c>
      <c r="P3941">
        <f>D3941-D3940</f>
        <v>0</v>
      </c>
      <c r="Q3941" t="str">
        <v>x</v>
      </c>
      <c r="R3941">
        <f>IF(P3941&gt;0,$F$18*F3941/1000,0)</f>
        <v>0</v>
      </c>
      <c r="S3941" t="str">
        <v>)</v>
      </c>
      <c r="T3941" t="str">
        <v>x</v>
      </c>
      <c r="U3941">
        <f>0.006165*F3941^2</f>
        <v>1.041885</v>
      </c>
      <c r="X3941" t="str">
        <v>x</v>
      </c>
      <c r="Y3941">
        <f>D3930</f>
        <v>1</v>
      </c>
      <c r="Z3941" t="str">
        <v>=</v>
      </c>
      <c r="AA3941">
        <f>IF(AA3942=0,(D3941*N3941+P3941*R3941)*U3941*Y3941,0)</f>
        <v>0</v>
      </c>
    </row>
    <row r="3942">
      <c r="A3942" t="str">
        <f>A3924</f>
        <v>Lantai 1</v>
      </c>
      <c r="B3942">
        <f>B3924</f>
        <v>34</v>
      </c>
      <c r="D3942">
        <f>IF(AND(D3939=D3940,D3940=D3941,D3939=D3941),D3939,0)</f>
        <v>2</v>
      </c>
      <c r="E3942" t="str">
        <v>D</v>
      </c>
      <c r="F3942">
        <f>IF(AND(F3939=F3940,F3939=F3941,F3940=F3941),F3939,0)</f>
        <v>13</v>
      </c>
      <c r="L3942" t="str">
        <v>Total panjang per balok</v>
      </c>
      <c r="M3942" t="str">
        <v>=</v>
      </c>
      <c r="N3942">
        <f>IF(AND(D3939=D3940,D3939=D3941,D3940=D3941,F3939=F3940,F3939=F3941,F3940=F3941),SUM(N3939:N3941),0)</f>
        <v>3.447</v>
      </c>
      <c r="O3942" t="str">
        <v>+</v>
      </c>
      <c r="P3942">
        <f>IF(N3942&gt;12,ROUNDDOWN(N3942/12,0),0)</f>
        <v>0</v>
      </c>
      <c r="Q3942" t="str">
        <v>x</v>
      </c>
      <c r="R3942">
        <f>IF(P3942&gt;0,MAX(VLOOKUP(F3942,$D$6:$G$15,3,FALSE),600),0)/1000</f>
        <v>0</v>
      </c>
      <c r="T3942" t="str">
        <v>x</v>
      </c>
      <c r="U3942">
        <f>U3941</f>
        <v>1.041885</v>
      </c>
      <c r="V3942" t="str">
        <v>x</v>
      </c>
      <c r="W3942">
        <f>D3942</f>
        <v>2</v>
      </c>
      <c r="X3942" t="str">
        <v>x</v>
      </c>
      <c r="Y3942">
        <f>Y3941</f>
        <v>1</v>
      </c>
      <c r="Z3942" t="str">
        <v>=</v>
      </c>
      <c r="AA3942">
        <f>(N3942+P3942*R3942/1000)*U3942*W3942*Y3942</f>
        <v>7.18275519</v>
      </c>
    </row>
    <row r="3944">
      <c r="A3944" t="str">
        <f>A3924</f>
        <v>Lantai 1</v>
      </c>
      <c r="B3944">
        <f>B3924</f>
        <v>34</v>
      </c>
      <c r="C3944" t="str">
        <v>Sengkang Tumpuan</v>
      </c>
      <c r="D3944">
        <f>VLOOKUP(D3924,'Detail Balok'!$C$10:$AU$110,31,FALSE)</f>
        <v>0</v>
      </c>
      <c r="E3944" t="str">
        <v>D</v>
      </c>
      <c r="F3944">
        <f>VLOOKUP(D3924,'Detail Balok'!$C$10:$AU$110,33,FALSE)</f>
        <v>8</v>
      </c>
      <c r="G3944" t="str">
        <v>-</v>
      </c>
      <c r="H3944">
        <f>VLOOKUP(D3924,'Detail Balok'!$C$10:$AU$110,35,FALSE)</f>
        <v>100</v>
      </c>
      <c r="J3944">
        <f>(IF(D3944=0,(2*(D3925+G3925))-(F$5*8),IF(D3944=3,(2*(D3925+G3925))-(F$5*8)+(G3925-2*F$5),IF(D3944=4,(2*(D3925+G3925))-(F$5*8)+2*(G3925-2*F$5)))))/1000</f>
        <v>0.98</v>
      </c>
      <c r="K3944" t="str">
        <v>+</v>
      </c>
      <c r="L3944">
        <f>IF(D3944=0,2*MAX(6*F3944,75),(D3944-1)*2*MAX(6*F3944,75))/1000</f>
        <v>0.15</v>
      </c>
      <c r="M3944" t="str">
        <v>=</v>
      </c>
      <c r="N3944">
        <f>J3944+L3944</f>
        <v>1.13</v>
      </c>
      <c r="T3944" t="str">
        <v>x</v>
      </c>
      <c r="U3944">
        <f>0.006165*F3944^2</f>
        <v>0.39456</v>
      </c>
      <c r="V3944" t="str">
        <v>x</v>
      </c>
      <c r="W3944">
        <f>IF(D3927&gt;4*G3925,ROUND(MAX(D3927/4,2*G3925)/H3944,0)+1,ROUND(D3927/H3944,0)+1)</f>
        <v>10</v>
      </c>
      <c r="X3944" t="str">
        <v>x</v>
      </c>
      <c r="Y3944">
        <f>D3930</f>
        <v>1</v>
      </c>
      <c r="Z3944" t="str">
        <v>=</v>
      </c>
      <c r="AA3944">
        <f>N3944*U3944*W3944*Y3944</f>
        <v>4.458528</v>
      </c>
    </row>
    <row r="3945">
      <c r="A3945" t="str">
        <f>A3924</f>
        <v>Lantai 1</v>
      </c>
      <c r="B3945">
        <f>B3924</f>
        <v>34</v>
      </c>
      <c r="C3945" t="str">
        <v>Sengkang Lapangan</v>
      </c>
      <c r="D3945">
        <f>VLOOKUP(D3924,'Detail Balok'!$C$10:$AU$110,36,FALSE)</f>
        <v>0</v>
      </c>
      <c r="E3945" t="str">
        <v>D</v>
      </c>
      <c r="F3945">
        <f>VLOOKUP(D3924,'Detail Balok'!$C$10:$AU$110,38,FALSE)</f>
        <v>8</v>
      </c>
      <c r="G3945" t="str">
        <v>-</v>
      </c>
      <c r="H3945">
        <f>VLOOKUP(D3924,'Detail Balok'!$C$10:$AU$110,40,FALSE)</f>
        <v>200</v>
      </c>
      <c r="J3945">
        <f>(IF(D3945=0,(2*(D3925+G3925))-(F$5*8),IF(D3945=3,(2*(D3925+G3925))-(F$5*8)+(G3925-2*F$5),IF(D3945=4,(2*(D3925+G3925))-(F$5*8)+2*(G3925-2*F$5)))))/1000</f>
        <v>0.98</v>
      </c>
      <c r="K3945" t="str">
        <v>+</v>
      </c>
      <c r="L3945">
        <f>IF(D3945=0,2*MAX(6*F3945,75),(D3945-1)*2*MAX(6*F3945,75))/1000</f>
        <v>0.15</v>
      </c>
      <c r="M3945" t="str">
        <v>=</v>
      </c>
      <c r="N3945">
        <f>J3945+L3945</f>
        <v>1.13</v>
      </c>
      <c r="T3945" t="str">
        <v>x</v>
      </c>
      <c r="U3945">
        <f>0.006165*F3945^2</f>
        <v>0.39456</v>
      </c>
      <c r="V3945" t="str">
        <v>x</v>
      </c>
      <c r="W3945">
        <f>IF(D3927-MAX(D3927/4,2*G3925)*2&gt;0,ROUND((D3927-MAX(D3927/4,2*G3925)*2)/H3945,0),0)</f>
        <v>7</v>
      </c>
      <c r="X3945" t="str">
        <v>x</v>
      </c>
      <c r="Y3945">
        <f>D3930</f>
        <v>1</v>
      </c>
      <c r="Z3945" t="str">
        <v>=</v>
      </c>
      <c r="AA3945">
        <f>N3945*U3945*W3945*Y3945</f>
        <v>3.1209696</v>
      </c>
    </row>
    <row r="3946">
      <c r="A3946" t="str">
        <f>A3924</f>
        <v>Lantai 1</v>
      </c>
      <c r="B3946">
        <f>B3924</f>
        <v>34</v>
      </c>
      <c r="C3946" t="str">
        <v>Sengkang Tumpuan</v>
      </c>
      <c r="D3946">
        <f>VLOOKUP(D3924,'Detail Balok'!$C$10:$AU$110,41,FALSE)</f>
        <v>0</v>
      </c>
      <c r="E3946" t="str">
        <v>D</v>
      </c>
      <c r="F3946">
        <f>VLOOKUP(D3924,'Detail Balok'!$C$10:$AU$110,43,FALSE)</f>
        <v>8</v>
      </c>
      <c r="G3946" t="str">
        <v>-</v>
      </c>
      <c r="H3946">
        <f>VLOOKUP(D3924,'Detail Balok'!$C$10:$AU$110,45,FALSE)</f>
        <v>100</v>
      </c>
      <c r="J3946">
        <f>(IF(D3946=0,(2*(D3925+G3925))-(F$5*8),IF(D3946=3,(2*(D3925+G3925))-(F$5*8)+(G3925-2*F$5),IF(D3946=4,(2*(D3925+G3925))-(F$5*8)+2*(G3925-2*F$5)))))/1000</f>
        <v>0.98</v>
      </c>
      <c r="K3946" t="str">
        <v>+</v>
      </c>
      <c r="L3946">
        <f>IF(D3946=0,2*MAX(6*F3946,75),(D3946-1)*2*MAX(6*F3946,75))/1000</f>
        <v>0.15</v>
      </c>
      <c r="M3946" t="str">
        <v>=</v>
      </c>
      <c r="N3946">
        <f>J3946+L3946</f>
        <v>1.13</v>
      </c>
      <c r="T3946" t="str">
        <v>x</v>
      </c>
      <c r="U3946">
        <f>0.006165*F3946^2</f>
        <v>0.39456</v>
      </c>
      <c r="V3946" t="str">
        <v>x</v>
      </c>
      <c r="W3946">
        <f>IF(D3927&gt;4*G3925,ROUND(MAX(D3927/4,2*G3925)/H3946,0)+1,0)</f>
        <v>10</v>
      </c>
      <c r="X3946" t="str">
        <v>x</v>
      </c>
      <c r="Y3946">
        <f>D3930</f>
        <v>1</v>
      </c>
      <c r="Z3946" t="str">
        <v>=</v>
      </c>
      <c r="AA3946">
        <f>N3946*U3946*W3946*Y3946</f>
        <v>4.458528</v>
      </c>
    </row>
    <row r="3948">
      <c r="A3948" t="str">
        <f>A3924</f>
        <v>Lantai 1</v>
      </c>
      <c r="B3948">
        <f>B3924</f>
        <v>34</v>
      </c>
      <c r="C3948" t="str">
        <v>Kait Horizontal Tump.</v>
      </c>
      <c r="D3948">
        <f>VLOOKUP(D3924,'Detail Balok'!$C$10:$BJ$110,46,FALSE)</f>
        <v>0</v>
      </c>
      <c r="E3948" t="str">
        <v>D</v>
      </c>
      <c r="F3948">
        <f>VLOOKUP(D3924,'Detail Balok'!$C$10:$BJ$110,48,FALSE)</f>
        <v>0</v>
      </c>
      <c r="G3948" t="str">
        <v>-</v>
      </c>
      <c r="H3948">
        <f>VLOOKUP(D3924,'Detail Balok'!$C$10:$BJ$110,50,FALSE)</f>
        <v>100</v>
      </c>
      <c r="J3948">
        <f>(D3925-2*F$5)/1000</f>
        <v>0.12</v>
      </c>
      <c r="K3948" t="str">
        <v>+</v>
      </c>
      <c r="L3948">
        <f>IF(D3948=0,2*MAX(6*F3948,75),(D3948-1)*2*MAX(6*F3948,75))/1000</f>
        <v>0.15</v>
      </c>
      <c r="M3948" t="str">
        <v>=</v>
      </c>
      <c r="N3948">
        <f>J3948+L3948</f>
        <v>0.27</v>
      </c>
      <c r="T3948" t="str">
        <v>x</v>
      </c>
      <c r="U3948">
        <f>0.006165*F3948^2</f>
        <v>0</v>
      </c>
      <c r="V3948" t="str">
        <v>x</v>
      </c>
      <c r="W3948">
        <f>W3944</f>
        <v>10</v>
      </c>
      <c r="X3948" t="str">
        <v>x</v>
      </c>
      <c r="Y3948">
        <f>D3934</f>
        <v>2</v>
      </c>
      <c r="Z3948" t="str">
        <v>=</v>
      </c>
      <c r="AA3948">
        <f>N3948*U3948*W3948*Y3948</f>
        <v>0</v>
      </c>
    </row>
    <row r="3949">
      <c r="A3949" t="str">
        <f>A3924</f>
        <v>Lantai 1</v>
      </c>
      <c r="B3949">
        <f>B3924</f>
        <v>34</v>
      </c>
      <c r="C3949" t="str">
        <v>Kait Horizontal Lap.</v>
      </c>
      <c r="D3949">
        <f>VLOOKUP(D3924,'Detail Balok'!$C$10:$BJ$110,51,FALSE)</f>
        <v>0</v>
      </c>
      <c r="E3949" t="str">
        <v>D</v>
      </c>
      <c r="F3949">
        <f>VLOOKUP(D3924,'Detail Balok'!$C$10:$BJ$110,53,FALSE)</f>
        <v>0</v>
      </c>
      <c r="G3949" t="str">
        <v>-</v>
      </c>
      <c r="H3949">
        <f>VLOOKUP(D3924,'Detail Balok'!$C$10:$BJ$110,55,FALSE)</f>
        <v>100</v>
      </c>
      <c r="J3949">
        <f>(D3925-2*F$5)/1000</f>
        <v>0.12</v>
      </c>
      <c r="K3949" t="str">
        <v>+</v>
      </c>
      <c r="L3949">
        <f>IF(D3949=0,2*MAX(6*F3949,75),(D3949-1)*2*MAX(6*F3949,75))/1000</f>
        <v>0.15</v>
      </c>
      <c r="M3949" t="str">
        <v>=</v>
      </c>
      <c r="N3949">
        <f>J3949+L3949</f>
        <v>0.27</v>
      </c>
      <c r="T3949" t="str">
        <v>x</v>
      </c>
      <c r="U3949">
        <f>0.006165*F3949^2</f>
        <v>0</v>
      </c>
      <c r="V3949" t="str">
        <v>x</v>
      </c>
      <c r="W3949">
        <f>W3945</f>
        <v>7</v>
      </c>
      <c r="X3949" t="str">
        <v>x</v>
      </c>
      <c r="Y3949">
        <f>D3934</f>
        <v>2</v>
      </c>
      <c r="Z3949" t="str">
        <v>=</v>
      </c>
      <c r="AA3949">
        <f>N3949*U3949*W3949*Y3949</f>
        <v>0</v>
      </c>
    </row>
    <row r="3950">
      <c r="A3950" t="str">
        <f>A3924</f>
        <v>Lantai 1</v>
      </c>
      <c r="B3950">
        <f>B3924</f>
        <v>34</v>
      </c>
      <c r="C3950" t="str">
        <v>Kait Horizontal Tump.</v>
      </c>
      <c r="D3950">
        <f>VLOOKUP(D3924,'Detail Balok'!$C$10:$BJ$110,56,FALSE)</f>
        <v>0</v>
      </c>
      <c r="E3950" t="str">
        <v>D</v>
      </c>
      <c r="F3950">
        <f>VLOOKUP(D3924,'Detail Balok'!$C$10:$BJ$110,58,FALSE)</f>
        <v>0</v>
      </c>
      <c r="G3950" t="str">
        <v>-</v>
      </c>
      <c r="H3950">
        <f>VLOOKUP(D3924,'Detail Balok'!$C$10:$BJ$110,60,FALSE)</f>
        <v>100</v>
      </c>
      <c r="J3950">
        <f>(D3925-2*F$5)/1000</f>
        <v>0.12</v>
      </c>
      <c r="K3950" t="str">
        <v>+</v>
      </c>
      <c r="L3950">
        <f>IF(D3950=0,2*MAX(6*F3950,75),(D3950-1)*2*MAX(6*F3950,75))/1000</f>
        <v>0.15</v>
      </c>
      <c r="M3950" t="str">
        <v>=</v>
      </c>
      <c r="N3950">
        <f>J3950+L3950</f>
        <v>0.27</v>
      </c>
      <c r="T3950" t="str">
        <v>x</v>
      </c>
      <c r="U3950">
        <f>0.006165*F3950^2</f>
        <v>0</v>
      </c>
      <c r="V3950" t="str">
        <v>x</v>
      </c>
      <c r="W3950">
        <f>W3946</f>
        <v>10</v>
      </c>
      <c r="X3950" t="str">
        <v>x</v>
      </c>
      <c r="Y3950">
        <f>D3934</f>
        <v>2</v>
      </c>
      <c r="Z3950" t="str">
        <v>=</v>
      </c>
      <c r="AA3950">
        <f>N3950*U3950*W3950*Y3950</f>
        <v>0</v>
      </c>
    </row>
    <row r="3954">
      <c r="A3954" t="str">
        <f>A3924</f>
        <v>Lantai 1</v>
      </c>
      <c r="B3954">
        <f>B3924+1</f>
        <v>35</v>
      </c>
      <c r="C3954" t="str">
        <f>CONCATENATE(A3954," no. ",B3954)</f>
        <v>Lantai 1 no. 35</v>
      </c>
      <c r="D3954" t="str">
        <f>VLOOKUP(C3954,'Data Panjang Balok'!$C$9:$N$424,2,FALSE)</f>
        <v>B47-1</v>
      </c>
    </row>
    <row r="3955">
      <c r="C3955" t="str">
        <v>Dimensi</v>
      </c>
      <c r="D3955">
        <f>VLOOKUP(D3954,'Detail Balok'!$C$10:$AU$110,2,FALSE)</f>
        <v>400</v>
      </c>
      <c r="F3955" t="str">
        <v>x</v>
      </c>
      <c r="G3955">
        <f>VLOOKUP(D3954,'Detail Balok'!$C$10:$AU$110,3,FALSE)</f>
        <v>700</v>
      </c>
    </row>
    <row r="3956">
      <c r="C3956" t="str">
        <v>Panjang as ke as</v>
      </c>
      <c r="D3956">
        <f>VLOOKUP(C3954,'Data Panjang Balok'!$C$9:$N$424,4,FALSE)</f>
        <v>4585</v>
      </c>
    </row>
    <row r="3957">
      <c r="C3957" t="str">
        <v>Panjang netto</v>
      </c>
      <c r="D3957">
        <f>VLOOKUP(C3954,'Data Panjang Balok'!$C$9:$N$424,7,FALSE)</f>
        <v>4585</v>
      </c>
    </row>
    <row r="3958">
      <c r="C3958" t="str">
        <v>Kolom / balok kiri</v>
      </c>
      <c r="D3958">
        <f>VLOOKUP(C3954,'Data Panjang Balok'!$C$9:$N$424,9,FALSE)</f>
        <v>0</v>
      </c>
    </row>
    <row r="3959">
      <c r="C3959" t="str">
        <v>Kolom / balok kanan</v>
      </c>
      <c r="D3959">
        <f>VLOOKUP(C3954,'Data Panjang Balok'!$C$9:$N$424,10,FALSE)</f>
        <v>0</v>
      </c>
    </row>
    <row r="3960">
      <c r="C3960" t="str">
        <v>Jumlah</v>
      </c>
      <c r="D3960">
        <f>VLOOKUP(C3954,'Data Panjang Balok'!$C$9:$N$424,3,FALSE)</f>
        <v>1</v>
      </c>
    </row>
    <row r="3961">
      <c r="A3961" t="str">
        <f>A3954</f>
        <v>Lantai 1</v>
      </c>
      <c r="B3961">
        <f>B3954</f>
        <v>35</v>
      </c>
      <c r="C3961" t="str">
        <v>Tul Atas Tumpuan</v>
      </c>
      <c r="D3961">
        <f>VLOOKUP(D3954,'Detail Balok'!$C$10:$AU$110,4,FALSE)</f>
        <v>7</v>
      </c>
      <c r="E3961" t="str">
        <v>D</v>
      </c>
      <c r="F3961">
        <f>VLOOKUP(D3954,'Detail Balok'!$C$10:$AU$110,6,FALSE)</f>
        <v>16</v>
      </c>
      <c r="I3961" t="str">
        <v>(</v>
      </c>
      <c r="J3961">
        <f>+D3956/4/1000</f>
        <v>1.14625</v>
      </c>
      <c r="K3961" t="str">
        <v>+</v>
      </c>
      <c r="L3961">
        <f>MAX(VLOOKUP(F3961,N$6:P$15,3,FALSE)/1000,2/3*D3958/1000)+F$16*F3961/1000</f>
        <v>0.192</v>
      </c>
      <c r="M3961" t="str">
        <v>=</v>
      </c>
      <c r="N3961">
        <f>J3961+L3961</f>
        <v>1.33825</v>
      </c>
      <c r="O3961" t="str">
        <v>+</v>
      </c>
      <c r="P3961">
        <f>D3961-D3962</f>
        <v>2</v>
      </c>
      <c r="Q3961" t="str">
        <v>x</v>
      </c>
      <c r="R3961">
        <f>IF(P3961&gt;0,$F$18*F3961/1000,0)</f>
        <v>0.24</v>
      </c>
      <c r="S3961" t="str">
        <v>)</v>
      </c>
      <c r="T3961" t="str">
        <v>x</v>
      </c>
      <c r="U3961">
        <f>0.006165*F3961^2</f>
        <v>1.57824</v>
      </c>
      <c r="X3961" t="str">
        <v>x</v>
      </c>
      <c r="Y3961">
        <f>D3960</f>
        <v>1</v>
      </c>
      <c r="Z3961" t="str">
        <v>=</v>
      </c>
      <c r="AA3961">
        <f>IF(AA3964=0,(D3961*N3961+P3961*R3961)*U3961*Y3961,0)</f>
        <v>15.54211296</v>
      </c>
    </row>
    <row r="3962">
      <c r="A3962" t="str">
        <f>A3954</f>
        <v>Lantai 1</v>
      </c>
      <c r="B3962">
        <f>B3954</f>
        <v>35</v>
      </c>
      <c r="C3962" t="str">
        <v>Tul Atas Lapangan</v>
      </c>
      <c r="D3962">
        <f>VLOOKUP(D3954,'Detail Balok'!$C$10:$AU$110,7,FALSE)</f>
        <v>5</v>
      </c>
      <c r="E3962" t="str">
        <v>D</v>
      </c>
      <c r="F3962">
        <f>VLOOKUP(D3954,'Detail Balok'!$C$10:$AU$110,9,FALSE)</f>
        <v>16</v>
      </c>
      <c r="I3962" t="str">
        <v>(</v>
      </c>
      <c r="J3962">
        <f>+D3956/2/1000</f>
        <v>2.2925</v>
      </c>
      <c r="K3962" t="str">
        <v>+</v>
      </c>
      <c r="M3962" t="str">
        <v>=</v>
      </c>
      <c r="N3962">
        <f>J3962+L3962</f>
        <v>2.2925</v>
      </c>
      <c r="O3962" t="str">
        <v>+</v>
      </c>
      <c r="P3962">
        <f>MAX(D3962-D3961,D3962-D3963)</f>
        <v>0</v>
      </c>
      <c r="Q3962" t="str">
        <v>x</v>
      </c>
      <c r="R3962">
        <f>IF(P3962&gt;0,2*(1-2*$F$19-1/2)*D3957/1000,0)</f>
        <v>0</v>
      </c>
      <c r="S3962" t="str">
        <v>)</v>
      </c>
      <c r="T3962" t="str">
        <v>x</v>
      </c>
      <c r="U3962">
        <f>0.006165*F3962^2</f>
        <v>1.57824</v>
      </c>
      <c r="X3962" t="str">
        <v>x</v>
      </c>
      <c r="Y3962">
        <f>D3960</f>
        <v>1</v>
      </c>
      <c r="Z3962" t="str">
        <v>=</v>
      </c>
      <c r="AA3962">
        <f>IF(AA3964=0,(D3962*N3962+P3962*R3962)*U3962*Y3962,0)</f>
        <v>18.090576000000002</v>
      </c>
    </row>
    <row r="3963">
      <c r="A3963" t="str">
        <f>A3954</f>
        <v>Lantai 1</v>
      </c>
      <c r="B3963">
        <f>B3954</f>
        <v>35</v>
      </c>
      <c r="C3963" t="str">
        <v>Tul Atas Tumpuan</v>
      </c>
      <c r="D3963">
        <f>VLOOKUP(D3954,'Detail Balok'!$C$10:$AU$110,10,FALSE)</f>
        <v>5</v>
      </c>
      <c r="E3963" t="str">
        <v>D</v>
      </c>
      <c r="F3963">
        <f>VLOOKUP(D3954,'Detail Balok'!$C$10:$AU$110,12,FALSE)</f>
        <v>16</v>
      </c>
      <c r="I3963" t="str">
        <v>(</v>
      </c>
      <c r="J3963">
        <f>+D3956/4/1000</f>
        <v>1.14625</v>
      </c>
      <c r="K3963" t="str">
        <v>+</v>
      </c>
      <c r="L3963">
        <f>MAX(VLOOKUP(F3963,N$6:P$15,3,FALSE)/1000,2/3*D3958/1000)+F$16*F3963/1000</f>
        <v>0.192</v>
      </c>
      <c r="M3963" t="str">
        <v>=</v>
      </c>
      <c r="N3963">
        <f>J3963+L3963</f>
        <v>1.33825</v>
      </c>
      <c r="O3963" t="str">
        <v>+</v>
      </c>
      <c r="P3963">
        <f>D3963-D3962</f>
        <v>0</v>
      </c>
      <c r="Q3963" t="str">
        <v>x</v>
      </c>
      <c r="R3963">
        <f>IF(P3963&gt;0,$F$18*F3963/1000,0)</f>
        <v>0</v>
      </c>
      <c r="S3963" t="str">
        <v>)</v>
      </c>
      <c r="T3963" t="str">
        <v>x</v>
      </c>
      <c r="U3963">
        <f>0.006165*F3963^2</f>
        <v>1.57824</v>
      </c>
      <c r="X3963" t="str">
        <v>x</v>
      </c>
      <c r="Y3963">
        <f>D3960</f>
        <v>1</v>
      </c>
      <c r="Z3963" t="str">
        <v>=</v>
      </c>
      <c r="AA3963">
        <f>IF(AA3964=0,(D3963*N3963+P3963*R3963)*U3963*Y3963,0)</f>
        <v>10.5603984</v>
      </c>
    </row>
    <row r="3964">
      <c r="A3964" t="str">
        <f>A3954</f>
        <v>Lantai 1</v>
      </c>
      <c r="B3964">
        <f>B3954</f>
        <v>35</v>
      </c>
      <c r="D3964">
        <f>IF(AND(D3961=D3962,D3962=D3963,D3961=D3963),D3961,0)</f>
        <v>0</v>
      </c>
      <c r="E3964" t="str">
        <v>D</v>
      </c>
      <c r="F3964">
        <f>IF(AND(F3961=F3962,F3961=F3963,F3962=F3963),F3961,0)</f>
        <v>16</v>
      </c>
      <c r="L3964" t="str">
        <v>Total panjang per balok</v>
      </c>
      <c r="M3964" t="str">
        <v>=</v>
      </c>
      <c r="N3964">
        <f>IF(AND(D3961=D3962,D3961=D3963,D3962=D3963,F3961=F3962,F3961=F3963,F3962=F3963),SUM(N3961:N3963),0)</f>
        <v>0</v>
      </c>
      <c r="O3964" t="str">
        <v>+</v>
      </c>
      <c r="P3964">
        <f>IF(N3964&gt;12,ROUNDDOWN(N3964/12,0),0)</f>
        <v>0</v>
      </c>
      <c r="Q3964" t="str">
        <v>x</v>
      </c>
      <c r="R3964">
        <f>IF(P3964&gt;0,MAX(VLOOKUP(F3964,$D$6:$G$15,3,FALSE),600),0)/1000</f>
        <v>0</v>
      </c>
      <c r="T3964" t="str">
        <v>x</v>
      </c>
      <c r="U3964">
        <f>U3963</f>
        <v>1.57824</v>
      </c>
      <c r="V3964" t="str">
        <v>x</v>
      </c>
      <c r="W3964">
        <f>D3964</f>
        <v>0</v>
      </c>
      <c r="X3964" t="str">
        <v>x</v>
      </c>
      <c r="Y3964">
        <f>Y3963</f>
        <v>1</v>
      </c>
      <c r="Z3964" t="str">
        <v>=</v>
      </c>
      <c r="AA3964">
        <f>(N3964+P3964*R3964/1000)*U3964*W3964*Y3964</f>
        <v>0</v>
      </c>
    </row>
    <row r="3966">
      <c r="A3966" t="str">
        <f>A3954</f>
        <v>Lantai 1</v>
      </c>
      <c r="B3966">
        <f>B3954</f>
        <v>35</v>
      </c>
      <c r="C3966" t="str">
        <v>Tul Peminggang</v>
      </c>
      <c r="D3966">
        <f>VLOOKUP(D3954,'Detail Balok'!$C$10:$AU$110,13,FALSE)</f>
        <v>2</v>
      </c>
      <c r="E3966" t="str">
        <v>D</v>
      </c>
      <c r="F3966">
        <f>VLOOKUP(D3954,'Detail Balok'!$C$10:$AU$110,15,FALSE)</f>
        <v>10</v>
      </c>
      <c r="J3966">
        <f>+D3956/1000</f>
        <v>4.585</v>
      </c>
      <c r="K3966" t="str">
        <v>+</v>
      </c>
      <c r="L3966">
        <f>2*$F$16*F3966/1000</f>
        <v>0.24</v>
      </c>
      <c r="M3966" t="str">
        <v>=</v>
      </c>
      <c r="N3966">
        <f>J3966+L3966</f>
        <v>4.825</v>
      </c>
      <c r="O3966" t="str">
        <v>+</v>
      </c>
      <c r="P3966">
        <f>IF(N3966&gt;12,ROUNDDOWN(N3966/12,0),0)</f>
        <v>0</v>
      </c>
      <c r="Q3966" t="str">
        <v>x</v>
      </c>
      <c r="R3966">
        <f>IF(P3966&gt;0,MAX(VLOOKUP(F3966,$D$6:$G$15,3,FALSE),600),0)/1000</f>
        <v>0</v>
      </c>
      <c r="T3966" t="str">
        <v>x</v>
      </c>
      <c r="U3966">
        <f>0.006165*F3966^2</f>
        <v>0.6165</v>
      </c>
      <c r="V3966" t="str">
        <v>x</v>
      </c>
      <c r="W3966">
        <f>+D3966</f>
        <v>2</v>
      </c>
      <c r="X3966" t="str">
        <v>x</v>
      </c>
      <c r="Y3966">
        <f>D3960</f>
        <v>1</v>
      </c>
      <c r="Z3966" t="str">
        <v>=</v>
      </c>
      <c r="AA3966">
        <f>(N3966+P3966*R3966/1000)*U3966*W3966*Y3966</f>
        <v>5.949225000000001</v>
      </c>
    </row>
    <row r="3969">
      <c r="A3969" t="str">
        <f>A3954</f>
        <v>Lantai 1</v>
      </c>
      <c r="B3969">
        <f>B3954</f>
        <v>35</v>
      </c>
      <c r="C3969" t="str">
        <v>Tul Bawah Tumpuan</v>
      </c>
      <c r="D3969">
        <f>VLOOKUP(D3954,'Detail Balok'!$C$10:$AU$110,22,FALSE)</f>
        <v>6</v>
      </c>
      <c r="E3969" t="str">
        <v>D</v>
      </c>
      <c r="F3969">
        <f>VLOOKUP(D3954,'Detail Balok'!$C$10:$AU$110,24,FALSE)</f>
        <v>16</v>
      </c>
      <c r="I3969" t="str">
        <v>(</v>
      </c>
      <c r="J3969">
        <f>+J3961</f>
        <v>1.14625</v>
      </c>
      <c r="K3969" t="str">
        <v>+</v>
      </c>
      <c r="L3969">
        <f>MAX(VLOOKUP(F3969,N$6:P$15,3,FALSE)/1000,2/3*D3959/1000)+F$16*F3969/1000</f>
        <v>0.192</v>
      </c>
      <c r="M3969" t="str">
        <v>=</v>
      </c>
      <c r="N3969">
        <f>J3969+L3969</f>
        <v>1.33825</v>
      </c>
      <c r="O3969" t="str">
        <v>+</v>
      </c>
      <c r="P3969">
        <f>D3969-D3970</f>
        <v>-4</v>
      </c>
      <c r="Q3969" t="str">
        <v>x</v>
      </c>
      <c r="R3969">
        <f>IF(P3969&gt;0,$F$18*F3969/1000,0)</f>
        <v>0</v>
      </c>
      <c r="S3969" t="str">
        <v>)</v>
      </c>
      <c r="T3969" t="str">
        <v>x</v>
      </c>
      <c r="U3969">
        <f>0.006165*F3969^2</f>
        <v>1.57824</v>
      </c>
      <c r="X3969" t="str">
        <v>x</v>
      </c>
      <c r="Y3969">
        <f>D3960</f>
        <v>1</v>
      </c>
      <c r="Z3969" t="str">
        <v>=</v>
      </c>
      <c r="AA3969">
        <f>IF(AA3972=0,(D3969*N3969+P3969*R3969)*U3969*Y3969,0)</f>
        <v>12.67247808</v>
      </c>
    </row>
    <row r="3970">
      <c r="A3970" t="str">
        <f>A3954</f>
        <v>Lantai 1</v>
      </c>
      <c r="B3970">
        <f>B3954</f>
        <v>35</v>
      </c>
      <c r="C3970" t="str">
        <v>Tul Bawah Lapangan</v>
      </c>
      <c r="D3970">
        <f>VLOOKUP(D3954,'Detail Balok'!$C$10:$AU$110,25,FALSE)</f>
        <v>10</v>
      </c>
      <c r="E3970" t="str">
        <v>D</v>
      </c>
      <c r="F3970">
        <f>VLOOKUP(D3954,'Detail Balok'!$C$10:$AU$110,27,FALSE)</f>
        <v>16</v>
      </c>
      <c r="I3970" t="str">
        <v>(</v>
      </c>
      <c r="J3970">
        <f>+J3962</f>
        <v>2.2925</v>
      </c>
      <c r="K3970" t="str">
        <v>+</v>
      </c>
      <c r="M3970" t="str">
        <v>=</v>
      </c>
      <c r="N3970">
        <f>J3970+L3970</f>
        <v>2.2925</v>
      </c>
      <c r="O3970" t="str">
        <v>+</v>
      </c>
      <c r="P3970">
        <f>MAX(D3970-D3969,D3970-D3971)</f>
        <v>4</v>
      </c>
      <c r="Q3970" t="str">
        <v>x</v>
      </c>
      <c r="R3970">
        <f>IF(P3970&gt;0,2*(1-2*$F$19-1/2)*D3957/1000,0)</f>
        <v>0.9169999999999998</v>
      </c>
      <c r="S3970" t="str">
        <v>)</v>
      </c>
      <c r="T3970" t="str">
        <v>x</v>
      </c>
      <c r="U3970">
        <f>0.006165*F3970^2</f>
        <v>1.57824</v>
      </c>
      <c r="X3970" t="str">
        <v>x</v>
      </c>
      <c r="Y3970">
        <f>D3960</f>
        <v>1</v>
      </c>
      <c r="Z3970" t="str">
        <v>=</v>
      </c>
      <c r="AA3970">
        <f>IF(AA3972=0,(D3970*N3970+P3970*R3970)*U3970*Y3970,0)</f>
        <v>41.97013632</v>
      </c>
    </row>
    <row r="3971">
      <c r="A3971" t="str">
        <f>A3954</f>
        <v>Lantai 1</v>
      </c>
      <c r="B3971">
        <f>B3954</f>
        <v>35</v>
      </c>
      <c r="C3971" t="str">
        <v>Tul Bawah Tumpuan</v>
      </c>
      <c r="D3971">
        <f>VLOOKUP(D3954,'Detail Balok'!$C$10:$AU$110,28,FALSE)</f>
        <v>6</v>
      </c>
      <c r="E3971" t="str">
        <v>D</v>
      </c>
      <c r="F3971">
        <f>VLOOKUP(D3954,'Detail Balok'!$C$10:$AU$110,30,FALSE)</f>
        <v>16</v>
      </c>
      <c r="I3971" t="str">
        <v>(</v>
      </c>
      <c r="J3971">
        <f>+J3963</f>
        <v>1.14625</v>
      </c>
      <c r="K3971" t="str">
        <v>+</v>
      </c>
      <c r="L3971">
        <f>MAX(VLOOKUP(F3971,N$6:P$15,3,FALSE)/1000,2/3*D3959/1000)+F$16*F3971/1000</f>
        <v>0.192</v>
      </c>
      <c r="M3971" t="str">
        <v>=</v>
      </c>
      <c r="N3971">
        <f>J3971+L3971</f>
        <v>1.33825</v>
      </c>
      <c r="O3971" t="str">
        <v>+</v>
      </c>
      <c r="P3971">
        <f>D3971-D3970</f>
        <v>-4</v>
      </c>
      <c r="Q3971" t="str">
        <v>x</v>
      </c>
      <c r="R3971">
        <f>IF(P3971&gt;0,$F$18*F3971/1000,0)</f>
        <v>0</v>
      </c>
      <c r="S3971" t="str">
        <v>)</v>
      </c>
      <c r="T3971" t="str">
        <v>x</v>
      </c>
      <c r="U3971">
        <f>0.006165*F3971^2</f>
        <v>1.57824</v>
      </c>
      <c r="X3971" t="str">
        <v>x</v>
      </c>
      <c r="Y3971">
        <f>D3960</f>
        <v>1</v>
      </c>
      <c r="Z3971" t="str">
        <v>=</v>
      </c>
      <c r="AA3971">
        <f>IF(AA3972=0,(D3971*N3971+P3971*R3971)*U3971*Y3971,0)</f>
        <v>12.67247808</v>
      </c>
    </row>
    <row r="3972">
      <c r="A3972" t="str">
        <f>A3954</f>
        <v>Lantai 1</v>
      </c>
      <c r="B3972">
        <f>B3954</f>
        <v>35</v>
      </c>
      <c r="D3972">
        <f>IF(AND(D3969=D3970,D3970=D3971,D3969=D3971),D3969,0)</f>
        <v>0</v>
      </c>
      <c r="E3972" t="str">
        <v>D</v>
      </c>
      <c r="F3972">
        <f>IF(AND(F3969=F3970,F3969=F3971,F3970=F3971),F3969,0)</f>
        <v>16</v>
      </c>
      <c r="L3972" t="str">
        <v>Total panjang per balok</v>
      </c>
      <c r="M3972" t="str">
        <v>=</v>
      </c>
      <c r="N3972">
        <f>IF(AND(D3969=D3970,D3969=D3971,D3970=D3971,F3969=F3970,F3969=F3971,F3970=F3971),SUM(N3969:N3971),0)</f>
        <v>0</v>
      </c>
      <c r="O3972" t="str">
        <v>+</v>
      </c>
      <c r="P3972">
        <f>IF(N3972&gt;12,ROUNDDOWN(N3972/12,0),0)</f>
        <v>0</v>
      </c>
      <c r="Q3972" t="str">
        <v>x</v>
      </c>
      <c r="R3972">
        <f>IF(P3972&gt;0,MAX(VLOOKUP(F3972,$D$6:$G$15,3,FALSE),600),0)/1000</f>
        <v>0</v>
      </c>
      <c r="T3972" t="str">
        <v>x</v>
      </c>
      <c r="U3972">
        <f>U3971</f>
        <v>1.57824</v>
      </c>
      <c r="V3972" t="str">
        <v>x</v>
      </c>
      <c r="W3972">
        <f>D3972</f>
        <v>0</v>
      </c>
      <c r="X3972" t="str">
        <v>x</v>
      </c>
      <c r="Y3972">
        <f>Y3971</f>
        <v>1</v>
      </c>
      <c r="Z3972" t="str">
        <v>=</v>
      </c>
      <c r="AA3972">
        <f>(N3972+P3972*R3972/1000)*U3972*W3972*Y3972</f>
        <v>0</v>
      </c>
    </row>
    <row r="3974">
      <c r="A3974" t="str">
        <f>A3954</f>
        <v>Lantai 1</v>
      </c>
      <c r="B3974">
        <f>B3954</f>
        <v>35</v>
      </c>
      <c r="C3974" t="str">
        <v>Sengkang Tumpuan</v>
      </c>
      <c r="D3974">
        <f>VLOOKUP(D3954,'Detail Balok'!$C$10:$AU$110,31,FALSE)</f>
        <v>0</v>
      </c>
      <c r="E3974" t="str">
        <v>D</v>
      </c>
      <c r="F3974">
        <f>VLOOKUP(D3954,'Detail Balok'!$C$10:$AU$110,33,FALSE)</f>
        <v>13</v>
      </c>
      <c r="G3974" t="str">
        <v>-</v>
      </c>
      <c r="H3974">
        <f>VLOOKUP(D3954,'Detail Balok'!$C$10:$AU$110,35,FALSE)</f>
        <v>75</v>
      </c>
      <c r="J3974">
        <f>(IF(D3974=0,(2*(D3955+G3955))-(F$5*8),IF(D3974=3,(2*(D3955+G3955))-(F$5*8)+(G3955-2*F$5),IF(D3974=4,(2*(D3955+G3955))-(F$5*8)+2*(G3955-2*F$5)))))/1000</f>
        <v>1.88</v>
      </c>
      <c r="K3974" t="str">
        <v>+</v>
      </c>
      <c r="L3974">
        <f>IF(D3974=0,2*MAX(6*F3974,75),(D3974-1)*2*MAX(6*F3974,75))/1000</f>
        <v>0.156</v>
      </c>
      <c r="M3974" t="str">
        <v>=</v>
      </c>
      <c r="N3974">
        <f>J3974+L3974</f>
        <v>2.036</v>
      </c>
      <c r="T3974" t="str">
        <v>x</v>
      </c>
      <c r="U3974">
        <f>0.006165*F3974^2</f>
        <v>1.041885</v>
      </c>
      <c r="V3974" t="str">
        <v>x</v>
      </c>
      <c r="W3974">
        <f>IF(D3957&gt;4*G3955,ROUND(MAX(D3957/4,2*G3955)/H3974,0)+1,ROUND(D3957/H3974,0)+1)</f>
        <v>20</v>
      </c>
      <c r="X3974" t="str">
        <v>x</v>
      </c>
      <c r="Y3974">
        <f>D3960</f>
        <v>1</v>
      </c>
      <c r="Z3974" t="str">
        <v>=</v>
      </c>
      <c r="AA3974">
        <f>N3974*U3974*W3974*Y3974</f>
        <v>42.42555719999999</v>
      </c>
    </row>
    <row r="3975">
      <c r="A3975" t="str">
        <f>A3954</f>
        <v>Lantai 1</v>
      </c>
      <c r="B3975">
        <f>B3954</f>
        <v>35</v>
      </c>
      <c r="C3975" t="str">
        <v>Sengkang Lapangan</v>
      </c>
      <c r="D3975">
        <f>VLOOKUP(D3954,'Detail Balok'!$C$10:$AU$110,36,FALSE)</f>
        <v>0</v>
      </c>
      <c r="E3975" t="str">
        <v>D</v>
      </c>
      <c r="F3975">
        <f>VLOOKUP(D3954,'Detail Balok'!$C$10:$AU$110,38,FALSE)</f>
        <v>13</v>
      </c>
      <c r="G3975" t="str">
        <v>-</v>
      </c>
      <c r="H3975">
        <f>VLOOKUP(D3954,'Detail Balok'!$C$10:$AU$110,40,FALSE)</f>
        <v>200</v>
      </c>
      <c r="J3975">
        <f>(IF(D3975=0,(2*(D3955+G3955))-(F$5*8),IF(D3975=3,(2*(D3955+G3955))-(F$5*8)+(G3955-2*F$5),IF(D3975=4,(2*(D3955+G3955))-(F$5*8)+2*(G3955-2*F$5)))))/1000</f>
        <v>1.88</v>
      </c>
      <c r="K3975" t="str">
        <v>+</v>
      </c>
      <c r="L3975">
        <f>IF(D3975=0,2*MAX(6*F3975,75),(D3975-1)*2*MAX(6*F3975,75))/1000</f>
        <v>0.156</v>
      </c>
      <c r="M3975" t="str">
        <v>=</v>
      </c>
      <c r="N3975">
        <f>J3975+L3975</f>
        <v>2.036</v>
      </c>
      <c r="T3975" t="str">
        <v>x</v>
      </c>
      <c r="U3975">
        <f>0.006165*F3975^2</f>
        <v>1.041885</v>
      </c>
      <c r="V3975" t="str">
        <v>x</v>
      </c>
      <c r="W3975">
        <f>IF(D3957-MAX(D3957/4,2*G3955)*2&gt;0,ROUND((D3957-MAX(D3957/4,2*G3955)*2)/H3975,0),0)</f>
        <v>9</v>
      </c>
      <c r="X3975" t="str">
        <v>x</v>
      </c>
      <c r="Y3975">
        <f>D3960</f>
        <v>1</v>
      </c>
      <c r="Z3975" t="str">
        <v>=</v>
      </c>
      <c r="AA3975">
        <f>N3975*U3975*W3975*Y3975</f>
        <v>19.091500739999997</v>
      </c>
    </row>
    <row r="3976">
      <c r="A3976" t="str">
        <f>A3954</f>
        <v>Lantai 1</v>
      </c>
      <c r="B3976">
        <f>B3954</f>
        <v>35</v>
      </c>
      <c r="C3976" t="str">
        <v>Sengkang Tumpuan</v>
      </c>
      <c r="D3976">
        <f>VLOOKUP(D3954,'Detail Balok'!$C$10:$AU$110,41,FALSE)</f>
        <v>0</v>
      </c>
      <c r="E3976" t="str">
        <v>D</v>
      </c>
      <c r="F3976">
        <f>VLOOKUP(D3954,'Detail Balok'!$C$10:$AU$110,43,FALSE)</f>
        <v>13</v>
      </c>
      <c r="G3976" t="str">
        <v>-</v>
      </c>
      <c r="H3976">
        <f>VLOOKUP(D3954,'Detail Balok'!$C$10:$AU$110,45,FALSE)</f>
        <v>75</v>
      </c>
      <c r="J3976">
        <f>(IF(D3976=0,(2*(D3955+G3955))-(F$5*8),IF(D3976=3,(2*(D3955+G3955))-(F$5*8)+(G3955-2*F$5),IF(D3976=4,(2*(D3955+G3955))-(F$5*8)+2*(G3955-2*F$5)))))/1000</f>
        <v>1.88</v>
      </c>
      <c r="K3976" t="str">
        <v>+</v>
      </c>
      <c r="L3976">
        <f>IF(D3976=0,2*MAX(6*F3976,75),(D3976-1)*2*MAX(6*F3976,75))/1000</f>
        <v>0.156</v>
      </c>
      <c r="M3976" t="str">
        <v>=</v>
      </c>
      <c r="N3976">
        <f>J3976+L3976</f>
        <v>2.036</v>
      </c>
      <c r="T3976" t="str">
        <v>x</v>
      </c>
      <c r="U3976">
        <f>0.006165*F3976^2</f>
        <v>1.041885</v>
      </c>
      <c r="V3976" t="str">
        <v>x</v>
      </c>
      <c r="W3976">
        <f>IF(D3957&gt;4*G3955,ROUND(MAX(D3957/4,2*G3955)/H3976,0)+1,0)</f>
        <v>20</v>
      </c>
      <c r="X3976" t="str">
        <v>x</v>
      </c>
      <c r="Y3976">
        <f>D3960</f>
        <v>1</v>
      </c>
      <c r="Z3976" t="str">
        <v>=</v>
      </c>
      <c r="AA3976">
        <f>N3976*U3976*W3976*Y3976</f>
        <v>42.42555719999999</v>
      </c>
    </row>
    <row r="3978">
      <c r="A3978" t="str">
        <f>A3954</f>
        <v>Lantai 1</v>
      </c>
      <c r="B3978">
        <f>B3954</f>
        <v>35</v>
      </c>
      <c r="C3978" t="str">
        <v>Kait Horizontal Tump.</v>
      </c>
      <c r="D3978">
        <f>VLOOKUP(D3954,'Detail Balok'!$C$10:$BJ$110,46,FALSE)</f>
        <v>0</v>
      </c>
      <c r="E3978" t="str">
        <v>D</v>
      </c>
      <c r="F3978">
        <f>VLOOKUP(D3954,'Detail Balok'!$C$10:$BJ$110,48,FALSE)</f>
        <v>0</v>
      </c>
      <c r="G3978" t="str">
        <v>-</v>
      </c>
      <c r="H3978">
        <f>VLOOKUP(D3954,'Detail Balok'!$C$10:$BJ$110,50,FALSE)</f>
        <v>100</v>
      </c>
      <c r="J3978">
        <f>(D3955-2*F$5)/1000</f>
        <v>0.32</v>
      </c>
      <c r="K3978" t="str">
        <v>+</v>
      </c>
      <c r="L3978">
        <f>IF(D3978=0,2*MAX(6*F3978,75),(D3978-1)*2*MAX(6*F3978,75))/1000</f>
        <v>0.15</v>
      </c>
      <c r="M3978" t="str">
        <v>=</v>
      </c>
      <c r="N3978">
        <f>J3978+L3978</f>
        <v>0.47</v>
      </c>
      <c r="T3978" t="str">
        <v>x</v>
      </c>
      <c r="U3978">
        <f>0.006165*F3978^2</f>
        <v>0</v>
      </c>
      <c r="V3978" t="str">
        <v>x</v>
      </c>
      <c r="W3978">
        <f>W3974</f>
        <v>20</v>
      </c>
      <c r="X3978" t="str">
        <v>x</v>
      </c>
      <c r="Y3978">
        <f>D3964</f>
        <v>0</v>
      </c>
      <c r="Z3978" t="str">
        <v>=</v>
      </c>
      <c r="AA3978">
        <f>N3978*U3978*W3978*Y3978</f>
        <v>0</v>
      </c>
    </row>
    <row r="3979">
      <c r="A3979" t="str">
        <f>A3954</f>
        <v>Lantai 1</v>
      </c>
      <c r="B3979">
        <f>B3954</f>
        <v>35</v>
      </c>
      <c r="C3979" t="str">
        <v>Kait Horizontal Lap.</v>
      </c>
      <c r="D3979">
        <f>VLOOKUP(D3954,'Detail Balok'!$C$10:$BJ$110,51,FALSE)</f>
        <v>0</v>
      </c>
      <c r="E3979" t="str">
        <v>D</v>
      </c>
      <c r="F3979">
        <f>VLOOKUP(D3954,'Detail Balok'!$C$10:$BJ$110,53,FALSE)</f>
        <v>0</v>
      </c>
      <c r="G3979" t="str">
        <v>-</v>
      </c>
      <c r="H3979">
        <f>VLOOKUP(D3954,'Detail Balok'!$C$10:$BJ$110,55,FALSE)</f>
        <v>100</v>
      </c>
      <c r="J3979">
        <f>(D3955-2*F$5)/1000</f>
        <v>0.32</v>
      </c>
      <c r="K3979" t="str">
        <v>+</v>
      </c>
      <c r="L3979">
        <f>IF(D3979=0,2*MAX(6*F3979,75),(D3979-1)*2*MAX(6*F3979,75))/1000</f>
        <v>0.15</v>
      </c>
      <c r="M3979" t="str">
        <v>=</v>
      </c>
      <c r="N3979">
        <f>J3979+L3979</f>
        <v>0.47</v>
      </c>
      <c r="T3979" t="str">
        <v>x</v>
      </c>
      <c r="U3979">
        <f>0.006165*F3979^2</f>
        <v>0</v>
      </c>
      <c r="V3979" t="str">
        <v>x</v>
      </c>
      <c r="W3979">
        <f>W3975</f>
        <v>9</v>
      </c>
      <c r="X3979" t="str">
        <v>x</v>
      </c>
      <c r="Y3979">
        <f>D3964</f>
        <v>0</v>
      </c>
      <c r="Z3979" t="str">
        <v>=</v>
      </c>
      <c r="AA3979">
        <f>N3979*U3979*W3979*Y3979</f>
        <v>0</v>
      </c>
    </row>
    <row r="3980">
      <c r="A3980" t="str">
        <f>A3954</f>
        <v>Lantai 1</v>
      </c>
      <c r="B3980">
        <f>B3954</f>
        <v>35</v>
      </c>
      <c r="C3980" t="str">
        <v>Kait Horizontal Tump.</v>
      </c>
      <c r="D3980">
        <f>VLOOKUP(D3954,'Detail Balok'!$C$10:$BJ$110,56,FALSE)</f>
        <v>0</v>
      </c>
      <c r="E3980" t="str">
        <v>D</v>
      </c>
      <c r="F3980">
        <f>VLOOKUP(D3954,'Detail Balok'!$C$10:$BJ$110,58,FALSE)</f>
        <v>0</v>
      </c>
      <c r="G3980" t="str">
        <v>-</v>
      </c>
      <c r="H3980">
        <f>VLOOKUP(D3954,'Detail Balok'!$C$10:$BJ$110,60,FALSE)</f>
        <v>100</v>
      </c>
      <c r="J3980">
        <f>(D3955-2*F$5)/1000</f>
        <v>0.32</v>
      </c>
      <c r="K3980" t="str">
        <v>+</v>
      </c>
      <c r="L3980">
        <f>IF(D3980=0,2*MAX(6*F3980,75),(D3980-1)*2*MAX(6*F3980,75))/1000</f>
        <v>0.15</v>
      </c>
      <c r="M3980" t="str">
        <v>=</v>
      </c>
      <c r="N3980">
        <f>J3980+L3980</f>
        <v>0.47</v>
      </c>
      <c r="T3980" t="str">
        <v>x</v>
      </c>
      <c r="U3980">
        <f>0.006165*F3980^2</f>
        <v>0</v>
      </c>
      <c r="V3980" t="str">
        <v>x</v>
      </c>
      <c r="W3980">
        <f>W3976</f>
        <v>20</v>
      </c>
      <c r="X3980" t="str">
        <v>x</v>
      </c>
      <c r="Y3980">
        <f>D3964</f>
        <v>0</v>
      </c>
      <c r="Z3980" t="str">
        <v>=</v>
      </c>
      <c r="AA3980">
        <f>N3980*U3980*W3980*Y3980</f>
        <v>0</v>
      </c>
    </row>
    <row r="3984">
      <c r="A3984" t="str">
        <f>A3954</f>
        <v>Lantai 1</v>
      </c>
      <c r="B3984">
        <f>B3954+1</f>
        <v>36</v>
      </c>
      <c r="C3984" t="str">
        <f>CONCATENATE(A3984," no. ",B3984)</f>
        <v>Lantai 1 no. 36</v>
      </c>
      <c r="D3984" t="str">
        <f>VLOOKUP(C3984,'Data Panjang Balok'!$C$9:$N$424,2,FALSE)</f>
        <v>B47-1</v>
      </c>
    </row>
    <row r="3985">
      <c r="C3985" t="str">
        <v>Dimensi</v>
      </c>
      <c r="D3985">
        <f>VLOOKUP(D3984,'Detail Balok'!$C$10:$AU$110,2,FALSE)</f>
        <v>400</v>
      </c>
      <c r="F3985" t="str">
        <v>x</v>
      </c>
      <c r="G3985">
        <f>VLOOKUP(D3984,'Detail Balok'!$C$10:$AU$110,3,FALSE)</f>
        <v>700</v>
      </c>
    </row>
    <row r="3986">
      <c r="C3986" t="str">
        <v>Panjang as ke as</v>
      </c>
      <c r="D3986">
        <f>VLOOKUP(C3984,'Data Panjang Balok'!$C$9:$N$424,4,FALSE)</f>
        <v>6500</v>
      </c>
    </row>
    <row r="3987">
      <c r="C3987" t="str">
        <v>Panjang netto</v>
      </c>
      <c r="D3987">
        <f>VLOOKUP(C3984,'Data Panjang Balok'!$C$9:$N$424,7,FALSE)</f>
        <v>6500</v>
      </c>
    </row>
    <row r="3988">
      <c r="C3988" t="str">
        <v>Kolom / balok kiri</v>
      </c>
      <c r="D3988">
        <f>VLOOKUP(C3984,'Data Panjang Balok'!$C$9:$N$424,9,FALSE)</f>
        <v>0</v>
      </c>
    </row>
    <row r="3989">
      <c r="C3989" t="str">
        <v>Kolom / balok kanan</v>
      </c>
      <c r="D3989">
        <f>VLOOKUP(C3984,'Data Panjang Balok'!$C$9:$N$424,10,FALSE)</f>
        <v>0</v>
      </c>
    </row>
    <row r="3990">
      <c r="C3990" t="str">
        <v>Jumlah</v>
      </c>
      <c r="D3990">
        <f>VLOOKUP(C3984,'Data Panjang Balok'!$C$9:$N$424,3,FALSE)</f>
        <v>1</v>
      </c>
    </row>
    <row r="3991">
      <c r="A3991" t="str">
        <f>A3984</f>
        <v>Lantai 1</v>
      </c>
      <c r="B3991">
        <f>B3984</f>
        <v>36</v>
      </c>
      <c r="C3991" t="str">
        <v>Tul Atas Tumpuan</v>
      </c>
      <c r="D3991">
        <f>VLOOKUP(D3984,'Detail Balok'!$C$10:$AU$110,4,FALSE)</f>
        <v>7</v>
      </c>
      <c r="E3991" t="str">
        <v>D</v>
      </c>
      <c r="F3991">
        <f>VLOOKUP(D3984,'Detail Balok'!$C$10:$AU$110,6,FALSE)</f>
        <v>16</v>
      </c>
      <c r="I3991" t="str">
        <v>(</v>
      </c>
      <c r="J3991">
        <f>+D3986/4/1000</f>
        <v>1.625</v>
      </c>
      <c r="K3991" t="str">
        <v>+</v>
      </c>
      <c r="L3991">
        <f>MAX(VLOOKUP(F3991,N$6:P$15,3,FALSE)/1000,2/3*D3988/1000)+F$16*F3991/1000</f>
        <v>0.192</v>
      </c>
      <c r="M3991" t="str">
        <v>=</v>
      </c>
      <c r="N3991">
        <f>J3991+L3991</f>
        <v>1.817</v>
      </c>
      <c r="O3991" t="str">
        <v>+</v>
      </c>
      <c r="P3991">
        <f>D3991-D3992</f>
        <v>2</v>
      </c>
      <c r="Q3991" t="str">
        <v>x</v>
      </c>
      <c r="R3991">
        <f>IF(P3991&gt;0,$F$18*F3991/1000,0)</f>
        <v>0.24</v>
      </c>
      <c r="S3991" t="str">
        <v>)</v>
      </c>
      <c r="T3991" t="str">
        <v>x</v>
      </c>
      <c r="U3991">
        <f>0.006165*F3991^2</f>
        <v>1.57824</v>
      </c>
      <c r="X3991" t="str">
        <v>x</v>
      </c>
      <c r="Y3991">
        <f>D3990</f>
        <v>1</v>
      </c>
      <c r="Z3991" t="str">
        <v>=</v>
      </c>
      <c r="AA3991">
        <f>IF(AA3994=0,(D3991*N3991+P3991*R3991)*U3991*Y3991,0)</f>
        <v>20.83118976</v>
      </c>
    </row>
    <row r="3992">
      <c r="A3992" t="str">
        <f>A3984</f>
        <v>Lantai 1</v>
      </c>
      <c r="B3992">
        <f>B3984</f>
        <v>36</v>
      </c>
      <c r="C3992" t="str">
        <v>Tul Atas Lapangan</v>
      </c>
      <c r="D3992">
        <f>VLOOKUP(D3984,'Detail Balok'!$C$10:$AU$110,7,FALSE)</f>
        <v>5</v>
      </c>
      <c r="E3992" t="str">
        <v>D</v>
      </c>
      <c r="F3992">
        <f>VLOOKUP(D3984,'Detail Balok'!$C$10:$AU$110,9,FALSE)</f>
        <v>16</v>
      </c>
      <c r="I3992" t="str">
        <v>(</v>
      </c>
      <c r="J3992">
        <f>+D3986/2/1000</f>
        <v>3.25</v>
      </c>
      <c r="K3992" t="str">
        <v>+</v>
      </c>
      <c r="M3992" t="str">
        <v>=</v>
      </c>
      <c r="N3992">
        <f>J3992+L3992</f>
        <v>3.25</v>
      </c>
      <c r="O3992" t="str">
        <v>+</v>
      </c>
      <c r="P3992">
        <f>MAX(D3992-D3991,D3992-D3993)</f>
        <v>0</v>
      </c>
      <c r="Q3992" t="str">
        <v>x</v>
      </c>
      <c r="R3992">
        <f>IF(P3992&gt;0,2*(1-2*$F$19-1/2)*D3987/1000,0)</f>
        <v>0</v>
      </c>
      <c r="S3992" t="str">
        <v>)</v>
      </c>
      <c r="T3992" t="str">
        <v>x</v>
      </c>
      <c r="U3992">
        <f>0.006165*F3992^2</f>
        <v>1.57824</v>
      </c>
      <c r="X3992" t="str">
        <v>x</v>
      </c>
      <c r="Y3992">
        <f>D3990</f>
        <v>1</v>
      </c>
      <c r="Z3992" t="str">
        <v>=</v>
      </c>
      <c r="AA3992">
        <f>IF(AA3994=0,(D3992*N3992+P3992*R3992)*U3992*Y3992,0)</f>
        <v>25.6464</v>
      </c>
    </row>
    <row r="3993">
      <c r="A3993" t="str">
        <f>A3984</f>
        <v>Lantai 1</v>
      </c>
      <c r="B3993">
        <f>B3984</f>
        <v>36</v>
      </c>
      <c r="C3993" t="str">
        <v>Tul Atas Tumpuan</v>
      </c>
      <c r="D3993">
        <f>VLOOKUP(D3984,'Detail Balok'!$C$10:$AU$110,10,FALSE)</f>
        <v>5</v>
      </c>
      <c r="E3993" t="str">
        <v>D</v>
      </c>
      <c r="F3993">
        <f>VLOOKUP(D3984,'Detail Balok'!$C$10:$AU$110,12,FALSE)</f>
        <v>16</v>
      </c>
      <c r="I3993" t="str">
        <v>(</v>
      </c>
      <c r="J3993">
        <f>+D3986/4/1000</f>
        <v>1.625</v>
      </c>
      <c r="K3993" t="str">
        <v>+</v>
      </c>
      <c r="L3993">
        <f>MAX(VLOOKUP(F3993,N$6:P$15,3,FALSE)/1000,2/3*D3988/1000)+F$16*F3993/1000</f>
        <v>0.192</v>
      </c>
      <c r="M3993" t="str">
        <v>=</v>
      </c>
      <c r="N3993">
        <f>J3993+L3993</f>
        <v>1.817</v>
      </c>
      <c r="O3993" t="str">
        <v>+</v>
      </c>
      <c r="P3993">
        <f>D3993-D3992</f>
        <v>0</v>
      </c>
      <c r="Q3993" t="str">
        <v>x</v>
      </c>
      <c r="R3993">
        <f>IF(P3993&gt;0,$F$18*F3993/1000,0)</f>
        <v>0</v>
      </c>
      <c r="S3993" t="str">
        <v>)</v>
      </c>
      <c r="T3993" t="str">
        <v>x</v>
      </c>
      <c r="U3993">
        <f>0.006165*F3993^2</f>
        <v>1.57824</v>
      </c>
      <c r="X3993" t="str">
        <v>x</v>
      </c>
      <c r="Y3993">
        <f>D3990</f>
        <v>1</v>
      </c>
      <c r="Z3993" t="str">
        <v>=</v>
      </c>
      <c r="AA3993">
        <f>IF(AA3994=0,(D3993*N3993+P3993*R3993)*U3993*Y3993,0)</f>
        <v>14.3383104</v>
      </c>
    </row>
    <row r="3994">
      <c r="A3994" t="str">
        <f>A3984</f>
        <v>Lantai 1</v>
      </c>
      <c r="B3994">
        <f>B3984</f>
        <v>36</v>
      </c>
      <c r="D3994">
        <f>IF(AND(D3991=D3992,D3992=D3993,D3991=D3993),D3991,0)</f>
        <v>0</v>
      </c>
      <c r="E3994" t="str">
        <v>D</v>
      </c>
      <c r="F3994">
        <f>IF(AND(F3991=F3992,F3991=F3993,F3992=F3993),F3991,0)</f>
        <v>16</v>
      </c>
      <c r="L3994" t="str">
        <v>Total panjang per balok</v>
      </c>
      <c r="M3994" t="str">
        <v>=</v>
      </c>
      <c r="N3994">
        <f>IF(AND(D3991=D3992,D3991=D3993,D3992=D3993,F3991=F3992,F3991=F3993,F3992=F3993),SUM(N3991:N3993),0)</f>
        <v>0</v>
      </c>
      <c r="O3994" t="str">
        <v>+</v>
      </c>
      <c r="P3994">
        <f>IF(N3994&gt;12,ROUNDDOWN(N3994/12,0),0)</f>
        <v>0</v>
      </c>
      <c r="Q3994" t="str">
        <v>x</v>
      </c>
      <c r="R3994">
        <f>IF(P3994&gt;0,MAX(VLOOKUP(F3994,$D$6:$G$15,3,FALSE),600),0)/1000</f>
        <v>0</v>
      </c>
      <c r="T3994" t="str">
        <v>x</v>
      </c>
      <c r="U3994">
        <f>U3993</f>
        <v>1.57824</v>
      </c>
      <c r="V3994" t="str">
        <v>x</v>
      </c>
      <c r="W3994">
        <f>D3994</f>
        <v>0</v>
      </c>
      <c r="X3994" t="str">
        <v>x</v>
      </c>
      <c r="Y3994">
        <f>Y3993</f>
        <v>1</v>
      </c>
      <c r="Z3994" t="str">
        <v>=</v>
      </c>
      <c r="AA3994">
        <f>(N3994+P3994*R3994/1000)*U3994*W3994*Y3994</f>
        <v>0</v>
      </c>
    </row>
    <row r="3996">
      <c r="A3996" t="str">
        <f>A3984</f>
        <v>Lantai 1</v>
      </c>
      <c r="B3996">
        <f>B3984</f>
        <v>36</v>
      </c>
      <c r="C3996" t="str">
        <v>Tul Peminggang</v>
      </c>
      <c r="D3996">
        <f>VLOOKUP(D3984,'Detail Balok'!$C$10:$AU$110,13,FALSE)</f>
        <v>2</v>
      </c>
      <c r="E3996" t="str">
        <v>D</v>
      </c>
      <c r="F3996">
        <f>VLOOKUP(D3984,'Detail Balok'!$C$10:$AU$110,15,FALSE)</f>
        <v>10</v>
      </c>
      <c r="J3996">
        <f>+D3986/1000</f>
        <v>6.5</v>
      </c>
      <c r="K3996" t="str">
        <v>+</v>
      </c>
      <c r="L3996">
        <f>2*$F$16*F3996/1000</f>
        <v>0.24</v>
      </c>
      <c r="M3996" t="str">
        <v>=</v>
      </c>
      <c r="N3996">
        <f>J3996+L3996</f>
        <v>6.74</v>
      </c>
      <c r="O3996" t="str">
        <v>+</v>
      </c>
      <c r="P3996">
        <f>IF(N3996&gt;12,ROUNDDOWN(N3996/12,0),0)</f>
        <v>0</v>
      </c>
      <c r="Q3996" t="str">
        <v>x</v>
      </c>
      <c r="R3996">
        <f>IF(P3996&gt;0,MAX(VLOOKUP(F3996,$D$6:$G$15,3,FALSE),600),0)/1000</f>
        <v>0</v>
      </c>
      <c r="T3996" t="str">
        <v>x</v>
      </c>
      <c r="U3996">
        <f>0.006165*F3996^2</f>
        <v>0.6165</v>
      </c>
      <c r="V3996" t="str">
        <v>x</v>
      </c>
      <c r="W3996">
        <f>+D3996</f>
        <v>2</v>
      </c>
      <c r="X3996" t="str">
        <v>x</v>
      </c>
      <c r="Y3996">
        <f>D3990</f>
        <v>1</v>
      </c>
      <c r="Z3996" t="str">
        <v>=</v>
      </c>
      <c r="AA3996">
        <f>(N3996+P3996*R3996/1000)*U3996*W3996*Y3996</f>
        <v>8.31042</v>
      </c>
    </row>
    <row r="3999">
      <c r="A3999" t="str">
        <f>A3984</f>
        <v>Lantai 1</v>
      </c>
      <c r="B3999">
        <f>B3984</f>
        <v>36</v>
      </c>
      <c r="C3999" t="str">
        <v>Tul Bawah Tumpuan</v>
      </c>
      <c r="D3999">
        <f>VLOOKUP(D3984,'Detail Balok'!$C$10:$AU$110,22,FALSE)</f>
        <v>6</v>
      </c>
      <c r="E3999" t="str">
        <v>D</v>
      </c>
      <c r="F3999">
        <f>VLOOKUP(D3984,'Detail Balok'!$C$10:$AU$110,24,FALSE)</f>
        <v>16</v>
      </c>
      <c r="I3999" t="str">
        <v>(</v>
      </c>
      <c r="J3999">
        <f>+J3991</f>
        <v>1.625</v>
      </c>
      <c r="K3999" t="str">
        <v>+</v>
      </c>
      <c r="L3999">
        <f>MAX(VLOOKUP(F3999,N$6:P$15,3,FALSE)/1000,2/3*D3989/1000)+F$16*F3999/1000</f>
        <v>0.192</v>
      </c>
      <c r="M3999" t="str">
        <v>=</v>
      </c>
      <c r="N3999">
        <f>J3999+L3999</f>
        <v>1.817</v>
      </c>
      <c r="O3999" t="str">
        <v>+</v>
      </c>
      <c r="P3999">
        <f>D3999-D4000</f>
        <v>-4</v>
      </c>
      <c r="Q3999" t="str">
        <v>x</v>
      </c>
      <c r="R3999">
        <f>IF(P3999&gt;0,$F$18*F3999/1000,0)</f>
        <v>0</v>
      </c>
      <c r="S3999" t="str">
        <v>)</v>
      </c>
      <c r="T3999" t="str">
        <v>x</v>
      </c>
      <c r="U3999">
        <f>0.006165*F3999^2</f>
        <v>1.57824</v>
      </c>
      <c r="X3999" t="str">
        <v>x</v>
      </c>
      <c r="Y3999">
        <f>D3990</f>
        <v>1</v>
      </c>
      <c r="Z3999" t="str">
        <v>=</v>
      </c>
      <c r="AA3999">
        <f>IF(AA4002=0,(D3999*N3999+P3999*R3999)*U3999*Y3999,0)</f>
        <v>17.20597248</v>
      </c>
    </row>
    <row r="4000">
      <c r="A4000" t="str">
        <f>A3984</f>
        <v>Lantai 1</v>
      </c>
      <c r="B4000">
        <f>B3984</f>
        <v>36</v>
      </c>
      <c r="C4000" t="str">
        <v>Tul Bawah Lapangan</v>
      </c>
      <c r="D4000">
        <f>VLOOKUP(D3984,'Detail Balok'!$C$10:$AU$110,25,FALSE)</f>
        <v>10</v>
      </c>
      <c r="E4000" t="str">
        <v>D</v>
      </c>
      <c r="F4000">
        <f>VLOOKUP(D3984,'Detail Balok'!$C$10:$AU$110,27,FALSE)</f>
        <v>16</v>
      </c>
      <c r="I4000" t="str">
        <v>(</v>
      </c>
      <c r="J4000">
        <f>+J3992</f>
        <v>3.25</v>
      </c>
      <c r="K4000" t="str">
        <v>+</v>
      </c>
      <c r="M4000" t="str">
        <v>=</v>
      </c>
      <c r="N4000">
        <f>J4000+L4000</f>
        <v>3.25</v>
      </c>
      <c r="O4000" t="str">
        <v>+</v>
      </c>
      <c r="P4000">
        <f>MAX(D4000-D3999,D4000-D4001)</f>
        <v>4</v>
      </c>
      <c r="Q4000" t="str">
        <v>x</v>
      </c>
      <c r="R4000">
        <f>IF(P4000&gt;0,2*(1-2*$F$19-1/2)*D3987/1000,0)</f>
        <v>1.2999999999999998</v>
      </c>
      <c r="S4000" t="str">
        <v>)</v>
      </c>
      <c r="T4000" t="str">
        <v>x</v>
      </c>
      <c r="U4000">
        <f>0.006165*F4000^2</f>
        <v>1.57824</v>
      </c>
      <c r="X4000" t="str">
        <v>x</v>
      </c>
      <c r="Y4000">
        <f>D3990</f>
        <v>1</v>
      </c>
      <c r="Z4000" t="str">
        <v>=</v>
      </c>
      <c r="AA4000">
        <f>IF(AA4002=0,(D4000*N4000+P4000*R4000)*U4000*Y4000,0)</f>
        <v>59.49964800000001</v>
      </c>
    </row>
    <row r="4001">
      <c r="A4001" t="str">
        <f>A3984</f>
        <v>Lantai 1</v>
      </c>
      <c r="B4001">
        <f>B3984</f>
        <v>36</v>
      </c>
      <c r="C4001" t="str">
        <v>Tul Bawah Tumpuan</v>
      </c>
      <c r="D4001">
        <f>VLOOKUP(D3984,'Detail Balok'!$C$10:$AU$110,28,FALSE)</f>
        <v>6</v>
      </c>
      <c r="E4001" t="str">
        <v>D</v>
      </c>
      <c r="F4001">
        <f>VLOOKUP(D3984,'Detail Balok'!$C$10:$AU$110,30,FALSE)</f>
        <v>16</v>
      </c>
      <c r="I4001" t="str">
        <v>(</v>
      </c>
      <c r="J4001">
        <f>+J3993</f>
        <v>1.625</v>
      </c>
      <c r="K4001" t="str">
        <v>+</v>
      </c>
      <c r="L4001">
        <f>MAX(VLOOKUP(F4001,N$6:P$15,3,FALSE)/1000,2/3*D3989/1000)+F$16*F4001/1000</f>
        <v>0.192</v>
      </c>
      <c r="M4001" t="str">
        <v>=</v>
      </c>
      <c r="N4001">
        <f>J4001+L4001</f>
        <v>1.817</v>
      </c>
      <c r="O4001" t="str">
        <v>+</v>
      </c>
      <c r="P4001">
        <f>D4001-D4000</f>
        <v>-4</v>
      </c>
      <c r="Q4001" t="str">
        <v>x</v>
      </c>
      <c r="R4001">
        <f>IF(P4001&gt;0,$F$18*F4001/1000,0)</f>
        <v>0</v>
      </c>
      <c r="S4001" t="str">
        <v>)</v>
      </c>
      <c r="T4001" t="str">
        <v>x</v>
      </c>
      <c r="U4001">
        <f>0.006165*F4001^2</f>
        <v>1.57824</v>
      </c>
      <c r="X4001" t="str">
        <v>x</v>
      </c>
      <c r="Y4001">
        <f>D3990</f>
        <v>1</v>
      </c>
      <c r="Z4001" t="str">
        <v>=</v>
      </c>
      <c r="AA4001">
        <f>IF(AA4002=0,(D4001*N4001+P4001*R4001)*U4001*Y4001,0)</f>
        <v>17.20597248</v>
      </c>
    </row>
    <row r="4002">
      <c r="A4002" t="str">
        <f>A3984</f>
        <v>Lantai 1</v>
      </c>
      <c r="B4002">
        <f>B3984</f>
        <v>36</v>
      </c>
      <c r="D4002">
        <f>IF(AND(D3999=D4000,D4000=D4001,D3999=D4001),D3999,0)</f>
        <v>0</v>
      </c>
      <c r="E4002" t="str">
        <v>D</v>
      </c>
      <c r="F4002">
        <f>IF(AND(F3999=F4000,F3999=F4001,F4000=F4001),F3999,0)</f>
        <v>16</v>
      </c>
      <c r="L4002" t="str">
        <v>Total panjang per balok</v>
      </c>
      <c r="M4002" t="str">
        <v>=</v>
      </c>
      <c r="N4002">
        <f>IF(AND(D3999=D4000,D3999=D4001,D4000=D4001,F3999=F4000,F3999=F4001,F4000=F4001),SUM(N3999:N4001),0)</f>
        <v>0</v>
      </c>
      <c r="O4002" t="str">
        <v>+</v>
      </c>
      <c r="P4002">
        <f>IF(N4002&gt;12,ROUNDDOWN(N4002/12,0),0)</f>
        <v>0</v>
      </c>
      <c r="Q4002" t="str">
        <v>x</v>
      </c>
      <c r="R4002">
        <f>IF(P4002&gt;0,MAX(VLOOKUP(F4002,$D$6:$G$15,3,FALSE),600),0)/1000</f>
        <v>0</v>
      </c>
      <c r="T4002" t="str">
        <v>x</v>
      </c>
      <c r="U4002">
        <f>U4001</f>
        <v>1.57824</v>
      </c>
      <c r="V4002" t="str">
        <v>x</v>
      </c>
      <c r="W4002">
        <f>D4002</f>
        <v>0</v>
      </c>
      <c r="X4002" t="str">
        <v>x</v>
      </c>
      <c r="Y4002">
        <f>Y4001</f>
        <v>1</v>
      </c>
      <c r="Z4002" t="str">
        <v>=</v>
      </c>
      <c r="AA4002">
        <f>(N4002+P4002*R4002/1000)*U4002*W4002*Y4002</f>
        <v>0</v>
      </c>
    </row>
    <row r="4004">
      <c r="A4004" t="str">
        <f>A3984</f>
        <v>Lantai 1</v>
      </c>
      <c r="B4004">
        <f>B3984</f>
        <v>36</v>
      </c>
      <c r="C4004" t="str">
        <v>Sengkang Tumpuan</v>
      </c>
      <c r="D4004">
        <f>VLOOKUP(D3984,'Detail Balok'!$C$10:$AU$110,31,FALSE)</f>
        <v>0</v>
      </c>
      <c r="E4004" t="str">
        <v>D</v>
      </c>
      <c r="F4004">
        <f>VLOOKUP(D3984,'Detail Balok'!$C$10:$AU$110,33,FALSE)</f>
        <v>13</v>
      </c>
      <c r="G4004" t="str">
        <v>-</v>
      </c>
      <c r="H4004">
        <f>VLOOKUP(D3984,'Detail Balok'!$C$10:$AU$110,35,FALSE)</f>
        <v>75</v>
      </c>
      <c r="J4004">
        <f>(IF(D4004=0,(2*(D3985+G3985))-(F$5*8),IF(D4004=3,(2*(D3985+G3985))-(F$5*8)+(G3985-2*F$5),IF(D4004=4,(2*(D3985+G3985))-(F$5*8)+2*(G3985-2*F$5)))))/1000</f>
        <v>1.88</v>
      </c>
      <c r="K4004" t="str">
        <v>+</v>
      </c>
      <c r="L4004">
        <f>IF(D4004=0,2*MAX(6*F4004,75),(D4004-1)*2*MAX(6*F4004,75))/1000</f>
        <v>0.156</v>
      </c>
      <c r="M4004" t="str">
        <v>=</v>
      </c>
      <c r="N4004">
        <f>J4004+L4004</f>
        <v>2.036</v>
      </c>
      <c r="T4004" t="str">
        <v>x</v>
      </c>
      <c r="U4004">
        <f>0.006165*F4004^2</f>
        <v>1.041885</v>
      </c>
      <c r="V4004" t="str">
        <v>x</v>
      </c>
      <c r="W4004">
        <f>IF(D3987&gt;4*G3985,ROUND(MAX(D3987/4,2*G3985)/H4004,0)+1,ROUND(D3987/H4004,0)+1)</f>
        <v>23</v>
      </c>
      <c r="X4004" t="str">
        <v>x</v>
      </c>
      <c r="Y4004">
        <f>D3990</f>
        <v>1</v>
      </c>
      <c r="Z4004" t="str">
        <v>=</v>
      </c>
      <c r="AA4004">
        <f>N4004*U4004*W4004*Y4004</f>
        <v>48.78939077999999</v>
      </c>
    </row>
    <row r="4005">
      <c r="A4005" t="str">
        <f>A3984</f>
        <v>Lantai 1</v>
      </c>
      <c r="B4005">
        <f>B3984</f>
        <v>36</v>
      </c>
      <c r="C4005" t="str">
        <v>Sengkang Lapangan</v>
      </c>
      <c r="D4005">
        <f>VLOOKUP(D3984,'Detail Balok'!$C$10:$AU$110,36,FALSE)</f>
        <v>0</v>
      </c>
      <c r="E4005" t="str">
        <v>D</v>
      </c>
      <c r="F4005">
        <f>VLOOKUP(D3984,'Detail Balok'!$C$10:$AU$110,38,FALSE)</f>
        <v>13</v>
      </c>
      <c r="G4005" t="str">
        <v>-</v>
      </c>
      <c r="H4005">
        <f>VLOOKUP(D3984,'Detail Balok'!$C$10:$AU$110,40,FALSE)</f>
        <v>200</v>
      </c>
      <c r="J4005">
        <f>(IF(D4005=0,(2*(D3985+G3985))-(F$5*8),IF(D4005=3,(2*(D3985+G3985))-(F$5*8)+(G3985-2*F$5),IF(D4005=4,(2*(D3985+G3985))-(F$5*8)+2*(G3985-2*F$5)))))/1000</f>
        <v>1.88</v>
      </c>
      <c r="K4005" t="str">
        <v>+</v>
      </c>
      <c r="L4005">
        <f>IF(D4005=0,2*MAX(6*F4005,75),(D4005-1)*2*MAX(6*F4005,75))/1000</f>
        <v>0.156</v>
      </c>
      <c r="M4005" t="str">
        <v>=</v>
      </c>
      <c r="N4005">
        <f>J4005+L4005</f>
        <v>2.036</v>
      </c>
      <c r="T4005" t="str">
        <v>x</v>
      </c>
      <c r="U4005">
        <f>0.006165*F4005^2</f>
        <v>1.041885</v>
      </c>
      <c r="V4005" t="str">
        <v>x</v>
      </c>
      <c r="W4005">
        <f>IF(D3987-MAX(D3987/4,2*G3985)*2&gt;0,ROUND((D3987-MAX(D3987/4,2*G3985)*2)/H4005,0),0)</f>
        <v>16</v>
      </c>
      <c r="X4005" t="str">
        <v>x</v>
      </c>
      <c r="Y4005">
        <f>D3990</f>
        <v>1</v>
      </c>
      <c r="Z4005" t="str">
        <v>=</v>
      </c>
      <c r="AA4005">
        <f>N4005*U4005*W4005*Y4005</f>
        <v>33.940445759999996</v>
      </c>
    </row>
    <row r="4006">
      <c r="A4006" t="str">
        <f>A3984</f>
        <v>Lantai 1</v>
      </c>
      <c r="B4006">
        <f>B3984</f>
        <v>36</v>
      </c>
      <c r="C4006" t="str">
        <v>Sengkang Tumpuan</v>
      </c>
      <c r="D4006">
        <f>VLOOKUP(D3984,'Detail Balok'!$C$10:$AU$110,41,FALSE)</f>
        <v>0</v>
      </c>
      <c r="E4006" t="str">
        <v>D</v>
      </c>
      <c r="F4006">
        <f>VLOOKUP(D3984,'Detail Balok'!$C$10:$AU$110,43,FALSE)</f>
        <v>13</v>
      </c>
      <c r="G4006" t="str">
        <v>-</v>
      </c>
      <c r="H4006">
        <f>VLOOKUP(D3984,'Detail Balok'!$C$10:$AU$110,45,FALSE)</f>
        <v>75</v>
      </c>
      <c r="J4006">
        <f>(IF(D4006=0,(2*(D3985+G3985))-(F$5*8),IF(D4006=3,(2*(D3985+G3985))-(F$5*8)+(G3985-2*F$5),IF(D4006=4,(2*(D3985+G3985))-(F$5*8)+2*(G3985-2*F$5)))))/1000</f>
        <v>1.88</v>
      </c>
      <c r="K4006" t="str">
        <v>+</v>
      </c>
      <c r="L4006">
        <f>IF(D4006=0,2*MAX(6*F4006,75),(D4006-1)*2*MAX(6*F4006,75))/1000</f>
        <v>0.156</v>
      </c>
      <c r="M4006" t="str">
        <v>=</v>
      </c>
      <c r="N4006">
        <f>J4006+L4006</f>
        <v>2.036</v>
      </c>
      <c r="T4006" t="str">
        <v>x</v>
      </c>
      <c r="U4006">
        <f>0.006165*F4006^2</f>
        <v>1.041885</v>
      </c>
      <c r="V4006" t="str">
        <v>x</v>
      </c>
      <c r="W4006">
        <f>IF(D3987&gt;4*G3985,ROUND(MAX(D3987/4,2*G3985)/H4006,0)+1,0)</f>
        <v>23</v>
      </c>
      <c r="X4006" t="str">
        <v>x</v>
      </c>
      <c r="Y4006">
        <f>D3990</f>
        <v>1</v>
      </c>
      <c r="Z4006" t="str">
        <v>=</v>
      </c>
      <c r="AA4006">
        <f>N4006*U4006*W4006*Y4006</f>
        <v>48.78939077999999</v>
      </c>
    </row>
    <row r="4008">
      <c r="A4008" t="str">
        <f>A3984</f>
        <v>Lantai 1</v>
      </c>
      <c r="B4008">
        <f>B3984</f>
        <v>36</v>
      </c>
      <c r="C4008" t="str">
        <v>Kait Horizontal Tump.</v>
      </c>
      <c r="D4008">
        <f>VLOOKUP(D3984,'Detail Balok'!$C$10:$BJ$110,46,FALSE)</f>
        <v>0</v>
      </c>
      <c r="E4008" t="str">
        <v>D</v>
      </c>
      <c r="F4008">
        <f>VLOOKUP(D3984,'Detail Balok'!$C$10:$BJ$110,48,FALSE)</f>
        <v>0</v>
      </c>
      <c r="G4008" t="str">
        <v>-</v>
      </c>
      <c r="H4008">
        <f>VLOOKUP(D3984,'Detail Balok'!$C$10:$BJ$110,50,FALSE)</f>
        <v>100</v>
      </c>
      <c r="J4008">
        <f>(D3985-2*F$5)/1000</f>
        <v>0.32</v>
      </c>
      <c r="K4008" t="str">
        <v>+</v>
      </c>
      <c r="L4008">
        <f>IF(D4008=0,2*MAX(6*F4008,75),(D4008-1)*2*MAX(6*F4008,75))/1000</f>
        <v>0.15</v>
      </c>
      <c r="M4008" t="str">
        <v>=</v>
      </c>
      <c r="N4008">
        <f>J4008+L4008</f>
        <v>0.47</v>
      </c>
      <c r="T4008" t="str">
        <v>x</v>
      </c>
      <c r="U4008">
        <f>0.006165*F4008^2</f>
        <v>0</v>
      </c>
      <c r="V4008" t="str">
        <v>x</v>
      </c>
      <c r="W4008">
        <f>W4004</f>
        <v>23</v>
      </c>
      <c r="X4008" t="str">
        <v>x</v>
      </c>
      <c r="Y4008">
        <f>D3994</f>
        <v>0</v>
      </c>
      <c r="Z4008" t="str">
        <v>=</v>
      </c>
      <c r="AA4008">
        <f>N4008*U4008*W4008*Y4008</f>
        <v>0</v>
      </c>
    </row>
    <row r="4009">
      <c r="A4009" t="str">
        <f>A3984</f>
        <v>Lantai 1</v>
      </c>
      <c r="B4009">
        <f>B3984</f>
        <v>36</v>
      </c>
      <c r="C4009" t="str">
        <v>Kait Horizontal Lap.</v>
      </c>
      <c r="D4009">
        <f>VLOOKUP(D3984,'Detail Balok'!$C$10:$BJ$110,51,FALSE)</f>
        <v>0</v>
      </c>
      <c r="E4009" t="str">
        <v>D</v>
      </c>
      <c r="F4009">
        <f>VLOOKUP(D3984,'Detail Balok'!$C$10:$BJ$110,53,FALSE)</f>
        <v>0</v>
      </c>
      <c r="G4009" t="str">
        <v>-</v>
      </c>
      <c r="H4009">
        <f>VLOOKUP(D3984,'Detail Balok'!$C$10:$BJ$110,55,FALSE)</f>
        <v>100</v>
      </c>
      <c r="J4009">
        <f>(D3985-2*F$5)/1000</f>
        <v>0.32</v>
      </c>
      <c r="K4009" t="str">
        <v>+</v>
      </c>
      <c r="L4009">
        <f>IF(D4009=0,2*MAX(6*F4009,75),(D4009-1)*2*MAX(6*F4009,75))/1000</f>
        <v>0.15</v>
      </c>
      <c r="M4009" t="str">
        <v>=</v>
      </c>
      <c r="N4009">
        <f>J4009+L4009</f>
        <v>0.47</v>
      </c>
      <c r="T4009" t="str">
        <v>x</v>
      </c>
      <c r="U4009">
        <f>0.006165*F4009^2</f>
        <v>0</v>
      </c>
      <c r="V4009" t="str">
        <v>x</v>
      </c>
      <c r="W4009">
        <f>W4005</f>
        <v>16</v>
      </c>
      <c r="X4009" t="str">
        <v>x</v>
      </c>
      <c r="Y4009">
        <f>D3994</f>
        <v>0</v>
      </c>
      <c r="Z4009" t="str">
        <v>=</v>
      </c>
      <c r="AA4009">
        <f>N4009*U4009*W4009*Y4009</f>
        <v>0</v>
      </c>
    </row>
    <row r="4010">
      <c r="A4010" t="str">
        <f>A3984</f>
        <v>Lantai 1</v>
      </c>
      <c r="B4010">
        <f>B3984</f>
        <v>36</v>
      </c>
      <c r="C4010" t="str">
        <v>Kait Horizontal Tump.</v>
      </c>
      <c r="D4010">
        <f>VLOOKUP(D3984,'Detail Balok'!$C$10:$BJ$110,56,FALSE)</f>
        <v>0</v>
      </c>
      <c r="E4010" t="str">
        <v>D</v>
      </c>
      <c r="F4010">
        <f>VLOOKUP(D3984,'Detail Balok'!$C$10:$BJ$110,58,FALSE)</f>
        <v>0</v>
      </c>
      <c r="G4010" t="str">
        <v>-</v>
      </c>
      <c r="H4010">
        <f>VLOOKUP(D3984,'Detail Balok'!$C$10:$BJ$110,60,FALSE)</f>
        <v>100</v>
      </c>
      <c r="J4010">
        <f>(D3985-2*F$5)/1000</f>
        <v>0.32</v>
      </c>
      <c r="K4010" t="str">
        <v>+</v>
      </c>
      <c r="L4010">
        <f>IF(D4010=0,2*MAX(6*F4010,75),(D4010-1)*2*MAX(6*F4010,75))/1000</f>
        <v>0.15</v>
      </c>
      <c r="M4010" t="str">
        <v>=</v>
      </c>
      <c r="N4010">
        <f>J4010+L4010</f>
        <v>0.47</v>
      </c>
      <c r="T4010" t="str">
        <v>x</v>
      </c>
      <c r="U4010">
        <f>0.006165*F4010^2</f>
        <v>0</v>
      </c>
      <c r="V4010" t="str">
        <v>x</v>
      </c>
      <c r="W4010">
        <f>W4006</f>
        <v>23</v>
      </c>
      <c r="X4010" t="str">
        <v>x</v>
      </c>
      <c r="Y4010">
        <f>D3994</f>
        <v>0</v>
      </c>
      <c r="Z4010" t="str">
        <v>=</v>
      </c>
      <c r="AA4010">
        <f>N4010*U4010*W4010*Y4010</f>
        <v>0</v>
      </c>
    </row>
    <row r="4014">
      <c r="A4014" t="str">
        <f>A3984</f>
        <v>Lantai 1</v>
      </c>
      <c r="B4014">
        <f>B3984+1</f>
        <v>37</v>
      </c>
      <c r="C4014" t="str">
        <f>CONCATENATE(A4014," no. ",B4014)</f>
        <v>Lantai 1 no. 37</v>
      </c>
      <c r="D4014" t="str">
        <f>VLOOKUP(C4014,'Data Panjang Balok'!$C$9:$N$424,2,FALSE)</f>
        <v>B23-1</v>
      </c>
    </row>
    <row r="4015">
      <c r="C4015" t="str">
        <v>Dimensi</v>
      </c>
      <c r="D4015">
        <f>VLOOKUP(D4014,'Detail Balok'!$C$10:$AU$110,2,FALSE)</f>
        <v>200</v>
      </c>
      <c r="F4015" t="str">
        <v>x</v>
      </c>
      <c r="G4015">
        <f>VLOOKUP(D4014,'Detail Balok'!$C$10:$AU$110,3,FALSE)</f>
        <v>300</v>
      </c>
    </row>
    <row r="4016">
      <c r="C4016" t="str">
        <v>Panjang as ke as</v>
      </c>
      <c r="D4016">
        <f>VLOOKUP(C4014,'Data Panjang Balok'!$C$9:$N$424,4,FALSE)</f>
        <v>1350</v>
      </c>
    </row>
    <row r="4017">
      <c r="C4017" t="str">
        <v>Panjang netto</v>
      </c>
      <c r="D4017">
        <f>VLOOKUP(C4014,'Data Panjang Balok'!$C$9:$N$424,7,FALSE)</f>
        <v>1350</v>
      </c>
    </row>
    <row r="4018">
      <c r="C4018" t="str">
        <v>Kolom / balok kiri</v>
      </c>
      <c r="D4018">
        <f>VLOOKUP(C4014,'Data Panjang Balok'!$C$9:$N$424,9,FALSE)</f>
        <v>0</v>
      </c>
    </row>
    <row r="4019">
      <c r="C4019" t="str">
        <v>Kolom / balok kanan</v>
      </c>
      <c r="D4019">
        <f>VLOOKUP(C4014,'Data Panjang Balok'!$C$9:$N$424,10,FALSE)</f>
        <v>0</v>
      </c>
    </row>
    <row r="4020">
      <c r="C4020" t="str">
        <v>Jumlah</v>
      </c>
      <c r="D4020">
        <f>VLOOKUP(C4014,'Data Panjang Balok'!$C$9:$N$424,3,FALSE)</f>
        <v>1</v>
      </c>
    </row>
    <row r="4021">
      <c r="A4021" t="str">
        <f>A4014</f>
        <v>Lantai 1</v>
      </c>
      <c r="B4021">
        <f>B4014</f>
        <v>37</v>
      </c>
      <c r="C4021" t="str">
        <v>Tul Atas Tumpuan</v>
      </c>
      <c r="D4021">
        <f>VLOOKUP(D4014,'Detail Balok'!$C$10:$AU$110,4,FALSE)</f>
        <v>2</v>
      </c>
      <c r="E4021" t="str">
        <v>D</v>
      </c>
      <c r="F4021">
        <f>VLOOKUP(D4014,'Detail Balok'!$C$10:$AU$110,6,FALSE)</f>
        <v>13</v>
      </c>
      <c r="I4021" t="str">
        <v>(</v>
      </c>
      <c r="J4021">
        <f>+D4016/4/1000</f>
        <v>0.3375</v>
      </c>
      <c r="K4021" t="str">
        <v>+</v>
      </c>
      <c r="L4021">
        <f>MAX(VLOOKUP(F4021,N$6:P$15,3,FALSE)/1000,2/3*D4018/1000)+F$16*F4021/1000</f>
        <v>0.156</v>
      </c>
      <c r="M4021" t="str">
        <v>=</v>
      </c>
      <c r="N4021">
        <f>J4021+L4021</f>
        <v>0.49350000000000005</v>
      </c>
      <c r="O4021" t="str">
        <v>+</v>
      </c>
      <c r="P4021">
        <f>D4021-D4022</f>
        <v>0</v>
      </c>
      <c r="Q4021" t="str">
        <v>x</v>
      </c>
      <c r="R4021">
        <f>IF(P4021&gt;0,$F$18*F4021/1000,0)</f>
        <v>0</v>
      </c>
      <c r="S4021" t="str">
        <v>)</v>
      </c>
      <c r="T4021" t="str">
        <v>x</v>
      </c>
      <c r="U4021">
        <f>0.006165*F4021^2</f>
        <v>1.041885</v>
      </c>
      <c r="X4021" t="str">
        <v>x</v>
      </c>
      <c r="Y4021">
        <f>D4020</f>
        <v>1</v>
      </c>
      <c r="Z4021" t="str">
        <v>=</v>
      </c>
      <c r="AA4021">
        <f>IF(AA4024=0,(D4021*N4021+P4021*R4021)*U4021*Y4021,0)</f>
        <v>0</v>
      </c>
    </row>
    <row r="4022">
      <c r="A4022" t="str">
        <f>A4014</f>
        <v>Lantai 1</v>
      </c>
      <c r="B4022">
        <f>B4014</f>
        <v>37</v>
      </c>
      <c r="C4022" t="str">
        <v>Tul Atas Lapangan</v>
      </c>
      <c r="D4022">
        <f>VLOOKUP(D4014,'Detail Balok'!$C$10:$AU$110,7,FALSE)</f>
        <v>2</v>
      </c>
      <c r="E4022" t="str">
        <v>D</v>
      </c>
      <c r="F4022">
        <f>VLOOKUP(D4014,'Detail Balok'!$C$10:$AU$110,9,FALSE)</f>
        <v>13</v>
      </c>
      <c r="I4022" t="str">
        <v>(</v>
      </c>
      <c r="J4022">
        <f>+D4016/2/1000</f>
        <v>0.675</v>
      </c>
      <c r="K4022" t="str">
        <v>+</v>
      </c>
      <c r="M4022" t="str">
        <v>=</v>
      </c>
      <c r="N4022">
        <f>J4022+L4022</f>
        <v>0.675</v>
      </c>
      <c r="O4022" t="str">
        <v>+</v>
      </c>
      <c r="P4022">
        <f>MAX(D4022-D4021,D4022-D4023)</f>
        <v>0</v>
      </c>
      <c r="Q4022" t="str">
        <v>x</v>
      </c>
      <c r="R4022">
        <f>IF(P4022&gt;0,2*(1-2*$F$19-1/2)*D4017/1000,0)</f>
        <v>0</v>
      </c>
      <c r="S4022" t="str">
        <v>)</v>
      </c>
      <c r="T4022" t="str">
        <v>x</v>
      </c>
      <c r="U4022">
        <f>0.006165*F4022^2</f>
        <v>1.041885</v>
      </c>
      <c r="X4022" t="str">
        <v>x</v>
      </c>
      <c r="Y4022">
        <f>D4020</f>
        <v>1</v>
      </c>
      <c r="Z4022" t="str">
        <v>=</v>
      </c>
      <c r="AA4022">
        <f>IF(AA4024=0,(D4022*N4022+P4022*R4022)*U4022*Y4022,0)</f>
        <v>0</v>
      </c>
    </row>
    <row r="4023">
      <c r="A4023" t="str">
        <f>A4014</f>
        <v>Lantai 1</v>
      </c>
      <c r="B4023">
        <f>B4014</f>
        <v>37</v>
      </c>
      <c r="C4023" t="str">
        <v>Tul Atas Tumpuan</v>
      </c>
      <c r="D4023">
        <f>VLOOKUP(D4014,'Detail Balok'!$C$10:$AU$110,10,FALSE)</f>
        <v>2</v>
      </c>
      <c r="E4023" t="str">
        <v>D</v>
      </c>
      <c r="F4023">
        <f>VLOOKUP(D4014,'Detail Balok'!$C$10:$AU$110,12,FALSE)</f>
        <v>13</v>
      </c>
      <c r="I4023" t="str">
        <v>(</v>
      </c>
      <c r="J4023">
        <f>+D4016/4/1000</f>
        <v>0.3375</v>
      </c>
      <c r="K4023" t="str">
        <v>+</v>
      </c>
      <c r="L4023">
        <f>MAX(VLOOKUP(F4023,N$6:P$15,3,FALSE)/1000,2/3*D4018/1000)+F$16*F4023/1000</f>
        <v>0.156</v>
      </c>
      <c r="M4023" t="str">
        <v>=</v>
      </c>
      <c r="N4023">
        <f>J4023+L4023</f>
        <v>0.49350000000000005</v>
      </c>
      <c r="O4023" t="str">
        <v>+</v>
      </c>
      <c r="P4023">
        <f>D4023-D4022</f>
        <v>0</v>
      </c>
      <c r="Q4023" t="str">
        <v>x</v>
      </c>
      <c r="R4023">
        <f>IF(P4023&gt;0,$F$18*F4023/1000,0)</f>
        <v>0</v>
      </c>
      <c r="S4023" t="str">
        <v>)</v>
      </c>
      <c r="T4023" t="str">
        <v>x</v>
      </c>
      <c r="U4023">
        <f>0.006165*F4023^2</f>
        <v>1.041885</v>
      </c>
      <c r="X4023" t="str">
        <v>x</v>
      </c>
      <c r="Y4023">
        <f>D4020</f>
        <v>1</v>
      </c>
      <c r="Z4023" t="str">
        <v>=</v>
      </c>
      <c r="AA4023">
        <f>IF(AA4024=0,(D4023*N4023+P4023*R4023)*U4023*Y4023,0)</f>
        <v>0</v>
      </c>
    </row>
    <row r="4024">
      <c r="A4024" t="str">
        <f>A4014</f>
        <v>Lantai 1</v>
      </c>
      <c r="B4024">
        <f>B4014</f>
        <v>37</v>
      </c>
      <c r="D4024">
        <f>IF(AND(D4021=D4022,D4022=D4023,D4021=D4023),D4021,0)</f>
        <v>2</v>
      </c>
      <c r="E4024" t="str">
        <v>D</v>
      </c>
      <c r="F4024">
        <f>IF(AND(F4021=F4022,F4021=F4023,F4022=F4023),F4021,0)</f>
        <v>13</v>
      </c>
      <c r="L4024" t="str">
        <v>Total panjang per balok</v>
      </c>
      <c r="M4024" t="str">
        <v>=</v>
      </c>
      <c r="N4024">
        <f>IF(AND(D4021=D4022,D4021=D4023,D4022=D4023,F4021=F4022,F4021=F4023,F4022=F4023),SUM(N4021:N4023),0)</f>
        <v>1.6620000000000001</v>
      </c>
      <c r="O4024" t="str">
        <v>+</v>
      </c>
      <c r="P4024">
        <f>IF(N4024&gt;12,ROUNDDOWN(N4024/12,0),0)</f>
        <v>0</v>
      </c>
      <c r="Q4024" t="str">
        <v>x</v>
      </c>
      <c r="R4024">
        <f>IF(P4024&gt;0,MAX(VLOOKUP(F4024,$D$6:$G$15,3,FALSE),600),0)/1000</f>
        <v>0</v>
      </c>
      <c r="T4024" t="str">
        <v>x</v>
      </c>
      <c r="U4024">
        <f>U4023</f>
        <v>1.041885</v>
      </c>
      <c r="V4024" t="str">
        <v>x</v>
      </c>
      <c r="W4024">
        <f>D4024</f>
        <v>2</v>
      </c>
      <c r="X4024" t="str">
        <v>x</v>
      </c>
      <c r="Y4024">
        <f>Y4023</f>
        <v>1</v>
      </c>
      <c r="Z4024" t="str">
        <v>=</v>
      </c>
      <c r="AA4024">
        <f>(N4024+P4024*R4024/1000)*U4024*W4024*Y4024</f>
        <v>3.46322574</v>
      </c>
    </row>
    <row r="4026">
      <c r="A4026" t="str">
        <f>A4014</f>
        <v>Lantai 1</v>
      </c>
      <c r="B4026">
        <f>B4014</f>
        <v>37</v>
      </c>
      <c r="C4026" t="str">
        <v>Tul Peminggang</v>
      </c>
      <c r="D4026">
        <f>VLOOKUP(D4014,'Detail Balok'!$C$10:$AU$110,13,FALSE)</f>
        <v>0</v>
      </c>
      <c r="E4026" t="str">
        <v>D</v>
      </c>
      <c r="F4026">
        <f>VLOOKUP(D4014,'Detail Balok'!$C$10:$AU$110,15,FALSE)</f>
        <v>6</v>
      </c>
      <c r="J4026">
        <f>+D4016/1000</f>
        <v>1.35</v>
      </c>
      <c r="K4026" t="str">
        <v>+</v>
      </c>
      <c r="L4026">
        <f>2*$F$16*F4026/1000</f>
        <v>0.144</v>
      </c>
      <c r="M4026" t="str">
        <v>=</v>
      </c>
      <c r="N4026">
        <f>J4026+L4026</f>
        <v>1.494</v>
      </c>
      <c r="O4026" t="str">
        <v>+</v>
      </c>
      <c r="P4026">
        <f>IF(N4026&gt;12,ROUNDDOWN(N4026/12,0),0)</f>
        <v>0</v>
      </c>
      <c r="Q4026" t="str">
        <v>x</v>
      </c>
      <c r="R4026">
        <f>IF(P4026&gt;0,MAX(VLOOKUP(F4026,$D$6:$G$15,3,FALSE),600),0)/1000</f>
        <v>0</v>
      </c>
      <c r="T4026" t="str">
        <v>x</v>
      </c>
      <c r="U4026">
        <f>0.006165*F4026^2</f>
        <v>0.22194000000000003</v>
      </c>
      <c r="V4026" t="str">
        <v>x</v>
      </c>
      <c r="W4026">
        <f>+D4026</f>
        <v>0</v>
      </c>
      <c r="X4026" t="str">
        <v>x</v>
      </c>
      <c r="Y4026">
        <f>D4020</f>
        <v>1</v>
      </c>
      <c r="Z4026" t="str">
        <v>=</v>
      </c>
      <c r="AA4026">
        <f>(N4026+P4026*R4026/1000)*U4026*W4026*Y4026</f>
        <v>0</v>
      </c>
    </row>
    <row r="4029">
      <c r="A4029" t="str">
        <f>A4014</f>
        <v>Lantai 1</v>
      </c>
      <c r="B4029">
        <f>B4014</f>
        <v>37</v>
      </c>
      <c r="C4029" t="str">
        <v>Tul Bawah Tumpuan</v>
      </c>
      <c r="D4029">
        <f>VLOOKUP(D4014,'Detail Balok'!$C$10:$AU$110,22,FALSE)</f>
        <v>2</v>
      </c>
      <c r="E4029" t="str">
        <v>D</v>
      </c>
      <c r="F4029">
        <f>VLOOKUP(D4014,'Detail Balok'!$C$10:$AU$110,24,FALSE)</f>
        <v>13</v>
      </c>
      <c r="I4029" t="str">
        <v>(</v>
      </c>
      <c r="J4029">
        <f>+J4021</f>
        <v>0.3375</v>
      </c>
      <c r="K4029" t="str">
        <v>+</v>
      </c>
      <c r="L4029">
        <f>MAX(VLOOKUP(F4029,N$6:P$15,3,FALSE)/1000,2/3*D4019/1000)+F$16*F4029/1000</f>
        <v>0.156</v>
      </c>
      <c r="M4029" t="str">
        <v>=</v>
      </c>
      <c r="N4029">
        <f>J4029+L4029</f>
        <v>0.49350000000000005</v>
      </c>
      <c r="O4029" t="str">
        <v>+</v>
      </c>
      <c r="P4029">
        <f>D4029-D4030</f>
        <v>0</v>
      </c>
      <c r="Q4029" t="str">
        <v>x</v>
      </c>
      <c r="R4029">
        <f>IF(P4029&gt;0,$F$18*F4029/1000,0)</f>
        <v>0</v>
      </c>
      <c r="S4029" t="str">
        <v>)</v>
      </c>
      <c r="T4029" t="str">
        <v>x</v>
      </c>
      <c r="U4029">
        <f>0.006165*F4029^2</f>
        <v>1.041885</v>
      </c>
      <c r="X4029" t="str">
        <v>x</v>
      </c>
      <c r="Y4029">
        <f>D4020</f>
        <v>1</v>
      </c>
      <c r="Z4029" t="str">
        <v>=</v>
      </c>
      <c r="AA4029">
        <f>IF(AA4032=0,(D4029*N4029+P4029*R4029)*U4029*Y4029,0)</f>
        <v>0</v>
      </c>
    </row>
    <row r="4030">
      <c r="A4030" t="str">
        <f>A4014</f>
        <v>Lantai 1</v>
      </c>
      <c r="B4030">
        <f>B4014</f>
        <v>37</v>
      </c>
      <c r="C4030" t="str">
        <v>Tul Bawah Lapangan</v>
      </c>
      <c r="D4030">
        <f>VLOOKUP(D4014,'Detail Balok'!$C$10:$AU$110,25,FALSE)</f>
        <v>2</v>
      </c>
      <c r="E4030" t="str">
        <v>D</v>
      </c>
      <c r="F4030">
        <f>VLOOKUP(D4014,'Detail Balok'!$C$10:$AU$110,27,FALSE)</f>
        <v>13</v>
      </c>
      <c r="I4030" t="str">
        <v>(</v>
      </c>
      <c r="J4030">
        <f>+J4022</f>
        <v>0.675</v>
      </c>
      <c r="K4030" t="str">
        <v>+</v>
      </c>
      <c r="M4030" t="str">
        <v>=</v>
      </c>
      <c r="N4030">
        <f>J4030+L4030</f>
        <v>0.675</v>
      </c>
      <c r="O4030" t="str">
        <v>+</v>
      </c>
      <c r="P4030">
        <f>MAX(D4030-D4029,D4030-D4031)</f>
        <v>0</v>
      </c>
      <c r="Q4030" t="str">
        <v>x</v>
      </c>
      <c r="R4030">
        <f>IF(P4030&gt;0,2*(1-2*$F$19-1/2)*D4017/1000,0)</f>
        <v>0</v>
      </c>
      <c r="S4030" t="str">
        <v>)</v>
      </c>
      <c r="T4030" t="str">
        <v>x</v>
      </c>
      <c r="U4030">
        <f>0.006165*F4030^2</f>
        <v>1.041885</v>
      </c>
      <c r="X4030" t="str">
        <v>x</v>
      </c>
      <c r="Y4030">
        <f>D4020</f>
        <v>1</v>
      </c>
      <c r="Z4030" t="str">
        <v>=</v>
      </c>
      <c r="AA4030">
        <f>IF(AA4032=0,(D4030*N4030+P4030*R4030)*U4030*Y4030,0)</f>
        <v>0</v>
      </c>
    </row>
    <row r="4031">
      <c r="A4031" t="str">
        <f>A4014</f>
        <v>Lantai 1</v>
      </c>
      <c r="B4031">
        <f>B4014</f>
        <v>37</v>
      </c>
      <c r="C4031" t="str">
        <v>Tul Bawah Tumpuan</v>
      </c>
      <c r="D4031">
        <f>VLOOKUP(D4014,'Detail Balok'!$C$10:$AU$110,28,FALSE)</f>
        <v>2</v>
      </c>
      <c r="E4031" t="str">
        <v>D</v>
      </c>
      <c r="F4031">
        <f>VLOOKUP(D4014,'Detail Balok'!$C$10:$AU$110,30,FALSE)</f>
        <v>13</v>
      </c>
      <c r="I4031" t="str">
        <v>(</v>
      </c>
      <c r="J4031">
        <f>+J4023</f>
        <v>0.3375</v>
      </c>
      <c r="K4031" t="str">
        <v>+</v>
      </c>
      <c r="L4031">
        <f>MAX(VLOOKUP(F4031,N$6:P$15,3,FALSE)/1000,2/3*D4019/1000)+F$16*F4031/1000</f>
        <v>0.156</v>
      </c>
      <c r="M4031" t="str">
        <v>=</v>
      </c>
      <c r="N4031">
        <f>J4031+L4031</f>
        <v>0.49350000000000005</v>
      </c>
      <c r="O4031" t="str">
        <v>+</v>
      </c>
      <c r="P4031">
        <f>D4031-D4030</f>
        <v>0</v>
      </c>
      <c r="Q4031" t="str">
        <v>x</v>
      </c>
      <c r="R4031">
        <f>IF(P4031&gt;0,$F$18*F4031/1000,0)</f>
        <v>0</v>
      </c>
      <c r="S4031" t="str">
        <v>)</v>
      </c>
      <c r="T4031" t="str">
        <v>x</v>
      </c>
      <c r="U4031">
        <f>0.006165*F4031^2</f>
        <v>1.041885</v>
      </c>
      <c r="X4031" t="str">
        <v>x</v>
      </c>
      <c r="Y4031">
        <f>D4020</f>
        <v>1</v>
      </c>
      <c r="Z4031" t="str">
        <v>=</v>
      </c>
      <c r="AA4031">
        <f>IF(AA4032=0,(D4031*N4031+P4031*R4031)*U4031*Y4031,0)</f>
        <v>0</v>
      </c>
    </row>
    <row r="4032">
      <c r="A4032" t="str">
        <f>A4014</f>
        <v>Lantai 1</v>
      </c>
      <c r="B4032">
        <f>B4014</f>
        <v>37</v>
      </c>
      <c r="D4032">
        <f>IF(AND(D4029=D4030,D4030=D4031,D4029=D4031),D4029,0)</f>
        <v>2</v>
      </c>
      <c r="E4032" t="str">
        <v>D</v>
      </c>
      <c r="F4032">
        <f>IF(AND(F4029=F4030,F4029=F4031,F4030=F4031),F4029,0)</f>
        <v>13</v>
      </c>
      <c r="L4032" t="str">
        <v>Total panjang per balok</v>
      </c>
      <c r="M4032" t="str">
        <v>=</v>
      </c>
      <c r="N4032">
        <f>IF(AND(D4029=D4030,D4029=D4031,D4030=D4031,F4029=F4030,F4029=F4031,F4030=F4031),SUM(N4029:N4031),0)</f>
        <v>1.6620000000000001</v>
      </c>
      <c r="O4032" t="str">
        <v>+</v>
      </c>
      <c r="P4032">
        <f>IF(N4032&gt;12,ROUNDDOWN(N4032/12,0),0)</f>
        <v>0</v>
      </c>
      <c r="Q4032" t="str">
        <v>x</v>
      </c>
      <c r="R4032">
        <f>IF(P4032&gt;0,MAX(VLOOKUP(F4032,$D$6:$G$15,3,FALSE),600),0)/1000</f>
        <v>0</v>
      </c>
      <c r="T4032" t="str">
        <v>x</v>
      </c>
      <c r="U4032">
        <f>U4031</f>
        <v>1.041885</v>
      </c>
      <c r="V4032" t="str">
        <v>x</v>
      </c>
      <c r="W4032">
        <f>D4032</f>
        <v>2</v>
      </c>
      <c r="X4032" t="str">
        <v>x</v>
      </c>
      <c r="Y4032">
        <f>Y4031</f>
        <v>1</v>
      </c>
      <c r="Z4032" t="str">
        <v>=</v>
      </c>
      <c r="AA4032">
        <f>(N4032+P4032*R4032/1000)*U4032*W4032*Y4032</f>
        <v>3.46322574</v>
      </c>
    </row>
    <row r="4034">
      <c r="A4034" t="str">
        <f>A4014</f>
        <v>Lantai 1</v>
      </c>
      <c r="B4034">
        <f>B4014</f>
        <v>37</v>
      </c>
      <c r="C4034" t="str">
        <v>Sengkang Tumpuan</v>
      </c>
      <c r="D4034">
        <f>VLOOKUP(D4014,'Detail Balok'!$C$10:$AU$110,31,FALSE)</f>
        <v>0</v>
      </c>
      <c r="E4034" t="str">
        <v>D</v>
      </c>
      <c r="F4034">
        <f>VLOOKUP(D4014,'Detail Balok'!$C$10:$AU$110,33,FALSE)</f>
        <v>8</v>
      </c>
      <c r="G4034" t="str">
        <v>-</v>
      </c>
      <c r="H4034">
        <f>VLOOKUP(D4014,'Detail Balok'!$C$10:$AU$110,35,FALSE)</f>
        <v>100</v>
      </c>
      <c r="J4034">
        <f>(IF(D4034=0,(2*(D4015+G4015))-(F$5*8),IF(D4034=3,(2*(D4015+G4015))-(F$5*8)+(G4015-2*F$5),IF(D4034=4,(2*(D4015+G4015))-(F$5*8)+2*(G4015-2*F$5)))))/1000</f>
        <v>0.68</v>
      </c>
      <c r="K4034" t="str">
        <v>+</v>
      </c>
      <c r="L4034">
        <f>IF(D4034=0,2*MAX(6*F4034,75),(D4034-1)*2*MAX(6*F4034,75))/1000</f>
        <v>0.15</v>
      </c>
      <c r="M4034" t="str">
        <v>=</v>
      </c>
      <c r="N4034">
        <f>J4034+L4034</f>
        <v>0.8300000000000001</v>
      </c>
      <c r="T4034" t="str">
        <v>x</v>
      </c>
      <c r="U4034">
        <f>0.006165*F4034^2</f>
        <v>0.39456</v>
      </c>
      <c r="V4034" t="str">
        <v>x</v>
      </c>
      <c r="W4034">
        <f>IF(D4017&gt;4*G4015,ROUND(MAX(D4017/4,2*G4015)/H4034,0)+1,ROUND(D4017/H4034,0)+1)</f>
        <v>7</v>
      </c>
      <c r="X4034" t="str">
        <v>x</v>
      </c>
      <c r="Y4034">
        <f>D4020</f>
        <v>1</v>
      </c>
      <c r="Z4034" t="str">
        <v>=</v>
      </c>
      <c r="AA4034">
        <f>N4034*U4034*W4034*Y4034</f>
        <v>2.2923936</v>
      </c>
    </row>
    <row r="4035">
      <c r="A4035" t="str">
        <f>A4014</f>
        <v>Lantai 1</v>
      </c>
      <c r="B4035">
        <f>B4014</f>
        <v>37</v>
      </c>
      <c r="C4035" t="str">
        <v>Sengkang Lapangan</v>
      </c>
      <c r="D4035">
        <f>VLOOKUP(D4014,'Detail Balok'!$C$10:$AU$110,36,FALSE)</f>
        <v>0</v>
      </c>
      <c r="E4035" t="str">
        <v>D</v>
      </c>
      <c r="F4035">
        <f>VLOOKUP(D4014,'Detail Balok'!$C$10:$AU$110,38,FALSE)</f>
        <v>8</v>
      </c>
      <c r="G4035" t="str">
        <v>-</v>
      </c>
      <c r="H4035">
        <f>VLOOKUP(D4014,'Detail Balok'!$C$10:$AU$110,40,FALSE)</f>
        <v>150</v>
      </c>
      <c r="J4035">
        <f>(IF(D4035=0,(2*(D4015+G4015))-(F$5*8),IF(D4035=3,(2*(D4015+G4015))-(F$5*8)+(G4015-2*F$5),IF(D4035=4,(2*(D4015+G4015))-(F$5*8)+2*(G4015-2*F$5)))))/1000</f>
        <v>0.68</v>
      </c>
      <c r="K4035" t="str">
        <v>+</v>
      </c>
      <c r="L4035">
        <f>IF(D4035=0,2*MAX(6*F4035,75),(D4035-1)*2*MAX(6*F4035,75))/1000</f>
        <v>0.15</v>
      </c>
      <c r="M4035" t="str">
        <v>=</v>
      </c>
      <c r="N4035">
        <f>J4035+L4035</f>
        <v>0.8300000000000001</v>
      </c>
      <c r="T4035" t="str">
        <v>x</v>
      </c>
      <c r="U4035">
        <f>0.006165*F4035^2</f>
        <v>0.39456</v>
      </c>
      <c r="V4035" t="str">
        <v>x</v>
      </c>
      <c r="W4035">
        <f>IF(D4017-MAX(D4017/4,2*G4015)*2&gt;0,ROUND((D4017-MAX(D4017/4,2*G4015)*2)/H4035,0),0)</f>
        <v>1</v>
      </c>
      <c r="X4035" t="str">
        <v>x</v>
      </c>
      <c r="Y4035">
        <f>D4020</f>
        <v>1</v>
      </c>
      <c r="Z4035" t="str">
        <v>=</v>
      </c>
      <c r="AA4035">
        <f>N4035*U4035*W4035*Y4035</f>
        <v>0.3274848</v>
      </c>
    </row>
    <row r="4036">
      <c r="A4036" t="str">
        <f>A4014</f>
        <v>Lantai 1</v>
      </c>
      <c r="B4036">
        <f>B4014</f>
        <v>37</v>
      </c>
      <c r="C4036" t="str">
        <v>Sengkang Tumpuan</v>
      </c>
      <c r="D4036">
        <f>VLOOKUP(D4014,'Detail Balok'!$C$10:$AU$110,41,FALSE)</f>
        <v>0</v>
      </c>
      <c r="E4036" t="str">
        <v>D</v>
      </c>
      <c r="F4036">
        <f>VLOOKUP(D4014,'Detail Balok'!$C$10:$AU$110,43,FALSE)</f>
        <v>8</v>
      </c>
      <c r="G4036" t="str">
        <v>-</v>
      </c>
      <c r="H4036">
        <f>VLOOKUP(D4014,'Detail Balok'!$C$10:$AU$110,45,FALSE)</f>
        <v>100</v>
      </c>
      <c r="J4036">
        <f>(IF(D4036=0,(2*(D4015+G4015))-(F$5*8),IF(D4036=3,(2*(D4015+G4015))-(F$5*8)+(G4015-2*F$5),IF(D4036=4,(2*(D4015+G4015))-(F$5*8)+2*(G4015-2*F$5)))))/1000</f>
        <v>0.68</v>
      </c>
      <c r="K4036" t="str">
        <v>+</v>
      </c>
      <c r="L4036">
        <f>IF(D4036=0,2*MAX(6*F4036,75),(D4036-1)*2*MAX(6*F4036,75))/1000</f>
        <v>0.15</v>
      </c>
      <c r="M4036" t="str">
        <v>=</v>
      </c>
      <c r="N4036">
        <f>J4036+L4036</f>
        <v>0.8300000000000001</v>
      </c>
      <c r="T4036" t="str">
        <v>x</v>
      </c>
      <c r="U4036">
        <f>0.006165*F4036^2</f>
        <v>0.39456</v>
      </c>
      <c r="V4036" t="str">
        <v>x</v>
      </c>
      <c r="W4036">
        <f>IF(D4017&gt;4*G4015,ROUND(MAX(D4017/4,2*G4015)/H4036,0)+1,0)</f>
        <v>7</v>
      </c>
      <c r="X4036" t="str">
        <v>x</v>
      </c>
      <c r="Y4036">
        <f>D4020</f>
        <v>1</v>
      </c>
      <c r="Z4036" t="str">
        <v>=</v>
      </c>
      <c r="AA4036">
        <f>N4036*U4036*W4036*Y4036</f>
        <v>2.2923936</v>
      </c>
    </row>
    <row r="4038">
      <c r="A4038" t="str">
        <f>A4014</f>
        <v>Lantai 1</v>
      </c>
      <c r="B4038">
        <f>B4014</f>
        <v>37</v>
      </c>
      <c r="C4038" t="str">
        <v>Kait Horizontal Tump.</v>
      </c>
      <c r="D4038">
        <f>VLOOKUP(D4014,'Detail Balok'!$C$10:$BJ$110,46,FALSE)</f>
        <v>0</v>
      </c>
      <c r="E4038" t="str">
        <v>D</v>
      </c>
      <c r="F4038">
        <f>VLOOKUP(D4014,'Detail Balok'!$C$10:$BJ$110,48,FALSE)</f>
        <v>0</v>
      </c>
      <c r="G4038" t="str">
        <v>-</v>
      </c>
      <c r="H4038">
        <f>VLOOKUP(D4014,'Detail Balok'!$C$10:$BJ$110,50,FALSE)</f>
        <v>100</v>
      </c>
      <c r="J4038">
        <f>(D4015-2*F$5)/1000</f>
        <v>0.12</v>
      </c>
      <c r="K4038" t="str">
        <v>+</v>
      </c>
      <c r="L4038">
        <f>IF(D4038=0,2*MAX(6*F4038,75),(D4038-1)*2*MAX(6*F4038,75))/1000</f>
        <v>0.15</v>
      </c>
      <c r="M4038" t="str">
        <v>=</v>
      </c>
      <c r="N4038">
        <f>J4038+L4038</f>
        <v>0.27</v>
      </c>
      <c r="T4038" t="str">
        <v>x</v>
      </c>
      <c r="U4038">
        <f>0.006165*F4038^2</f>
        <v>0</v>
      </c>
      <c r="V4038" t="str">
        <v>x</v>
      </c>
      <c r="W4038">
        <f>W4034</f>
        <v>7</v>
      </c>
      <c r="X4038" t="str">
        <v>x</v>
      </c>
      <c r="Y4038">
        <f>D4024</f>
        <v>2</v>
      </c>
      <c r="Z4038" t="str">
        <v>=</v>
      </c>
      <c r="AA4038">
        <f>N4038*U4038*W4038*Y4038</f>
        <v>0</v>
      </c>
    </row>
    <row r="4039">
      <c r="A4039" t="str">
        <f>A4014</f>
        <v>Lantai 1</v>
      </c>
      <c r="B4039">
        <f>B4014</f>
        <v>37</v>
      </c>
      <c r="C4039" t="str">
        <v>Kait Horizontal Lap.</v>
      </c>
      <c r="D4039">
        <f>VLOOKUP(D4014,'Detail Balok'!$C$10:$BJ$110,51,FALSE)</f>
        <v>0</v>
      </c>
      <c r="E4039" t="str">
        <v>D</v>
      </c>
      <c r="F4039">
        <f>VLOOKUP(D4014,'Detail Balok'!$C$10:$BJ$110,53,FALSE)</f>
        <v>0</v>
      </c>
      <c r="G4039" t="str">
        <v>-</v>
      </c>
      <c r="H4039">
        <f>VLOOKUP(D4014,'Detail Balok'!$C$10:$BJ$110,55,FALSE)</f>
        <v>100</v>
      </c>
      <c r="J4039">
        <f>(D4015-2*F$5)/1000</f>
        <v>0.12</v>
      </c>
      <c r="K4039" t="str">
        <v>+</v>
      </c>
      <c r="L4039">
        <f>IF(D4039=0,2*MAX(6*F4039,75),(D4039-1)*2*MAX(6*F4039,75))/1000</f>
        <v>0.15</v>
      </c>
      <c r="M4039" t="str">
        <v>=</v>
      </c>
      <c r="N4039">
        <f>J4039+L4039</f>
        <v>0.27</v>
      </c>
      <c r="T4039" t="str">
        <v>x</v>
      </c>
      <c r="U4039">
        <f>0.006165*F4039^2</f>
        <v>0</v>
      </c>
      <c r="V4039" t="str">
        <v>x</v>
      </c>
      <c r="W4039">
        <f>W4035</f>
        <v>1</v>
      </c>
      <c r="X4039" t="str">
        <v>x</v>
      </c>
      <c r="Y4039">
        <f>D4024</f>
        <v>2</v>
      </c>
      <c r="Z4039" t="str">
        <v>=</v>
      </c>
      <c r="AA4039">
        <f>N4039*U4039*W4039*Y4039</f>
        <v>0</v>
      </c>
    </row>
    <row r="4040">
      <c r="A4040" t="str">
        <f>A4014</f>
        <v>Lantai 1</v>
      </c>
      <c r="B4040">
        <f>B4014</f>
        <v>37</v>
      </c>
      <c r="C4040" t="str">
        <v>Kait Horizontal Tump.</v>
      </c>
      <c r="D4040">
        <f>VLOOKUP(D4014,'Detail Balok'!$C$10:$BJ$110,56,FALSE)</f>
        <v>0</v>
      </c>
      <c r="E4040" t="str">
        <v>D</v>
      </c>
      <c r="F4040">
        <f>VLOOKUP(D4014,'Detail Balok'!$C$10:$BJ$110,58,FALSE)</f>
        <v>0</v>
      </c>
      <c r="G4040" t="str">
        <v>-</v>
      </c>
      <c r="H4040">
        <f>VLOOKUP(D4014,'Detail Balok'!$C$10:$BJ$110,60,FALSE)</f>
        <v>100</v>
      </c>
      <c r="J4040">
        <f>(D4015-2*F$5)/1000</f>
        <v>0.12</v>
      </c>
      <c r="K4040" t="str">
        <v>+</v>
      </c>
      <c r="L4040">
        <f>IF(D4040=0,2*MAX(6*F4040,75),(D4040-1)*2*MAX(6*F4040,75))/1000</f>
        <v>0.15</v>
      </c>
      <c r="M4040" t="str">
        <v>=</v>
      </c>
      <c r="N4040">
        <f>J4040+L4040</f>
        <v>0.27</v>
      </c>
      <c r="T4040" t="str">
        <v>x</v>
      </c>
      <c r="U4040">
        <f>0.006165*F4040^2</f>
        <v>0</v>
      </c>
      <c r="V4040" t="str">
        <v>x</v>
      </c>
      <c r="W4040">
        <f>W4036</f>
        <v>7</v>
      </c>
      <c r="X4040" t="str">
        <v>x</v>
      </c>
      <c r="Y4040">
        <f>D4024</f>
        <v>2</v>
      </c>
      <c r="Z4040" t="str">
        <v>=</v>
      </c>
      <c r="AA4040">
        <f>N4040*U4040*W4040*Y4040</f>
        <v>0</v>
      </c>
    </row>
    <row r="4044">
      <c r="A4044" t="str">
        <f>A4014</f>
        <v>Lantai 1</v>
      </c>
      <c r="B4044">
        <f>B4014+1</f>
        <v>38</v>
      </c>
      <c r="C4044" t="str">
        <f>CONCATENATE(A4044," no. ",B4044)</f>
        <v>Lantai 1 no. 38</v>
      </c>
      <c r="D4044" t="str">
        <f>VLOOKUP(C4044,'Data Panjang Balok'!$C$9:$N$424,2,FALSE)</f>
        <v>B24-2</v>
      </c>
    </row>
    <row r="4045">
      <c r="C4045" t="str">
        <v>Dimensi</v>
      </c>
      <c r="D4045">
        <f>VLOOKUP(D4044,'Detail Balok'!$C$10:$AU$110,2,FALSE)</f>
        <v>200</v>
      </c>
      <c r="F4045" t="str">
        <v>x</v>
      </c>
      <c r="G4045">
        <f>VLOOKUP(D4044,'Detail Balok'!$C$10:$AU$110,3,FALSE)</f>
        <v>400</v>
      </c>
    </row>
    <row r="4046">
      <c r="C4046" t="str">
        <v>Panjang as ke as</v>
      </c>
      <c r="D4046">
        <f>VLOOKUP(C4044,'Data Panjang Balok'!$C$9:$N$424,4,FALSE)</f>
        <v>5535</v>
      </c>
    </row>
    <row r="4047">
      <c r="C4047" t="str">
        <v>Panjang netto</v>
      </c>
      <c r="D4047">
        <f>VLOOKUP(C4044,'Data Panjang Balok'!$C$9:$N$424,7,FALSE)</f>
        <v>5535</v>
      </c>
    </row>
    <row r="4048">
      <c r="C4048" t="str">
        <v>Kolom / balok kiri</v>
      </c>
      <c r="D4048">
        <f>VLOOKUP(C4044,'Data Panjang Balok'!$C$9:$N$424,9,FALSE)</f>
        <v>0</v>
      </c>
    </row>
    <row r="4049">
      <c r="C4049" t="str">
        <v>Kolom / balok kanan</v>
      </c>
      <c r="D4049">
        <f>VLOOKUP(C4044,'Data Panjang Balok'!$C$9:$N$424,10,FALSE)</f>
        <v>0</v>
      </c>
    </row>
    <row r="4050">
      <c r="C4050" t="str">
        <v>Jumlah</v>
      </c>
      <c r="D4050">
        <f>VLOOKUP(C4044,'Data Panjang Balok'!$C$9:$N$424,3,FALSE)</f>
        <v>1</v>
      </c>
    </row>
    <row r="4051">
      <c r="A4051" t="str">
        <f>A4044</f>
        <v>Lantai 1</v>
      </c>
      <c r="B4051">
        <f>B4044</f>
        <v>38</v>
      </c>
      <c r="C4051" t="str">
        <v>Tul Atas Tumpuan</v>
      </c>
      <c r="D4051">
        <f>VLOOKUP(D4044,'Detail Balok'!$C$10:$AU$110,4,FALSE)</f>
        <v>2</v>
      </c>
      <c r="E4051" t="str">
        <v>D</v>
      </c>
      <c r="F4051">
        <f>VLOOKUP(D4044,'Detail Balok'!$C$10:$AU$110,6,FALSE)</f>
        <v>16</v>
      </c>
      <c r="I4051" t="str">
        <v>(</v>
      </c>
      <c r="J4051">
        <f>+D4046/4/1000</f>
        <v>1.38375</v>
      </c>
      <c r="K4051" t="str">
        <v>+</v>
      </c>
      <c r="L4051">
        <f>MAX(VLOOKUP(F4051,N$6:P$15,3,FALSE)/1000,2/3*D4048/1000)+F$16*F4051/1000</f>
        <v>0.192</v>
      </c>
      <c r="M4051" t="str">
        <v>=</v>
      </c>
      <c r="N4051">
        <f>J4051+L4051</f>
        <v>1.57575</v>
      </c>
      <c r="O4051" t="str">
        <v>+</v>
      </c>
      <c r="P4051">
        <f>D4051-D4052</f>
        <v>0</v>
      </c>
      <c r="Q4051" t="str">
        <v>x</v>
      </c>
      <c r="R4051">
        <f>IF(P4051&gt;0,$F$18*F4051/1000,0)</f>
        <v>0</v>
      </c>
      <c r="S4051" t="str">
        <v>)</v>
      </c>
      <c r="T4051" t="str">
        <v>x</v>
      </c>
      <c r="U4051">
        <f>0.006165*F4051^2</f>
        <v>1.57824</v>
      </c>
      <c r="X4051" t="str">
        <v>x</v>
      </c>
      <c r="Y4051">
        <f>D4050</f>
        <v>1</v>
      </c>
      <c r="Z4051" t="str">
        <v>=</v>
      </c>
      <c r="AA4051">
        <f>IF(AA4054=0,(D4051*N4051+P4051*R4051)*U4051*Y4051,0)</f>
        <v>0</v>
      </c>
    </row>
    <row r="4052">
      <c r="A4052" t="str">
        <f>A4044</f>
        <v>Lantai 1</v>
      </c>
      <c r="B4052">
        <f>B4044</f>
        <v>38</v>
      </c>
      <c r="C4052" t="str">
        <v>Tul Atas Lapangan</v>
      </c>
      <c r="D4052">
        <f>VLOOKUP(D4044,'Detail Balok'!$C$10:$AU$110,7,FALSE)</f>
        <v>2</v>
      </c>
      <c r="E4052" t="str">
        <v>D</v>
      </c>
      <c r="F4052">
        <f>VLOOKUP(D4044,'Detail Balok'!$C$10:$AU$110,9,FALSE)</f>
        <v>16</v>
      </c>
      <c r="I4052" t="str">
        <v>(</v>
      </c>
      <c r="J4052">
        <f>+D4046/2/1000</f>
        <v>2.7675</v>
      </c>
      <c r="K4052" t="str">
        <v>+</v>
      </c>
      <c r="M4052" t="str">
        <v>=</v>
      </c>
      <c r="N4052">
        <f>J4052+L4052</f>
        <v>2.7675</v>
      </c>
      <c r="O4052" t="str">
        <v>+</v>
      </c>
      <c r="P4052">
        <f>MAX(D4052-D4051,D4052-D4053)</f>
        <v>0</v>
      </c>
      <c r="Q4052" t="str">
        <v>x</v>
      </c>
      <c r="R4052">
        <f>IF(P4052&gt;0,2*(1-2*$F$19-1/2)*D4047/1000,0)</f>
        <v>0</v>
      </c>
      <c r="S4052" t="str">
        <v>)</v>
      </c>
      <c r="T4052" t="str">
        <v>x</v>
      </c>
      <c r="U4052">
        <f>0.006165*F4052^2</f>
        <v>1.57824</v>
      </c>
      <c r="X4052" t="str">
        <v>x</v>
      </c>
      <c r="Y4052">
        <f>D4050</f>
        <v>1</v>
      </c>
      <c r="Z4052" t="str">
        <v>=</v>
      </c>
      <c r="AA4052">
        <f>IF(AA4054=0,(D4052*N4052+P4052*R4052)*U4052*Y4052,0)</f>
        <v>0</v>
      </c>
    </row>
    <row r="4053">
      <c r="A4053" t="str">
        <f>A4044</f>
        <v>Lantai 1</v>
      </c>
      <c r="B4053">
        <f>B4044</f>
        <v>38</v>
      </c>
      <c r="C4053" t="str">
        <v>Tul Atas Tumpuan</v>
      </c>
      <c r="D4053">
        <f>VLOOKUP(D4044,'Detail Balok'!$C$10:$AU$110,10,FALSE)</f>
        <v>2</v>
      </c>
      <c r="E4053" t="str">
        <v>D</v>
      </c>
      <c r="F4053">
        <f>VLOOKUP(D4044,'Detail Balok'!$C$10:$AU$110,12,FALSE)</f>
        <v>16</v>
      </c>
      <c r="I4053" t="str">
        <v>(</v>
      </c>
      <c r="J4053">
        <f>+D4046/4/1000</f>
        <v>1.38375</v>
      </c>
      <c r="K4053" t="str">
        <v>+</v>
      </c>
      <c r="L4053">
        <f>MAX(VLOOKUP(F4053,N$6:P$15,3,FALSE)/1000,2/3*D4048/1000)+F$16*F4053/1000</f>
        <v>0.192</v>
      </c>
      <c r="M4053" t="str">
        <v>=</v>
      </c>
      <c r="N4053">
        <f>J4053+L4053</f>
        <v>1.57575</v>
      </c>
      <c r="O4053" t="str">
        <v>+</v>
      </c>
      <c r="P4053">
        <f>D4053-D4052</f>
        <v>0</v>
      </c>
      <c r="Q4053" t="str">
        <v>x</v>
      </c>
      <c r="R4053">
        <f>IF(P4053&gt;0,$F$18*F4053/1000,0)</f>
        <v>0</v>
      </c>
      <c r="S4053" t="str">
        <v>)</v>
      </c>
      <c r="T4053" t="str">
        <v>x</v>
      </c>
      <c r="U4053">
        <f>0.006165*F4053^2</f>
        <v>1.57824</v>
      </c>
      <c r="X4053" t="str">
        <v>x</v>
      </c>
      <c r="Y4053">
        <f>D4050</f>
        <v>1</v>
      </c>
      <c r="Z4053" t="str">
        <v>=</v>
      </c>
      <c r="AA4053">
        <f>IF(AA4054=0,(D4053*N4053+P4053*R4053)*U4053*Y4053,0)</f>
        <v>0</v>
      </c>
    </row>
    <row r="4054">
      <c r="A4054" t="str">
        <f>A4044</f>
        <v>Lantai 1</v>
      </c>
      <c r="B4054">
        <f>B4044</f>
        <v>38</v>
      </c>
      <c r="D4054">
        <f>IF(AND(D4051=D4052,D4052=D4053,D4051=D4053),D4051,0)</f>
        <v>2</v>
      </c>
      <c r="E4054" t="str">
        <v>D</v>
      </c>
      <c r="F4054">
        <f>IF(AND(F4051=F4052,F4051=F4053,F4052=F4053),F4051,0)</f>
        <v>16</v>
      </c>
      <c r="L4054" t="str">
        <v>Total panjang per balok</v>
      </c>
      <c r="M4054" t="str">
        <v>=</v>
      </c>
      <c r="N4054">
        <f>IF(AND(D4051=D4052,D4051=D4053,D4052=D4053,F4051=F4052,F4051=F4053,F4052=F4053),SUM(N4051:N4053),0)</f>
        <v>5.9190000000000005</v>
      </c>
      <c r="O4054" t="str">
        <v>+</v>
      </c>
      <c r="P4054">
        <f>IF(N4054&gt;12,ROUNDDOWN(N4054/12,0),0)</f>
        <v>0</v>
      </c>
      <c r="Q4054" t="str">
        <v>x</v>
      </c>
      <c r="R4054">
        <f>IF(P4054&gt;0,MAX(VLOOKUP(F4054,$D$6:$G$15,3,FALSE),600),0)/1000</f>
        <v>0</v>
      </c>
      <c r="T4054" t="str">
        <v>x</v>
      </c>
      <c r="U4054">
        <f>U4053</f>
        <v>1.57824</v>
      </c>
      <c r="V4054" t="str">
        <v>x</v>
      </c>
      <c r="W4054">
        <f>D4054</f>
        <v>2</v>
      </c>
      <c r="X4054" t="str">
        <v>x</v>
      </c>
      <c r="Y4054">
        <f>Y4053</f>
        <v>1</v>
      </c>
      <c r="Z4054" t="str">
        <v>=</v>
      </c>
      <c r="AA4054">
        <f>(N4054+P4054*R4054/1000)*U4054*W4054*Y4054</f>
        <v>18.683205120000004</v>
      </c>
    </row>
    <row r="4056">
      <c r="A4056" t="str">
        <f>A4044</f>
        <v>Lantai 1</v>
      </c>
      <c r="B4056">
        <f>B4044</f>
        <v>38</v>
      </c>
      <c r="C4056" t="str">
        <v>Tul Peminggang</v>
      </c>
      <c r="D4056">
        <f>VLOOKUP(D4044,'Detail Balok'!$C$10:$AU$110,13,FALSE)</f>
        <v>0</v>
      </c>
      <c r="E4056" t="str">
        <v>D</v>
      </c>
      <c r="F4056">
        <f>VLOOKUP(D4044,'Detail Balok'!$C$10:$AU$110,15,FALSE)</f>
        <v>6</v>
      </c>
      <c r="J4056">
        <f>+D4046/1000</f>
        <v>5.535</v>
      </c>
      <c r="K4056" t="str">
        <v>+</v>
      </c>
      <c r="L4056">
        <f>2*$F$16*F4056/1000</f>
        <v>0.144</v>
      </c>
      <c r="M4056" t="str">
        <v>=</v>
      </c>
      <c r="N4056">
        <f>J4056+L4056</f>
        <v>5.679</v>
      </c>
      <c r="O4056" t="str">
        <v>+</v>
      </c>
      <c r="P4056">
        <f>IF(N4056&gt;12,ROUNDDOWN(N4056/12,0),0)</f>
        <v>0</v>
      </c>
      <c r="Q4056" t="str">
        <v>x</v>
      </c>
      <c r="R4056">
        <f>IF(P4056&gt;0,MAX(VLOOKUP(F4056,$D$6:$G$15,3,FALSE),600),0)/1000</f>
        <v>0</v>
      </c>
      <c r="T4056" t="str">
        <v>x</v>
      </c>
      <c r="U4056">
        <f>0.006165*F4056^2</f>
        <v>0.22194000000000003</v>
      </c>
      <c r="V4056" t="str">
        <v>x</v>
      </c>
      <c r="W4056">
        <f>+D4056</f>
        <v>0</v>
      </c>
      <c r="X4056" t="str">
        <v>x</v>
      </c>
      <c r="Y4056">
        <f>D4050</f>
        <v>1</v>
      </c>
      <c r="Z4056" t="str">
        <v>=</v>
      </c>
      <c r="AA4056">
        <f>(N4056+P4056*R4056/1000)*U4056*W4056*Y4056</f>
        <v>0</v>
      </c>
    </row>
    <row r="4059">
      <c r="A4059" t="str">
        <f>A4044</f>
        <v>Lantai 1</v>
      </c>
      <c r="B4059">
        <f>B4044</f>
        <v>38</v>
      </c>
      <c r="C4059" t="str">
        <v>Tul Bawah Tumpuan</v>
      </c>
      <c r="D4059">
        <f>VLOOKUP(D4044,'Detail Balok'!$C$10:$AU$110,22,FALSE)</f>
        <v>2</v>
      </c>
      <c r="E4059" t="str">
        <v>D</v>
      </c>
      <c r="F4059">
        <f>VLOOKUP(D4044,'Detail Balok'!$C$10:$AU$110,24,FALSE)</f>
        <v>16</v>
      </c>
      <c r="I4059" t="str">
        <v>(</v>
      </c>
      <c r="J4059">
        <f>+J4051</f>
        <v>1.38375</v>
      </c>
      <c r="K4059" t="str">
        <v>+</v>
      </c>
      <c r="L4059">
        <f>MAX(VLOOKUP(F4059,N$6:P$15,3,FALSE)/1000,2/3*D4049/1000)+F$16*F4059/1000</f>
        <v>0.192</v>
      </c>
      <c r="M4059" t="str">
        <v>=</v>
      </c>
      <c r="N4059">
        <f>J4059+L4059</f>
        <v>1.57575</v>
      </c>
      <c r="O4059" t="str">
        <v>+</v>
      </c>
      <c r="P4059">
        <f>D4059-D4060</f>
        <v>0</v>
      </c>
      <c r="Q4059" t="str">
        <v>x</v>
      </c>
      <c r="R4059">
        <f>IF(P4059&gt;0,$F$18*F4059/1000,0)</f>
        <v>0</v>
      </c>
      <c r="S4059" t="str">
        <v>)</v>
      </c>
      <c r="T4059" t="str">
        <v>x</v>
      </c>
      <c r="U4059">
        <f>0.006165*F4059^2</f>
        <v>1.57824</v>
      </c>
      <c r="X4059" t="str">
        <v>x</v>
      </c>
      <c r="Y4059">
        <f>D4050</f>
        <v>1</v>
      </c>
      <c r="Z4059" t="str">
        <v>=</v>
      </c>
      <c r="AA4059">
        <f>IF(AA4062=0,(D4059*N4059+P4059*R4059)*U4059*Y4059,0)</f>
        <v>0</v>
      </c>
    </row>
    <row r="4060">
      <c r="A4060" t="str">
        <f>A4044</f>
        <v>Lantai 1</v>
      </c>
      <c r="B4060">
        <f>B4044</f>
        <v>38</v>
      </c>
      <c r="C4060" t="str">
        <v>Tul Bawah Lapangan</v>
      </c>
      <c r="D4060">
        <f>VLOOKUP(D4044,'Detail Balok'!$C$10:$AU$110,25,FALSE)</f>
        <v>2</v>
      </c>
      <c r="E4060" t="str">
        <v>D</v>
      </c>
      <c r="F4060">
        <f>VLOOKUP(D4044,'Detail Balok'!$C$10:$AU$110,27,FALSE)</f>
        <v>16</v>
      </c>
      <c r="I4060" t="str">
        <v>(</v>
      </c>
      <c r="J4060">
        <f>+J4052</f>
        <v>2.7675</v>
      </c>
      <c r="K4060" t="str">
        <v>+</v>
      </c>
      <c r="M4060" t="str">
        <v>=</v>
      </c>
      <c r="N4060">
        <f>J4060+L4060</f>
        <v>2.7675</v>
      </c>
      <c r="O4060" t="str">
        <v>+</v>
      </c>
      <c r="P4060">
        <f>MAX(D4060-D4059,D4060-D4061)</f>
        <v>0</v>
      </c>
      <c r="Q4060" t="str">
        <v>x</v>
      </c>
      <c r="R4060">
        <f>IF(P4060&gt;0,2*(1-2*$F$19-1/2)*D4047/1000,0)</f>
        <v>0</v>
      </c>
      <c r="S4060" t="str">
        <v>)</v>
      </c>
      <c r="T4060" t="str">
        <v>x</v>
      </c>
      <c r="U4060">
        <f>0.006165*F4060^2</f>
        <v>1.57824</v>
      </c>
      <c r="X4060" t="str">
        <v>x</v>
      </c>
      <c r="Y4060">
        <f>D4050</f>
        <v>1</v>
      </c>
      <c r="Z4060" t="str">
        <v>=</v>
      </c>
      <c r="AA4060">
        <f>IF(AA4062=0,(D4060*N4060+P4060*R4060)*U4060*Y4060,0)</f>
        <v>0</v>
      </c>
    </row>
    <row r="4061">
      <c r="A4061" t="str">
        <f>A4044</f>
        <v>Lantai 1</v>
      </c>
      <c r="B4061">
        <f>B4044</f>
        <v>38</v>
      </c>
      <c r="C4061" t="str">
        <v>Tul Bawah Tumpuan</v>
      </c>
      <c r="D4061">
        <f>VLOOKUP(D4044,'Detail Balok'!$C$10:$AU$110,28,FALSE)</f>
        <v>2</v>
      </c>
      <c r="E4061" t="str">
        <v>D</v>
      </c>
      <c r="F4061">
        <f>VLOOKUP(D4044,'Detail Balok'!$C$10:$AU$110,30,FALSE)</f>
        <v>16</v>
      </c>
      <c r="I4061" t="str">
        <v>(</v>
      </c>
      <c r="J4061">
        <f>+J4053</f>
        <v>1.38375</v>
      </c>
      <c r="K4061" t="str">
        <v>+</v>
      </c>
      <c r="L4061">
        <f>MAX(VLOOKUP(F4061,N$6:P$15,3,FALSE)/1000,2/3*D4049/1000)+F$16*F4061/1000</f>
        <v>0.192</v>
      </c>
      <c r="M4061" t="str">
        <v>=</v>
      </c>
      <c r="N4061">
        <f>J4061+L4061</f>
        <v>1.57575</v>
      </c>
      <c r="O4061" t="str">
        <v>+</v>
      </c>
      <c r="P4061">
        <f>D4061-D4060</f>
        <v>0</v>
      </c>
      <c r="Q4061" t="str">
        <v>x</v>
      </c>
      <c r="R4061">
        <f>IF(P4061&gt;0,$F$18*F4061/1000,0)</f>
        <v>0</v>
      </c>
      <c r="S4061" t="str">
        <v>)</v>
      </c>
      <c r="T4061" t="str">
        <v>x</v>
      </c>
      <c r="U4061">
        <f>0.006165*F4061^2</f>
        <v>1.57824</v>
      </c>
      <c r="X4061" t="str">
        <v>x</v>
      </c>
      <c r="Y4061">
        <f>D4050</f>
        <v>1</v>
      </c>
      <c r="Z4061" t="str">
        <v>=</v>
      </c>
      <c r="AA4061">
        <f>IF(AA4062=0,(D4061*N4061+P4061*R4061)*U4061*Y4061,0)</f>
        <v>0</v>
      </c>
    </row>
    <row r="4062">
      <c r="A4062" t="str">
        <f>A4044</f>
        <v>Lantai 1</v>
      </c>
      <c r="B4062">
        <f>B4044</f>
        <v>38</v>
      </c>
      <c r="D4062">
        <f>IF(AND(D4059=D4060,D4060=D4061,D4059=D4061),D4059,0)</f>
        <v>2</v>
      </c>
      <c r="E4062" t="str">
        <v>D</v>
      </c>
      <c r="F4062">
        <f>IF(AND(F4059=F4060,F4059=F4061,F4060=F4061),F4059,0)</f>
        <v>16</v>
      </c>
      <c r="L4062" t="str">
        <v>Total panjang per balok</v>
      </c>
      <c r="M4062" t="str">
        <v>=</v>
      </c>
      <c r="N4062">
        <f>IF(AND(D4059=D4060,D4059=D4061,D4060=D4061,F4059=F4060,F4059=F4061,F4060=F4061),SUM(N4059:N4061),0)</f>
        <v>5.9190000000000005</v>
      </c>
      <c r="O4062" t="str">
        <v>+</v>
      </c>
      <c r="P4062">
        <f>IF(N4062&gt;12,ROUNDDOWN(N4062/12,0),0)</f>
        <v>0</v>
      </c>
      <c r="Q4062" t="str">
        <v>x</v>
      </c>
      <c r="R4062">
        <f>IF(P4062&gt;0,MAX(VLOOKUP(F4062,$D$6:$G$15,3,FALSE),600),0)/1000</f>
        <v>0</v>
      </c>
      <c r="T4062" t="str">
        <v>x</v>
      </c>
      <c r="U4062">
        <f>U4061</f>
        <v>1.57824</v>
      </c>
      <c r="V4062" t="str">
        <v>x</v>
      </c>
      <c r="W4062">
        <f>D4062</f>
        <v>2</v>
      </c>
      <c r="X4062" t="str">
        <v>x</v>
      </c>
      <c r="Y4062">
        <f>Y4061</f>
        <v>1</v>
      </c>
      <c r="Z4062" t="str">
        <v>=</v>
      </c>
      <c r="AA4062">
        <f>(N4062+P4062*R4062/1000)*U4062*W4062*Y4062</f>
        <v>18.683205120000004</v>
      </c>
    </row>
    <row r="4064">
      <c r="A4064" t="str">
        <f>A4044</f>
        <v>Lantai 1</v>
      </c>
      <c r="B4064">
        <f>B4044</f>
        <v>38</v>
      </c>
      <c r="C4064" t="str">
        <v>Sengkang Tumpuan</v>
      </c>
      <c r="D4064">
        <f>VLOOKUP(D4044,'Detail Balok'!$C$10:$AU$110,31,FALSE)</f>
        <v>0</v>
      </c>
      <c r="E4064" t="str">
        <v>D</v>
      </c>
      <c r="F4064">
        <f>VLOOKUP(D4044,'Detail Balok'!$C$10:$AU$110,33,FALSE)</f>
        <v>8</v>
      </c>
      <c r="G4064" t="str">
        <v>-</v>
      </c>
      <c r="H4064">
        <f>VLOOKUP(D4044,'Detail Balok'!$C$10:$AU$110,35,FALSE)</f>
        <v>100</v>
      </c>
      <c r="J4064">
        <f>(IF(D4064=0,(2*(D4045+G4045))-(F$5*8),IF(D4064=3,(2*(D4045+G4045))-(F$5*8)+(G4045-2*F$5),IF(D4064=4,(2*(D4045+G4045))-(F$5*8)+2*(G4045-2*F$5)))))/1000</f>
        <v>0.88</v>
      </c>
      <c r="K4064" t="str">
        <v>+</v>
      </c>
      <c r="L4064">
        <f>IF(D4064=0,2*MAX(6*F4064,75),(D4064-1)*2*MAX(6*F4064,75))/1000</f>
        <v>0.15</v>
      </c>
      <c r="M4064" t="str">
        <v>=</v>
      </c>
      <c r="N4064">
        <f>J4064+L4064</f>
        <v>1.03</v>
      </c>
      <c r="T4064" t="str">
        <v>x</v>
      </c>
      <c r="U4064">
        <f>0.006165*F4064^2</f>
        <v>0.39456</v>
      </c>
      <c r="V4064" t="str">
        <v>x</v>
      </c>
      <c r="W4064">
        <f>IF(D4047&gt;4*G4045,ROUND(MAX(D4047/4,2*G4045)/H4064,0)+1,ROUND(D4047/H4064,0)+1)</f>
        <v>15</v>
      </c>
      <c r="X4064" t="str">
        <v>x</v>
      </c>
      <c r="Y4064">
        <f>D4050</f>
        <v>1</v>
      </c>
      <c r="Z4064" t="str">
        <v>=</v>
      </c>
      <c r="AA4064">
        <f>N4064*U4064*W4064*Y4064</f>
        <v>6.0959520000000005</v>
      </c>
    </row>
    <row r="4065">
      <c r="A4065" t="str">
        <f>A4044</f>
        <v>Lantai 1</v>
      </c>
      <c r="B4065">
        <f>B4044</f>
        <v>38</v>
      </c>
      <c r="C4065" t="str">
        <v>Sengkang Lapangan</v>
      </c>
      <c r="D4065">
        <f>VLOOKUP(D4044,'Detail Balok'!$C$10:$AU$110,36,FALSE)</f>
        <v>0</v>
      </c>
      <c r="E4065" t="str">
        <v>D</v>
      </c>
      <c r="F4065">
        <f>VLOOKUP(D4044,'Detail Balok'!$C$10:$AU$110,38,FALSE)</f>
        <v>8</v>
      </c>
      <c r="G4065" t="str">
        <v>-</v>
      </c>
      <c r="H4065">
        <f>VLOOKUP(D4044,'Detail Balok'!$C$10:$AU$110,40,FALSE)</f>
        <v>200</v>
      </c>
      <c r="J4065">
        <f>(IF(D4065=0,(2*(D4045+G4045))-(F$5*8),IF(D4065=3,(2*(D4045+G4045))-(F$5*8)+(G4045-2*F$5),IF(D4065=4,(2*(D4045+G4045))-(F$5*8)+2*(G4045-2*F$5)))))/1000</f>
        <v>0.88</v>
      </c>
      <c r="K4065" t="str">
        <v>+</v>
      </c>
      <c r="L4065">
        <f>IF(D4065=0,2*MAX(6*F4065,75),(D4065-1)*2*MAX(6*F4065,75))/1000</f>
        <v>0.15</v>
      </c>
      <c r="M4065" t="str">
        <v>=</v>
      </c>
      <c r="N4065">
        <f>J4065+L4065</f>
        <v>1.03</v>
      </c>
      <c r="T4065" t="str">
        <v>x</v>
      </c>
      <c r="U4065">
        <f>0.006165*F4065^2</f>
        <v>0.39456</v>
      </c>
      <c r="V4065" t="str">
        <v>x</v>
      </c>
      <c r="W4065">
        <f>IF(D4047-MAX(D4047/4,2*G4045)*2&gt;0,ROUND((D4047-MAX(D4047/4,2*G4045)*2)/H4065,0),0)</f>
        <v>14</v>
      </c>
      <c r="X4065" t="str">
        <v>x</v>
      </c>
      <c r="Y4065">
        <f>D4050</f>
        <v>1</v>
      </c>
      <c r="Z4065" t="str">
        <v>=</v>
      </c>
      <c r="AA4065">
        <f>N4065*U4065*W4065*Y4065</f>
        <v>5.689555200000001</v>
      </c>
    </row>
    <row r="4066">
      <c r="A4066" t="str">
        <f>A4044</f>
        <v>Lantai 1</v>
      </c>
      <c r="B4066">
        <f>B4044</f>
        <v>38</v>
      </c>
      <c r="C4066" t="str">
        <v>Sengkang Tumpuan</v>
      </c>
      <c r="D4066">
        <f>VLOOKUP(D4044,'Detail Balok'!$C$10:$AU$110,41,FALSE)</f>
        <v>0</v>
      </c>
      <c r="E4066" t="str">
        <v>D</v>
      </c>
      <c r="F4066">
        <f>VLOOKUP(D4044,'Detail Balok'!$C$10:$AU$110,43,FALSE)</f>
        <v>8</v>
      </c>
      <c r="G4066" t="str">
        <v>-</v>
      </c>
      <c r="H4066">
        <f>VLOOKUP(D4044,'Detail Balok'!$C$10:$AU$110,45,FALSE)</f>
        <v>100</v>
      </c>
      <c r="J4066">
        <f>(IF(D4066=0,(2*(D4045+G4045))-(F$5*8),IF(D4066=3,(2*(D4045+G4045))-(F$5*8)+(G4045-2*F$5),IF(D4066=4,(2*(D4045+G4045))-(F$5*8)+2*(G4045-2*F$5)))))/1000</f>
        <v>0.88</v>
      </c>
      <c r="K4066" t="str">
        <v>+</v>
      </c>
      <c r="L4066">
        <f>IF(D4066=0,2*MAX(6*F4066,75),(D4066-1)*2*MAX(6*F4066,75))/1000</f>
        <v>0.15</v>
      </c>
      <c r="M4066" t="str">
        <v>=</v>
      </c>
      <c r="N4066">
        <f>J4066+L4066</f>
        <v>1.03</v>
      </c>
      <c r="T4066" t="str">
        <v>x</v>
      </c>
      <c r="U4066">
        <f>0.006165*F4066^2</f>
        <v>0.39456</v>
      </c>
      <c r="V4066" t="str">
        <v>x</v>
      </c>
      <c r="W4066">
        <f>IF(D4047&gt;4*G4045,ROUND(MAX(D4047/4,2*G4045)/H4066,0)+1,0)</f>
        <v>15</v>
      </c>
      <c r="X4066" t="str">
        <v>x</v>
      </c>
      <c r="Y4066">
        <f>D4050</f>
        <v>1</v>
      </c>
      <c r="Z4066" t="str">
        <v>=</v>
      </c>
      <c r="AA4066">
        <f>N4066*U4066*W4066*Y4066</f>
        <v>6.0959520000000005</v>
      </c>
    </row>
    <row r="4068">
      <c r="A4068" t="str">
        <f>A4044</f>
        <v>Lantai 1</v>
      </c>
      <c r="B4068">
        <f>B4044</f>
        <v>38</v>
      </c>
      <c r="C4068" t="str">
        <v>Kait Horizontal Tump.</v>
      </c>
      <c r="D4068">
        <f>VLOOKUP(D4044,'Detail Balok'!$C$10:$BJ$110,46,FALSE)</f>
        <v>0</v>
      </c>
      <c r="E4068" t="str">
        <v>D</v>
      </c>
      <c r="F4068">
        <f>VLOOKUP(D4044,'Detail Balok'!$C$10:$BJ$110,48,FALSE)</f>
        <v>0</v>
      </c>
      <c r="G4068" t="str">
        <v>-</v>
      </c>
      <c r="H4068">
        <f>VLOOKUP(D4044,'Detail Balok'!$C$10:$BJ$110,50,FALSE)</f>
        <v>100</v>
      </c>
      <c r="J4068">
        <f>(D4045-2*F$5)/1000</f>
        <v>0.12</v>
      </c>
      <c r="K4068" t="str">
        <v>+</v>
      </c>
      <c r="L4068">
        <f>IF(D4068=0,2*MAX(6*F4068,75),(D4068-1)*2*MAX(6*F4068,75))/1000</f>
        <v>0.15</v>
      </c>
      <c r="M4068" t="str">
        <v>=</v>
      </c>
      <c r="N4068">
        <f>J4068+L4068</f>
        <v>0.27</v>
      </c>
      <c r="T4068" t="str">
        <v>x</v>
      </c>
      <c r="U4068">
        <f>0.006165*F4068^2</f>
        <v>0</v>
      </c>
      <c r="V4068" t="str">
        <v>x</v>
      </c>
      <c r="W4068">
        <f>W4064</f>
        <v>15</v>
      </c>
      <c r="X4068" t="str">
        <v>x</v>
      </c>
      <c r="Y4068">
        <f>D4054</f>
        <v>2</v>
      </c>
      <c r="Z4068" t="str">
        <v>=</v>
      </c>
      <c r="AA4068">
        <f>N4068*U4068*W4068*Y4068</f>
        <v>0</v>
      </c>
    </row>
    <row r="4069">
      <c r="A4069" t="str">
        <f>A4044</f>
        <v>Lantai 1</v>
      </c>
      <c r="B4069">
        <f>B4044</f>
        <v>38</v>
      </c>
      <c r="C4069" t="str">
        <v>Kait Horizontal Lap.</v>
      </c>
      <c r="D4069">
        <f>VLOOKUP(D4044,'Detail Balok'!$C$10:$BJ$110,51,FALSE)</f>
        <v>0</v>
      </c>
      <c r="E4069" t="str">
        <v>D</v>
      </c>
      <c r="F4069">
        <f>VLOOKUP(D4044,'Detail Balok'!$C$10:$BJ$110,53,FALSE)</f>
        <v>0</v>
      </c>
      <c r="G4069" t="str">
        <v>-</v>
      </c>
      <c r="H4069">
        <f>VLOOKUP(D4044,'Detail Balok'!$C$10:$BJ$110,55,FALSE)</f>
        <v>100</v>
      </c>
      <c r="J4069">
        <f>(D4045-2*F$5)/1000</f>
        <v>0.12</v>
      </c>
      <c r="K4069" t="str">
        <v>+</v>
      </c>
      <c r="L4069">
        <f>IF(D4069=0,2*MAX(6*F4069,75),(D4069-1)*2*MAX(6*F4069,75))/1000</f>
        <v>0.15</v>
      </c>
      <c r="M4069" t="str">
        <v>=</v>
      </c>
      <c r="N4069">
        <f>J4069+L4069</f>
        <v>0.27</v>
      </c>
      <c r="T4069" t="str">
        <v>x</v>
      </c>
      <c r="U4069">
        <f>0.006165*F4069^2</f>
        <v>0</v>
      </c>
      <c r="V4069" t="str">
        <v>x</v>
      </c>
      <c r="W4069">
        <f>W4065</f>
        <v>14</v>
      </c>
      <c r="X4069" t="str">
        <v>x</v>
      </c>
      <c r="Y4069">
        <f>D4054</f>
        <v>2</v>
      </c>
      <c r="Z4069" t="str">
        <v>=</v>
      </c>
      <c r="AA4069">
        <f>N4069*U4069*W4069*Y4069</f>
        <v>0</v>
      </c>
    </row>
    <row r="4070">
      <c r="A4070" t="str">
        <f>A4044</f>
        <v>Lantai 1</v>
      </c>
      <c r="B4070">
        <f>B4044</f>
        <v>38</v>
      </c>
      <c r="C4070" t="str">
        <v>Kait Horizontal Tump.</v>
      </c>
      <c r="D4070">
        <f>VLOOKUP(D4044,'Detail Balok'!$C$10:$BJ$110,56,FALSE)</f>
        <v>0</v>
      </c>
      <c r="E4070" t="str">
        <v>D</v>
      </c>
      <c r="F4070">
        <f>VLOOKUP(D4044,'Detail Balok'!$C$10:$BJ$110,58,FALSE)</f>
        <v>0</v>
      </c>
      <c r="G4070" t="str">
        <v>-</v>
      </c>
      <c r="H4070">
        <f>VLOOKUP(D4044,'Detail Balok'!$C$10:$BJ$110,60,FALSE)</f>
        <v>100</v>
      </c>
      <c r="J4070">
        <f>(D4045-2*F$5)/1000</f>
        <v>0.12</v>
      </c>
      <c r="K4070" t="str">
        <v>+</v>
      </c>
      <c r="L4070">
        <f>IF(D4070=0,2*MAX(6*F4070,75),(D4070-1)*2*MAX(6*F4070,75))/1000</f>
        <v>0.15</v>
      </c>
      <c r="M4070" t="str">
        <v>=</v>
      </c>
      <c r="N4070">
        <f>J4070+L4070</f>
        <v>0.27</v>
      </c>
      <c r="T4070" t="str">
        <v>x</v>
      </c>
      <c r="U4070">
        <f>0.006165*F4070^2</f>
        <v>0</v>
      </c>
      <c r="V4070" t="str">
        <v>x</v>
      </c>
      <c r="W4070">
        <f>W4066</f>
        <v>15</v>
      </c>
      <c r="X4070" t="str">
        <v>x</v>
      </c>
      <c r="Y4070">
        <f>D4054</f>
        <v>2</v>
      </c>
      <c r="Z4070" t="str">
        <v>=</v>
      </c>
      <c r="AA4070">
        <f>N4070*U4070*W4070*Y4070</f>
        <v>0</v>
      </c>
    </row>
    <row r="4074">
      <c r="A4074" t="str">
        <f>A4044</f>
        <v>Lantai 1</v>
      </c>
      <c r="B4074">
        <f>B4044+1</f>
        <v>39</v>
      </c>
      <c r="C4074" t="str">
        <f>CONCATENATE(A4074," no. ",B4074)</f>
        <v>Lantai 1 no. 39</v>
      </c>
      <c r="D4074" t="str">
        <f>VLOOKUP(C4074,'Data Panjang Balok'!$C$9:$N$424,2,FALSE)</f>
        <v>B24-2</v>
      </c>
    </row>
    <row r="4075">
      <c r="C4075" t="str">
        <v>Dimensi</v>
      </c>
      <c r="D4075">
        <f>VLOOKUP(D4074,'Detail Balok'!$C$10:$AU$110,2,FALSE)</f>
        <v>200</v>
      </c>
      <c r="F4075" t="str">
        <v>x</v>
      </c>
      <c r="G4075">
        <f>VLOOKUP(D4074,'Detail Balok'!$C$10:$AU$110,3,FALSE)</f>
        <v>400</v>
      </c>
    </row>
    <row r="4076">
      <c r="C4076" t="str">
        <v>Panjang as ke as</v>
      </c>
      <c r="D4076">
        <f>VLOOKUP(C4074,'Data Panjang Balok'!$C$9:$N$424,4,FALSE)</f>
        <v>5535</v>
      </c>
    </row>
    <row r="4077">
      <c r="C4077" t="str">
        <v>Panjang netto</v>
      </c>
      <c r="D4077">
        <f>VLOOKUP(C4074,'Data Panjang Balok'!$C$9:$N$424,7,FALSE)</f>
        <v>5535</v>
      </c>
    </row>
    <row r="4078">
      <c r="C4078" t="str">
        <v>Kolom / balok kiri</v>
      </c>
      <c r="D4078">
        <f>VLOOKUP(C4074,'Data Panjang Balok'!$C$9:$N$424,9,FALSE)</f>
        <v>0</v>
      </c>
    </row>
    <row r="4079">
      <c r="C4079" t="str">
        <v>Kolom / balok kanan</v>
      </c>
      <c r="D4079">
        <f>VLOOKUP(C4074,'Data Panjang Balok'!$C$9:$N$424,10,FALSE)</f>
        <v>0</v>
      </c>
    </row>
    <row r="4080">
      <c r="C4080" t="str">
        <v>Jumlah</v>
      </c>
      <c r="D4080">
        <f>VLOOKUP(C4074,'Data Panjang Balok'!$C$9:$N$424,3,FALSE)</f>
        <v>1</v>
      </c>
    </row>
    <row r="4081">
      <c r="A4081" t="str">
        <f>A4074</f>
        <v>Lantai 1</v>
      </c>
      <c r="B4081">
        <f>B4074</f>
        <v>39</v>
      </c>
      <c r="C4081" t="str">
        <v>Tul Atas Tumpuan</v>
      </c>
      <c r="D4081">
        <f>VLOOKUP(D4074,'Detail Balok'!$C$10:$AU$110,4,FALSE)</f>
        <v>2</v>
      </c>
      <c r="E4081" t="str">
        <v>D</v>
      </c>
      <c r="F4081">
        <f>VLOOKUP(D4074,'Detail Balok'!$C$10:$AU$110,6,FALSE)</f>
        <v>16</v>
      </c>
      <c r="I4081" t="str">
        <v>(</v>
      </c>
      <c r="J4081">
        <f>+D4076/4/1000</f>
        <v>1.38375</v>
      </c>
      <c r="K4081" t="str">
        <v>+</v>
      </c>
      <c r="L4081">
        <f>MAX(VLOOKUP(F4081,N$6:P$15,3,FALSE)/1000,2/3*D4078/1000)+F$16*F4081/1000</f>
        <v>0.192</v>
      </c>
      <c r="M4081" t="str">
        <v>=</v>
      </c>
      <c r="N4081">
        <f>J4081+L4081</f>
        <v>1.57575</v>
      </c>
      <c r="O4081" t="str">
        <v>+</v>
      </c>
      <c r="P4081">
        <f>D4081-D4082</f>
        <v>0</v>
      </c>
      <c r="Q4081" t="str">
        <v>x</v>
      </c>
      <c r="R4081">
        <f>IF(P4081&gt;0,$F$18*F4081/1000,0)</f>
        <v>0</v>
      </c>
      <c r="S4081" t="str">
        <v>)</v>
      </c>
      <c r="T4081" t="str">
        <v>x</v>
      </c>
      <c r="U4081">
        <f>0.006165*F4081^2</f>
        <v>1.57824</v>
      </c>
      <c r="X4081" t="str">
        <v>x</v>
      </c>
      <c r="Y4081">
        <f>D4080</f>
        <v>1</v>
      </c>
      <c r="Z4081" t="str">
        <v>=</v>
      </c>
      <c r="AA4081">
        <f>IF(AA4084=0,(D4081*N4081+P4081*R4081)*U4081*Y4081,0)</f>
        <v>0</v>
      </c>
    </row>
    <row r="4082">
      <c r="A4082" t="str">
        <f>A4074</f>
        <v>Lantai 1</v>
      </c>
      <c r="B4082">
        <f>B4074</f>
        <v>39</v>
      </c>
      <c r="C4082" t="str">
        <v>Tul Atas Lapangan</v>
      </c>
      <c r="D4082">
        <f>VLOOKUP(D4074,'Detail Balok'!$C$10:$AU$110,7,FALSE)</f>
        <v>2</v>
      </c>
      <c r="E4082" t="str">
        <v>D</v>
      </c>
      <c r="F4082">
        <f>VLOOKUP(D4074,'Detail Balok'!$C$10:$AU$110,9,FALSE)</f>
        <v>16</v>
      </c>
      <c r="I4082" t="str">
        <v>(</v>
      </c>
      <c r="J4082">
        <f>+D4076/2/1000</f>
        <v>2.7675</v>
      </c>
      <c r="K4082" t="str">
        <v>+</v>
      </c>
      <c r="M4082" t="str">
        <v>=</v>
      </c>
      <c r="N4082">
        <f>J4082+L4082</f>
        <v>2.7675</v>
      </c>
      <c r="O4082" t="str">
        <v>+</v>
      </c>
      <c r="P4082">
        <f>MAX(D4082-D4081,D4082-D4083)</f>
        <v>0</v>
      </c>
      <c r="Q4082" t="str">
        <v>x</v>
      </c>
      <c r="R4082">
        <f>IF(P4082&gt;0,2*(1-2*$F$19-1/2)*D4077/1000,0)</f>
        <v>0</v>
      </c>
      <c r="S4082" t="str">
        <v>)</v>
      </c>
      <c r="T4082" t="str">
        <v>x</v>
      </c>
      <c r="U4082">
        <f>0.006165*F4082^2</f>
        <v>1.57824</v>
      </c>
      <c r="X4082" t="str">
        <v>x</v>
      </c>
      <c r="Y4082">
        <f>D4080</f>
        <v>1</v>
      </c>
      <c r="Z4082" t="str">
        <v>=</v>
      </c>
      <c r="AA4082">
        <f>IF(AA4084=0,(D4082*N4082+P4082*R4082)*U4082*Y4082,0)</f>
        <v>0</v>
      </c>
    </row>
    <row r="4083">
      <c r="A4083" t="str">
        <f>A4074</f>
        <v>Lantai 1</v>
      </c>
      <c r="B4083">
        <f>B4074</f>
        <v>39</v>
      </c>
      <c r="C4083" t="str">
        <v>Tul Atas Tumpuan</v>
      </c>
      <c r="D4083">
        <f>VLOOKUP(D4074,'Detail Balok'!$C$10:$AU$110,10,FALSE)</f>
        <v>2</v>
      </c>
      <c r="E4083" t="str">
        <v>D</v>
      </c>
      <c r="F4083">
        <f>VLOOKUP(D4074,'Detail Balok'!$C$10:$AU$110,12,FALSE)</f>
        <v>16</v>
      </c>
      <c r="I4083" t="str">
        <v>(</v>
      </c>
      <c r="J4083">
        <f>+D4076/4/1000</f>
        <v>1.38375</v>
      </c>
      <c r="K4083" t="str">
        <v>+</v>
      </c>
      <c r="L4083">
        <f>MAX(VLOOKUP(F4083,N$6:P$15,3,FALSE)/1000,2/3*D4078/1000)+F$16*F4083/1000</f>
        <v>0.192</v>
      </c>
      <c r="M4083" t="str">
        <v>=</v>
      </c>
      <c r="N4083">
        <f>J4083+L4083</f>
        <v>1.57575</v>
      </c>
      <c r="O4083" t="str">
        <v>+</v>
      </c>
      <c r="P4083">
        <f>D4083-D4082</f>
        <v>0</v>
      </c>
      <c r="Q4083" t="str">
        <v>x</v>
      </c>
      <c r="R4083">
        <f>IF(P4083&gt;0,$F$18*F4083/1000,0)</f>
        <v>0</v>
      </c>
      <c r="S4083" t="str">
        <v>)</v>
      </c>
      <c r="T4083" t="str">
        <v>x</v>
      </c>
      <c r="U4083">
        <f>0.006165*F4083^2</f>
        <v>1.57824</v>
      </c>
      <c r="X4083" t="str">
        <v>x</v>
      </c>
      <c r="Y4083">
        <f>D4080</f>
        <v>1</v>
      </c>
      <c r="Z4083" t="str">
        <v>=</v>
      </c>
      <c r="AA4083">
        <f>IF(AA4084=0,(D4083*N4083+P4083*R4083)*U4083*Y4083,0)</f>
        <v>0</v>
      </c>
    </row>
    <row r="4084">
      <c r="A4084" t="str">
        <f>A4074</f>
        <v>Lantai 1</v>
      </c>
      <c r="B4084">
        <f>B4074</f>
        <v>39</v>
      </c>
      <c r="D4084">
        <f>IF(AND(D4081=D4082,D4082=D4083,D4081=D4083),D4081,0)</f>
        <v>2</v>
      </c>
      <c r="E4084" t="str">
        <v>D</v>
      </c>
      <c r="F4084">
        <f>IF(AND(F4081=F4082,F4081=F4083,F4082=F4083),F4081,0)</f>
        <v>16</v>
      </c>
      <c r="L4084" t="str">
        <v>Total panjang per balok</v>
      </c>
      <c r="M4084" t="str">
        <v>=</v>
      </c>
      <c r="N4084">
        <f>IF(AND(D4081=D4082,D4081=D4083,D4082=D4083,F4081=F4082,F4081=F4083,F4082=F4083),SUM(N4081:N4083),0)</f>
        <v>5.9190000000000005</v>
      </c>
      <c r="O4084" t="str">
        <v>+</v>
      </c>
      <c r="P4084">
        <f>IF(N4084&gt;12,ROUNDDOWN(N4084/12,0),0)</f>
        <v>0</v>
      </c>
      <c r="Q4084" t="str">
        <v>x</v>
      </c>
      <c r="R4084">
        <f>IF(P4084&gt;0,MAX(VLOOKUP(F4084,$D$6:$G$15,3,FALSE),600),0)/1000</f>
        <v>0</v>
      </c>
      <c r="T4084" t="str">
        <v>x</v>
      </c>
      <c r="U4084">
        <f>U4083</f>
        <v>1.57824</v>
      </c>
      <c r="V4084" t="str">
        <v>x</v>
      </c>
      <c r="W4084">
        <f>D4084</f>
        <v>2</v>
      </c>
      <c r="X4084" t="str">
        <v>x</v>
      </c>
      <c r="Y4084">
        <f>Y4083</f>
        <v>1</v>
      </c>
      <c r="Z4084" t="str">
        <v>=</v>
      </c>
      <c r="AA4084">
        <f>(N4084+P4084*R4084/1000)*U4084*W4084*Y4084</f>
        <v>18.683205120000004</v>
      </c>
    </row>
    <row r="4086">
      <c r="A4086" t="str">
        <f>A4074</f>
        <v>Lantai 1</v>
      </c>
      <c r="B4086">
        <f>B4074</f>
        <v>39</v>
      </c>
      <c r="C4086" t="str">
        <v>Tul Peminggang</v>
      </c>
      <c r="D4086">
        <f>VLOOKUP(D4074,'Detail Balok'!$C$10:$AU$110,13,FALSE)</f>
        <v>0</v>
      </c>
      <c r="E4086" t="str">
        <v>D</v>
      </c>
      <c r="F4086">
        <f>VLOOKUP(D4074,'Detail Balok'!$C$10:$AU$110,15,FALSE)</f>
        <v>6</v>
      </c>
      <c r="J4086">
        <f>+D4076/1000</f>
        <v>5.535</v>
      </c>
      <c r="K4086" t="str">
        <v>+</v>
      </c>
      <c r="L4086">
        <f>2*$F$16*F4086/1000</f>
        <v>0.144</v>
      </c>
      <c r="M4086" t="str">
        <v>=</v>
      </c>
      <c r="N4086">
        <f>J4086+L4086</f>
        <v>5.679</v>
      </c>
      <c r="O4086" t="str">
        <v>+</v>
      </c>
      <c r="P4086">
        <f>IF(N4086&gt;12,ROUNDDOWN(N4086/12,0),0)</f>
        <v>0</v>
      </c>
      <c r="Q4086" t="str">
        <v>x</v>
      </c>
      <c r="R4086">
        <f>IF(P4086&gt;0,MAX(VLOOKUP(F4086,$D$6:$G$15,3,FALSE),600),0)/1000</f>
        <v>0</v>
      </c>
      <c r="T4086" t="str">
        <v>x</v>
      </c>
      <c r="U4086">
        <f>0.006165*F4086^2</f>
        <v>0.22194000000000003</v>
      </c>
      <c r="V4086" t="str">
        <v>x</v>
      </c>
      <c r="W4086">
        <f>+D4086</f>
        <v>0</v>
      </c>
      <c r="X4086" t="str">
        <v>x</v>
      </c>
      <c r="Y4086">
        <f>D4080</f>
        <v>1</v>
      </c>
      <c r="Z4086" t="str">
        <v>=</v>
      </c>
      <c r="AA4086">
        <f>(N4086+P4086*R4086/1000)*U4086*W4086*Y4086</f>
        <v>0</v>
      </c>
    </row>
    <row r="4089">
      <c r="A4089" t="str">
        <f>A4074</f>
        <v>Lantai 1</v>
      </c>
      <c r="B4089">
        <f>B4074</f>
        <v>39</v>
      </c>
      <c r="C4089" t="str">
        <v>Tul Bawah Tumpuan</v>
      </c>
      <c r="D4089">
        <f>VLOOKUP(D4074,'Detail Balok'!$C$10:$AU$110,22,FALSE)</f>
        <v>2</v>
      </c>
      <c r="E4089" t="str">
        <v>D</v>
      </c>
      <c r="F4089">
        <f>VLOOKUP(D4074,'Detail Balok'!$C$10:$AU$110,24,FALSE)</f>
        <v>16</v>
      </c>
      <c r="I4089" t="str">
        <v>(</v>
      </c>
      <c r="J4089">
        <f>+J4081</f>
        <v>1.38375</v>
      </c>
      <c r="K4089" t="str">
        <v>+</v>
      </c>
      <c r="L4089">
        <f>MAX(VLOOKUP(F4089,N$6:P$15,3,FALSE)/1000,2/3*D4079/1000)+F$16*F4089/1000</f>
        <v>0.192</v>
      </c>
      <c r="M4089" t="str">
        <v>=</v>
      </c>
      <c r="N4089">
        <f>J4089+L4089</f>
        <v>1.57575</v>
      </c>
      <c r="O4089" t="str">
        <v>+</v>
      </c>
      <c r="P4089">
        <f>D4089-D4090</f>
        <v>0</v>
      </c>
      <c r="Q4089" t="str">
        <v>x</v>
      </c>
      <c r="R4089">
        <f>IF(P4089&gt;0,$F$18*F4089/1000,0)</f>
        <v>0</v>
      </c>
      <c r="S4089" t="str">
        <v>)</v>
      </c>
      <c r="T4089" t="str">
        <v>x</v>
      </c>
      <c r="U4089">
        <f>0.006165*F4089^2</f>
        <v>1.57824</v>
      </c>
      <c r="X4089" t="str">
        <v>x</v>
      </c>
      <c r="Y4089">
        <f>D4080</f>
        <v>1</v>
      </c>
      <c r="Z4089" t="str">
        <v>=</v>
      </c>
      <c r="AA4089">
        <f>IF(AA4092=0,(D4089*N4089+P4089*R4089)*U4089*Y4089,0)</f>
        <v>0</v>
      </c>
    </row>
    <row r="4090">
      <c r="A4090" t="str">
        <f>A4074</f>
        <v>Lantai 1</v>
      </c>
      <c r="B4090">
        <f>B4074</f>
        <v>39</v>
      </c>
      <c r="C4090" t="str">
        <v>Tul Bawah Lapangan</v>
      </c>
      <c r="D4090">
        <f>VLOOKUP(D4074,'Detail Balok'!$C$10:$AU$110,25,FALSE)</f>
        <v>2</v>
      </c>
      <c r="E4090" t="str">
        <v>D</v>
      </c>
      <c r="F4090">
        <f>VLOOKUP(D4074,'Detail Balok'!$C$10:$AU$110,27,FALSE)</f>
        <v>16</v>
      </c>
      <c r="I4090" t="str">
        <v>(</v>
      </c>
      <c r="J4090">
        <f>+J4082</f>
        <v>2.7675</v>
      </c>
      <c r="K4090" t="str">
        <v>+</v>
      </c>
      <c r="M4090" t="str">
        <v>=</v>
      </c>
      <c r="N4090">
        <f>J4090+L4090</f>
        <v>2.7675</v>
      </c>
      <c r="O4090" t="str">
        <v>+</v>
      </c>
      <c r="P4090">
        <f>MAX(D4090-D4089,D4090-D4091)</f>
        <v>0</v>
      </c>
      <c r="Q4090" t="str">
        <v>x</v>
      </c>
      <c r="R4090">
        <f>IF(P4090&gt;0,2*(1-2*$F$19-1/2)*D4077/1000,0)</f>
        <v>0</v>
      </c>
      <c r="S4090" t="str">
        <v>)</v>
      </c>
      <c r="T4090" t="str">
        <v>x</v>
      </c>
      <c r="U4090">
        <f>0.006165*F4090^2</f>
        <v>1.57824</v>
      </c>
      <c r="X4090" t="str">
        <v>x</v>
      </c>
      <c r="Y4090">
        <f>D4080</f>
        <v>1</v>
      </c>
      <c r="Z4090" t="str">
        <v>=</v>
      </c>
      <c r="AA4090">
        <f>IF(AA4092=0,(D4090*N4090+P4090*R4090)*U4090*Y4090,0)</f>
        <v>0</v>
      </c>
    </row>
    <row r="4091">
      <c r="A4091" t="str">
        <f>A4074</f>
        <v>Lantai 1</v>
      </c>
      <c r="B4091">
        <f>B4074</f>
        <v>39</v>
      </c>
      <c r="C4091" t="str">
        <v>Tul Bawah Tumpuan</v>
      </c>
      <c r="D4091">
        <f>VLOOKUP(D4074,'Detail Balok'!$C$10:$AU$110,28,FALSE)</f>
        <v>2</v>
      </c>
      <c r="E4091" t="str">
        <v>D</v>
      </c>
      <c r="F4091">
        <f>VLOOKUP(D4074,'Detail Balok'!$C$10:$AU$110,30,FALSE)</f>
        <v>16</v>
      </c>
      <c r="I4091" t="str">
        <v>(</v>
      </c>
      <c r="J4091">
        <f>+J4083</f>
        <v>1.38375</v>
      </c>
      <c r="K4091" t="str">
        <v>+</v>
      </c>
      <c r="L4091">
        <f>MAX(VLOOKUP(F4091,N$6:P$15,3,FALSE)/1000,2/3*D4079/1000)+F$16*F4091/1000</f>
        <v>0.192</v>
      </c>
      <c r="M4091" t="str">
        <v>=</v>
      </c>
      <c r="N4091">
        <f>J4091+L4091</f>
        <v>1.57575</v>
      </c>
      <c r="O4091" t="str">
        <v>+</v>
      </c>
      <c r="P4091">
        <f>D4091-D4090</f>
        <v>0</v>
      </c>
      <c r="Q4091" t="str">
        <v>x</v>
      </c>
      <c r="R4091">
        <f>IF(P4091&gt;0,$F$18*F4091/1000,0)</f>
        <v>0</v>
      </c>
      <c r="S4091" t="str">
        <v>)</v>
      </c>
      <c r="T4091" t="str">
        <v>x</v>
      </c>
      <c r="U4091">
        <f>0.006165*F4091^2</f>
        <v>1.57824</v>
      </c>
      <c r="X4091" t="str">
        <v>x</v>
      </c>
      <c r="Y4091">
        <f>D4080</f>
        <v>1</v>
      </c>
      <c r="Z4091" t="str">
        <v>=</v>
      </c>
      <c r="AA4091">
        <f>IF(AA4092=0,(D4091*N4091+P4091*R4091)*U4091*Y4091,0)</f>
        <v>0</v>
      </c>
    </row>
    <row r="4092">
      <c r="A4092" t="str">
        <f>A4074</f>
        <v>Lantai 1</v>
      </c>
      <c r="B4092">
        <f>B4074</f>
        <v>39</v>
      </c>
      <c r="D4092">
        <f>IF(AND(D4089=D4090,D4090=D4091,D4089=D4091),D4089,0)</f>
        <v>2</v>
      </c>
      <c r="E4092" t="str">
        <v>D</v>
      </c>
      <c r="F4092">
        <f>IF(AND(F4089=F4090,F4089=F4091,F4090=F4091),F4089,0)</f>
        <v>16</v>
      </c>
      <c r="L4092" t="str">
        <v>Total panjang per balok</v>
      </c>
      <c r="M4092" t="str">
        <v>=</v>
      </c>
      <c r="N4092">
        <f>IF(AND(D4089=D4090,D4089=D4091,D4090=D4091,F4089=F4090,F4089=F4091,F4090=F4091),SUM(N4089:N4091),0)</f>
        <v>5.9190000000000005</v>
      </c>
      <c r="O4092" t="str">
        <v>+</v>
      </c>
      <c r="P4092">
        <f>IF(N4092&gt;12,ROUNDDOWN(N4092/12,0),0)</f>
        <v>0</v>
      </c>
      <c r="Q4092" t="str">
        <v>x</v>
      </c>
      <c r="R4092">
        <f>IF(P4092&gt;0,MAX(VLOOKUP(F4092,$D$6:$G$15,3,FALSE),600),0)/1000</f>
        <v>0</v>
      </c>
      <c r="T4092" t="str">
        <v>x</v>
      </c>
      <c r="U4092">
        <f>U4091</f>
        <v>1.57824</v>
      </c>
      <c r="V4092" t="str">
        <v>x</v>
      </c>
      <c r="W4092">
        <f>D4092</f>
        <v>2</v>
      </c>
      <c r="X4092" t="str">
        <v>x</v>
      </c>
      <c r="Y4092">
        <f>Y4091</f>
        <v>1</v>
      </c>
      <c r="Z4092" t="str">
        <v>=</v>
      </c>
      <c r="AA4092">
        <f>(N4092+P4092*R4092/1000)*U4092*W4092*Y4092</f>
        <v>18.683205120000004</v>
      </c>
    </row>
    <row r="4094">
      <c r="A4094" t="str">
        <f>A4074</f>
        <v>Lantai 1</v>
      </c>
      <c r="B4094">
        <f>B4074</f>
        <v>39</v>
      </c>
      <c r="C4094" t="str">
        <v>Sengkang Tumpuan</v>
      </c>
      <c r="D4094">
        <f>VLOOKUP(D4074,'Detail Balok'!$C$10:$AU$110,31,FALSE)</f>
        <v>0</v>
      </c>
      <c r="E4094" t="str">
        <v>D</v>
      </c>
      <c r="F4094">
        <f>VLOOKUP(D4074,'Detail Balok'!$C$10:$AU$110,33,FALSE)</f>
        <v>8</v>
      </c>
      <c r="G4094" t="str">
        <v>-</v>
      </c>
      <c r="H4094">
        <f>VLOOKUP(D4074,'Detail Balok'!$C$10:$AU$110,35,FALSE)</f>
        <v>100</v>
      </c>
      <c r="J4094">
        <f>(IF(D4094=0,(2*(D4075+G4075))-(F$5*8),IF(D4094=3,(2*(D4075+G4075))-(F$5*8)+(G4075-2*F$5),IF(D4094=4,(2*(D4075+G4075))-(F$5*8)+2*(G4075-2*F$5)))))/1000</f>
        <v>0.88</v>
      </c>
      <c r="K4094" t="str">
        <v>+</v>
      </c>
      <c r="L4094">
        <f>IF(D4094=0,2*MAX(6*F4094,75),(D4094-1)*2*MAX(6*F4094,75))/1000</f>
        <v>0.15</v>
      </c>
      <c r="M4094" t="str">
        <v>=</v>
      </c>
      <c r="N4094">
        <f>J4094+L4094</f>
        <v>1.03</v>
      </c>
      <c r="T4094" t="str">
        <v>x</v>
      </c>
      <c r="U4094">
        <f>0.006165*F4094^2</f>
        <v>0.39456</v>
      </c>
      <c r="V4094" t="str">
        <v>x</v>
      </c>
      <c r="W4094">
        <f>IF(D4077&gt;4*G4075,ROUND(MAX(D4077/4,2*G4075)/H4094,0)+1,ROUND(D4077/H4094,0)+1)</f>
        <v>15</v>
      </c>
      <c r="X4094" t="str">
        <v>x</v>
      </c>
      <c r="Y4094">
        <f>D4080</f>
        <v>1</v>
      </c>
      <c r="Z4094" t="str">
        <v>=</v>
      </c>
      <c r="AA4094">
        <f>N4094*U4094*W4094*Y4094</f>
        <v>6.0959520000000005</v>
      </c>
    </row>
    <row r="4095">
      <c r="A4095" t="str">
        <f>A4074</f>
        <v>Lantai 1</v>
      </c>
      <c r="B4095">
        <f>B4074</f>
        <v>39</v>
      </c>
      <c r="C4095" t="str">
        <v>Sengkang Lapangan</v>
      </c>
      <c r="D4095">
        <f>VLOOKUP(D4074,'Detail Balok'!$C$10:$AU$110,36,FALSE)</f>
        <v>0</v>
      </c>
      <c r="E4095" t="str">
        <v>D</v>
      </c>
      <c r="F4095">
        <f>VLOOKUP(D4074,'Detail Balok'!$C$10:$AU$110,38,FALSE)</f>
        <v>8</v>
      </c>
      <c r="G4095" t="str">
        <v>-</v>
      </c>
      <c r="H4095">
        <f>VLOOKUP(D4074,'Detail Balok'!$C$10:$AU$110,40,FALSE)</f>
        <v>200</v>
      </c>
      <c r="J4095">
        <f>(IF(D4095=0,(2*(D4075+G4075))-(F$5*8),IF(D4095=3,(2*(D4075+G4075))-(F$5*8)+(G4075-2*F$5),IF(D4095=4,(2*(D4075+G4075))-(F$5*8)+2*(G4075-2*F$5)))))/1000</f>
        <v>0.88</v>
      </c>
      <c r="K4095" t="str">
        <v>+</v>
      </c>
      <c r="L4095">
        <f>IF(D4095=0,2*MAX(6*F4095,75),(D4095-1)*2*MAX(6*F4095,75))/1000</f>
        <v>0.15</v>
      </c>
      <c r="M4095" t="str">
        <v>=</v>
      </c>
      <c r="N4095">
        <f>J4095+L4095</f>
        <v>1.03</v>
      </c>
      <c r="T4095" t="str">
        <v>x</v>
      </c>
      <c r="U4095">
        <f>0.006165*F4095^2</f>
        <v>0.39456</v>
      </c>
      <c r="V4095" t="str">
        <v>x</v>
      </c>
      <c r="W4095">
        <f>IF(D4077-MAX(D4077/4,2*G4075)*2&gt;0,ROUND((D4077-MAX(D4077/4,2*G4075)*2)/H4095,0),0)</f>
        <v>14</v>
      </c>
      <c r="X4095" t="str">
        <v>x</v>
      </c>
      <c r="Y4095">
        <f>D4080</f>
        <v>1</v>
      </c>
      <c r="Z4095" t="str">
        <v>=</v>
      </c>
      <c r="AA4095">
        <f>N4095*U4095*W4095*Y4095</f>
        <v>5.689555200000001</v>
      </c>
    </row>
    <row r="4096">
      <c r="A4096" t="str">
        <f>A4074</f>
        <v>Lantai 1</v>
      </c>
      <c r="B4096">
        <f>B4074</f>
        <v>39</v>
      </c>
      <c r="C4096" t="str">
        <v>Sengkang Tumpuan</v>
      </c>
      <c r="D4096">
        <f>VLOOKUP(D4074,'Detail Balok'!$C$10:$AU$110,41,FALSE)</f>
        <v>0</v>
      </c>
      <c r="E4096" t="str">
        <v>D</v>
      </c>
      <c r="F4096">
        <f>VLOOKUP(D4074,'Detail Balok'!$C$10:$AU$110,43,FALSE)</f>
        <v>8</v>
      </c>
      <c r="G4096" t="str">
        <v>-</v>
      </c>
      <c r="H4096">
        <f>VLOOKUP(D4074,'Detail Balok'!$C$10:$AU$110,45,FALSE)</f>
        <v>100</v>
      </c>
      <c r="J4096">
        <f>(IF(D4096=0,(2*(D4075+G4075))-(F$5*8),IF(D4096=3,(2*(D4075+G4075))-(F$5*8)+(G4075-2*F$5),IF(D4096=4,(2*(D4075+G4075))-(F$5*8)+2*(G4075-2*F$5)))))/1000</f>
        <v>0.88</v>
      </c>
      <c r="K4096" t="str">
        <v>+</v>
      </c>
      <c r="L4096">
        <f>IF(D4096=0,2*MAX(6*F4096,75),(D4096-1)*2*MAX(6*F4096,75))/1000</f>
        <v>0.15</v>
      </c>
      <c r="M4096" t="str">
        <v>=</v>
      </c>
      <c r="N4096">
        <f>J4096+L4096</f>
        <v>1.03</v>
      </c>
      <c r="T4096" t="str">
        <v>x</v>
      </c>
      <c r="U4096">
        <f>0.006165*F4096^2</f>
        <v>0.39456</v>
      </c>
      <c r="V4096" t="str">
        <v>x</v>
      </c>
      <c r="W4096">
        <f>IF(D4077&gt;4*G4075,ROUND(MAX(D4077/4,2*G4075)/H4096,0)+1,0)</f>
        <v>15</v>
      </c>
      <c r="X4096" t="str">
        <v>x</v>
      </c>
      <c r="Y4096">
        <f>D4080</f>
        <v>1</v>
      </c>
      <c r="Z4096" t="str">
        <v>=</v>
      </c>
      <c r="AA4096">
        <f>N4096*U4096*W4096*Y4096</f>
        <v>6.0959520000000005</v>
      </c>
    </row>
    <row r="4098">
      <c r="A4098" t="str">
        <f>A4074</f>
        <v>Lantai 1</v>
      </c>
      <c r="B4098">
        <f>B4074</f>
        <v>39</v>
      </c>
      <c r="C4098" t="str">
        <v>Kait Horizontal Tump.</v>
      </c>
      <c r="D4098">
        <f>VLOOKUP(D4074,'Detail Balok'!$C$10:$BJ$110,46,FALSE)</f>
        <v>0</v>
      </c>
      <c r="E4098" t="str">
        <v>D</v>
      </c>
      <c r="F4098">
        <f>VLOOKUP(D4074,'Detail Balok'!$C$10:$BJ$110,48,FALSE)</f>
        <v>0</v>
      </c>
      <c r="G4098" t="str">
        <v>-</v>
      </c>
      <c r="H4098">
        <f>VLOOKUP(D4074,'Detail Balok'!$C$10:$BJ$110,50,FALSE)</f>
        <v>100</v>
      </c>
      <c r="J4098">
        <f>(D4075-2*F$5)/1000</f>
        <v>0.12</v>
      </c>
      <c r="K4098" t="str">
        <v>+</v>
      </c>
      <c r="L4098">
        <f>IF(D4098=0,2*MAX(6*F4098,75),(D4098-1)*2*MAX(6*F4098,75))/1000</f>
        <v>0.15</v>
      </c>
      <c r="M4098" t="str">
        <v>=</v>
      </c>
      <c r="N4098">
        <f>J4098+L4098</f>
        <v>0.27</v>
      </c>
      <c r="T4098" t="str">
        <v>x</v>
      </c>
      <c r="U4098">
        <f>0.006165*F4098^2</f>
        <v>0</v>
      </c>
      <c r="V4098" t="str">
        <v>x</v>
      </c>
      <c r="W4098">
        <f>W4094</f>
        <v>15</v>
      </c>
      <c r="X4098" t="str">
        <v>x</v>
      </c>
      <c r="Y4098">
        <f>D4084</f>
        <v>2</v>
      </c>
      <c r="Z4098" t="str">
        <v>=</v>
      </c>
      <c r="AA4098">
        <f>N4098*U4098*W4098*Y4098</f>
        <v>0</v>
      </c>
    </row>
    <row r="4099">
      <c r="A4099" t="str">
        <f>A4074</f>
        <v>Lantai 1</v>
      </c>
      <c r="B4099">
        <f>B4074</f>
        <v>39</v>
      </c>
      <c r="C4099" t="str">
        <v>Kait Horizontal Lap.</v>
      </c>
      <c r="D4099">
        <f>VLOOKUP(D4074,'Detail Balok'!$C$10:$BJ$110,51,FALSE)</f>
        <v>0</v>
      </c>
      <c r="E4099" t="str">
        <v>D</v>
      </c>
      <c r="F4099">
        <f>VLOOKUP(D4074,'Detail Balok'!$C$10:$BJ$110,53,FALSE)</f>
        <v>0</v>
      </c>
      <c r="G4099" t="str">
        <v>-</v>
      </c>
      <c r="H4099">
        <f>VLOOKUP(D4074,'Detail Balok'!$C$10:$BJ$110,55,FALSE)</f>
        <v>100</v>
      </c>
      <c r="J4099">
        <f>(D4075-2*F$5)/1000</f>
        <v>0.12</v>
      </c>
      <c r="K4099" t="str">
        <v>+</v>
      </c>
      <c r="L4099">
        <f>IF(D4099=0,2*MAX(6*F4099,75),(D4099-1)*2*MAX(6*F4099,75))/1000</f>
        <v>0.15</v>
      </c>
      <c r="M4099" t="str">
        <v>=</v>
      </c>
      <c r="N4099">
        <f>J4099+L4099</f>
        <v>0.27</v>
      </c>
      <c r="T4099" t="str">
        <v>x</v>
      </c>
      <c r="U4099">
        <f>0.006165*F4099^2</f>
        <v>0</v>
      </c>
      <c r="V4099" t="str">
        <v>x</v>
      </c>
      <c r="W4099">
        <f>W4095</f>
        <v>14</v>
      </c>
      <c r="X4099" t="str">
        <v>x</v>
      </c>
      <c r="Y4099">
        <f>D4084</f>
        <v>2</v>
      </c>
      <c r="Z4099" t="str">
        <v>=</v>
      </c>
      <c r="AA4099">
        <f>N4099*U4099*W4099*Y4099</f>
        <v>0</v>
      </c>
    </row>
    <row r="4100">
      <c r="A4100" t="str">
        <f>A4074</f>
        <v>Lantai 1</v>
      </c>
      <c r="B4100">
        <f>B4074</f>
        <v>39</v>
      </c>
      <c r="C4100" t="str">
        <v>Kait Horizontal Tump.</v>
      </c>
      <c r="D4100">
        <f>VLOOKUP(D4074,'Detail Balok'!$C$10:$BJ$110,56,FALSE)</f>
        <v>0</v>
      </c>
      <c r="E4100" t="str">
        <v>D</v>
      </c>
      <c r="F4100">
        <f>VLOOKUP(D4074,'Detail Balok'!$C$10:$BJ$110,58,FALSE)</f>
        <v>0</v>
      </c>
      <c r="G4100" t="str">
        <v>-</v>
      </c>
      <c r="H4100">
        <f>VLOOKUP(D4074,'Detail Balok'!$C$10:$BJ$110,60,FALSE)</f>
        <v>100</v>
      </c>
      <c r="J4100">
        <f>(D4075-2*F$5)/1000</f>
        <v>0.12</v>
      </c>
      <c r="K4100" t="str">
        <v>+</v>
      </c>
      <c r="L4100">
        <f>IF(D4100=0,2*MAX(6*F4100,75),(D4100-1)*2*MAX(6*F4100,75))/1000</f>
        <v>0.15</v>
      </c>
      <c r="M4100" t="str">
        <v>=</v>
      </c>
      <c r="N4100">
        <f>J4100+L4100</f>
        <v>0.27</v>
      </c>
      <c r="T4100" t="str">
        <v>x</v>
      </c>
      <c r="U4100">
        <f>0.006165*F4100^2</f>
        <v>0</v>
      </c>
      <c r="V4100" t="str">
        <v>x</v>
      </c>
      <c r="W4100">
        <f>W4096</f>
        <v>15</v>
      </c>
      <c r="X4100" t="str">
        <v>x</v>
      </c>
      <c r="Y4100">
        <f>D4084</f>
        <v>2</v>
      </c>
      <c r="Z4100" t="str">
        <v>=</v>
      </c>
      <c r="AA4100">
        <f>N4100*U4100*W4100*Y4100</f>
        <v>0</v>
      </c>
    </row>
    <row r="4104">
      <c r="A4104" t="str">
        <f>A4074</f>
        <v>Lantai 1</v>
      </c>
      <c r="B4104">
        <f>B4074+1</f>
        <v>40</v>
      </c>
      <c r="C4104" t="str">
        <f>CONCATENATE(A4104," no. ",B4104)</f>
        <v>Lantai 1 no. 40</v>
      </c>
      <c r="D4104" t="str">
        <f>VLOOKUP(C4104,'Data Panjang Balok'!$C$9:$N$424,2,FALSE)</f>
        <v>B24-1</v>
      </c>
    </row>
    <row r="4105">
      <c r="C4105" t="str">
        <v>Dimensi</v>
      </c>
      <c r="D4105">
        <f>VLOOKUP(D4104,'Detail Balok'!$C$10:$AU$110,2,FALSE)</f>
        <v>200</v>
      </c>
      <c r="F4105" t="str">
        <v>x</v>
      </c>
      <c r="G4105">
        <f>VLOOKUP(D4104,'Detail Balok'!$C$10:$AU$110,3,FALSE)</f>
        <v>400</v>
      </c>
    </row>
    <row r="4106">
      <c r="C4106" t="str">
        <v>Panjang as ke as</v>
      </c>
      <c r="D4106">
        <f>VLOOKUP(C4104,'Data Panjang Balok'!$C$9:$N$424,4,FALSE)</f>
        <v>5535</v>
      </c>
    </row>
    <row r="4107">
      <c r="C4107" t="str">
        <v>Panjang netto</v>
      </c>
      <c r="D4107">
        <f>VLOOKUP(C4104,'Data Panjang Balok'!$C$9:$N$424,7,FALSE)</f>
        <v>5535</v>
      </c>
    </row>
    <row r="4108">
      <c r="C4108" t="str">
        <v>Kolom / balok kiri</v>
      </c>
      <c r="D4108">
        <f>VLOOKUP(C4104,'Data Panjang Balok'!$C$9:$N$424,9,FALSE)</f>
        <v>0</v>
      </c>
    </row>
    <row r="4109">
      <c r="C4109" t="str">
        <v>Kolom / balok kanan</v>
      </c>
      <c r="D4109">
        <f>VLOOKUP(C4104,'Data Panjang Balok'!$C$9:$N$424,10,FALSE)</f>
        <v>0</v>
      </c>
    </row>
    <row r="4110">
      <c r="C4110" t="str">
        <v>Jumlah</v>
      </c>
      <c r="D4110">
        <f>VLOOKUP(C4104,'Data Panjang Balok'!$C$9:$N$424,3,FALSE)</f>
        <v>1</v>
      </c>
    </row>
    <row r="4111">
      <c r="A4111" t="str">
        <f>A4104</f>
        <v>Lantai 1</v>
      </c>
      <c r="B4111">
        <f>B4104</f>
        <v>40</v>
      </c>
      <c r="C4111" t="str">
        <v>Tul Atas Tumpuan</v>
      </c>
      <c r="D4111">
        <f>VLOOKUP(D4104,'Detail Balok'!$C$10:$AU$110,4,FALSE)</f>
        <v>2</v>
      </c>
      <c r="E4111" t="str">
        <v>D</v>
      </c>
      <c r="F4111">
        <f>VLOOKUP(D4104,'Detail Balok'!$C$10:$AU$110,6,FALSE)</f>
        <v>13</v>
      </c>
      <c r="I4111" t="str">
        <v>(</v>
      </c>
      <c r="J4111">
        <f>+D4106/4/1000</f>
        <v>1.38375</v>
      </c>
      <c r="K4111" t="str">
        <v>+</v>
      </c>
      <c r="L4111">
        <f>MAX(VLOOKUP(F4111,N$6:P$15,3,FALSE)/1000,2/3*D4108/1000)+F$16*F4111/1000</f>
        <v>0.156</v>
      </c>
      <c r="M4111" t="str">
        <v>=</v>
      </c>
      <c r="N4111">
        <f>J4111+L4111</f>
        <v>1.53975</v>
      </c>
      <c r="O4111" t="str">
        <v>+</v>
      </c>
      <c r="P4111">
        <f>D4111-D4112</f>
        <v>0</v>
      </c>
      <c r="Q4111" t="str">
        <v>x</v>
      </c>
      <c r="R4111">
        <f>IF(P4111&gt;0,$F$18*F4111/1000,0)</f>
        <v>0</v>
      </c>
      <c r="S4111" t="str">
        <v>)</v>
      </c>
      <c r="T4111" t="str">
        <v>x</v>
      </c>
      <c r="U4111">
        <f>0.006165*F4111^2</f>
        <v>1.041885</v>
      </c>
      <c r="X4111" t="str">
        <v>x</v>
      </c>
      <c r="Y4111">
        <f>D4110</f>
        <v>1</v>
      </c>
      <c r="Z4111" t="str">
        <v>=</v>
      </c>
      <c r="AA4111">
        <f>IF(AA4114=0,(D4111*N4111+P4111*R4111)*U4111*Y4111,0)</f>
        <v>0</v>
      </c>
    </row>
    <row r="4112">
      <c r="A4112" t="str">
        <f>A4104</f>
        <v>Lantai 1</v>
      </c>
      <c r="B4112">
        <f>B4104</f>
        <v>40</v>
      </c>
      <c r="C4112" t="str">
        <v>Tul Atas Lapangan</v>
      </c>
      <c r="D4112">
        <f>VLOOKUP(D4104,'Detail Balok'!$C$10:$AU$110,7,FALSE)</f>
        <v>2</v>
      </c>
      <c r="E4112" t="str">
        <v>D</v>
      </c>
      <c r="F4112">
        <f>VLOOKUP(D4104,'Detail Balok'!$C$10:$AU$110,9,FALSE)</f>
        <v>13</v>
      </c>
      <c r="I4112" t="str">
        <v>(</v>
      </c>
      <c r="J4112">
        <f>+D4106/2/1000</f>
        <v>2.7675</v>
      </c>
      <c r="K4112" t="str">
        <v>+</v>
      </c>
      <c r="M4112" t="str">
        <v>=</v>
      </c>
      <c r="N4112">
        <f>J4112+L4112</f>
        <v>2.7675</v>
      </c>
      <c r="O4112" t="str">
        <v>+</v>
      </c>
      <c r="P4112">
        <f>MAX(D4112-D4111,D4112-D4113)</f>
        <v>0</v>
      </c>
      <c r="Q4112" t="str">
        <v>x</v>
      </c>
      <c r="R4112">
        <f>IF(P4112&gt;0,2*(1-2*$F$19-1/2)*D4107/1000,0)</f>
        <v>0</v>
      </c>
      <c r="S4112" t="str">
        <v>)</v>
      </c>
      <c r="T4112" t="str">
        <v>x</v>
      </c>
      <c r="U4112">
        <f>0.006165*F4112^2</f>
        <v>1.041885</v>
      </c>
      <c r="X4112" t="str">
        <v>x</v>
      </c>
      <c r="Y4112">
        <f>D4110</f>
        <v>1</v>
      </c>
      <c r="Z4112" t="str">
        <v>=</v>
      </c>
      <c r="AA4112">
        <f>IF(AA4114=0,(D4112*N4112+P4112*R4112)*U4112*Y4112,0)</f>
        <v>0</v>
      </c>
    </row>
    <row r="4113">
      <c r="A4113" t="str">
        <f>A4104</f>
        <v>Lantai 1</v>
      </c>
      <c r="B4113">
        <f>B4104</f>
        <v>40</v>
      </c>
      <c r="C4113" t="str">
        <v>Tul Atas Tumpuan</v>
      </c>
      <c r="D4113">
        <f>VLOOKUP(D4104,'Detail Balok'!$C$10:$AU$110,10,FALSE)</f>
        <v>2</v>
      </c>
      <c r="E4113" t="str">
        <v>D</v>
      </c>
      <c r="F4113">
        <f>VLOOKUP(D4104,'Detail Balok'!$C$10:$AU$110,12,FALSE)</f>
        <v>13</v>
      </c>
      <c r="I4113" t="str">
        <v>(</v>
      </c>
      <c r="J4113">
        <f>+D4106/4/1000</f>
        <v>1.38375</v>
      </c>
      <c r="K4113" t="str">
        <v>+</v>
      </c>
      <c r="L4113">
        <f>MAX(VLOOKUP(F4113,N$6:P$15,3,FALSE)/1000,2/3*D4108/1000)+F$16*F4113/1000</f>
        <v>0.156</v>
      </c>
      <c r="M4113" t="str">
        <v>=</v>
      </c>
      <c r="N4113">
        <f>J4113+L4113</f>
        <v>1.53975</v>
      </c>
      <c r="O4113" t="str">
        <v>+</v>
      </c>
      <c r="P4113">
        <f>D4113-D4112</f>
        <v>0</v>
      </c>
      <c r="Q4113" t="str">
        <v>x</v>
      </c>
      <c r="R4113">
        <f>IF(P4113&gt;0,$F$18*F4113/1000,0)</f>
        <v>0</v>
      </c>
      <c r="S4113" t="str">
        <v>)</v>
      </c>
      <c r="T4113" t="str">
        <v>x</v>
      </c>
      <c r="U4113">
        <f>0.006165*F4113^2</f>
        <v>1.041885</v>
      </c>
      <c r="X4113" t="str">
        <v>x</v>
      </c>
      <c r="Y4113">
        <f>D4110</f>
        <v>1</v>
      </c>
      <c r="Z4113" t="str">
        <v>=</v>
      </c>
      <c r="AA4113">
        <f>IF(AA4114=0,(D4113*N4113+P4113*R4113)*U4113*Y4113,0)</f>
        <v>0</v>
      </c>
    </row>
    <row r="4114">
      <c r="A4114" t="str">
        <f>A4104</f>
        <v>Lantai 1</v>
      </c>
      <c r="B4114">
        <f>B4104</f>
        <v>40</v>
      </c>
      <c r="D4114">
        <f>IF(AND(D4111=D4112,D4112=D4113,D4111=D4113),D4111,0)</f>
        <v>2</v>
      </c>
      <c r="E4114" t="str">
        <v>D</v>
      </c>
      <c r="F4114">
        <f>IF(AND(F4111=F4112,F4111=F4113,F4112=F4113),F4111,0)</f>
        <v>13</v>
      </c>
      <c r="L4114" t="str">
        <v>Total panjang per balok</v>
      </c>
      <c r="M4114" t="str">
        <v>=</v>
      </c>
      <c r="N4114">
        <f>IF(AND(D4111=D4112,D4111=D4113,D4112=D4113,F4111=F4112,F4111=F4113,F4112=F4113),SUM(N4111:N4113),0)</f>
        <v>5.8469999999999995</v>
      </c>
      <c r="O4114" t="str">
        <v>+</v>
      </c>
      <c r="P4114">
        <f>IF(N4114&gt;12,ROUNDDOWN(N4114/12,0),0)</f>
        <v>0</v>
      </c>
      <c r="Q4114" t="str">
        <v>x</v>
      </c>
      <c r="R4114">
        <f>IF(P4114&gt;0,MAX(VLOOKUP(F4114,$D$6:$G$15,3,FALSE),600),0)/1000</f>
        <v>0</v>
      </c>
      <c r="T4114" t="str">
        <v>x</v>
      </c>
      <c r="U4114">
        <f>U4113</f>
        <v>1.041885</v>
      </c>
      <c r="V4114" t="str">
        <v>x</v>
      </c>
      <c r="W4114">
        <f>D4114</f>
        <v>2</v>
      </c>
      <c r="X4114" t="str">
        <v>x</v>
      </c>
      <c r="Y4114">
        <f>Y4113</f>
        <v>1</v>
      </c>
      <c r="Z4114" t="str">
        <v>=</v>
      </c>
      <c r="AA4114">
        <f>(N4114+P4114*R4114/1000)*U4114*W4114*Y4114</f>
        <v>12.183803189999999</v>
      </c>
    </row>
    <row r="4116">
      <c r="A4116" t="str">
        <f>A4104</f>
        <v>Lantai 1</v>
      </c>
      <c r="B4116">
        <f>B4104</f>
        <v>40</v>
      </c>
      <c r="C4116" t="str">
        <v>Tul Peminggang</v>
      </c>
      <c r="D4116">
        <f>VLOOKUP(D4104,'Detail Balok'!$C$10:$AU$110,13,FALSE)</f>
        <v>0</v>
      </c>
      <c r="E4116" t="str">
        <v>D</v>
      </c>
      <c r="F4116">
        <f>VLOOKUP(D4104,'Detail Balok'!$C$10:$AU$110,15,FALSE)</f>
        <v>6</v>
      </c>
      <c r="J4116">
        <f>+D4106/1000</f>
        <v>5.535</v>
      </c>
      <c r="K4116" t="str">
        <v>+</v>
      </c>
      <c r="L4116">
        <f>2*$F$16*F4116/1000</f>
        <v>0.144</v>
      </c>
      <c r="M4116" t="str">
        <v>=</v>
      </c>
      <c r="N4116">
        <f>J4116+L4116</f>
        <v>5.679</v>
      </c>
      <c r="O4116" t="str">
        <v>+</v>
      </c>
      <c r="P4116">
        <f>IF(N4116&gt;12,ROUNDDOWN(N4116/12,0),0)</f>
        <v>0</v>
      </c>
      <c r="Q4116" t="str">
        <v>x</v>
      </c>
      <c r="R4116">
        <f>IF(P4116&gt;0,MAX(VLOOKUP(F4116,$D$6:$G$15,3,FALSE),600),0)/1000</f>
        <v>0</v>
      </c>
      <c r="T4116" t="str">
        <v>x</v>
      </c>
      <c r="U4116">
        <f>0.006165*F4116^2</f>
        <v>0.22194000000000003</v>
      </c>
      <c r="V4116" t="str">
        <v>x</v>
      </c>
      <c r="W4116">
        <f>+D4116</f>
        <v>0</v>
      </c>
      <c r="X4116" t="str">
        <v>x</v>
      </c>
      <c r="Y4116">
        <f>D4110</f>
        <v>1</v>
      </c>
      <c r="Z4116" t="str">
        <v>=</v>
      </c>
      <c r="AA4116">
        <f>(N4116+P4116*R4116/1000)*U4116*W4116*Y4116</f>
        <v>0</v>
      </c>
    </row>
    <row r="4119">
      <c r="A4119" t="str">
        <f>A4104</f>
        <v>Lantai 1</v>
      </c>
      <c r="B4119">
        <f>B4104</f>
        <v>40</v>
      </c>
      <c r="C4119" t="str">
        <v>Tul Bawah Tumpuan</v>
      </c>
      <c r="D4119">
        <f>VLOOKUP(D4104,'Detail Balok'!$C$10:$AU$110,22,FALSE)</f>
        <v>2</v>
      </c>
      <c r="E4119" t="str">
        <v>D</v>
      </c>
      <c r="F4119">
        <f>VLOOKUP(D4104,'Detail Balok'!$C$10:$AU$110,24,FALSE)</f>
        <v>13</v>
      </c>
      <c r="I4119" t="str">
        <v>(</v>
      </c>
      <c r="J4119">
        <f>+J4111</f>
        <v>1.38375</v>
      </c>
      <c r="K4119" t="str">
        <v>+</v>
      </c>
      <c r="L4119">
        <f>MAX(VLOOKUP(F4119,N$6:P$15,3,FALSE)/1000,2/3*D4109/1000)+F$16*F4119/1000</f>
        <v>0.156</v>
      </c>
      <c r="M4119" t="str">
        <v>=</v>
      </c>
      <c r="N4119">
        <f>J4119+L4119</f>
        <v>1.53975</v>
      </c>
      <c r="O4119" t="str">
        <v>+</v>
      </c>
      <c r="P4119">
        <f>D4119-D4120</f>
        <v>0</v>
      </c>
      <c r="Q4119" t="str">
        <v>x</v>
      </c>
      <c r="R4119">
        <f>IF(P4119&gt;0,$F$18*F4119/1000,0)</f>
        <v>0</v>
      </c>
      <c r="S4119" t="str">
        <v>)</v>
      </c>
      <c r="T4119" t="str">
        <v>x</v>
      </c>
      <c r="U4119">
        <f>0.006165*F4119^2</f>
        <v>1.041885</v>
      </c>
      <c r="X4119" t="str">
        <v>x</v>
      </c>
      <c r="Y4119">
        <f>D4110</f>
        <v>1</v>
      </c>
      <c r="Z4119" t="str">
        <v>=</v>
      </c>
      <c r="AA4119">
        <f>IF(AA4122=0,(D4119*N4119+P4119*R4119)*U4119*Y4119,0)</f>
        <v>0</v>
      </c>
    </row>
    <row r="4120">
      <c r="A4120" t="str">
        <f>A4104</f>
        <v>Lantai 1</v>
      </c>
      <c r="B4120">
        <f>B4104</f>
        <v>40</v>
      </c>
      <c r="C4120" t="str">
        <v>Tul Bawah Lapangan</v>
      </c>
      <c r="D4120">
        <f>VLOOKUP(D4104,'Detail Balok'!$C$10:$AU$110,25,FALSE)</f>
        <v>2</v>
      </c>
      <c r="E4120" t="str">
        <v>D</v>
      </c>
      <c r="F4120">
        <f>VLOOKUP(D4104,'Detail Balok'!$C$10:$AU$110,27,FALSE)</f>
        <v>13</v>
      </c>
      <c r="I4120" t="str">
        <v>(</v>
      </c>
      <c r="J4120">
        <f>+J4112</f>
        <v>2.7675</v>
      </c>
      <c r="K4120" t="str">
        <v>+</v>
      </c>
      <c r="M4120" t="str">
        <v>=</v>
      </c>
      <c r="N4120">
        <f>J4120+L4120</f>
        <v>2.7675</v>
      </c>
      <c r="O4120" t="str">
        <v>+</v>
      </c>
      <c r="P4120">
        <f>MAX(D4120-D4119,D4120-D4121)</f>
        <v>0</v>
      </c>
      <c r="Q4120" t="str">
        <v>x</v>
      </c>
      <c r="R4120">
        <f>IF(P4120&gt;0,2*(1-2*$F$19-1/2)*D4107/1000,0)</f>
        <v>0</v>
      </c>
      <c r="S4120" t="str">
        <v>)</v>
      </c>
      <c r="T4120" t="str">
        <v>x</v>
      </c>
      <c r="U4120">
        <f>0.006165*F4120^2</f>
        <v>1.041885</v>
      </c>
      <c r="X4120" t="str">
        <v>x</v>
      </c>
      <c r="Y4120">
        <f>D4110</f>
        <v>1</v>
      </c>
      <c r="Z4120" t="str">
        <v>=</v>
      </c>
      <c r="AA4120">
        <f>IF(AA4122=0,(D4120*N4120+P4120*R4120)*U4120*Y4120,0)</f>
        <v>0</v>
      </c>
    </row>
    <row r="4121">
      <c r="A4121" t="str">
        <f>A4104</f>
        <v>Lantai 1</v>
      </c>
      <c r="B4121">
        <f>B4104</f>
        <v>40</v>
      </c>
      <c r="C4121" t="str">
        <v>Tul Bawah Tumpuan</v>
      </c>
      <c r="D4121">
        <f>VLOOKUP(D4104,'Detail Balok'!$C$10:$AU$110,28,FALSE)</f>
        <v>2</v>
      </c>
      <c r="E4121" t="str">
        <v>D</v>
      </c>
      <c r="F4121">
        <f>VLOOKUP(D4104,'Detail Balok'!$C$10:$AU$110,30,FALSE)</f>
        <v>13</v>
      </c>
      <c r="I4121" t="str">
        <v>(</v>
      </c>
      <c r="J4121">
        <f>+J4113</f>
        <v>1.38375</v>
      </c>
      <c r="K4121" t="str">
        <v>+</v>
      </c>
      <c r="L4121">
        <f>MAX(VLOOKUP(F4121,N$6:P$15,3,FALSE)/1000,2/3*D4109/1000)+F$16*F4121/1000</f>
        <v>0.156</v>
      </c>
      <c r="M4121" t="str">
        <v>=</v>
      </c>
      <c r="N4121">
        <f>J4121+L4121</f>
        <v>1.53975</v>
      </c>
      <c r="O4121" t="str">
        <v>+</v>
      </c>
      <c r="P4121">
        <f>D4121-D4120</f>
        <v>0</v>
      </c>
      <c r="Q4121" t="str">
        <v>x</v>
      </c>
      <c r="R4121">
        <f>IF(P4121&gt;0,$F$18*F4121/1000,0)</f>
        <v>0</v>
      </c>
      <c r="S4121" t="str">
        <v>)</v>
      </c>
      <c r="T4121" t="str">
        <v>x</v>
      </c>
      <c r="U4121">
        <f>0.006165*F4121^2</f>
        <v>1.041885</v>
      </c>
      <c r="X4121" t="str">
        <v>x</v>
      </c>
      <c r="Y4121">
        <f>D4110</f>
        <v>1</v>
      </c>
      <c r="Z4121" t="str">
        <v>=</v>
      </c>
      <c r="AA4121">
        <f>IF(AA4122=0,(D4121*N4121+P4121*R4121)*U4121*Y4121,0)</f>
        <v>0</v>
      </c>
    </row>
    <row r="4122">
      <c r="A4122" t="str">
        <f>A4104</f>
        <v>Lantai 1</v>
      </c>
      <c r="B4122">
        <f>B4104</f>
        <v>40</v>
      </c>
      <c r="D4122">
        <f>IF(AND(D4119=D4120,D4120=D4121,D4119=D4121),D4119,0)</f>
        <v>2</v>
      </c>
      <c r="E4122" t="str">
        <v>D</v>
      </c>
      <c r="F4122">
        <f>IF(AND(F4119=F4120,F4119=F4121,F4120=F4121),F4119,0)</f>
        <v>13</v>
      </c>
      <c r="L4122" t="str">
        <v>Total panjang per balok</v>
      </c>
      <c r="M4122" t="str">
        <v>=</v>
      </c>
      <c r="N4122">
        <f>IF(AND(D4119=D4120,D4119=D4121,D4120=D4121,F4119=F4120,F4119=F4121,F4120=F4121),SUM(N4119:N4121),0)</f>
        <v>5.8469999999999995</v>
      </c>
      <c r="O4122" t="str">
        <v>+</v>
      </c>
      <c r="P4122">
        <f>IF(N4122&gt;12,ROUNDDOWN(N4122/12,0),0)</f>
        <v>0</v>
      </c>
      <c r="Q4122" t="str">
        <v>x</v>
      </c>
      <c r="R4122">
        <f>IF(P4122&gt;0,MAX(VLOOKUP(F4122,$D$6:$G$15,3,FALSE),600),0)/1000</f>
        <v>0</v>
      </c>
      <c r="T4122" t="str">
        <v>x</v>
      </c>
      <c r="U4122">
        <f>U4121</f>
        <v>1.041885</v>
      </c>
      <c r="V4122" t="str">
        <v>x</v>
      </c>
      <c r="W4122">
        <f>D4122</f>
        <v>2</v>
      </c>
      <c r="X4122" t="str">
        <v>x</v>
      </c>
      <c r="Y4122">
        <f>Y4121</f>
        <v>1</v>
      </c>
      <c r="Z4122" t="str">
        <v>=</v>
      </c>
      <c r="AA4122">
        <f>(N4122+P4122*R4122/1000)*U4122*W4122*Y4122</f>
        <v>12.183803189999999</v>
      </c>
    </row>
    <row r="4124">
      <c r="A4124" t="str">
        <f>A4104</f>
        <v>Lantai 1</v>
      </c>
      <c r="B4124">
        <f>B4104</f>
        <v>40</v>
      </c>
      <c r="C4124" t="str">
        <v>Sengkang Tumpuan</v>
      </c>
      <c r="D4124">
        <f>VLOOKUP(D4104,'Detail Balok'!$C$10:$AU$110,31,FALSE)</f>
        <v>0</v>
      </c>
      <c r="E4124" t="str">
        <v>D</v>
      </c>
      <c r="F4124">
        <f>VLOOKUP(D4104,'Detail Balok'!$C$10:$AU$110,33,FALSE)</f>
        <v>8</v>
      </c>
      <c r="G4124" t="str">
        <v>-</v>
      </c>
      <c r="H4124">
        <f>VLOOKUP(D4104,'Detail Balok'!$C$10:$AU$110,35,FALSE)</f>
        <v>100</v>
      </c>
      <c r="J4124">
        <f>(IF(D4124=0,(2*(D4105+G4105))-(F$5*8),IF(D4124=3,(2*(D4105+G4105))-(F$5*8)+(G4105-2*F$5),IF(D4124=4,(2*(D4105+G4105))-(F$5*8)+2*(G4105-2*F$5)))))/1000</f>
        <v>0.88</v>
      </c>
      <c r="K4124" t="str">
        <v>+</v>
      </c>
      <c r="L4124">
        <f>IF(D4124=0,2*MAX(6*F4124,75),(D4124-1)*2*MAX(6*F4124,75))/1000</f>
        <v>0.15</v>
      </c>
      <c r="M4124" t="str">
        <v>=</v>
      </c>
      <c r="N4124">
        <f>J4124+L4124</f>
        <v>1.03</v>
      </c>
      <c r="T4124" t="str">
        <v>x</v>
      </c>
      <c r="U4124">
        <f>0.006165*F4124^2</f>
        <v>0.39456</v>
      </c>
      <c r="V4124" t="str">
        <v>x</v>
      </c>
      <c r="W4124">
        <f>IF(D4107&gt;4*G4105,ROUND(MAX(D4107/4,2*G4105)/H4124,0)+1,ROUND(D4107/H4124,0)+1)</f>
        <v>15</v>
      </c>
      <c r="X4124" t="str">
        <v>x</v>
      </c>
      <c r="Y4124">
        <f>D4110</f>
        <v>1</v>
      </c>
      <c r="Z4124" t="str">
        <v>=</v>
      </c>
      <c r="AA4124">
        <f>N4124*U4124*W4124*Y4124</f>
        <v>6.0959520000000005</v>
      </c>
    </row>
    <row r="4125">
      <c r="A4125" t="str">
        <f>A4104</f>
        <v>Lantai 1</v>
      </c>
      <c r="B4125">
        <f>B4104</f>
        <v>40</v>
      </c>
      <c r="C4125" t="str">
        <v>Sengkang Lapangan</v>
      </c>
      <c r="D4125">
        <f>VLOOKUP(D4104,'Detail Balok'!$C$10:$AU$110,36,FALSE)</f>
        <v>0</v>
      </c>
      <c r="E4125" t="str">
        <v>D</v>
      </c>
      <c r="F4125">
        <f>VLOOKUP(D4104,'Detail Balok'!$C$10:$AU$110,38,FALSE)</f>
        <v>8</v>
      </c>
      <c r="G4125" t="str">
        <v>-</v>
      </c>
      <c r="H4125">
        <f>VLOOKUP(D4104,'Detail Balok'!$C$10:$AU$110,40,FALSE)</f>
        <v>200</v>
      </c>
      <c r="J4125">
        <f>(IF(D4125=0,(2*(D4105+G4105))-(F$5*8),IF(D4125=3,(2*(D4105+G4105))-(F$5*8)+(G4105-2*F$5),IF(D4125=4,(2*(D4105+G4105))-(F$5*8)+2*(G4105-2*F$5)))))/1000</f>
        <v>0.88</v>
      </c>
      <c r="K4125" t="str">
        <v>+</v>
      </c>
      <c r="L4125">
        <f>IF(D4125=0,2*MAX(6*F4125,75),(D4125-1)*2*MAX(6*F4125,75))/1000</f>
        <v>0.15</v>
      </c>
      <c r="M4125" t="str">
        <v>=</v>
      </c>
      <c r="N4125">
        <f>J4125+L4125</f>
        <v>1.03</v>
      </c>
      <c r="T4125" t="str">
        <v>x</v>
      </c>
      <c r="U4125">
        <f>0.006165*F4125^2</f>
        <v>0.39456</v>
      </c>
      <c r="V4125" t="str">
        <v>x</v>
      </c>
      <c r="W4125">
        <f>IF(D4107-MAX(D4107/4,2*G4105)*2&gt;0,ROUND((D4107-MAX(D4107/4,2*G4105)*2)/H4125,0),0)</f>
        <v>14</v>
      </c>
      <c r="X4125" t="str">
        <v>x</v>
      </c>
      <c r="Y4125">
        <f>D4110</f>
        <v>1</v>
      </c>
      <c r="Z4125" t="str">
        <v>=</v>
      </c>
      <c r="AA4125">
        <f>N4125*U4125*W4125*Y4125</f>
        <v>5.689555200000001</v>
      </c>
    </row>
    <row r="4126">
      <c r="A4126" t="str">
        <f>A4104</f>
        <v>Lantai 1</v>
      </c>
      <c r="B4126">
        <f>B4104</f>
        <v>40</v>
      </c>
      <c r="C4126" t="str">
        <v>Sengkang Tumpuan</v>
      </c>
      <c r="D4126">
        <f>VLOOKUP(D4104,'Detail Balok'!$C$10:$AU$110,41,FALSE)</f>
        <v>0</v>
      </c>
      <c r="E4126" t="str">
        <v>D</v>
      </c>
      <c r="F4126">
        <f>VLOOKUP(D4104,'Detail Balok'!$C$10:$AU$110,43,FALSE)</f>
        <v>8</v>
      </c>
      <c r="G4126" t="str">
        <v>-</v>
      </c>
      <c r="H4126">
        <f>VLOOKUP(D4104,'Detail Balok'!$C$10:$AU$110,45,FALSE)</f>
        <v>100</v>
      </c>
      <c r="J4126">
        <f>(IF(D4126=0,(2*(D4105+G4105))-(F$5*8),IF(D4126=3,(2*(D4105+G4105))-(F$5*8)+(G4105-2*F$5),IF(D4126=4,(2*(D4105+G4105))-(F$5*8)+2*(G4105-2*F$5)))))/1000</f>
        <v>0.88</v>
      </c>
      <c r="K4126" t="str">
        <v>+</v>
      </c>
      <c r="L4126">
        <f>IF(D4126=0,2*MAX(6*F4126,75),(D4126-1)*2*MAX(6*F4126,75))/1000</f>
        <v>0.15</v>
      </c>
      <c r="M4126" t="str">
        <v>=</v>
      </c>
      <c r="N4126">
        <f>J4126+L4126</f>
        <v>1.03</v>
      </c>
      <c r="T4126" t="str">
        <v>x</v>
      </c>
      <c r="U4126">
        <f>0.006165*F4126^2</f>
        <v>0.39456</v>
      </c>
      <c r="V4126" t="str">
        <v>x</v>
      </c>
      <c r="W4126">
        <f>IF(D4107&gt;4*G4105,ROUND(MAX(D4107/4,2*G4105)/H4126,0)+1,0)</f>
        <v>15</v>
      </c>
      <c r="X4126" t="str">
        <v>x</v>
      </c>
      <c r="Y4126">
        <f>D4110</f>
        <v>1</v>
      </c>
      <c r="Z4126" t="str">
        <v>=</v>
      </c>
      <c r="AA4126">
        <f>N4126*U4126*W4126*Y4126</f>
        <v>6.0959520000000005</v>
      </c>
    </row>
    <row r="4128">
      <c r="A4128" t="str">
        <f>A4104</f>
        <v>Lantai 1</v>
      </c>
      <c r="B4128">
        <f>B4104</f>
        <v>40</v>
      </c>
      <c r="C4128" t="str">
        <v>Kait Horizontal Tump.</v>
      </c>
      <c r="D4128">
        <f>VLOOKUP(D4104,'Detail Balok'!$C$10:$BJ$110,46,FALSE)</f>
        <v>0</v>
      </c>
      <c r="E4128" t="str">
        <v>D</v>
      </c>
      <c r="F4128">
        <f>VLOOKUP(D4104,'Detail Balok'!$C$10:$BJ$110,48,FALSE)</f>
        <v>0</v>
      </c>
      <c r="G4128" t="str">
        <v>-</v>
      </c>
      <c r="H4128">
        <f>VLOOKUP(D4104,'Detail Balok'!$C$10:$BJ$110,50,FALSE)</f>
        <v>100</v>
      </c>
      <c r="J4128">
        <f>(D4105-2*F$5)/1000</f>
        <v>0.12</v>
      </c>
      <c r="K4128" t="str">
        <v>+</v>
      </c>
      <c r="L4128">
        <f>IF(D4128=0,2*MAX(6*F4128,75),(D4128-1)*2*MAX(6*F4128,75))/1000</f>
        <v>0.15</v>
      </c>
      <c r="M4128" t="str">
        <v>=</v>
      </c>
      <c r="N4128">
        <f>J4128+L4128</f>
        <v>0.27</v>
      </c>
      <c r="T4128" t="str">
        <v>x</v>
      </c>
      <c r="U4128">
        <f>0.006165*F4128^2</f>
        <v>0</v>
      </c>
      <c r="V4128" t="str">
        <v>x</v>
      </c>
      <c r="W4128">
        <f>W4124</f>
        <v>15</v>
      </c>
      <c r="X4128" t="str">
        <v>x</v>
      </c>
      <c r="Y4128">
        <f>D4114</f>
        <v>2</v>
      </c>
      <c r="Z4128" t="str">
        <v>=</v>
      </c>
      <c r="AA4128">
        <f>N4128*U4128*W4128*Y4128</f>
        <v>0</v>
      </c>
    </row>
    <row r="4129">
      <c r="A4129" t="str">
        <f>A4104</f>
        <v>Lantai 1</v>
      </c>
      <c r="B4129">
        <f>B4104</f>
        <v>40</v>
      </c>
      <c r="C4129" t="str">
        <v>Kait Horizontal Lap.</v>
      </c>
      <c r="D4129">
        <f>VLOOKUP(D4104,'Detail Balok'!$C$10:$BJ$110,51,FALSE)</f>
        <v>0</v>
      </c>
      <c r="E4129" t="str">
        <v>D</v>
      </c>
      <c r="F4129">
        <f>VLOOKUP(D4104,'Detail Balok'!$C$10:$BJ$110,53,FALSE)</f>
        <v>0</v>
      </c>
      <c r="G4129" t="str">
        <v>-</v>
      </c>
      <c r="H4129">
        <f>VLOOKUP(D4104,'Detail Balok'!$C$10:$BJ$110,55,FALSE)</f>
        <v>100</v>
      </c>
      <c r="J4129">
        <f>(D4105-2*F$5)/1000</f>
        <v>0.12</v>
      </c>
      <c r="K4129" t="str">
        <v>+</v>
      </c>
      <c r="L4129">
        <f>IF(D4129=0,2*MAX(6*F4129,75),(D4129-1)*2*MAX(6*F4129,75))/1000</f>
        <v>0.15</v>
      </c>
      <c r="M4129" t="str">
        <v>=</v>
      </c>
      <c r="N4129">
        <f>J4129+L4129</f>
        <v>0.27</v>
      </c>
      <c r="T4129" t="str">
        <v>x</v>
      </c>
      <c r="U4129">
        <f>0.006165*F4129^2</f>
        <v>0</v>
      </c>
      <c r="V4129" t="str">
        <v>x</v>
      </c>
      <c r="W4129">
        <f>W4125</f>
        <v>14</v>
      </c>
      <c r="X4129" t="str">
        <v>x</v>
      </c>
      <c r="Y4129">
        <f>D4114</f>
        <v>2</v>
      </c>
      <c r="Z4129" t="str">
        <v>=</v>
      </c>
      <c r="AA4129">
        <f>N4129*U4129*W4129*Y4129</f>
        <v>0</v>
      </c>
    </row>
    <row r="4130">
      <c r="A4130" t="str">
        <f>A4104</f>
        <v>Lantai 1</v>
      </c>
      <c r="B4130">
        <f>B4104</f>
        <v>40</v>
      </c>
      <c r="C4130" t="str">
        <v>Kait Horizontal Tump.</v>
      </c>
      <c r="D4130">
        <f>VLOOKUP(D4104,'Detail Balok'!$C$10:$BJ$110,56,FALSE)</f>
        <v>0</v>
      </c>
      <c r="E4130" t="str">
        <v>D</v>
      </c>
      <c r="F4130">
        <f>VLOOKUP(D4104,'Detail Balok'!$C$10:$BJ$110,58,FALSE)</f>
        <v>0</v>
      </c>
      <c r="G4130" t="str">
        <v>-</v>
      </c>
      <c r="H4130">
        <f>VLOOKUP(D4104,'Detail Balok'!$C$10:$BJ$110,60,FALSE)</f>
        <v>100</v>
      </c>
      <c r="J4130">
        <f>(D4105-2*F$5)/1000</f>
        <v>0.12</v>
      </c>
      <c r="K4130" t="str">
        <v>+</v>
      </c>
      <c r="L4130">
        <f>IF(D4130=0,2*MAX(6*F4130,75),(D4130-1)*2*MAX(6*F4130,75))/1000</f>
        <v>0.15</v>
      </c>
      <c r="M4130" t="str">
        <v>=</v>
      </c>
      <c r="N4130">
        <f>J4130+L4130</f>
        <v>0.27</v>
      </c>
      <c r="T4130" t="str">
        <v>x</v>
      </c>
      <c r="U4130">
        <f>0.006165*F4130^2</f>
        <v>0</v>
      </c>
      <c r="V4130" t="str">
        <v>x</v>
      </c>
      <c r="W4130">
        <f>W4126</f>
        <v>15</v>
      </c>
      <c r="X4130" t="str">
        <v>x</v>
      </c>
      <c r="Y4130">
        <f>D4114</f>
        <v>2</v>
      </c>
      <c r="Z4130" t="str">
        <v>=</v>
      </c>
      <c r="AA4130">
        <f>N4130*U4130*W4130*Y4130</f>
        <v>0</v>
      </c>
    </row>
    <row r="4134">
      <c r="A4134" t="str">
        <f>A4104</f>
        <v>Lantai 1</v>
      </c>
      <c r="B4134">
        <f>B4104+1</f>
        <v>41</v>
      </c>
      <c r="C4134" t="str">
        <f>CONCATENATE(A4134," no. ",B4134)</f>
        <v>Lantai 1 no. 41</v>
      </c>
      <c r="D4134" t="str">
        <f>VLOOKUP(C4134,'Data Panjang Balok'!$C$9:$N$424,2,FALSE)</f>
        <v>B24-1</v>
      </c>
    </row>
    <row r="4135">
      <c r="C4135" t="str">
        <v>Dimensi</v>
      </c>
      <c r="D4135">
        <f>VLOOKUP(D4134,'Detail Balok'!$C$10:$AU$110,2,FALSE)</f>
        <v>200</v>
      </c>
      <c r="F4135" t="str">
        <v>x</v>
      </c>
      <c r="G4135">
        <f>VLOOKUP(D4134,'Detail Balok'!$C$10:$AU$110,3,FALSE)</f>
        <v>400</v>
      </c>
    </row>
    <row r="4136">
      <c r="C4136" t="str">
        <v>Panjang as ke as</v>
      </c>
      <c r="D4136">
        <f>VLOOKUP(C4134,'Data Panjang Balok'!$C$9:$N$424,4,FALSE)</f>
        <v>3385</v>
      </c>
    </row>
    <row r="4137">
      <c r="C4137" t="str">
        <v>Panjang netto</v>
      </c>
      <c r="D4137">
        <f>VLOOKUP(C4134,'Data Panjang Balok'!$C$9:$N$424,7,FALSE)</f>
        <v>3385</v>
      </c>
    </row>
    <row r="4138">
      <c r="C4138" t="str">
        <v>Kolom / balok kiri</v>
      </c>
      <c r="D4138">
        <f>VLOOKUP(C4134,'Data Panjang Balok'!$C$9:$N$424,9,FALSE)</f>
        <v>0</v>
      </c>
    </row>
    <row r="4139">
      <c r="C4139" t="str">
        <v>Kolom / balok kanan</v>
      </c>
      <c r="D4139">
        <f>VLOOKUP(C4134,'Data Panjang Balok'!$C$9:$N$424,10,FALSE)</f>
        <v>0</v>
      </c>
    </row>
    <row r="4140">
      <c r="C4140" t="str">
        <v>Jumlah</v>
      </c>
      <c r="D4140">
        <f>VLOOKUP(C4134,'Data Panjang Balok'!$C$9:$N$424,3,FALSE)</f>
        <v>1</v>
      </c>
    </row>
    <row r="4141">
      <c r="A4141" t="str">
        <f>A4134</f>
        <v>Lantai 1</v>
      </c>
      <c r="B4141">
        <f>B4134</f>
        <v>41</v>
      </c>
      <c r="C4141" t="str">
        <v>Tul Atas Tumpuan</v>
      </c>
      <c r="D4141">
        <f>VLOOKUP(D4134,'Detail Balok'!$C$10:$AU$110,4,FALSE)</f>
        <v>2</v>
      </c>
      <c r="E4141" t="str">
        <v>D</v>
      </c>
      <c r="F4141">
        <f>VLOOKUP(D4134,'Detail Balok'!$C$10:$AU$110,6,FALSE)</f>
        <v>13</v>
      </c>
      <c r="I4141" t="str">
        <v>(</v>
      </c>
      <c r="J4141">
        <f>+D4136/4/1000</f>
        <v>0.84625</v>
      </c>
      <c r="K4141" t="str">
        <v>+</v>
      </c>
      <c r="L4141">
        <f>MAX(VLOOKUP(F4141,N$6:P$15,3,FALSE)/1000,2/3*D4138/1000)+F$16*F4141/1000</f>
        <v>0.156</v>
      </c>
      <c r="M4141" t="str">
        <v>=</v>
      </c>
      <c r="N4141">
        <f>J4141+L4141</f>
        <v>1.0022499999999999</v>
      </c>
      <c r="O4141" t="str">
        <v>+</v>
      </c>
      <c r="P4141">
        <f>D4141-D4142</f>
        <v>0</v>
      </c>
      <c r="Q4141" t="str">
        <v>x</v>
      </c>
      <c r="R4141">
        <f>IF(P4141&gt;0,$F$18*F4141/1000,0)</f>
        <v>0</v>
      </c>
      <c r="S4141" t="str">
        <v>)</v>
      </c>
      <c r="T4141" t="str">
        <v>x</v>
      </c>
      <c r="U4141">
        <f>0.006165*F4141^2</f>
        <v>1.041885</v>
      </c>
      <c r="X4141" t="str">
        <v>x</v>
      </c>
      <c r="Y4141">
        <f>D4140</f>
        <v>1</v>
      </c>
      <c r="Z4141" t="str">
        <v>=</v>
      </c>
      <c r="AA4141">
        <f>IF(AA4144=0,(D4141*N4141+P4141*R4141)*U4141*Y4141,0)</f>
        <v>0</v>
      </c>
    </row>
    <row r="4142">
      <c r="A4142" t="str">
        <f>A4134</f>
        <v>Lantai 1</v>
      </c>
      <c r="B4142">
        <f>B4134</f>
        <v>41</v>
      </c>
      <c r="C4142" t="str">
        <v>Tul Atas Lapangan</v>
      </c>
      <c r="D4142">
        <f>VLOOKUP(D4134,'Detail Balok'!$C$10:$AU$110,7,FALSE)</f>
        <v>2</v>
      </c>
      <c r="E4142" t="str">
        <v>D</v>
      </c>
      <c r="F4142">
        <f>VLOOKUP(D4134,'Detail Balok'!$C$10:$AU$110,9,FALSE)</f>
        <v>13</v>
      </c>
      <c r="I4142" t="str">
        <v>(</v>
      </c>
      <c r="J4142">
        <f>+D4136/2/1000</f>
        <v>1.6925</v>
      </c>
      <c r="K4142" t="str">
        <v>+</v>
      </c>
      <c r="M4142" t="str">
        <v>=</v>
      </c>
      <c r="N4142">
        <f>J4142+L4142</f>
        <v>1.6925</v>
      </c>
      <c r="O4142" t="str">
        <v>+</v>
      </c>
      <c r="P4142">
        <f>MAX(D4142-D4141,D4142-D4143)</f>
        <v>0</v>
      </c>
      <c r="Q4142" t="str">
        <v>x</v>
      </c>
      <c r="R4142">
        <f>IF(P4142&gt;0,2*(1-2*$F$19-1/2)*D4137/1000,0)</f>
        <v>0</v>
      </c>
      <c r="S4142" t="str">
        <v>)</v>
      </c>
      <c r="T4142" t="str">
        <v>x</v>
      </c>
      <c r="U4142">
        <f>0.006165*F4142^2</f>
        <v>1.041885</v>
      </c>
      <c r="X4142" t="str">
        <v>x</v>
      </c>
      <c r="Y4142">
        <f>D4140</f>
        <v>1</v>
      </c>
      <c r="Z4142" t="str">
        <v>=</v>
      </c>
      <c r="AA4142">
        <f>IF(AA4144=0,(D4142*N4142+P4142*R4142)*U4142*Y4142,0)</f>
        <v>0</v>
      </c>
    </row>
    <row r="4143">
      <c r="A4143" t="str">
        <f>A4134</f>
        <v>Lantai 1</v>
      </c>
      <c r="B4143">
        <f>B4134</f>
        <v>41</v>
      </c>
      <c r="C4143" t="str">
        <v>Tul Atas Tumpuan</v>
      </c>
      <c r="D4143">
        <f>VLOOKUP(D4134,'Detail Balok'!$C$10:$AU$110,10,FALSE)</f>
        <v>2</v>
      </c>
      <c r="E4143" t="str">
        <v>D</v>
      </c>
      <c r="F4143">
        <f>VLOOKUP(D4134,'Detail Balok'!$C$10:$AU$110,12,FALSE)</f>
        <v>13</v>
      </c>
      <c r="I4143" t="str">
        <v>(</v>
      </c>
      <c r="J4143">
        <f>+D4136/4/1000</f>
        <v>0.84625</v>
      </c>
      <c r="K4143" t="str">
        <v>+</v>
      </c>
      <c r="L4143">
        <f>MAX(VLOOKUP(F4143,N$6:P$15,3,FALSE)/1000,2/3*D4138/1000)+F$16*F4143/1000</f>
        <v>0.156</v>
      </c>
      <c r="M4143" t="str">
        <v>=</v>
      </c>
      <c r="N4143">
        <f>J4143+L4143</f>
        <v>1.0022499999999999</v>
      </c>
      <c r="O4143" t="str">
        <v>+</v>
      </c>
      <c r="P4143">
        <f>D4143-D4142</f>
        <v>0</v>
      </c>
      <c r="Q4143" t="str">
        <v>x</v>
      </c>
      <c r="R4143">
        <f>IF(P4143&gt;0,$F$18*F4143/1000,0)</f>
        <v>0</v>
      </c>
      <c r="S4143" t="str">
        <v>)</v>
      </c>
      <c r="T4143" t="str">
        <v>x</v>
      </c>
      <c r="U4143">
        <f>0.006165*F4143^2</f>
        <v>1.041885</v>
      </c>
      <c r="X4143" t="str">
        <v>x</v>
      </c>
      <c r="Y4143">
        <f>D4140</f>
        <v>1</v>
      </c>
      <c r="Z4143" t="str">
        <v>=</v>
      </c>
      <c r="AA4143">
        <f>IF(AA4144=0,(D4143*N4143+P4143*R4143)*U4143*Y4143,0)</f>
        <v>0</v>
      </c>
    </row>
    <row r="4144">
      <c r="A4144" t="str">
        <f>A4134</f>
        <v>Lantai 1</v>
      </c>
      <c r="B4144">
        <f>B4134</f>
        <v>41</v>
      </c>
      <c r="D4144">
        <f>IF(AND(D4141=D4142,D4142=D4143,D4141=D4143),D4141,0)</f>
        <v>2</v>
      </c>
      <c r="E4144" t="str">
        <v>D</v>
      </c>
      <c r="F4144">
        <f>IF(AND(F4141=F4142,F4141=F4143,F4142=F4143),F4141,0)</f>
        <v>13</v>
      </c>
      <c r="L4144" t="str">
        <v>Total panjang per balok</v>
      </c>
      <c r="M4144" t="str">
        <v>=</v>
      </c>
      <c r="N4144">
        <f>IF(AND(D4141=D4142,D4141=D4143,D4142=D4143,F4141=F4142,F4141=F4143,F4142=F4143),SUM(N4141:N4143),0)</f>
        <v>3.697</v>
      </c>
      <c r="O4144" t="str">
        <v>+</v>
      </c>
      <c r="P4144">
        <f>IF(N4144&gt;12,ROUNDDOWN(N4144/12,0),0)</f>
        <v>0</v>
      </c>
      <c r="Q4144" t="str">
        <v>x</v>
      </c>
      <c r="R4144">
        <f>IF(P4144&gt;0,MAX(VLOOKUP(F4144,$D$6:$G$15,3,FALSE),600),0)/1000</f>
        <v>0</v>
      </c>
      <c r="T4144" t="str">
        <v>x</v>
      </c>
      <c r="U4144">
        <f>U4143</f>
        <v>1.041885</v>
      </c>
      <c r="V4144" t="str">
        <v>x</v>
      </c>
      <c r="W4144">
        <f>D4144</f>
        <v>2</v>
      </c>
      <c r="X4144" t="str">
        <v>x</v>
      </c>
      <c r="Y4144">
        <f>Y4143</f>
        <v>1</v>
      </c>
      <c r="Z4144" t="str">
        <v>=</v>
      </c>
      <c r="AA4144">
        <f>(N4144+P4144*R4144/1000)*U4144*W4144*Y4144</f>
        <v>7.703697689999999</v>
      </c>
    </row>
    <row r="4146">
      <c r="A4146" t="str">
        <f>A4134</f>
        <v>Lantai 1</v>
      </c>
      <c r="B4146">
        <f>B4134</f>
        <v>41</v>
      </c>
      <c r="C4146" t="str">
        <v>Tul Peminggang</v>
      </c>
      <c r="D4146">
        <f>VLOOKUP(D4134,'Detail Balok'!$C$10:$AU$110,13,FALSE)</f>
        <v>0</v>
      </c>
      <c r="E4146" t="str">
        <v>D</v>
      </c>
      <c r="F4146">
        <f>VLOOKUP(D4134,'Detail Balok'!$C$10:$AU$110,15,FALSE)</f>
        <v>6</v>
      </c>
      <c r="J4146">
        <f>+D4136/1000</f>
        <v>3.385</v>
      </c>
      <c r="K4146" t="str">
        <v>+</v>
      </c>
      <c r="L4146">
        <f>2*$F$16*F4146/1000</f>
        <v>0.144</v>
      </c>
      <c r="M4146" t="str">
        <v>=</v>
      </c>
      <c r="N4146">
        <f>J4146+L4146</f>
        <v>3.529</v>
      </c>
      <c r="O4146" t="str">
        <v>+</v>
      </c>
      <c r="P4146">
        <f>IF(N4146&gt;12,ROUNDDOWN(N4146/12,0),0)</f>
        <v>0</v>
      </c>
      <c r="Q4146" t="str">
        <v>x</v>
      </c>
      <c r="R4146">
        <f>IF(P4146&gt;0,MAX(VLOOKUP(F4146,$D$6:$G$15,3,FALSE),600),0)/1000</f>
        <v>0</v>
      </c>
      <c r="T4146" t="str">
        <v>x</v>
      </c>
      <c r="U4146">
        <f>0.006165*F4146^2</f>
        <v>0.22194000000000003</v>
      </c>
      <c r="V4146" t="str">
        <v>x</v>
      </c>
      <c r="W4146">
        <f>+D4146</f>
        <v>0</v>
      </c>
      <c r="X4146" t="str">
        <v>x</v>
      </c>
      <c r="Y4146">
        <f>D4140</f>
        <v>1</v>
      </c>
      <c r="Z4146" t="str">
        <v>=</v>
      </c>
      <c r="AA4146">
        <f>(N4146+P4146*R4146/1000)*U4146*W4146*Y4146</f>
        <v>0</v>
      </c>
    </row>
    <row r="4149">
      <c r="A4149" t="str">
        <f>A4134</f>
        <v>Lantai 1</v>
      </c>
      <c r="B4149">
        <f>B4134</f>
        <v>41</v>
      </c>
      <c r="C4149" t="str">
        <v>Tul Bawah Tumpuan</v>
      </c>
      <c r="D4149">
        <f>VLOOKUP(D4134,'Detail Balok'!$C$10:$AU$110,22,FALSE)</f>
        <v>2</v>
      </c>
      <c r="E4149" t="str">
        <v>D</v>
      </c>
      <c r="F4149">
        <f>VLOOKUP(D4134,'Detail Balok'!$C$10:$AU$110,24,FALSE)</f>
        <v>13</v>
      </c>
      <c r="I4149" t="str">
        <v>(</v>
      </c>
      <c r="J4149">
        <f>+J4141</f>
        <v>0.84625</v>
      </c>
      <c r="K4149" t="str">
        <v>+</v>
      </c>
      <c r="L4149">
        <f>MAX(VLOOKUP(F4149,N$6:P$15,3,FALSE)/1000,2/3*D4139/1000)+F$16*F4149/1000</f>
        <v>0.156</v>
      </c>
      <c r="M4149" t="str">
        <v>=</v>
      </c>
      <c r="N4149">
        <f>J4149+L4149</f>
        <v>1.0022499999999999</v>
      </c>
      <c r="O4149" t="str">
        <v>+</v>
      </c>
      <c r="P4149">
        <f>D4149-D4150</f>
        <v>0</v>
      </c>
      <c r="Q4149" t="str">
        <v>x</v>
      </c>
      <c r="R4149">
        <f>IF(P4149&gt;0,$F$18*F4149/1000,0)</f>
        <v>0</v>
      </c>
      <c r="S4149" t="str">
        <v>)</v>
      </c>
      <c r="T4149" t="str">
        <v>x</v>
      </c>
      <c r="U4149">
        <f>0.006165*F4149^2</f>
        <v>1.041885</v>
      </c>
      <c r="X4149" t="str">
        <v>x</v>
      </c>
      <c r="Y4149">
        <f>D4140</f>
        <v>1</v>
      </c>
      <c r="Z4149" t="str">
        <v>=</v>
      </c>
      <c r="AA4149">
        <f>IF(AA4152=0,(D4149*N4149+P4149*R4149)*U4149*Y4149,0)</f>
        <v>0</v>
      </c>
    </row>
    <row r="4150">
      <c r="A4150" t="str">
        <f>A4134</f>
        <v>Lantai 1</v>
      </c>
      <c r="B4150">
        <f>B4134</f>
        <v>41</v>
      </c>
      <c r="C4150" t="str">
        <v>Tul Bawah Lapangan</v>
      </c>
      <c r="D4150">
        <f>VLOOKUP(D4134,'Detail Balok'!$C$10:$AU$110,25,FALSE)</f>
        <v>2</v>
      </c>
      <c r="E4150" t="str">
        <v>D</v>
      </c>
      <c r="F4150">
        <f>VLOOKUP(D4134,'Detail Balok'!$C$10:$AU$110,27,FALSE)</f>
        <v>13</v>
      </c>
      <c r="I4150" t="str">
        <v>(</v>
      </c>
      <c r="J4150">
        <f>+J4142</f>
        <v>1.6925</v>
      </c>
      <c r="K4150" t="str">
        <v>+</v>
      </c>
      <c r="M4150" t="str">
        <v>=</v>
      </c>
      <c r="N4150">
        <f>J4150+L4150</f>
        <v>1.6925</v>
      </c>
      <c r="O4150" t="str">
        <v>+</v>
      </c>
      <c r="P4150">
        <f>MAX(D4150-D4149,D4150-D4151)</f>
        <v>0</v>
      </c>
      <c r="Q4150" t="str">
        <v>x</v>
      </c>
      <c r="R4150">
        <f>IF(P4150&gt;0,2*(1-2*$F$19-1/2)*D4137/1000,0)</f>
        <v>0</v>
      </c>
      <c r="S4150" t="str">
        <v>)</v>
      </c>
      <c r="T4150" t="str">
        <v>x</v>
      </c>
      <c r="U4150">
        <f>0.006165*F4150^2</f>
        <v>1.041885</v>
      </c>
      <c r="X4150" t="str">
        <v>x</v>
      </c>
      <c r="Y4150">
        <f>D4140</f>
        <v>1</v>
      </c>
      <c r="Z4150" t="str">
        <v>=</v>
      </c>
      <c r="AA4150">
        <f>IF(AA4152=0,(D4150*N4150+P4150*R4150)*U4150*Y4150,0)</f>
        <v>0</v>
      </c>
    </row>
    <row r="4151">
      <c r="A4151" t="str">
        <f>A4134</f>
        <v>Lantai 1</v>
      </c>
      <c r="B4151">
        <f>B4134</f>
        <v>41</v>
      </c>
      <c r="C4151" t="str">
        <v>Tul Bawah Tumpuan</v>
      </c>
      <c r="D4151">
        <f>VLOOKUP(D4134,'Detail Balok'!$C$10:$AU$110,28,FALSE)</f>
        <v>2</v>
      </c>
      <c r="E4151" t="str">
        <v>D</v>
      </c>
      <c r="F4151">
        <f>VLOOKUP(D4134,'Detail Balok'!$C$10:$AU$110,30,FALSE)</f>
        <v>13</v>
      </c>
      <c r="I4151" t="str">
        <v>(</v>
      </c>
      <c r="J4151">
        <f>+J4143</f>
        <v>0.84625</v>
      </c>
      <c r="K4151" t="str">
        <v>+</v>
      </c>
      <c r="L4151">
        <f>MAX(VLOOKUP(F4151,N$6:P$15,3,FALSE)/1000,2/3*D4139/1000)+F$16*F4151/1000</f>
        <v>0.156</v>
      </c>
      <c r="M4151" t="str">
        <v>=</v>
      </c>
      <c r="N4151">
        <f>J4151+L4151</f>
        <v>1.0022499999999999</v>
      </c>
      <c r="O4151" t="str">
        <v>+</v>
      </c>
      <c r="P4151">
        <f>D4151-D4150</f>
        <v>0</v>
      </c>
      <c r="Q4151" t="str">
        <v>x</v>
      </c>
      <c r="R4151">
        <f>IF(P4151&gt;0,$F$18*F4151/1000,0)</f>
        <v>0</v>
      </c>
      <c r="S4151" t="str">
        <v>)</v>
      </c>
      <c r="T4151" t="str">
        <v>x</v>
      </c>
      <c r="U4151">
        <f>0.006165*F4151^2</f>
        <v>1.041885</v>
      </c>
      <c r="X4151" t="str">
        <v>x</v>
      </c>
      <c r="Y4151">
        <f>D4140</f>
        <v>1</v>
      </c>
      <c r="Z4151" t="str">
        <v>=</v>
      </c>
      <c r="AA4151">
        <f>IF(AA4152=0,(D4151*N4151+P4151*R4151)*U4151*Y4151,0)</f>
        <v>0</v>
      </c>
    </row>
    <row r="4152">
      <c r="A4152" t="str">
        <f>A4134</f>
        <v>Lantai 1</v>
      </c>
      <c r="B4152">
        <f>B4134</f>
        <v>41</v>
      </c>
      <c r="D4152">
        <f>IF(AND(D4149=D4150,D4150=D4151,D4149=D4151),D4149,0)</f>
        <v>2</v>
      </c>
      <c r="E4152" t="str">
        <v>D</v>
      </c>
      <c r="F4152">
        <f>IF(AND(F4149=F4150,F4149=F4151,F4150=F4151),F4149,0)</f>
        <v>13</v>
      </c>
      <c r="L4152" t="str">
        <v>Total panjang per balok</v>
      </c>
      <c r="M4152" t="str">
        <v>=</v>
      </c>
      <c r="N4152">
        <f>IF(AND(D4149=D4150,D4149=D4151,D4150=D4151,F4149=F4150,F4149=F4151,F4150=F4151),SUM(N4149:N4151),0)</f>
        <v>3.697</v>
      </c>
      <c r="O4152" t="str">
        <v>+</v>
      </c>
      <c r="P4152">
        <f>IF(N4152&gt;12,ROUNDDOWN(N4152/12,0),0)</f>
        <v>0</v>
      </c>
      <c r="Q4152" t="str">
        <v>x</v>
      </c>
      <c r="R4152">
        <f>IF(P4152&gt;0,MAX(VLOOKUP(F4152,$D$6:$G$15,3,FALSE),600),0)/1000</f>
        <v>0</v>
      </c>
      <c r="T4152" t="str">
        <v>x</v>
      </c>
      <c r="U4152">
        <f>U4151</f>
        <v>1.041885</v>
      </c>
      <c r="V4152" t="str">
        <v>x</v>
      </c>
      <c r="W4152">
        <f>D4152</f>
        <v>2</v>
      </c>
      <c r="X4152" t="str">
        <v>x</v>
      </c>
      <c r="Y4152">
        <f>Y4151</f>
        <v>1</v>
      </c>
      <c r="Z4152" t="str">
        <v>=</v>
      </c>
      <c r="AA4152">
        <f>(N4152+P4152*R4152/1000)*U4152*W4152*Y4152</f>
        <v>7.703697689999999</v>
      </c>
    </row>
    <row r="4154">
      <c r="A4154" t="str">
        <f>A4134</f>
        <v>Lantai 1</v>
      </c>
      <c r="B4154">
        <f>B4134</f>
        <v>41</v>
      </c>
      <c r="C4154" t="str">
        <v>Sengkang Tumpuan</v>
      </c>
      <c r="D4154">
        <f>VLOOKUP(D4134,'Detail Balok'!$C$10:$AU$110,31,FALSE)</f>
        <v>0</v>
      </c>
      <c r="E4154" t="str">
        <v>D</v>
      </c>
      <c r="F4154">
        <f>VLOOKUP(D4134,'Detail Balok'!$C$10:$AU$110,33,FALSE)</f>
        <v>8</v>
      </c>
      <c r="G4154" t="str">
        <v>-</v>
      </c>
      <c r="H4154">
        <f>VLOOKUP(D4134,'Detail Balok'!$C$10:$AU$110,35,FALSE)</f>
        <v>100</v>
      </c>
      <c r="J4154">
        <f>(IF(D4154=0,(2*(D4135+G4135))-(F$5*8),IF(D4154=3,(2*(D4135+G4135))-(F$5*8)+(G4135-2*F$5),IF(D4154=4,(2*(D4135+G4135))-(F$5*8)+2*(G4135-2*F$5)))))/1000</f>
        <v>0.88</v>
      </c>
      <c r="K4154" t="str">
        <v>+</v>
      </c>
      <c r="L4154">
        <f>IF(D4154=0,2*MAX(6*F4154,75),(D4154-1)*2*MAX(6*F4154,75))/1000</f>
        <v>0.15</v>
      </c>
      <c r="M4154" t="str">
        <v>=</v>
      </c>
      <c r="N4154">
        <f>J4154+L4154</f>
        <v>1.03</v>
      </c>
      <c r="T4154" t="str">
        <v>x</v>
      </c>
      <c r="U4154">
        <f>0.006165*F4154^2</f>
        <v>0.39456</v>
      </c>
      <c r="V4154" t="str">
        <v>x</v>
      </c>
      <c r="W4154">
        <f>IF(D4137&gt;4*G4135,ROUND(MAX(D4137/4,2*G4135)/H4154,0)+1,ROUND(D4137/H4154,0)+1)</f>
        <v>9</v>
      </c>
      <c r="X4154" t="str">
        <v>x</v>
      </c>
      <c r="Y4154">
        <f>D4140</f>
        <v>1</v>
      </c>
      <c r="Z4154" t="str">
        <v>=</v>
      </c>
      <c r="AA4154">
        <f>N4154*U4154*W4154*Y4154</f>
        <v>3.6575712000000005</v>
      </c>
    </row>
    <row r="4155">
      <c r="A4155" t="str">
        <f>A4134</f>
        <v>Lantai 1</v>
      </c>
      <c r="B4155">
        <f>B4134</f>
        <v>41</v>
      </c>
      <c r="C4155" t="str">
        <v>Sengkang Lapangan</v>
      </c>
      <c r="D4155">
        <f>VLOOKUP(D4134,'Detail Balok'!$C$10:$AU$110,36,FALSE)</f>
        <v>0</v>
      </c>
      <c r="E4155" t="str">
        <v>D</v>
      </c>
      <c r="F4155">
        <f>VLOOKUP(D4134,'Detail Balok'!$C$10:$AU$110,38,FALSE)</f>
        <v>8</v>
      </c>
      <c r="G4155" t="str">
        <v>-</v>
      </c>
      <c r="H4155">
        <f>VLOOKUP(D4134,'Detail Balok'!$C$10:$AU$110,40,FALSE)</f>
        <v>200</v>
      </c>
      <c r="J4155">
        <f>(IF(D4155=0,(2*(D4135+G4135))-(F$5*8),IF(D4155=3,(2*(D4135+G4135))-(F$5*8)+(G4135-2*F$5),IF(D4155=4,(2*(D4135+G4135))-(F$5*8)+2*(G4135-2*F$5)))))/1000</f>
        <v>0.88</v>
      </c>
      <c r="K4155" t="str">
        <v>+</v>
      </c>
      <c r="L4155">
        <f>IF(D4155=0,2*MAX(6*F4155,75),(D4155-1)*2*MAX(6*F4155,75))/1000</f>
        <v>0.15</v>
      </c>
      <c r="M4155" t="str">
        <v>=</v>
      </c>
      <c r="N4155">
        <f>J4155+L4155</f>
        <v>1.03</v>
      </c>
      <c r="T4155" t="str">
        <v>x</v>
      </c>
      <c r="U4155">
        <f>0.006165*F4155^2</f>
        <v>0.39456</v>
      </c>
      <c r="V4155" t="str">
        <v>x</v>
      </c>
      <c r="W4155">
        <f>IF(D4137-MAX(D4137/4,2*G4135)*2&gt;0,ROUND((D4137-MAX(D4137/4,2*G4135)*2)/H4155,0),0)</f>
        <v>8</v>
      </c>
      <c r="X4155" t="str">
        <v>x</v>
      </c>
      <c r="Y4155">
        <f>D4140</f>
        <v>1</v>
      </c>
      <c r="Z4155" t="str">
        <v>=</v>
      </c>
      <c r="AA4155">
        <f>N4155*U4155*W4155*Y4155</f>
        <v>3.2511744000000005</v>
      </c>
    </row>
    <row r="4156">
      <c r="A4156" t="str">
        <f>A4134</f>
        <v>Lantai 1</v>
      </c>
      <c r="B4156">
        <f>B4134</f>
        <v>41</v>
      </c>
      <c r="C4156" t="str">
        <v>Sengkang Tumpuan</v>
      </c>
      <c r="D4156">
        <f>VLOOKUP(D4134,'Detail Balok'!$C$10:$AU$110,41,FALSE)</f>
        <v>0</v>
      </c>
      <c r="E4156" t="str">
        <v>D</v>
      </c>
      <c r="F4156">
        <f>VLOOKUP(D4134,'Detail Balok'!$C$10:$AU$110,43,FALSE)</f>
        <v>8</v>
      </c>
      <c r="G4156" t="str">
        <v>-</v>
      </c>
      <c r="H4156">
        <f>VLOOKUP(D4134,'Detail Balok'!$C$10:$AU$110,45,FALSE)</f>
        <v>100</v>
      </c>
      <c r="J4156">
        <f>(IF(D4156=0,(2*(D4135+G4135))-(F$5*8),IF(D4156=3,(2*(D4135+G4135))-(F$5*8)+(G4135-2*F$5),IF(D4156=4,(2*(D4135+G4135))-(F$5*8)+2*(G4135-2*F$5)))))/1000</f>
        <v>0.88</v>
      </c>
      <c r="K4156" t="str">
        <v>+</v>
      </c>
      <c r="L4156">
        <f>IF(D4156=0,2*MAX(6*F4156,75),(D4156-1)*2*MAX(6*F4156,75))/1000</f>
        <v>0.15</v>
      </c>
      <c r="M4156" t="str">
        <v>=</v>
      </c>
      <c r="N4156">
        <f>J4156+L4156</f>
        <v>1.03</v>
      </c>
      <c r="T4156" t="str">
        <v>x</v>
      </c>
      <c r="U4156">
        <f>0.006165*F4156^2</f>
        <v>0.39456</v>
      </c>
      <c r="V4156" t="str">
        <v>x</v>
      </c>
      <c r="W4156">
        <f>IF(D4137&gt;4*G4135,ROUND(MAX(D4137/4,2*G4135)/H4156,0)+1,0)</f>
        <v>9</v>
      </c>
      <c r="X4156" t="str">
        <v>x</v>
      </c>
      <c r="Y4156">
        <f>D4140</f>
        <v>1</v>
      </c>
      <c r="Z4156" t="str">
        <v>=</v>
      </c>
      <c r="AA4156">
        <f>N4156*U4156*W4156*Y4156</f>
        <v>3.6575712000000005</v>
      </c>
    </row>
    <row r="4158">
      <c r="A4158" t="str">
        <f>A4134</f>
        <v>Lantai 1</v>
      </c>
      <c r="B4158">
        <f>B4134</f>
        <v>41</v>
      </c>
      <c r="C4158" t="str">
        <v>Kait Horizontal Tump.</v>
      </c>
      <c r="D4158">
        <f>VLOOKUP(D4134,'Detail Balok'!$C$10:$BJ$110,46,FALSE)</f>
        <v>0</v>
      </c>
      <c r="E4158" t="str">
        <v>D</v>
      </c>
      <c r="F4158">
        <f>VLOOKUP(D4134,'Detail Balok'!$C$10:$BJ$110,48,FALSE)</f>
        <v>0</v>
      </c>
      <c r="G4158" t="str">
        <v>-</v>
      </c>
      <c r="H4158">
        <f>VLOOKUP(D4134,'Detail Balok'!$C$10:$BJ$110,50,FALSE)</f>
        <v>100</v>
      </c>
      <c r="J4158">
        <f>(D4135-2*F$5)/1000</f>
        <v>0.12</v>
      </c>
      <c r="K4158" t="str">
        <v>+</v>
      </c>
      <c r="L4158">
        <f>IF(D4158=0,2*MAX(6*F4158,75),(D4158-1)*2*MAX(6*F4158,75))/1000</f>
        <v>0.15</v>
      </c>
      <c r="M4158" t="str">
        <v>=</v>
      </c>
      <c r="N4158">
        <f>J4158+L4158</f>
        <v>0.27</v>
      </c>
      <c r="T4158" t="str">
        <v>x</v>
      </c>
      <c r="U4158">
        <f>0.006165*F4158^2</f>
        <v>0</v>
      </c>
      <c r="V4158" t="str">
        <v>x</v>
      </c>
      <c r="W4158">
        <f>W4154</f>
        <v>9</v>
      </c>
      <c r="X4158" t="str">
        <v>x</v>
      </c>
      <c r="Y4158">
        <f>D4144</f>
        <v>2</v>
      </c>
      <c r="Z4158" t="str">
        <v>=</v>
      </c>
      <c r="AA4158">
        <f>N4158*U4158*W4158*Y4158</f>
        <v>0</v>
      </c>
    </row>
    <row r="4159">
      <c r="A4159" t="str">
        <f>A4134</f>
        <v>Lantai 1</v>
      </c>
      <c r="B4159">
        <f>B4134</f>
        <v>41</v>
      </c>
      <c r="C4159" t="str">
        <v>Kait Horizontal Lap.</v>
      </c>
      <c r="D4159">
        <f>VLOOKUP(D4134,'Detail Balok'!$C$10:$BJ$110,51,FALSE)</f>
        <v>0</v>
      </c>
      <c r="E4159" t="str">
        <v>D</v>
      </c>
      <c r="F4159">
        <f>VLOOKUP(D4134,'Detail Balok'!$C$10:$BJ$110,53,FALSE)</f>
        <v>0</v>
      </c>
      <c r="G4159" t="str">
        <v>-</v>
      </c>
      <c r="H4159">
        <f>VLOOKUP(D4134,'Detail Balok'!$C$10:$BJ$110,55,FALSE)</f>
        <v>100</v>
      </c>
      <c r="J4159">
        <f>(D4135-2*F$5)/1000</f>
        <v>0.12</v>
      </c>
      <c r="K4159" t="str">
        <v>+</v>
      </c>
      <c r="L4159">
        <f>IF(D4159=0,2*MAX(6*F4159,75),(D4159-1)*2*MAX(6*F4159,75))/1000</f>
        <v>0.15</v>
      </c>
      <c r="M4159" t="str">
        <v>=</v>
      </c>
      <c r="N4159">
        <f>J4159+L4159</f>
        <v>0.27</v>
      </c>
      <c r="T4159" t="str">
        <v>x</v>
      </c>
      <c r="U4159">
        <f>0.006165*F4159^2</f>
        <v>0</v>
      </c>
      <c r="V4159" t="str">
        <v>x</v>
      </c>
      <c r="W4159">
        <f>W4155</f>
        <v>8</v>
      </c>
      <c r="X4159" t="str">
        <v>x</v>
      </c>
      <c r="Y4159">
        <f>D4144</f>
        <v>2</v>
      </c>
      <c r="Z4159" t="str">
        <v>=</v>
      </c>
      <c r="AA4159">
        <f>N4159*U4159*W4159*Y4159</f>
        <v>0</v>
      </c>
    </row>
    <row r="4160">
      <c r="A4160" t="str">
        <f>A4134</f>
        <v>Lantai 1</v>
      </c>
      <c r="B4160">
        <f>B4134</f>
        <v>41</v>
      </c>
      <c r="C4160" t="str">
        <v>Kait Horizontal Tump.</v>
      </c>
      <c r="D4160">
        <f>VLOOKUP(D4134,'Detail Balok'!$C$10:$BJ$110,56,FALSE)</f>
        <v>0</v>
      </c>
      <c r="E4160" t="str">
        <v>D</v>
      </c>
      <c r="F4160">
        <f>VLOOKUP(D4134,'Detail Balok'!$C$10:$BJ$110,58,FALSE)</f>
        <v>0</v>
      </c>
      <c r="G4160" t="str">
        <v>-</v>
      </c>
      <c r="H4160">
        <f>VLOOKUP(D4134,'Detail Balok'!$C$10:$BJ$110,60,FALSE)</f>
        <v>100</v>
      </c>
      <c r="J4160">
        <f>(D4135-2*F$5)/1000</f>
        <v>0.12</v>
      </c>
      <c r="K4160" t="str">
        <v>+</v>
      </c>
      <c r="L4160">
        <f>IF(D4160=0,2*MAX(6*F4160,75),(D4160-1)*2*MAX(6*F4160,75))/1000</f>
        <v>0.15</v>
      </c>
      <c r="M4160" t="str">
        <v>=</v>
      </c>
      <c r="N4160">
        <f>J4160+L4160</f>
        <v>0.27</v>
      </c>
      <c r="T4160" t="str">
        <v>x</v>
      </c>
      <c r="U4160">
        <f>0.006165*F4160^2</f>
        <v>0</v>
      </c>
      <c r="V4160" t="str">
        <v>x</v>
      </c>
      <c r="W4160">
        <f>W4156</f>
        <v>9</v>
      </c>
      <c r="X4160" t="str">
        <v>x</v>
      </c>
      <c r="Y4160">
        <f>D4144</f>
        <v>2</v>
      </c>
      <c r="Z4160" t="str">
        <v>=</v>
      </c>
      <c r="AA4160">
        <f>N4160*U4160*W4160*Y4160</f>
        <v>0</v>
      </c>
    </row>
    <row r="4164">
      <c r="A4164" t="str">
        <f>A4134</f>
        <v>Lantai 1</v>
      </c>
      <c r="B4164">
        <f>B4134+1</f>
        <v>42</v>
      </c>
      <c r="C4164" t="str">
        <f>CONCATENATE(A4164," no. ",B4164)</f>
        <v>Lantai 1 no. 42</v>
      </c>
      <c r="D4164" t="str">
        <f>VLOOKUP(C4164,'Data Panjang Balok'!$C$9:$N$424,2,FALSE)</f>
        <v>B245-4</v>
      </c>
    </row>
    <row r="4165">
      <c r="C4165" t="str">
        <v>Dimensi</v>
      </c>
      <c r="D4165">
        <f>VLOOKUP(D4164,'Detail Balok'!$C$10:$AU$110,2,FALSE)</f>
        <v>200</v>
      </c>
      <c r="F4165" t="str">
        <v>x</v>
      </c>
      <c r="G4165">
        <f>VLOOKUP(D4164,'Detail Balok'!$C$10:$AU$110,3,FALSE)</f>
        <v>450</v>
      </c>
    </row>
    <row r="4166">
      <c r="C4166" t="str">
        <v>Panjang as ke as</v>
      </c>
      <c r="D4166">
        <f>VLOOKUP(C4164,'Data Panjang Balok'!$C$9:$N$424,4,FALSE)</f>
        <v>7100</v>
      </c>
    </row>
    <row r="4167">
      <c r="C4167" t="str">
        <v>Panjang netto</v>
      </c>
      <c r="D4167">
        <f>VLOOKUP(C4164,'Data Panjang Balok'!$C$9:$N$424,7,FALSE)</f>
        <v>7100</v>
      </c>
    </row>
    <row r="4168">
      <c r="C4168" t="str">
        <v>Kolom / balok kiri</v>
      </c>
      <c r="D4168">
        <f>VLOOKUP(C4164,'Data Panjang Balok'!$C$9:$N$424,9,FALSE)</f>
        <v>0</v>
      </c>
    </row>
    <row r="4169">
      <c r="C4169" t="str">
        <v>Kolom / balok kanan</v>
      </c>
      <c r="D4169">
        <f>VLOOKUP(C4164,'Data Panjang Balok'!$C$9:$N$424,10,FALSE)</f>
        <v>0</v>
      </c>
    </row>
    <row r="4170">
      <c r="C4170" t="str">
        <v>Jumlah</v>
      </c>
      <c r="D4170">
        <f>VLOOKUP(C4164,'Data Panjang Balok'!$C$9:$N$424,3,FALSE)</f>
        <v>1</v>
      </c>
    </row>
    <row r="4171">
      <c r="A4171" t="str">
        <f>A4164</f>
        <v>Lantai 1</v>
      </c>
      <c r="B4171">
        <f>B4164</f>
        <v>42</v>
      </c>
      <c r="C4171" t="str">
        <v>Tul Atas Tumpuan</v>
      </c>
      <c r="D4171">
        <f>VLOOKUP(D4164,'Detail Balok'!$C$10:$AU$110,4,FALSE)</f>
        <v>3</v>
      </c>
      <c r="E4171" t="str">
        <v>D</v>
      </c>
      <c r="F4171">
        <f>VLOOKUP(D4164,'Detail Balok'!$C$10:$AU$110,6,FALSE)</f>
        <v>16</v>
      </c>
      <c r="I4171" t="str">
        <v>(</v>
      </c>
      <c r="J4171">
        <f>+D4166/4/1000</f>
        <v>1.775</v>
      </c>
      <c r="K4171" t="str">
        <v>+</v>
      </c>
      <c r="L4171">
        <f>MAX(VLOOKUP(F4171,N$6:P$15,3,FALSE)/1000,2/3*D4168/1000)+F$16*F4171/1000</f>
        <v>0.192</v>
      </c>
      <c r="M4171" t="str">
        <v>=</v>
      </c>
      <c r="N4171">
        <f>J4171+L4171</f>
        <v>1.9669999999999999</v>
      </c>
      <c r="O4171" t="str">
        <v>+</v>
      </c>
      <c r="P4171">
        <f>D4171-D4172</f>
        <v>0</v>
      </c>
      <c r="Q4171" t="str">
        <v>x</v>
      </c>
      <c r="R4171">
        <f>IF(P4171&gt;0,$F$18*F4171/1000,0)</f>
        <v>0</v>
      </c>
      <c r="S4171" t="str">
        <v>)</v>
      </c>
      <c r="T4171" t="str">
        <v>x</v>
      </c>
      <c r="U4171">
        <f>0.006165*F4171^2</f>
        <v>1.57824</v>
      </c>
      <c r="X4171" t="str">
        <v>x</v>
      </c>
      <c r="Y4171">
        <f>D4170</f>
        <v>1</v>
      </c>
      <c r="Z4171" t="str">
        <v>=</v>
      </c>
      <c r="AA4171">
        <f>IF(AA4174=0,(D4171*N4171+P4171*R4171)*U4171*Y4171,0)</f>
        <v>0</v>
      </c>
    </row>
    <row r="4172">
      <c r="A4172" t="str">
        <f>A4164</f>
        <v>Lantai 1</v>
      </c>
      <c r="B4172">
        <f>B4164</f>
        <v>42</v>
      </c>
      <c r="C4172" t="str">
        <v>Tul Atas Lapangan</v>
      </c>
      <c r="D4172">
        <f>VLOOKUP(D4164,'Detail Balok'!$C$10:$AU$110,7,FALSE)</f>
        <v>3</v>
      </c>
      <c r="E4172" t="str">
        <v>D</v>
      </c>
      <c r="F4172">
        <f>VLOOKUP(D4164,'Detail Balok'!$C$10:$AU$110,9,FALSE)</f>
        <v>16</v>
      </c>
      <c r="I4172" t="str">
        <v>(</v>
      </c>
      <c r="J4172">
        <f>+D4166/2/1000</f>
        <v>3.55</v>
      </c>
      <c r="K4172" t="str">
        <v>+</v>
      </c>
      <c r="M4172" t="str">
        <v>=</v>
      </c>
      <c r="N4172">
        <f>J4172+L4172</f>
        <v>3.55</v>
      </c>
      <c r="O4172" t="str">
        <v>+</v>
      </c>
      <c r="P4172">
        <f>MAX(D4172-D4171,D4172-D4173)</f>
        <v>0</v>
      </c>
      <c r="Q4172" t="str">
        <v>x</v>
      </c>
      <c r="R4172">
        <f>IF(P4172&gt;0,2*(1-2*$F$19-1/2)*D4167/1000,0)</f>
        <v>0</v>
      </c>
      <c r="S4172" t="str">
        <v>)</v>
      </c>
      <c r="T4172" t="str">
        <v>x</v>
      </c>
      <c r="U4172">
        <f>0.006165*F4172^2</f>
        <v>1.57824</v>
      </c>
      <c r="X4172" t="str">
        <v>x</v>
      </c>
      <c r="Y4172">
        <f>D4170</f>
        <v>1</v>
      </c>
      <c r="Z4172" t="str">
        <v>=</v>
      </c>
      <c r="AA4172">
        <f>IF(AA4174=0,(D4172*N4172+P4172*R4172)*U4172*Y4172,0)</f>
        <v>0</v>
      </c>
    </row>
    <row r="4173">
      <c r="A4173" t="str">
        <f>A4164</f>
        <v>Lantai 1</v>
      </c>
      <c r="B4173">
        <f>B4164</f>
        <v>42</v>
      </c>
      <c r="C4173" t="str">
        <v>Tul Atas Tumpuan</v>
      </c>
      <c r="D4173">
        <f>VLOOKUP(D4164,'Detail Balok'!$C$10:$AU$110,10,FALSE)</f>
        <v>3</v>
      </c>
      <c r="E4173" t="str">
        <v>D</v>
      </c>
      <c r="F4173">
        <f>VLOOKUP(D4164,'Detail Balok'!$C$10:$AU$110,12,FALSE)</f>
        <v>16</v>
      </c>
      <c r="I4173" t="str">
        <v>(</v>
      </c>
      <c r="J4173">
        <f>+D4166/4/1000</f>
        <v>1.775</v>
      </c>
      <c r="K4173" t="str">
        <v>+</v>
      </c>
      <c r="L4173">
        <f>MAX(VLOOKUP(F4173,N$6:P$15,3,FALSE)/1000,2/3*D4168/1000)+F$16*F4173/1000</f>
        <v>0.192</v>
      </c>
      <c r="M4173" t="str">
        <v>=</v>
      </c>
      <c r="N4173">
        <f>J4173+L4173</f>
        <v>1.9669999999999999</v>
      </c>
      <c r="O4173" t="str">
        <v>+</v>
      </c>
      <c r="P4173">
        <f>D4173-D4172</f>
        <v>0</v>
      </c>
      <c r="Q4173" t="str">
        <v>x</v>
      </c>
      <c r="R4173">
        <f>IF(P4173&gt;0,$F$18*F4173/1000,0)</f>
        <v>0</v>
      </c>
      <c r="S4173" t="str">
        <v>)</v>
      </c>
      <c r="T4173" t="str">
        <v>x</v>
      </c>
      <c r="U4173">
        <f>0.006165*F4173^2</f>
        <v>1.57824</v>
      </c>
      <c r="X4173" t="str">
        <v>x</v>
      </c>
      <c r="Y4173">
        <f>D4170</f>
        <v>1</v>
      </c>
      <c r="Z4173" t="str">
        <v>=</v>
      </c>
      <c r="AA4173">
        <f>IF(AA4174=0,(D4173*N4173+P4173*R4173)*U4173*Y4173,0)</f>
        <v>0</v>
      </c>
    </row>
    <row r="4174">
      <c r="A4174" t="str">
        <f>A4164</f>
        <v>Lantai 1</v>
      </c>
      <c r="B4174">
        <f>B4164</f>
        <v>42</v>
      </c>
      <c r="D4174">
        <f>IF(AND(D4171=D4172,D4172=D4173,D4171=D4173),D4171,0)</f>
        <v>3</v>
      </c>
      <c r="E4174" t="str">
        <v>D</v>
      </c>
      <c r="F4174">
        <f>IF(AND(F4171=F4172,F4171=F4173,F4172=F4173),F4171,0)</f>
        <v>16</v>
      </c>
      <c r="L4174" t="str">
        <v>Total panjang per balok</v>
      </c>
      <c r="M4174" t="str">
        <v>=</v>
      </c>
      <c r="N4174">
        <f>IF(AND(D4171=D4172,D4171=D4173,D4172=D4173,F4171=F4172,F4171=F4173,F4172=F4173),SUM(N4171:N4173),0)</f>
        <v>7.483999999999999</v>
      </c>
      <c r="O4174" t="str">
        <v>+</v>
      </c>
      <c r="P4174">
        <f>IF(N4174&gt;12,ROUNDDOWN(N4174/12,0),0)</f>
        <v>0</v>
      </c>
      <c r="Q4174" t="str">
        <v>x</v>
      </c>
      <c r="R4174">
        <f>IF(P4174&gt;0,MAX(VLOOKUP(F4174,$D$6:$G$15,3,FALSE),600),0)/1000</f>
        <v>0</v>
      </c>
      <c r="T4174" t="str">
        <v>x</v>
      </c>
      <c r="U4174">
        <f>U4173</f>
        <v>1.57824</v>
      </c>
      <c r="V4174" t="str">
        <v>x</v>
      </c>
      <c r="W4174">
        <f>D4174</f>
        <v>3</v>
      </c>
      <c r="X4174" t="str">
        <v>x</v>
      </c>
      <c r="Y4174">
        <f>Y4173</f>
        <v>1</v>
      </c>
      <c r="Z4174" t="str">
        <v>=</v>
      </c>
      <c r="AA4174">
        <f>(N4174+P4174*R4174/1000)*U4174*W4174*Y4174</f>
        <v>35.434644479999996</v>
      </c>
    </row>
    <row r="4176">
      <c r="A4176" t="str">
        <f>A4164</f>
        <v>Lantai 1</v>
      </c>
      <c r="B4176">
        <f>B4164</f>
        <v>42</v>
      </c>
      <c r="C4176" t="str">
        <v>Tul Peminggang</v>
      </c>
      <c r="D4176">
        <f>VLOOKUP(D4164,'Detail Balok'!$C$10:$AU$110,13,FALSE)</f>
        <v>2</v>
      </c>
      <c r="E4176" t="str">
        <v>D</v>
      </c>
      <c r="F4176">
        <f>VLOOKUP(D4164,'Detail Balok'!$C$10:$AU$110,15,FALSE)</f>
        <v>8</v>
      </c>
      <c r="J4176">
        <f>+D4166/1000</f>
        <v>7.1</v>
      </c>
      <c r="K4176" t="str">
        <v>+</v>
      </c>
      <c r="L4176">
        <f>2*$F$16*F4176/1000</f>
        <v>0.192</v>
      </c>
      <c r="M4176" t="str">
        <v>=</v>
      </c>
      <c r="N4176">
        <f>J4176+L4176</f>
        <v>7.292</v>
      </c>
      <c r="O4176" t="str">
        <v>+</v>
      </c>
      <c r="P4176">
        <f>IF(N4176&gt;12,ROUNDDOWN(N4176/12,0),0)</f>
        <v>0</v>
      </c>
      <c r="Q4176" t="str">
        <v>x</v>
      </c>
      <c r="R4176">
        <f>IF(P4176&gt;0,MAX(VLOOKUP(F4176,$D$6:$G$15,3,FALSE),600),0)/1000</f>
        <v>0</v>
      </c>
      <c r="T4176" t="str">
        <v>x</v>
      </c>
      <c r="U4176">
        <f>0.006165*F4176^2</f>
        <v>0.39456</v>
      </c>
      <c r="V4176" t="str">
        <v>x</v>
      </c>
      <c r="W4176">
        <f>+D4176</f>
        <v>2</v>
      </c>
      <c r="X4176" t="str">
        <v>x</v>
      </c>
      <c r="Y4176">
        <f>D4170</f>
        <v>1</v>
      </c>
      <c r="Z4176" t="str">
        <v>=</v>
      </c>
      <c r="AA4176">
        <f>(N4176+P4176*R4176/1000)*U4176*W4176*Y4176</f>
        <v>5.7542630400000006</v>
      </c>
    </row>
    <row r="4179">
      <c r="A4179" t="str">
        <f>A4164</f>
        <v>Lantai 1</v>
      </c>
      <c r="B4179">
        <f>B4164</f>
        <v>42</v>
      </c>
      <c r="C4179" t="str">
        <v>Tul Bawah Tumpuan</v>
      </c>
      <c r="D4179">
        <f>VLOOKUP(D4164,'Detail Balok'!$C$10:$AU$110,22,FALSE)</f>
        <v>3</v>
      </c>
      <c r="E4179" t="str">
        <v>D</v>
      </c>
      <c r="F4179">
        <f>VLOOKUP(D4164,'Detail Balok'!$C$10:$AU$110,24,FALSE)</f>
        <v>16</v>
      </c>
      <c r="I4179" t="str">
        <v>(</v>
      </c>
      <c r="J4179">
        <f>+J4171</f>
        <v>1.775</v>
      </c>
      <c r="K4179" t="str">
        <v>+</v>
      </c>
      <c r="L4179">
        <f>MAX(VLOOKUP(F4179,N$6:P$15,3,FALSE)/1000,2/3*D4169/1000)+F$16*F4179/1000</f>
        <v>0.192</v>
      </c>
      <c r="M4179" t="str">
        <v>=</v>
      </c>
      <c r="N4179">
        <f>J4179+L4179</f>
        <v>1.9669999999999999</v>
      </c>
      <c r="O4179" t="str">
        <v>+</v>
      </c>
      <c r="P4179">
        <f>D4179-D4180</f>
        <v>0</v>
      </c>
      <c r="Q4179" t="str">
        <v>x</v>
      </c>
      <c r="R4179">
        <f>IF(P4179&gt;0,$F$18*F4179/1000,0)</f>
        <v>0</v>
      </c>
      <c r="S4179" t="str">
        <v>)</v>
      </c>
      <c r="T4179" t="str">
        <v>x</v>
      </c>
      <c r="U4179">
        <f>0.006165*F4179^2</f>
        <v>1.57824</v>
      </c>
      <c r="X4179" t="str">
        <v>x</v>
      </c>
      <c r="Y4179">
        <f>D4170</f>
        <v>1</v>
      </c>
      <c r="Z4179" t="str">
        <v>=</v>
      </c>
      <c r="AA4179">
        <f>IF(AA4182=0,(D4179*N4179+P4179*R4179)*U4179*Y4179,0)</f>
        <v>0</v>
      </c>
    </row>
    <row r="4180">
      <c r="A4180" t="str">
        <f>A4164</f>
        <v>Lantai 1</v>
      </c>
      <c r="B4180">
        <f>B4164</f>
        <v>42</v>
      </c>
      <c r="C4180" t="str">
        <v>Tul Bawah Lapangan</v>
      </c>
      <c r="D4180">
        <f>VLOOKUP(D4164,'Detail Balok'!$C$10:$AU$110,25,FALSE)</f>
        <v>3</v>
      </c>
      <c r="E4180" t="str">
        <v>D</v>
      </c>
      <c r="F4180">
        <f>VLOOKUP(D4164,'Detail Balok'!$C$10:$AU$110,27,FALSE)</f>
        <v>16</v>
      </c>
      <c r="I4180" t="str">
        <v>(</v>
      </c>
      <c r="J4180">
        <f>+J4172</f>
        <v>3.55</v>
      </c>
      <c r="K4180" t="str">
        <v>+</v>
      </c>
      <c r="M4180" t="str">
        <v>=</v>
      </c>
      <c r="N4180">
        <f>J4180+L4180</f>
        <v>3.55</v>
      </c>
      <c r="O4180" t="str">
        <v>+</v>
      </c>
      <c r="P4180">
        <f>MAX(D4180-D4179,D4180-D4181)</f>
        <v>0</v>
      </c>
      <c r="Q4180" t="str">
        <v>x</v>
      </c>
      <c r="R4180">
        <f>IF(P4180&gt;0,2*(1-2*$F$19-1/2)*D4167/1000,0)</f>
        <v>0</v>
      </c>
      <c r="S4180" t="str">
        <v>)</v>
      </c>
      <c r="T4180" t="str">
        <v>x</v>
      </c>
      <c r="U4180">
        <f>0.006165*F4180^2</f>
        <v>1.57824</v>
      </c>
      <c r="X4180" t="str">
        <v>x</v>
      </c>
      <c r="Y4180">
        <f>D4170</f>
        <v>1</v>
      </c>
      <c r="Z4180" t="str">
        <v>=</v>
      </c>
      <c r="AA4180">
        <f>IF(AA4182=0,(D4180*N4180+P4180*R4180)*U4180*Y4180,0)</f>
        <v>0</v>
      </c>
    </row>
    <row r="4181">
      <c r="A4181" t="str">
        <f>A4164</f>
        <v>Lantai 1</v>
      </c>
      <c r="B4181">
        <f>B4164</f>
        <v>42</v>
      </c>
      <c r="C4181" t="str">
        <v>Tul Bawah Tumpuan</v>
      </c>
      <c r="D4181">
        <f>VLOOKUP(D4164,'Detail Balok'!$C$10:$AU$110,28,FALSE)</f>
        <v>3</v>
      </c>
      <c r="E4181" t="str">
        <v>D</v>
      </c>
      <c r="F4181">
        <f>VLOOKUP(D4164,'Detail Balok'!$C$10:$AU$110,30,FALSE)</f>
        <v>16</v>
      </c>
      <c r="I4181" t="str">
        <v>(</v>
      </c>
      <c r="J4181">
        <f>+J4173</f>
        <v>1.775</v>
      </c>
      <c r="K4181" t="str">
        <v>+</v>
      </c>
      <c r="L4181">
        <f>MAX(VLOOKUP(F4181,N$6:P$15,3,FALSE)/1000,2/3*D4169/1000)+F$16*F4181/1000</f>
        <v>0.192</v>
      </c>
      <c r="M4181" t="str">
        <v>=</v>
      </c>
      <c r="N4181">
        <f>J4181+L4181</f>
        <v>1.9669999999999999</v>
      </c>
      <c r="O4181" t="str">
        <v>+</v>
      </c>
      <c r="P4181">
        <f>D4181-D4180</f>
        <v>0</v>
      </c>
      <c r="Q4181" t="str">
        <v>x</v>
      </c>
      <c r="R4181">
        <f>IF(P4181&gt;0,$F$18*F4181/1000,0)</f>
        <v>0</v>
      </c>
      <c r="S4181" t="str">
        <v>)</v>
      </c>
      <c r="T4181" t="str">
        <v>x</v>
      </c>
      <c r="U4181">
        <f>0.006165*F4181^2</f>
        <v>1.57824</v>
      </c>
      <c r="X4181" t="str">
        <v>x</v>
      </c>
      <c r="Y4181">
        <f>D4170</f>
        <v>1</v>
      </c>
      <c r="Z4181" t="str">
        <v>=</v>
      </c>
      <c r="AA4181">
        <f>IF(AA4182=0,(D4181*N4181+P4181*R4181)*U4181*Y4181,0)</f>
        <v>0</v>
      </c>
    </row>
    <row r="4182">
      <c r="A4182" t="str">
        <f>A4164</f>
        <v>Lantai 1</v>
      </c>
      <c r="B4182">
        <f>B4164</f>
        <v>42</v>
      </c>
      <c r="D4182">
        <f>IF(AND(D4179=D4180,D4180=D4181,D4179=D4181),D4179,0)</f>
        <v>3</v>
      </c>
      <c r="E4182" t="str">
        <v>D</v>
      </c>
      <c r="F4182">
        <f>IF(AND(F4179=F4180,F4179=F4181,F4180=F4181),F4179,0)</f>
        <v>16</v>
      </c>
      <c r="L4182" t="str">
        <v>Total panjang per balok</v>
      </c>
      <c r="M4182" t="str">
        <v>=</v>
      </c>
      <c r="N4182">
        <f>IF(AND(D4179=D4180,D4179=D4181,D4180=D4181,F4179=F4180,F4179=F4181,F4180=F4181),SUM(N4179:N4181),0)</f>
        <v>7.483999999999999</v>
      </c>
      <c r="O4182" t="str">
        <v>+</v>
      </c>
      <c r="P4182">
        <f>IF(N4182&gt;12,ROUNDDOWN(N4182/12,0),0)</f>
        <v>0</v>
      </c>
      <c r="Q4182" t="str">
        <v>x</v>
      </c>
      <c r="R4182">
        <f>IF(P4182&gt;0,MAX(VLOOKUP(F4182,$D$6:$G$15,3,FALSE),600),0)/1000</f>
        <v>0</v>
      </c>
      <c r="T4182" t="str">
        <v>x</v>
      </c>
      <c r="U4182">
        <f>U4181</f>
        <v>1.57824</v>
      </c>
      <c r="V4182" t="str">
        <v>x</v>
      </c>
      <c r="W4182">
        <f>D4182</f>
        <v>3</v>
      </c>
      <c r="X4182" t="str">
        <v>x</v>
      </c>
      <c r="Y4182">
        <f>Y4181</f>
        <v>1</v>
      </c>
      <c r="Z4182" t="str">
        <v>=</v>
      </c>
      <c r="AA4182">
        <f>(N4182+P4182*R4182/1000)*U4182*W4182*Y4182</f>
        <v>35.434644479999996</v>
      </c>
    </row>
    <row r="4184">
      <c r="A4184" t="str">
        <f>A4164</f>
        <v>Lantai 1</v>
      </c>
      <c r="B4184">
        <f>B4164</f>
        <v>42</v>
      </c>
      <c r="C4184" t="str">
        <v>Sengkang Tumpuan</v>
      </c>
      <c r="D4184">
        <f>VLOOKUP(D4164,'Detail Balok'!$C$10:$AU$110,31,FALSE)</f>
        <v>0</v>
      </c>
      <c r="E4184" t="str">
        <v>D</v>
      </c>
      <c r="F4184">
        <f>VLOOKUP(D4164,'Detail Balok'!$C$10:$AU$110,33,FALSE)</f>
        <v>8</v>
      </c>
      <c r="G4184" t="str">
        <v>-</v>
      </c>
      <c r="H4184">
        <f>VLOOKUP(D4164,'Detail Balok'!$C$10:$AU$110,35,FALSE)</f>
        <v>100</v>
      </c>
      <c r="J4184">
        <f>(IF(D4184=0,(2*(D4165+G4165))-(F$5*8),IF(D4184=3,(2*(D4165+G4165))-(F$5*8)+(G4165-2*F$5),IF(D4184=4,(2*(D4165+G4165))-(F$5*8)+2*(G4165-2*F$5)))))/1000</f>
        <v>0.98</v>
      </c>
      <c r="K4184" t="str">
        <v>+</v>
      </c>
      <c r="L4184">
        <f>IF(D4184=0,2*MAX(6*F4184,75),(D4184-1)*2*MAX(6*F4184,75))/1000</f>
        <v>0.15</v>
      </c>
      <c r="M4184" t="str">
        <v>=</v>
      </c>
      <c r="N4184">
        <f>J4184+L4184</f>
        <v>1.13</v>
      </c>
      <c r="T4184" t="str">
        <v>x</v>
      </c>
      <c r="U4184">
        <f>0.006165*F4184^2</f>
        <v>0.39456</v>
      </c>
      <c r="V4184" t="str">
        <v>x</v>
      </c>
      <c r="W4184">
        <f>IF(D4167&gt;4*G4165,ROUND(MAX(D4167/4,2*G4165)/H4184,0)+1,ROUND(D4167/H4184,0)+1)</f>
        <v>19</v>
      </c>
      <c r="X4184" t="str">
        <v>x</v>
      </c>
      <c r="Y4184">
        <f>D4170</f>
        <v>1</v>
      </c>
      <c r="Z4184" t="str">
        <v>=</v>
      </c>
      <c r="AA4184">
        <f>N4184*U4184*W4184*Y4184</f>
        <v>8.4712032</v>
      </c>
    </row>
    <row r="4185">
      <c r="A4185" t="str">
        <f>A4164</f>
        <v>Lantai 1</v>
      </c>
      <c r="B4185">
        <f>B4164</f>
        <v>42</v>
      </c>
      <c r="C4185" t="str">
        <v>Sengkang Lapangan</v>
      </c>
      <c r="D4185">
        <f>VLOOKUP(D4164,'Detail Balok'!$C$10:$AU$110,36,FALSE)</f>
        <v>0</v>
      </c>
      <c r="E4185" t="str">
        <v>D</v>
      </c>
      <c r="F4185">
        <f>VLOOKUP(D4164,'Detail Balok'!$C$10:$AU$110,38,FALSE)</f>
        <v>8</v>
      </c>
      <c r="G4185" t="str">
        <v>-</v>
      </c>
      <c r="H4185">
        <f>VLOOKUP(D4164,'Detail Balok'!$C$10:$AU$110,40,FALSE)</f>
        <v>200</v>
      </c>
      <c r="J4185">
        <f>(IF(D4185=0,(2*(D4165+G4165))-(F$5*8),IF(D4185=3,(2*(D4165+G4165))-(F$5*8)+(G4165-2*F$5),IF(D4185=4,(2*(D4165+G4165))-(F$5*8)+2*(G4165-2*F$5)))))/1000</f>
        <v>0.98</v>
      </c>
      <c r="K4185" t="str">
        <v>+</v>
      </c>
      <c r="L4185">
        <f>IF(D4185=0,2*MAX(6*F4185,75),(D4185-1)*2*MAX(6*F4185,75))/1000</f>
        <v>0.15</v>
      </c>
      <c r="M4185" t="str">
        <v>=</v>
      </c>
      <c r="N4185">
        <f>J4185+L4185</f>
        <v>1.13</v>
      </c>
      <c r="T4185" t="str">
        <v>x</v>
      </c>
      <c r="U4185">
        <f>0.006165*F4185^2</f>
        <v>0.39456</v>
      </c>
      <c r="V4185" t="str">
        <v>x</v>
      </c>
      <c r="W4185">
        <f>IF(D4167-MAX(D4167/4,2*G4165)*2&gt;0,ROUND((D4167-MAX(D4167/4,2*G4165)*2)/H4185,0),0)</f>
        <v>18</v>
      </c>
      <c r="X4185" t="str">
        <v>x</v>
      </c>
      <c r="Y4185">
        <f>D4170</f>
        <v>1</v>
      </c>
      <c r="Z4185" t="str">
        <v>=</v>
      </c>
      <c r="AA4185">
        <f>N4185*U4185*W4185*Y4185</f>
        <v>8.0253504</v>
      </c>
    </row>
    <row r="4186">
      <c r="A4186" t="str">
        <f>A4164</f>
        <v>Lantai 1</v>
      </c>
      <c r="B4186">
        <f>B4164</f>
        <v>42</v>
      </c>
      <c r="C4186" t="str">
        <v>Sengkang Tumpuan</v>
      </c>
      <c r="D4186">
        <f>VLOOKUP(D4164,'Detail Balok'!$C$10:$AU$110,41,FALSE)</f>
        <v>0</v>
      </c>
      <c r="E4186" t="str">
        <v>D</v>
      </c>
      <c r="F4186">
        <f>VLOOKUP(D4164,'Detail Balok'!$C$10:$AU$110,43,FALSE)</f>
        <v>8</v>
      </c>
      <c r="G4186" t="str">
        <v>-</v>
      </c>
      <c r="H4186">
        <f>VLOOKUP(D4164,'Detail Balok'!$C$10:$AU$110,45,FALSE)</f>
        <v>100</v>
      </c>
      <c r="J4186">
        <f>(IF(D4186=0,(2*(D4165+G4165))-(F$5*8),IF(D4186=3,(2*(D4165+G4165))-(F$5*8)+(G4165-2*F$5),IF(D4186=4,(2*(D4165+G4165))-(F$5*8)+2*(G4165-2*F$5)))))/1000</f>
        <v>0.98</v>
      </c>
      <c r="K4186" t="str">
        <v>+</v>
      </c>
      <c r="L4186">
        <f>IF(D4186=0,2*MAX(6*F4186,75),(D4186-1)*2*MAX(6*F4186,75))/1000</f>
        <v>0.15</v>
      </c>
      <c r="M4186" t="str">
        <v>=</v>
      </c>
      <c r="N4186">
        <f>J4186+L4186</f>
        <v>1.13</v>
      </c>
      <c r="T4186" t="str">
        <v>x</v>
      </c>
      <c r="U4186">
        <f>0.006165*F4186^2</f>
        <v>0.39456</v>
      </c>
      <c r="V4186" t="str">
        <v>x</v>
      </c>
      <c r="W4186">
        <f>IF(D4167&gt;4*G4165,ROUND(MAX(D4167/4,2*G4165)/H4186,0)+1,0)</f>
        <v>19</v>
      </c>
      <c r="X4186" t="str">
        <v>x</v>
      </c>
      <c r="Y4186">
        <f>D4170</f>
        <v>1</v>
      </c>
      <c r="Z4186" t="str">
        <v>=</v>
      </c>
      <c r="AA4186">
        <f>N4186*U4186*W4186*Y4186</f>
        <v>8.4712032</v>
      </c>
    </row>
    <row r="4188">
      <c r="A4188" t="str">
        <f>A4164</f>
        <v>Lantai 1</v>
      </c>
      <c r="B4188">
        <f>B4164</f>
        <v>42</v>
      </c>
      <c r="C4188" t="str">
        <v>Kait Horizontal Tump.</v>
      </c>
      <c r="D4188">
        <f>VLOOKUP(D4164,'Detail Balok'!$C$10:$BJ$110,46,FALSE)</f>
        <v>0</v>
      </c>
      <c r="E4188" t="str">
        <v>D</v>
      </c>
      <c r="F4188">
        <f>VLOOKUP(D4164,'Detail Balok'!$C$10:$BJ$110,48,FALSE)</f>
        <v>0</v>
      </c>
      <c r="G4188" t="str">
        <v>-</v>
      </c>
      <c r="H4188">
        <f>VLOOKUP(D4164,'Detail Balok'!$C$10:$BJ$110,50,FALSE)</f>
        <v>100</v>
      </c>
      <c r="J4188">
        <f>(D4165-2*F$5)/1000</f>
        <v>0.12</v>
      </c>
      <c r="K4188" t="str">
        <v>+</v>
      </c>
      <c r="L4188">
        <f>IF(D4188=0,2*MAX(6*F4188,75),(D4188-1)*2*MAX(6*F4188,75))/1000</f>
        <v>0.15</v>
      </c>
      <c r="M4188" t="str">
        <v>=</v>
      </c>
      <c r="N4188">
        <f>J4188+L4188</f>
        <v>0.27</v>
      </c>
      <c r="T4188" t="str">
        <v>x</v>
      </c>
      <c r="U4188">
        <f>0.006165*F4188^2</f>
        <v>0</v>
      </c>
      <c r="V4188" t="str">
        <v>x</v>
      </c>
      <c r="W4188">
        <f>W4184</f>
        <v>19</v>
      </c>
      <c r="X4188" t="str">
        <v>x</v>
      </c>
      <c r="Y4188">
        <f>D4174</f>
        <v>3</v>
      </c>
      <c r="Z4188" t="str">
        <v>=</v>
      </c>
      <c r="AA4188">
        <f>N4188*U4188*W4188*Y4188</f>
        <v>0</v>
      </c>
    </row>
    <row r="4189">
      <c r="A4189" t="str">
        <f>A4164</f>
        <v>Lantai 1</v>
      </c>
      <c r="B4189">
        <f>B4164</f>
        <v>42</v>
      </c>
      <c r="C4189" t="str">
        <v>Kait Horizontal Lap.</v>
      </c>
      <c r="D4189">
        <f>VLOOKUP(D4164,'Detail Balok'!$C$10:$BJ$110,51,FALSE)</f>
        <v>0</v>
      </c>
      <c r="E4189" t="str">
        <v>D</v>
      </c>
      <c r="F4189">
        <f>VLOOKUP(D4164,'Detail Balok'!$C$10:$BJ$110,53,FALSE)</f>
        <v>0</v>
      </c>
      <c r="G4189" t="str">
        <v>-</v>
      </c>
      <c r="H4189">
        <f>VLOOKUP(D4164,'Detail Balok'!$C$10:$BJ$110,55,FALSE)</f>
        <v>100</v>
      </c>
      <c r="J4189">
        <f>(D4165-2*F$5)/1000</f>
        <v>0.12</v>
      </c>
      <c r="K4189" t="str">
        <v>+</v>
      </c>
      <c r="L4189">
        <f>IF(D4189=0,2*MAX(6*F4189,75),(D4189-1)*2*MAX(6*F4189,75))/1000</f>
        <v>0.15</v>
      </c>
      <c r="M4189" t="str">
        <v>=</v>
      </c>
      <c r="N4189">
        <f>J4189+L4189</f>
        <v>0.27</v>
      </c>
      <c r="T4189" t="str">
        <v>x</v>
      </c>
      <c r="U4189">
        <f>0.006165*F4189^2</f>
        <v>0</v>
      </c>
      <c r="V4189" t="str">
        <v>x</v>
      </c>
      <c r="W4189">
        <f>W4185</f>
        <v>18</v>
      </c>
      <c r="X4189" t="str">
        <v>x</v>
      </c>
      <c r="Y4189">
        <f>D4174</f>
        <v>3</v>
      </c>
      <c r="Z4189" t="str">
        <v>=</v>
      </c>
      <c r="AA4189">
        <f>N4189*U4189*W4189*Y4189</f>
        <v>0</v>
      </c>
    </row>
    <row r="4190">
      <c r="A4190" t="str">
        <f>A4164</f>
        <v>Lantai 1</v>
      </c>
      <c r="B4190">
        <f>B4164</f>
        <v>42</v>
      </c>
      <c r="C4190" t="str">
        <v>Kait Horizontal Tump.</v>
      </c>
      <c r="D4190">
        <f>VLOOKUP(D4164,'Detail Balok'!$C$10:$BJ$110,56,FALSE)</f>
        <v>0</v>
      </c>
      <c r="E4190" t="str">
        <v>D</v>
      </c>
      <c r="F4190">
        <f>VLOOKUP(D4164,'Detail Balok'!$C$10:$BJ$110,58,FALSE)</f>
        <v>0</v>
      </c>
      <c r="G4190" t="str">
        <v>-</v>
      </c>
      <c r="H4190">
        <f>VLOOKUP(D4164,'Detail Balok'!$C$10:$BJ$110,60,FALSE)</f>
        <v>100</v>
      </c>
      <c r="J4190">
        <f>(D4165-2*F$5)/1000</f>
        <v>0.12</v>
      </c>
      <c r="K4190" t="str">
        <v>+</v>
      </c>
      <c r="L4190">
        <f>IF(D4190=0,2*MAX(6*F4190,75),(D4190-1)*2*MAX(6*F4190,75))/1000</f>
        <v>0.15</v>
      </c>
      <c r="M4190" t="str">
        <v>=</v>
      </c>
      <c r="N4190">
        <f>J4190+L4190</f>
        <v>0.27</v>
      </c>
      <c r="T4190" t="str">
        <v>x</v>
      </c>
      <c r="U4190">
        <f>0.006165*F4190^2</f>
        <v>0</v>
      </c>
      <c r="V4190" t="str">
        <v>x</v>
      </c>
      <c r="W4190">
        <f>W4186</f>
        <v>19</v>
      </c>
      <c r="X4190" t="str">
        <v>x</v>
      </c>
      <c r="Y4190">
        <f>D4174</f>
        <v>3</v>
      </c>
      <c r="Z4190" t="str">
        <v>=</v>
      </c>
      <c r="AA4190">
        <f>N4190*U4190*W4190*Y4190</f>
        <v>0</v>
      </c>
    </row>
    <row r="4194">
      <c r="A4194" t="str">
        <f>A4164</f>
        <v>Lantai 1</v>
      </c>
      <c r="B4194">
        <f>B4164+1</f>
        <v>43</v>
      </c>
      <c r="C4194" t="str">
        <f>CONCATENATE(A4194," no. ",B4194)</f>
        <v>Lantai 1 no. 43</v>
      </c>
      <c r="D4194" t="str">
        <f>VLOOKUP(C4194,'Data Panjang Balok'!$C$9:$N$424,2,FALSE)</f>
        <v>B245-4</v>
      </c>
    </row>
    <row r="4195">
      <c r="C4195" t="str">
        <v>Dimensi</v>
      </c>
      <c r="D4195">
        <f>VLOOKUP(D4194,'Detail Balok'!$C$10:$AU$110,2,FALSE)</f>
        <v>200</v>
      </c>
      <c r="F4195" t="str">
        <v>x</v>
      </c>
      <c r="G4195">
        <f>VLOOKUP(D4194,'Detail Balok'!$C$10:$AU$110,3,FALSE)</f>
        <v>450</v>
      </c>
    </row>
    <row r="4196">
      <c r="C4196" t="str">
        <v>Panjang as ke as</v>
      </c>
      <c r="D4196">
        <f>VLOOKUP(C4194,'Data Panjang Balok'!$C$9:$N$424,4,FALSE)</f>
        <v>7100</v>
      </c>
    </row>
    <row r="4197">
      <c r="C4197" t="str">
        <v>Panjang netto</v>
      </c>
      <c r="D4197">
        <f>VLOOKUP(C4194,'Data Panjang Balok'!$C$9:$N$424,7,FALSE)</f>
        <v>7100</v>
      </c>
    </row>
    <row r="4198">
      <c r="C4198" t="str">
        <v>Kolom / balok kiri</v>
      </c>
      <c r="D4198">
        <f>VLOOKUP(C4194,'Data Panjang Balok'!$C$9:$N$424,9,FALSE)</f>
        <v>0</v>
      </c>
    </row>
    <row r="4199">
      <c r="C4199" t="str">
        <v>Kolom / balok kanan</v>
      </c>
      <c r="D4199">
        <f>VLOOKUP(C4194,'Data Panjang Balok'!$C$9:$N$424,10,FALSE)</f>
        <v>0</v>
      </c>
    </row>
    <row r="4200">
      <c r="C4200" t="str">
        <v>Jumlah</v>
      </c>
      <c r="D4200">
        <f>VLOOKUP(C4194,'Data Panjang Balok'!$C$9:$N$424,3,FALSE)</f>
        <v>1</v>
      </c>
    </row>
    <row r="4201">
      <c r="A4201" t="str">
        <f>A4194</f>
        <v>Lantai 1</v>
      </c>
      <c r="B4201">
        <f>B4194</f>
        <v>43</v>
      </c>
      <c r="C4201" t="str">
        <v>Tul Atas Tumpuan</v>
      </c>
      <c r="D4201">
        <f>VLOOKUP(D4194,'Detail Balok'!$C$10:$AU$110,4,FALSE)</f>
        <v>3</v>
      </c>
      <c r="E4201" t="str">
        <v>D</v>
      </c>
      <c r="F4201">
        <f>VLOOKUP(D4194,'Detail Balok'!$C$10:$AU$110,6,FALSE)</f>
        <v>16</v>
      </c>
      <c r="I4201" t="str">
        <v>(</v>
      </c>
      <c r="J4201">
        <f>+D4196/4/1000</f>
        <v>1.775</v>
      </c>
      <c r="K4201" t="str">
        <v>+</v>
      </c>
      <c r="L4201">
        <f>MAX(VLOOKUP(F4201,N$6:P$15,3,FALSE)/1000,2/3*D4198/1000)+F$16*F4201/1000</f>
        <v>0.192</v>
      </c>
      <c r="M4201" t="str">
        <v>=</v>
      </c>
      <c r="N4201">
        <f>J4201+L4201</f>
        <v>1.9669999999999999</v>
      </c>
      <c r="O4201" t="str">
        <v>+</v>
      </c>
      <c r="P4201">
        <f>D4201-D4202</f>
        <v>0</v>
      </c>
      <c r="Q4201" t="str">
        <v>x</v>
      </c>
      <c r="R4201">
        <f>IF(P4201&gt;0,$F$18*F4201/1000,0)</f>
        <v>0</v>
      </c>
      <c r="S4201" t="str">
        <v>)</v>
      </c>
      <c r="T4201" t="str">
        <v>x</v>
      </c>
      <c r="U4201">
        <f>0.006165*F4201^2</f>
        <v>1.57824</v>
      </c>
      <c r="X4201" t="str">
        <v>x</v>
      </c>
      <c r="Y4201">
        <f>D4200</f>
        <v>1</v>
      </c>
      <c r="Z4201" t="str">
        <v>=</v>
      </c>
      <c r="AA4201">
        <f>IF(AA4204=0,(D4201*N4201+P4201*R4201)*U4201*Y4201,0)</f>
        <v>0</v>
      </c>
    </row>
    <row r="4202">
      <c r="A4202" t="str">
        <f>A4194</f>
        <v>Lantai 1</v>
      </c>
      <c r="B4202">
        <f>B4194</f>
        <v>43</v>
      </c>
      <c r="C4202" t="str">
        <v>Tul Atas Lapangan</v>
      </c>
      <c r="D4202">
        <f>VLOOKUP(D4194,'Detail Balok'!$C$10:$AU$110,7,FALSE)</f>
        <v>3</v>
      </c>
      <c r="E4202" t="str">
        <v>D</v>
      </c>
      <c r="F4202">
        <f>VLOOKUP(D4194,'Detail Balok'!$C$10:$AU$110,9,FALSE)</f>
        <v>16</v>
      </c>
      <c r="I4202" t="str">
        <v>(</v>
      </c>
      <c r="J4202">
        <f>+D4196/2/1000</f>
        <v>3.55</v>
      </c>
      <c r="K4202" t="str">
        <v>+</v>
      </c>
      <c r="M4202" t="str">
        <v>=</v>
      </c>
      <c r="N4202">
        <f>J4202+L4202</f>
        <v>3.55</v>
      </c>
      <c r="O4202" t="str">
        <v>+</v>
      </c>
      <c r="P4202">
        <f>MAX(D4202-D4201,D4202-D4203)</f>
        <v>0</v>
      </c>
      <c r="Q4202" t="str">
        <v>x</v>
      </c>
      <c r="R4202">
        <f>IF(P4202&gt;0,2*(1-2*$F$19-1/2)*D4197/1000,0)</f>
        <v>0</v>
      </c>
      <c r="S4202" t="str">
        <v>)</v>
      </c>
      <c r="T4202" t="str">
        <v>x</v>
      </c>
      <c r="U4202">
        <f>0.006165*F4202^2</f>
        <v>1.57824</v>
      </c>
      <c r="X4202" t="str">
        <v>x</v>
      </c>
      <c r="Y4202">
        <f>D4200</f>
        <v>1</v>
      </c>
      <c r="Z4202" t="str">
        <v>=</v>
      </c>
      <c r="AA4202">
        <f>IF(AA4204=0,(D4202*N4202+P4202*R4202)*U4202*Y4202,0)</f>
        <v>0</v>
      </c>
    </row>
    <row r="4203">
      <c r="A4203" t="str">
        <f>A4194</f>
        <v>Lantai 1</v>
      </c>
      <c r="B4203">
        <f>B4194</f>
        <v>43</v>
      </c>
      <c r="C4203" t="str">
        <v>Tul Atas Tumpuan</v>
      </c>
      <c r="D4203">
        <f>VLOOKUP(D4194,'Detail Balok'!$C$10:$AU$110,10,FALSE)</f>
        <v>3</v>
      </c>
      <c r="E4203" t="str">
        <v>D</v>
      </c>
      <c r="F4203">
        <f>VLOOKUP(D4194,'Detail Balok'!$C$10:$AU$110,12,FALSE)</f>
        <v>16</v>
      </c>
      <c r="I4203" t="str">
        <v>(</v>
      </c>
      <c r="J4203">
        <f>+D4196/4/1000</f>
        <v>1.775</v>
      </c>
      <c r="K4203" t="str">
        <v>+</v>
      </c>
      <c r="L4203">
        <f>MAX(VLOOKUP(F4203,N$6:P$15,3,FALSE)/1000,2/3*D4198/1000)+F$16*F4203/1000</f>
        <v>0.192</v>
      </c>
      <c r="M4203" t="str">
        <v>=</v>
      </c>
      <c r="N4203">
        <f>J4203+L4203</f>
        <v>1.9669999999999999</v>
      </c>
      <c r="O4203" t="str">
        <v>+</v>
      </c>
      <c r="P4203">
        <f>D4203-D4202</f>
        <v>0</v>
      </c>
      <c r="Q4203" t="str">
        <v>x</v>
      </c>
      <c r="R4203">
        <f>IF(P4203&gt;0,$F$18*F4203/1000,0)</f>
        <v>0</v>
      </c>
      <c r="S4203" t="str">
        <v>)</v>
      </c>
      <c r="T4203" t="str">
        <v>x</v>
      </c>
      <c r="U4203">
        <f>0.006165*F4203^2</f>
        <v>1.57824</v>
      </c>
      <c r="X4203" t="str">
        <v>x</v>
      </c>
      <c r="Y4203">
        <f>D4200</f>
        <v>1</v>
      </c>
      <c r="Z4203" t="str">
        <v>=</v>
      </c>
      <c r="AA4203">
        <f>IF(AA4204=0,(D4203*N4203+P4203*R4203)*U4203*Y4203,0)</f>
        <v>0</v>
      </c>
    </row>
    <row r="4204">
      <c r="A4204" t="str">
        <f>A4194</f>
        <v>Lantai 1</v>
      </c>
      <c r="B4204">
        <f>B4194</f>
        <v>43</v>
      </c>
      <c r="D4204">
        <f>IF(AND(D4201=D4202,D4202=D4203,D4201=D4203),D4201,0)</f>
        <v>3</v>
      </c>
      <c r="E4204" t="str">
        <v>D</v>
      </c>
      <c r="F4204">
        <f>IF(AND(F4201=F4202,F4201=F4203,F4202=F4203),F4201,0)</f>
        <v>16</v>
      </c>
      <c r="L4204" t="str">
        <v>Total panjang per balok</v>
      </c>
      <c r="M4204" t="str">
        <v>=</v>
      </c>
      <c r="N4204">
        <f>IF(AND(D4201=D4202,D4201=D4203,D4202=D4203,F4201=F4202,F4201=F4203,F4202=F4203),SUM(N4201:N4203),0)</f>
        <v>7.483999999999999</v>
      </c>
      <c r="O4204" t="str">
        <v>+</v>
      </c>
      <c r="P4204">
        <f>IF(N4204&gt;12,ROUNDDOWN(N4204/12,0),0)</f>
        <v>0</v>
      </c>
      <c r="Q4204" t="str">
        <v>x</v>
      </c>
      <c r="R4204">
        <f>IF(P4204&gt;0,MAX(VLOOKUP(F4204,$D$6:$G$15,3,FALSE),600),0)/1000</f>
        <v>0</v>
      </c>
      <c r="T4204" t="str">
        <v>x</v>
      </c>
      <c r="U4204">
        <f>U4203</f>
        <v>1.57824</v>
      </c>
      <c r="V4204" t="str">
        <v>x</v>
      </c>
      <c r="W4204">
        <f>D4204</f>
        <v>3</v>
      </c>
      <c r="X4204" t="str">
        <v>x</v>
      </c>
      <c r="Y4204">
        <f>Y4203</f>
        <v>1</v>
      </c>
      <c r="Z4204" t="str">
        <v>=</v>
      </c>
      <c r="AA4204">
        <f>(N4204+P4204*R4204/1000)*U4204*W4204*Y4204</f>
        <v>35.434644479999996</v>
      </c>
    </row>
    <row r="4206">
      <c r="A4206" t="str">
        <f>A4194</f>
        <v>Lantai 1</v>
      </c>
      <c r="B4206">
        <f>B4194</f>
        <v>43</v>
      </c>
      <c r="C4206" t="str">
        <v>Tul Peminggang</v>
      </c>
      <c r="D4206">
        <f>VLOOKUP(D4194,'Detail Balok'!$C$10:$AU$110,13,FALSE)</f>
        <v>2</v>
      </c>
      <c r="E4206" t="str">
        <v>D</v>
      </c>
      <c r="F4206">
        <f>VLOOKUP(D4194,'Detail Balok'!$C$10:$AU$110,15,FALSE)</f>
        <v>8</v>
      </c>
      <c r="J4206">
        <f>+D4196/1000</f>
        <v>7.1</v>
      </c>
      <c r="K4206" t="str">
        <v>+</v>
      </c>
      <c r="L4206">
        <f>2*$F$16*F4206/1000</f>
        <v>0.192</v>
      </c>
      <c r="M4206" t="str">
        <v>=</v>
      </c>
      <c r="N4206">
        <f>J4206+L4206</f>
        <v>7.292</v>
      </c>
      <c r="O4206" t="str">
        <v>+</v>
      </c>
      <c r="P4206">
        <f>IF(N4206&gt;12,ROUNDDOWN(N4206/12,0),0)</f>
        <v>0</v>
      </c>
      <c r="Q4206" t="str">
        <v>x</v>
      </c>
      <c r="R4206">
        <f>IF(P4206&gt;0,MAX(VLOOKUP(F4206,$D$6:$G$15,3,FALSE),600),0)/1000</f>
        <v>0</v>
      </c>
      <c r="T4206" t="str">
        <v>x</v>
      </c>
      <c r="U4206">
        <f>0.006165*F4206^2</f>
        <v>0.39456</v>
      </c>
      <c r="V4206" t="str">
        <v>x</v>
      </c>
      <c r="W4206">
        <f>+D4206</f>
        <v>2</v>
      </c>
      <c r="X4206" t="str">
        <v>x</v>
      </c>
      <c r="Y4206">
        <f>D4200</f>
        <v>1</v>
      </c>
      <c r="Z4206" t="str">
        <v>=</v>
      </c>
      <c r="AA4206">
        <f>(N4206+P4206*R4206/1000)*U4206*W4206*Y4206</f>
        <v>5.7542630400000006</v>
      </c>
    </row>
    <row r="4209">
      <c r="A4209" t="str">
        <f>A4194</f>
        <v>Lantai 1</v>
      </c>
      <c r="B4209">
        <f>B4194</f>
        <v>43</v>
      </c>
      <c r="C4209" t="str">
        <v>Tul Bawah Tumpuan</v>
      </c>
      <c r="D4209">
        <f>VLOOKUP(D4194,'Detail Balok'!$C$10:$AU$110,22,FALSE)</f>
        <v>3</v>
      </c>
      <c r="E4209" t="str">
        <v>D</v>
      </c>
      <c r="F4209">
        <f>VLOOKUP(D4194,'Detail Balok'!$C$10:$AU$110,24,FALSE)</f>
        <v>16</v>
      </c>
      <c r="I4209" t="str">
        <v>(</v>
      </c>
      <c r="J4209">
        <f>+J4201</f>
        <v>1.775</v>
      </c>
      <c r="K4209" t="str">
        <v>+</v>
      </c>
      <c r="L4209">
        <f>MAX(VLOOKUP(F4209,N$6:P$15,3,FALSE)/1000,2/3*D4199/1000)+F$16*F4209/1000</f>
        <v>0.192</v>
      </c>
      <c r="M4209" t="str">
        <v>=</v>
      </c>
      <c r="N4209">
        <f>J4209+L4209</f>
        <v>1.9669999999999999</v>
      </c>
      <c r="O4209" t="str">
        <v>+</v>
      </c>
      <c r="P4209">
        <f>D4209-D4210</f>
        <v>0</v>
      </c>
      <c r="Q4209" t="str">
        <v>x</v>
      </c>
      <c r="R4209">
        <f>IF(P4209&gt;0,$F$18*F4209/1000,0)</f>
        <v>0</v>
      </c>
      <c r="S4209" t="str">
        <v>)</v>
      </c>
      <c r="T4209" t="str">
        <v>x</v>
      </c>
      <c r="U4209">
        <f>0.006165*F4209^2</f>
        <v>1.57824</v>
      </c>
      <c r="X4209" t="str">
        <v>x</v>
      </c>
      <c r="Y4209">
        <f>D4200</f>
        <v>1</v>
      </c>
      <c r="Z4209" t="str">
        <v>=</v>
      </c>
      <c r="AA4209">
        <f>IF(AA4212=0,(D4209*N4209+P4209*R4209)*U4209*Y4209,0)</f>
        <v>0</v>
      </c>
    </row>
    <row r="4210">
      <c r="A4210" t="str">
        <f>A4194</f>
        <v>Lantai 1</v>
      </c>
      <c r="B4210">
        <f>B4194</f>
        <v>43</v>
      </c>
      <c r="C4210" t="str">
        <v>Tul Bawah Lapangan</v>
      </c>
      <c r="D4210">
        <f>VLOOKUP(D4194,'Detail Balok'!$C$10:$AU$110,25,FALSE)</f>
        <v>3</v>
      </c>
      <c r="E4210" t="str">
        <v>D</v>
      </c>
      <c r="F4210">
        <f>VLOOKUP(D4194,'Detail Balok'!$C$10:$AU$110,27,FALSE)</f>
        <v>16</v>
      </c>
      <c r="I4210" t="str">
        <v>(</v>
      </c>
      <c r="J4210">
        <f>+J4202</f>
        <v>3.55</v>
      </c>
      <c r="K4210" t="str">
        <v>+</v>
      </c>
      <c r="M4210" t="str">
        <v>=</v>
      </c>
      <c r="N4210">
        <f>J4210+L4210</f>
        <v>3.55</v>
      </c>
      <c r="O4210" t="str">
        <v>+</v>
      </c>
      <c r="P4210">
        <f>MAX(D4210-D4209,D4210-D4211)</f>
        <v>0</v>
      </c>
      <c r="Q4210" t="str">
        <v>x</v>
      </c>
      <c r="R4210">
        <f>IF(P4210&gt;0,2*(1-2*$F$19-1/2)*D4197/1000,0)</f>
        <v>0</v>
      </c>
      <c r="S4210" t="str">
        <v>)</v>
      </c>
      <c r="T4210" t="str">
        <v>x</v>
      </c>
      <c r="U4210">
        <f>0.006165*F4210^2</f>
        <v>1.57824</v>
      </c>
      <c r="X4210" t="str">
        <v>x</v>
      </c>
      <c r="Y4210">
        <f>D4200</f>
        <v>1</v>
      </c>
      <c r="Z4210" t="str">
        <v>=</v>
      </c>
      <c r="AA4210">
        <f>IF(AA4212=0,(D4210*N4210+P4210*R4210)*U4210*Y4210,0)</f>
        <v>0</v>
      </c>
    </row>
    <row r="4211">
      <c r="A4211" t="str">
        <f>A4194</f>
        <v>Lantai 1</v>
      </c>
      <c r="B4211">
        <f>B4194</f>
        <v>43</v>
      </c>
      <c r="C4211" t="str">
        <v>Tul Bawah Tumpuan</v>
      </c>
      <c r="D4211">
        <f>VLOOKUP(D4194,'Detail Balok'!$C$10:$AU$110,28,FALSE)</f>
        <v>3</v>
      </c>
      <c r="E4211" t="str">
        <v>D</v>
      </c>
      <c r="F4211">
        <f>VLOOKUP(D4194,'Detail Balok'!$C$10:$AU$110,30,FALSE)</f>
        <v>16</v>
      </c>
      <c r="I4211" t="str">
        <v>(</v>
      </c>
      <c r="J4211">
        <f>+J4203</f>
        <v>1.775</v>
      </c>
      <c r="K4211" t="str">
        <v>+</v>
      </c>
      <c r="L4211">
        <f>MAX(VLOOKUP(F4211,N$6:P$15,3,FALSE)/1000,2/3*D4199/1000)+F$16*F4211/1000</f>
        <v>0.192</v>
      </c>
      <c r="M4211" t="str">
        <v>=</v>
      </c>
      <c r="N4211">
        <f>J4211+L4211</f>
        <v>1.9669999999999999</v>
      </c>
      <c r="O4211" t="str">
        <v>+</v>
      </c>
      <c r="P4211">
        <f>D4211-D4210</f>
        <v>0</v>
      </c>
      <c r="Q4211" t="str">
        <v>x</v>
      </c>
      <c r="R4211">
        <f>IF(P4211&gt;0,$F$18*F4211/1000,0)</f>
        <v>0</v>
      </c>
      <c r="S4211" t="str">
        <v>)</v>
      </c>
      <c r="T4211" t="str">
        <v>x</v>
      </c>
      <c r="U4211">
        <f>0.006165*F4211^2</f>
        <v>1.57824</v>
      </c>
      <c r="X4211" t="str">
        <v>x</v>
      </c>
      <c r="Y4211">
        <f>D4200</f>
        <v>1</v>
      </c>
      <c r="Z4211" t="str">
        <v>=</v>
      </c>
      <c r="AA4211">
        <f>IF(AA4212=0,(D4211*N4211+P4211*R4211)*U4211*Y4211,0)</f>
        <v>0</v>
      </c>
    </row>
    <row r="4212">
      <c r="A4212" t="str">
        <f>A4194</f>
        <v>Lantai 1</v>
      </c>
      <c r="B4212">
        <f>B4194</f>
        <v>43</v>
      </c>
      <c r="D4212">
        <f>IF(AND(D4209=D4210,D4210=D4211,D4209=D4211),D4209,0)</f>
        <v>3</v>
      </c>
      <c r="E4212" t="str">
        <v>D</v>
      </c>
      <c r="F4212">
        <f>IF(AND(F4209=F4210,F4209=F4211,F4210=F4211),F4209,0)</f>
        <v>16</v>
      </c>
      <c r="L4212" t="str">
        <v>Total panjang per balok</v>
      </c>
      <c r="M4212" t="str">
        <v>=</v>
      </c>
      <c r="N4212">
        <f>IF(AND(D4209=D4210,D4209=D4211,D4210=D4211,F4209=F4210,F4209=F4211,F4210=F4211),SUM(N4209:N4211),0)</f>
        <v>7.483999999999999</v>
      </c>
      <c r="O4212" t="str">
        <v>+</v>
      </c>
      <c r="P4212">
        <f>IF(N4212&gt;12,ROUNDDOWN(N4212/12,0),0)</f>
        <v>0</v>
      </c>
      <c r="Q4212" t="str">
        <v>x</v>
      </c>
      <c r="R4212">
        <f>IF(P4212&gt;0,MAX(VLOOKUP(F4212,$D$6:$G$15,3,FALSE),600),0)/1000</f>
        <v>0</v>
      </c>
      <c r="T4212" t="str">
        <v>x</v>
      </c>
      <c r="U4212">
        <f>U4211</f>
        <v>1.57824</v>
      </c>
      <c r="V4212" t="str">
        <v>x</v>
      </c>
      <c r="W4212">
        <f>D4212</f>
        <v>3</v>
      </c>
      <c r="X4212" t="str">
        <v>x</v>
      </c>
      <c r="Y4212">
        <f>Y4211</f>
        <v>1</v>
      </c>
      <c r="Z4212" t="str">
        <v>=</v>
      </c>
      <c r="AA4212">
        <f>(N4212+P4212*R4212/1000)*U4212*W4212*Y4212</f>
        <v>35.434644479999996</v>
      </c>
    </row>
    <row r="4214">
      <c r="A4214" t="str">
        <f>A4194</f>
        <v>Lantai 1</v>
      </c>
      <c r="B4214">
        <f>B4194</f>
        <v>43</v>
      </c>
      <c r="C4214" t="str">
        <v>Sengkang Tumpuan</v>
      </c>
      <c r="D4214">
        <f>VLOOKUP(D4194,'Detail Balok'!$C$10:$AU$110,31,FALSE)</f>
        <v>0</v>
      </c>
      <c r="E4214" t="str">
        <v>D</v>
      </c>
      <c r="F4214">
        <f>VLOOKUP(D4194,'Detail Balok'!$C$10:$AU$110,33,FALSE)</f>
        <v>8</v>
      </c>
      <c r="G4214" t="str">
        <v>-</v>
      </c>
      <c r="H4214">
        <f>VLOOKUP(D4194,'Detail Balok'!$C$10:$AU$110,35,FALSE)</f>
        <v>100</v>
      </c>
      <c r="J4214">
        <f>(IF(D4214=0,(2*(D4195+G4195))-(F$5*8),IF(D4214=3,(2*(D4195+G4195))-(F$5*8)+(G4195-2*F$5),IF(D4214=4,(2*(D4195+G4195))-(F$5*8)+2*(G4195-2*F$5)))))/1000</f>
        <v>0.98</v>
      </c>
      <c r="K4214" t="str">
        <v>+</v>
      </c>
      <c r="L4214">
        <f>IF(D4214=0,2*MAX(6*F4214,75),(D4214-1)*2*MAX(6*F4214,75))/1000</f>
        <v>0.15</v>
      </c>
      <c r="M4214" t="str">
        <v>=</v>
      </c>
      <c r="N4214">
        <f>J4214+L4214</f>
        <v>1.13</v>
      </c>
      <c r="T4214" t="str">
        <v>x</v>
      </c>
      <c r="U4214">
        <f>0.006165*F4214^2</f>
        <v>0.39456</v>
      </c>
      <c r="V4214" t="str">
        <v>x</v>
      </c>
      <c r="W4214">
        <f>IF(D4197&gt;4*G4195,ROUND(MAX(D4197/4,2*G4195)/H4214,0)+1,ROUND(D4197/H4214,0)+1)</f>
        <v>19</v>
      </c>
      <c r="X4214" t="str">
        <v>x</v>
      </c>
      <c r="Y4214">
        <f>D4200</f>
        <v>1</v>
      </c>
      <c r="Z4214" t="str">
        <v>=</v>
      </c>
      <c r="AA4214">
        <f>N4214*U4214*W4214*Y4214</f>
        <v>8.4712032</v>
      </c>
    </row>
    <row r="4215">
      <c r="A4215" t="str">
        <f>A4194</f>
        <v>Lantai 1</v>
      </c>
      <c r="B4215">
        <f>B4194</f>
        <v>43</v>
      </c>
      <c r="C4215" t="str">
        <v>Sengkang Lapangan</v>
      </c>
      <c r="D4215">
        <f>VLOOKUP(D4194,'Detail Balok'!$C$10:$AU$110,36,FALSE)</f>
        <v>0</v>
      </c>
      <c r="E4215" t="str">
        <v>D</v>
      </c>
      <c r="F4215">
        <f>VLOOKUP(D4194,'Detail Balok'!$C$10:$AU$110,38,FALSE)</f>
        <v>8</v>
      </c>
      <c r="G4215" t="str">
        <v>-</v>
      </c>
      <c r="H4215">
        <f>VLOOKUP(D4194,'Detail Balok'!$C$10:$AU$110,40,FALSE)</f>
        <v>200</v>
      </c>
      <c r="J4215">
        <f>(IF(D4215=0,(2*(D4195+G4195))-(F$5*8),IF(D4215=3,(2*(D4195+G4195))-(F$5*8)+(G4195-2*F$5),IF(D4215=4,(2*(D4195+G4195))-(F$5*8)+2*(G4195-2*F$5)))))/1000</f>
        <v>0.98</v>
      </c>
      <c r="K4215" t="str">
        <v>+</v>
      </c>
      <c r="L4215">
        <f>IF(D4215=0,2*MAX(6*F4215,75),(D4215-1)*2*MAX(6*F4215,75))/1000</f>
        <v>0.15</v>
      </c>
      <c r="M4215" t="str">
        <v>=</v>
      </c>
      <c r="N4215">
        <f>J4215+L4215</f>
        <v>1.13</v>
      </c>
      <c r="T4215" t="str">
        <v>x</v>
      </c>
      <c r="U4215">
        <f>0.006165*F4215^2</f>
        <v>0.39456</v>
      </c>
      <c r="V4215" t="str">
        <v>x</v>
      </c>
      <c r="W4215">
        <f>IF(D4197-MAX(D4197/4,2*G4195)*2&gt;0,ROUND((D4197-MAX(D4197/4,2*G4195)*2)/H4215,0),0)</f>
        <v>18</v>
      </c>
      <c r="X4215" t="str">
        <v>x</v>
      </c>
      <c r="Y4215">
        <f>D4200</f>
        <v>1</v>
      </c>
      <c r="Z4215" t="str">
        <v>=</v>
      </c>
      <c r="AA4215">
        <f>N4215*U4215*W4215*Y4215</f>
        <v>8.0253504</v>
      </c>
    </row>
    <row r="4216">
      <c r="A4216" t="str">
        <f>A4194</f>
        <v>Lantai 1</v>
      </c>
      <c r="B4216">
        <f>B4194</f>
        <v>43</v>
      </c>
      <c r="C4216" t="str">
        <v>Sengkang Tumpuan</v>
      </c>
      <c r="D4216">
        <f>VLOOKUP(D4194,'Detail Balok'!$C$10:$AU$110,41,FALSE)</f>
        <v>0</v>
      </c>
      <c r="E4216" t="str">
        <v>D</v>
      </c>
      <c r="F4216">
        <f>VLOOKUP(D4194,'Detail Balok'!$C$10:$AU$110,43,FALSE)</f>
        <v>8</v>
      </c>
      <c r="G4216" t="str">
        <v>-</v>
      </c>
      <c r="H4216">
        <f>VLOOKUP(D4194,'Detail Balok'!$C$10:$AU$110,45,FALSE)</f>
        <v>100</v>
      </c>
      <c r="J4216">
        <f>(IF(D4216=0,(2*(D4195+G4195))-(F$5*8),IF(D4216=3,(2*(D4195+G4195))-(F$5*8)+(G4195-2*F$5),IF(D4216=4,(2*(D4195+G4195))-(F$5*8)+2*(G4195-2*F$5)))))/1000</f>
        <v>0.98</v>
      </c>
      <c r="K4216" t="str">
        <v>+</v>
      </c>
      <c r="L4216">
        <f>IF(D4216=0,2*MAX(6*F4216,75),(D4216-1)*2*MAX(6*F4216,75))/1000</f>
        <v>0.15</v>
      </c>
      <c r="M4216" t="str">
        <v>=</v>
      </c>
      <c r="N4216">
        <f>J4216+L4216</f>
        <v>1.13</v>
      </c>
      <c r="T4216" t="str">
        <v>x</v>
      </c>
      <c r="U4216">
        <f>0.006165*F4216^2</f>
        <v>0.39456</v>
      </c>
      <c r="V4216" t="str">
        <v>x</v>
      </c>
      <c r="W4216">
        <f>IF(D4197&gt;4*G4195,ROUND(MAX(D4197/4,2*G4195)/H4216,0)+1,0)</f>
        <v>19</v>
      </c>
      <c r="X4216" t="str">
        <v>x</v>
      </c>
      <c r="Y4216">
        <f>D4200</f>
        <v>1</v>
      </c>
      <c r="Z4216" t="str">
        <v>=</v>
      </c>
      <c r="AA4216">
        <f>N4216*U4216*W4216*Y4216</f>
        <v>8.4712032</v>
      </c>
    </row>
    <row r="4218">
      <c r="A4218" t="str">
        <f>A4194</f>
        <v>Lantai 1</v>
      </c>
      <c r="B4218">
        <f>B4194</f>
        <v>43</v>
      </c>
      <c r="C4218" t="str">
        <v>Kait Horizontal Tump.</v>
      </c>
      <c r="D4218">
        <f>VLOOKUP(D4194,'Detail Balok'!$C$10:$BJ$110,46,FALSE)</f>
        <v>0</v>
      </c>
      <c r="E4218" t="str">
        <v>D</v>
      </c>
      <c r="F4218">
        <f>VLOOKUP(D4194,'Detail Balok'!$C$10:$BJ$110,48,FALSE)</f>
        <v>0</v>
      </c>
      <c r="G4218" t="str">
        <v>-</v>
      </c>
      <c r="H4218">
        <f>VLOOKUP(D4194,'Detail Balok'!$C$10:$BJ$110,50,FALSE)</f>
        <v>100</v>
      </c>
      <c r="J4218">
        <f>(D4195-2*F$5)/1000</f>
        <v>0.12</v>
      </c>
      <c r="K4218" t="str">
        <v>+</v>
      </c>
      <c r="L4218">
        <f>IF(D4218=0,2*MAX(6*F4218,75),(D4218-1)*2*MAX(6*F4218,75))/1000</f>
        <v>0.15</v>
      </c>
      <c r="M4218" t="str">
        <v>=</v>
      </c>
      <c r="N4218">
        <f>J4218+L4218</f>
        <v>0.27</v>
      </c>
      <c r="T4218" t="str">
        <v>x</v>
      </c>
      <c r="U4218">
        <f>0.006165*F4218^2</f>
        <v>0</v>
      </c>
      <c r="V4218" t="str">
        <v>x</v>
      </c>
      <c r="W4218">
        <f>W4214</f>
        <v>19</v>
      </c>
      <c r="X4218" t="str">
        <v>x</v>
      </c>
      <c r="Y4218">
        <f>D4204</f>
        <v>3</v>
      </c>
      <c r="Z4218" t="str">
        <v>=</v>
      </c>
      <c r="AA4218">
        <f>N4218*U4218*W4218*Y4218</f>
        <v>0</v>
      </c>
    </row>
    <row r="4219">
      <c r="A4219" t="str">
        <f>A4194</f>
        <v>Lantai 1</v>
      </c>
      <c r="B4219">
        <f>B4194</f>
        <v>43</v>
      </c>
      <c r="C4219" t="str">
        <v>Kait Horizontal Lap.</v>
      </c>
      <c r="D4219">
        <f>VLOOKUP(D4194,'Detail Balok'!$C$10:$BJ$110,51,FALSE)</f>
        <v>0</v>
      </c>
      <c r="E4219" t="str">
        <v>D</v>
      </c>
      <c r="F4219">
        <f>VLOOKUP(D4194,'Detail Balok'!$C$10:$BJ$110,53,FALSE)</f>
        <v>0</v>
      </c>
      <c r="G4219" t="str">
        <v>-</v>
      </c>
      <c r="H4219">
        <f>VLOOKUP(D4194,'Detail Balok'!$C$10:$BJ$110,55,FALSE)</f>
        <v>100</v>
      </c>
      <c r="J4219">
        <f>(D4195-2*F$5)/1000</f>
        <v>0.12</v>
      </c>
      <c r="K4219" t="str">
        <v>+</v>
      </c>
      <c r="L4219">
        <f>IF(D4219=0,2*MAX(6*F4219,75),(D4219-1)*2*MAX(6*F4219,75))/1000</f>
        <v>0.15</v>
      </c>
      <c r="M4219" t="str">
        <v>=</v>
      </c>
      <c r="N4219">
        <f>J4219+L4219</f>
        <v>0.27</v>
      </c>
      <c r="T4219" t="str">
        <v>x</v>
      </c>
      <c r="U4219">
        <f>0.006165*F4219^2</f>
        <v>0</v>
      </c>
      <c r="V4219" t="str">
        <v>x</v>
      </c>
      <c r="W4219">
        <f>W4215</f>
        <v>18</v>
      </c>
      <c r="X4219" t="str">
        <v>x</v>
      </c>
      <c r="Y4219">
        <f>D4204</f>
        <v>3</v>
      </c>
      <c r="Z4219" t="str">
        <v>=</v>
      </c>
      <c r="AA4219">
        <f>N4219*U4219*W4219*Y4219</f>
        <v>0</v>
      </c>
    </row>
    <row r="4220">
      <c r="A4220" t="str">
        <f>A4194</f>
        <v>Lantai 1</v>
      </c>
      <c r="B4220">
        <f>B4194</f>
        <v>43</v>
      </c>
      <c r="C4220" t="str">
        <v>Kait Horizontal Tump.</v>
      </c>
      <c r="D4220">
        <f>VLOOKUP(D4194,'Detail Balok'!$C$10:$BJ$110,56,FALSE)</f>
        <v>0</v>
      </c>
      <c r="E4220" t="str">
        <v>D</v>
      </c>
      <c r="F4220">
        <f>VLOOKUP(D4194,'Detail Balok'!$C$10:$BJ$110,58,FALSE)</f>
        <v>0</v>
      </c>
      <c r="G4220" t="str">
        <v>-</v>
      </c>
      <c r="H4220">
        <f>VLOOKUP(D4194,'Detail Balok'!$C$10:$BJ$110,60,FALSE)</f>
        <v>100</v>
      </c>
      <c r="J4220">
        <f>(D4195-2*F$5)/1000</f>
        <v>0.12</v>
      </c>
      <c r="K4220" t="str">
        <v>+</v>
      </c>
      <c r="L4220">
        <f>IF(D4220=0,2*MAX(6*F4220,75),(D4220-1)*2*MAX(6*F4220,75))/1000</f>
        <v>0.15</v>
      </c>
      <c r="M4220" t="str">
        <v>=</v>
      </c>
      <c r="N4220">
        <f>J4220+L4220</f>
        <v>0.27</v>
      </c>
      <c r="T4220" t="str">
        <v>x</v>
      </c>
      <c r="U4220">
        <f>0.006165*F4220^2</f>
        <v>0</v>
      </c>
      <c r="V4220" t="str">
        <v>x</v>
      </c>
      <c r="W4220">
        <f>W4216</f>
        <v>19</v>
      </c>
      <c r="X4220" t="str">
        <v>x</v>
      </c>
      <c r="Y4220">
        <f>D4204</f>
        <v>3</v>
      </c>
      <c r="Z4220" t="str">
        <v>=</v>
      </c>
      <c r="AA4220">
        <f>N4220*U4220*W4220*Y4220</f>
        <v>0</v>
      </c>
    </row>
    <row r="4224">
      <c r="A4224" t="str">
        <f>A4194</f>
        <v>Lantai 1</v>
      </c>
      <c r="B4224">
        <f>B4194+1</f>
        <v>44</v>
      </c>
      <c r="C4224" t="str">
        <f>CONCATENATE(A4224," no. ",B4224)</f>
        <v>Lantai 1 no. 44</v>
      </c>
      <c r="D4224" t="str">
        <f>VLOOKUP(C4224,'Data Panjang Balok'!$C$9:$N$424,2,FALSE)</f>
        <v>B25-6</v>
      </c>
    </row>
    <row r="4225">
      <c r="C4225" t="str">
        <v>Dimensi</v>
      </c>
      <c r="D4225">
        <f>VLOOKUP(D4224,'Detail Balok'!$C$10:$AU$110,2,FALSE)</f>
        <v>200</v>
      </c>
      <c r="F4225" t="str">
        <v>x</v>
      </c>
      <c r="G4225">
        <f>VLOOKUP(D4224,'Detail Balok'!$C$10:$AU$110,3,FALSE)</f>
        <v>500</v>
      </c>
    </row>
    <row r="4226">
      <c r="C4226" t="str">
        <v>Panjang as ke as</v>
      </c>
      <c r="D4226">
        <f>VLOOKUP(C4224,'Data Panjang Balok'!$C$9:$N$424,4,FALSE)</f>
        <v>7100</v>
      </c>
    </row>
    <row r="4227">
      <c r="C4227" t="str">
        <v>Panjang netto</v>
      </c>
      <c r="D4227">
        <f>VLOOKUP(C4224,'Data Panjang Balok'!$C$9:$N$424,7,FALSE)</f>
        <v>7100</v>
      </c>
    </row>
    <row r="4228">
      <c r="C4228" t="str">
        <v>Kolom / balok kiri</v>
      </c>
      <c r="D4228">
        <f>VLOOKUP(C4224,'Data Panjang Balok'!$C$9:$N$424,9,FALSE)</f>
        <v>0</v>
      </c>
    </row>
    <row r="4229">
      <c r="C4229" t="str">
        <v>Kolom / balok kanan</v>
      </c>
      <c r="D4229">
        <f>VLOOKUP(C4224,'Data Panjang Balok'!$C$9:$N$424,10,FALSE)</f>
        <v>0</v>
      </c>
    </row>
    <row r="4230">
      <c r="C4230" t="str">
        <v>Jumlah</v>
      </c>
      <c r="D4230">
        <f>VLOOKUP(C4224,'Data Panjang Balok'!$C$9:$N$424,3,FALSE)</f>
        <v>1</v>
      </c>
    </row>
    <row r="4231">
      <c r="A4231" t="str">
        <f>A4224</f>
        <v>Lantai 1</v>
      </c>
      <c r="B4231">
        <f>B4224</f>
        <v>44</v>
      </c>
      <c r="C4231" t="str">
        <v>Tul Atas Tumpuan</v>
      </c>
      <c r="D4231">
        <f>VLOOKUP(D4224,'Detail Balok'!$C$10:$AU$110,4,FALSE)</f>
        <v>4</v>
      </c>
      <c r="E4231" t="str">
        <v>D</v>
      </c>
      <c r="F4231">
        <f>VLOOKUP(D4224,'Detail Balok'!$C$10:$AU$110,6,FALSE)</f>
        <v>16</v>
      </c>
      <c r="I4231" t="str">
        <v>(</v>
      </c>
      <c r="J4231">
        <f>+D4226/4/1000</f>
        <v>1.775</v>
      </c>
      <c r="K4231" t="str">
        <v>+</v>
      </c>
      <c r="L4231">
        <f>MAX(VLOOKUP(F4231,N$6:P$15,3,FALSE)/1000,2/3*D4228/1000)+F$16*F4231/1000</f>
        <v>0.192</v>
      </c>
      <c r="M4231" t="str">
        <v>=</v>
      </c>
      <c r="N4231">
        <f>J4231+L4231</f>
        <v>1.9669999999999999</v>
      </c>
      <c r="O4231" t="str">
        <v>+</v>
      </c>
      <c r="P4231">
        <f>D4231-D4232</f>
        <v>2</v>
      </c>
      <c r="Q4231" t="str">
        <v>x</v>
      </c>
      <c r="R4231">
        <f>IF(P4231&gt;0,$F$18*F4231/1000,0)</f>
        <v>0.24</v>
      </c>
      <c r="S4231" t="str">
        <v>)</v>
      </c>
      <c r="T4231" t="str">
        <v>x</v>
      </c>
      <c r="U4231">
        <f>0.006165*F4231^2</f>
        <v>1.57824</v>
      </c>
      <c r="X4231" t="str">
        <v>x</v>
      </c>
      <c r="Y4231">
        <f>D4230</f>
        <v>1</v>
      </c>
      <c r="Z4231" t="str">
        <v>=</v>
      </c>
      <c r="AA4231">
        <f>IF(AA4234=0,(D4231*N4231+P4231*R4231)*U4231*Y4231,0)</f>
        <v>13.17514752</v>
      </c>
    </row>
    <row r="4232">
      <c r="A4232" t="str">
        <f>A4224</f>
        <v>Lantai 1</v>
      </c>
      <c r="B4232">
        <f>B4224</f>
        <v>44</v>
      </c>
      <c r="C4232" t="str">
        <v>Tul Atas Lapangan</v>
      </c>
      <c r="D4232">
        <f>VLOOKUP(D4224,'Detail Balok'!$C$10:$AU$110,7,FALSE)</f>
        <v>2</v>
      </c>
      <c r="E4232" t="str">
        <v>D</v>
      </c>
      <c r="F4232">
        <f>VLOOKUP(D4224,'Detail Balok'!$C$10:$AU$110,9,FALSE)</f>
        <v>16</v>
      </c>
      <c r="I4232" t="str">
        <v>(</v>
      </c>
      <c r="J4232">
        <f>+D4226/2/1000</f>
        <v>3.55</v>
      </c>
      <c r="K4232" t="str">
        <v>+</v>
      </c>
      <c r="M4232" t="str">
        <v>=</v>
      </c>
      <c r="N4232">
        <f>J4232+L4232</f>
        <v>3.55</v>
      </c>
      <c r="O4232" t="str">
        <v>+</v>
      </c>
      <c r="P4232">
        <f>MAX(D4232-D4231,D4232-D4233)</f>
        <v>-2</v>
      </c>
      <c r="Q4232" t="str">
        <v>x</v>
      </c>
      <c r="R4232">
        <f>IF(P4232&gt;0,2*(1-2*$F$19-1/2)*D4227/1000,0)</f>
        <v>0</v>
      </c>
      <c r="S4232" t="str">
        <v>)</v>
      </c>
      <c r="T4232" t="str">
        <v>x</v>
      </c>
      <c r="U4232">
        <f>0.006165*F4232^2</f>
        <v>1.57824</v>
      </c>
      <c r="X4232" t="str">
        <v>x</v>
      </c>
      <c r="Y4232">
        <f>D4230</f>
        <v>1</v>
      </c>
      <c r="Z4232" t="str">
        <v>=</v>
      </c>
      <c r="AA4232">
        <f>IF(AA4234=0,(D4232*N4232+P4232*R4232)*U4232*Y4232,0)</f>
        <v>11.205504</v>
      </c>
    </row>
    <row r="4233">
      <c r="A4233" t="str">
        <f>A4224</f>
        <v>Lantai 1</v>
      </c>
      <c r="B4233">
        <f>B4224</f>
        <v>44</v>
      </c>
      <c r="C4233" t="str">
        <v>Tul Atas Tumpuan</v>
      </c>
      <c r="D4233">
        <f>VLOOKUP(D4224,'Detail Balok'!$C$10:$AU$110,10,FALSE)</f>
        <v>4</v>
      </c>
      <c r="E4233" t="str">
        <v>D</v>
      </c>
      <c r="F4233">
        <f>VLOOKUP(D4224,'Detail Balok'!$C$10:$AU$110,12,FALSE)</f>
        <v>16</v>
      </c>
      <c r="I4233" t="str">
        <v>(</v>
      </c>
      <c r="J4233">
        <f>+D4226/4/1000</f>
        <v>1.775</v>
      </c>
      <c r="K4233" t="str">
        <v>+</v>
      </c>
      <c r="L4233">
        <f>MAX(VLOOKUP(F4233,N$6:P$15,3,FALSE)/1000,2/3*D4228/1000)+F$16*F4233/1000</f>
        <v>0.192</v>
      </c>
      <c r="M4233" t="str">
        <v>=</v>
      </c>
      <c r="N4233">
        <f>J4233+L4233</f>
        <v>1.9669999999999999</v>
      </c>
      <c r="O4233" t="str">
        <v>+</v>
      </c>
      <c r="P4233">
        <f>D4233-D4232</f>
        <v>2</v>
      </c>
      <c r="Q4233" t="str">
        <v>x</v>
      </c>
      <c r="R4233">
        <f>IF(P4233&gt;0,$F$18*F4233/1000,0)</f>
        <v>0.24</v>
      </c>
      <c r="S4233" t="str">
        <v>)</v>
      </c>
      <c r="T4233" t="str">
        <v>x</v>
      </c>
      <c r="U4233">
        <f>0.006165*F4233^2</f>
        <v>1.57824</v>
      </c>
      <c r="X4233" t="str">
        <v>x</v>
      </c>
      <c r="Y4233">
        <f>D4230</f>
        <v>1</v>
      </c>
      <c r="Z4233" t="str">
        <v>=</v>
      </c>
      <c r="AA4233">
        <f>IF(AA4234=0,(D4233*N4233+P4233*R4233)*U4233*Y4233,0)</f>
        <v>13.17514752</v>
      </c>
    </row>
    <row r="4234">
      <c r="A4234" t="str">
        <f>A4224</f>
        <v>Lantai 1</v>
      </c>
      <c r="B4234">
        <f>B4224</f>
        <v>44</v>
      </c>
      <c r="D4234">
        <f>IF(AND(D4231=D4232,D4232=D4233,D4231=D4233),D4231,0)</f>
        <v>0</v>
      </c>
      <c r="E4234" t="str">
        <v>D</v>
      </c>
      <c r="F4234">
        <f>IF(AND(F4231=F4232,F4231=F4233,F4232=F4233),F4231,0)</f>
        <v>16</v>
      </c>
      <c r="L4234" t="str">
        <v>Total panjang per balok</v>
      </c>
      <c r="M4234" t="str">
        <v>=</v>
      </c>
      <c r="N4234">
        <f>IF(AND(D4231=D4232,D4231=D4233,D4232=D4233,F4231=F4232,F4231=F4233,F4232=F4233),SUM(N4231:N4233),0)</f>
        <v>0</v>
      </c>
      <c r="O4234" t="str">
        <v>+</v>
      </c>
      <c r="P4234">
        <f>IF(N4234&gt;12,ROUNDDOWN(N4234/12,0),0)</f>
        <v>0</v>
      </c>
      <c r="Q4234" t="str">
        <v>x</v>
      </c>
      <c r="R4234">
        <f>IF(P4234&gt;0,MAX(VLOOKUP(F4234,$D$6:$G$15,3,FALSE),600),0)/1000</f>
        <v>0</v>
      </c>
      <c r="T4234" t="str">
        <v>x</v>
      </c>
      <c r="U4234">
        <f>U4233</f>
        <v>1.57824</v>
      </c>
      <c r="V4234" t="str">
        <v>x</v>
      </c>
      <c r="W4234">
        <f>D4234</f>
        <v>0</v>
      </c>
      <c r="X4234" t="str">
        <v>x</v>
      </c>
      <c r="Y4234">
        <f>Y4233</f>
        <v>1</v>
      </c>
      <c r="Z4234" t="str">
        <v>=</v>
      </c>
      <c r="AA4234">
        <f>(N4234+P4234*R4234/1000)*U4234*W4234*Y4234</f>
        <v>0</v>
      </c>
    </row>
    <row r="4236">
      <c r="A4236" t="str">
        <f>A4224</f>
        <v>Lantai 1</v>
      </c>
      <c r="B4236">
        <f>B4224</f>
        <v>44</v>
      </c>
      <c r="C4236" t="str">
        <v>Tul Peminggang</v>
      </c>
      <c r="D4236">
        <f>VLOOKUP(D4224,'Detail Balok'!$C$10:$AU$110,13,FALSE)</f>
        <v>2</v>
      </c>
      <c r="E4236" t="str">
        <v>D</v>
      </c>
      <c r="F4236">
        <f>VLOOKUP(D4224,'Detail Balok'!$C$10:$AU$110,15,FALSE)</f>
        <v>10</v>
      </c>
      <c r="J4236">
        <f>+D4226/1000</f>
        <v>7.1</v>
      </c>
      <c r="K4236" t="str">
        <v>+</v>
      </c>
      <c r="L4236">
        <f>2*$F$16*F4236/1000</f>
        <v>0.24</v>
      </c>
      <c r="M4236" t="str">
        <v>=</v>
      </c>
      <c r="N4236">
        <f>J4236+L4236</f>
        <v>7.34</v>
      </c>
      <c r="O4236" t="str">
        <v>+</v>
      </c>
      <c r="P4236">
        <f>IF(N4236&gt;12,ROUNDDOWN(N4236/12,0),0)</f>
        <v>0</v>
      </c>
      <c r="Q4236" t="str">
        <v>x</v>
      </c>
      <c r="R4236">
        <f>IF(P4236&gt;0,MAX(VLOOKUP(F4236,$D$6:$G$15,3,FALSE),600),0)/1000</f>
        <v>0</v>
      </c>
      <c r="T4236" t="str">
        <v>x</v>
      </c>
      <c r="U4236">
        <f>0.006165*F4236^2</f>
        <v>0.6165</v>
      </c>
      <c r="V4236" t="str">
        <v>x</v>
      </c>
      <c r="W4236">
        <f>+D4236</f>
        <v>2</v>
      </c>
      <c r="X4236" t="str">
        <v>x</v>
      </c>
      <c r="Y4236">
        <f>D4230</f>
        <v>1</v>
      </c>
      <c r="Z4236" t="str">
        <v>=</v>
      </c>
      <c r="AA4236">
        <f>(N4236+P4236*R4236/1000)*U4236*W4236*Y4236</f>
        <v>9.050220000000001</v>
      </c>
    </row>
    <row r="4239">
      <c r="A4239" t="str">
        <f>A4224</f>
        <v>Lantai 1</v>
      </c>
      <c r="B4239">
        <f>B4224</f>
        <v>44</v>
      </c>
      <c r="C4239" t="str">
        <v>Tul Bawah Tumpuan</v>
      </c>
      <c r="D4239">
        <f>VLOOKUP(D4224,'Detail Balok'!$C$10:$AU$110,22,FALSE)</f>
        <v>2</v>
      </c>
      <c r="E4239" t="str">
        <v>D</v>
      </c>
      <c r="F4239">
        <f>VLOOKUP(D4224,'Detail Balok'!$C$10:$AU$110,24,FALSE)</f>
        <v>16</v>
      </c>
      <c r="I4239" t="str">
        <v>(</v>
      </c>
      <c r="J4239">
        <f>+J4231</f>
        <v>1.775</v>
      </c>
      <c r="K4239" t="str">
        <v>+</v>
      </c>
      <c r="L4239">
        <f>MAX(VLOOKUP(F4239,N$6:P$15,3,FALSE)/1000,2/3*D4229/1000)+F$16*F4239/1000</f>
        <v>0.192</v>
      </c>
      <c r="M4239" t="str">
        <v>=</v>
      </c>
      <c r="N4239">
        <f>J4239+L4239</f>
        <v>1.9669999999999999</v>
      </c>
      <c r="O4239" t="str">
        <v>+</v>
      </c>
      <c r="P4239">
        <f>D4239-D4240</f>
        <v>-2</v>
      </c>
      <c r="Q4239" t="str">
        <v>x</v>
      </c>
      <c r="R4239">
        <f>IF(P4239&gt;0,$F$18*F4239/1000,0)</f>
        <v>0</v>
      </c>
      <c r="S4239" t="str">
        <v>)</v>
      </c>
      <c r="T4239" t="str">
        <v>x</v>
      </c>
      <c r="U4239">
        <f>0.006165*F4239^2</f>
        <v>1.57824</v>
      </c>
      <c r="X4239" t="str">
        <v>x</v>
      </c>
      <c r="Y4239">
        <f>D4230</f>
        <v>1</v>
      </c>
      <c r="Z4239" t="str">
        <v>=</v>
      </c>
      <c r="AA4239">
        <f>IF(AA4242=0,(D4239*N4239+P4239*R4239)*U4239*Y4239,0)</f>
        <v>6.20879616</v>
      </c>
    </row>
    <row r="4240">
      <c r="A4240" t="str">
        <f>A4224</f>
        <v>Lantai 1</v>
      </c>
      <c r="B4240">
        <f>B4224</f>
        <v>44</v>
      </c>
      <c r="C4240" t="str">
        <v>Tul Bawah Lapangan</v>
      </c>
      <c r="D4240">
        <f>VLOOKUP(D4224,'Detail Balok'!$C$10:$AU$110,25,FALSE)</f>
        <v>4</v>
      </c>
      <c r="E4240" t="str">
        <v>D</v>
      </c>
      <c r="F4240">
        <f>VLOOKUP(D4224,'Detail Balok'!$C$10:$AU$110,27,FALSE)</f>
        <v>16</v>
      </c>
      <c r="I4240" t="str">
        <v>(</v>
      </c>
      <c r="J4240">
        <f>+J4232</f>
        <v>3.55</v>
      </c>
      <c r="K4240" t="str">
        <v>+</v>
      </c>
      <c r="M4240" t="str">
        <v>=</v>
      </c>
      <c r="N4240">
        <f>J4240+L4240</f>
        <v>3.55</v>
      </c>
      <c r="O4240" t="str">
        <v>+</v>
      </c>
      <c r="P4240">
        <f>MAX(D4240-D4239,D4240-D4241)</f>
        <v>2</v>
      </c>
      <c r="Q4240" t="str">
        <v>x</v>
      </c>
      <c r="R4240">
        <f>IF(P4240&gt;0,2*(1-2*$F$19-1/2)*D4227/1000,0)</f>
        <v>1.4199999999999997</v>
      </c>
      <c r="S4240" t="str">
        <v>)</v>
      </c>
      <c r="T4240" t="str">
        <v>x</v>
      </c>
      <c r="U4240">
        <f>0.006165*F4240^2</f>
        <v>1.57824</v>
      </c>
      <c r="X4240" t="str">
        <v>x</v>
      </c>
      <c r="Y4240">
        <f>D4230</f>
        <v>1</v>
      </c>
      <c r="Z4240" t="str">
        <v>=</v>
      </c>
      <c r="AA4240">
        <f>IF(AA4242=0,(D4240*N4240+P4240*R4240)*U4240*Y4240,0)</f>
        <v>26.8932096</v>
      </c>
    </row>
    <row r="4241">
      <c r="A4241" t="str">
        <f>A4224</f>
        <v>Lantai 1</v>
      </c>
      <c r="B4241">
        <f>B4224</f>
        <v>44</v>
      </c>
      <c r="C4241" t="str">
        <v>Tul Bawah Tumpuan</v>
      </c>
      <c r="D4241">
        <f>VLOOKUP(D4224,'Detail Balok'!$C$10:$AU$110,28,FALSE)</f>
        <v>4</v>
      </c>
      <c r="E4241" t="str">
        <v>D</v>
      </c>
      <c r="F4241">
        <f>VLOOKUP(D4224,'Detail Balok'!$C$10:$AU$110,30,FALSE)</f>
        <v>16</v>
      </c>
      <c r="I4241" t="str">
        <v>(</v>
      </c>
      <c r="J4241">
        <f>+J4233</f>
        <v>1.775</v>
      </c>
      <c r="K4241" t="str">
        <v>+</v>
      </c>
      <c r="L4241">
        <f>MAX(VLOOKUP(F4241,N$6:P$15,3,FALSE)/1000,2/3*D4229/1000)+F$16*F4241/1000</f>
        <v>0.192</v>
      </c>
      <c r="M4241" t="str">
        <v>=</v>
      </c>
      <c r="N4241">
        <f>J4241+L4241</f>
        <v>1.9669999999999999</v>
      </c>
      <c r="O4241" t="str">
        <v>+</v>
      </c>
      <c r="P4241">
        <f>D4241-D4240</f>
        <v>0</v>
      </c>
      <c r="Q4241" t="str">
        <v>x</v>
      </c>
      <c r="R4241">
        <f>IF(P4241&gt;0,$F$18*F4241/1000,0)</f>
        <v>0</v>
      </c>
      <c r="S4241" t="str">
        <v>)</v>
      </c>
      <c r="T4241" t="str">
        <v>x</v>
      </c>
      <c r="U4241">
        <f>0.006165*F4241^2</f>
        <v>1.57824</v>
      </c>
      <c r="X4241" t="str">
        <v>x</v>
      </c>
      <c r="Y4241">
        <f>D4230</f>
        <v>1</v>
      </c>
      <c r="Z4241" t="str">
        <v>=</v>
      </c>
      <c r="AA4241">
        <f>IF(AA4242=0,(D4241*N4241+P4241*R4241)*U4241*Y4241,0)</f>
        <v>12.41759232</v>
      </c>
    </row>
    <row r="4242">
      <c r="A4242" t="str">
        <f>A4224</f>
        <v>Lantai 1</v>
      </c>
      <c r="B4242">
        <f>B4224</f>
        <v>44</v>
      </c>
      <c r="D4242">
        <f>IF(AND(D4239=D4240,D4240=D4241,D4239=D4241),D4239,0)</f>
        <v>0</v>
      </c>
      <c r="E4242" t="str">
        <v>D</v>
      </c>
      <c r="F4242">
        <f>IF(AND(F4239=F4240,F4239=F4241,F4240=F4241),F4239,0)</f>
        <v>16</v>
      </c>
      <c r="L4242" t="str">
        <v>Total panjang per balok</v>
      </c>
      <c r="M4242" t="str">
        <v>=</v>
      </c>
      <c r="N4242">
        <f>IF(AND(D4239=D4240,D4239=D4241,D4240=D4241,F4239=F4240,F4239=F4241,F4240=F4241),SUM(N4239:N4241),0)</f>
        <v>0</v>
      </c>
      <c r="O4242" t="str">
        <v>+</v>
      </c>
      <c r="P4242">
        <f>IF(N4242&gt;12,ROUNDDOWN(N4242/12,0),0)</f>
        <v>0</v>
      </c>
      <c r="Q4242" t="str">
        <v>x</v>
      </c>
      <c r="R4242">
        <f>IF(P4242&gt;0,MAX(VLOOKUP(F4242,$D$6:$G$15,3,FALSE),600),0)/1000</f>
        <v>0</v>
      </c>
      <c r="T4242" t="str">
        <v>x</v>
      </c>
      <c r="U4242">
        <f>U4241</f>
        <v>1.57824</v>
      </c>
      <c r="V4242" t="str">
        <v>x</v>
      </c>
      <c r="W4242">
        <f>D4242</f>
        <v>0</v>
      </c>
      <c r="X4242" t="str">
        <v>x</v>
      </c>
      <c r="Y4242">
        <f>Y4241</f>
        <v>1</v>
      </c>
      <c r="Z4242" t="str">
        <v>=</v>
      </c>
      <c r="AA4242">
        <f>(N4242+P4242*R4242/1000)*U4242*W4242*Y4242</f>
        <v>0</v>
      </c>
    </row>
    <row r="4244">
      <c r="A4244" t="str">
        <f>A4224</f>
        <v>Lantai 1</v>
      </c>
      <c r="B4244">
        <f>B4224</f>
        <v>44</v>
      </c>
      <c r="C4244" t="str">
        <v>Sengkang Tumpuan</v>
      </c>
      <c r="D4244">
        <f>VLOOKUP(D4224,'Detail Balok'!$C$10:$AU$110,31,FALSE)</f>
        <v>0</v>
      </c>
      <c r="E4244" t="str">
        <v>D</v>
      </c>
      <c r="F4244">
        <f>VLOOKUP(D4224,'Detail Balok'!$C$10:$AU$110,33,FALSE)</f>
        <v>10</v>
      </c>
      <c r="G4244" t="str">
        <v>-</v>
      </c>
      <c r="H4244">
        <f>VLOOKUP(D4224,'Detail Balok'!$C$10:$AU$110,35,FALSE)</f>
        <v>100</v>
      </c>
      <c r="J4244">
        <f>(IF(D4244=0,(2*(D4225+G4225))-(F$5*8),IF(D4244=3,(2*(D4225+G4225))-(F$5*8)+(G4225-2*F$5),IF(D4244=4,(2*(D4225+G4225))-(F$5*8)+2*(G4225-2*F$5)))))/1000</f>
        <v>1.08</v>
      </c>
      <c r="K4244" t="str">
        <v>+</v>
      </c>
      <c r="L4244">
        <f>IF(D4244=0,2*MAX(6*F4244,75),(D4244-1)*2*MAX(6*F4244,75))/1000</f>
        <v>0.15</v>
      </c>
      <c r="M4244" t="str">
        <v>=</v>
      </c>
      <c r="N4244">
        <f>J4244+L4244</f>
        <v>1.23</v>
      </c>
      <c r="T4244" t="str">
        <v>x</v>
      </c>
      <c r="U4244">
        <f>0.006165*F4244^2</f>
        <v>0.6165</v>
      </c>
      <c r="V4244" t="str">
        <v>x</v>
      </c>
      <c r="W4244">
        <f>IF(D4227&gt;4*G4225,ROUND(MAX(D4227/4,2*G4225)/H4244,0)+1,ROUND(D4227/H4244,0)+1)</f>
        <v>19</v>
      </c>
      <c r="X4244" t="str">
        <v>x</v>
      </c>
      <c r="Y4244">
        <f>D4230</f>
        <v>1</v>
      </c>
      <c r="Z4244" t="str">
        <v>=</v>
      </c>
      <c r="AA4244">
        <f>N4244*U4244*W4244*Y4244</f>
        <v>14.407605</v>
      </c>
    </row>
    <row r="4245">
      <c r="A4245" t="str">
        <f>A4224</f>
        <v>Lantai 1</v>
      </c>
      <c r="B4245">
        <f>B4224</f>
        <v>44</v>
      </c>
      <c r="C4245" t="str">
        <v>Sengkang Lapangan</v>
      </c>
      <c r="D4245">
        <f>VLOOKUP(D4224,'Detail Balok'!$C$10:$AU$110,36,FALSE)</f>
        <v>0</v>
      </c>
      <c r="E4245" t="str">
        <v>D</v>
      </c>
      <c r="F4245">
        <f>VLOOKUP(D4224,'Detail Balok'!$C$10:$AU$110,38,FALSE)</f>
        <v>10</v>
      </c>
      <c r="G4245" t="str">
        <v>-</v>
      </c>
      <c r="H4245">
        <f>VLOOKUP(D4224,'Detail Balok'!$C$10:$AU$110,40,FALSE)</f>
        <v>200</v>
      </c>
      <c r="J4245">
        <f>(IF(D4245=0,(2*(D4225+G4225))-(F$5*8),IF(D4245=3,(2*(D4225+G4225))-(F$5*8)+(G4225-2*F$5),IF(D4245=4,(2*(D4225+G4225))-(F$5*8)+2*(G4225-2*F$5)))))/1000</f>
        <v>1.08</v>
      </c>
      <c r="K4245" t="str">
        <v>+</v>
      </c>
      <c r="L4245">
        <f>IF(D4245=0,2*MAX(6*F4245,75),(D4245-1)*2*MAX(6*F4245,75))/1000</f>
        <v>0.15</v>
      </c>
      <c r="M4245" t="str">
        <v>=</v>
      </c>
      <c r="N4245">
        <f>J4245+L4245</f>
        <v>1.23</v>
      </c>
      <c r="T4245" t="str">
        <v>x</v>
      </c>
      <c r="U4245">
        <f>0.006165*F4245^2</f>
        <v>0.6165</v>
      </c>
      <c r="V4245" t="str">
        <v>x</v>
      </c>
      <c r="W4245">
        <f>IF(D4227-MAX(D4227/4,2*G4225)*2&gt;0,ROUND((D4227-MAX(D4227/4,2*G4225)*2)/H4245,0),0)</f>
        <v>18</v>
      </c>
      <c r="X4245" t="str">
        <v>x</v>
      </c>
      <c r="Y4245">
        <f>D4230</f>
        <v>1</v>
      </c>
      <c r="Z4245" t="str">
        <v>=</v>
      </c>
      <c r="AA4245">
        <f>N4245*U4245*W4245*Y4245</f>
        <v>13.649310000000002</v>
      </c>
    </row>
    <row r="4246">
      <c r="A4246" t="str">
        <f>A4224</f>
        <v>Lantai 1</v>
      </c>
      <c r="B4246">
        <f>B4224</f>
        <v>44</v>
      </c>
      <c r="C4246" t="str">
        <v>Sengkang Tumpuan</v>
      </c>
      <c r="D4246">
        <f>VLOOKUP(D4224,'Detail Balok'!$C$10:$AU$110,41,FALSE)</f>
        <v>0</v>
      </c>
      <c r="E4246" t="str">
        <v>D</v>
      </c>
      <c r="F4246">
        <f>VLOOKUP(D4224,'Detail Balok'!$C$10:$AU$110,43,FALSE)</f>
        <v>10</v>
      </c>
      <c r="G4246" t="str">
        <v>-</v>
      </c>
      <c r="H4246">
        <f>VLOOKUP(D4224,'Detail Balok'!$C$10:$AU$110,45,FALSE)</f>
        <v>100</v>
      </c>
      <c r="J4246">
        <f>(IF(D4246=0,(2*(D4225+G4225))-(F$5*8),IF(D4246=3,(2*(D4225+G4225))-(F$5*8)+(G4225-2*F$5),IF(D4246=4,(2*(D4225+G4225))-(F$5*8)+2*(G4225-2*F$5)))))/1000</f>
        <v>1.08</v>
      </c>
      <c r="K4246" t="str">
        <v>+</v>
      </c>
      <c r="L4246">
        <f>IF(D4246=0,2*MAX(6*F4246,75),(D4246-1)*2*MAX(6*F4246,75))/1000</f>
        <v>0.15</v>
      </c>
      <c r="M4246" t="str">
        <v>=</v>
      </c>
      <c r="N4246">
        <f>J4246+L4246</f>
        <v>1.23</v>
      </c>
      <c r="T4246" t="str">
        <v>x</v>
      </c>
      <c r="U4246">
        <f>0.006165*F4246^2</f>
        <v>0.6165</v>
      </c>
      <c r="V4246" t="str">
        <v>x</v>
      </c>
      <c r="W4246">
        <f>IF(D4227&gt;4*G4225,ROUND(MAX(D4227/4,2*G4225)/H4246,0)+1,0)</f>
        <v>19</v>
      </c>
      <c r="X4246" t="str">
        <v>x</v>
      </c>
      <c r="Y4246">
        <f>D4230</f>
        <v>1</v>
      </c>
      <c r="Z4246" t="str">
        <v>=</v>
      </c>
      <c r="AA4246">
        <f>N4246*U4246*W4246*Y4246</f>
        <v>14.407605</v>
      </c>
    </row>
    <row r="4248">
      <c r="A4248" t="str">
        <f>A4224</f>
        <v>Lantai 1</v>
      </c>
      <c r="B4248">
        <f>B4224</f>
        <v>44</v>
      </c>
      <c r="C4248" t="str">
        <v>Kait Horizontal Tump.</v>
      </c>
      <c r="D4248">
        <f>VLOOKUP(D4224,'Detail Balok'!$C$10:$BJ$110,46,FALSE)</f>
        <v>0</v>
      </c>
      <c r="E4248" t="str">
        <v>D</v>
      </c>
      <c r="F4248">
        <f>VLOOKUP(D4224,'Detail Balok'!$C$10:$BJ$110,48,FALSE)</f>
        <v>0</v>
      </c>
      <c r="G4248" t="str">
        <v>-</v>
      </c>
      <c r="H4248">
        <f>VLOOKUP(D4224,'Detail Balok'!$C$10:$BJ$110,50,FALSE)</f>
        <v>100</v>
      </c>
      <c r="J4248">
        <f>(D4225-2*F$5)/1000</f>
        <v>0.12</v>
      </c>
      <c r="K4248" t="str">
        <v>+</v>
      </c>
      <c r="L4248">
        <f>IF(D4248=0,2*MAX(6*F4248,75),(D4248-1)*2*MAX(6*F4248,75))/1000</f>
        <v>0.15</v>
      </c>
      <c r="M4248" t="str">
        <v>=</v>
      </c>
      <c r="N4248">
        <f>J4248+L4248</f>
        <v>0.27</v>
      </c>
      <c r="T4248" t="str">
        <v>x</v>
      </c>
      <c r="U4248">
        <f>0.006165*F4248^2</f>
        <v>0</v>
      </c>
      <c r="V4248" t="str">
        <v>x</v>
      </c>
      <c r="W4248">
        <f>W4244</f>
        <v>19</v>
      </c>
      <c r="X4248" t="str">
        <v>x</v>
      </c>
      <c r="Y4248">
        <f>D4234</f>
        <v>0</v>
      </c>
      <c r="Z4248" t="str">
        <v>=</v>
      </c>
      <c r="AA4248">
        <f>N4248*U4248*W4248*Y4248</f>
        <v>0</v>
      </c>
    </row>
    <row r="4249">
      <c r="A4249" t="str">
        <f>A4224</f>
        <v>Lantai 1</v>
      </c>
      <c r="B4249">
        <f>B4224</f>
        <v>44</v>
      </c>
      <c r="C4249" t="str">
        <v>Kait Horizontal Lap.</v>
      </c>
      <c r="D4249">
        <f>VLOOKUP(D4224,'Detail Balok'!$C$10:$BJ$110,51,FALSE)</f>
        <v>0</v>
      </c>
      <c r="E4249" t="str">
        <v>D</v>
      </c>
      <c r="F4249">
        <f>VLOOKUP(D4224,'Detail Balok'!$C$10:$BJ$110,53,FALSE)</f>
        <v>0</v>
      </c>
      <c r="G4249" t="str">
        <v>-</v>
      </c>
      <c r="H4249">
        <f>VLOOKUP(D4224,'Detail Balok'!$C$10:$BJ$110,55,FALSE)</f>
        <v>100</v>
      </c>
      <c r="J4249">
        <f>(D4225-2*F$5)/1000</f>
        <v>0.12</v>
      </c>
      <c r="K4249" t="str">
        <v>+</v>
      </c>
      <c r="L4249">
        <f>IF(D4249=0,2*MAX(6*F4249,75),(D4249-1)*2*MAX(6*F4249,75))/1000</f>
        <v>0.15</v>
      </c>
      <c r="M4249" t="str">
        <v>=</v>
      </c>
      <c r="N4249">
        <f>J4249+L4249</f>
        <v>0.27</v>
      </c>
      <c r="T4249" t="str">
        <v>x</v>
      </c>
      <c r="U4249">
        <f>0.006165*F4249^2</f>
        <v>0</v>
      </c>
      <c r="V4249" t="str">
        <v>x</v>
      </c>
      <c r="W4249">
        <f>W4245</f>
        <v>18</v>
      </c>
      <c r="X4249" t="str">
        <v>x</v>
      </c>
      <c r="Y4249">
        <f>D4234</f>
        <v>0</v>
      </c>
      <c r="Z4249" t="str">
        <v>=</v>
      </c>
      <c r="AA4249">
        <f>N4249*U4249*W4249*Y4249</f>
        <v>0</v>
      </c>
    </row>
    <row r="4250">
      <c r="A4250" t="str">
        <f>A4224</f>
        <v>Lantai 1</v>
      </c>
      <c r="B4250">
        <f>B4224</f>
        <v>44</v>
      </c>
      <c r="C4250" t="str">
        <v>Kait Horizontal Tump.</v>
      </c>
      <c r="D4250">
        <f>VLOOKUP(D4224,'Detail Balok'!$C$10:$BJ$110,56,FALSE)</f>
        <v>0</v>
      </c>
      <c r="E4250" t="str">
        <v>D</v>
      </c>
      <c r="F4250">
        <f>VLOOKUP(D4224,'Detail Balok'!$C$10:$BJ$110,58,FALSE)</f>
        <v>0</v>
      </c>
      <c r="G4250" t="str">
        <v>-</v>
      </c>
      <c r="H4250">
        <f>VLOOKUP(D4224,'Detail Balok'!$C$10:$BJ$110,60,FALSE)</f>
        <v>100</v>
      </c>
      <c r="J4250">
        <f>(D4225-2*F$5)/1000</f>
        <v>0.12</v>
      </c>
      <c r="K4250" t="str">
        <v>+</v>
      </c>
      <c r="L4250">
        <f>IF(D4250=0,2*MAX(6*F4250,75),(D4250-1)*2*MAX(6*F4250,75))/1000</f>
        <v>0.15</v>
      </c>
      <c r="M4250" t="str">
        <v>=</v>
      </c>
      <c r="N4250">
        <f>J4250+L4250</f>
        <v>0.27</v>
      </c>
      <c r="T4250" t="str">
        <v>x</v>
      </c>
      <c r="U4250">
        <f>0.006165*F4250^2</f>
        <v>0</v>
      </c>
      <c r="V4250" t="str">
        <v>x</v>
      </c>
      <c r="W4250">
        <f>W4246</f>
        <v>19</v>
      </c>
      <c r="X4250" t="str">
        <v>x</v>
      </c>
      <c r="Y4250">
        <f>D4234</f>
        <v>0</v>
      </c>
      <c r="Z4250" t="str">
        <v>=</v>
      </c>
      <c r="AA4250">
        <f>N4250*U4250*W4250*Y4250</f>
        <v>0</v>
      </c>
    </row>
    <row r="4254">
      <c r="A4254" t="str">
        <f>A4224</f>
        <v>Lantai 1</v>
      </c>
      <c r="B4254">
        <f>B4224+1</f>
        <v>45</v>
      </c>
      <c r="C4254" t="str">
        <f>CONCATENATE(A4254," no. ",B4254)</f>
        <v>Lantai 1 no. 45</v>
      </c>
      <c r="D4254" t="str">
        <f>VLOOKUP(C4254,'Data Panjang Balok'!$C$9:$N$424,2,FALSE)</f>
        <v>B25-6</v>
      </c>
    </row>
    <row r="4255">
      <c r="C4255" t="str">
        <v>Dimensi</v>
      </c>
      <c r="D4255">
        <f>VLOOKUP(D4254,'Detail Balok'!$C$10:$AU$110,2,FALSE)</f>
        <v>200</v>
      </c>
      <c r="F4255" t="str">
        <v>x</v>
      </c>
      <c r="G4255">
        <f>VLOOKUP(D4254,'Detail Balok'!$C$10:$AU$110,3,FALSE)</f>
        <v>500</v>
      </c>
    </row>
    <row r="4256">
      <c r="C4256" t="str">
        <v>Panjang as ke as</v>
      </c>
      <c r="D4256">
        <f>VLOOKUP(C4254,'Data Panjang Balok'!$C$9:$N$424,4,FALSE)</f>
        <v>6100</v>
      </c>
    </row>
    <row r="4257">
      <c r="C4257" t="str">
        <v>Panjang netto</v>
      </c>
      <c r="D4257">
        <f>VLOOKUP(C4254,'Data Panjang Balok'!$C$9:$N$424,7,FALSE)</f>
        <v>6100</v>
      </c>
    </row>
    <row r="4258">
      <c r="C4258" t="str">
        <v>Kolom / balok kiri</v>
      </c>
      <c r="D4258">
        <f>VLOOKUP(C4254,'Data Panjang Balok'!$C$9:$N$424,9,FALSE)</f>
        <v>0</v>
      </c>
    </row>
    <row r="4259">
      <c r="C4259" t="str">
        <v>Kolom / balok kanan</v>
      </c>
      <c r="D4259">
        <f>VLOOKUP(C4254,'Data Panjang Balok'!$C$9:$N$424,10,FALSE)</f>
        <v>0</v>
      </c>
    </row>
    <row r="4260">
      <c r="C4260" t="str">
        <v>Jumlah</v>
      </c>
      <c r="D4260">
        <f>VLOOKUP(C4254,'Data Panjang Balok'!$C$9:$N$424,3,FALSE)</f>
        <v>1</v>
      </c>
    </row>
    <row r="4261">
      <c r="A4261" t="str">
        <f>A4254</f>
        <v>Lantai 1</v>
      </c>
      <c r="B4261">
        <f>B4254</f>
        <v>45</v>
      </c>
      <c r="C4261" t="str">
        <v>Tul Atas Tumpuan</v>
      </c>
      <c r="D4261">
        <f>VLOOKUP(D4254,'Detail Balok'!$C$10:$AU$110,4,FALSE)</f>
        <v>4</v>
      </c>
      <c r="E4261" t="str">
        <v>D</v>
      </c>
      <c r="F4261">
        <f>VLOOKUP(D4254,'Detail Balok'!$C$10:$AU$110,6,FALSE)</f>
        <v>16</v>
      </c>
      <c r="I4261" t="str">
        <v>(</v>
      </c>
      <c r="J4261">
        <f>+D4256/4/1000</f>
        <v>1.525</v>
      </c>
      <c r="K4261" t="str">
        <v>+</v>
      </c>
      <c r="L4261">
        <f>MAX(VLOOKUP(F4261,N$6:P$15,3,FALSE)/1000,2/3*D4258/1000)+F$16*F4261/1000</f>
        <v>0.192</v>
      </c>
      <c r="M4261" t="str">
        <v>=</v>
      </c>
      <c r="N4261">
        <f>J4261+L4261</f>
        <v>1.7169999999999999</v>
      </c>
      <c r="O4261" t="str">
        <v>+</v>
      </c>
      <c r="P4261">
        <f>D4261-D4262</f>
        <v>2</v>
      </c>
      <c r="Q4261" t="str">
        <v>x</v>
      </c>
      <c r="R4261">
        <f>IF(P4261&gt;0,$F$18*F4261/1000,0)</f>
        <v>0.24</v>
      </c>
      <c r="S4261" t="str">
        <v>)</v>
      </c>
      <c r="T4261" t="str">
        <v>x</v>
      </c>
      <c r="U4261">
        <f>0.006165*F4261^2</f>
        <v>1.57824</v>
      </c>
      <c r="X4261" t="str">
        <v>x</v>
      </c>
      <c r="Y4261">
        <f>D4260</f>
        <v>1</v>
      </c>
      <c r="Z4261" t="str">
        <v>=</v>
      </c>
      <c r="AA4261">
        <f>IF(AA4264=0,(D4261*N4261+P4261*R4261)*U4261*Y4261,0)</f>
        <v>11.596907519999998</v>
      </c>
    </row>
    <row r="4262">
      <c r="A4262" t="str">
        <f>A4254</f>
        <v>Lantai 1</v>
      </c>
      <c r="B4262">
        <f>B4254</f>
        <v>45</v>
      </c>
      <c r="C4262" t="str">
        <v>Tul Atas Lapangan</v>
      </c>
      <c r="D4262">
        <f>VLOOKUP(D4254,'Detail Balok'!$C$10:$AU$110,7,FALSE)</f>
        <v>2</v>
      </c>
      <c r="E4262" t="str">
        <v>D</v>
      </c>
      <c r="F4262">
        <f>VLOOKUP(D4254,'Detail Balok'!$C$10:$AU$110,9,FALSE)</f>
        <v>16</v>
      </c>
      <c r="I4262" t="str">
        <v>(</v>
      </c>
      <c r="J4262">
        <f>+D4256/2/1000</f>
        <v>3.05</v>
      </c>
      <c r="K4262" t="str">
        <v>+</v>
      </c>
      <c r="M4262" t="str">
        <v>=</v>
      </c>
      <c r="N4262">
        <f>J4262+L4262</f>
        <v>3.05</v>
      </c>
      <c r="O4262" t="str">
        <v>+</v>
      </c>
      <c r="P4262">
        <f>MAX(D4262-D4261,D4262-D4263)</f>
        <v>-2</v>
      </c>
      <c r="Q4262" t="str">
        <v>x</v>
      </c>
      <c r="R4262">
        <f>IF(P4262&gt;0,2*(1-2*$F$19-1/2)*D4257/1000,0)</f>
        <v>0</v>
      </c>
      <c r="S4262" t="str">
        <v>)</v>
      </c>
      <c r="T4262" t="str">
        <v>x</v>
      </c>
      <c r="U4262">
        <f>0.006165*F4262^2</f>
        <v>1.57824</v>
      </c>
      <c r="X4262" t="str">
        <v>x</v>
      </c>
      <c r="Y4262">
        <f>D4260</f>
        <v>1</v>
      </c>
      <c r="Z4262" t="str">
        <v>=</v>
      </c>
      <c r="AA4262">
        <f>IF(AA4264=0,(D4262*N4262+P4262*R4262)*U4262*Y4262,0)</f>
        <v>9.627264</v>
      </c>
    </row>
    <row r="4263">
      <c r="A4263" t="str">
        <f>A4254</f>
        <v>Lantai 1</v>
      </c>
      <c r="B4263">
        <f>B4254</f>
        <v>45</v>
      </c>
      <c r="C4263" t="str">
        <v>Tul Atas Tumpuan</v>
      </c>
      <c r="D4263">
        <f>VLOOKUP(D4254,'Detail Balok'!$C$10:$AU$110,10,FALSE)</f>
        <v>4</v>
      </c>
      <c r="E4263" t="str">
        <v>D</v>
      </c>
      <c r="F4263">
        <f>VLOOKUP(D4254,'Detail Balok'!$C$10:$AU$110,12,FALSE)</f>
        <v>16</v>
      </c>
      <c r="I4263" t="str">
        <v>(</v>
      </c>
      <c r="J4263">
        <f>+D4256/4/1000</f>
        <v>1.525</v>
      </c>
      <c r="K4263" t="str">
        <v>+</v>
      </c>
      <c r="L4263">
        <f>MAX(VLOOKUP(F4263,N$6:P$15,3,FALSE)/1000,2/3*D4258/1000)+F$16*F4263/1000</f>
        <v>0.192</v>
      </c>
      <c r="M4263" t="str">
        <v>=</v>
      </c>
      <c r="N4263">
        <f>J4263+L4263</f>
        <v>1.7169999999999999</v>
      </c>
      <c r="O4263" t="str">
        <v>+</v>
      </c>
      <c r="P4263">
        <f>D4263-D4262</f>
        <v>2</v>
      </c>
      <c r="Q4263" t="str">
        <v>x</v>
      </c>
      <c r="R4263">
        <f>IF(P4263&gt;0,$F$18*F4263/1000,0)</f>
        <v>0.24</v>
      </c>
      <c r="S4263" t="str">
        <v>)</v>
      </c>
      <c r="T4263" t="str">
        <v>x</v>
      </c>
      <c r="U4263">
        <f>0.006165*F4263^2</f>
        <v>1.57824</v>
      </c>
      <c r="X4263" t="str">
        <v>x</v>
      </c>
      <c r="Y4263">
        <f>D4260</f>
        <v>1</v>
      </c>
      <c r="Z4263" t="str">
        <v>=</v>
      </c>
      <c r="AA4263">
        <f>IF(AA4264=0,(D4263*N4263+P4263*R4263)*U4263*Y4263,0)</f>
        <v>11.596907519999998</v>
      </c>
    </row>
    <row r="4264">
      <c r="A4264" t="str">
        <f>A4254</f>
        <v>Lantai 1</v>
      </c>
      <c r="B4264">
        <f>B4254</f>
        <v>45</v>
      </c>
      <c r="D4264">
        <f>IF(AND(D4261=D4262,D4262=D4263,D4261=D4263),D4261,0)</f>
        <v>0</v>
      </c>
      <c r="E4264" t="str">
        <v>D</v>
      </c>
      <c r="F4264">
        <f>IF(AND(F4261=F4262,F4261=F4263,F4262=F4263),F4261,0)</f>
        <v>16</v>
      </c>
      <c r="L4264" t="str">
        <v>Total panjang per balok</v>
      </c>
      <c r="M4264" t="str">
        <v>=</v>
      </c>
      <c r="N4264">
        <f>IF(AND(D4261=D4262,D4261=D4263,D4262=D4263,F4261=F4262,F4261=F4263,F4262=F4263),SUM(N4261:N4263),0)</f>
        <v>0</v>
      </c>
      <c r="O4264" t="str">
        <v>+</v>
      </c>
      <c r="P4264">
        <f>IF(N4264&gt;12,ROUNDDOWN(N4264/12,0),0)</f>
        <v>0</v>
      </c>
      <c r="Q4264" t="str">
        <v>x</v>
      </c>
      <c r="R4264">
        <f>IF(P4264&gt;0,MAX(VLOOKUP(F4264,$D$6:$G$15,3,FALSE),600),0)/1000</f>
        <v>0</v>
      </c>
      <c r="T4264" t="str">
        <v>x</v>
      </c>
      <c r="U4264">
        <f>U4263</f>
        <v>1.57824</v>
      </c>
      <c r="V4264" t="str">
        <v>x</v>
      </c>
      <c r="W4264">
        <f>D4264</f>
        <v>0</v>
      </c>
      <c r="X4264" t="str">
        <v>x</v>
      </c>
      <c r="Y4264">
        <f>Y4263</f>
        <v>1</v>
      </c>
      <c r="Z4264" t="str">
        <v>=</v>
      </c>
      <c r="AA4264">
        <f>(N4264+P4264*R4264/1000)*U4264*W4264*Y4264</f>
        <v>0</v>
      </c>
    </row>
    <row r="4266">
      <c r="A4266" t="str">
        <f>A4254</f>
        <v>Lantai 1</v>
      </c>
      <c r="B4266">
        <f>B4254</f>
        <v>45</v>
      </c>
      <c r="C4266" t="str">
        <v>Tul Peminggang</v>
      </c>
      <c r="D4266">
        <f>VLOOKUP(D4254,'Detail Balok'!$C$10:$AU$110,13,FALSE)</f>
        <v>2</v>
      </c>
      <c r="E4266" t="str">
        <v>D</v>
      </c>
      <c r="F4266">
        <f>VLOOKUP(D4254,'Detail Balok'!$C$10:$AU$110,15,FALSE)</f>
        <v>10</v>
      </c>
      <c r="J4266">
        <f>+D4256/1000</f>
        <v>6.1</v>
      </c>
      <c r="K4266" t="str">
        <v>+</v>
      </c>
      <c r="L4266">
        <f>2*$F$16*F4266/1000</f>
        <v>0.24</v>
      </c>
      <c r="M4266" t="str">
        <v>=</v>
      </c>
      <c r="N4266">
        <f>J4266+L4266</f>
        <v>6.34</v>
      </c>
      <c r="O4266" t="str">
        <v>+</v>
      </c>
      <c r="P4266">
        <f>IF(N4266&gt;12,ROUNDDOWN(N4266/12,0),0)</f>
        <v>0</v>
      </c>
      <c r="Q4266" t="str">
        <v>x</v>
      </c>
      <c r="R4266">
        <f>IF(P4266&gt;0,MAX(VLOOKUP(F4266,$D$6:$G$15,3,FALSE),600),0)/1000</f>
        <v>0</v>
      </c>
      <c r="T4266" t="str">
        <v>x</v>
      </c>
      <c r="U4266">
        <f>0.006165*F4266^2</f>
        <v>0.6165</v>
      </c>
      <c r="V4266" t="str">
        <v>x</v>
      </c>
      <c r="W4266">
        <f>+D4266</f>
        <v>2</v>
      </c>
      <c r="X4266" t="str">
        <v>x</v>
      </c>
      <c r="Y4266">
        <f>D4260</f>
        <v>1</v>
      </c>
      <c r="Z4266" t="str">
        <v>=</v>
      </c>
      <c r="AA4266">
        <f>(N4266+P4266*R4266/1000)*U4266*W4266*Y4266</f>
        <v>7.817220000000001</v>
      </c>
    </row>
    <row r="4269">
      <c r="A4269" t="str">
        <f>A4254</f>
        <v>Lantai 1</v>
      </c>
      <c r="B4269">
        <f>B4254</f>
        <v>45</v>
      </c>
      <c r="C4269" t="str">
        <v>Tul Bawah Tumpuan</v>
      </c>
      <c r="D4269">
        <f>VLOOKUP(D4254,'Detail Balok'!$C$10:$AU$110,22,FALSE)</f>
        <v>2</v>
      </c>
      <c r="E4269" t="str">
        <v>D</v>
      </c>
      <c r="F4269">
        <f>VLOOKUP(D4254,'Detail Balok'!$C$10:$AU$110,24,FALSE)</f>
        <v>16</v>
      </c>
      <c r="I4269" t="str">
        <v>(</v>
      </c>
      <c r="J4269">
        <f>+J4261</f>
        <v>1.525</v>
      </c>
      <c r="K4269" t="str">
        <v>+</v>
      </c>
      <c r="L4269">
        <f>MAX(VLOOKUP(F4269,N$6:P$15,3,FALSE)/1000,2/3*D4259/1000)+F$16*F4269/1000</f>
        <v>0.192</v>
      </c>
      <c r="M4269" t="str">
        <v>=</v>
      </c>
      <c r="N4269">
        <f>J4269+L4269</f>
        <v>1.7169999999999999</v>
      </c>
      <c r="O4269" t="str">
        <v>+</v>
      </c>
      <c r="P4269">
        <f>D4269-D4270</f>
        <v>-2</v>
      </c>
      <c r="Q4269" t="str">
        <v>x</v>
      </c>
      <c r="R4269">
        <f>IF(P4269&gt;0,$F$18*F4269/1000,0)</f>
        <v>0</v>
      </c>
      <c r="S4269" t="str">
        <v>)</v>
      </c>
      <c r="T4269" t="str">
        <v>x</v>
      </c>
      <c r="U4269">
        <f>0.006165*F4269^2</f>
        <v>1.57824</v>
      </c>
      <c r="X4269" t="str">
        <v>x</v>
      </c>
      <c r="Y4269">
        <f>D4260</f>
        <v>1</v>
      </c>
      <c r="Z4269" t="str">
        <v>=</v>
      </c>
      <c r="AA4269">
        <f>IF(AA4272=0,(D4269*N4269+P4269*R4269)*U4269*Y4269,0)</f>
        <v>5.41967616</v>
      </c>
    </row>
    <row r="4270">
      <c r="A4270" t="str">
        <f>A4254</f>
        <v>Lantai 1</v>
      </c>
      <c r="B4270">
        <f>B4254</f>
        <v>45</v>
      </c>
      <c r="C4270" t="str">
        <v>Tul Bawah Lapangan</v>
      </c>
      <c r="D4270">
        <f>VLOOKUP(D4254,'Detail Balok'!$C$10:$AU$110,25,FALSE)</f>
        <v>4</v>
      </c>
      <c r="E4270" t="str">
        <v>D</v>
      </c>
      <c r="F4270">
        <f>VLOOKUP(D4254,'Detail Balok'!$C$10:$AU$110,27,FALSE)</f>
        <v>16</v>
      </c>
      <c r="I4270" t="str">
        <v>(</v>
      </c>
      <c r="J4270">
        <f>+J4262</f>
        <v>3.05</v>
      </c>
      <c r="K4270" t="str">
        <v>+</v>
      </c>
      <c r="M4270" t="str">
        <v>=</v>
      </c>
      <c r="N4270">
        <f>J4270+L4270</f>
        <v>3.05</v>
      </c>
      <c r="O4270" t="str">
        <v>+</v>
      </c>
      <c r="P4270">
        <f>MAX(D4270-D4269,D4270-D4271)</f>
        <v>2</v>
      </c>
      <c r="Q4270" t="str">
        <v>x</v>
      </c>
      <c r="R4270">
        <f>IF(P4270&gt;0,2*(1-2*$F$19-1/2)*D4257/1000,0)</f>
        <v>1.2199999999999998</v>
      </c>
      <c r="S4270" t="str">
        <v>)</v>
      </c>
      <c r="T4270" t="str">
        <v>x</v>
      </c>
      <c r="U4270">
        <f>0.006165*F4270^2</f>
        <v>1.57824</v>
      </c>
      <c r="X4270" t="str">
        <v>x</v>
      </c>
      <c r="Y4270">
        <f>D4260</f>
        <v>1</v>
      </c>
      <c r="Z4270" t="str">
        <v>=</v>
      </c>
      <c r="AA4270">
        <f>IF(AA4272=0,(D4270*N4270+P4270*R4270)*U4270*Y4270,0)</f>
        <v>23.105433599999998</v>
      </c>
    </row>
    <row r="4271">
      <c r="A4271" t="str">
        <f>A4254</f>
        <v>Lantai 1</v>
      </c>
      <c r="B4271">
        <f>B4254</f>
        <v>45</v>
      </c>
      <c r="C4271" t="str">
        <v>Tul Bawah Tumpuan</v>
      </c>
      <c r="D4271">
        <f>VLOOKUP(D4254,'Detail Balok'!$C$10:$AU$110,28,FALSE)</f>
        <v>4</v>
      </c>
      <c r="E4271" t="str">
        <v>D</v>
      </c>
      <c r="F4271">
        <f>VLOOKUP(D4254,'Detail Balok'!$C$10:$AU$110,30,FALSE)</f>
        <v>16</v>
      </c>
      <c r="I4271" t="str">
        <v>(</v>
      </c>
      <c r="J4271">
        <f>+J4263</f>
        <v>1.525</v>
      </c>
      <c r="K4271" t="str">
        <v>+</v>
      </c>
      <c r="L4271">
        <f>MAX(VLOOKUP(F4271,N$6:P$15,3,FALSE)/1000,2/3*D4259/1000)+F$16*F4271/1000</f>
        <v>0.192</v>
      </c>
      <c r="M4271" t="str">
        <v>=</v>
      </c>
      <c r="N4271">
        <f>J4271+L4271</f>
        <v>1.7169999999999999</v>
      </c>
      <c r="O4271" t="str">
        <v>+</v>
      </c>
      <c r="P4271">
        <f>D4271-D4270</f>
        <v>0</v>
      </c>
      <c r="Q4271" t="str">
        <v>x</v>
      </c>
      <c r="R4271">
        <f>IF(P4271&gt;0,$F$18*F4271/1000,0)</f>
        <v>0</v>
      </c>
      <c r="S4271" t="str">
        <v>)</v>
      </c>
      <c r="T4271" t="str">
        <v>x</v>
      </c>
      <c r="U4271">
        <f>0.006165*F4271^2</f>
        <v>1.57824</v>
      </c>
      <c r="X4271" t="str">
        <v>x</v>
      </c>
      <c r="Y4271">
        <f>D4260</f>
        <v>1</v>
      </c>
      <c r="Z4271" t="str">
        <v>=</v>
      </c>
      <c r="AA4271">
        <f>IF(AA4272=0,(D4271*N4271+P4271*R4271)*U4271*Y4271,0)</f>
        <v>10.83935232</v>
      </c>
    </row>
    <row r="4272">
      <c r="A4272" t="str">
        <f>A4254</f>
        <v>Lantai 1</v>
      </c>
      <c r="B4272">
        <f>B4254</f>
        <v>45</v>
      </c>
      <c r="D4272">
        <f>IF(AND(D4269=D4270,D4270=D4271,D4269=D4271),D4269,0)</f>
        <v>0</v>
      </c>
      <c r="E4272" t="str">
        <v>D</v>
      </c>
      <c r="F4272">
        <f>IF(AND(F4269=F4270,F4269=F4271,F4270=F4271),F4269,0)</f>
        <v>16</v>
      </c>
      <c r="L4272" t="str">
        <v>Total panjang per balok</v>
      </c>
      <c r="M4272" t="str">
        <v>=</v>
      </c>
      <c r="N4272">
        <f>IF(AND(D4269=D4270,D4269=D4271,D4270=D4271,F4269=F4270,F4269=F4271,F4270=F4271),SUM(N4269:N4271),0)</f>
        <v>0</v>
      </c>
      <c r="O4272" t="str">
        <v>+</v>
      </c>
      <c r="P4272">
        <f>IF(N4272&gt;12,ROUNDDOWN(N4272/12,0),0)</f>
        <v>0</v>
      </c>
      <c r="Q4272" t="str">
        <v>x</v>
      </c>
      <c r="R4272">
        <f>IF(P4272&gt;0,MAX(VLOOKUP(F4272,$D$6:$G$15,3,FALSE),600),0)/1000</f>
        <v>0</v>
      </c>
      <c r="T4272" t="str">
        <v>x</v>
      </c>
      <c r="U4272">
        <f>U4271</f>
        <v>1.57824</v>
      </c>
      <c r="V4272" t="str">
        <v>x</v>
      </c>
      <c r="W4272">
        <f>D4272</f>
        <v>0</v>
      </c>
      <c r="X4272" t="str">
        <v>x</v>
      </c>
      <c r="Y4272">
        <f>Y4271</f>
        <v>1</v>
      </c>
      <c r="Z4272" t="str">
        <v>=</v>
      </c>
      <c r="AA4272">
        <f>(N4272+P4272*R4272/1000)*U4272*W4272*Y4272</f>
        <v>0</v>
      </c>
    </row>
    <row r="4274">
      <c r="A4274" t="str">
        <f>A4254</f>
        <v>Lantai 1</v>
      </c>
      <c r="B4274">
        <f>B4254</f>
        <v>45</v>
      </c>
      <c r="C4274" t="str">
        <v>Sengkang Tumpuan</v>
      </c>
      <c r="D4274">
        <f>VLOOKUP(D4254,'Detail Balok'!$C$10:$AU$110,31,FALSE)</f>
        <v>0</v>
      </c>
      <c r="E4274" t="str">
        <v>D</v>
      </c>
      <c r="F4274">
        <f>VLOOKUP(D4254,'Detail Balok'!$C$10:$AU$110,33,FALSE)</f>
        <v>10</v>
      </c>
      <c r="G4274" t="str">
        <v>-</v>
      </c>
      <c r="H4274">
        <f>VLOOKUP(D4254,'Detail Balok'!$C$10:$AU$110,35,FALSE)</f>
        <v>100</v>
      </c>
      <c r="J4274">
        <f>(IF(D4274=0,(2*(D4255+G4255))-(F$5*8),IF(D4274=3,(2*(D4255+G4255))-(F$5*8)+(G4255-2*F$5),IF(D4274=4,(2*(D4255+G4255))-(F$5*8)+2*(G4255-2*F$5)))))/1000</f>
        <v>1.08</v>
      </c>
      <c r="K4274" t="str">
        <v>+</v>
      </c>
      <c r="L4274">
        <f>IF(D4274=0,2*MAX(6*F4274,75),(D4274-1)*2*MAX(6*F4274,75))/1000</f>
        <v>0.15</v>
      </c>
      <c r="M4274" t="str">
        <v>=</v>
      </c>
      <c r="N4274">
        <f>J4274+L4274</f>
        <v>1.23</v>
      </c>
      <c r="T4274" t="str">
        <v>x</v>
      </c>
      <c r="U4274">
        <f>0.006165*F4274^2</f>
        <v>0.6165</v>
      </c>
      <c r="V4274" t="str">
        <v>x</v>
      </c>
      <c r="W4274">
        <f>IF(D4257&gt;4*G4255,ROUND(MAX(D4257/4,2*G4255)/H4274,0)+1,ROUND(D4257/H4274,0)+1)</f>
        <v>16</v>
      </c>
      <c r="X4274" t="str">
        <v>x</v>
      </c>
      <c r="Y4274">
        <f>D4260</f>
        <v>1</v>
      </c>
      <c r="Z4274" t="str">
        <v>=</v>
      </c>
      <c r="AA4274">
        <f>N4274*U4274*W4274*Y4274</f>
        <v>12.13272</v>
      </c>
    </row>
    <row r="4275">
      <c r="A4275" t="str">
        <f>A4254</f>
        <v>Lantai 1</v>
      </c>
      <c r="B4275">
        <f>B4254</f>
        <v>45</v>
      </c>
      <c r="C4275" t="str">
        <v>Sengkang Lapangan</v>
      </c>
      <c r="D4275">
        <f>VLOOKUP(D4254,'Detail Balok'!$C$10:$AU$110,36,FALSE)</f>
        <v>0</v>
      </c>
      <c r="E4275" t="str">
        <v>D</v>
      </c>
      <c r="F4275">
        <f>VLOOKUP(D4254,'Detail Balok'!$C$10:$AU$110,38,FALSE)</f>
        <v>10</v>
      </c>
      <c r="G4275" t="str">
        <v>-</v>
      </c>
      <c r="H4275">
        <f>VLOOKUP(D4254,'Detail Balok'!$C$10:$AU$110,40,FALSE)</f>
        <v>200</v>
      </c>
      <c r="J4275">
        <f>(IF(D4275=0,(2*(D4255+G4255))-(F$5*8),IF(D4275=3,(2*(D4255+G4255))-(F$5*8)+(G4255-2*F$5),IF(D4275=4,(2*(D4255+G4255))-(F$5*8)+2*(G4255-2*F$5)))))/1000</f>
        <v>1.08</v>
      </c>
      <c r="K4275" t="str">
        <v>+</v>
      </c>
      <c r="L4275">
        <f>IF(D4275=0,2*MAX(6*F4275,75),(D4275-1)*2*MAX(6*F4275,75))/1000</f>
        <v>0.15</v>
      </c>
      <c r="M4275" t="str">
        <v>=</v>
      </c>
      <c r="N4275">
        <f>J4275+L4275</f>
        <v>1.23</v>
      </c>
      <c r="T4275" t="str">
        <v>x</v>
      </c>
      <c r="U4275">
        <f>0.006165*F4275^2</f>
        <v>0.6165</v>
      </c>
      <c r="V4275" t="str">
        <v>x</v>
      </c>
      <c r="W4275">
        <f>IF(D4257-MAX(D4257/4,2*G4255)*2&gt;0,ROUND((D4257-MAX(D4257/4,2*G4255)*2)/H4275,0),0)</f>
        <v>15</v>
      </c>
      <c r="X4275" t="str">
        <v>x</v>
      </c>
      <c r="Y4275">
        <f>D4260</f>
        <v>1</v>
      </c>
      <c r="Z4275" t="str">
        <v>=</v>
      </c>
      <c r="AA4275">
        <f>N4275*U4275*W4275*Y4275</f>
        <v>11.374425</v>
      </c>
    </row>
    <row r="4276">
      <c r="A4276" t="str">
        <f>A4254</f>
        <v>Lantai 1</v>
      </c>
      <c r="B4276">
        <f>B4254</f>
        <v>45</v>
      </c>
      <c r="C4276" t="str">
        <v>Sengkang Tumpuan</v>
      </c>
      <c r="D4276">
        <f>VLOOKUP(D4254,'Detail Balok'!$C$10:$AU$110,41,FALSE)</f>
        <v>0</v>
      </c>
      <c r="E4276" t="str">
        <v>D</v>
      </c>
      <c r="F4276">
        <f>VLOOKUP(D4254,'Detail Balok'!$C$10:$AU$110,43,FALSE)</f>
        <v>10</v>
      </c>
      <c r="G4276" t="str">
        <v>-</v>
      </c>
      <c r="H4276">
        <f>VLOOKUP(D4254,'Detail Balok'!$C$10:$AU$110,45,FALSE)</f>
        <v>100</v>
      </c>
      <c r="J4276">
        <f>(IF(D4276=0,(2*(D4255+G4255))-(F$5*8),IF(D4276=3,(2*(D4255+G4255))-(F$5*8)+(G4255-2*F$5),IF(D4276=4,(2*(D4255+G4255))-(F$5*8)+2*(G4255-2*F$5)))))/1000</f>
        <v>1.08</v>
      </c>
      <c r="K4276" t="str">
        <v>+</v>
      </c>
      <c r="L4276">
        <f>IF(D4276=0,2*MAX(6*F4276,75),(D4276-1)*2*MAX(6*F4276,75))/1000</f>
        <v>0.15</v>
      </c>
      <c r="M4276" t="str">
        <v>=</v>
      </c>
      <c r="N4276">
        <f>J4276+L4276</f>
        <v>1.23</v>
      </c>
      <c r="T4276" t="str">
        <v>x</v>
      </c>
      <c r="U4276">
        <f>0.006165*F4276^2</f>
        <v>0.6165</v>
      </c>
      <c r="V4276" t="str">
        <v>x</v>
      </c>
      <c r="W4276">
        <f>IF(D4257&gt;4*G4255,ROUND(MAX(D4257/4,2*G4255)/H4276,0)+1,0)</f>
        <v>16</v>
      </c>
      <c r="X4276" t="str">
        <v>x</v>
      </c>
      <c r="Y4276">
        <f>D4260</f>
        <v>1</v>
      </c>
      <c r="Z4276" t="str">
        <v>=</v>
      </c>
      <c r="AA4276">
        <f>N4276*U4276*W4276*Y4276</f>
        <v>12.13272</v>
      </c>
    </row>
    <row r="4278">
      <c r="A4278" t="str">
        <f>A4254</f>
        <v>Lantai 1</v>
      </c>
      <c r="B4278">
        <f>B4254</f>
        <v>45</v>
      </c>
      <c r="C4278" t="str">
        <v>Kait Horizontal Tump.</v>
      </c>
      <c r="D4278">
        <f>VLOOKUP(D4254,'Detail Balok'!$C$10:$BJ$110,46,FALSE)</f>
        <v>0</v>
      </c>
      <c r="E4278" t="str">
        <v>D</v>
      </c>
      <c r="F4278">
        <f>VLOOKUP(D4254,'Detail Balok'!$C$10:$BJ$110,48,FALSE)</f>
        <v>0</v>
      </c>
      <c r="G4278" t="str">
        <v>-</v>
      </c>
      <c r="H4278">
        <f>VLOOKUP(D4254,'Detail Balok'!$C$10:$BJ$110,50,FALSE)</f>
        <v>100</v>
      </c>
      <c r="J4278">
        <f>(D4255-2*F$5)/1000</f>
        <v>0.12</v>
      </c>
      <c r="K4278" t="str">
        <v>+</v>
      </c>
      <c r="L4278">
        <f>IF(D4278=0,2*MAX(6*F4278,75),(D4278-1)*2*MAX(6*F4278,75))/1000</f>
        <v>0.15</v>
      </c>
      <c r="M4278" t="str">
        <v>=</v>
      </c>
      <c r="N4278">
        <f>J4278+L4278</f>
        <v>0.27</v>
      </c>
      <c r="T4278" t="str">
        <v>x</v>
      </c>
      <c r="U4278">
        <f>0.006165*F4278^2</f>
        <v>0</v>
      </c>
      <c r="V4278" t="str">
        <v>x</v>
      </c>
      <c r="W4278">
        <f>W4274</f>
        <v>16</v>
      </c>
      <c r="X4278" t="str">
        <v>x</v>
      </c>
      <c r="Y4278">
        <f>D4264</f>
        <v>0</v>
      </c>
      <c r="Z4278" t="str">
        <v>=</v>
      </c>
      <c r="AA4278">
        <f>N4278*U4278*W4278*Y4278</f>
        <v>0</v>
      </c>
    </row>
    <row r="4279">
      <c r="A4279" t="str">
        <f>A4254</f>
        <v>Lantai 1</v>
      </c>
      <c r="B4279">
        <f>B4254</f>
        <v>45</v>
      </c>
      <c r="C4279" t="str">
        <v>Kait Horizontal Lap.</v>
      </c>
      <c r="D4279">
        <f>VLOOKUP(D4254,'Detail Balok'!$C$10:$BJ$110,51,FALSE)</f>
        <v>0</v>
      </c>
      <c r="E4279" t="str">
        <v>D</v>
      </c>
      <c r="F4279">
        <f>VLOOKUP(D4254,'Detail Balok'!$C$10:$BJ$110,53,FALSE)</f>
        <v>0</v>
      </c>
      <c r="G4279" t="str">
        <v>-</v>
      </c>
      <c r="H4279">
        <f>VLOOKUP(D4254,'Detail Balok'!$C$10:$BJ$110,55,FALSE)</f>
        <v>100</v>
      </c>
      <c r="J4279">
        <f>(D4255-2*F$5)/1000</f>
        <v>0.12</v>
      </c>
      <c r="K4279" t="str">
        <v>+</v>
      </c>
      <c r="L4279">
        <f>IF(D4279=0,2*MAX(6*F4279,75),(D4279-1)*2*MAX(6*F4279,75))/1000</f>
        <v>0.15</v>
      </c>
      <c r="M4279" t="str">
        <v>=</v>
      </c>
      <c r="N4279">
        <f>J4279+L4279</f>
        <v>0.27</v>
      </c>
      <c r="T4279" t="str">
        <v>x</v>
      </c>
      <c r="U4279">
        <f>0.006165*F4279^2</f>
        <v>0</v>
      </c>
      <c r="V4279" t="str">
        <v>x</v>
      </c>
      <c r="W4279">
        <f>W4275</f>
        <v>15</v>
      </c>
      <c r="X4279" t="str">
        <v>x</v>
      </c>
      <c r="Y4279">
        <f>D4264</f>
        <v>0</v>
      </c>
      <c r="Z4279" t="str">
        <v>=</v>
      </c>
      <c r="AA4279">
        <f>N4279*U4279*W4279*Y4279</f>
        <v>0</v>
      </c>
    </row>
    <row r="4280">
      <c r="A4280" t="str">
        <f>A4254</f>
        <v>Lantai 1</v>
      </c>
      <c r="B4280">
        <f>B4254</f>
        <v>45</v>
      </c>
      <c r="C4280" t="str">
        <v>Kait Horizontal Tump.</v>
      </c>
      <c r="D4280">
        <f>VLOOKUP(D4254,'Detail Balok'!$C$10:$BJ$110,56,FALSE)</f>
        <v>0</v>
      </c>
      <c r="E4280" t="str">
        <v>D</v>
      </c>
      <c r="F4280">
        <f>VLOOKUP(D4254,'Detail Balok'!$C$10:$BJ$110,58,FALSE)</f>
        <v>0</v>
      </c>
      <c r="G4280" t="str">
        <v>-</v>
      </c>
      <c r="H4280">
        <f>VLOOKUP(D4254,'Detail Balok'!$C$10:$BJ$110,60,FALSE)</f>
        <v>100</v>
      </c>
      <c r="J4280">
        <f>(D4255-2*F$5)/1000</f>
        <v>0.12</v>
      </c>
      <c r="K4280" t="str">
        <v>+</v>
      </c>
      <c r="L4280">
        <f>IF(D4280=0,2*MAX(6*F4280,75),(D4280-1)*2*MAX(6*F4280,75))/1000</f>
        <v>0.15</v>
      </c>
      <c r="M4280" t="str">
        <v>=</v>
      </c>
      <c r="N4280">
        <f>J4280+L4280</f>
        <v>0.27</v>
      </c>
      <c r="T4280" t="str">
        <v>x</v>
      </c>
      <c r="U4280">
        <f>0.006165*F4280^2</f>
        <v>0</v>
      </c>
      <c r="V4280" t="str">
        <v>x</v>
      </c>
      <c r="W4280">
        <f>W4276</f>
        <v>16</v>
      </c>
      <c r="X4280" t="str">
        <v>x</v>
      </c>
      <c r="Y4280">
        <f>D4264</f>
        <v>0</v>
      </c>
      <c r="Z4280" t="str">
        <v>=</v>
      </c>
      <c r="AA4280">
        <f>N4280*U4280*W4280*Y4280</f>
        <v>0</v>
      </c>
    </row>
    <row r="4284">
      <c r="A4284" t="str">
        <f>A4254</f>
        <v>Lantai 1</v>
      </c>
      <c r="B4284">
        <f>B4254+1</f>
        <v>46</v>
      </c>
      <c r="C4284" t="str">
        <f>CONCATENATE(A4284," no. ",B4284)</f>
        <v>Lantai 1 no. 46</v>
      </c>
      <c r="D4284" t="str">
        <f>VLOOKUP(C4284,'Data Panjang Balok'!$C$9:$N$424,2,FALSE)</f>
        <v>B245-4</v>
      </c>
    </row>
    <row r="4285">
      <c r="C4285" t="str">
        <v>Dimensi</v>
      </c>
      <c r="D4285">
        <f>VLOOKUP(D4284,'Detail Balok'!$C$10:$AU$110,2,FALSE)</f>
        <v>200</v>
      </c>
      <c r="F4285" t="str">
        <v>x</v>
      </c>
      <c r="G4285">
        <f>VLOOKUP(D4284,'Detail Balok'!$C$10:$AU$110,3,FALSE)</f>
        <v>450</v>
      </c>
    </row>
    <row r="4286">
      <c r="C4286" t="str">
        <v>Panjang as ke as</v>
      </c>
      <c r="D4286">
        <f>VLOOKUP(C4284,'Data Panjang Balok'!$C$9:$N$424,4,FALSE)</f>
        <v>6100</v>
      </c>
    </row>
    <row r="4287">
      <c r="C4287" t="str">
        <v>Panjang netto</v>
      </c>
      <c r="D4287">
        <f>VLOOKUP(C4284,'Data Panjang Balok'!$C$9:$N$424,7,FALSE)</f>
        <v>6100</v>
      </c>
    </row>
    <row r="4288">
      <c r="C4288" t="str">
        <v>Kolom / balok kiri</v>
      </c>
      <c r="D4288">
        <f>VLOOKUP(C4284,'Data Panjang Balok'!$C$9:$N$424,9,FALSE)</f>
        <v>0</v>
      </c>
    </row>
    <row r="4289">
      <c r="C4289" t="str">
        <v>Kolom / balok kanan</v>
      </c>
      <c r="D4289">
        <f>VLOOKUP(C4284,'Data Panjang Balok'!$C$9:$N$424,10,FALSE)</f>
        <v>0</v>
      </c>
    </row>
    <row r="4290">
      <c r="C4290" t="str">
        <v>Jumlah</v>
      </c>
      <c r="D4290">
        <f>VLOOKUP(C4284,'Data Panjang Balok'!$C$9:$N$424,3,FALSE)</f>
        <v>1</v>
      </c>
    </row>
    <row r="4291">
      <c r="A4291" t="str">
        <f>A4284</f>
        <v>Lantai 1</v>
      </c>
      <c r="B4291">
        <f>B4284</f>
        <v>46</v>
      </c>
      <c r="C4291" t="str">
        <v>Tul Atas Tumpuan</v>
      </c>
      <c r="D4291">
        <f>VLOOKUP(D4284,'Detail Balok'!$C$10:$AU$110,4,FALSE)</f>
        <v>3</v>
      </c>
      <c r="E4291" t="str">
        <v>D</v>
      </c>
      <c r="F4291">
        <f>VLOOKUP(D4284,'Detail Balok'!$C$10:$AU$110,6,FALSE)</f>
        <v>16</v>
      </c>
      <c r="I4291" t="str">
        <v>(</v>
      </c>
      <c r="J4291">
        <f>+D4286/4/1000</f>
        <v>1.525</v>
      </c>
      <c r="K4291" t="str">
        <v>+</v>
      </c>
      <c r="L4291">
        <f>MAX(VLOOKUP(F4291,N$6:P$15,3,FALSE)/1000,2/3*D4288/1000)+F$16*F4291/1000</f>
        <v>0.192</v>
      </c>
      <c r="M4291" t="str">
        <v>=</v>
      </c>
      <c r="N4291">
        <f>J4291+L4291</f>
        <v>1.7169999999999999</v>
      </c>
      <c r="O4291" t="str">
        <v>+</v>
      </c>
      <c r="P4291">
        <f>D4291-D4292</f>
        <v>0</v>
      </c>
      <c r="Q4291" t="str">
        <v>x</v>
      </c>
      <c r="R4291">
        <f>IF(P4291&gt;0,$F$18*F4291/1000,0)</f>
        <v>0</v>
      </c>
      <c r="S4291" t="str">
        <v>)</v>
      </c>
      <c r="T4291" t="str">
        <v>x</v>
      </c>
      <c r="U4291">
        <f>0.006165*F4291^2</f>
        <v>1.57824</v>
      </c>
      <c r="X4291" t="str">
        <v>x</v>
      </c>
      <c r="Y4291">
        <f>D4290</f>
        <v>1</v>
      </c>
      <c r="Z4291" t="str">
        <v>=</v>
      </c>
      <c r="AA4291">
        <f>IF(AA4294=0,(D4291*N4291+P4291*R4291)*U4291*Y4291,0)</f>
        <v>0</v>
      </c>
    </row>
    <row r="4292">
      <c r="A4292" t="str">
        <f>A4284</f>
        <v>Lantai 1</v>
      </c>
      <c r="B4292">
        <f>B4284</f>
        <v>46</v>
      </c>
      <c r="C4292" t="str">
        <v>Tul Atas Lapangan</v>
      </c>
      <c r="D4292">
        <f>VLOOKUP(D4284,'Detail Balok'!$C$10:$AU$110,7,FALSE)</f>
        <v>3</v>
      </c>
      <c r="E4292" t="str">
        <v>D</v>
      </c>
      <c r="F4292">
        <f>VLOOKUP(D4284,'Detail Balok'!$C$10:$AU$110,9,FALSE)</f>
        <v>16</v>
      </c>
      <c r="I4292" t="str">
        <v>(</v>
      </c>
      <c r="J4292">
        <f>+D4286/2/1000</f>
        <v>3.05</v>
      </c>
      <c r="K4292" t="str">
        <v>+</v>
      </c>
      <c r="M4292" t="str">
        <v>=</v>
      </c>
      <c r="N4292">
        <f>J4292+L4292</f>
        <v>3.05</v>
      </c>
      <c r="O4292" t="str">
        <v>+</v>
      </c>
      <c r="P4292">
        <f>MAX(D4292-D4291,D4292-D4293)</f>
        <v>0</v>
      </c>
      <c r="Q4292" t="str">
        <v>x</v>
      </c>
      <c r="R4292">
        <f>IF(P4292&gt;0,2*(1-2*$F$19-1/2)*D4287/1000,0)</f>
        <v>0</v>
      </c>
      <c r="S4292" t="str">
        <v>)</v>
      </c>
      <c r="T4292" t="str">
        <v>x</v>
      </c>
      <c r="U4292">
        <f>0.006165*F4292^2</f>
        <v>1.57824</v>
      </c>
      <c r="X4292" t="str">
        <v>x</v>
      </c>
      <c r="Y4292">
        <f>D4290</f>
        <v>1</v>
      </c>
      <c r="Z4292" t="str">
        <v>=</v>
      </c>
      <c r="AA4292">
        <f>IF(AA4294=0,(D4292*N4292+P4292*R4292)*U4292*Y4292,0)</f>
        <v>0</v>
      </c>
    </row>
    <row r="4293">
      <c r="A4293" t="str">
        <f>A4284</f>
        <v>Lantai 1</v>
      </c>
      <c r="B4293">
        <f>B4284</f>
        <v>46</v>
      </c>
      <c r="C4293" t="str">
        <v>Tul Atas Tumpuan</v>
      </c>
      <c r="D4293">
        <f>VLOOKUP(D4284,'Detail Balok'!$C$10:$AU$110,10,FALSE)</f>
        <v>3</v>
      </c>
      <c r="E4293" t="str">
        <v>D</v>
      </c>
      <c r="F4293">
        <f>VLOOKUP(D4284,'Detail Balok'!$C$10:$AU$110,12,FALSE)</f>
        <v>16</v>
      </c>
      <c r="I4293" t="str">
        <v>(</v>
      </c>
      <c r="J4293">
        <f>+D4286/4/1000</f>
        <v>1.525</v>
      </c>
      <c r="K4293" t="str">
        <v>+</v>
      </c>
      <c r="L4293">
        <f>MAX(VLOOKUP(F4293,N$6:P$15,3,FALSE)/1000,2/3*D4288/1000)+F$16*F4293/1000</f>
        <v>0.192</v>
      </c>
      <c r="M4293" t="str">
        <v>=</v>
      </c>
      <c r="N4293">
        <f>J4293+L4293</f>
        <v>1.7169999999999999</v>
      </c>
      <c r="O4293" t="str">
        <v>+</v>
      </c>
      <c r="P4293">
        <f>D4293-D4292</f>
        <v>0</v>
      </c>
      <c r="Q4293" t="str">
        <v>x</v>
      </c>
      <c r="R4293">
        <f>IF(P4293&gt;0,$F$18*F4293/1000,0)</f>
        <v>0</v>
      </c>
      <c r="S4293" t="str">
        <v>)</v>
      </c>
      <c r="T4293" t="str">
        <v>x</v>
      </c>
      <c r="U4293">
        <f>0.006165*F4293^2</f>
        <v>1.57824</v>
      </c>
      <c r="X4293" t="str">
        <v>x</v>
      </c>
      <c r="Y4293">
        <f>D4290</f>
        <v>1</v>
      </c>
      <c r="Z4293" t="str">
        <v>=</v>
      </c>
      <c r="AA4293">
        <f>IF(AA4294=0,(D4293*N4293+P4293*R4293)*U4293*Y4293,0)</f>
        <v>0</v>
      </c>
    </row>
    <row r="4294">
      <c r="A4294" t="str">
        <f>A4284</f>
        <v>Lantai 1</v>
      </c>
      <c r="B4294">
        <f>B4284</f>
        <v>46</v>
      </c>
      <c r="D4294">
        <f>IF(AND(D4291=D4292,D4292=D4293,D4291=D4293),D4291,0)</f>
        <v>3</v>
      </c>
      <c r="E4294" t="str">
        <v>D</v>
      </c>
      <c r="F4294">
        <f>IF(AND(F4291=F4292,F4291=F4293,F4292=F4293),F4291,0)</f>
        <v>16</v>
      </c>
      <c r="L4294" t="str">
        <v>Total panjang per balok</v>
      </c>
      <c r="M4294" t="str">
        <v>=</v>
      </c>
      <c r="N4294">
        <f>IF(AND(D4291=D4292,D4291=D4293,D4292=D4293,F4291=F4292,F4291=F4293,F4292=F4293),SUM(N4291:N4293),0)</f>
        <v>6.483999999999999</v>
      </c>
      <c r="O4294" t="str">
        <v>+</v>
      </c>
      <c r="P4294">
        <f>IF(N4294&gt;12,ROUNDDOWN(N4294/12,0),0)</f>
        <v>0</v>
      </c>
      <c r="Q4294" t="str">
        <v>x</v>
      </c>
      <c r="R4294">
        <f>IF(P4294&gt;0,MAX(VLOOKUP(F4294,$D$6:$G$15,3,FALSE),600),0)/1000</f>
        <v>0</v>
      </c>
      <c r="T4294" t="str">
        <v>x</v>
      </c>
      <c r="U4294">
        <f>U4293</f>
        <v>1.57824</v>
      </c>
      <c r="V4294" t="str">
        <v>x</v>
      </c>
      <c r="W4294">
        <f>D4294</f>
        <v>3</v>
      </c>
      <c r="X4294" t="str">
        <v>x</v>
      </c>
      <c r="Y4294">
        <f>Y4293</f>
        <v>1</v>
      </c>
      <c r="Z4294" t="str">
        <v>=</v>
      </c>
      <c r="AA4294">
        <f>(N4294+P4294*R4294/1000)*U4294*W4294*Y4294</f>
        <v>30.69992448</v>
      </c>
    </row>
    <row r="4296">
      <c r="A4296" t="str">
        <f>A4284</f>
        <v>Lantai 1</v>
      </c>
      <c r="B4296">
        <f>B4284</f>
        <v>46</v>
      </c>
      <c r="C4296" t="str">
        <v>Tul Peminggang</v>
      </c>
      <c r="D4296">
        <f>VLOOKUP(D4284,'Detail Balok'!$C$10:$AU$110,13,FALSE)</f>
        <v>2</v>
      </c>
      <c r="E4296" t="str">
        <v>D</v>
      </c>
      <c r="F4296">
        <f>VLOOKUP(D4284,'Detail Balok'!$C$10:$AU$110,15,FALSE)</f>
        <v>8</v>
      </c>
      <c r="J4296">
        <f>+D4286/1000</f>
        <v>6.1</v>
      </c>
      <c r="K4296" t="str">
        <v>+</v>
      </c>
      <c r="L4296">
        <f>2*$F$16*F4296/1000</f>
        <v>0.192</v>
      </c>
      <c r="M4296" t="str">
        <v>=</v>
      </c>
      <c r="N4296">
        <f>J4296+L4296</f>
        <v>6.292</v>
      </c>
      <c r="O4296" t="str">
        <v>+</v>
      </c>
      <c r="P4296">
        <f>IF(N4296&gt;12,ROUNDDOWN(N4296/12,0),0)</f>
        <v>0</v>
      </c>
      <c r="Q4296" t="str">
        <v>x</v>
      </c>
      <c r="R4296">
        <f>IF(P4296&gt;0,MAX(VLOOKUP(F4296,$D$6:$G$15,3,FALSE),600),0)/1000</f>
        <v>0</v>
      </c>
      <c r="T4296" t="str">
        <v>x</v>
      </c>
      <c r="U4296">
        <f>0.006165*F4296^2</f>
        <v>0.39456</v>
      </c>
      <c r="V4296" t="str">
        <v>x</v>
      </c>
      <c r="W4296">
        <f>+D4296</f>
        <v>2</v>
      </c>
      <c r="X4296" t="str">
        <v>x</v>
      </c>
      <c r="Y4296">
        <f>D4290</f>
        <v>1</v>
      </c>
      <c r="Z4296" t="str">
        <v>=</v>
      </c>
      <c r="AA4296">
        <f>(N4296+P4296*R4296/1000)*U4296*W4296*Y4296</f>
        <v>4.96514304</v>
      </c>
    </row>
    <row r="4299">
      <c r="A4299" t="str">
        <f>A4284</f>
        <v>Lantai 1</v>
      </c>
      <c r="B4299">
        <f>B4284</f>
        <v>46</v>
      </c>
      <c r="C4299" t="str">
        <v>Tul Bawah Tumpuan</v>
      </c>
      <c r="D4299">
        <f>VLOOKUP(D4284,'Detail Balok'!$C$10:$AU$110,22,FALSE)</f>
        <v>3</v>
      </c>
      <c r="E4299" t="str">
        <v>D</v>
      </c>
      <c r="F4299">
        <f>VLOOKUP(D4284,'Detail Balok'!$C$10:$AU$110,24,FALSE)</f>
        <v>16</v>
      </c>
      <c r="I4299" t="str">
        <v>(</v>
      </c>
      <c r="J4299">
        <f>+J4291</f>
        <v>1.525</v>
      </c>
      <c r="K4299" t="str">
        <v>+</v>
      </c>
      <c r="L4299">
        <f>MAX(VLOOKUP(F4299,N$6:P$15,3,FALSE)/1000,2/3*D4289/1000)+F$16*F4299/1000</f>
        <v>0.192</v>
      </c>
      <c r="M4299" t="str">
        <v>=</v>
      </c>
      <c r="N4299">
        <f>J4299+L4299</f>
        <v>1.7169999999999999</v>
      </c>
      <c r="O4299" t="str">
        <v>+</v>
      </c>
      <c r="P4299">
        <f>D4299-D4300</f>
        <v>0</v>
      </c>
      <c r="Q4299" t="str">
        <v>x</v>
      </c>
      <c r="R4299">
        <f>IF(P4299&gt;0,$F$18*F4299/1000,0)</f>
        <v>0</v>
      </c>
      <c r="S4299" t="str">
        <v>)</v>
      </c>
      <c r="T4299" t="str">
        <v>x</v>
      </c>
      <c r="U4299">
        <f>0.006165*F4299^2</f>
        <v>1.57824</v>
      </c>
      <c r="X4299" t="str">
        <v>x</v>
      </c>
      <c r="Y4299">
        <f>D4290</f>
        <v>1</v>
      </c>
      <c r="Z4299" t="str">
        <v>=</v>
      </c>
      <c r="AA4299">
        <f>IF(AA4302=0,(D4299*N4299+P4299*R4299)*U4299*Y4299,0)</f>
        <v>0</v>
      </c>
    </row>
    <row r="4300">
      <c r="A4300" t="str">
        <f>A4284</f>
        <v>Lantai 1</v>
      </c>
      <c r="B4300">
        <f>B4284</f>
        <v>46</v>
      </c>
      <c r="C4300" t="str">
        <v>Tul Bawah Lapangan</v>
      </c>
      <c r="D4300">
        <f>VLOOKUP(D4284,'Detail Balok'!$C$10:$AU$110,25,FALSE)</f>
        <v>3</v>
      </c>
      <c r="E4300" t="str">
        <v>D</v>
      </c>
      <c r="F4300">
        <f>VLOOKUP(D4284,'Detail Balok'!$C$10:$AU$110,27,FALSE)</f>
        <v>16</v>
      </c>
      <c r="I4300" t="str">
        <v>(</v>
      </c>
      <c r="J4300">
        <f>+J4292</f>
        <v>3.05</v>
      </c>
      <c r="K4300" t="str">
        <v>+</v>
      </c>
      <c r="M4300" t="str">
        <v>=</v>
      </c>
      <c r="N4300">
        <f>J4300+L4300</f>
        <v>3.05</v>
      </c>
      <c r="O4300" t="str">
        <v>+</v>
      </c>
      <c r="P4300">
        <f>MAX(D4300-D4299,D4300-D4301)</f>
        <v>0</v>
      </c>
      <c r="Q4300" t="str">
        <v>x</v>
      </c>
      <c r="R4300">
        <f>IF(P4300&gt;0,2*(1-2*$F$19-1/2)*D4287/1000,0)</f>
        <v>0</v>
      </c>
      <c r="S4300" t="str">
        <v>)</v>
      </c>
      <c r="T4300" t="str">
        <v>x</v>
      </c>
      <c r="U4300">
        <f>0.006165*F4300^2</f>
        <v>1.57824</v>
      </c>
      <c r="X4300" t="str">
        <v>x</v>
      </c>
      <c r="Y4300">
        <f>D4290</f>
        <v>1</v>
      </c>
      <c r="Z4300" t="str">
        <v>=</v>
      </c>
      <c r="AA4300">
        <f>IF(AA4302=0,(D4300*N4300+P4300*R4300)*U4300*Y4300,0)</f>
        <v>0</v>
      </c>
    </row>
    <row r="4301">
      <c r="A4301" t="str">
        <f>A4284</f>
        <v>Lantai 1</v>
      </c>
      <c r="B4301">
        <f>B4284</f>
        <v>46</v>
      </c>
      <c r="C4301" t="str">
        <v>Tul Bawah Tumpuan</v>
      </c>
      <c r="D4301">
        <f>VLOOKUP(D4284,'Detail Balok'!$C$10:$AU$110,28,FALSE)</f>
        <v>3</v>
      </c>
      <c r="E4301" t="str">
        <v>D</v>
      </c>
      <c r="F4301">
        <f>VLOOKUP(D4284,'Detail Balok'!$C$10:$AU$110,30,FALSE)</f>
        <v>16</v>
      </c>
      <c r="I4301" t="str">
        <v>(</v>
      </c>
      <c r="J4301">
        <f>+J4293</f>
        <v>1.525</v>
      </c>
      <c r="K4301" t="str">
        <v>+</v>
      </c>
      <c r="L4301">
        <f>MAX(VLOOKUP(F4301,N$6:P$15,3,FALSE)/1000,2/3*D4289/1000)+F$16*F4301/1000</f>
        <v>0.192</v>
      </c>
      <c r="M4301" t="str">
        <v>=</v>
      </c>
      <c r="N4301">
        <f>J4301+L4301</f>
        <v>1.7169999999999999</v>
      </c>
      <c r="O4301" t="str">
        <v>+</v>
      </c>
      <c r="P4301">
        <f>D4301-D4300</f>
        <v>0</v>
      </c>
      <c r="Q4301" t="str">
        <v>x</v>
      </c>
      <c r="R4301">
        <f>IF(P4301&gt;0,$F$18*F4301/1000,0)</f>
        <v>0</v>
      </c>
      <c r="S4301" t="str">
        <v>)</v>
      </c>
      <c r="T4301" t="str">
        <v>x</v>
      </c>
      <c r="U4301">
        <f>0.006165*F4301^2</f>
        <v>1.57824</v>
      </c>
      <c r="X4301" t="str">
        <v>x</v>
      </c>
      <c r="Y4301">
        <f>D4290</f>
        <v>1</v>
      </c>
      <c r="Z4301" t="str">
        <v>=</v>
      </c>
      <c r="AA4301">
        <f>IF(AA4302=0,(D4301*N4301+P4301*R4301)*U4301*Y4301,0)</f>
        <v>0</v>
      </c>
    </row>
    <row r="4302">
      <c r="A4302" t="str">
        <f>A4284</f>
        <v>Lantai 1</v>
      </c>
      <c r="B4302">
        <f>B4284</f>
        <v>46</v>
      </c>
      <c r="D4302">
        <f>IF(AND(D4299=D4300,D4300=D4301,D4299=D4301),D4299,0)</f>
        <v>3</v>
      </c>
      <c r="E4302" t="str">
        <v>D</v>
      </c>
      <c r="F4302">
        <f>IF(AND(F4299=F4300,F4299=F4301,F4300=F4301),F4299,0)</f>
        <v>16</v>
      </c>
      <c r="L4302" t="str">
        <v>Total panjang per balok</v>
      </c>
      <c r="M4302" t="str">
        <v>=</v>
      </c>
      <c r="N4302">
        <f>IF(AND(D4299=D4300,D4299=D4301,D4300=D4301,F4299=F4300,F4299=F4301,F4300=F4301),SUM(N4299:N4301),0)</f>
        <v>6.483999999999999</v>
      </c>
      <c r="O4302" t="str">
        <v>+</v>
      </c>
      <c r="P4302">
        <f>IF(N4302&gt;12,ROUNDDOWN(N4302/12,0),0)</f>
        <v>0</v>
      </c>
      <c r="Q4302" t="str">
        <v>x</v>
      </c>
      <c r="R4302">
        <f>IF(P4302&gt;0,MAX(VLOOKUP(F4302,$D$6:$G$15,3,FALSE),600),0)/1000</f>
        <v>0</v>
      </c>
      <c r="T4302" t="str">
        <v>x</v>
      </c>
      <c r="U4302">
        <f>U4301</f>
        <v>1.57824</v>
      </c>
      <c r="V4302" t="str">
        <v>x</v>
      </c>
      <c r="W4302">
        <f>D4302</f>
        <v>3</v>
      </c>
      <c r="X4302" t="str">
        <v>x</v>
      </c>
      <c r="Y4302">
        <f>Y4301</f>
        <v>1</v>
      </c>
      <c r="Z4302" t="str">
        <v>=</v>
      </c>
      <c r="AA4302">
        <f>(N4302+P4302*R4302/1000)*U4302*W4302*Y4302</f>
        <v>30.69992448</v>
      </c>
    </row>
    <row r="4304">
      <c r="A4304" t="str">
        <f>A4284</f>
        <v>Lantai 1</v>
      </c>
      <c r="B4304">
        <f>B4284</f>
        <v>46</v>
      </c>
      <c r="C4304" t="str">
        <v>Sengkang Tumpuan</v>
      </c>
      <c r="D4304">
        <f>VLOOKUP(D4284,'Detail Balok'!$C$10:$AU$110,31,FALSE)</f>
        <v>0</v>
      </c>
      <c r="E4304" t="str">
        <v>D</v>
      </c>
      <c r="F4304">
        <f>VLOOKUP(D4284,'Detail Balok'!$C$10:$AU$110,33,FALSE)</f>
        <v>8</v>
      </c>
      <c r="G4304" t="str">
        <v>-</v>
      </c>
      <c r="H4304">
        <f>VLOOKUP(D4284,'Detail Balok'!$C$10:$AU$110,35,FALSE)</f>
        <v>100</v>
      </c>
      <c r="J4304">
        <f>(IF(D4304=0,(2*(D4285+G4285))-(F$5*8),IF(D4304=3,(2*(D4285+G4285))-(F$5*8)+(G4285-2*F$5),IF(D4304=4,(2*(D4285+G4285))-(F$5*8)+2*(G4285-2*F$5)))))/1000</f>
        <v>0.98</v>
      </c>
      <c r="K4304" t="str">
        <v>+</v>
      </c>
      <c r="L4304">
        <f>IF(D4304=0,2*MAX(6*F4304,75),(D4304-1)*2*MAX(6*F4304,75))/1000</f>
        <v>0.15</v>
      </c>
      <c r="M4304" t="str">
        <v>=</v>
      </c>
      <c r="N4304">
        <f>J4304+L4304</f>
        <v>1.13</v>
      </c>
      <c r="T4304" t="str">
        <v>x</v>
      </c>
      <c r="U4304">
        <f>0.006165*F4304^2</f>
        <v>0.39456</v>
      </c>
      <c r="V4304" t="str">
        <v>x</v>
      </c>
      <c r="W4304">
        <f>IF(D4287&gt;4*G4285,ROUND(MAX(D4287/4,2*G4285)/H4304,0)+1,ROUND(D4287/H4304,0)+1)</f>
        <v>16</v>
      </c>
      <c r="X4304" t="str">
        <v>x</v>
      </c>
      <c r="Y4304">
        <f>D4290</f>
        <v>1</v>
      </c>
      <c r="Z4304" t="str">
        <v>=</v>
      </c>
      <c r="AA4304">
        <f>N4304*U4304*W4304*Y4304</f>
        <v>7.1336448</v>
      </c>
    </row>
    <row r="4305">
      <c r="A4305" t="str">
        <f>A4284</f>
        <v>Lantai 1</v>
      </c>
      <c r="B4305">
        <f>B4284</f>
        <v>46</v>
      </c>
      <c r="C4305" t="str">
        <v>Sengkang Lapangan</v>
      </c>
      <c r="D4305">
        <f>VLOOKUP(D4284,'Detail Balok'!$C$10:$AU$110,36,FALSE)</f>
        <v>0</v>
      </c>
      <c r="E4305" t="str">
        <v>D</v>
      </c>
      <c r="F4305">
        <f>VLOOKUP(D4284,'Detail Balok'!$C$10:$AU$110,38,FALSE)</f>
        <v>8</v>
      </c>
      <c r="G4305" t="str">
        <v>-</v>
      </c>
      <c r="H4305">
        <f>VLOOKUP(D4284,'Detail Balok'!$C$10:$AU$110,40,FALSE)</f>
        <v>200</v>
      </c>
      <c r="J4305">
        <f>(IF(D4305=0,(2*(D4285+G4285))-(F$5*8),IF(D4305=3,(2*(D4285+G4285))-(F$5*8)+(G4285-2*F$5),IF(D4305=4,(2*(D4285+G4285))-(F$5*8)+2*(G4285-2*F$5)))))/1000</f>
        <v>0.98</v>
      </c>
      <c r="K4305" t="str">
        <v>+</v>
      </c>
      <c r="L4305">
        <f>IF(D4305=0,2*MAX(6*F4305,75),(D4305-1)*2*MAX(6*F4305,75))/1000</f>
        <v>0.15</v>
      </c>
      <c r="M4305" t="str">
        <v>=</v>
      </c>
      <c r="N4305">
        <f>J4305+L4305</f>
        <v>1.13</v>
      </c>
      <c r="T4305" t="str">
        <v>x</v>
      </c>
      <c r="U4305">
        <f>0.006165*F4305^2</f>
        <v>0.39456</v>
      </c>
      <c r="V4305" t="str">
        <v>x</v>
      </c>
      <c r="W4305">
        <f>IF(D4287-MAX(D4287/4,2*G4285)*2&gt;0,ROUND((D4287-MAX(D4287/4,2*G4285)*2)/H4305,0),0)</f>
        <v>15</v>
      </c>
      <c r="X4305" t="str">
        <v>x</v>
      </c>
      <c r="Y4305">
        <f>D4290</f>
        <v>1</v>
      </c>
      <c r="Z4305" t="str">
        <v>=</v>
      </c>
      <c r="AA4305">
        <f>N4305*U4305*W4305*Y4305</f>
        <v>6.687792</v>
      </c>
    </row>
    <row r="4306">
      <c r="A4306" t="str">
        <f>A4284</f>
        <v>Lantai 1</v>
      </c>
      <c r="B4306">
        <f>B4284</f>
        <v>46</v>
      </c>
      <c r="C4306" t="str">
        <v>Sengkang Tumpuan</v>
      </c>
      <c r="D4306">
        <f>VLOOKUP(D4284,'Detail Balok'!$C$10:$AU$110,41,FALSE)</f>
        <v>0</v>
      </c>
      <c r="E4306" t="str">
        <v>D</v>
      </c>
      <c r="F4306">
        <f>VLOOKUP(D4284,'Detail Balok'!$C$10:$AU$110,43,FALSE)</f>
        <v>8</v>
      </c>
      <c r="G4306" t="str">
        <v>-</v>
      </c>
      <c r="H4306">
        <f>VLOOKUP(D4284,'Detail Balok'!$C$10:$AU$110,45,FALSE)</f>
        <v>100</v>
      </c>
      <c r="J4306">
        <f>(IF(D4306=0,(2*(D4285+G4285))-(F$5*8),IF(D4306=3,(2*(D4285+G4285))-(F$5*8)+(G4285-2*F$5),IF(D4306=4,(2*(D4285+G4285))-(F$5*8)+2*(G4285-2*F$5)))))/1000</f>
        <v>0.98</v>
      </c>
      <c r="K4306" t="str">
        <v>+</v>
      </c>
      <c r="L4306">
        <f>IF(D4306=0,2*MAX(6*F4306,75),(D4306-1)*2*MAX(6*F4306,75))/1000</f>
        <v>0.15</v>
      </c>
      <c r="M4306" t="str">
        <v>=</v>
      </c>
      <c r="N4306">
        <f>J4306+L4306</f>
        <v>1.13</v>
      </c>
      <c r="T4306" t="str">
        <v>x</v>
      </c>
      <c r="U4306">
        <f>0.006165*F4306^2</f>
        <v>0.39456</v>
      </c>
      <c r="V4306" t="str">
        <v>x</v>
      </c>
      <c r="W4306">
        <f>IF(D4287&gt;4*G4285,ROUND(MAX(D4287/4,2*G4285)/H4306,0)+1,0)</f>
        <v>16</v>
      </c>
      <c r="X4306" t="str">
        <v>x</v>
      </c>
      <c r="Y4306">
        <f>D4290</f>
        <v>1</v>
      </c>
      <c r="Z4306" t="str">
        <v>=</v>
      </c>
      <c r="AA4306">
        <f>N4306*U4306*W4306*Y4306</f>
        <v>7.1336448</v>
      </c>
    </row>
    <row r="4308">
      <c r="A4308" t="str">
        <f>A4284</f>
        <v>Lantai 1</v>
      </c>
      <c r="B4308">
        <f>B4284</f>
        <v>46</v>
      </c>
      <c r="C4308" t="str">
        <v>Kait Horizontal Tump.</v>
      </c>
      <c r="D4308">
        <f>VLOOKUP(D4284,'Detail Balok'!$C$10:$BJ$110,46,FALSE)</f>
        <v>0</v>
      </c>
      <c r="E4308" t="str">
        <v>D</v>
      </c>
      <c r="F4308">
        <f>VLOOKUP(D4284,'Detail Balok'!$C$10:$BJ$110,48,FALSE)</f>
        <v>0</v>
      </c>
      <c r="G4308" t="str">
        <v>-</v>
      </c>
      <c r="H4308">
        <f>VLOOKUP(D4284,'Detail Balok'!$C$10:$BJ$110,50,FALSE)</f>
        <v>100</v>
      </c>
      <c r="J4308">
        <f>(D4285-2*F$5)/1000</f>
        <v>0.12</v>
      </c>
      <c r="K4308" t="str">
        <v>+</v>
      </c>
      <c r="L4308">
        <f>IF(D4308=0,2*MAX(6*F4308,75),(D4308-1)*2*MAX(6*F4308,75))/1000</f>
        <v>0.15</v>
      </c>
      <c r="M4308" t="str">
        <v>=</v>
      </c>
      <c r="N4308">
        <f>J4308+L4308</f>
        <v>0.27</v>
      </c>
      <c r="T4308" t="str">
        <v>x</v>
      </c>
      <c r="U4308">
        <f>0.006165*F4308^2</f>
        <v>0</v>
      </c>
      <c r="V4308" t="str">
        <v>x</v>
      </c>
      <c r="W4308">
        <f>W4304</f>
        <v>16</v>
      </c>
      <c r="X4308" t="str">
        <v>x</v>
      </c>
      <c r="Y4308">
        <f>D4294</f>
        <v>3</v>
      </c>
      <c r="Z4308" t="str">
        <v>=</v>
      </c>
      <c r="AA4308">
        <f>N4308*U4308*W4308*Y4308</f>
        <v>0</v>
      </c>
    </row>
    <row r="4309">
      <c r="A4309" t="str">
        <f>A4284</f>
        <v>Lantai 1</v>
      </c>
      <c r="B4309">
        <f>B4284</f>
        <v>46</v>
      </c>
      <c r="C4309" t="str">
        <v>Kait Horizontal Lap.</v>
      </c>
      <c r="D4309">
        <f>VLOOKUP(D4284,'Detail Balok'!$C$10:$BJ$110,51,FALSE)</f>
        <v>0</v>
      </c>
      <c r="E4309" t="str">
        <v>D</v>
      </c>
      <c r="F4309">
        <f>VLOOKUP(D4284,'Detail Balok'!$C$10:$BJ$110,53,FALSE)</f>
        <v>0</v>
      </c>
      <c r="G4309" t="str">
        <v>-</v>
      </c>
      <c r="H4309">
        <f>VLOOKUP(D4284,'Detail Balok'!$C$10:$BJ$110,55,FALSE)</f>
        <v>100</v>
      </c>
      <c r="J4309">
        <f>(D4285-2*F$5)/1000</f>
        <v>0.12</v>
      </c>
      <c r="K4309" t="str">
        <v>+</v>
      </c>
      <c r="L4309">
        <f>IF(D4309=0,2*MAX(6*F4309,75),(D4309-1)*2*MAX(6*F4309,75))/1000</f>
        <v>0.15</v>
      </c>
      <c r="M4309" t="str">
        <v>=</v>
      </c>
      <c r="N4309">
        <f>J4309+L4309</f>
        <v>0.27</v>
      </c>
      <c r="T4309" t="str">
        <v>x</v>
      </c>
      <c r="U4309">
        <f>0.006165*F4309^2</f>
        <v>0</v>
      </c>
      <c r="V4309" t="str">
        <v>x</v>
      </c>
      <c r="W4309">
        <f>W4305</f>
        <v>15</v>
      </c>
      <c r="X4309" t="str">
        <v>x</v>
      </c>
      <c r="Y4309">
        <f>D4294</f>
        <v>3</v>
      </c>
      <c r="Z4309" t="str">
        <v>=</v>
      </c>
      <c r="AA4309">
        <f>N4309*U4309*W4309*Y4309</f>
        <v>0</v>
      </c>
    </row>
    <row r="4310">
      <c r="A4310" t="str">
        <f>A4284</f>
        <v>Lantai 1</v>
      </c>
      <c r="B4310">
        <f>B4284</f>
        <v>46</v>
      </c>
      <c r="C4310" t="str">
        <v>Kait Horizontal Tump.</v>
      </c>
      <c r="D4310">
        <f>VLOOKUP(D4284,'Detail Balok'!$C$10:$BJ$110,56,FALSE)</f>
        <v>0</v>
      </c>
      <c r="E4310" t="str">
        <v>D</v>
      </c>
      <c r="F4310">
        <f>VLOOKUP(D4284,'Detail Balok'!$C$10:$BJ$110,58,FALSE)</f>
        <v>0</v>
      </c>
      <c r="G4310" t="str">
        <v>-</v>
      </c>
      <c r="H4310">
        <f>VLOOKUP(D4284,'Detail Balok'!$C$10:$BJ$110,60,FALSE)</f>
        <v>100</v>
      </c>
      <c r="J4310">
        <f>(D4285-2*F$5)/1000</f>
        <v>0.12</v>
      </c>
      <c r="K4310" t="str">
        <v>+</v>
      </c>
      <c r="L4310">
        <f>IF(D4310=0,2*MAX(6*F4310,75),(D4310-1)*2*MAX(6*F4310,75))/1000</f>
        <v>0.15</v>
      </c>
      <c r="M4310" t="str">
        <v>=</v>
      </c>
      <c r="N4310">
        <f>J4310+L4310</f>
        <v>0.27</v>
      </c>
      <c r="T4310" t="str">
        <v>x</v>
      </c>
      <c r="U4310">
        <f>0.006165*F4310^2</f>
        <v>0</v>
      </c>
      <c r="V4310" t="str">
        <v>x</v>
      </c>
      <c r="W4310">
        <f>W4306</f>
        <v>16</v>
      </c>
      <c r="X4310" t="str">
        <v>x</v>
      </c>
      <c r="Y4310">
        <f>D4294</f>
        <v>3</v>
      </c>
      <c r="Z4310" t="str">
        <v>=</v>
      </c>
      <c r="AA4310">
        <f>N4310*U4310*W4310*Y4310</f>
        <v>0</v>
      </c>
    </row>
    <row r="4314">
      <c r="A4314" t="str">
        <f>A4284</f>
        <v>Lantai 1</v>
      </c>
      <c r="B4314">
        <f>B4284+1</f>
        <v>47</v>
      </c>
      <c r="C4314" t="str">
        <f>CONCATENATE(A4314," no. ",B4314)</f>
        <v>Lantai 1 no. 47</v>
      </c>
      <c r="D4314" t="str">
        <f>VLOOKUP(C4314,'Data Panjang Balok'!$C$9:$N$424,2,FALSE)</f>
        <v>B245-4</v>
      </c>
    </row>
    <row r="4315">
      <c r="C4315" t="str">
        <v>Dimensi</v>
      </c>
      <c r="D4315">
        <f>VLOOKUP(D4314,'Detail Balok'!$C$10:$AU$110,2,FALSE)</f>
        <v>200</v>
      </c>
      <c r="F4315" t="str">
        <v>x</v>
      </c>
      <c r="G4315">
        <f>VLOOKUP(D4314,'Detail Balok'!$C$10:$AU$110,3,FALSE)</f>
        <v>450</v>
      </c>
    </row>
    <row r="4316">
      <c r="C4316" t="str">
        <v>Panjang as ke as</v>
      </c>
      <c r="D4316">
        <f>VLOOKUP(C4314,'Data Panjang Balok'!$C$9:$N$424,4,FALSE)</f>
        <v>6100</v>
      </c>
    </row>
    <row r="4317">
      <c r="C4317" t="str">
        <v>Panjang netto</v>
      </c>
      <c r="D4317">
        <f>VLOOKUP(C4314,'Data Panjang Balok'!$C$9:$N$424,7,FALSE)</f>
        <v>6100</v>
      </c>
    </row>
    <row r="4318">
      <c r="C4318" t="str">
        <v>Kolom / balok kiri</v>
      </c>
      <c r="D4318">
        <f>VLOOKUP(C4314,'Data Panjang Balok'!$C$9:$N$424,9,FALSE)</f>
        <v>0</v>
      </c>
    </row>
    <row r="4319">
      <c r="C4319" t="str">
        <v>Kolom / balok kanan</v>
      </c>
      <c r="D4319">
        <f>VLOOKUP(C4314,'Data Panjang Balok'!$C$9:$N$424,10,FALSE)</f>
        <v>0</v>
      </c>
    </row>
    <row r="4320">
      <c r="C4320" t="str">
        <v>Jumlah</v>
      </c>
      <c r="D4320">
        <f>VLOOKUP(C4314,'Data Panjang Balok'!$C$9:$N$424,3,FALSE)</f>
        <v>1</v>
      </c>
    </row>
    <row r="4321">
      <c r="A4321" t="str">
        <f>A4314</f>
        <v>Lantai 1</v>
      </c>
      <c r="B4321">
        <f>B4314</f>
        <v>47</v>
      </c>
      <c r="C4321" t="str">
        <v>Tul Atas Tumpuan</v>
      </c>
      <c r="D4321">
        <f>VLOOKUP(D4314,'Detail Balok'!$C$10:$AU$110,4,FALSE)</f>
        <v>3</v>
      </c>
      <c r="E4321" t="str">
        <v>D</v>
      </c>
      <c r="F4321">
        <f>VLOOKUP(D4314,'Detail Balok'!$C$10:$AU$110,6,FALSE)</f>
        <v>16</v>
      </c>
      <c r="I4321" t="str">
        <v>(</v>
      </c>
      <c r="J4321">
        <f>+D4316/4/1000</f>
        <v>1.525</v>
      </c>
      <c r="K4321" t="str">
        <v>+</v>
      </c>
      <c r="L4321">
        <f>MAX(VLOOKUP(F4321,N$6:P$15,3,FALSE)/1000,2/3*D4318/1000)+F$16*F4321/1000</f>
        <v>0.192</v>
      </c>
      <c r="M4321" t="str">
        <v>=</v>
      </c>
      <c r="N4321">
        <f>J4321+L4321</f>
        <v>1.7169999999999999</v>
      </c>
      <c r="O4321" t="str">
        <v>+</v>
      </c>
      <c r="P4321">
        <f>D4321-D4322</f>
        <v>0</v>
      </c>
      <c r="Q4321" t="str">
        <v>x</v>
      </c>
      <c r="R4321">
        <f>IF(P4321&gt;0,$F$18*F4321/1000,0)</f>
        <v>0</v>
      </c>
      <c r="S4321" t="str">
        <v>)</v>
      </c>
      <c r="T4321" t="str">
        <v>x</v>
      </c>
      <c r="U4321">
        <f>0.006165*F4321^2</f>
        <v>1.57824</v>
      </c>
      <c r="X4321" t="str">
        <v>x</v>
      </c>
      <c r="Y4321">
        <f>D4320</f>
        <v>1</v>
      </c>
      <c r="Z4321" t="str">
        <v>=</v>
      </c>
      <c r="AA4321">
        <f>IF(AA4324=0,(D4321*N4321+P4321*R4321)*U4321*Y4321,0)</f>
        <v>0</v>
      </c>
    </row>
    <row r="4322">
      <c r="A4322" t="str">
        <f>A4314</f>
        <v>Lantai 1</v>
      </c>
      <c r="B4322">
        <f>B4314</f>
        <v>47</v>
      </c>
      <c r="C4322" t="str">
        <v>Tul Atas Lapangan</v>
      </c>
      <c r="D4322">
        <f>VLOOKUP(D4314,'Detail Balok'!$C$10:$AU$110,7,FALSE)</f>
        <v>3</v>
      </c>
      <c r="E4322" t="str">
        <v>D</v>
      </c>
      <c r="F4322">
        <f>VLOOKUP(D4314,'Detail Balok'!$C$10:$AU$110,9,FALSE)</f>
        <v>16</v>
      </c>
      <c r="I4322" t="str">
        <v>(</v>
      </c>
      <c r="J4322">
        <f>+D4316/2/1000</f>
        <v>3.05</v>
      </c>
      <c r="K4322" t="str">
        <v>+</v>
      </c>
      <c r="M4322" t="str">
        <v>=</v>
      </c>
      <c r="N4322">
        <f>J4322+L4322</f>
        <v>3.05</v>
      </c>
      <c r="O4322" t="str">
        <v>+</v>
      </c>
      <c r="P4322">
        <f>MAX(D4322-D4321,D4322-D4323)</f>
        <v>0</v>
      </c>
      <c r="Q4322" t="str">
        <v>x</v>
      </c>
      <c r="R4322">
        <f>IF(P4322&gt;0,2*(1-2*$F$19-1/2)*D4317/1000,0)</f>
        <v>0</v>
      </c>
      <c r="S4322" t="str">
        <v>)</v>
      </c>
      <c r="T4322" t="str">
        <v>x</v>
      </c>
      <c r="U4322">
        <f>0.006165*F4322^2</f>
        <v>1.57824</v>
      </c>
      <c r="X4322" t="str">
        <v>x</v>
      </c>
      <c r="Y4322">
        <f>D4320</f>
        <v>1</v>
      </c>
      <c r="Z4322" t="str">
        <v>=</v>
      </c>
      <c r="AA4322">
        <f>IF(AA4324=0,(D4322*N4322+P4322*R4322)*U4322*Y4322,0)</f>
        <v>0</v>
      </c>
    </row>
    <row r="4323">
      <c r="A4323" t="str">
        <f>A4314</f>
        <v>Lantai 1</v>
      </c>
      <c r="B4323">
        <f>B4314</f>
        <v>47</v>
      </c>
      <c r="C4323" t="str">
        <v>Tul Atas Tumpuan</v>
      </c>
      <c r="D4323">
        <f>VLOOKUP(D4314,'Detail Balok'!$C$10:$AU$110,10,FALSE)</f>
        <v>3</v>
      </c>
      <c r="E4323" t="str">
        <v>D</v>
      </c>
      <c r="F4323">
        <f>VLOOKUP(D4314,'Detail Balok'!$C$10:$AU$110,12,FALSE)</f>
        <v>16</v>
      </c>
      <c r="I4323" t="str">
        <v>(</v>
      </c>
      <c r="J4323">
        <f>+D4316/4/1000</f>
        <v>1.525</v>
      </c>
      <c r="K4323" t="str">
        <v>+</v>
      </c>
      <c r="L4323">
        <f>MAX(VLOOKUP(F4323,N$6:P$15,3,FALSE)/1000,2/3*D4318/1000)+F$16*F4323/1000</f>
        <v>0.192</v>
      </c>
      <c r="M4323" t="str">
        <v>=</v>
      </c>
      <c r="N4323">
        <f>J4323+L4323</f>
        <v>1.7169999999999999</v>
      </c>
      <c r="O4323" t="str">
        <v>+</v>
      </c>
      <c r="P4323">
        <f>D4323-D4322</f>
        <v>0</v>
      </c>
      <c r="Q4323" t="str">
        <v>x</v>
      </c>
      <c r="R4323">
        <f>IF(P4323&gt;0,$F$18*F4323/1000,0)</f>
        <v>0</v>
      </c>
      <c r="S4323" t="str">
        <v>)</v>
      </c>
      <c r="T4323" t="str">
        <v>x</v>
      </c>
      <c r="U4323">
        <f>0.006165*F4323^2</f>
        <v>1.57824</v>
      </c>
      <c r="X4323" t="str">
        <v>x</v>
      </c>
      <c r="Y4323">
        <f>D4320</f>
        <v>1</v>
      </c>
      <c r="Z4323" t="str">
        <v>=</v>
      </c>
      <c r="AA4323">
        <f>IF(AA4324=0,(D4323*N4323+P4323*R4323)*U4323*Y4323,0)</f>
        <v>0</v>
      </c>
    </row>
    <row r="4324">
      <c r="A4324" t="str">
        <f>A4314</f>
        <v>Lantai 1</v>
      </c>
      <c r="B4324">
        <f>B4314</f>
        <v>47</v>
      </c>
      <c r="D4324">
        <f>IF(AND(D4321=D4322,D4322=D4323,D4321=D4323),D4321,0)</f>
        <v>3</v>
      </c>
      <c r="E4324" t="str">
        <v>D</v>
      </c>
      <c r="F4324">
        <f>IF(AND(F4321=F4322,F4321=F4323,F4322=F4323),F4321,0)</f>
        <v>16</v>
      </c>
      <c r="L4324" t="str">
        <v>Total panjang per balok</v>
      </c>
      <c r="M4324" t="str">
        <v>=</v>
      </c>
      <c r="N4324">
        <f>IF(AND(D4321=D4322,D4321=D4323,D4322=D4323,F4321=F4322,F4321=F4323,F4322=F4323),SUM(N4321:N4323),0)</f>
        <v>6.483999999999999</v>
      </c>
      <c r="O4324" t="str">
        <v>+</v>
      </c>
      <c r="P4324">
        <f>IF(N4324&gt;12,ROUNDDOWN(N4324/12,0),0)</f>
        <v>0</v>
      </c>
      <c r="Q4324" t="str">
        <v>x</v>
      </c>
      <c r="R4324">
        <f>IF(P4324&gt;0,MAX(VLOOKUP(F4324,$D$6:$G$15,3,FALSE),600),0)/1000</f>
        <v>0</v>
      </c>
      <c r="T4324" t="str">
        <v>x</v>
      </c>
      <c r="U4324">
        <f>U4323</f>
        <v>1.57824</v>
      </c>
      <c r="V4324" t="str">
        <v>x</v>
      </c>
      <c r="W4324">
        <f>D4324</f>
        <v>3</v>
      </c>
      <c r="X4324" t="str">
        <v>x</v>
      </c>
      <c r="Y4324">
        <f>Y4323</f>
        <v>1</v>
      </c>
      <c r="Z4324" t="str">
        <v>=</v>
      </c>
      <c r="AA4324">
        <f>(N4324+P4324*R4324/1000)*U4324*W4324*Y4324</f>
        <v>30.69992448</v>
      </c>
    </row>
    <row r="4326">
      <c r="A4326" t="str">
        <f>A4314</f>
        <v>Lantai 1</v>
      </c>
      <c r="B4326">
        <f>B4314</f>
        <v>47</v>
      </c>
      <c r="C4326" t="str">
        <v>Tul Peminggang</v>
      </c>
      <c r="D4326">
        <f>VLOOKUP(D4314,'Detail Balok'!$C$10:$AU$110,13,FALSE)</f>
        <v>2</v>
      </c>
      <c r="E4326" t="str">
        <v>D</v>
      </c>
      <c r="F4326">
        <f>VLOOKUP(D4314,'Detail Balok'!$C$10:$AU$110,15,FALSE)</f>
        <v>8</v>
      </c>
      <c r="J4326">
        <f>+D4316/1000</f>
        <v>6.1</v>
      </c>
      <c r="K4326" t="str">
        <v>+</v>
      </c>
      <c r="L4326">
        <f>2*$F$16*F4326/1000</f>
        <v>0.192</v>
      </c>
      <c r="M4326" t="str">
        <v>=</v>
      </c>
      <c r="N4326">
        <f>J4326+L4326</f>
        <v>6.292</v>
      </c>
      <c r="O4326" t="str">
        <v>+</v>
      </c>
      <c r="P4326">
        <f>IF(N4326&gt;12,ROUNDDOWN(N4326/12,0),0)</f>
        <v>0</v>
      </c>
      <c r="Q4326" t="str">
        <v>x</v>
      </c>
      <c r="R4326">
        <f>IF(P4326&gt;0,MAX(VLOOKUP(F4326,$D$6:$G$15,3,FALSE),600),0)/1000</f>
        <v>0</v>
      </c>
      <c r="T4326" t="str">
        <v>x</v>
      </c>
      <c r="U4326">
        <f>0.006165*F4326^2</f>
        <v>0.39456</v>
      </c>
      <c r="V4326" t="str">
        <v>x</v>
      </c>
      <c r="W4326">
        <f>+D4326</f>
        <v>2</v>
      </c>
      <c r="X4326" t="str">
        <v>x</v>
      </c>
      <c r="Y4326">
        <f>D4320</f>
        <v>1</v>
      </c>
      <c r="Z4326" t="str">
        <v>=</v>
      </c>
      <c r="AA4326">
        <f>(N4326+P4326*R4326/1000)*U4326*W4326*Y4326</f>
        <v>4.96514304</v>
      </c>
    </row>
    <row r="4329">
      <c r="A4329" t="str">
        <f>A4314</f>
        <v>Lantai 1</v>
      </c>
      <c r="B4329">
        <f>B4314</f>
        <v>47</v>
      </c>
      <c r="C4329" t="str">
        <v>Tul Bawah Tumpuan</v>
      </c>
      <c r="D4329">
        <f>VLOOKUP(D4314,'Detail Balok'!$C$10:$AU$110,22,FALSE)</f>
        <v>3</v>
      </c>
      <c r="E4329" t="str">
        <v>D</v>
      </c>
      <c r="F4329">
        <f>VLOOKUP(D4314,'Detail Balok'!$C$10:$AU$110,24,FALSE)</f>
        <v>16</v>
      </c>
      <c r="I4329" t="str">
        <v>(</v>
      </c>
      <c r="J4329">
        <f>+J4321</f>
        <v>1.525</v>
      </c>
      <c r="K4329" t="str">
        <v>+</v>
      </c>
      <c r="L4329">
        <f>MAX(VLOOKUP(F4329,N$6:P$15,3,FALSE)/1000,2/3*D4319/1000)+F$16*F4329/1000</f>
        <v>0.192</v>
      </c>
      <c r="M4329" t="str">
        <v>=</v>
      </c>
      <c r="N4329">
        <f>J4329+L4329</f>
        <v>1.7169999999999999</v>
      </c>
      <c r="O4329" t="str">
        <v>+</v>
      </c>
      <c r="P4329">
        <f>D4329-D4330</f>
        <v>0</v>
      </c>
      <c r="Q4329" t="str">
        <v>x</v>
      </c>
      <c r="R4329">
        <f>IF(P4329&gt;0,$F$18*F4329/1000,0)</f>
        <v>0</v>
      </c>
      <c r="S4329" t="str">
        <v>)</v>
      </c>
      <c r="T4329" t="str">
        <v>x</v>
      </c>
      <c r="U4329">
        <f>0.006165*F4329^2</f>
        <v>1.57824</v>
      </c>
      <c r="X4329" t="str">
        <v>x</v>
      </c>
      <c r="Y4329">
        <f>D4320</f>
        <v>1</v>
      </c>
      <c r="Z4329" t="str">
        <v>=</v>
      </c>
      <c r="AA4329">
        <f>IF(AA4332=0,(D4329*N4329+P4329*R4329)*U4329*Y4329,0)</f>
        <v>0</v>
      </c>
    </row>
    <row r="4330">
      <c r="A4330" t="str">
        <f>A4314</f>
        <v>Lantai 1</v>
      </c>
      <c r="B4330">
        <f>B4314</f>
        <v>47</v>
      </c>
      <c r="C4330" t="str">
        <v>Tul Bawah Lapangan</v>
      </c>
      <c r="D4330">
        <f>VLOOKUP(D4314,'Detail Balok'!$C$10:$AU$110,25,FALSE)</f>
        <v>3</v>
      </c>
      <c r="E4330" t="str">
        <v>D</v>
      </c>
      <c r="F4330">
        <f>VLOOKUP(D4314,'Detail Balok'!$C$10:$AU$110,27,FALSE)</f>
        <v>16</v>
      </c>
      <c r="I4330" t="str">
        <v>(</v>
      </c>
      <c r="J4330">
        <f>+J4322</f>
        <v>3.05</v>
      </c>
      <c r="K4330" t="str">
        <v>+</v>
      </c>
      <c r="M4330" t="str">
        <v>=</v>
      </c>
      <c r="N4330">
        <f>J4330+L4330</f>
        <v>3.05</v>
      </c>
      <c r="O4330" t="str">
        <v>+</v>
      </c>
      <c r="P4330">
        <f>MAX(D4330-D4329,D4330-D4331)</f>
        <v>0</v>
      </c>
      <c r="Q4330" t="str">
        <v>x</v>
      </c>
      <c r="R4330">
        <f>IF(P4330&gt;0,2*(1-2*$F$19-1/2)*D4317/1000,0)</f>
        <v>0</v>
      </c>
      <c r="S4330" t="str">
        <v>)</v>
      </c>
      <c r="T4330" t="str">
        <v>x</v>
      </c>
      <c r="U4330">
        <f>0.006165*F4330^2</f>
        <v>1.57824</v>
      </c>
      <c r="X4330" t="str">
        <v>x</v>
      </c>
      <c r="Y4330">
        <f>D4320</f>
        <v>1</v>
      </c>
      <c r="Z4330" t="str">
        <v>=</v>
      </c>
      <c r="AA4330">
        <f>IF(AA4332=0,(D4330*N4330+P4330*R4330)*U4330*Y4330,0)</f>
        <v>0</v>
      </c>
    </row>
    <row r="4331">
      <c r="A4331" t="str">
        <f>A4314</f>
        <v>Lantai 1</v>
      </c>
      <c r="B4331">
        <f>B4314</f>
        <v>47</v>
      </c>
      <c r="C4331" t="str">
        <v>Tul Bawah Tumpuan</v>
      </c>
      <c r="D4331">
        <f>VLOOKUP(D4314,'Detail Balok'!$C$10:$AU$110,28,FALSE)</f>
        <v>3</v>
      </c>
      <c r="E4331" t="str">
        <v>D</v>
      </c>
      <c r="F4331">
        <f>VLOOKUP(D4314,'Detail Balok'!$C$10:$AU$110,30,FALSE)</f>
        <v>16</v>
      </c>
      <c r="I4331" t="str">
        <v>(</v>
      </c>
      <c r="J4331">
        <f>+J4323</f>
        <v>1.525</v>
      </c>
      <c r="K4331" t="str">
        <v>+</v>
      </c>
      <c r="L4331">
        <f>MAX(VLOOKUP(F4331,N$6:P$15,3,FALSE)/1000,2/3*D4319/1000)+F$16*F4331/1000</f>
        <v>0.192</v>
      </c>
      <c r="M4331" t="str">
        <v>=</v>
      </c>
      <c r="N4331">
        <f>J4331+L4331</f>
        <v>1.7169999999999999</v>
      </c>
      <c r="O4331" t="str">
        <v>+</v>
      </c>
      <c r="P4331">
        <f>D4331-D4330</f>
        <v>0</v>
      </c>
      <c r="Q4331" t="str">
        <v>x</v>
      </c>
      <c r="R4331">
        <f>IF(P4331&gt;0,$F$18*F4331/1000,0)</f>
        <v>0</v>
      </c>
      <c r="S4331" t="str">
        <v>)</v>
      </c>
      <c r="T4331" t="str">
        <v>x</v>
      </c>
      <c r="U4331">
        <f>0.006165*F4331^2</f>
        <v>1.57824</v>
      </c>
      <c r="X4331" t="str">
        <v>x</v>
      </c>
      <c r="Y4331">
        <f>D4320</f>
        <v>1</v>
      </c>
      <c r="Z4331" t="str">
        <v>=</v>
      </c>
      <c r="AA4331">
        <f>IF(AA4332=0,(D4331*N4331+P4331*R4331)*U4331*Y4331,0)</f>
        <v>0</v>
      </c>
    </row>
    <row r="4332">
      <c r="A4332" t="str">
        <f>A4314</f>
        <v>Lantai 1</v>
      </c>
      <c r="B4332">
        <f>B4314</f>
        <v>47</v>
      </c>
      <c r="D4332">
        <f>IF(AND(D4329=D4330,D4330=D4331,D4329=D4331),D4329,0)</f>
        <v>3</v>
      </c>
      <c r="E4332" t="str">
        <v>D</v>
      </c>
      <c r="F4332">
        <f>IF(AND(F4329=F4330,F4329=F4331,F4330=F4331),F4329,0)</f>
        <v>16</v>
      </c>
      <c r="L4332" t="str">
        <v>Total panjang per balok</v>
      </c>
      <c r="M4332" t="str">
        <v>=</v>
      </c>
      <c r="N4332">
        <f>IF(AND(D4329=D4330,D4329=D4331,D4330=D4331,F4329=F4330,F4329=F4331,F4330=F4331),SUM(N4329:N4331),0)</f>
        <v>6.483999999999999</v>
      </c>
      <c r="O4332" t="str">
        <v>+</v>
      </c>
      <c r="P4332">
        <f>IF(N4332&gt;12,ROUNDDOWN(N4332/12,0),0)</f>
        <v>0</v>
      </c>
      <c r="Q4332" t="str">
        <v>x</v>
      </c>
      <c r="R4332">
        <f>IF(P4332&gt;0,MAX(VLOOKUP(F4332,$D$6:$G$15,3,FALSE),600),0)/1000</f>
        <v>0</v>
      </c>
      <c r="T4332" t="str">
        <v>x</v>
      </c>
      <c r="U4332">
        <f>U4331</f>
        <v>1.57824</v>
      </c>
      <c r="V4332" t="str">
        <v>x</v>
      </c>
      <c r="W4332">
        <f>D4332</f>
        <v>3</v>
      </c>
      <c r="X4332" t="str">
        <v>x</v>
      </c>
      <c r="Y4332">
        <f>Y4331</f>
        <v>1</v>
      </c>
      <c r="Z4332" t="str">
        <v>=</v>
      </c>
      <c r="AA4332">
        <f>(N4332+P4332*R4332/1000)*U4332*W4332*Y4332</f>
        <v>30.69992448</v>
      </c>
    </row>
    <row r="4334">
      <c r="A4334" t="str">
        <f>A4314</f>
        <v>Lantai 1</v>
      </c>
      <c r="B4334">
        <f>B4314</f>
        <v>47</v>
      </c>
      <c r="C4334" t="str">
        <v>Sengkang Tumpuan</v>
      </c>
      <c r="D4334">
        <f>VLOOKUP(D4314,'Detail Balok'!$C$10:$AU$110,31,FALSE)</f>
        <v>0</v>
      </c>
      <c r="E4334" t="str">
        <v>D</v>
      </c>
      <c r="F4334">
        <f>VLOOKUP(D4314,'Detail Balok'!$C$10:$AU$110,33,FALSE)</f>
        <v>8</v>
      </c>
      <c r="G4334" t="str">
        <v>-</v>
      </c>
      <c r="H4334">
        <f>VLOOKUP(D4314,'Detail Balok'!$C$10:$AU$110,35,FALSE)</f>
        <v>100</v>
      </c>
      <c r="J4334">
        <f>(IF(D4334=0,(2*(D4315+G4315))-(F$5*8),IF(D4334=3,(2*(D4315+G4315))-(F$5*8)+(G4315-2*F$5),IF(D4334=4,(2*(D4315+G4315))-(F$5*8)+2*(G4315-2*F$5)))))/1000</f>
        <v>0.98</v>
      </c>
      <c r="K4334" t="str">
        <v>+</v>
      </c>
      <c r="L4334">
        <f>IF(D4334=0,2*MAX(6*F4334,75),(D4334-1)*2*MAX(6*F4334,75))/1000</f>
        <v>0.15</v>
      </c>
      <c r="M4334" t="str">
        <v>=</v>
      </c>
      <c r="N4334">
        <f>J4334+L4334</f>
        <v>1.13</v>
      </c>
      <c r="T4334" t="str">
        <v>x</v>
      </c>
      <c r="U4334">
        <f>0.006165*F4334^2</f>
        <v>0.39456</v>
      </c>
      <c r="V4334" t="str">
        <v>x</v>
      </c>
      <c r="W4334">
        <f>IF(D4317&gt;4*G4315,ROUND(MAX(D4317/4,2*G4315)/H4334,0)+1,ROUND(D4317/H4334,0)+1)</f>
        <v>16</v>
      </c>
      <c r="X4334" t="str">
        <v>x</v>
      </c>
      <c r="Y4334">
        <f>D4320</f>
        <v>1</v>
      </c>
      <c r="Z4334" t="str">
        <v>=</v>
      </c>
      <c r="AA4334">
        <f>N4334*U4334*W4334*Y4334</f>
        <v>7.1336448</v>
      </c>
    </row>
    <row r="4335">
      <c r="A4335" t="str">
        <f>A4314</f>
        <v>Lantai 1</v>
      </c>
      <c r="B4335">
        <f>B4314</f>
        <v>47</v>
      </c>
      <c r="C4335" t="str">
        <v>Sengkang Lapangan</v>
      </c>
      <c r="D4335">
        <f>VLOOKUP(D4314,'Detail Balok'!$C$10:$AU$110,36,FALSE)</f>
        <v>0</v>
      </c>
      <c r="E4335" t="str">
        <v>D</v>
      </c>
      <c r="F4335">
        <f>VLOOKUP(D4314,'Detail Balok'!$C$10:$AU$110,38,FALSE)</f>
        <v>8</v>
      </c>
      <c r="G4335" t="str">
        <v>-</v>
      </c>
      <c r="H4335">
        <f>VLOOKUP(D4314,'Detail Balok'!$C$10:$AU$110,40,FALSE)</f>
        <v>200</v>
      </c>
      <c r="J4335">
        <f>(IF(D4335=0,(2*(D4315+G4315))-(F$5*8),IF(D4335=3,(2*(D4315+G4315))-(F$5*8)+(G4315-2*F$5),IF(D4335=4,(2*(D4315+G4315))-(F$5*8)+2*(G4315-2*F$5)))))/1000</f>
        <v>0.98</v>
      </c>
      <c r="K4335" t="str">
        <v>+</v>
      </c>
      <c r="L4335">
        <f>IF(D4335=0,2*MAX(6*F4335,75),(D4335-1)*2*MAX(6*F4335,75))/1000</f>
        <v>0.15</v>
      </c>
      <c r="M4335" t="str">
        <v>=</v>
      </c>
      <c r="N4335">
        <f>J4335+L4335</f>
        <v>1.13</v>
      </c>
      <c r="T4335" t="str">
        <v>x</v>
      </c>
      <c r="U4335">
        <f>0.006165*F4335^2</f>
        <v>0.39456</v>
      </c>
      <c r="V4335" t="str">
        <v>x</v>
      </c>
      <c r="W4335">
        <f>IF(D4317-MAX(D4317/4,2*G4315)*2&gt;0,ROUND((D4317-MAX(D4317/4,2*G4315)*2)/H4335,0),0)</f>
        <v>15</v>
      </c>
      <c r="X4335" t="str">
        <v>x</v>
      </c>
      <c r="Y4335">
        <f>D4320</f>
        <v>1</v>
      </c>
      <c r="Z4335" t="str">
        <v>=</v>
      </c>
      <c r="AA4335">
        <f>N4335*U4335*W4335*Y4335</f>
        <v>6.687792</v>
      </c>
    </row>
    <row r="4336">
      <c r="A4336" t="str">
        <f>A4314</f>
        <v>Lantai 1</v>
      </c>
      <c r="B4336">
        <f>B4314</f>
        <v>47</v>
      </c>
      <c r="C4336" t="str">
        <v>Sengkang Tumpuan</v>
      </c>
      <c r="D4336">
        <f>VLOOKUP(D4314,'Detail Balok'!$C$10:$AU$110,41,FALSE)</f>
        <v>0</v>
      </c>
      <c r="E4336" t="str">
        <v>D</v>
      </c>
      <c r="F4336">
        <f>VLOOKUP(D4314,'Detail Balok'!$C$10:$AU$110,43,FALSE)</f>
        <v>8</v>
      </c>
      <c r="G4336" t="str">
        <v>-</v>
      </c>
      <c r="H4336">
        <f>VLOOKUP(D4314,'Detail Balok'!$C$10:$AU$110,45,FALSE)</f>
        <v>100</v>
      </c>
      <c r="J4336">
        <f>(IF(D4336=0,(2*(D4315+G4315))-(F$5*8),IF(D4336=3,(2*(D4315+G4315))-(F$5*8)+(G4315-2*F$5),IF(D4336=4,(2*(D4315+G4315))-(F$5*8)+2*(G4315-2*F$5)))))/1000</f>
        <v>0.98</v>
      </c>
      <c r="K4336" t="str">
        <v>+</v>
      </c>
      <c r="L4336">
        <f>IF(D4336=0,2*MAX(6*F4336,75),(D4336-1)*2*MAX(6*F4336,75))/1000</f>
        <v>0.15</v>
      </c>
      <c r="M4336" t="str">
        <v>=</v>
      </c>
      <c r="N4336">
        <f>J4336+L4336</f>
        <v>1.13</v>
      </c>
      <c r="T4336" t="str">
        <v>x</v>
      </c>
      <c r="U4336">
        <f>0.006165*F4336^2</f>
        <v>0.39456</v>
      </c>
      <c r="V4336" t="str">
        <v>x</v>
      </c>
      <c r="W4336">
        <f>IF(D4317&gt;4*G4315,ROUND(MAX(D4317/4,2*G4315)/H4336,0)+1,0)</f>
        <v>16</v>
      </c>
      <c r="X4336" t="str">
        <v>x</v>
      </c>
      <c r="Y4336">
        <f>D4320</f>
        <v>1</v>
      </c>
      <c r="Z4336" t="str">
        <v>=</v>
      </c>
      <c r="AA4336">
        <f>N4336*U4336*W4336*Y4336</f>
        <v>7.1336448</v>
      </c>
    </row>
    <row r="4338">
      <c r="A4338" t="str">
        <f>A4314</f>
        <v>Lantai 1</v>
      </c>
      <c r="B4338">
        <f>B4314</f>
        <v>47</v>
      </c>
      <c r="C4338" t="str">
        <v>Kait Horizontal Tump.</v>
      </c>
      <c r="D4338">
        <f>VLOOKUP(D4314,'Detail Balok'!$C$10:$BJ$110,46,FALSE)</f>
        <v>0</v>
      </c>
      <c r="E4338" t="str">
        <v>D</v>
      </c>
      <c r="F4338">
        <f>VLOOKUP(D4314,'Detail Balok'!$C$10:$BJ$110,48,FALSE)</f>
        <v>0</v>
      </c>
      <c r="G4338" t="str">
        <v>-</v>
      </c>
      <c r="H4338">
        <f>VLOOKUP(D4314,'Detail Balok'!$C$10:$BJ$110,50,FALSE)</f>
        <v>100</v>
      </c>
      <c r="J4338">
        <f>(D4315-2*F$5)/1000</f>
        <v>0.12</v>
      </c>
      <c r="K4338" t="str">
        <v>+</v>
      </c>
      <c r="L4338">
        <f>IF(D4338=0,2*MAX(6*F4338,75),(D4338-1)*2*MAX(6*F4338,75))/1000</f>
        <v>0.15</v>
      </c>
      <c r="M4338" t="str">
        <v>=</v>
      </c>
      <c r="N4338">
        <f>J4338+L4338</f>
        <v>0.27</v>
      </c>
      <c r="T4338" t="str">
        <v>x</v>
      </c>
      <c r="U4338">
        <f>0.006165*F4338^2</f>
        <v>0</v>
      </c>
      <c r="V4338" t="str">
        <v>x</v>
      </c>
      <c r="W4338">
        <f>W4334</f>
        <v>16</v>
      </c>
      <c r="X4338" t="str">
        <v>x</v>
      </c>
      <c r="Y4338">
        <f>D4324</f>
        <v>3</v>
      </c>
      <c r="Z4338" t="str">
        <v>=</v>
      </c>
      <c r="AA4338">
        <f>N4338*U4338*W4338*Y4338</f>
        <v>0</v>
      </c>
    </row>
    <row r="4339">
      <c r="A4339" t="str">
        <f>A4314</f>
        <v>Lantai 1</v>
      </c>
      <c r="B4339">
        <f>B4314</f>
        <v>47</v>
      </c>
      <c r="C4339" t="str">
        <v>Kait Horizontal Lap.</v>
      </c>
      <c r="D4339">
        <f>VLOOKUP(D4314,'Detail Balok'!$C$10:$BJ$110,51,FALSE)</f>
        <v>0</v>
      </c>
      <c r="E4339" t="str">
        <v>D</v>
      </c>
      <c r="F4339">
        <f>VLOOKUP(D4314,'Detail Balok'!$C$10:$BJ$110,53,FALSE)</f>
        <v>0</v>
      </c>
      <c r="G4339" t="str">
        <v>-</v>
      </c>
      <c r="H4339">
        <f>VLOOKUP(D4314,'Detail Balok'!$C$10:$BJ$110,55,FALSE)</f>
        <v>100</v>
      </c>
      <c r="J4339">
        <f>(D4315-2*F$5)/1000</f>
        <v>0.12</v>
      </c>
      <c r="K4339" t="str">
        <v>+</v>
      </c>
      <c r="L4339">
        <f>IF(D4339=0,2*MAX(6*F4339,75),(D4339-1)*2*MAX(6*F4339,75))/1000</f>
        <v>0.15</v>
      </c>
      <c r="M4339" t="str">
        <v>=</v>
      </c>
      <c r="N4339">
        <f>J4339+L4339</f>
        <v>0.27</v>
      </c>
      <c r="T4339" t="str">
        <v>x</v>
      </c>
      <c r="U4339">
        <f>0.006165*F4339^2</f>
        <v>0</v>
      </c>
      <c r="V4339" t="str">
        <v>x</v>
      </c>
      <c r="W4339">
        <f>W4335</f>
        <v>15</v>
      </c>
      <c r="X4339" t="str">
        <v>x</v>
      </c>
      <c r="Y4339">
        <f>D4324</f>
        <v>3</v>
      </c>
      <c r="Z4339" t="str">
        <v>=</v>
      </c>
      <c r="AA4339">
        <f>N4339*U4339*W4339*Y4339</f>
        <v>0</v>
      </c>
    </row>
    <row r="4340">
      <c r="A4340" t="str">
        <f>A4314</f>
        <v>Lantai 1</v>
      </c>
      <c r="B4340">
        <f>B4314</f>
        <v>47</v>
      </c>
      <c r="C4340" t="str">
        <v>Kait Horizontal Tump.</v>
      </c>
      <c r="D4340">
        <f>VLOOKUP(D4314,'Detail Balok'!$C$10:$BJ$110,56,FALSE)</f>
        <v>0</v>
      </c>
      <c r="E4340" t="str">
        <v>D</v>
      </c>
      <c r="F4340">
        <f>VLOOKUP(D4314,'Detail Balok'!$C$10:$BJ$110,58,FALSE)</f>
        <v>0</v>
      </c>
      <c r="G4340" t="str">
        <v>-</v>
      </c>
      <c r="H4340">
        <f>VLOOKUP(D4314,'Detail Balok'!$C$10:$BJ$110,60,FALSE)</f>
        <v>100</v>
      </c>
      <c r="J4340">
        <f>(D4315-2*F$5)/1000</f>
        <v>0.12</v>
      </c>
      <c r="K4340" t="str">
        <v>+</v>
      </c>
      <c r="L4340">
        <f>IF(D4340=0,2*MAX(6*F4340,75),(D4340-1)*2*MAX(6*F4340,75))/1000</f>
        <v>0.15</v>
      </c>
      <c r="M4340" t="str">
        <v>=</v>
      </c>
      <c r="N4340">
        <f>J4340+L4340</f>
        <v>0.27</v>
      </c>
      <c r="T4340" t="str">
        <v>x</v>
      </c>
      <c r="U4340">
        <f>0.006165*F4340^2</f>
        <v>0</v>
      </c>
      <c r="V4340" t="str">
        <v>x</v>
      </c>
      <c r="W4340">
        <f>W4336</f>
        <v>16</v>
      </c>
      <c r="X4340" t="str">
        <v>x</v>
      </c>
      <c r="Y4340">
        <f>D4324</f>
        <v>3</v>
      </c>
      <c r="Z4340" t="str">
        <v>=</v>
      </c>
      <c r="AA4340">
        <f>N4340*U4340*W4340*Y4340</f>
        <v>0</v>
      </c>
    </row>
    <row r="4344">
      <c r="A4344" t="str">
        <f>A4314</f>
        <v>Lantai 1</v>
      </c>
      <c r="B4344">
        <f>B4314+1</f>
        <v>48</v>
      </c>
      <c r="C4344" t="str">
        <f>CONCATENATE(A4344," no. ",B4344)</f>
        <v>Lantai 1 no. 48</v>
      </c>
      <c r="D4344" t="str">
        <f>VLOOKUP(C4344,'Data Panjang Balok'!$C$9:$N$424,2,FALSE)</f>
        <v>B245-2</v>
      </c>
    </row>
    <row r="4345">
      <c r="C4345" t="str">
        <v>Dimensi</v>
      </c>
      <c r="D4345">
        <f>VLOOKUP(D4344,'Detail Balok'!$C$10:$AU$110,2,FALSE)</f>
        <v>200</v>
      </c>
      <c r="F4345" t="str">
        <v>x</v>
      </c>
      <c r="G4345">
        <f>VLOOKUP(D4344,'Detail Balok'!$C$10:$AU$110,3,FALSE)</f>
        <v>450</v>
      </c>
    </row>
    <row r="4346">
      <c r="C4346" t="str">
        <v>Panjang as ke as</v>
      </c>
      <c r="D4346">
        <f>VLOOKUP(C4344,'Data Panjang Balok'!$C$9:$N$424,4,FALSE)</f>
        <v>6100</v>
      </c>
    </row>
    <row r="4347">
      <c r="C4347" t="str">
        <v>Panjang netto</v>
      </c>
      <c r="D4347">
        <f>VLOOKUP(C4344,'Data Panjang Balok'!$C$9:$N$424,7,FALSE)</f>
        <v>6100</v>
      </c>
    </row>
    <row r="4348">
      <c r="C4348" t="str">
        <v>Kolom / balok kiri</v>
      </c>
      <c r="D4348">
        <f>VLOOKUP(C4344,'Data Panjang Balok'!$C$9:$N$424,9,FALSE)</f>
        <v>0</v>
      </c>
    </row>
    <row r="4349">
      <c r="C4349" t="str">
        <v>Kolom / balok kanan</v>
      </c>
      <c r="D4349">
        <f>VLOOKUP(C4344,'Data Panjang Balok'!$C$9:$N$424,10,FALSE)</f>
        <v>0</v>
      </c>
    </row>
    <row r="4350">
      <c r="C4350" t="str">
        <v>Jumlah</v>
      </c>
      <c r="D4350">
        <f>VLOOKUP(C4344,'Data Panjang Balok'!$C$9:$N$424,3,FALSE)</f>
        <v>1</v>
      </c>
    </row>
    <row r="4351">
      <c r="A4351" t="str">
        <f>A4344</f>
        <v>Lantai 1</v>
      </c>
      <c r="B4351">
        <f>B4344</f>
        <v>48</v>
      </c>
      <c r="C4351" t="str">
        <v>Tul Atas Tumpuan</v>
      </c>
      <c r="D4351">
        <f>VLOOKUP(D4344,'Detail Balok'!$C$10:$AU$110,4,FALSE)</f>
        <v>3</v>
      </c>
      <c r="E4351" t="str">
        <v>D</v>
      </c>
      <c r="F4351">
        <f>VLOOKUP(D4344,'Detail Balok'!$C$10:$AU$110,6,FALSE)</f>
        <v>13</v>
      </c>
      <c r="I4351" t="str">
        <v>(</v>
      </c>
      <c r="J4351">
        <f>+D4346/4/1000</f>
        <v>1.525</v>
      </c>
      <c r="K4351" t="str">
        <v>+</v>
      </c>
      <c r="L4351">
        <f>MAX(VLOOKUP(F4351,N$6:P$15,3,FALSE)/1000,2/3*D4348/1000)+F$16*F4351/1000</f>
        <v>0.156</v>
      </c>
      <c r="M4351" t="str">
        <v>=</v>
      </c>
      <c r="N4351">
        <f>J4351+L4351</f>
        <v>1.6809999999999998</v>
      </c>
      <c r="O4351" t="str">
        <v>+</v>
      </c>
      <c r="P4351">
        <f>D4351-D4352</f>
        <v>0</v>
      </c>
      <c r="Q4351" t="str">
        <v>x</v>
      </c>
      <c r="R4351">
        <f>IF(P4351&gt;0,$F$18*F4351/1000,0)</f>
        <v>0</v>
      </c>
      <c r="S4351" t="str">
        <v>)</v>
      </c>
      <c r="T4351" t="str">
        <v>x</v>
      </c>
      <c r="U4351">
        <f>0.006165*F4351^2</f>
        <v>1.041885</v>
      </c>
      <c r="X4351" t="str">
        <v>x</v>
      </c>
      <c r="Y4351">
        <f>D4350</f>
        <v>1</v>
      </c>
      <c r="Z4351" t="str">
        <v>=</v>
      </c>
      <c r="AA4351">
        <f>IF(AA4354=0,(D4351*N4351+P4351*R4351)*U4351*Y4351,0)</f>
        <v>0</v>
      </c>
    </row>
    <row r="4352">
      <c r="A4352" t="str">
        <f>A4344</f>
        <v>Lantai 1</v>
      </c>
      <c r="B4352">
        <f>B4344</f>
        <v>48</v>
      </c>
      <c r="C4352" t="str">
        <v>Tul Atas Lapangan</v>
      </c>
      <c r="D4352">
        <f>VLOOKUP(D4344,'Detail Balok'!$C$10:$AU$110,7,FALSE)</f>
        <v>3</v>
      </c>
      <c r="E4352" t="str">
        <v>D</v>
      </c>
      <c r="F4352">
        <f>VLOOKUP(D4344,'Detail Balok'!$C$10:$AU$110,9,FALSE)</f>
        <v>13</v>
      </c>
      <c r="I4352" t="str">
        <v>(</v>
      </c>
      <c r="J4352">
        <f>+D4346/2/1000</f>
        <v>3.05</v>
      </c>
      <c r="K4352" t="str">
        <v>+</v>
      </c>
      <c r="M4352" t="str">
        <v>=</v>
      </c>
      <c r="N4352">
        <f>J4352+L4352</f>
        <v>3.05</v>
      </c>
      <c r="O4352" t="str">
        <v>+</v>
      </c>
      <c r="P4352">
        <f>MAX(D4352-D4351,D4352-D4353)</f>
        <v>0</v>
      </c>
      <c r="Q4352" t="str">
        <v>x</v>
      </c>
      <c r="R4352">
        <f>IF(P4352&gt;0,2*(1-2*$F$19-1/2)*D4347/1000,0)</f>
        <v>0</v>
      </c>
      <c r="S4352" t="str">
        <v>)</v>
      </c>
      <c r="T4352" t="str">
        <v>x</v>
      </c>
      <c r="U4352">
        <f>0.006165*F4352^2</f>
        <v>1.041885</v>
      </c>
      <c r="X4352" t="str">
        <v>x</v>
      </c>
      <c r="Y4352">
        <f>D4350</f>
        <v>1</v>
      </c>
      <c r="Z4352" t="str">
        <v>=</v>
      </c>
      <c r="AA4352">
        <f>IF(AA4354=0,(D4352*N4352+P4352*R4352)*U4352*Y4352,0)</f>
        <v>0</v>
      </c>
    </row>
    <row r="4353">
      <c r="A4353" t="str">
        <f>A4344</f>
        <v>Lantai 1</v>
      </c>
      <c r="B4353">
        <f>B4344</f>
        <v>48</v>
      </c>
      <c r="C4353" t="str">
        <v>Tul Atas Tumpuan</v>
      </c>
      <c r="D4353">
        <f>VLOOKUP(D4344,'Detail Balok'!$C$10:$AU$110,10,FALSE)</f>
        <v>3</v>
      </c>
      <c r="E4353" t="str">
        <v>D</v>
      </c>
      <c r="F4353">
        <f>VLOOKUP(D4344,'Detail Balok'!$C$10:$AU$110,12,FALSE)</f>
        <v>13</v>
      </c>
      <c r="I4353" t="str">
        <v>(</v>
      </c>
      <c r="J4353">
        <f>+D4346/4/1000</f>
        <v>1.525</v>
      </c>
      <c r="K4353" t="str">
        <v>+</v>
      </c>
      <c r="L4353">
        <f>MAX(VLOOKUP(F4353,N$6:P$15,3,FALSE)/1000,2/3*D4348/1000)+F$16*F4353/1000</f>
        <v>0.156</v>
      </c>
      <c r="M4353" t="str">
        <v>=</v>
      </c>
      <c r="N4353">
        <f>J4353+L4353</f>
        <v>1.6809999999999998</v>
      </c>
      <c r="O4353" t="str">
        <v>+</v>
      </c>
      <c r="P4353">
        <f>D4353-D4352</f>
        <v>0</v>
      </c>
      <c r="Q4353" t="str">
        <v>x</v>
      </c>
      <c r="R4353">
        <f>IF(P4353&gt;0,$F$18*F4353/1000,0)</f>
        <v>0</v>
      </c>
      <c r="S4353" t="str">
        <v>)</v>
      </c>
      <c r="T4353" t="str">
        <v>x</v>
      </c>
      <c r="U4353">
        <f>0.006165*F4353^2</f>
        <v>1.041885</v>
      </c>
      <c r="X4353" t="str">
        <v>x</v>
      </c>
      <c r="Y4353">
        <f>D4350</f>
        <v>1</v>
      </c>
      <c r="Z4353" t="str">
        <v>=</v>
      </c>
      <c r="AA4353">
        <f>IF(AA4354=0,(D4353*N4353+P4353*R4353)*U4353*Y4353,0)</f>
        <v>0</v>
      </c>
    </row>
    <row r="4354">
      <c r="A4354" t="str">
        <f>A4344</f>
        <v>Lantai 1</v>
      </c>
      <c r="B4354">
        <f>B4344</f>
        <v>48</v>
      </c>
      <c r="D4354">
        <f>IF(AND(D4351=D4352,D4352=D4353,D4351=D4353),D4351,0)</f>
        <v>3</v>
      </c>
      <c r="E4354" t="str">
        <v>D</v>
      </c>
      <c r="F4354">
        <f>IF(AND(F4351=F4352,F4351=F4353,F4352=F4353),F4351,0)</f>
        <v>13</v>
      </c>
      <c r="L4354" t="str">
        <v>Total panjang per balok</v>
      </c>
      <c r="M4354" t="str">
        <v>=</v>
      </c>
      <c r="N4354">
        <f>IF(AND(D4351=D4352,D4351=D4353,D4352=D4353,F4351=F4352,F4351=F4353,F4352=F4353),SUM(N4351:N4353),0)</f>
        <v>6.412</v>
      </c>
      <c r="O4354" t="str">
        <v>+</v>
      </c>
      <c r="P4354">
        <f>IF(N4354&gt;12,ROUNDDOWN(N4354/12,0),0)</f>
        <v>0</v>
      </c>
      <c r="Q4354" t="str">
        <v>x</v>
      </c>
      <c r="R4354">
        <f>IF(P4354&gt;0,MAX(VLOOKUP(F4354,$D$6:$G$15,3,FALSE),600),0)/1000</f>
        <v>0</v>
      </c>
      <c r="T4354" t="str">
        <v>x</v>
      </c>
      <c r="U4354">
        <f>U4353</f>
        <v>1.041885</v>
      </c>
      <c r="V4354" t="str">
        <v>x</v>
      </c>
      <c r="W4354">
        <f>D4354</f>
        <v>3</v>
      </c>
      <c r="X4354" t="str">
        <v>x</v>
      </c>
      <c r="Y4354">
        <f>Y4353</f>
        <v>1</v>
      </c>
      <c r="Z4354" t="str">
        <v>=</v>
      </c>
      <c r="AA4354">
        <f>(N4354+P4354*R4354/1000)*U4354*W4354*Y4354</f>
        <v>20.041699859999998</v>
      </c>
    </row>
    <row r="4356">
      <c r="A4356" t="str">
        <f>A4344</f>
        <v>Lantai 1</v>
      </c>
      <c r="B4356">
        <f>B4344</f>
        <v>48</v>
      </c>
      <c r="C4356" t="str">
        <v>Tul Peminggang</v>
      </c>
      <c r="D4356">
        <f>VLOOKUP(D4344,'Detail Balok'!$C$10:$AU$110,13,FALSE)</f>
        <v>2</v>
      </c>
      <c r="E4356" t="str">
        <v>D</v>
      </c>
      <c r="F4356">
        <f>VLOOKUP(D4344,'Detail Balok'!$C$10:$AU$110,15,FALSE)</f>
        <v>8</v>
      </c>
      <c r="J4356">
        <f>+D4346/1000</f>
        <v>6.1</v>
      </c>
      <c r="K4356" t="str">
        <v>+</v>
      </c>
      <c r="L4356">
        <f>2*$F$16*F4356/1000</f>
        <v>0.192</v>
      </c>
      <c r="M4356" t="str">
        <v>=</v>
      </c>
      <c r="N4356">
        <f>J4356+L4356</f>
        <v>6.292</v>
      </c>
      <c r="O4356" t="str">
        <v>+</v>
      </c>
      <c r="P4356">
        <f>IF(N4356&gt;12,ROUNDDOWN(N4356/12,0),0)</f>
        <v>0</v>
      </c>
      <c r="Q4356" t="str">
        <v>x</v>
      </c>
      <c r="R4356">
        <f>IF(P4356&gt;0,MAX(VLOOKUP(F4356,$D$6:$G$15,3,FALSE),600),0)/1000</f>
        <v>0</v>
      </c>
      <c r="T4356" t="str">
        <v>x</v>
      </c>
      <c r="U4356">
        <f>0.006165*F4356^2</f>
        <v>0.39456</v>
      </c>
      <c r="V4356" t="str">
        <v>x</v>
      </c>
      <c r="W4356">
        <f>+D4356</f>
        <v>2</v>
      </c>
      <c r="X4356" t="str">
        <v>x</v>
      </c>
      <c r="Y4356">
        <f>D4350</f>
        <v>1</v>
      </c>
      <c r="Z4356" t="str">
        <v>=</v>
      </c>
      <c r="AA4356">
        <f>(N4356+P4356*R4356/1000)*U4356*W4356*Y4356</f>
        <v>4.96514304</v>
      </c>
    </row>
    <row r="4359">
      <c r="A4359" t="str">
        <f>A4344</f>
        <v>Lantai 1</v>
      </c>
      <c r="B4359">
        <f>B4344</f>
        <v>48</v>
      </c>
      <c r="C4359" t="str">
        <v>Tul Bawah Tumpuan</v>
      </c>
      <c r="D4359">
        <f>VLOOKUP(D4344,'Detail Balok'!$C$10:$AU$110,22,FALSE)</f>
        <v>3</v>
      </c>
      <c r="E4359" t="str">
        <v>D</v>
      </c>
      <c r="F4359">
        <f>VLOOKUP(D4344,'Detail Balok'!$C$10:$AU$110,24,FALSE)</f>
        <v>13</v>
      </c>
      <c r="I4359" t="str">
        <v>(</v>
      </c>
      <c r="J4359">
        <f>+J4351</f>
        <v>1.525</v>
      </c>
      <c r="K4359" t="str">
        <v>+</v>
      </c>
      <c r="L4359">
        <f>MAX(VLOOKUP(F4359,N$6:P$15,3,FALSE)/1000,2/3*D4349/1000)+F$16*F4359/1000</f>
        <v>0.156</v>
      </c>
      <c r="M4359" t="str">
        <v>=</v>
      </c>
      <c r="N4359">
        <f>J4359+L4359</f>
        <v>1.6809999999999998</v>
      </c>
      <c r="O4359" t="str">
        <v>+</v>
      </c>
      <c r="P4359">
        <f>D4359-D4360</f>
        <v>0</v>
      </c>
      <c r="Q4359" t="str">
        <v>x</v>
      </c>
      <c r="R4359">
        <f>IF(P4359&gt;0,$F$18*F4359/1000,0)</f>
        <v>0</v>
      </c>
      <c r="S4359" t="str">
        <v>)</v>
      </c>
      <c r="T4359" t="str">
        <v>x</v>
      </c>
      <c r="U4359">
        <f>0.006165*F4359^2</f>
        <v>1.041885</v>
      </c>
      <c r="X4359" t="str">
        <v>x</v>
      </c>
      <c r="Y4359">
        <f>D4350</f>
        <v>1</v>
      </c>
      <c r="Z4359" t="str">
        <v>=</v>
      </c>
      <c r="AA4359">
        <f>IF(AA4362=0,(D4359*N4359+P4359*R4359)*U4359*Y4359,0)</f>
        <v>0</v>
      </c>
    </row>
    <row r="4360">
      <c r="A4360" t="str">
        <f>A4344</f>
        <v>Lantai 1</v>
      </c>
      <c r="B4360">
        <f>B4344</f>
        <v>48</v>
      </c>
      <c r="C4360" t="str">
        <v>Tul Bawah Lapangan</v>
      </c>
      <c r="D4360">
        <f>VLOOKUP(D4344,'Detail Balok'!$C$10:$AU$110,25,FALSE)</f>
        <v>3</v>
      </c>
      <c r="E4360" t="str">
        <v>D</v>
      </c>
      <c r="F4360">
        <f>VLOOKUP(D4344,'Detail Balok'!$C$10:$AU$110,27,FALSE)</f>
        <v>13</v>
      </c>
      <c r="I4360" t="str">
        <v>(</v>
      </c>
      <c r="J4360">
        <f>+J4352</f>
        <v>3.05</v>
      </c>
      <c r="K4360" t="str">
        <v>+</v>
      </c>
      <c r="M4360" t="str">
        <v>=</v>
      </c>
      <c r="N4360">
        <f>J4360+L4360</f>
        <v>3.05</v>
      </c>
      <c r="O4360" t="str">
        <v>+</v>
      </c>
      <c r="P4360">
        <f>MAX(D4360-D4359,D4360-D4361)</f>
        <v>0</v>
      </c>
      <c r="Q4360" t="str">
        <v>x</v>
      </c>
      <c r="R4360">
        <f>IF(P4360&gt;0,2*(1-2*$F$19-1/2)*D4347/1000,0)</f>
        <v>0</v>
      </c>
      <c r="S4360" t="str">
        <v>)</v>
      </c>
      <c r="T4360" t="str">
        <v>x</v>
      </c>
      <c r="U4360">
        <f>0.006165*F4360^2</f>
        <v>1.041885</v>
      </c>
      <c r="X4360" t="str">
        <v>x</v>
      </c>
      <c r="Y4360">
        <f>D4350</f>
        <v>1</v>
      </c>
      <c r="Z4360" t="str">
        <v>=</v>
      </c>
      <c r="AA4360">
        <f>IF(AA4362=0,(D4360*N4360+P4360*R4360)*U4360*Y4360,0)</f>
        <v>0</v>
      </c>
    </row>
    <row r="4361">
      <c r="A4361" t="str">
        <f>A4344</f>
        <v>Lantai 1</v>
      </c>
      <c r="B4361">
        <f>B4344</f>
        <v>48</v>
      </c>
      <c r="C4361" t="str">
        <v>Tul Bawah Tumpuan</v>
      </c>
      <c r="D4361">
        <f>VLOOKUP(D4344,'Detail Balok'!$C$10:$AU$110,28,FALSE)</f>
        <v>3</v>
      </c>
      <c r="E4361" t="str">
        <v>D</v>
      </c>
      <c r="F4361">
        <f>VLOOKUP(D4344,'Detail Balok'!$C$10:$AU$110,30,FALSE)</f>
        <v>13</v>
      </c>
      <c r="I4361" t="str">
        <v>(</v>
      </c>
      <c r="J4361">
        <f>+J4353</f>
        <v>1.525</v>
      </c>
      <c r="K4361" t="str">
        <v>+</v>
      </c>
      <c r="L4361">
        <f>MAX(VLOOKUP(F4361,N$6:P$15,3,FALSE)/1000,2/3*D4349/1000)+F$16*F4361/1000</f>
        <v>0.156</v>
      </c>
      <c r="M4361" t="str">
        <v>=</v>
      </c>
      <c r="N4361">
        <f>J4361+L4361</f>
        <v>1.6809999999999998</v>
      </c>
      <c r="O4361" t="str">
        <v>+</v>
      </c>
      <c r="P4361">
        <f>D4361-D4360</f>
        <v>0</v>
      </c>
      <c r="Q4361" t="str">
        <v>x</v>
      </c>
      <c r="R4361">
        <f>IF(P4361&gt;0,$F$18*F4361/1000,0)</f>
        <v>0</v>
      </c>
      <c r="S4361" t="str">
        <v>)</v>
      </c>
      <c r="T4361" t="str">
        <v>x</v>
      </c>
      <c r="U4361">
        <f>0.006165*F4361^2</f>
        <v>1.041885</v>
      </c>
      <c r="X4361" t="str">
        <v>x</v>
      </c>
      <c r="Y4361">
        <f>D4350</f>
        <v>1</v>
      </c>
      <c r="Z4361" t="str">
        <v>=</v>
      </c>
      <c r="AA4361">
        <f>IF(AA4362=0,(D4361*N4361+P4361*R4361)*U4361*Y4361,0)</f>
        <v>0</v>
      </c>
    </row>
    <row r="4362">
      <c r="A4362" t="str">
        <f>A4344</f>
        <v>Lantai 1</v>
      </c>
      <c r="B4362">
        <f>B4344</f>
        <v>48</v>
      </c>
      <c r="D4362">
        <f>IF(AND(D4359=D4360,D4360=D4361,D4359=D4361),D4359,0)</f>
        <v>3</v>
      </c>
      <c r="E4362" t="str">
        <v>D</v>
      </c>
      <c r="F4362">
        <f>IF(AND(F4359=F4360,F4359=F4361,F4360=F4361),F4359,0)</f>
        <v>13</v>
      </c>
      <c r="L4362" t="str">
        <v>Total panjang per balok</v>
      </c>
      <c r="M4362" t="str">
        <v>=</v>
      </c>
      <c r="N4362">
        <f>IF(AND(D4359=D4360,D4359=D4361,D4360=D4361,F4359=F4360,F4359=F4361,F4360=F4361),SUM(N4359:N4361),0)</f>
        <v>6.412</v>
      </c>
      <c r="O4362" t="str">
        <v>+</v>
      </c>
      <c r="P4362">
        <f>IF(N4362&gt;12,ROUNDDOWN(N4362/12,0),0)</f>
        <v>0</v>
      </c>
      <c r="Q4362" t="str">
        <v>x</v>
      </c>
      <c r="R4362">
        <f>IF(P4362&gt;0,MAX(VLOOKUP(F4362,$D$6:$G$15,3,FALSE),600),0)/1000</f>
        <v>0</v>
      </c>
      <c r="T4362" t="str">
        <v>x</v>
      </c>
      <c r="U4362">
        <f>U4361</f>
        <v>1.041885</v>
      </c>
      <c r="V4362" t="str">
        <v>x</v>
      </c>
      <c r="W4362">
        <f>D4362</f>
        <v>3</v>
      </c>
      <c r="X4362" t="str">
        <v>x</v>
      </c>
      <c r="Y4362">
        <f>Y4361</f>
        <v>1</v>
      </c>
      <c r="Z4362" t="str">
        <v>=</v>
      </c>
      <c r="AA4362">
        <f>(N4362+P4362*R4362/1000)*U4362*W4362*Y4362</f>
        <v>20.041699859999998</v>
      </c>
    </row>
    <row r="4364">
      <c r="A4364" t="str">
        <f>A4344</f>
        <v>Lantai 1</v>
      </c>
      <c r="B4364">
        <f>B4344</f>
        <v>48</v>
      </c>
      <c r="C4364" t="str">
        <v>Sengkang Tumpuan</v>
      </c>
      <c r="D4364">
        <f>VLOOKUP(D4344,'Detail Balok'!$C$10:$AU$110,31,FALSE)</f>
        <v>0</v>
      </c>
      <c r="E4364" t="str">
        <v>D</v>
      </c>
      <c r="F4364">
        <f>VLOOKUP(D4344,'Detail Balok'!$C$10:$AU$110,33,FALSE)</f>
        <v>8</v>
      </c>
      <c r="G4364" t="str">
        <v>-</v>
      </c>
      <c r="H4364">
        <f>VLOOKUP(D4344,'Detail Balok'!$C$10:$AU$110,35,FALSE)</f>
        <v>100</v>
      </c>
      <c r="J4364">
        <f>(IF(D4364=0,(2*(D4345+G4345))-(F$5*8),IF(D4364=3,(2*(D4345+G4345))-(F$5*8)+(G4345-2*F$5),IF(D4364=4,(2*(D4345+G4345))-(F$5*8)+2*(G4345-2*F$5)))))/1000</f>
        <v>0.98</v>
      </c>
      <c r="K4364" t="str">
        <v>+</v>
      </c>
      <c r="L4364">
        <f>IF(D4364=0,2*MAX(6*F4364,75),(D4364-1)*2*MAX(6*F4364,75))/1000</f>
        <v>0.15</v>
      </c>
      <c r="M4364" t="str">
        <v>=</v>
      </c>
      <c r="N4364">
        <f>J4364+L4364</f>
        <v>1.13</v>
      </c>
      <c r="T4364" t="str">
        <v>x</v>
      </c>
      <c r="U4364">
        <f>0.006165*F4364^2</f>
        <v>0.39456</v>
      </c>
      <c r="V4364" t="str">
        <v>x</v>
      </c>
      <c r="W4364">
        <f>IF(D4347&gt;4*G4345,ROUND(MAX(D4347/4,2*G4345)/H4364,0)+1,ROUND(D4347/H4364,0)+1)</f>
        <v>16</v>
      </c>
      <c r="X4364" t="str">
        <v>x</v>
      </c>
      <c r="Y4364">
        <f>D4350</f>
        <v>1</v>
      </c>
      <c r="Z4364" t="str">
        <v>=</v>
      </c>
      <c r="AA4364">
        <f>N4364*U4364*W4364*Y4364</f>
        <v>7.1336448</v>
      </c>
    </row>
    <row r="4365">
      <c r="A4365" t="str">
        <f>A4344</f>
        <v>Lantai 1</v>
      </c>
      <c r="B4365">
        <f>B4344</f>
        <v>48</v>
      </c>
      <c r="C4365" t="str">
        <v>Sengkang Lapangan</v>
      </c>
      <c r="D4365">
        <f>VLOOKUP(D4344,'Detail Balok'!$C$10:$AU$110,36,FALSE)</f>
        <v>0</v>
      </c>
      <c r="E4365" t="str">
        <v>D</v>
      </c>
      <c r="F4365">
        <f>VLOOKUP(D4344,'Detail Balok'!$C$10:$AU$110,38,FALSE)</f>
        <v>8</v>
      </c>
      <c r="G4365" t="str">
        <v>-</v>
      </c>
      <c r="H4365">
        <f>VLOOKUP(D4344,'Detail Balok'!$C$10:$AU$110,40,FALSE)</f>
        <v>200</v>
      </c>
      <c r="J4365">
        <f>(IF(D4365=0,(2*(D4345+G4345))-(F$5*8),IF(D4365=3,(2*(D4345+G4345))-(F$5*8)+(G4345-2*F$5),IF(D4365=4,(2*(D4345+G4345))-(F$5*8)+2*(G4345-2*F$5)))))/1000</f>
        <v>0.98</v>
      </c>
      <c r="K4365" t="str">
        <v>+</v>
      </c>
      <c r="L4365">
        <f>IF(D4365=0,2*MAX(6*F4365,75),(D4365-1)*2*MAX(6*F4365,75))/1000</f>
        <v>0.15</v>
      </c>
      <c r="M4365" t="str">
        <v>=</v>
      </c>
      <c r="N4365">
        <f>J4365+L4365</f>
        <v>1.13</v>
      </c>
      <c r="T4365" t="str">
        <v>x</v>
      </c>
      <c r="U4365">
        <f>0.006165*F4365^2</f>
        <v>0.39456</v>
      </c>
      <c r="V4365" t="str">
        <v>x</v>
      </c>
      <c r="W4365">
        <f>IF(D4347-MAX(D4347/4,2*G4345)*2&gt;0,ROUND((D4347-MAX(D4347/4,2*G4345)*2)/H4365,0),0)</f>
        <v>15</v>
      </c>
      <c r="X4365" t="str">
        <v>x</v>
      </c>
      <c r="Y4365">
        <f>D4350</f>
        <v>1</v>
      </c>
      <c r="Z4365" t="str">
        <v>=</v>
      </c>
      <c r="AA4365">
        <f>N4365*U4365*W4365*Y4365</f>
        <v>6.687792</v>
      </c>
    </row>
    <row r="4366">
      <c r="A4366" t="str">
        <f>A4344</f>
        <v>Lantai 1</v>
      </c>
      <c r="B4366">
        <f>B4344</f>
        <v>48</v>
      </c>
      <c r="C4366" t="str">
        <v>Sengkang Tumpuan</v>
      </c>
      <c r="D4366">
        <f>VLOOKUP(D4344,'Detail Balok'!$C$10:$AU$110,41,FALSE)</f>
        <v>0</v>
      </c>
      <c r="E4366" t="str">
        <v>D</v>
      </c>
      <c r="F4366">
        <f>VLOOKUP(D4344,'Detail Balok'!$C$10:$AU$110,43,FALSE)</f>
        <v>8</v>
      </c>
      <c r="G4366" t="str">
        <v>-</v>
      </c>
      <c r="H4366">
        <f>VLOOKUP(D4344,'Detail Balok'!$C$10:$AU$110,45,FALSE)</f>
        <v>100</v>
      </c>
      <c r="J4366">
        <f>(IF(D4366=0,(2*(D4345+G4345))-(F$5*8),IF(D4366=3,(2*(D4345+G4345))-(F$5*8)+(G4345-2*F$5),IF(D4366=4,(2*(D4345+G4345))-(F$5*8)+2*(G4345-2*F$5)))))/1000</f>
        <v>0.98</v>
      </c>
      <c r="K4366" t="str">
        <v>+</v>
      </c>
      <c r="L4366">
        <f>IF(D4366=0,2*MAX(6*F4366,75),(D4366-1)*2*MAX(6*F4366,75))/1000</f>
        <v>0.15</v>
      </c>
      <c r="M4366" t="str">
        <v>=</v>
      </c>
      <c r="N4366">
        <f>J4366+L4366</f>
        <v>1.13</v>
      </c>
      <c r="T4366" t="str">
        <v>x</v>
      </c>
      <c r="U4366">
        <f>0.006165*F4366^2</f>
        <v>0.39456</v>
      </c>
      <c r="V4366" t="str">
        <v>x</v>
      </c>
      <c r="W4366">
        <f>IF(D4347&gt;4*G4345,ROUND(MAX(D4347/4,2*G4345)/H4366,0)+1,0)</f>
        <v>16</v>
      </c>
      <c r="X4366" t="str">
        <v>x</v>
      </c>
      <c r="Y4366">
        <f>D4350</f>
        <v>1</v>
      </c>
      <c r="Z4366" t="str">
        <v>=</v>
      </c>
      <c r="AA4366">
        <f>N4366*U4366*W4366*Y4366</f>
        <v>7.1336448</v>
      </c>
    </row>
    <row r="4368">
      <c r="A4368" t="str">
        <f>A4344</f>
        <v>Lantai 1</v>
      </c>
      <c r="B4368">
        <f>B4344</f>
        <v>48</v>
      </c>
      <c r="C4368" t="str">
        <v>Kait Horizontal Tump.</v>
      </c>
      <c r="D4368">
        <f>VLOOKUP(D4344,'Detail Balok'!$C$10:$BJ$110,46,FALSE)</f>
        <v>0</v>
      </c>
      <c r="E4368" t="str">
        <v>D</v>
      </c>
      <c r="F4368">
        <f>VLOOKUP(D4344,'Detail Balok'!$C$10:$BJ$110,48,FALSE)</f>
        <v>0</v>
      </c>
      <c r="G4368" t="str">
        <v>-</v>
      </c>
      <c r="H4368">
        <f>VLOOKUP(D4344,'Detail Balok'!$C$10:$BJ$110,50,FALSE)</f>
        <v>100</v>
      </c>
      <c r="J4368">
        <f>(D4345-2*F$5)/1000</f>
        <v>0.12</v>
      </c>
      <c r="K4368" t="str">
        <v>+</v>
      </c>
      <c r="L4368">
        <f>IF(D4368=0,2*MAX(6*F4368,75),(D4368-1)*2*MAX(6*F4368,75))/1000</f>
        <v>0.15</v>
      </c>
      <c r="M4368" t="str">
        <v>=</v>
      </c>
      <c r="N4368">
        <f>J4368+L4368</f>
        <v>0.27</v>
      </c>
      <c r="T4368" t="str">
        <v>x</v>
      </c>
      <c r="U4368">
        <f>0.006165*F4368^2</f>
        <v>0</v>
      </c>
      <c r="V4368" t="str">
        <v>x</v>
      </c>
      <c r="W4368">
        <f>W4364</f>
        <v>16</v>
      </c>
      <c r="X4368" t="str">
        <v>x</v>
      </c>
      <c r="Y4368">
        <f>D4354</f>
        <v>3</v>
      </c>
      <c r="Z4368" t="str">
        <v>=</v>
      </c>
      <c r="AA4368">
        <f>N4368*U4368*W4368*Y4368</f>
        <v>0</v>
      </c>
    </row>
    <row r="4369">
      <c r="A4369" t="str">
        <f>A4344</f>
        <v>Lantai 1</v>
      </c>
      <c r="B4369">
        <f>B4344</f>
        <v>48</v>
      </c>
      <c r="C4369" t="str">
        <v>Kait Horizontal Lap.</v>
      </c>
      <c r="D4369">
        <f>VLOOKUP(D4344,'Detail Balok'!$C$10:$BJ$110,51,FALSE)</f>
        <v>0</v>
      </c>
      <c r="E4369" t="str">
        <v>D</v>
      </c>
      <c r="F4369">
        <f>VLOOKUP(D4344,'Detail Balok'!$C$10:$BJ$110,53,FALSE)</f>
        <v>0</v>
      </c>
      <c r="G4369" t="str">
        <v>-</v>
      </c>
      <c r="H4369">
        <f>VLOOKUP(D4344,'Detail Balok'!$C$10:$BJ$110,55,FALSE)</f>
        <v>100</v>
      </c>
      <c r="J4369">
        <f>(D4345-2*F$5)/1000</f>
        <v>0.12</v>
      </c>
      <c r="K4369" t="str">
        <v>+</v>
      </c>
      <c r="L4369">
        <f>IF(D4369=0,2*MAX(6*F4369,75),(D4369-1)*2*MAX(6*F4369,75))/1000</f>
        <v>0.15</v>
      </c>
      <c r="M4369" t="str">
        <v>=</v>
      </c>
      <c r="N4369">
        <f>J4369+L4369</f>
        <v>0.27</v>
      </c>
      <c r="T4369" t="str">
        <v>x</v>
      </c>
      <c r="U4369">
        <f>0.006165*F4369^2</f>
        <v>0</v>
      </c>
      <c r="V4369" t="str">
        <v>x</v>
      </c>
      <c r="W4369">
        <f>W4365</f>
        <v>15</v>
      </c>
      <c r="X4369" t="str">
        <v>x</v>
      </c>
      <c r="Y4369">
        <f>D4354</f>
        <v>3</v>
      </c>
      <c r="Z4369" t="str">
        <v>=</v>
      </c>
      <c r="AA4369">
        <f>N4369*U4369*W4369*Y4369</f>
        <v>0</v>
      </c>
    </row>
    <row r="4370">
      <c r="A4370" t="str">
        <f>A4344</f>
        <v>Lantai 1</v>
      </c>
      <c r="B4370">
        <f>B4344</f>
        <v>48</v>
      </c>
      <c r="C4370" t="str">
        <v>Kait Horizontal Tump.</v>
      </c>
      <c r="D4370">
        <f>VLOOKUP(D4344,'Detail Balok'!$C$10:$BJ$110,56,FALSE)</f>
        <v>0</v>
      </c>
      <c r="E4370" t="str">
        <v>D</v>
      </c>
      <c r="F4370">
        <f>VLOOKUP(D4344,'Detail Balok'!$C$10:$BJ$110,58,FALSE)</f>
        <v>0</v>
      </c>
      <c r="G4370" t="str">
        <v>-</v>
      </c>
      <c r="H4370">
        <f>VLOOKUP(D4344,'Detail Balok'!$C$10:$BJ$110,60,FALSE)</f>
        <v>100</v>
      </c>
      <c r="J4370">
        <f>(D4345-2*F$5)/1000</f>
        <v>0.12</v>
      </c>
      <c r="K4370" t="str">
        <v>+</v>
      </c>
      <c r="L4370">
        <f>IF(D4370=0,2*MAX(6*F4370,75),(D4370-1)*2*MAX(6*F4370,75))/1000</f>
        <v>0.15</v>
      </c>
      <c r="M4370" t="str">
        <v>=</v>
      </c>
      <c r="N4370">
        <f>J4370+L4370</f>
        <v>0.27</v>
      </c>
      <c r="T4370" t="str">
        <v>x</v>
      </c>
      <c r="U4370">
        <f>0.006165*F4370^2</f>
        <v>0</v>
      </c>
      <c r="V4370" t="str">
        <v>x</v>
      </c>
      <c r="W4370">
        <f>W4366</f>
        <v>16</v>
      </c>
      <c r="X4370" t="str">
        <v>x</v>
      </c>
      <c r="Y4370">
        <f>D4354</f>
        <v>3</v>
      </c>
      <c r="Z4370" t="str">
        <v>=</v>
      </c>
      <c r="AA4370">
        <f>N4370*U4370*W4370*Y4370</f>
        <v>0</v>
      </c>
    </row>
    <row r="4374">
      <c r="A4374" t="str">
        <f>A4344</f>
        <v>Lantai 1</v>
      </c>
      <c r="B4374">
        <f>B4344+1</f>
        <v>49</v>
      </c>
      <c r="C4374" t="str">
        <f>CONCATENATE(A4374," no. ",B4374)</f>
        <v>Lantai 1 no. 49</v>
      </c>
      <c r="D4374" t="str">
        <f>VLOOKUP(C4374,'Data Panjang Balok'!$C$9:$N$424,2,FALSE)</f>
        <v>B174-1</v>
      </c>
    </row>
    <row r="4375">
      <c r="C4375" t="str">
        <v>Dimensi</v>
      </c>
      <c r="D4375">
        <f>VLOOKUP(D4374,'Detail Balok'!$C$10:$AU$110,2,FALSE)</f>
        <v>170</v>
      </c>
      <c r="F4375" t="str">
        <v>x</v>
      </c>
      <c r="G4375">
        <f>VLOOKUP(D4374,'Detail Balok'!$C$10:$AU$110,3,FALSE)</f>
        <v>400</v>
      </c>
    </row>
    <row r="4376">
      <c r="C4376" t="str">
        <v>Panjang as ke as</v>
      </c>
      <c r="D4376">
        <f>VLOOKUP(C4374,'Data Panjang Balok'!$C$9:$N$424,4,FALSE)</f>
        <v>3500</v>
      </c>
    </row>
    <row r="4377">
      <c r="C4377" t="str">
        <v>Panjang netto</v>
      </c>
      <c r="D4377">
        <f>VLOOKUP(C4374,'Data Panjang Balok'!$C$9:$N$424,7,FALSE)</f>
        <v>3500</v>
      </c>
    </row>
    <row r="4378">
      <c r="C4378" t="str">
        <v>Kolom / balok kiri</v>
      </c>
      <c r="D4378">
        <f>VLOOKUP(C4374,'Data Panjang Balok'!$C$9:$N$424,9,FALSE)</f>
        <v>0</v>
      </c>
    </row>
    <row r="4379">
      <c r="C4379" t="str">
        <v>Kolom / balok kanan</v>
      </c>
      <c r="D4379">
        <f>VLOOKUP(C4374,'Data Panjang Balok'!$C$9:$N$424,10,FALSE)</f>
        <v>0</v>
      </c>
    </row>
    <row r="4380">
      <c r="C4380" t="str">
        <v>Jumlah</v>
      </c>
      <c r="D4380">
        <f>VLOOKUP(C4374,'Data Panjang Balok'!$C$9:$N$424,3,FALSE)</f>
        <v>1</v>
      </c>
    </row>
    <row r="4381">
      <c r="A4381" t="str">
        <f>A4374</f>
        <v>Lantai 1</v>
      </c>
      <c r="B4381">
        <f>B4374</f>
        <v>49</v>
      </c>
      <c r="C4381" t="str">
        <v>Tul Atas Tumpuan</v>
      </c>
      <c r="D4381">
        <f>VLOOKUP(D4374,'Detail Balok'!$C$10:$AU$110,4,FALSE)</f>
        <v>2</v>
      </c>
      <c r="E4381" t="str">
        <v>D</v>
      </c>
      <c r="F4381">
        <f>VLOOKUP(D4374,'Detail Balok'!$C$10:$AU$110,6,FALSE)</f>
        <v>13</v>
      </c>
      <c r="I4381" t="str">
        <v>(</v>
      </c>
      <c r="J4381">
        <f>+D4376/4/1000</f>
        <v>0.875</v>
      </c>
      <c r="K4381" t="str">
        <v>+</v>
      </c>
      <c r="L4381">
        <f>MAX(VLOOKUP(F4381,N$6:P$15,3,FALSE)/1000,2/3*D4378/1000)+F$16*F4381/1000</f>
        <v>0.156</v>
      </c>
      <c r="M4381" t="str">
        <v>=</v>
      </c>
      <c r="N4381">
        <f>J4381+L4381</f>
        <v>1.031</v>
      </c>
      <c r="O4381" t="str">
        <v>+</v>
      </c>
      <c r="P4381">
        <f>D4381-D4382</f>
        <v>0</v>
      </c>
      <c r="Q4381" t="str">
        <v>x</v>
      </c>
      <c r="R4381">
        <f>IF(P4381&gt;0,$F$18*F4381/1000,0)</f>
        <v>0</v>
      </c>
      <c r="S4381" t="str">
        <v>)</v>
      </c>
      <c r="T4381" t="str">
        <v>x</v>
      </c>
      <c r="U4381">
        <f>0.006165*F4381^2</f>
        <v>1.041885</v>
      </c>
      <c r="X4381" t="str">
        <v>x</v>
      </c>
      <c r="Y4381">
        <f>D4380</f>
        <v>1</v>
      </c>
      <c r="Z4381" t="str">
        <v>=</v>
      </c>
      <c r="AA4381">
        <f>IF(AA4384=0,(D4381*N4381+P4381*R4381)*U4381*Y4381,0)</f>
        <v>0</v>
      </c>
    </row>
    <row r="4382">
      <c r="A4382" t="str">
        <f>A4374</f>
        <v>Lantai 1</v>
      </c>
      <c r="B4382">
        <f>B4374</f>
        <v>49</v>
      </c>
      <c r="C4382" t="str">
        <v>Tul Atas Lapangan</v>
      </c>
      <c r="D4382">
        <f>VLOOKUP(D4374,'Detail Balok'!$C$10:$AU$110,7,FALSE)</f>
        <v>2</v>
      </c>
      <c r="E4382" t="str">
        <v>D</v>
      </c>
      <c r="F4382">
        <f>VLOOKUP(D4374,'Detail Balok'!$C$10:$AU$110,9,FALSE)</f>
        <v>13</v>
      </c>
      <c r="I4382" t="str">
        <v>(</v>
      </c>
      <c r="J4382">
        <f>+D4376/2/1000</f>
        <v>1.75</v>
      </c>
      <c r="K4382" t="str">
        <v>+</v>
      </c>
      <c r="M4382" t="str">
        <v>=</v>
      </c>
      <c r="N4382">
        <f>J4382+L4382</f>
        <v>1.75</v>
      </c>
      <c r="O4382" t="str">
        <v>+</v>
      </c>
      <c r="P4382">
        <f>MAX(D4382-D4381,D4382-D4383)</f>
        <v>0</v>
      </c>
      <c r="Q4382" t="str">
        <v>x</v>
      </c>
      <c r="R4382">
        <f>IF(P4382&gt;0,2*(1-2*$F$19-1/2)*D4377/1000,0)</f>
        <v>0</v>
      </c>
      <c r="S4382" t="str">
        <v>)</v>
      </c>
      <c r="T4382" t="str">
        <v>x</v>
      </c>
      <c r="U4382">
        <f>0.006165*F4382^2</f>
        <v>1.041885</v>
      </c>
      <c r="X4382" t="str">
        <v>x</v>
      </c>
      <c r="Y4382">
        <f>D4380</f>
        <v>1</v>
      </c>
      <c r="Z4382" t="str">
        <v>=</v>
      </c>
      <c r="AA4382">
        <f>IF(AA4384=0,(D4382*N4382+P4382*R4382)*U4382*Y4382,0)</f>
        <v>0</v>
      </c>
    </row>
    <row r="4383">
      <c r="A4383" t="str">
        <f>A4374</f>
        <v>Lantai 1</v>
      </c>
      <c r="B4383">
        <f>B4374</f>
        <v>49</v>
      </c>
      <c r="C4383" t="str">
        <v>Tul Atas Tumpuan</v>
      </c>
      <c r="D4383">
        <f>VLOOKUP(D4374,'Detail Balok'!$C$10:$AU$110,10,FALSE)</f>
        <v>2</v>
      </c>
      <c r="E4383" t="str">
        <v>D</v>
      </c>
      <c r="F4383">
        <f>VLOOKUP(D4374,'Detail Balok'!$C$10:$AU$110,12,FALSE)</f>
        <v>13</v>
      </c>
      <c r="I4383" t="str">
        <v>(</v>
      </c>
      <c r="J4383">
        <f>+D4376/4/1000</f>
        <v>0.875</v>
      </c>
      <c r="K4383" t="str">
        <v>+</v>
      </c>
      <c r="L4383">
        <f>MAX(VLOOKUP(F4383,N$6:P$15,3,FALSE)/1000,2/3*D4378/1000)+F$16*F4383/1000</f>
        <v>0.156</v>
      </c>
      <c r="M4383" t="str">
        <v>=</v>
      </c>
      <c r="N4383">
        <f>J4383+L4383</f>
        <v>1.031</v>
      </c>
      <c r="O4383" t="str">
        <v>+</v>
      </c>
      <c r="P4383">
        <f>D4383-D4382</f>
        <v>0</v>
      </c>
      <c r="Q4383" t="str">
        <v>x</v>
      </c>
      <c r="R4383">
        <f>IF(P4383&gt;0,$F$18*F4383/1000,0)</f>
        <v>0</v>
      </c>
      <c r="S4383" t="str">
        <v>)</v>
      </c>
      <c r="T4383" t="str">
        <v>x</v>
      </c>
      <c r="U4383">
        <f>0.006165*F4383^2</f>
        <v>1.041885</v>
      </c>
      <c r="X4383" t="str">
        <v>x</v>
      </c>
      <c r="Y4383">
        <f>D4380</f>
        <v>1</v>
      </c>
      <c r="Z4383" t="str">
        <v>=</v>
      </c>
      <c r="AA4383">
        <f>IF(AA4384=0,(D4383*N4383+P4383*R4383)*U4383*Y4383,0)</f>
        <v>0</v>
      </c>
    </row>
    <row r="4384">
      <c r="A4384" t="str">
        <f>A4374</f>
        <v>Lantai 1</v>
      </c>
      <c r="B4384">
        <f>B4374</f>
        <v>49</v>
      </c>
      <c r="D4384">
        <f>IF(AND(D4381=D4382,D4382=D4383,D4381=D4383),D4381,0)</f>
        <v>2</v>
      </c>
      <c r="E4384" t="str">
        <v>D</v>
      </c>
      <c r="F4384">
        <f>IF(AND(F4381=F4382,F4381=F4383,F4382=F4383),F4381,0)</f>
        <v>13</v>
      </c>
      <c r="L4384" t="str">
        <v>Total panjang per balok</v>
      </c>
      <c r="M4384" t="str">
        <v>=</v>
      </c>
      <c r="N4384">
        <f>IF(AND(D4381=D4382,D4381=D4383,D4382=D4383,F4381=F4382,F4381=F4383,F4382=F4383),SUM(N4381:N4383),0)</f>
        <v>3.8119999999999994</v>
      </c>
      <c r="O4384" t="str">
        <v>+</v>
      </c>
      <c r="P4384">
        <f>IF(N4384&gt;12,ROUNDDOWN(N4384/12,0),0)</f>
        <v>0</v>
      </c>
      <c r="Q4384" t="str">
        <v>x</v>
      </c>
      <c r="R4384">
        <f>IF(P4384&gt;0,MAX(VLOOKUP(F4384,$D$6:$G$15,3,FALSE),600),0)/1000</f>
        <v>0</v>
      </c>
      <c r="T4384" t="str">
        <v>x</v>
      </c>
      <c r="U4384">
        <f>U4383</f>
        <v>1.041885</v>
      </c>
      <c r="V4384" t="str">
        <v>x</v>
      </c>
      <c r="W4384">
        <f>D4384</f>
        <v>2</v>
      </c>
      <c r="X4384" t="str">
        <v>x</v>
      </c>
      <c r="Y4384">
        <f>Y4383</f>
        <v>1</v>
      </c>
      <c r="Z4384" t="str">
        <v>=</v>
      </c>
      <c r="AA4384">
        <f>(N4384+P4384*R4384/1000)*U4384*W4384*Y4384</f>
        <v>7.943331239999998</v>
      </c>
    </row>
    <row r="4386">
      <c r="A4386" t="str">
        <f>A4374</f>
        <v>Lantai 1</v>
      </c>
      <c r="B4386">
        <f>B4374</f>
        <v>49</v>
      </c>
      <c r="C4386" t="str">
        <v>Tul Peminggang</v>
      </c>
      <c r="D4386">
        <f>VLOOKUP(D4374,'Detail Balok'!$C$10:$AU$110,13,FALSE)</f>
        <v>0</v>
      </c>
      <c r="E4386" t="str">
        <v>D</v>
      </c>
      <c r="F4386">
        <f>VLOOKUP(D4374,'Detail Balok'!$C$10:$AU$110,15,FALSE)</f>
        <v>6</v>
      </c>
      <c r="J4386">
        <f>+D4376/1000</f>
        <v>3.5</v>
      </c>
      <c r="K4386" t="str">
        <v>+</v>
      </c>
      <c r="L4386">
        <f>2*$F$16*F4386/1000</f>
        <v>0.144</v>
      </c>
      <c r="M4386" t="str">
        <v>=</v>
      </c>
      <c r="N4386">
        <f>J4386+L4386</f>
        <v>3.644</v>
      </c>
      <c r="O4386" t="str">
        <v>+</v>
      </c>
      <c r="P4386">
        <f>IF(N4386&gt;12,ROUNDDOWN(N4386/12,0),0)</f>
        <v>0</v>
      </c>
      <c r="Q4386" t="str">
        <v>x</v>
      </c>
      <c r="R4386">
        <f>IF(P4386&gt;0,MAX(VLOOKUP(F4386,$D$6:$G$15,3,FALSE),600),0)/1000</f>
        <v>0</v>
      </c>
      <c r="T4386" t="str">
        <v>x</v>
      </c>
      <c r="U4386">
        <f>0.006165*F4386^2</f>
        <v>0.22194000000000003</v>
      </c>
      <c r="V4386" t="str">
        <v>x</v>
      </c>
      <c r="W4386">
        <f>+D4386</f>
        <v>0</v>
      </c>
      <c r="X4386" t="str">
        <v>x</v>
      </c>
      <c r="Y4386">
        <f>D4380</f>
        <v>1</v>
      </c>
      <c r="Z4386" t="str">
        <v>=</v>
      </c>
      <c r="AA4386">
        <f>(N4386+P4386*R4386/1000)*U4386*W4386*Y4386</f>
        <v>0</v>
      </c>
    </row>
    <row r="4389">
      <c r="A4389" t="str">
        <f>A4374</f>
        <v>Lantai 1</v>
      </c>
      <c r="B4389">
        <f>B4374</f>
        <v>49</v>
      </c>
      <c r="C4389" t="str">
        <v>Tul Bawah Tumpuan</v>
      </c>
      <c r="D4389">
        <f>VLOOKUP(D4374,'Detail Balok'!$C$10:$AU$110,22,FALSE)</f>
        <v>2</v>
      </c>
      <c r="E4389" t="str">
        <v>D</v>
      </c>
      <c r="F4389">
        <f>VLOOKUP(D4374,'Detail Balok'!$C$10:$AU$110,24,FALSE)</f>
        <v>13</v>
      </c>
      <c r="I4389" t="str">
        <v>(</v>
      </c>
      <c r="J4389">
        <f>+J4381</f>
        <v>0.875</v>
      </c>
      <c r="K4389" t="str">
        <v>+</v>
      </c>
      <c r="L4389">
        <f>MAX(VLOOKUP(F4389,N$6:P$15,3,FALSE)/1000,2/3*D4379/1000)+F$16*F4389/1000</f>
        <v>0.156</v>
      </c>
      <c r="M4389" t="str">
        <v>=</v>
      </c>
      <c r="N4389">
        <f>J4389+L4389</f>
        <v>1.031</v>
      </c>
      <c r="O4389" t="str">
        <v>+</v>
      </c>
      <c r="P4389">
        <f>D4389-D4390</f>
        <v>0</v>
      </c>
      <c r="Q4389" t="str">
        <v>x</v>
      </c>
      <c r="R4389">
        <f>IF(P4389&gt;0,$F$18*F4389/1000,0)</f>
        <v>0</v>
      </c>
      <c r="S4389" t="str">
        <v>)</v>
      </c>
      <c r="T4389" t="str">
        <v>x</v>
      </c>
      <c r="U4389">
        <f>0.006165*F4389^2</f>
        <v>1.041885</v>
      </c>
      <c r="X4389" t="str">
        <v>x</v>
      </c>
      <c r="Y4389">
        <f>D4380</f>
        <v>1</v>
      </c>
      <c r="Z4389" t="str">
        <v>=</v>
      </c>
      <c r="AA4389">
        <f>IF(AA4392=0,(D4389*N4389+P4389*R4389)*U4389*Y4389,0)</f>
        <v>0</v>
      </c>
    </row>
    <row r="4390">
      <c r="A4390" t="str">
        <f>A4374</f>
        <v>Lantai 1</v>
      </c>
      <c r="B4390">
        <f>B4374</f>
        <v>49</v>
      </c>
      <c r="C4390" t="str">
        <v>Tul Bawah Lapangan</v>
      </c>
      <c r="D4390">
        <f>VLOOKUP(D4374,'Detail Balok'!$C$10:$AU$110,25,FALSE)</f>
        <v>2</v>
      </c>
      <c r="E4390" t="str">
        <v>D</v>
      </c>
      <c r="F4390">
        <f>VLOOKUP(D4374,'Detail Balok'!$C$10:$AU$110,27,FALSE)</f>
        <v>13</v>
      </c>
      <c r="I4390" t="str">
        <v>(</v>
      </c>
      <c r="J4390">
        <f>+J4382</f>
        <v>1.75</v>
      </c>
      <c r="K4390" t="str">
        <v>+</v>
      </c>
      <c r="M4390" t="str">
        <v>=</v>
      </c>
      <c r="N4390">
        <f>J4390+L4390</f>
        <v>1.75</v>
      </c>
      <c r="O4390" t="str">
        <v>+</v>
      </c>
      <c r="P4390">
        <f>MAX(D4390-D4389,D4390-D4391)</f>
        <v>0</v>
      </c>
      <c r="Q4390" t="str">
        <v>x</v>
      </c>
      <c r="R4390">
        <f>IF(P4390&gt;0,2*(1-2*$F$19-1/2)*D4377/1000,0)</f>
        <v>0</v>
      </c>
      <c r="S4390" t="str">
        <v>)</v>
      </c>
      <c r="T4390" t="str">
        <v>x</v>
      </c>
      <c r="U4390">
        <f>0.006165*F4390^2</f>
        <v>1.041885</v>
      </c>
      <c r="X4390" t="str">
        <v>x</v>
      </c>
      <c r="Y4390">
        <f>D4380</f>
        <v>1</v>
      </c>
      <c r="Z4390" t="str">
        <v>=</v>
      </c>
      <c r="AA4390">
        <f>IF(AA4392=0,(D4390*N4390+P4390*R4390)*U4390*Y4390,0)</f>
        <v>0</v>
      </c>
    </row>
    <row r="4391">
      <c r="A4391" t="str">
        <f>A4374</f>
        <v>Lantai 1</v>
      </c>
      <c r="B4391">
        <f>B4374</f>
        <v>49</v>
      </c>
      <c r="C4391" t="str">
        <v>Tul Bawah Tumpuan</v>
      </c>
      <c r="D4391">
        <f>VLOOKUP(D4374,'Detail Balok'!$C$10:$AU$110,28,FALSE)</f>
        <v>2</v>
      </c>
      <c r="E4391" t="str">
        <v>D</v>
      </c>
      <c r="F4391">
        <f>VLOOKUP(D4374,'Detail Balok'!$C$10:$AU$110,30,FALSE)</f>
        <v>13</v>
      </c>
      <c r="I4391" t="str">
        <v>(</v>
      </c>
      <c r="J4391">
        <f>+J4383</f>
        <v>0.875</v>
      </c>
      <c r="K4391" t="str">
        <v>+</v>
      </c>
      <c r="L4391">
        <f>MAX(VLOOKUP(F4391,N$6:P$15,3,FALSE)/1000,2/3*D4379/1000)+F$16*F4391/1000</f>
        <v>0.156</v>
      </c>
      <c r="M4391" t="str">
        <v>=</v>
      </c>
      <c r="N4391">
        <f>J4391+L4391</f>
        <v>1.031</v>
      </c>
      <c r="O4391" t="str">
        <v>+</v>
      </c>
      <c r="P4391">
        <f>D4391-D4390</f>
        <v>0</v>
      </c>
      <c r="Q4391" t="str">
        <v>x</v>
      </c>
      <c r="R4391">
        <f>IF(P4391&gt;0,$F$18*F4391/1000,0)</f>
        <v>0</v>
      </c>
      <c r="S4391" t="str">
        <v>)</v>
      </c>
      <c r="T4391" t="str">
        <v>x</v>
      </c>
      <c r="U4391">
        <f>0.006165*F4391^2</f>
        <v>1.041885</v>
      </c>
      <c r="X4391" t="str">
        <v>x</v>
      </c>
      <c r="Y4391">
        <f>D4380</f>
        <v>1</v>
      </c>
      <c r="Z4391" t="str">
        <v>=</v>
      </c>
      <c r="AA4391">
        <f>IF(AA4392=0,(D4391*N4391+P4391*R4391)*U4391*Y4391,0)</f>
        <v>0</v>
      </c>
    </row>
    <row r="4392">
      <c r="A4392" t="str">
        <f>A4374</f>
        <v>Lantai 1</v>
      </c>
      <c r="B4392">
        <f>B4374</f>
        <v>49</v>
      </c>
      <c r="D4392">
        <f>IF(AND(D4389=D4390,D4390=D4391,D4389=D4391),D4389,0)</f>
        <v>2</v>
      </c>
      <c r="E4392" t="str">
        <v>D</v>
      </c>
      <c r="F4392">
        <f>IF(AND(F4389=F4390,F4389=F4391,F4390=F4391),F4389,0)</f>
        <v>13</v>
      </c>
      <c r="L4392" t="str">
        <v>Total panjang per balok</v>
      </c>
      <c r="M4392" t="str">
        <v>=</v>
      </c>
      <c r="N4392">
        <f>IF(AND(D4389=D4390,D4389=D4391,D4390=D4391,F4389=F4390,F4389=F4391,F4390=F4391),SUM(N4389:N4391),0)</f>
        <v>3.8119999999999994</v>
      </c>
      <c r="O4392" t="str">
        <v>+</v>
      </c>
      <c r="P4392">
        <f>IF(N4392&gt;12,ROUNDDOWN(N4392/12,0),0)</f>
        <v>0</v>
      </c>
      <c r="Q4392" t="str">
        <v>x</v>
      </c>
      <c r="R4392">
        <f>IF(P4392&gt;0,MAX(VLOOKUP(F4392,$D$6:$G$15,3,FALSE),600),0)/1000</f>
        <v>0</v>
      </c>
      <c r="T4392" t="str">
        <v>x</v>
      </c>
      <c r="U4392">
        <f>U4391</f>
        <v>1.041885</v>
      </c>
      <c r="V4392" t="str">
        <v>x</v>
      </c>
      <c r="W4392">
        <f>D4392</f>
        <v>2</v>
      </c>
      <c r="X4392" t="str">
        <v>x</v>
      </c>
      <c r="Y4392">
        <f>Y4391</f>
        <v>1</v>
      </c>
      <c r="Z4392" t="str">
        <v>=</v>
      </c>
      <c r="AA4392">
        <f>(N4392+P4392*R4392/1000)*U4392*W4392*Y4392</f>
        <v>7.943331239999998</v>
      </c>
    </row>
    <row r="4394">
      <c r="A4394" t="str">
        <f>A4374</f>
        <v>Lantai 1</v>
      </c>
      <c r="B4394">
        <f>B4374</f>
        <v>49</v>
      </c>
      <c r="C4394" t="str">
        <v>Sengkang Tumpuan</v>
      </c>
      <c r="D4394">
        <f>VLOOKUP(D4374,'Detail Balok'!$C$10:$AU$110,31,FALSE)</f>
        <v>0</v>
      </c>
      <c r="E4394" t="str">
        <v>D</v>
      </c>
      <c r="F4394">
        <f>VLOOKUP(D4374,'Detail Balok'!$C$10:$AU$110,33,FALSE)</f>
        <v>10</v>
      </c>
      <c r="G4394" t="str">
        <v>-</v>
      </c>
      <c r="H4394">
        <f>VLOOKUP(D4374,'Detail Balok'!$C$10:$AU$110,35,FALSE)</f>
        <v>100</v>
      </c>
      <c r="J4394">
        <f>(IF(D4394=0,(2*(D4375+G4375))-(F$5*8),IF(D4394=3,(2*(D4375+G4375))-(F$5*8)+(G4375-2*F$5),IF(D4394=4,(2*(D4375+G4375))-(F$5*8)+2*(G4375-2*F$5)))))/1000</f>
        <v>0.82</v>
      </c>
      <c r="K4394" t="str">
        <v>+</v>
      </c>
      <c r="L4394">
        <f>IF(D4394=0,2*MAX(6*F4394,75),(D4394-1)*2*MAX(6*F4394,75))/1000</f>
        <v>0.15</v>
      </c>
      <c r="M4394" t="str">
        <v>=</v>
      </c>
      <c r="N4394">
        <f>J4394+L4394</f>
        <v>0.97</v>
      </c>
      <c r="T4394" t="str">
        <v>x</v>
      </c>
      <c r="U4394">
        <f>0.006165*F4394^2</f>
        <v>0.6165</v>
      </c>
      <c r="V4394" t="str">
        <v>x</v>
      </c>
      <c r="W4394">
        <f>IF(D4377&gt;4*G4375,ROUND(MAX(D4377/4,2*G4375)/H4394,0)+1,ROUND(D4377/H4394,0)+1)</f>
        <v>10</v>
      </c>
      <c r="X4394" t="str">
        <v>x</v>
      </c>
      <c r="Y4394">
        <f>D4380</f>
        <v>1</v>
      </c>
      <c r="Z4394" t="str">
        <v>=</v>
      </c>
      <c r="AA4394">
        <f>N4394*U4394*W4394*Y4394</f>
        <v>5.98005</v>
      </c>
    </row>
    <row r="4395">
      <c r="A4395" t="str">
        <f>A4374</f>
        <v>Lantai 1</v>
      </c>
      <c r="B4395">
        <f>B4374</f>
        <v>49</v>
      </c>
      <c r="C4395" t="str">
        <v>Sengkang Lapangan</v>
      </c>
      <c r="D4395">
        <f>VLOOKUP(D4374,'Detail Balok'!$C$10:$AU$110,36,FALSE)</f>
        <v>0</v>
      </c>
      <c r="E4395" t="str">
        <v>D</v>
      </c>
      <c r="F4395">
        <f>VLOOKUP(D4374,'Detail Balok'!$C$10:$AU$110,38,FALSE)</f>
        <v>10</v>
      </c>
      <c r="G4395" t="str">
        <v>-</v>
      </c>
      <c r="H4395">
        <f>VLOOKUP(D4374,'Detail Balok'!$C$10:$AU$110,40,FALSE)</f>
        <v>200</v>
      </c>
      <c r="J4395">
        <f>(IF(D4395=0,(2*(D4375+G4375))-(F$5*8),IF(D4395=3,(2*(D4375+G4375))-(F$5*8)+(G4375-2*F$5),IF(D4395=4,(2*(D4375+G4375))-(F$5*8)+2*(G4375-2*F$5)))))/1000</f>
        <v>0.82</v>
      </c>
      <c r="K4395" t="str">
        <v>+</v>
      </c>
      <c r="L4395">
        <f>IF(D4395=0,2*MAX(6*F4395,75),(D4395-1)*2*MAX(6*F4395,75))/1000</f>
        <v>0.15</v>
      </c>
      <c r="M4395" t="str">
        <v>=</v>
      </c>
      <c r="N4395">
        <f>J4395+L4395</f>
        <v>0.97</v>
      </c>
      <c r="T4395" t="str">
        <v>x</v>
      </c>
      <c r="U4395">
        <f>0.006165*F4395^2</f>
        <v>0.6165</v>
      </c>
      <c r="V4395" t="str">
        <v>x</v>
      </c>
      <c r="W4395">
        <f>IF(D4377-MAX(D4377/4,2*G4375)*2&gt;0,ROUND((D4377-MAX(D4377/4,2*G4375)*2)/H4395,0),0)</f>
        <v>9</v>
      </c>
      <c r="X4395" t="str">
        <v>x</v>
      </c>
      <c r="Y4395">
        <f>D4380</f>
        <v>1</v>
      </c>
      <c r="Z4395" t="str">
        <v>=</v>
      </c>
      <c r="AA4395">
        <f>N4395*U4395*W4395*Y4395</f>
        <v>5.382045</v>
      </c>
    </row>
    <row r="4396">
      <c r="A4396" t="str">
        <f>A4374</f>
        <v>Lantai 1</v>
      </c>
      <c r="B4396">
        <f>B4374</f>
        <v>49</v>
      </c>
      <c r="C4396" t="str">
        <v>Sengkang Tumpuan</v>
      </c>
      <c r="D4396">
        <f>VLOOKUP(D4374,'Detail Balok'!$C$10:$AU$110,41,FALSE)</f>
        <v>0</v>
      </c>
      <c r="E4396" t="str">
        <v>D</v>
      </c>
      <c r="F4396">
        <f>VLOOKUP(D4374,'Detail Balok'!$C$10:$AU$110,43,FALSE)</f>
        <v>10</v>
      </c>
      <c r="G4396" t="str">
        <v>-</v>
      </c>
      <c r="H4396">
        <f>VLOOKUP(D4374,'Detail Balok'!$C$10:$AU$110,45,FALSE)</f>
        <v>100</v>
      </c>
      <c r="J4396">
        <f>(IF(D4396=0,(2*(D4375+G4375))-(F$5*8),IF(D4396=3,(2*(D4375+G4375))-(F$5*8)+(G4375-2*F$5),IF(D4396=4,(2*(D4375+G4375))-(F$5*8)+2*(G4375-2*F$5)))))/1000</f>
        <v>0.82</v>
      </c>
      <c r="K4396" t="str">
        <v>+</v>
      </c>
      <c r="L4396">
        <f>IF(D4396=0,2*MAX(6*F4396,75),(D4396-1)*2*MAX(6*F4396,75))/1000</f>
        <v>0.15</v>
      </c>
      <c r="M4396" t="str">
        <v>=</v>
      </c>
      <c r="N4396">
        <f>J4396+L4396</f>
        <v>0.97</v>
      </c>
      <c r="T4396" t="str">
        <v>x</v>
      </c>
      <c r="U4396">
        <f>0.006165*F4396^2</f>
        <v>0.6165</v>
      </c>
      <c r="V4396" t="str">
        <v>x</v>
      </c>
      <c r="W4396">
        <f>IF(D4377&gt;4*G4375,ROUND(MAX(D4377/4,2*G4375)/H4396,0)+1,0)</f>
        <v>10</v>
      </c>
      <c r="X4396" t="str">
        <v>x</v>
      </c>
      <c r="Y4396">
        <f>D4380</f>
        <v>1</v>
      </c>
      <c r="Z4396" t="str">
        <v>=</v>
      </c>
      <c r="AA4396">
        <f>N4396*U4396*W4396*Y4396</f>
        <v>5.98005</v>
      </c>
    </row>
    <row r="4398">
      <c r="A4398" t="str">
        <f>A4374</f>
        <v>Lantai 1</v>
      </c>
      <c r="B4398">
        <f>B4374</f>
        <v>49</v>
      </c>
      <c r="C4398" t="str">
        <v>Kait Horizontal Tump.</v>
      </c>
      <c r="D4398">
        <f>VLOOKUP(D4374,'Detail Balok'!$C$10:$BJ$110,46,FALSE)</f>
        <v>0</v>
      </c>
      <c r="E4398" t="str">
        <v>D</v>
      </c>
      <c r="F4398">
        <f>VLOOKUP(D4374,'Detail Balok'!$C$10:$BJ$110,48,FALSE)</f>
        <v>0</v>
      </c>
      <c r="G4398" t="str">
        <v>-</v>
      </c>
      <c r="H4398">
        <f>VLOOKUP(D4374,'Detail Balok'!$C$10:$BJ$110,50,FALSE)</f>
        <v>100</v>
      </c>
      <c r="J4398">
        <f>(D4375-2*F$5)/1000</f>
        <v>0.09</v>
      </c>
      <c r="K4398" t="str">
        <v>+</v>
      </c>
      <c r="L4398">
        <f>IF(D4398=0,2*MAX(6*F4398,75),(D4398-1)*2*MAX(6*F4398,75))/1000</f>
        <v>0.15</v>
      </c>
      <c r="M4398" t="str">
        <v>=</v>
      </c>
      <c r="N4398">
        <f>J4398+L4398</f>
        <v>0.24</v>
      </c>
      <c r="T4398" t="str">
        <v>x</v>
      </c>
      <c r="U4398">
        <f>0.006165*F4398^2</f>
        <v>0</v>
      </c>
      <c r="V4398" t="str">
        <v>x</v>
      </c>
      <c r="W4398">
        <f>W4394</f>
        <v>10</v>
      </c>
      <c r="X4398" t="str">
        <v>x</v>
      </c>
      <c r="Y4398">
        <f>D4384</f>
        <v>2</v>
      </c>
      <c r="Z4398" t="str">
        <v>=</v>
      </c>
      <c r="AA4398">
        <f>N4398*U4398*W4398*Y4398</f>
        <v>0</v>
      </c>
    </row>
    <row r="4399">
      <c r="A4399" t="str">
        <f>A4374</f>
        <v>Lantai 1</v>
      </c>
      <c r="B4399">
        <f>B4374</f>
        <v>49</v>
      </c>
      <c r="C4399" t="str">
        <v>Kait Horizontal Lap.</v>
      </c>
      <c r="D4399">
        <f>VLOOKUP(D4374,'Detail Balok'!$C$10:$BJ$110,51,FALSE)</f>
        <v>0</v>
      </c>
      <c r="E4399" t="str">
        <v>D</v>
      </c>
      <c r="F4399">
        <f>VLOOKUP(D4374,'Detail Balok'!$C$10:$BJ$110,53,FALSE)</f>
        <v>0</v>
      </c>
      <c r="G4399" t="str">
        <v>-</v>
      </c>
      <c r="H4399">
        <f>VLOOKUP(D4374,'Detail Balok'!$C$10:$BJ$110,55,FALSE)</f>
        <v>100</v>
      </c>
      <c r="J4399">
        <f>(D4375-2*F$5)/1000</f>
        <v>0.09</v>
      </c>
      <c r="K4399" t="str">
        <v>+</v>
      </c>
      <c r="L4399">
        <f>IF(D4399=0,2*MAX(6*F4399,75),(D4399-1)*2*MAX(6*F4399,75))/1000</f>
        <v>0.15</v>
      </c>
      <c r="M4399" t="str">
        <v>=</v>
      </c>
      <c r="N4399">
        <f>J4399+L4399</f>
        <v>0.24</v>
      </c>
      <c r="T4399" t="str">
        <v>x</v>
      </c>
      <c r="U4399">
        <f>0.006165*F4399^2</f>
        <v>0</v>
      </c>
      <c r="V4399" t="str">
        <v>x</v>
      </c>
      <c r="W4399">
        <f>W4395</f>
        <v>9</v>
      </c>
      <c r="X4399" t="str">
        <v>x</v>
      </c>
      <c r="Y4399">
        <f>D4384</f>
        <v>2</v>
      </c>
      <c r="Z4399" t="str">
        <v>=</v>
      </c>
      <c r="AA4399">
        <f>N4399*U4399*W4399*Y4399</f>
        <v>0</v>
      </c>
    </row>
    <row r="4400">
      <c r="A4400" t="str">
        <f>A4374</f>
        <v>Lantai 1</v>
      </c>
      <c r="B4400">
        <f>B4374</f>
        <v>49</v>
      </c>
      <c r="C4400" t="str">
        <v>Kait Horizontal Tump.</v>
      </c>
      <c r="D4400">
        <f>VLOOKUP(D4374,'Detail Balok'!$C$10:$BJ$110,56,FALSE)</f>
        <v>0</v>
      </c>
      <c r="E4400" t="str">
        <v>D</v>
      </c>
      <c r="F4400">
        <f>VLOOKUP(D4374,'Detail Balok'!$C$10:$BJ$110,58,FALSE)</f>
        <v>0</v>
      </c>
      <c r="G4400" t="str">
        <v>-</v>
      </c>
      <c r="H4400">
        <f>VLOOKUP(D4374,'Detail Balok'!$C$10:$BJ$110,60,FALSE)</f>
        <v>100</v>
      </c>
      <c r="J4400">
        <f>(D4375-2*F$5)/1000</f>
        <v>0.09</v>
      </c>
      <c r="K4400" t="str">
        <v>+</v>
      </c>
      <c r="L4400">
        <f>IF(D4400=0,2*MAX(6*F4400,75),(D4400-1)*2*MAX(6*F4400,75))/1000</f>
        <v>0.15</v>
      </c>
      <c r="M4400" t="str">
        <v>=</v>
      </c>
      <c r="N4400">
        <f>J4400+L4400</f>
        <v>0.24</v>
      </c>
      <c r="T4400" t="str">
        <v>x</v>
      </c>
      <c r="U4400">
        <f>0.006165*F4400^2</f>
        <v>0</v>
      </c>
      <c r="V4400" t="str">
        <v>x</v>
      </c>
      <c r="W4400">
        <f>W4396</f>
        <v>10</v>
      </c>
      <c r="X4400" t="str">
        <v>x</v>
      </c>
      <c r="Y4400">
        <f>D4384</f>
        <v>2</v>
      </c>
      <c r="Z4400" t="str">
        <v>=</v>
      </c>
      <c r="AA4400">
        <f>N4400*U4400*W4400*Y4400</f>
        <v>0</v>
      </c>
    </row>
    <row r="4404">
      <c r="A4404" t="str">
        <f>A4374</f>
        <v>Lantai 1</v>
      </c>
      <c r="B4404">
        <f>B4374+1</f>
        <v>50</v>
      </c>
      <c r="C4404" t="str">
        <f>CONCATENATE(A4404," no. ",B4404)</f>
        <v>Lantai 1 no. 50</v>
      </c>
      <c r="D4404" t="str">
        <f>VLOOKUP(C4404,'Data Panjang Balok'!$C$9:$N$424,2,FALSE)</f>
        <v>B174-2</v>
      </c>
    </row>
    <row r="4405">
      <c r="C4405" t="str">
        <v>Dimensi</v>
      </c>
      <c r="D4405">
        <f>VLOOKUP(D4404,'Detail Balok'!$C$10:$AU$110,2,FALSE)</f>
        <v>170</v>
      </c>
      <c r="F4405" t="str">
        <v>x</v>
      </c>
      <c r="G4405">
        <f>VLOOKUP(D4404,'Detail Balok'!$C$10:$AU$110,3,FALSE)</f>
        <v>400</v>
      </c>
    </row>
    <row r="4406">
      <c r="C4406" t="str">
        <v>Panjang as ke as</v>
      </c>
      <c r="D4406">
        <f>VLOOKUP(C4404,'Data Panjang Balok'!$C$9:$N$424,4,FALSE)</f>
        <v>2500</v>
      </c>
    </row>
    <row r="4407">
      <c r="C4407" t="str">
        <v>Panjang netto</v>
      </c>
      <c r="D4407">
        <f>VLOOKUP(C4404,'Data Panjang Balok'!$C$9:$N$424,7,FALSE)</f>
        <v>2500</v>
      </c>
    </row>
    <row r="4408">
      <c r="C4408" t="str">
        <v>Kolom / balok kiri</v>
      </c>
      <c r="D4408">
        <f>VLOOKUP(C4404,'Data Panjang Balok'!$C$9:$N$424,9,FALSE)</f>
        <v>0</v>
      </c>
    </row>
    <row r="4409">
      <c r="C4409" t="str">
        <v>Kolom / balok kanan</v>
      </c>
      <c r="D4409">
        <f>VLOOKUP(C4404,'Data Panjang Balok'!$C$9:$N$424,10,FALSE)</f>
        <v>0</v>
      </c>
    </row>
    <row r="4410">
      <c r="C4410" t="str">
        <v>Jumlah</v>
      </c>
      <c r="D4410">
        <f>VLOOKUP(C4404,'Data Panjang Balok'!$C$9:$N$424,3,FALSE)</f>
        <v>1</v>
      </c>
    </row>
    <row r="4411">
      <c r="A4411" t="str">
        <f>A4404</f>
        <v>Lantai 1</v>
      </c>
      <c r="B4411">
        <f>B4404</f>
        <v>50</v>
      </c>
      <c r="C4411" t="str">
        <v>Tul Atas Tumpuan</v>
      </c>
      <c r="D4411">
        <f>VLOOKUP(D4404,'Detail Balok'!$C$10:$AU$110,4,FALSE)</f>
        <v>4</v>
      </c>
      <c r="E4411" t="str">
        <v>D</v>
      </c>
      <c r="F4411">
        <f>VLOOKUP(D4404,'Detail Balok'!$C$10:$AU$110,6,FALSE)</f>
        <v>13</v>
      </c>
      <c r="I4411" t="str">
        <v>(</v>
      </c>
      <c r="J4411">
        <f>+D4406/4/1000</f>
        <v>0.625</v>
      </c>
      <c r="K4411" t="str">
        <v>+</v>
      </c>
      <c r="L4411">
        <f>MAX(VLOOKUP(F4411,N$6:P$15,3,FALSE)/1000,2/3*D4408/1000)+F$16*F4411/1000</f>
        <v>0.156</v>
      </c>
      <c r="M4411" t="str">
        <v>=</v>
      </c>
      <c r="N4411">
        <f>J4411+L4411</f>
        <v>0.781</v>
      </c>
      <c r="O4411" t="str">
        <v>+</v>
      </c>
      <c r="P4411">
        <f>D4411-D4412</f>
        <v>2</v>
      </c>
      <c r="Q4411" t="str">
        <v>x</v>
      </c>
      <c r="R4411">
        <f>IF(P4411&gt;0,$F$18*F4411/1000,0)</f>
        <v>0.195</v>
      </c>
      <c r="S4411" t="str">
        <v>)</v>
      </c>
      <c r="T4411" t="str">
        <v>x</v>
      </c>
      <c r="U4411">
        <f>0.006165*F4411^2</f>
        <v>1.041885</v>
      </c>
      <c r="X4411" t="str">
        <v>x</v>
      </c>
      <c r="Y4411">
        <f>D4410</f>
        <v>1</v>
      </c>
      <c r="Z4411" t="str">
        <v>=</v>
      </c>
      <c r="AA4411">
        <f>IF(AA4414=0,(D4411*N4411+P4411*R4411)*U4411*Y4411,0)</f>
        <v>3.66118389</v>
      </c>
    </row>
    <row r="4412">
      <c r="A4412" t="str">
        <f>A4404</f>
        <v>Lantai 1</v>
      </c>
      <c r="B4412">
        <f>B4404</f>
        <v>50</v>
      </c>
      <c r="C4412" t="str">
        <v>Tul Atas Lapangan</v>
      </c>
      <c r="D4412">
        <f>VLOOKUP(D4404,'Detail Balok'!$C$10:$AU$110,7,FALSE)</f>
        <v>2</v>
      </c>
      <c r="E4412" t="str">
        <v>D</v>
      </c>
      <c r="F4412">
        <f>VLOOKUP(D4404,'Detail Balok'!$C$10:$AU$110,9,FALSE)</f>
        <v>13</v>
      </c>
      <c r="I4412" t="str">
        <v>(</v>
      </c>
      <c r="J4412">
        <f>+D4406/2/1000</f>
        <v>1.25</v>
      </c>
      <c r="K4412" t="str">
        <v>+</v>
      </c>
      <c r="M4412" t="str">
        <v>=</v>
      </c>
      <c r="N4412">
        <f>J4412+L4412</f>
        <v>1.25</v>
      </c>
      <c r="O4412" t="str">
        <v>+</v>
      </c>
      <c r="P4412">
        <f>MAX(D4412-D4411,D4412-D4413)</f>
        <v>-2</v>
      </c>
      <c r="Q4412" t="str">
        <v>x</v>
      </c>
      <c r="R4412">
        <f>IF(P4412&gt;0,2*(1-2*$F$19-1/2)*D4407/1000,0)</f>
        <v>0</v>
      </c>
      <c r="S4412" t="str">
        <v>)</v>
      </c>
      <c r="T4412" t="str">
        <v>x</v>
      </c>
      <c r="U4412">
        <f>0.006165*F4412^2</f>
        <v>1.041885</v>
      </c>
      <c r="X4412" t="str">
        <v>x</v>
      </c>
      <c r="Y4412">
        <f>D4410</f>
        <v>1</v>
      </c>
      <c r="Z4412" t="str">
        <v>=</v>
      </c>
      <c r="AA4412">
        <f>IF(AA4414=0,(D4412*N4412+P4412*R4412)*U4412*Y4412,0)</f>
        <v>2.6047124999999998</v>
      </c>
    </row>
    <row r="4413">
      <c r="A4413" t="str">
        <f>A4404</f>
        <v>Lantai 1</v>
      </c>
      <c r="B4413">
        <f>B4404</f>
        <v>50</v>
      </c>
      <c r="C4413" t="str">
        <v>Tul Atas Tumpuan</v>
      </c>
      <c r="D4413">
        <f>VLOOKUP(D4404,'Detail Balok'!$C$10:$AU$110,10,FALSE)</f>
        <v>4</v>
      </c>
      <c r="E4413" t="str">
        <v>D</v>
      </c>
      <c r="F4413">
        <f>VLOOKUP(D4404,'Detail Balok'!$C$10:$AU$110,12,FALSE)</f>
        <v>13</v>
      </c>
      <c r="I4413" t="str">
        <v>(</v>
      </c>
      <c r="J4413">
        <f>+D4406/4/1000</f>
        <v>0.625</v>
      </c>
      <c r="K4413" t="str">
        <v>+</v>
      </c>
      <c r="L4413">
        <f>MAX(VLOOKUP(F4413,N$6:P$15,3,FALSE)/1000,2/3*D4408/1000)+F$16*F4413/1000</f>
        <v>0.156</v>
      </c>
      <c r="M4413" t="str">
        <v>=</v>
      </c>
      <c r="N4413">
        <f>J4413+L4413</f>
        <v>0.781</v>
      </c>
      <c r="O4413" t="str">
        <v>+</v>
      </c>
      <c r="P4413">
        <f>D4413-D4412</f>
        <v>2</v>
      </c>
      <c r="Q4413" t="str">
        <v>x</v>
      </c>
      <c r="R4413">
        <f>IF(P4413&gt;0,$F$18*F4413/1000,0)</f>
        <v>0.195</v>
      </c>
      <c r="S4413" t="str">
        <v>)</v>
      </c>
      <c r="T4413" t="str">
        <v>x</v>
      </c>
      <c r="U4413">
        <f>0.006165*F4413^2</f>
        <v>1.041885</v>
      </c>
      <c r="X4413" t="str">
        <v>x</v>
      </c>
      <c r="Y4413">
        <f>D4410</f>
        <v>1</v>
      </c>
      <c r="Z4413" t="str">
        <v>=</v>
      </c>
      <c r="AA4413">
        <f>IF(AA4414=0,(D4413*N4413+P4413*R4413)*U4413*Y4413,0)</f>
        <v>3.66118389</v>
      </c>
    </row>
    <row r="4414">
      <c r="A4414" t="str">
        <f>A4404</f>
        <v>Lantai 1</v>
      </c>
      <c r="B4414">
        <f>B4404</f>
        <v>50</v>
      </c>
      <c r="D4414">
        <f>IF(AND(D4411=D4412,D4412=D4413,D4411=D4413),D4411,0)</f>
        <v>0</v>
      </c>
      <c r="E4414" t="str">
        <v>D</v>
      </c>
      <c r="F4414">
        <f>IF(AND(F4411=F4412,F4411=F4413,F4412=F4413),F4411,0)</f>
        <v>13</v>
      </c>
      <c r="L4414" t="str">
        <v>Total panjang per balok</v>
      </c>
      <c r="M4414" t="str">
        <v>=</v>
      </c>
      <c r="N4414">
        <f>IF(AND(D4411=D4412,D4411=D4413,D4412=D4413,F4411=F4412,F4411=F4413,F4412=F4413),SUM(N4411:N4413),0)</f>
        <v>0</v>
      </c>
      <c r="O4414" t="str">
        <v>+</v>
      </c>
      <c r="P4414">
        <f>IF(N4414&gt;12,ROUNDDOWN(N4414/12,0),0)</f>
        <v>0</v>
      </c>
      <c r="Q4414" t="str">
        <v>x</v>
      </c>
      <c r="R4414">
        <f>IF(P4414&gt;0,MAX(VLOOKUP(F4414,$D$6:$G$15,3,FALSE),600),0)/1000</f>
        <v>0</v>
      </c>
      <c r="T4414" t="str">
        <v>x</v>
      </c>
      <c r="U4414">
        <f>U4413</f>
        <v>1.041885</v>
      </c>
      <c r="V4414" t="str">
        <v>x</v>
      </c>
      <c r="W4414">
        <f>D4414</f>
        <v>0</v>
      </c>
      <c r="X4414" t="str">
        <v>x</v>
      </c>
      <c r="Y4414">
        <f>Y4413</f>
        <v>1</v>
      </c>
      <c r="Z4414" t="str">
        <v>=</v>
      </c>
      <c r="AA4414">
        <f>(N4414+P4414*R4414/1000)*U4414*W4414*Y4414</f>
        <v>0</v>
      </c>
    </row>
    <row r="4416">
      <c r="A4416" t="str">
        <f>A4404</f>
        <v>Lantai 1</v>
      </c>
      <c r="B4416">
        <f>B4404</f>
        <v>50</v>
      </c>
      <c r="C4416" t="str">
        <v>Tul Peminggang</v>
      </c>
      <c r="D4416">
        <f>VLOOKUP(D4404,'Detail Balok'!$C$10:$AU$110,13,FALSE)</f>
        <v>0</v>
      </c>
      <c r="E4416" t="str">
        <v>D</v>
      </c>
      <c r="F4416">
        <f>VLOOKUP(D4404,'Detail Balok'!$C$10:$AU$110,15,FALSE)</f>
        <v>6</v>
      </c>
      <c r="J4416">
        <f>+D4406/1000</f>
        <v>2.5</v>
      </c>
      <c r="K4416" t="str">
        <v>+</v>
      </c>
      <c r="L4416">
        <f>2*$F$16*F4416/1000</f>
        <v>0.144</v>
      </c>
      <c r="M4416" t="str">
        <v>=</v>
      </c>
      <c r="N4416">
        <f>J4416+L4416</f>
        <v>2.644</v>
      </c>
      <c r="O4416" t="str">
        <v>+</v>
      </c>
      <c r="P4416">
        <f>IF(N4416&gt;12,ROUNDDOWN(N4416/12,0),0)</f>
        <v>0</v>
      </c>
      <c r="Q4416" t="str">
        <v>x</v>
      </c>
      <c r="R4416">
        <f>IF(P4416&gt;0,MAX(VLOOKUP(F4416,$D$6:$G$15,3,FALSE),600),0)/1000</f>
        <v>0</v>
      </c>
      <c r="T4416" t="str">
        <v>x</v>
      </c>
      <c r="U4416">
        <f>0.006165*F4416^2</f>
        <v>0.22194000000000003</v>
      </c>
      <c r="V4416" t="str">
        <v>x</v>
      </c>
      <c r="W4416">
        <f>+D4416</f>
        <v>0</v>
      </c>
      <c r="X4416" t="str">
        <v>x</v>
      </c>
      <c r="Y4416">
        <f>D4410</f>
        <v>1</v>
      </c>
      <c r="Z4416" t="str">
        <v>=</v>
      </c>
      <c r="AA4416">
        <f>(N4416+P4416*R4416/1000)*U4416*W4416*Y4416</f>
        <v>0</v>
      </c>
    </row>
    <row r="4419">
      <c r="A4419" t="str">
        <f>A4404</f>
        <v>Lantai 1</v>
      </c>
      <c r="B4419">
        <f>B4404</f>
        <v>50</v>
      </c>
      <c r="C4419" t="str">
        <v>Tul Bawah Tumpuan</v>
      </c>
      <c r="D4419">
        <f>VLOOKUP(D4404,'Detail Balok'!$C$10:$AU$110,22,FALSE)</f>
        <v>2</v>
      </c>
      <c r="E4419" t="str">
        <v>D</v>
      </c>
      <c r="F4419">
        <f>VLOOKUP(D4404,'Detail Balok'!$C$10:$AU$110,24,FALSE)</f>
        <v>13</v>
      </c>
      <c r="I4419" t="str">
        <v>(</v>
      </c>
      <c r="J4419">
        <f>+J4411</f>
        <v>0.625</v>
      </c>
      <c r="K4419" t="str">
        <v>+</v>
      </c>
      <c r="L4419">
        <f>MAX(VLOOKUP(F4419,N$6:P$15,3,FALSE)/1000,2/3*D4409/1000)+F$16*F4419/1000</f>
        <v>0.156</v>
      </c>
      <c r="M4419" t="str">
        <v>=</v>
      </c>
      <c r="N4419">
        <f>J4419+L4419</f>
        <v>0.781</v>
      </c>
      <c r="O4419" t="str">
        <v>+</v>
      </c>
      <c r="P4419">
        <f>D4419-D4420</f>
        <v>-2</v>
      </c>
      <c r="Q4419" t="str">
        <v>x</v>
      </c>
      <c r="R4419">
        <f>IF(P4419&gt;0,$F$18*F4419/1000,0)</f>
        <v>0</v>
      </c>
      <c r="S4419" t="str">
        <v>)</v>
      </c>
      <c r="T4419" t="str">
        <v>x</v>
      </c>
      <c r="U4419">
        <f>0.006165*F4419^2</f>
        <v>1.041885</v>
      </c>
      <c r="X4419" t="str">
        <v>x</v>
      </c>
      <c r="Y4419">
        <f>D4410</f>
        <v>1</v>
      </c>
      <c r="Z4419" t="str">
        <v>=</v>
      </c>
      <c r="AA4419">
        <f>IF(AA4422=0,(D4419*N4419+P4419*R4419)*U4419*Y4419,0)</f>
        <v>1.62742437</v>
      </c>
    </row>
    <row r="4420">
      <c r="A4420" t="str">
        <f>A4404</f>
        <v>Lantai 1</v>
      </c>
      <c r="B4420">
        <f>B4404</f>
        <v>50</v>
      </c>
      <c r="C4420" t="str">
        <v>Tul Bawah Lapangan</v>
      </c>
      <c r="D4420">
        <f>VLOOKUP(D4404,'Detail Balok'!$C$10:$AU$110,25,FALSE)</f>
        <v>4</v>
      </c>
      <c r="E4420" t="str">
        <v>D</v>
      </c>
      <c r="F4420">
        <f>VLOOKUP(D4404,'Detail Balok'!$C$10:$AU$110,27,FALSE)</f>
        <v>13</v>
      </c>
      <c r="I4420" t="str">
        <v>(</v>
      </c>
      <c r="J4420">
        <f>+J4412</f>
        <v>1.25</v>
      </c>
      <c r="K4420" t="str">
        <v>+</v>
      </c>
      <c r="M4420" t="str">
        <v>=</v>
      </c>
      <c r="N4420">
        <f>J4420+L4420</f>
        <v>1.25</v>
      </c>
      <c r="O4420" t="str">
        <v>+</v>
      </c>
      <c r="P4420">
        <f>MAX(D4420-D4419,D4420-D4421)</f>
        <v>2</v>
      </c>
      <c r="Q4420" t="str">
        <v>x</v>
      </c>
      <c r="R4420">
        <f>IF(P4420&gt;0,2*(1-2*$F$19-1/2)*D4407/1000,0)</f>
        <v>0.4999999999999999</v>
      </c>
      <c r="S4420" t="str">
        <v>)</v>
      </c>
      <c r="T4420" t="str">
        <v>x</v>
      </c>
      <c r="U4420">
        <f>0.006165*F4420^2</f>
        <v>1.041885</v>
      </c>
      <c r="X4420" t="str">
        <v>x</v>
      </c>
      <c r="Y4420">
        <f>D4410</f>
        <v>1</v>
      </c>
      <c r="Z4420" t="str">
        <v>=</v>
      </c>
      <c r="AA4420">
        <f>IF(AA4422=0,(D4420*N4420+P4420*R4420)*U4420*Y4420,0)</f>
        <v>6.25131</v>
      </c>
    </row>
    <row r="4421">
      <c r="A4421" t="str">
        <f>A4404</f>
        <v>Lantai 1</v>
      </c>
      <c r="B4421">
        <f>B4404</f>
        <v>50</v>
      </c>
      <c r="C4421" t="str">
        <v>Tul Bawah Tumpuan</v>
      </c>
      <c r="D4421">
        <f>VLOOKUP(D4404,'Detail Balok'!$C$10:$AU$110,28,FALSE)</f>
        <v>2</v>
      </c>
      <c r="E4421" t="str">
        <v>D</v>
      </c>
      <c r="F4421">
        <f>VLOOKUP(D4404,'Detail Balok'!$C$10:$AU$110,30,FALSE)</f>
        <v>13</v>
      </c>
      <c r="I4421" t="str">
        <v>(</v>
      </c>
      <c r="J4421">
        <f>+J4413</f>
        <v>0.625</v>
      </c>
      <c r="K4421" t="str">
        <v>+</v>
      </c>
      <c r="L4421">
        <f>MAX(VLOOKUP(F4421,N$6:P$15,3,FALSE)/1000,2/3*D4409/1000)+F$16*F4421/1000</f>
        <v>0.156</v>
      </c>
      <c r="M4421" t="str">
        <v>=</v>
      </c>
      <c r="N4421">
        <f>J4421+L4421</f>
        <v>0.781</v>
      </c>
      <c r="O4421" t="str">
        <v>+</v>
      </c>
      <c r="P4421">
        <f>D4421-D4420</f>
        <v>-2</v>
      </c>
      <c r="Q4421" t="str">
        <v>x</v>
      </c>
      <c r="R4421">
        <f>IF(P4421&gt;0,$F$18*F4421/1000,0)</f>
        <v>0</v>
      </c>
      <c r="S4421" t="str">
        <v>)</v>
      </c>
      <c r="T4421" t="str">
        <v>x</v>
      </c>
      <c r="U4421">
        <f>0.006165*F4421^2</f>
        <v>1.041885</v>
      </c>
      <c r="X4421" t="str">
        <v>x</v>
      </c>
      <c r="Y4421">
        <f>D4410</f>
        <v>1</v>
      </c>
      <c r="Z4421" t="str">
        <v>=</v>
      </c>
      <c r="AA4421">
        <f>IF(AA4422=0,(D4421*N4421+P4421*R4421)*U4421*Y4421,0)</f>
        <v>1.62742437</v>
      </c>
    </row>
    <row r="4422">
      <c r="A4422" t="str">
        <f>A4404</f>
        <v>Lantai 1</v>
      </c>
      <c r="B4422">
        <f>B4404</f>
        <v>50</v>
      </c>
      <c r="D4422">
        <f>IF(AND(D4419=D4420,D4420=D4421,D4419=D4421),D4419,0)</f>
        <v>0</v>
      </c>
      <c r="E4422" t="str">
        <v>D</v>
      </c>
      <c r="F4422">
        <f>IF(AND(F4419=F4420,F4419=F4421,F4420=F4421),F4419,0)</f>
        <v>13</v>
      </c>
      <c r="L4422" t="str">
        <v>Total panjang per balok</v>
      </c>
      <c r="M4422" t="str">
        <v>=</v>
      </c>
      <c r="N4422">
        <f>IF(AND(D4419=D4420,D4419=D4421,D4420=D4421,F4419=F4420,F4419=F4421,F4420=F4421),SUM(N4419:N4421),0)</f>
        <v>0</v>
      </c>
      <c r="O4422" t="str">
        <v>+</v>
      </c>
      <c r="P4422">
        <f>IF(N4422&gt;12,ROUNDDOWN(N4422/12,0),0)</f>
        <v>0</v>
      </c>
      <c r="Q4422" t="str">
        <v>x</v>
      </c>
      <c r="R4422">
        <f>IF(P4422&gt;0,MAX(VLOOKUP(F4422,$D$6:$G$15,3,FALSE),600),0)/1000</f>
        <v>0</v>
      </c>
      <c r="T4422" t="str">
        <v>x</v>
      </c>
      <c r="U4422">
        <f>U4421</f>
        <v>1.041885</v>
      </c>
      <c r="V4422" t="str">
        <v>x</v>
      </c>
      <c r="W4422">
        <f>D4422</f>
        <v>0</v>
      </c>
      <c r="X4422" t="str">
        <v>x</v>
      </c>
      <c r="Y4422">
        <f>Y4421</f>
        <v>1</v>
      </c>
      <c r="Z4422" t="str">
        <v>=</v>
      </c>
      <c r="AA4422">
        <f>(N4422+P4422*R4422/1000)*U4422*W4422*Y4422</f>
        <v>0</v>
      </c>
    </row>
    <row r="4424">
      <c r="A4424" t="str">
        <f>A4404</f>
        <v>Lantai 1</v>
      </c>
      <c r="B4424">
        <f>B4404</f>
        <v>50</v>
      </c>
      <c r="C4424" t="str">
        <v>Sengkang Tumpuan</v>
      </c>
      <c r="D4424">
        <f>VLOOKUP(D4404,'Detail Balok'!$C$10:$AU$110,31,FALSE)</f>
        <v>0</v>
      </c>
      <c r="E4424" t="str">
        <v>D</v>
      </c>
      <c r="F4424">
        <f>VLOOKUP(D4404,'Detail Balok'!$C$10:$AU$110,33,FALSE)</f>
        <v>10</v>
      </c>
      <c r="G4424" t="str">
        <v>-</v>
      </c>
      <c r="H4424">
        <f>VLOOKUP(D4404,'Detail Balok'!$C$10:$AU$110,35,FALSE)</f>
        <v>100</v>
      </c>
      <c r="J4424">
        <f>(IF(D4424=0,(2*(D4405+G4405))-(F$5*8),IF(D4424=3,(2*(D4405+G4405))-(F$5*8)+(G4405-2*F$5),IF(D4424=4,(2*(D4405+G4405))-(F$5*8)+2*(G4405-2*F$5)))))/1000</f>
        <v>0.82</v>
      </c>
      <c r="K4424" t="str">
        <v>+</v>
      </c>
      <c r="L4424">
        <f>IF(D4424=0,2*MAX(6*F4424,75),(D4424-1)*2*MAX(6*F4424,75))/1000</f>
        <v>0.15</v>
      </c>
      <c r="M4424" t="str">
        <v>=</v>
      </c>
      <c r="N4424">
        <f>J4424+L4424</f>
        <v>0.97</v>
      </c>
      <c r="T4424" t="str">
        <v>x</v>
      </c>
      <c r="U4424">
        <f>0.006165*F4424^2</f>
        <v>0.6165</v>
      </c>
      <c r="V4424" t="str">
        <v>x</v>
      </c>
      <c r="W4424">
        <f>IF(D4407&gt;4*G4405,ROUND(MAX(D4407/4,2*G4405)/H4424,0)+1,ROUND(D4407/H4424,0)+1)</f>
        <v>9</v>
      </c>
      <c r="X4424" t="str">
        <v>x</v>
      </c>
      <c r="Y4424">
        <f>D4410</f>
        <v>1</v>
      </c>
      <c r="Z4424" t="str">
        <v>=</v>
      </c>
      <c r="AA4424">
        <f>N4424*U4424*W4424*Y4424</f>
        <v>5.382045</v>
      </c>
    </row>
    <row r="4425">
      <c r="A4425" t="str">
        <f>A4404</f>
        <v>Lantai 1</v>
      </c>
      <c r="B4425">
        <f>B4404</f>
        <v>50</v>
      </c>
      <c r="C4425" t="str">
        <v>Sengkang Lapangan</v>
      </c>
      <c r="D4425">
        <f>VLOOKUP(D4404,'Detail Balok'!$C$10:$AU$110,36,FALSE)</f>
        <v>0</v>
      </c>
      <c r="E4425" t="str">
        <v>D</v>
      </c>
      <c r="F4425">
        <f>VLOOKUP(D4404,'Detail Balok'!$C$10:$AU$110,38,FALSE)</f>
        <v>10</v>
      </c>
      <c r="G4425" t="str">
        <v>-</v>
      </c>
      <c r="H4425">
        <f>VLOOKUP(D4404,'Detail Balok'!$C$10:$AU$110,40,FALSE)</f>
        <v>125</v>
      </c>
      <c r="J4425">
        <f>(IF(D4425=0,(2*(D4405+G4405))-(F$5*8),IF(D4425=3,(2*(D4405+G4405))-(F$5*8)+(G4405-2*F$5),IF(D4425=4,(2*(D4405+G4405))-(F$5*8)+2*(G4405-2*F$5)))))/1000</f>
        <v>0.82</v>
      </c>
      <c r="K4425" t="str">
        <v>+</v>
      </c>
      <c r="L4425">
        <f>IF(D4425=0,2*MAX(6*F4425,75),(D4425-1)*2*MAX(6*F4425,75))/1000</f>
        <v>0.15</v>
      </c>
      <c r="M4425" t="str">
        <v>=</v>
      </c>
      <c r="N4425">
        <f>J4425+L4425</f>
        <v>0.97</v>
      </c>
      <c r="T4425" t="str">
        <v>x</v>
      </c>
      <c r="U4425">
        <f>0.006165*F4425^2</f>
        <v>0.6165</v>
      </c>
      <c r="V4425" t="str">
        <v>x</v>
      </c>
      <c r="W4425">
        <f>IF(D4407-MAX(D4407/4,2*G4405)*2&gt;0,ROUND((D4407-MAX(D4407/4,2*G4405)*2)/H4425,0),0)</f>
        <v>7</v>
      </c>
      <c r="X4425" t="str">
        <v>x</v>
      </c>
      <c r="Y4425">
        <f>D4410</f>
        <v>1</v>
      </c>
      <c r="Z4425" t="str">
        <v>=</v>
      </c>
      <c r="AA4425">
        <f>N4425*U4425*W4425*Y4425</f>
        <v>4.186035</v>
      </c>
    </row>
    <row r="4426">
      <c r="A4426" t="str">
        <f>A4404</f>
        <v>Lantai 1</v>
      </c>
      <c r="B4426">
        <f>B4404</f>
        <v>50</v>
      </c>
      <c r="C4426" t="str">
        <v>Sengkang Tumpuan</v>
      </c>
      <c r="D4426">
        <f>VLOOKUP(D4404,'Detail Balok'!$C$10:$AU$110,41,FALSE)</f>
        <v>0</v>
      </c>
      <c r="E4426" t="str">
        <v>D</v>
      </c>
      <c r="F4426">
        <f>VLOOKUP(D4404,'Detail Balok'!$C$10:$AU$110,43,FALSE)</f>
        <v>10</v>
      </c>
      <c r="G4426" t="str">
        <v>-</v>
      </c>
      <c r="H4426">
        <f>VLOOKUP(D4404,'Detail Balok'!$C$10:$AU$110,45,FALSE)</f>
        <v>100</v>
      </c>
      <c r="J4426">
        <f>(IF(D4426=0,(2*(D4405+G4405))-(F$5*8),IF(D4426=3,(2*(D4405+G4405))-(F$5*8)+(G4405-2*F$5),IF(D4426=4,(2*(D4405+G4405))-(F$5*8)+2*(G4405-2*F$5)))))/1000</f>
        <v>0.82</v>
      </c>
      <c r="K4426" t="str">
        <v>+</v>
      </c>
      <c r="L4426">
        <f>IF(D4426=0,2*MAX(6*F4426,75),(D4426-1)*2*MAX(6*F4426,75))/1000</f>
        <v>0.15</v>
      </c>
      <c r="M4426" t="str">
        <v>=</v>
      </c>
      <c r="N4426">
        <f>J4426+L4426</f>
        <v>0.97</v>
      </c>
      <c r="T4426" t="str">
        <v>x</v>
      </c>
      <c r="U4426">
        <f>0.006165*F4426^2</f>
        <v>0.6165</v>
      </c>
      <c r="V4426" t="str">
        <v>x</v>
      </c>
      <c r="W4426">
        <f>IF(D4407&gt;4*G4405,ROUND(MAX(D4407/4,2*G4405)/H4426,0)+1,0)</f>
        <v>9</v>
      </c>
      <c r="X4426" t="str">
        <v>x</v>
      </c>
      <c r="Y4426">
        <f>D4410</f>
        <v>1</v>
      </c>
      <c r="Z4426" t="str">
        <v>=</v>
      </c>
      <c r="AA4426">
        <f>N4426*U4426*W4426*Y4426</f>
        <v>5.382045</v>
      </c>
    </row>
    <row r="4428">
      <c r="A4428" t="str">
        <f>A4404</f>
        <v>Lantai 1</v>
      </c>
      <c r="B4428">
        <f>B4404</f>
        <v>50</v>
      </c>
      <c r="C4428" t="str">
        <v>Kait Horizontal Tump.</v>
      </c>
      <c r="D4428">
        <f>VLOOKUP(D4404,'Detail Balok'!$C$10:$BJ$110,46,FALSE)</f>
        <v>0</v>
      </c>
      <c r="E4428" t="str">
        <v>D</v>
      </c>
      <c r="F4428">
        <f>VLOOKUP(D4404,'Detail Balok'!$C$10:$BJ$110,48,FALSE)</f>
        <v>0</v>
      </c>
      <c r="G4428" t="str">
        <v>-</v>
      </c>
      <c r="H4428">
        <f>VLOOKUP(D4404,'Detail Balok'!$C$10:$BJ$110,50,FALSE)</f>
        <v>100</v>
      </c>
      <c r="J4428">
        <f>(D4405-2*F$5)/1000</f>
        <v>0.09</v>
      </c>
      <c r="K4428" t="str">
        <v>+</v>
      </c>
      <c r="L4428">
        <f>IF(D4428=0,2*MAX(6*F4428,75),(D4428-1)*2*MAX(6*F4428,75))/1000</f>
        <v>0.15</v>
      </c>
      <c r="M4428" t="str">
        <v>=</v>
      </c>
      <c r="N4428">
        <f>J4428+L4428</f>
        <v>0.24</v>
      </c>
      <c r="T4428" t="str">
        <v>x</v>
      </c>
      <c r="U4428">
        <f>0.006165*F4428^2</f>
        <v>0</v>
      </c>
      <c r="V4428" t="str">
        <v>x</v>
      </c>
      <c r="W4428">
        <f>W4424</f>
        <v>9</v>
      </c>
      <c r="X4428" t="str">
        <v>x</v>
      </c>
      <c r="Y4428">
        <f>D4414</f>
        <v>0</v>
      </c>
      <c r="Z4428" t="str">
        <v>=</v>
      </c>
      <c r="AA4428">
        <f>N4428*U4428*W4428*Y4428</f>
        <v>0</v>
      </c>
    </row>
    <row r="4429">
      <c r="A4429" t="str">
        <f>A4404</f>
        <v>Lantai 1</v>
      </c>
      <c r="B4429">
        <f>B4404</f>
        <v>50</v>
      </c>
      <c r="C4429" t="str">
        <v>Kait Horizontal Lap.</v>
      </c>
      <c r="D4429">
        <f>VLOOKUP(D4404,'Detail Balok'!$C$10:$BJ$110,51,FALSE)</f>
        <v>0</v>
      </c>
      <c r="E4429" t="str">
        <v>D</v>
      </c>
      <c r="F4429">
        <f>VLOOKUP(D4404,'Detail Balok'!$C$10:$BJ$110,53,FALSE)</f>
        <v>0</v>
      </c>
      <c r="G4429" t="str">
        <v>-</v>
      </c>
      <c r="H4429">
        <f>VLOOKUP(D4404,'Detail Balok'!$C$10:$BJ$110,55,FALSE)</f>
        <v>100</v>
      </c>
      <c r="J4429">
        <f>(D4405-2*F$5)/1000</f>
        <v>0.09</v>
      </c>
      <c r="K4429" t="str">
        <v>+</v>
      </c>
      <c r="L4429">
        <f>IF(D4429=0,2*MAX(6*F4429,75),(D4429-1)*2*MAX(6*F4429,75))/1000</f>
        <v>0.15</v>
      </c>
      <c r="M4429" t="str">
        <v>=</v>
      </c>
      <c r="N4429">
        <f>J4429+L4429</f>
        <v>0.24</v>
      </c>
      <c r="T4429" t="str">
        <v>x</v>
      </c>
      <c r="U4429">
        <f>0.006165*F4429^2</f>
        <v>0</v>
      </c>
      <c r="V4429" t="str">
        <v>x</v>
      </c>
      <c r="W4429">
        <f>W4425</f>
        <v>7</v>
      </c>
      <c r="X4429" t="str">
        <v>x</v>
      </c>
      <c r="Y4429">
        <f>D4414</f>
        <v>0</v>
      </c>
      <c r="Z4429" t="str">
        <v>=</v>
      </c>
      <c r="AA4429">
        <f>N4429*U4429*W4429*Y4429</f>
        <v>0</v>
      </c>
    </row>
    <row r="4430">
      <c r="A4430" t="str">
        <f>A4404</f>
        <v>Lantai 1</v>
      </c>
      <c r="B4430">
        <f>B4404</f>
        <v>50</v>
      </c>
      <c r="C4430" t="str">
        <v>Kait Horizontal Tump.</v>
      </c>
      <c r="D4430">
        <f>VLOOKUP(D4404,'Detail Balok'!$C$10:$BJ$110,56,FALSE)</f>
        <v>0</v>
      </c>
      <c r="E4430" t="str">
        <v>D</v>
      </c>
      <c r="F4430">
        <f>VLOOKUP(D4404,'Detail Balok'!$C$10:$BJ$110,58,FALSE)</f>
        <v>0</v>
      </c>
      <c r="G4430" t="str">
        <v>-</v>
      </c>
      <c r="H4430">
        <f>VLOOKUP(D4404,'Detail Balok'!$C$10:$BJ$110,60,FALSE)</f>
        <v>100</v>
      </c>
      <c r="J4430">
        <f>(D4405-2*F$5)/1000</f>
        <v>0.09</v>
      </c>
      <c r="K4430" t="str">
        <v>+</v>
      </c>
      <c r="L4430">
        <f>IF(D4430=0,2*MAX(6*F4430,75),(D4430-1)*2*MAX(6*F4430,75))/1000</f>
        <v>0.15</v>
      </c>
      <c r="M4430" t="str">
        <v>=</v>
      </c>
      <c r="N4430">
        <f>J4430+L4430</f>
        <v>0.24</v>
      </c>
      <c r="T4430" t="str">
        <v>x</v>
      </c>
      <c r="U4430">
        <f>0.006165*F4430^2</f>
        <v>0</v>
      </c>
      <c r="V4430" t="str">
        <v>x</v>
      </c>
      <c r="W4430">
        <f>W4426</f>
        <v>9</v>
      </c>
      <c r="X4430" t="str">
        <v>x</v>
      </c>
      <c r="Y4430">
        <f>D4414</f>
        <v>0</v>
      </c>
      <c r="Z4430" t="str">
        <v>=</v>
      </c>
      <c r="AA4430">
        <f>N4430*U4430*W4430*Y4430</f>
        <v>0</v>
      </c>
    </row>
    <row r="4434">
      <c r="A4434" t="str">
        <f>A4404</f>
        <v>Lantai 1</v>
      </c>
      <c r="B4434">
        <f>B4404+1</f>
        <v>51</v>
      </c>
      <c r="C4434" t="str">
        <f>CONCATENATE(A4434," no. ",B4434)</f>
        <v>Lantai 1 no. 51</v>
      </c>
      <c r="D4434" t="str">
        <f>VLOOKUP(C4434,'Data Panjang Balok'!$C$9:$N$424,2,FALSE)</f>
        <v>B174-2</v>
      </c>
    </row>
    <row r="4435">
      <c r="C4435" t="str">
        <v>Dimensi</v>
      </c>
      <c r="D4435">
        <f>VLOOKUP(D4434,'Detail Balok'!$C$10:$AU$110,2,FALSE)</f>
        <v>170</v>
      </c>
      <c r="F4435" t="str">
        <v>x</v>
      </c>
      <c r="G4435">
        <f>VLOOKUP(D4434,'Detail Balok'!$C$10:$AU$110,3,FALSE)</f>
        <v>400</v>
      </c>
    </row>
    <row r="4436">
      <c r="C4436" t="str">
        <v>Panjang as ke as</v>
      </c>
      <c r="D4436">
        <f>VLOOKUP(C4434,'Data Panjang Balok'!$C$9:$N$424,4,FALSE)</f>
        <v>3965</v>
      </c>
    </row>
    <row r="4437">
      <c r="C4437" t="str">
        <v>Panjang netto</v>
      </c>
      <c r="D4437">
        <f>VLOOKUP(C4434,'Data Panjang Balok'!$C$9:$N$424,7,FALSE)</f>
        <v>3965</v>
      </c>
    </row>
    <row r="4438">
      <c r="C4438" t="str">
        <v>Kolom / balok kiri</v>
      </c>
      <c r="D4438">
        <f>VLOOKUP(C4434,'Data Panjang Balok'!$C$9:$N$424,9,FALSE)</f>
        <v>0</v>
      </c>
    </row>
    <row r="4439">
      <c r="C4439" t="str">
        <v>Kolom / balok kanan</v>
      </c>
      <c r="D4439">
        <f>VLOOKUP(C4434,'Data Panjang Balok'!$C$9:$N$424,10,FALSE)</f>
        <v>0</v>
      </c>
    </row>
    <row r="4440">
      <c r="C4440" t="str">
        <v>Jumlah</v>
      </c>
      <c r="D4440">
        <f>VLOOKUP(C4434,'Data Panjang Balok'!$C$9:$N$424,3,FALSE)</f>
        <v>1</v>
      </c>
    </row>
    <row r="4441">
      <c r="A4441" t="str">
        <f>A4434</f>
        <v>Lantai 1</v>
      </c>
      <c r="B4441">
        <f>B4434</f>
        <v>51</v>
      </c>
      <c r="C4441" t="str">
        <v>Tul Atas Tumpuan</v>
      </c>
      <c r="D4441">
        <f>VLOOKUP(D4434,'Detail Balok'!$C$10:$AU$110,4,FALSE)</f>
        <v>4</v>
      </c>
      <c r="E4441" t="str">
        <v>D</v>
      </c>
      <c r="F4441">
        <f>VLOOKUP(D4434,'Detail Balok'!$C$10:$AU$110,6,FALSE)</f>
        <v>13</v>
      </c>
      <c r="I4441" t="str">
        <v>(</v>
      </c>
      <c r="J4441">
        <f>+D4436/4/1000</f>
        <v>0.99125</v>
      </c>
      <c r="K4441" t="str">
        <v>+</v>
      </c>
      <c r="L4441">
        <f>MAX(VLOOKUP(F4441,N$6:P$15,3,FALSE)/1000,2/3*D4438/1000)+F$16*F4441/1000</f>
        <v>0.156</v>
      </c>
      <c r="M4441" t="str">
        <v>=</v>
      </c>
      <c r="N4441">
        <f>J4441+L4441</f>
        <v>1.1472499999999999</v>
      </c>
      <c r="O4441" t="str">
        <v>+</v>
      </c>
      <c r="P4441">
        <f>D4441-D4442</f>
        <v>2</v>
      </c>
      <c r="Q4441" t="str">
        <v>x</v>
      </c>
      <c r="R4441">
        <f>IF(P4441&gt;0,$F$18*F4441/1000,0)</f>
        <v>0.195</v>
      </c>
      <c r="S4441" t="str">
        <v>)</v>
      </c>
      <c r="T4441" t="str">
        <v>x</v>
      </c>
      <c r="U4441">
        <f>0.006165*F4441^2</f>
        <v>1.041885</v>
      </c>
      <c r="X4441" t="str">
        <v>x</v>
      </c>
      <c r="Y4441">
        <f>D4440</f>
        <v>1</v>
      </c>
      <c r="Z4441" t="str">
        <v>=</v>
      </c>
      <c r="AA4441">
        <f>IF(AA4444=0,(D4441*N4441+P4441*R4441)*U4441*Y4441,0)</f>
        <v>5.187545414999999</v>
      </c>
    </row>
    <row r="4442">
      <c r="A4442" t="str">
        <f>A4434</f>
        <v>Lantai 1</v>
      </c>
      <c r="B4442">
        <f>B4434</f>
        <v>51</v>
      </c>
      <c r="C4442" t="str">
        <v>Tul Atas Lapangan</v>
      </c>
      <c r="D4442">
        <f>VLOOKUP(D4434,'Detail Balok'!$C$10:$AU$110,7,FALSE)</f>
        <v>2</v>
      </c>
      <c r="E4442" t="str">
        <v>D</v>
      </c>
      <c r="F4442">
        <f>VLOOKUP(D4434,'Detail Balok'!$C$10:$AU$110,9,FALSE)</f>
        <v>13</v>
      </c>
      <c r="I4442" t="str">
        <v>(</v>
      </c>
      <c r="J4442">
        <f>+D4436/2/1000</f>
        <v>1.9825</v>
      </c>
      <c r="K4442" t="str">
        <v>+</v>
      </c>
      <c r="M4442" t="str">
        <v>=</v>
      </c>
      <c r="N4442">
        <f>J4442+L4442</f>
        <v>1.9825</v>
      </c>
      <c r="O4442" t="str">
        <v>+</v>
      </c>
      <c r="P4442">
        <f>MAX(D4442-D4441,D4442-D4443)</f>
        <v>-2</v>
      </c>
      <c r="Q4442" t="str">
        <v>x</v>
      </c>
      <c r="R4442">
        <f>IF(P4442&gt;0,2*(1-2*$F$19-1/2)*D4437/1000,0)</f>
        <v>0</v>
      </c>
      <c r="S4442" t="str">
        <v>)</v>
      </c>
      <c r="T4442" t="str">
        <v>x</v>
      </c>
      <c r="U4442">
        <f>0.006165*F4442^2</f>
        <v>1.041885</v>
      </c>
      <c r="X4442" t="str">
        <v>x</v>
      </c>
      <c r="Y4442">
        <f>D4440</f>
        <v>1</v>
      </c>
      <c r="Z4442" t="str">
        <v>=</v>
      </c>
      <c r="AA4442">
        <f>IF(AA4444=0,(D4442*N4442+P4442*R4442)*U4442*Y4442,0)</f>
        <v>4.131074024999999</v>
      </c>
    </row>
    <row r="4443">
      <c r="A4443" t="str">
        <f>A4434</f>
        <v>Lantai 1</v>
      </c>
      <c r="B4443">
        <f>B4434</f>
        <v>51</v>
      </c>
      <c r="C4443" t="str">
        <v>Tul Atas Tumpuan</v>
      </c>
      <c r="D4443">
        <f>VLOOKUP(D4434,'Detail Balok'!$C$10:$AU$110,10,FALSE)</f>
        <v>4</v>
      </c>
      <c r="E4443" t="str">
        <v>D</v>
      </c>
      <c r="F4443">
        <f>VLOOKUP(D4434,'Detail Balok'!$C$10:$AU$110,12,FALSE)</f>
        <v>13</v>
      </c>
      <c r="I4443" t="str">
        <v>(</v>
      </c>
      <c r="J4443">
        <f>+D4436/4/1000</f>
        <v>0.99125</v>
      </c>
      <c r="K4443" t="str">
        <v>+</v>
      </c>
      <c r="L4443">
        <f>MAX(VLOOKUP(F4443,N$6:P$15,3,FALSE)/1000,2/3*D4438/1000)+F$16*F4443/1000</f>
        <v>0.156</v>
      </c>
      <c r="M4443" t="str">
        <v>=</v>
      </c>
      <c r="N4443">
        <f>J4443+L4443</f>
        <v>1.1472499999999999</v>
      </c>
      <c r="O4443" t="str">
        <v>+</v>
      </c>
      <c r="P4443">
        <f>D4443-D4442</f>
        <v>2</v>
      </c>
      <c r="Q4443" t="str">
        <v>x</v>
      </c>
      <c r="R4443">
        <f>IF(P4443&gt;0,$F$18*F4443/1000,0)</f>
        <v>0.195</v>
      </c>
      <c r="S4443" t="str">
        <v>)</v>
      </c>
      <c r="T4443" t="str">
        <v>x</v>
      </c>
      <c r="U4443">
        <f>0.006165*F4443^2</f>
        <v>1.041885</v>
      </c>
      <c r="X4443" t="str">
        <v>x</v>
      </c>
      <c r="Y4443">
        <f>D4440</f>
        <v>1</v>
      </c>
      <c r="Z4443" t="str">
        <v>=</v>
      </c>
      <c r="AA4443">
        <f>IF(AA4444=0,(D4443*N4443+P4443*R4443)*U4443*Y4443,0)</f>
        <v>5.187545414999999</v>
      </c>
    </row>
    <row r="4444">
      <c r="A4444" t="str">
        <f>A4434</f>
        <v>Lantai 1</v>
      </c>
      <c r="B4444">
        <f>B4434</f>
        <v>51</v>
      </c>
      <c r="D4444">
        <f>IF(AND(D4441=D4442,D4442=D4443,D4441=D4443),D4441,0)</f>
        <v>0</v>
      </c>
      <c r="E4444" t="str">
        <v>D</v>
      </c>
      <c r="F4444">
        <f>IF(AND(F4441=F4442,F4441=F4443,F4442=F4443),F4441,0)</f>
        <v>13</v>
      </c>
      <c r="L4444" t="str">
        <v>Total panjang per balok</v>
      </c>
      <c r="M4444" t="str">
        <v>=</v>
      </c>
      <c r="N4444">
        <f>IF(AND(D4441=D4442,D4441=D4443,D4442=D4443,F4441=F4442,F4441=F4443,F4442=F4443),SUM(N4441:N4443),0)</f>
        <v>0</v>
      </c>
      <c r="O4444" t="str">
        <v>+</v>
      </c>
      <c r="P4444">
        <f>IF(N4444&gt;12,ROUNDDOWN(N4444/12,0),0)</f>
        <v>0</v>
      </c>
      <c r="Q4444" t="str">
        <v>x</v>
      </c>
      <c r="R4444">
        <f>IF(P4444&gt;0,MAX(VLOOKUP(F4444,$D$6:$G$15,3,FALSE),600),0)/1000</f>
        <v>0</v>
      </c>
      <c r="T4444" t="str">
        <v>x</v>
      </c>
      <c r="U4444">
        <f>U4443</f>
        <v>1.041885</v>
      </c>
      <c r="V4444" t="str">
        <v>x</v>
      </c>
      <c r="W4444">
        <f>D4444</f>
        <v>0</v>
      </c>
      <c r="X4444" t="str">
        <v>x</v>
      </c>
      <c r="Y4444">
        <f>Y4443</f>
        <v>1</v>
      </c>
      <c r="Z4444" t="str">
        <v>=</v>
      </c>
      <c r="AA4444">
        <f>(N4444+P4444*R4444/1000)*U4444*W4444*Y4444</f>
        <v>0</v>
      </c>
    </row>
    <row r="4446">
      <c r="A4446" t="str">
        <f>A4434</f>
        <v>Lantai 1</v>
      </c>
      <c r="B4446">
        <f>B4434</f>
        <v>51</v>
      </c>
      <c r="C4446" t="str">
        <v>Tul Peminggang</v>
      </c>
      <c r="D4446">
        <f>VLOOKUP(D4434,'Detail Balok'!$C$10:$AU$110,13,FALSE)</f>
        <v>0</v>
      </c>
      <c r="E4446" t="str">
        <v>D</v>
      </c>
      <c r="F4446">
        <f>VLOOKUP(D4434,'Detail Balok'!$C$10:$AU$110,15,FALSE)</f>
        <v>6</v>
      </c>
      <c r="J4446">
        <f>+D4436/1000</f>
        <v>3.965</v>
      </c>
      <c r="K4446" t="str">
        <v>+</v>
      </c>
      <c r="L4446">
        <f>2*$F$16*F4446/1000</f>
        <v>0.144</v>
      </c>
      <c r="M4446" t="str">
        <v>=</v>
      </c>
      <c r="N4446">
        <f>J4446+L4446</f>
        <v>4.109</v>
      </c>
      <c r="O4446" t="str">
        <v>+</v>
      </c>
      <c r="P4446">
        <f>IF(N4446&gt;12,ROUNDDOWN(N4446/12,0),0)</f>
        <v>0</v>
      </c>
      <c r="Q4446" t="str">
        <v>x</v>
      </c>
      <c r="R4446">
        <f>IF(P4446&gt;0,MAX(VLOOKUP(F4446,$D$6:$G$15,3,FALSE),600),0)/1000</f>
        <v>0</v>
      </c>
      <c r="T4446" t="str">
        <v>x</v>
      </c>
      <c r="U4446">
        <f>0.006165*F4446^2</f>
        <v>0.22194000000000003</v>
      </c>
      <c r="V4446" t="str">
        <v>x</v>
      </c>
      <c r="W4446">
        <f>+D4446</f>
        <v>0</v>
      </c>
      <c r="X4446" t="str">
        <v>x</v>
      </c>
      <c r="Y4446">
        <f>D4440</f>
        <v>1</v>
      </c>
      <c r="Z4446" t="str">
        <v>=</v>
      </c>
      <c r="AA4446">
        <f>(N4446+P4446*R4446/1000)*U4446*W4446*Y4446</f>
        <v>0</v>
      </c>
    </row>
    <row r="4449">
      <c r="A4449" t="str">
        <f>A4434</f>
        <v>Lantai 1</v>
      </c>
      <c r="B4449">
        <f>B4434</f>
        <v>51</v>
      </c>
      <c r="C4449" t="str">
        <v>Tul Bawah Tumpuan</v>
      </c>
      <c r="D4449">
        <f>VLOOKUP(D4434,'Detail Balok'!$C$10:$AU$110,22,FALSE)</f>
        <v>2</v>
      </c>
      <c r="E4449" t="str">
        <v>D</v>
      </c>
      <c r="F4449">
        <f>VLOOKUP(D4434,'Detail Balok'!$C$10:$AU$110,24,FALSE)</f>
        <v>13</v>
      </c>
      <c r="I4449" t="str">
        <v>(</v>
      </c>
      <c r="J4449">
        <f>+J4441</f>
        <v>0.99125</v>
      </c>
      <c r="K4449" t="str">
        <v>+</v>
      </c>
      <c r="L4449">
        <f>MAX(VLOOKUP(F4449,N$6:P$15,3,FALSE)/1000,2/3*D4439/1000)+F$16*F4449/1000</f>
        <v>0.156</v>
      </c>
      <c r="M4449" t="str">
        <v>=</v>
      </c>
      <c r="N4449">
        <f>J4449+L4449</f>
        <v>1.1472499999999999</v>
      </c>
      <c r="O4449" t="str">
        <v>+</v>
      </c>
      <c r="P4449">
        <f>D4449-D4450</f>
        <v>-2</v>
      </c>
      <c r="Q4449" t="str">
        <v>x</v>
      </c>
      <c r="R4449">
        <f>IF(P4449&gt;0,$F$18*F4449/1000,0)</f>
        <v>0</v>
      </c>
      <c r="S4449" t="str">
        <v>)</v>
      </c>
      <c r="T4449" t="str">
        <v>x</v>
      </c>
      <c r="U4449">
        <f>0.006165*F4449^2</f>
        <v>1.041885</v>
      </c>
      <c r="X4449" t="str">
        <v>x</v>
      </c>
      <c r="Y4449">
        <f>D4440</f>
        <v>1</v>
      </c>
      <c r="Z4449" t="str">
        <v>=</v>
      </c>
      <c r="AA4449">
        <f>IF(AA4452=0,(D4449*N4449+P4449*R4449)*U4449*Y4449,0)</f>
        <v>2.3906051324999997</v>
      </c>
    </row>
    <row r="4450">
      <c r="A4450" t="str">
        <f>A4434</f>
        <v>Lantai 1</v>
      </c>
      <c r="B4450">
        <f>B4434</f>
        <v>51</v>
      </c>
      <c r="C4450" t="str">
        <v>Tul Bawah Lapangan</v>
      </c>
      <c r="D4450">
        <f>VLOOKUP(D4434,'Detail Balok'!$C$10:$AU$110,25,FALSE)</f>
        <v>4</v>
      </c>
      <c r="E4450" t="str">
        <v>D</v>
      </c>
      <c r="F4450">
        <f>VLOOKUP(D4434,'Detail Balok'!$C$10:$AU$110,27,FALSE)</f>
        <v>13</v>
      </c>
      <c r="I4450" t="str">
        <v>(</v>
      </c>
      <c r="J4450">
        <f>+J4442</f>
        <v>1.9825</v>
      </c>
      <c r="K4450" t="str">
        <v>+</v>
      </c>
      <c r="M4450" t="str">
        <v>=</v>
      </c>
      <c r="N4450">
        <f>J4450+L4450</f>
        <v>1.9825</v>
      </c>
      <c r="O4450" t="str">
        <v>+</v>
      </c>
      <c r="P4450">
        <f>MAX(D4450-D4449,D4450-D4451)</f>
        <v>2</v>
      </c>
      <c r="Q4450" t="str">
        <v>x</v>
      </c>
      <c r="R4450">
        <f>IF(P4450&gt;0,2*(1-2*$F$19-1/2)*D4437/1000,0)</f>
        <v>0.7929999999999998</v>
      </c>
      <c r="S4450" t="str">
        <v>)</v>
      </c>
      <c r="T4450" t="str">
        <v>x</v>
      </c>
      <c r="U4450">
        <f>0.006165*F4450^2</f>
        <v>1.041885</v>
      </c>
      <c r="X4450" t="str">
        <v>x</v>
      </c>
      <c r="Y4450">
        <f>D4440</f>
        <v>1</v>
      </c>
      <c r="Z4450" t="str">
        <v>=</v>
      </c>
      <c r="AA4450">
        <f>IF(AA4452=0,(D4450*N4450+P4450*R4450)*U4450*Y4450,0)</f>
        <v>9.914577659999999</v>
      </c>
    </row>
    <row r="4451">
      <c r="A4451" t="str">
        <f>A4434</f>
        <v>Lantai 1</v>
      </c>
      <c r="B4451">
        <f>B4434</f>
        <v>51</v>
      </c>
      <c r="C4451" t="str">
        <v>Tul Bawah Tumpuan</v>
      </c>
      <c r="D4451">
        <f>VLOOKUP(D4434,'Detail Balok'!$C$10:$AU$110,28,FALSE)</f>
        <v>2</v>
      </c>
      <c r="E4451" t="str">
        <v>D</v>
      </c>
      <c r="F4451">
        <f>VLOOKUP(D4434,'Detail Balok'!$C$10:$AU$110,30,FALSE)</f>
        <v>13</v>
      </c>
      <c r="I4451" t="str">
        <v>(</v>
      </c>
      <c r="J4451">
        <f>+J4443</f>
        <v>0.99125</v>
      </c>
      <c r="K4451" t="str">
        <v>+</v>
      </c>
      <c r="L4451">
        <f>MAX(VLOOKUP(F4451,N$6:P$15,3,FALSE)/1000,2/3*D4439/1000)+F$16*F4451/1000</f>
        <v>0.156</v>
      </c>
      <c r="M4451" t="str">
        <v>=</v>
      </c>
      <c r="N4451">
        <f>J4451+L4451</f>
        <v>1.1472499999999999</v>
      </c>
      <c r="O4451" t="str">
        <v>+</v>
      </c>
      <c r="P4451">
        <f>D4451-D4450</f>
        <v>-2</v>
      </c>
      <c r="Q4451" t="str">
        <v>x</v>
      </c>
      <c r="R4451">
        <f>IF(P4451&gt;0,$F$18*F4451/1000,0)</f>
        <v>0</v>
      </c>
      <c r="S4451" t="str">
        <v>)</v>
      </c>
      <c r="T4451" t="str">
        <v>x</v>
      </c>
      <c r="U4451">
        <f>0.006165*F4451^2</f>
        <v>1.041885</v>
      </c>
      <c r="X4451" t="str">
        <v>x</v>
      </c>
      <c r="Y4451">
        <f>D4440</f>
        <v>1</v>
      </c>
      <c r="Z4451" t="str">
        <v>=</v>
      </c>
      <c r="AA4451">
        <f>IF(AA4452=0,(D4451*N4451+P4451*R4451)*U4451*Y4451,0)</f>
        <v>2.3906051324999997</v>
      </c>
    </row>
    <row r="4452">
      <c r="A4452" t="str">
        <f>A4434</f>
        <v>Lantai 1</v>
      </c>
      <c r="B4452">
        <f>B4434</f>
        <v>51</v>
      </c>
      <c r="D4452">
        <f>IF(AND(D4449=D4450,D4450=D4451,D4449=D4451),D4449,0)</f>
        <v>0</v>
      </c>
      <c r="E4452" t="str">
        <v>D</v>
      </c>
      <c r="F4452">
        <f>IF(AND(F4449=F4450,F4449=F4451,F4450=F4451),F4449,0)</f>
        <v>13</v>
      </c>
      <c r="L4452" t="str">
        <v>Total panjang per balok</v>
      </c>
      <c r="M4452" t="str">
        <v>=</v>
      </c>
      <c r="N4452">
        <f>IF(AND(D4449=D4450,D4449=D4451,D4450=D4451,F4449=F4450,F4449=F4451,F4450=F4451),SUM(N4449:N4451),0)</f>
        <v>0</v>
      </c>
      <c r="O4452" t="str">
        <v>+</v>
      </c>
      <c r="P4452">
        <f>IF(N4452&gt;12,ROUNDDOWN(N4452/12,0),0)</f>
        <v>0</v>
      </c>
      <c r="Q4452" t="str">
        <v>x</v>
      </c>
      <c r="R4452">
        <f>IF(P4452&gt;0,MAX(VLOOKUP(F4452,$D$6:$G$15,3,FALSE),600),0)/1000</f>
        <v>0</v>
      </c>
      <c r="T4452" t="str">
        <v>x</v>
      </c>
      <c r="U4452">
        <f>U4451</f>
        <v>1.041885</v>
      </c>
      <c r="V4452" t="str">
        <v>x</v>
      </c>
      <c r="W4452">
        <f>D4452</f>
        <v>0</v>
      </c>
      <c r="X4452" t="str">
        <v>x</v>
      </c>
      <c r="Y4452">
        <f>Y4451</f>
        <v>1</v>
      </c>
      <c r="Z4452" t="str">
        <v>=</v>
      </c>
      <c r="AA4452">
        <f>(N4452+P4452*R4452/1000)*U4452*W4452*Y4452</f>
        <v>0</v>
      </c>
    </row>
    <row r="4454">
      <c r="A4454" t="str">
        <f>A4434</f>
        <v>Lantai 1</v>
      </c>
      <c r="B4454">
        <f>B4434</f>
        <v>51</v>
      </c>
      <c r="C4454" t="str">
        <v>Sengkang Tumpuan</v>
      </c>
      <c r="D4454">
        <f>VLOOKUP(D4434,'Detail Balok'!$C$10:$AU$110,31,FALSE)</f>
        <v>0</v>
      </c>
      <c r="E4454" t="str">
        <v>D</v>
      </c>
      <c r="F4454">
        <f>VLOOKUP(D4434,'Detail Balok'!$C$10:$AU$110,33,FALSE)</f>
        <v>10</v>
      </c>
      <c r="G4454" t="str">
        <v>-</v>
      </c>
      <c r="H4454">
        <f>VLOOKUP(D4434,'Detail Balok'!$C$10:$AU$110,35,FALSE)</f>
        <v>100</v>
      </c>
      <c r="J4454">
        <f>(IF(D4454=0,(2*(D4435+G4435))-(F$5*8),IF(D4454=3,(2*(D4435+G4435))-(F$5*8)+(G4435-2*F$5),IF(D4454=4,(2*(D4435+G4435))-(F$5*8)+2*(G4435-2*F$5)))))/1000</f>
        <v>0.82</v>
      </c>
      <c r="K4454" t="str">
        <v>+</v>
      </c>
      <c r="L4454">
        <f>IF(D4454=0,2*MAX(6*F4454,75),(D4454-1)*2*MAX(6*F4454,75))/1000</f>
        <v>0.15</v>
      </c>
      <c r="M4454" t="str">
        <v>=</v>
      </c>
      <c r="N4454">
        <f>J4454+L4454</f>
        <v>0.97</v>
      </c>
      <c r="T4454" t="str">
        <v>x</v>
      </c>
      <c r="U4454">
        <f>0.006165*F4454^2</f>
        <v>0.6165</v>
      </c>
      <c r="V4454" t="str">
        <v>x</v>
      </c>
      <c r="W4454">
        <f>IF(D4437&gt;4*G4435,ROUND(MAX(D4437/4,2*G4435)/H4454,0)+1,ROUND(D4437/H4454,0)+1)</f>
        <v>11</v>
      </c>
      <c r="X4454" t="str">
        <v>x</v>
      </c>
      <c r="Y4454">
        <f>D4440</f>
        <v>1</v>
      </c>
      <c r="Z4454" t="str">
        <v>=</v>
      </c>
      <c r="AA4454">
        <f>N4454*U4454*W4454*Y4454</f>
        <v>6.578055</v>
      </c>
    </row>
    <row r="4455">
      <c r="A4455" t="str">
        <f>A4434</f>
        <v>Lantai 1</v>
      </c>
      <c r="B4455">
        <f>B4434</f>
        <v>51</v>
      </c>
      <c r="C4455" t="str">
        <v>Sengkang Lapangan</v>
      </c>
      <c r="D4455">
        <f>VLOOKUP(D4434,'Detail Balok'!$C$10:$AU$110,36,FALSE)</f>
        <v>0</v>
      </c>
      <c r="E4455" t="str">
        <v>D</v>
      </c>
      <c r="F4455">
        <f>VLOOKUP(D4434,'Detail Balok'!$C$10:$AU$110,38,FALSE)</f>
        <v>10</v>
      </c>
      <c r="G4455" t="str">
        <v>-</v>
      </c>
      <c r="H4455">
        <f>VLOOKUP(D4434,'Detail Balok'!$C$10:$AU$110,40,FALSE)</f>
        <v>125</v>
      </c>
      <c r="J4455">
        <f>(IF(D4455=0,(2*(D4435+G4435))-(F$5*8),IF(D4455=3,(2*(D4435+G4435))-(F$5*8)+(G4435-2*F$5),IF(D4455=4,(2*(D4435+G4435))-(F$5*8)+2*(G4435-2*F$5)))))/1000</f>
        <v>0.82</v>
      </c>
      <c r="K4455" t="str">
        <v>+</v>
      </c>
      <c r="L4455">
        <f>IF(D4455=0,2*MAX(6*F4455,75),(D4455-1)*2*MAX(6*F4455,75))/1000</f>
        <v>0.15</v>
      </c>
      <c r="M4455" t="str">
        <v>=</v>
      </c>
      <c r="N4455">
        <f>J4455+L4455</f>
        <v>0.97</v>
      </c>
      <c r="T4455" t="str">
        <v>x</v>
      </c>
      <c r="U4455">
        <f>0.006165*F4455^2</f>
        <v>0.6165</v>
      </c>
      <c r="V4455" t="str">
        <v>x</v>
      </c>
      <c r="W4455">
        <f>IF(D4437-MAX(D4437/4,2*G4435)*2&gt;0,ROUND((D4437-MAX(D4437/4,2*G4435)*2)/H4455,0),0)</f>
        <v>16</v>
      </c>
      <c r="X4455" t="str">
        <v>x</v>
      </c>
      <c r="Y4455">
        <f>D4440</f>
        <v>1</v>
      </c>
      <c r="Z4455" t="str">
        <v>=</v>
      </c>
      <c r="AA4455">
        <f>N4455*U4455*W4455*Y4455</f>
        <v>9.56808</v>
      </c>
    </row>
    <row r="4456">
      <c r="A4456" t="str">
        <f>A4434</f>
        <v>Lantai 1</v>
      </c>
      <c r="B4456">
        <f>B4434</f>
        <v>51</v>
      </c>
      <c r="C4456" t="str">
        <v>Sengkang Tumpuan</v>
      </c>
      <c r="D4456">
        <f>VLOOKUP(D4434,'Detail Balok'!$C$10:$AU$110,41,FALSE)</f>
        <v>0</v>
      </c>
      <c r="E4456" t="str">
        <v>D</v>
      </c>
      <c r="F4456">
        <f>VLOOKUP(D4434,'Detail Balok'!$C$10:$AU$110,43,FALSE)</f>
        <v>10</v>
      </c>
      <c r="G4456" t="str">
        <v>-</v>
      </c>
      <c r="H4456">
        <f>VLOOKUP(D4434,'Detail Balok'!$C$10:$AU$110,45,FALSE)</f>
        <v>100</v>
      </c>
      <c r="J4456">
        <f>(IF(D4456=0,(2*(D4435+G4435))-(F$5*8),IF(D4456=3,(2*(D4435+G4435))-(F$5*8)+(G4435-2*F$5),IF(D4456=4,(2*(D4435+G4435))-(F$5*8)+2*(G4435-2*F$5)))))/1000</f>
        <v>0.82</v>
      </c>
      <c r="K4456" t="str">
        <v>+</v>
      </c>
      <c r="L4456">
        <f>IF(D4456=0,2*MAX(6*F4456,75),(D4456-1)*2*MAX(6*F4456,75))/1000</f>
        <v>0.15</v>
      </c>
      <c r="M4456" t="str">
        <v>=</v>
      </c>
      <c r="N4456">
        <f>J4456+L4456</f>
        <v>0.97</v>
      </c>
      <c r="T4456" t="str">
        <v>x</v>
      </c>
      <c r="U4456">
        <f>0.006165*F4456^2</f>
        <v>0.6165</v>
      </c>
      <c r="V4456" t="str">
        <v>x</v>
      </c>
      <c r="W4456">
        <f>IF(D4437&gt;4*G4435,ROUND(MAX(D4437/4,2*G4435)/H4456,0)+1,0)</f>
        <v>11</v>
      </c>
      <c r="X4456" t="str">
        <v>x</v>
      </c>
      <c r="Y4456">
        <f>D4440</f>
        <v>1</v>
      </c>
      <c r="Z4456" t="str">
        <v>=</v>
      </c>
      <c r="AA4456">
        <f>N4456*U4456*W4456*Y4456</f>
        <v>6.578055</v>
      </c>
    </row>
    <row r="4458">
      <c r="A4458" t="str">
        <f>A4434</f>
        <v>Lantai 1</v>
      </c>
      <c r="B4458">
        <f>B4434</f>
        <v>51</v>
      </c>
      <c r="C4458" t="str">
        <v>Kait Horizontal Tump.</v>
      </c>
      <c r="D4458">
        <f>VLOOKUP(D4434,'Detail Balok'!$C$10:$BJ$110,46,FALSE)</f>
        <v>0</v>
      </c>
      <c r="E4458" t="str">
        <v>D</v>
      </c>
      <c r="F4458">
        <f>VLOOKUP(D4434,'Detail Balok'!$C$10:$BJ$110,48,FALSE)</f>
        <v>0</v>
      </c>
      <c r="G4458" t="str">
        <v>-</v>
      </c>
      <c r="H4458">
        <f>VLOOKUP(D4434,'Detail Balok'!$C$10:$BJ$110,50,FALSE)</f>
        <v>100</v>
      </c>
      <c r="J4458">
        <f>(D4435-2*F$5)/1000</f>
        <v>0.09</v>
      </c>
      <c r="K4458" t="str">
        <v>+</v>
      </c>
      <c r="L4458">
        <f>IF(D4458=0,2*MAX(6*F4458,75),(D4458-1)*2*MAX(6*F4458,75))/1000</f>
        <v>0.15</v>
      </c>
      <c r="M4458" t="str">
        <v>=</v>
      </c>
      <c r="N4458">
        <f>J4458+L4458</f>
        <v>0.24</v>
      </c>
      <c r="T4458" t="str">
        <v>x</v>
      </c>
      <c r="U4458">
        <f>0.006165*F4458^2</f>
        <v>0</v>
      </c>
      <c r="V4458" t="str">
        <v>x</v>
      </c>
      <c r="W4458">
        <f>W4454</f>
        <v>11</v>
      </c>
      <c r="X4458" t="str">
        <v>x</v>
      </c>
      <c r="Y4458">
        <f>D4444</f>
        <v>0</v>
      </c>
      <c r="Z4458" t="str">
        <v>=</v>
      </c>
      <c r="AA4458">
        <f>N4458*U4458*W4458*Y4458</f>
        <v>0</v>
      </c>
    </row>
    <row r="4459">
      <c r="A4459" t="str">
        <f>A4434</f>
        <v>Lantai 1</v>
      </c>
      <c r="B4459">
        <f>B4434</f>
        <v>51</v>
      </c>
      <c r="C4459" t="str">
        <v>Kait Horizontal Lap.</v>
      </c>
      <c r="D4459">
        <f>VLOOKUP(D4434,'Detail Balok'!$C$10:$BJ$110,51,FALSE)</f>
        <v>0</v>
      </c>
      <c r="E4459" t="str">
        <v>D</v>
      </c>
      <c r="F4459">
        <f>VLOOKUP(D4434,'Detail Balok'!$C$10:$BJ$110,53,FALSE)</f>
        <v>0</v>
      </c>
      <c r="G4459" t="str">
        <v>-</v>
      </c>
      <c r="H4459">
        <f>VLOOKUP(D4434,'Detail Balok'!$C$10:$BJ$110,55,FALSE)</f>
        <v>100</v>
      </c>
      <c r="J4459">
        <f>(D4435-2*F$5)/1000</f>
        <v>0.09</v>
      </c>
      <c r="K4459" t="str">
        <v>+</v>
      </c>
      <c r="L4459">
        <f>IF(D4459=0,2*MAX(6*F4459,75),(D4459-1)*2*MAX(6*F4459,75))/1000</f>
        <v>0.15</v>
      </c>
      <c r="M4459" t="str">
        <v>=</v>
      </c>
      <c r="N4459">
        <f>J4459+L4459</f>
        <v>0.24</v>
      </c>
      <c r="T4459" t="str">
        <v>x</v>
      </c>
      <c r="U4459">
        <f>0.006165*F4459^2</f>
        <v>0</v>
      </c>
      <c r="V4459" t="str">
        <v>x</v>
      </c>
      <c r="W4459">
        <f>W4455</f>
        <v>16</v>
      </c>
      <c r="X4459" t="str">
        <v>x</v>
      </c>
      <c r="Y4459">
        <f>D4444</f>
        <v>0</v>
      </c>
      <c r="Z4459" t="str">
        <v>=</v>
      </c>
      <c r="AA4459">
        <f>N4459*U4459*W4459*Y4459</f>
        <v>0</v>
      </c>
    </row>
    <row r="4460">
      <c r="A4460" t="str">
        <f>A4434</f>
        <v>Lantai 1</v>
      </c>
      <c r="B4460">
        <f>B4434</f>
        <v>51</v>
      </c>
      <c r="C4460" t="str">
        <v>Kait Horizontal Tump.</v>
      </c>
      <c r="D4460">
        <f>VLOOKUP(D4434,'Detail Balok'!$C$10:$BJ$110,56,FALSE)</f>
        <v>0</v>
      </c>
      <c r="E4460" t="str">
        <v>D</v>
      </c>
      <c r="F4460">
        <f>VLOOKUP(D4434,'Detail Balok'!$C$10:$BJ$110,58,FALSE)</f>
        <v>0</v>
      </c>
      <c r="G4460" t="str">
        <v>-</v>
      </c>
      <c r="H4460">
        <f>VLOOKUP(D4434,'Detail Balok'!$C$10:$BJ$110,60,FALSE)</f>
        <v>100</v>
      </c>
      <c r="J4460">
        <f>(D4435-2*F$5)/1000</f>
        <v>0.09</v>
      </c>
      <c r="K4460" t="str">
        <v>+</v>
      </c>
      <c r="L4460">
        <f>IF(D4460=0,2*MAX(6*F4460,75),(D4460-1)*2*MAX(6*F4460,75))/1000</f>
        <v>0.15</v>
      </c>
      <c r="M4460" t="str">
        <v>=</v>
      </c>
      <c r="N4460">
        <f>J4460+L4460</f>
        <v>0.24</v>
      </c>
      <c r="T4460" t="str">
        <v>x</v>
      </c>
      <c r="U4460">
        <f>0.006165*F4460^2</f>
        <v>0</v>
      </c>
      <c r="V4460" t="str">
        <v>x</v>
      </c>
      <c r="W4460">
        <f>W4456</f>
        <v>11</v>
      </c>
      <c r="X4460" t="str">
        <v>x</v>
      </c>
      <c r="Y4460">
        <f>D4444</f>
        <v>0</v>
      </c>
      <c r="Z4460" t="str">
        <v>=</v>
      </c>
      <c r="AA4460">
        <f>N4460*U4460*W4460*Y4460</f>
        <v>0</v>
      </c>
    </row>
    <row r="4464">
      <c r="A4464" t="str">
        <f>A4434</f>
        <v>Lantai 1</v>
      </c>
      <c r="B4464">
        <f>B4434+1</f>
        <v>52</v>
      </c>
      <c r="C4464" t="str">
        <f>CONCATENATE(A4464," no. ",B4464)</f>
        <v>Lantai 1 no. 52</v>
      </c>
      <c r="D4464" t="str">
        <f>VLOOKUP(C4464,'Data Panjang Balok'!$C$9:$N$424,2,FALSE)</f>
        <v>B174-1</v>
      </c>
    </row>
    <row r="4465">
      <c r="C4465" t="str">
        <v>Dimensi</v>
      </c>
      <c r="D4465">
        <f>VLOOKUP(D4464,'Detail Balok'!$C$10:$AU$110,2,FALSE)</f>
        <v>170</v>
      </c>
      <c r="F4465" t="str">
        <v>x</v>
      </c>
      <c r="G4465">
        <f>VLOOKUP(D4464,'Detail Balok'!$C$10:$AU$110,3,FALSE)</f>
        <v>400</v>
      </c>
    </row>
    <row r="4466">
      <c r="C4466" t="str">
        <v>Panjang as ke as</v>
      </c>
      <c r="D4466">
        <f>VLOOKUP(C4464,'Data Panjang Balok'!$C$9:$N$424,4,FALSE)</f>
        <v>6535</v>
      </c>
    </row>
    <row r="4467">
      <c r="C4467" t="str">
        <v>Panjang netto</v>
      </c>
      <c r="D4467">
        <f>VLOOKUP(C4464,'Data Panjang Balok'!$C$9:$N$424,7,FALSE)</f>
        <v>6535</v>
      </c>
    </row>
    <row r="4468">
      <c r="C4468" t="str">
        <v>Kolom / balok kiri</v>
      </c>
      <c r="D4468">
        <f>VLOOKUP(C4464,'Data Panjang Balok'!$C$9:$N$424,9,FALSE)</f>
        <v>0</v>
      </c>
    </row>
    <row r="4469">
      <c r="C4469" t="str">
        <v>Kolom / balok kanan</v>
      </c>
      <c r="D4469">
        <f>VLOOKUP(C4464,'Data Panjang Balok'!$C$9:$N$424,10,FALSE)</f>
        <v>0</v>
      </c>
    </row>
    <row r="4470">
      <c r="C4470" t="str">
        <v>Jumlah</v>
      </c>
      <c r="D4470">
        <f>VLOOKUP(C4464,'Data Panjang Balok'!$C$9:$N$424,3,FALSE)</f>
        <v>1</v>
      </c>
    </row>
    <row r="4471">
      <c r="A4471" t="str">
        <f>A4464</f>
        <v>Lantai 1</v>
      </c>
      <c r="B4471">
        <f>B4464</f>
        <v>52</v>
      </c>
      <c r="C4471" t="str">
        <v>Tul Atas Tumpuan</v>
      </c>
      <c r="D4471">
        <f>VLOOKUP(D4464,'Detail Balok'!$C$10:$AU$110,4,FALSE)</f>
        <v>2</v>
      </c>
      <c r="E4471" t="str">
        <v>D</v>
      </c>
      <c r="F4471">
        <f>VLOOKUP(D4464,'Detail Balok'!$C$10:$AU$110,6,FALSE)</f>
        <v>13</v>
      </c>
      <c r="I4471" t="str">
        <v>(</v>
      </c>
      <c r="J4471">
        <f>+D4466/4/1000</f>
        <v>1.63375</v>
      </c>
      <c r="K4471" t="str">
        <v>+</v>
      </c>
      <c r="L4471">
        <f>MAX(VLOOKUP(F4471,N$6:P$15,3,FALSE)/1000,2/3*D4468/1000)+F$16*F4471/1000</f>
        <v>0.156</v>
      </c>
      <c r="M4471" t="str">
        <v>=</v>
      </c>
      <c r="N4471">
        <f>J4471+L4471</f>
        <v>1.78975</v>
      </c>
      <c r="O4471" t="str">
        <v>+</v>
      </c>
      <c r="P4471">
        <f>D4471-D4472</f>
        <v>0</v>
      </c>
      <c r="Q4471" t="str">
        <v>x</v>
      </c>
      <c r="R4471">
        <f>IF(P4471&gt;0,$F$18*F4471/1000,0)</f>
        <v>0</v>
      </c>
      <c r="S4471" t="str">
        <v>)</v>
      </c>
      <c r="T4471" t="str">
        <v>x</v>
      </c>
      <c r="U4471">
        <f>0.006165*F4471^2</f>
        <v>1.041885</v>
      </c>
      <c r="X4471" t="str">
        <v>x</v>
      </c>
      <c r="Y4471">
        <f>D4470</f>
        <v>1</v>
      </c>
      <c r="Z4471" t="str">
        <v>=</v>
      </c>
      <c r="AA4471">
        <f>IF(AA4474=0,(D4471*N4471+P4471*R4471)*U4471*Y4471,0)</f>
        <v>0</v>
      </c>
    </row>
    <row r="4472">
      <c r="A4472" t="str">
        <f>A4464</f>
        <v>Lantai 1</v>
      </c>
      <c r="B4472">
        <f>B4464</f>
        <v>52</v>
      </c>
      <c r="C4472" t="str">
        <v>Tul Atas Lapangan</v>
      </c>
      <c r="D4472">
        <f>VLOOKUP(D4464,'Detail Balok'!$C$10:$AU$110,7,FALSE)</f>
        <v>2</v>
      </c>
      <c r="E4472" t="str">
        <v>D</v>
      </c>
      <c r="F4472">
        <f>VLOOKUP(D4464,'Detail Balok'!$C$10:$AU$110,9,FALSE)</f>
        <v>13</v>
      </c>
      <c r="I4472" t="str">
        <v>(</v>
      </c>
      <c r="J4472">
        <f>+D4466/2/1000</f>
        <v>3.2675</v>
      </c>
      <c r="K4472" t="str">
        <v>+</v>
      </c>
      <c r="M4472" t="str">
        <v>=</v>
      </c>
      <c r="N4472">
        <f>J4472+L4472</f>
        <v>3.2675</v>
      </c>
      <c r="O4472" t="str">
        <v>+</v>
      </c>
      <c r="P4472">
        <f>MAX(D4472-D4471,D4472-D4473)</f>
        <v>0</v>
      </c>
      <c r="Q4472" t="str">
        <v>x</v>
      </c>
      <c r="R4472">
        <f>IF(P4472&gt;0,2*(1-2*$F$19-1/2)*D4467/1000,0)</f>
        <v>0</v>
      </c>
      <c r="S4472" t="str">
        <v>)</v>
      </c>
      <c r="T4472" t="str">
        <v>x</v>
      </c>
      <c r="U4472">
        <f>0.006165*F4472^2</f>
        <v>1.041885</v>
      </c>
      <c r="X4472" t="str">
        <v>x</v>
      </c>
      <c r="Y4472">
        <f>D4470</f>
        <v>1</v>
      </c>
      <c r="Z4472" t="str">
        <v>=</v>
      </c>
      <c r="AA4472">
        <f>IF(AA4474=0,(D4472*N4472+P4472*R4472)*U4472*Y4472,0)</f>
        <v>0</v>
      </c>
    </row>
    <row r="4473">
      <c r="A4473" t="str">
        <f>A4464</f>
        <v>Lantai 1</v>
      </c>
      <c r="B4473">
        <f>B4464</f>
        <v>52</v>
      </c>
      <c r="C4473" t="str">
        <v>Tul Atas Tumpuan</v>
      </c>
      <c r="D4473">
        <f>VLOOKUP(D4464,'Detail Balok'!$C$10:$AU$110,10,FALSE)</f>
        <v>2</v>
      </c>
      <c r="E4473" t="str">
        <v>D</v>
      </c>
      <c r="F4473">
        <f>VLOOKUP(D4464,'Detail Balok'!$C$10:$AU$110,12,FALSE)</f>
        <v>13</v>
      </c>
      <c r="I4473" t="str">
        <v>(</v>
      </c>
      <c r="J4473">
        <f>+D4466/4/1000</f>
        <v>1.63375</v>
      </c>
      <c r="K4473" t="str">
        <v>+</v>
      </c>
      <c r="L4473">
        <f>MAX(VLOOKUP(F4473,N$6:P$15,3,FALSE)/1000,2/3*D4468/1000)+F$16*F4473/1000</f>
        <v>0.156</v>
      </c>
      <c r="M4473" t="str">
        <v>=</v>
      </c>
      <c r="N4473">
        <f>J4473+L4473</f>
        <v>1.78975</v>
      </c>
      <c r="O4473" t="str">
        <v>+</v>
      </c>
      <c r="P4473">
        <f>D4473-D4472</f>
        <v>0</v>
      </c>
      <c r="Q4473" t="str">
        <v>x</v>
      </c>
      <c r="R4473">
        <f>IF(P4473&gt;0,$F$18*F4473/1000,0)</f>
        <v>0</v>
      </c>
      <c r="S4473" t="str">
        <v>)</v>
      </c>
      <c r="T4473" t="str">
        <v>x</v>
      </c>
      <c r="U4473">
        <f>0.006165*F4473^2</f>
        <v>1.041885</v>
      </c>
      <c r="X4473" t="str">
        <v>x</v>
      </c>
      <c r="Y4473">
        <f>D4470</f>
        <v>1</v>
      </c>
      <c r="Z4473" t="str">
        <v>=</v>
      </c>
      <c r="AA4473">
        <f>IF(AA4474=0,(D4473*N4473+P4473*R4473)*U4473*Y4473,0)</f>
        <v>0</v>
      </c>
    </row>
    <row r="4474">
      <c r="A4474" t="str">
        <f>A4464</f>
        <v>Lantai 1</v>
      </c>
      <c r="B4474">
        <f>B4464</f>
        <v>52</v>
      </c>
      <c r="D4474">
        <f>IF(AND(D4471=D4472,D4472=D4473,D4471=D4473),D4471,0)</f>
        <v>2</v>
      </c>
      <c r="E4474" t="str">
        <v>D</v>
      </c>
      <c r="F4474">
        <f>IF(AND(F4471=F4472,F4471=F4473,F4472=F4473),F4471,0)</f>
        <v>13</v>
      </c>
      <c r="L4474" t="str">
        <v>Total panjang per balok</v>
      </c>
      <c r="M4474" t="str">
        <v>=</v>
      </c>
      <c r="N4474">
        <f>IF(AND(D4471=D4472,D4471=D4473,D4472=D4473,F4471=F4472,F4471=F4473,F4472=F4473),SUM(N4471:N4473),0)</f>
        <v>6.8469999999999995</v>
      </c>
      <c r="O4474" t="str">
        <v>+</v>
      </c>
      <c r="P4474">
        <f>IF(N4474&gt;12,ROUNDDOWN(N4474/12,0),0)</f>
        <v>0</v>
      </c>
      <c r="Q4474" t="str">
        <v>x</v>
      </c>
      <c r="R4474">
        <f>IF(P4474&gt;0,MAX(VLOOKUP(F4474,$D$6:$G$15,3,FALSE),600),0)/1000</f>
        <v>0</v>
      </c>
      <c r="T4474" t="str">
        <v>x</v>
      </c>
      <c r="U4474">
        <f>U4473</f>
        <v>1.041885</v>
      </c>
      <c r="V4474" t="str">
        <v>x</v>
      </c>
      <c r="W4474">
        <f>D4474</f>
        <v>2</v>
      </c>
      <c r="X4474" t="str">
        <v>x</v>
      </c>
      <c r="Y4474">
        <f>Y4473</f>
        <v>1</v>
      </c>
      <c r="Z4474" t="str">
        <v>=</v>
      </c>
      <c r="AA4474">
        <f>(N4474+P4474*R4474/1000)*U4474*W4474*Y4474</f>
        <v>14.267573189999998</v>
      </c>
    </row>
    <row r="4476">
      <c r="A4476" t="str">
        <f>A4464</f>
        <v>Lantai 1</v>
      </c>
      <c r="B4476">
        <f>B4464</f>
        <v>52</v>
      </c>
      <c r="C4476" t="str">
        <v>Tul Peminggang</v>
      </c>
      <c r="D4476">
        <f>VLOOKUP(D4464,'Detail Balok'!$C$10:$AU$110,13,FALSE)</f>
        <v>0</v>
      </c>
      <c r="E4476" t="str">
        <v>D</v>
      </c>
      <c r="F4476">
        <f>VLOOKUP(D4464,'Detail Balok'!$C$10:$AU$110,15,FALSE)</f>
        <v>6</v>
      </c>
      <c r="J4476">
        <f>+D4466/1000</f>
        <v>6.535</v>
      </c>
      <c r="K4476" t="str">
        <v>+</v>
      </c>
      <c r="L4476">
        <f>2*$F$16*F4476/1000</f>
        <v>0.144</v>
      </c>
      <c r="M4476" t="str">
        <v>=</v>
      </c>
      <c r="N4476">
        <f>J4476+L4476</f>
        <v>6.679</v>
      </c>
      <c r="O4476" t="str">
        <v>+</v>
      </c>
      <c r="P4476">
        <f>IF(N4476&gt;12,ROUNDDOWN(N4476/12,0),0)</f>
        <v>0</v>
      </c>
      <c r="Q4476" t="str">
        <v>x</v>
      </c>
      <c r="R4476">
        <f>IF(P4476&gt;0,MAX(VLOOKUP(F4476,$D$6:$G$15,3,FALSE),600),0)/1000</f>
        <v>0</v>
      </c>
      <c r="T4476" t="str">
        <v>x</v>
      </c>
      <c r="U4476">
        <f>0.006165*F4476^2</f>
        <v>0.22194000000000003</v>
      </c>
      <c r="V4476" t="str">
        <v>x</v>
      </c>
      <c r="W4476">
        <f>+D4476</f>
        <v>0</v>
      </c>
      <c r="X4476" t="str">
        <v>x</v>
      </c>
      <c r="Y4476">
        <f>D4470</f>
        <v>1</v>
      </c>
      <c r="Z4476" t="str">
        <v>=</v>
      </c>
      <c r="AA4476">
        <f>(N4476+P4476*R4476/1000)*U4476*W4476*Y4476</f>
        <v>0</v>
      </c>
    </row>
    <row r="4479">
      <c r="A4479" t="str">
        <f>A4464</f>
        <v>Lantai 1</v>
      </c>
      <c r="B4479">
        <f>B4464</f>
        <v>52</v>
      </c>
      <c r="C4479" t="str">
        <v>Tul Bawah Tumpuan</v>
      </c>
      <c r="D4479">
        <f>VLOOKUP(D4464,'Detail Balok'!$C$10:$AU$110,22,FALSE)</f>
        <v>2</v>
      </c>
      <c r="E4479" t="str">
        <v>D</v>
      </c>
      <c r="F4479">
        <f>VLOOKUP(D4464,'Detail Balok'!$C$10:$AU$110,24,FALSE)</f>
        <v>13</v>
      </c>
      <c r="I4479" t="str">
        <v>(</v>
      </c>
      <c r="J4479">
        <f>+J4471</f>
        <v>1.63375</v>
      </c>
      <c r="K4479" t="str">
        <v>+</v>
      </c>
      <c r="L4479">
        <f>MAX(VLOOKUP(F4479,N$6:P$15,3,FALSE)/1000,2/3*D4469/1000)+F$16*F4479/1000</f>
        <v>0.156</v>
      </c>
      <c r="M4479" t="str">
        <v>=</v>
      </c>
      <c r="N4479">
        <f>J4479+L4479</f>
        <v>1.78975</v>
      </c>
      <c r="O4479" t="str">
        <v>+</v>
      </c>
      <c r="P4479">
        <f>D4479-D4480</f>
        <v>0</v>
      </c>
      <c r="Q4479" t="str">
        <v>x</v>
      </c>
      <c r="R4479">
        <f>IF(P4479&gt;0,$F$18*F4479/1000,0)</f>
        <v>0</v>
      </c>
      <c r="S4479" t="str">
        <v>)</v>
      </c>
      <c r="T4479" t="str">
        <v>x</v>
      </c>
      <c r="U4479">
        <f>0.006165*F4479^2</f>
        <v>1.041885</v>
      </c>
      <c r="X4479" t="str">
        <v>x</v>
      </c>
      <c r="Y4479">
        <f>D4470</f>
        <v>1</v>
      </c>
      <c r="Z4479" t="str">
        <v>=</v>
      </c>
      <c r="AA4479">
        <f>IF(AA4482=0,(D4479*N4479+P4479*R4479)*U4479*Y4479,0)</f>
        <v>0</v>
      </c>
    </row>
    <row r="4480">
      <c r="A4480" t="str">
        <f>A4464</f>
        <v>Lantai 1</v>
      </c>
      <c r="B4480">
        <f>B4464</f>
        <v>52</v>
      </c>
      <c r="C4480" t="str">
        <v>Tul Bawah Lapangan</v>
      </c>
      <c r="D4480">
        <f>VLOOKUP(D4464,'Detail Balok'!$C$10:$AU$110,25,FALSE)</f>
        <v>2</v>
      </c>
      <c r="E4480" t="str">
        <v>D</v>
      </c>
      <c r="F4480">
        <f>VLOOKUP(D4464,'Detail Balok'!$C$10:$AU$110,27,FALSE)</f>
        <v>13</v>
      </c>
      <c r="I4480" t="str">
        <v>(</v>
      </c>
      <c r="J4480">
        <f>+J4472</f>
        <v>3.2675</v>
      </c>
      <c r="K4480" t="str">
        <v>+</v>
      </c>
      <c r="M4480" t="str">
        <v>=</v>
      </c>
      <c r="N4480">
        <f>J4480+L4480</f>
        <v>3.2675</v>
      </c>
      <c r="O4480" t="str">
        <v>+</v>
      </c>
      <c r="P4480">
        <f>MAX(D4480-D4479,D4480-D4481)</f>
        <v>0</v>
      </c>
      <c r="Q4480" t="str">
        <v>x</v>
      </c>
      <c r="R4480">
        <f>IF(P4480&gt;0,2*(1-2*$F$19-1/2)*D4467/1000,0)</f>
        <v>0</v>
      </c>
      <c r="S4480" t="str">
        <v>)</v>
      </c>
      <c r="T4480" t="str">
        <v>x</v>
      </c>
      <c r="U4480">
        <f>0.006165*F4480^2</f>
        <v>1.041885</v>
      </c>
      <c r="X4480" t="str">
        <v>x</v>
      </c>
      <c r="Y4480">
        <f>D4470</f>
        <v>1</v>
      </c>
      <c r="Z4480" t="str">
        <v>=</v>
      </c>
      <c r="AA4480">
        <f>IF(AA4482=0,(D4480*N4480+P4480*R4480)*U4480*Y4480,0)</f>
        <v>0</v>
      </c>
    </row>
    <row r="4481">
      <c r="A4481" t="str">
        <f>A4464</f>
        <v>Lantai 1</v>
      </c>
      <c r="B4481">
        <f>B4464</f>
        <v>52</v>
      </c>
      <c r="C4481" t="str">
        <v>Tul Bawah Tumpuan</v>
      </c>
      <c r="D4481">
        <f>VLOOKUP(D4464,'Detail Balok'!$C$10:$AU$110,28,FALSE)</f>
        <v>2</v>
      </c>
      <c r="E4481" t="str">
        <v>D</v>
      </c>
      <c r="F4481">
        <f>VLOOKUP(D4464,'Detail Balok'!$C$10:$AU$110,30,FALSE)</f>
        <v>13</v>
      </c>
      <c r="I4481" t="str">
        <v>(</v>
      </c>
      <c r="J4481">
        <f>+J4473</f>
        <v>1.63375</v>
      </c>
      <c r="K4481" t="str">
        <v>+</v>
      </c>
      <c r="L4481">
        <f>MAX(VLOOKUP(F4481,N$6:P$15,3,FALSE)/1000,2/3*D4469/1000)+F$16*F4481/1000</f>
        <v>0.156</v>
      </c>
      <c r="M4481" t="str">
        <v>=</v>
      </c>
      <c r="N4481">
        <f>J4481+L4481</f>
        <v>1.78975</v>
      </c>
      <c r="O4481" t="str">
        <v>+</v>
      </c>
      <c r="P4481">
        <f>D4481-D4480</f>
        <v>0</v>
      </c>
      <c r="Q4481" t="str">
        <v>x</v>
      </c>
      <c r="R4481">
        <f>IF(P4481&gt;0,$F$18*F4481/1000,0)</f>
        <v>0</v>
      </c>
      <c r="S4481" t="str">
        <v>)</v>
      </c>
      <c r="T4481" t="str">
        <v>x</v>
      </c>
      <c r="U4481">
        <f>0.006165*F4481^2</f>
        <v>1.041885</v>
      </c>
      <c r="X4481" t="str">
        <v>x</v>
      </c>
      <c r="Y4481">
        <f>D4470</f>
        <v>1</v>
      </c>
      <c r="Z4481" t="str">
        <v>=</v>
      </c>
      <c r="AA4481">
        <f>IF(AA4482=0,(D4481*N4481+P4481*R4481)*U4481*Y4481,0)</f>
        <v>0</v>
      </c>
    </row>
    <row r="4482">
      <c r="A4482" t="str">
        <f>A4464</f>
        <v>Lantai 1</v>
      </c>
      <c r="B4482">
        <f>B4464</f>
        <v>52</v>
      </c>
      <c r="D4482">
        <f>IF(AND(D4479=D4480,D4480=D4481,D4479=D4481),D4479,0)</f>
        <v>2</v>
      </c>
      <c r="E4482" t="str">
        <v>D</v>
      </c>
      <c r="F4482">
        <f>IF(AND(F4479=F4480,F4479=F4481,F4480=F4481),F4479,0)</f>
        <v>13</v>
      </c>
      <c r="L4482" t="str">
        <v>Total panjang per balok</v>
      </c>
      <c r="M4482" t="str">
        <v>=</v>
      </c>
      <c r="N4482">
        <f>IF(AND(D4479=D4480,D4479=D4481,D4480=D4481,F4479=F4480,F4479=F4481,F4480=F4481),SUM(N4479:N4481),0)</f>
        <v>6.8469999999999995</v>
      </c>
      <c r="O4482" t="str">
        <v>+</v>
      </c>
      <c r="P4482">
        <f>IF(N4482&gt;12,ROUNDDOWN(N4482/12,0),0)</f>
        <v>0</v>
      </c>
      <c r="Q4482" t="str">
        <v>x</v>
      </c>
      <c r="R4482">
        <f>IF(P4482&gt;0,MAX(VLOOKUP(F4482,$D$6:$G$15,3,FALSE),600),0)/1000</f>
        <v>0</v>
      </c>
      <c r="T4482" t="str">
        <v>x</v>
      </c>
      <c r="U4482">
        <f>U4481</f>
        <v>1.041885</v>
      </c>
      <c r="V4482" t="str">
        <v>x</v>
      </c>
      <c r="W4482">
        <f>D4482</f>
        <v>2</v>
      </c>
      <c r="X4482" t="str">
        <v>x</v>
      </c>
      <c r="Y4482">
        <f>Y4481</f>
        <v>1</v>
      </c>
      <c r="Z4482" t="str">
        <v>=</v>
      </c>
      <c r="AA4482">
        <f>(N4482+P4482*R4482/1000)*U4482*W4482*Y4482</f>
        <v>14.267573189999998</v>
      </c>
    </row>
    <row r="4484">
      <c r="A4484" t="str">
        <f>A4464</f>
        <v>Lantai 1</v>
      </c>
      <c r="B4484">
        <f>B4464</f>
        <v>52</v>
      </c>
      <c r="C4484" t="str">
        <v>Sengkang Tumpuan</v>
      </c>
      <c r="D4484">
        <f>VLOOKUP(D4464,'Detail Balok'!$C$10:$AU$110,31,FALSE)</f>
        <v>0</v>
      </c>
      <c r="E4484" t="str">
        <v>D</v>
      </c>
      <c r="F4484">
        <f>VLOOKUP(D4464,'Detail Balok'!$C$10:$AU$110,33,FALSE)</f>
        <v>10</v>
      </c>
      <c r="G4484" t="str">
        <v>-</v>
      </c>
      <c r="H4484">
        <f>VLOOKUP(D4464,'Detail Balok'!$C$10:$AU$110,35,FALSE)</f>
        <v>100</v>
      </c>
      <c r="J4484">
        <f>(IF(D4484=0,(2*(D4465+G4465))-(F$5*8),IF(D4484=3,(2*(D4465+G4465))-(F$5*8)+(G4465-2*F$5),IF(D4484=4,(2*(D4465+G4465))-(F$5*8)+2*(G4465-2*F$5)))))/1000</f>
        <v>0.82</v>
      </c>
      <c r="K4484" t="str">
        <v>+</v>
      </c>
      <c r="L4484">
        <f>IF(D4484=0,2*MAX(6*F4484,75),(D4484-1)*2*MAX(6*F4484,75))/1000</f>
        <v>0.15</v>
      </c>
      <c r="M4484" t="str">
        <v>=</v>
      </c>
      <c r="N4484">
        <f>J4484+L4484</f>
        <v>0.97</v>
      </c>
      <c r="T4484" t="str">
        <v>x</v>
      </c>
      <c r="U4484">
        <f>0.006165*F4484^2</f>
        <v>0.6165</v>
      </c>
      <c r="V4484" t="str">
        <v>x</v>
      </c>
      <c r="W4484">
        <f>IF(D4467&gt;4*G4465,ROUND(MAX(D4467/4,2*G4465)/H4484,0)+1,ROUND(D4467/H4484,0)+1)</f>
        <v>17</v>
      </c>
      <c r="X4484" t="str">
        <v>x</v>
      </c>
      <c r="Y4484">
        <f>D4470</f>
        <v>1</v>
      </c>
      <c r="Z4484" t="str">
        <v>=</v>
      </c>
      <c r="AA4484">
        <f>N4484*U4484*W4484*Y4484</f>
        <v>10.166085</v>
      </c>
    </row>
    <row r="4485">
      <c r="A4485" t="str">
        <f>A4464</f>
        <v>Lantai 1</v>
      </c>
      <c r="B4485">
        <f>B4464</f>
        <v>52</v>
      </c>
      <c r="C4485" t="str">
        <v>Sengkang Lapangan</v>
      </c>
      <c r="D4485">
        <f>VLOOKUP(D4464,'Detail Balok'!$C$10:$AU$110,36,FALSE)</f>
        <v>0</v>
      </c>
      <c r="E4485" t="str">
        <v>D</v>
      </c>
      <c r="F4485">
        <f>VLOOKUP(D4464,'Detail Balok'!$C$10:$AU$110,38,FALSE)</f>
        <v>10</v>
      </c>
      <c r="G4485" t="str">
        <v>-</v>
      </c>
      <c r="H4485">
        <f>VLOOKUP(D4464,'Detail Balok'!$C$10:$AU$110,40,FALSE)</f>
        <v>200</v>
      </c>
      <c r="J4485">
        <f>(IF(D4485=0,(2*(D4465+G4465))-(F$5*8),IF(D4485=3,(2*(D4465+G4465))-(F$5*8)+(G4465-2*F$5),IF(D4485=4,(2*(D4465+G4465))-(F$5*8)+2*(G4465-2*F$5)))))/1000</f>
        <v>0.82</v>
      </c>
      <c r="K4485" t="str">
        <v>+</v>
      </c>
      <c r="L4485">
        <f>IF(D4485=0,2*MAX(6*F4485,75),(D4485-1)*2*MAX(6*F4485,75))/1000</f>
        <v>0.15</v>
      </c>
      <c r="M4485" t="str">
        <v>=</v>
      </c>
      <c r="N4485">
        <f>J4485+L4485</f>
        <v>0.97</v>
      </c>
      <c r="T4485" t="str">
        <v>x</v>
      </c>
      <c r="U4485">
        <f>0.006165*F4485^2</f>
        <v>0.6165</v>
      </c>
      <c r="V4485" t="str">
        <v>x</v>
      </c>
      <c r="W4485">
        <f>IF(D4467-MAX(D4467/4,2*G4465)*2&gt;0,ROUND((D4467-MAX(D4467/4,2*G4465)*2)/H4485,0),0)</f>
        <v>16</v>
      </c>
      <c r="X4485" t="str">
        <v>x</v>
      </c>
      <c r="Y4485">
        <f>D4470</f>
        <v>1</v>
      </c>
      <c r="Z4485" t="str">
        <v>=</v>
      </c>
      <c r="AA4485">
        <f>N4485*U4485*W4485*Y4485</f>
        <v>9.56808</v>
      </c>
    </row>
    <row r="4486">
      <c r="A4486" t="str">
        <f>A4464</f>
        <v>Lantai 1</v>
      </c>
      <c r="B4486">
        <f>B4464</f>
        <v>52</v>
      </c>
      <c r="C4486" t="str">
        <v>Sengkang Tumpuan</v>
      </c>
      <c r="D4486">
        <f>VLOOKUP(D4464,'Detail Balok'!$C$10:$AU$110,41,FALSE)</f>
        <v>0</v>
      </c>
      <c r="E4486" t="str">
        <v>D</v>
      </c>
      <c r="F4486">
        <f>VLOOKUP(D4464,'Detail Balok'!$C$10:$AU$110,43,FALSE)</f>
        <v>10</v>
      </c>
      <c r="G4486" t="str">
        <v>-</v>
      </c>
      <c r="H4486">
        <f>VLOOKUP(D4464,'Detail Balok'!$C$10:$AU$110,45,FALSE)</f>
        <v>100</v>
      </c>
      <c r="J4486">
        <f>(IF(D4486=0,(2*(D4465+G4465))-(F$5*8),IF(D4486=3,(2*(D4465+G4465))-(F$5*8)+(G4465-2*F$5),IF(D4486=4,(2*(D4465+G4465))-(F$5*8)+2*(G4465-2*F$5)))))/1000</f>
        <v>0.82</v>
      </c>
      <c r="K4486" t="str">
        <v>+</v>
      </c>
      <c r="L4486">
        <f>IF(D4486=0,2*MAX(6*F4486,75),(D4486-1)*2*MAX(6*F4486,75))/1000</f>
        <v>0.15</v>
      </c>
      <c r="M4486" t="str">
        <v>=</v>
      </c>
      <c r="N4486">
        <f>J4486+L4486</f>
        <v>0.97</v>
      </c>
      <c r="T4486" t="str">
        <v>x</v>
      </c>
      <c r="U4486">
        <f>0.006165*F4486^2</f>
        <v>0.6165</v>
      </c>
      <c r="V4486" t="str">
        <v>x</v>
      </c>
      <c r="W4486">
        <f>IF(D4467&gt;4*G4465,ROUND(MAX(D4467/4,2*G4465)/H4486,0)+1,0)</f>
        <v>17</v>
      </c>
      <c r="X4486" t="str">
        <v>x</v>
      </c>
      <c r="Y4486">
        <f>D4470</f>
        <v>1</v>
      </c>
      <c r="Z4486" t="str">
        <v>=</v>
      </c>
      <c r="AA4486">
        <f>N4486*U4486*W4486*Y4486</f>
        <v>10.166085</v>
      </c>
    </row>
    <row r="4488">
      <c r="A4488" t="str">
        <f>A4464</f>
        <v>Lantai 1</v>
      </c>
      <c r="B4488">
        <f>B4464</f>
        <v>52</v>
      </c>
      <c r="C4488" t="str">
        <v>Kait Horizontal Tump.</v>
      </c>
      <c r="D4488">
        <f>VLOOKUP(D4464,'Detail Balok'!$C$10:$BJ$110,46,FALSE)</f>
        <v>0</v>
      </c>
      <c r="E4488" t="str">
        <v>D</v>
      </c>
      <c r="F4488">
        <f>VLOOKUP(D4464,'Detail Balok'!$C$10:$BJ$110,48,FALSE)</f>
        <v>0</v>
      </c>
      <c r="G4488" t="str">
        <v>-</v>
      </c>
      <c r="H4488">
        <f>VLOOKUP(D4464,'Detail Balok'!$C$10:$BJ$110,50,FALSE)</f>
        <v>100</v>
      </c>
      <c r="J4488">
        <f>(D4465-2*F$5)/1000</f>
        <v>0.09</v>
      </c>
      <c r="K4488" t="str">
        <v>+</v>
      </c>
      <c r="L4488">
        <f>IF(D4488=0,2*MAX(6*F4488,75),(D4488-1)*2*MAX(6*F4488,75))/1000</f>
        <v>0.15</v>
      </c>
      <c r="M4488" t="str">
        <v>=</v>
      </c>
      <c r="N4488">
        <f>J4488+L4488</f>
        <v>0.24</v>
      </c>
      <c r="T4488" t="str">
        <v>x</v>
      </c>
      <c r="U4488">
        <f>0.006165*F4488^2</f>
        <v>0</v>
      </c>
      <c r="V4488" t="str">
        <v>x</v>
      </c>
      <c r="W4488">
        <f>W4484</f>
        <v>17</v>
      </c>
      <c r="X4488" t="str">
        <v>x</v>
      </c>
      <c r="Y4488">
        <f>D4474</f>
        <v>2</v>
      </c>
      <c r="Z4488" t="str">
        <v>=</v>
      </c>
      <c r="AA4488">
        <f>N4488*U4488*W4488*Y4488</f>
        <v>0</v>
      </c>
    </row>
    <row r="4489">
      <c r="A4489" t="str">
        <f>A4464</f>
        <v>Lantai 1</v>
      </c>
      <c r="B4489">
        <f>B4464</f>
        <v>52</v>
      </c>
      <c r="C4489" t="str">
        <v>Kait Horizontal Lap.</v>
      </c>
      <c r="D4489">
        <f>VLOOKUP(D4464,'Detail Balok'!$C$10:$BJ$110,51,FALSE)</f>
        <v>0</v>
      </c>
      <c r="E4489" t="str">
        <v>D</v>
      </c>
      <c r="F4489">
        <f>VLOOKUP(D4464,'Detail Balok'!$C$10:$BJ$110,53,FALSE)</f>
        <v>0</v>
      </c>
      <c r="G4489" t="str">
        <v>-</v>
      </c>
      <c r="H4489">
        <f>VLOOKUP(D4464,'Detail Balok'!$C$10:$BJ$110,55,FALSE)</f>
        <v>100</v>
      </c>
      <c r="J4489">
        <f>(D4465-2*F$5)/1000</f>
        <v>0.09</v>
      </c>
      <c r="K4489" t="str">
        <v>+</v>
      </c>
      <c r="L4489">
        <f>IF(D4489=0,2*MAX(6*F4489,75),(D4489-1)*2*MAX(6*F4489,75))/1000</f>
        <v>0.15</v>
      </c>
      <c r="M4489" t="str">
        <v>=</v>
      </c>
      <c r="N4489">
        <f>J4489+L4489</f>
        <v>0.24</v>
      </c>
      <c r="T4489" t="str">
        <v>x</v>
      </c>
      <c r="U4489">
        <f>0.006165*F4489^2</f>
        <v>0</v>
      </c>
      <c r="V4489" t="str">
        <v>x</v>
      </c>
      <c r="W4489">
        <f>W4485</f>
        <v>16</v>
      </c>
      <c r="X4489" t="str">
        <v>x</v>
      </c>
      <c r="Y4489">
        <f>D4474</f>
        <v>2</v>
      </c>
      <c r="Z4489" t="str">
        <v>=</v>
      </c>
      <c r="AA4489">
        <f>N4489*U4489*W4489*Y4489</f>
        <v>0</v>
      </c>
    </row>
    <row r="4490">
      <c r="A4490" t="str">
        <f>A4464</f>
        <v>Lantai 1</v>
      </c>
      <c r="B4490">
        <f>B4464</f>
        <v>52</v>
      </c>
      <c r="C4490" t="str">
        <v>Kait Horizontal Tump.</v>
      </c>
      <c r="D4490">
        <f>VLOOKUP(D4464,'Detail Balok'!$C$10:$BJ$110,56,FALSE)</f>
        <v>0</v>
      </c>
      <c r="E4490" t="str">
        <v>D</v>
      </c>
      <c r="F4490">
        <f>VLOOKUP(D4464,'Detail Balok'!$C$10:$BJ$110,58,FALSE)</f>
        <v>0</v>
      </c>
      <c r="G4490" t="str">
        <v>-</v>
      </c>
      <c r="H4490">
        <f>VLOOKUP(D4464,'Detail Balok'!$C$10:$BJ$110,60,FALSE)</f>
        <v>100</v>
      </c>
      <c r="J4490">
        <f>(D4465-2*F$5)/1000</f>
        <v>0.09</v>
      </c>
      <c r="K4490" t="str">
        <v>+</v>
      </c>
      <c r="L4490">
        <f>IF(D4490=0,2*MAX(6*F4490,75),(D4490-1)*2*MAX(6*F4490,75))/1000</f>
        <v>0.15</v>
      </c>
      <c r="M4490" t="str">
        <v>=</v>
      </c>
      <c r="N4490">
        <f>J4490+L4490</f>
        <v>0.24</v>
      </c>
      <c r="T4490" t="str">
        <v>x</v>
      </c>
      <c r="U4490">
        <f>0.006165*F4490^2</f>
        <v>0</v>
      </c>
      <c r="V4490" t="str">
        <v>x</v>
      </c>
      <c r="W4490">
        <f>W4486</f>
        <v>17</v>
      </c>
      <c r="X4490" t="str">
        <v>x</v>
      </c>
      <c r="Y4490">
        <f>D4474</f>
        <v>2</v>
      </c>
      <c r="Z4490" t="str">
        <v>=</v>
      </c>
      <c r="AA4490">
        <f>N4490*U4490*W4490*Y4490</f>
        <v>0</v>
      </c>
    </row>
    <row r="4494">
      <c r="A4494" t="str">
        <f>A4464</f>
        <v>Lantai 1</v>
      </c>
      <c r="B4494">
        <f>B4464+1</f>
        <v>53</v>
      </c>
      <c r="C4494" t="str">
        <f>CONCATENATE(A4494," no. ",B4494)</f>
        <v>Lantai 1 no. 53</v>
      </c>
      <c r="D4494" t="str">
        <f>VLOOKUP(C4494,'Data Panjang Balok'!$C$9:$N$424,2,FALSE)</f>
        <v>B174-1</v>
      </c>
    </row>
    <row r="4495">
      <c r="C4495" t="str">
        <v>Dimensi</v>
      </c>
      <c r="D4495">
        <f>VLOOKUP(D4494,'Detail Balok'!$C$10:$AU$110,2,FALSE)</f>
        <v>170</v>
      </c>
      <c r="F4495" t="str">
        <v>x</v>
      </c>
      <c r="G4495">
        <f>VLOOKUP(D4494,'Detail Balok'!$C$10:$AU$110,3,FALSE)</f>
        <v>400</v>
      </c>
    </row>
    <row r="4496">
      <c r="C4496" t="str">
        <v>Panjang as ke as</v>
      </c>
      <c r="D4496">
        <f>VLOOKUP(C4494,'Data Panjang Balok'!$C$9:$N$424,4,FALSE)</f>
        <v>5500</v>
      </c>
    </row>
    <row r="4497">
      <c r="C4497" t="str">
        <v>Panjang netto</v>
      </c>
      <c r="D4497">
        <f>VLOOKUP(C4494,'Data Panjang Balok'!$C$9:$N$424,7,FALSE)</f>
        <v>5500</v>
      </c>
    </row>
    <row r="4498">
      <c r="C4498" t="str">
        <v>Kolom / balok kiri</v>
      </c>
      <c r="D4498">
        <f>VLOOKUP(C4494,'Data Panjang Balok'!$C$9:$N$424,9,FALSE)</f>
        <v>0</v>
      </c>
    </row>
    <row r="4499">
      <c r="C4499" t="str">
        <v>Kolom / balok kanan</v>
      </c>
      <c r="D4499">
        <f>VLOOKUP(C4494,'Data Panjang Balok'!$C$9:$N$424,10,FALSE)</f>
        <v>0</v>
      </c>
    </row>
    <row r="4500">
      <c r="C4500" t="str">
        <v>Jumlah</v>
      </c>
      <c r="D4500">
        <f>VLOOKUP(C4494,'Data Panjang Balok'!$C$9:$N$424,3,FALSE)</f>
        <v>1</v>
      </c>
    </row>
    <row r="4501">
      <c r="A4501" t="str">
        <f>A4494</f>
        <v>Lantai 1</v>
      </c>
      <c r="B4501">
        <f>B4494</f>
        <v>53</v>
      </c>
      <c r="C4501" t="str">
        <v>Tul Atas Tumpuan</v>
      </c>
      <c r="D4501">
        <f>VLOOKUP(D4494,'Detail Balok'!$C$10:$AU$110,4,FALSE)</f>
        <v>2</v>
      </c>
      <c r="E4501" t="str">
        <v>D</v>
      </c>
      <c r="F4501">
        <f>VLOOKUP(D4494,'Detail Balok'!$C$10:$AU$110,6,FALSE)</f>
        <v>13</v>
      </c>
      <c r="I4501" t="str">
        <v>(</v>
      </c>
      <c r="J4501">
        <f>+D4496/4/1000</f>
        <v>1.375</v>
      </c>
      <c r="K4501" t="str">
        <v>+</v>
      </c>
      <c r="L4501">
        <f>MAX(VLOOKUP(F4501,N$6:P$15,3,FALSE)/1000,2/3*D4498/1000)+F$16*F4501/1000</f>
        <v>0.156</v>
      </c>
      <c r="M4501" t="str">
        <v>=</v>
      </c>
      <c r="N4501">
        <f>J4501+L4501</f>
        <v>1.531</v>
      </c>
      <c r="O4501" t="str">
        <v>+</v>
      </c>
      <c r="P4501">
        <f>D4501-D4502</f>
        <v>0</v>
      </c>
      <c r="Q4501" t="str">
        <v>x</v>
      </c>
      <c r="R4501">
        <f>IF(P4501&gt;0,$F$18*F4501/1000,0)</f>
        <v>0</v>
      </c>
      <c r="S4501" t="str">
        <v>)</v>
      </c>
      <c r="T4501" t="str">
        <v>x</v>
      </c>
      <c r="U4501">
        <f>0.006165*F4501^2</f>
        <v>1.041885</v>
      </c>
      <c r="X4501" t="str">
        <v>x</v>
      </c>
      <c r="Y4501">
        <f>D4500</f>
        <v>1</v>
      </c>
      <c r="Z4501" t="str">
        <v>=</v>
      </c>
      <c r="AA4501">
        <f>IF(AA4504=0,(D4501*N4501+P4501*R4501)*U4501*Y4501,0)</f>
        <v>0</v>
      </c>
    </row>
    <row r="4502">
      <c r="A4502" t="str">
        <f>A4494</f>
        <v>Lantai 1</v>
      </c>
      <c r="B4502">
        <f>B4494</f>
        <v>53</v>
      </c>
      <c r="C4502" t="str">
        <v>Tul Atas Lapangan</v>
      </c>
      <c r="D4502">
        <f>VLOOKUP(D4494,'Detail Balok'!$C$10:$AU$110,7,FALSE)</f>
        <v>2</v>
      </c>
      <c r="E4502" t="str">
        <v>D</v>
      </c>
      <c r="F4502">
        <f>VLOOKUP(D4494,'Detail Balok'!$C$10:$AU$110,9,FALSE)</f>
        <v>13</v>
      </c>
      <c r="I4502" t="str">
        <v>(</v>
      </c>
      <c r="J4502">
        <f>+D4496/2/1000</f>
        <v>2.75</v>
      </c>
      <c r="K4502" t="str">
        <v>+</v>
      </c>
      <c r="M4502" t="str">
        <v>=</v>
      </c>
      <c r="N4502">
        <f>J4502+L4502</f>
        <v>2.75</v>
      </c>
      <c r="O4502" t="str">
        <v>+</v>
      </c>
      <c r="P4502">
        <f>MAX(D4502-D4501,D4502-D4503)</f>
        <v>0</v>
      </c>
      <c r="Q4502" t="str">
        <v>x</v>
      </c>
      <c r="R4502">
        <f>IF(P4502&gt;0,2*(1-2*$F$19-1/2)*D4497/1000,0)</f>
        <v>0</v>
      </c>
      <c r="S4502" t="str">
        <v>)</v>
      </c>
      <c r="T4502" t="str">
        <v>x</v>
      </c>
      <c r="U4502">
        <f>0.006165*F4502^2</f>
        <v>1.041885</v>
      </c>
      <c r="X4502" t="str">
        <v>x</v>
      </c>
      <c r="Y4502">
        <f>D4500</f>
        <v>1</v>
      </c>
      <c r="Z4502" t="str">
        <v>=</v>
      </c>
      <c r="AA4502">
        <f>IF(AA4504=0,(D4502*N4502+P4502*R4502)*U4502*Y4502,0)</f>
        <v>0</v>
      </c>
    </row>
    <row r="4503">
      <c r="A4503" t="str">
        <f>A4494</f>
        <v>Lantai 1</v>
      </c>
      <c r="B4503">
        <f>B4494</f>
        <v>53</v>
      </c>
      <c r="C4503" t="str">
        <v>Tul Atas Tumpuan</v>
      </c>
      <c r="D4503">
        <f>VLOOKUP(D4494,'Detail Balok'!$C$10:$AU$110,10,FALSE)</f>
        <v>2</v>
      </c>
      <c r="E4503" t="str">
        <v>D</v>
      </c>
      <c r="F4503">
        <f>VLOOKUP(D4494,'Detail Balok'!$C$10:$AU$110,12,FALSE)</f>
        <v>13</v>
      </c>
      <c r="I4503" t="str">
        <v>(</v>
      </c>
      <c r="J4503">
        <f>+D4496/4/1000</f>
        <v>1.375</v>
      </c>
      <c r="K4503" t="str">
        <v>+</v>
      </c>
      <c r="L4503">
        <f>MAX(VLOOKUP(F4503,N$6:P$15,3,FALSE)/1000,2/3*D4498/1000)+F$16*F4503/1000</f>
        <v>0.156</v>
      </c>
      <c r="M4503" t="str">
        <v>=</v>
      </c>
      <c r="N4503">
        <f>J4503+L4503</f>
        <v>1.531</v>
      </c>
      <c r="O4503" t="str">
        <v>+</v>
      </c>
      <c r="P4503">
        <f>D4503-D4502</f>
        <v>0</v>
      </c>
      <c r="Q4503" t="str">
        <v>x</v>
      </c>
      <c r="R4503">
        <f>IF(P4503&gt;0,$F$18*F4503/1000,0)</f>
        <v>0</v>
      </c>
      <c r="S4503" t="str">
        <v>)</v>
      </c>
      <c r="T4503" t="str">
        <v>x</v>
      </c>
      <c r="U4503">
        <f>0.006165*F4503^2</f>
        <v>1.041885</v>
      </c>
      <c r="X4503" t="str">
        <v>x</v>
      </c>
      <c r="Y4503">
        <f>D4500</f>
        <v>1</v>
      </c>
      <c r="Z4503" t="str">
        <v>=</v>
      </c>
      <c r="AA4503">
        <f>IF(AA4504=0,(D4503*N4503+P4503*R4503)*U4503*Y4503,0)</f>
        <v>0</v>
      </c>
    </row>
    <row r="4504">
      <c r="A4504" t="str">
        <f>A4494</f>
        <v>Lantai 1</v>
      </c>
      <c r="B4504">
        <f>B4494</f>
        <v>53</v>
      </c>
      <c r="D4504">
        <f>IF(AND(D4501=D4502,D4502=D4503,D4501=D4503),D4501,0)</f>
        <v>2</v>
      </c>
      <c r="E4504" t="str">
        <v>D</v>
      </c>
      <c r="F4504">
        <f>IF(AND(F4501=F4502,F4501=F4503,F4502=F4503),F4501,0)</f>
        <v>13</v>
      </c>
      <c r="L4504" t="str">
        <v>Total panjang per balok</v>
      </c>
      <c r="M4504" t="str">
        <v>=</v>
      </c>
      <c r="N4504">
        <f>IF(AND(D4501=D4502,D4501=D4503,D4502=D4503,F4501=F4502,F4501=F4503,F4502=F4503),SUM(N4501:N4503),0)</f>
        <v>5.811999999999999</v>
      </c>
      <c r="O4504" t="str">
        <v>+</v>
      </c>
      <c r="P4504">
        <f>IF(N4504&gt;12,ROUNDDOWN(N4504/12,0),0)</f>
        <v>0</v>
      </c>
      <c r="Q4504" t="str">
        <v>x</v>
      </c>
      <c r="R4504">
        <f>IF(P4504&gt;0,MAX(VLOOKUP(F4504,$D$6:$G$15,3,FALSE),600),0)/1000</f>
        <v>0</v>
      </c>
      <c r="T4504" t="str">
        <v>x</v>
      </c>
      <c r="U4504">
        <f>U4503</f>
        <v>1.041885</v>
      </c>
      <c r="V4504" t="str">
        <v>x</v>
      </c>
      <c r="W4504">
        <f>D4504</f>
        <v>2</v>
      </c>
      <c r="X4504" t="str">
        <v>x</v>
      </c>
      <c r="Y4504">
        <f>Y4503</f>
        <v>1</v>
      </c>
      <c r="Z4504" t="str">
        <v>=</v>
      </c>
      <c r="AA4504">
        <f>(N4504+P4504*R4504/1000)*U4504*W4504*Y4504</f>
        <v>12.110871239999998</v>
      </c>
    </row>
    <row r="4506">
      <c r="A4506" t="str">
        <f>A4494</f>
        <v>Lantai 1</v>
      </c>
      <c r="B4506">
        <f>B4494</f>
        <v>53</v>
      </c>
      <c r="C4506" t="str">
        <v>Tul Peminggang</v>
      </c>
      <c r="D4506">
        <f>VLOOKUP(D4494,'Detail Balok'!$C$10:$AU$110,13,FALSE)</f>
        <v>0</v>
      </c>
      <c r="E4506" t="str">
        <v>D</v>
      </c>
      <c r="F4506">
        <f>VLOOKUP(D4494,'Detail Balok'!$C$10:$AU$110,15,FALSE)</f>
        <v>6</v>
      </c>
      <c r="J4506">
        <f>+D4496/1000</f>
        <v>5.5</v>
      </c>
      <c r="K4506" t="str">
        <v>+</v>
      </c>
      <c r="L4506">
        <f>2*$F$16*F4506/1000</f>
        <v>0.144</v>
      </c>
      <c r="M4506" t="str">
        <v>=</v>
      </c>
      <c r="N4506">
        <f>J4506+L4506</f>
        <v>5.644</v>
      </c>
      <c r="O4506" t="str">
        <v>+</v>
      </c>
      <c r="P4506">
        <f>IF(N4506&gt;12,ROUNDDOWN(N4506/12,0),0)</f>
        <v>0</v>
      </c>
      <c r="Q4506" t="str">
        <v>x</v>
      </c>
      <c r="R4506">
        <f>IF(P4506&gt;0,MAX(VLOOKUP(F4506,$D$6:$G$15,3,FALSE),600),0)/1000</f>
        <v>0</v>
      </c>
      <c r="T4506" t="str">
        <v>x</v>
      </c>
      <c r="U4506">
        <f>0.006165*F4506^2</f>
        <v>0.22194000000000003</v>
      </c>
      <c r="V4506" t="str">
        <v>x</v>
      </c>
      <c r="W4506">
        <f>+D4506</f>
        <v>0</v>
      </c>
      <c r="X4506" t="str">
        <v>x</v>
      </c>
      <c r="Y4506">
        <f>D4500</f>
        <v>1</v>
      </c>
      <c r="Z4506" t="str">
        <v>=</v>
      </c>
      <c r="AA4506">
        <f>(N4506+P4506*R4506/1000)*U4506*W4506*Y4506</f>
        <v>0</v>
      </c>
    </row>
    <row r="4509">
      <c r="A4509" t="str">
        <f>A4494</f>
        <v>Lantai 1</v>
      </c>
      <c r="B4509">
        <f>B4494</f>
        <v>53</v>
      </c>
      <c r="C4509" t="str">
        <v>Tul Bawah Tumpuan</v>
      </c>
      <c r="D4509">
        <f>VLOOKUP(D4494,'Detail Balok'!$C$10:$AU$110,22,FALSE)</f>
        <v>2</v>
      </c>
      <c r="E4509" t="str">
        <v>D</v>
      </c>
      <c r="F4509">
        <f>VLOOKUP(D4494,'Detail Balok'!$C$10:$AU$110,24,FALSE)</f>
        <v>13</v>
      </c>
      <c r="I4509" t="str">
        <v>(</v>
      </c>
      <c r="J4509">
        <f>+J4501</f>
        <v>1.375</v>
      </c>
      <c r="K4509" t="str">
        <v>+</v>
      </c>
      <c r="L4509">
        <f>MAX(VLOOKUP(F4509,N$6:P$15,3,FALSE)/1000,2/3*D4499/1000)+F$16*F4509/1000</f>
        <v>0.156</v>
      </c>
      <c r="M4509" t="str">
        <v>=</v>
      </c>
      <c r="N4509">
        <f>J4509+L4509</f>
        <v>1.531</v>
      </c>
      <c r="O4509" t="str">
        <v>+</v>
      </c>
      <c r="P4509">
        <f>D4509-D4510</f>
        <v>0</v>
      </c>
      <c r="Q4509" t="str">
        <v>x</v>
      </c>
      <c r="R4509">
        <f>IF(P4509&gt;0,$F$18*F4509/1000,0)</f>
        <v>0</v>
      </c>
      <c r="S4509" t="str">
        <v>)</v>
      </c>
      <c r="T4509" t="str">
        <v>x</v>
      </c>
      <c r="U4509">
        <f>0.006165*F4509^2</f>
        <v>1.041885</v>
      </c>
      <c r="X4509" t="str">
        <v>x</v>
      </c>
      <c r="Y4509">
        <f>D4500</f>
        <v>1</v>
      </c>
      <c r="Z4509" t="str">
        <v>=</v>
      </c>
      <c r="AA4509">
        <f>IF(AA4512=0,(D4509*N4509+P4509*R4509)*U4509*Y4509,0)</f>
        <v>0</v>
      </c>
    </row>
    <row r="4510">
      <c r="A4510" t="str">
        <f>A4494</f>
        <v>Lantai 1</v>
      </c>
      <c r="B4510">
        <f>B4494</f>
        <v>53</v>
      </c>
      <c r="C4510" t="str">
        <v>Tul Bawah Lapangan</v>
      </c>
      <c r="D4510">
        <f>VLOOKUP(D4494,'Detail Balok'!$C$10:$AU$110,25,FALSE)</f>
        <v>2</v>
      </c>
      <c r="E4510" t="str">
        <v>D</v>
      </c>
      <c r="F4510">
        <f>VLOOKUP(D4494,'Detail Balok'!$C$10:$AU$110,27,FALSE)</f>
        <v>13</v>
      </c>
      <c r="I4510" t="str">
        <v>(</v>
      </c>
      <c r="J4510">
        <f>+J4502</f>
        <v>2.75</v>
      </c>
      <c r="K4510" t="str">
        <v>+</v>
      </c>
      <c r="M4510" t="str">
        <v>=</v>
      </c>
      <c r="N4510">
        <f>J4510+L4510</f>
        <v>2.75</v>
      </c>
      <c r="O4510" t="str">
        <v>+</v>
      </c>
      <c r="P4510">
        <f>MAX(D4510-D4509,D4510-D4511)</f>
        <v>0</v>
      </c>
      <c r="Q4510" t="str">
        <v>x</v>
      </c>
      <c r="R4510">
        <f>IF(P4510&gt;0,2*(1-2*$F$19-1/2)*D4497/1000,0)</f>
        <v>0</v>
      </c>
      <c r="S4510" t="str">
        <v>)</v>
      </c>
      <c r="T4510" t="str">
        <v>x</v>
      </c>
      <c r="U4510">
        <f>0.006165*F4510^2</f>
        <v>1.041885</v>
      </c>
      <c r="X4510" t="str">
        <v>x</v>
      </c>
      <c r="Y4510">
        <f>D4500</f>
        <v>1</v>
      </c>
      <c r="Z4510" t="str">
        <v>=</v>
      </c>
      <c r="AA4510">
        <f>IF(AA4512=0,(D4510*N4510+P4510*R4510)*U4510*Y4510,0)</f>
        <v>0</v>
      </c>
    </row>
    <row r="4511">
      <c r="A4511" t="str">
        <f>A4494</f>
        <v>Lantai 1</v>
      </c>
      <c r="B4511">
        <f>B4494</f>
        <v>53</v>
      </c>
      <c r="C4511" t="str">
        <v>Tul Bawah Tumpuan</v>
      </c>
      <c r="D4511">
        <f>VLOOKUP(D4494,'Detail Balok'!$C$10:$AU$110,28,FALSE)</f>
        <v>2</v>
      </c>
      <c r="E4511" t="str">
        <v>D</v>
      </c>
      <c r="F4511">
        <f>VLOOKUP(D4494,'Detail Balok'!$C$10:$AU$110,30,FALSE)</f>
        <v>13</v>
      </c>
      <c r="I4511" t="str">
        <v>(</v>
      </c>
      <c r="J4511">
        <f>+J4503</f>
        <v>1.375</v>
      </c>
      <c r="K4511" t="str">
        <v>+</v>
      </c>
      <c r="L4511">
        <f>MAX(VLOOKUP(F4511,N$6:P$15,3,FALSE)/1000,2/3*D4499/1000)+F$16*F4511/1000</f>
        <v>0.156</v>
      </c>
      <c r="M4511" t="str">
        <v>=</v>
      </c>
      <c r="N4511">
        <f>J4511+L4511</f>
        <v>1.531</v>
      </c>
      <c r="O4511" t="str">
        <v>+</v>
      </c>
      <c r="P4511">
        <f>D4511-D4510</f>
        <v>0</v>
      </c>
      <c r="Q4511" t="str">
        <v>x</v>
      </c>
      <c r="R4511">
        <f>IF(P4511&gt;0,$F$18*F4511/1000,0)</f>
        <v>0</v>
      </c>
      <c r="S4511" t="str">
        <v>)</v>
      </c>
      <c r="T4511" t="str">
        <v>x</v>
      </c>
      <c r="U4511">
        <f>0.006165*F4511^2</f>
        <v>1.041885</v>
      </c>
      <c r="X4511" t="str">
        <v>x</v>
      </c>
      <c r="Y4511">
        <f>D4500</f>
        <v>1</v>
      </c>
      <c r="Z4511" t="str">
        <v>=</v>
      </c>
      <c r="AA4511">
        <f>IF(AA4512=0,(D4511*N4511+P4511*R4511)*U4511*Y4511,0)</f>
        <v>0</v>
      </c>
    </row>
    <row r="4512">
      <c r="A4512" t="str">
        <f>A4494</f>
        <v>Lantai 1</v>
      </c>
      <c r="B4512">
        <f>B4494</f>
        <v>53</v>
      </c>
      <c r="D4512">
        <f>IF(AND(D4509=D4510,D4510=D4511,D4509=D4511),D4509,0)</f>
        <v>2</v>
      </c>
      <c r="E4512" t="str">
        <v>D</v>
      </c>
      <c r="F4512">
        <f>IF(AND(F4509=F4510,F4509=F4511,F4510=F4511),F4509,0)</f>
        <v>13</v>
      </c>
      <c r="L4512" t="str">
        <v>Total panjang per balok</v>
      </c>
      <c r="M4512" t="str">
        <v>=</v>
      </c>
      <c r="N4512">
        <f>IF(AND(D4509=D4510,D4509=D4511,D4510=D4511,F4509=F4510,F4509=F4511,F4510=F4511),SUM(N4509:N4511),0)</f>
        <v>5.811999999999999</v>
      </c>
      <c r="O4512" t="str">
        <v>+</v>
      </c>
      <c r="P4512">
        <f>IF(N4512&gt;12,ROUNDDOWN(N4512/12,0),0)</f>
        <v>0</v>
      </c>
      <c r="Q4512" t="str">
        <v>x</v>
      </c>
      <c r="R4512">
        <f>IF(P4512&gt;0,MAX(VLOOKUP(F4512,$D$6:$G$15,3,FALSE),600),0)/1000</f>
        <v>0</v>
      </c>
      <c r="T4512" t="str">
        <v>x</v>
      </c>
      <c r="U4512">
        <f>U4511</f>
        <v>1.041885</v>
      </c>
      <c r="V4512" t="str">
        <v>x</v>
      </c>
      <c r="W4512">
        <f>D4512</f>
        <v>2</v>
      </c>
      <c r="X4512" t="str">
        <v>x</v>
      </c>
      <c r="Y4512">
        <f>Y4511</f>
        <v>1</v>
      </c>
      <c r="Z4512" t="str">
        <v>=</v>
      </c>
      <c r="AA4512">
        <f>(N4512+P4512*R4512/1000)*U4512*W4512*Y4512</f>
        <v>12.110871239999998</v>
      </c>
    </row>
    <row r="4514">
      <c r="A4514" t="str">
        <f>A4494</f>
        <v>Lantai 1</v>
      </c>
      <c r="B4514">
        <f>B4494</f>
        <v>53</v>
      </c>
      <c r="C4514" t="str">
        <v>Sengkang Tumpuan</v>
      </c>
      <c r="D4514">
        <f>VLOOKUP(D4494,'Detail Balok'!$C$10:$AU$110,31,FALSE)</f>
        <v>0</v>
      </c>
      <c r="E4514" t="str">
        <v>D</v>
      </c>
      <c r="F4514">
        <f>VLOOKUP(D4494,'Detail Balok'!$C$10:$AU$110,33,FALSE)</f>
        <v>10</v>
      </c>
      <c r="G4514" t="str">
        <v>-</v>
      </c>
      <c r="H4514">
        <f>VLOOKUP(D4494,'Detail Balok'!$C$10:$AU$110,35,FALSE)</f>
        <v>100</v>
      </c>
      <c r="J4514">
        <f>(IF(D4514=0,(2*(D4495+G4495))-(F$5*8),IF(D4514=3,(2*(D4495+G4495))-(F$5*8)+(G4495-2*F$5),IF(D4514=4,(2*(D4495+G4495))-(F$5*8)+2*(G4495-2*F$5)))))/1000</f>
        <v>0.82</v>
      </c>
      <c r="K4514" t="str">
        <v>+</v>
      </c>
      <c r="L4514">
        <f>IF(D4514=0,2*MAX(6*F4514,75),(D4514-1)*2*MAX(6*F4514,75))/1000</f>
        <v>0.15</v>
      </c>
      <c r="M4514" t="str">
        <v>=</v>
      </c>
      <c r="N4514">
        <f>J4514+L4514</f>
        <v>0.97</v>
      </c>
      <c r="T4514" t="str">
        <v>x</v>
      </c>
      <c r="U4514">
        <f>0.006165*F4514^2</f>
        <v>0.6165</v>
      </c>
      <c r="V4514" t="str">
        <v>x</v>
      </c>
      <c r="W4514">
        <f>IF(D4497&gt;4*G4495,ROUND(MAX(D4497/4,2*G4495)/H4514,0)+1,ROUND(D4497/H4514,0)+1)</f>
        <v>15</v>
      </c>
      <c r="X4514" t="str">
        <v>x</v>
      </c>
      <c r="Y4514">
        <f>D4500</f>
        <v>1</v>
      </c>
      <c r="Z4514" t="str">
        <v>=</v>
      </c>
      <c r="AA4514">
        <f>N4514*U4514*W4514*Y4514</f>
        <v>8.970075</v>
      </c>
    </row>
    <row r="4515">
      <c r="A4515" t="str">
        <f>A4494</f>
        <v>Lantai 1</v>
      </c>
      <c r="B4515">
        <f>B4494</f>
        <v>53</v>
      </c>
      <c r="C4515" t="str">
        <v>Sengkang Lapangan</v>
      </c>
      <c r="D4515">
        <f>VLOOKUP(D4494,'Detail Balok'!$C$10:$AU$110,36,FALSE)</f>
        <v>0</v>
      </c>
      <c r="E4515" t="str">
        <v>D</v>
      </c>
      <c r="F4515">
        <f>VLOOKUP(D4494,'Detail Balok'!$C$10:$AU$110,38,FALSE)</f>
        <v>10</v>
      </c>
      <c r="G4515" t="str">
        <v>-</v>
      </c>
      <c r="H4515">
        <f>VLOOKUP(D4494,'Detail Balok'!$C$10:$AU$110,40,FALSE)</f>
        <v>200</v>
      </c>
      <c r="J4515">
        <f>(IF(D4515=0,(2*(D4495+G4495))-(F$5*8),IF(D4515=3,(2*(D4495+G4495))-(F$5*8)+(G4495-2*F$5),IF(D4515=4,(2*(D4495+G4495))-(F$5*8)+2*(G4495-2*F$5)))))/1000</f>
        <v>0.82</v>
      </c>
      <c r="K4515" t="str">
        <v>+</v>
      </c>
      <c r="L4515">
        <f>IF(D4515=0,2*MAX(6*F4515,75),(D4515-1)*2*MAX(6*F4515,75))/1000</f>
        <v>0.15</v>
      </c>
      <c r="M4515" t="str">
        <v>=</v>
      </c>
      <c r="N4515">
        <f>J4515+L4515</f>
        <v>0.97</v>
      </c>
      <c r="T4515" t="str">
        <v>x</v>
      </c>
      <c r="U4515">
        <f>0.006165*F4515^2</f>
        <v>0.6165</v>
      </c>
      <c r="V4515" t="str">
        <v>x</v>
      </c>
      <c r="W4515">
        <f>IF(D4497-MAX(D4497/4,2*G4495)*2&gt;0,ROUND((D4497-MAX(D4497/4,2*G4495)*2)/H4515,0),0)</f>
        <v>14</v>
      </c>
      <c r="X4515" t="str">
        <v>x</v>
      </c>
      <c r="Y4515">
        <f>D4500</f>
        <v>1</v>
      </c>
      <c r="Z4515" t="str">
        <v>=</v>
      </c>
      <c r="AA4515">
        <f>N4515*U4515*W4515*Y4515</f>
        <v>8.37207</v>
      </c>
    </row>
    <row r="4516">
      <c r="A4516" t="str">
        <f>A4494</f>
        <v>Lantai 1</v>
      </c>
      <c r="B4516">
        <f>B4494</f>
        <v>53</v>
      </c>
      <c r="C4516" t="str">
        <v>Sengkang Tumpuan</v>
      </c>
      <c r="D4516">
        <f>VLOOKUP(D4494,'Detail Balok'!$C$10:$AU$110,41,FALSE)</f>
        <v>0</v>
      </c>
      <c r="E4516" t="str">
        <v>D</v>
      </c>
      <c r="F4516">
        <f>VLOOKUP(D4494,'Detail Balok'!$C$10:$AU$110,43,FALSE)</f>
        <v>10</v>
      </c>
      <c r="G4516" t="str">
        <v>-</v>
      </c>
      <c r="H4516">
        <f>VLOOKUP(D4494,'Detail Balok'!$C$10:$AU$110,45,FALSE)</f>
        <v>100</v>
      </c>
      <c r="J4516">
        <f>(IF(D4516=0,(2*(D4495+G4495))-(F$5*8),IF(D4516=3,(2*(D4495+G4495))-(F$5*8)+(G4495-2*F$5),IF(D4516=4,(2*(D4495+G4495))-(F$5*8)+2*(G4495-2*F$5)))))/1000</f>
        <v>0.82</v>
      </c>
      <c r="K4516" t="str">
        <v>+</v>
      </c>
      <c r="L4516">
        <f>IF(D4516=0,2*MAX(6*F4516,75),(D4516-1)*2*MAX(6*F4516,75))/1000</f>
        <v>0.15</v>
      </c>
      <c r="M4516" t="str">
        <v>=</v>
      </c>
      <c r="N4516">
        <f>J4516+L4516</f>
        <v>0.97</v>
      </c>
      <c r="T4516" t="str">
        <v>x</v>
      </c>
      <c r="U4516">
        <f>0.006165*F4516^2</f>
        <v>0.6165</v>
      </c>
      <c r="V4516" t="str">
        <v>x</v>
      </c>
      <c r="W4516">
        <f>IF(D4497&gt;4*G4495,ROUND(MAX(D4497/4,2*G4495)/H4516,0)+1,0)</f>
        <v>15</v>
      </c>
      <c r="X4516" t="str">
        <v>x</v>
      </c>
      <c r="Y4516">
        <f>D4500</f>
        <v>1</v>
      </c>
      <c r="Z4516" t="str">
        <v>=</v>
      </c>
      <c r="AA4516">
        <f>N4516*U4516*W4516*Y4516</f>
        <v>8.970075</v>
      </c>
    </row>
    <row r="4518">
      <c r="A4518" t="str">
        <f>A4494</f>
        <v>Lantai 1</v>
      </c>
      <c r="B4518">
        <f>B4494</f>
        <v>53</v>
      </c>
      <c r="C4518" t="str">
        <v>Kait Horizontal Tump.</v>
      </c>
      <c r="D4518">
        <f>VLOOKUP(D4494,'Detail Balok'!$C$10:$BJ$110,46,FALSE)</f>
        <v>0</v>
      </c>
      <c r="E4518" t="str">
        <v>D</v>
      </c>
      <c r="F4518">
        <f>VLOOKUP(D4494,'Detail Balok'!$C$10:$BJ$110,48,FALSE)</f>
        <v>0</v>
      </c>
      <c r="G4518" t="str">
        <v>-</v>
      </c>
      <c r="H4518">
        <f>VLOOKUP(D4494,'Detail Balok'!$C$10:$BJ$110,50,FALSE)</f>
        <v>100</v>
      </c>
      <c r="J4518">
        <f>(D4495-2*F$5)/1000</f>
        <v>0.09</v>
      </c>
      <c r="K4518" t="str">
        <v>+</v>
      </c>
      <c r="L4518">
        <f>IF(D4518=0,2*MAX(6*F4518,75),(D4518-1)*2*MAX(6*F4518,75))/1000</f>
        <v>0.15</v>
      </c>
      <c r="M4518" t="str">
        <v>=</v>
      </c>
      <c r="N4518">
        <f>J4518+L4518</f>
        <v>0.24</v>
      </c>
      <c r="T4518" t="str">
        <v>x</v>
      </c>
      <c r="U4518">
        <f>0.006165*F4518^2</f>
        <v>0</v>
      </c>
      <c r="V4518" t="str">
        <v>x</v>
      </c>
      <c r="W4518">
        <f>W4514</f>
        <v>15</v>
      </c>
      <c r="X4518" t="str">
        <v>x</v>
      </c>
      <c r="Y4518">
        <f>D4504</f>
        <v>2</v>
      </c>
      <c r="Z4518" t="str">
        <v>=</v>
      </c>
      <c r="AA4518">
        <f>N4518*U4518*W4518*Y4518</f>
        <v>0</v>
      </c>
    </row>
    <row r="4519">
      <c r="A4519" t="str">
        <f>A4494</f>
        <v>Lantai 1</v>
      </c>
      <c r="B4519">
        <f>B4494</f>
        <v>53</v>
      </c>
      <c r="C4519" t="str">
        <v>Kait Horizontal Lap.</v>
      </c>
      <c r="D4519">
        <f>VLOOKUP(D4494,'Detail Balok'!$C$10:$BJ$110,51,FALSE)</f>
        <v>0</v>
      </c>
      <c r="E4519" t="str">
        <v>D</v>
      </c>
      <c r="F4519">
        <f>VLOOKUP(D4494,'Detail Balok'!$C$10:$BJ$110,53,FALSE)</f>
        <v>0</v>
      </c>
      <c r="G4519" t="str">
        <v>-</v>
      </c>
      <c r="H4519">
        <f>VLOOKUP(D4494,'Detail Balok'!$C$10:$BJ$110,55,FALSE)</f>
        <v>100</v>
      </c>
      <c r="J4519">
        <f>(D4495-2*F$5)/1000</f>
        <v>0.09</v>
      </c>
      <c r="K4519" t="str">
        <v>+</v>
      </c>
      <c r="L4519">
        <f>IF(D4519=0,2*MAX(6*F4519,75),(D4519-1)*2*MAX(6*F4519,75))/1000</f>
        <v>0.15</v>
      </c>
      <c r="M4519" t="str">
        <v>=</v>
      </c>
      <c r="N4519">
        <f>J4519+L4519</f>
        <v>0.24</v>
      </c>
      <c r="T4519" t="str">
        <v>x</v>
      </c>
      <c r="U4519">
        <f>0.006165*F4519^2</f>
        <v>0</v>
      </c>
      <c r="V4519" t="str">
        <v>x</v>
      </c>
      <c r="W4519">
        <f>W4515</f>
        <v>14</v>
      </c>
      <c r="X4519" t="str">
        <v>x</v>
      </c>
      <c r="Y4519">
        <f>D4504</f>
        <v>2</v>
      </c>
      <c r="Z4519" t="str">
        <v>=</v>
      </c>
      <c r="AA4519">
        <f>N4519*U4519*W4519*Y4519</f>
        <v>0</v>
      </c>
    </row>
    <row r="4520">
      <c r="A4520" t="str">
        <f>A4494</f>
        <v>Lantai 1</v>
      </c>
      <c r="B4520">
        <f>B4494</f>
        <v>53</v>
      </c>
      <c r="C4520" t="str">
        <v>Kait Horizontal Tump.</v>
      </c>
      <c r="D4520">
        <f>VLOOKUP(D4494,'Detail Balok'!$C$10:$BJ$110,56,FALSE)</f>
        <v>0</v>
      </c>
      <c r="E4520" t="str">
        <v>D</v>
      </c>
      <c r="F4520">
        <f>VLOOKUP(D4494,'Detail Balok'!$C$10:$BJ$110,58,FALSE)</f>
        <v>0</v>
      </c>
      <c r="G4520" t="str">
        <v>-</v>
      </c>
      <c r="H4520">
        <f>VLOOKUP(D4494,'Detail Balok'!$C$10:$BJ$110,60,FALSE)</f>
        <v>100</v>
      </c>
      <c r="J4520">
        <f>(D4495-2*F$5)/1000</f>
        <v>0.09</v>
      </c>
      <c r="K4520" t="str">
        <v>+</v>
      </c>
      <c r="L4520">
        <f>IF(D4520=0,2*MAX(6*F4520,75),(D4520-1)*2*MAX(6*F4520,75))/1000</f>
        <v>0.15</v>
      </c>
      <c r="M4520" t="str">
        <v>=</v>
      </c>
      <c r="N4520">
        <f>J4520+L4520</f>
        <v>0.24</v>
      </c>
      <c r="T4520" t="str">
        <v>x</v>
      </c>
      <c r="U4520">
        <f>0.006165*F4520^2</f>
        <v>0</v>
      </c>
      <c r="V4520" t="str">
        <v>x</v>
      </c>
      <c r="W4520">
        <f>W4516</f>
        <v>15</v>
      </c>
      <c r="X4520" t="str">
        <v>x</v>
      </c>
      <c r="Y4520">
        <f>D4504</f>
        <v>2</v>
      </c>
      <c r="Z4520" t="str">
        <v>=</v>
      </c>
      <c r="AA4520">
        <f>N4520*U4520*W4520*Y4520</f>
        <v>0</v>
      </c>
    </row>
    <row r="4524">
      <c r="A4524" t="str">
        <f>A4494</f>
        <v>Lantai 1</v>
      </c>
      <c r="B4524">
        <f>B4494+1</f>
        <v>54</v>
      </c>
      <c r="C4524" t="str">
        <f>CONCATENATE(A4524," no. ",B4524)</f>
        <v>Lantai 1 no. 54</v>
      </c>
      <c r="D4524" t="str">
        <f>VLOOKUP(C4524,'Data Panjang Balok'!$C$9:$N$424,2,FALSE)</f>
        <v>B24-1</v>
      </c>
    </row>
    <row r="4525">
      <c r="C4525" t="str">
        <v>Dimensi</v>
      </c>
      <c r="D4525">
        <f>VLOOKUP(D4524,'Detail Balok'!$C$10:$AU$110,2,FALSE)</f>
        <v>200</v>
      </c>
      <c r="F4525" t="str">
        <v>x</v>
      </c>
      <c r="G4525">
        <f>VLOOKUP(D4524,'Detail Balok'!$C$10:$AU$110,3,FALSE)</f>
        <v>400</v>
      </c>
    </row>
    <row r="4526">
      <c r="C4526" t="str">
        <v>Panjang as ke as</v>
      </c>
      <c r="D4526">
        <f>VLOOKUP(C4524,'Data Panjang Balok'!$C$9:$N$424,4,FALSE)</f>
        <v>5100</v>
      </c>
    </row>
    <row r="4527">
      <c r="C4527" t="str">
        <v>Panjang netto</v>
      </c>
      <c r="D4527">
        <f>VLOOKUP(C4524,'Data Panjang Balok'!$C$9:$N$424,7,FALSE)</f>
        <v>5100</v>
      </c>
    </row>
    <row r="4528">
      <c r="C4528" t="str">
        <v>Kolom / balok kiri</v>
      </c>
      <c r="D4528">
        <f>VLOOKUP(C4524,'Data Panjang Balok'!$C$9:$N$424,9,FALSE)</f>
        <v>0</v>
      </c>
    </row>
    <row r="4529">
      <c r="C4529" t="str">
        <v>Kolom / balok kanan</v>
      </c>
      <c r="D4529">
        <f>VLOOKUP(C4524,'Data Panjang Balok'!$C$9:$N$424,10,FALSE)</f>
        <v>0</v>
      </c>
    </row>
    <row r="4530">
      <c r="C4530" t="str">
        <v>Jumlah</v>
      </c>
      <c r="D4530">
        <f>VLOOKUP(C4524,'Data Panjang Balok'!$C$9:$N$424,3,FALSE)</f>
        <v>1</v>
      </c>
    </row>
    <row r="4531">
      <c r="A4531" t="str">
        <f>A4524</f>
        <v>Lantai 1</v>
      </c>
      <c r="B4531">
        <f>B4524</f>
        <v>54</v>
      </c>
      <c r="C4531" t="str">
        <v>Tul Atas Tumpuan</v>
      </c>
      <c r="D4531">
        <f>VLOOKUP(D4524,'Detail Balok'!$C$10:$AU$110,4,FALSE)</f>
        <v>2</v>
      </c>
      <c r="E4531" t="str">
        <v>D</v>
      </c>
      <c r="F4531">
        <f>VLOOKUP(D4524,'Detail Balok'!$C$10:$AU$110,6,FALSE)</f>
        <v>13</v>
      </c>
      <c r="I4531" t="str">
        <v>(</v>
      </c>
      <c r="J4531">
        <f>+D4526/4/1000</f>
        <v>1.275</v>
      </c>
      <c r="K4531" t="str">
        <v>+</v>
      </c>
      <c r="L4531">
        <f>MAX(VLOOKUP(F4531,N$6:P$15,3,FALSE)/1000,2/3*D4528/1000)+F$16*F4531/1000</f>
        <v>0.156</v>
      </c>
      <c r="M4531" t="str">
        <v>=</v>
      </c>
      <c r="N4531">
        <f>J4531+L4531</f>
        <v>1.4309999999999998</v>
      </c>
      <c r="O4531" t="str">
        <v>+</v>
      </c>
      <c r="P4531">
        <f>D4531-D4532</f>
        <v>0</v>
      </c>
      <c r="Q4531" t="str">
        <v>x</v>
      </c>
      <c r="R4531">
        <f>IF(P4531&gt;0,$F$18*F4531/1000,0)</f>
        <v>0</v>
      </c>
      <c r="S4531" t="str">
        <v>)</v>
      </c>
      <c r="T4531" t="str">
        <v>x</v>
      </c>
      <c r="U4531">
        <f>0.006165*F4531^2</f>
        <v>1.041885</v>
      </c>
      <c r="X4531" t="str">
        <v>x</v>
      </c>
      <c r="Y4531">
        <f>D4530</f>
        <v>1</v>
      </c>
      <c r="Z4531" t="str">
        <v>=</v>
      </c>
      <c r="AA4531">
        <f>IF(AA4534=0,(D4531*N4531+P4531*R4531)*U4531*Y4531,0)</f>
        <v>0</v>
      </c>
    </row>
    <row r="4532">
      <c r="A4532" t="str">
        <f>A4524</f>
        <v>Lantai 1</v>
      </c>
      <c r="B4532">
        <f>B4524</f>
        <v>54</v>
      </c>
      <c r="C4532" t="str">
        <v>Tul Atas Lapangan</v>
      </c>
      <c r="D4532">
        <f>VLOOKUP(D4524,'Detail Balok'!$C$10:$AU$110,7,FALSE)</f>
        <v>2</v>
      </c>
      <c r="E4532" t="str">
        <v>D</v>
      </c>
      <c r="F4532">
        <f>VLOOKUP(D4524,'Detail Balok'!$C$10:$AU$110,9,FALSE)</f>
        <v>13</v>
      </c>
      <c r="I4532" t="str">
        <v>(</v>
      </c>
      <c r="J4532">
        <f>+D4526/2/1000</f>
        <v>2.55</v>
      </c>
      <c r="K4532" t="str">
        <v>+</v>
      </c>
      <c r="M4532" t="str">
        <v>=</v>
      </c>
      <c r="N4532">
        <f>J4532+L4532</f>
        <v>2.55</v>
      </c>
      <c r="O4532" t="str">
        <v>+</v>
      </c>
      <c r="P4532">
        <f>MAX(D4532-D4531,D4532-D4533)</f>
        <v>0</v>
      </c>
      <c r="Q4532" t="str">
        <v>x</v>
      </c>
      <c r="R4532">
        <f>IF(P4532&gt;0,2*(1-2*$F$19-1/2)*D4527/1000,0)</f>
        <v>0</v>
      </c>
      <c r="S4532" t="str">
        <v>)</v>
      </c>
      <c r="T4532" t="str">
        <v>x</v>
      </c>
      <c r="U4532">
        <f>0.006165*F4532^2</f>
        <v>1.041885</v>
      </c>
      <c r="X4532" t="str">
        <v>x</v>
      </c>
      <c r="Y4532">
        <f>D4530</f>
        <v>1</v>
      </c>
      <c r="Z4532" t="str">
        <v>=</v>
      </c>
      <c r="AA4532">
        <f>IF(AA4534=0,(D4532*N4532+P4532*R4532)*U4532*Y4532,0)</f>
        <v>0</v>
      </c>
    </row>
    <row r="4533">
      <c r="A4533" t="str">
        <f>A4524</f>
        <v>Lantai 1</v>
      </c>
      <c r="B4533">
        <f>B4524</f>
        <v>54</v>
      </c>
      <c r="C4533" t="str">
        <v>Tul Atas Tumpuan</v>
      </c>
      <c r="D4533">
        <f>VLOOKUP(D4524,'Detail Balok'!$C$10:$AU$110,10,FALSE)</f>
        <v>2</v>
      </c>
      <c r="E4533" t="str">
        <v>D</v>
      </c>
      <c r="F4533">
        <f>VLOOKUP(D4524,'Detail Balok'!$C$10:$AU$110,12,FALSE)</f>
        <v>13</v>
      </c>
      <c r="I4533" t="str">
        <v>(</v>
      </c>
      <c r="J4533">
        <f>+D4526/4/1000</f>
        <v>1.275</v>
      </c>
      <c r="K4533" t="str">
        <v>+</v>
      </c>
      <c r="L4533">
        <f>MAX(VLOOKUP(F4533,N$6:P$15,3,FALSE)/1000,2/3*D4528/1000)+F$16*F4533/1000</f>
        <v>0.156</v>
      </c>
      <c r="M4533" t="str">
        <v>=</v>
      </c>
      <c r="N4533">
        <f>J4533+L4533</f>
        <v>1.4309999999999998</v>
      </c>
      <c r="O4533" t="str">
        <v>+</v>
      </c>
      <c r="P4533">
        <f>D4533-D4532</f>
        <v>0</v>
      </c>
      <c r="Q4533" t="str">
        <v>x</v>
      </c>
      <c r="R4533">
        <f>IF(P4533&gt;0,$F$18*F4533/1000,0)</f>
        <v>0</v>
      </c>
      <c r="S4533" t="str">
        <v>)</v>
      </c>
      <c r="T4533" t="str">
        <v>x</v>
      </c>
      <c r="U4533">
        <f>0.006165*F4533^2</f>
        <v>1.041885</v>
      </c>
      <c r="X4533" t="str">
        <v>x</v>
      </c>
      <c r="Y4533">
        <f>D4530</f>
        <v>1</v>
      </c>
      <c r="Z4533" t="str">
        <v>=</v>
      </c>
      <c r="AA4533">
        <f>IF(AA4534=0,(D4533*N4533+P4533*R4533)*U4533*Y4533,0)</f>
        <v>0</v>
      </c>
    </row>
    <row r="4534">
      <c r="A4534" t="str">
        <f>A4524</f>
        <v>Lantai 1</v>
      </c>
      <c r="B4534">
        <f>B4524</f>
        <v>54</v>
      </c>
      <c r="D4534">
        <f>IF(AND(D4531=D4532,D4532=D4533,D4531=D4533),D4531,0)</f>
        <v>2</v>
      </c>
      <c r="E4534" t="str">
        <v>D</v>
      </c>
      <c r="F4534">
        <f>IF(AND(F4531=F4532,F4531=F4533,F4532=F4533),F4531,0)</f>
        <v>13</v>
      </c>
      <c r="L4534" t="str">
        <v>Total panjang per balok</v>
      </c>
      <c r="M4534" t="str">
        <v>=</v>
      </c>
      <c r="N4534">
        <f>IF(AND(D4531=D4532,D4531=D4533,D4532=D4533,F4531=F4532,F4531=F4533,F4532=F4533),SUM(N4531:N4533),0)</f>
        <v>5.412</v>
      </c>
      <c r="O4534" t="str">
        <v>+</v>
      </c>
      <c r="P4534">
        <f>IF(N4534&gt;12,ROUNDDOWN(N4534/12,0),0)</f>
        <v>0</v>
      </c>
      <c r="Q4534" t="str">
        <v>x</v>
      </c>
      <c r="R4534">
        <f>IF(P4534&gt;0,MAX(VLOOKUP(F4534,$D$6:$G$15,3,FALSE),600),0)/1000</f>
        <v>0</v>
      </c>
      <c r="T4534" t="str">
        <v>x</v>
      </c>
      <c r="U4534">
        <f>U4533</f>
        <v>1.041885</v>
      </c>
      <c r="V4534" t="str">
        <v>x</v>
      </c>
      <c r="W4534">
        <f>D4534</f>
        <v>2</v>
      </c>
      <c r="X4534" t="str">
        <v>x</v>
      </c>
      <c r="Y4534">
        <f>Y4533</f>
        <v>1</v>
      </c>
      <c r="Z4534" t="str">
        <v>=</v>
      </c>
      <c r="AA4534">
        <f>(N4534+P4534*R4534/1000)*U4534*W4534*Y4534</f>
        <v>11.27736324</v>
      </c>
    </row>
    <row r="4536">
      <c r="A4536" t="str">
        <f>A4524</f>
        <v>Lantai 1</v>
      </c>
      <c r="B4536">
        <f>B4524</f>
        <v>54</v>
      </c>
      <c r="C4536" t="str">
        <v>Tul Peminggang</v>
      </c>
      <c r="D4536">
        <f>VLOOKUP(D4524,'Detail Balok'!$C$10:$AU$110,13,FALSE)</f>
        <v>0</v>
      </c>
      <c r="E4536" t="str">
        <v>D</v>
      </c>
      <c r="F4536">
        <f>VLOOKUP(D4524,'Detail Balok'!$C$10:$AU$110,15,FALSE)</f>
        <v>6</v>
      </c>
      <c r="J4536">
        <f>+D4526/1000</f>
        <v>5.1</v>
      </c>
      <c r="K4536" t="str">
        <v>+</v>
      </c>
      <c r="L4536">
        <f>2*$F$16*F4536/1000</f>
        <v>0.144</v>
      </c>
      <c r="M4536" t="str">
        <v>=</v>
      </c>
      <c r="N4536">
        <f>J4536+L4536</f>
        <v>5.244</v>
      </c>
      <c r="O4536" t="str">
        <v>+</v>
      </c>
      <c r="P4536">
        <f>IF(N4536&gt;12,ROUNDDOWN(N4536/12,0),0)</f>
        <v>0</v>
      </c>
      <c r="Q4536" t="str">
        <v>x</v>
      </c>
      <c r="R4536">
        <f>IF(P4536&gt;0,MAX(VLOOKUP(F4536,$D$6:$G$15,3,FALSE),600),0)/1000</f>
        <v>0</v>
      </c>
      <c r="T4536" t="str">
        <v>x</v>
      </c>
      <c r="U4536">
        <f>0.006165*F4536^2</f>
        <v>0.22194000000000003</v>
      </c>
      <c r="V4536" t="str">
        <v>x</v>
      </c>
      <c r="W4536">
        <f>+D4536</f>
        <v>0</v>
      </c>
      <c r="X4536" t="str">
        <v>x</v>
      </c>
      <c r="Y4536">
        <f>D4530</f>
        <v>1</v>
      </c>
      <c r="Z4536" t="str">
        <v>=</v>
      </c>
      <c r="AA4536">
        <f>(N4536+P4536*R4536/1000)*U4536*W4536*Y4536</f>
        <v>0</v>
      </c>
    </row>
    <row r="4539">
      <c r="A4539" t="str">
        <f>A4524</f>
        <v>Lantai 1</v>
      </c>
      <c r="B4539">
        <f>B4524</f>
        <v>54</v>
      </c>
      <c r="C4539" t="str">
        <v>Tul Bawah Tumpuan</v>
      </c>
      <c r="D4539">
        <f>VLOOKUP(D4524,'Detail Balok'!$C$10:$AU$110,22,FALSE)</f>
        <v>2</v>
      </c>
      <c r="E4539" t="str">
        <v>D</v>
      </c>
      <c r="F4539">
        <f>VLOOKUP(D4524,'Detail Balok'!$C$10:$AU$110,24,FALSE)</f>
        <v>13</v>
      </c>
      <c r="I4539" t="str">
        <v>(</v>
      </c>
      <c r="J4539">
        <f>+J4531</f>
        <v>1.275</v>
      </c>
      <c r="K4539" t="str">
        <v>+</v>
      </c>
      <c r="L4539">
        <f>MAX(VLOOKUP(F4539,N$6:P$15,3,FALSE)/1000,2/3*D4529/1000)+F$16*F4539/1000</f>
        <v>0.156</v>
      </c>
      <c r="M4539" t="str">
        <v>=</v>
      </c>
      <c r="N4539">
        <f>J4539+L4539</f>
        <v>1.4309999999999998</v>
      </c>
      <c r="O4539" t="str">
        <v>+</v>
      </c>
      <c r="P4539">
        <f>D4539-D4540</f>
        <v>0</v>
      </c>
      <c r="Q4539" t="str">
        <v>x</v>
      </c>
      <c r="R4539">
        <f>IF(P4539&gt;0,$F$18*F4539/1000,0)</f>
        <v>0</v>
      </c>
      <c r="S4539" t="str">
        <v>)</v>
      </c>
      <c r="T4539" t="str">
        <v>x</v>
      </c>
      <c r="U4539">
        <f>0.006165*F4539^2</f>
        <v>1.041885</v>
      </c>
      <c r="X4539" t="str">
        <v>x</v>
      </c>
      <c r="Y4539">
        <f>D4530</f>
        <v>1</v>
      </c>
      <c r="Z4539" t="str">
        <v>=</v>
      </c>
      <c r="AA4539">
        <f>IF(AA4542=0,(D4539*N4539+P4539*R4539)*U4539*Y4539,0)</f>
        <v>0</v>
      </c>
    </row>
    <row r="4540">
      <c r="A4540" t="str">
        <f>A4524</f>
        <v>Lantai 1</v>
      </c>
      <c r="B4540">
        <f>B4524</f>
        <v>54</v>
      </c>
      <c r="C4540" t="str">
        <v>Tul Bawah Lapangan</v>
      </c>
      <c r="D4540">
        <f>VLOOKUP(D4524,'Detail Balok'!$C$10:$AU$110,25,FALSE)</f>
        <v>2</v>
      </c>
      <c r="E4540" t="str">
        <v>D</v>
      </c>
      <c r="F4540">
        <f>VLOOKUP(D4524,'Detail Balok'!$C$10:$AU$110,27,FALSE)</f>
        <v>13</v>
      </c>
      <c r="I4540" t="str">
        <v>(</v>
      </c>
      <c r="J4540">
        <f>+J4532</f>
        <v>2.55</v>
      </c>
      <c r="K4540" t="str">
        <v>+</v>
      </c>
      <c r="M4540" t="str">
        <v>=</v>
      </c>
      <c r="N4540">
        <f>J4540+L4540</f>
        <v>2.55</v>
      </c>
      <c r="O4540" t="str">
        <v>+</v>
      </c>
      <c r="P4540">
        <f>MAX(D4540-D4539,D4540-D4541)</f>
        <v>0</v>
      </c>
      <c r="Q4540" t="str">
        <v>x</v>
      </c>
      <c r="R4540">
        <f>IF(P4540&gt;0,2*(1-2*$F$19-1/2)*D4527/1000,0)</f>
        <v>0</v>
      </c>
      <c r="S4540" t="str">
        <v>)</v>
      </c>
      <c r="T4540" t="str">
        <v>x</v>
      </c>
      <c r="U4540">
        <f>0.006165*F4540^2</f>
        <v>1.041885</v>
      </c>
      <c r="X4540" t="str">
        <v>x</v>
      </c>
      <c r="Y4540">
        <f>D4530</f>
        <v>1</v>
      </c>
      <c r="Z4540" t="str">
        <v>=</v>
      </c>
      <c r="AA4540">
        <f>IF(AA4542=0,(D4540*N4540+P4540*R4540)*U4540*Y4540,0)</f>
        <v>0</v>
      </c>
    </row>
    <row r="4541">
      <c r="A4541" t="str">
        <f>A4524</f>
        <v>Lantai 1</v>
      </c>
      <c r="B4541">
        <f>B4524</f>
        <v>54</v>
      </c>
      <c r="C4541" t="str">
        <v>Tul Bawah Tumpuan</v>
      </c>
      <c r="D4541">
        <f>VLOOKUP(D4524,'Detail Balok'!$C$10:$AU$110,28,FALSE)</f>
        <v>2</v>
      </c>
      <c r="E4541" t="str">
        <v>D</v>
      </c>
      <c r="F4541">
        <f>VLOOKUP(D4524,'Detail Balok'!$C$10:$AU$110,30,FALSE)</f>
        <v>13</v>
      </c>
      <c r="I4541" t="str">
        <v>(</v>
      </c>
      <c r="J4541">
        <f>+J4533</f>
        <v>1.275</v>
      </c>
      <c r="K4541" t="str">
        <v>+</v>
      </c>
      <c r="L4541">
        <f>MAX(VLOOKUP(F4541,N$6:P$15,3,FALSE)/1000,2/3*D4529/1000)+F$16*F4541/1000</f>
        <v>0.156</v>
      </c>
      <c r="M4541" t="str">
        <v>=</v>
      </c>
      <c r="N4541">
        <f>J4541+L4541</f>
        <v>1.4309999999999998</v>
      </c>
      <c r="O4541" t="str">
        <v>+</v>
      </c>
      <c r="P4541">
        <f>D4541-D4540</f>
        <v>0</v>
      </c>
      <c r="Q4541" t="str">
        <v>x</v>
      </c>
      <c r="R4541">
        <f>IF(P4541&gt;0,$F$18*F4541/1000,0)</f>
        <v>0</v>
      </c>
      <c r="S4541" t="str">
        <v>)</v>
      </c>
      <c r="T4541" t="str">
        <v>x</v>
      </c>
      <c r="U4541">
        <f>0.006165*F4541^2</f>
        <v>1.041885</v>
      </c>
      <c r="X4541" t="str">
        <v>x</v>
      </c>
      <c r="Y4541">
        <f>D4530</f>
        <v>1</v>
      </c>
      <c r="Z4541" t="str">
        <v>=</v>
      </c>
      <c r="AA4541">
        <f>IF(AA4542=0,(D4541*N4541+P4541*R4541)*U4541*Y4541,0)</f>
        <v>0</v>
      </c>
    </row>
    <row r="4542">
      <c r="A4542" t="str">
        <f>A4524</f>
        <v>Lantai 1</v>
      </c>
      <c r="B4542">
        <f>B4524</f>
        <v>54</v>
      </c>
      <c r="D4542">
        <f>IF(AND(D4539=D4540,D4540=D4541,D4539=D4541),D4539,0)</f>
        <v>2</v>
      </c>
      <c r="E4542" t="str">
        <v>D</v>
      </c>
      <c r="F4542">
        <f>IF(AND(F4539=F4540,F4539=F4541,F4540=F4541),F4539,0)</f>
        <v>13</v>
      </c>
      <c r="L4542" t="str">
        <v>Total panjang per balok</v>
      </c>
      <c r="M4542" t="str">
        <v>=</v>
      </c>
      <c r="N4542">
        <f>IF(AND(D4539=D4540,D4539=D4541,D4540=D4541,F4539=F4540,F4539=F4541,F4540=F4541),SUM(N4539:N4541),0)</f>
        <v>5.412</v>
      </c>
      <c r="O4542" t="str">
        <v>+</v>
      </c>
      <c r="P4542">
        <f>IF(N4542&gt;12,ROUNDDOWN(N4542/12,0),0)</f>
        <v>0</v>
      </c>
      <c r="Q4542" t="str">
        <v>x</v>
      </c>
      <c r="R4542">
        <f>IF(P4542&gt;0,MAX(VLOOKUP(F4542,$D$6:$G$15,3,FALSE),600),0)/1000</f>
        <v>0</v>
      </c>
      <c r="T4542" t="str">
        <v>x</v>
      </c>
      <c r="U4542">
        <f>U4541</f>
        <v>1.041885</v>
      </c>
      <c r="V4542" t="str">
        <v>x</v>
      </c>
      <c r="W4542">
        <f>D4542</f>
        <v>2</v>
      </c>
      <c r="X4542" t="str">
        <v>x</v>
      </c>
      <c r="Y4542">
        <f>Y4541</f>
        <v>1</v>
      </c>
      <c r="Z4542" t="str">
        <v>=</v>
      </c>
      <c r="AA4542">
        <f>(N4542+P4542*R4542/1000)*U4542*W4542*Y4542</f>
        <v>11.27736324</v>
      </c>
    </row>
    <row r="4544">
      <c r="A4544" t="str">
        <f>A4524</f>
        <v>Lantai 1</v>
      </c>
      <c r="B4544">
        <f>B4524</f>
        <v>54</v>
      </c>
      <c r="C4544" t="str">
        <v>Sengkang Tumpuan</v>
      </c>
      <c r="D4544">
        <f>VLOOKUP(D4524,'Detail Balok'!$C$10:$AU$110,31,FALSE)</f>
        <v>0</v>
      </c>
      <c r="E4544" t="str">
        <v>D</v>
      </c>
      <c r="F4544">
        <f>VLOOKUP(D4524,'Detail Balok'!$C$10:$AU$110,33,FALSE)</f>
        <v>8</v>
      </c>
      <c r="G4544" t="str">
        <v>-</v>
      </c>
      <c r="H4544">
        <f>VLOOKUP(D4524,'Detail Balok'!$C$10:$AU$110,35,FALSE)</f>
        <v>100</v>
      </c>
      <c r="J4544">
        <f>(IF(D4544=0,(2*(D4525+G4525))-(F$5*8),IF(D4544=3,(2*(D4525+G4525))-(F$5*8)+(G4525-2*F$5),IF(D4544=4,(2*(D4525+G4525))-(F$5*8)+2*(G4525-2*F$5)))))/1000</f>
        <v>0.88</v>
      </c>
      <c r="K4544" t="str">
        <v>+</v>
      </c>
      <c r="L4544">
        <f>IF(D4544=0,2*MAX(6*F4544,75),(D4544-1)*2*MAX(6*F4544,75))/1000</f>
        <v>0.15</v>
      </c>
      <c r="M4544" t="str">
        <v>=</v>
      </c>
      <c r="N4544">
        <f>J4544+L4544</f>
        <v>1.03</v>
      </c>
      <c r="T4544" t="str">
        <v>x</v>
      </c>
      <c r="U4544">
        <f>0.006165*F4544^2</f>
        <v>0.39456</v>
      </c>
      <c r="V4544" t="str">
        <v>x</v>
      </c>
      <c r="W4544">
        <f>IF(D4527&gt;4*G4525,ROUND(MAX(D4527/4,2*G4525)/H4544,0)+1,ROUND(D4527/H4544,0)+1)</f>
        <v>14</v>
      </c>
      <c r="X4544" t="str">
        <v>x</v>
      </c>
      <c r="Y4544">
        <f>D4530</f>
        <v>1</v>
      </c>
      <c r="Z4544" t="str">
        <v>=</v>
      </c>
      <c r="AA4544">
        <f>N4544*U4544*W4544*Y4544</f>
        <v>5.689555200000001</v>
      </c>
    </row>
    <row r="4545">
      <c r="A4545" t="str">
        <f>A4524</f>
        <v>Lantai 1</v>
      </c>
      <c r="B4545">
        <f>B4524</f>
        <v>54</v>
      </c>
      <c r="C4545" t="str">
        <v>Sengkang Lapangan</v>
      </c>
      <c r="D4545">
        <f>VLOOKUP(D4524,'Detail Balok'!$C$10:$AU$110,36,FALSE)</f>
        <v>0</v>
      </c>
      <c r="E4545" t="str">
        <v>D</v>
      </c>
      <c r="F4545">
        <f>VLOOKUP(D4524,'Detail Balok'!$C$10:$AU$110,38,FALSE)</f>
        <v>8</v>
      </c>
      <c r="G4545" t="str">
        <v>-</v>
      </c>
      <c r="H4545">
        <f>VLOOKUP(D4524,'Detail Balok'!$C$10:$AU$110,40,FALSE)</f>
        <v>200</v>
      </c>
      <c r="J4545">
        <f>(IF(D4545=0,(2*(D4525+G4525))-(F$5*8),IF(D4545=3,(2*(D4525+G4525))-(F$5*8)+(G4525-2*F$5),IF(D4545=4,(2*(D4525+G4525))-(F$5*8)+2*(G4525-2*F$5)))))/1000</f>
        <v>0.88</v>
      </c>
      <c r="K4545" t="str">
        <v>+</v>
      </c>
      <c r="L4545">
        <f>IF(D4545=0,2*MAX(6*F4545,75),(D4545-1)*2*MAX(6*F4545,75))/1000</f>
        <v>0.15</v>
      </c>
      <c r="M4545" t="str">
        <v>=</v>
      </c>
      <c r="N4545">
        <f>J4545+L4545</f>
        <v>1.03</v>
      </c>
      <c r="T4545" t="str">
        <v>x</v>
      </c>
      <c r="U4545">
        <f>0.006165*F4545^2</f>
        <v>0.39456</v>
      </c>
      <c r="V4545" t="str">
        <v>x</v>
      </c>
      <c r="W4545">
        <f>IF(D4527-MAX(D4527/4,2*G4525)*2&gt;0,ROUND((D4527-MAX(D4527/4,2*G4525)*2)/H4545,0),0)</f>
        <v>13</v>
      </c>
      <c r="X4545" t="str">
        <v>x</v>
      </c>
      <c r="Y4545">
        <f>D4530</f>
        <v>1</v>
      </c>
      <c r="Z4545" t="str">
        <v>=</v>
      </c>
      <c r="AA4545">
        <f>N4545*U4545*W4545*Y4545</f>
        <v>5.2831584000000005</v>
      </c>
    </row>
    <row r="4546">
      <c r="A4546" t="str">
        <f>A4524</f>
        <v>Lantai 1</v>
      </c>
      <c r="B4546">
        <f>B4524</f>
        <v>54</v>
      </c>
      <c r="C4546" t="str">
        <v>Sengkang Tumpuan</v>
      </c>
      <c r="D4546">
        <f>VLOOKUP(D4524,'Detail Balok'!$C$10:$AU$110,41,FALSE)</f>
        <v>0</v>
      </c>
      <c r="E4546" t="str">
        <v>D</v>
      </c>
      <c r="F4546">
        <f>VLOOKUP(D4524,'Detail Balok'!$C$10:$AU$110,43,FALSE)</f>
        <v>8</v>
      </c>
      <c r="G4546" t="str">
        <v>-</v>
      </c>
      <c r="H4546">
        <f>VLOOKUP(D4524,'Detail Balok'!$C$10:$AU$110,45,FALSE)</f>
        <v>100</v>
      </c>
      <c r="J4546">
        <f>(IF(D4546=0,(2*(D4525+G4525))-(F$5*8),IF(D4546=3,(2*(D4525+G4525))-(F$5*8)+(G4525-2*F$5),IF(D4546=4,(2*(D4525+G4525))-(F$5*8)+2*(G4525-2*F$5)))))/1000</f>
        <v>0.88</v>
      </c>
      <c r="K4546" t="str">
        <v>+</v>
      </c>
      <c r="L4546">
        <f>IF(D4546=0,2*MAX(6*F4546,75),(D4546-1)*2*MAX(6*F4546,75))/1000</f>
        <v>0.15</v>
      </c>
      <c r="M4546" t="str">
        <v>=</v>
      </c>
      <c r="N4546">
        <f>J4546+L4546</f>
        <v>1.03</v>
      </c>
      <c r="T4546" t="str">
        <v>x</v>
      </c>
      <c r="U4546">
        <f>0.006165*F4546^2</f>
        <v>0.39456</v>
      </c>
      <c r="V4546" t="str">
        <v>x</v>
      </c>
      <c r="W4546">
        <f>IF(D4527&gt;4*G4525,ROUND(MAX(D4527/4,2*G4525)/H4546,0)+1,0)</f>
        <v>14</v>
      </c>
      <c r="X4546" t="str">
        <v>x</v>
      </c>
      <c r="Y4546">
        <f>D4530</f>
        <v>1</v>
      </c>
      <c r="Z4546" t="str">
        <v>=</v>
      </c>
      <c r="AA4546">
        <f>N4546*U4546*W4546*Y4546</f>
        <v>5.689555200000001</v>
      </c>
    </row>
    <row r="4548">
      <c r="A4548" t="str">
        <f>A4524</f>
        <v>Lantai 1</v>
      </c>
      <c r="B4548">
        <f>B4524</f>
        <v>54</v>
      </c>
      <c r="C4548" t="str">
        <v>Kait Horizontal Tump.</v>
      </c>
      <c r="D4548">
        <f>VLOOKUP(D4524,'Detail Balok'!$C$10:$BJ$110,46,FALSE)</f>
        <v>0</v>
      </c>
      <c r="E4548" t="str">
        <v>D</v>
      </c>
      <c r="F4548">
        <f>VLOOKUP(D4524,'Detail Balok'!$C$10:$BJ$110,48,FALSE)</f>
        <v>0</v>
      </c>
      <c r="G4548" t="str">
        <v>-</v>
      </c>
      <c r="H4548">
        <f>VLOOKUP(D4524,'Detail Balok'!$C$10:$BJ$110,50,FALSE)</f>
        <v>100</v>
      </c>
      <c r="J4548">
        <f>(D4525-2*F$5)/1000</f>
        <v>0.12</v>
      </c>
      <c r="K4548" t="str">
        <v>+</v>
      </c>
      <c r="L4548">
        <f>IF(D4548=0,2*MAX(6*F4548,75),(D4548-1)*2*MAX(6*F4548,75))/1000</f>
        <v>0.15</v>
      </c>
      <c r="M4548" t="str">
        <v>=</v>
      </c>
      <c r="N4548">
        <f>J4548+L4548</f>
        <v>0.27</v>
      </c>
      <c r="T4548" t="str">
        <v>x</v>
      </c>
      <c r="U4548">
        <f>0.006165*F4548^2</f>
        <v>0</v>
      </c>
      <c r="V4548" t="str">
        <v>x</v>
      </c>
      <c r="W4548">
        <f>W4544</f>
        <v>14</v>
      </c>
      <c r="X4548" t="str">
        <v>x</v>
      </c>
      <c r="Y4548">
        <f>D4534</f>
        <v>2</v>
      </c>
      <c r="Z4548" t="str">
        <v>=</v>
      </c>
      <c r="AA4548">
        <f>N4548*U4548*W4548*Y4548</f>
        <v>0</v>
      </c>
    </row>
    <row r="4549">
      <c r="A4549" t="str">
        <f>A4524</f>
        <v>Lantai 1</v>
      </c>
      <c r="B4549">
        <f>B4524</f>
        <v>54</v>
      </c>
      <c r="C4549" t="str">
        <v>Kait Horizontal Lap.</v>
      </c>
      <c r="D4549">
        <f>VLOOKUP(D4524,'Detail Balok'!$C$10:$BJ$110,51,FALSE)</f>
        <v>0</v>
      </c>
      <c r="E4549" t="str">
        <v>D</v>
      </c>
      <c r="F4549">
        <f>VLOOKUP(D4524,'Detail Balok'!$C$10:$BJ$110,53,FALSE)</f>
        <v>0</v>
      </c>
      <c r="G4549" t="str">
        <v>-</v>
      </c>
      <c r="H4549">
        <f>VLOOKUP(D4524,'Detail Balok'!$C$10:$BJ$110,55,FALSE)</f>
        <v>100</v>
      </c>
      <c r="J4549">
        <f>(D4525-2*F$5)/1000</f>
        <v>0.12</v>
      </c>
      <c r="K4549" t="str">
        <v>+</v>
      </c>
      <c r="L4549">
        <f>IF(D4549=0,2*MAX(6*F4549,75),(D4549-1)*2*MAX(6*F4549,75))/1000</f>
        <v>0.15</v>
      </c>
      <c r="M4549" t="str">
        <v>=</v>
      </c>
      <c r="N4549">
        <f>J4549+L4549</f>
        <v>0.27</v>
      </c>
      <c r="T4549" t="str">
        <v>x</v>
      </c>
      <c r="U4549">
        <f>0.006165*F4549^2</f>
        <v>0</v>
      </c>
      <c r="V4549" t="str">
        <v>x</v>
      </c>
      <c r="W4549">
        <f>W4545</f>
        <v>13</v>
      </c>
      <c r="X4549" t="str">
        <v>x</v>
      </c>
      <c r="Y4549">
        <f>D4534</f>
        <v>2</v>
      </c>
      <c r="Z4549" t="str">
        <v>=</v>
      </c>
      <c r="AA4549">
        <f>N4549*U4549*W4549*Y4549</f>
        <v>0</v>
      </c>
    </row>
    <row r="4550">
      <c r="A4550" t="str">
        <f>A4524</f>
        <v>Lantai 1</v>
      </c>
      <c r="B4550">
        <f>B4524</f>
        <v>54</v>
      </c>
      <c r="C4550" t="str">
        <v>Kait Horizontal Tump.</v>
      </c>
      <c r="D4550">
        <f>VLOOKUP(D4524,'Detail Balok'!$C$10:$BJ$110,56,FALSE)</f>
        <v>0</v>
      </c>
      <c r="E4550" t="str">
        <v>D</v>
      </c>
      <c r="F4550">
        <f>VLOOKUP(D4524,'Detail Balok'!$C$10:$BJ$110,58,FALSE)</f>
        <v>0</v>
      </c>
      <c r="G4550" t="str">
        <v>-</v>
      </c>
      <c r="H4550">
        <f>VLOOKUP(D4524,'Detail Balok'!$C$10:$BJ$110,60,FALSE)</f>
        <v>100</v>
      </c>
      <c r="J4550">
        <f>(D4525-2*F$5)/1000</f>
        <v>0.12</v>
      </c>
      <c r="K4550" t="str">
        <v>+</v>
      </c>
      <c r="L4550">
        <f>IF(D4550=0,2*MAX(6*F4550,75),(D4550-1)*2*MAX(6*F4550,75))/1000</f>
        <v>0.15</v>
      </c>
      <c r="M4550" t="str">
        <v>=</v>
      </c>
      <c r="N4550">
        <f>J4550+L4550</f>
        <v>0.27</v>
      </c>
      <c r="T4550" t="str">
        <v>x</v>
      </c>
      <c r="U4550">
        <f>0.006165*F4550^2</f>
        <v>0</v>
      </c>
      <c r="V4550" t="str">
        <v>x</v>
      </c>
      <c r="W4550">
        <f>W4546</f>
        <v>14</v>
      </c>
      <c r="X4550" t="str">
        <v>x</v>
      </c>
      <c r="Y4550">
        <f>D4534</f>
        <v>2</v>
      </c>
      <c r="Z4550" t="str">
        <v>=</v>
      </c>
      <c r="AA4550">
        <f>N4550*U4550*W4550*Y4550</f>
        <v>0</v>
      </c>
    </row>
    <row r="4554">
      <c r="A4554" t="str">
        <f>A4524</f>
        <v>Lantai 1</v>
      </c>
      <c r="B4554">
        <f>B4524+1</f>
        <v>55</v>
      </c>
      <c r="C4554" t="str">
        <f>CONCATENATE(A4554," no. ",B4554)</f>
        <v>Lantai 1 no. 55</v>
      </c>
      <c r="D4554" t="str">
        <f>VLOOKUP(C4554,'Data Panjang Balok'!$C$9:$N$424,2,FALSE)</f>
        <v>B25-1</v>
      </c>
    </row>
    <row r="4555">
      <c r="C4555" t="str">
        <v>Dimensi</v>
      </c>
      <c r="D4555">
        <f>VLOOKUP(D4554,'Detail Balok'!$C$10:$AU$110,2,FALSE)</f>
        <v>200</v>
      </c>
      <c r="F4555" t="str">
        <v>x</v>
      </c>
      <c r="G4555">
        <f>VLOOKUP(D4554,'Detail Balok'!$C$10:$AU$110,3,FALSE)</f>
        <v>500</v>
      </c>
    </row>
    <row r="4556">
      <c r="C4556" t="str">
        <v>Panjang as ke as</v>
      </c>
      <c r="D4556">
        <f>VLOOKUP(C4554,'Data Panjang Balok'!$C$9:$N$424,4,FALSE)</f>
        <v>2900</v>
      </c>
    </row>
    <row r="4557">
      <c r="C4557" t="str">
        <v>Panjang netto</v>
      </c>
      <c r="D4557">
        <f>VLOOKUP(C4554,'Data Panjang Balok'!$C$9:$N$424,7,FALSE)</f>
        <v>2900</v>
      </c>
    </row>
    <row r="4558">
      <c r="C4558" t="str">
        <v>Kolom / balok kiri</v>
      </c>
      <c r="D4558">
        <f>VLOOKUP(C4554,'Data Panjang Balok'!$C$9:$N$424,9,FALSE)</f>
        <v>0</v>
      </c>
    </row>
    <row r="4559">
      <c r="C4559" t="str">
        <v>Kolom / balok kanan</v>
      </c>
      <c r="D4559">
        <f>VLOOKUP(C4554,'Data Panjang Balok'!$C$9:$N$424,10,FALSE)</f>
        <v>0</v>
      </c>
    </row>
    <row r="4560">
      <c r="C4560" t="str">
        <v>Jumlah</v>
      </c>
      <c r="D4560">
        <f>VLOOKUP(C4554,'Data Panjang Balok'!$C$9:$N$424,3,FALSE)</f>
        <v>1</v>
      </c>
    </row>
    <row r="4561">
      <c r="A4561" t="str">
        <f>A4554</f>
        <v>Lantai 1</v>
      </c>
      <c r="B4561">
        <f>B4554</f>
        <v>55</v>
      </c>
      <c r="C4561" t="str">
        <v>Tul Atas Tumpuan</v>
      </c>
      <c r="D4561">
        <f>VLOOKUP(D4554,'Detail Balok'!$C$10:$AU$110,4,FALSE)</f>
        <v>2</v>
      </c>
      <c r="E4561" t="str">
        <v>D</v>
      </c>
      <c r="F4561">
        <f>VLOOKUP(D4554,'Detail Balok'!$C$10:$AU$110,6,FALSE)</f>
        <v>16</v>
      </c>
      <c r="I4561" t="str">
        <v>(</v>
      </c>
      <c r="J4561">
        <f>+D4556/4/1000</f>
        <v>0.725</v>
      </c>
      <c r="K4561" t="str">
        <v>+</v>
      </c>
      <c r="L4561">
        <f>MAX(VLOOKUP(F4561,N$6:P$15,3,FALSE)/1000,2/3*D4558/1000)+F$16*F4561/1000</f>
        <v>0.192</v>
      </c>
      <c r="M4561" t="str">
        <v>=</v>
      </c>
      <c r="N4561">
        <f>J4561+L4561</f>
        <v>0.917</v>
      </c>
      <c r="O4561" t="str">
        <v>+</v>
      </c>
      <c r="P4561">
        <f>D4561-D4562</f>
        <v>0</v>
      </c>
      <c r="Q4561" t="str">
        <v>x</v>
      </c>
      <c r="R4561">
        <f>IF(P4561&gt;0,$F$18*F4561/1000,0)</f>
        <v>0</v>
      </c>
      <c r="S4561" t="str">
        <v>)</v>
      </c>
      <c r="T4561" t="str">
        <v>x</v>
      </c>
      <c r="U4561">
        <f>0.006165*F4561^2</f>
        <v>1.57824</v>
      </c>
      <c r="X4561" t="str">
        <v>x</v>
      </c>
      <c r="Y4561">
        <f>D4560</f>
        <v>1</v>
      </c>
      <c r="Z4561" t="str">
        <v>=</v>
      </c>
      <c r="AA4561">
        <f>IF(AA4564=0,(D4561*N4561+P4561*R4561)*U4561*Y4561,0)</f>
        <v>0</v>
      </c>
    </row>
    <row r="4562">
      <c r="A4562" t="str">
        <f>A4554</f>
        <v>Lantai 1</v>
      </c>
      <c r="B4562">
        <f>B4554</f>
        <v>55</v>
      </c>
      <c r="C4562" t="str">
        <v>Tul Atas Lapangan</v>
      </c>
      <c r="D4562">
        <f>VLOOKUP(D4554,'Detail Balok'!$C$10:$AU$110,7,FALSE)</f>
        <v>2</v>
      </c>
      <c r="E4562" t="str">
        <v>D</v>
      </c>
      <c r="F4562">
        <f>VLOOKUP(D4554,'Detail Balok'!$C$10:$AU$110,9,FALSE)</f>
        <v>16</v>
      </c>
      <c r="I4562" t="str">
        <v>(</v>
      </c>
      <c r="J4562">
        <f>+D4556/2/1000</f>
        <v>1.45</v>
      </c>
      <c r="K4562" t="str">
        <v>+</v>
      </c>
      <c r="M4562" t="str">
        <v>=</v>
      </c>
      <c r="N4562">
        <f>J4562+L4562</f>
        <v>1.45</v>
      </c>
      <c r="O4562" t="str">
        <v>+</v>
      </c>
      <c r="P4562">
        <f>MAX(D4562-D4561,D4562-D4563)</f>
        <v>0</v>
      </c>
      <c r="Q4562" t="str">
        <v>x</v>
      </c>
      <c r="R4562">
        <f>IF(P4562&gt;0,2*(1-2*$F$19-1/2)*D4557/1000,0)</f>
        <v>0</v>
      </c>
      <c r="S4562" t="str">
        <v>)</v>
      </c>
      <c r="T4562" t="str">
        <v>x</v>
      </c>
      <c r="U4562">
        <f>0.006165*F4562^2</f>
        <v>1.57824</v>
      </c>
      <c r="X4562" t="str">
        <v>x</v>
      </c>
      <c r="Y4562">
        <f>D4560</f>
        <v>1</v>
      </c>
      <c r="Z4562" t="str">
        <v>=</v>
      </c>
      <c r="AA4562">
        <f>IF(AA4564=0,(D4562*N4562+P4562*R4562)*U4562*Y4562,0)</f>
        <v>0</v>
      </c>
    </row>
    <row r="4563">
      <c r="A4563" t="str">
        <f>A4554</f>
        <v>Lantai 1</v>
      </c>
      <c r="B4563">
        <f>B4554</f>
        <v>55</v>
      </c>
      <c r="C4563" t="str">
        <v>Tul Atas Tumpuan</v>
      </c>
      <c r="D4563">
        <f>VLOOKUP(D4554,'Detail Balok'!$C$10:$AU$110,10,FALSE)</f>
        <v>2</v>
      </c>
      <c r="E4563" t="str">
        <v>D</v>
      </c>
      <c r="F4563">
        <f>VLOOKUP(D4554,'Detail Balok'!$C$10:$AU$110,12,FALSE)</f>
        <v>16</v>
      </c>
      <c r="I4563" t="str">
        <v>(</v>
      </c>
      <c r="J4563">
        <f>+D4556/4/1000</f>
        <v>0.725</v>
      </c>
      <c r="K4563" t="str">
        <v>+</v>
      </c>
      <c r="L4563">
        <f>MAX(VLOOKUP(F4563,N$6:P$15,3,FALSE)/1000,2/3*D4558/1000)+F$16*F4563/1000</f>
        <v>0.192</v>
      </c>
      <c r="M4563" t="str">
        <v>=</v>
      </c>
      <c r="N4563">
        <f>J4563+L4563</f>
        <v>0.917</v>
      </c>
      <c r="O4563" t="str">
        <v>+</v>
      </c>
      <c r="P4563">
        <f>D4563-D4562</f>
        <v>0</v>
      </c>
      <c r="Q4563" t="str">
        <v>x</v>
      </c>
      <c r="R4563">
        <f>IF(P4563&gt;0,$F$18*F4563/1000,0)</f>
        <v>0</v>
      </c>
      <c r="S4563" t="str">
        <v>)</v>
      </c>
      <c r="T4563" t="str">
        <v>x</v>
      </c>
      <c r="U4563">
        <f>0.006165*F4563^2</f>
        <v>1.57824</v>
      </c>
      <c r="X4563" t="str">
        <v>x</v>
      </c>
      <c r="Y4563">
        <f>D4560</f>
        <v>1</v>
      </c>
      <c r="Z4563" t="str">
        <v>=</v>
      </c>
      <c r="AA4563">
        <f>IF(AA4564=0,(D4563*N4563+P4563*R4563)*U4563*Y4563,0)</f>
        <v>0</v>
      </c>
    </row>
    <row r="4564">
      <c r="A4564" t="str">
        <f>A4554</f>
        <v>Lantai 1</v>
      </c>
      <c r="B4564">
        <f>B4554</f>
        <v>55</v>
      </c>
      <c r="D4564">
        <f>IF(AND(D4561=D4562,D4562=D4563,D4561=D4563),D4561,0)</f>
        <v>2</v>
      </c>
      <c r="E4564" t="str">
        <v>D</v>
      </c>
      <c r="F4564">
        <f>IF(AND(F4561=F4562,F4561=F4563,F4562=F4563),F4561,0)</f>
        <v>16</v>
      </c>
      <c r="L4564" t="str">
        <v>Total panjang per balok</v>
      </c>
      <c r="M4564" t="str">
        <v>=</v>
      </c>
      <c r="N4564">
        <f>IF(AND(D4561=D4562,D4561=D4563,D4562=D4563,F4561=F4562,F4561=F4563,F4562=F4563),SUM(N4561:N4563),0)</f>
        <v>3.284</v>
      </c>
      <c r="O4564" t="str">
        <v>+</v>
      </c>
      <c r="P4564">
        <f>IF(N4564&gt;12,ROUNDDOWN(N4564/12,0),0)</f>
        <v>0</v>
      </c>
      <c r="Q4564" t="str">
        <v>x</v>
      </c>
      <c r="R4564">
        <f>IF(P4564&gt;0,MAX(VLOOKUP(F4564,$D$6:$G$15,3,FALSE),600),0)/1000</f>
        <v>0</v>
      </c>
      <c r="T4564" t="str">
        <v>x</v>
      </c>
      <c r="U4564">
        <f>U4563</f>
        <v>1.57824</v>
      </c>
      <c r="V4564" t="str">
        <v>x</v>
      </c>
      <c r="W4564">
        <f>D4564</f>
        <v>2</v>
      </c>
      <c r="X4564" t="str">
        <v>x</v>
      </c>
      <c r="Y4564">
        <f>Y4563</f>
        <v>1</v>
      </c>
      <c r="Z4564" t="str">
        <v>=</v>
      </c>
      <c r="AA4564">
        <f>(N4564+P4564*R4564/1000)*U4564*W4564*Y4564</f>
        <v>10.36588032</v>
      </c>
    </row>
    <row r="4566">
      <c r="A4566" t="str">
        <f>A4554</f>
        <v>Lantai 1</v>
      </c>
      <c r="B4566">
        <f>B4554</f>
        <v>55</v>
      </c>
      <c r="C4566" t="str">
        <v>Tul Peminggang</v>
      </c>
      <c r="D4566">
        <f>VLOOKUP(D4554,'Detail Balok'!$C$10:$AU$110,13,FALSE)</f>
        <v>2</v>
      </c>
      <c r="E4566" t="str">
        <v>D</v>
      </c>
      <c r="F4566">
        <f>VLOOKUP(D4554,'Detail Balok'!$C$10:$AU$110,15,FALSE)</f>
        <v>10</v>
      </c>
      <c r="J4566">
        <f>+D4556/1000</f>
        <v>2.9</v>
      </c>
      <c r="K4566" t="str">
        <v>+</v>
      </c>
      <c r="L4566">
        <f>2*$F$16*F4566/1000</f>
        <v>0.24</v>
      </c>
      <c r="M4566" t="str">
        <v>=</v>
      </c>
      <c r="N4566">
        <f>J4566+L4566</f>
        <v>3.1399999999999997</v>
      </c>
      <c r="O4566" t="str">
        <v>+</v>
      </c>
      <c r="P4566">
        <f>IF(N4566&gt;12,ROUNDDOWN(N4566/12,0),0)</f>
        <v>0</v>
      </c>
      <c r="Q4566" t="str">
        <v>x</v>
      </c>
      <c r="R4566">
        <f>IF(P4566&gt;0,MAX(VLOOKUP(F4566,$D$6:$G$15,3,FALSE),600),0)/1000</f>
        <v>0</v>
      </c>
      <c r="T4566" t="str">
        <v>x</v>
      </c>
      <c r="U4566">
        <f>0.006165*F4566^2</f>
        <v>0.6165</v>
      </c>
      <c r="V4566" t="str">
        <v>x</v>
      </c>
      <c r="W4566">
        <f>+D4566</f>
        <v>2</v>
      </c>
      <c r="X4566" t="str">
        <v>x</v>
      </c>
      <c r="Y4566">
        <f>D4560</f>
        <v>1</v>
      </c>
      <c r="Z4566" t="str">
        <v>=</v>
      </c>
      <c r="AA4566">
        <f>(N4566+P4566*R4566/1000)*U4566*W4566*Y4566</f>
        <v>3.87162</v>
      </c>
    </row>
    <row r="4569">
      <c r="A4569" t="str">
        <f>A4554</f>
        <v>Lantai 1</v>
      </c>
      <c r="B4569">
        <f>B4554</f>
        <v>55</v>
      </c>
      <c r="C4569" t="str">
        <v>Tul Bawah Tumpuan</v>
      </c>
      <c r="D4569">
        <f>VLOOKUP(D4554,'Detail Balok'!$C$10:$AU$110,22,FALSE)</f>
        <v>2</v>
      </c>
      <c r="E4569" t="str">
        <v>D</v>
      </c>
      <c r="F4569">
        <f>VLOOKUP(D4554,'Detail Balok'!$C$10:$AU$110,24,FALSE)</f>
        <v>16</v>
      </c>
      <c r="I4569" t="str">
        <v>(</v>
      </c>
      <c r="J4569">
        <f>+J4561</f>
        <v>0.725</v>
      </c>
      <c r="K4569" t="str">
        <v>+</v>
      </c>
      <c r="L4569">
        <f>MAX(VLOOKUP(F4569,N$6:P$15,3,FALSE)/1000,2/3*D4559/1000)+F$16*F4569/1000</f>
        <v>0.192</v>
      </c>
      <c r="M4569" t="str">
        <v>=</v>
      </c>
      <c r="N4569">
        <f>J4569+L4569</f>
        <v>0.917</v>
      </c>
      <c r="O4569" t="str">
        <v>+</v>
      </c>
      <c r="P4569">
        <f>D4569-D4570</f>
        <v>0</v>
      </c>
      <c r="Q4569" t="str">
        <v>x</v>
      </c>
      <c r="R4569">
        <f>IF(P4569&gt;0,$F$18*F4569/1000,0)</f>
        <v>0</v>
      </c>
      <c r="S4569" t="str">
        <v>)</v>
      </c>
      <c r="T4569" t="str">
        <v>x</v>
      </c>
      <c r="U4569">
        <f>0.006165*F4569^2</f>
        <v>1.57824</v>
      </c>
      <c r="X4569" t="str">
        <v>x</v>
      </c>
      <c r="Y4569">
        <f>D4560</f>
        <v>1</v>
      </c>
      <c r="Z4569" t="str">
        <v>=</v>
      </c>
      <c r="AA4569">
        <f>IF(AA4572=0,(D4569*N4569+P4569*R4569)*U4569*Y4569,0)</f>
        <v>0</v>
      </c>
    </row>
    <row r="4570">
      <c r="A4570" t="str">
        <f>A4554</f>
        <v>Lantai 1</v>
      </c>
      <c r="B4570">
        <f>B4554</f>
        <v>55</v>
      </c>
      <c r="C4570" t="str">
        <v>Tul Bawah Lapangan</v>
      </c>
      <c r="D4570">
        <f>VLOOKUP(D4554,'Detail Balok'!$C$10:$AU$110,25,FALSE)</f>
        <v>2</v>
      </c>
      <c r="E4570" t="str">
        <v>D</v>
      </c>
      <c r="F4570">
        <f>VLOOKUP(D4554,'Detail Balok'!$C$10:$AU$110,27,FALSE)</f>
        <v>16</v>
      </c>
      <c r="I4570" t="str">
        <v>(</v>
      </c>
      <c r="J4570">
        <f>+J4562</f>
        <v>1.45</v>
      </c>
      <c r="K4570" t="str">
        <v>+</v>
      </c>
      <c r="M4570" t="str">
        <v>=</v>
      </c>
      <c r="N4570">
        <f>J4570+L4570</f>
        <v>1.45</v>
      </c>
      <c r="O4570" t="str">
        <v>+</v>
      </c>
      <c r="P4570">
        <f>MAX(D4570-D4569,D4570-D4571)</f>
        <v>0</v>
      </c>
      <c r="Q4570" t="str">
        <v>x</v>
      </c>
      <c r="R4570">
        <f>IF(P4570&gt;0,2*(1-2*$F$19-1/2)*D4557/1000,0)</f>
        <v>0</v>
      </c>
      <c r="S4570" t="str">
        <v>)</v>
      </c>
      <c r="T4570" t="str">
        <v>x</v>
      </c>
      <c r="U4570">
        <f>0.006165*F4570^2</f>
        <v>1.57824</v>
      </c>
      <c r="X4570" t="str">
        <v>x</v>
      </c>
      <c r="Y4570">
        <f>D4560</f>
        <v>1</v>
      </c>
      <c r="Z4570" t="str">
        <v>=</v>
      </c>
      <c r="AA4570">
        <f>IF(AA4572=0,(D4570*N4570+P4570*R4570)*U4570*Y4570,0)</f>
        <v>0</v>
      </c>
    </row>
    <row r="4571">
      <c r="A4571" t="str">
        <f>A4554</f>
        <v>Lantai 1</v>
      </c>
      <c r="B4571">
        <f>B4554</f>
        <v>55</v>
      </c>
      <c r="C4571" t="str">
        <v>Tul Bawah Tumpuan</v>
      </c>
      <c r="D4571">
        <f>VLOOKUP(D4554,'Detail Balok'!$C$10:$AU$110,28,FALSE)</f>
        <v>2</v>
      </c>
      <c r="E4571" t="str">
        <v>D</v>
      </c>
      <c r="F4571">
        <f>VLOOKUP(D4554,'Detail Balok'!$C$10:$AU$110,30,FALSE)</f>
        <v>16</v>
      </c>
      <c r="I4571" t="str">
        <v>(</v>
      </c>
      <c r="J4571">
        <f>+J4563</f>
        <v>0.725</v>
      </c>
      <c r="K4571" t="str">
        <v>+</v>
      </c>
      <c r="L4571">
        <f>MAX(VLOOKUP(F4571,N$6:P$15,3,FALSE)/1000,2/3*D4559/1000)+F$16*F4571/1000</f>
        <v>0.192</v>
      </c>
      <c r="M4571" t="str">
        <v>=</v>
      </c>
      <c r="N4571">
        <f>J4571+L4571</f>
        <v>0.917</v>
      </c>
      <c r="O4571" t="str">
        <v>+</v>
      </c>
      <c r="P4571">
        <f>D4571-D4570</f>
        <v>0</v>
      </c>
      <c r="Q4571" t="str">
        <v>x</v>
      </c>
      <c r="R4571">
        <f>IF(P4571&gt;0,$F$18*F4571/1000,0)</f>
        <v>0</v>
      </c>
      <c r="S4571" t="str">
        <v>)</v>
      </c>
      <c r="T4571" t="str">
        <v>x</v>
      </c>
      <c r="U4571">
        <f>0.006165*F4571^2</f>
        <v>1.57824</v>
      </c>
      <c r="X4571" t="str">
        <v>x</v>
      </c>
      <c r="Y4571">
        <f>D4560</f>
        <v>1</v>
      </c>
      <c r="Z4571" t="str">
        <v>=</v>
      </c>
      <c r="AA4571">
        <f>IF(AA4572=0,(D4571*N4571+P4571*R4571)*U4571*Y4571,0)</f>
        <v>0</v>
      </c>
    </row>
    <row r="4572">
      <c r="A4572" t="str">
        <f>A4554</f>
        <v>Lantai 1</v>
      </c>
      <c r="B4572">
        <f>B4554</f>
        <v>55</v>
      </c>
      <c r="D4572">
        <f>IF(AND(D4569=D4570,D4570=D4571,D4569=D4571),D4569,0)</f>
        <v>2</v>
      </c>
      <c r="E4572" t="str">
        <v>D</v>
      </c>
      <c r="F4572">
        <f>IF(AND(F4569=F4570,F4569=F4571,F4570=F4571),F4569,0)</f>
        <v>16</v>
      </c>
      <c r="L4572" t="str">
        <v>Total panjang per balok</v>
      </c>
      <c r="M4572" t="str">
        <v>=</v>
      </c>
      <c r="N4572">
        <f>IF(AND(D4569=D4570,D4569=D4571,D4570=D4571,F4569=F4570,F4569=F4571,F4570=F4571),SUM(N4569:N4571),0)</f>
        <v>3.284</v>
      </c>
      <c r="O4572" t="str">
        <v>+</v>
      </c>
      <c r="P4572">
        <f>IF(N4572&gt;12,ROUNDDOWN(N4572/12,0),0)</f>
        <v>0</v>
      </c>
      <c r="Q4572" t="str">
        <v>x</v>
      </c>
      <c r="R4572">
        <f>IF(P4572&gt;0,MAX(VLOOKUP(F4572,$D$6:$G$15,3,FALSE),600),0)/1000</f>
        <v>0</v>
      </c>
      <c r="T4572" t="str">
        <v>x</v>
      </c>
      <c r="U4572">
        <f>U4571</f>
        <v>1.57824</v>
      </c>
      <c r="V4572" t="str">
        <v>x</v>
      </c>
      <c r="W4572">
        <f>D4572</f>
        <v>2</v>
      </c>
      <c r="X4572" t="str">
        <v>x</v>
      </c>
      <c r="Y4572">
        <f>Y4571</f>
        <v>1</v>
      </c>
      <c r="Z4572" t="str">
        <v>=</v>
      </c>
      <c r="AA4572">
        <f>(N4572+P4572*R4572/1000)*U4572*W4572*Y4572</f>
        <v>10.36588032</v>
      </c>
    </row>
    <row r="4574">
      <c r="A4574" t="str">
        <f>A4554</f>
        <v>Lantai 1</v>
      </c>
      <c r="B4574">
        <f>B4554</f>
        <v>55</v>
      </c>
      <c r="C4574" t="str">
        <v>Sengkang Tumpuan</v>
      </c>
      <c r="D4574">
        <f>VLOOKUP(D4554,'Detail Balok'!$C$10:$AU$110,31,FALSE)</f>
        <v>0</v>
      </c>
      <c r="E4574" t="str">
        <v>D</v>
      </c>
      <c r="F4574">
        <f>VLOOKUP(D4554,'Detail Balok'!$C$10:$AU$110,33,FALSE)</f>
        <v>10</v>
      </c>
      <c r="G4574" t="str">
        <v>-</v>
      </c>
      <c r="H4574">
        <f>VLOOKUP(D4554,'Detail Balok'!$C$10:$AU$110,35,FALSE)</f>
        <v>100</v>
      </c>
      <c r="J4574">
        <f>(IF(D4574=0,(2*(D4555+G4555))-(F$5*8),IF(D4574=3,(2*(D4555+G4555))-(F$5*8)+(G4555-2*F$5),IF(D4574=4,(2*(D4555+G4555))-(F$5*8)+2*(G4555-2*F$5)))))/1000</f>
        <v>1.08</v>
      </c>
      <c r="K4574" t="str">
        <v>+</v>
      </c>
      <c r="L4574">
        <f>IF(D4574=0,2*MAX(6*F4574,75),(D4574-1)*2*MAX(6*F4574,75))/1000</f>
        <v>0.15</v>
      </c>
      <c r="M4574" t="str">
        <v>=</v>
      </c>
      <c r="N4574">
        <f>J4574+L4574</f>
        <v>1.23</v>
      </c>
      <c r="T4574" t="str">
        <v>x</v>
      </c>
      <c r="U4574">
        <f>0.006165*F4574^2</f>
        <v>0.6165</v>
      </c>
      <c r="V4574" t="str">
        <v>x</v>
      </c>
      <c r="W4574">
        <f>IF(D4557&gt;4*G4555,ROUND(MAX(D4557/4,2*G4555)/H4574,0)+1,ROUND(D4557/H4574,0)+1)</f>
        <v>11</v>
      </c>
      <c r="X4574" t="str">
        <v>x</v>
      </c>
      <c r="Y4574">
        <f>D4560</f>
        <v>1</v>
      </c>
      <c r="Z4574" t="str">
        <v>=</v>
      </c>
      <c r="AA4574">
        <f>N4574*U4574*W4574*Y4574</f>
        <v>8.341245</v>
      </c>
    </row>
    <row r="4575">
      <c r="A4575" t="str">
        <f>A4554</f>
        <v>Lantai 1</v>
      </c>
      <c r="B4575">
        <f>B4554</f>
        <v>55</v>
      </c>
      <c r="C4575" t="str">
        <v>Sengkang Lapangan</v>
      </c>
      <c r="D4575">
        <f>VLOOKUP(D4554,'Detail Balok'!$C$10:$AU$110,36,FALSE)</f>
        <v>0</v>
      </c>
      <c r="E4575" t="str">
        <v>D</v>
      </c>
      <c r="F4575">
        <f>VLOOKUP(D4554,'Detail Balok'!$C$10:$AU$110,38,FALSE)</f>
        <v>10</v>
      </c>
      <c r="G4575" t="str">
        <v>-</v>
      </c>
      <c r="H4575">
        <f>VLOOKUP(D4554,'Detail Balok'!$C$10:$AU$110,40,FALSE)</f>
        <v>200</v>
      </c>
      <c r="J4575">
        <f>(IF(D4575=0,(2*(D4555+G4555))-(F$5*8),IF(D4575=3,(2*(D4555+G4555))-(F$5*8)+(G4555-2*F$5),IF(D4575=4,(2*(D4555+G4555))-(F$5*8)+2*(G4555-2*F$5)))))/1000</f>
        <v>1.08</v>
      </c>
      <c r="K4575" t="str">
        <v>+</v>
      </c>
      <c r="L4575">
        <f>IF(D4575=0,2*MAX(6*F4575,75),(D4575-1)*2*MAX(6*F4575,75))/1000</f>
        <v>0.15</v>
      </c>
      <c r="M4575" t="str">
        <v>=</v>
      </c>
      <c r="N4575">
        <f>J4575+L4575</f>
        <v>1.23</v>
      </c>
      <c r="T4575" t="str">
        <v>x</v>
      </c>
      <c r="U4575">
        <f>0.006165*F4575^2</f>
        <v>0.6165</v>
      </c>
      <c r="V4575" t="str">
        <v>x</v>
      </c>
      <c r="W4575">
        <f>IF(D4557-MAX(D4557/4,2*G4555)*2&gt;0,ROUND((D4557-MAX(D4557/4,2*G4555)*2)/H4575,0),0)</f>
        <v>5</v>
      </c>
      <c r="X4575" t="str">
        <v>x</v>
      </c>
      <c r="Y4575">
        <f>D4560</f>
        <v>1</v>
      </c>
      <c r="Z4575" t="str">
        <v>=</v>
      </c>
      <c r="AA4575">
        <f>N4575*U4575*W4575*Y4575</f>
        <v>3.791475</v>
      </c>
    </row>
    <row r="4576">
      <c r="A4576" t="str">
        <f>A4554</f>
        <v>Lantai 1</v>
      </c>
      <c r="B4576">
        <f>B4554</f>
        <v>55</v>
      </c>
      <c r="C4576" t="str">
        <v>Sengkang Tumpuan</v>
      </c>
      <c r="D4576">
        <f>VLOOKUP(D4554,'Detail Balok'!$C$10:$AU$110,41,FALSE)</f>
        <v>0</v>
      </c>
      <c r="E4576" t="str">
        <v>D</v>
      </c>
      <c r="F4576">
        <f>VLOOKUP(D4554,'Detail Balok'!$C$10:$AU$110,43,FALSE)</f>
        <v>10</v>
      </c>
      <c r="G4576" t="str">
        <v>-</v>
      </c>
      <c r="H4576">
        <f>VLOOKUP(D4554,'Detail Balok'!$C$10:$AU$110,45,FALSE)</f>
        <v>100</v>
      </c>
      <c r="J4576">
        <f>(IF(D4576=0,(2*(D4555+G4555))-(F$5*8),IF(D4576=3,(2*(D4555+G4555))-(F$5*8)+(G4555-2*F$5),IF(D4576=4,(2*(D4555+G4555))-(F$5*8)+2*(G4555-2*F$5)))))/1000</f>
        <v>1.08</v>
      </c>
      <c r="K4576" t="str">
        <v>+</v>
      </c>
      <c r="L4576">
        <f>IF(D4576=0,2*MAX(6*F4576,75),(D4576-1)*2*MAX(6*F4576,75))/1000</f>
        <v>0.15</v>
      </c>
      <c r="M4576" t="str">
        <v>=</v>
      </c>
      <c r="N4576">
        <f>J4576+L4576</f>
        <v>1.23</v>
      </c>
      <c r="T4576" t="str">
        <v>x</v>
      </c>
      <c r="U4576">
        <f>0.006165*F4576^2</f>
        <v>0.6165</v>
      </c>
      <c r="V4576" t="str">
        <v>x</v>
      </c>
      <c r="W4576">
        <f>IF(D4557&gt;4*G4555,ROUND(MAX(D4557/4,2*G4555)/H4576,0)+1,0)</f>
        <v>11</v>
      </c>
      <c r="X4576" t="str">
        <v>x</v>
      </c>
      <c r="Y4576">
        <f>D4560</f>
        <v>1</v>
      </c>
      <c r="Z4576" t="str">
        <v>=</v>
      </c>
      <c r="AA4576">
        <f>N4576*U4576*W4576*Y4576</f>
        <v>8.341245</v>
      </c>
    </row>
    <row r="4578">
      <c r="A4578" t="str">
        <f>A4554</f>
        <v>Lantai 1</v>
      </c>
      <c r="B4578">
        <f>B4554</f>
        <v>55</v>
      </c>
      <c r="C4578" t="str">
        <v>Kait Horizontal Tump.</v>
      </c>
      <c r="D4578">
        <f>VLOOKUP(D4554,'Detail Balok'!$C$10:$BJ$110,46,FALSE)</f>
        <v>0</v>
      </c>
      <c r="E4578" t="str">
        <v>D</v>
      </c>
      <c r="F4578">
        <f>VLOOKUP(D4554,'Detail Balok'!$C$10:$BJ$110,48,FALSE)</f>
        <v>0</v>
      </c>
      <c r="G4578" t="str">
        <v>-</v>
      </c>
      <c r="H4578">
        <f>VLOOKUP(D4554,'Detail Balok'!$C$10:$BJ$110,50,FALSE)</f>
        <v>100</v>
      </c>
      <c r="J4578">
        <f>(D4555-2*F$5)/1000</f>
        <v>0.12</v>
      </c>
      <c r="K4578" t="str">
        <v>+</v>
      </c>
      <c r="L4578">
        <f>IF(D4578=0,2*MAX(6*F4578,75),(D4578-1)*2*MAX(6*F4578,75))/1000</f>
        <v>0.15</v>
      </c>
      <c r="M4578" t="str">
        <v>=</v>
      </c>
      <c r="N4578">
        <f>J4578+L4578</f>
        <v>0.27</v>
      </c>
      <c r="T4578" t="str">
        <v>x</v>
      </c>
      <c r="U4578">
        <f>0.006165*F4578^2</f>
        <v>0</v>
      </c>
      <c r="V4578" t="str">
        <v>x</v>
      </c>
      <c r="W4578">
        <f>W4574</f>
        <v>11</v>
      </c>
      <c r="X4578" t="str">
        <v>x</v>
      </c>
      <c r="Y4578">
        <f>D4564</f>
        <v>2</v>
      </c>
      <c r="Z4578" t="str">
        <v>=</v>
      </c>
      <c r="AA4578">
        <f>N4578*U4578*W4578*Y4578</f>
        <v>0</v>
      </c>
    </row>
    <row r="4579">
      <c r="A4579" t="str">
        <f>A4554</f>
        <v>Lantai 1</v>
      </c>
      <c r="B4579">
        <f>B4554</f>
        <v>55</v>
      </c>
      <c r="C4579" t="str">
        <v>Kait Horizontal Lap.</v>
      </c>
      <c r="D4579">
        <f>VLOOKUP(D4554,'Detail Balok'!$C$10:$BJ$110,51,FALSE)</f>
        <v>0</v>
      </c>
      <c r="E4579" t="str">
        <v>D</v>
      </c>
      <c r="F4579">
        <f>VLOOKUP(D4554,'Detail Balok'!$C$10:$BJ$110,53,FALSE)</f>
        <v>0</v>
      </c>
      <c r="G4579" t="str">
        <v>-</v>
      </c>
      <c r="H4579">
        <f>VLOOKUP(D4554,'Detail Balok'!$C$10:$BJ$110,55,FALSE)</f>
        <v>100</v>
      </c>
      <c r="J4579">
        <f>(D4555-2*F$5)/1000</f>
        <v>0.12</v>
      </c>
      <c r="K4579" t="str">
        <v>+</v>
      </c>
      <c r="L4579">
        <f>IF(D4579=0,2*MAX(6*F4579,75),(D4579-1)*2*MAX(6*F4579,75))/1000</f>
        <v>0.15</v>
      </c>
      <c r="M4579" t="str">
        <v>=</v>
      </c>
      <c r="N4579">
        <f>J4579+L4579</f>
        <v>0.27</v>
      </c>
      <c r="T4579" t="str">
        <v>x</v>
      </c>
      <c r="U4579">
        <f>0.006165*F4579^2</f>
        <v>0</v>
      </c>
      <c r="V4579" t="str">
        <v>x</v>
      </c>
      <c r="W4579">
        <f>W4575</f>
        <v>5</v>
      </c>
      <c r="X4579" t="str">
        <v>x</v>
      </c>
      <c r="Y4579">
        <f>D4564</f>
        <v>2</v>
      </c>
      <c r="Z4579" t="str">
        <v>=</v>
      </c>
      <c r="AA4579">
        <f>N4579*U4579*W4579*Y4579</f>
        <v>0</v>
      </c>
    </row>
    <row r="4580">
      <c r="A4580" t="str">
        <f>A4554</f>
        <v>Lantai 1</v>
      </c>
      <c r="B4580">
        <f>B4554</f>
        <v>55</v>
      </c>
      <c r="C4580" t="str">
        <v>Kait Horizontal Tump.</v>
      </c>
      <c r="D4580">
        <f>VLOOKUP(D4554,'Detail Balok'!$C$10:$BJ$110,56,FALSE)</f>
        <v>0</v>
      </c>
      <c r="E4580" t="str">
        <v>D</v>
      </c>
      <c r="F4580">
        <f>VLOOKUP(D4554,'Detail Balok'!$C$10:$BJ$110,58,FALSE)</f>
        <v>0</v>
      </c>
      <c r="G4580" t="str">
        <v>-</v>
      </c>
      <c r="H4580">
        <f>VLOOKUP(D4554,'Detail Balok'!$C$10:$BJ$110,60,FALSE)</f>
        <v>100</v>
      </c>
      <c r="J4580">
        <f>(D4555-2*F$5)/1000</f>
        <v>0.12</v>
      </c>
      <c r="K4580" t="str">
        <v>+</v>
      </c>
      <c r="L4580">
        <f>IF(D4580=0,2*MAX(6*F4580,75),(D4580-1)*2*MAX(6*F4580,75))/1000</f>
        <v>0.15</v>
      </c>
      <c r="M4580" t="str">
        <v>=</v>
      </c>
      <c r="N4580">
        <f>J4580+L4580</f>
        <v>0.27</v>
      </c>
      <c r="T4580" t="str">
        <v>x</v>
      </c>
      <c r="U4580">
        <f>0.006165*F4580^2</f>
        <v>0</v>
      </c>
      <c r="V4580" t="str">
        <v>x</v>
      </c>
      <c r="W4580">
        <f>W4576</f>
        <v>11</v>
      </c>
      <c r="X4580" t="str">
        <v>x</v>
      </c>
      <c r="Y4580">
        <f>D4564</f>
        <v>2</v>
      </c>
      <c r="Z4580" t="str">
        <v>=</v>
      </c>
      <c r="AA4580">
        <f>N4580*U4580*W4580*Y4580</f>
        <v>0</v>
      </c>
    </row>
    <row r="4584">
      <c r="A4584" t="str">
        <f>A4554</f>
        <v>Lantai 1</v>
      </c>
      <c r="B4584">
        <f>B4554+1</f>
        <v>56</v>
      </c>
      <c r="C4584" t="str">
        <f>CONCATENATE(A4584," no. ",B4584)</f>
        <v>Lantai 1 no. 56</v>
      </c>
      <c r="D4584" t="str">
        <f>VLOOKUP(C4584,'Data Panjang Balok'!$C$9:$N$424,2,FALSE)</f>
        <v>B245-2</v>
      </c>
    </row>
    <row r="4585">
      <c r="C4585" t="str">
        <v>Dimensi</v>
      </c>
      <c r="D4585">
        <f>VLOOKUP(D4584,'Detail Balok'!$C$10:$AU$110,2,FALSE)</f>
        <v>200</v>
      </c>
      <c r="F4585" t="str">
        <v>x</v>
      </c>
      <c r="G4585">
        <f>VLOOKUP(D4584,'Detail Balok'!$C$10:$AU$110,3,FALSE)</f>
        <v>450</v>
      </c>
    </row>
    <row r="4586">
      <c r="C4586" t="str">
        <v>Panjang as ke as</v>
      </c>
      <c r="D4586">
        <f>VLOOKUP(C4584,'Data Panjang Balok'!$C$9:$N$424,4,FALSE)</f>
        <v>7570</v>
      </c>
    </row>
    <row r="4587">
      <c r="C4587" t="str">
        <v>Panjang netto</v>
      </c>
      <c r="D4587">
        <f>VLOOKUP(C4584,'Data Panjang Balok'!$C$9:$N$424,7,FALSE)</f>
        <v>7570</v>
      </c>
    </row>
    <row r="4588">
      <c r="C4588" t="str">
        <v>Kolom / balok kiri</v>
      </c>
      <c r="D4588">
        <f>VLOOKUP(C4584,'Data Panjang Balok'!$C$9:$N$424,9,FALSE)</f>
        <v>0</v>
      </c>
    </row>
    <row r="4589">
      <c r="C4589" t="str">
        <v>Kolom / balok kanan</v>
      </c>
      <c r="D4589">
        <f>VLOOKUP(C4584,'Data Panjang Balok'!$C$9:$N$424,10,FALSE)</f>
        <v>0</v>
      </c>
    </row>
    <row r="4590">
      <c r="C4590" t="str">
        <v>Jumlah</v>
      </c>
      <c r="D4590">
        <f>VLOOKUP(C4584,'Data Panjang Balok'!$C$9:$N$424,3,FALSE)</f>
        <v>1</v>
      </c>
    </row>
    <row r="4591">
      <c r="A4591" t="str">
        <f>A4584</f>
        <v>Lantai 1</v>
      </c>
      <c r="B4591">
        <f>B4584</f>
        <v>56</v>
      </c>
      <c r="C4591" t="str">
        <v>Tul Atas Tumpuan</v>
      </c>
      <c r="D4591">
        <f>VLOOKUP(D4584,'Detail Balok'!$C$10:$AU$110,4,FALSE)</f>
        <v>3</v>
      </c>
      <c r="E4591" t="str">
        <v>D</v>
      </c>
      <c r="F4591">
        <f>VLOOKUP(D4584,'Detail Balok'!$C$10:$AU$110,6,FALSE)</f>
        <v>13</v>
      </c>
      <c r="I4591" t="str">
        <v>(</v>
      </c>
      <c r="J4591">
        <f>+D4586/4/1000</f>
        <v>1.8925</v>
      </c>
      <c r="K4591" t="str">
        <v>+</v>
      </c>
      <c r="L4591">
        <f>MAX(VLOOKUP(F4591,N$6:P$15,3,FALSE)/1000,2/3*D4588/1000)+F$16*F4591/1000</f>
        <v>0.156</v>
      </c>
      <c r="M4591" t="str">
        <v>=</v>
      </c>
      <c r="N4591">
        <f>J4591+L4591</f>
        <v>2.0485</v>
      </c>
      <c r="O4591" t="str">
        <v>+</v>
      </c>
      <c r="P4591">
        <f>D4591-D4592</f>
        <v>0</v>
      </c>
      <c r="Q4591" t="str">
        <v>x</v>
      </c>
      <c r="R4591">
        <f>IF(P4591&gt;0,$F$18*F4591/1000,0)</f>
        <v>0</v>
      </c>
      <c r="S4591" t="str">
        <v>)</v>
      </c>
      <c r="T4591" t="str">
        <v>x</v>
      </c>
      <c r="U4591">
        <f>0.006165*F4591^2</f>
        <v>1.041885</v>
      </c>
      <c r="X4591" t="str">
        <v>x</v>
      </c>
      <c r="Y4591">
        <f>D4590</f>
        <v>1</v>
      </c>
      <c r="Z4591" t="str">
        <v>=</v>
      </c>
      <c r="AA4591">
        <f>IF(AA4594=0,(D4591*N4591+P4591*R4591)*U4591*Y4591,0)</f>
        <v>0</v>
      </c>
    </row>
    <row r="4592">
      <c r="A4592" t="str">
        <f>A4584</f>
        <v>Lantai 1</v>
      </c>
      <c r="B4592">
        <f>B4584</f>
        <v>56</v>
      </c>
      <c r="C4592" t="str">
        <v>Tul Atas Lapangan</v>
      </c>
      <c r="D4592">
        <f>VLOOKUP(D4584,'Detail Balok'!$C$10:$AU$110,7,FALSE)</f>
        <v>3</v>
      </c>
      <c r="E4592" t="str">
        <v>D</v>
      </c>
      <c r="F4592">
        <f>VLOOKUP(D4584,'Detail Balok'!$C$10:$AU$110,9,FALSE)</f>
        <v>13</v>
      </c>
      <c r="I4592" t="str">
        <v>(</v>
      </c>
      <c r="J4592">
        <f>+D4586/2/1000</f>
        <v>3.785</v>
      </c>
      <c r="K4592" t="str">
        <v>+</v>
      </c>
      <c r="M4592" t="str">
        <v>=</v>
      </c>
      <c r="N4592">
        <f>J4592+L4592</f>
        <v>3.785</v>
      </c>
      <c r="O4592" t="str">
        <v>+</v>
      </c>
      <c r="P4592">
        <f>MAX(D4592-D4591,D4592-D4593)</f>
        <v>0</v>
      </c>
      <c r="Q4592" t="str">
        <v>x</v>
      </c>
      <c r="R4592">
        <f>IF(P4592&gt;0,2*(1-2*$F$19-1/2)*D4587/1000,0)</f>
        <v>0</v>
      </c>
      <c r="S4592" t="str">
        <v>)</v>
      </c>
      <c r="T4592" t="str">
        <v>x</v>
      </c>
      <c r="U4592">
        <f>0.006165*F4592^2</f>
        <v>1.041885</v>
      </c>
      <c r="X4592" t="str">
        <v>x</v>
      </c>
      <c r="Y4592">
        <f>D4590</f>
        <v>1</v>
      </c>
      <c r="Z4592" t="str">
        <v>=</v>
      </c>
      <c r="AA4592">
        <f>IF(AA4594=0,(D4592*N4592+P4592*R4592)*U4592*Y4592,0)</f>
        <v>0</v>
      </c>
    </row>
    <row r="4593">
      <c r="A4593" t="str">
        <f>A4584</f>
        <v>Lantai 1</v>
      </c>
      <c r="B4593">
        <f>B4584</f>
        <v>56</v>
      </c>
      <c r="C4593" t="str">
        <v>Tul Atas Tumpuan</v>
      </c>
      <c r="D4593">
        <f>VLOOKUP(D4584,'Detail Balok'!$C$10:$AU$110,10,FALSE)</f>
        <v>3</v>
      </c>
      <c r="E4593" t="str">
        <v>D</v>
      </c>
      <c r="F4593">
        <f>VLOOKUP(D4584,'Detail Balok'!$C$10:$AU$110,12,FALSE)</f>
        <v>13</v>
      </c>
      <c r="I4593" t="str">
        <v>(</v>
      </c>
      <c r="J4593">
        <f>+D4586/4/1000</f>
        <v>1.8925</v>
      </c>
      <c r="K4593" t="str">
        <v>+</v>
      </c>
      <c r="L4593">
        <f>MAX(VLOOKUP(F4593,N$6:P$15,3,FALSE)/1000,2/3*D4588/1000)+F$16*F4593/1000</f>
        <v>0.156</v>
      </c>
      <c r="M4593" t="str">
        <v>=</v>
      </c>
      <c r="N4593">
        <f>J4593+L4593</f>
        <v>2.0485</v>
      </c>
      <c r="O4593" t="str">
        <v>+</v>
      </c>
      <c r="P4593">
        <f>D4593-D4592</f>
        <v>0</v>
      </c>
      <c r="Q4593" t="str">
        <v>x</v>
      </c>
      <c r="R4593">
        <f>IF(P4593&gt;0,$F$18*F4593/1000,0)</f>
        <v>0</v>
      </c>
      <c r="S4593" t="str">
        <v>)</v>
      </c>
      <c r="T4593" t="str">
        <v>x</v>
      </c>
      <c r="U4593">
        <f>0.006165*F4593^2</f>
        <v>1.041885</v>
      </c>
      <c r="X4593" t="str">
        <v>x</v>
      </c>
      <c r="Y4593">
        <f>D4590</f>
        <v>1</v>
      </c>
      <c r="Z4593" t="str">
        <v>=</v>
      </c>
      <c r="AA4593">
        <f>IF(AA4594=0,(D4593*N4593+P4593*R4593)*U4593*Y4593,0)</f>
        <v>0</v>
      </c>
    </row>
    <row r="4594">
      <c r="A4594" t="str">
        <f>A4584</f>
        <v>Lantai 1</v>
      </c>
      <c r="B4594">
        <f>B4584</f>
        <v>56</v>
      </c>
      <c r="D4594">
        <f>IF(AND(D4591=D4592,D4592=D4593,D4591=D4593),D4591,0)</f>
        <v>3</v>
      </c>
      <c r="E4594" t="str">
        <v>D</v>
      </c>
      <c r="F4594">
        <f>IF(AND(F4591=F4592,F4591=F4593,F4592=F4593),F4591,0)</f>
        <v>13</v>
      </c>
      <c r="L4594" t="str">
        <v>Total panjang per balok</v>
      </c>
      <c r="M4594" t="str">
        <v>=</v>
      </c>
      <c r="N4594">
        <f>IF(AND(D4591=D4592,D4591=D4593,D4592=D4593,F4591=F4592,F4591=F4593,F4592=F4593),SUM(N4591:N4593),0)</f>
        <v>7.8820000000000014</v>
      </c>
      <c r="O4594" t="str">
        <v>+</v>
      </c>
      <c r="P4594">
        <f>IF(N4594&gt;12,ROUNDDOWN(N4594/12,0),0)</f>
        <v>0</v>
      </c>
      <c r="Q4594" t="str">
        <v>x</v>
      </c>
      <c r="R4594">
        <f>IF(P4594&gt;0,MAX(VLOOKUP(F4594,$D$6:$G$15,3,FALSE),600),0)/1000</f>
        <v>0</v>
      </c>
      <c r="T4594" t="str">
        <v>x</v>
      </c>
      <c r="U4594">
        <f>U4593</f>
        <v>1.041885</v>
      </c>
      <c r="V4594" t="str">
        <v>x</v>
      </c>
      <c r="W4594">
        <f>D4594</f>
        <v>3</v>
      </c>
      <c r="X4594" t="str">
        <v>x</v>
      </c>
      <c r="Y4594">
        <f>Y4593</f>
        <v>1</v>
      </c>
      <c r="Z4594" t="str">
        <v>=</v>
      </c>
      <c r="AA4594">
        <f>(N4594+P4594*R4594/1000)*U4594*W4594*Y4594</f>
        <v>24.636412710000002</v>
      </c>
    </row>
    <row r="4596">
      <c r="A4596" t="str">
        <f>A4584</f>
        <v>Lantai 1</v>
      </c>
      <c r="B4596">
        <f>B4584</f>
        <v>56</v>
      </c>
      <c r="C4596" t="str">
        <v>Tul Peminggang</v>
      </c>
      <c r="D4596">
        <f>VLOOKUP(D4584,'Detail Balok'!$C$10:$AU$110,13,FALSE)</f>
        <v>2</v>
      </c>
      <c r="E4596" t="str">
        <v>D</v>
      </c>
      <c r="F4596">
        <f>VLOOKUP(D4584,'Detail Balok'!$C$10:$AU$110,15,FALSE)</f>
        <v>8</v>
      </c>
      <c r="J4596">
        <f>+D4586/1000</f>
        <v>7.57</v>
      </c>
      <c r="K4596" t="str">
        <v>+</v>
      </c>
      <c r="L4596">
        <f>2*$F$16*F4596/1000</f>
        <v>0.192</v>
      </c>
      <c r="M4596" t="str">
        <v>=</v>
      </c>
      <c r="N4596">
        <f>J4596+L4596</f>
        <v>7.7620000000000005</v>
      </c>
      <c r="O4596" t="str">
        <v>+</v>
      </c>
      <c r="P4596">
        <f>IF(N4596&gt;12,ROUNDDOWN(N4596/12,0),0)</f>
        <v>0</v>
      </c>
      <c r="Q4596" t="str">
        <v>x</v>
      </c>
      <c r="R4596">
        <f>IF(P4596&gt;0,MAX(VLOOKUP(F4596,$D$6:$G$15,3,FALSE),600),0)/1000</f>
        <v>0</v>
      </c>
      <c r="T4596" t="str">
        <v>x</v>
      </c>
      <c r="U4596">
        <f>0.006165*F4596^2</f>
        <v>0.39456</v>
      </c>
      <c r="V4596" t="str">
        <v>x</v>
      </c>
      <c r="W4596">
        <f>+D4596</f>
        <v>2</v>
      </c>
      <c r="X4596" t="str">
        <v>x</v>
      </c>
      <c r="Y4596">
        <f>D4590</f>
        <v>1</v>
      </c>
      <c r="Z4596" t="str">
        <v>=</v>
      </c>
      <c r="AA4596">
        <f>(N4596+P4596*R4596/1000)*U4596*W4596*Y4596</f>
        <v>6.12514944</v>
      </c>
    </row>
    <row r="4599">
      <c r="A4599" t="str">
        <f>A4584</f>
        <v>Lantai 1</v>
      </c>
      <c r="B4599">
        <f>B4584</f>
        <v>56</v>
      </c>
      <c r="C4599" t="str">
        <v>Tul Bawah Tumpuan</v>
      </c>
      <c r="D4599">
        <f>VLOOKUP(D4584,'Detail Balok'!$C$10:$AU$110,22,FALSE)</f>
        <v>3</v>
      </c>
      <c r="E4599" t="str">
        <v>D</v>
      </c>
      <c r="F4599">
        <f>VLOOKUP(D4584,'Detail Balok'!$C$10:$AU$110,24,FALSE)</f>
        <v>13</v>
      </c>
      <c r="I4599" t="str">
        <v>(</v>
      </c>
      <c r="J4599">
        <f>+J4591</f>
        <v>1.8925</v>
      </c>
      <c r="K4599" t="str">
        <v>+</v>
      </c>
      <c r="L4599">
        <f>MAX(VLOOKUP(F4599,N$6:P$15,3,FALSE)/1000,2/3*D4589/1000)+F$16*F4599/1000</f>
        <v>0.156</v>
      </c>
      <c r="M4599" t="str">
        <v>=</v>
      </c>
      <c r="N4599">
        <f>J4599+L4599</f>
        <v>2.0485</v>
      </c>
      <c r="O4599" t="str">
        <v>+</v>
      </c>
      <c r="P4599">
        <f>D4599-D4600</f>
        <v>0</v>
      </c>
      <c r="Q4599" t="str">
        <v>x</v>
      </c>
      <c r="R4599">
        <f>IF(P4599&gt;0,$F$18*F4599/1000,0)</f>
        <v>0</v>
      </c>
      <c r="S4599" t="str">
        <v>)</v>
      </c>
      <c r="T4599" t="str">
        <v>x</v>
      </c>
      <c r="U4599">
        <f>0.006165*F4599^2</f>
        <v>1.041885</v>
      </c>
      <c r="X4599" t="str">
        <v>x</v>
      </c>
      <c r="Y4599">
        <f>D4590</f>
        <v>1</v>
      </c>
      <c r="Z4599" t="str">
        <v>=</v>
      </c>
      <c r="AA4599">
        <f>IF(AA4602=0,(D4599*N4599+P4599*R4599)*U4599*Y4599,0)</f>
        <v>0</v>
      </c>
    </row>
    <row r="4600">
      <c r="A4600" t="str">
        <f>A4584</f>
        <v>Lantai 1</v>
      </c>
      <c r="B4600">
        <f>B4584</f>
        <v>56</v>
      </c>
      <c r="C4600" t="str">
        <v>Tul Bawah Lapangan</v>
      </c>
      <c r="D4600">
        <f>VLOOKUP(D4584,'Detail Balok'!$C$10:$AU$110,25,FALSE)</f>
        <v>3</v>
      </c>
      <c r="E4600" t="str">
        <v>D</v>
      </c>
      <c r="F4600">
        <f>VLOOKUP(D4584,'Detail Balok'!$C$10:$AU$110,27,FALSE)</f>
        <v>13</v>
      </c>
      <c r="I4600" t="str">
        <v>(</v>
      </c>
      <c r="J4600">
        <f>+J4592</f>
        <v>3.785</v>
      </c>
      <c r="K4600" t="str">
        <v>+</v>
      </c>
      <c r="M4600" t="str">
        <v>=</v>
      </c>
      <c r="N4600">
        <f>J4600+L4600</f>
        <v>3.785</v>
      </c>
      <c r="O4600" t="str">
        <v>+</v>
      </c>
      <c r="P4600">
        <f>MAX(D4600-D4599,D4600-D4601)</f>
        <v>0</v>
      </c>
      <c r="Q4600" t="str">
        <v>x</v>
      </c>
      <c r="R4600">
        <f>IF(P4600&gt;0,2*(1-2*$F$19-1/2)*D4587/1000,0)</f>
        <v>0</v>
      </c>
      <c r="S4600" t="str">
        <v>)</v>
      </c>
      <c r="T4600" t="str">
        <v>x</v>
      </c>
      <c r="U4600">
        <f>0.006165*F4600^2</f>
        <v>1.041885</v>
      </c>
      <c r="X4600" t="str">
        <v>x</v>
      </c>
      <c r="Y4600">
        <f>D4590</f>
        <v>1</v>
      </c>
      <c r="Z4600" t="str">
        <v>=</v>
      </c>
      <c r="AA4600">
        <f>IF(AA4602=0,(D4600*N4600+P4600*R4600)*U4600*Y4600,0)</f>
        <v>0</v>
      </c>
    </row>
    <row r="4601">
      <c r="A4601" t="str">
        <f>A4584</f>
        <v>Lantai 1</v>
      </c>
      <c r="B4601">
        <f>B4584</f>
        <v>56</v>
      </c>
      <c r="C4601" t="str">
        <v>Tul Bawah Tumpuan</v>
      </c>
      <c r="D4601">
        <f>VLOOKUP(D4584,'Detail Balok'!$C$10:$AU$110,28,FALSE)</f>
        <v>3</v>
      </c>
      <c r="E4601" t="str">
        <v>D</v>
      </c>
      <c r="F4601">
        <f>VLOOKUP(D4584,'Detail Balok'!$C$10:$AU$110,30,FALSE)</f>
        <v>13</v>
      </c>
      <c r="I4601" t="str">
        <v>(</v>
      </c>
      <c r="J4601">
        <f>+J4593</f>
        <v>1.8925</v>
      </c>
      <c r="K4601" t="str">
        <v>+</v>
      </c>
      <c r="L4601">
        <f>MAX(VLOOKUP(F4601,N$6:P$15,3,FALSE)/1000,2/3*D4589/1000)+F$16*F4601/1000</f>
        <v>0.156</v>
      </c>
      <c r="M4601" t="str">
        <v>=</v>
      </c>
      <c r="N4601">
        <f>J4601+L4601</f>
        <v>2.0485</v>
      </c>
      <c r="O4601" t="str">
        <v>+</v>
      </c>
      <c r="P4601">
        <f>D4601-D4600</f>
        <v>0</v>
      </c>
      <c r="Q4601" t="str">
        <v>x</v>
      </c>
      <c r="R4601">
        <f>IF(P4601&gt;0,$F$18*F4601/1000,0)</f>
        <v>0</v>
      </c>
      <c r="S4601" t="str">
        <v>)</v>
      </c>
      <c r="T4601" t="str">
        <v>x</v>
      </c>
      <c r="U4601">
        <f>0.006165*F4601^2</f>
        <v>1.041885</v>
      </c>
      <c r="X4601" t="str">
        <v>x</v>
      </c>
      <c r="Y4601">
        <f>D4590</f>
        <v>1</v>
      </c>
      <c r="Z4601" t="str">
        <v>=</v>
      </c>
      <c r="AA4601">
        <f>IF(AA4602=0,(D4601*N4601+P4601*R4601)*U4601*Y4601,0)</f>
        <v>0</v>
      </c>
    </row>
    <row r="4602">
      <c r="A4602" t="str">
        <f>A4584</f>
        <v>Lantai 1</v>
      </c>
      <c r="B4602">
        <f>B4584</f>
        <v>56</v>
      </c>
      <c r="D4602">
        <f>IF(AND(D4599=D4600,D4600=D4601,D4599=D4601),D4599,0)</f>
        <v>3</v>
      </c>
      <c r="E4602" t="str">
        <v>D</v>
      </c>
      <c r="F4602">
        <f>IF(AND(F4599=F4600,F4599=F4601,F4600=F4601),F4599,0)</f>
        <v>13</v>
      </c>
      <c r="L4602" t="str">
        <v>Total panjang per balok</v>
      </c>
      <c r="M4602" t="str">
        <v>=</v>
      </c>
      <c r="N4602">
        <f>IF(AND(D4599=D4600,D4599=D4601,D4600=D4601,F4599=F4600,F4599=F4601,F4600=F4601),SUM(N4599:N4601),0)</f>
        <v>7.8820000000000014</v>
      </c>
      <c r="O4602" t="str">
        <v>+</v>
      </c>
      <c r="P4602">
        <f>IF(N4602&gt;12,ROUNDDOWN(N4602/12,0),0)</f>
        <v>0</v>
      </c>
      <c r="Q4602" t="str">
        <v>x</v>
      </c>
      <c r="R4602">
        <f>IF(P4602&gt;0,MAX(VLOOKUP(F4602,$D$6:$G$15,3,FALSE),600),0)/1000</f>
        <v>0</v>
      </c>
      <c r="T4602" t="str">
        <v>x</v>
      </c>
      <c r="U4602">
        <f>U4601</f>
        <v>1.041885</v>
      </c>
      <c r="V4602" t="str">
        <v>x</v>
      </c>
      <c r="W4602">
        <f>D4602</f>
        <v>3</v>
      </c>
      <c r="X4602" t="str">
        <v>x</v>
      </c>
      <c r="Y4602">
        <f>Y4601</f>
        <v>1</v>
      </c>
      <c r="Z4602" t="str">
        <v>=</v>
      </c>
      <c r="AA4602">
        <f>(N4602+P4602*R4602/1000)*U4602*W4602*Y4602</f>
        <v>24.636412710000002</v>
      </c>
    </row>
    <row r="4604">
      <c r="A4604" t="str">
        <f>A4584</f>
        <v>Lantai 1</v>
      </c>
      <c r="B4604">
        <f>B4584</f>
        <v>56</v>
      </c>
      <c r="C4604" t="str">
        <v>Sengkang Tumpuan</v>
      </c>
      <c r="D4604">
        <f>VLOOKUP(D4584,'Detail Balok'!$C$10:$AU$110,31,FALSE)</f>
        <v>0</v>
      </c>
      <c r="E4604" t="str">
        <v>D</v>
      </c>
      <c r="F4604">
        <f>VLOOKUP(D4584,'Detail Balok'!$C$10:$AU$110,33,FALSE)</f>
        <v>8</v>
      </c>
      <c r="G4604" t="str">
        <v>-</v>
      </c>
      <c r="H4604">
        <f>VLOOKUP(D4584,'Detail Balok'!$C$10:$AU$110,35,FALSE)</f>
        <v>100</v>
      </c>
      <c r="J4604">
        <f>(IF(D4604=0,(2*(D4585+G4585))-(F$5*8),IF(D4604=3,(2*(D4585+G4585))-(F$5*8)+(G4585-2*F$5),IF(D4604=4,(2*(D4585+G4585))-(F$5*8)+2*(G4585-2*F$5)))))/1000</f>
        <v>0.98</v>
      </c>
      <c r="K4604" t="str">
        <v>+</v>
      </c>
      <c r="L4604">
        <f>IF(D4604=0,2*MAX(6*F4604,75),(D4604-1)*2*MAX(6*F4604,75))/1000</f>
        <v>0.15</v>
      </c>
      <c r="M4604" t="str">
        <v>=</v>
      </c>
      <c r="N4604">
        <f>J4604+L4604</f>
        <v>1.13</v>
      </c>
      <c r="T4604" t="str">
        <v>x</v>
      </c>
      <c r="U4604">
        <f>0.006165*F4604^2</f>
        <v>0.39456</v>
      </c>
      <c r="V4604" t="str">
        <v>x</v>
      </c>
      <c r="W4604">
        <f>IF(D4587&gt;4*G4585,ROUND(MAX(D4587/4,2*G4585)/H4604,0)+1,ROUND(D4587/H4604,0)+1)</f>
        <v>20</v>
      </c>
      <c r="X4604" t="str">
        <v>x</v>
      </c>
      <c r="Y4604">
        <f>D4590</f>
        <v>1</v>
      </c>
      <c r="Z4604" t="str">
        <v>=</v>
      </c>
      <c r="AA4604">
        <f>N4604*U4604*W4604*Y4604</f>
        <v>8.917056</v>
      </c>
    </row>
    <row r="4605">
      <c r="A4605" t="str">
        <f>A4584</f>
        <v>Lantai 1</v>
      </c>
      <c r="B4605">
        <f>B4584</f>
        <v>56</v>
      </c>
      <c r="C4605" t="str">
        <v>Sengkang Lapangan</v>
      </c>
      <c r="D4605">
        <f>VLOOKUP(D4584,'Detail Balok'!$C$10:$AU$110,36,FALSE)</f>
        <v>0</v>
      </c>
      <c r="E4605" t="str">
        <v>D</v>
      </c>
      <c r="F4605">
        <f>VLOOKUP(D4584,'Detail Balok'!$C$10:$AU$110,38,FALSE)</f>
        <v>8</v>
      </c>
      <c r="G4605" t="str">
        <v>-</v>
      </c>
      <c r="H4605">
        <f>VLOOKUP(D4584,'Detail Balok'!$C$10:$AU$110,40,FALSE)</f>
        <v>200</v>
      </c>
      <c r="J4605">
        <f>(IF(D4605=0,(2*(D4585+G4585))-(F$5*8),IF(D4605=3,(2*(D4585+G4585))-(F$5*8)+(G4585-2*F$5),IF(D4605=4,(2*(D4585+G4585))-(F$5*8)+2*(G4585-2*F$5)))))/1000</f>
        <v>0.98</v>
      </c>
      <c r="K4605" t="str">
        <v>+</v>
      </c>
      <c r="L4605">
        <f>IF(D4605=0,2*MAX(6*F4605,75),(D4605-1)*2*MAX(6*F4605,75))/1000</f>
        <v>0.15</v>
      </c>
      <c r="M4605" t="str">
        <v>=</v>
      </c>
      <c r="N4605">
        <f>J4605+L4605</f>
        <v>1.13</v>
      </c>
      <c r="T4605" t="str">
        <v>x</v>
      </c>
      <c r="U4605">
        <f>0.006165*F4605^2</f>
        <v>0.39456</v>
      </c>
      <c r="V4605" t="str">
        <v>x</v>
      </c>
      <c r="W4605">
        <f>IF(D4587-MAX(D4587/4,2*G4585)*2&gt;0,ROUND((D4587-MAX(D4587/4,2*G4585)*2)/H4605,0),0)</f>
        <v>19</v>
      </c>
      <c r="X4605" t="str">
        <v>x</v>
      </c>
      <c r="Y4605">
        <f>D4590</f>
        <v>1</v>
      </c>
      <c r="Z4605" t="str">
        <v>=</v>
      </c>
      <c r="AA4605">
        <f>N4605*U4605*W4605*Y4605</f>
        <v>8.4712032</v>
      </c>
    </row>
    <row r="4606">
      <c r="A4606" t="str">
        <f>A4584</f>
        <v>Lantai 1</v>
      </c>
      <c r="B4606">
        <f>B4584</f>
        <v>56</v>
      </c>
      <c r="C4606" t="str">
        <v>Sengkang Tumpuan</v>
      </c>
      <c r="D4606">
        <f>VLOOKUP(D4584,'Detail Balok'!$C$10:$AU$110,41,FALSE)</f>
        <v>0</v>
      </c>
      <c r="E4606" t="str">
        <v>D</v>
      </c>
      <c r="F4606">
        <f>VLOOKUP(D4584,'Detail Balok'!$C$10:$AU$110,43,FALSE)</f>
        <v>8</v>
      </c>
      <c r="G4606" t="str">
        <v>-</v>
      </c>
      <c r="H4606">
        <f>VLOOKUP(D4584,'Detail Balok'!$C$10:$AU$110,45,FALSE)</f>
        <v>100</v>
      </c>
      <c r="J4606">
        <f>(IF(D4606=0,(2*(D4585+G4585))-(F$5*8),IF(D4606=3,(2*(D4585+G4585))-(F$5*8)+(G4585-2*F$5),IF(D4606=4,(2*(D4585+G4585))-(F$5*8)+2*(G4585-2*F$5)))))/1000</f>
        <v>0.98</v>
      </c>
      <c r="K4606" t="str">
        <v>+</v>
      </c>
      <c r="L4606">
        <f>IF(D4606=0,2*MAX(6*F4606,75),(D4606-1)*2*MAX(6*F4606,75))/1000</f>
        <v>0.15</v>
      </c>
      <c r="M4606" t="str">
        <v>=</v>
      </c>
      <c r="N4606">
        <f>J4606+L4606</f>
        <v>1.13</v>
      </c>
      <c r="T4606" t="str">
        <v>x</v>
      </c>
      <c r="U4606">
        <f>0.006165*F4606^2</f>
        <v>0.39456</v>
      </c>
      <c r="V4606" t="str">
        <v>x</v>
      </c>
      <c r="W4606">
        <f>IF(D4587&gt;4*G4585,ROUND(MAX(D4587/4,2*G4585)/H4606,0)+1,0)</f>
        <v>20</v>
      </c>
      <c r="X4606" t="str">
        <v>x</v>
      </c>
      <c r="Y4606">
        <f>D4590</f>
        <v>1</v>
      </c>
      <c r="Z4606" t="str">
        <v>=</v>
      </c>
      <c r="AA4606">
        <f>N4606*U4606*W4606*Y4606</f>
        <v>8.917056</v>
      </c>
    </row>
    <row r="4608">
      <c r="A4608" t="str">
        <f>A4584</f>
        <v>Lantai 1</v>
      </c>
      <c r="B4608">
        <f>B4584</f>
        <v>56</v>
      </c>
      <c r="C4608" t="str">
        <v>Kait Horizontal Tump.</v>
      </c>
      <c r="D4608">
        <f>VLOOKUP(D4584,'Detail Balok'!$C$10:$BJ$110,46,FALSE)</f>
        <v>0</v>
      </c>
      <c r="E4608" t="str">
        <v>D</v>
      </c>
      <c r="F4608">
        <f>VLOOKUP(D4584,'Detail Balok'!$C$10:$BJ$110,48,FALSE)</f>
        <v>0</v>
      </c>
      <c r="G4608" t="str">
        <v>-</v>
      </c>
      <c r="H4608">
        <f>VLOOKUP(D4584,'Detail Balok'!$C$10:$BJ$110,50,FALSE)</f>
        <v>100</v>
      </c>
      <c r="J4608">
        <f>(D4585-2*F$5)/1000</f>
        <v>0.12</v>
      </c>
      <c r="K4608" t="str">
        <v>+</v>
      </c>
      <c r="L4608">
        <f>IF(D4608=0,2*MAX(6*F4608,75),(D4608-1)*2*MAX(6*F4608,75))/1000</f>
        <v>0.15</v>
      </c>
      <c r="M4608" t="str">
        <v>=</v>
      </c>
      <c r="N4608">
        <f>J4608+L4608</f>
        <v>0.27</v>
      </c>
      <c r="T4608" t="str">
        <v>x</v>
      </c>
      <c r="U4608">
        <f>0.006165*F4608^2</f>
        <v>0</v>
      </c>
      <c r="V4608" t="str">
        <v>x</v>
      </c>
      <c r="W4608">
        <f>W4604</f>
        <v>20</v>
      </c>
      <c r="X4608" t="str">
        <v>x</v>
      </c>
      <c r="Y4608">
        <f>D4594</f>
        <v>3</v>
      </c>
      <c r="Z4608" t="str">
        <v>=</v>
      </c>
      <c r="AA4608">
        <f>N4608*U4608*W4608*Y4608</f>
        <v>0</v>
      </c>
    </row>
    <row r="4609">
      <c r="A4609" t="str">
        <f>A4584</f>
        <v>Lantai 1</v>
      </c>
      <c r="B4609">
        <f>B4584</f>
        <v>56</v>
      </c>
      <c r="C4609" t="str">
        <v>Kait Horizontal Lap.</v>
      </c>
      <c r="D4609">
        <f>VLOOKUP(D4584,'Detail Balok'!$C$10:$BJ$110,51,FALSE)</f>
        <v>0</v>
      </c>
      <c r="E4609" t="str">
        <v>D</v>
      </c>
      <c r="F4609">
        <f>VLOOKUP(D4584,'Detail Balok'!$C$10:$BJ$110,53,FALSE)</f>
        <v>0</v>
      </c>
      <c r="G4609" t="str">
        <v>-</v>
      </c>
      <c r="H4609">
        <f>VLOOKUP(D4584,'Detail Balok'!$C$10:$BJ$110,55,FALSE)</f>
        <v>100</v>
      </c>
      <c r="J4609">
        <f>(D4585-2*F$5)/1000</f>
        <v>0.12</v>
      </c>
      <c r="K4609" t="str">
        <v>+</v>
      </c>
      <c r="L4609">
        <f>IF(D4609=0,2*MAX(6*F4609,75),(D4609-1)*2*MAX(6*F4609,75))/1000</f>
        <v>0.15</v>
      </c>
      <c r="M4609" t="str">
        <v>=</v>
      </c>
      <c r="N4609">
        <f>J4609+L4609</f>
        <v>0.27</v>
      </c>
      <c r="T4609" t="str">
        <v>x</v>
      </c>
      <c r="U4609">
        <f>0.006165*F4609^2</f>
        <v>0</v>
      </c>
      <c r="V4609" t="str">
        <v>x</v>
      </c>
      <c r="W4609">
        <f>W4605</f>
        <v>19</v>
      </c>
      <c r="X4609" t="str">
        <v>x</v>
      </c>
      <c r="Y4609">
        <f>D4594</f>
        <v>3</v>
      </c>
      <c r="Z4609" t="str">
        <v>=</v>
      </c>
      <c r="AA4609">
        <f>N4609*U4609*W4609*Y4609</f>
        <v>0</v>
      </c>
    </row>
    <row r="4610">
      <c r="A4610" t="str">
        <f>A4584</f>
        <v>Lantai 1</v>
      </c>
      <c r="B4610">
        <f>B4584</f>
        <v>56</v>
      </c>
      <c r="C4610" t="str">
        <v>Kait Horizontal Tump.</v>
      </c>
      <c r="D4610">
        <f>VLOOKUP(D4584,'Detail Balok'!$C$10:$BJ$110,56,FALSE)</f>
        <v>0</v>
      </c>
      <c r="E4610" t="str">
        <v>D</v>
      </c>
      <c r="F4610">
        <f>VLOOKUP(D4584,'Detail Balok'!$C$10:$BJ$110,58,FALSE)</f>
        <v>0</v>
      </c>
      <c r="G4610" t="str">
        <v>-</v>
      </c>
      <c r="H4610">
        <f>VLOOKUP(D4584,'Detail Balok'!$C$10:$BJ$110,60,FALSE)</f>
        <v>100</v>
      </c>
      <c r="J4610">
        <f>(D4585-2*F$5)/1000</f>
        <v>0.12</v>
      </c>
      <c r="K4610" t="str">
        <v>+</v>
      </c>
      <c r="L4610">
        <f>IF(D4610=0,2*MAX(6*F4610,75),(D4610-1)*2*MAX(6*F4610,75))/1000</f>
        <v>0.15</v>
      </c>
      <c r="M4610" t="str">
        <v>=</v>
      </c>
      <c r="N4610">
        <f>J4610+L4610</f>
        <v>0.27</v>
      </c>
      <c r="T4610" t="str">
        <v>x</v>
      </c>
      <c r="U4610">
        <f>0.006165*F4610^2</f>
        <v>0</v>
      </c>
      <c r="V4610" t="str">
        <v>x</v>
      </c>
      <c r="W4610">
        <f>W4606</f>
        <v>20</v>
      </c>
      <c r="X4610" t="str">
        <v>x</v>
      </c>
      <c r="Y4610">
        <f>D4594</f>
        <v>3</v>
      </c>
      <c r="Z4610" t="str">
        <v>=</v>
      </c>
      <c r="AA4610">
        <f>N4610*U4610*W4610*Y4610</f>
        <v>0</v>
      </c>
    </row>
    <row r="4614">
      <c r="A4614" t="str">
        <f>A4584</f>
        <v>Lantai 1</v>
      </c>
      <c r="B4614">
        <f>B4584+1</f>
        <v>57</v>
      </c>
      <c r="C4614" t="str">
        <f>CONCATENATE(A4614," no. ",B4614)</f>
        <v>Lantai 1 no. 57</v>
      </c>
      <c r="D4614" t="str">
        <f>VLOOKUP(C4614,'Data Panjang Balok'!$C$9:$N$424,2,FALSE)</f>
        <v>B245-4</v>
      </c>
    </row>
    <row r="4615">
      <c r="C4615" t="str">
        <v>Dimensi</v>
      </c>
      <c r="D4615">
        <f>VLOOKUP(D4614,'Detail Balok'!$C$10:$AU$110,2,FALSE)</f>
        <v>200</v>
      </c>
      <c r="F4615" t="str">
        <v>x</v>
      </c>
      <c r="G4615">
        <f>VLOOKUP(D4614,'Detail Balok'!$C$10:$AU$110,3,FALSE)</f>
        <v>450</v>
      </c>
    </row>
    <row r="4616">
      <c r="C4616" t="str">
        <v>Panjang as ke as</v>
      </c>
      <c r="D4616">
        <f>VLOOKUP(C4614,'Data Panjang Balok'!$C$9:$N$424,4,FALSE)</f>
        <v>4340</v>
      </c>
    </row>
    <row r="4617">
      <c r="C4617" t="str">
        <v>Panjang netto</v>
      </c>
      <c r="D4617">
        <f>VLOOKUP(C4614,'Data Panjang Balok'!$C$9:$N$424,7,FALSE)</f>
        <v>4340</v>
      </c>
    </row>
    <row r="4618">
      <c r="C4618" t="str">
        <v>Kolom / balok kiri</v>
      </c>
      <c r="D4618">
        <f>VLOOKUP(C4614,'Data Panjang Balok'!$C$9:$N$424,9,FALSE)</f>
        <v>0</v>
      </c>
    </row>
    <row r="4619">
      <c r="C4619" t="str">
        <v>Kolom / balok kanan</v>
      </c>
      <c r="D4619">
        <f>VLOOKUP(C4614,'Data Panjang Balok'!$C$9:$N$424,10,FALSE)</f>
        <v>0</v>
      </c>
    </row>
    <row r="4620">
      <c r="C4620" t="str">
        <v>Jumlah</v>
      </c>
      <c r="D4620">
        <f>VLOOKUP(C4614,'Data Panjang Balok'!$C$9:$N$424,3,FALSE)</f>
        <v>1</v>
      </c>
    </row>
    <row r="4621">
      <c r="A4621" t="str">
        <f>A4614</f>
        <v>Lantai 1</v>
      </c>
      <c r="B4621">
        <f>B4614</f>
        <v>57</v>
      </c>
      <c r="C4621" t="str">
        <v>Tul Atas Tumpuan</v>
      </c>
      <c r="D4621">
        <f>VLOOKUP(D4614,'Detail Balok'!$C$10:$AU$110,4,FALSE)</f>
        <v>3</v>
      </c>
      <c r="E4621" t="str">
        <v>D</v>
      </c>
      <c r="F4621">
        <f>VLOOKUP(D4614,'Detail Balok'!$C$10:$AU$110,6,FALSE)</f>
        <v>16</v>
      </c>
      <c r="I4621" t="str">
        <v>(</v>
      </c>
      <c r="J4621">
        <f>+D4616/4/1000</f>
        <v>1.085</v>
      </c>
      <c r="K4621" t="str">
        <v>+</v>
      </c>
      <c r="L4621">
        <f>MAX(VLOOKUP(F4621,N$6:P$15,3,FALSE)/1000,2/3*D4618/1000)+F$16*F4621/1000</f>
        <v>0.192</v>
      </c>
      <c r="M4621" t="str">
        <v>=</v>
      </c>
      <c r="N4621">
        <f>J4621+L4621</f>
        <v>1.277</v>
      </c>
      <c r="O4621" t="str">
        <v>+</v>
      </c>
      <c r="P4621">
        <f>D4621-D4622</f>
        <v>0</v>
      </c>
      <c r="Q4621" t="str">
        <v>x</v>
      </c>
      <c r="R4621">
        <f>IF(P4621&gt;0,$F$18*F4621/1000,0)</f>
        <v>0</v>
      </c>
      <c r="S4621" t="str">
        <v>)</v>
      </c>
      <c r="T4621" t="str">
        <v>x</v>
      </c>
      <c r="U4621">
        <f>0.006165*F4621^2</f>
        <v>1.57824</v>
      </c>
      <c r="X4621" t="str">
        <v>x</v>
      </c>
      <c r="Y4621">
        <f>D4620</f>
        <v>1</v>
      </c>
      <c r="Z4621" t="str">
        <v>=</v>
      </c>
      <c r="AA4621">
        <f>IF(AA4624=0,(D4621*N4621+P4621*R4621)*U4621*Y4621,0)</f>
        <v>0</v>
      </c>
    </row>
    <row r="4622">
      <c r="A4622" t="str">
        <f>A4614</f>
        <v>Lantai 1</v>
      </c>
      <c r="B4622">
        <f>B4614</f>
        <v>57</v>
      </c>
      <c r="C4622" t="str">
        <v>Tul Atas Lapangan</v>
      </c>
      <c r="D4622">
        <f>VLOOKUP(D4614,'Detail Balok'!$C$10:$AU$110,7,FALSE)</f>
        <v>3</v>
      </c>
      <c r="E4622" t="str">
        <v>D</v>
      </c>
      <c r="F4622">
        <f>VLOOKUP(D4614,'Detail Balok'!$C$10:$AU$110,9,FALSE)</f>
        <v>16</v>
      </c>
      <c r="I4622" t="str">
        <v>(</v>
      </c>
      <c r="J4622">
        <f>+D4616/2/1000</f>
        <v>2.17</v>
      </c>
      <c r="K4622" t="str">
        <v>+</v>
      </c>
      <c r="M4622" t="str">
        <v>=</v>
      </c>
      <c r="N4622">
        <f>J4622+L4622</f>
        <v>2.17</v>
      </c>
      <c r="O4622" t="str">
        <v>+</v>
      </c>
      <c r="P4622">
        <f>MAX(D4622-D4621,D4622-D4623)</f>
        <v>0</v>
      </c>
      <c r="Q4622" t="str">
        <v>x</v>
      </c>
      <c r="R4622">
        <f>IF(P4622&gt;0,2*(1-2*$F$19-1/2)*D4617/1000,0)</f>
        <v>0</v>
      </c>
      <c r="S4622" t="str">
        <v>)</v>
      </c>
      <c r="T4622" t="str">
        <v>x</v>
      </c>
      <c r="U4622">
        <f>0.006165*F4622^2</f>
        <v>1.57824</v>
      </c>
      <c r="X4622" t="str">
        <v>x</v>
      </c>
      <c r="Y4622">
        <f>D4620</f>
        <v>1</v>
      </c>
      <c r="Z4622" t="str">
        <v>=</v>
      </c>
      <c r="AA4622">
        <f>IF(AA4624=0,(D4622*N4622+P4622*R4622)*U4622*Y4622,0)</f>
        <v>0</v>
      </c>
    </row>
    <row r="4623">
      <c r="A4623" t="str">
        <f>A4614</f>
        <v>Lantai 1</v>
      </c>
      <c r="B4623">
        <f>B4614</f>
        <v>57</v>
      </c>
      <c r="C4623" t="str">
        <v>Tul Atas Tumpuan</v>
      </c>
      <c r="D4623">
        <f>VLOOKUP(D4614,'Detail Balok'!$C$10:$AU$110,10,FALSE)</f>
        <v>3</v>
      </c>
      <c r="E4623" t="str">
        <v>D</v>
      </c>
      <c r="F4623">
        <f>VLOOKUP(D4614,'Detail Balok'!$C$10:$AU$110,12,FALSE)</f>
        <v>16</v>
      </c>
      <c r="I4623" t="str">
        <v>(</v>
      </c>
      <c r="J4623">
        <f>+D4616/4/1000</f>
        <v>1.085</v>
      </c>
      <c r="K4623" t="str">
        <v>+</v>
      </c>
      <c r="L4623">
        <f>MAX(VLOOKUP(F4623,N$6:P$15,3,FALSE)/1000,2/3*D4618/1000)+F$16*F4623/1000</f>
        <v>0.192</v>
      </c>
      <c r="M4623" t="str">
        <v>=</v>
      </c>
      <c r="N4623">
        <f>J4623+L4623</f>
        <v>1.277</v>
      </c>
      <c r="O4623" t="str">
        <v>+</v>
      </c>
      <c r="P4623">
        <f>D4623-D4622</f>
        <v>0</v>
      </c>
      <c r="Q4623" t="str">
        <v>x</v>
      </c>
      <c r="R4623">
        <f>IF(P4623&gt;0,$F$18*F4623/1000,0)</f>
        <v>0</v>
      </c>
      <c r="S4623" t="str">
        <v>)</v>
      </c>
      <c r="T4623" t="str">
        <v>x</v>
      </c>
      <c r="U4623">
        <f>0.006165*F4623^2</f>
        <v>1.57824</v>
      </c>
      <c r="X4623" t="str">
        <v>x</v>
      </c>
      <c r="Y4623">
        <f>D4620</f>
        <v>1</v>
      </c>
      <c r="Z4623" t="str">
        <v>=</v>
      </c>
      <c r="AA4623">
        <f>IF(AA4624=0,(D4623*N4623+P4623*R4623)*U4623*Y4623,0)</f>
        <v>0</v>
      </c>
    </row>
    <row r="4624">
      <c r="A4624" t="str">
        <f>A4614</f>
        <v>Lantai 1</v>
      </c>
      <c r="B4624">
        <f>B4614</f>
        <v>57</v>
      </c>
      <c r="D4624">
        <f>IF(AND(D4621=D4622,D4622=D4623,D4621=D4623),D4621,0)</f>
        <v>3</v>
      </c>
      <c r="E4624" t="str">
        <v>D</v>
      </c>
      <c r="F4624">
        <f>IF(AND(F4621=F4622,F4621=F4623,F4622=F4623),F4621,0)</f>
        <v>16</v>
      </c>
      <c r="L4624" t="str">
        <v>Total panjang per balok</v>
      </c>
      <c r="M4624" t="str">
        <v>=</v>
      </c>
      <c r="N4624">
        <f>IF(AND(D4621=D4622,D4621=D4623,D4622=D4623,F4621=F4622,F4621=F4623,F4622=F4623),SUM(N4621:N4623),0)</f>
        <v>4.724</v>
      </c>
      <c r="O4624" t="str">
        <v>+</v>
      </c>
      <c r="P4624">
        <f>IF(N4624&gt;12,ROUNDDOWN(N4624/12,0),0)</f>
        <v>0</v>
      </c>
      <c r="Q4624" t="str">
        <v>x</v>
      </c>
      <c r="R4624">
        <f>IF(P4624&gt;0,MAX(VLOOKUP(F4624,$D$6:$G$15,3,FALSE),600),0)/1000</f>
        <v>0</v>
      </c>
      <c r="T4624" t="str">
        <v>x</v>
      </c>
      <c r="U4624">
        <f>U4623</f>
        <v>1.57824</v>
      </c>
      <c r="V4624" t="str">
        <v>x</v>
      </c>
      <c r="W4624">
        <f>D4624</f>
        <v>3</v>
      </c>
      <c r="X4624" t="str">
        <v>x</v>
      </c>
      <c r="Y4624">
        <f>Y4623</f>
        <v>1</v>
      </c>
      <c r="Z4624" t="str">
        <v>=</v>
      </c>
      <c r="AA4624">
        <f>(N4624+P4624*R4624/1000)*U4624*W4624*Y4624</f>
        <v>22.366817280000003</v>
      </c>
    </row>
    <row r="4626">
      <c r="A4626" t="str">
        <f>A4614</f>
        <v>Lantai 1</v>
      </c>
      <c r="B4626">
        <f>B4614</f>
        <v>57</v>
      </c>
      <c r="C4626" t="str">
        <v>Tul Peminggang</v>
      </c>
      <c r="D4626">
        <f>VLOOKUP(D4614,'Detail Balok'!$C$10:$AU$110,13,FALSE)</f>
        <v>2</v>
      </c>
      <c r="E4626" t="str">
        <v>D</v>
      </c>
      <c r="F4626">
        <f>VLOOKUP(D4614,'Detail Balok'!$C$10:$AU$110,15,FALSE)</f>
        <v>8</v>
      </c>
      <c r="J4626">
        <f>+D4616/1000</f>
        <v>4.34</v>
      </c>
      <c r="K4626" t="str">
        <v>+</v>
      </c>
      <c r="L4626">
        <f>2*$F$16*F4626/1000</f>
        <v>0.192</v>
      </c>
      <c r="M4626" t="str">
        <v>=</v>
      </c>
      <c r="N4626">
        <f>J4626+L4626</f>
        <v>4.532</v>
      </c>
      <c r="O4626" t="str">
        <v>+</v>
      </c>
      <c r="P4626">
        <f>IF(N4626&gt;12,ROUNDDOWN(N4626/12,0),0)</f>
        <v>0</v>
      </c>
      <c r="Q4626" t="str">
        <v>x</v>
      </c>
      <c r="R4626">
        <f>IF(P4626&gt;0,MAX(VLOOKUP(F4626,$D$6:$G$15,3,FALSE),600),0)/1000</f>
        <v>0</v>
      </c>
      <c r="T4626" t="str">
        <v>x</v>
      </c>
      <c r="U4626">
        <f>0.006165*F4626^2</f>
        <v>0.39456</v>
      </c>
      <c r="V4626" t="str">
        <v>x</v>
      </c>
      <c r="W4626">
        <f>+D4626</f>
        <v>2</v>
      </c>
      <c r="X4626" t="str">
        <v>x</v>
      </c>
      <c r="Y4626">
        <f>D4620</f>
        <v>1</v>
      </c>
      <c r="Z4626" t="str">
        <v>=</v>
      </c>
      <c r="AA4626">
        <f>(N4626+P4626*R4626/1000)*U4626*W4626*Y4626</f>
        <v>3.57629184</v>
      </c>
    </row>
    <row r="4629">
      <c r="A4629" t="str">
        <f>A4614</f>
        <v>Lantai 1</v>
      </c>
      <c r="B4629">
        <f>B4614</f>
        <v>57</v>
      </c>
      <c r="C4629" t="str">
        <v>Tul Bawah Tumpuan</v>
      </c>
      <c r="D4629">
        <f>VLOOKUP(D4614,'Detail Balok'!$C$10:$AU$110,22,FALSE)</f>
        <v>3</v>
      </c>
      <c r="E4629" t="str">
        <v>D</v>
      </c>
      <c r="F4629">
        <f>VLOOKUP(D4614,'Detail Balok'!$C$10:$AU$110,24,FALSE)</f>
        <v>16</v>
      </c>
      <c r="I4629" t="str">
        <v>(</v>
      </c>
      <c r="J4629">
        <f>+J4621</f>
        <v>1.085</v>
      </c>
      <c r="K4629" t="str">
        <v>+</v>
      </c>
      <c r="L4629">
        <f>MAX(VLOOKUP(F4629,N$6:P$15,3,FALSE)/1000,2/3*D4619/1000)+F$16*F4629/1000</f>
        <v>0.192</v>
      </c>
      <c r="M4629" t="str">
        <v>=</v>
      </c>
      <c r="N4629">
        <f>J4629+L4629</f>
        <v>1.277</v>
      </c>
      <c r="O4629" t="str">
        <v>+</v>
      </c>
      <c r="P4629">
        <f>D4629-D4630</f>
        <v>0</v>
      </c>
      <c r="Q4629" t="str">
        <v>x</v>
      </c>
      <c r="R4629">
        <f>IF(P4629&gt;0,$F$18*F4629/1000,0)</f>
        <v>0</v>
      </c>
      <c r="S4629" t="str">
        <v>)</v>
      </c>
      <c r="T4629" t="str">
        <v>x</v>
      </c>
      <c r="U4629">
        <f>0.006165*F4629^2</f>
        <v>1.57824</v>
      </c>
      <c r="X4629" t="str">
        <v>x</v>
      </c>
      <c r="Y4629">
        <f>D4620</f>
        <v>1</v>
      </c>
      <c r="Z4629" t="str">
        <v>=</v>
      </c>
      <c r="AA4629">
        <f>IF(AA4632=0,(D4629*N4629+P4629*R4629)*U4629*Y4629,0)</f>
        <v>0</v>
      </c>
    </row>
    <row r="4630">
      <c r="A4630" t="str">
        <f>A4614</f>
        <v>Lantai 1</v>
      </c>
      <c r="B4630">
        <f>B4614</f>
        <v>57</v>
      </c>
      <c r="C4630" t="str">
        <v>Tul Bawah Lapangan</v>
      </c>
      <c r="D4630">
        <f>VLOOKUP(D4614,'Detail Balok'!$C$10:$AU$110,25,FALSE)</f>
        <v>3</v>
      </c>
      <c r="E4630" t="str">
        <v>D</v>
      </c>
      <c r="F4630">
        <f>VLOOKUP(D4614,'Detail Balok'!$C$10:$AU$110,27,FALSE)</f>
        <v>16</v>
      </c>
      <c r="I4630" t="str">
        <v>(</v>
      </c>
      <c r="J4630">
        <f>+J4622</f>
        <v>2.17</v>
      </c>
      <c r="K4630" t="str">
        <v>+</v>
      </c>
      <c r="M4630" t="str">
        <v>=</v>
      </c>
      <c r="N4630">
        <f>J4630+L4630</f>
        <v>2.17</v>
      </c>
      <c r="O4630" t="str">
        <v>+</v>
      </c>
      <c r="P4630">
        <f>MAX(D4630-D4629,D4630-D4631)</f>
        <v>0</v>
      </c>
      <c r="Q4630" t="str">
        <v>x</v>
      </c>
      <c r="R4630">
        <f>IF(P4630&gt;0,2*(1-2*$F$19-1/2)*D4617/1000,0)</f>
        <v>0</v>
      </c>
      <c r="S4630" t="str">
        <v>)</v>
      </c>
      <c r="T4630" t="str">
        <v>x</v>
      </c>
      <c r="U4630">
        <f>0.006165*F4630^2</f>
        <v>1.57824</v>
      </c>
      <c r="X4630" t="str">
        <v>x</v>
      </c>
      <c r="Y4630">
        <f>D4620</f>
        <v>1</v>
      </c>
      <c r="Z4630" t="str">
        <v>=</v>
      </c>
      <c r="AA4630">
        <f>IF(AA4632=0,(D4630*N4630+P4630*R4630)*U4630*Y4630,0)</f>
        <v>0</v>
      </c>
    </row>
    <row r="4631">
      <c r="A4631" t="str">
        <f>A4614</f>
        <v>Lantai 1</v>
      </c>
      <c r="B4631">
        <f>B4614</f>
        <v>57</v>
      </c>
      <c r="C4631" t="str">
        <v>Tul Bawah Tumpuan</v>
      </c>
      <c r="D4631">
        <f>VLOOKUP(D4614,'Detail Balok'!$C$10:$AU$110,28,FALSE)</f>
        <v>3</v>
      </c>
      <c r="E4631" t="str">
        <v>D</v>
      </c>
      <c r="F4631">
        <f>VLOOKUP(D4614,'Detail Balok'!$C$10:$AU$110,30,FALSE)</f>
        <v>16</v>
      </c>
      <c r="I4631" t="str">
        <v>(</v>
      </c>
      <c r="J4631">
        <f>+J4623</f>
        <v>1.085</v>
      </c>
      <c r="K4631" t="str">
        <v>+</v>
      </c>
      <c r="L4631">
        <f>MAX(VLOOKUP(F4631,N$6:P$15,3,FALSE)/1000,2/3*D4619/1000)+F$16*F4631/1000</f>
        <v>0.192</v>
      </c>
      <c r="M4631" t="str">
        <v>=</v>
      </c>
      <c r="N4631">
        <f>J4631+L4631</f>
        <v>1.277</v>
      </c>
      <c r="O4631" t="str">
        <v>+</v>
      </c>
      <c r="P4631">
        <f>D4631-D4630</f>
        <v>0</v>
      </c>
      <c r="Q4631" t="str">
        <v>x</v>
      </c>
      <c r="R4631">
        <f>IF(P4631&gt;0,$F$18*F4631/1000,0)</f>
        <v>0</v>
      </c>
      <c r="S4631" t="str">
        <v>)</v>
      </c>
      <c r="T4631" t="str">
        <v>x</v>
      </c>
      <c r="U4631">
        <f>0.006165*F4631^2</f>
        <v>1.57824</v>
      </c>
      <c r="X4631" t="str">
        <v>x</v>
      </c>
      <c r="Y4631">
        <f>D4620</f>
        <v>1</v>
      </c>
      <c r="Z4631" t="str">
        <v>=</v>
      </c>
      <c r="AA4631">
        <f>IF(AA4632=0,(D4631*N4631+P4631*R4631)*U4631*Y4631,0)</f>
        <v>0</v>
      </c>
    </row>
    <row r="4632">
      <c r="A4632" t="str">
        <f>A4614</f>
        <v>Lantai 1</v>
      </c>
      <c r="B4632">
        <f>B4614</f>
        <v>57</v>
      </c>
      <c r="D4632">
        <f>IF(AND(D4629=D4630,D4630=D4631,D4629=D4631),D4629,0)</f>
        <v>3</v>
      </c>
      <c r="E4632" t="str">
        <v>D</v>
      </c>
      <c r="F4632">
        <f>IF(AND(F4629=F4630,F4629=F4631,F4630=F4631),F4629,0)</f>
        <v>16</v>
      </c>
      <c r="L4632" t="str">
        <v>Total panjang per balok</v>
      </c>
      <c r="M4632" t="str">
        <v>=</v>
      </c>
      <c r="N4632">
        <f>IF(AND(D4629=D4630,D4629=D4631,D4630=D4631,F4629=F4630,F4629=F4631,F4630=F4631),SUM(N4629:N4631),0)</f>
        <v>4.724</v>
      </c>
      <c r="O4632" t="str">
        <v>+</v>
      </c>
      <c r="P4632">
        <f>IF(N4632&gt;12,ROUNDDOWN(N4632/12,0),0)</f>
        <v>0</v>
      </c>
      <c r="Q4632" t="str">
        <v>x</v>
      </c>
      <c r="R4632">
        <f>IF(P4632&gt;0,MAX(VLOOKUP(F4632,$D$6:$G$15,3,FALSE),600),0)/1000</f>
        <v>0</v>
      </c>
      <c r="T4632" t="str">
        <v>x</v>
      </c>
      <c r="U4632">
        <f>U4631</f>
        <v>1.57824</v>
      </c>
      <c r="V4632" t="str">
        <v>x</v>
      </c>
      <c r="W4632">
        <f>D4632</f>
        <v>3</v>
      </c>
      <c r="X4632" t="str">
        <v>x</v>
      </c>
      <c r="Y4632">
        <f>Y4631</f>
        <v>1</v>
      </c>
      <c r="Z4632" t="str">
        <v>=</v>
      </c>
      <c r="AA4632">
        <f>(N4632+P4632*R4632/1000)*U4632*W4632*Y4632</f>
        <v>22.366817280000003</v>
      </c>
    </row>
    <row r="4634">
      <c r="A4634" t="str">
        <f>A4614</f>
        <v>Lantai 1</v>
      </c>
      <c r="B4634">
        <f>B4614</f>
        <v>57</v>
      </c>
      <c r="C4634" t="str">
        <v>Sengkang Tumpuan</v>
      </c>
      <c r="D4634">
        <f>VLOOKUP(D4614,'Detail Balok'!$C$10:$AU$110,31,FALSE)</f>
        <v>0</v>
      </c>
      <c r="E4634" t="str">
        <v>D</v>
      </c>
      <c r="F4634">
        <f>VLOOKUP(D4614,'Detail Balok'!$C$10:$AU$110,33,FALSE)</f>
        <v>8</v>
      </c>
      <c r="G4634" t="str">
        <v>-</v>
      </c>
      <c r="H4634">
        <f>VLOOKUP(D4614,'Detail Balok'!$C$10:$AU$110,35,FALSE)</f>
        <v>100</v>
      </c>
      <c r="J4634">
        <f>(IF(D4634=0,(2*(D4615+G4615))-(F$5*8),IF(D4634=3,(2*(D4615+G4615))-(F$5*8)+(G4615-2*F$5),IF(D4634=4,(2*(D4615+G4615))-(F$5*8)+2*(G4615-2*F$5)))))/1000</f>
        <v>0.98</v>
      </c>
      <c r="K4634" t="str">
        <v>+</v>
      </c>
      <c r="L4634">
        <f>IF(D4634=0,2*MAX(6*F4634,75),(D4634-1)*2*MAX(6*F4634,75))/1000</f>
        <v>0.15</v>
      </c>
      <c r="M4634" t="str">
        <v>=</v>
      </c>
      <c r="N4634">
        <f>J4634+L4634</f>
        <v>1.13</v>
      </c>
      <c r="T4634" t="str">
        <v>x</v>
      </c>
      <c r="U4634">
        <f>0.006165*F4634^2</f>
        <v>0.39456</v>
      </c>
      <c r="V4634" t="str">
        <v>x</v>
      </c>
      <c r="W4634">
        <f>IF(D4617&gt;4*G4615,ROUND(MAX(D4617/4,2*G4615)/H4634,0)+1,ROUND(D4617/H4634,0)+1)</f>
        <v>12</v>
      </c>
      <c r="X4634" t="str">
        <v>x</v>
      </c>
      <c r="Y4634">
        <f>D4620</f>
        <v>1</v>
      </c>
      <c r="Z4634" t="str">
        <v>=</v>
      </c>
      <c r="AA4634">
        <f>N4634*U4634*W4634*Y4634</f>
        <v>5.3502336</v>
      </c>
    </row>
    <row r="4635">
      <c r="A4635" t="str">
        <f>A4614</f>
        <v>Lantai 1</v>
      </c>
      <c r="B4635">
        <f>B4614</f>
        <v>57</v>
      </c>
      <c r="C4635" t="str">
        <v>Sengkang Lapangan</v>
      </c>
      <c r="D4635">
        <f>VLOOKUP(D4614,'Detail Balok'!$C$10:$AU$110,36,FALSE)</f>
        <v>0</v>
      </c>
      <c r="E4635" t="str">
        <v>D</v>
      </c>
      <c r="F4635">
        <f>VLOOKUP(D4614,'Detail Balok'!$C$10:$AU$110,38,FALSE)</f>
        <v>8</v>
      </c>
      <c r="G4635" t="str">
        <v>-</v>
      </c>
      <c r="H4635">
        <f>VLOOKUP(D4614,'Detail Balok'!$C$10:$AU$110,40,FALSE)</f>
        <v>200</v>
      </c>
      <c r="J4635">
        <f>(IF(D4635=0,(2*(D4615+G4615))-(F$5*8),IF(D4635=3,(2*(D4615+G4615))-(F$5*8)+(G4615-2*F$5),IF(D4635=4,(2*(D4615+G4615))-(F$5*8)+2*(G4615-2*F$5)))))/1000</f>
        <v>0.98</v>
      </c>
      <c r="K4635" t="str">
        <v>+</v>
      </c>
      <c r="L4635">
        <f>IF(D4635=0,2*MAX(6*F4635,75),(D4635-1)*2*MAX(6*F4635,75))/1000</f>
        <v>0.15</v>
      </c>
      <c r="M4635" t="str">
        <v>=</v>
      </c>
      <c r="N4635">
        <f>J4635+L4635</f>
        <v>1.13</v>
      </c>
      <c r="T4635" t="str">
        <v>x</v>
      </c>
      <c r="U4635">
        <f>0.006165*F4635^2</f>
        <v>0.39456</v>
      </c>
      <c r="V4635" t="str">
        <v>x</v>
      </c>
      <c r="W4635">
        <f>IF(D4617-MAX(D4617/4,2*G4615)*2&gt;0,ROUND((D4617-MAX(D4617/4,2*G4615)*2)/H4635,0),0)</f>
        <v>11</v>
      </c>
      <c r="X4635" t="str">
        <v>x</v>
      </c>
      <c r="Y4635">
        <f>D4620</f>
        <v>1</v>
      </c>
      <c r="Z4635" t="str">
        <v>=</v>
      </c>
      <c r="AA4635">
        <f>N4635*U4635*W4635*Y4635</f>
        <v>4.9043808</v>
      </c>
    </row>
    <row r="4636">
      <c r="A4636" t="str">
        <f>A4614</f>
        <v>Lantai 1</v>
      </c>
      <c r="B4636">
        <f>B4614</f>
        <v>57</v>
      </c>
      <c r="C4636" t="str">
        <v>Sengkang Tumpuan</v>
      </c>
      <c r="D4636">
        <f>VLOOKUP(D4614,'Detail Balok'!$C$10:$AU$110,41,FALSE)</f>
        <v>0</v>
      </c>
      <c r="E4636" t="str">
        <v>D</v>
      </c>
      <c r="F4636">
        <f>VLOOKUP(D4614,'Detail Balok'!$C$10:$AU$110,43,FALSE)</f>
        <v>8</v>
      </c>
      <c r="G4636" t="str">
        <v>-</v>
      </c>
      <c r="H4636">
        <f>VLOOKUP(D4614,'Detail Balok'!$C$10:$AU$110,45,FALSE)</f>
        <v>100</v>
      </c>
      <c r="J4636">
        <f>(IF(D4636=0,(2*(D4615+G4615))-(F$5*8),IF(D4636=3,(2*(D4615+G4615))-(F$5*8)+(G4615-2*F$5),IF(D4636=4,(2*(D4615+G4615))-(F$5*8)+2*(G4615-2*F$5)))))/1000</f>
        <v>0.98</v>
      </c>
      <c r="K4636" t="str">
        <v>+</v>
      </c>
      <c r="L4636">
        <f>IF(D4636=0,2*MAX(6*F4636,75),(D4636-1)*2*MAX(6*F4636,75))/1000</f>
        <v>0.15</v>
      </c>
      <c r="M4636" t="str">
        <v>=</v>
      </c>
      <c r="N4636">
        <f>J4636+L4636</f>
        <v>1.13</v>
      </c>
      <c r="T4636" t="str">
        <v>x</v>
      </c>
      <c r="U4636">
        <f>0.006165*F4636^2</f>
        <v>0.39456</v>
      </c>
      <c r="V4636" t="str">
        <v>x</v>
      </c>
      <c r="W4636">
        <f>IF(D4617&gt;4*G4615,ROUND(MAX(D4617/4,2*G4615)/H4636,0)+1,0)</f>
        <v>12</v>
      </c>
      <c r="X4636" t="str">
        <v>x</v>
      </c>
      <c r="Y4636">
        <f>D4620</f>
        <v>1</v>
      </c>
      <c r="Z4636" t="str">
        <v>=</v>
      </c>
      <c r="AA4636">
        <f>N4636*U4636*W4636*Y4636</f>
        <v>5.3502336</v>
      </c>
    </row>
    <row r="4638">
      <c r="A4638" t="str">
        <f>A4614</f>
        <v>Lantai 1</v>
      </c>
      <c r="B4638">
        <f>B4614</f>
        <v>57</v>
      </c>
      <c r="C4638" t="str">
        <v>Kait Horizontal Tump.</v>
      </c>
      <c r="D4638">
        <f>VLOOKUP(D4614,'Detail Balok'!$C$10:$BJ$110,46,FALSE)</f>
        <v>0</v>
      </c>
      <c r="E4638" t="str">
        <v>D</v>
      </c>
      <c r="F4638">
        <f>VLOOKUP(D4614,'Detail Balok'!$C$10:$BJ$110,48,FALSE)</f>
        <v>0</v>
      </c>
      <c r="G4638" t="str">
        <v>-</v>
      </c>
      <c r="H4638">
        <f>VLOOKUP(D4614,'Detail Balok'!$C$10:$BJ$110,50,FALSE)</f>
        <v>100</v>
      </c>
      <c r="J4638">
        <f>(D4615-2*F$5)/1000</f>
        <v>0.12</v>
      </c>
      <c r="K4638" t="str">
        <v>+</v>
      </c>
      <c r="L4638">
        <f>IF(D4638=0,2*MAX(6*F4638,75),(D4638-1)*2*MAX(6*F4638,75))/1000</f>
        <v>0.15</v>
      </c>
      <c r="M4638" t="str">
        <v>=</v>
      </c>
      <c r="N4638">
        <f>J4638+L4638</f>
        <v>0.27</v>
      </c>
      <c r="T4638" t="str">
        <v>x</v>
      </c>
      <c r="U4638">
        <f>0.006165*F4638^2</f>
        <v>0</v>
      </c>
      <c r="V4638" t="str">
        <v>x</v>
      </c>
      <c r="W4638">
        <f>W4634</f>
        <v>12</v>
      </c>
      <c r="X4638" t="str">
        <v>x</v>
      </c>
      <c r="Y4638">
        <f>D4624</f>
        <v>3</v>
      </c>
      <c r="Z4638" t="str">
        <v>=</v>
      </c>
      <c r="AA4638">
        <f>N4638*U4638*W4638*Y4638</f>
        <v>0</v>
      </c>
    </row>
    <row r="4639">
      <c r="A4639" t="str">
        <f>A4614</f>
        <v>Lantai 1</v>
      </c>
      <c r="B4639">
        <f>B4614</f>
        <v>57</v>
      </c>
      <c r="C4639" t="str">
        <v>Kait Horizontal Lap.</v>
      </c>
      <c r="D4639">
        <f>VLOOKUP(D4614,'Detail Balok'!$C$10:$BJ$110,51,FALSE)</f>
        <v>0</v>
      </c>
      <c r="E4639" t="str">
        <v>D</v>
      </c>
      <c r="F4639">
        <f>VLOOKUP(D4614,'Detail Balok'!$C$10:$BJ$110,53,FALSE)</f>
        <v>0</v>
      </c>
      <c r="G4639" t="str">
        <v>-</v>
      </c>
      <c r="H4639">
        <f>VLOOKUP(D4614,'Detail Balok'!$C$10:$BJ$110,55,FALSE)</f>
        <v>100</v>
      </c>
      <c r="J4639">
        <f>(D4615-2*F$5)/1000</f>
        <v>0.12</v>
      </c>
      <c r="K4639" t="str">
        <v>+</v>
      </c>
      <c r="L4639">
        <f>IF(D4639=0,2*MAX(6*F4639,75),(D4639-1)*2*MAX(6*F4639,75))/1000</f>
        <v>0.15</v>
      </c>
      <c r="M4639" t="str">
        <v>=</v>
      </c>
      <c r="N4639">
        <f>J4639+L4639</f>
        <v>0.27</v>
      </c>
      <c r="T4639" t="str">
        <v>x</v>
      </c>
      <c r="U4639">
        <f>0.006165*F4639^2</f>
        <v>0</v>
      </c>
      <c r="V4639" t="str">
        <v>x</v>
      </c>
      <c r="W4639">
        <f>W4635</f>
        <v>11</v>
      </c>
      <c r="X4639" t="str">
        <v>x</v>
      </c>
      <c r="Y4639">
        <f>D4624</f>
        <v>3</v>
      </c>
      <c r="Z4639" t="str">
        <v>=</v>
      </c>
      <c r="AA4639">
        <f>N4639*U4639*W4639*Y4639</f>
        <v>0</v>
      </c>
    </row>
    <row r="4640">
      <c r="A4640" t="str">
        <f>A4614</f>
        <v>Lantai 1</v>
      </c>
      <c r="B4640">
        <f>B4614</f>
        <v>57</v>
      </c>
      <c r="C4640" t="str">
        <v>Kait Horizontal Tump.</v>
      </c>
      <c r="D4640">
        <f>VLOOKUP(D4614,'Detail Balok'!$C$10:$BJ$110,56,FALSE)</f>
        <v>0</v>
      </c>
      <c r="E4640" t="str">
        <v>D</v>
      </c>
      <c r="F4640">
        <f>VLOOKUP(D4614,'Detail Balok'!$C$10:$BJ$110,58,FALSE)</f>
        <v>0</v>
      </c>
      <c r="G4640" t="str">
        <v>-</v>
      </c>
      <c r="H4640">
        <f>VLOOKUP(D4614,'Detail Balok'!$C$10:$BJ$110,60,FALSE)</f>
        <v>100</v>
      </c>
      <c r="J4640">
        <f>(D4615-2*F$5)/1000</f>
        <v>0.12</v>
      </c>
      <c r="K4640" t="str">
        <v>+</v>
      </c>
      <c r="L4640">
        <f>IF(D4640=0,2*MAX(6*F4640,75),(D4640-1)*2*MAX(6*F4640,75))/1000</f>
        <v>0.15</v>
      </c>
      <c r="M4640" t="str">
        <v>=</v>
      </c>
      <c r="N4640">
        <f>J4640+L4640</f>
        <v>0.27</v>
      </c>
      <c r="T4640" t="str">
        <v>x</v>
      </c>
      <c r="U4640">
        <f>0.006165*F4640^2</f>
        <v>0</v>
      </c>
      <c r="V4640" t="str">
        <v>x</v>
      </c>
      <c r="W4640">
        <f>W4636</f>
        <v>12</v>
      </c>
      <c r="X4640" t="str">
        <v>x</v>
      </c>
      <c r="Y4640">
        <f>D4624</f>
        <v>3</v>
      </c>
      <c r="Z4640" t="str">
        <v>=</v>
      </c>
      <c r="AA4640">
        <f>N4640*U4640*W4640*Y4640</f>
        <v>0</v>
      </c>
    </row>
    <row r="4644">
      <c r="A4644" t="str">
        <f>A4614</f>
        <v>Lantai 1</v>
      </c>
      <c r="B4644">
        <f>B4614+1</f>
        <v>58</v>
      </c>
      <c r="C4644" t="str">
        <f>CONCATENATE(A4644," no. ",B4644)</f>
        <v>Lantai 1 no. 58</v>
      </c>
      <c r="D4644" t="str">
        <f>VLOOKUP(C4644,'Data Panjang Balok'!$C$9:$N$424,2,FALSE)</f>
        <v>B245-5</v>
      </c>
    </row>
    <row r="4645">
      <c r="C4645" t="str">
        <v>Dimensi</v>
      </c>
      <c r="D4645">
        <f>VLOOKUP(D4644,'Detail Balok'!$C$10:$AU$110,2,FALSE)</f>
        <v>200</v>
      </c>
      <c r="F4645" t="str">
        <v>x</v>
      </c>
      <c r="G4645">
        <f>VLOOKUP(D4644,'Detail Balok'!$C$10:$AU$110,3,FALSE)</f>
        <v>450</v>
      </c>
    </row>
    <row r="4646">
      <c r="C4646" t="str">
        <v>Panjang as ke as</v>
      </c>
      <c r="D4646">
        <f>VLOOKUP(C4644,'Data Panjang Balok'!$C$9:$N$424,4,FALSE)</f>
        <v>2780</v>
      </c>
    </row>
    <row r="4647">
      <c r="C4647" t="str">
        <v>Panjang netto</v>
      </c>
      <c r="D4647">
        <f>VLOOKUP(C4644,'Data Panjang Balok'!$C$9:$N$424,7,FALSE)</f>
        <v>2780</v>
      </c>
    </row>
    <row r="4648">
      <c r="C4648" t="str">
        <v>Kolom / balok kiri</v>
      </c>
      <c r="D4648">
        <f>VLOOKUP(C4644,'Data Panjang Balok'!$C$9:$N$424,9,FALSE)</f>
        <v>0</v>
      </c>
    </row>
    <row r="4649">
      <c r="C4649" t="str">
        <v>Kolom / balok kanan</v>
      </c>
      <c r="D4649">
        <f>VLOOKUP(C4644,'Data Panjang Balok'!$C$9:$N$424,10,FALSE)</f>
        <v>0</v>
      </c>
    </row>
    <row r="4650">
      <c r="C4650" t="str">
        <v>Jumlah</v>
      </c>
      <c r="D4650">
        <f>VLOOKUP(C4644,'Data Panjang Balok'!$C$9:$N$424,3,FALSE)</f>
        <v>1</v>
      </c>
    </row>
    <row r="4651">
      <c r="A4651" t="str">
        <f>A4644</f>
        <v>Lantai 1</v>
      </c>
      <c r="B4651">
        <f>B4644</f>
        <v>58</v>
      </c>
      <c r="C4651" t="str">
        <v>Tul Atas Tumpuan</v>
      </c>
      <c r="D4651">
        <f>VLOOKUP(D4644,'Detail Balok'!$C$10:$AU$110,4,FALSE)</f>
        <v>3</v>
      </c>
      <c r="E4651" t="str">
        <v>D</v>
      </c>
      <c r="F4651">
        <f>VLOOKUP(D4644,'Detail Balok'!$C$10:$AU$110,6,FALSE)</f>
        <v>16</v>
      </c>
      <c r="I4651" t="str">
        <v>(</v>
      </c>
      <c r="J4651">
        <f>+D4646/4/1000</f>
        <v>0.695</v>
      </c>
      <c r="K4651" t="str">
        <v>+</v>
      </c>
      <c r="L4651">
        <f>MAX(VLOOKUP(F4651,N$6:P$15,3,FALSE)/1000,2/3*D4648/1000)+F$16*F4651/1000</f>
        <v>0.192</v>
      </c>
      <c r="M4651" t="str">
        <v>=</v>
      </c>
      <c r="N4651">
        <f>J4651+L4651</f>
        <v>0.887</v>
      </c>
      <c r="O4651" t="str">
        <v>+</v>
      </c>
      <c r="P4651">
        <f>D4651-D4652</f>
        <v>0</v>
      </c>
      <c r="Q4651" t="str">
        <v>x</v>
      </c>
      <c r="R4651">
        <f>IF(P4651&gt;0,$F$18*F4651/1000,0)</f>
        <v>0</v>
      </c>
      <c r="S4651" t="str">
        <v>)</v>
      </c>
      <c r="T4651" t="str">
        <v>x</v>
      </c>
      <c r="U4651">
        <f>0.006165*F4651^2</f>
        <v>1.57824</v>
      </c>
      <c r="X4651" t="str">
        <v>x</v>
      </c>
      <c r="Y4651">
        <f>D4650</f>
        <v>1</v>
      </c>
      <c r="Z4651" t="str">
        <v>=</v>
      </c>
      <c r="AA4651">
        <f>IF(AA4654=0,(D4651*N4651+P4651*R4651)*U4651*Y4651,0)</f>
        <v>0</v>
      </c>
    </row>
    <row r="4652">
      <c r="A4652" t="str">
        <f>A4644</f>
        <v>Lantai 1</v>
      </c>
      <c r="B4652">
        <f>B4644</f>
        <v>58</v>
      </c>
      <c r="C4652" t="str">
        <v>Tul Atas Lapangan</v>
      </c>
      <c r="D4652">
        <f>VLOOKUP(D4644,'Detail Balok'!$C$10:$AU$110,7,FALSE)</f>
        <v>3</v>
      </c>
      <c r="E4652" t="str">
        <v>D</v>
      </c>
      <c r="F4652">
        <f>VLOOKUP(D4644,'Detail Balok'!$C$10:$AU$110,9,FALSE)</f>
        <v>16</v>
      </c>
      <c r="I4652" t="str">
        <v>(</v>
      </c>
      <c r="J4652">
        <f>+D4646/2/1000</f>
        <v>1.39</v>
      </c>
      <c r="K4652" t="str">
        <v>+</v>
      </c>
      <c r="M4652" t="str">
        <v>=</v>
      </c>
      <c r="N4652">
        <f>J4652+L4652</f>
        <v>1.39</v>
      </c>
      <c r="O4652" t="str">
        <v>+</v>
      </c>
      <c r="P4652">
        <f>MAX(D4652-D4651,D4652-D4653)</f>
        <v>0</v>
      </c>
      <c r="Q4652" t="str">
        <v>x</v>
      </c>
      <c r="R4652">
        <f>IF(P4652&gt;0,2*(1-2*$F$19-1/2)*D4647/1000,0)</f>
        <v>0</v>
      </c>
      <c r="S4652" t="str">
        <v>)</v>
      </c>
      <c r="T4652" t="str">
        <v>x</v>
      </c>
      <c r="U4652">
        <f>0.006165*F4652^2</f>
        <v>1.57824</v>
      </c>
      <c r="X4652" t="str">
        <v>x</v>
      </c>
      <c r="Y4652">
        <f>D4650</f>
        <v>1</v>
      </c>
      <c r="Z4652" t="str">
        <v>=</v>
      </c>
      <c r="AA4652">
        <f>IF(AA4654=0,(D4652*N4652+P4652*R4652)*U4652*Y4652,0)</f>
        <v>0</v>
      </c>
    </row>
    <row r="4653">
      <c r="A4653" t="str">
        <f>A4644</f>
        <v>Lantai 1</v>
      </c>
      <c r="B4653">
        <f>B4644</f>
        <v>58</v>
      </c>
      <c r="C4653" t="str">
        <v>Tul Atas Tumpuan</v>
      </c>
      <c r="D4653">
        <f>VLOOKUP(D4644,'Detail Balok'!$C$10:$AU$110,10,FALSE)</f>
        <v>3</v>
      </c>
      <c r="E4653" t="str">
        <v>D</v>
      </c>
      <c r="F4653">
        <f>VLOOKUP(D4644,'Detail Balok'!$C$10:$AU$110,12,FALSE)</f>
        <v>16</v>
      </c>
      <c r="I4653" t="str">
        <v>(</v>
      </c>
      <c r="J4653">
        <f>+D4646/4/1000</f>
        <v>0.695</v>
      </c>
      <c r="K4653" t="str">
        <v>+</v>
      </c>
      <c r="L4653">
        <f>MAX(VLOOKUP(F4653,N$6:P$15,3,FALSE)/1000,2/3*D4648/1000)+F$16*F4653/1000</f>
        <v>0.192</v>
      </c>
      <c r="M4653" t="str">
        <v>=</v>
      </c>
      <c r="N4653">
        <f>J4653+L4653</f>
        <v>0.887</v>
      </c>
      <c r="O4653" t="str">
        <v>+</v>
      </c>
      <c r="P4653">
        <f>D4653-D4652</f>
        <v>0</v>
      </c>
      <c r="Q4653" t="str">
        <v>x</v>
      </c>
      <c r="R4653">
        <f>IF(P4653&gt;0,$F$18*F4653/1000,0)</f>
        <v>0</v>
      </c>
      <c r="S4653" t="str">
        <v>)</v>
      </c>
      <c r="T4653" t="str">
        <v>x</v>
      </c>
      <c r="U4653">
        <f>0.006165*F4653^2</f>
        <v>1.57824</v>
      </c>
      <c r="X4653" t="str">
        <v>x</v>
      </c>
      <c r="Y4653">
        <f>D4650</f>
        <v>1</v>
      </c>
      <c r="Z4653" t="str">
        <v>=</v>
      </c>
      <c r="AA4653">
        <f>IF(AA4654=0,(D4653*N4653+P4653*R4653)*U4653*Y4653,0)</f>
        <v>0</v>
      </c>
    </row>
    <row r="4654">
      <c r="A4654" t="str">
        <f>A4644</f>
        <v>Lantai 1</v>
      </c>
      <c r="B4654">
        <f>B4644</f>
        <v>58</v>
      </c>
      <c r="D4654">
        <f>IF(AND(D4651=D4652,D4652=D4653,D4651=D4653),D4651,0)</f>
        <v>3</v>
      </c>
      <c r="E4654" t="str">
        <v>D</v>
      </c>
      <c r="F4654">
        <f>IF(AND(F4651=F4652,F4651=F4653,F4652=F4653),F4651,0)</f>
        <v>16</v>
      </c>
      <c r="L4654" t="str">
        <v>Total panjang per balok</v>
      </c>
      <c r="M4654" t="str">
        <v>=</v>
      </c>
      <c r="N4654">
        <f>IF(AND(D4651=D4652,D4651=D4653,D4652=D4653,F4651=F4652,F4651=F4653,F4652=F4653),SUM(N4651:N4653),0)</f>
        <v>3.164</v>
      </c>
      <c r="O4654" t="str">
        <v>+</v>
      </c>
      <c r="P4654">
        <f>IF(N4654&gt;12,ROUNDDOWN(N4654/12,0),0)</f>
        <v>0</v>
      </c>
      <c r="Q4654" t="str">
        <v>x</v>
      </c>
      <c r="R4654">
        <f>IF(P4654&gt;0,MAX(VLOOKUP(F4654,$D$6:$G$15,3,FALSE),600),0)/1000</f>
        <v>0</v>
      </c>
      <c r="T4654" t="str">
        <v>x</v>
      </c>
      <c r="U4654">
        <f>U4653</f>
        <v>1.57824</v>
      </c>
      <c r="V4654" t="str">
        <v>x</v>
      </c>
      <c r="W4654">
        <f>D4654</f>
        <v>3</v>
      </c>
      <c r="X4654" t="str">
        <v>x</v>
      </c>
      <c r="Y4654">
        <f>Y4653</f>
        <v>1</v>
      </c>
      <c r="Z4654" t="str">
        <v>=</v>
      </c>
      <c r="AA4654">
        <f>(N4654+P4654*R4654/1000)*U4654*W4654*Y4654</f>
        <v>14.98065408</v>
      </c>
    </row>
    <row r="4656">
      <c r="A4656" t="str">
        <f>A4644</f>
        <v>Lantai 1</v>
      </c>
      <c r="B4656">
        <f>B4644</f>
        <v>58</v>
      </c>
      <c r="C4656" t="str">
        <v>Tul Peminggang</v>
      </c>
      <c r="D4656">
        <f>VLOOKUP(D4644,'Detail Balok'!$C$10:$AU$110,13,FALSE)</f>
        <v>2</v>
      </c>
      <c r="E4656" t="str">
        <v>D</v>
      </c>
      <c r="F4656">
        <f>VLOOKUP(D4644,'Detail Balok'!$C$10:$AU$110,15,FALSE)</f>
        <v>10</v>
      </c>
      <c r="J4656">
        <f>+D4646/1000</f>
        <v>2.78</v>
      </c>
      <c r="K4656" t="str">
        <v>+</v>
      </c>
      <c r="L4656">
        <f>2*$F$16*F4656/1000</f>
        <v>0.24</v>
      </c>
      <c r="M4656" t="str">
        <v>=</v>
      </c>
      <c r="N4656">
        <f>J4656+L4656</f>
        <v>3.0199999999999996</v>
      </c>
      <c r="O4656" t="str">
        <v>+</v>
      </c>
      <c r="P4656">
        <f>IF(N4656&gt;12,ROUNDDOWN(N4656/12,0),0)</f>
        <v>0</v>
      </c>
      <c r="Q4656" t="str">
        <v>x</v>
      </c>
      <c r="R4656">
        <f>IF(P4656&gt;0,MAX(VLOOKUP(F4656,$D$6:$G$15,3,FALSE),600),0)/1000</f>
        <v>0</v>
      </c>
      <c r="T4656" t="str">
        <v>x</v>
      </c>
      <c r="U4656">
        <f>0.006165*F4656^2</f>
        <v>0.6165</v>
      </c>
      <c r="V4656" t="str">
        <v>x</v>
      </c>
      <c r="W4656">
        <f>+D4656</f>
        <v>2</v>
      </c>
      <c r="X4656" t="str">
        <v>x</v>
      </c>
      <c r="Y4656">
        <f>D4650</f>
        <v>1</v>
      </c>
      <c r="Z4656" t="str">
        <v>=</v>
      </c>
      <c r="AA4656">
        <f>(N4656+P4656*R4656/1000)*U4656*W4656*Y4656</f>
        <v>3.7236599999999997</v>
      </c>
    </row>
    <row r="4659">
      <c r="A4659" t="str">
        <f>A4644</f>
        <v>Lantai 1</v>
      </c>
      <c r="B4659">
        <f>B4644</f>
        <v>58</v>
      </c>
      <c r="C4659" t="str">
        <v>Tul Bawah Tumpuan</v>
      </c>
      <c r="D4659">
        <f>VLOOKUP(D4644,'Detail Balok'!$C$10:$AU$110,22,FALSE)</f>
        <v>4</v>
      </c>
      <c r="E4659" t="str">
        <v>D</v>
      </c>
      <c r="F4659">
        <f>VLOOKUP(D4644,'Detail Balok'!$C$10:$AU$110,24,FALSE)</f>
        <v>16</v>
      </c>
      <c r="I4659" t="str">
        <v>(</v>
      </c>
      <c r="J4659">
        <f>+J4651</f>
        <v>0.695</v>
      </c>
      <c r="K4659" t="str">
        <v>+</v>
      </c>
      <c r="L4659">
        <f>MAX(VLOOKUP(F4659,N$6:P$15,3,FALSE)/1000,2/3*D4649/1000)+F$16*F4659/1000</f>
        <v>0.192</v>
      </c>
      <c r="M4659" t="str">
        <v>=</v>
      </c>
      <c r="N4659">
        <f>J4659+L4659</f>
        <v>0.887</v>
      </c>
      <c r="O4659" t="str">
        <v>+</v>
      </c>
      <c r="P4659">
        <f>D4659-D4660</f>
        <v>0</v>
      </c>
      <c r="Q4659" t="str">
        <v>x</v>
      </c>
      <c r="R4659">
        <f>IF(P4659&gt;0,$F$18*F4659/1000,0)</f>
        <v>0</v>
      </c>
      <c r="S4659" t="str">
        <v>)</v>
      </c>
      <c r="T4659" t="str">
        <v>x</v>
      </c>
      <c r="U4659">
        <f>0.006165*F4659^2</f>
        <v>1.57824</v>
      </c>
      <c r="X4659" t="str">
        <v>x</v>
      </c>
      <c r="Y4659">
        <f>D4650</f>
        <v>1</v>
      </c>
      <c r="Z4659" t="str">
        <v>=</v>
      </c>
      <c r="AA4659">
        <f>IF(AA4662=0,(D4659*N4659+P4659*R4659)*U4659*Y4659,0)</f>
        <v>0</v>
      </c>
    </row>
    <row r="4660">
      <c r="A4660" t="str">
        <f>A4644</f>
        <v>Lantai 1</v>
      </c>
      <c r="B4660">
        <f>B4644</f>
        <v>58</v>
      </c>
      <c r="C4660" t="str">
        <v>Tul Bawah Lapangan</v>
      </c>
      <c r="D4660">
        <f>VLOOKUP(D4644,'Detail Balok'!$C$10:$AU$110,25,FALSE)</f>
        <v>4</v>
      </c>
      <c r="E4660" t="str">
        <v>D</v>
      </c>
      <c r="F4660">
        <f>VLOOKUP(D4644,'Detail Balok'!$C$10:$AU$110,27,FALSE)</f>
        <v>16</v>
      </c>
      <c r="I4660" t="str">
        <v>(</v>
      </c>
      <c r="J4660">
        <f>+J4652</f>
        <v>1.39</v>
      </c>
      <c r="K4660" t="str">
        <v>+</v>
      </c>
      <c r="M4660" t="str">
        <v>=</v>
      </c>
      <c r="N4660">
        <f>J4660+L4660</f>
        <v>1.39</v>
      </c>
      <c r="O4660" t="str">
        <v>+</v>
      </c>
      <c r="P4660">
        <f>MAX(D4660-D4659,D4660-D4661)</f>
        <v>0</v>
      </c>
      <c r="Q4660" t="str">
        <v>x</v>
      </c>
      <c r="R4660">
        <f>IF(P4660&gt;0,2*(1-2*$F$19-1/2)*D4647/1000,0)</f>
        <v>0</v>
      </c>
      <c r="S4660" t="str">
        <v>)</v>
      </c>
      <c r="T4660" t="str">
        <v>x</v>
      </c>
      <c r="U4660">
        <f>0.006165*F4660^2</f>
        <v>1.57824</v>
      </c>
      <c r="X4660" t="str">
        <v>x</v>
      </c>
      <c r="Y4660">
        <f>D4650</f>
        <v>1</v>
      </c>
      <c r="Z4660" t="str">
        <v>=</v>
      </c>
      <c r="AA4660">
        <f>IF(AA4662=0,(D4660*N4660+P4660*R4660)*U4660*Y4660,0)</f>
        <v>0</v>
      </c>
    </row>
    <row r="4661">
      <c r="A4661" t="str">
        <f>A4644</f>
        <v>Lantai 1</v>
      </c>
      <c r="B4661">
        <f>B4644</f>
        <v>58</v>
      </c>
      <c r="C4661" t="str">
        <v>Tul Bawah Tumpuan</v>
      </c>
      <c r="D4661">
        <f>VLOOKUP(D4644,'Detail Balok'!$C$10:$AU$110,28,FALSE)</f>
        <v>4</v>
      </c>
      <c r="E4661" t="str">
        <v>D</v>
      </c>
      <c r="F4661">
        <f>VLOOKUP(D4644,'Detail Balok'!$C$10:$AU$110,30,FALSE)</f>
        <v>16</v>
      </c>
      <c r="I4661" t="str">
        <v>(</v>
      </c>
      <c r="J4661">
        <f>+J4653</f>
        <v>0.695</v>
      </c>
      <c r="K4661" t="str">
        <v>+</v>
      </c>
      <c r="L4661">
        <f>MAX(VLOOKUP(F4661,N$6:P$15,3,FALSE)/1000,2/3*D4649/1000)+F$16*F4661/1000</f>
        <v>0.192</v>
      </c>
      <c r="M4661" t="str">
        <v>=</v>
      </c>
      <c r="N4661">
        <f>J4661+L4661</f>
        <v>0.887</v>
      </c>
      <c r="O4661" t="str">
        <v>+</v>
      </c>
      <c r="P4661">
        <f>D4661-D4660</f>
        <v>0</v>
      </c>
      <c r="Q4661" t="str">
        <v>x</v>
      </c>
      <c r="R4661">
        <f>IF(P4661&gt;0,$F$18*F4661/1000,0)</f>
        <v>0</v>
      </c>
      <c r="S4661" t="str">
        <v>)</v>
      </c>
      <c r="T4661" t="str">
        <v>x</v>
      </c>
      <c r="U4661">
        <f>0.006165*F4661^2</f>
        <v>1.57824</v>
      </c>
      <c r="X4661" t="str">
        <v>x</v>
      </c>
      <c r="Y4661">
        <f>D4650</f>
        <v>1</v>
      </c>
      <c r="Z4661" t="str">
        <v>=</v>
      </c>
      <c r="AA4661">
        <f>IF(AA4662=0,(D4661*N4661+P4661*R4661)*U4661*Y4661,0)</f>
        <v>0</v>
      </c>
    </row>
    <row r="4662">
      <c r="A4662" t="str">
        <f>A4644</f>
        <v>Lantai 1</v>
      </c>
      <c r="B4662">
        <f>B4644</f>
        <v>58</v>
      </c>
      <c r="D4662">
        <f>IF(AND(D4659=D4660,D4660=D4661,D4659=D4661),D4659,0)</f>
        <v>4</v>
      </c>
      <c r="E4662" t="str">
        <v>D</v>
      </c>
      <c r="F4662">
        <f>IF(AND(F4659=F4660,F4659=F4661,F4660=F4661),F4659,0)</f>
        <v>16</v>
      </c>
      <c r="L4662" t="str">
        <v>Total panjang per balok</v>
      </c>
      <c r="M4662" t="str">
        <v>=</v>
      </c>
      <c r="N4662">
        <f>IF(AND(D4659=D4660,D4659=D4661,D4660=D4661,F4659=F4660,F4659=F4661,F4660=F4661),SUM(N4659:N4661),0)</f>
        <v>3.164</v>
      </c>
      <c r="O4662" t="str">
        <v>+</v>
      </c>
      <c r="P4662">
        <f>IF(N4662&gt;12,ROUNDDOWN(N4662/12,0),0)</f>
        <v>0</v>
      </c>
      <c r="Q4662" t="str">
        <v>x</v>
      </c>
      <c r="R4662">
        <f>IF(P4662&gt;0,MAX(VLOOKUP(F4662,$D$6:$G$15,3,FALSE),600),0)/1000</f>
        <v>0</v>
      </c>
      <c r="T4662" t="str">
        <v>x</v>
      </c>
      <c r="U4662">
        <f>U4661</f>
        <v>1.57824</v>
      </c>
      <c r="V4662" t="str">
        <v>x</v>
      </c>
      <c r="W4662">
        <f>D4662</f>
        <v>4</v>
      </c>
      <c r="X4662" t="str">
        <v>x</v>
      </c>
      <c r="Y4662">
        <f>Y4661</f>
        <v>1</v>
      </c>
      <c r="Z4662" t="str">
        <v>=</v>
      </c>
      <c r="AA4662">
        <f>(N4662+P4662*R4662/1000)*U4662*W4662*Y4662</f>
        <v>19.974205440000002</v>
      </c>
    </row>
    <row r="4664">
      <c r="A4664" t="str">
        <f>A4644</f>
        <v>Lantai 1</v>
      </c>
      <c r="B4664">
        <f>B4644</f>
        <v>58</v>
      </c>
      <c r="C4664" t="str">
        <v>Sengkang Tumpuan</v>
      </c>
      <c r="D4664">
        <f>VLOOKUP(D4644,'Detail Balok'!$C$10:$AU$110,31,FALSE)</f>
        <v>0</v>
      </c>
      <c r="E4664" t="str">
        <v>D</v>
      </c>
      <c r="F4664">
        <f>VLOOKUP(D4644,'Detail Balok'!$C$10:$AU$110,33,FALSE)</f>
        <v>10</v>
      </c>
      <c r="G4664" t="str">
        <v>-</v>
      </c>
      <c r="H4664">
        <f>VLOOKUP(D4644,'Detail Balok'!$C$10:$AU$110,35,FALSE)</f>
        <v>80</v>
      </c>
      <c r="J4664">
        <f>(IF(D4664=0,(2*(D4645+G4645))-(F$5*8),IF(D4664=3,(2*(D4645+G4645))-(F$5*8)+(G4645-2*F$5),IF(D4664=4,(2*(D4645+G4645))-(F$5*8)+2*(G4645-2*F$5)))))/1000</f>
        <v>0.98</v>
      </c>
      <c r="K4664" t="str">
        <v>+</v>
      </c>
      <c r="L4664">
        <f>IF(D4664=0,2*MAX(6*F4664,75),(D4664-1)*2*MAX(6*F4664,75))/1000</f>
        <v>0.15</v>
      </c>
      <c r="M4664" t="str">
        <v>=</v>
      </c>
      <c r="N4664">
        <f>J4664+L4664</f>
        <v>1.13</v>
      </c>
      <c r="T4664" t="str">
        <v>x</v>
      </c>
      <c r="U4664">
        <f>0.006165*F4664^2</f>
        <v>0.6165</v>
      </c>
      <c r="V4664" t="str">
        <v>x</v>
      </c>
      <c r="W4664">
        <f>IF(D4647&gt;4*G4645,ROUND(MAX(D4647/4,2*G4645)/H4664,0)+1,ROUND(D4647/H4664,0)+1)</f>
        <v>12</v>
      </c>
      <c r="X4664" t="str">
        <v>x</v>
      </c>
      <c r="Y4664">
        <f>D4650</f>
        <v>1</v>
      </c>
      <c r="Z4664" t="str">
        <v>=</v>
      </c>
      <c r="AA4664">
        <f>N4664*U4664*W4664*Y4664</f>
        <v>8.359739999999999</v>
      </c>
    </row>
    <row r="4665">
      <c r="A4665" t="str">
        <f>A4644</f>
        <v>Lantai 1</v>
      </c>
      <c r="B4665">
        <f>B4644</f>
        <v>58</v>
      </c>
      <c r="C4665" t="str">
        <v>Sengkang Lapangan</v>
      </c>
      <c r="D4665">
        <f>VLOOKUP(D4644,'Detail Balok'!$C$10:$AU$110,36,FALSE)</f>
        <v>0</v>
      </c>
      <c r="E4665" t="str">
        <v>D</v>
      </c>
      <c r="F4665">
        <f>VLOOKUP(D4644,'Detail Balok'!$C$10:$AU$110,38,FALSE)</f>
        <v>10</v>
      </c>
      <c r="G4665" t="str">
        <v>-</v>
      </c>
      <c r="H4665">
        <f>VLOOKUP(D4644,'Detail Balok'!$C$10:$AU$110,40,FALSE)</f>
        <v>200</v>
      </c>
      <c r="J4665">
        <f>(IF(D4665=0,(2*(D4645+G4645))-(F$5*8),IF(D4665=3,(2*(D4645+G4645))-(F$5*8)+(G4645-2*F$5),IF(D4665=4,(2*(D4645+G4645))-(F$5*8)+2*(G4645-2*F$5)))))/1000</f>
        <v>0.98</v>
      </c>
      <c r="K4665" t="str">
        <v>+</v>
      </c>
      <c r="L4665">
        <f>IF(D4665=0,2*MAX(6*F4665,75),(D4665-1)*2*MAX(6*F4665,75))/1000</f>
        <v>0.15</v>
      </c>
      <c r="M4665" t="str">
        <v>=</v>
      </c>
      <c r="N4665">
        <f>J4665+L4665</f>
        <v>1.13</v>
      </c>
      <c r="T4665" t="str">
        <v>x</v>
      </c>
      <c r="U4665">
        <f>0.006165*F4665^2</f>
        <v>0.6165</v>
      </c>
      <c r="V4665" t="str">
        <v>x</v>
      </c>
      <c r="W4665">
        <f>IF(D4647-MAX(D4647/4,2*G4645)*2&gt;0,ROUND((D4647-MAX(D4647/4,2*G4645)*2)/H4665,0),0)</f>
        <v>5</v>
      </c>
      <c r="X4665" t="str">
        <v>x</v>
      </c>
      <c r="Y4665">
        <f>D4650</f>
        <v>1</v>
      </c>
      <c r="Z4665" t="str">
        <v>=</v>
      </c>
      <c r="AA4665">
        <f>N4665*U4665*W4665*Y4665</f>
        <v>3.483225</v>
      </c>
    </row>
    <row r="4666">
      <c r="A4666" t="str">
        <f>A4644</f>
        <v>Lantai 1</v>
      </c>
      <c r="B4666">
        <f>B4644</f>
        <v>58</v>
      </c>
      <c r="C4666" t="str">
        <v>Sengkang Tumpuan</v>
      </c>
      <c r="D4666">
        <f>VLOOKUP(D4644,'Detail Balok'!$C$10:$AU$110,41,FALSE)</f>
        <v>0</v>
      </c>
      <c r="E4666" t="str">
        <v>D</v>
      </c>
      <c r="F4666">
        <f>VLOOKUP(D4644,'Detail Balok'!$C$10:$AU$110,43,FALSE)</f>
        <v>10</v>
      </c>
      <c r="G4666" t="str">
        <v>-</v>
      </c>
      <c r="H4666">
        <f>VLOOKUP(D4644,'Detail Balok'!$C$10:$AU$110,45,FALSE)</f>
        <v>80</v>
      </c>
      <c r="J4666">
        <f>(IF(D4666=0,(2*(D4645+G4645))-(F$5*8),IF(D4666=3,(2*(D4645+G4645))-(F$5*8)+(G4645-2*F$5),IF(D4666=4,(2*(D4645+G4645))-(F$5*8)+2*(G4645-2*F$5)))))/1000</f>
        <v>0.98</v>
      </c>
      <c r="K4666" t="str">
        <v>+</v>
      </c>
      <c r="L4666">
        <f>IF(D4666=0,2*MAX(6*F4666,75),(D4666-1)*2*MAX(6*F4666,75))/1000</f>
        <v>0.15</v>
      </c>
      <c r="M4666" t="str">
        <v>=</v>
      </c>
      <c r="N4666">
        <f>J4666+L4666</f>
        <v>1.13</v>
      </c>
      <c r="T4666" t="str">
        <v>x</v>
      </c>
      <c r="U4666">
        <f>0.006165*F4666^2</f>
        <v>0.6165</v>
      </c>
      <c r="V4666" t="str">
        <v>x</v>
      </c>
      <c r="W4666">
        <f>IF(D4647&gt;4*G4645,ROUND(MAX(D4647/4,2*G4645)/H4666,0)+1,0)</f>
        <v>12</v>
      </c>
      <c r="X4666" t="str">
        <v>x</v>
      </c>
      <c r="Y4666">
        <f>D4650</f>
        <v>1</v>
      </c>
      <c r="Z4666" t="str">
        <v>=</v>
      </c>
      <c r="AA4666">
        <f>N4666*U4666*W4666*Y4666</f>
        <v>8.359739999999999</v>
      </c>
    </row>
    <row r="4668">
      <c r="A4668" t="str">
        <f>A4644</f>
        <v>Lantai 1</v>
      </c>
      <c r="B4668">
        <f>B4644</f>
        <v>58</v>
      </c>
      <c r="C4668" t="str">
        <v>Kait Horizontal Tump.</v>
      </c>
      <c r="D4668">
        <f>VLOOKUP(D4644,'Detail Balok'!$C$10:$BJ$110,46,FALSE)</f>
        <v>0</v>
      </c>
      <c r="E4668" t="str">
        <v>D</v>
      </c>
      <c r="F4668">
        <f>VLOOKUP(D4644,'Detail Balok'!$C$10:$BJ$110,48,FALSE)</f>
        <v>0</v>
      </c>
      <c r="G4668" t="str">
        <v>-</v>
      </c>
      <c r="H4668">
        <f>VLOOKUP(D4644,'Detail Balok'!$C$10:$BJ$110,50,FALSE)</f>
        <v>100</v>
      </c>
      <c r="J4668">
        <f>(D4645-2*F$5)/1000</f>
        <v>0.12</v>
      </c>
      <c r="K4668" t="str">
        <v>+</v>
      </c>
      <c r="L4668">
        <f>IF(D4668=0,2*MAX(6*F4668,75),(D4668-1)*2*MAX(6*F4668,75))/1000</f>
        <v>0.15</v>
      </c>
      <c r="M4668" t="str">
        <v>=</v>
      </c>
      <c r="N4668">
        <f>J4668+L4668</f>
        <v>0.27</v>
      </c>
      <c r="T4668" t="str">
        <v>x</v>
      </c>
      <c r="U4668">
        <f>0.006165*F4668^2</f>
        <v>0</v>
      </c>
      <c r="V4668" t="str">
        <v>x</v>
      </c>
      <c r="W4668">
        <f>W4664</f>
        <v>12</v>
      </c>
      <c r="X4668" t="str">
        <v>x</v>
      </c>
      <c r="Y4668">
        <f>D4654</f>
        <v>3</v>
      </c>
      <c r="Z4668" t="str">
        <v>=</v>
      </c>
      <c r="AA4668">
        <f>N4668*U4668*W4668*Y4668</f>
        <v>0</v>
      </c>
    </row>
    <row r="4669">
      <c r="A4669" t="str">
        <f>A4644</f>
        <v>Lantai 1</v>
      </c>
      <c r="B4669">
        <f>B4644</f>
        <v>58</v>
      </c>
      <c r="C4669" t="str">
        <v>Kait Horizontal Lap.</v>
      </c>
      <c r="D4669">
        <f>VLOOKUP(D4644,'Detail Balok'!$C$10:$BJ$110,51,FALSE)</f>
        <v>0</v>
      </c>
      <c r="E4669" t="str">
        <v>D</v>
      </c>
      <c r="F4669">
        <f>VLOOKUP(D4644,'Detail Balok'!$C$10:$BJ$110,53,FALSE)</f>
        <v>0</v>
      </c>
      <c r="G4669" t="str">
        <v>-</v>
      </c>
      <c r="H4669">
        <f>VLOOKUP(D4644,'Detail Balok'!$C$10:$BJ$110,55,FALSE)</f>
        <v>100</v>
      </c>
      <c r="J4669">
        <f>(D4645-2*F$5)/1000</f>
        <v>0.12</v>
      </c>
      <c r="K4669" t="str">
        <v>+</v>
      </c>
      <c r="L4669">
        <f>IF(D4669=0,2*MAX(6*F4669,75),(D4669-1)*2*MAX(6*F4669,75))/1000</f>
        <v>0.15</v>
      </c>
      <c r="M4669" t="str">
        <v>=</v>
      </c>
      <c r="N4669">
        <f>J4669+L4669</f>
        <v>0.27</v>
      </c>
      <c r="T4669" t="str">
        <v>x</v>
      </c>
      <c r="U4669">
        <f>0.006165*F4669^2</f>
        <v>0</v>
      </c>
      <c r="V4669" t="str">
        <v>x</v>
      </c>
      <c r="W4669">
        <f>W4665</f>
        <v>5</v>
      </c>
      <c r="X4669" t="str">
        <v>x</v>
      </c>
      <c r="Y4669">
        <f>D4654</f>
        <v>3</v>
      </c>
      <c r="Z4669" t="str">
        <v>=</v>
      </c>
      <c r="AA4669">
        <f>N4669*U4669*W4669*Y4669</f>
        <v>0</v>
      </c>
    </row>
    <row r="4670">
      <c r="A4670" t="str">
        <f>A4644</f>
        <v>Lantai 1</v>
      </c>
      <c r="B4670">
        <f>B4644</f>
        <v>58</v>
      </c>
      <c r="C4670" t="str">
        <v>Kait Horizontal Tump.</v>
      </c>
      <c r="D4670">
        <f>VLOOKUP(D4644,'Detail Balok'!$C$10:$BJ$110,56,FALSE)</f>
        <v>0</v>
      </c>
      <c r="E4670" t="str">
        <v>D</v>
      </c>
      <c r="F4670">
        <f>VLOOKUP(D4644,'Detail Balok'!$C$10:$BJ$110,58,FALSE)</f>
        <v>0</v>
      </c>
      <c r="G4670" t="str">
        <v>-</v>
      </c>
      <c r="H4670">
        <f>VLOOKUP(D4644,'Detail Balok'!$C$10:$BJ$110,60,FALSE)</f>
        <v>100</v>
      </c>
      <c r="J4670">
        <f>(D4645-2*F$5)/1000</f>
        <v>0.12</v>
      </c>
      <c r="K4670" t="str">
        <v>+</v>
      </c>
      <c r="L4670">
        <f>IF(D4670=0,2*MAX(6*F4670,75),(D4670-1)*2*MAX(6*F4670,75))/1000</f>
        <v>0.15</v>
      </c>
      <c r="M4670" t="str">
        <v>=</v>
      </c>
      <c r="N4670">
        <f>J4670+L4670</f>
        <v>0.27</v>
      </c>
      <c r="T4670" t="str">
        <v>x</v>
      </c>
      <c r="U4670">
        <f>0.006165*F4670^2</f>
        <v>0</v>
      </c>
      <c r="V4670" t="str">
        <v>x</v>
      </c>
      <c r="W4670">
        <f>W4666</f>
        <v>12</v>
      </c>
      <c r="X4670" t="str">
        <v>x</v>
      </c>
      <c r="Y4670">
        <f>D4654</f>
        <v>3</v>
      </c>
      <c r="Z4670" t="str">
        <v>=</v>
      </c>
      <c r="AA4670">
        <f>N4670*U4670*W4670*Y4670</f>
        <v>0</v>
      </c>
    </row>
    <row r="4674">
      <c r="A4674" t="str">
        <f>A4644</f>
        <v>Lantai 1</v>
      </c>
      <c r="B4674">
        <f>B4644+1</f>
        <v>59</v>
      </c>
      <c r="C4674" t="str">
        <f>CONCATENATE(A4674," no. ",B4674)</f>
        <v>Lantai 1 no. 59</v>
      </c>
      <c r="D4674" t="str">
        <f>VLOOKUP(C4674,'Data Panjang Balok'!$C$9:$N$424,2,FALSE)</f>
        <v>B245-2</v>
      </c>
    </row>
    <row r="4675">
      <c r="C4675" t="str">
        <v>Dimensi</v>
      </c>
      <c r="D4675">
        <f>VLOOKUP(D4674,'Detail Balok'!$C$10:$AU$110,2,FALSE)</f>
        <v>200</v>
      </c>
      <c r="F4675" t="str">
        <v>x</v>
      </c>
      <c r="G4675">
        <f>VLOOKUP(D4674,'Detail Balok'!$C$10:$AU$110,3,FALSE)</f>
        <v>450</v>
      </c>
    </row>
    <row r="4676">
      <c r="C4676" t="str">
        <v>Panjang as ke as</v>
      </c>
      <c r="D4676">
        <f>VLOOKUP(C4674,'Data Panjang Balok'!$C$9:$N$424,4,FALSE)</f>
        <v>2095</v>
      </c>
    </row>
    <row r="4677">
      <c r="C4677" t="str">
        <v>Panjang netto</v>
      </c>
      <c r="D4677">
        <f>VLOOKUP(C4674,'Data Panjang Balok'!$C$9:$N$424,7,FALSE)</f>
        <v>2095</v>
      </c>
    </row>
    <row r="4678">
      <c r="C4678" t="str">
        <v>Kolom / balok kiri</v>
      </c>
      <c r="D4678">
        <f>VLOOKUP(C4674,'Data Panjang Balok'!$C$9:$N$424,9,FALSE)</f>
        <v>0</v>
      </c>
    </row>
    <row r="4679">
      <c r="C4679" t="str">
        <v>Kolom / balok kanan</v>
      </c>
      <c r="D4679">
        <f>VLOOKUP(C4674,'Data Panjang Balok'!$C$9:$N$424,10,FALSE)</f>
        <v>0</v>
      </c>
    </row>
    <row r="4680">
      <c r="C4680" t="str">
        <v>Jumlah</v>
      </c>
      <c r="D4680">
        <f>VLOOKUP(C4674,'Data Panjang Balok'!$C$9:$N$424,3,FALSE)</f>
        <v>0</v>
      </c>
    </row>
    <row r="4681">
      <c r="A4681" t="str">
        <f>A4674</f>
        <v>Lantai 1</v>
      </c>
      <c r="B4681">
        <f>B4674</f>
        <v>59</v>
      </c>
      <c r="C4681" t="str">
        <v>Tul Atas Tumpuan</v>
      </c>
      <c r="D4681">
        <f>VLOOKUP(D4674,'Detail Balok'!$C$10:$AU$110,4,FALSE)</f>
        <v>3</v>
      </c>
      <c r="E4681" t="str">
        <v>D</v>
      </c>
      <c r="F4681">
        <f>VLOOKUP(D4674,'Detail Balok'!$C$10:$AU$110,6,FALSE)</f>
        <v>13</v>
      </c>
      <c r="I4681" t="str">
        <v>(</v>
      </c>
      <c r="J4681">
        <f>+D4676/4/1000</f>
        <v>0.52375</v>
      </c>
      <c r="K4681" t="str">
        <v>+</v>
      </c>
      <c r="L4681">
        <f>MAX(VLOOKUP(F4681,N$6:P$15,3,FALSE)/1000,2/3*D4678/1000)+F$16*F4681/1000</f>
        <v>0.156</v>
      </c>
      <c r="M4681" t="str">
        <v>=</v>
      </c>
      <c r="N4681">
        <f>J4681+L4681</f>
        <v>0.6797500000000001</v>
      </c>
      <c r="O4681" t="str">
        <v>+</v>
      </c>
      <c r="P4681">
        <f>D4681-D4682</f>
        <v>0</v>
      </c>
      <c r="Q4681" t="str">
        <v>x</v>
      </c>
      <c r="R4681">
        <f>IF(P4681&gt;0,$F$18*F4681/1000,0)</f>
        <v>0</v>
      </c>
      <c r="S4681" t="str">
        <v>)</v>
      </c>
      <c r="T4681" t="str">
        <v>x</v>
      </c>
      <c r="U4681">
        <f>0.006165*F4681^2</f>
        <v>1.041885</v>
      </c>
      <c r="X4681" t="str">
        <v>x</v>
      </c>
      <c r="Y4681">
        <f>D4680</f>
        <v>0</v>
      </c>
      <c r="Z4681" t="str">
        <v>=</v>
      </c>
      <c r="AA4681">
        <f>IF(AA4684=0,(D4681*N4681+P4681*R4681)*U4681*Y4681,0)</f>
        <v>0</v>
      </c>
    </row>
    <row r="4682">
      <c r="A4682" t="str">
        <f>A4674</f>
        <v>Lantai 1</v>
      </c>
      <c r="B4682">
        <f>B4674</f>
        <v>59</v>
      </c>
      <c r="C4682" t="str">
        <v>Tul Atas Lapangan</v>
      </c>
      <c r="D4682">
        <f>VLOOKUP(D4674,'Detail Balok'!$C$10:$AU$110,7,FALSE)</f>
        <v>3</v>
      </c>
      <c r="E4682" t="str">
        <v>D</v>
      </c>
      <c r="F4682">
        <f>VLOOKUP(D4674,'Detail Balok'!$C$10:$AU$110,9,FALSE)</f>
        <v>13</v>
      </c>
      <c r="I4682" t="str">
        <v>(</v>
      </c>
      <c r="J4682">
        <f>+D4676/2/1000</f>
        <v>1.0475</v>
      </c>
      <c r="K4682" t="str">
        <v>+</v>
      </c>
      <c r="M4682" t="str">
        <v>=</v>
      </c>
      <c r="N4682">
        <f>J4682+L4682</f>
        <v>1.0475</v>
      </c>
      <c r="O4682" t="str">
        <v>+</v>
      </c>
      <c r="P4682">
        <f>MAX(D4682-D4681,D4682-D4683)</f>
        <v>0</v>
      </c>
      <c r="Q4682" t="str">
        <v>x</v>
      </c>
      <c r="R4682">
        <f>IF(P4682&gt;0,2*(1-2*$F$19-1/2)*D4677/1000,0)</f>
        <v>0</v>
      </c>
      <c r="S4682" t="str">
        <v>)</v>
      </c>
      <c r="T4682" t="str">
        <v>x</v>
      </c>
      <c r="U4682">
        <f>0.006165*F4682^2</f>
        <v>1.041885</v>
      </c>
      <c r="X4682" t="str">
        <v>x</v>
      </c>
      <c r="Y4682">
        <f>D4680</f>
        <v>0</v>
      </c>
      <c r="Z4682" t="str">
        <v>=</v>
      </c>
      <c r="AA4682">
        <f>IF(AA4684=0,(D4682*N4682+P4682*R4682)*U4682*Y4682,0)</f>
        <v>0</v>
      </c>
    </row>
    <row r="4683">
      <c r="A4683" t="str">
        <f>A4674</f>
        <v>Lantai 1</v>
      </c>
      <c r="B4683">
        <f>B4674</f>
        <v>59</v>
      </c>
      <c r="C4683" t="str">
        <v>Tul Atas Tumpuan</v>
      </c>
      <c r="D4683">
        <f>VLOOKUP(D4674,'Detail Balok'!$C$10:$AU$110,10,FALSE)</f>
        <v>3</v>
      </c>
      <c r="E4683" t="str">
        <v>D</v>
      </c>
      <c r="F4683">
        <f>VLOOKUP(D4674,'Detail Balok'!$C$10:$AU$110,12,FALSE)</f>
        <v>13</v>
      </c>
      <c r="I4683" t="str">
        <v>(</v>
      </c>
      <c r="J4683">
        <f>+D4676/4/1000</f>
        <v>0.52375</v>
      </c>
      <c r="K4683" t="str">
        <v>+</v>
      </c>
      <c r="L4683">
        <f>MAX(VLOOKUP(F4683,N$6:P$15,3,FALSE)/1000,2/3*D4678/1000)+F$16*F4683/1000</f>
        <v>0.156</v>
      </c>
      <c r="M4683" t="str">
        <v>=</v>
      </c>
      <c r="N4683">
        <f>J4683+L4683</f>
        <v>0.6797500000000001</v>
      </c>
      <c r="O4683" t="str">
        <v>+</v>
      </c>
      <c r="P4683">
        <f>D4683-D4682</f>
        <v>0</v>
      </c>
      <c r="Q4683" t="str">
        <v>x</v>
      </c>
      <c r="R4683">
        <f>IF(P4683&gt;0,$F$18*F4683/1000,0)</f>
        <v>0</v>
      </c>
      <c r="S4683" t="str">
        <v>)</v>
      </c>
      <c r="T4683" t="str">
        <v>x</v>
      </c>
      <c r="U4683">
        <f>0.006165*F4683^2</f>
        <v>1.041885</v>
      </c>
      <c r="X4683" t="str">
        <v>x</v>
      </c>
      <c r="Y4683">
        <f>D4680</f>
        <v>0</v>
      </c>
      <c r="Z4683" t="str">
        <v>=</v>
      </c>
      <c r="AA4683">
        <f>IF(AA4684=0,(D4683*N4683+P4683*R4683)*U4683*Y4683,0)</f>
        <v>0</v>
      </c>
    </row>
    <row r="4684">
      <c r="A4684" t="str">
        <f>A4674</f>
        <v>Lantai 1</v>
      </c>
      <c r="B4684">
        <f>B4674</f>
        <v>59</v>
      </c>
      <c r="D4684">
        <f>IF(AND(D4681=D4682,D4682=D4683,D4681=D4683),D4681,0)</f>
        <v>3</v>
      </c>
      <c r="E4684" t="str">
        <v>D</v>
      </c>
      <c r="F4684">
        <f>IF(AND(F4681=F4682,F4681=F4683,F4682=F4683),F4681,0)</f>
        <v>13</v>
      </c>
      <c r="L4684" t="str">
        <v>Total panjang per balok</v>
      </c>
      <c r="M4684" t="str">
        <v>=</v>
      </c>
      <c r="N4684">
        <f>IF(AND(D4681=D4682,D4681=D4683,D4682=D4683,F4681=F4682,F4681=F4683,F4682=F4683),SUM(N4681:N4683),0)</f>
        <v>2.407</v>
      </c>
      <c r="O4684" t="str">
        <v>+</v>
      </c>
      <c r="P4684">
        <f>IF(N4684&gt;12,ROUNDDOWN(N4684/12,0),0)</f>
        <v>0</v>
      </c>
      <c r="Q4684" t="str">
        <v>x</v>
      </c>
      <c r="R4684">
        <f>IF(P4684&gt;0,MAX(VLOOKUP(F4684,$D$6:$G$15,3,FALSE),600),0)/1000</f>
        <v>0</v>
      </c>
      <c r="T4684" t="str">
        <v>x</v>
      </c>
      <c r="U4684">
        <f>U4683</f>
        <v>1.041885</v>
      </c>
      <c r="V4684" t="str">
        <v>x</v>
      </c>
      <c r="W4684">
        <f>D4684</f>
        <v>3</v>
      </c>
      <c r="X4684" t="str">
        <v>x</v>
      </c>
      <c r="Y4684">
        <f>Y4683</f>
        <v>0</v>
      </c>
      <c r="Z4684" t="str">
        <v>=</v>
      </c>
      <c r="AA4684">
        <f>(N4684+P4684*R4684/1000)*U4684*W4684*Y4684</f>
        <v>0</v>
      </c>
    </row>
    <row r="4686">
      <c r="A4686" t="str">
        <f>A4674</f>
        <v>Lantai 1</v>
      </c>
      <c r="B4686">
        <f>B4674</f>
        <v>59</v>
      </c>
      <c r="C4686" t="str">
        <v>Tul Peminggang</v>
      </c>
      <c r="D4686">
        <f>VLOOKUP(D4674,'Detail Balok'!$C$10:$AU$110,13,FALSE)</f>
        <v>2</v>
      </c>
      <c r="E4686" t="str">
        <v>D</v>
      </c>
      <c r="F4686">
        <f>VLOOKUP(D4674,'Detail Balok'!$C$10:$AU$110,15,FALSE)</f>
        <v>8</v>
      </c>
      <c r="J4686">
        <f>+D4676/1000</f>
        <v>2.095</v>
      </c>
      <c r="K4686" t="str">
        <v>+</v>
      </c>
      <c r="L4686">
        <f>2*$F$16*F4686/1000</f>
        <v>0.192</v>
      </c>
      <c r="M4686" t="str">
        <v>=</v>
      </c>
      <c r="N4686">
        <f>J4686+L4686</f>
        <v>2.2870000000000004</v>
      </c>
      <c r="O4686" t="str">
        <v>+</v>
      </c>
      <c r="P4686">
        <f>IF(N4686&gt;12,ROUNDDOWN(N4686/12,0),0)</f>
        <v>0</v>
      </c>
      <c r="Q4686" t="str">
        <v>x</v>
      </c>
      <c r="R4686">
        <f>IF(P4686&gt;0,MAX(VLOOKUP(F4686,$D$6:$G$15,3,FALSE),600),0)/1000</f>
        <v>0</v>
      </c>
      <c r="T4686" t="str">
        <v>x</v>
      </c>
      <c r="U4686">
        <f>0.006165*F4686^2</f>
        <v>0.39456</v>
      </c>
      <c r="V4686" t="str">
        <v>x</v>
      </c>
      <c r="W4686">
        <f>+D4686</f>
        <v>2</v>
      </c>
      <c r="X4686" t="str">
        <v>x</v>
      </c>
      <c r="Y4686">
        <f>D4680</f>
        <v>0</v>
      </c>
      <c r="Z4686" t="str">
        <v>=</v>
      </c>
      <c r="AA4686">
        <f>(N4686+P4686*R4686/1000)*U4686*W4686*Y4686</f>
        <v>0</v>
      </c>
    </row>
    <row r="4689">
      <c r="A4689" t="str">
        <f>A4674</f>
        <v>Lantai 1</v>
      </c>
      <c r="B4689">
        <f>B4674</f>
        <v>59</v>
      </c>
      <c r="C4689" t="str">
        <v>Tul Bawah Tumpuan</v>
      </c>
      <c r="D4689">
        <f>VLOOKUP(D4674,'Detail Balok'!$C$10:$AU$110,22,FALSE)</f>
        <v>3</v>
      </c>
      <c r="E4689" t="str">
        <v>D</v>
      </c>
      <c r="F4689">
        <f>VLOOKUP(D4674,'Detail Balok'!$C$10:$AU$110,24,FALSE)</f>
        <v>13</v>
      </c>
      <c r="I4689" t="str">
        <v>(</v>
      </c>
      <c r="J4689">
        <f>+J4681</f>
        <v>0.52375</v>
      </c>
      <c r="K4689" t="str">
        <v>+</v>
      </c>
      <c r="L4689">
        <f>MAX(VLOOKUP(F4689,N$6:P$15,3,FALSE)/1000,2/3*D4679/1000)+F$16*F4689/1000</f>
        <v>0.156</v>
      </c>
      <c r="M4689" t="str">
        <v>=</v>
      </c>
      <c r="N4689">
        <f>J4689+L4689</f>
        <v>0.6797500000000001</v>
      </c>
      <c r="O4689" t="str">
        <v>+</v>
      </c>
      <c r="P4689">
        <f>D4689-D4690</f>
        <v>0</v>
      </c>
      <c r="Q4689" t="str">
        <v>x</v>
      </c>
      <c r="R4689">
        <f>IF(P4689&gt;0,$F$18*F4689/1000,0)</f>
        <v>0</v>
      </c>
      <c r="S4689" t="str">
        <v>)</v>
      </c>
      <c r="T4689" t="str">
        <v>x</v>
      </c>
      <c r="U4689">
        <f>0.006165*F4689^2</f>
        <v>1.041885</v>
      </c>
      <c r="X4689" t="str">
        <v>x</v>
      </c>
      <c r="Y4689">
        <f>D4680</f>
        <v>0</v>
      </c>
      <c r="Z4689" t="str">
        <v>=</v>
      </c>
      <c r="AA4689">
        <f>IF(AA4692=0,(D4689*N4689+P4689*R4689)*U4689*Y4689,0)</f>
        <v>0</v>
      </c>
    </row>
    <row r="4690">
      <c r="A4690" t="str">
        <f>A4674</f>
        <v>Lantai 1</v>
      </c>
      <c r="B4690">
        <f>B4674</f>
        <v>59</v>
      </c>
      <c r="C4690" t="str">
        <v>Tul Bawah Lapangan</v>
      </c>
      <c r="D4690">
        <f>VLOOKUP(D4674,'Detail Balok'!$C$10:$AU$110,25,FALSE)</f>
        <v>3</v>
      </c>
      <c r="E4690" t="str">
        <v>D</v>
      </c>
      <c r="F4690">
        <f>VLOOKUP(D4674,'Detail Balok'!$C$10:$AU$110,27,FALSE)</f>
        <v>13</v>
      </c>
      <c r="I4690" t="str">
        <v>(</v>
      </c>
      <c r="J4690">
        <f>+J4682</f>
        <v>1.0475</v>
      </c>
      <c r="K4690" t="str">
        <v>+</v>
      </c>
      <c r="M4690" t="str">
        <v>=</v>
      </c>
      <c r="N4690">
        <f>J4690+L4690</f>
        <v>1.0475</v>
      </c>
      <c r="O4690" t="str">
        <v>+</v>
      </c>
      <c r="P4690">
        <f>MAX(D4690-D4689,D4690-D4691)</f>
        <v>0</v>
      </c>
      <c r="Q4690" t="str">
        <v>x</v>
      </c>
      <c r="R4690">
        <f>IF(P4690&gt;0,2*(1-2*$F$19-1/2)*D4677/1000,0)</f>
        <v>0</v>
      </c>
      <c r="S4690" t="str">
        <v>)</v>
      </c>
      <c r="T4690" t="str">
        <v>x</v>
      </c>
      <c r="U4690">
        <f>0.006165*F4690^2</f>
        <v>1.041885</v>
      </c>
      <c r="X4690" t="str">
        <v>x</v>
      </c>
      <c r="Y4690">
        <f>D4680</f>
        <v>0</v>
      </c>
      <c r="Z4690" t="str">
        <v>=</v>
      </c>
      <c r="AA4690">
        <f>IF(AA4692=0,(D4690*N4690+P4690*R4690)*U4690*Y4690,0)</f>
        <v>0</v>
      </c>
    </row>
    <row r="4691">
      <c r="A4691" t="str">
        <f>A4674</f>
        <v>Lantai 1</v>
      </c>
      <c r="B4691">
        <f>B4674</f>
        <v>59</v>
      </c>
      <c r="C4691" t="str">
        <v>Tul Bawah Tumpuan</v>
      </c>
      <c r="D4691">
        <f>VLOOKUP(D4674,'Detail Balok'!$C$10:$AU$110,28,FALSE)</f>
        <v>3</v>
      </c>
      <c r="E4691" t="str">
        <v>D</v>
      </c>
      <c r="F4691">
        <f>VLOOKUP(D4674,'Detail Balok'!$C$10:$AU$110,30,FALSE)</f>
        <v>13</v>
      </c>
      <c r="I4691" t="str">
        <v>(</v>
      </c>
      <c r="J4691">
        <f>+J4683</f>
        <v>0.52375</v>
      </c>
      <c r="K4691" t="str">
        <v>+</v>
      </c>
      <c r="L4691">
        <f>MAX(VLOOKUP(F4691,N$6:P$15,3,FALSE)/1000,2/3*D4679/1000)+F$16*F4691/1000</f>
        <v>0.156</v>
      </c>
      <c r="M4691" t="str">
        <v>=</v>
      </c>
      <c r="N4691">
        <f>J4691+L4691</f>
        <v>0.6797500000000001</v>
      </c>
      <c r="O4691" t="str">
        <v>+</v>
      </c>
      <c r="P4691">
        <f>D4691-D4690</f>
        <v>0</v>
      </c>
      <c r="Q4691" t="str">
        <v>x</v>
      </c>
      <c r="R4691">
        <f>IF(P4691&gt;0,$F$18*F4691/1000,0)</f>
        <v>0</v>
      </c>
      <c r="S4691" t="str">
        <v>)</v>
      </c>
      <c r="T4691" t="str">
        <v>x</v>
      </c>
      <c r="U4691">
        <f>0.006165*F4691^2</f>
        <v>1.041885</v>
      </c>
      <c r="X4691" t="str">
        <v>x</v>
      </c>
      <c r="Y4691">
        <f>D4680</f>
        <v>0</v>
      </c>
      <c r="Z4691" t="str">
        <v>=</v>
      </c>
      <c r="AA4691">
        <f>IF(AA4692=0,(D4691*N4691+P4691*R4691)*U4691*Y4691,0)</f>
        <v>0</v>
      </c>
    </row>
    <row r="4692">
      <c r="A4692" t="str">
        <f>A4674</f>
        <v>Lantai 1</v>
      </c>
      <c r="B4692">
        <f>B4674</f>
        <v>59</v>
      </c>
      <c r="D4692">
        <f>IF(AND(D4689=D4690,D4690=D4691,D4689=D4691),D4689,0)</f>
        <v>3</v>
      </c>
      <c r="E4692" t="str">
        <v>D</v>
      </c>
      <c r="F4692">
        <f>IF(AND(F4689=F4690,F4689=F4691,F4690=F4691),F4689,0)</f>
        <v>13</v>
      </c>
      <c r="L4692" t="str">
        <v>Total panjang per balok</v>
      </c>
      <c r="M4692" t="str">
        <v>=</v>
      </c>
      <c r="N4692">
        <f>IF(AND(D4689=D4690,D4689=D4691,D4690=D4691,F4689=F4690,F4689=F4691,F4690=F4691),SUM(N4689:N4691),0)</f>
        <v>2.407</v>
      </c>
      <c r="O4692" t="str">
        <v>+</v>
      </c>
      <c r="P4692">
        <f>IF(N4692&gt;12,ROUNDDOWN(N4692/12,0),0)</f>
        <v>0</v>
      </c>
      <c r="Q4692" t="str">
        <v>x</v>
      </c>
      <c r="R4692">
        <f>IF(P4692&gt;0,MAX(VLOOKUP(F4692,$D$6:$G$15,3,FALSE),600),0)/1000</f>
        <v>0</v>
      </c>
      <c r="T4692" t="str">
        <v>x</v>
      </c>
      <c r="U4692">
        <f>U4691</f>
        <v>1.041885</v>
      </c>
      <c r="V4692" t="str">
        <v>x</v>
      </c>
      <c r="W4692">
        <f>D4692</f>
        <v>3</v>
      </c>
      <c r="X4692" t="str">
        <v>x</v>
      </c>
      <c r="Y4692">
        <f>Y4691</f>
        <v>0</v>
      </c>
      <c r="Z4692" t="str">
        <v>=</v>
      </c>
      <c r="AA4692">
        <f>(N4692+P4692*R4692/1000)*U4692*W4692*Y4692</f>
        <v>0</v>
      </c>
    </row>
    <row r="4694">
      <c r="A4694" t="str">
        <f>A4674</f>
        <v>Lantai 1</v>
      </c>
      <c r="B4694">
        <f>B4674</f>
        <v>59</v>
      </c>
      <c r="C4694" t="str">
        <v>Sengkang Tumpuan</v>
      </c>
      <c r="D4694">
        <f>VLOOKUP(D4674,'Detail Balok'!$C$10:$AU$110,31,FALSE)</f>
        <v>0</v>
      </c>
      <c r="E4694" t="str">
        <v>D</v>
      </c>
      <c r="F4694">
        <f>VLOOKUP(D4674,'Detail Balok'!$C$10:$AU$110,33,FALSE)</f>
        <v>8</v>
      </c>
      <c r="G4694" t="str">
        <v>-</v>
      </c>
      <c r="H4694">
        <f>VLOOKUP(D4674,'Detail Balok'!$C$10:$AU$110,35,FALSE)</f>
        <v>100</v>
      </c>
      <c r="J4694">
        <f>(IF(D4694=0,(2*(D4675+G4675))-(F$5*8),IF(D4694=3,(2*(D4675+G4675))-(F$5*8)+(G4675-2*F$5),IF(D4694=4,(2*(D4675+G4675))-(F$5*8)+2*(G4675-2*F$5)))))/1000</f>
        <v>0.98</v>
      </c>
      <c r="K4694" t="str">
        <v>+</v>
      </c>
      <c r="L4694">
        <f>IF(D4694=0,2*MAX(6*F4694,75),(D4694-1)*2*MAX(6*F4694,75))/1000</f>
        <v>0.15</v>
      </c>
      <c r="M4694" t="str">
        <v>=</v>
      </c>
      <c r="N4694">
        <f>J4694+L4694</f>
        <v>1.13</v>
      </c>
      <c r="T4694" t="str">
        <v>x</v>
      </c>
      <c r="U4694">
        <f>0.006165*F4694^2</f>
        <v>0.39456</v>
      </c>
      <c r="V4694" t="str">
        <v>x</v>
      </c>
      <c r="W4694">
        <f>IF(D4677&gt;4*G4675,ROUND(MAX(D4677/4,2*G4675)/H4694,0)+1,ROUND(D4677/H4694,0)+1)</f>
        <v>10</v>
      </c>
      <c r="X4694" t="str">
        <v>x</v>
      </c>
      <c r="Y4694">
        <f>D4680</f>
        <v>0</v>
      </c>
      <c r="Z4694" t="str">
        <v>=</v>
      </c>
      <c r="AA4694">
        <f>N4694*U4694*W4694*Y4694</f>
        <v>0</v>
      </c>
    </row>
    <row r="4695">
      <c r="A4695" t="str">
        <f>A4674</f>
        <v>Lantai 1</v>
      </c>
      <c r="B4695">
        <f>B4674</f>
        <v>59</v>
      </c>
      <c r="C4695" t="str">
        <v>Sengkang Lapangan</v>
      </c>
      <c r="D4695">
        <f>VLOOKUP(D4674,'Detail Balok'!$C$10:$AU$110,36,FALSE)</f>
        <v>0</v>
      </c>
      <c r="E4695" t="str">
        <v>D</v>
      </c>
      <c r="F4695">
        <f>VLOOKUP(D4674,'Detail Balok'!$C$10:$AU$110,38,FALSE)</f>
        <v>8</v>
      </c>
      <c r="G4695" t="str">
        <v>-</v>
      </c>
      <c r="H4695">
        <f>VLOOKUP(D4674,'Detail Balok'!$C$10:$AU$110,40,FALSE)</f>
        <v>200</v>
      </c>
      <c r="J4695">
        <f>(IF(D4695=0,(2*(D4675+G4675))-(F$5*8),IF(D4695=3,(2*(D4675+G4675))-(F$5*8)+(G4675-2*F$5),IF(D4695=4,(2*(D4675+G4675))-(F$5*8)+2*(G4675-2*F$5)))))/1000</f>
        <v>0.98</v>
      </c>
      <c r="K4695" t="str">
        <v>+</v>
      </c>
      <c r="L4695">
        <f>IF(D4695=0,2*MAX(6*F4695,75),(D4695-1)*2*MAX(6*F4695,75))/1000</f>
        <v>0.15</v>
      </c>
      <c r="M4695" t="str">
        <v>=</v>
      </c>
      <c r="N4695">
        <f>J4695+L4695</f>
        <v>1.13</v>
      </c>
      <c r="T4695" t="str">
        <v>x</v>
      </c>
      <c r="U4695">
        <f>0.006165*F4695^2</f>
        <v>0.39456</v>
      </c>
      <c r="V4695" t="str">
        <v>x</v>
      </c>
      <c r="W4695">
        <f>IF(D4677-MAX(D4677/4,2*G4675)*2&gt;0,ROUND((D4677-MAX(D4677/4,2*G4675)*2)/H4695,0),0)</f>
        <v>1</v>
      </c>
      <c r="X4695" t="str">
        <v>x</v>
      </c>
      <c r="Y4695">
        <f>D4680</f>
        <v>0</v>
      </c>
      <c r="Z4695" t="str">
        <v>=</v>
      </c>
      <c r="AA4695">
        <f>N4695*U4695*W4695*Y4695</f>
        <v>0</v>
      </c>
    </row>
    <row r="4696">
      <c r="A4696" t="str">
        <f>A4674</f>
        <v>Lantai 1</v>
      </c>
      <c r="B4696">
        <f>B4674</f>
        <v>59</v>
      </c>
      <c r="C4696" t="str">
        <v>Sengkang Tumpuan</v>
      </c>
      <c r="D4696">
        <f>VLOOKUP(D4674,'Detail Balok'!$C$10:$AU$110,41,FALSE)</f>
        <v>0</v>
      </c>
      <c r="E4696" t="str">
        <v>D</v>
      </c>
      <c r="F4696">
        <f>VLOOKUP(D4674,'Detail Balok'!$C$10:$AU$110,43,FALSE)</f>
        <v>8</v>
      </c>
      <c r="G4696" t="str">
        <v>-</v>
      </c>
      <c r="H4696">
        <f>VLOOKUP(D4674,'Detail Balok'!$C$10:$AU$110,45,FALSE)</f>
        <v>100</v>
      </c>
      <c r="J4696">
        <f>(IF(D4696=0,(2*(D4675+G4675))-(F$5*8),IF(D4696=3,(2*(D4675+G4675))-(F$5*8)+(G4675-2*F$5),IF(D4696=4,(2*(D4675+G4675))-(F$5*8)+2*(G4675-2*F$5)))))/1000</f>
        <v>0.98</v>
      </c>
      <c r="K4696" t="str">
        <v>+</v>
      </c>
      <c r="L4696">
        <f>IF(D4696=0,2*MAX(6*F4696,75),(D4696-1)*2*MAX(6*F4696,75))/1000</f>
        <v>0.15</v>
      </c>
      <c r="M4696" t="str">
        <v>=</v>
      </c>
      <c r="N4696">
        <f>J4696+L4696</f>
        <v>1.13</v>
      </c>
      <c r="T4696" t="str">
        <v>x</v>
      </c>
      <c r="U4696">
        <f>0.006165*F4696^2</f>
        <v>0.39456</v>
      </c>
      <c r="V4696" t="str">
        <v>x</v>
      </c>
      <c r="W4696">
        <f>IF(D4677&gt;4*G4675,ROUND(MAX(D4677/4,2*G4675)/H4696,0)+1,0)</f>
        <v>10</v>
      </c>
      <c r="X4696" t="str">
        <v>x</v>
      </c>
      <c r="Y4696">
        <f>D4680</f>
        <v>0</v>
      </c>
      <c r="Z4696" t="str">
        <v>=</v>
      </c>
      <c r="AA4696">
        <f>N4696*U4696*W4696*Y4696</f>
        <v>0</v>
      </c>
    </row>
    <row r="4698">
      <c r="A4698" t="str">
        <f>A4674</f>
        <v>Lantai 1</v>
      </c>
      <c r="B4698">
        <f>B4674</f>
        <v>59</v>
      </c>
      <c r="C4698" t="str">
        <v>Kait Horizontal Tump.</v>
      </c>
      <c r="D4698">
        <f>VLOOKUP(D4674,'Detail Balok'!$C$10:$BJ$110,46,FALSE)</f>
        <v>0</v>
      </c>
      <c r="E4698" t="str">
        <v>D</v>
      </c>
      <c r="F4698">
        <f>VLOOKUP(D4674,'Detail Balok'!$C$10:$BJ$110,48,FALSE)</f>
        <v>0</v>
      </c>
      <c r="G4698" t="str">
        <v>-</v>
      </c>
      <c r="H4698">
        <f>VLOOKUP(D4674,'Detail Balok'!$C$10:$BJ$110,50,FALSE)</f>
        <v>100</v>
      </c>
      <c r="J4698">
        <f>(D4675-2*F$5)/1000</f>
        <v>0.12</v>
      </c>
      <c r="K4698" t="str">
        <v>+</v>
      </c>
      <c r="L4698">
        <f>IF(D4698=0,2*MAX(6*F4698,75),(D4698-1)*2*MAX(6*F4698,75))/1000</f>
        <v>0.15</v>
      </c>
      <c r="M4698" t="str">
        <v>=</v>
      </c>
      <c r="N4698">
        <f>J4698+L4698</f>
        <v>0.27</v>
      </c>
      <c r="T4698" t="str">
        <v>x</v>
      </c>
      <c r="U4698">
        <f>0.006165*F4698^2</f>
        <v>0</v>
      </c>
      <c r="V4698" t="str">
        <v>x</v>
      </c>
      <c r="W4698">
        <f>W4694</f>
        <v>10</v>
      </c>
      <c r="X4698" t="str">
        <v>x</v>
      </c>
      <c r="Y4698">
        <f>D4684</f>
        <v>3</v>
      </c>
      <c r="Z4698" t="str">
        <v>=</v>
      </c>
      <c r="AA4698">
        <f>N4698*U4698*W4698*Y4698</f>
        <v>0</v>
      </c>
    </row>
    <row r="4699">
      <c r="A4699" t="str">
        <f>A4674</f>
        <v>Lantai 1</v>
      </c>
      <c r="B4699">
        <f>B4674</f>
        <v>59</v>
      </c>
      <c r="C4699" t="str">
        <v>Kait Horizontal Lap.</v>
      </c>
      <c r="D4699">
        <f>VLOOKUP(D4674,'Detail Balok'!$C$10:$BJ$110,51,FALSE)</f>
        <v>0</v>
      </c>
      <c r="E4699" t="str">
        <v>D</v>
      </c>
      <c r="F4699">
        <f>VLOOKUP(D4674,'Detail Balok'!$C$10:$BJ$110,53,FALSE)</f>
        <v>0</v>
      </c>
      <c r="G4699" t="str">
        <v>-</v>
      </c>
      <c r="H4699">
        <f>VLOOKUP(D4674,'Detail Balok'!$C$10:$BJ$110,55,FALSE)</f>
        <v>100</v>
      </c>
      <c r="J4699">
        <f>(D4675-2*F$5)/1000</f>
        <v>0.12</v>
      </c>
      <c r="K4699" t="str">
        <v>+</v>
      </c>
      <c r="L4699">
        <f>IF(D4699=0,2*MAX(6*F4699,75),(D4699-1)*2*MAX(6*F4699,75))/1000</f>
        <v>0.15</v>
      </c>
      <c r="M4699" t="str">
        <v>=</v>
      </c>
      <c r="N4699">
        <f>J4699+L4699</f>
        <v>0.27</v>
      </c>
      <c r="T4699" t="str">
        <v>x</v>
      </c>
      <c r="U4699">
        <f>0.006165*F4699^2</f>
        <v>0</v>
      </c>
      <c r="V4699" t="str">
        <v>x</v>
      </c>
      <c r="W4699">
        <f>W4695</f>
        <v>1</v>
      </c>
      <c r="X4699" t="str">
        <v>x</v>
      </c>
      <c r="Y4699">
        <f>D4684</f>
        <v>3</v>
      </c>
      <c r="Z4699" t="str">
        <v>=</v>
      </c>
      <c r="AA4699">
        <f>N4699*U4699*W4699*Y4699</f>
        <v>0</v>
      </c>
    </row>
    <row r="4700">
      <c r="A4700" t="str">
        <f>A4674</f>
        <v>Lantai 1</v>
      </c>
      <c r="B4700">
        <f>B4674</f>
        <v>59</v>
      </c>
      <c r="C4700" t="str">
        <v>Kait Horizontal Tump.</v>
      </c>
      <c r="D4700">
        <f>VLOOKUP(D4674,'Detail Balok'!$C$10:$BJ$110,56,FALSE)</f>
        <v>0</v>
      </c>
      <c r="E4700" t="str">
        <v>D</v>
      </c>
      <c r="F4700">
        <f>VLOOKUP(D4674,'Detail Balok'!$C$10:$BJ$110,58,FALSE)</f>
        <v>0</v>
      </c>
      <c r="G4700" t="str">
        <v>-</v>
      </c>
      <c r="H4700">
        <f>VLOOKUP(D4674,'Detail Balok'!$C$10:$BJ$110,60,FALSE)</f>
        <v>100</v>
      </c>
      <c r="J4700">
        <f>(D4675-2*F$5)/1000</f>
        <v>0.12</v>
      </c>
      <c r="K4700" t="str">
        <v>+</v>
      </c>
      <c r="L4700">
        <f>IF(D4700=0,2*MAX(6*F4700,75),(D4700-1)*2*MAX(6*F4700,75))/1000</f>
        <v>0.15</v>
      </c>
      <c r="M4700" t="str">
        <v>=</v>
      </c>
      <c r="N4700">
        <f>J4700+L4700</f>
        <v>0.27</v>
      </c>
      <c r="T4700" t="str">
        <v>x</v>
      </c>
      <c r="U4700">
        <f>0.006165*F4700^2</f>
        <v>0</v>
      </c>
      <c r="V4700" t="str">
        <v>x</v>
      </c>
      <c r="W4700">
        <f>W4696</f>
        <v>10</v>
      </c>
      <c r="X4700" t="str">
        <v>x</v>
      </c>
      <c r="Y4700">
        <f>D4684</f>
        <v>3</v>
      </c>
      <c r="Z4700" t="str">
        <v>=</v>
      </c>
      <c r="AA4700">
        <f>N4700*U4700*W4700*Y4700</f>
        <v>0</v>
      </c>
    </row>
    <row r="4704">
      <c r="A4704" t="str">
        <f>A4674</f>
        <v>Lantai 1</v>
      </c>
      <c r="B4704">
        <f>B4674+1</f>
        <v>60</v>
      </c>
      <c r="C4704" t="str">
        <f>CONCATENATE(A4704," no. ",B4704)</f>
        <v>Lantai 1 no. 60</v>
      </c>
      <c r="D4704" t="str">
        <f>VLOOKUP(C4704,'Data Panjang Balok'!$C$9:$N$424,2,FALSE)</f>
        <v>B245-1</v>
      </c>
    </row>
    <row r="4705">
      <c r="C4705" t="str">
        <v>Dimensi</v>
      </c>
      <c r="D4705">
        <f>VLOOKUP(D4704,'Detail Balok'!$C$10:$AU$110,2,FALSE)</f>
        <v>200</v>
      </c>
      <c r="F4705" t="str">
        <v>x</v>
      </c>
      <c r="G4705">
        <f>VLOOKUP(D4704,'Detail Balok'!$C$10:$AU$110,3,FALSE)</f>
        <v>450</v>
      </c>
    </row>
    <row r="4706">
      <c r="C4706" t="str">
        <v>Panjang as ke as</v>
      </c>
      <c r="D4706">
        <f>VLOOKUP(C4704,'Data Panjang Balok'!$C$9:$N$424,4,FALSE)</f>
        <v>2095</v>
      </c>
    </row>
    <row r="4707">
      <c r="C4707" t="str">
        <v>Panjang netto</v>
      </c>
      <c r="D4707">
        <f>VLOOKUP(C4704,'Data Panjang Balok'!$C$9:$N$424,7,FALSE)</f>
        <v>2095</v>
      </c>
    </row>
    <row r="4708">
      <c r="C4708" t="str">
        <v>Kolom / balok kiri</v>
      </c>
      <c r="D4708">
        <f>VLOOKUP(C4704,'Data Panjang Balok'!$C$9:$N$424,9,FALSE)</f>
        <v>0</v>
      </c>
    </row>
    <row r="4709">
      <c r="C4709" t="str">
        <v>Kolom / balok kanan</v>
      </c>
      <c r="D4709">
        <f>VLOOKUP(C4704,'Data Panjang Balok'!$C$9:$N$424,10,FALSE)</f>
        <v>0</v>
      </c>
    </row>
    <row r="4710">
      <c r="C4710" t="str">
        <v>Jumlah</v>
      </c>
      <c r="D4710">
        <f>VLOOKUP(C4704,'Data Panjang Balok'!$C$9:$N$424,3,FALSE)</f>
        <v>0</v>
      </c>
    </row>
    <row r="4711">
      <c r="A4711" t="str">
        <f>A4704</f>
        <v>Lantai 1</v>
      </c>
      <c r="B4711">
        <f>B4704</f>
        <v>60</v>
      </c>
      <c r="C4711" t="str">
        <v>Tul Atas Tumpuan</v>
      </c>
      <c r="D4711">
        <f>VLOOKUP(D4704,'Detail Balok'!$C$10:$AU$110,4,FALSE)</f>
        <v>2</v>
      </c>
      <c r="E4711" t="str">
        <v>D</v>
      </c>
      <c r="F4711">
        <f>VLOOKUP(D4704,'Detail Balok'!$C$10:$AU$110,6,FALSE)</f>
        <v>13</v>
      </c>
      <c r="I4711" t="str">
        <v>(</v>
      </c>
      <c r="J4711">
        <f>+D4706/4/1000</f>
        <v>0.52375</v>
      </c>
      <c r="K4711" t="str">
        <v>+</v>
      </c>
      <c r="L4711">
        <f>MAX(VLOOKUP(F4711,N$6:P$15,3,FALSE)/1000,2/3*D4708/1000)+F$16*F4711/1000</f>
        <v>0.156</v>
      </c>
      <c r="M4711" t="str">
        <v>=</v>
      </c>
      <c r="N4711">
        <f>J4711+L4711</f>
        <v>0.6797500000000001</v>
      </c>
      <c r="O4711" t="str">
        <v>+</v>
      </c>
      <c r="P4711">
        <f>D4711-D4712</f>
        <v>0</v>
      </c>
      <c r="Q4711" t="str">
        <v>x</v>
      </c>
      <c r="R4711">
        <f>IF(P4711&gt;0,$F$18*F4711/1000,0)</f>
        <v>0</v>
      </c>
      <c r="S4711" t="str">
        <v>)</v>
      </c>
      <c r="T4711" t="str">
        <v>x</v>
      </c>
      <c r="U4711">
        <f>0.006165*F4711^2</f>
        <v>1.041885</v>
      </c>
      <c r="X4711" t="str">
        <v>x</v>
      </c>
      <c r="Y4711">
        <f>D4710</f>
        <v>0</v>
      </c>
      <c r="Z4711" t="str">
        <v>=</v>
      </c>
      <c r="AA4711">
        <f>IF(AA4714=0,(D4711*N4711+P4711*R4711)*U4711*Y4711,0)</f>
        <v>0</v>
      </c>
    </row>
    <row r="4712">
      <c r="A4712" t="str">
        <f>A4704</f>
        <v>Lantai 1</v>
      </c>
      <c r="B4712">
        <f>B4704</f>
        <v>60</v>
      </c>
      <c r="C4712" t="str">
        <v>Tul Atas Lapangan</v>
      </c>
      <c r="D4712">
        <f>VLOOKUP(D4704,'Detail Balok'!$C$10:$AU$110,7,FALSE)</f>
        <v>2</v>
      </c>
      <c r="E4712" t="str">
        <v>D</v>
      </c>
      <c r="F4712">
        <f>VLOOKUP(D4704,'Detail Balok'!$C$10:$AU$110,9,FALSE)</f>
        <v>13</v>
      </c>
      <c r="I4712" t="str">
        <v>(</v>
      </c>
      <c r="J4712">
        <f>+D4706/2/1000</f>
        <v>1.0475</v>
      </c>
      <c r="K4712" t="str">
        <v>+</v>
      </c>
      <c r="M4712" t="str">
        <v>=</v>
      </c>
      <c r="N4712">
        <f>J4712+L4712</f>
        <v>1.0475</v>
      </c>
      <c r="O4712" t="str">
        <v>+</v>
      </c>
      <c r="P4712">
        <f>MAX(D4712-D4711,D4712-D4713)</f>
        <v>0</v>
      </c>
      <c r="Q4712" t="str">
        <v>x</v>
      </c>
      <c r="R4712">
        <f>IF(P4712&gt;0,2*(1-2*$F$19-1/2)*D4707/1000,0)</f>
        <v>0</v>
      </c>
      <c r="S4712" t="str">
        <v>)</v>
      </c>
      <c r="T4712" t="str">
        <v>x</v>
      </c>
      <c r="U4712">
        <f>0.006165*F4712^2</f>
        <v>1.041885</v>
      </c>
      <c r="X4712" t="str">
        <v>x</v>
      </c>
      <c r="Y4712">
        <f>D4710</f>
        <v>0</v>
      </c>
      <c r="Z4712" t="str">
        <v>=</v>
      </c>
      <c r="AA4712">
        <f>IF(AA4714=0,(D4712*N4712+P4712*R4712)*U4712*Y4712,0)</f>
        <v>0</v>
      </c>
    </row>
    <row r="4713">
      <c r="A4713" t="str">
        <f>A4704</f>
        <v>Lantai 1</v>
      </c>
      <c r="B4713">
        <f>B4704</f>
        <v>60</v>
      </c>
      <c r="C4713" t="str">
        <v>Tul Atas Tumpuan</v>
      </c>
      <c r="D4713">
        <f>VLOOKUP(D4704,'Detail Balok'!$C$10:$AU$110,10,FALSE)</f>
        <v>2</v>
      </c>
      <c r="E4713" t="str">
        <v>D</v>
      </c>
      <c r="F4713">
        <f>VLOOKUP(D4704,'Detail Balok'!$C$10:$AU$110,12,FALSE)</f>
        <v>13</v>
      </c>
      <c r="I4713" t="str">
        <v>(</v>
      </c>
      <c r="J4713">
        <f>+D4706/4/1000</f>
        <v>0.52375</v>
      </c>
      <c r="K4713" t="str">
        <v>+</v>
      </c>
      <c r="L4713">
        <f>MAX(VLOOKUP(F4713,N$6:P$15,3,FALSE)/1000,2/3*D4708/1000)+F$16*F4713/1000</f>
        <v>0.156</v>
      </c>
      <c r="M4713" t="str">
        <v>=</v>
      </c>
      <c r="N4713">
        <f>J4713+L4713</f>
        <v>0.6797500000000001</v>
      </c>
      <c r="O4713" t="str">
        <v>+</v>
      </c>
      <c r="P4713">
        <f>D4713-D4712</f>
        <v>0</v>
      </c>
      <c r="Q4713" t="str">
        <v>x</v>
      </c>
      <c r="R4713">
        <f>IF(P4713&gt;0,$F$18*F4713/1000,0)</f>
        <v>0</v>
      </c>
      <c r="S4713" t="str">
        <v>)</v>
      </c>
      <c r="T4713" t="str">
        <v>x</v>
      </c>
      <c r="U4713">
        <f>0.006165*F4713^2</f>
        <v>1.041885</v>
      </c>
      <c r="X4713" t="str">
        <v>x</v>
      </c>
      <c r="Y4713">
        <f>D4710</f>
        <v>0</v>
      </c>
      <c r="Z4713" t="str">
        <v>=</v>
      </c>
      <c r="AA4713">
        <f>IF(AA4714=0,(D4713*N4713+P4713*R4713)*U4713*Y4713,0)</f>
        <v>0</v>
      </c>
    </row>
    <row r="4714">
      <c r="A4714" t="str">
        <f>A4704</f>
        <v>Lantai 1</v>
      </c>
      <c r="B4714">
        <f>B4704</f>
        <v>60</v>
      </c>
      <c r="D4714">
        <f>IF(AND(D4711=D4712,D4712=D4713,D4711=D4713),D4711,0)</f>
        <v>2</v>
      </c>
      <c r="E4714" t="str">
        <v>D</v>
      </c>
      <c r="F4714">
        <f>IF(AND(F4711=F4712,F4711=F4713,F4712=F4713),F4711,0)</f>
        <v>13</v>
      </c>
      <c r="L4714" t="str">
        <v>Total panjang per balok</v>
      </c>
      <c r="M4714" t="str">
        <v>=</v>
      </c>
      <c r="N4714">
        <f>IF(AND(D4711=D4712,D4711=D4713,D4712=D4713,F4711=F4712,F4711=F4713,F4712=F4713),SUM(N4711:N4713),0)</f>
        <v>2.407</v>
      </c>
      <c r="O4714" t="str">
        <v>+</v>
      </c>
      <c r="P4714">
        <f>IF(N4714&gt;12,ROUNDDOWN(N4714/12,0),0)</f>
        <v>0</v>
      </c>
      <c r="Q4714" t="str">
        <v>x</v>
      </c>
      <c r="R4714">
        <f>IF(P4714&gt;0,MAX(VLOOKUP(F4714,$D$6:$G$15,3,FALSE),600),0)/1000</f>
        <v>0</v>
      </c>
      <c r="T4714" t="str">
        <v>x</v>
      </c>
      <c r="U4714">
        <f>U4713</f>
        <v>1.041885</v>
      </c>
      <c r="V4714" t="str">
        <v>x</v>
      </c>
      <c r="W4714">
        <f>D4714</f>
        <v>2</v>
      </c>
      <c r="X4714" t="str">
        <v>x</v>
      </c>
      <c r="Y4714">
        <f>Y4713</f>
        <v>0</v>
      </c>
      <c r="Z4714" t="str">
        <v>=</v>
      </c>
      <c r="AA4714">
        <f>(N4714+P4714*R4714/1000)*U4714*W4714*Y4714</f>
        <v>0</v>
      </c>
    </row>
    <row r="4716">
      <c r="A4716" t="str">
        <f>A4704</f>
        <v>Lantai 1</v>
      </c>
      <c r="B4716">
        <f>B4704</f>
        <v>60</v>
      </c>
      <c r="C4716" t="str">
        <v>Tul Peminggang</v>
      </c>
      <c r="D4716">
        <f>VLOOKUP(D4704,'Detail Balok'!$C$10:$AU$110,13,FALSE)</f>
        <v>2</v>
      </c>
      <c r="E4716" t="str">
        <v>D</v>
      </c>
      <c r="F4716">
        <f>VLOOKUP(D4704,'Detail Balok'!$C$10:$AU$110,15,FALSE)</f>
        <v>8</v>
      </c>
      <c r="J4716">
        <f>+D4706/1000</f>
        <v>2.095</v>
      </c>
      <c r="K4716" t="str">
        <v>+</v>
      </c>
      <c r="L4716">
        <f>2*$F$16*F4716/1000</f>
        <v>0.192</v>
      </c>
      <c r="M4716" t="str">
        <v>=</v>
      </c>
      <c r="N4716">
        <f>J4716+L4716</f>
        <v>2.2870000000000004</v>
      </c>
      <c r="O4716" t="str">
        <v>+</v>
      </c>
      <c r="P4716">
        <f>IF(N4716&gt;12,ROUNDDOWN(N4716/12,0),0)</f>
        <v>0</v>
      </c>
      <c r="Q4716" t="str">
        <v>x</v>
      </c>
      <c r="R4716">
        <f>IF(P4716&gt;0,MAX(VLOOKUP(F4716,$D$6:$G$15,3,FALSE),600),0)/1000</f>
        <v>0</v>
      </c>
      <c r="T4716" t="str">
        <v>x</v>
      </c>
      <c r="U4716">
        <f>0.006165*F4716^2</f>
        <v>0.39456</v>
      </c>
      <c r="V4716" t="str">
        <v>x</v>
      </c>
      <c r="W4716">
        <f>+D4716</f>
        <v>2</v>
      </c>
      <c r="X4716" t="str">
        <v>x</v>
      </c>
      <c r="Y4716">
        <f>D4710</f>
        <v>0</v>
      </c>
      <c r="Z4716" t="str">
        <v>=</v>
      </c>
      <c r="AA4716">
        <f>(N4716+P4716*R4716/1000)*U4716*W4716*Y4716</f>
        <v>0</v>
      </c>
    </row>
    <row r="4719">
      <c r="A4719" t="str">
        <f>A4704</f>
        <v>Lantai 1</v>
      </c>
      <c r="B4719">
        <f>B4704</f>
        <v>60</v>
      </c>
      <c r="C4719" t="str">
        <v>Tul Bawah Tumpuan</v>
      </c>
      <c r="D4719">
        <f>VLOOKUP(D4704,'Detail Balok'!$C$10:$AU$110,22,FALSE)</f>
        <v>2</v>
      </c>
      <c r="E4719" t="str">
        <v>D</v>
      </c>
      <c r="F4719">
        <f>VLOOKUP(D4704,'Detail Balok'!$C$10:$AU$110,24,FALSE)</f>
        <v>13</v>
      </c>
      <c r="I4719" t="str">
        <v>(</v>
      </c>
      <c r="J4719">
        <f>+J4711</f>
        <v>0.52375</v>
      </c>
      <c r="K4719" t="str">
        <v>+</v>
      </c>
      <c r="L4719">
        <f>MAX(VLOOKUP(F4719,N$6:P$15,3,FALSE)/1000,2/3*D4709/1000)+F$16*F4719/1000</f>
        <v>0.156</v>
      </c>
      <c r="M4719" t="str">
        <v>=</v>
      </c>
      <c r="N4719">
        <f>J4719+L4719</f>
        <v>0.6797500000000001</v>
      </c>
      <c r="O4719" t="str">
        <v>+</v>
      </c>
      <c r="P4719">
        <f>D4719-D4720</f>
        <v>0</v>
      </c>
      <c r="Q4719" t="str">
        <v>x</v>
      </c>
      <c r="R4719">
        <f>IF(P4719&gt;0,$F$18*F4719/1000,0)</f>
        <v>0</v>
      </c>
      <c r="S4719" t="str">
        <v>)</v>
      </c>
      <c r="T4719" t="str">
        <v>x</v>
      </c>
      <c r="U4719">
        <f>0.006165*F4719^2</f>
        <v>1.041885</v>
      </c>
      <c r="X4719" t="str">
        <v>x</v>
      </c>
      <c r="Y4719">
        <f>D4710</f>
        <v>0</v>
      </c>
      <c r="Z4719" t="str">
        <v>=</v>
      </c>
      <c r="AA4719">
        <f>IF(AA4722=0,(D4719*N4719+P4719*R4719)*U4719*Y4719,0)</f>
        <v>0</v>
      </c>
    </row>
    <row r="4720">
      <c r="A4720" t="str">
        <f>A4704</f>
        <v>Lantai 1</v>
      </c>
      <c r="B4720">
        <f>B4704</f>
        <v>60</v>
      </c>
      <c r="C4720" t="str">
        <v>Tul Bawah Lapangan</v>
      </c>
      <c r="D4720">
        <f>VLOOKUP(D4704,'Detail Balok'!$C$10:$AU$110,25,FALSE)</f>
        <v>2</v>
      </c>
      <c r="E4720" t="str">
        <v>D</v>
      </c>
      <c r="F4720">
        <f>VLOOKUP(D4704,'Detail Balok'!$C$10:$AU$110,27,FALSE)</f>
        <v>13</v>
      </c>
      <c r="I4720" t="str">
        <v>(</v>
      </c>
      <c r="J4720">
        <f>+J4712</f>
        <v>1.0475</v>
      </c>
      <c r="K4720" t="str">
        <v>+</v>
      </c>
      <c r="M4720" t="str">
        <v>=</v>
      </c>
      <c r="N4720">
        <f>J4720+L4720</f>
        <v>1.0475</v>
      </c>
      <c r="O4720" t="str">
        <v>+</v>
      </c>
      <c r="P4720">
        <f>MAX(D4720-D4719,D4720-D4721)</f>
        <v>0</v>
      </c>
      <c r="Q4720" t="str">
        <v>x</v>
      </c>
      <c r="R4720">
        <f>IF(P4720&gt;0,2*(1-2*$F$19-1/2)*D4707/1000,0)</f>
        <v>0</v>
      </c>
      <c r="S4720" t="str">
        <v>)</v>
      </c>
      <c r="T4720" t="str">
        <v>x</v>
      </c>
      <c r="U4720">
        <f>0.006165*F4720^2</f>
        <v>1.041885</v>
      </c>
      <c r="X4720" t="str">
        <v>x</v>
      </c>
      <c r="Y4720">
        <f>D4710</f>
        <v>0</v>
      </c>
      <c r="Z4720" t="str">
        <v>=</v>
      </c>
      <c r="AA4720">
        <f>IF(AA4722=0,(D4720*N4720+P4720*R4720)*U4720*Y4720,0)</f>
        <v>0</v>
      </c>
    </row>
    <row r="4721">
      <c r="A4721" t="str">
        <f>A4704</f>
        <v>Lantai 1</v>
      </c>
      <c r="B4721">
        <f>B4704</f>
        <v>60</v>
      </c>
      <c r="C4721" t="str">
        <v>Tul Bawah Tumpuan</v>
      </c>
      <c r="D4721">
        <f>VLOOKUP(D4704,'Detail Balok'!$C$10:$AU$110,28,FALSE)</f>
        <v>2</v>
      </c>
      <c r="E4721" t="str">
        <v>D</v>
      </c>
      <c r="F4721">
        <f>VLOOKUP(D4704,'Detail Balok'!$C$10:$AU$110,30,FALSE)</f>
        <v>13</v>
      </c>
      <c r="I4721" t="str">
        <v>(</v>
      </c>
      <c r="J4721">
        <f>+J4713</f>
        <v>0.52375</v>
      </c>
      <c r="K4721" t="str">
        <v>+</v>
      </c>
      <c r="L4721">
        <f>MAX(VLOOKUP(F4721,N$6:P$15,3,FALSE)/1000,2/3*D4709/1000)+F$16*F4721/1000</f>
        <v>0.156</v>
      </c>
      <c r="M4721" t="str">
        <v>=</v>
      </c>
      <c r="N4721">
        <f>J4721+L4721</f>
        <v>0.6797500000000001</v>
      </c>
      <c r="O4721" t="str">
        <v>+</v>
      </c>
      <c r="P4721">
        <f>D4721-D4720</f>
        <v>0</v>
      </c>
      <c r="Q4721" t="str">
        <v>x</v>
      </c>
      <c r="R4721">
        <f>IF(P4721&gt;0,$F$18*F4721/1000,0)</f>
        <v>0</v>
      </c>
      <c r="S4721" t="str">
        <v>)</v>
      </c>
      <c r="T4721" t="str">
        <v>x</v>
      </c>
      <c r="U4721">
        <f>0.006165*F4721^2</f>
        <v>1.041885</v>
      </c>
      <c r="X4721" t="str">
        <v>x</v>
      </c>
      <c r="Y4721">
        <f>D4710</f>
        <v>0</v>
      </c>
      <c r="Z4721" t="str">
        <v>=</v>
      </c>
      <c r="AA4721">
        <f>IF(AA4722=0,(D4721*N4721+P4721*R4721)*U4721*Y4721,0)</f>
        <v>0</v>
      </c>
    </row>
    <row r="4722">
      <c r="A4722" t="str">
        <f>A4704</f>
        <v>Lantai 1</v>
      </c>
      <c r="B4722">
        <f>B4704</f>
        <v>60</v>
      </c>
      <c r="D4722">
        <f>IF(AND(D4719=D4720,D4720=D4721,D4719=D4721),D4719,0)</f>
        <v>2</v>
      </c>
      <c r="E4722" t="str">
        <v>D</v>
      </c>
      <c r="F4722">
        <f>IF(AND(F4719=F4720,F4719=F4721,F4720=F4721),F4719,0)</f>
        <v>13</v>
      </c>
      <c r="L4722" t="str">
        <v>Total panjang per balok</v>
      </c>
      <c r="M4722" t="str">
        <v>=</v>
      </c>
      <c r="N4722">
        <f>IF(AND(D4719=D4720,D4719=D4721,D4720=D4721,F4719=F4720,F4719=F4721,F4720=F4721),SUM(N4719:N4721),0)</f>
        <v>2.407</v>
      </c>
      <c r="O4722" t="str">
        <v>+</v>
      </c>
      <c r="P4722">
        <f>IF(N4722&gt;12,ROUNDDOWN(N4722/12,0),0)</f>
        <v>0</v>
      </c>
      <c r="Q4722" t="str">
        <v>x</v>
      </c>
      <c r="R4722">
        <f>IF(P4722&gt;0,MAX(VLOOKUP(F4722,$D$6:$G$15,3,FALSE),600),0)/1000</f>
        <v>0</v>
      </c>
      <c r="T4722" t="str">
        <v>x</v>
      </c>
      <c r="U4722">
        <f>U4721</f>
        <v>1.041885</v>
      </c>
      <c r="V4722" t="str">
        <v>x</v>
      </c>
      <c r="W4722">
        <f>D4722</f>
        <v>2</v>
      </c>
      <c r="X4722" t="str">
        <v>x</v>
      </c>
      <c r="Y4722">
        <f>Y4721</f>
        <v>0</v>
      </c>
      <c r="Z4722" t="str">
        <v>=</v>
      </c>
      <c r="AA4722">
        <f>(N4722+P4722*R4722/1000)*U4722*W4722*Y4722</f>
        <v>0</v>
      </c>
    </row>
    <row r="4724">
      <c r="A4724" t="str">
        <f>A4704</f>
        <v>Lantai 1</v>
      </c>
      <c r="B4724">
        <f>B4704</f>
        <v>60</v>
      </c>
      <c r="C4724" t="str">
        <v>Sengkang Tumpuan</v>
      </c>
      <c r="D4724">
        <f>VLOOKUP(D4704,'Detail Balok'!$C$10:$AU$110,31,FALSE)</f>
        <v>0</v>
      </c>
      <c r="E4724" t="str">
        <v>D</v>
      </c>
      <c r="F4724">
        <f>VLOOKUP(D4704,'Detail Balok'!$C$10:$AU$110,33,FALSE)</f>
        <v>8</v>
      </c>
      <c r="G4724" t="str">
        <v>-</v>
      </c>
      <c r="H4724">
        <f>VLOOKUP(D4704,'Detail Balok'!$C$10:$AU$110,35,FALSE)</f>
        <v>100</v>
      </c>
      <c r="J4724">
        <f>(IF(D4724=0,(2*(D4705+G4705))-(F$5*8),IF(D4724=3,(2*(D4705+G4705))-(F$5*8)+(G4705-2*F$5),IF(D4724=4,(2*(D4705+G4705))-(F$5*8)+2*(G4705-2*F$5)))))/1000</f>
        <v>0.98</v>
      </c>
      <c r="K4724" t="str">
        <v>+</v>
      </c>
      <c r="L4724">
        <f>IF(D4724=0,2*MAX(6*F4724,75),(D4724-1)*2*MAX(6*F4724,75))/1000</f>
        <v>0.15</v>
      </c>
      <c r="M4724" t="str">
        <v>=</v>
      </c>
      <c r="N4724">
        <f>J4724+L4724</f>
        <v>1.13</v>
      </c>
      <c r="T4724" t="str">
        <v>x</v>
      </c>
      <c r="U4724">
        <f>0.006165*F4724^2</f>
        <v>0.39456</v>
      </c>
      <c r="V4724" t="str">
        <v>x</v>
      </c>
      <c r="W4724">
        <f>IF(D4707&gt;4*G4705,ROUND(MAX(D4707/4,2*G4705)/H4724,0)+1,ROUND(D4707/H4724,0)+1)</f>
        <v>10</v>
      </c>
      <c r="X4724" t="str">
        <v>x</v>
      </c>
      <c r="Y4724">
        <f>D4710</f>
        <v>0</v>
      </c>
      <c r="Z4724" t="str">
        <v>=</v>
      </c>
      <c r="AA4724">
        <f>N4724*U4724*W4724*Y4724</f>
        <v>0</v>
      </c>
    </row>
    <row r="4725">
      <c r="A4725" t="str">
        <f>A4704</f>
        <v>Lantai 1</v>
      </c>
      <c r="B4725">
        <f>B4704</f>
        <v>60</v>
      </c>
      <c r="C4725" t="str">
        <v>Sengkang Lapangan</v>
      </c>
      <c r="D4725">
        <f>VLOOKUP(D4704,'Detail Balok'!$C$10:$AU$110,36,FALSE)</f>
        <v>0</v>
      </c>
      <c r="E4725" t="str">
        <v>D</v>
      </c>
      <c r="F4725">
        <f>VLOOKUP(D4704,'Detail Balok'!$C$10:$AU$110,38,FALSE)</f>
        <v>8</v>
      </c>
      <c r="G4725" t="str">
        <v>-</v>
      </c>
      <c r="H4725">
        <f>VLOOKUP(D4704,'Detail Balok'!$C$10:$AU$110,40,FALSE)</f>
        <v>200</v>
      </c>
      <c r="J4725">
        <f>(IF(D4725=0,(2*(D4705+G4705))-(F$5*8),IF(D4725=3,(2*(D4705+G4705))-(F$5*8)+(G4705-2*F$5),IF(D4725=4,(2*(D4705+G4705))-(F$5*8)+2*(G4705-2*F$5)))))/1000</f>
        <v>0.98</v>
      </c>
      <c r="K4725" t="str">
        <v>+</v>
      </c>
      <c r="L4725">
        <f>IF(D4725=0,2*MAX(6*F4725,75),(D4725-1)*2*MAX(6*F4725,75))/1000</f>
        <v>0.15</v>
      </c>
      <c r="M4725" t="str">
        <v>=</v>
      </c>
      <c r="N4725">
        <f>J4725+L4725</f>
        <v>1.13</v>
      </c>
      <c r="T4725" t="str">
        <v>x</v>
      </c>
      <c r="U4725">
        <f>0.006165*F4725^2</f>
        <v>0.39456</v>
      </c>
      <c r="V4725" t="str">
        <v>x</v>
      </c>
      <c r="W4725">
        <f>IF(D4707-MAX(D4707/4,2*G4705)*2&gt;0,ROUND((D4707-MAX(D4707/4,2*G4705)*2)/H4725,0),0)</f>
        <v>1</v>
      </c>
      <c r="X4725" t="str">
        <v>x</v>
      </c>
      <c r="Y4725">
        <f>D4710</f>
        <v>0</v>
      </c>
      <c r="Z4725" t="str">
        <v>=</v>
      </c>
      <c r="AA4725">
        <f>N4725*U4725*W4725*Y4725</f>
        <v>0</v>
      </c>
    </row>
    <row r="4726">
      <c r="A4726" t="str">
        <f>A4704</f>
        <v>Lantai 1</v>
      </c>
      <c r="B4726">
        <f>B4704</f>
        <v>60</v>
      </c>
      <c r="C4726" t="str">
        <v>Sengkang Tumpuan</v>
      </c>
      <c r="D4726">
        <f>VLOOKUP(D4704,'Detail Balok'!$C$10:$AU$110,41,FALSE)</f>
        <v>0</v>
      </c>
      <c r="E4726" t="str">
        <v>D</v>
      </c>
      <c r="F4726">
        <f>VLOOKUP(D4704,'Detail Balok'!$C$10:$AU$110,43,FALSE)</f>
        <v>8</v>
      </c>
      <c r="G4726" t="str">
        <v>-</v>
      </c>
      <c r="H4726">
        <f>VLOOKUP(D4704,'Detail Balok'!$C$10:$AU$110,45,FALSE)</f>
        <v>100</v>
      </c>
      <c r="J4726">
        <f>(IF(D4726=0,(2*(D4705+G4705))-(F$5*8),IF(D4726=3,(2*(D4705+G4705))-(F$5*8)+(G4705-2*F$5),IF(D4726=4,(2*(D4705+G4705))-(F$5*8)+2*(G4705-2*F$5)))))/1000</f>
        <v>0.98</v>
      </c>
      <c r="K4726" t="str">
        <v>+</v>
      </c>
      <c r="L4726">
        <f>IF(D4726=0,2*MAX(6*F4726,75),(D4726-1)*2*MAX(6*F4726,75))/1000</f>
        <v>0.15</v>
      </c>
      <c r="M4726" t="str">
        <v>=</v>
      </c>
      <c r="N4726">
        <f>J4726+L4726</f>
        <v>1.13</v>
      </c>
      <c r="T4726" t="str">
        <v>x</v>
      </c>
      <c r="U4726">
        <f>0.006165*F4726^2</f>
        <v>0.39456</v>
      </c>
      <c r="V4726" t="str">
        <v>x</v>
      </c>
      <c r="W4726">
        <f>IF(D4707&gt;4*G4705,ROUND(MAX(D4707/4,2*G4705)/H4726,0)+1,0)</f>
        <v>10</v>
      </c>
      <c r="X4726" t="str">
        <v>x</v>
      </c>
      <c r="Y4726">
        <f>D4710</f>
        <v>0</v>
      </c>
      <c r="Z4726" t="str">
        <v>=</v>
      </c>
      <c r="AA4726">
        <f>N4726*U4726*W4726*Y4726</f>
        <v>0</v>
      </c>
    </row>
    <row r="4728">
      <c r="A4728" t="str">
        <f>A4704</f>
        <v>Lantai 1</v>
      </c>
      <c r="B4728">
        <f>B4704</f>
        <v>60</v>
      </c>
      <c r="C4728" t="str">
        <v>Kait Horizontal Tump.</v>
      </c>
      <c r="D4728">
        <f>VLOOKUP(D4704,'Detail Balok'!$C$10:$BJ$110,46,FALSE)</f>
        <v>0</v>
      </c>
      <c r="E4728" t="str">
        <v>D</v>
      </c>
      <c r="F4728">
        <f>VLOOKUP(D4704,'Detail Balok'!$C$10:$BJ$110,48,FALSE)</f>
        <v>0</v>
      </c>
      <c r="G4728" t="str">
        <v>-</v>
      </c>
      <c r="H4728">
        <f>VLOOKUP(D4704,'Detail Balok'!$C$10:$BJ$110,50,FALSE)</f>
        <v>100</v>
      </c>
      <c r="J4728">
        <f>(D4705-2*F$5)/1000</f>
        <v>0.12</v>
      </c>
      <c r="K4728" t="str">
        <v>+</v>
      </c>
      <c r="L4728">
        <f>IF(D4728=0,2*MAX(6*F4728,75),(D4728-1)*2*MAX(6*F4728,75))/1000</f>
        <v>0.15</v>
      </c>
      <c r="M4728" t="str">
        <v>=</v>
      </c>
      <c r="N4728">
        <f>J4728+L4728</f>
        <v>0.27</v>
      </c>
      <c r="T4728" t="str">
        <v>x</v>
      </c>
      <c r="U4728">
        <f>0.006165*F4728^2</f>
        <v>0</v>
      </c>
      <c r="V4728" t="str">
        <v>x</v>
      </c>
      <c r="W4728">
        <f>W4724</f>
        <v>10</v>
      </c>
      <c r="X4728" t="str">
        <v>x</v>
      </c>
      <c r="Y4728">
        <f>D4714</f>
        <v>2</v>
      </c>
      <c r="Z4728" t="str">
        <v>=</v>
      </c>
      <c r="AA4728">
        <f>N4728*U4728*W4728*Y4728</f>
        <v>0</v>
      </c>
    </row>
    <row r="4729">
      <c r="A4729" t="str">
        <f>A4704</f>
        <v>Lantai 1</v>
      </c>
      <c r="B4729">
        <f>B4704</f>
        <v>60</v>
      </c>
      <c r="C4729" t="str">
        <v>Kait Horizontal Lap.</v>
      </c>
      <c r="D4729">
        <f>VLOOKUP(D4704,'Detail Balok'!$C$10:$BJ$110,51,FALSE)</f>
        <v>0</v>
      </c>
      <c r="E4729" t="str">
        <v>D</v>
      </c>
      <c r="F4729">
        <f>VLOOKUP(D4704,'Detail Balok'!$C$10:$BJ$110,53,FALSE)</f>
        <v>0</v>
      </c>
      <c r="G4729" t="str">
        <v>-</v>
      </c>
      <c r="H4729">
        <f>VLOOKUP(D4704,'Detail Balok'!$C$10:$BJ$110,55,FALSE)</f>
        <v>100</v>
      </c>
      <c r="J4729">
        <f>(D4705-2*F$5)/1000</f>
        <v>0.12</v>
      </c>
      <c r="K4729" t="str">
        <v>+</v>
      </c>
      <c r="L4729">
        <f>IF(D4729=0,2*MAX(6*F4729,75),(D4729-1)*2*MAX(6*F4729,75))/1000</f>
        <v>0.15</v>
      </c>
      <c r="M4729" t="str">
        <v>=</v>
      </c>
      <c r="N4729">
        <f>J4729+L4729</f>
        <v>0.27</v>
      </c>
      <c r="T4729" t="str">
        <v>x</v>
      </c>
      <c r="U4729">
        <f>0.006165*F4729^2</f>
        <v>0</v>
      </c>
      <c r="V4729" t="str">
        <v>x</v>
      </c>
      <c r="W4729">
        <f>W4725</f>
        <v>1</v>
      </c>
      <c r="X4729" t="str">
        <v>x</v>
      </c>
      <c r="Y4729">
        <f>D4714</f>
        <v>2</v>
      </c>
      <c r="Z4729" t="str">
        <v>=</v>
      </c>
      <c r="AA4729">
        <f>N4729*U4729*W4729*Y4729</f>
        <v>0</v>
      </c>
    </row>
    <row r="4730">
      <c r="A4730" t="str">
        <f>A4704</f>
        <v>Lantai 1</v>
      </c>
      <c r="B4730">
        <f>B4704</f>
        <v>60</v>
      </c>
      <c r="C4730" t="str">
        <v>Kait Horizontal Tump.</v>
      </c>
      <c r="D4730">
        <f>VLOOKUP(D4704,'Detail Balok'!$C$10:$BJ$110,56,FALSE)</f>
        <v>0</v>
      </c>
      <c r="E4730" t="str">
        <v>D</v>
      </c>
      <c r="F4730">
        <f>VLOOKUP(D4704,'Detail Balok'!$C$10:$BJ$110,58,FALSE)</f>
        <v>0</v>
      </c>
      <c r="G4730" t="str">
        <v>-</v>
      </c>
      <c r="H4730">
        <f>VLOOKUP(D4704,'Detail Balok'!$C$10:$BJ$110,60,FALSE)</f>
        <v>100</v>
      </c>
      <c r="J4730">
        <f>(D4705-2*F$5)/1000</f>
        <v>0.12</v>
      </c>
      <c r="K4730" t="str">
        <v>+</v>
      </c>
      <c r="L4730">
        <f>IF(D4730=0,2*MAX(6*F4730,75),(D4730-1)*2*MAX(6*F4730,75))/1000</f>
        <v>0.15</v>
      </c>
      <c r="M4730" t="str">
        <v>=</v>
      </c>
      <c r="N4730">
        <f>J4730+L4730</f>
        <v>0.27</v>
      </c>
      <c r="T4730" t="str">
        <v>x</v>
      </c>
      <c r="U4730">
        <f>0.006165*F4730^2</f>
        <v>0</v>
      </c>
      <c r="V4730" t="str">
        <v>x</v>
      </c>
      <c r="W4730">
        <f>W4726</f>
        <v>10</v>
      </c>
      <c r="X4730" t="str">
        <v>x</v>
      </c>
      <c r="Y4730">
        <f>D4714</f>
        <v>2</v>
      </c>
      <c r="Z4730" t="str">
        <v>=</v>
      </c>
      <c r="AA4730">
        <f>N4730*U4730*W4730*Y4730</f>
        <v>0</v>
      </c>
    </row>
    <row r="4734">
      <c r="A4734" t="str">
        <f>A4704</f>
        <v>Lantai 1</v>
      </c>
      <c r="B4734">
        <f>B4704+1</f>
        <v>61</v>
      </c>
      <c r="C4734" t="str">
        <f>CONCATENATE(A4734," no. ",B4734)</f>
        <v>Lantai 1 no. 61</v>
      </c>
      <c r="D4734" t="str">
        <f>VLOOKUP(C4734,'Data Panjang Balok'!$C$9:$N$424,2,FALSE)</f>
        <v>Potongan B</v>
      </c>
    </row>
    <row r="4735">
      <c r="C4735" t="str">
        <v>Dimensi</v>
      </c>
      <c r="D4735">
        <f>VLOOKUP(D4734,'Detail Balok'!$C$10:$AU$110,2,FALSE)</f>
        <v>200</v>
      </c>
      <c r="F4735" t="str">
        <v>x</v>
      </c>
      <c r="G4735">
        <f>VLOOKUP(D4734,'Detail Balok'!$C$10:$AU$110,3,FALSE)</f>
        <v>500</v>
      </c>
    </row>
    <row r="4736">
      <c r="C4736" t="str">
        <v>Panjang as ke as</v>
      </c>
      <c r="D4736">
        <f>VLOOKUP(C4734,'Data Panjang Balok'!$C$9:$N$424,4,FALSE)</f>
        <v>2450</v>
      </c>
    </row>
    <row r="4737">
      <c r="C4737" t="str">
        <v>Panjang netto</v>
      </c>
      <c r="D4737">
        <f>VLOOKUP(C4734,'Data Panjang Balok'!$C$9:$N$424,7,FALSE)</f>
        <v>2450</v>
      </c>
    </row>
    <row r="4738">
      <c r="C4738" t="str">
        <v>Kolom / balok kiri</v>
      </c>
      <c r="D4738">
        <f>VLOOKUP(C4734,'Data Panjang Balok'!$C$9:$N$424,9,FALSE)</f>
        <v>0</v>
      </c>
    </row>
    <row r="4739">
      <c r="C4739" t="str">
        <v>Kolom / balok kanan</v>
      </c>
      <c r="D4739">
        <f>VLOOKUP(C4734,'Data Panjang Balok'!$C$9:$N$424,10,FALSE)</f>
        <v>0</v>
      </c>
    </row>
    <row r="4740">
      <c r="C4740" t="str">
        <v>Jumlah</v>
      </c>
      <c r="D4740">
        <f>VLOOKUP(C4734,'Data Panjang Balok'!$C$9:$N$424,3,FALSE)</f>
        <v>0</v>
      </c>
    </row>
    <row r="4741">
      <c r="A4741" t="str">
        <f>A4734</f>
        <v>Lantai 1</v>
      </c>
      <c r="B4741">
        <f>B4734</f>
        <v>61</v>
      </c>
      <c r="C4741" t="str">
        <v>Tul Atas Tumpuan</v>
      </c>
      <c r="D4741">
        <f>VLOOKUP(D4734,'Detail Balok'!$C$10:$AU$110,4,FALSE)</f>
        <v>6</v>
      </c>
      <c r="E4741" t="str">
        <v>D</v>
      </c>
      <c r="F4741">
        <f>VLOOKUP(D4734,'Detail Balok'!$C$10:$AU$110,6,FALSE)</f>
        <v>16</v>
      </c>
      <c r="I4741" t="str">
        <v>(</v>
      </c>
      <c r="J4741">
        <f>+D4736/4/1000</f>
        <v>0.6125</v>
      </c>
      <c r="K4741" t="str">
        <v>+</v>
      </c>
      <c r="L4741">
        <f>MAX(VLOOKUP(F4741,N$6:P$15,3,FALSE)/1000,2/3*D4738/1000)+F$16*F4741/1000</f>
        <v>0.192</v>
      </c>
      <c r="M4741" t="str">
        <v>=</v>
      </c>
      <c r="N4741">
        <f>J4741+L4741</f>
        <v>0.8045</v>
      </c>
      <c r="O4741" t="str">
        <v>+</v>
      </c>
      <c r="P4741">
        <f>D4741-D4742</f>
        <v>0</v>
      </c>
      <c r="Q4741" t="str">
        <v>x</v>
      </c>
      <c r="R4741">
        <f>IF(P4741&gt;0,$F$18*F4741/1000,0)</f>
        <v>0</v>
      </c>
      <c r="S4741" t="str">
        <v>)</v>
      </c>
      <c r="T4741" t="str">
        <v>x</v>
      </c>
      <c r="U4741">
        <f>0.006165*F4741^2</f>
        <v>1.57824</v>
      </c>
      <c r="X4741" t="str">
        <v>x</v>
      </c>
      <c r="Y4741">
        <f>D4740</f>
        <v>0</v>
      </c>
      <c r="Z4741" t="str">
        <v>=</v>
      </c>
      <c r="AA4741">
        <f>IF(AA4744=0,(D4741*N4741+P4741*R4741)*U4741*Y4741,0)</f>
        <v>0</v>
      </c>
    </row>
    <row r="4742">
      <c r="A4742" t="str">
        <f>A4734</f>
        <v>Lantai 1</v>
      </c>
      <c r="B4742">
        <f>B4734</f>
        <v>61</v>
      </c>
      <c r="C4742" t="str">
        <v>Tul Atas Lapangan</v>
      </c>
      <c r="D4742">
        <f>VLOOKUP(D4734,'Detail Balok'!$C$10:$AU$110,7,FALSE)</f>
        <v>6</v>
      </c>
      <c r="E4742" t="str">
        <v>D</v>
      </c>
      <c r="F4742">
        <f>VLOOKUP(D4734,'Detail Balok'!$C$10:$AU$110,9,FALSE)</f>
        <v>16</v>
      </c>
      <c r="I4742" t="str">
        <v>(</v>
      </c>
      <c r="J4742">
        <f>+D4736/2/1000</f>
        <v>1.225</v>
      </c>
      <c r="K4742" t="str">
        <v>+</v>
      </c>
      <c r="M4742" t="str">
        <v>=</v>
      </c>
      <c r="N4742">
        <f>J4742+L4742</f>
        <v>1.225</v>
      </c>
      <c r="O4742" t="str">
        <v>+</v>
      </c>
      <c r="P4742">
        <f>MAX(D4742-D4741,D4742-D4743)</f>
        <v>0</v>
      </c>
      <c r="Q4742" t="str">
        <v>x</v>
      </c>
      <c r="R4742">
        <f>IF(P4742&gt;0,2*(1-2*$F$19-1/2)*D4737/1000,0)</f>
        <v>0</v>
      </c>
      <c r="S4742" t="str">
        <v>)</v>
      </c>
      <c r="T4742" t="str">
        <v>x</v>
      </c>
      <c r="U4742">
        <f>0.006165*F4742^2</f>
        <v>1.57824</v>
      </c>
      <c r="X4742" t="str">
        <v>x</v>
      </c>
      <c r="Y4742">
        <f>D4740</f>
        <v>0</v>
      </c>
      <c r="Z4742" t="str">
        <v>=</v>
      </c>
      <c r="AA4742">
        <f>IF(AA4744=0,(D4742*N4742+P4742*R4742)*U4742*Y4742,0)</f>
        <v>0</v>
      </c>
    </row>
    <row r="4743">
      <c r="A4743" t="str">
        <f>A4734</f>
        <v>Lantai 1</v>
      </c>
      <c r="B4743">
        <f>B4734</f>
        <v>61</v>
      </c>
      <c r="C4743" t="str">
        <v>Tul Atas Tumpuan</v>
      </c>
      <c r="D4743">
        <f>VLOOKUP(D4734,'Detail Balok'!$C$10:$AU$110,10,FALSE)</f>
        <v>6</v>
      </c>
      <c r="E4743" t="str">
        <v>D</v>
      </c>
      <c r="F4743">
        <f>VLOOKUP(D4734,'Detail Balok'!$C$10:$AU$110,12,FALSE)</f>
        <v>16</v>
      </c>
      <c r="I4743" t="str">
        <v>(</v>
      </c>
      <c r="J4743">
        <f>+D4736/4/1000</f>
        <v>0.6125</v>
      </c>
      <c r="K4743" t="str">
        <v>+</v>
      </c>
      <c r="L4743">
        <f>MAX(VLOOKUP(F4743,N$6:P$15,3,FALSE)/1000,2/3*D4738/1000)+F$16*F4743/1000</f>
        <v>0.192</v>
      </c>
      <c r="M4743" t="str">
        <v>=</v>
      </c>
      <c r="N4743">
        <f>J4743+L4743</f>
        <v>0.8045</v>
      </c>
      <c r="O4743" t="str">
        <v>+</v>
      </c>
      <c r="P4743">
        <f>D4743-D4742</f>
        <v>0</v>
      </c>
      <c r="Q4743" t="str">
        <v>x</v>
      </c>
      <c r="R4743">
        <f>IF(P4743&gt;0,$F$18*F4743/1000,0)</f>
        <v>0</v>
      </c>
      <c r="S4743" t="str">
        <v>)</v>
      </c>
      <c r="T4743" t="str">
        <v>x</v>
      </c>
      <c r="U4743">
        <f>0.006165*F4743^2</f>
        <v>1.57824</v>
      </c>
      <c r="X4743" t="str">
        <v>x</v>
      </c>
      <c r="Y4743">
        <f>D4740</f>
        <v>0</v>
      </c>
      <c r="Z4743" t="str">
        <v>=</v>
      </c>
      <c r="AA4743">
        <f>IF(AA4744=0,(D4743*N4743+P4743*R4743)*U4743*Y4743,0)</f>
        <v>0</v>
      </c>
    </row>
    <row r="4744">
      <c r="A4744" t="str">
        <f>A4734</f>
        <v>Lantai 1</v>
      </c>
      <c r="B4744">
        <f>B4734</f>
        <v>61</v>
      </c>
      <c r="D4744">
        <f>IF(AND(D4741=D4742,D4742=D4743,D4741=D4743),D4741,0)</f>
        <v>6</v>
      </c>
      <c r="E4744" t="str">
        <v>D</v>
      </c>
      <c r="F4744">
        <f>IF(AND(F4741=F4742,F4741=F4743,F4742=F4743),F4741,0)</f>
        <v>16</v>
      </c>
      <c r="L4744" t="str">
        <v>Total panjang per balok</v>
      </c>
      <c r="M4744" t="str">
        <v>=</v>
      </c>
      <c r="N4744">
        <f>IF(AND(D4741=D4742,D4741=D4743,D4742=D4743,F4741=F4742,F4741=F4743,F4742=F4743),SUM(N4741:N4743),0)</f>
        <v>2.834</v>
      </c>
      <c r="O4744" t="str">
        <v>+</v>
      </c>
      <c r="P4744">
        <f>IF(N4744&gt;12,ROUNDDOWN(N4744/12,0),0)</f>
        <v>0</v>
      </c>
      <c r="Q4744" t="str">
        <v>x</v>
      </c>
      <c r="R4744">
        <f>IF(P4744&gt;0,MAX(VLOOKUP(F4744,$D$6:$G$15,3,FALSE),600),0)/1000</f>
        <v>0</v>
      </c>
      <c r="T4744" t="str">
        <v>x</v>
      </c>
      <c r="U4744">
        <f>U4743</f>
        <v>1.57824</v>
      </c>
      <c r="V4744" t="str">
        <v>x</v>
      </c>
      <c r="W4744">
        <f>D4744</f>
        <v>6</v>
      </c>
      <c r="X4744" t="str">
        <v>x</v>
      </c>
      <c r="Y4744">
        <f>Y4743</f>
        <v>0</v>
      </c>
      <c r="Z4744" t="str">
        <v>=</v>
      </c>
      <c r="AA4744">
        <f>(N4744+P4744*R4744/1000)*U4744*W4744*Y4744</f>
        <v>0</v>
      </c>
    </row>
    <row r="4746">
      <c r="A4746" t="str">
        <f>A4734</f>
        <v>Lantai 1</v>
      </c>
      <c r="B4746">
        <f>B4734</f>
        <v>61</v>
      </c>
      <c r="C4746" t="str">
        <v>Tul Peminggang</v>
      </c>
      <c r="D4746">
        <f>VLOOKUP(D4734,'Detail Balok'!$C$10:$AU$110,13,FALSE)</f>
        <v>2</v>
      </c>
      <c r="E4746" t="str">
        <v>D</v>
      </c>
      <c r="F4746">
        <f>VLOOKUP(D4734,'Detail Balok'!$C$10:$AU$110,15,FALSE)</f>
        <v>10</v>
      </c>
      <c r="J4746">
        <f>+D4736/1000</f>
        <v>2.45</v>
      </c>
      <c r="K4746" t="str">
        <v>+</v>
      </c>
      <c r="L4746">
        <f>2*$F$16*F4746/1000</f>
        <v>0.24</v>
      </c>
      <c r="M4746" t="str">
        <v>=</v>
      </c>
      <c r="N4746">
        <f>J4746+L4746</f>
        <v>2.6900000000000004</v>
      </c>
      <c r="O4746" t="str">
        <v>+</v>
      </c>
      <c r="P4746">
        <f>IF(N4746&gt;12,ROUNDDOWN(N4746/12,0),0)</f>
        <v>0</v>
      </c>
      <c r="Q4746" t="str">
        <v>x</v>
      </c>
      <c r="R4746">
        <f>IF(P4746&gt;0,MAX(VLOOKUP(F4746,$D$6:$G$15,3,FALSE),600),0)/1000</f>
        <v>0</v>
      </c>
      <c r="T4746" t="str">
        <v>x</v>
      </c>
      <c r="U4746">
        <f>0.006165*F4746^2</f>
        <v>0.6165</v>
      </c>
      <c r="V4746" t="str">
        <v>x</v>
      </c>
      <c r="W4746">
        <f>+D4746</f>
        <v>2</v>
      </c>
      <c r="X4746" t="str">
        <v>x</v>
      </c>
      <c r="Y4746">
        <f>D4740</f>
        <v>0</v>
      </c>
      <c r="Z4746" t="str">
        <v>=</v>
      </c>
      <c r="AA4746">
        <f>(N4746+P4746*R4746/1000)*U4746*W4746*Y4746</f>
        <v>0</v>
      </c>
    </row>
    <row r="4749">
      <c r="A4749" t="str">
        <f>A4734</f>
        <v>Lantai 1</v>
      </c>
      <c r="B4749">
        <f>B4734</f>
        <v>61</v>
      </c>
      <c r="C4749" t="str">
        <v>Tul Bawah Tumpuan</v>
      </c>
      <c r="D4749">
        <f>VLOOKUP(D4734,'Detail Balok'!$C$10:$AU$110,22,FALSE)</f>
        <v>3</v>
      </c>
      <c r="E4749" t="str">
        <v>D</v>
      </c>
      <c r="F4749">
        <f>VLOOKUP(D4734,'Detail Balok'!$C$10:$AU$110,24,FALSE)</f>
        <v>16</v>
      </c>
      <c r="I4749" t="str">
        <v>(</v>
      </c>
      <c r="J4749">
        <f>+J4741</f>
        <v>0.6125</v>
      </c>
      <c r="K4749" t="str">
        <v>+</v>
      </c>
      <c r="L4749">
        <f>MAX(VLOOKUP(F4749,N$6:P$15,3,FALSE)/1000,2/3*D4739/1000)+F$16*F4749/1000</f>
        <v>0.192</v>
      </c>
      <c r="M4749" t="str">
        <v>=</v>
      </c>
      <c r="N4749">
        <f>J4749+L4749</f>
        <v>0.8045</v>
      </c>
      <c r="O4749" t="str">
        <v>+</v>
      </c>
      <c r="P4749">
        <f>D4749-D4750</f>
        <v>0</v>
      </c>
      <c r="Q4749" t="str">
        <v>x</v>
      </c>
      <c r="R4749">
        <f>IF(P4749&gt;0,$F$18*F4749/1000,0)</f>
        <v>0</v>
      </c>
      <c r="S4749" t="str">
        <v>)</v>
      </c>
      <c r="T4749" t="str">
        <v>x</v>
      </c>
      <c r="U4749">
        <f>0.006165*F4749^2</f>
        <v>1.57824</v>
      </c>
      <c r="X4749" t="str">
        <v>x</v>
      </c>
      <c r="Y4749">
        <f>D4740</f>
        <v>0</v>
      </c>
      <c r="Z4749" t="str">
        <v>=</v>
      </c>
      <c r="AA4749">
        <f>IF(AA4752=0,(D4749*N4749+P4749*R4749)*U4749*Y4749,0)</f>
        <v>0</v>
      </c>
    </row>
    <row r="4750">
      <c r="A4750" t="str">
        <f>A4734</f>
        <v>Lantai 1</v>
      </c>
      <c r="B4750">
        <f>B4734</f>
        <v>61</v>
      </c>
      <c r="C4750" t="str">
        <v>Tul Bawah Lapangan</v>
      </c>
      <c r="D4750">
        <f>VLOOKUP(D4734,'Detail Balok'!$C$10:$AU$110,25,FALSE)</f>
        <v>3</v>
      </c>
      <c r="E4750" t="str">
        <v>D</v>
      </c>
      <c r="F4750">
        <f>VLOOKUP(D4734,'Detail Balok'!$C$10:$AU$110,27,FALSE)</f>
        <v>16</v>
      </c>
      <c r="I4750" t="str">
        <v>(</v>
      </c>
      <c r="J4750">
        <f>+J4742</f>
        <v>1.225</v>
      </c>
      <c r="K4750" t="str">
        <v>+</v>
      </c>
      <c r="M4750" t="str">
        <v>=</v>
      </c>
      <c r="N4750">
        <f>J4750+L4750</f>
        <v>1.225</v>
      </c>
      <c r="O4750" t="str">
        <v>+</v>
      </c>
      <c r="P4750">
        <f>MAX(D4750-D4749,D4750-D4751)</f>
        <v>0</v>
      </c>
      <c r="Q4750" t="str">
        <v>x</v>
      </c>
      <c r="R4750">
        <f>IF(P4750&gt;0,2*(1-2*$F$19-1/2)*D4737/1000,0)</f>
        <v>0</v>
      </c>
      <c r="S4750" t="str">
        <v>)</v>
      </c>
      <c r="T4750" t="str">
        <v>x</v>
      </c>
      <c r="U4750">
        <f>0.006165*F4750^2</f>
        <v>1.57824</v>
      </c>
      <c r="X4750" t="str">
        <v>x</v>
      </c>
      <c r="Y4750">
        <f>D4740</f>
        <v>0</v>
      </c>
      <c r="Z4750" t="str">
        <v>=</v>
      </c>
      <c r="AA4750">
        <f>IF(AA4752=0,(D4750*N4750+P4750*R4750)*U4750*Y4750,0)</f>
        <v>0</v>
      </c>
    </row>
    <row r="4751">
      <c r="A4751" t="str">
        <f>A4734</f>
        <v>Lantai 1</v>
      </c>
      <c r="B4751">
        <f>B4734</f>
        <v>61</v>
      </c>
      <c r="C4751" t="str">
        <v>Tul Bawah Tumpuan</v>
      </c>
      <c r="D4751">
        <f>VLOOKUP(D4734,'Detail Balok'!$C$10:$AU$110,28,FALSE)</f>
        <v>3</v>
      </c>
      <c r="E4751" t="str">
        <v>D</v>
      </c>
      <c r="F4751">
        <f>VLOOKUP(D4734,'Detail Balok'!$C$10:$AU$110,30,FALSE)</f>
        <v>16</v>
      </c>
      <c r="I4751" t="str">
        <v>(</v>
      </c>
      <c r="J4751">
        <f>+J4743</f>
        <v>0.6125</v>
      </c>
      <c r="K4751" t="str">
        <v>+</v>
      </c>
      <c r="L4751">
        <f>MAX(VLOOKUP(F4751,N$6:P$15,3,FALSE)/1000,2/3*D4739/1000)+F$16*F4751/1000</f>
        <v>0.192</v>
      </c>
      <c r="M4751" t="str">
        <v>=</v>
      </c>
      <c r="N4751">
        <f>J4751+L4751</f>
        <v>0.8045</v>
      </c>
      <c r="O4751" t="str">
        <v>+</v>
      </c>
      <c r="P4751">
        <f>D4751-D4750</f>
        <v>0</v>
      </c>
      <c r="Q4751" t="str">
        <v>x</v>
      </c>
      <c r="R4751">
        <f>IF(P4751&gt;0,$F$18*F4751/1000,0)</f>
        <v>0</v>
      </c>
      <c r="S4751" t="str">
        <v>)</v>
      </c>
      <c r="T4751" t="str">
        <v>x</v>
      </c>
      <c r="U4751">
        <f>0.006165*F4751^2</f>
        <v>1.57824</v>
      </c>
      <c r="X4751" t="str">
        <v>x</v>
      </c>
      <c r="Y4751">
        <f>D4740</f>
        <v>0</v>
      </c>
      <c r="Z4751" t="str">
        <v>=</v>
      </c>
      <c r="AA4751">
        <f>IF(AA4752=0,(D4751*N4751+P4751*R4751)*U4751*Y4751,0)</f>
        <v>0</v>
      </c>
    </row>
    <row r="4752">
      <c r="A4752" t="str">
        <f>A4734</f>
        <v>Lantai 1</v>
      </c>
      <c r="B4752">
        <f>B4734</f>
        <v>61</v>
      </c>
      <c r="D4752">
        <f>IF(AND(D4749=D4750,D4750=D4751,D4749=D4751),D4749,0)</f>
        <v>3</v>
      </c>
      <c r="E4752" t="str">
        <v>D</v>
      </c>
      <c r="F4752">
        <f>IF(AND(F4749=F4750,F4749=F4751,F4750=F4751),F4749,0)</f>
        <v>16</v>
      </c>
      <c r="L4752" t="str">
        <v>Total panjang per balok</v>
      </c>
      <c r="M4752" t="str">
        <v>=</v>
      </c>
      <c r="N4752">
        <f>IF(AND(D4749=D4750,D4749=D4751,D4750=D4751,F4749=F4750,F4749=F4751,F4750=F4751),SUM(N4749:N4751),0)</f>
        <v>2.834</v>
      </c>
      <c r="O4752" t="str">
        <v>+</v>
      </c>
      <c r="P4752">
        <f>IF(N4752&gt;12,ROUNDDOWN(N4752/12,0),0)</f>
        <v>0</v>
      </c>
      <c r="Q4752" t="str">
        <v>x</v>
      </c>
      <c r="R4752">
        <f>IF(P4752&gt;0,MAX(VLOOKUP(F4752,$D$6:$G$15,3,FALSE),600),0)/1000</f>
        <v>0</v>
      </c>
      <c r="T4752" t="str">
        <v>x</v>
      </c>
      <c r="U4752">
        <f>U4751</f>
        <v>1.57824</v>
      </c>
      <c r="V4752" t="str">
        <v>x</v>
      </c>
      <c r="W4752">
        <f>D4752</f>
        <v>3</v>
      </c>
      <c r="X4752" t="str">
        <v>x</v>
      </c>
      <c r="Y4752">
        <f>Y4751</f>
        <v>0</v>
      </c>
      <c r="Z4752" t="str">
        <v>=</v>
      </c>
      <c r="AA4752">
        <f>(N4752+P4752*R4752/1000)*U4752*W4752*Y4752</f>
        <v>0</v>
      </c>
    </row>
    <row r="4754">
      <c r="A4754" t="str">
        <f>A4734</f>
        <v>Lantai 1</v>
      </c>
      <c r="B4754">
        <f>B4734</f>
        <v>61</v>
      </c>
      <c r="C4754" t="str">
        <v>Sengkang Tumpuan</v>
      </c>
      <c r="D4754">
        <f>VLOOKUP(D4734,'Detail Balok'!$C$10:$AU$110,31,FALSE)</f>
        <v>3</v>
      </c>
      <c r="E4754" t="str">
        <v>D</v>
      </c>
      <c r="F4754">
        <f>VLOOKUP(D4734,'Detail Balok'!$C$10:$AU$110,33,FALSE)</f>
        <v>10</v>
      </c>
      <c r="G4754" t="str">
        <v>-</v>
      </c>
      <c r="H4754">
        <f>VLOOKUP(D4734,'Detail Balok'!$C$10:$AU$110,35,FALSE)</f>
        <v>80</v>
      </c>
      <c r="J4754">
        <f>(IF(D4754=0,(2*(D4735+G4735))-(F$5*8),IF(D4754=3,(2*(D4735+G4735))-(F$5*8)+(G4735-2*F$5),IF(D4754=4,(2*(D4735+G4735))-(F$5*8)+2*(G4735-2*F$5)))))/1000</f>
        <v>1.5</v>
      </c>
      <c r="K4754" t="str">
        <v>+</v>
      </c>
      <c r="L4754">
        <f>IF(D4754=0,2*MAX(6*F4754,75),(D4754-1)*2*MAX(6*F4754,75))/1000</f>
        <v>0.3</v>
      </c>
      <c r="M4754" t="str">
        <v>=</v>
      </c>
      <c r="N4754">
        <f>J4754+L4754</f>
        <v>1.8</v>
      </c>
      <c r="T4754" t="str">
        <v>x</v>
      </c>
      <c r="U4754">
        <f>0.006165*F4754^2</f>
        <v>0.6165</v>
      </c>
      <c r="V4754" t="str">
        <v>x</v>
      </c>
      <c r="W4754">
        <f>IF(D4737&gt;4*G4735,ROUND(MAX(D4737/4,2*G4735)/H4754,0)+1,ROUND(D4737/H4754,0)+1)</f>
        <v>14</v>
      </c>
      <c r="X4754" t="str">
        <v>x</v>
      </c>
      <c r="Y4754">
        <f>D4740</f>
        <v>0</v>
      </c>
      <c r="Z4754" t="str">
        <v>=</v>
      </c>
      <c r="AA4754">
        <f>N4754*U4754*W4754*Y4754</f>
        <v>0</v>
      </c>
    </row>
    <row r="4755">
      <c r="A4755" t="str">
        <f>A4734</f>
        <v>Lantai 1</v>
      </c>
      <c r="B4755">
        <f>B4734</f>
        <v>61</v>
      </c>
      <c r="C4755" t="str">
        <v>Sengkang Lapangan</v>
      </c>
      <c r="D4755">
        <f>VLOOKUP(D4734,'Detail Balok'!$C$10:$AU$110,36,FALSE)</f>
        <v>3</v>
      </c>
      <c r="E4755" t="str">
        <v>D</v>
      </c>
      <c r="F4755">
        <f>VLOOKUP(D4734,'Detail Balok'!$C$10:$AU$110,38,FALSE)</f>
        <v>10</v>
      </c>
      <c r="G4755" t="str">
        <v>-</v>
      </c>
      <c r="H4755">
        <f>VLOOKUP(D4734,'Detail Balok'!$C$10:$AU$110,40,FALSE)</f>
        <v>80</v>
      </c>
      <c r="J4755">
        <f>(IF(D4755=0,(2*(D4735+G4735))-(F$5*8),IF(D4755=3,(2*(D4735+G4735))-(F$5*8)+(G4735-2*F$5),IF(D4755=4,(2*(D4735+G4735))-(F$5*8)+2*(G4735-2*F$5)))))/1000</f>
        <v>1.5</v>
      </c>
      <c r="K4755" t="str">
        <v>+</v>
      </c>
      <c r="L4755">
        <f>IF(D4755=0,2*MAX(6*F4755,75),(D4755-1)*2*MAX(6*F4755,75))/1000</f>
        <v>0.3</v>
      </c>
      <c r="M4755" t="str">
        <v>=</v>
      </c>
      <c r="N4755">
        <f>J4755+L4755</f>
        <v>1.8</v>
      </c>
      <c r="T4755" t="str">
        <v>x</v>
      </c>
      <c r="U4755">
        <f>0.006165*F4755^2</f>
        <v>0.6165</v>
      </c>
      <c r="V4755" t="str">
        <v>x</v>
      </c>
      <c r="W4755">
        <f>IF(D4737-MAX(D4737/4,2*G4735)*2&gt;0,ROUND((D4737-MAX(D4737/4,2*G4735)*2)/H4755,0),0)</f>
        <v>6</v>
      </c>
      <c r="X4755" t="str">
        <v>x</v>
      </c>
      <c r="Y4755">
        <f>D4740</f>
        <v>0</v>
      </c>
      <c r="Z4755" t="str">
        <v>=</v>
      </c>
      <c r="AA4755">
        <f>N4755*U4755*W4755*Y4755</f>
        <v>0</v>
      </c>
    </row>
    <row r="4756">
      <c r="A4756" t="str">
        <f>A4734</f>
        <v>Lantai 1</v>
      </c>
      <c r="B4756">
        <f>B4734</f>
        <v>61</v>
      </c>
      <c r="C4756" t="str">
        <v>Sengkang Tumpuan</v>
      </c>
      <c r="D4756">
        <f>VLOOKUP(D4734,'Detail Balok'!$C$10:$AU$110,41,FALSE)</f>
        <v>3</v>
      </c>
      <c r="E4756" t="str">
        <v>D</v>
      </c>
      <c r="F4756">
        <f>VLOOKUP(D4734,'Detail Balok'!$C$10:$AU$110,43,FALSE)</f>
        <v>10</v>
      </c>
      <c r="G4756" t="str">
        <v>-</v>
      </c>
      <c r="H4756">
        <f>VLOOKUP(D4734,'Detail Balok'!$C$10:$AU$110,45,FALSE)</f>
        <v>80</v>
      </c>
      <c r="J4756">
        <f>(IF(D4756=0,(2*(D4735+G4735))-(F$5*8),IF(D4756=3,(2*(D4735+G4735))-(F$5*8)+(G4735-2*F$5),IF(D4756=4,(2*(D4735+G4735))-(F$5*8)+2*(G4735-2*F$5)))))/1000</f>
        <v>1.5</v>
      </c>
      <c r="K4756" t="str">
        <v>+</v>
      </c>
      <c r="L4756">
        <f>IF(D4756=0,2*MAX(6*F4756,75),(D4756-1)*2*MAX(6*F4756,75))/1000</f>
        <v>0.3</v>
      </c>
      <c r="M4756" t="str">
        <v>=</v>
      </c>
      <c r="N4756">
        <f>J4756+L4756</f>
        <v>1.8</v>
      </c>
      <c r="T4756" t="str">
        <v>x</v>
      </c>
      <c r="U4756">
        <f>0.006165*F4756^2</f>
        <v>0.6165</v>
      </c>
      <c r="V4756" t="str">
        <v>x</v>
      </c>
      <c r="W4756">
        <f>IF(D4737&gt;4*G4735,ROUND(MAX(D4737/4,2*G4735)/H4756,0)+1,0)</f>
        <v>14</v>
      </c>
      <c r="X4756" t="str">
        <v>x</v>
      </c>
      <c r="Y4756">
        <f>D4740</f>
        <v>0</v>
      </c>
      <c r="Z4756" t="str">
        <v>=</v>
      </c>
      <c r="AA4756">
        <f>N4756*U4756*W4756*Y4756</f>
        <v>0</v>
      </c>
    </row>
    <row r="4758">
      <c r="A4758" t="str">
        <f>A4734</f>
        <v>Lantai 1</v>
      </c>
      <c r="B4758">
        <f>B4734</f>
        <v>61</v>
      </c>
      <c r="C4758" t="str">
        <v>Kait Horizontal Tump.</v>
      </c>
      <c r="D4758">
        <f>VLOOKUP(D4734,'Detail Balok'!$C$10:$BJ$110,46,FALSE)</f>
        <v>0</v>
      </c>
      <c r="E4758" t="str">
        <v>D</v>
      </c>
      <c r="F4758">
        <f>VLOOKUP(D4734,'Detail Balok'!$C$10:$BJ$110,48,FALSE)</f>
        <v>0</v>
      </c>
      <c r="G4758" t="str">
        <v>-</v>
      </c>
      <c r="H4758">
        <f>VLOOKUP(D4734,'Detail Balok'!$C$10:$BJ$110,50,FALSE)</f>
        <v>100</v>
      </c>
      <c r="J4758">
        <f>(D4735-2*F$5)/1000</f>
        <v>0.12</v>
      </c>
      <c r="K4758" t="str">
        <v>+</v>
      </c>
      <c r="L4758">
        <f>IF(D4758=0,2*MAX(6*F4758,75),(D4758-1)*2*MAX(6*F4758,75))/1000</f>
        <v>0.15</v>
      </c>
      <c r="M4758" t="str">
        <v>=</v>
      </c>
      <c r="N4758">
        <f>J4758+L4758</f>
        <v>0.27</v>
      </c>
      <c r="T4758" t="str">
        <v>x</v>
      </c>
      <c r="U4758">
        <f>0.006165*F4758^2</f>
        <v>0</v>
      </c>
      <c r="V4758" t="str">
        <v>x</v>
      </c>
      <c r="W4758">
        <f>W4754</f>
        <v>14</v>
      </c>
      <c r="X4758" t="str">
        <v>x</v>
      </c>
      <c r="Y4758">
        <f>D4744</f>
        <v>6</v>
      </c>
      <c r="Z4758" t="str">
        <v>=</v>
      </c>
      <c r="AA4758">
        <f>N4758*U4758*W4758*Y4758</f>
        <v>0</v>
      </c>
    </row>
    <row r="4759">
      <c r="A4759" t="str">
        <f>A4734</f>
        <v>Lantai 1</v>
      </c>
      <c r="B4759">
        <f>B4734</f>
        <v>61</v>
      </c>
      <c r="C4759" t="str">
        <v>Kait Horizontal Lap.</v>
      </c>
      <c r="D4759">
        <f>VLOOKUP(D4734,'Detail Balok'!$C$10:$BJ$110,51,FALSE)</f>
        <v>0</v>
      </c>
      <c r="E4759" t="str">
        <v>D</v>
      </c>
      <c r="F4759">
        <f>VLOOKUP(D4734,'Detail Balok'!$C$10:$BJ$110,53,FALSE)</f>
        <v>0</v>
      </c>
      <c r="G4759" t="str">
        <v>-</v>
      </c>
      <c r="H4759">
        <f>VLOOKUP(D4734,'Detail Balok'!$C$10:$BJ$110,55,FALSE)</f>
        <v>100</v>
      </c>
      <c r="J4759">
        <f>(D4735-2*F$5)/1000</f>
        <v>0.12</v>
      </c>
      <c r="K4759" t="str">
        <v>+</v>
      </c>
      <c r="L4759">
        <f>IF(D4759=0,2*MAX(6*F4759,75),(D4759-1)*2*MAX(6*F4759,75))/1000</f>
        <v>0.15</v>
      </c>
      <c r="M4759" t="str">
        <v>=</v>
      </c>
      <c r="N4759">
        <f>J4759+L4759</f>
        <v>0.27</v>
      </c>
      <c r="T4759" t="str">
        <v>x</v>
      </c>
      <c r="U4759">
        <f>0.006165*F4759^2</f>
        <v>0</v>
      </c>
      <c r="V4759" t="str">
        <v>x</v>
      </c>
      <c r="W4759">
        <f>W4755</f>
        <v>6</v>
      </c>
      <c r="X4759" t="str">
        <v>x</v>
      </c>
      <c r="Y4759">
        <f>D4744</f>
        <v>6</v>
      </c>
      <c r="Z4759" t="str">
        <v>=</v>
      </c>
      <c r="AA4759">
        <f>N4759*U4759*W4759*Y4759</f>
        <v>0</v>
      </c>
    </row>
    <row r="4760">
      <c r="A4760" t="str">
        <f>A4734</f>
        <v>Lantai 1</v>
      </c>
      <c r="B4760">
        <f>B4734</f>
        <v>61</v>
      </c>
      <c r="C4760" t="str">
        <v>Kait Horizontal Tump.</v>
      </c>
      <c r="D4760">
        <f>VLOOKUP(D4734,'Detail Balok'!$C$10:$BJ$110,56,FALSE)</f>
        <v>0</v>
      </c>
      <c r="E4760" t="str">
        <v>D</v>
      </c>
      <c r="F4760">
        <f>VLOOKUP(D4734,'Detail Balok'!$C$10:$BJ$110,58,FALSE)</f>
        <v>0</v>
      </c>
      <c r="G4760" t="str">
        <v>-</v>
      </c>
      <c r="H4760">
        <f>VLOOKUP(D4734,'Detail Balok'!$C$10:$BJ$110,60,FALSE)</f>
        <v>100</v>
      </c>
      <c r="J4760">
        <f>(D4735-2*F$5)/1000</f>
        <v>0.12</v>
      </c>
      <c r="K4760" t="str">
        <v>+</v>
      </c>
      <c r="L4760">
        <f>IF(D4760=0,2*MAX(6*F4760,75),(D4760-1)*2*MAX(6*F4760,75))/1000</f>
        <v>0.15</v>
      </c>
      <c r="M4760" t="str">
        <v>=</v>
      </c>
      <c r="N4760">
        <f>J4760+L4760</f>
        <v>0.27</v>
      </c>
      <c r="T4760" t="str">
        <v>x</v>
      </c>
      <c r="U4760">
        <f>0.006165*F4760^2</f>
        <v>0</v>
      </c>
      <c r="V4760" t="str">
        <v>x</v>
      </c>
      <c r="W4760">
        <f>W4756</f>
        <v>14</v>
      </c>
      <c r="X4760" t="str">
        <v>x</v>
      </c>
      <c r="Y4760">
        <f>D4744</f>
        <v>6</v>
      </c>
      <c r="Z4760" t="str">
        <v>=</v>
      </c>
      <c r="AA4760">
        <f>N4760*U4760*W4760*Y4760</f>
        <v>0</v>
      </c>
    </row>
    <row r="4764">
      <c r="A4764" t="str">
        <f>A4734</f>
        <v>Lantai 1</v>
      </c>
      <c r="B4764">
        <f>B4734+1</f>
        <v>62</v>
      </c>
      <c r="C4764" t="str">
        <f>CONCATENATE(A4764," no. ",B4764)</f>
        <v>Lantai 1 no. 62</v>
      </c>
      <c r="D4764" t="str">
        <f>VLOOKUP(C4764,'Data Panjang Balok'!$C$9:$N$424,2,FALSE)</f>
        <v>B25-2</v>
      </c>
    </row>
    <row r="4765">
      <c r="C4765" t="str">
        <v>Dimensi</v>
      </c>
      <c r="D4765">
        <f>VLOOKUP(D4764,'Detail Balok'!$C$10:$AU$110,2,FALSE)</f>
        <v>200</v>
      </c>
      <c r="F4765" t="str">
        <v>x</v>
      </c>
      <c r="G4765">
        <f>VLOOKUP(D4764,'Detail Balok'!$C$10:$AU$110,3,FALSE)</f>
        <v>500</v>
      </c>
    </row>
    <row r="4766">
      <c r="C4766" t="str">
        <v>Panjang as ke as</v>
      </c>
      <c r="D4766">
        <f>VLOOKUP(C4764,'Data Panjang Balok'!$C$9:$N$424,4,FALSE)</f>
        <v>3635</v>
      </c>
    </row>
    <row r="4767">
      <c r="C4767" t="str">
        <v>Panjang netto</v>
      </c>
      <c r="D4767">
        <f>VLOOKUP(C4764,'Data Panjang Balok'!$C$9:$N$424,7,FALSE)</f>
        <v>3635</v>
      </c>
    </row>
    <row r="4768">
      <c r="C4768" t="str">
        <v>Kolom / balok kiri</v>
      </c>
      <c r="D4768">
        <f>VLOOKUP(C4764,'Data Panjang Balok'!$C$9:$N$424,9,FALSE)</f>
        <v>0</v>
      </c>
    </row>
    <row r="4769">
      <c r="C4769" t="str">
        <v>Kolom / balok kanan</v>
      </c>
      <c r="D4769">
        <f>VLOOKUP(C4764,'Data Panjang Balok'!$C$9:$N$424,10,FALSE)</f>
        <v>0</v>
      </c>
    </row>
    <row r="4770">
      <c r="C4770" t="str">
        <v>Jumlah</v>
      </c>
      <c r="D4770">
        <f>VLOOKUP(C4764,'Data Panjang Balok'!$C$9:$N$424,3,FALSE)</f>
        <v>0</v>
      </c>
    </row>
    <row r="4771">
      <c r="A4771" t="str">
        <f>A4764</f>
        <v>Lantai 1</v>
      </c>
      <c r="B4771">
        <f>B4764</f>
        <v>62</v>
      </c>
      <c r="C4771" t="str">
        <v>Tul Atas Tumpuan</v>
      </c>
      <c r="D4771">
        <f>VLOOKUP(D4764,'Detail Balok'!$C$10:$AU$110,4,FALSE)</f>
        <v>3</v>
      </c>
      <c r="E4771" t="str">
        <v>D</v>
      </c>
      <c r="F4771">
        <f>VLOOKUP(D4764,'Detail Balok'!$C$10:$AU$110,6,FALSE)</f>
        <v>16</v>
      </c>
      <c r="I4771" t="str">
        <v>(</v>
      </c>
      <c r="J4771">
        <f>+D4766/4/1000</f>
        <v>0.90875</v>
      </c>
      <c r="K4771" t="str">
        <v>+</v>
      </c>
      <c r="L4771">
        <f>MAX(VLOOKUP(F4771,N$6:P$15,3,FALSE)/1000,2/3*D4768/1000)+F$16*F4771/1000</f>
        <v>0.192</v>
      </c>
      <c r="M4771" t="str">
        <v>=</v>
      </c>
      <c r="N4771">
        <f>J4771+L4771</f>
        <v>1.10075</v>
      </c>
      <c r="O4771" t="str">
        <v>+</v>
      </c>
      <c r="P4771">
        <f>D4771-D4772</f>
        <v>0</v>
      </c>
      <c r="Q4771" t="str">
        <v>x</v>
      </c>
      <c r="R4771">
        <f>IF(P4771&gt;0,$F$18*F4771/1000,0)</f>
        <v>0</v>
      </c>
      <c r="S4771" t="str">
        <v>)</v>
      </c>
      <c r="T4771" t="str">
        <v>x</v>
      </c>
      <c r="U4771">
        <f>0.006165*F4771^2</f>
        <v>1.57824</v>
      </c>
      <c r="X4771" t="str">
        <v>x</v>
      </c>
      <c r="Y4771">
        <f>D4770</f>
        <v>0</v>
      </c>
      <c r="Z4771" t="str">
        <v>=</v>
      </c>
      <c r="AA4771">
        <f>IF(AA4774=0,(D4771*N4771+P4771*R4771)*U4771*Y4771,0)</f>
        <v>0</v>
      </c>
    </row>
    <row r="4772">
      <c r="A4772" t="str">
        <f>A4764</f>
        <v>Lantai 1</v>
      </c>
      <c r="B4772">
        <f>B4764</f>
        <v>62</v>
      </c>
      <c r="C4772" t="str">
        <v>Tul Atas Lapangan</v>
      </c>
      <c r="D4772">
        <f>VLOOKUP(D4764,'Detail Balok'!$C$10:$AU$110,7,FALSE)</f>
        <v>3</v>
      </c>
      <c r="E4772" t="str">
        <v>D</v>
      </c>
      <c r="F4772">
        <f>VLOOKUP(D4764,'Detail Balok'!$C$10:$AU$110,9,FALSE)</f>
        <v>16</v>
      </c>
      <c r="I4772" t="str">
        <v>(</v>
      </c>
      <c r="J4772">
        <f>+D4766/2/1000</f>
        <v>1.8175</v>
      </c>
      <c r="K4772" t="str">
        <v>+</v>
      </c>
      <c r="M4772" t="str">
        <v>=</v>
      </c>
      <c r="N4772">
        <f>J4772+L4772</f>
        <v>1.8175</v>
      </c>
      <c r="O4772" t="str">
        <v>+</v>
      </c>
      <c r="P4772">
        <f>MAX(D4772-D4771,D4772-D4773)</f>
        <v>0</v>
      </c>
      <c r="Q4772" t="str">
        <v>x</v>
      </c>
      <c r="R4772">
        <f>IF(P4772&gt;0,2*(1-2*$F$19-1/2)*D4767/1000,0)</f>
        <v>0</v>
      </c>
      <c r="S4772" t="str">
        <v>)</v>
      </c>
      <c r="T4772" t="str">
        <v>x</v>
      </c>
      <c r="U4772">
        <f>0.006165*F4772^2</f>
        <v>1.57824</v>
      </c>
      <c r="X4772" t="str">
        <v>x</v>
      </c>
      <c r="Y4772">
        <f>D4770</f>
        <v>0</v>
      </c>
      <c r="Z4772" t="str">
        <v>=</v>
      </c>
      <c r="AA4772">
        <f>IF(AA4774=0,(D4772*N4772+P4772*R4772)*U4772*Y4772,0)</f>
        <v>0</v>
      </c>
    </row>
    <row r="4773">
      <c r="A4773" t="str">
        <f>A4764</f>
        <v>Lantai 1</v>
      </c>
      <c r="B4773">
        <f>B4764</f>
        <v>62</v>
      </c>
      <c r="C4773" t="str">
        <v>Tul Atas Tumpuan</v>
      </c>
      <c r="D4773">
        <f>VLOOKUP(D4764,'Detail Balok'!$C$10:$AU$110,10,FALSE)</f>
        <v>3</v>
      </c>
      <c r="E4773" t="str">
        <v>D</v>
      </c>
      <c r="F4773">
        <f>VLOOKUP(D4764,'Detail Balok'!$C$10:$AU$110,12,FALSE)</f>
        <v>16</v>
      </c>
      <c r="I4773" t="str">
        <v>(</v>
      </c>
      <c r="J4773">
        <f>+D4766/4/1000</f>
        <v>0.90875</v>
      </c>
      <c r="K4773" t="str">
        <v>+</v>
      </c>
      <c r="L4773">
        <f>MAX(VLOOKUP(F4773,N$6:P$15,3,FALSE)/1000,2/3*D4768/1000)+F$16*F4773/1000</f>
        <v>0.192</v>
      </c>
      <c r="M4773" t="str">
        <v>=</v>
      </c>
      <c r="N4773">
        <f>J4773+L4773</f>
        <v>1.10075</v>
      </c>
      <c r="O4773" t="str">
        <v>+</v>
      </c>
      <c r="P4773">
        <f>D4773-D4772</f>
        <v>0</v>
      </c>
      <c r="Q4773" t="str">
        <v>x</v>
      </c>
      <c r="R4773">
        <f>IF(P4773&gt;0,$F$18*F4773/1000,0)</f>
        <v>0</v>
      </c>
      <c r="S4773" t="str">
        <v>)</v>
      </c>
      <c r="T4773" t="str">
        <v>x</v>
      </c>
      <c r="U4773">
        <f>0.006165*F4773^2</f>
        <v>1.57824</v>
      </c>
      <c r="X4773" t="str">
        <v>x</v>
      </c>
      <c r="Y4773">
        <f>D4770</f>
        <v>0</v>
      </c>
      <c r="Z4773" t="str">
        <v>=</v>
      </c>
      <c r="AA4773">
        <f>IF(AA4774=0,(D4773*N4773+P4773*R4773)*U4773*Y4773,0)</f>
        <v>0</v>
      </c>
    </row>
    <row r="4774">
      <c r="A4774" t="str">
        <f>A4764</f>
        <v>Lantai 1</v>
      </c>
      <c r="B4774">
        <f>B4764</f>
        <v>62</v>
      </c>
      <c r="D4774">
        <f>IF(AND(D4771=D4772,D4772=D4773,D4771=D4773),D4771,0)</f>
        <v>3</v>
      </c>
      <c r="E4774" t="str">
        <v>D</v>
      </c>
      <c r="F4774">
        <f>IF(AND(F4771=F4772,F4771=F4773,F4772=F4773),F4771,0)</f>
        <v>16</v>
      </c>
      <c r="L4774" t="str">
        <v>Total panjang per balok</v>
      </c>
      <c r="M4774" t="str">
        <v>=</v>
      </c>
      <c r="N4774">
        <f>IF(AND(D4771=D4772,D4771=D4773,D4772=D4773,F4771=F4772,F4771=F4773,F4772=F4773),SUM(N4771:N4773),0)</f>
        <v>4.018999999999999</v>
      </c>
      <c r="O4774" t="str">
        <v>+</v>
      </c>
      <c r="P4774">
        <f>IF(N4774&gt;12,ROUNDDOWN(N4774/12,0),0)</f>
        <v>0</v>
      </c>
      <c r="Q4774" t="str">
        <v>x</v>
      </c>
      <c r="R4774">
        <f>IF(P4774&gt;0,MAX(VLOOKUP(F4774,$D$6:$G$15,3,FALSE),600),0)/1000</f>
        <v>0</v>
      </c>
      <c r="T4774" t="str">
        <v>x</v>
      </c>
      <c r="U4774">
        <f>U4773</f>
        <v>1.57824</v>
      </c>
      <c r="V4774" t="str">
        <v>x</v>
      </c>
      <c r="W4774">
        <f>D4774</f>
        <v>3</v>
      </c>
      <c r="X4774" t="str">
        <v>x</v>
      </c>
      <c r="Y4774">
        <f>Y4773</f>
        <v>0</v>
      </c>
      <c r="Z4774" t="str">
        <v>=</v>
      </c>
      <c r="AA4774">
        <f>(N4774+P4774*R4774/1000)*U4774*W4774*Y4774</f>
        <v>0</v>
      </c>
    </row>
    <row r="4776">
      <c r="A4776" t="str">
        <f>A4764</f>
        <v>Lantai 1</v>
      </c>
      <c r="B4776">
        <f>B4764</f>
        <v>62</v>
      </c>
      <c r="C4776" t="str">
        <v>Tul Peminggang</v>
      </c>
      <c r="D4776">
        <f>VLOOKUP(D4764,'Detail Balok'!$C$10:$AU$110,13,FALSE)</f>
        <v>2</v>
      </c>
      <c r="E4776" t="str">
        <v>D</v>
      </c>
      <c r="F4776">
        <f>VLOOKUP(D4764,'Detail Balok'!$C$10:$AU$110,15,FALSE)</f>
        <v>10</v>
      </c>
      <c r="J4776">
        <f>+D4766/1000</f>
        <v>3.635</v>
      </c>
      <c r="K4776" t="str">
        <v>+</v>
      </c>
      <c r="L4776">
        <f>2*$F$16*F4776/1000</f>
        <v>0.24</v>
      </c>
      <c r="M4776" t="str">
        <v>=</v>
      </c>
      <c r="N4776">
        <f>J4776+L4776</f>
        <v>3.875</v>
      </c>
      <c r="O4776" t="str">
        <v>+</v>
      </c>
      <c r="P4776">
        <f>IF(N4776&gt;12,ROUNDDOWN(N4776/12,0),0)</f>
        <v>0</v>
      </c>
      <c r="Q4776" t="str">
        <v>x</v>
      </c>
      <c r="R4776">
        <f>IF(P4776&gt;0,MAX(VLOOKUP(F4776,$D$6:$G$15,3,FALSE),600),0)/1000</f>
        <v>0</v>
      </c>
      <c r="T4776" t="str">
        <v>x</v>
      </c>
      <c r="U4776">
        <f>0.006165*F4776^2</f>
        <v>0.6165</v>
      </c>
      <c r="V4776" t="str">
        <v>x</v>
      </c>
      <c r="W4776">
        <f>+D4776</f>
        <v>2</v>
      </c>
      <c r="X4776" t="str">
        <v>x</v>
      </c>
      <c r="Y4776">
        <f>D4770</f>
        <v>0</v>
      </c>
      <c r="Z4776" t="str">
        <v>=</v>
      </c>
      <c r="AA4776">
        <f>(N4776+P4776*R4776/1000)*U4776*W4776*Y4776</f>
        <v>0</v>
      </c>
    </row>
    <row r="4779">
      <c r="A4779" t="str">
        <f>A4764</f>
        <v>Lantai 1</v>
      </c>
      <c r="B4779">
        <f>B4764</f>
        <v>62</v>
      </c>
      <c r="C4779" t="str">
        <v>Tul Bawah Tumpuan</v>
      </c>
      <c r="D4779">
        <f>VLOOKUP(D4764,'Detail Balok'!$C$10:$AU$110,22,FALSE)</f>
        <v>3</v>
      </c>
      <c r="E4779" t="str">
        <v>D</v>
      </c>
      <c r="F4779">
        <f>VLOOKUP(D4764,'Detail Balok'!$C$10:$AU$110,24,FALSE)</f>
        <v>16</v>
      </c>
      <c r="I4779" t="str">
        <v>(</v>
      </c>
      <c r="J4779">
        <f>+J4771</f>
        <v>0.90875</v>
      </c>
      <c r="K4779" t="str">
        <v>+</v>
      </c>
      <c r="L4779">
        <f>MAX(VLOOKUP(F4779,N$6:P$15,3,FALSE)/1000,2/3*D4769/1000)+F$16*F4779/1000</f>
        <v>0.192</v>
      </c>
      <c r="M4779" t="str">
        <v>=</v>
      </c>
      <c r="N4779">
        <f>J4779+L4779</f>
        <v>1.10075</v>
      </c>
      <c r="O4779" t="str">
        <v>+</v>
      </c>
      <c r="P4779">
        <f>D4779-D4780</f>
        <v>0</v>
      </c>
      <c r="Q4779" t="str">
        <v>x</v>
      </c>
      <c r="R4779">
        <f>IF(P4779&gt;0,$F$18*F4779/1000,0)</f>
        <v>0</v>
      </c>
      <c r="S4779" t="str">
        <v>)</v>
      </c>
      <c r="T4779" t="str">
        <v>x</v>
      </c>
      <c r="U4779">
        <f>0.006165*F4779^2</f>
        <v>1.57824</v>
      </c>
      <c r="X4779" t="str">
        <v>x</v>
      </c>
      <c r="Y4779">
        <f>D4770</f>
        <v>0</v>
      </c>
      <c r="Z4779" t="str">
        <v>=</v>
      </c>
      <c r="AA4779">
        <f>IF(AA4782=0,(D4779*N4779+P4779*R4779)*U4779*Y4779,0)</f>
        <v>0</v>
      </c>
    </row>
    <row r="4780">
      <c r="A4780" t="str">
        <f>A4764</f>
        <v>Lantai 1</v>
      </c>
      <c r="B4780">
        <f>B4764</f>
        <v>62</v>
      </c>
      <c r="C4780" t="str">
        <v>Tul Bawah Lapangan</v>
      </c>
      <c r="D4780">
        <f>VLOOKUP(D4764,'Detail Balok'!$C$10:$AU$110,25,FALSE)</f>
        <v>3</v>
      </c>
      <c r="E4780" t="str">
        <v>D</v>
      </c>
      <c r="F4780">
        <f>VLOOKUP(D4764,'Detail Balok'!$C$10:$AU$110,27,FALSE)</f>
        <v>16</v>
      </c>
      <c r="I4780" t="str">
        <v>(</v>
      </c>
      <c r="J4780">
        <f>+J4772</f>
        <v>1.8175</v>
      </c>
      <c r="K4780" t="str">
        <v>+</v>
      </c>
      <c r="M4780" t="str">
        <v>=</v>
      </c>
      <c r="N4780">
        <f>J4780+L4780</f>
        <v>1.8175</v>
      </c>
      <c r="O4780" t="str">
        <v>+</v>
      </c>
      <c r="P4780">
        <f>MAX(D4780-D4779,D4780-D4781)</f>
        <v>0</v>
      </c>
      <c r="Q4780" t="str">
        <v>x</v>
      </c>
      <c r="R4780">
        <f>IF(P4780&gt;0,2*(1-2*$F$19-1/2)*D4767/1000,0)</f>
        <v>0</v>
      </c>
      <c r="S4780" t="str">
        <v>)</v>
      </c>
      <c r="T4780" t="str">
        <v>x</v>
      </c>
      <c r="U4780">
        <f>0.006165*F4780^2</f>
        <v>1.57824</v>
      </c>
      <c r="X4780" t="str">
        <v>x</v>
      </c>
      <c r="Y4780">
        <f>D4770</f>
        <v>0</v>
      </c>
      <c r="Z4780" t="str">
        <v>=</v>
      </c>
      <c r="AA4780">
        <f>IF(AA4782=0,(D4780*N4780+P4780*R4780)*U4780*Y4780,0)</f>
        <v>0</v>
      </c>
    </row>
    <row r="4781">
      <c r="A4781" t="str">
        <f>A4764</f>
        <v>Lantai 1</v>
      </c>
      <c r="B4781">
        <f>B4764</f>
        <v>62</v>
      </c>
      <c r="C4781" t="str">
        <v>Tul Bawah Tumpuan</v>
      </c>
      <c r="D4781">
        <f>VLOOKUP(D4764,'Detail Balok'!$C$10:$AU$110,28,FALSE)</f>
        <v>3</v>
      </c>
      <c r="E4781" t="str">
        <v>D</v>
      </c>
      <c r="F4781">
        <f>VLOOKUP(D4764,'Detail Balok'!$C$10:$AU$110,30,FALSE)</f>
        <v>16</v>
      </c>
      <c r="I4781" t="str">
        <v>(</v>
      </c>
      <c r="J4781">
        <f>+J4773</f>
        <v>0.90875</v>
      </c>
      <c r="K4781" t="str">
        <v>+</v>
      </c>
      <c r="L4781">
        <f>MAX(VLOOKUP(F4781,N$6:P$15,3,FALSE)/1000,2/3*D4769/1000)+F$16*F4781/1000</f>
        <v>0.192</v>
      </c>
      <c r="M4781" t="str">
        <v>=</v>
      </c>
      <c r="N4781">
        <f>J4781+L4781</f>
        <v>1.10075</v>
      </c>
      <c r="O4781" t="str">
        <v>+</v>
      </c>
      <c r="P4781">
        <f>D4781-D4780</f>
        <v>0</v>
      </c>
      <c r="Q4781" t="str">
        <v>x</v>
      </c>
      <c r="R4781">
        <f>IF(P4781&gt;0,$F$18*F4781/1000,0)</f>
        <v>0</v>
      </c>
      <c r="S4781" t="str">
        <v>)</v>
      </c>
      <c r="T4781" t="str">
        <v>x</v>
      </c>
      <c r="U4781">
        <f>0.006165*F4781^2</f>
        <v>1.57824</v>
      </c>
      <c r="X4781" t="str">
        <v>x</v>
      </c>
      <c r="Y4781">
        <f>D4770</f>
        <v>0</v>
      </c>
      <c r="Z4781" t="str">
        <v>=</v>
      </c>
      <c r="AA4781">
        <f>IF(AA4782=0,(D4781*N4781+P4781*R4781)*U4781*Y4781,0)</f>
        <v>0</v>
      </c>
    </row>
    <row r="4782">
      <c r="A4782" t="str">
        <f>A4764</f>
        <v>Lantai 1</v>
      </c>
      <c r="B4782">
        <f>B4764</f>
        <v>62</v>
      </c>
      <c r="D4782">
        <f>IF(AND(D4779=D4780,D4780=D4781,D4779=D4781),D4779,0)</f>
        <v>3</v>
      </c>
      <c r="E4782" t="str">
        <v>D</v>
      </c>
      <c r="F4782">
        <f>IF(AND(F4779=F4780,F4779=F4781,F4780=F4781),F4779,0)</f>
        <v>16</v>
      </c>
      <c r="L4782" t="str">
        <v>Total panjang per balok</v>
      </c>
      <c r="M4782" t="str">
        <v>=</v>
      </c>
      <c r="N4782">
        <f>IF(AND(D4779=D4780,D4779=D4781,D4780=D4781,F4779=F4780,F4779=F4781,F4780=F4781),SUM(N4779:N4781),0)</f>
        <v>4.018999999999999</v>
      </c>
      <c r="O4782" t="str">
        <v>+</v>
      </c>
      <c r="P4782">
        <f>IF(N4782&gt;12,ROUNDDOWN(N4782/12,0),0)</f>
        <v>0</v>
      </c>
      <c r="Q4782" t="str">
        <v>x</v>
      </c>
      <c r="R4782">
        <f>IF(P4782&gt;0,MAX(VLOOKUP(F4782,$D$6:$G$15,3,FALSE),600),0)/1000</f>
        <v>0</v>
      </c>
      <c r="T4782" t="str">
        <v>x</v>
      </c>
      <c r="U4782">
        <f>U4781</f>
        <v>1.57824</v>
      </c>
      <c r="V4782" t="str">
        <v>x</v>
      </c>
      <c r="W4782">
        <f>D4782</f>
        <v>3</v>
      </c>
      <c r="X4782" t="str">
        <v>x</v>
      </c>
      <c r="Y4782">
        <f>Y4781</f>
        <v>0</v>
      </c>
      <c r="Z4782" t="str">
        <v>=</v>
      </c>
      <c r="AA4782">
        <f>(N4782+P4782*R4782/1000)*U4782*W4782*Y4782</f>
        <v>0</v>
      </c>
    </row>
    <row r="4784">
      <c r="A4784" t="str">
        <f>A4764</f>
        <v>Lantai 1</v>
      </c>
      <c r="B4784">
        <f>B4764</f>
        <v>62</v>
      </c>
      <c r="C4784" t="str">
        <v>Sengkang Tumpuan</v>
      </c>
      <c r="D4784">
        <f>VLOOKUP(D4764,'Detail Balok'!$C$10:$AU$110,31,FALSE)</f>
        <v>0</v>
      </c>
      <c r="E4784" t="str">
        <v>D</v>
      </c>
      <c r="F4784">
        <f>VLOOKUP(D4764,'Detail Balok'!$C$10:$AU$110,33,FALSE)</f>
        <v>10</v>
      </c>
      <c r="G4784" t="str">
        <v>-</v>
      </c>
      <c r="H4784">
        <f>VLOOKUP(D4764,'Detail Balok'!$C$10:$AU$110,35,FALSE)</f>
        <v>75</v>
      </c>
      <c r="J4784">
        <f>(IF(D4784=0,(2*(D4765+G4765))-(F$5*8),IF(D4784=3,(2*(D4765+G4765))-(F$5*8)+(G4765-2*F$5),IF(D4784=4,(2*(D4765+G4765))-(F$5*8)+2*(G4765-2*F$5)))))/1000</f>
        <v>1.08</v>
      </c>
      <c r="K4784" t="str">
        <v>+</v>
      </c>
      <c r="L4784">
        <f>IF(D4784=0,2*MAX(6*F4784,75),(D4784-1)*2*MAX(6*F4784,75))/1000</f>
        <v>0.15</v>
      </c>
      <c r="M4784" t="str">
        <v>=</v>
      </c>
      <c r="N4784">
        <f>J4784+L4784</f>
        <v>1.23</v>
      </c>
      <c r="T4784" t="str">
        <v>x</v>
      </c>
      <c r="U4784">
        <f>0.006165*F4784^2</f>
        <v>0.6165</v>
      </c>
      <c r="V4784" t="str">
        <v>x</v>
      </c>
      <c r="W4784">
        <f>IF(D4767&gt;4*G4765,ROUND(MAX(D4767/4,2*G4765)/H4784,0)+1,ROUND(D4767/H4784,0)+1)</f>
        <v>14</v>
      </c>
      <c r="X4784" t="str">
        <v>x</v>
      </c>
      <c r="Y4784">
        <f>D4770</f>
        <v>0</v>
      </c>
      <c r="Z4784" t="str">
        <v>=</v>
      </c>
      <c r="AA4784">
        <f>N4784*U4784*W4784*Y4784</f>
        <v>0</v>
      </c>
    </row>
    <row r="4785">
      <c r="A4785" t="str">
        <f>A4764</f>
        <v>Lantai 1</v>
      </c>
      <c r="B4785">
        <f>B4764</f>
        <v>62</v>
      </c>
      <c r="C4785" t="str">
        <v>Sengkang Lapangan</v>
      </c>
      <c r="D4785">
        <f>VLOOKUP(D4764,'Detail Balok'!$C$10:$AU$110,36,FALSE)</f>
        <v>0</v>
      </c>
      <c r="E4785" t="str">
        <v>D</v>
      </c>
      <c r="F4785">
        <f>VLOOKUP(D4764,'Detail Balok'!$C$10:$AU$110,38,FALSE)</f>
        <v>10</v>
      </c>
      <c r="G4785" t="str">
        <v>-</v>
      </c>
      <c r="H4785">
        <f>VLOOKUP(D4764,'Detail Balok'!$C$10:$AU$110,40,FALSE)</f>
        <v>125</v>
      </c>
      <c r="J4785">
        <f>(IF(D4785=0,(2*(D4765+G4765))-(F$5*8),IF(D4785=3,(2*(D4765+G4765))-(F$5*8)+(G4765-2*F$5),IF(D4785=4,(2*(D4765+G4765))-(F$5*8)+2*(G4765-2*F$5)))))/1000</f>
        <v>1.08</v>
      </c>
      <c r="K4785" t="str">
        <v>+</v>
      </c>
      <c r="L4785">
        <f>IF(D4785=0,2*MAX(6*F4785,75),(D4785-1)*2*MAX(6*F4785,75))/1000</f>
        <v>0.15</v>
      </c>
      <c r="M4785" t="str">
        <v>=</v>
      </c>
      <c r="N4785">
        <f>J4785+L4785</f>
        <v>1.23</v>
      </c>
      <c r="T4785" t="str">
        <v>x</v>
      </c>
      <c r="U4785">
        <f>0.006165*F4785^2</f>
        <v>0.6165</v>
      </c>
      <c r="V4785" t="str">
        <v>x</v>
      </c>
      <c r="W4785">
        <f>IF(D4767-MAX(D4767/4,2*G4765)*2&gt;0,ROUND((D4767-MAX(D4767/4,2*G4765)*2)/H4785,0),0)</f>
        <v>13</v>
      </c>
      <c r="X4785" t="str">
        <v>x</v>
      </c>
      <c r="Y4785">
        <f>D4770</f>
        <v>0</v>
      </c>
      <c r="Z4785" t="str">
        <v>=</v>
      </c>
      <c r="AA4785">
        <f>N4785*U4785*W4785*Y4785</f>
        <v>0</v>
      </c>
    </row>
    <row r="4786">
      <c r="A4786" t="str">
        <f>A4764</f>
        <v>Lantai 1</v>
      </c>
      <c r="B4786">
        <f>B4764</f>
        <v>62</v>
      </c>
      <c r="C4786" t="str">
        <v>Sengkang Tumpuan</v>
      </c>
      <c r="D4786">
        <f>VLOOKUP(D4764,'Detail Balok'!$C$10:$AU$110,41,FALSE)</f>
        <v>0</v>
      </c>
      <c r="E4786" t="str">
        <v>D</v>
      </c>
      <c r="F4786">
        <f>VLOOKUP(D4764,'Detail Balok'!$C$10:$AU$110,43,FALSE)</f>
        <v>10</v>
      </c>
      <c r="G4786" t="str">
        <v>-</v>
      </c>
      <c r="H4786">
        <f>VLOOKUP(D4764,'Detail Balok'!$C$10:$AU$110,45,FALSE)</f>
        <v>75</v>
      </c>
      <c r="J4786">
        <f>(IF(D4786=0,(2*(D4765+G4765))-(F$5*8),IF(D4786=3,(2*(D4765+G4765))-(F$5*8)+(G4765-2*F$5),IF(D4786=4,(2*(D4765+G4765))-(F$5*8)+2*(G4765-2*F$5)))))/1000</f>
        <v>1.08</v>
      </c>
      <c r="K4786" t="str">
        <v>+</v>
      </c>
      <c r="L4786">
        <f>IF(D4786=0,2*MAX(6*F4786,75),(D4786-1)*2*MAX(6*F4786,75))/1000</f>
        <v>0.15</v>
      </c>
      <c r="M4786" t="str">
        <v>=</v>
      </c>
      <c r="N4786">
        <f>J4786+L4786</f>
        <v>1.23</v>
      </c>
      <c r="T4786" t="str">
        <v>x</v>
      </c>
      <c r="U4786">
        <f>0.006165*F4786^2</f>
        <v>0.6165</v>
      </c>
      <c r="V4786" t="str">
        <v>x</v>
      </c>
      <c r="W4786">
        <f>IF(D4767&gt;4*G4765,ROUND(MAX(D4767/4,2*G4765)/H4786,0)+1,0)</f>
        <v>14</v>
      </c>
      <c r="X4786" t="str">
        <v>x</v>
      </c>
      <c r="Y4786">
        <f>D4770</f>
        <v>0</v>
      </c>
      <c r="Z4786" t="str">
        <v>=</v>
      </c>
      <c r="AA4786">
        <f>N4786*U4786*W4786*Y4786</f>
        <v>0</v>
      </c>
    </row>
    <row r="4788">
      <c r="A4788" t="str">
        <f>A4764</f>
        <v>Lantai 1</v>
      </c>
      <c r="B4788">
        <f>B4764</f>
        <v>62</v>
      </c>
      <c r="C4788" t="str">
        <v>Kait Horizontal Tump.</v>
      </c>
      <c r="D4788">
        <f>VLOOKUP(D4764,'Detail Balok'!$C$10:$BJ$110,46,FALSE)</f>
        <v>0</v>
      </c>
      <c r="E4788" t="str">
        <v>D</v>
      </c>
      <c r="F4788">
        <f>VLOOKUP(D4764,'Detail Balok'!$C$10:$BJ$110,48,FALSE)</f>
        <v>0</v>
      </c>
      <c r="G4788" t="str">
        <v>-</v>
      </c>
      <c r="H4788">
        <f>VLOOKUP(D4764,'Detail Balok'!$C$10:$BJ$110,50,FALSE)</f>
        <v>100</v>
      </c>
      <c r="J4788">
        <f>(D4765-2*F$5)/1000</f>
        <v>0.12</v>
      </c>
      <c r="K4788" t="str">
        <v>+</v>
      </c>
      <c r="L4788">
        <f>IF(D4788=0,2*MAX(6*F4788,75),(D4788-1)*2*MAX(6*F4788,75))/1000</f>
        <v>0.15</v>
      </c>
      <c r="M4788" t="str">
        <v>=</v>
      </c>
      <c r="N4788">
        <f>J4788+L4788</f>
        <v>0.27</v>
      </c>
      <c r="T4788" t="str">
        <v>x</v>
      </c>
      <c r="U4788">
        <f>0.006165*F4788^2</f>
        <v>0</v>
      </c>
      <c r="V4788" t="str">
        <v>x</v>
      </c>
      <c r="W4788">
        <f>W4784</f>
        <v>14</v>
      </c>
      <c r="X4788" t="str">
        <v>x</v>
      </c>
      <c r="Y4788">
        <f>D4774</f>
        <v>3</v>
      </c>
      <c r="Z4788" t="str">
        <v>=</v>
      </c>
      <c r="AA4788">
        <f>N4788*U4788*W4788*Y4788</f>
        <v>0</v>
      </c>
    </row>
    <row r="4789">
      <c r="A4789" t="str">
        <f>A4764</f>
        <v>Lantai 1</v>
      </c>
      <c r="B4789">
        <f>B4764</f>
        <v>62</v>
      </c>
      <c r="C4789" t="str">
        <v>Kait Horizontal Lap.</v>
      </c>
      <c r="D4789">
        <f>VLOOKUP(D4764,'Detail Balok'!$C$10:$BJ$110,51,FALSE)</f>
        <v>0</v>
      </c>
      <c r="E4789" t="str">
        <v>D</v>
      </c>
      <c r="F4789">
        <f>VLOOKUP(D4764,'Detail Balok'!$C$10:$BJ$110,53,FALSE)</f>
        <v>0</v>
      </c>
      <c r="G4789" t="str">
        <v>-</v>
      </c>
      <c r="H4789">
        <f>VLOOKUP(D4764,'Detail Balok'!$C$10:$BJ$110,55,FALSE)</f>
        <v>100</v>
      </c>
      <c r="J4789">
        <f>(D4765-2*F$5)/1000</f>
        <v>0.12</v>
      </c>
      <c r="K4789" t="str">
        <v>+</v>
      </c>
      <c r="L4789">
        <f>IF(D4789=0,2*MAX(6*F4789,75),(D4789-1)*2*MAX(6*F4789,75))/1000</f>
        <v>0.15</v>
      </c>
      <c r="M4789" t="str">
        <v>=</v>
      </c>
      <c r="N4789">
        <f>J4789+L4789</f>
        <v>0.27</v>
      </c>
      <c r="T4789" t="str">
        <v>x</v>
      </c>
      <c r="U4789">
        <f>0.006165*F4789^2</f>
        <v>0</v>
      </c>
      <c r="V4789" t="str">
        <v>x</v>
      </c>
      <c r="W4789">
        <f>W4785</f>
        <v>13</v>
      </c>
      <c r="X4789" t="str">
        <v>x</v>
      </c>
      <c r="Y4789">
        <f>D4774</f>
        <v>3</v>
      </c>
      <c r="Z4789" t="str">
        <v>=</v>
      </c>
      <c r="AA4789">
        <f>N4789*U4789*W4789*Y4789</f>
        <v>0</v>
      </c>
    </row>
    <row r="4790">
      <c r="A4790" t="str">
        <f>A4764</f>
        <v>Lantai 1</v>
      </c>
      <c r="B4790">
        <f>B4764</f>
        <v>62</v>
      </c>
      <c r="C4790" t="str">
        <v>Kait Horizontal Tump.</v>
      </c>
      <c r="D4790">
        <f>VLOOKUP(D4764,'Detail Balok'!$C$10:$BJ$110,56,FALSE)</f>
        <v>0</v>
      </c>
      <c r="E4790" t="str">
        <v>D</v>
      </c>
      <c r="F4790">
        <f>VLOOKUP(D4764,'Detail Balok'!$C$10:$BJ$110,58,FALSE)</f>
        <v>0</v>
      </c>
      <c r="G4790" t="str">
        <v>-</v>
      </c>
      <c r="H4790">
        <f>VLOOKUP(D4764,'Detail Balok'!$C$10:$BJ$110,60,FALSE)</f>
        <v>100</v>
      </c>
      <c r="J4790">
        <f>(D4765-2*F$5)/1000</f>
        <v>0.12</v>
      </c>
      <c r="K4790" t="str">
        <v>+</v>
      </c>
      <c r="L4790">
        <f>IF(D4790=0,2*MAX(6*F4790,75),(D4790-1)*2*MAX(6*F4790,75))/1000</f>
        <v>0.15</v>
      </c>
      <c r="M4790" t="str">
        <v>=</v>
      </c>
      <c r="N4790">
        <f>J4790+L4790</f>
        <v>0.27</v>
      </c>
      <c r="T4790" t="str">
        <v>x</v>
      </c>
      <c r="U4790">
        <f>0.006165*F4790^2</f>
        <v>0</v>
      </c>
      <c r="V4790" t="str">
        <v>x</v>
      </c>
      <c r="W4790">
        <f>W4786</f>
        <v>14</v>
      </c>
      <c r="X4790" t="str">
        <v>x</v>
      </c>
      <c r="Y4790">
        <f>D4774</f>
        <v>3</v>
      </c>
      <c r="Z4790" t="str">
        <v>=</v>
      </c>
      <c r="AA4790">
        <f>N4790*U4790*W4790*Y4790</f>
        <v>0</v>
      </c>
    </row>
    <row r="4794">
      <c r="A4794" t="str">
        <f>A4764</f>
        <v>Lantai 1</v>
      </c>
      <c r="B4794">
        <f>B4764+1</f>
        <v>63</v>
      </c>
      <c r="C4794" t="str">
        <f>CONCATENATE(A4794," no. ",B4794)</f>
        <v>Lantai 1 no. 63</v>
      </c>
      <c r="D4794" t="str">
        <f>VLOOKUP(C4794,'Data Panjang Balok'!$C$9:$N$424,2,FALSE)</f>
        <v>B245-6</v>
      </c>
    </row>
    <row r="4795">
      <c r="C4795" t="str">
        <v>Dimensi</v>
      </c>
      <c r="D4795">
        <f>VLOOKUP(D4794,'Detail Balok'!$C$10:$AU$110,2,FALSE)</f>
        <v>200</v>
      </c>
      <c r="F4795" t="str">
        <v>x</v>
      </c>
      <c r="G4795">
        <f>VLOOKUP(D4794,'Detail Balok'!$C$10:$AU$110,3,FALSE)</f>
        <v>450</v>
      </c>
    </row>
    <row r="4796">
      <c r="C4796" t="str">
        <v>Panjang as ke as</v>
      </c>
      <c r="D4796">
        <f>VLOOKUP(C4794,'Data Panjang Balok'!$C$9:$N$424,4,FALSE)</f>
        <v>4915</v>
      </c>
    </row>
    <row r="4797">
      <c r="C4797" t="str">
        <v>Panjang netto</v>
      </c>
      <c r="D4797">
        <f>VLOOKUP(C4794,'Data Panjang Balok'!$C$9:$N$424,7,FALSE)</f>
        <v>4915</v>
      </c>
    </row>
    <row r="4798">
      <c r="C4798" t="str">
        <v>Kolom / balok kiri</v>
      </c>
      <c r="D4798">
        <f>VLOOKUP(C4794,'Data Panjang Balok'!$C$9:$N$424,9,FALSE)</f>
        <v>0</v>
      </c>
    </row>
    <row r="4799">
      <c r="C4799" t="str">
        <v>Kolom / balok kanan</v>
      </c>
      <c r="D4799">
        <f>VLOOKUP(C4794,'Data Panjang Balok'!$C$9:$N$424,10,FALSE)</f>
        <v>0</v>
      </c>
    </row>
    <row r="4800">
      <c r="C4800" t="str">
        <v>Jumlah</v>
      </c>
      <c r="D4800">
        <f>VLOOKUP(C4794,'Data Panjang Balok'!$C$9:$N$424,3,FALSE)</f>
        <v>0</v>
      </c>
    </row>
    <row r="4801">
      <c r="A4801" t="str">
        <f>A4794</f>
        <v>Lantai 1</v>
      </c>
      <c r="B4801">
        <f>B4794</f>
        <v>63</v>
      </c>
      <c r="C4801" t="str">
        <v>Tul Atas Tumpuan</v>
      </c>
      <c r="D4801">
        <f>VLOOKUP(D4794,'Detail Balok'!$C$10:$AU$110,4,FALSE)</f>
        <v>4</v>
      </c>
      <c r="E4801" t="str">
        <v>D</v>
      </c>
      <c r="F4801">
        <f>VLOOKUP(D4794,'Detail Balok'!$C$10:$AU$110,6,FALSE)</f>
        <v>16</v>
      </c>
      <c r="I4801" t="str">
        <v>(</v>
      </c>
      <c r="J4801">
        <f>+D4796/4/1000</f>
        <v>1.22875</v>
      </c>
      <c r="K4801" t="str">
        <v>+</v>
      </c>
      <c r="L4801">
        <f>MAX(VLOOKUP(F4801,N$6:P$15,3,FALSE)/1000,2/3*D4798/1000)+F$16*F4801/1000</f>
        <v>0.192</v>
      </c>
      <c r="M4801" t="str">
        <v>=</v>
      </c>
      <c r="N4801">
        <f>J4801+L4801</f>
        <v>1.42075</v>
      </c>
      <c r="O4801" t="str">
        <v>+</v>
      </c>
      <c r="P4801">
        <f>D4801-D4802</f>
        <v>2</v>
      </c>
      <c r="Q4801" t="str">
        <v>x</v>
      </c>
      <c r="R4801">
        <f>IF(P4801&gt;0,$F$18*F4801/1000,0)</f>
        <v>0.24</v>
      </c>
      <c r="S4801" t="str">
        <v>)</v>
      </c>
      <c r="T4801" t="str">
        <v>x</v>
      </c>
      <c r="U4801">
        <f>0.006165*F4801^2</f>
        <v>1.57824</v>
      </c>
      <c r="X4801" t="str">
        <v>x</v>
      </c>
      <c r="Y4801">
        <f>D4800</f>
        <v>0</v>
      </c>
      <c r="Z4801" t="str">
        <v>=</v>
      </c>
      <c r="AA4801">
        <f>IF(AA4804=0,(D4801*N4801+P4801*R4801)*U4801*Y4801,0)</f>
        <v>0</v>
      </c>
    </row>
    <row r="4802">
      <c r="A4802" t="str">
        <f>A4794</f>
        <v>Lantai 1</v>
      </c>
      <c r="B4802">
        <f>B4794</f>
        <v>63</v>
      </c>
      <c r="C4802" t="str">
        <v>Tul Atas Lapangan</v>
      </c>
      <c r="D4802">
        <f>VLOOKUP(D4794,'Detail Balok'!$C$10:$AU$110,7,FALSE)</f>
        <v>2</v>
      </c>
      <c r="E4802" t="str">
        <v>D</v>
      </c>
      <c r="F4802">
        <f>VLOOKUP(D4794,'Detail Balok'!$C$10:$AU$110,9,FALSE)</f>
        <v>16</v>
      </c>
      <c r="I4802" t="str">
        <v>(</v>
      </c>
      <c r="J4802">
        <f>+D4796/2/1000</f>
        <v>2.4575</v>
      </c>
      <c r="K4802" t="str">
        <v>+</v>
      </c>
      <c r="M4802" t="str">
        <v>=</v>
      </c>
      <c r="N4802">
        <f>J4802+L4802</f>
        <v>2.4575</v>
      </c>
      <c r="O4802" t="str">
        <v>+</v>
      </c>
      <c r="P4802">
        <f>MAX(D4802-D4801,D4802-D4803)</f>
        <v>-2</v>
      </c>
      <c r="Q4802" t="str">
        <v>x</v>
      </c>
      <c r="R4802">
        <f>IF(P4802&gt;0,2*(1-2*$F$19-1/2)*D4797/1000,0)</f>
        <v>0</v>
      </c>
      <c r="S4802" t="str">
        <v>)</v>
      </c>
      <c r="T4802" t="str">
        <v>x</v>
      </c>
      <c r="U4802">
        <f>0.006165*F4802^2</f>
        <v>1.57824</v>
      </c>
      <c r="X4802" t="str">
        <v>x</v>
      </c>
      <c r="Y4802">
        <f>D4800</f>
        <v>0</v>
      </c>
      <c r="Z4802" t="str">
        <v>=</v>
      </c>
      <c r="AA4802">
        <f>IF(AA4804=0,(D4802*N4802+P4802*R4802)*U4802*Y4802,0)</f>
        <v>0</v>
      </c>
    </row>
    <row r="4803">
      <c r="A4803" t="str">
        <f>A4794</f>
        <v>Lantai 1</v>
      </c>
      <c r="B4803">
        <f>B4794</f>
        <v>63</v>
      </c>
      <c r="C4803" t="str">
        <v>Tul Atas Tumpuan</v>
      </c>
      <c r="D4803">
        <f>VLOOKUP(D4794,'Detail Balok'!$C$10:$AU$110,10,FALSE)</f>
        <v>4</v>
      </c>
      <c r="E4803" t="str">
        <v>D</v>
      </c>
      <c r="F4803">
        <f>VLOOKUP(D4794,'Detail Balok'!$C$10:$AU$110,12,FALSE)</f>
        <v>16</v>
      </c>
      <c r="I4803" t="str">
        <v>(</v>
      </c>
      <c r="J4803">
        <f>+D4796/4/1000</f>
        <v>1.22875</v>
      </c>
      <c r="K4803" t="str">
        <v>+</v>
      </c>
      <c r="L4803">
        <f>MAX(VLOOKUP(F4803,N$6:P$15,3,FALSE)/1000,2/3*D4798/1000)+F$16*F4803/1000</f>
        <v>0.192</v>
      </c>
      <c r="M4803" t="str">
        <v>=</v>
      </c>
      <c r="N4803">
        <f>J4803+L4803</f>
        <v>1.42075</v>
      </c>
      <c r="O4803" t="str">
        <v>+</v>
      </c>
      <c r="P4803">
        <f>D4803-D4802</f>
        <v>2</v>
      </c>
      <c r="Q4803" t="str">
        <v>x</v>
      </c>
      <c r="R4803">
        <f>IF(P4803&gt;0,$F$18*F4803/1000,0)</f>
        <v>0.24</v>
      </c>
      <c r="S4803" t="str">
        <v>)</v>
      </c>
      <c r="T4803" t="str">
        <v>x</v>
      </c>
      <c r="U4803">
        <f>0.006165*F4803^2</f>
        <v>1.57824</v>
      </c>
      <c r="X4803" t="str">
        <v>x</v>
      </c>
      <c r="Y4803">
        <f>D4800</f>
        <v>0</v>
      </c>
      <c r="Z4803" t="str">
        <v>=</v>
      </c>
      <c r="AA4803">
        <f>IF(AA4804=0,(D4803*N4803+P4803*R4803)*U4803*Y4803,0)</f>
        <v>0</v>
      </c>
    </row>
    <row r="4804">
      <c r="A4804" t="str">
        <f>A4794</f>
        <v>Lantai 1</v>
      </c>
      <c r="B4804">
        <f>B4794</f>
        <v>63</v>
      </c>
      <c r="D4804">
        <f>IF(AND(D4801=D4802,D4802=D4803,D4801=D4803),D4801,0)</f>
        <v>0</v>
      </c>
      <c r="E4804" t="str">
        <v>D</v>
      </c>
      <c r="F4804">
        <f>IF(AND(F4801=F4802,F4801=F4803,F4802=F4803),F4801,0)</f>
        <v>16</v>
      </c>
      <c r="L4804" t="str">
        <v>Total panjang per balok</v>
      </c>
      <c r="M4804" t="str">
        <v>=</v>
      </c>
      <c r="N4804">
        <f>IF(AND(D4801=D4802,D4801=D4803,D4802=D4803,F4801=F4802,F4801=F4803,F4802=F4803),SUM(N4801:N4803),0)</f>
        <v>0</v>
      </c>
      <c r="O4804" t="str">
        <v>+</v>
      </c>
      <c r="P4804">
        <f>IF(N4804&gt;12,ROUNDDOWN(N4804/12,0),0)</f>
        <v>0</v>
      </c>
      <c r="Q4804" t="str">
        <v>x</v>
      </c>
      <c r="R4804">
        <f>IF(P4804&gt;0,MAX(VLOOKUP(F4804,$D$6:$G$15,3,FALSE),600),0)/1000</f>
        <v>0</v>
      </c>
      <c r="T4804" t="str">
        <v>x</v>
      </c>
      <c r="U4804">
        <f>U4803</f>
        <v>1.57824</v>
      </c>
      <c r="V4804" t="str">
        <v>x</v>
      </c>
      <c r="W4804">
        <f>D4804</f>
        <v>0</v>
      </c>
      <c r="X4804" t="str">
        <v>x</v>
      </c>
      <c r="Y4804">
        <f>Y4803</f>
        <v>0</v>
      </c>
      <c r="Z4804" t="str">
        <v>=</v>
      </c>
      <c r="AA4804">
        <f>(N4804+P4804*R4804/1000)*U4804*W4804*Y4804</f>
        <v>0</v>
      </c>
    </row>
    <row r="4806">
      <c r="A4806" t="str">
        <f>A4794</f>
        <v>Lantai 1</v>
      </c>
      <c r="B4806">
        <f>B4794</f>
        <v>63</v>
      </c>
      <c r="C4806" t="str">
        <v>Tul Peminggang</v>
      </c>
      <c r="D4806">
        <f>VLOOKUP(D4794,'Detail Balok'!$C$10:$AU$110,13,FALSE)</f>
        <v>2</v>
      </c>
      <c r="E4806" t="str">
        <v>D</v>
      </c>
      <c r="F4806">
        <f>VLOOKUP(D4794,'Detail Balok'!$C$10:$AU$110,15,FALSE)</f>
        <v>8</v>
      </c>
      <c r="J4806">
        <f>+D4796/1000</f>
        <v>4.915</v>
      </c>
      <c r="K4806" t="str">
        <v>+</v>
      </c>
      <c r="L4806">
        <f>2*$F$16*F4806/1000</f>
        <v>0.192</v>
      </c>
      <c r="M4806" t="str">
        <v>=</v>
      </c>
      <c r="N4806">
        <f>J4806+L4806</f>
        <v>5.107</v>
      </c>
      <c r="O4806" t="str">
        <v>+</v>
      </c>
      <c r="P4806">
        <f>IF(N4806&gt;12,ROUNDDOWN(N4806/12,0),0)</f>
        <v>0</v>
      </c>
      <c r="Q4806" t="str">
        <v>x</v>
      </c>
      <c r="R4806">
        <f>IF(P4806&gt;0,MAX(VLOOKUP(F4806,$D$6:$G$15,3,FALSE),600),0)/1000</f>
        <v>0</v>
      </c>
      <c r="T4806" t="str">
        <v>x</v>
      </c>
      <c r="U4806">
        <f>0.006165*F4806^2</f>
        <v>0.39456</v>
      </c>
      <c r="V4806" t="str">
        <v>x</v>
      </c>
      <c r="W4806">
        <f>+D4806</f>
        <v>2</v>
      </c>
      <c r="X4806" t="str">
        <v>x</v>
      </c>
      <c r="Y4806">
        <f>D4800</f>
        <v>0</v>
      </c>
      <c r="Z4806" t="str">
        <v>=</v>
      </c>
      <c r="AA4806">
        <f>(N4806+P4806*R4806/1000)*U4806*W4806*Y4806</f>
        <v>0</v>
      </c>
    </row>
    <row r="4809">
      <c r="A4809" t="str">
        <f>A4794</f>
        <v>Lantai 1</v>
      </c>
      <c r="B4809">
        <f>B4794</f>
        <v>63</v>
      </c>
      <c r="C4809" t="str">
        <v>Tul Bawah Tumpuan</v>
      </c>
      <c r="D4809">
        <f>VLOOKUP(D4794,'Detail Balok'!$C$10:$AU$110,22,FALSE)</f>
        <v>3</v>
      </c>
      <c r="E4809" t="str">
        <v>D</v>
      </c>
      <c r="F4809">
        <f>VLOOKUP(D4794,'Detail Balok'!$C$10:$AU$110,24,FALSE)</f>
        <v>16</v>
      </c>
      <c r="I4809" t="str">
        <v>(</v>
      </c>
      <c r="J4809">
        <f>+J4801</f>
        <v>1.22875</v>
      </c>
      <c r="K4809" t="str">
        <v>+</v>
      </c>
      <c r="L4809">
        <f>MAX(VLOOKUP(F4809,N$6:P$15,3,FALSE)/1000,2/3*D4799/1000)+F$16*F4809/1000</f>
        <v>0.192</v>
      </c>
      <c r="M4809" t="str">
        <v>=</v>
      </c>
      <c r="N4809">
        <f>J4809+L4809</f>
        <v>1.42075</v>
      </c>
      <c r="O4809" t="str">
        <v>+</v>
      </c>
      <c r="P4809">
        <f>D4809-D4810</f>
        <v>0</v>
      </c>
      <c r="Q4809" t="str">
        <v>x</v>
      </c>
      <c r="R4809">
        <f>IF(P4809&gt;0,$F$18*F4809/1000,0)</f>
        <v>0</v>
      </c>
      <c r="S4809" t="str">
        <v>)</v>
      </c>
      <c r="T4809" t="str">
        <v>x</v>
      </c>
      <c r="U4809">
        <f>0.006165*F4809^2</f>
        <v>1.57824</v>
      </c>
      <c r="X4809" t="str">
        <v>x</v>
      </c>
      <c r="Y4809">
        <f>D4800</f>
        <v>0</v>
      </c>
      <c r="Z4809" t="str">
        <v>=</v>
      </c>
      <c r="AA4809">
        <f>IF(AA4812=0,(D4809*N4809+P4809*R4809)*U4809*Y4809,0)</f>
        <v>0</v>
      </c>
    </row>
    <row r="4810">
      <c r="A4810" t="str">
        <f>A4794</f>
        <v>Lantai 1</v>
      </c>
      <c r="B4810">
        <f>B4794</f>
        <v>63</v>
      </c>
      <c r="C4810" t="str">
        <v>Tul Bawah Lapangan</v>
      </c>
      <c r="D4810">
        <f>VLOOKUP(D4794,'Detail Balok'!$C$10:$AU$110,25,FALSE)</f>
        <v>3</v>
      </c>
      <c r="E4810" t="str">
        <v>D</v>
      </c>
      <c r="F4810">
        <f>VLOOKUP(D4794,'Detail Balok'!$C$10:$AU$110,27,FALSE)</f>
        <v>16</v>
      </c>
      <c r="I4810" t="str">
        <v>(</v>
      </c>
      <c r="J4810">
        <f>+J4802</f>
        <v>2.4575</v>
      </c>
      <c r="K4810" t="str">
        <v>+</v>
      </c>
      <c r="M4810" t="str">
        <v>=</v>
      </c>
      <c r="N4810">
        <f>J4810+L4810</f>
        <v>2.4575</v>
      </c>
      <c r="O4810" t="str">
        <v>+</v>
      </c>
      <c r="P4810">
        <f>MAX(D4810-D4809,D4810-D4811)</f>
        <v>0</v>
      </c>
      <c r="Q4810" t="str">
        <v>x</v>
      </c>
      <c r="R4810">
        <f>IF(P4810&gt;0,2*(1-2*$F$19-1/2)*D4797/1000,0)</f>
        <v>0</v>
      </c>
      <c r="S4810" t="str">
        <v>)</v>
      </c>
      <c r="T4810" t="str">
        <v>x</v>
      </c>
      <c r="U4810">
        <f>0.006165*F4810^2</f>
        <v>1.57824</v>
      </c>
      <c r="X4810" t="str">
        <v>x</v>
      </c>
      <c r="Y4810">
        <f>D4800</f>
        <v>0</v>
      </c>
      <c r="Z4810" t="str">
        <v>=</v>
      </c>
      <c r="AA4810">
        <f>IF(AA4812=0,(D4810*N4810+P4810*R4810)*U4810*Y4810,0)</f>
        <v>0</v>
      </c>
    </row>
    <row r="4811">
      <c r="A4811" t="str">
        <f>A4794</f>
        <v>Lantai 1</v>
      </c>
      <c r="B4811">
        <f>B4794</f>
        <v>63</v>
      </c>
      <c r="C4811" t="str">
        <v>Tul Bawah Tumpuan</v>
      </c>
      <c r="D4811">
        <f>VLOOKUP(D4794,'Detail Balok'!$C$10:$AU$110,28,FALSE)</f>
        <v>3</v>
      </c>
      <c r="E4811" t="str">
        <v>D</v>
      </c>
      <c r="F4811">
        <f>VLOOKUP(D4794,'Detail Balok'!$C$10:$AU$110,30,FALSE)</f>
        <v>16</v>
      </c>
      <c r="I4811" t="str">
        <v>(</v>
      </c>
      <c r="J4811">
        <f>+J4803</f>
        <v>1.22875</v>
      </c>
      <c r="K4811" t="str">
        <v>+</v>
      </c>
      <c r="L4811">
        <f>MAX(VLOOKUP(F4811,N$6:P$15,3,FALSE)/1000,2/3*D4799/1000)+F$16*F4811/1000</f>
        <v>0.192</v>
      </c>
      <c r="M4811" t="str">
        <v>=</v>
      </c>
      <c r="N4811">
        <f>J4811+L4811</f>
        <v>1.42075</v>
      </c>
      <c r="O4811" t="str">
        <v>+</v>
      </c>
      <c r="P4811">
        <f>D4811-D4810</f>
        <v>0</v>
      </c>
      <c r="Q4811" t="str">
        <v>x</v>
      </c>
      <c r="R4811">
        <f>IF(P4811&gt;0,$F$18*F4811/1000,0)</f>
        <v>0</v>
      </c>
      <c r="S4811" t="str">
        <v>)</v>
      </c>
      <c r="T4811" t="str">
        <v>x</v>
      </c>
      <c r="U4811">
        <f>0.006165*F4811^2</f>
        <v>1.57824</v>
      </c>
      <c r="X4811" t="str">
        <v>x</v>
      </c>
      <c r="Y4811">
        <f>D4800</f>
        <v>0</v>
      </c>
      <c r="Z4811" t="str">
        <v>=</v>
      </c>
      <c r="AA4811">
        <f>IF(AA4812=0,(D4811*N4811+P4811*R4811)*U4811*Y4811,0)</f>
        <v>0</v>
      </c>
    </row>
    <row r="4812">
      <c r="A4812" t="str">
        <f>A4794</f>
        <v>Lantai 1</v>
      </c>
      <c r="B4812">
        <f>B4794</f>
        <v>63</v>
      </c>
      <c r="D4812">
        <f>IF(AND(D4809=D4810,D4810=D4811,D4809=D4811),D4809,0)</f>
        <v>3</v>
      </c>
      <c r="E4812" t="str">
        <v>D</v>
      </c>
      <c r="F4812">
        <f>IF(AND(F4809=F4810,F4809=F4811,F4810=F4811),F4809,0)</f>
        <v>16</v>
      </c>
      <c r="L4812" t="str">
        <v>Total panjang per balok</v>
      </c>
      <c r="M4812" t="str">
        <v>=</v>
      </c>
      <c r="N4812">
        <f>IF(AND(D4809=D4810,D4809=D4811,D4810=D4811,F4809=F4810,F4809=F4811,F4810=F4811),SUM(N4809:N4811),0)</f>
        <v>5.2989999999999995</v>
      </c>
      <c r="O4812" t="str">
        <v>+</v>
      </c>
      <c r="P4812">
        <f>IF(N4812&gt;12,ROUNDDOWN(N4812/12,0),0)</f>
        <v>0</v>
      </c>
      <c r="Q4812" t="str">
        <v>x</v>
      </c>
      <c r="R4812">
        <f>IF(P4812&gt;0,MAX(VLOOKUP(F4812,$D$6:$G$15,3,FALSE),600),0)/1000</f>
        <v>0</v>
      </c>
      <c r="T4812" t="str">
        <v>x</v>
      </c>
      <c r="U4812">
        <f>U4811</f>
        <v>1.57824</v>
      </c>
      <c r="V4812" t="str">
        <v>x</v>
      </c>
      <c r="W4812">
        <f>D4812</f>
        <v>3</v>
      </c>
      <c r="X4812" t="str">
        <v>x</v>
      </c>
      <c r="Y4812">
        <f>Y4811</f>
        <v>0</v>
      </c>
      <c r="Z4812" t="str">
        <v>=</v>
      </c>
      <c r="AA4812">
        <f>(N4812+P4812*R4812/1000)*U4812*W4812*Y4812</f>
        <v>0</v>
      </c>
    </row>
    <row r="4814">
      <c r="A4814" t="str">
        <f>A4794</f>
        <v>Lantai 1</v>
      </c>
      <c r="B4814">
        <f>B4794</f>
        <v>63</v>
      </c>
      <c r="C4814" t="str">
        <v>Sengkang Tumpuan</v>
      </c>
      <c r="D4814">
        <f>VLOOKUP(D4794,'Detail Balok'!$C$10:$AU$110,31,FALSE)</f>
        <v>0</v>
      </c>
      <c r="E4814" t="str">
        <v>D</v>
      </c>
      <c r="F4814">
        <f>VLOOKUP(D4794,'Detail Balok'!$C$10:$AU$110,33,FALSE)</f>
        <v>8</v>
      </c>
      <c r="G4814" t="str">
        <v>-</v>
      </c>
      <c r="H4814">
        <f>VLOOKUP(D4794,'Detail Balok'!$C$10:$AU$110,35,FALSE)</f>
        <v>75</v>
      </c>
      <c r="J4814">
        <f>(IF(D4814=0,(2*(D4795+G4795))-(F$5*8),IF(D4814=3,(2*(D4795+G4795))-(F$5*8)+(G4795-2*F$5),IF(D4814=4,(2*(D4795+G4795))-(F$5*8)+2*(G4795-2*F$5)))))/1000</f>
        <v>0.98</v>
      </c>
      <c r="K4814" t="str">
        <v>+</v>
      </c>
      <c r="L4814">
        <f>IF(D4814=0,2*MAX(6*F4814,75),(D4814-1)*2*MAX(6*F4814,75))/1000</f>
        <v>0.15</v>
      </c>
      <c r="M4814" t="str">
        <v>=</v>
      </c>
      <c r="N4814">
        <f>J4814+L4814</f>
        <v>1.13</v>
      </c>
      <c r="T4814" t="str">
        <v>x</v>
      </c>
      <c r="U4814">
        <f>0.006165*F4814^2</f>
        <v>0.39456</v>
      </c>
      <c r="V4814" t="str">
        <v>x</v>
      </c>
      <c r="W4814">
        <f>IF(D4797&gt;4*G4795,ROUND(MAX(D4797/4,2*G4795)/H4814,0)+1,ROUND(D4797/H4814,0)+1)</f>
        <v>17</v>
      </c>
      <c r="X4814" t="str">
        <v>x</v>
      </c>
      <c r="Y4814">
        <f>D4800</f>
        <v>0</v>
      </c>
      <c r="Z4814" t="str">
        <v>=</v>
      </c>
      <c r="AA4814">
        <f>N4814*U4814*W4814*Y4814</f>
        <v>0</v>
      </c>
    </row>
    <row r="4815">
      <c r="A4815" t="str">
        <f>A4794</f>
        <v>Lantai 1</v>
      </c>
      <c r="B4815">
        <f>B4794</f>
        <v>63</v>
      </c>
      <c r="C4815" t="str">
        <v>Sengkang Lapangan</v>
      </c>
      <c r="D4815">
        <f>VLOOKUP(D4794,'Detail Balok'!$C$10:$AU$110,36,FALSE)</f>
        <v>0</v>
      </c>
      <c r="E4815" t="str">
        <v>D</v>
      </c>
      <c r="F4815">
        <f>VLOOKUP(D4794,'Detail Balok'!$C$10:$AU$110,38,FALSE)</f>
        <v>8</v>
      </c>
      <c r="G4815" t="str">
        <v>-</v>
      </c>
      <c r="H4815">
        <f>VLOOKUP(D4794,'Detail Balok'!$C$10:$AU$110,40,FALSE)</f>
        <v>200</v>
      </c>
      <c r="J4815">
        <f>(IF(D4815=0,(2*(D4795+G4795))-(F$5*8),IF(D4815=3,(2*(D4795+G4795))-(F$5*8)+(G4795-2*F$5),IF(D4815=4,(2*(D4795+G4795))-(F$5*8)+2*(G4795-2*F$5)))))/1000</f>
        <v>0.98</v>
      </c>
      <c r="K4815" t="str">
        <v>+</v>
      </c>
      <c r="L4815">
        <f>IF(D4815=0,2*MAX(6*F4815,75),(D4815-1)*2*MAX(6*F4815,75))/1000</f>
        <v>0.15</v>
      </c>
      <c r="M4815" t="str">
        <v>=</v>
      </c>
      <c r="N4815">
        <f>J4815+L4815</f>
        <v>1.13</v>
      </c>
      <c r="T4815" t="str">
        <v>x</v>
      </c>
      <c r="U4815">
        <f>0.006165*F4815^2</f>
        <v>0.39456</v>
      </c>
      <c r="V4815" t="str">
        <v>x</v>
      </c>
      <c r="W4815">
        <f>IF(D4797-MAX(D4797/4,2*G4795)*2&gt;0,ROUND((D4797-MAX(D4797/4,2*G4795)*2)/H4815,0),0)</f>
        <v>12</v>
      </c>
      <c r="X4815" t="str">
        <v>x</v>
      </c>
      <c r="Y4815">
        <f>D4800</f>
        <v>0</v>
      </c>
      <c r="Z4815" t="str">
        <v>=</v>
      </c>
      <c r="AA4815">
        <f>N4815*U4815*W4815*Y4815</f>
        <v>0</v>
      </c>
    </row>
    <row r="4816">
      <c r="A4816" t="str">
        <f>A4794</f>
        <v>Lantai 1</v>
      </c>
      <c r="B4816">
        <f>B4794</f>
        <v>63</v>
      </c>
      <c r="C4816" t="str">
        <v>Sengkang Tumpuan</v>
      </c>
      <c r="D4816">
        <f>VLOOKUP(D4794,'Detail Balok'!$C$10:$AU$110,41,FALSE)</f>
        <v>0</v>
      </c>
      <c r="E4816" t="str">
        <v>D</v>
      </c>
      <c r="F4816">
        <f>VLOOKUP(D4794,'Detail Balok'!$C$10:$AU$110,43,FALSE)</f>
        <v>8</v>
      </c>
      <c r="G4816" t="str">
        <v>-</v>
      </c>
      <c r="H4816">
        <f>VLOOKUP(D4794,'Detail Balok'!$C$10:$AU$110,45,FALSE)</f>
        <v>75</v>
      </c>
      <c r="J4816">
        <f>(IF(D4816=0,(2*(D4795+G4795))-(F$5*8),IF(D4816=3,(2*(D4795+G4795))-(F$5*8)+(G4795-2*F$5),IF(D4816=4,(2*(D4795+G4795))-(F$5*8)+2*(G4795-2*F$5)))))/1000</f>
        <v>0.98</v>
      </c>
      <c r="K4816" t="str">
        <v>+</v>
      </c>
      <c r="L4816">
        <f>IF(D4816=0,2*MAX(6*F4816,75),(D4816-1)*2*MAX(6*F4816,75))/1000</f>
        <v>0.15</v>
      </c>
      <c r="M4816" t="str">
        <v>=</v>
      </c>
      <c r="N4816">
        <f>J4816+L4816</f>
        <v>1.13</v>
      </c>
      <c r="T4816" t="str">
        <v>x</v>
      </c>
      <c r="U4816">
        <f>0.006165*F4816^2</f>
        <v>0.39456</v>
      </c>
      <c r="V4816" t="str">
        <v>x</v>
      </c>
      <c r="W4816">
        <f>IF(D4797&gt;4*G4795,ROUND(MAX(D4797/4,2*G4795)/H4816,0)+1,0)</f>
        <v>17</v>
      </c>
      <c r="X4816" t="str">
        <v>x</v>
      </c>
      <c r="Y4816">
        <f>D4800</f>
        <v>0</v>
      </c>
      <c r="Z4816" t="str">
        <v>=</v>
      </c>
      <c r="AA4816">
        <f>N4816*U4816*W4816*Y4816</f>
        <v>0</v>
      </c>
    </row>
    <row r="4818">
      <c r="A4818" t="str">
        <f>A4794</f>
        <v>Lantai 1</v>
      </c>
      <c r="B4818">
        <f>B4794</f>
        <v>63</v>
      </c>
      <c r="C4818" t="str">
        <v>Kait Horizontal Tump.</v>
      </c>
      <c r="D4818">
        <f>VLOOKUP(D4794,'Detail Balok'!$C$10:$BJ$110,46,FALSE)</f>
        <v>0</v>
      </c>
      <c r="E4818" t="str">
        <v>D</v>
      </c>
      <c r="F4818">
        <f>VLOOKUP(D4794,'Detail Balok'!$C$10:$BJ$110,48,FALSE)</f>
        <v>0</v>
      </c>
      <c r="G4818" t="str">
        <v>-</v>
      </c>
      <c r="H4818">
        <f>VLOOKUP(D4794,'Detail Balok'!$C$10:$BJ$110,50,FALSE)</f>
        <v>100</v>
      </c>
      <c r="J4818">
        <f>(D4795-2*F$5)/1000</f>
        <v>0.12</v>
      </c>
      <c r="K4818" t="str">
        <v>+</v>
      </c>
      <c r="L4818">
        <f>IF(D4818=0,2*MAX(6*F4818,75),(D4818-1)*2*MAX(6*F4818,75))/1000</f>
        <v>0.15</v>
      </c>
      <c r="M4818" t="str">
        <v>=</v>
      </c>
      <c r="N4818">
        <f>J4818+L4818</f>
        <v>0.27</v>
      </c>
      <c r="T4818" t="str">
        <v>x</v>
      </c>
      <c r="U4818">
        <f>0.006165*F4818^2</f>
        <v>0</v>
      </c>
      <c r="V4818" t="str">
        <v>x</v>
      </c>
      <c r="W4818">
        <f>W4814</f>
        <v>17</v>
      </c>
      <c r="X4818" t="str">
        <v>x</v>
      </c>
      <c r="Y4818">
        <f>D4804</f>
        <v>0</v>
      </c>
      <c r="Z4818" t="str">
        <v>=</v>
      </c>
      <c r="AA4818">
        <f>N4818*U4818*W4818*Y4818</f>
        <v>0</v>
      </c>
    </row>
    <row r="4819">
      <c r="A4819" t="str">
        <f>A4794</f>
        <v>Lantai 1</v>
      </c>
      <c r="B4819">
        <f>B4794</f>
        <v>63</v>
      </c>
      <c r="C4819" t="str">
        <v>Kait Horizontal Lap.</v>
      </c>
      <c r="D4819">
        <f>VLOOKUP(D4794,'Detail Balok'!$C$10:$BJ$110,51,FALSE)</f>
        <v>0</v>
      </c>
      <c r="E4819" t="str">
        <v>D</v>
      </c>
      <c r="F4819">
        <f>VLOOKUP(D4794,'Detail Balok'!$C$10:$BJ$110,53,FALSE)</f>
        <v>0</v>
      </c>
      <c r="G4819" t="str">
        <v>-</v>
      </c>
      <c r="H4819">
        <f>VLOOKUP(D4794,'Detail Balok'!$C$10:$BJ$110,55,FALSE)</f>
        <v>100</v>
      </c>
      <c r="J4819">
        <f>(D4795-2*F$5)/1000</f>
        <v>0.12</v>
      </c>
      <c r="K4819" t="str">
        <v>+</v>
      </c>
      <c r="L4819">
        <f>IF(D4819=0,2*MAX(6*F4819,75),(D4819-1)*2*MAX(6*F4819,75))/1000</f>
        <v>0.15</v>
      </c>
      <c r="M4819" t="str">
        <v>=</v>
      </c>
      <c r="N4819">
        <f>J4819+L4819</f>
        <v>0.27</v>
      </c>
      <c r="T4819" t="str">
        <v>x</v>
      </c>
      <c r="U4819">
        <f>0.006165*F4819^2</f>
        <v>0</v>
      </c>
      <c r="V4819" t="str">
        <v>x</v>
      </c>
      <c r="W4819">
        <f>W4815</f>
        <v>12</v>
      </c>
      <c r="X4819" t="str">
        <v>x</v>
      </c>
      <c r="Y4819">
        <f>D4804</f>
        <v>0</v>
      </c>
      <c r="Z4819" t="str">
        <v>=</v>
      </c>
      <c r="AA4819">
        <f>N4819*U4819*W4819*Y4819</f>
        <v>0</v>
      </c>
    </row>
    <row r="4820">
      <c r="A4820" t="str">
        <f>A4794</f>
        <v>Lantai 1</v>
      </c>
      <c r="B4820">
        <f>B4794</f>
        <v>63</v>
      </c>
      <c r="C4820" t="str">
        <v>Kait Horizontal Tump.</v>
      </c>
      <c r="D4820">
        <f>VLOOKUP(D4794,'Detail Balok'!$C$10:$BJ$110,56,FALSE)</f>
        <v>0</v>
      </c>
      <c r="E4820" t="str">
        <v>D</v>
      </c>
      <c r="F4820">
        <f>VLOOKUP(D4794,'Detail Balok'!$C$10:$BJ$110,58,FALSE)</f>
        <v>0</v>
      </c>
      <c r="G4820" t="str">
        <v>-</v>
      </c>
      <c r="H4820">
        <f>VLOOKUP(D4794,'Detail Balok'!$C$10:$BJ$110,60,FALSE)</f>
        <v>100</v>
      </c>
      <c r="J4820">
        <f>(D4795-2*F$5)/1000</f>
        <v>0.12</v>
      </c>
      <c r="K4820" t="str">
        <v>+</v>
      </c>
      <c r="L4820">
        <f>IF(D4820=0,2*MAX(6*F4820,75),(D4820-1)*2*MAX(6*F4820,75))/1000</f>
        <v>0.15</v>
      </c>
      <c r="M4820" t="str">
        <v>=</v>
      </c>
      <c r="N4820">
        <f>J4820+L4820</f>
        <v>0.27</v>
      </c>
      <c r="T4820" t="str">
        <v>x</v>
      </c>
      <c r="U4820">
        <f>0.006165*F4820^2</f>
        <v>0</v>
      </c>
      <c r="V4820" t="str">
        <v>x</v>
      </c>
      <c r="W4820">
        <f>W4816</f>
        <v>17</v>
      </c>
      <c r="X4820" t="str">
        <v>x</v>
      </c>
      <c r="Y4820">
        <f>D4804</f>
        <v>0</v>
      </c>
      <c r="Z4820" t="str">
        <v>=</v>
      </c>
      <c r="AA4820">
        <f>N4820*U4820*W4820*Y4820</f>
        <v>0</v>
      </c>
    </row>
    <row r="4824">
      <c r="A4824" t="str">
        <f>A4794</f>
        <v>Lantai 1</v>
      </c>
      <c r="B4824">
        <f>B4794+1</f>
        <v>64</v>
      </c>
      <c r="C4824" t="str">
        <f>CONCATENATE(A4824," no. ",B4824)</f>
        <v>Lantai 1 no. 64</v>
      </c>
      <c r="D4824" t="str">
        <f>VLOOKUP(C4824,'Data Panjang Balok'!$C$9:$N$424,2,FALSE)</f>
        <v>B24-2</v>
      </c>
    </row>
    <row r="4825">
      <c r="C4825" t="str">
        <v>Dimensi</v>
      </c>
      <c r="D4825">
        <f>VLOOKUP(D4824,'Detail Balok'!$C$10:$AU$110,2,FALSE)</f>
        <v>200</v>
      </c>
      <c r="F4825" t="str">
        <v>x</v>
      </c>
      <c r="G4825">
        <f>VLOOKUP(D4824,'Detail Balok'!$C$10:$AU$110,3,FALSE)</f>
        <v>400</v>
      </c>
    </row>
    <row r="4826">
      <c r="C4826" t="str">
        <v>Panjang as ke as</v>
      </c>
      <c r="D4826">
        <f>VLOOKUP(C4824,'Data Panjang Balok'!$C$9:$N$424,4,FALSE)</f>
        <v>3185</v>
      </c>
    </row>
    <row r="4827">
      <c r="C4827" t="str">
        <v>Panjang netto</v>
      </c>
      <c r="D4827">
        <f>VLOOKUP(C4824,'Data Panjang Balok'!$C$9:$N$424,7,FALSE)</f>
        <v>3185</v>
      </c>
    </row>
    <row r="4828">
      <c r="C4828" t="str">
        <v>Kolom / balok kiri</v>
      </c>
      <c r="D4828">
        <f>VLOOKUP(C4824,'Data Panjang Balok'!$C$9:$N$424,9,FALSE)</f>
        <v>0</v>
      </c>
    </row>
    <row r="4829">
      <c r="C4829" t="str">
        <v>Kolom / balok kanan</v>
      </c>
      <c r="D4829">
        <f>VLOOKUP(C4824,'Data Panjang Balok'!$C$9:$N$424,10,FALSE)</f>
        <v>0</v>
      </c>
    </row>
    <row r="4830">
      <c r="C4830" t="str">
        <v>Jumlah</v>
      </c>
      <c r="D4830">
        <f>VLOOKUP(C4824,'Data Panjang Balok'!$C$9:$N$424,3,FALSE)</f>
        <v>0</v>
      </c>
    </row>
    <row r="4831">
      <c r="A4831" t="str">
        <f>A4824</f>
        <v>Lantai 1</v>
      </c>
      <c r="B4831">
        <f>B4824</f>
        <v>64</v>
      </c>
      <c r="C4831" t="str">
        <v>Tul Atas Tumpuan</v>
      </c>
      <c r="D4831">
        <f>VLOOKUP(D4824,'Detail Balok'!$C$10:$AU$110,4,FALSE)</f>
        <v>2</v>
      </c>
      <c r="E4831" t="str">
        <v>D</v>
      </c>
      <c r="F4831">
        <f>VLOOKUP(D4824,'Detail Balok'!$C$10:$AU$110,6,FALSE)</f>
        <v>16</v>
      </c>
      <c r="I4831" t="str">
        <v>(</v>
      </c>
      <c r="J4831">
        <f>+D4826/4/1000</f>
        <v>0.79625</v>
      </c>
      <c r="K4831" t="str">
        <v>+</v>
      </c>
      <c r="L4831">
        <f>MAX(VLOOKUP(F4831,N$6:P$15,3,FALSE)/1000,2/3*D4828/1000)+F$16*F4831/1000</f>
        <v>0.192</v>
      </c>
      <c r="M4831" t="str">
        <v>=</v>
      </c>
      <c r="N4831">
        <f>J4831+L4831</f>
        <v>0.9882500000000001</v>
      </c>
      <c r="O4831" t="str">
        <v>+</v>
      </c>
      <c r="P4831">
        <f>D4831-D4832</f>
        <v>0</v>
      </c>
      <c r="Q4831" t="str">
        <v>x</v>
      </c>
      <c r="R4831">
        <f>IF(P4831&gt;0,$F$18*F4831/1000,0)</f>
        <v>0</v>
      </c>
      <c r="S4831" t="str">
        <v>)</v>
      </c>
      <c r="T4831" t="str">
        <v>x</v>
      </c>
      <c r="U4831">
        <f>0.006165*F4831^2</f>
        <v>1.57824</v>
      </c>
      <c r="X4831" t="str">
        <v>x</v>
      </c>
      <c r="Y4831">
        <f>D4830</f>
        <v>0</v>
      </c>
      <c r="Z4831" t="str">
        <v>=</v>
      </c>
      <c r="AA4831">
        <f>IF(AA4834=0,(D4831*N4831+P4831*R4831)*U4831*Y4831,0)</f>
        <v>0</v>
      </c>
    </row>
    <row r="4832">
      <c r="A4832" t="str">
        <f>A4824</f>
        <v>Lantai 1</v>
      </c>
      <c r="B4832">
        <f>B4824</f>
        <v>64</v>
      </c>
      <c r="C4832" t="str">
        <v>Tul Atas Lapangan</v>
      </c>
      <c r="D4832">
        <f>VLOOKUP(D4824,'Detail Balok'!$C$10:$AU$110,7,FALSE)</f>
        <v>2</v>
      </c>
      <c r="E4832" t="str">
        <v>D</v>
      </c>
      <c r="F4832">
        <f>VLOOKUP(D4824,'Detail Balok'!$C$10:$AU$110,9,FALSE)</f>
        <v>16</v>
      </c>
      <c r="I4832" t="str">
        <v>(</v>
      </c>
      <c r="J4832">
        <f>+D4826/2/1000</f>
        <v>1.5925</v>
      </c>
      <c r="K4832" t="str">
        <v>+</v>
      </c>
      <c r="M4832" t="str">
        <v>=</v>
      </c>
      <c r="N4832">
        <f>J4832+L4832</f>
        <v>1.5925</v>
      </c>
      <c r="O4832" t="str">
        <v>+</v>
      </c>
      <c r="P4832">
        <f>MAX(D4832-D4831,D4832-D4833)</f>
        <v>0</v>
      </c>
      <c r="Q4832" t="str">
        <v>x</v>
      </c>
      <c r="R4832">
        <f>IF(P4832&gt;0,2*(1-2*$F$19-1/2)*D4827/1000,0)</f>
        <v>0</v>
      </c>
      <c r="S4832" t="str">
        <v>)</v>
      </c>
      <c r="T4832" t="str">
        <v>x</v>
      </c>
      <c r="U4832">
        <f>0.006165*F4832^2</f>
        <v>1.57824</v>
      </c>
      <c r="X4832" t="str">
        <v>x</v>
      </c>
      <c r="Y4832">
        <f>D4830</f>
        <v>0</v>
      </c>
      <c r="Z4832" t="str">
        <v>=</v>
      </c>
      <c r="AA4832">
        <f>IF(AA4834=0,(D4832*N4832+P4832*R4832)*U4832*Y4832,0)</f>
        <v>0</v>
      </c>
    </row>
    <row r="4833">
      <c r="A4833" t="str">
        <f>A4824</f>
        <v>Lantai 1</v>
      </c>
      <c r="B4833">
        <f>B4824</f>
        <v>64</v>
      </c>
      <c r="C4833" t="str">
        <v>Tul Atas Tumpuan</v>
      </c>
      <c r="D4833">
        <f>VLOOKUP(D4824,'Detail Balok'!$C$10:$AU$110,10,FALSE)</f>
        <v>2</v>
      </c>
      <c r="E4833" t="str">
        <v>D</v>
      </c>
      <c r="F4833">
        <f>VLOOKUP(D4824,'Detail Balok'!$C$10:$AU$110,12,FALSE)</f>
        <v>16</v>
      </c>
      <c r="I4833" t="str">
        <v>(</v>
      </c>
      <c r="J4833">
        <f>+D4826/4/1000</f>
        <v>0.79625</v>
      </c>
      <c r="K4833" t="str">
        <v>+</v>
      </c>
      <c r="L4833">
        <f>MAX(VLOOKUP(F4833,N$6:P$15,3,FALSE)/1000,2/3*D4828/1000)+F$16*F4833/1000</f>
        <v>0.192</v>
      </c>
      <c r="M4833" t="str">
        <v>=</v>
      </c>
      <c r="N4833">
        <f>J4833+L4833</f>
        <v>0.9882500000000001</v>
      </c>
      <c r="O4833" t="str">
        <v>+</v>
      </c>
      <c r="P4833">
        <f>D4833-D4832</f>
        <v>0</v>
      </c>
      <c r="Q4833" t="str">
        <v>x</v>
      </c>
      <c r="R4833">
        <f>IF(P4833&gt;0,$F$18*F4833/1000,0)</f>
        <v>0</v>
      </c>
      <c r="S4833" t="str">
        <v>)</v>
      </c>
      <c r="T4833" t="str">
        <v>x</v>
      </c>
      <c r="U4833">
        <f>0.006165*F4833^2</f>
        <v>1.57824</v>
      </c>
      <c r="X4833" t="str">
        <v>x</v>
      </c>
      <c r="Y4833">
        <f>D4830</f>
        <v>0</v>
      </c>
      <c r="Z4833" t="str">
        <v>=</v>
      </c>
      <c r="AA4833">
        <f>IF(AA4834=0,(D4833*N4833+P4833*R4833)*U4833*Y4833,0)</f>
        <v>0</v>
      </c>
    </row>
    <row r="4834">
      <c r="A4834" t="str">
        <f>A4824</f>
        <v>Lantai 1</v>
      </c>
      <c r="B4834">
        <f>B4824</f>
        <v>64</v>
      </c>
      <c r="D4834">
        <f>IF(AND(D4831=D4832,D4832=D4833,D4831=D4833),D4831,0)</f>
        <v>2</v>
      </c>
      <c r="E4834" t="str">
        <v>D</v>
      </c>
      <c r="F4834">
        <f>IF(AND(F4831=F4832,F4831=F4833,F4832=F4833),F4831,0)</f>
        <v>16</v>
      </c>
      <c r="L4834" t="str">
        <v>Total panjang per balok</v>
      </c>
      <c r="M4834" t="str">
        <v>=</v>
      </c>
      <c r="N4834">
        <f>IF(AND(D4831=D4832,D4831=D4833,D4832=D4833,F4831=F4832,F4831=F4833,F4832=F4833),SUM(N4831:N4833),0)</f>
        <v>3.569</v>
      </c>
      <c r="O4834" t="str">
        <v>+</v>
      </c>
      <c r="P4834">
        <f>IF(N4834&gt;12,ROUNDDOWN(N4834/12,0),0)</f>
        <v>0</v>
      </c>
      <c r="Q4834" t="str">
        <v>x</v>
      </c>
      <c r="R4834">
        <f>IF(P4834&gt;0,MAX(VLOOKUP(F4834,$D$6:$G$15,3,FALSE),600),0)/1000</f>
        <v>0</v>
      </c>
      <c r="T4834" t="str">
        <v>x</v>
      </c>
      <c r="U4834">
        <f>U4833</f>
        <v>1.57824</v>
      </c>
      <c r="V4834" t="str">
        <v>x</v>
      </c>
      <c r="W4834">
        <f>D4834</f>
        <v>2</v>
      </c>
      <c r="X4834" t="str">
        <v>x</v>
      </c>
      <c r="Y4834">
        <f>Y4833</f>
        <v>0</v>
      </c>
      <c r="Z4834" t="str">
        <v>=</v>
      </c>
      <c r="AA4834">
        <f>(N4834+P4834*R4834/1000)*U4834*W4834*Y4834</f>
        <v>0</v>
      </c>
    </row>
    <row r="4836">
      <c r="A4836" t="str">
        <f>A4824</f>
        <v>Lantai 1</v>
      </c>
      <c r="B4836">
        <f>B4824</f>
        <v>64</v>
      </c>
      <c r="C4836" t="str">
        <v>Tul Peminggang</v>
      </c>
      <c r="D4836">
        <f>VLOOKUP(D4824,'Detail Balok'!$C$10:$AU$110,13,FALSE)</f>
        <v>0</v>
      </c>
      <c r="E4836" t="str">
        <v>D</v>
      </c>
      <c r="F4836">
        <f>VLOOKUP(D4824,'Detail Balok'!$C$10:$AU$110,15,FALSE)</f>
        <v>6</v>
      </c>
      <c r="J4836">
        <f>+D4826/1000</f>
        <v>3.185</v>
      </c>
      <c r="K4836" t="str">
        <v>+</v>
      </c>
      <c r="L4836">
        <f>2*$F$16*F4836/1000</f>
        <v>0.144</v>
      </c>
      <c r="M4836" t="str">
        <v>=</v>
      </c>
      <c r="N4836">
        <f>J4836+L4836</f>
        <v>3.329</v>
      </c>
      <c r="O4836" t="str">
        <v>+</v>
      </c>
      <c r="P4836">
        <f>IF(N4836&gt;12,ROUNDDOWN(N4836/12,0),0)</f>
        <v>0</v>
      </c>
      <c r="Q4836" t="str">
        <v>x</v>
      </c>
      <c r="R4836">
        <f>IF(P4836&gt;0,MAX(VLOOKUP(F4836,$D$6:$G$15,3,FALSE),600),0)/1000</f>
        <v>0</v>
      </c>
      <c r="T4836" t="str">
        <v>x</v>
      </c>
      <c r="U4836">
        <f>0.006165*F4836^2</f>
        <v>0.22194000000000003</v>
      </c>
      <c r="V4836" t="str">
        <v>x</v>
      </c>
      <c r="W4836">
        <f>+D4836</f>
        <v>0</v>
      </c>
      <c r="X4836" t="str">
        <v>x</v>
      </c>
      <c r="Y4836">
        <f>D4830</f>
        <v>0</v>
      </c>
      <c r="Z4836" t="str">
        <v>=</v>
      </c>
      <c r="AA4836">
        <f>(N4836+P4836*R4836/1000)*U4836*W4836*Y4836</f>
        <v>0</v>
      </c>
    </row>
    <row r="4839">
      <c r="A4839" t="str">
        <f>A4824</f>
        <v>Lantai 1</v>
      </c>
      <c r="B4839">
        <f>B4824</f>
        <v>64</v>
      </c>
      <c r="C4839" t="str">
        <v>Tul Bawah Tumpuan</v>
      </c>
      <c r="D4839">
        <f>VLOOKUP(D4824,'Detail Balok'!$C$10:$AU$110,22,FALSE)</f>
        <v>2</v>
      </c>
      <c r="E4839" t="str">
        <v>D</v>
      </c>
      <c r="F4839">
        <f>VLOOKUP(D4824,'Detail Balok'!$C$10:$AU$110,24,FALSE)</f>
        <v>16</v>
      </c>
      <c r="I4839" t="str">
        <v>(</v>
      </c>
      <c r="J4839">
        <f>+J4831</f>
        <v>0.79625</v>
      </c>
      <c r="K4839" t="str">
        <v>+</v>
      </c>
      <c r="L4839">
        <f>MAX(VLOOKUP(F4839,N$6:P$15,3,FALSE)/1000,2/3*D4829/1000)+F$16*F4839/1000</f>
        <v>0.192</v>
      </c>
      <c r="M4839" t="str">
        <v>=</v>
      </c>
      <c r="N4839">
        <f>J4839+L4839</f>
        <v>0.9882500000000001</v>
      </c>
      <c r="O4839" t="str">
        <v>+</v>
      </c>
      <c r="P4839">
        <f>D4839-D4840</f>
        <v>0</v>
      </c>
      <c r="Q4839" t="str">
        <v>x</v>
      </c>
      <c r="R4839">
        <f>IF(P4839&gt;0,$F$18*F4839/1000,0)</f>
        <v>0</v>
      </c>
      <c r="S4839" t="str">
        <v>)</v>
      </c>
      <c r="T4839" t="str">
        <v>x</v>
      </c>
      <c r="U4839">
        <f>0.006165*F4839^2</f>
        <v>1.57824</v>
      </c>
      <c r="X4839" t="str">
        <v>x</v>
      </c>
      <c r="Y4839">
        <f>D4830</f>
        <v>0</v>
      </c>
      <c r="Z4839" t="str">
        <v>=</v>
      </c>
      <c r="AA4839">
        <f>IF(AA4842=0,(D4839*N4839+P4839*R4839)*U4839*Y4839,0)</f>
        <v>0</v>
      </c>
    </row>
    <row r="4840">
      <c r="A4840" t="str">
        <f>A4824</f>
        <v>Lantai 1</v>
      </c>
      <c r="B4840">
        <f>B4824</f>
        <v>64</v>
      </c>
      <c r="C4840" t="str">
        <v>Tul Bawah Lapangan</v>
      </c>
      <c r="D4840">
        <f>VLOOKUP(D4824,'Detail Balok'!$C$10:$AU$110,25,FALSE)</f>
        <v>2</v>
      </c>
      <c r="E4840" t="str">
        <v>D</v>
      </c>
      <c r="F4840">
        <f>VLOOKUP(D4824,'Detail Balok'!$C$10:$AU$110,27,FALSE)</f>
        <v>16</v>
      </c>
      <c r="I4840" t="str">
        <v>(</v>
      </c>
      <c r="J4840">
        <f>+J4832</f>
        <v>1.5925</v>
      </c>
      <c r="K4840" t="str">
        <v>+</v>
      </c>
      <c r="M4840" t="str">
        <v>=</v>
      </c>
      <c r="N4840">
        <f>J4840+L4840</f>
        <v>1.5925</v>
      </c>
      <c r="O4840" t="str">
        <v>+</v>
      </c>
      <c r="P4840">
        <f>MAX(D4840-D4839,D4840-D4841)</f>
        <v>0</v>
      </c>
      <c r="Q4840" t="str">
        <v>x</v>
      </c>
      <c r="R4840">
        <f>IF(P4840&gt;0,2*(1-2*$F$19-1/2)*D4827/1000,0)</f>
        <v>0</v>
      </c>
      <c r="S4840" t="str">
        <v>)</v>
      </c>
      <c r="T4840" t="str">
        <v>x</v>
      </c>
      <c r="U4840">
        <f>0.006165*F4840^2</f>
        <v>1.57824</v>
      </c>
      <c r="X4840" t="str">
        <v>x</v>
      </c>
      <c r="Y4840">
        <f>D4830</f>
        <v>0</v>
      </c>
      <c r="Z4840" t="str">
        <v>=</v>
      </c>
      <c r="AA4840">
        <f>IF(AA4842=0,(D4840*N4840+P4840*R4840)*U4840*Y4840,0)</f>
        <v>0</v>
      </c>
    </row>
    <row r="4841">
      <c r="A4841" t="str">
        <f>A4824</f>
        <v>Lantai 1</v>
      </c>
      <c r="B4841">
        <f>B4824</f>
        <v>64</v>
      </c>
      <c r="C4841" t="str">
        <v>Tul Bawah Tumpuan</v>
      </c>
      <c r="D4841">
        <f>VLOOKUP(D4824,'Detail Balok'!$C$10:$AU$110,28,FALSE)</f>
        <v>2</v>
      </c>
      <c r="E4841" t="str">
        <v>D</v>
      </c>
      <c r="F4841">
        <f>VLOOKUP(D4824,'Detail Balok'!$C$10:$AU$110,30,FALSE)</f>
        <v>16</v>
      </c>
      <c r="I4841" t="str">
        <v>(</v>
      </c>
      <c r="J4841">
        <f>+J4833</f>
        <v>0.79625</v>
      </c>
      <c r="K4841" t="str">
        <v>+</v>
      </c>
      <c r="L4841">
        <f>MAX(VLOOKUP(F4841,N$6:P$15,3,FALSE)/1000,2/3*D4829/1000)+F$16*F4841/1000</f>
        <v>0.192</v>
      </c>
      <c r="M4841" t="str">
        <v>=</v>
      </c>
      <c r="N4841">
        <f>J4841+L4841</f>
        <v>0.9882500000000001</v>
      </c>
      <c r="O4841" t="str">
        <v>+</v>
      </c>
      <c r="P4841">
        <f>D4841-D4840</f>
        <v>0</v>
      </c>
      <c r="Q4841" t="str">
        <v>x</v>
      </c>
      <c r="R4841">
        <f>IF(P4841&gt;0,$F$18*F4841/1000,0)</f>
        <v>0</v>
      </c>
      <c r="S4841" t="str">
        <v>)</v>
      </c>
      <c r="T4841" t="str">
        <v>x</v>
      </c>
      <c r="U4841">
        <f>0.006165*F4841^2</f>
        <v>1.57824</v>
      </c>
      <c r="X4841" t="str">
        <v>x</v>
      </c>
      <c r="Y4841">
        <f>D4830</f>
        <v>0</v>
      </c>
      <c r="Z4841" t="str">
        <v>=</v>
      </c>
      <c r="AA4841">
        <f>IF(AA4842=0,(D4841*N4841+P4841*R4841)*U4841*Y4841,0)</f>
        <v>0</v>
      </c>
    </row>
    <row r="4842">
      <c r="A4842" t="str">
        <f>A4824</f>
        <v>Lantai 1</v>
      </c>
      <c r="B4842">
        <f>B4824</f>
        <v>64</v>
      </c>
      <c r="D4842">
        <f>IF(AND(D4839=D4840,D4840=D4841,D4839=D4841),D4839,0)</f>
        <v>2</v>
      </c>
      <c r="E4842" t="str">
        <v>D</v>
      </c>
      <c r="F4842">
        <f>IF(AND(F4839=F4840,F4839=F4841,F4840=F4841),F4839,0)</f>
        <v>16</v>
      </c>
      <c r="L4842" t="str">
        <v>Total panjang per balok</v>
      </c>
      <c r="M4842" t="str">
        <v>=</v>
      </c>
      <c r="N4842">
        <f>IF(AND(D4839=D4840,D4839=D4841,D4840=D4841,F4839=F4840,F4839=F4841,F4840=F4841),SUM(N4839:N4841),0)</f>
        <v>3.569</v>
      </c>
      <c r="O4842" t="str">
        <v>+</v>
      </c>
      <c r="P4842">
        <f>IF(N4842&gt;12,ROUNDDOWN(N4842/12,0),0)</f>
        <v>0</v>
      </c>
      <c r="Q4842" t="str">
        <v>x</v>
      </c>
      <c r="R4842">
        <f>IF(P4842&gt;0,MAX(VLOOKUP(F4842,$D$6:$G$15,3,FALSE),600),0)/1000</f>
        <v>0</v>
      </c>
      <c r="T4842" t="str">
        <v>x</v>
      </c>
      <c r="U4842">
        <f>U4841</f>
        <v>1.57824</v>
      </c>
      <c r="V4842" t="str">
        <v>x</v>
      </c>
      <c r="W4842">
        <f>D4842</f>
        <v>2</v>
      </c>
      <c r="X4842" t="str">
        <v>x</v>
      </c>
      <c r="Y4842">
        <f>Y4841</f>
        <v>0</v>
      </c>
      <c r="Z4842" t="str">
        <v>=</v>
      </c>
      <c r="AA4842">
        <f>(N4842+P4842*R4842/1000)*U4842*W4842*Y4842</f>
        <v>0</v>
      </c>
    </row>
    <row r="4844">
      <c r="A4844" t="str">
        <f>A4824</f>
        <v>Lantai 1</v>
      </c>
      <c r="B4844">
        <f>B4824</f>
        <v>64</v>
      </c>
      <c r="C4844" t="str">
        <v>Sengkang Tumpuan</v>
      </c>
      <c r="D4844">
        <f>VLOOKUP(D4824,'Detail Balok'!$C$10:$AU$110,31,FALSE)</f>
        <v>0</v>
      </c>
      <c r="E4844" t="str">
        <v>D</v>
      </c>
      <c r="F4844">
        <f>VLOOKUP(D4824,'Detail Balok'!$C$10:$AU$110,33,FALSE)</f>
        <v>8</v>
      </c>
      <c r="G4844" t="str">
        <v>-</v>
      </c>
      <c r="H4844">
        <f>VLOOKUP(D4824,'Detail Balok'!$C$10:$AU$110,35,FALSE)</f>
        <v>100</v>
      </c>
      <c r="J4844">
        <f>(IF(D4844=0,(2*(D4825+G4825))-(F$5*8),IF(D4844=3,(2*(D4825+G4825))-(F$5*8)+(G4825-2*F$5),IF(D4844=4,(2*(D4825+G4825))-(F$5*8)+2*(G4825-2*F$5)))))/1000</f>
        <v>0.88</v>
      </c>
      <c r="K4844" t="str">
        <v>+</v>
      </c>
      <c r="L4844">
        <f>IF(D4844=0,2*MAX(6*F4844,75),(D4844-1)*2*MAX(6*F4844,75))/1000</f>
        <v>0.15</v>
      </c>
      <c r="M4844" t="str">
        <v>=</v>
      </c>
      <c r="N4844">
        <f>J4844+L4844</f>
        <v>1.03</v>
      </c>
      <c r="T4844" t="str">
        <v>x</v>
      </c>
      <c r="U4844">
        <f>0.006165*F4844^2</f>
        <v>0.39456</v>
      </c>
      <c r="V4844" t="str">
        <v>x</v>
      </c>
      <c r="W4844">
        <f>IF(D4827&gt;4*G4825,ROUND(MAX(D4827/4,2*G4825)/H4844,0)+1,ROUND(D4827/H4844,0)+1)</f>
        <v>9</v>
      </c>
      <c r="X4844" t="str">
        <v>x</v>
      </c>
      <c r="Y4844">
        <f>D4830</f>
        <v>0</v>
      </c>
      <c r="Z4844" t="str">
        <v>=</v>
      </c>
      <c r="AA4844">
        <f>N4844*U4844*W4844*Y4844</f>
        <v>0</v>
      </c>
    </row>
    <row r="4845">
      <c r="A4845" t="str">
        <f>A4824</f>
        <v>Lantai 1</v>
      </c>
      <c r="B4845">
        <f>B4824</f>
        <v>64</v>
      </c>
      <c r="C4845" t="str">
        <v>Sengkang Lapangan</v>
      </c>
      <c r="D4845">
        <f>VLOOKUP(D4824,'Detail Balok'!$C$10:$AU$110,36,FALSE)</f>
        <v>0</v>
      </c>
      <c r="E4845" t="str">
        <v>D</v>
      </c>
      <c r="F4845">
        <f>VLOOKUP(D4824,'Detail Balok'!$C$10:$AU$110,38,FALSE)</f>
        <v>8</v>
      </c>
      <c r="G4845" t="str">
        <v>-</v>
      </c>
      <c r="H4845">
        <f>VLOOKUP(D4824,'Detail Balok'!$C$10:$AU$110,40,FALSE)</f>
        <v>200</v>
      </c>
      <c r="J4845">
        <f>(IF(D4845=0,(2*(D4825+G4825))-(F$5*8),IF(D4845=3,(2*(D4825+G4825))-(F$5*8)+(G4825-2*F$5),IF(D4845=4,(2*(D4825+G4825))-(F$5*8)+2*(G4825-2*F$5)))))/1000</f>
        <v>0.88</v>
      </c>
      <c r="K4845" t="str">
        <v>+</v>
      </c>
      <c r="L4845">
        <f>IF(D4845=0,2*MAX(6*F4845,75),(D4845-1)*2*MAX(6*F4845,75))/1000</f>
        <v>0.15</v>
      </c>
      <c r="M4845" t="str">
        <v>=</v>
      </c>
      <c r="N4845">
        <f>J4845+L4845</f>
        <v>1.03</v>
      </c>
      <c r="T4845" t="str">
        <v>x</v>
      </c>
      <c r="U4845">
        <f>0.006165*F4845^2</f>
        <v>0.39456</v>
      </c>
      <c r="V4845" t="str">
        <v>x</v>
      </c>
      <c r="W4845">
        <f>IF(D4827-MAX(D4827/4,2*G4825)*2&gt;0,ROUND((D4827-MAX(D4827/4,2*G4825)*2)/H4845,0),0)</f>
        <v>8</v>
      </c>
      <c r="X4845" t="str">
        <v>x</v>
      </c>
      <c r="Y4845">
        <f>D4830</f>
        <v>0</v>
      </c>
      <c r="Z4845" t="str">
        <v>=</v>
      </c>
      <c r="AA4845">
        <f>N4845*U4845*W4845*Y4845</f>
        <v>0</v>
      </c>
    </row>
    <row r="4846">
      <c r="A4846" t="str">
        <f>A4824</f>
        <v>Lantai 1</v>
      </c>
      <c r="B4846">
        <f>B4824</f>
        <v>64</v>
      </c>
      <c r="C4846" t="str">
        <v>Sengkang Tumpuan</v>
      </c>
      <c r="D4846">
        <f>VLOOKUP(D4824,'Detail Balok'!$C$10:$AU$110,41,FALSE)</f>
        <v>0</v>
      </c>
      <c r="E4846" t="str">
        <v>D</v>
      </c>
      <c r="F4846">
        <f>VLOOKUP(D4824,'Detail Balok'!$C$10:$AU$110,43,FALSE)</f>
        <v>8</v>
      </c>
      <c r="G4846" t="str">
        <v>-</v>
      </c>
      <c r="H4846">
        <f>VLOOKUP(D4824,'Detail Balok'!$C$10:$AU$110,45,FALSE)</f>
        <v>100</v>
      </c>
      <c r="J4846">
        <f>(IF(D4846=0,(2*(D4825+G4825))-(F$5*8),IF(D4846=3,(2*(D4825+G4825))-(F$5*8)+(G4825-2*F$5),IF(D4846=4,(2*(D4825+G4825))-(F$5*8)+2*(G4825-2*F$5)))))/1000</f>
        <v>0.88</v>
      </c>
      <c r="K4846" t="str">
        <v>+</v>
      </c>
      <c r="L4846">
        <f>IF(D4846=0,2*MAX(6*F4846,75),(D4846-1)*2*MAX(6*F4846,75))/1000</f>
        <v>0.15</v>
      </c>
      <c r="M4846" t="str">
        <v>=</v>
      </c>
      <c r="N4846">
        <f>J4846+L4846</f>
        <v>1.03</v>
      </c>
      <c r="T4846" t="str">
        <v>x</v>
      </c>
      <c r="U4846">
        <f>0.006165*F4846^2</f>
        <v>0.39456</v>
      </c>
      <c r="V4846" t="str">
        <v>x</v>
      </c>
      <c r="W4846">
        <f>IF(D4827&gt;4*G4825,ROUND(MAX(D4827/4,2*G4825)/H4846,0)+1,0)</f>
        <v>9</v>
      </c>
      <c r="X4846" t="str">
        <v>x</v>
      </c>
      <c r="Y4846">
        <f>D4830</f>
        <v>0</v>
      </c>
      <c r="Z4846" t="str">
        <v>=</v>
      </c>
      <c r="AA4846">
        <f>N4846*U4846*W4846*Y4846</f>
        <v>0</v>
      </c>
    </row>
    <row r="4848">
      <c r="A4848" t="str">
        <f>A4824</f>
        <v>Lantai 1</v>
      </c>
      <c r="B4848">
        <f>B4824</f>
        <v>64</v>
      </c>
      <c r="C4848" t="str">
        <v>Kait Horizontal Tump.</v>
      </c>
      <c r="D4848">
        <f>VLOOKUP(D4824,'Detail Balok'!$C$10:$BJ$110,46,FALSE)</f>
        <v>0</v>
      </c>
      <c r="E4848" t="str">
        <v>D</v>
      </c>
      <c r="F4848">
        <f>VLOOKUP(D4824,'Detail Balok'!$C$10:$BJ$110,48,FALSE)</f>
        <v>0</v>
      </c>
      <c r="G4848" t="str">
        <v>-</v>
      </c>
      <c r="H4848">
        <f>VLOOKUP(D4824,'Detail Balok'!$C$10:$BJ$110,50,FALSE)</f>
        <v>100</v>
      </c>
      <c r="J4848">
        <f>(D4825-2*F$5)/1000</f>
        <v>0.12</v>
      </c>
      <c r="K4848" t="str">
        <v>+</v>
      </c>
      <c r="L4848">
        <f>IF(D4848=0,2*MAX(6*F4848,75),(D4848-1)*2*MAX(6*F4848,75))/1000</f>
        <v>0.15</v>
      </c>
      <c r="M4848" t="str">
        <v>=</v>
      </c>
      <c r="N4848">
        <f>J4848+L4848</f>
        <v>0.27</v>
      </c>
      <c r="T4848" t="str">
        <v>x</v>
      </c>
      <c r="U4848">
        <f>0.006165*F4848^2</f>
        <v>0</v>
      </c>
      <c r="V4848" t="str">
        <v>x</v>
      </c>
      <c r="W4848">
        <f>W4844</f>
        <v>9</v>
      </c>
      <c r="X4848" t="str">
        <v>x</v>
      </c>
      <c r="Y4848">
        <f>D4834</f>
        <v>2</v>
      </c>
      <c r="Z4848" t="str">
        <v>=</v>
      </c>
      <c r="AA4848">
        <f>N4848*U4848*W4848*Y4848</f>
        <v>0</v>
      </c>
    </row>
    <row r="4849">
      <c r="A4849" t="str">
        <f>A4824</f>
        <v>Lantai 1</v>
      </c>
      <c r="B4849">
        <f>B4824</f>
        <v>64</v>
      </c>
      <c r="C4849" t="str">
        <v>Kait Horizontal Lap.</v>
      </c>
      <c r="D4849">
        <f>VLOOKUP(D4824,'Detail Balok'!$C$10:$BJ$110,51,FALSE)</f>
        <v>0</v>
      </c>
      <c r="E4849" t="str">
        <v>D</v>
      </c>
      <c r="F4849">
        <f>VLOOKUP(D4824,'Detail Balok'!$C$10:$BJ$110,53,FALSE)</f>
        <v>0</v>
      </c>
      <c r="G4849" t="str">
        <v>-</v>
      </c>
      <c r="H4849">
        <f>VLOOKUP(D4824,'Detail Balok'!$C$10:$BJ$110,55,FALSE)</f>
        <v>100</v>
      </c>
      <c r="J4849">
        <f>(D4825-2*F$5)/1000</f>
        <v>0.12</v>
      </c>
      <c r="K4849" t="str">
        <v>+</v>
      </c>
      <c r="L4849">
        <f>IF(D4849=0,2*MAX(6*F4849,75),(D4849-1)*2*MAX(6*F4849,75))/1000</f>
        <v>0.15</v>
      </c>
      <c r="M4849" t="str">
        <v>=</v>
      </c>
      <c r="N4849">
        <f>J4849+L4849</f>
        <v>0.27</v>
      </c>
      <c r="T4849" t="str">
        <v>x</v>
      </c>
      <c r="U4849">
        <f>0.006165*F4849^2</f>
        <v>0</v>
      </c>
      <c r="V4849" t="str">
        <v>x</v>
      </c>
      <c r="W4849">
        <f>W4845</f>
        <v>8</v>
      </c>
      <c r="X4849" t="str">
        <v>x</v>
      </c>
      <c r="Y4849">
        <f>D4834</f>
        <v>2</v>
      </c>
      <c r="Z4849" t="str">
        <v>=</v>
      </c>
      <c r="AA4849">
        <f>N4849*U4849*W4849*Y4849</f>
        <v>0</v>
      </c>
    </row>
    <row r="4850">
      <c r="A4850" t="str">
        <f>A4824</f>
        <v>Lantai 1</v>
      </c>
      <c r="B4850">
        <f>B4824</f>
        <v>64</v>
      </c>
      <c r="C4850" t="str">
        <v>Kait Horizontal Tump.</v>
      </c>
      <c r="D4850">
        <f>VLOOKUP(D4824,'Detail Balok'!$C$10:$BJ$110,56,FALSE)</f>
        <v>0</v>
      </c>
      <c r="E4850" t="str">
        <v>D</v>
      </c>
      <c r="F4850">
        <f>VLOOKUP(D4824,'Detail Balok'!$C$10:$BJ$110,58,FALSE)</f>
        <v>0</v>
      </c>
      <c r="G4850" t="str">
        <v>-</v>
      </c>
      <c r="H4850">
        <f>VLOOKUP(D4824,'Detail Balok'!$C$10:$BJ$110,60,FALSE)</f>
        <v>100</v>
      </c>
      <c r="J4850">
        <f>(D4825-2*F$5)/1000</f>
        <v>0.12</v>
      </c>
      <c r="K4850" t="str">
        <v>+</v>
      </c>
      <c r="L4850">
        <f>IF(D4850=0,2*MAX(6*F4850,75),(D4850-1)*2*MAX(6*F4850,75))/1000</f>
        <v>0.15</v>
      </c>
      <c r="M4850" t="str">
        <v>=</v>
      </c>
      <c r="N4850">
        <f>J4850+L4850</f>
        <v>0.27</v>
      </c>
      <c r="T4850" t="str">
        <v>x</v>
      </c>
      <c r="U4850">
        <f>0.006165*F4850^2</f>
        <v>0</v>
      </c>
      <c r="V4850" t="str">
        <v>x</v>
      </c>
      <c r="W4850">
        <f>W4846</f>
        <v>9</v>
      </c>
      <c r="X4850" t="str">
        <v>x</v>
      </c>
      <c r="Y4850">
        <f>D4834</f>
        <v>2</v>
      </c>
      <c r="Z4850" t="str">
        <v>=</v>
      </c>
      <c r="AA4850">
        <f>N4850*U4850*W4850*Y4850</f>
        <v>0</v>
      </c>
    </row>
    <row r="4854">
      <c r="A4854" t="str">
        <f>A4824</f>
        <v>Lantai 1</v>
      </c>
      <c r="B4854">
        <f>B4824+1</f>
        <v>65</v>
      </c>
      <c r="C4854" t="str">
        <f>CONCATENATE(A4854," no. ",B4854)</f>
        <v>Lantai 1 no. 65</v>
      </c>
      <c r="D4854" t="str">
        <f>VLOOKUP(C4854,'Data Panjang Balok'!$C$9:$N$424,2,FALSE)</f>
        <v>B245-1</v>
      </c>
    </row>
    <row r="4855">
      <c r="C4855" t="str">
        <v>Dimensi</v>
      </c>
      <c r="D4855">
        <f>VLOOKUP(D4854,'Detail Balok'!$C$10:$AU$110,2,FALSE)</f>
        <v>200</v>
      </c>
      <c r="F4855" t="str">
        <v>x</v>
      </c>
      <c r="G4855">
        <f>VLOOKUP(D4854,'Detail Balok'!$C$10:$AU$110,3,FALSE)</f>
        <v>450</v>
      </c>
    </row>
    <row r="4856">
      <c r="C4856" t="str">
        <v>Panjang as ke as</v>
      </c>
      <c r="D4856">
        <f>VLOOKUP(C4854,'Data Panjang Balok'!$C$9:$N$424,4,FALSE)</f>
        <v>3200</v>
      </c>
    </row>
    <row r="4857">
      <c r="C4857" t="str">
        <v>Panjang netto</v>
      </c>
      <c r="D4857">
        <f>VLOOKUP(C4854,'Data Panjang Balok'!$C$9:$N$424,7,FALSE)</f>
        <v>3200</v>
      </c>
    </row>
    <row r="4858">
      <c r="C4858" t="str">
        <v>Kolom / balok kiri</v>
      </c>
      <c r="D4858">
        <f>VLOOKUP(C4854,'Data Panjang Balok'!$C$9:$N$424,9,FALSE)</f>
        <v>0</v>
      </c>
    </row>
    <row r="4859">
      <c r="C4859" t="str">
        <v>Kolom / balok kanan</v>
      </c>
      <c r="D4859">
        <f>VLOOKUP(C4854,'Data Panjang Balok'!$C$9:$N$424,10,FALSE)</f>
        <v>0</v>
      </c>
    </row>
    <row r="4860">
      <c r="C4860" t="str">
        <v>Jumlah</v>
      </c>
      <c r="D4860">
        <f>VLOOKUP(C4854,'Data Panjang Balok'!$C$9:$N$424,3,FALSE)</f>
        <v>1</v>
      </c>
    </row>
    <row r="4861">
      <c r="A4861" t="str">
        <f>A4854</f>
        <v>Lantai 1</v>
      </c>
      <c r="B4861">
        <f>B4854</f>
        <v>65</v>
      </c>
      <c r="C4861" t="str">
        <v>Tul Atas Tumpuan</v>
      </c>
      <c r="D4861">
        <f>VLOOKUP(D4854,'Detail Balok'!$C$10:$AU$110,4,FALSE)</f>
        <v>2</v>
      </c>
      <c r="E4861" t="str">
        <v>D</v>
      </c>
      <c r="F4861">
        <f>VLOOKUP(D4854,'Detail Balok'!$C$10:$AU$110,6,FALSE)</f>
        <v>13</v>
      </c>
      <c r="I4861" t="str">
        <v>(</v>
      </c>
      <c r="J4861">
        <f>+D4856/4/1000</f>
        <v>0.8</v>
      </c>
      <c r="K4861" t="str">
        <v>+</v>
      </c>
      <c r="L4861">
        <f>MAX(VLOOKUP(F4861,N$6:P$15,3,FALSE)/1000,2/3*D4858/1000)+F$16*F4861/1000</f>
        <v>0.156</v>
      </c>
      <c r="M4861" t="str">
        <v>=</v>
      </c>
      <c r="N4861">
        <f>J4861+L4861</f>
        <v>0.9560000000000001</v>
      </c>
      <c r="O4861" t="str">
        <v>+</v>
      </c>
      <c r="P4861">
        <f>D4861-D4862</f>
        <v>0</v>
      </c>
      <c r="Q4861" t="str">
        <v>x</v>
      </c>
      <c r="R4861">
        <f>IF(P4861&gt;0,$F$18*F4861/1000,0)</f>
        <v>0</v>
      </c>
      <c r="S4861" t="str">
        <v>)</v>
      </c>
      <c r="T4861" t="str">
        <v>x</v>
      </c>
      <c r="U4861">
        <f>0.006165*F4861^2</f>
        <v>1.041885</v>
      </c>
      <c r="X4861" t="str">
        <v>x</v>
      </c>
      <c r="Y4861">
        <f>D4860</f>
        <v>1</v>
      </c>
      <c r="Z4861" t="str">
        <v>=</v>
      </c>
      <c r="AA4861">
        <f>IF(AA4864=0,(D4861*N4861+P4861*R4861)*U4861*Y4861,0)</f>
        <v>0</v>
      </c>
    </row>
    <row r="4862">
      <c r="A4862" t="str">
        <f>A4854</f>
        <v>Lantai 1</v>
      </c>
      <c r="B4862">
        <f>B4854</f>
        <v>65</v>
      </c>
      <c r="C4862" t="str">
        <v>Tul Atas Lapangan</v>
      </c>
      <c r="D4862">
        <f>VLOOKUP(D4854,'Detail Balok'!$C$10:$AU$110,7,FALSE)</f>
        <v>2</v>
      </c>
      <c r="E4862" t="str">
        <v>D</v>
      </c>
      <c r="F4862">
        <f>VLOOKUP(D4854,'Detail Balok'!$C$10:$AU$110,9,FALSE)</f>
        <v>13</v>
      </c>
      <c r="I4862" t="str">
        <v>(</v>
      </c>
      <c r="J4862">
        <f>+D4856/2/1000</f>
        <v>1.6</v>
      </c>
      <c r="K4862" t="str">
        <v>+</v>
      </c>
      <c r="M4862" t="str">
        <v>=</v>
      </c>
      <c r="N4862">
        <f>J4862+L4862</f>
        <v>1.6</v>
      </c>
      <c r="O4862" t="str">
        <v>+</v>
      </c>
      <c r="P4862">
        <f>MAX(D4862-D4861,D4862-D4863)</f>
        <v>0</v>
      </c>
      <c r="Q4862" t="str">
        <v>x</v>
      </c>
      <c r="R4862">
        <f>IF(P4862&gt;0,2*(1-2*$F$19-1/2)*D4857/1000,0)</f>
        <v>0</v>
      </c>
      <c r="S4862" t="str">
        <v>)</v>
      </c>
      <c r="T4862" t="str">
        <v>x</v>
      </c>
      <c r="U4862">
        <f>0.006165*F4862^2</f>
        <v>1.041885</v>
      </c>
      <c r="X4862" t="str">
        <v>x</v>
      </c>
      <c r="Y4862">
        <f>D4860</f>
        <v>1</v>
      </c>
      <c r="Z4862" t="str">
        <v>=</v>
      </c>
      <c r="AA4862">
        <f>IF(AA4864=0,(D4862*N4862+P4862*R4862)*U4862*Y4862,0)</f>
        <v>0</v>
      </c>
    </row>
    <row r="4863">
      <c r="A4863" t="str">
        <f>A4854</f>
        <v>Lantai 1</v>
      </c>
      <c r="B4863">
        <f>B4854</f>
        <v>65</v>
      </c>
      <c r="C4863" t="str">
        <v>Tul Atas Tumpuan</v>
      </c>
      <c r="D4863">
        <f>VLOOKUP(D4854,'Detail Balok'!$C$10:$AU$110,10,FALSE)</f>
        <v>2</v>
      </c>
      <c r="E4863" t="str">
        <v>D</v>
      </c>
      <c r="F4863">
        <f>VLOOKUP(D4854,'Detail Balok'!$C$10:$AU$110,12,FALSE)</f>
        <v>13</v>
      </c>
      <c r="I4863" t="str">
        <v>(</v>
      </c>
      <c r="J4863">
        <f>+D4856/4/1000</f>
        <v>0.8</v>
      </c>
      <c r="K4863" t="str">
        <v>+</v>
      </c>
      <c r="L4863">
        <f>MAX(VLOOKUP(F4863,N$6:P$15,3,FALSE)/1000,2/3*D4858/1000)+F$16*F4863/1000</f>
        <v>0.156</v>
      </c>
      <c r="M4863" t="str">
        <v>=</v>
      </c>
      <c r="N4863">
        <f>J4863+L4863</f>
        <v>0.9560000000000001</v>
      </c>
      <c r="O4863" t="str">
        <v>+</v>
      </c>
      <c r="P4863">
        <f>D4863-D4862</f>
        <v>0</v>
      </c>
      <c r="Q4863" t="str">
        <v>x</v>
      </c>
      <c r="R4863">
        <f>IF(P4863&gt;0,$F$18*F4863/1000,0)</f>
        <v>0</v>
      </c>
      <c r="S4863" t="str">
        <v>)</v>
      </c>
      <c r="T4863" t="str">
        <v>x</v>
      </c>
      <c r="U4863">
        <f>0.006165*F4863^2</f>
        <v>1.041885</v>
      </c>
      <c r="X4863" t="str">
        <v>x</v>
      </c>
      <c r="Y4863">
        <f>D4860</f>
        <v>1</v>
      </c>
      <c r="Z4863" t="str">
        <v>=</v>
      </c>
      <c r="AA4863">
        <f>IF(AA4864=0,(D4863*N4863+P4863*R4863)*U4863*Y4863,0)</f>
        <v>0</v>
      </c>
    </row>
    <row r="4864">
      <c r="A4864" t="str">
        <f>A4854</f>
        <v>Lantai 1</v>
      </c>
      <c r="B4864">
        <f>B4854</f>
        <v>65</v>
      </c>
      <c r="D4864">
        <f>IF(AND(D4861=D4862,D4862=D4863,D4861=D4863),D4861,0)</f>
        <v>2</v>
      </c>
      <c r="E4864" t="str">
        <v>D</v>
      </c>
      <c r="F4864">
        <f>IF(AND(F4861=F4862,F4861=F4863,F4862=F4863),F4861,0)</f>
        <v>13</v>
      </c>
      <c r="L4864" t="str">
        <v>Total panjang per balok</v>
      </c>
      <c r="M4864" t="str">
        <v>=</v>
      </c>
      <c r="N4864">
        <f>IF(AND(D4861=D4862,D4861=D4863,D4862=D4863,F4861=F4862,F4861=F4863,F4862=F4863),SUM(N4861:N4863),0)</f>
        <v>3.512</v>
      </c>
      <c r="O4864" t="str">
        <v>+</v>
      </c>
      <c r="P4864">
        <f>IF(N4864&gt;12,ROUNDDOWN(N4864/12,0),0)</f>
        <v>0</v>
      </c>
      <c r="Q4864" t="str">
        <v>x</v>
      </c>
      <c r="R4864">
        <f>IF(P4864&gt;0,MAX(VLOOKUP(F4864,$D$6:$G$15,3,FALSE),600),0)/1000</f>
        <v>0</v>
      </c>
      <c r="T4864" t="str">
        <v>x</v>
      </c>
      <c r="U4864">
        <f>U4863</f>
        <v>1.041885</v>
      </c>
      <c r="V4864" t="str">
        <v>x</v>
      </c>
      <c r="W4864">
        <f>D4864</f>
        <v>2</v>
      </c>
      <c r="X4864" t="str">
        <v>x</v>
      </c>
      <c r="Y4864">
        <f>Y4863</f>
        <v>1</v>
      </c>
      <c r="Z4864" t="str">
        <v>=</v>
      </c>
      <c r="AA4864">
        <f>(N4864+P4864*R4864/1000)*U4864*W4864*Y4864</f>
        <v>7.3182002399999995</v>
      </c>
    </row>
    <row r="4866">
      <c r="A4866" t="str">
        <f>A4854</f>
        <v>Lantai 1</v>
      </c>
      <c r="B4866">
        <f>B4854</f>
        <v>65</v>
      </c>
      <c r="C4866" t="str">
        <v>Tul Peminggang</v>
      </c>
      <c r="D4866">
        <f>VLOOKUP(D4854,'Detail Balok'!$C$10:$AU$110,13,FALSE)</f>
        <v>2</v>
      </c>
      <c r="E4866" t="str">
        <v>D</v>
      </c>
      <c r="F4866">
        <f>VLOOKUP(D4854,'Detail Balok'!$C$10:$AU$110,15,FALSE)</f>
        <v>8</v>
      </c>
      <c r="J4866">
        <f>+D4856/1000</f>
        <v>3.2</v>
      </c>
      <c r="K4866" t="str">
        <v>+</v>
      </c>
      <c r="L4866">
        <f>2*$F$16*F4866/1000</f>
        <v>0.192</v>
      </c>
      <c r="M4866" t="str">
        <v>=</v>
      </c>
      <c r="N4866">
        <f>J4866+L4866</f>
        <v>3.3920000000000003</v>
      </c>
      <c r="O4866" t="str">
        <v>+</v>
      </c>
      <c r="P4866">
        <f>IF(N4866&gt;12,ROUNDDOWN(N4866/12,0),0)</f>
        <v>0</v>
      </c>
      <c r="Q4866" t="str">
        <v>x</v>
      </c>
      <c r="R4866">
        <f>IF(P4866&gt;0,MAX(VLOOKUP(F4866,$D$6:$G$15,3,FALSE),600),0)/1000</f>
        <v>0</v>
      </c>
      <c r="T4866" t="str">
        <v>x</v>
      </c>
      <c r="U4866">
        <f>0.006165*F4866^2</f>
        <v>0.39456</v>
      </c>
      <c r="V4866" t="str">
        <v>x</v>
      </c>
      <c r="W4866">
        <f>+D4866</f>
        <v>2</v>
      </c>
      <c r="X4866" t="str">
        <v>x</v>
      </c>
      <c r="Y4866">
        <f>D4860</f>
        <v>1</v>
      </c>
      <c r="Z4866" t="str">
        <v>=</v>
      </c>
      <c r="AA4866">
        <f>(N4866+P4866*R4866/1000)*U4866*W4866*Y4866</f>
        <v>2.6766950400000002</v>
      </c>
    </row>
    <row r="4869">
      <c r="A4869" t="str">
        <f>A4854</f>
        <v>Lantai 1</v>
      </c>
      <c r="B4869">
        <f>B4854</f>
        <v>65</v>
      </c>
      <c r="C4869" t="str">
        <v>Tul Bawah Tumpuan</v>
      </c>
      <c r="D4869">
        <f>VLOOKUP(D4854,'Detail Balok'!$C$10:$AU$110,22,FALSE)</f>
        <v>2</v>
      </c>
      <c r="E4869" t="str">
        <v>D</v>
      </c>
      <c r="F4869">
        <f>VLOOKUP(D4854,'Detail Balok'!$C$10:$AU$110,24,FALSE)</f>
        <v>13</v>
      </c>
      <c r="I4869" t="str">
        <v>(</v>
      </c>
      <c r="J4869">
        <f>+J4861</f>
        <v>0.8</v>
      </c>
      <c r="K4869" t="str">
        <v>+</v>
      </c>
      <c r="L4869">
        <f>MAX(VLOOKUP(F4869,N$6:P$15,3,FALSE)/1000,2/3*D4859/1000)+F$16*F4869/1000</f>
        <v>0.156</v>
      </c>
      <c r="M4869" t="str">
        <v>=</v>
      </c>
      <c r="N4869">
        <f>J4869+L4869</f>
        <v>0.9560000000000001</v>
      </c>
      <c r="O4869" t="str">
        <v>+</v>
      </c>
      <c r="P4869">
        <f>D4869-D4870</f>
        <v>0</v>
      </c>
      <c r="Q4869" t="str">
        <v>x</v>
      </c>
      <c r="R4869">
        <f>IF(P4869&gt;0,$F$18*F4869/1000,0)</f>
        <v>0</v>
      </c>
      <c r="S4869" t="str">
        <v>)</v>
      </c>
      <c r="T4869" t="str">
        <v>x</v>
      </c>
      <c r="U4869">
        <f>0.006165*F4869^2</f>
        <v>1.041885</v>
      </c>
      <c r="X4869" t="str">
        <v>x</v>
      </c>
      <c r="Y4869">
        <f>D4860</f>
        <v>1</v>
      </c>
      <c r="Z4869" t="str">
        <v>=</v>
      </c>
      <c r="AA4869">
        <f>IF(AA4872=0,(D4869*N4869+P4869*R4869)*U4869*Y4869,0)</f>
        <v>0</v>
      </c>
    </row>
    <row r="4870">
      <c r="A4870" t="str">
        <f>A4854</f>
        <v>Lantai 1</v>
      </c>
      <c r="B4870">
        <f>B4854</f>
        <v>65</v>
      </c>
      <c r="C4870" t="str">
        <v>Tul Bawah Lapangan</v>
      </c>
      <c r="D4870">
        <f>VLOOKUP(D4854,'Detail Balok'!$C$10:$AU$110,25,FALSE)</f>
        <v>2</v>
      </c>
      <c r="E4870" t="str">
        <v>D</v>
      </c>
      <c r="F4870">
        <f>VLOOKUP(D4854,'Detail Balok'!$C$10:$AU$110,27,FALSE)</f>
        <v>13</v>
      </c>
      <c r="I4870" t="str">
        <v>(</v>
      </c>
      <c r="J4870">
        <f>+J4862</f>
        <v>1.6</v>
      </c>
      <c r="K4870" t="str">
        <v>+</v>
      </c>
      <c r="M4870" t="str">
        <v>=</v>
      </c>
      <c r="N4870">
        <f>J4870+L4870</f>
        <v>1.6</v>
      </c>
      <c r="O4870" t="str">
        <v>+</v>
      </c>
      <c r="P4870">
        <f>MAX(D4870-D4869,D4870-D4871)</f>
        <v>0</v>
      </c>
      <c r="Q4870" t="str">
        <v>x</v>
      </c>
      <c r="R4870">
        <f>IF(P4870&gt;0,2*(1-2*$F$19-1/2)*D4857/1000,0)</f>
        <v>0</v>
      </c>
      <c r="S4870" t="str">
        <v>)</v>
      </c>
      <c r="T4870" t="str">
        <v>x</v>
      </c>
      <c r="U4870">
        <f>0.006165*F4870^2</f>
        <v>1.041885</v>
      </c>
      <c r="X4870" t="str">
        <v>x</v>
      </c>
      <c r="Y4870">
        <f>D4860</f>
        <v>1</v>
      </c>
      <c r="Z4870" t="str">
        <v>=</v>
      </c>
      <c r="AA4870">
        <f>IF(AA4872=0,(D4870*N4870+P4870*R4870)*U4870*Y4870,0)</f>
        <v>0</v>
      </c>
    </row>
    <row r="4871">
      <c r="A4871" t="str">
        <f>A4854</f>
        <v>Lantai 1</v>
      </c>
      <c r="B4871">
        <f>B4854</f>
        <v>65</v>
      </c>
      <c r="C4871" t="str">
        <v>Tul Bawah Tumpuan</v>
      </c>
      <c r="D4871">
        <f>VLOOKUP(D4854,'Detail Balok'!$C$10:$AU$110,28,FALSE)</f>
        <v>2</v>
      </c>
      <c r="E4871" t="str">
        <v>D</v>
      </c>
      <c r="F4871">
        <f>VLOOKUP(D4854,'Detail Balok'!$C$10:$AU$110,30,FALSE)</f>
        <v>13</v>
      </c>
      <c r="I4871" t="str">
        <v>(</v>
      </c>
      <c r="J4871">
        <f>+J4863</f>
        <v>0.8</v>
      </c>
      <c r="K4871" t="str">
        <v>+</v>
      </c>
      <c r="L4871">
        <f>MAX(VLOOKUP(F4871,N$6:P$15,3,FALSE)/1000,2/3*D4859/1000)+F$16*F4871/1000</f>
        <v>0.156</v>
      </c>
      <c r="M4871" t="str">
        <v>=</v>
      </c>
      <c r="N4871">
        <f>J4871+L4871</f>
        <v>0.9560000000000001</v>
      </c>
      <c r="O4871" t="str">
        <v>+</v>
      </c>
      <c r="P4871">
        <f>D4871-D4870</f>
        <v>0</v>
      </c>
      <c r="Q4871" t="str">
        <v>x</v>
      </c>
      <c r="R4871">
        <f>IF(P4871&gt;0,$F$18*F4871/1000,0)</f>
        <v>0</v>
      </c>
      <c r="S4871" t="str">
        <v>)</v>
      </c>
      <c r="T4871" t="str">
        <v>x</v>
      </c>
      <c r="U4871">
        <f>0.006165*F4871^2</f>
        <v>1.041885</v>
      </c>
      <c r="X4871" t="str">
        <v>x</v>
      </c>
      <c r="Y4871">
        <f>D4860</f>
        <v>1</v>
      </c>
      <c r="Z4871" t="str">
        <v>=</v>
      </c>
      <c r="AA4871">
        <f>IF(AA4872=0,(D4871*N4871+P4871*R4871)*U4871*Y4871,0)</f>
        <v>0</v>
      </c>
    </row>
    <row r="4872">
      <c r="A4872" t="str">
        <f>A4854</f>
        <v>Lantai 1</v>
      </c>
      <c r="B4872">
        <f>B4854</f>
        <v>65</v>
      </c>
      <c r="D4872">
        <f>IF(AND(D4869=D4870,D4870=D4871,D4869=D4871),D4869,0)</f>
        <v>2</v>
      </c>
      <c r="E4872" t="str">
        <v>D</v>
      </c>
      <c r="F4872">
        <f>IF(AND(F4869=F4870,F4869=F4871,F4870=F4871),F4869,0)</f>
        <v>13</v>
      </c>
      <c r="L4872" t="str">
        <v>Total panjang per balok</v>
      </c>
      <c r="M4872" t="str">
        <v>=</v>
      </c>
      <c r="N4872">
        <f>IF(AND(D4869=D4870,D4869=D4871,D4870=D4871,F4869=F4870,F4869=F4871,F4870=F4871),SUM(N4869:N4871),0)</f>
        <v>3.512</v>
      </c>
      <c r="O4872" t="str">
        <v>+</v>
      </c>
      <c r="P4872">
        <f>IF(N4872&gt;12,ROUNDDOWN(N4872/12,0),0)</f>
        <v>0</v>
      </c>
      <c r="Q4872" t="str">
        <v>x</v>
      </c>
      <c r="R4872">
        <f>IF(P4872&gt;0,MAX(VLOOKUP(F4872,$D$6:$G$15,3,FALSE),600),0)/1000</f>
        <v>0</v>
      </c>
      <c r="T4872" t="str">
        <v>x</v>
      </c>
      <c r="U4872">
        <f>U4871</f>
        <v>1.041885</v>
      </c>
      <c r="V4872" t="str">
        <v>x</v>
      </c>
      <c r="W4872">
        <f>D4872</f>
        <v>2</v>
      </c>
      <c r="X4872" t="str">
        <v>x</v>
      </c>
      <c r="Y4872">
        <f>Y4871</f>
        <v>1</v>
      </c>
      <c r="Z4872" t="str">
        <v>=</v>
      </c>
      <c r="AA4872">
        <f>(N4872+P4872*R4872/1000)*U4872*W4872*Y4872</f>
        <v>7.3182002399999995</v>
      </c>
    </row>
    <row r="4874">
      <c r="A4874" t="str">
        <f>A4854</f>
        <v>Lantai 1</v>
      </c>
      <c r="B4874">
        <f>B4854</f>
        <v>65</v>
      </c>
      <c r="C4874" t="str">
        <v>Sengkang Tumpuan</v>
      </c>
      <c r="D4874">
        <f>VLOOKUP(D4854,'Detail Balok'!$C$10:$AU$110,31,FALSE)</f>
        <v>0</v>
      </c>
      <c r="E4874" t="str">
        <v>D</v>
      </c>
      <c r="F4874">
        <f>VLOOKUP(D4854,'Detail Balok'!$C$10:$AU$110,33,FALSE)</f>
        <v>8</v>
      </c>
      <c r="G4874" t="str">
        <v>-</v>
      </c>
      <c r="H4874">
        <f>VLOOKUP(D4854,'Detail Balok'!$C$10:$AU$110,35,FALSE)</f>
        <v>100</v>
      </c>
      <c r="J4874">
        <f>(IF(D4874=0,(2*(D4855+G4855))-(F$5*8),IF(D4874=3,(2*(D4855+G4855))-(F$5*8)+(G4855-2*F$5),IF(D4874=4,(2*(D4855+G4855))-(F$5*8)+2*(G4855-2*F$5)))))/1000</f>
        <v>0.98</v>
      </c>
      <c r="K4874" t="str">
        <v>+</v>
      </c>
      <c r="L4874">
        <f>IF(D4874=0,2*MAX(6*F4874,75),(D4874-1)*2*MAX(6*F4874,75))/1000</f>
        <v>0.15</v>
      </c>
      <c r="M4874" t="str">
        <v>=</v>
      </c>
      <c r="N4874">
        <f>J4874+L4874</f>
        <v>1.13</v>
      </c>
      <c r="T4874" t="str">
        <v>x</v>
      </c>
      <c r="U4874">
        <f>0.006165*F4874^2</f>
        <v>0.39456</v>
      </c>
      <c r="V4874" t="str">
        <v>x</v>
      </c>
      <c r="W4874">
        <f>IF(D4857&gt;4*G4855,ROUND(MAX(D4857/4,2*G4855)/H4874,0)+1,ROUND(D4857/H4874,0)+1)</f>
        <v>10</v>
      </c>
      <c r="X4874" t="str">
        <v>x</v>
      </c>
      <c r="Y4874">
        <f>D4860</f>
        <v>1</v>
      </c>
      <c r="Z4874" t="str">
        <v>=</v>
      </c>
      <c r="AA4874">
        <f>N4874*U4874*W4874*Y4874</f>
        <v>4.458528</v>
      </c>
    </row>
    <row r="4875">
      <c r="A4875" t="str">
        <f>A4854</f>
        <v>Lantai 1</v>
      </c>
      <c r="B4875">
        <f>B4854</f>
        <v>65</v>
      </c>
      <c r="C4875" t="str">
        <v>Sengkang Lapangan</v>
      </c>
      <c r="D4875">
        <f>VLOOKUP(D4854,'Detail Balok'!$C$10:$AU$110,36,FALSE)</f>
        <v>0</v>
      </c>
      <c r="E4875" t="str">
        <v>D</v>
      </c>
      <c r="F4875">
        <f>VLOOKUP(D4854,'Detail Balok'!$C$10:$AU$110,38,FALSE)</f>
        <v>8</v>
      </c>
      <c r="G4875" t="str">
        <v>-</v>
      </c>
      <c r="H4875">
        <f>VLOOKUP(D4854,'Detail Balok'!$C$10:$AU$110,40,FALSE)</f>
        <v>200</v>
      </c>
      <c r="J4875">
        <f>(IF(D4875=0,(2*(D4855+G4855))-(F$5*8),IF(D4875=3,(2*(D4855+G4855))-(F$5*8)+(G4855-2*F$5),IF(D4875=4,(2*(D4855+G4855))-(F$5*8)+2*(G4855-2*F$5)))))/1000</f>
        <v>0.98</v>
      </c>
      <c r="K4875" t="str">
        <v>+</v>
      </c>
      <c r="L4875">
        <f>IF(D4875=0,2*MAX(6*F4875,75),(D4875-1)*2*MAX(6*F4875,75))/1000</f>
        <v>0.15</v>
      </c>
      <c r="M4875" t="str">
        <v>=</v>
      </c>
      <c r="N4875">
        <f>J4875+L4875</f>
        <v>1.13</v>
      </c>
      <c r="T4875" t="str">
        <v>x</v>
      </c>
      <c r="U4875">
        <f>0.006165*F4875^2</f>
        <v>0.39456</v>
      </c>
      <c r="V4875" t="str">
        <v>x</v>
      </c>
      <c r="W4875">
        <f>IF(D4857-MAX(D4857/4,2*G4855)*2&gt;0,ROUND((D4857-MAX(D4857/4,2*G4855)*2)/H4875,0),0)</f>
        <v>7</v>
      </c>
      <c r="X4875" t="str">
        <v>x</v>
      </c>
      <c r="Y4875">
        <f>D4860</f>
        <v>1</v>
      </c>
      <c r="Z4875" t="str">
        <v>=</v>
      </c>
      <c r="AA4875">
        <f>N4875*U4875*W4875*Y4875</f>
        <v>3.1209696</v>
      </c>
    </row>
    <row r="4876">
      <c r="A4876" t="str">
        <f>A4854</f>
        <v>Lantai 1</v>
      </c>
      <c r="B4876">
        <f>B4854</f>
        <v>65</v>
      </c>
      <c r="C4876" t="str">
        <v>Sengkang Tumpuan</v>
      </c>
      <c r="D4876">
        <f>VLOOKUP(D4854,'Detail Balok'!$C$10:$AU$110,41,FALSE)</f>
        <v>0</v>
      </c>
      <c r="E4876" t="str">
        <v>D</v>
      </c>
      <c r="F4876">
        <f>VLOOKUP(D4854,'Detail Balok'!$C$10:$AU$110,43,FALSE)</f>
        <v>8</v>
      </c>
      <c r="G4876" t="str">
        <v>-</v>
      </c>
      <c r="H4876">
        <f>VLOOKUP(D4854,'Detail Balok'!$C$10:$AU$110,45,FALSE)</f>
        <v>100</v>
      </c>
      <c r="J4876">
        <f>(IF(D4876=0,(2*(D4855+G4855))-(F$5*8),IF(D4876=3,(2*(D4855+G4855))-(F$5*8)+(G4855-2*F$5),IF(D4876=4,(2*(D4855+G4855))-(F$5*8)+2*(G4855-2*F$5)))))/1000</f>
        <v>0.98</v>
      </c>
      <c r="K4876" t="str">
        <v>+</v>
      </c>
      <c r="L4876">
        <f>IF(D4876=0,2*MAX(6*F4876,75),(D4876-1)*2*MAX(6*F4876,75))/1000</f>
        <v>0.15</v>
      </c>
      <c r="M4876" t="str">
        <v>=</v>
      </c>
      <c r="N4876">
        <f>J4876+L4876</f>
        <v>1.13</v>
      </c>
      <c r="T4876" t="str">
        <v>x</v>
      </c>
      <c r="U4876">
        <f>0.006165*F4876^2</f>
        <v>0.39456</v>
      </c>
      <c r="V4876" t="str">
        <v>x</v>
      </c>
      <c r="W4876">
        <f>IF(D4857&gt;4*G4855,ROUND(MAX(D4857/4,2*G4855)/H4876,0)+1,0)</f>
        <v>10</v>
      </c>
      <c r="X4876" t="str">
        <v>x</v>
      </c>
      <c r="Y4876">
        <f>D4860</f>
        <v>1</v>
      </c>
      <c r="Z4876" t="str">
        <v>=</v>
      </c>
      <c r="AA4876">
        <f>N4876*U4876*W4876*Y4876</f>
        <v>4.458528</v>
      </c>
    </row>
    <row r="4878">
      <c r="A4878" t="str">
        <f>A4854</f>
        <v>Lantai 1</v>
      </c>
      <c r="B4878">
        <f>B4854</f>
        <v>65</v>
      </c>
      <c r="C4878" t="str">
        <v>Kait Horizontal Tump.</v>
      </c>
      <c r="D4878">
        <f>VLOOKUP(D4854,'Detail Balok'!$C$10:$BJ$110,46,FALSE)</f>
        <v>0</v>
      </c>
      <c r="E4878" t="str">
        <v>D</v>
      </c>
      <c r="F4878">
        <f>VLOOKUP(D4854,'Detail Balok'!$C$10:$BJ$110,48,FALSE)</f>
        <v>0</v>
      </c>
      <c r="G4878" t="str">
        <v>-</v>
      </c>
      <c r="H4878">
        <f>VLOOKUP(D4854,'Detail Balok'!$C$10:$BJ$110,50,FALSE)</f>
        <v>100</v>
      </c>
      <c r="J4878">
        <f>(D4855-2*F$5)/1000</f>
        <v>0.12</v>
      </c>
      <c r="K4878" t="str">
        <v>+</v>
      </c>
      <c r="L4878">
        <f>IF(D4878=0,2*MAX(6*F4878,75),(D4878-1)*2*MAX(6*F4878,75))/1000</f>
        <v>0.15</v>
      </c>
      <c r="M4878" t="str">
        <v>=</v>
      </c>
      <c r="N4878">
        <f>J4878+L4878</f>
        <v>0.27</v>
      </c>
      <c r="T4878" t="str">
        <v>x</v>
      </c>
      <c r="U4878">
        <f>0.006165*F4878^2</f>
        <v>0</v>
      </c>
      <c r="V4878" t="str">
        <v>x</v>
      </c>
      <c r="W4878">
        <f>W4874</f>
        <v>10</v>
      </c>
      <c r="X4878" t="str">
        <v>x</v>
      </c>
      <c r="Y4878">
        <f>D4864</f>
        <v>2</v>
      </c>
      <c r="Z4878" t="str">
        <v>=</v>
      </c>
      <c r="AA4878">
        <f>N4878*U4878*W4878*Y4878</f>
        <v>0</v>
      </c>
    </row>
    <row r="4879">
      <c r="A4879" t="str">
        <f>A4854</f>
        <v>Lantai 1</v>
      </c>
      <c r="B4879">
        <f>B4854</f>
        <v>65</v>
      </c>
      <c r="C4879" t="str">
        <v>Kait Horizontal Lap.</v>
      </c>
      <c r="D4879">
        <f>VLOOKUP(D4854,'Detail Balok'!$C$10:$BJ$110,51,FALSE)</f>
        <v>0</v>
      </c>
      <c r="E4879" t="str">
        <v>D</v>
      </c>
      <c r="F4879">
        <f>VLOOKUP(D4854,'Detail Balok'!$C$10:$BJ$110,53,FALSE)</f>
        <v>0</v>
      </c>
      <c r="G4879" t="str">
        <v>-</v>
      </c>
      <c r="H4879">
        <f>VLOOKUP(D4854,'Detail Balok'!$C$10:$BJ$110,55,FALSE)</f>
        <v>100</v>
      </c>
      <c r="J4879">
        <f>(D4855-2*F$5)/1000</f>
        <v>0.12</v>
      </c>
      <c r="K4879" t="str">
        <v>+</v>
      </c>
      <c r="L4879">
        <f>IF(D4879=0,2*MAX(6*F4879,75),(D4879-1)*2*MAX(6*F4879,75))/1000</f>
        <v>0.15</v>
      </c>
      <c r="M4879" t="str">
        <v>=</v>
      </c>
      <c r="N4879">
        <f>J4879+L4879</f>
        <v>0.27</v>
      </c>
      <c r="T4879" t="str">
        <v>x</v>
      </c>
      <c r="U4879">
        <f>0.006165*F4879^2</f>
        <v>0</v>
      </c>
      <c r="V4879" t="str">
        <v>x</v>
      </c>
      <c r="W4879">
        <f>W4875</f>
        <v>7</v>
      </c>
      <c r="X4879" t="str">
        <v>x</v>
      </c>
      <c r="Y4879">
        <f>D4864</f>
        <v>2</v>
      </c>
      <c r="Z4879" t="str">
        <v>=</v>
      </c>
      <c r="AA4879">
        <f>N4879*U4879*W4879*Y4879</f>
        <v>0</v>
      </c>
    </row>
    <row r="4880">
      <c r="A4880" t="str">
        <f>A4854</f>
        <v>Lantai 1</v>
      </c>
      <c r="B4880">
        <f>B4854</f>
        <v>65</v>
      </c>
      <c r="C4880" t="str">
        <v>Kait Horizontal Tump.</v>
      </c>
      <c r="D4880">
        <f>VLOOKUP(D4854,'Detail Balok'!$C$10:$BJ$110,56,FALSE)</f>
        <v>0</v>
      </c>
      <c r="E4880" t="str">
        <v>D</v>
      </c>
      <c r="F4880">
        <f>VLOOKUP(D4854,'Detail Balok'!$C$10:$BJ$110,58,FALSE)</f>
        <v>0</v>
      </c>
      <c r="G4880" t="str">
        <v>-</v>
      </c>
      <c r="H4880">
        <f>VLOOKUP(D4854,'Detail Balok'!$C$10:$BJ$110,60,FALSE)</f>
        <v>100</v>
      </c>
      <c r="J4880">
        <f>(D4855-2*F$5)/1000</f>
        <v>0.12</v>
      </c>
      <c r="K4880" t="str">
        <v>+</v>
      </c>
      <c r="L4880">
        <f>IF(D4880=0,2*MAX(6*F4880,75),(D4880-1)*2*MAX(6*F4880,75))/1000</f>
        <v>0.15</v>
      </c>
      <c r="M4880" t="str">
        <v>=</v>
      </c>
      <c r="N4880">
        <f>J4880+L4880</f>
        <v>0.27</v>
      </c>
      <c r="T4880" t="str">
        <v>x</v>
      </c>
      <c r="U4880">
        <f>0.006165*F4880^2</f>
        <v>0</v>
      </c>
      <c r="V4880" t="str">
        <v>x</v>
      </c>
      <c r="W4880">
        <f>W4876</f>
        <v>10</v>
      </c>
      <c r="X4880" t="str">
        <v>x</v>
      </c>
      <c r="Y4880">
        <f>D4864</f>
        <v>2</v>
      </c>
      <c r="Z4880" t="str">
        <v>=</v>
      </c>
      <c r="AA4880">
        <f>N4880*U4880*W4880*Y4880</f>
        <v>0</v>
      </c>
    </row>
    <row r="4884">
      <c r="A4884" t="str">
        <f>A4854</f>
        <v>Lantai 1</v>
      </c>
      <c r="B4884">
        <f>B4854+1</f>
        <v>66</v>
      </c>
      <c r="C4884" t="str">
        <f>CONCATENATE(A4884," no. ",B4884)</f>
        <v>Lantai 1 no. 66</v>
      </c>
      <c r="D4884" t="str">
        <f>VLOOKUP(C4884,'Data Panjang Balok'!$C$9:$N$424,2,FALSE)</f>
        <v>B245-4</v>
      </c>
    </row>
    <row r="4885">
      <c r="C4885" t="str">
        <v>Dimensi</v>
      </c>
      <c r="D4885">
        <f>VLOOKUP(D4884,'Detail Balok'!$C$10:$AU$110,2,FALSE)</f>
        <v>200</v>
      </c>
      <c r="F4885" t="str">
        <v>x</v>
      </c>
      <c r="G4885">
        <f>VLOOKUP(D4884,'Detail Balok'!$C$10:$AU$110,3,FALSE)</f>
        <v>450</v>
      </c>
    </row>
    <row r="4886">
      <c r="C4886" t="str">
        <v>Panjang as ke as</v>
      </c>
      <c r="D4886">
        <f>VLOOKUP(C4884,'Data Panjang Balok'!$C$9:$N$424,4,FALSE)</f>
        <v>5700</v>
      </c>
    </row>
    <row r="4887">
      <c r="C4887" t="str">
        <v>Panjang netto</v>
      </c>
      <c r="D4887">
        <f>VLOOKUP(C4884,'Data Panjang Balok'!$C$9:$N$424,7,FALSE)</f>
        <v>5700</v>
      </c>
    </row>
    <row r="4888">
      <c r="C4888" t="str">
        <v>Kolom / balok kiri</v>
      </c>
      <c r="D4888">
        <f>VLOOKUP(C4884,'Data Panjang Balok'!$C$9:$N$424,9,FALSE)</f>
        <v>0</v>
      </c>
    </row>
    <row r="4889">
      <c r="C4889" t="str">
        <v>Kolom / balok kanan</v>
      </c>
      <c r="D4889">
        <f>VLOOKUP(C4884,'Data Panjang Balok'!$C$9:$N$424,10,FALSE)</f>
        <v>0</v>
      </c>
    </row>
    <row r="4890">
      <c r="C4890" t="str">
        <v>Jumlah</v>
      </c>
      <c r="D4890">
        <f>VLOOKUP(C4884,'Data Panjang Balok'!$C$9:$N$424,3,FALSE)</f>
        <v>1</v>
      </c>
    </row>
    <row r="4891">
      <c r="A4891" t="str">
        <f>A4884</f>
        <v>Lantai 1</v>
      </c>
      <c r="B4891">
        <f>B4884</f>
        <v>66</v>
      </c>
      <c r="C4891" t="str">
        <v>Tul Atas Tumpuan</v>
      </c>
      <c r="D4891">
        <f>VLOOKUP(D4884,'Detail Balok'!$C$10:$AU$110,4,FALSE)</f>
        <v>3</v>
      </c>
      <c r="E4891" t="str">
        <v>D</v>
      </c>
      <c r="F4891">
        <f>VLOOKUP(D4884,'Detail Balok'!$C$10:$AU$110,6,FALSE)</f>
        <v>16</v>
      </c>
      <c r="I4891" t="str">
        <v>(</v>
      </c>
      <c r="J4891">
        <f>+D4886/4/1000</f>
        <v>1.425</v>
      </c>
      <c r="K4891" t="str">
        <v>+</v>
      </c>
      <c r="L4891">
        <f>MAX(VLOOKUP(F4891,N$6:P$15,3,FALSE)/1000,2/3*D4888/1000)+F$16*F4891/1000</f>
        <v>0.192</v>
      </c>
      <c r="M4891" t="str">
        <v>=</v>
      </c>
      <c r="N4891">
        <f>J4891+L4891</f>
        <v>1.617</v>
      </c>
      <c r="O4891" t="str">
        <v>+</v>
      </c>
      <c r="P4891">
        <f>D4891-D4892</f>
        <v>0</v>
      </c>
      <c r="Q4891" t="str">
        <v>x</v>
      </c>
      <c r="R4891">
        <f>IF(P4891&gt;0,$F$18*F4891/1000,0)</f>
        <v>0</v>
      </c>
      <c r="S4891" t="str">
        <v>)</v>
      </c>
      <c r="T4891" t="str">
        <v>x</v>
      </c>
      <c r="U4891">
        <f>0.006165*F4891^2</f>
        <v>1.57824</v>
      </c>
      <c r="X4891" t="str">
        <v>x</v>
      </c>
      <c r="Y4891">
        <f>D4890</f>
        <v>1</v>
      </c>
      <c r="Z4891" t="str">
        <v>=</v>
      </c>
      <c r="AA4891">
        <f>IF(AA4894=0,(D4891*N4891+P4891*R4891)*U4891*Y4891,0)</f>
        <v>0</v>
      </c>
    </row>
    <row r="4892">
      <c r="A4892" t="str">
        <f>A4884</f>
        <v>Lantai 1</v>
      </c>
      <c r="B4892">
        <f>B4884</f>
        <v>66</v>
      </c>
      <c r="C4892" t="str">
        <v>Tul Atas Lapangan</v>
      </c>
      <c r="D4892">
        <f>VLOOKUP(D4884,'Detail Balok'!$C$10:$AU$110,7,FALSE)</f>
        <v>3</v>
      </c>
      <c r="E4892" t="str">
        <v>D</v>
      </c>
      <c r="F4892">
        <f>VLOOKUP(D4884,'Detail Balok'!$C$10:$AU$110,9,FALSE)</f>
        <v>16</v>
      </c>
      <c r="I4892" t="str">
        <v>(</v>
      </c>
      <c r="J4892">
        <f>+D4886/2/1000</f>
        <v>2.85</v>
      </c>
      <c r="K4892" t="str">
        <v>+</v>
      </c>
      <c r="M4892" t="str">
        <v>=</v>
      </c>
      <c r="N4892">
        <f>J4892+L4892</f>
        <v>2.85</v>
      </c>
      <c r="O4892" t="str">
        <v>+</v>
      </c>
      <c r="P4892">
        <f>MAX(D4892-D4891,D4892-D4893)</f>
        <v>0</v>
      </c>
      <c r="Q4892" t="str">
        <v>x</v>
      </c>
      <c r="R4892">
        <f>IF(P4892&gt;0,2*(1-2*$F$19-1/2)*D4887/1000,0)</f>
        <v>0</v>
      </c>
      <c r="S4892" t="str">
        <v>)</v>
      </c>
      <c r="T4892" t="str">
        <v>x</v>
      </c>
      <c r="U4892">
        <f>0.006165*F4892^2</f>
        <v>1.57824</v>
      </c>
      <c r="X4892" t="str">
        <v>x</v>
      </c>
      <c r="Y4892">
        <f>D4890</f>
        <v>1</v>
      </c>
      <c r="Z4892" t="str">
        <v>=</v>
      </c>
      <c r="AA4892">
        <f>IF(AA4894=0,(D4892*N4892+P4892*R4892)*U4892*Y4892,0)</f>
        <v>0</v>
      </c>
    </row>
    <row r="4893">
      <c r="A4893" t="str">
        <f>A4884</f>
        <v>Lantai 1</v>
      </c>
      <c r="B4893">
        <f>B4884</f>
        <v>66</v>
      </c>
      <c r="C4893" t="str">
        <v>Tul Atas Tumpuan</v>
      </c>
      <c r="D4893">
        <f>VLOOKUP(D4884,'Detail Balok'!$C$10:$AU$110,10,FALSE)</f>
        <v>3</v>
      </c>
      <c r="E4893" t="str">
        <v>D</v>
      </c>
      <c r="F4893">
        <f>VLOOKUP(D4884,'Detail Balok'!$C$10:$AU$110,12,FALSE)</f>
        <v>16</v>
      </c>
      <c r="I4893" t="str">
        <v>(</v>
      </c>
      <c r="J4893">
        <f>+D4886/4/1000</f>
        <v>1.425</v>
      </c>
      <c r="K4893" t="str">
        <v>+</v>
      </c>
      <c r="L4893">
        <f>MAX(VLOOKUP(F4893,N$6:P$15,3,FALSE)/1000,2/3*D4888/1000)+F$16*F4893/1000</f>
        <v>0.192</v>
      </c>
      <c r="M4893" t="str">
        <v>=</v>
      </c>
      <c r="N4893">
        <f>J4893+L4893</f>
        <v>1.617</v>
      </c>
      <c r="O4893" t="str">
        <v>+</v>
      </c>
      <c r="P4893">
        <f>D4893-D4892</f>
        <v>0</v>
      </c>
      <c r="Q4893" t="str">
        <v>x</v>
      </c>
      <c r="R4893">
        <f>IF(P4893&gt;0,$F$18*F4893/1000,0)</f>
        <v>0</v>
      </c>
      <c r="S4893" t="str">
        <v>)</v>
      </c>
      <c r="T4893" t="str">
        <v>x</v>
      </c>
      <c r="U4893">
        <f>0.006165*F4893^2</f>
        <v>1.57824</v>
      </c>
      <c r="X4893" t="str">
        <v>x</v>
      </c>
      <c r="Y4893">
        <f>D4890</f>
        <v>1</v>
      </c>
      <c r="Z4893" t="str">
        <v>=</v>
      </c>
      <c r="AA4893">
        <f>IF(AA4894=0,(D4893*N4893+P4893*R4893)*U4893*Y4893,0)</f>
        <v>0</v>
      </c>
    </row>
    <row r="4894">
      <c r="A4894" t="str">
        <f>A4884</f>
        <v>Lantai 1</v>
      </c>
      <c r="B4894">
        <f>B4884</f>
        <v>66</v>
      </c>
      <c r="D4894">
        <f>IF(AND(D4891=D4892,D4892=D4893,D4891=D4893),D4891,0)</f>
        <v>3</v>
      </c>
      <c r="E4894" t="str">
        <v>D</v>
      </c>
      <c r="F4894">
        <f>IF(AND(F4891=F4892,F4891=F4893,F4892=F4893),F4891,0)</f>
        <v>16</v>
      </c>
      <c r="L4894" t="str">
        <v>Total panjang per balok</v>
      </c>
      <c r="M4894" t="str">
        <v>=</v>
      </c>
      <c r="N4894">
        <f>IF(AND(D4891=D4892,D4891=D4893,D4892=D4893,F4891=F4892,F4891=F4893,F4892=F4893),SUM(N4891:N4893),0)</f>
        <v>6.0840000000000005</v>
      </c>
      <c r="O4894" t="str">
        <v>+</v>
      </c>
      <c r="P4894">
        <f>IF(N4894&gt;12,ROUNDDOWN(N4894/12,0),0)</f>
        <v>0</v>
      </c>
      <c r="Q4894" t="str">
        <v>x</v>
      </c>
      <c r="R4894">
        <f>IF(P4894&gt;0,MAX(VLOOKUP(F4894,$D$6:$G$15,3,FALSE),600),0)/1000</f>
        <v>0</v>
      </c>
      <c r="T4894" t="str">
        <v>x</v>
      </c>
      <c r="U4894">
        <f>U4893</f>
        <v>1.57824</v>
      </c>
      <c r="V4894" t="str">
        <v>x</v>
      </c>
      <c r="W4894">
        <f>D4894</f>
        <v>3</v>
      </c>
      <c r="X4894" t="str">
        <v>x</v>
      </c>
      <c r="Y4894">
        <f>Y4893</f>
        <v>1</v>
      </c>
      <c r="Z4894" t="str">
        <v>=</v>
      </c>
      <c r="AA4894">
        <f>(N4894+P4894*R4894/1000)*U4894*W4894*Y4894</f>
        <v>28.806036480000003</v>
      </c>
    </row>
    <row r="4896">
      <c r="A4896" t="str">
        <f>A4884</f>
        <v>Lantai 1</v>
      </c>
      <c r="B4896">
        <f>B4884</f>
        <v>66</v>
      </c>
      <c r="C4896" t="str">
        <v>Tul Peminggang</v>
      </c>
      <c r="D4896">
        <f>VLOOKUP(D4884,'Detail Balok'!$C$10:$AU$110,13,FALSE)</f>
        <v>2</v>
      </c>
      <c r="E4896" t="str">
        <v>D</v>
      </c>
      <c r="F4896">
        <f>VLOOKUP(D4884,'Detail Balok'!$C$10:$AU$110,15,FALSE)</f>
        <v>8</v>
      </c>
      <c r="J4896">
        <f>+D4886/1000</f>
        <v>5.7</v>
      </c>
      <c r="K4896" t="str">
        <v>+</v>
      </c>
      <c r="L4896">
        <f>2*$F$16*F4896/1000</f>
        <v>0.192</v>
      </c>
      <c r="M4896" t="str">
        <v>=</v>
      </c>
      <c r="N4896">
        <f>J4896+L4896</f>
        <v>5.892</v>
      </c>
      <c r="O4896" t="str">
        <v>+</v>
      </c>
      <c r="P4896">
        <f>IF(N4896&gt;12,ROUNDDOWN(N4896/12,0),0)</f>
        <v>0</v>
      </c>
      <c r="Q4896" t="str">
        <v>x</v>
      </c>
      <c r="R4896">
        <f>IF(P4896&gt;0,MAX(VLOOKUP(F4896,$D$6:$G$15,3,FALSE),600),0)/1000</f>
        <v>0</v>
      </c>
      <c r="T4896" t="str">
        <v>x</v>
      </c>
      <c r="U4896">
        <f>0.006165*F4896^2</f>
        <v>0.39456</v>
      </c>
      <c r="V4896" t="str">
        <v>x</v>
      </c>
      <c r="W4896">
        <f>+D4896</f>
        <v>2</v>
      </c>
      <c r="X4896" t="str">
        <v>x</v>
      </c>
      <c r="Y4896">
        <f>D4890</f>
        <v>1</v>
      </c>
      <c r="Z4896" t="str">
        <v>=</v>
      </c>
      <c r="AA4896">
        <f>(N4896+P4896*R4896/1000)*U4896*W4896*Y4896</f>
        <v>4.649495040000001</v>
      </c>
    </row>
    <row r="4899">
      <c r="A4899" t="str">
        <f>A4884</f>
        <v>Lantai 1</v>
      </c>
      <c r="B4899">
        <f>B4884</f>
        <v>66</v>
      </c>
      <c r="C4899" t="str">
        <v>Tul Bawah Tumpuan</v>
      </c>
      <c r="D4899">
        <f>VLOOKUP(D4884,'Detail Balok'!$C$10:$AU$110,22,FALSE)</f>
        <v>3</v>
      </c>
      <c r="E4899" t="str">
        <v>D</v>
      </c>
      <c r="F4899">
        <f>VLOOKUP(D4884,'Detail Balok'!$C$10:$AU$110,24,FALSE)</f>
        <v>16</v>
      </c>
      <c r="I4899" t="str">
        <v>(</v>
      </c>
      <c r="J4899">
        <f>+J4891</f>
        <v>1.425</v>
      </c>
      <c r="K4899" t="str">
        <v>+</v>
      </c>
      <c r="L4899">
        <f>MAX(VLOOKUP(F4899,N$6:P$15,3,FALSE)/1000,2/3*D4889/1000)+F$16*F4899/1000</f>
        <v>0.192</v>
      </c>
      <c r="M4899" t="str">
        <v>=</v>
      </c>
      <c r="N4899">
        <f>J4899+L4899</f>
        <v>1.617</v>
      </c>
      <c r="O4899" t="str">
        <v>+</v>
      </c>
      <c r="P4899">
        <f>D4899-D4900</f>
        <v>0</v>
      </c>
      <c r="Q4899" t="str">
        <v>x</v>
      </c>
      <c r="R4899">
        <f>IF(P4899&gt;0,$F$18*F4899/1000,0)</f>
        <v>0</v>
      </c>
      <c r="S4899" t="str">
        <v>)</v>
      </c>
      <c r="T4899" t="str">
        <v>x</v>
      </c>
      <c r="U4899">
        <f>0.006165*F4899^2</f>
        <v>1.57824</v>
      </c>
      <c r="X4899" t="str">
        <v>x</v>
      </c>
      <c r="Y4899">
        <f>D4890</f>
        <v>1</v>
      </c>
      <c r="Z4899" t="str">
        <v>=</v>
      </c>
      <c r="AA4899">
        <f>IF(AA4902=0,(D4899*N4899+P4899*R4899)*U4899*Y4899,0)</f>
        <v>0</v>
      </c>
    </row>
    <row r="4900">
      <c r="A4900" t="str">
        <f>A4884</f>
        <v>Lantai 1</v>
      </c>
      <c r="B4900">
        <f>B4884</f>
        <v>66</v>
      </c>
      <c r="C4900" t="str">
        <v>Tul Bawah Lapangan</v>
      </c>
      <c r="D4900">
        <f>VLOOKUP(D4884,'Detail Balok'!$C$10:$AU$110,25,FALSE)</f>
        <v>3</v>
      </c>
      <c r="E4900" t="str">
        <v>D</v>
      </c>
      <c r="F4900">
        <f>VLOOKUP(D4884,'Detail Balok'!$C$10:$AU$110,27,FALSE)</f>
        <v>16</v>
      </c>
      <c r="I4900" t="str">
        <v>(</v>
      </c>
      <c r="J4900">
        <f>+J4892</f>
        <v>2.85</v>
      </c>
      <c r="K4900" t="str">
        <v>+</v>
      </c>
      <c r="M4900" t="str">
        <v>=</v>
      </c>
      <c r="N4900">
        <f>J4900+L4900</f>
        <v>2.85</v>
      </c>
      <c r="O4900" t="str">
        <v>+</v>
      </c>
      <c r="P4900">
        <f>MAX(D4900-D4899,D4900-D4901)</f>
        <v>0</v>
      </c>
      <c r="Q4900" t="str">
        <v>x</v>
      </c>
      <c r="R4900">
        <f>IF(P4900&gt;0,2*(1-2*$F$19-1/2)*D4887/1000,0)</f>
        <v>0</v>
      </c>
      <c r="S4900" t="str">
        <v>)</v>
      </c>
      <c r="T4900" t="str">
        <v>x</v>
      </c>
      <c r="U4900">
        <f>0.006165*F4900^2</f>
        <v>1.57824</v>
      </c>
      <c r="X4900" t="str">
        <v>x</v>
      </c>
      <c r="Y4900">
        <f>D4890</f>
        <v>1</v>
      </c>
      <c r="Z4900" t="str">
        <v>=</v>
      </c>
      <c r="AA4900">
        <f>IF(AA4902=0,(D4900*N4900+P4900*R4900)*U4900*Y4900,0)</f>
        <v>0</v>
      </c>
    </row>
    <row r="4901">
      <c r="A4901" t="str">
        <f>A4884</f>
        <v>Lantai 1</v>
      </c>
      <c r="B4901">
        <f>B4884</f>
        <v>66</v>
      </c>
      <c r="C4901" t="str">
        <v>Tul Bawah Tumpuan</v>
      </c>
      <c r="D4901">
        <f>VLOOKUP(D4884,'Detail Balok'!$C$10:$AU$110,28,FALSE)</f>
        <v>3</v>
      </c>
      <c r="E4901" t="str">
        <v>D</v>
      </c>
      <c r="F4901">
        <f>VLOOKUP(D4884,'Detail Balok'!$C$10:$AU$110,30,FALSE)</f>
        <v>16</v>
      </c>
      <c r="I4901" t="str">
        <v>(</v>
      </c>
      <c r="J4901">
        <f>+J4893</f>
        <v>1.425</v>
      </c>
      <c r="K4901" t="str">
        <v>+</v>
      </c>
      <c r="L4901">
        <f>MAX(VLOOKUP(F4901,N$6:P$15,3,FALSE)/1000,2/3*D4889/1000)+F$16*F4901/1000</f>
        <v>0.192</v>
      </c>
      <c r="M4901" t="str">
        <v>=</v>
      </c>
      <c r="N4901">
        <f>J4901+L4901</f>
        <v>1.617</v>
      </c>
      <c r="O4901" t="str">
        <v>+</v>
      </c>
      <c r="P4901">
        <f>D4901-D4900</f>
        <v>0</v>
      </c>
      <c r="Q4901" t="str">
        <v>x</v>
      </c>
      <c r="R4901">
        <f>IF(P4901&gt;0,$F$18*F4901/1000,0)</f>
        <v>0</v>
      </c>
      <c r="S4901" t="str">
        <v>)</v>
      </c>
      <c r="T4901" t="str">
        <v>x</v>
      </c>
      <c r="U4901">
        <f>0.006165*F4901^2</f>
        <v>1.57824</v>
      </c>
      <c r="X4901" t="str">
        <v>x</v>
      </c>
      <c r="Y4901">
        <f>D4890</f>
        <v>1</v>
      </c>
      <c r="Z4901" t="str">
        <v>=</v>
      </c>
      <c r="AA4901">
        <f>IF(AA4902=0,(D4901*N4901+P4901*R4901)*U4901*Y4901,0)</f>
        <v>0</v>
      </c>
    </row>
    <row r="4902">
      <c r="A4902" t="str">
        <f>A4884</f>
        <v>Lantai 1</v>
      </c>
      <c r="B4902">
        <f>B4884</f>
        <v>66</v>
      </c>
      <c r="D4902">
        <f>IF(AND(D4899=D4900,D4900=D4901,D4899=D4901),D4899,0)</f>
        <v>3</v>
      </c>
      <c r="E4902" t="str">
        <v>D</v>
      </c>
      <c r="F4902">
        <f>IF(AND(F4899=F4900,F4899=F4901,F4900=F4901),F4899,0)</f>
        <v>16</v>
      </c>
      <c r="L4902" t="str">
        <v>Total panjang per balok</v>
      </c>
      <c r="M4902" t="str">
        <v>=</v>
      </c>
      <c r="N4902">
        <f>IF(AND(D4899=D4900,D4899=D4901,D4900=D4901,F4899=F4900,F4899=F4901,F4900=F4901),SUM(N4899:N4901),0)</f>
        <v>6.0840000000000005</v>
      </c>
      <c r="O4902" t="str">
        <v>+</v>
      </c>
      <c r="P4902">
        <f>IF(N4902&gt;12,ROUNDDOWN(N4902/12,0),0)</f>
        <v>0</v>
      </c>
      <c r="Q4902" t="str">
        <v>x</v>
      </c>
      <c r="R4902">
        <f>IF(P4902&gt;0,MAX(VLOOKUP(F4902,$D$6:$G$15,3,FALSE),600),0)/1000</f>
        <v>0</v>
      </c>
      <c r="T4902" t="str">
        <v>x</v>
      </c>
      <c r="U4902">
        <f>U4901</f>
        <v>1.57824</v>
      </c>
      <c r="V4902" t="str">
        <v>x</v>
      </c>
      <c r="W4902">
        <f>D4902</f>
        <v>3</v>
      </c>
      <c r="X4902" t="str">
        <v>x</v>
      </c>
      <c r="Y4902">
        <f>Y4901</f>
        <v>1</v>
      </c>
      <c r="Z4902" t="str">
        <v>=</v>
      </c>
      <c r="AA4902">
        <f>(N4902+P4902*R4902/1000)*U4902*W4902*Y4902</f>
        <v>28.806036480000003</v>
      </c>
    </row>
    <row r="4904">
      <c r="A4904" t="str">
        <f>A4884</f>
        <v>Lantai 1</v>
      </c>
      <c r="B4904">
        <f>B4884</f>
        <v>66</v>
      </c>
      <c r="C4904" t="str">
        <v>Sengkang Tumpuan</v>
      </c>
      <c r="D4904">
        <f>VLOOKUP(D4884,'Detail Balok'!$C$10:$AU$110,31,FALSE)</f>
        <v>0</v>
      </c>
      <c r="E4904" t="str">
        <v>D</v>
      </c>
      <c r="F4904">
        <f>VLOOKUP(D4884,'Detail Balok'!$C$10:$AU$110,33,FALSE)</f>
        <v>8</v>
      </c>
      <c r="G4904" t="str">
        <v>-</v>
      </c>
      <c r="H4904">
        <f>VLOOKUP(D4884,'Detail Balok'!$C$10:$AU$110,35,FALSE)</f>
        <v>100</v>
      </c>
      <c r="J4904">
        <f>(IF(D4904=0,(2*(D4885+G4885))-(F$5*8),IF(D4904=3,(2*(D4885+G4885))-(F$5*8)+(G4885-2*F$5),IF(D4904=4,(2*(D4885+G4885))-(F$5*8)+2*(G4885-2*F$5)))))/1000</f>
        <v>0.98</v>
      </c>
      <c r="K4904" t="str">
        <v>+</v>
      </c>
      <c r="L4904">
        <f>IF(D4904=0,2*MAX(6*F4904,75),(D4904-1)*2*MAX(6*F4904,75))/1000</f>
        <v>0.15</v>
      </c>
      <c r="M4904" t="str">
        <v>=</v>
      </c>
      <c r="N4904">
        <f>J4904+L4904</f>
        <v>1.13</v>
      </c>
      <c r="T4904" t="str">
        <v>x</v>
      </c>
      <c r="U4904">
        <f>0.006165*F4904^2</f>
        <v>0.39456</v>
      </c>
      <c r="V4904" t="str">
        <v>x</v>
      </c>
      <c r="W4904">
        <f>IF(D4887&gt;4*G4885,ROUND(MAX(D4887/4,2*G4885)/H4904,0)+1,ROUND(D4887/H4904,0)+1)</f>
        <v>15</v>
      </c>
      <c r="X4904" t="str">
        <v>x</v>
      </c>
      <c r="Y4904">
        <f>D4890</f>
        <v>1</v>
      </c>
      <c r="Z4904" t="str">
        <v>=</v>
      </c>
      <c r="AA4904">
        <f>N4904*U4904*W4904*Y4904</f>
        <v>6.687792</v>
      </c>
    </row>
    <row r="4905">
      <c r="A4905" t="str">
        <f>A4884</f>
        <v>Lantai 1</v>
      </c>
      <c r="B4905">
        <f>B4884</f>
        <v>66</v>
      </c>
      <c r="C4905" t="str">
        <v>Sengkang Lapangan</v>
      </c>
      <c r="D4905">
        <f>VLOOKUP(D4884,'Detail Balok'!$C$10:$AU$110,36,FALSE)</f>
        <v>0</v>
      </c>
      <c r="E4905" t="str">
        <v>D</v>
      </c>
      <c r="F4905">
        <f>VLOOKUP(D4884,'Detail Balok'!$C$10:$AU$110,38,FALSE)</f>
        <v>8</v>
      </c>
      <c r="G4905" t="str">
        <v>-</v>
      </c>
      <c r="H4905">
        <f>VLOOKUP(D4884,'Detail Balok'!$C$10:$AU$110,40,FALSE)</f>
        <v>200</v>
      </c>
      <c r="J4905">
        <f>(IF(D4905=0,(2*(D4885+G4885))-(F$5*8),IF(D4905=3,(2*(D4885+G4885))-(F$5*8)+(G4885-2*F$5),IF(D4905=4,(2*(D4885+G4885))-(F$5*8)+2*(G4885-2*F$5)))))/1000</f>
        <v>0.98</v>
      </c>
      <c r="K4905" t="str">
        <v>+</v>
      </c>
      <c r="L4905">
        <f>IF(D4905=0,2*MAX(6*F4905,75),(D4905-1)*2*MAX(6*F4905,75))/1000</f>
        <v>0.15</v>
      </c>
      <c r="M4905" t="str">
        <v>=</v>
      </c>
      <c r="N4905">
        <f>J4905+L4905</f>
        <v>1.13</v>
      </c>
      <c r="T4905" t="str">
        <v>x</v>
      </c>
      <c r="U4905">
        <f>0.006165*F4905^2</f>
        <v>0.39456</v>
      </c>
      <c r="V4905" t="str">
        <v>x</v>
      </c>
      <c r="W4905">
        <f>IF(D4887-MAX(D4887/4,2*G4885)*2&gt;0,ROUND((D4887-MAX(D4887/4,2*G4885)*2)/H4905,0),0)</f>
        <v>14</v>
      </c>
      <c r="X4905" t="str">
        <v>x</v>
      </c>
      <c r="Y4905">
        <f>D4890</f>
        <v>1</v>
      </c>
      <c r="Z4905" t="str">
        <v>=</v>
      </c>
      <c r="AA4905">
        <f>N4905*U4905*W4905*Y4905</f>
        <v>6.2419392</v>
      </c>
    </row>
    <row r="4906">
      <c r="A4906" t="str">
        <f>A4884</f>
        <v>Lantai 1</v>
      </c>
      <c r="B4906">
        <f>B4884</f>
        <v>66</v>
      </c>
      <c r="C4906" t="str">
        <v>Sengkang Tumpuan</v>
      </c>
      <c r="D4906">
        <f>VLOOKUP(D4884,'Detail Balok'!$C$10:$AU$110,41,FALSE)</f>
        <v>0</v>
      </c>
      <c r="E4906" t="str">
        <v>D</v>
      </c>
      <c r="F4906">
        <f>VLOOKUP(D4884,'Detail Balok'!$C$10:$AU$110,43,FALSE)</f>
        <v>8</v>
      </c>
      <c r="G4906" t="str">
        <v>-</v>
      </c>
      <c r="H4906">
        <f>VLOOKUP(D4884,'Detail Balok'!$C$10:$AU$110,45,FALSE)</f>
        <v>100</v>
      </c>
      <c r="J4906">
        <f>(IF(D4906=0,(2*(D4885+G4885))-(F$5*8),IF(D4906=3,(2*(D4885+G4885))-(F$5*8)+(G4885-2*F$5),IF(D4906=4,(2*(D4885+G4885))-(F$5*8)+2*(G4885-2*F$5)))))/1000</f>
        <v>0.98</v>
      </c>
      <c r="K4906" t="str">
        <v>+</v>
      </c>
      <c r="L4906">
        <f>IF(D4906=0,2*MAX(6*F4906,75),(D4906-1)*2*MAX(6*F4906,75))/1000</f>
        <v>0.15</v>
      </c>
      <c r="M4906" t="str">
        <v>=</v>
      </c>
      <c r="N4906">
        <f>J4906+L4906</f>
        <v>1.13</v>
      </c>
      <c r="T4906" t="str">
        <v>x</v>
      </c>
      <c r="U4906">
        <f>0.006165*F4906^2</f>
        <v>0.39456</v>
      </c>
      <c r="V4906" t="str">
        <v>x</v>
      </c>
      <c r="W4906">
        <f>IF(D4887&gt;4*G4885,ROUND(MAX(D4887/4,2*G4885)/H4906,0)+1,0)</f>
        <v>15</v>
      </c>
      <c r="X4906" t="str">
        <v>x</v>
      </c>
      <c r="Y4906">
        <f>D4890</f>
        <v>1</v>
      </c>
      <c r="Z4906" t="str">
        <v>=</v>
      </c>
      <c r="AA4906">
        <f>N4906*U4906*W4906*Y4906</f>
        <v>6.687792</v>
      </c>
    </row>
    <row r="4908">
      <c r="A4908" t="str">
        <f>A4884</f>
        <v>Lantai 1</v>
      </c>
      <c r="B4908">
        <f>B4884</f>
        <v>66</v>
      </c>
      <c r="C4908" t="str">
        <v>Kait Horizontal Tump.</v>
      </c>
      <c r="D4908">
        <f>VLOOKUP(D4884,'Detail Balok'!$C$10:$BJ$110,46,FALSE)</f>
        <v>0</v>
      </c>
      <c r="E4908" t="str">
        <v>D</v>
      </c>
      <c r="F4908">
        <f>VLOOKUP(D4884,'Detail Balok'!$C$10:$BJ$110,48,FALSE)</f>
        <v>0</v>
      </c>
      <c r="G4908" t="str">
        <v>-</v>
      </c>
      <c r="H4908">
        <f>VLOOKUP(D4884,'Detail Balok'!$C$10:$BJ$110,50,FALSE)</f>
        <v>100</v>
      </c>
      <c r="J4908">
        <f>(D4885-2*F$5)/1000</f>
        <v>0.12</v>
      </c>
      <c r="K4908" t="str">
        <v>+</v>
      </c>
      <c r="L4908">
        <f>IF(D4908=0,2*MAX(6*F4908,75),(D4908-1)*2*MAX(6*F4908,75))/1000</f>
        <v>0.15</v>
      </c>
      <c r="M4908" t="str">
        <v>=</v>
      </c>
      <c r="N4908">
        <f>J4908+L4908</f>
        <v>0.27</v>
      </c>
      <c r="T4908" t="str">
        <v>x</v>
      </c>
      <c r="U4908">
        <f>0.006165*F4908^2</f>
        <v>0</v>
      </c>
      <c r="V4908" t="str">
        <v>x</v>
      </c>
      <c r="W4908">
        <f>W4904</f>
        <v>15</v>
      </c>
      <c r="X4908" t="str">
        <v>x</v>
      </c>
      <c r="Y4908">
        <f>D4894</f>
        <v>3</v>
      </c>
      <c r="Z4908" t="str">
        <v>=</v>
      </c>
      <c r="AA4908">
        <f>N4908*U4908*W4908*Y4908</f>
        <v>0</v>
      </c>
    </row>
    <row r="4909">
      <c r="A4909" t="str">
        <f>A4884</f>
        <v>Lantai 1</v>
      </c>
      <c r="B4909">
        <f>B4884</f>
        <v>66</v>
      </c>
      <c r="C4909" t="str">
        <v>Kait Horizontal Lap.</v>
      </c>
      <c r="D4909">
        <f>VLOOKUP(D4884,'Detail Balok'!$C$10:$BJ$110,51,FALSE)</f>
        <v>0</v>
      </c>
      <c r="E4909" t="str">
        <v>D</v>
      </c>
      <c r="F4909">
        <f>VLOOKUP(D4884,'Detail Balok'!$C$10:$BJ$110,53,FALSE)</f>
        <v>0</v>
      </c>
      <c r="G4909" t="str">
        <v>-</v>
      </c>
      <c r="H4909">
        <f>VLOOKUP(D4884,'Detail Balok'!$C$10:$BJ$110,55,FALSE)</f>
        <v>100</v>
      </c>
      <c r="J4909">
        <f>(D4885-2*F$5)/1000</f>
        <v>0.12</v>
      </c>
      <c r="K4909" t="str">
        <v>+</v>
      </c>
      <c r="L4909">
        <f>IF(D4909=0,2*MAX(6*F4909,75),(D4909-1)*2*MAX(6*F4909,75))/1000</f>
        <v>0.15</v>
      </c>
      <c r="M4909" t="str">
        <v>=</v>
      </c>
      <c r="N4909">
        <f>J4909+L4909</f>
        <v>0.27</v>
      </c>
      <c r="T4909" t="str">
        <v>x</v>
      </c>
      <c r="U4909">
        <f>0.006165*F4909^2</f>
        <v>0</v>
      </c>
      <c r="V4909" t="str">
        <v>x</v>
      </c>
      <c r="W4909">
        <f>W4905</f>
        <v>14</v>
      </c>
      <c r="X4909" t="str">
        <v>x</v>
      </c>
      <c r="Y4909">
        <f>D4894</f>
        <v>3</v>
      </c>
      <c r="Z4909" t="str">
        <v>=</v>
      </c>
      <c r="AA4909">
        <f>N4909*U4909*W4909*Y4909</f>
        <v>0</v>
      </c>
    </row>
    <row r="4910">
      <c r="A4910" t="str">
        <f>A4884</f>
        <v>Lantai 1</v>
      </c>
      <c r="B4910">
        <f>B4884</f>
        <v>66</v>
      </c>
      <c r="C4910" t="str">
        <v>Kait Horizontal Tump.</v>
      </c>
      <c r="D4910">
        <f>VLOOKUP(D4884,'Detail Balok'!$C$10:$BJ$110,56,FALSE)</f>
        <v>0</v>
      </c>
      <c r="E4910" t="str">
        <v>D</v>
      </c>
      <c r="F4910">
        <f>VLOOKUP(D4884,'Detail Balok'!$C$10:$BJ$110,58,FALSE)</f>
        <v>0</v>
      </c>
      <c r="G4910" t="str">
        <v>-</v>
      </c>
      <c r="H4910">
        <f>VLOOKUP(D4884,'Detail Balok'!$C$10:$BJ$110,60,FALSE)</f>
        <v>100</v>
      </c>
      <c r="J4910">
        <f>(D4885-2*F$5)/1000</f>
        <v>0.12</v>
      </c>
      <c r="K4910" t="str">
        <v>+</v>
      </c>
      <c r="L4910">
        <f>IF(D4910=0,2*MAX(6*F4910,75),(D4910-1)*2*MAX(6*F4910,75))/1000</f>
        <v>0.15</v>
      </c>
      <c r="M4910" t="str">
        <v>=</v>
      </c>
      <c r="N4910">
        <f>J4910+L4910</f>
        <v>0.27</v>
      </c>
      <c r="T4910" t="str">
        <v>x</v>
      </c>
      <c r="U4910">
        <f>0.006165*F4910^2</f>
        <v>0</v>
      </c>
      <c r="V4910" t="str">
        <v>x</v>
      </c>
      <c r="W4910">
        <f>W4906</f>
        <v>15</v>
      </c>
      <c r="X4910" t="str">
        <v>x</v>
      </c>
      <c r="Y4910">
        <f>D4894</f>
        <v>3</v>
      </c>
      <c r="Z4910" t="str">
        <v>=</v>
      </c>
      <c r="AA4910">
        <f>N4910*U4910*W4910*Y4910</f>
        <v>0</v>
      </c>
    </row>
    <row r="4914">
      <c r="A4914" t="str">
        <f>A4884</f>
        <v>Lantai 1</v>
      </c>
      <c r="B4914">
        <f>B4884+1</f>
        <v>67</v>
      </c>
      <c r="C4914" t="str">
        <f>CONCATENATE(A4914," no. ",B4914)</f>
        <v>Lantai 1 no. 67</v>
      </c>
      <c r="D4914" t="str">
        <f>VLOOKUP(C4914,'Data Panjang Balok'!$C$9:$N$424,2,FALSE)</f>
        <v>B245-1</v>
      </c>
    </row>
    <row r="4915">
      <c r="C4915" t="str">
        <v>Dimensi</v>
      </c>
      <c r="D4915">
        <f>VLOOKUP(D4914,'Detail Balok'!$C$10:$AU$110,2,FALSE)</f>
        <v>200</v>
      </c>
      <c r="F4915" t="str">
        <v>x</v>
      </c>
      <c r="G4915">
        <f>VLOOKUP(D4914,'Detail Balok'!$C$10:$AU$110,3,FALSE)</f>
        <v>450</v>
      </c>
    </row>
    <row r="4916">
      <c r="C4916" t="str">
        <v>Panjang as ke as</v>
      </c>
      <c r="D4916">
        <f>VLOOKUP(C4914,'Data Panjang Balok'!$C$9:$N$424,4,FALSE)</f>
        <v>2500</v>
      </c>
    </row>
    <row r="4917">
      <c r="C4917" t="str">
        <v>Panjang netto</v>
      </c>
      <c r="D4917">
        <f>VLOOKUP(C4914,'Data Panjang Balok'!$C$9:$N$424,7,FALSE)</f>
        <v>2500</v>
      </c>
    </row>
    <row r="4918">
      <c r="C4918" t="str">
        <v>Kolom / balok kiri</v>
      </c>
      <c r="D4918">
        <f>VLOOKUP(C4914,'Data Panjang Balok'!$C$9:$N$424,9,FALSE)</f>
        <v>0</v>
      </c>
    </row>
    <row r="4919">
      <c r="C4919" t="str">
        <v>Kolom / balok kanan</v>
      </c>
      <c r="D4919">
        <f>VLOOKUP(C4914,'Data Panjang Balok'!$C$9:$N$424,10,FALSE)</f>
        <v>0</v>
      </c>
    </row>
    <row r="4920">
      <c r="C4920" t="str">
        <v>Jumlah</v>
      </c>
      <c r="D4920">
        <f>VLOOKUP(C4914,'Data Panjang Balok'!$C$9:$N$424,3,FALSE)</f>
        <v>1</v>
      </c>
    </row>
    <row r="4921">
      <c r="A4921" t="str">
        <f>A4914</f>
        <v>Lantai 1</v>
      </c>
      <c r="B4921">
        <f>B4914</f>
        <v>67</v>
      </c>
      <c r="C4921" t="str">
        <v>Tul Atas Tumpuan</v>
      </c>
      <c r="D4921">
        <f>VLOOKUP(D4914,'Detail Balok'!$C$10:$AU$110,4,FALSE)</f>
        <v>2</v>
      </c>
      <c r="E4921" t="str">
        <v>D</v>
      </c>
      <c r="F4921">
        <f>VLOOKUP(D4914,'Detail Balok'!$C$10:$AU$110,6,FALSE)</f>
        <v>13</v>
      </c>
      <c r="I4921" t="str">
        <v>(</v>
      </c>
      <c r="J4921">
        <f>+D4916/4/1000</f>
        <v>0.625</v>
      </c>
      <c r="K4921" t="str">
        <v>+</v>
      </c>
      <c r="L4921">
        <f>MAX(VLOOKUP(F4921,N$6:P$15,3,FALSE)/1000,2/3*D4918/1000)+F$16*F4921/1000</f>
        <v>0.156</v>
      </c>
      <c r="M4921" t="str">
        <v>=</v>
      </c>
      <c r="N4921">
        <f>J4921+L4921</f>
        <v>0.781</v>
      </c>
      <c r="O4921" t="str">
        <v>+</v>
      </c>
      <c r="P4921">
        <f>D4921-D4922</f>
        <v>0</v>
      </c>
      <c r="Q4921" t="str">
        <v>x</v>
      </c>
      <c r="R4921">
        <f>IF(P4921&gt;0,$F$18*F4921/1000,0)</f>
        <v>0</v>
      </c>
      <c r="S4921" t="str">
        <v>)</v>
      </c>
      <c r="T4921" t="str">
        <v>x</v>
      </c>
      <c r="U4921">
        <f>0.006165*F4921^2</f>
        <v>1.041885</v>
      </c>
      <c r="X4921" t="str">
        <v>x</v>
      </c>
      <c r="Y4921">
        <f>D4920</f>
        <v>1</v>
      </c>
      <c r="Z4921" t="str">
        <v>=</v>
      </c>
      <c r="AA4921">
        <f>IF(AA4924=0,(D4921*N4921+P4921*R4921)*U4921*Y4921,0)</f>
        <v>0</v>
      </c>
    </row>
    <row r="4922">
      <c r="A4922" t="str">
        <f>A4914</f>
        <v>Lantai 1</v>
      </c>
      <c r="B4922">
        <f>B4914</f>
        <v>67</v>
      </c>
      <c r="C4922" t="str">
        <v>Tul Atas Lapangan</v>
      </c>
      <c r="D4922">
        <f>VLOOKUP(D4914,'Detail Balok'!$C$10:$AU$110,7,FALSE)</f>
        <v>2</v>
      </c>
      <c r="E4922" t="str">
        <v>D</v>
      </c>
      <c r="F4922">
        <f>VLOOKUP(D4914,'Detail Balok'!$C$10:$AU$110,9,FALSE)</f>
        <v>13</v>
      </c>
      <c r="I4922" t="str">
        <v>(</v>
      </c>
      <c r="J4922">
        <f>+D4916/2/1000</f>
        <v>1.25</v>
      </c>
      <c r="K4922" t="str">
        <v>+</v>
      </c>
      <c r="M4922" t="str">
        <v>=</v>
      </c>
      <c r="N4922">
        <f>J4922+L4922</f>
        <v>1.25</v>
      </c>
      <c r="O4922" t="str">
        <v>+</v>
      </c>
      <c r="P4922">
        <f>MAX(D4922-D4921,D4922-D4923)</f>
        <v>0</v>
      </c>
      <c r="Q4922" t="str">
        <v>x</v>
      </c>
      <c r="R4922">
        <f>IF(P4922&gt;0,2*(1-2*$F$19-1/2)*D4917/1000,0)</f>
        <v>0</v>
      </c>
      <c r="S4922" t="str">
        <v>)</v>
      </c>
      <c r="T4922" t="str">
        <v>x</v>
      </c>
      <c r="U4922">
        <f>0.006165*F4922^2</f>
        <v>1.041885</v>
      </c>
      <c r="X4922" t="str">
        <v>x</v>
      </c>
      <c r="Y4922">
        <f>D4920</f>
        <v>1</v>
      </c>
      <c r="Z4922" t="str">
        <v>=</v>
      </c>
      <c r="AA4922">
        <f>IF(AA4924=0,(D4922*N4922+P4922*R4922)*U4922*Y4922,0)</f>
        <v>0</v>
      </c>
    </row>
    <row r="4923">
      <c r="A4923" t="str">
        <f>A4914</f>
        <v>Lantai 1</v>
      </c>
      <c r="B4923">
        <f>B4914</f>
        <v>67</v>
      </c>
      <c r="C4923" t="str">
        <v>Tul Atas Tumpuan</v>
      </c>
      <c r="D4923">
        <f>VLOOKUP(D4914,'Detail Balok'!$C$10:$AU$110,10,FALSE)</f>
        <v>2</v>
      </c>
      <c r="E4923" t="str">
        <v>D</v>
      </c>
      <c r="F4923">
        <f>VLOOKUP(D4914,'Detail Balok'!$C$10:$AU$110,12,FALSE)</f>
        <v>13</v>
      </c>
      <c r="I4923" t="str">
        <v>(</v>
      </c>
      <c r="J4923">
        <f>+D4916/4/1000</f>
        <v>0.625</v>
      </c>
      <c r="K4923" t="str">
        <v>+</v>
      </c>
      <c r="L4923">
        <f>MAX(VLOOKUP(F4923,N$6:P$15,3,FALSE)/1000,2/3*D4918/1000)+F$16*F4923/1000</f>
        <v>0.156</v>
      </c>
      <c r="M4923" t="str">
        <v>=</v>
      </c>
      <c r="N4923">
        <f>J4923+L4923</f>
        <v>0.781</v>
      </c>
      <c r="O4923" t="str">
        <v>+</v>
      </c>
      <c r="P4923">
        <f>D4923-D4922</f>
        <v>0</v>
      </c>
      <c r="Q4923" t="str">
        <v>x</v>
      </c>
      <c r="R4923">
        <f>IF(P4923&gt;0,$F$18*F4923/1000,0)</f>
        <v>0</v>
      </c>
      <c r="S4923" t="str">
        <v>)</v>
      </c>
      <c r="T4923" t="str">
        <v>x</v>
      </c>
      <c r="U4923">
        <f>0.006165*F4923^2</f>
        <v>1.041885</v>
      </c>
      <c r="X4923" t="str">
        <v>x</v>
      </c>
      <c r="Y4923">
        <f>D4920</f>
        <v>1</v>
      </c>
      <c r="Z4923" t="str">
        <v>=</v>
      </c>
      <c r="AA4923">
        <f>IF(AA4924=0,(D4923*N4923+P4923*R4923)*U4923*Y4923,0)</f>
        <v>0</v>
      </c>
    </row>
    <row r="4924">
      <c r="A4924" t="str">
        <f>A4914</f>
        <v>Lantai 1</v>
      </c>
      <c r="B4924">
        <f>B4914</f>
        <v>67</v>
      </c>
      <c r="D4924">
        <f>IF(AND(D4921=D4922,D4922=D4923,D4921=D4923),D4921,0)</f>
        <v>2</v>
      </c>
      <c r="E4924" t="str">
        <v>D</v>
      </c>
      <c r="F4924">
        <f>IF(AND(F4921=F4922,F4921=F4923,F4922=F4923),F4921,0)</f>
        <v>13</v>
      </c>
      <c r="L4924" t="str">
        <v>Total panjang per balok</v>
      </c>
      <c r="M4924" t="str">
        <v>=</v>
      </c>
      <c r="N4924">
        <f>IF(AND(D4921=D4922,D4921=D4923,D4922=D4923,F4921=F4922,F4921=F4923,F4922=F4923),SUM(N4921:N4923),0)</f>
        <v>2.8120000000000003</v>
      </c>
      <c r="O4924" t="str">
        <v>+</v>
      </c>
      <c r="P4924">
        <f>IF(N4924&gt;12,ROUNDDOWN(N4924/12,0),0)</f>
        <v>0</v>
      </c>
      <c r="Q4924" t="str">
        <v>x</v>
      </c>
      <c r="R4924">
        <f>IF(P4924&gt;0,MAX(VLOOKUP(F4924,$D$6:$G$15,3,FALSE),600),0)/1000</f>
        <v>0</v>
      </c>
      <c r="T4924" t="str">
        <v>x</v>
      </c>
      <c r="U4924">
        <f>U4923</f>
        <v>1.041885</v>
      </c>
      <c r="V4924" t="str">
        <v>x</v>
      </c>
      <c r="W4924">
        <f>D4924</f>
        <v>2</v>
      </c>
      <c r="X4924" t="str">
        <v>x</v>
      </c>
      <c r="Y4924">
        <f>Y4923</f>
        <v>1</v>
      </c>
      <c r="Z4924" t="str">
        <v>=</v>
      </c>
      <c r="AA4924">
        <f>(N4924+P4924*R4924/1000)*U4924*W4924*Y4924</f>
        <v>5.859561240000001</v>
      </c>
    </row>
    <row r="4926">
      <c r="A4926" t="str">
        <f>A4914</f>
        <v>Lantai 1</v>
      </c>
      <c r="B4926">
        <f>B4914</f>
        <v>67</v>
      </c>
      <c r="C4926" t="str">
        <v>Tul Peminggang</v>
      </c>
      <c r="D4926">
        <f>VLOOKUP(D4914,'Detail Balok'!$C$10:$AU$110,13,FALSE)</f>
        <v>2</v>
      </c>
      <c r="E4926" t="str">
        <v>D</v>
      </c>
      <c r="F4926">
        <f>VLOOKUP(D4914,'Detail Balok'!$C$10:$AU$110,15,FALSE)</f>
        <v>8</v>
      </c>
      <c r="J4926">
        <f>+D4916/1000</f>
        <v>2.5</v>
      </c>
      <c r="K4926" t="str">
        <v>+</v>
      </c>
      <c r="L4926">
        <f>2*$F$16*F4926/1000</f>
        <v>0.192</v>
      </c>
      <c r="M4926" t="str">
        <v>=</v>
      </c>
      <c r="N4926">
        <f>J4926+L4926</f>
        <v>2.692</v>
      </c>
      <c r="O4926" t="str">
        <v>+</v>
      </c>
      <c r="P4926">
        <f>IF(N4926&gt;12,ROUNDDOWN(N4926/12,0),0)</f>
        <v>0</v>
      </c>
      <c r="Q4926" t="str">
        <v>x</v>
      </c>
      <c r="R4926">
        <f>IF(P4926&gt;0,MAX(VLOOKUP(F4926,$D$6:$G$15,3,FALSE),600),0)/1000</f>
        <v>0</v>
      </c>
      <c r="T4926" t="str">
        <v>x</v>
      </c>
      <c r="U4926">
        <f>0.006165*F4926^2</f>
        <v>0.39456</v>
      </c>
      <c r="V4926" t="str">
        <v>x</v>
      </c>
      <c r="W4926">
        <f>+D4926</f>
        <v>2</v>
      </c>
      <c r="X4926" t="str">
        <v>x</v>
      </c>
      <c r="Y4926">
        <f>D4920</f>
        <v>1</v>
      </c>
      <c r="Z4926" t="str">
        <v>=</v>
      </c>
      <c r="AA4926">
        <f>(N4926+P4926*R4926/1000)*U4926*W4926*Y4926</f>
        <v>2.1243110400000003</v>
      </c>
    </row>
    <row r="4929">
      <c r="A4929" t="str">
        <f>A4914</f>
        <v>Lantai 1</v>
      </c>
      <c r="B4929">
        <f>B4914</f>
        <v>67</v>
      </c>
      <c r="C4929" t="str">
        <v>Tul Bawah Tumpuan</v>
      </c>
      <c r="D4929">
        <f>VLOOKUP(D4914,'Detail Balok'!$C$10:$AU$110,22,FALSE)</f>
        <v>2</v>
      </c>
      <c r="E4929" t="str">
        <v>D</v>
      </c>
      <c r="F4929">
        <f>VLOOKUP(D4914,'Detail Balok'!$C$10:$AU$110,24,FALSE)</f>
        <v>13</v>
      </c>
      <c r="I4929" t="str">
        <v>(</v>
      </c>
      <c r="J4929">
        <f>+J4921</f>
        <v>0.625</v>
      </c>
      <c r="K4929" t="str">
        <v>+</v>
      </c>
      <c r="L4929">
        <f>MAX(VLOOKUP(F4929,N$6:P$15,3,FALSE)/1000,2/3*D4919/1000)+F$16*F4929/1000</f>
        <v>0.156</v>
      </c>
      <c r="M4929" t="str">
        <v>=</v>
      </c>
      <c r="N4929">
        <f>J4929+L4929</f>
        <v>0.781</v>
      </c>
      <c r="O4929" t="str">
        <v>+</v>
      </c>
      <c r="P4929">
        <f>D4929-D4930</f>
        <v>0</v>
      </c>
      <c r="Q4929" t="str">
        <v>x</v>
      </c>
      <c r="R4929">
        <f>IF(P4929&gt;0,$F$18*F4929/1000,0)</f>
        <v>0</v>
      </c>
      <c r="S4929" t="str">
        <v>)</v>
      </c>
      <c r="T4929" t="str">
        <v>x</v>
      </c>
      <c r="U4929">
        <f>0.006165*F4929^2</f>
        <v>1.041885</v>
      </c>
      <c r="X4929" t="str">
        <v>x</v>
      </c>
      <c r="Y4929">
        <f>D4920</f>
        <v>1</v>
      </c>
      <c r="Z4929" t="str">
        <v>=</v>
      </c>
      <c r="AA4929">
        <f>IF(AA4932=0,(D4929*N4929+P4929*R4929)*U4929*Y4929,0)</f>
        <v>0</v>
      </c>
    </row>
    <row r="4930">
      <c r="A4930" t="str">
        <f>A4914</f>
        <v>Lantai 1</v>
      </c>
      <c r="B4930">
        <f>B4914</f>
        <v>67</v>
      </c>
      <c r="C4930" t="str">
        <v>Tul Bawah Lapangan</v>
      </c>
      <c r="D4930">
        <f>VLOOKUP(D4914,'Detail Balok'!$C$10:$AU$110,25,FALSE)</f>
        <v>2</v>
      </c>
      <c r="E4930" t="str">
        <v>D</v>
      </c>
      <c r="F4930">
        <f>VLOOKUP(D4914,'Detail Balok'!$C$10:$AU$110,27,FALSE)</f>
        <v>13</v>
      </c>
      <c r="I4930" t="str">
        <v>(</v>
      </c>
      <c r="J4930">
        <f>+J4922</f>
        <v>1.25</v>
      </c>
      <c r="K4930" t="str">
        <v>+</v>
      </c>
      <c r="M4930" t="str">
        <v>=</v>
      </c>
      <c r="N4930">
        <f>J4930+L4930</f>
        <v>1.25</v>
      </c>
      <c r="O4930" t="str">
        <v>+</v>
      </c>
      <c r="P4930">
        <f>MAX(D4930-D4929,D4930-D4931)</f>
        <v>0</v>
      </c>
      <c r="Q4930" t="str">
        <v>x</v>
      </c>
      <c r="R4930">
        <f>IF(P4930&gt;0,2*(1-2*$F$19-1/2)*D4917/1000,0)</f>
        <v>0</v>
      </c>
      <c r="S4930" t="str">
        <v>)</v>
      </c>
      <c r="T4930" t="str">
        <v>x</v>
      </c>
      <c r="U4930">
        <f>0.006165*F4930^2</f>
        <v>1.041885</v>
      </c>
      <c r="X4930" t="str">
        <v>x</v>
      </c>
      <c r="Y4930">
        <f>D4920</f>
        <v>1</v>
      </c>
      <c r="Z4930" t="str">
        <v>=</v>
      </c>
      <c r="AA4930">
        <f>IF(AA4932=0,(D4930*N4930+P4930*R4930)*U4930*Y4930,0)</f>
        <v>0</v>
      </c>
    </row>
    <row r="4931">
      <c r="A4931" t="str">
        <f>A4914</f>
        <v>Lantai 1</v>
      </c>
      <c r="B4931">
        <f>B4914</f>
        <v>67</v>
      </c>
      <c r="C4931" t="str">
        <v>Tul Bawah Tumpuan</v>
      </c>
      <c r="D4931">
        <f>VLOOKUP(D4914,'Detail Balok'!$C$10:$AU$110,28,FALSE)</f>
        <v>2</v>
      </c>
      <c r="E4931" t="str">
        <v>D</v>
      </c>
      <c r="F4931">
        <f>VLOOKUP(D4914,'Detail Balok'!$C$10:$AU$110,30,FALSE)</f>
        <v>13</v>
      </c>
      <c r="I4931" t="str">
        <v>(</v>
      </c>
      <c r="J4931">
        <f>+J4923</f>
        <v>0.625</v>
      </c>
      <c r="K4931" t="str">
        <v>+</v>
      </c>
      <c r="L4931">
        <f>MAX(VLOOKUP(F4931,N$6:P$15,3,FALSE)/1000,2/3*D4919/1000)+F$16*F4931/1000</f>
        <v>0.156</v>
      </c>
      <c r="M4931" t="str">
        <v>=</v>
      </c>
      <c r="N4931">
        <f>J4931+L4931</f>
        <v>0.781</v>
      </c>
      <c r="O4931" t="str">
        <v>+</v>
      </c>
      <c r="P4931">
        <f>D4931-D4930</f>
        <v>0</v>
      </c>
      <c r="Q4931" t="str">
        <v>x</v>
      </c>
      <c r="R4931">
        <f>IF(P4931&gt;0,$F$18*F4931/1000,0)</f>
        <v>0</v>
      </c>
      <c r="S4931" t="str">
        <v>)</v>
      </c>
      <c r="T4931" t="str">
        <v>x</v>
      </c>
      <c r="U4931">
        <f>0.006165*F4931^2</f>
        <v>1.041885</v>
      </c>
      <c r="X4931" t="str">
        <v>x</v>
      </c>
      <c r="Y4931">
        <f>D4920</f>
        <v>1</v>
      </c>
      <c r="Z4931" t="str">
        <v>=</v>
      </c>
      <c r="AA4931">
        <f>IF(AA4932=0,(D4931*N4931+P4931*R4931)*U4931*Y4931,0)</f>
        <v>0</v>
      </c>
    </row>
    <row r="4932">
      <c r="A4932" t="str">
        <f>A4914</f>
        <v>Lantai 1</v>
      </c>
      <c r="B4932">
        <f>B4914</f>
        <v>67</v>
      </c>
      <c r="D4932">
        <f>IF(AND(D4929=D4930,D4930=D4931,D4929=D4931),D4929,0)</f>
        <v>2</v>
      </c>
      <c r="E4932" t="str">
        <v>D</v>
      </c>
      <c r="F4932">
        <f>IF(AND(F4929=F4930,F4929=F4931,F4930=F4931),F4929,0)</f>
        <v>13</v>
      </c>
      <c r="L4932" t="str">
        <v>Total panjang per balok</v>
      </c>
      <c r="M4932" t="str">
        <v>=</v>
      </c>
      <c r="N4932">
        <f>IF(AND(D4929=D4930,D4929=D4931,D4930=D4931,F4929=F4930,F4929=F4931,F4930=F4931),SUM(N4929:N4931),0)</f>
        <v>2.8120000000000003</v>
      </c>
      <c r="O4932" t="str">
        <v>+</v>
      </c>
      <c r="P4932">
        <f>IF(N4932&gt;12,ROUNDDOWN(N4932/12,0),0)</f>
        <v>0</v>
      </c>
      <c r="Q4932" t="str">
        <v>x</v>
      </c>
      <c r="R4932">
        <f>IF(P4932&gt;0,MAX(VLOOKUP(F4932,$D$6:$G$15,3,FALSE),600),0)/1000</f>
        <v>0</v>
      </c>
      <c r="T4932" t="str">
        <v>x</v>
      </c>
      <c r="U4932">
        <f>U4931</f>
        <v>1.041885</v>
      </c>
      <c r="V4932" t="str">
        <v>x</v>
      </c>
      <c r="W4932">
        <f>D4932</f>
        <v>2</v>
      </c>
      <c r="X4932" t="str">
        <v>x</v>
      </c>
      <c r="Y4932">
        <f>Y4931</f>
        <v>1</v>
      </c>
      <c r="Z4932" t="str">
        <v>=</v>
      </c>
      <c r="AA4932">
        <f>(N4932+P4932*R4932/1000)*U4932*W4932*Y4932</f>
        <v>5.859561240000001</v>
      </c>
    </row>
    <row r="4934">
      <c r="A4934" t="str">
        <f>A4914</f>
        <v>Lantai 1</v>
      </c>
      <c r="B4934">
        <f>B4914</f>
        <v>67</v>
      </c>
      <c r="C4934" t="str">
        <v>Sengkang Tumpuan</v>
      </c>
      <c r="D4934">
        <f>VLOOKUP(D4914,'Detail Balok'!$C$10:$AU$110,31,FALSE)</f>
        <v>0</v>
      </c>
      <c r="E4934" t="str">
        <v>D</v>
      </c>
      <c r="F4934">
        <f>VLOOKUP(D4914,'Detail Balok'!$C$10:$AU$110,33,FALSE)</f>
        <v>8</v>
      </c>
      <c r="G4934" t="str">
        <v>-</v>
      </c>
      <c r="H4934">
        <f>VLOOKUP(D4914,'Detail Balok'!$C$10:$AU$110,35,FALSE)</f>
        <v>100</v>
      </c>
      <c r="J4934">
        <f>(IF(D4934=0,(2*(D4915+G4915))-(F$5*8),IF(D4934=3,(2*(D4915+G4915))-(F$5*8)+(G4915-2*F$5),IF(D4934=4,(2*(D4915+G4915))-(F$5*8)+2*(G4915-2*F$5)))))/1000</f>
        <v>0.98</v>
      </c>
      <c r="K4934" t="str">
        <v>+</v>
      </c>
      <c r="L4934">
        <f>IF(D4934=0,2*MAX(6*F4934,75),(D4934-1)*2*MAX(6*F4934,75))/1000</f>
        <v>0.15</v>
      </c>
      <c r="M4934" t="str">
        <v>=</v>
      </c>
      <c r="N4934">
        <f>J4934+L4934</f>
        <v>1.13</v>
      </c>
      <c r="T4934" t="str">
        <v>x</v>
      </c>
      <c r="U4934">
        <f>0.006165*F4934^2</f>
        <v>0.39456</v>
      </c>
      <c r="V4934" t="str">
        <v>x</v>
      </c>
      <c r="W4934">
        <f>IF(D4917&gt;4*G4915,ROUND(MAX(D4917/4,2*G4915)/H4934,0)+1,ROUND(D4917/H4934,0)+1)</f>
        <v>10</v>
      </c>
      <c r="X4934" t="str">
        <v>x</v>
      </c>
      <c r="Y4934">
        <f>D4920</f>
        <v>1</v>
      </c>
      <c r="Z4934" t="str">
        <v>=</v>
      </c>
      <c r="AA4934">
        <f>N4934*U4934*W4934*Y4934</f>
        <v>4.458528</v>
      </c>
    </row>
    <row r="4935">
      <c r="A4935" t="str">
        <f>A4914</f>
        <v>Lantai 1</v>
      </c>
      <c r="B4935">
        <f>B4914</f>
        <v>67</v>
      </c>
      <c r="C4935" t="str">
        <v>Sengkang Lapangan</v>
      </c>
      <c r="D4935">
        <f>VLOOKUP(D4914,'Detail Balok'!$C$10:$AU$110,36,FALSE)</f>
        <v>0</v>
      </c>
      <c r="E4935" t="str">
        <v>D</v>
      </c>
      <c r="F4935">
        <f>VLOOKUP(D4914,'Detail Balok'!$C$10:$AU$110,38,FALSE)</f>
        <v>8</v>
      </c>
      <c r="G4935" t="str">
        <v>-</v>
      </c>
      <c r="H4935">
        <f>VLOOKUP(D4914,'Detail Balok'!$C$10:$AU$110,40,FALSE)</f>
        <v>200</v>
      </c>
      <c r="J4935">
        <f>(IF(D4935=0,(2*(D4915+G4915))-(F$5*8),IF(D4935=3,(2*(D4915+G4915))-(F$5*8)+(G4915-2*F$5),IF(D4935=4,(2*(D4915+G4915))-(F$5*8)+2*(G4915-2*F$5)))))/1000</f>
        <v>0.98</v>
      </c>
      <c r="K4935" t="str">
        <v>+</v>
      </c>
      <c r="L4935">
        <f>IF(D4935=0,2*MAX(6*F4935,75),(D4935-1)*2*MAX(6*F4935,75))/1000</f>
        <v>0.15</v>
      </c>
      <c r="M4935" t="str">
        <v>=</v>
      </c>
      <c r="N4935">
        <f>J4935+L4935</f>
        <v>1.13</v>
      </c>
      <c r="T4935" t="str">
        <v>x</v>
      </c>
      <c r="U4935">
        <f>0.006165*F4935^2</f>
        <v>0.39456</v>
      </c>
      <c r="V4935" t="str">
        <v>x</v>
      </c>
      <c r="W4935">
        <f>IF(D4917-MAX(D4917/4,2*G4915)*2&gt;0,ROUND((D4917-MAX(D4917/4,2*G4915)*2)/H4935,0),0)</f>
        <v>4</v>
      </c>
      <c r="X4935" t="str">
        <v>x</v>
      </c>
      <c r="Y4935">
        <f>D4920</f>
        <v>1</v>
      </c>
      <c r="Z4935" t="str">
        <v>=</v>
      </c>
      <c r="AA4935">
        <f>N4935*U4935*W4935*Y4935</f>
        <v>1.7834112</v>
      </c>
    </row>
    <row r="4936">
      <c r="A4936" t="str">
        <f>A4914</f>
        <v>Lantai 1</v>
      </c>
      <c r="B4936">
        <f>B4914</f>
        <v>67</v>
      </c>
      <c r="C4936" t="str">
        <v>Sengkang Tumpuan</v>
      </c>
      <c r="D4936">
        <f>VLOOKUP(D4914,'Detail Balok'!$C$10:$AU$110,41,FALSE)</f>
        <v>0</v>
      </c>
      <c r="E4936" t="str">
        <v>D</v>
      </c>
      <c r="F4936">
        <f>VLOOKUP(D4914,'Detail Balok'!$C$10:$AU$110,43,FALSE)</f>
        <v>8</v>
      </c>
      <c r="G4936" t="str">
        <v>-</v>
      </c>
      <c r="H4936">
        <f>VLOOKUP(D4914,'Detail Balok'!$C$10:$AU$110,45,FALSE)</f>
        <v>100</v>
      </c>
      <c r="J4936">
        <f>(IF(D4936=0,(2*(D4915+G4915))-(F$5*8),IF(D4936=3,(2*(D4915+G4915))-(F$5*8)+(G4915-2*F$5),IF(D4936=4,(2*(D4915+G4915))-(F$5*8)+2*(G4915-2*F$5)))))/1000</f>
        <v>0.98</v>
      </c>
      <c r="K4936" t="str">
        <v>+</v>
      </c>
      <c r="L4936">
        <f>IF(D4936=0,2*MAX(6*F4936,75),(D4936-1)*2*MAX(6*F4936,75))/1000</f>
        <v>0.15</v>
      </c>
      <c r="M4936" t="str">
        <v>=</v>
      </c>
      <c r="N4936">
        <f>J4936+L4936</f>
        <v>1.13</v>
      </c>
      <c r="T4936" t="str">
        <v>x</v>
      </c>
      <c r="U4936">
        <f>0.006165*F4936^2</f>
        <v>0.39456</v>
      </c>
      <c r="V4936" t="str">
        <v>x</v>
      </c>
      <c r="W4936">
        <f>IF(D4917&gt;4*G4915,ROUND(MAX(D4917/4,2*G4915)/H4936,0)+1,0)</f>
        <v>10</v>
      </c>
      <c r="X4936" t="str">
        <v>x</v>
      </c>
      <c r="Y4936">
        <f>D4920</f>
        <v>1</v>
      </c>
      <c r="Z4936" t="str">
        <v>=</v>
      </c>
      <c r="AA4936">
        <f>N4936*U4936*W4936*Y4936</f>
        <v>4.458528</v>
      </c>
    </row>
    <row r="4938">
      <c r="A4938" t="str">
        <f>A4914</f>
        <v>Lantai 1</v>
      </c>
      <c r="B4938">
        <f>B4914</f>
        <v>67</v>
      </c>
      <c r="C4938" t="str">
        <v>Kait Horizontal Tump.</v>
      </c>
      <c r="D4938">
        <f>VLOOKUP(D4914,'Detail Balok'!$C$10:$BJ$110,46,FALSE)</f>
        <v>0</v>
      </c>
      <c r="E4938" t="str">
        <v>D</v>
      </c>
      <c r="F4938">
        <f>VLOOKUP(D4914,'Detail Balok'!$C$10:$BJ$110,48,FALSE)</f>
        <v>0</v>
      </c>
      <c r="G4938" t="str">
        <v>-</v>
      </c>
      <c r="H4938">
        <f>VLOOKUP(D4914,'Detail Balok'!$C$10:$BJ$110,50,FALSE)</f>
        <v>100</v>
      </c>
      <c r="J4938">
        <f>(D4915-2*F$5)/1000</f>
        <v>0.12</v>
      </c>
      <c r="K4938" t="str">
        <v>+</v>
      </c>
      <c r="L4938">
        <f>IF(D4938=0,2*MAX(6*F4938,75),(D4938-1)*2*MAX(6*F4938,75))/1000</f>
        <v>0.15</v>
      </c>
      <c r="M4938" t="str">
        <v>=</v>
      </c>
      <c r="N4938">
        <f>J4938+L4938</f>
        <v>0.27</v>
      </c>
      <c r="T4938" t="str">
        <v>x</v>
      </c>
      <c r="U4938">
        <f>0.006165*F4938^2</f>
        <v>0</v>
      </c>
      <c r="V4938" t="str">
        <v>x</v>
      </c>
      <c r="W4938">
        <f>W4934</f>
        <v>10</v>
      </c>
      <c r="X4938" t="str">
        <v>x</v>
      </c>
      <c r="Y4938">
        <f>D4924</f>
        <v>2</v>
      </c>
      <c r="Z4938" t="str">
        <v>=</v>
      </c>
      <c r="AA4938">
        <f>N4938*U4938*W4938*Y4938</f>
        <v>0</v>
      </c>
    </row>
    <row r="4939">
      <c r="A4939" t="str">
        <f>A4914</f>
        <v>Lantai 1</v>
      </c>
      <c r="B4939">
        <f>B4914</f>
        <v>67</v>
      </c>
      <c r="C4939" t="str">
        <v>Kait Horizontal Lap.</v>
      </c>
      <c r="D4939">
        <f>VLOOKUP(D4914,'Detail Balok'!$C$10:$BJ$110,51,FALSE)</f>
        <v>0</v>
      </c>
      <c r="E4939" t="str">
        <v>D</v>
      </c>
      <c r="F4939">
        <f>VLOOKUP(D4914,'Detail Balok'!$C$10:$BJ$110,53,FALSE)</f>
        <v>0</v>
      </c>
      <c r="G4939" t="str">
        <v>-</v>
      </c>
      <c r="H4939">
        <f>VLOOKUP(D4914,'Detail Balok'!$C$10:$BJ$110,55,FALSE)</f>
        <v>100</v>
      </c>
      <c r="J4939">
        <f>(D4915-2*F$5)/1000</f>
        <v>0.12</v>
      </c>
      <c r="K4939" t="str">
        <v>+</v>
      </c>
      <c r="L4939">
        <f>IF(D4939=0,2*MAX(6*F4939,75),(D4939-1)*2*MAX(6*F4939,75))/1000</f>
        <v>0.15</v>
      </c>
      <c r="M4939" t="str">
        <v>=</v>
      </c>
      <c r="N4939">
        <f>J4939+L4939</f>
        <v>0.27</v>
      </c>
      <c r="T4939" t="str">
        <v>x</v>
      </c>
      <c r="U4939">
        <f>0.006165*F4939^2</f>
        <v>0</v>
      </c>
      <c r="V4939" t="str">
        <v>x</v>
      </c>
      <c r="W4939">
        <f>W4935</f>
        <v>4</v>
      </c>
      <c r="X4939" t="str">
        <v>x</v>
      </c>
      <c r="Y4939">
        <f>D4924</f>
        <v>2</v>
      </c>
      <c r="Z4939" t="str">
        <v>=</v>
      </c>
      <c r="AA4939">
        <f>N4939*U4939*W4939*Y4939</f>
        <v>0</v>
      </c>
    </row>
    <row r="4940">
      <c r="A4940" t="str">
        <f>A4914</f>
        <v>Lantai 1</v>
      </c>
      <c r="B4940">
        <f>B4914</f>
        <v>67</v>
      </c>
      <c r="C4940" t="str">
        <v>Kait Horizontal Tump.</v>
      </c>
      <c r="D4940">
        <f>VLOOKUP(D4914,'Detail Balok'!$C$10:$BJ$110,56,FALSE)</f>
        <v>0</v>
      </c>
      <c r="E4940" t="str">
        <v>D</v>
      </c>
      <c r="F4940">
        <f>VLOOKUP(D4914,'Detail Balok'!$C$10:$BJ$110,58,FALSE)</f>
        <v>0</v>
      </c>
      <c r="G4940" t="str">
        <v>-</v>
      </c>
      <c r="H4940">
        <f>VLOOKUP(D4914,'Detail Balok'!$C$10:$BJ$110,60,FALSE)</f>
        <v>100</v>
      </c>
      <c r="J4940">
        <f>(D4915-2*F$5)/1000</f>
        <v>0.12</v>
      </c>
      <c r="K4940" t="str">
        <v>+</v>
      </c>
      <c r="L4940">
        <f>IF(D4940=0,2*MAX(6*F4940,75),(D4940-1)*2*MAX(6*F4940,75))/1000</f>
        <v>0.15</v>
      </c>
      <c r="M4940" t="str">
        <v>=</v>
      </c>
      <c r="N4940">
        <f>J4940+L4940</f>
        <v>0.27</v>
      </c>
      <c r="T4940" t="str">
        <v>x</v>
      </c>
      <c r="U4940">
        <f>0.006165*F4940^2</f>
        <v>0</v>
      </c>
      <c r="V4940" t="str">
        <v>x</v>
      </c>
      <c r="W4940">
        <f>W4936</f>
        <v>10</v>
      </c>
      <c r="X4940" t="str">
        <v>x</v>
      </c>
      <c r="Y4940">
        <f>D4924</f>
        <v>2</v>
      </c>
      <c r="Z4940" t="str">
        <v>=</v>
      </c>
      <c r="AA4940">
        <f>N4940*U4940*W4940*Y4940</f>
        <v>0</v>
      </c>
    </row>
    <row r="4944">
      <c r="A4944" t="str">
        <f>A4914</f>
        <v>Lantai 1</v>
      </c>
      <c r="B4944">
        <f>B4914+1</f>
        <v>68</v>
      </c>
      <c r="C4944" t="str">
        <f>CONCATENATE(A4944," no. ",B4944)</f>
        <v>Lantai 1 no. 68</v>
      </c>
      <c r="D4944" t="str">
        <f>VLOOKUP(C4944,'Data Panjang Balok'!$C$9:$N$424,2,FALSE)</f>
        <v>B24-1</v>
      </c>
    </row>
    <row r="4945">
      <c r="C4945" t="str">
        <v>Dimensi</v>
      </c>
      <c r="D4945">
        <f>VLOOKUP(D4944,'Detail Balok'!$C$10:$AU$110,2,FALSE)</f>
        <v>200</v>
      </c>
      <c r="F4945" t="str">
        <v>x</v>
      </c>
      <c r="G4945">
        <f>VLOOKUP(D4944,'Detail Balok'!$C$10:$AU$110,3,FALSE)</f>
        <v>400</v>
      </c>
    </row>
    <row r="4946">
      <c r="C4946" t="str">
        <v>Panjang as ke as</v>
      </c>
      <c r="D4946">
        <f>VLOOKUP(C4944,'Data Panjang Balok'!$C$9:$N$424,4,FALSE)</f>
        <v>4600</v>
      </c>
    </row>
    <row r="4947">
      <c r="C4947" t="str">
        <v>Panjang netto</v>
      </c>
      <c r="D4947">
        <f>VLOOKUP(C4944,'Data Panjang Balok'!$C$9:$N$424,7,FALSE)</f>
        <v>4600</v>
      </c>
    </row>
    <row r="4948">
      <c r="C4948" t="str">
        <v>Kolom / balok kiri</v>
      </c>
      <c r="D4948">
        <f>VLOOKUP(C4944,'Data Panjang Balok'!$C$9:$N$424,9,FALSE)</f>
        <v>0</v>
      </c>
    </row>
    <row r="4949">
      <c r="C4949" t="str">
        <v>Kolom / balok kanan</v>
      </c>
      <c r="D4949">
        <f>VLOOKUP(C4944,'Data Panjang Balok'!$C$9:$N$424,10,FALSE)</f>
        <v>0</v>
      </c>
    </row>
    <row r="4950">
      <c r="C4950" t="str">
        <v>Jumlah</v>
      </c>
      <c r="D4950">
        <f>VLOOKUP(C4944,'Data Panjang Balok'!$C$9:$N$424,3,FALSE)</f>
        <v>1</v>
      </c>
    </row>
    <row r="4951">
      <c r="A4951" t="str">
        <f>A4944</f>
        <v>Lantai 1</v>
      </c>
      <c r="B4951">
        <f>B4944</f>
        <v>68</v>
      </c>
      <c r="C4951" t="str">
        <v>Tul Atas Tumpuan</v>
      </c>
      <c r="D4951">
        <f>VLOOKUP(D4944,'Detail Balok'!$C$10:$AU$110,4,FALSE)</f>
        <v>2</v>
      </c>
      <c r="E4951" t="str">
        <v>D</v>
      </c>
      <c r="F4951">
        <f>VLOOKUP(D4944,'Detail Balok'!$C$10:$AU$110,6,FALSE)</f>
        <v>13</v>
      </c>
      <c r="I4951" t="str">
        <v>(</v>
      </c>
      <c r="J4951">
        <f>+D4946/4/1000</f>
        <v>1.15</v>
      </c>
      <c r="K4951" t="str">
        <v>+</v>
      </c>
      <c r="L4951">
        <f>MAX(VLOOKUP(F4951,N$6:P$15,3,FALSE)/1000,2/3*D4948/1000)+F$16*F4951/1000</f>
        <v>0.156</v>
      </c>
      <c r="M4951" t="str">
        <v>=</v>
      </c>
      <c r="N4951">
        <f>J4951+L4951</f>
        <v>1.3059999999999998</v>
      </c>
      <c r="O4951" t="str">
        <v>+</v>
      </c>
      <c r="P4951">
        <f>D4951-D4952</f>
        <v>0</v>
      </c>
      <c r="Q4951" t="str">
        <v>x</v>
      </c>
      <c r="R4951">
        <f>IF(P4951&gt;0,$F$18*F4951/1000,0)</f>
        <v>0</v>
      </c>
      <c r="S4951" t="str">
        <v>)</v>
      </c>
      <c r="T4951" t="str">
        <v>x</v>
      </c>
      <c r="U4951">
        <f>0.006165*F4951^2</f>
        <v>1.041885</v>
      </c>
      <c r="X4951" t="str">
        <v>x</v>
      </c>
      <c r="Y4951">
        <f>D4950</f>
        <v>1</v>
      </c>
      <c r="Z4951" t="str">
        <v>=</v>
      </c>
      <c r="AA4951">
        <f>IF(AA4954=0,(D4951*N4951+P4951*R4951)*U4951*Y4951,0)</f>
        <v>0</v>
      </c>
    </row>
    <row r="4952">
      <c r="A4952" t="str">
        <f>A4944</f>
        <v>Lantai 1</v>
      </c>
      <c r="B4952">
        <f>B4944</f>
        <v>68</v>
      </c>
      <c r="C4952" t="str">
        <v>Tul Atas Lapangan</v>
      </c>
      <c r="D4952">
        <f>VLOOKUP(D4944,'Detail Balok'!$C$10:$AU$110,7,FALSE)</f>
        <v>2</v>
      </c>
      <c r="E4952" t="str">
        <v>D</v>
      </c>
      <c r="F4952">
        <f>VLOOKUP(D4944,'Detail Balok'!$C$10:$AU$110,9,FALSE)</f>
        <v>13</v>
      </c>
      <c r="I4952" t="str">
        <v>(</v>
      </c>
      <c r="J4952">
        <f>+D4946/2/1000</f>
        <v>2.3</v>
      </c>
      <c r="K4952" t="str">
        <v>+</v>
      </c>
      <c r="M4952" t="str">
        <v>=</v>
      </c>
      <c r="N4952">
        <f>J4952+L4952</f>
        <v>2.3</v>
      </c>
      <c r="O4952" t="str">
        <v>+</v>
      </c>
      <c r="P4952">
        <f>MAX(D4952-D4951,D4952-D4953)</f>
        <v>0</v>
      </c>
      <c r="Q4952" t="str">
        <v>x</v>
      </c>
      <c r="R4952">
        <f>IF(P4952&gt;0,2*(1-2*$F$19-1/2)*D4947/1000,0)</f>
        <v>0</v>
      </c>
      <c r="S4952" t="str">
        <v>)</v>
      </c>
      <c r="T4952" t="str">
        <v>x</v>
      </c>
      <c r="U4952">
        <f>0.006165*F4952^2</f>
        <v>1.041885</v>
      </c>
      <c r="X4952" t="str">
        <v>x</v>
      </c>
      <c r="Y4952">
        <f>D4950</f>
        <v>1</v>
      </c>
      <c r="Z4952" t="str">
        <v>=</v>
      </c>
      <c r="AA4952">
        <f>IF(AA4954=0,(D4952*N4952+P4952*R4952)*U4952*Y4952,0)</f>
        <v>0</v>
      </c>
    </row>
    <row r="4953">
      <c r="A4953" t="str">
        <f>A4944</f>
        <v>Lantai 1</v>
      </c>
      <c r="B4953">
        <f>B4944</f>
        <v>68</v>
      </c>
      <c r="C4953" t="str">
        <v>Tul Atas Tumpuan</v>
      </c>
      <c r="D4953">
        <f>VLOOKUP(D4944,'Detail Balok'!$C$10:$AU$110,10,FALSE)</f>
        <v>2</v>
      </c>
      <c r="E4953" t="str">
        <v>D</v>
      </c>
      <c r="F4953">
        <f>VLOOKUP(D4944,'Detail Balok'!$C$10:$AU$110,12,FALSE)</f>
        <v>13</v>
      </c>
      <c r="I4953" t="str">
        <v>(</v>
      </c>
      <c r="J4953">
        <f>+D4946/4/1000</f>
        <v>1.15</v>
      </c>
      <c r="K4953" t="str">
        <v>+</v>
      </c>
      <c r="L4953">
        <f>MAX(VLOOKUP(F4953,N$6:P$15,3,FALSE)/1000,2/3*D4948/1000)+F$16*F4953/1000</f>
        <v>0.156</v>
      </c>
      <c r="M4953" t="str">
        <v>=</v>
      </c>
      <c r="N4953">
        <f>J4953+L4953</f>
        <v>1.3059999999999998</v>
      </c>
      <c r="O4953" t="str">
        <v>+</v>
      </c>
      <c r="P4953">
        <f>D4953-D4952</f>
        <v>0</v>
      </c>
      <c r="Q4953" t="str">
        <v>x</v>
      </c>
      <c r="R4953">
        <f>IF(P4953&gt;0,$F$18*F4953/1000,0)</f>
        <v>0</v>
      </c>
      <c r="S4953" t="str">
        <v>)</v>
      </c>
      <c r="T4953" t="str">
        <v>x</v>
      </c>
      <c r="U4953">
        <f>0.006165*F4953^2</f>
        <v>1.041885</v>
      </c>
      <c r="X4953" t="str">
        <v>x</v>
      </c>
      <c r="Y4953">
        <f>D4950</f>
        <v>1</v>
      </c>
      <c r="Z4953" t="str">
        <v>=</v>
      </c>
      <c r="AA4953">
        <f>IF(AA4954=0,(D4953*N4953+P4953*R4953)*U4953*Y4953,0)</f>
        <v>0</v>
      </c>
    </row>
    <row r="4954">
      <c r="A4954" t="str">
        <f>A4944</f>
        <v>Lantai 1</v>
      </c>
      <c r="B4954">
        <f>B4944</f>
        <v>68</v>
      </c>
      <c r="D4954">
        <f>IF(AND(D4951=D4952,D4952=D4953,D4951=D4953),D4951,0)</f>
        <v>2</v>
      </c>
      <c r="E4954" t="str">
        <v>D</v>
      </c>
      <c r="F4954">
        <f>IF(AND(F4951=F4952,F4951=F4953,F4952=F4953),F4951,0)</f>
        <v>13</v>
      </c>
      <c r="L4954" t="str">
        <v>Total panjang per balok</v>
      </c>
      <c r="M4954" t="str">
        <v>=</v>
      </c>
      <c r="N4954">
        <f>IF(AND(D4951=D4952,D4951=D4953,D4952=D4953,F4951=F4952,F4951=F4953,F4952=F4953),SUM(N4951:N4953),0)</f>
        <v>4.912</v>
      </c>
      <c r="O4954" t="str">
        <v>+</v>
      </c>
      <c r="P4954">
        <f>IF(N4954&gt;12,ROUNDDOWN(N4954/12,0),0)</f>
        <v>0</v>
      </c>
      <c r="Q4954" t="str">
        <v>x</v>
      </c>
      <c r="R4954">
        <f>IF(P4954&gt;0,MAX(VLOOKUP(F4954,$D$6:$G$15,3,FALSE),600),0)/1000</f>
        <v>0</v>
      </c>
      <c r="T4954" t="str">
        <v>x</v>
      </c>
      <c r="U4954">
        <f>U4953</f>
        <v>1.041885</v>
      </c>
      <c r="V4954" t="str">
        <v>x</v>
      </c>
      <c r="W4954">
        <f>D4954</f>
        <v>2</v>
      </c>
      <c r="X4954" t="str">
        <v>x</v>
      </c>
      <c r="Y4954">
        <f>Y4953</f>
        <v>1</v>
      </c>
      <c r="Z4954" t="str">
        <v>=</v>
      </c>
      <c r="AA4954">
        <f>(N4954+P4954*R4954/1000)*U4954*W4954*Y4954</f>
        <v>10.235478239999999</v>
      </c>
    </row>
    <row r="4956">
      <c r="A4956" t="str">
        <f>A4944</f>
        <v>Lantai 1</v>
      </c>
      <c r="B4956">
        <f>B4944</f>
        <v>68</v>
      </c>
      <c r="C4956" t="str">
        <v>Tul Peminggang</v>
      </c>
      <c r="D4956">
        <f>VLOOKUP(D4944,'Detail Balok'!$C$10:$AU$110,13,FALSE)</f>
        <v>0</v>
      </c>
      <c r="E4956" t="str">
        <v>D</v>
      </c>
      <c r="F4956">
        <f>VLOOKUP(D4944,'Detail Balok'!$C$10:$AU$110,15,FALSE)</f>
        <v>6</v>
      </c>
      <c r="J4956">
        <f>+D4946/1000</f>
        <v>4.6</v>
      </c>
      <c r="K4956" t="str">
        <v>+</v>
      </c>
      <c r="L4956">
        <f>2*$F$16*F4956/1000</f>
        <v>0.144</v>
      </c>
      <c r="M4956" t="str">
        <v>=</v>
      </c>
      <c r="N4956">
        <f>J4956+L4956</f>
        <v>4.744</v>
      </c>
      <c r="O4956" t="str">
        <v>+</v>
      </c>
      <c r="P4956">
        <f>IF(N4956&gt;12,ROUNDDOWN(N4956/12,0),0)</f>
        <v>0</v>
      </c>
      <c r="Q4956" t="str">
        <v>x</v>
      </c>
      <c r="R4956">
        <f>IF(P4956&gt;0,MAX(VLOOKUP(F4956,$D$6:$G$15,3,FALSE),600),0)/1000</f>
        <v>0</v>
      </c>
      <c r="T4956" t="str">
        <v>x</v>
      </c>
      <c r="U4956">
        <f>0.006165*F4956^2</f>
        <v>0.22194000000000003</v>
      </c>
      <c r="V4956" t="str">
        <v>x</v>
      </c>
      <c r="W4956">
        <f>+D4956</f>
        <v>0</v>
      </c>
      <c r="X4956" t="str">
        <v>x</v>
      </c>
      <c r="Y4956">
        <f>D4950</f>
        <v>1</v>
      </c>
      <c r="Z4956" t="str">
        <v>=</v>
      </c>
      <c r="AA4956">
        <f>(N4956+P4956*R4956/1000)*U4956*W4956*Y4956</f>
        <v>0</v>
      </c>
    </row>
    <row r="4959">
      <c r="A4959" t="str">
        <f>A4944</f>
        <v>Lantai 1</v>
      </c>
      <c r="B4959">
        <f>B4944</f>
        <v>68</v>
      </c>
      <c r="C4959" t="str">
        <v>Tul Bawah Tumpuan</v>
      </c>
      <c r="D4959">
        <f>VLOOKUP(D4944,'Detail Balok'!$C$10:$AU$110,22,FALSE)</f>
        <v>2</v>
      </c>
      <c r="E4959" t="str">
        <v>D</v>
      </c>
      <c r="F4959">
        <f>VLOOKUP(D4944,'Detail Balok'!$C$10:$AU$110,24,FALSE)</f>
        <v>13</v>
      </c>
      <c r="I4959" t="str">
        <v>(</v>
      </c>
      <c r="J4959">
        <f>+J4951</f>
        <v>1.15</v>
      </c>
      <c r="K4959" t="str">
        <v>+</v>
      </c>
      <c r="L4959">
        <f>MAX(VLOOKUP(F4959,N$6:P$15,3,FALSE)/1000,2/3*D4949/1000)+F$16*F4959/1000</f>
        <v>0.156</v>
      </c>
      <c r="M4959" t="str">
        <v>=</v>
      </c>
      <c r="N4959">
        <f>J4959+L4959</f>
        <v>1.3059999999999998</v>
      </c>
      <c r="O4959" t="str">
        <v>+</v>
      </c>
      <c r="P4959">
        <f>D4959-D4960</f>
        <v>0</v>
      </c>
      <c r="Q4959" t="str">
        <v>x</v>
      </c>
      <c r="R4959">
        <f>IF(P4959&gt;0,$F$18*F4959/1000,0)</f>
        <v>0</v>
      </c>
      <c r="S4959" t="str">
        <v>)</v>
      </c>
      <c r="T4959" t="str">
        <v>x</v>
      </c>
      <c r="U4959">
        <f>0.006165*F4959^2</f>
        <v>1.041885</v>
      </c>
      <c r="X4959" t="str">
        <v>x</v>
      </c>
      <c r="Y4959">
        <f>D4950</f>
        <v>1</v>
      </c>
      <c r="Z4959" t="str">
        <v>=</v>
      </c>
      <c r="AA4959">
        <f>IF(AA4962=0,(D4959*N4959+P4959*R4959)*U4959*Y4959,0)</f>
        <v>0</v>
      </c>
    </row>
    <row r="4960">
      <c r="A4960" t="str">
        <f>A4944</f>
        <v>Lantai 1</v>
      </c>
      <c r="B4960">
        <f>B4944</f>
        <v>68</v>
      </c>
      <c r="C4960" t="str">
        <v>Tul Bawah Lapangan</v>
      </c>
      <c r="D4960">
        <f>VLOOKUP(D4944,'Detail Balok'!$C$10:$AU$110,25,FALSE)</f>
        <v>2</v>
      </c>
      <c r="E4960" t="str">
        <v>D</v>
      </c>
      <c r="F4960">
        <f>VLOOKUP(D4944,'Detail Balok'!$C$10:$AU$110,27,FALSE)</f>
        <v>13</v>
      </c>
      <c r="I4960" t="str">
        <v>(</v>
      </c>
      <c r="J4960">
        <f>+J4952</f>
        <v>2.3</v>
      </c>
      <c r="K4960" t="str">
        <v>+</v>
      </c>
      <c r="M4960" t="str">
        <v>=</v>
      </c>
      <c r="N4960">
        <f>J4960+L4960</f>
        <v>2.3</v>
      </c>
      <c r="O4960" t="str">
        <v>+</v>
      </c>
      <c r="P4960">
        <f>MAX(D4960-D4959,D4960-D4961)</f>
        <v>0</v>
      </c>
      <c r="Q4960" t="str">
        <v>x</v>
      </c>
      <c r="R4960">
        <f>IF(P4960&gt;0,2*(1-2*$F$19-1/2)*D4947/1000,0)</f>
        <v>0</v>
      </c>
      <c r="S4960" t="str">
        <v>)</v>
      </c>
      <c r="T4960" t="str">
        <v>x</v>
      </c>
      <c r="U4960">
        <f>0.006165*F4960^2</f>
        <v>1.041885</v>
      </c>
      <c r="X4960" t="str">
        <v>x</v>
      </c>
      <c r="Y4960">
        <f>D4950</f>
        <v>1</v>
      </c>
      <c r="Z4960" t="str">
        <v>=</v>
      </c>
      <c r="AA4960">
        <f>IF(AA4962=0,(D4960*N4960+P4960*R4960)*U4960*Y4960,0)</f>
        <v>0</v>
      </c>
    </row>
    <row r="4961">
      <c r="A4961" t="str">
        <f>A4944</f>
        <v>Lantai 1</v>
      </c>
      <c r="B4961">
        <f>B4944</f>
        <v>68</v>
      </c>
      <c r="C4961" t="str">
        <v>Tul Bawah Tumpuan</v>
      </c>
      <c r="D4961">
        <f>VLOOKUP(D4944,'Detail Balok'!$C$10:$AU$110,28,FALSE)</f>
        <v>2</v>
      </c>
      <c r="E4961" t="str">
        <v>D</v>
      </c>
      <c r="F4961">
        <f>VLOOKUP(D4944,'Detail Balok'!$C$10:$AU$110,30,FALSE)</f>
        <v>13</v>
      </c>
      <c r="I4961" t="str">
        <v>(</v>
      </c>
      <c r="J4961">
        <f>+J4953</f>
        <v>1.15</v>
      </c>
      <c r="K4961" t="str">
        <v>+</v>
      </c>
      <c r="L4961">
        <f>MAX(VLOOKUP(F4961,N$6:P$15,3,FALSE)/1000,2/3*D4949/1000)+F$16*F4961/1000</f>
        <v>0.156</v>
      </c>
      <c r="M4961" t="str">
        <v>=</v>
      </c>
      <c r="N4961">
        <f>J4961+L4961</f>
        <v>1.3059999999999998</v>
      </c>
      <c r="O4961" t="str">
        <v>+</v>
      </c>
      <c r="P4961">
        <f>D4961-D4960</f>
        <v>0</v>
      </c>
      <c r="Q4961" t="str">
        <v>x</v>
      </c>
      <c r="R4961">
        <f>IF(P4961&gt;0,$F$18*F4961/1000,0)</f>
        <v>0</v>
      </c>
      <c r="S4961" t="str">
        <v>)</v>
      </c>
      <c r="T4961" t="str">
        <v>x</v>
      </c>
      <c r="U4961">
        <f>0.006165*F4961^2</f>
        <v>1.041885</v>
      </c>
      <c r="X4961" t="str">
        <v>x</v>
      </c>
      <c r="Y4961">
        <f>D4950</f>
        <v>1</v>
      </c>
      <c r="Z4961" t="str">
        <v>=</v>
      </c>
      <c r="AA4961">
        <f>IF(AA4962=0,(D4961*N4961+P4961*R4961)*U4961*Y4961,0)</f>
        <v>0</v>
      </c>
    </row>
    <row r="4962">
      <c r="A4962" t="str">
        <f>A4944</f>
        <v>Lantai 1</v>
      </c>
      <c r="B4962">
        <f>B4944</f>
        <v>68</v>
      </c>
      <c r="D4962">
        <f>IF(AND(D4959=D4960,D4960=D4961,D4959=D4961),D4959,0)</f>
        <v>2</v>
      </c>
      <c r="E4962" t="str">
        <v>D</v>
      </c>
      <c r="F4962">
        <f>IF(AND(F4959=F4960,F4959=F4961,F4960=F4961),F4959,0)</f>
        <v>13</v>
      </c>
      <c r="L4962" t="str">
        <v>Total panjang per balok</v>
      </c>
      <c r="M4962" t="str">
        <v>=</v>
      </c>
      <c r="N4962">
        <f>IF(AND(D4959=D4960,D4959=D4961,D4960=D4961,F4959=F4960,F4959=F4961,F4960=F4961),SUM(N4959:N4961),0)</f>
        <v>4.912</v>
      </c>
      <c r="O4962" t="str">
        <v>+</v>
      </c>
      <c r="P4962">
        <f>IF(N4962&gt;12,ROUNDDOWN(N4962/12,0),0)</f>
        <v>0</v>
      </c>
      <c r="Q4962" t="str">
        <v>x</v>
      </c>
      <c r="R4962">
        <f>IF(P4962&gt;0,MAX(VLOOKUP(F4962,$D$6:$G$15,3,FALSE),600),0)/1000</f>
        <v>0</v>
      </c>
      <c r="T4962" t="str">
        <v>x</v>
      </c>
      <c r="U4962">
        <f>U4961</f>
        <v>1.041885</v>
      </c>
      <c r="V4962" t="str">
        <v>x</v>
      </c>
      <c r="W4962">
        <f>D4962</f>
        <v>2</v>
      </c>
      <c r="X4962" t="str">
        <v>x</v>
      </c>
      <c r="Y4962">
        <f>Y4961</f>
        <v>1</v>
      </c>
      <c r="Z4962" t="str">
        <v>=</v>
      </c>
      <c r="AA4962">
        <f>(N4962+P4962*R4962/1000)*U4962*W4962*Y4962</f>
        <v>10.235478239999999</v>
      </c>
    </row>
    <row r="4964">
      <c r="A4964" t="str">
        <f>A4944</f>
        <v>Lantai 1</v>
      </c>
      <c r="B4964">
        <f>B4944</f>
        <v>68</v>
      </c>
      <c r="C4964" t="str">
        <v>Sengkang Tumpuan</v>
      </c>
      <c r="D4964">
        <f>VLOOKUP(D4944,'Detail Balok'!$C$10:$AU$110,31,FALSE)</f>
        <v>0</v>
      </c>
      <c r="E4964" t="str">
        <v>D</v>
      </c>
      <c r="F4964">
        <f>VLOOKUP(D4944,'Detail Balok'!$C$10:$AU$110,33,FALSE)</f>
        <v>8</v>
      </c>
      <c r="G4964" t="str">
        <v>-</v>
      </c>
      <c r="H4964">
        <f>VLOOKUP(D4944,'Detail Balok'!$C$10:$AU$110,35,FALSE)</f>
        <v>100</v>
      </c>
      <c r="J4964">
        <f>(IF(D4964=0,(2*(D4945+G4945))-(F$5*8),IF(D4964=3,(2*(D4945+G4945))-(F$5*8)+(G4945-2*F$5),IF(D4964=4,(2*(D4945+G4945))-(F$5*8)+2*(G4945-2*F$5)))))/1000</f>
        <v>0.88</v>
      </c>
      <c r="K4964" t="str">
        <v>+</v>
      </c>
      <c r="L4964">
        <f>IF(D4964=0,2*MAX(6*F4964,75),(D4964-1)*2*MAX(6*F4964,75))/1000</f>
        <v>0.15</v>
      </c>
      <c r="M4964" t="str">
        <v>=</v>
      </c>
      <c r="N4964">
        <f>J4964+L4964</f>
        <v>1.03</v>
      </c>
      <c r="T4964" t="str">
        <v>x</v>
      </c>
      <c r="U4964">
        <f>0.006165*F4964^2</f>
        <v>0.39456</v>
      </c>
      <c r="V4964" t="str">
        <v>x</v>
      </c>
      <c r="W4964">
        <f>IF(D4947&gt;4*G4945,ROUND(MAX(D4947/4,2*G4945)/H4964,0)+1,ROUND(D4947/H4964,0)+1)</f>
        <v>13</v>
      </c>
      <c r="X4964" t="str">
        <v>x</v>
      </c>
      <c r="Y4964">
        <f>D4950</f>
        <v>1</v>
      </c>
      <c r="Z4964" t="str">
        <v>=</v>
      </c>
      <c r="AA4964">
        <f>N4964*U4964*W4964*Y4964</f>
        <v>5.2831584000000005</v>
      </c>
    </row>
    <row r="4965">
      <c r="A4965" t="str">
        <f>A4944</f>
        <v>Lantai 1</v>
      </c>
      <c r="B4965">
        <f>B4944</f>
        <v>68</v>
      </c>
      <c r="C4965" t="str">
        <v>Sengkang Lapangan</v>
      </c>
      <c r="D4965">
        <f>VLOOKUP(D4944,'Detail Balok'!$C$10:$AU$110,36,FALSE)</f>
        <v>0</v>
      </c>
      <c r="E4965" t="str">
        <v>D</v>
      </c>
      <c r="F4965">
        <f>VLOOKUP(D4944,'Detail Balok'!$C$10:$AU$110,38,FALSE)</f>
        <v>8</v>
      </c>
      <c r="G4965" t="str">
        <v>-</v>
      </c>
      <c r="H4965">
        <f>VLOOKUP(D4944,'Detail Balok'!$C$10:$AU$110,40,FALSE)</f>
        <v>200</v>
      </c>
      <c r="J4965">
        <f>(IF(D4965=0,(2*(D4945+G4945))-(F$5*8),IF(D4965=3,(2*(D4945+G4945))-(F$5*8)+(G4945-2*F$5),IF(D4965=4,(2*(D4945+G4945))-(F$5*8)+2*(G4945-2*F$5)))))/1000</f>
        <v>0.88</v>
      </c>
      <c r="K4965" t="str">
        <v>+</v>
      </c>
      <c r="L4965">
        <f>IF(D4965=0,2*MAX(6*F4965,75),(D4965-1)*2*MAX(6*F4965,75))/1000</f>
        <v>0.15</v>
      </c>
      <c r="M4965" t="str">
        <v>=</v>
      </c>
      <c r="N4965">
        <f>J4965+L4965</f>
        <v>1.03</v>
      </c>
      <c r="T4965" t="str">
        <v>x</v>
      </c>
      <c r="U4965">
        <f>0.006165*F4965^2</f>
        <v>0.39456</v>
      </c>
      <c r="V4965" t="str">
        <v>x</v>
      </c>
      <c r="W4965">
        <f>IF(D4947-MAX(D4947/4,2*G4945)*2&gt;0,ROUND((D4947-MAX(D4947/4,2*G4945)*2)/H4965,0),0)</f>
        <v>12</v>
      </c>
      <c r="X4965" t="str">
        <v>x</v>
      </c>
      <c r="Y4965">
        <f>D4950</f>
        <v>1</v>
      </c>
      <c r="Z4965" t="str">
        <v>=</v>
      </c>
      <c r="AA4965">
        <f>N4965*U4965*W4965*Y4965</f>
        <v>4.876761600000001</v>
      </c>
    </row>
    <row r="4966">
      <c r="A4966" t="str">
        <f>A4944</f>
        <v>Lantai 1</v>
      </c>
      <c r="B4966">
        <f>B4944</f>
        <v>68</v>
      </c>
      <c r="C4966" t="str">
        <v>Sengkang Tumpuan</v>
      </c>
      <c r="D4966">
        <f>VLOOKUP(D4944,'Detail Balok'!$C$10:$AU$110,41,FALSE)</f>
        <v>0</v>
      </c>
      <c r="E4966" t="str">
        <v>D</v>
      </c>
      <c r="F4966">
        <f>VLOOKUP(D4944,'Detail Balok'!$C$10:$AU$110,43,FALSE)</f>
        <v>8</v>
      </c>
      <c r="G4966" t="str">
        <v>-</v>
      </c>
      <c r="H4966">
        <f>VLOOKUP(D4944,'Detail Balok'!$C$10:$AU$110,45,FALSE)</f>
        <v>100</v>
      </c>
      <c r="J4966">
        <f>(IF(D4966=0,(2*(D4945+G4945))-(F$5*8),IF(D4966=3,(2*(D4945+G4945))-(F$5*8)+(G4945-2*F$5),IF(D4966=4,(2*(D4945+G4945))-(F$5*8)+2*(G4945-2*F$5)))))/1000</f>
        <v>0.88</v>
      </c>
      <c r="K4966" t="str">
        <v>+</v>
      </c>
      <c r="L4966">
        <f>IF(D4966=0,2*MAX(6*F4966,75),(D4966-1)*2*MAX(6*F4966,75))/1000</f>
        <v>0.15</v>
      </c>
      <c r="M4966" t="str">
        <v>=</v>
      </c>
      <c r="N4966">
        <f>J4966+L4966</f>
        <v>1.03</v>
      </c>
      <c r="T4966" t="str">
        <v>x</v>
      </c>
      <c r="U4966">
        <f>0.006165*F4966^2</f>
        <v>0.39456</v>
      </c>
      <c r="V4966" t="str">
        <v>x</v>
      </c>
      <c r="W4966">
        <f>IF(D4947&gt;4*G4945,ROUND(MAX(D4947/4,2*G4945)/H4966,0)+1,0)</f>
        <v>13</v>
      </c>
      <c r="X4966" t="str">
        <v>x</v>
      </c>
      <c r="Y4966">
        <f>D4950</f>
        <v>1</v>
      </c>
      <c r="Z4966" t="str">
        <v>=</v>
      </c>
      <c r="AA4966">
        <f>N4966*U4966*W4966*Y4966</f>
        <v>5.2831584000000005</v>
      </c>
    </row>
    <row r="4968">
      <c r="A4968" t="str">
        <f>A4944</f>
        <v>Lantai 1</v>
      </c>
      <c r="B4968">
        <f>B4944</f>
        <v>68</v>
      </c>
      <c r="C4968" t="str">
        <v>Kait Horizontal Tump.</v>
      </c>
      <c r="D4968">
        <f>VLOOKUP(D4944,'Detail Balok'!$C$10:$BJ$110,46,FALSE)</f>
        <v>0</v>
      </c>
      <c r="E4968" t="str">
        <v>D</v>
      </c>
      <c r="F4968">
        <f>VLOOKUP(D4944,'Detail Balok'!$C$10:$BJ$110,48,FALSE)</f>
        <v>0</v>
      </c>
      <c r="G4968" t="str">
        <v>-</v>
      </c>
      <c r="H4968">
        <f>VLOOKUP(D4944,'Detail Balok'!$C$10:$BJ$110,50,FALSE)</f>
        <v>100</v>
      </c>
      <c r="J4968">
        <f>(D4945-2*F$5)/1000</f>
        <v>0.12</v>
      </c>
      <c r="K4968" t="str">
        <v>+</v>
      </c>
      <c r="L4968">
        <f>IF(D4968=0,2*MAX(6*F4968,75),(D4968-1)*2*MAX(6*F4968,75))/1000</f>
        <v>0.15</v>
      </c>
      <c r="M4968" t="str">
        <v>=</v>
      </c>
      <c r="N4968">
        <f>J4968+L4968</f>
        <v>0.27</v>
      </c>
      <c r="T4968" t="str">
        <v>x</v>
      </c>
      <c r="U4968">
        <f>0.006165*F4968^2</f>
        <v>0</v>
      </c>
      <c r="V4968" t="str">
        <v>x</v>
      </c>
      <c r="W4968">
        <f>W4964</f>
        <v>13</v>
      </c>
      <c r="X4968" t="str">
        <v>x</v>
      </c>
      <c r="Y4968">
        <f>D4954</f>
        <v>2</v>
      </c>
      <c r="Z4968" t="str">
        <v>=</v>
      </c>
      <c r="AA4968">
        <f>N4968*U4968*W4968*Y4968</f>
        <v>0</v>
      </c>
    </row>
    <row r="4969">
      <c r="A4969" t="str">
        <f>A4944</f>
        <v>Lantai 1</v>
      </c>
      <c r="B4969">
        <f>B4944</f>
        <v>68</v>
      </c>
      <c r="C4969" t="str">
        <v>Kait Horizontal Lap.</v>
      </c>
      <c r="D4969">
        <f>VLOOKUP(D4944,'Detail Balok'!$C$10:$BJ$110,51,FALSE)</f>
        <v>0</v>
      </c>
      <c r="E4969" t="str">
        <v>D</v>
      </c>
      <c r="F4969">
        <f>VLOOKUP(D4944,'Detail Balok'!$C$10:$BJ$110,53,FALSE)</f>
        <v>0</v>
      </c>
      <c r="G4969" t="str">
        <v>-</v>
      </c>
      <c r="H4969">
        <f>VLOOKUP(D4944,'Detail Balok'!$C$10:$BJ$110,55,FALSE)</f>
        <v>100</v>
      </c>
      <c r="J4969">
        <f>(D4945-2*F$5)/1000</f>
        <v>0.12</v>
      </c>
      <c r="K4969" t="str">
        <v>+</v>
      </c>
      <c r="L4969">
        <f>IF(D4969=0,2*MAX(6*F4969,75),(D4969-1)*2*MAX(6*F4969,75))/1000</f>
        <v>0.15</v>
      </c>
      <c r="M4969" t="str">
        <v>=</v>
      </c>
      <c r="N4969">
        <f>J4969+L4969</f>
        <v>0.27</v>
      </c>
      <c r="T4969" t="str">
        <v>x</v>
      </c>
      <c r="U4969">
        <f>0.006165*F4969^2</f>
        <v>0</v>
      </c>
      <c r="V4969" t="str">
        <v>x</v>
      </c>
      <c r="W4969">
        <f>W4965</f>
        <v>12</v>
      </c>
      <c r="X4969" t="str">
        <v>x</v>
      </c>
      <c r="Y4969">
        <f>D4954</f>
        <v>2</v>
      </c>
      <c r="Z4969" t="str">
        <v>=</v>
      </c>
      <c r="AA4969">
        <f>N4969*U4969*W4969*Y4969</f>
        <v>0</v>
      </c>
    </row>
    <row r="4970">
      <c r="A4970" t="str">
        <f>A4944</f>
        <v>Lantai 1</v>
      </c>
      <c r="B4970">
        <f>B4944</f>
        <v>68</v>
      </c>
      <c r="C4970" t="str">
        <v>Kait Horizontal Tump.</v>
      </c>
      <c r="D4970">
        <f>VLOOKUP(D4944,'Detail Balok'!$C$10:$BJ$110,56,FALSE)</f>
        <v>0</v>
      </c>
      <c r="E4970" t="str">
        <v>D</v>
      </c>
      <c r="F4970">
        <f>VLOOKUP(D4944,'Detail Balok'!$C$10:$BJ$110,58,FALSE)</f>
        <v>0</v>
      </c>
      <c r="G4970" t="str">
        <v>-</v>
      </c>
      <c r="H4970">
        <f>VLOOKUP(D4944,'Detail Balok'!$C$10:$BJ$110,60,FALSE)</f>
        <v>100</v>
      </c>
      <c r="J4970">
        <f>(D4945-2*F$5)/1000</f>
        <v>0.12</v>
      </c>
      <c r="K4970" t="str">
        <v>+</v>
      </c>
      <c r="L4970">
        <f>IF(D4970=0,2*MAX(6*F4970,75),(D4970-1)*2*MAX(6*F4970,75))/1000</f>
        <v>0.15</v>
      </c>
      <c r="M4970" t="str">
        <v>=</v>
      </c>
      <c r="N4970">
        <f>J4970+L4970</f>
        <v>0.27</v>
      </c>
      <c r="T4970" t="str">
        <v>x</v>
      </c>
      <c r="U4970">
        <f>0.006165*F4970^2</f>
        <v>0</v>
      </c>
      <c r="V4970" t="str">
        <v>x</v>
      </c>
      <c r="W4970">
        <f>W4966</f>
        <v>13</v>
      </c>
      <c r="X4970" t="str">
        <v>x</v>
      </c>
      <c r="Y4970">
        <f>D4954</f>
        <v>2</v>
      </c>
      <c r="Z4970" t="str">
        <v>=</v>
      </c>
      <c r="AA4970">
        <f>N4970*U4970*W4970*Y4970</f>
        <v>0</v>
      </c>
    </row>
    <row r="4974">
      <c r="A4974" t="str">
        <f>A4944</f>
        <v>Lantai 1</v>
      </c>
      <c r="B4974">
        <f>B4944+1</f>
        <v>69</v>
      </c>
      <c r="C4974" t="str">
        <f>CONCATENATE(A4974," no. ",B4974)</f>
        <v>Lantai 1 no. 69</v>
      </c>
      <c r="D4974" t="str">
        <f>VLOOKUP(C4974,'Data Panjang Balok'!$C$9:$N$424,2,FALSE)</f>
        <v>B245-3</v>
      </c>
    </row>
    <row r="4975">
      <c r="C4975" t="str">
        <v>Dimensi</v>
      </c>
      <c r="D4975">
        <f>VLOOKUP(D4974,'Detail Balok'!$C$10:$AU$110,2,FALSE)</f>
        <v>200</v>
      </c>
      <c r="F4975" t="str">
        <v>x</v>
      </c>
      <c r="G4975">
        <f>VLOOKUP(D4974,'Detail Balok'!$C$10:$AU$110,3,FALSE)</f>
        <v>450</v>
      </c>
    </row>
    <row r="4976">
      <c r="C4976" t="str">
        <v>Panjang as ke as</v>
      </c>
      <c r="D4976">
        <f>VLOOKUP(C4974,'Data Panjang Balok'!$C$9:$N$424,4,FALSE)</f>
        <v>8100</v>
      </c>
    </row>
    <row r="4977">
      <c r="C4977" t="str">
        <v>Panjang netto</v>
      </c>
      <c r="D4977">
        <f>VLOOKUP(C4974,'Data Panjang Balok'!$C$9:$N$424,7,FALSE)</f>
        <v>8100</v>
      </c>
    </row>
    <row r="4978">
      <c r="C4978" t="str">
        <v>Kolom / balok kiri</v>
      </c>
      <c r="D4978">
        <f>VLOOKUP(C4974,'Data Panjang Balok'!$C$9:$N$424,9,FALSE)</f>
        <v>0</v>
      </c>
    </row>
    <row r="4979">
      <c r="C4979" t="str">
        <v>Kolom / balok kanan</v>
      </c>
      <c r="D4979">
        <f>VLOOKUP(C4974,'Data Panjang Balok'!$C$9:$N$424,10,FALSE)</f>
        <v>0</v>
      </c>
    </row>
    <row r="4980">
      <c r="C4980" t="str">
        <v>Jumlah</v>
      </c>
      <c r="D4980">
        <f>VLOOKUP(C4974,'Data Panjang Balok'!$C$9:$N$424,3,FALSE)</f>
        <v>1</v>
      </c>
    </row>
    <row r="4981">
      <c r="A4981" t="str">
        <f>A4974</f>
        <v>Lantai 1</v>
      </c>
      <c r="B4981">
        <f>B4974</f>
        <v>69</v>
      </c>
      <c r="C4981" t="str">
        <v>Tul Atas Tumpuan</v>
      </c>
      <c r="D4981">
        <f>VLOOKUP(D4974,'Detail Balok'!$C$10:$AU$110,4,FALSE)</f>
        <v>2</v>
      </c>
      <c r="E4981" t="str">
        <v>D</v>
      </c>
      <c r="F4981">
        <f>VLOOKUP(D4974,'Detail Balok'!$C$10:$AU$110,6,FALSE)</f>
        <v>16</v>
      </c>
      <c r="I4981" t="str">
        <v>(</v>
      </c>
      <c r="J4981">
        <f>+D4976/4/1000</f>
        <v>2.025</v>
      </c>
      <c r="K4981" t="str">
        <v>+</v>
      </c>
      <c r="L4981">
        <f>MAX(VLOOKUP(F4981,N$6:P$15,3,FALSE)/1000,2/3*D4978/1000)+F$16*F4981/1000</f>
        <v>0.192</v>
      </c>
      <c r="M4981" t="str">
        <v>=</v>
      </c>
      <c r="N4981">
        <f>J4981+L4981</f>
        <v>2.217</v>
      </c>
      <c r="O4981" t="str">
        <v>+</v>
      </c>
      <c r="P4981">
        <f>D4981-D4982</f>
        <v>0</v>
      </c>
      <c r="Q4981" t="str">
        <v>x</v>
      </c>
      <c r="R4981">
        <f>IF(P4981&gt;0,$F$18*F4981/1000,0)</f>
        <v>0</v>
      </c>
      <c r="S4981" t="str">
        <v>)</v>
      </c>
      <c r="T4981" t="str">
        <v>x</v>
      </c>
      <c r="U4981">
        <f>0.006165*F4981^2</f>
        <v>1.57824</v>
      </c>
      <c r="X4981" t="str">
        <v>x</v>
      </c>
      <c r="Y4981">
        <f>D4980</f>
        <v>1</v>
      </c>
      <c r="Z4981" t="str">
        <v>=</v>
      </c>
      <c r="AA4981">
        <f>IF(AA4984=0,(D4981*N4981+P4981*R4981)*U4981*Y4981,0)</f>
        <v>0</v>
      </c>
    </row>
    <row r="4982">
      <c r="A4982" t="str">
        <f>A4974</f>
        <v>Lantai 1</v>
      </c>
      <c r="B4982">
        <f>B4974</f>
        <v>69</v>
      </c>
      <c r="C4982" t="str">
        <v>Tul Atas Lapangan</v>
      </c>
      <c r="D4982">
        <f>VLOOKUP(D4974,'Detail Balok'!$C$10:$AU$110,7,FALSE)</f>
        <v>2</v>
      </c>
      <c r="E4982" t="str">
        <v>D</v>
      </c>
      <c r="F4982">
        <f>VLOOKUP(D4974,'Detail Balok'!$C$10:$AU$110,9,FALSE)</f>
        <v>16</v>
      </c>
      <c r="I4982" t="str">
        <v>(</v>
      </c>
      <c r="J4982">
        <f>+D4976/2/1000</f>
        <v>4.05</v>
      </c>
      <c r="K4982" t="str">
        <v>+</v>
      </c>
      <c r="M4982" t="str">
        <v>=</v>
      </c>
      <c r="N4982">
        <f>J4982+L4982</f>
        <v>4.05</v>
      </c>
      <c r="O4982" t="str">
        <v>+</v>
      </c>
      <c r="P4982">
        <f>MAX(D4982-D4981,D4982-D4983)</f>
        <v>0</v>
      </c>
      <c r="Q4982" t="str">
        <v>x</v>
      </c>
      <c r="R4982">
        <f>IF(P4982&gt;0,2*(1-2*$F$19-1/2)*D4977/1000,0)</f>
        <v>0</v>
      </c>
      <c r="S4982" t="str">
        <v>)</v>
      </c>
      <c r="T4982" t="str">
        <v>x</v>
      </c>
      <c r="U4982">
        <f>0.006165*F4982^2</f>
        <v>1.57824</v>
      </c>
      <c r="X4982" t="str">
        <v>x</v>
      </c>
      <c r="Y4982">
        <f>D4980</f>
        <v>1</v>
      </c>
      <c r="Z4982" t="str">
        <v>=</v>
      </c>
      <c r="AA4982">
        <f>IF(AA4984=0,(D4982*N4982+P4982*R4982)*U4982*Y4982,0)</f>
        <v>0</v>
      </c>
    </row>
    <row r="4983">
      <c r="A4983" t="str">
        <f>A4974</f>
        <v>Lantai 1</v>
      </c>
      <c r="B4983">
        <f>B4974</f>
        <v>69</v>
      </c>
      <c r="C4983" t="str">
        <v>Tul Atas Tumpuan</v>
      </c>
      <c r="D4983">
        <f>VLOOKUP(D4974,'Detail Balok'!$C$10:$AU$110,10,FALSE)</f>
        <v>2</v>
      </c>
      <c r="E4983" t="str">
        <v>D</v>
      </c>
      <c r="F4983">
        <f>VLOOKUP(D4974,'Detail Balok'!$C$10:$AU$110,12,FALSE)</f>
        <v>16</v>
      </c>
      <c r="I4983" t="str">
        <v>(</v>
      </c>
      <c r="J4983">
        <f>+D4976/4/1000</f>
        <v>2.025</v>
      </c>
      <c r="K4983" t="str">
        <v>+</v>
      </c>
      <c r="L4983">
        <f>MAX(VLOOKUP(F4983,N$6:P$15,3,FALSE)/1000,2/3*D4978/1000)+F$16*F4983/1000</f>
        <v>0.192</v>
      </c>
      <c r="M4983" t="str">
        <v>=</v>
      </c>
      <c r="N4983">
        <f>J4983+L4983</f>
        <v>2.217</v>
      </c>
      <c r="O4983" t="str">
        <v>+</v>
      </c>
      <c r="P4983">
        <f>D4983-D4982</f>
        <v>0</v>
      </c>
      <c r="Q4983" t="str">
        <v>x</v>
      </c>
      <c r="R4983">
        <f>IF(P4983&gt;0,$F$18*F4983/1000,0)</f>
        <v>0</v>
      </c>
      <c r="S4983" t="str">
        <v>)</v>
      </c>
      <c r="T4983" t="str">
        <v>x</v>
      </c>
      <c r="U4983">
        <f>0.006165*F4983^2</f>
        <v>1.57824</v>
      </c>
      <c r="X4983" t="str">
        <v>x</v>
      </c>
      <c r="Y4983">
        <f>D4980</f>
        <v>1</v>
      </c>
      <c r="Z4983" t="str">
        <v>=</v>
      </c>
      <c r="AA4983">
        <f>IF(AA4984=0,(D4983*N4983+P4983*R4983)*U4983*Y4983,0)</f>
        <v>0</v>
      </c>
    </row>
    <row r="4984">
      <c r="A4984" t="str">
        <f>A4974</f>
        <v>Lantai 1</v>
      </c>
      <c r="B4984">
        <f>B4974</f>
        <v>69</v>
      </c>
      <c r="D4984">
        <f>IF(AND(D4981=D4982,D4982=D4983,D4981=D4983),D4981,0)</f>
        <v>2</v>
      </c>
      <c r="E4984" t="str">
        <v>D</v>
      </c>
      <c r="F4984">
        <f>IF(AND(F4981=F4982,F4981=F4983,F4982=F4983),F4981,0)</f>
        <v>16</v>
      </c>
      <c r="L4984" t="str">
        <v>Total panjang per balok</v>
      </c>
      <c r="M4984" t="str">
        <v>=</v>
      </c>
      <c r="N4984">
        <f>IF(AND(D4981=D4982,D4981=D4983,D4982=D4983,F4981=F4982,F4981=F4983,F4982=F4983),SUM(N4981:N4983),0)</f>
        <v>8.484</v>
      </c>
      <c r="O4984" t="str">
        <v>+</v>
      </c>
      <c r="P4984">
        <f>IF(N4984&gt;12,ROUNDDOWN(N4984/12,0),0)</f>
        <v>0</v>
      </c>
      <c r="Q4984" t="str">
        <v>x</v>
      </c>
      <c r="R4984">
        <f>IF(P4984&gt;0,MAX(VLOOKUP(F4984,$D$6:$G$15,3,FALSE),600),0)/1000</f>
        <v>0</v>
      </c>
      <c r="T4984" t="str">
        <v>x</v>
      </c>
      <c r="U4984">
        <f>U4983</f>
        <v>1.57824</v>
      </c>
      <c r="V4984" t="str">
        <v>x</v>
      </c>
      <c r="W4984">
        <f>D4984</f>
        <v>2</v>
      </c>
      <c r="X4984" t="str">
        <v>x</v>
      </c>
      <c r="Y4984">
        <f>Y4983</f>
        <v>1</v>
      </c>
      <c r="Z4984" t="str">
        <v>=</v>
      </c>
      <c r="AA4984">
        <f>(N4984+P4984*R4984/1000)*U4984*W4984*Y4984</f>
        <v>26.77957632</v>
      </c>
    </row>
    <row r="4986">
      <c r="A4986" t="str">
        <f>A4974</f>
        <v>Lantai 1</v>
      </c>
      <c r="B4986">
        <f>B4974</f>
        <v>69</v>
      </c>
      <c r="C4986" t="str">
        <v>Tul Peminggang</v>
      </c>
      <c r="D4986">
        <f>VLOOKUP(D4974,'Detail Balok'!$C$10:$AU$110,13,FALSE)</f>
        <v>2</v>
      </c>
      <c r="E4986" t="str">
        <v>D</v>
      </c>
      <c r="F4986">
        <f>VLOOKUP(D4974,'Detail Balok'!$C$10:$AU$110,15,FALSE)</f>
        <v>10</v>
      </c>
      <c r="J4986">
        <f>+D4976/1000</f>
        <v>8.1</v>
      </c>
      <c r="K4986" t="str">
        <v>+</v>
      </c>
      <c r="L4986">
        <f>2*$F$16*F4986/1000</f>
        <v>0.24</v>
      </c>
      <c r="M4986" t="str">
        <v>=</v>
      </c>
      <c r="N4986">
        <f>J4986+L4986</f>
        <v>8.34</v>
      </c>
      <c r="O4986" t="str">
        <v>+</v>
      </c>
      <c r="P4986">
        <f>IF(N4986&gt;12,ROUNDDOWN(N4986/12,0),0)</f>
        <v>0</v>
      </c>
      <c r="Q4986" t="str">
        <v>x</v>
      </c>
      <c r="R4986">
        <f>IF(P4986&gt;0,MAX(VLOOKUP(F4986,$D$6:$G$15,3,FALSE),600),0)/1000</f>
        <v>0</v>
      </c>
      <c r="T4986" t="str">
        <v>x</v>
      </c>
      <c r="U4986">
        <f>0.006165*F4986^2</f>
        <v>0.6165</v>
      </c>
      <c r="V4986" t="str">
        <v>x</v>
      </c>
      <c r="W4986">
        <f>+D4986</f>
        <v>2</v>
      </c>
      <c r="X4986" t="str">
        <v>x</v>
      </c>
      <c r="Y4986">
        <f>D4980</f>
        <v>1</v>
      </c>
      <c r="Z4986" t="str">
        <v>=</v>
      </c>
      <c r="AA4986">
        <f>(N4986+P4986*R4986/1000)*U4986*W4986*Y4986</f>
        <v>10.28322</v>
      </c>
    </row>
    <row r="4989">
      <c r="A4989" t="str">
        <f>A4974</f>
        <v>Lantai 1</v>
      </c>
      <c r="B4989">
        <f>B4974</f>
        <v>69</v>
      </c>
      <c r="C4989" t="str">
        <v>Tul Bawah Tumpuan</v>
      </c>
      <c r="D4989">
        <f>VLOOKUP(D4974,'Detail Balok'!$C$10:$AU$110,22,FALSE)</f>
        <v>2</v>
      </c>
      <c r="E4989" t="str">
        <v>D</v>
      </c>
      <c r="F4989">
        <f>VLOOKUP(D4974,'Detail Balok'!$C$10:$AU$110,24,FALSE)</f>
        <v>16</v>
      </c>
      <c r="I4989" t="str">
        <v>(</v>
      </c>
      <c r="J4989">
        <f>+J4981</f>
        <v>2.025</v>
      </c>
      <c r="K4989" t="str">
        <v>+</v>
      </c>
      <c r="L4989">
        <f>MAX(VLOOKUP(F4989,N$6:P$15,3,FALSE)/1000,2/3*D4979/1000)+F$16*F4989/1000</f>
        <v>0.192</v>
      </c>
      <c r="M4989" t="str">
        <v>=</v>
      </c>
      <c r="N4989">
        <f>J4989+L4989</f>
        <v>2.217</v>
      </c>
      <c r="O4989" t="str">
        <v>+</v>
      </c>
      <c r="P4989">
        <f>D4989-D4990</f>
        <v>0</v>
      </c>
      <c r="Q4989" t="str">
        <v>x</v>
      </c>
      <c r="R4989">
        <f>IF(P4989&gt;0,$F$18*F4989/1000,0)</f>
        <v>0</v>
      </c>
      <c r="S4989" t="str">
        <v>)</v>
      </c>
      <c r="T4989" t="str">
        <v>x</v>
      </c>
      <c r="U4989">
        <f>0.006165*F4989^2</f>
        <v>1.57824</v>
      </c>
      <c r="X4989" t="str">
        <v>x</v>
      </c>
      <c r="Y4989">
        <f>D4980</f>
        <v>1</v>
      </c>
      <c r="Z4989" t="str">
        <v>=</v>
      </c>
      <c r="AA4989">
        <f>IF(AA4992=0,(D4989*N4989+P4989*R4989)*U4989*Y4989,0)</f>
        <v>0</v>
      </c>
    </row>
    <row r="4990">
      <c r="A4990" t="str">
        <f>A4974</f>
        <v>Lantai 1</v>
      </c>
      <c r="B4990">
        <f>B4974</f>
        <v>69</v>
      </c>
      <c r="C4990" t="str">
        <v>Tul Bawah Lapangan</v>
      </c>
      <c r="D4990">
        <f>VLOOKUP(D4974,'Detail Balok'!$C$10:$AU$110,25,FALSE)</f>
        <v>2</v>
      </c>
      <c r="E4990" t="str">
        <v>D</v>
      </c>
      <c r="F4990">
        <f>VLOOKUP(D4974,'Detail Balok'!$C$10:$AU$110,27,FALSE)</f>
        <v>16</v>
      </c>
      <c r="I4990" t="str">
        <v>(</v>
      </c>
      <c r="J4990">
        <f>+J4982</f>
        <v>4.05</v>
      </c>
      <c r="K4990" t="str">
        <v>+</v>
      </c>
      <c r="M4990" t="str">
        <v>=</v>
      </c>
      <c r="N4990">
        <f>J4990+L4990</f>
        <v>4.05</v>
      </c>
      <c r="O4990" t="str">
        <v>+</v>
      </c>
      <c r="P4990">
        <f>MAX(D4990-D4989,D4990-D4991)</f>
        <v>0</v>
      </c>
      <c r="Q4990" t="str">
        <v>x</v>
      </c>
      <c r="R4990">
        <f>IF(P4990&gt;0,2*(1-2*$F$19-1/2)*D4977/1000,0)</f>
        <v>0</v>
      </c>
      <c r="S4990" t="str">
        <v>)</v>
      </c>
      <c r="T4990" t="str">
        <v>x</v>
      </c>
      <c r="U4990">
        <f>0.006165*F4990^2</f>
        <v>1.57824</v>
      </c>
      <c r="X4990" t="str">
        <v>x</v>
      </c>
      <c r="Y4990">
        <f>D4980</f>
        <v>1</v>
      </c>
      <c r="Z4990" t="str">
        <v>=</v>
      </c>
      <c r="AA4990">
        <f>IF(AA4992=0,(D4990*N4990+P4990*R4990)*U4990*Y4990,0)</f>
        <v>0</v>
      </c>
    </row>
    <row r="4991">
      <c r="A4991" t="str">
        <f>A4974</f>
        <v>Lantai 1</v>
      </c>
      <c r="B4991">
        <f>B4974</f>
        <v>69</v>
      </c>
      <c r="C4991" t="str">
        <v>Tul Bawah Tumpuan</v>
      </c>
      <c r="D4991">
        <f>VLOOKUP(D4974,'Detail Balok'!$C$10:$AU$110,28,FALSE)</f>
        <v>2</v>
      </c>
      <c r="E4991" t="str">
        <v>D</v>
      </c>
      <c r="F4991">
        <f>VLOOKUP(D4974,'Detail Balok'!$C$10:$AU$110,30,FALSE)</f>
        <v>16</v>
      </c>
      <c r="I4991" t="str">
        <v>(</v>
      </c>
      <c r="J4991">
        <f>+J4983</f>
        <v>2.025</v>
      </c>
      <c r="K4991" t="str">
        <v>+</v>
      </c>
      <c r="L4991">
        <f>MAX(VLOOKUP(F4991,N$6:P$15,3,FALSE)/1000,2/3*D4979/1000)+F$16*F4991/1000</f>
        <v>0.192</v>
      </c>
      <c r="M4991" t="str">
        <v>=</v>
      </c>
      <c r="N4991">
        <f>J4991+L4991</f>
        <v>2.217</v>
      </c>
      <c r="O4991" t="str">
        <v>+</v>
      </c>
      <c r="P4991">
        <f>D4991-D4990</f>
        <v>0</v>
      </c>
      <c r="Q4991" t="str">
        <v>x</v>
      </c>
      <c r="R4991">
        <f>IF(P4991&gt;0,$F$18*F4991/1000,0)</f>
        <v>0</v>
      </c>
      <c r="S4991" t="str">
        <v>)</v>
      </c>
      <c r="T4991" t="str">
        <v>x</v>
      </c>
      <c r="U4991">
        <f>0.006165*F4991^2</f>
        <v>1.57824</v>
      </c>
      <c r="X4991" t="str">
        <v>x</v>
      </c>
      <c r="Y4991">
        <f>D4980</f>
        <v>1</v>
      </c>
      <c r="Z4991" t="str">
        <v>=</v>
      </c>
      <c r="AA4991">
        <f>IF(AA4992=0,(D4991*N4991+P4991*R4991)*U4991*Y4991,0)</f>
        <v>0</v>
      </c>
    </row>
    <row r="4992">
      <c r="A4992" t="str">
        <f>A4974</f>
        <v>Lantai 1</v>
      </c>
      <c r="B4992">
        <f>B4974</f>
        <v>69</v>
      </c>
      <c r="D4992">
        <f>IF(AND(D4989=D4990,D4990=D4991,D4989=D4991),D4989,0)</f>
        <v>2</v>
      </c>
      <c r="E4992" t="str">
        <v>D</v>
      </c>
      <c r="F4992">
        <f>IF(AND(F4989=F4990,F4989=F4991,F4990=F4991),F4989,0)</f>
        <v>16</v>
      </c>
      <c r="L4992" t="str">
        <v>Total panjang per balok</v>
      </c>
      <c r="M4992" t="str">
        <v>=</v>
      </c>
      <c r="N4992">
        <f>IF(AND(D4989=D4990,D4989=D4991,D4990=D4991,F4989=F4990,F4989=F4991,F4990=F4991),SUM(N4989:N4991),0)</f>
        <v>8.484</v>
      </c>
      <c r="O4992" t="str">
        <v>+</v>
      </c>
      <c r="P4992">
        <f>IF(N4992&gt;12,ROUNDDOWN(N4992/12,0),0)</f>
        <v>0</v>
      </c>
      <c r="Q4992" t="str">
        <v>x</v>
      </c>
      <c r="R4992">
        <f>IF(P4992&gt;0,MAX(VLOOKUP(F4992,$D$6:$G$15,3,FALSE),600),0)/1000</f>
        <v>0</v>
      </c>
      <c r="T4992" t="str">
        <v>x</v>
      </c>
      <c r="U4992">
        <f>U4991</f>
        <v>1.57824</v>
      </c>
      <c r="V4992" t="str">
        <v>x</v>
      </c>
      <c r="W4992">
        <f>D4992</f>
        <v>2</v>
      </c>
      <c r="X4992" t="str">
        <v>x</v>
      </c>
      <c r="Y4992">
        <f>Y4991</f>
        <v>1</v>
      </c>
      <c r="Z4992" t="str">
        <v>=</v>
      </c>
      <c r="AA4992">
        <f>(N4992+P4992*R4992/1000)*U4992*W4992*Y4992</f>
        <v>26.77957632</v>
      </c>
    </row>
    <row r="4994">
      <c r="A4994" t="str">
        <f>A4974</f>
        <v>Lantai 1</v>
      </c>
      <c r="B4994">
        <f>B4974</f>
        <v>69</v>
      </c>
      <c r="C4994" t="str">
        <v>Sengkang Tumpuan</v>
      </c>
      <c r="D4994">
        <f>VLOOKUP(D4974,'Detail Balok'!$C$10:$AU$110,31,FALSE)</f>
        <v>0</v>
      </c>
      <c r="E4994" t="str">
        <v>D</v>
      </c>
      <c r="F4994">
        <f>VLOOKUP(D4974,'Detail Balok'!$C$10:$AU$110,33,FALSE)</f>
        <v>10</v>
      </c>
      <c r="G4994" t="str">
        <v>-</v>
      </c>
      <c r="H4994">
        <f>VLOOKUP(D4974,'Detail Balok'!$C$10:$AU$110,35,FALSE)</f>
        <v>90</v>
      </c>
      <c r="J4994">
        <f>(IF(D4994=0,(2*(D4975+G4975))-(F$5*8),IF(D4994=3,(2*(D4975+G4975))-(F$5*8)+(G4975-2*F$5),IF(D4994=4,(2*(D4975+G4975))-(F$5*8)+2*(G4975-2*F$5)))))/1000</f>
        <v>0.98</v>
      </c>
      <c r="K4994" t="str">
        <v>+</v>
      </c>
      <c r="L4994">
        <f>IF(D4994=0,2*MAX(6*F4994,75),(D4994-1)*2*MAX(6*F4994,75))/1000</f>
        <v>0.15</v>
      </c>
      <c r="M4994" t="str">
        <v>=</v>
      </c>
      <c r="N4994">
        <f>J4994+L4994</f>
        <v>1.13</v>
      </c>
      <c r="T4994" t="str">
        <v>x</v>
      </c>
      <c r="U4994">
        <f>0.006165*F4994^2</f>
        <v>0.6165</v>
      </c>
      <c r="V4994" t="str">
        <v>x</v>
      </c>
      <c r="W4994">
        <f>IF(D4977&gt;4*G4975,ROUND(MAX(D4977/4,2*G4975)/H4994,0)+1,ROUND(D4977/H4994,0)+1)</f>
        <v>24</v>
      </c>
      <c r="X4994" t="str">
        <v>x</v>
      </c>
      <c r="Y4994">
        <f>D4980</f>
        <v>1</v>
      </c>
      <c r="Z4994" t="str">
        <v>=</v>
      </c>
      <c r="AA4994">
        <f>N4994*U4994*W4994*Y4994</f>
        <v>16.719479999999997</v>
      </c>
    </row>
    <row r="4995">
      <c r="A4995" t="str">
        <f>A4974</f>
        <v>Lantai 1</v>
      </c>
      <c r="B4995">
        <f>B4974</f>
        <v>69</v>
      </c>
      <c r="C4995" t="str">
        <v>Sengkang Lapangan</v>
      </c>
      <c r="D4995">
        <f>VLOOKUP(D4974,'Detail Balok'!$C$10:$AU$110,36,FALSE)</f>
        <v>0</v>
      </c>
      <c r="E4995" t="str">
        <v>D</v>
      </c>
      <c r="F4995">
        <f>VLOOKUP(D4974,'Detail Balok'!$C$10:$AU$110,38,FALSE)</f>
        <v>10</v>
      </c>
      <c r="G4995" t="str">
        <v>-</v>
      </c>
      <c r="H4995">
        <f>VLOOKUP(D4974,'Detail Balok'!$C$10:$AU$110,40,FALSE)</f>
        <v>175</v>
      </c>
      <c r="J4995">
        <f>(IF(D4995=0,(2*(D4975+G4975))-(F$5*8),IF(D4995=3,(2*(D4975+G4975))-(F$5*8)+(G4975-2*F$5),IF(D4995=4,(2*(D4975+G4975))-(F$5*8)+2*(G4975-2*F$5)))))/1000</f>
        <v>0.98</v>
      </c>
      <c r="K4995" t="str">
        <v>+</v>
      </c>
      <c r="L4995">
        <f>IF(D4995=0,2*MAX(6*F4995,75),(D4995-1)*2*MAX(6*F4995,75))/1000</f>
        <v>0.15</v>
      </c>
      <c r="M4995" t="str">
        <v>=</v>
      </c>
      <c r="N4995">
        <f>J4995+L4995</f>
        <v>1.13</v>
      </c>
      <c r="T4995" t="str">
        <v>x</v>
      </c>
      <c r="U4995">
        <f>0.006165*F4995^2</f>
        <v>0.6165</v>
      </c>
      <c r="V4995" t="str">
        <v>x</v>
      </c>
      <c r="W4995">
        <f>IF(D4977-MAX(D4977/4,2*G4975)*2&gt;0,ROUND((D4977-MAX(D4977/4,2*G4975)*2)/H4995,0),0)</f>
        <v>23</v>
      </c>
      <c r="X4995" t="str">
        <v>x</v>
      </c>
      <c r="Y4995">
        <f>D4980</f>
        <v>1</v>
      </c>
      <c r="Z4995" t="str">
        <v>=</v>
      </c>
      <c r="AA4995">
        <f>N4995*U4995*W4995*Y4995</f>
        <v>16.022835</v>
      </c>
    </row>
    <row r="4996">
      <c r="A4996" t="str">
        <f>A4974</f>
        <v>Lantai 1</v>
      </c>
      <c r="B4996">
        <f>B4974</f>
        <v>69</v>
      </c>
      <c r="C4996" t="str">
        <v>Sengkang Tumpuan</v>
      </c>
      <c r="D4996">
        <f>VLOOKUP(D4974,'Detail Balok'!$C$10:$AU$110,41,FALSE)</f>
        <v>0</v>
      </c>
      <c r="E4996" t="str">
        <v>D</v>
      </c>
      <c r="F4996">
        <f>VLOOKUP(D4974,'Detail Balok'!$C$10:$AU$110,43,FALSE)</f>
        <v>10</v>
      </c>
      <c r="G4996" t="str">
        <v>-</v>
      </c>
      <c r="H4996">
        <f>VLOOKUP(D4974,'Detail Balok'!$C$10:$AU$110,45,FALSE)</f>
        <v>90</v>
      </c>
      <c r="J4996">
        <f>(IF(D4996=0,(2*(D4975+G4975))-(F$5*8),IF(D4996=3,(2*(D4975+G4975))-(F$5*8)+(G4975-2*F$5),IF(D4996=4,(2*(D4975+G4975))-(F$5*8)+2*(G4975-2*F$5)))))/1000</f>
        <v>0.98</v>
      </c>
      <c r="K4996" t="str">
        <v>+</v>
      </c>
      <c r="L4996">
        <f>IF(D4996=0,2*MAX(6*F4996,75),(D4996-1)*2*MAX(6*F4996,75))/1000</f>
        <v>0.15</v>
      </c>
      <c r="M4996" t="str">
        <v>=</v>
      </c>
      <c r="N4996">
        <f>J4996+L4996</f>
        <v>1.13</v>
      </c>
      <c r="T4996" t="str">
        <v>x</v>
      </c>
      <c r="U4996">
        <f>0.006165*F4996^2</f>
        <v>0.6165</v>
      </c>
      <c r="V4996" t="str">
        <v>x</v>
      </c>
      <c r="W4996">
        <f>IF(D4977&gt;4*G4975,ROUND(MAX(D4977/4,2*G4975)/H4996,0)+1,0)</f>
        <v>24</v>
      </c>
      <c r="X4996" t="str">
        <v>x</v>
      </c>
      <c r="Y4996">
        <f>D4980</f>
        <v>1</v>
      </c>
      <c r="Z4996" t="str">
        <v>=</v>
      </c>
      <c r="AA4996">
        <f>N4996*U4996*W4996*Y4996</f>
        <v>16.719479999999997</v>
      </c>
    </row>
    <row r="4998">
      <c r="A4998" t="str">
        <f>A4974</f>
        <v>Lantai 1</v>
      </c>
      <c r="B4998">
        <f>B4974</f>
        <v>69</v>
      </c>
      <c r="C4998" t="str">
        <v>Kait Horizontal Tump.</v>
      </c>
      <c r="D4998">
        <f>VLOOKUP(D4974,'Detail Balok'!$C$10:$BJ$110,46,FALSE)</f>
        <v>0</v>
      </c>
      <c r="E4998" t="str">
        <v>D</v>
      </c>
      <c r="F4998">
        <f>VLOOKUP(D4974,'Detail Balok'!$C$10:$BJ$110,48,FALSE)</f>
        <v>0</v>
      </c>
      <c r="G4998" t="str">
        <v>-</v>
      </c>
      <c r="H4998">
        <f>VLOOKUP(D4974,'Detail Balok'!$C$10:$BJ$110,50,FALSE)</f>
        <v>100</v>
      </c>
      <c r="J4998">
        <f>(D4975-2*F$5)/1000</f>
        <v>0.12</v>
      </c>
      <c r="K4998" t="str">
        <v>+</v>
      </c>
      <c r="L4998">
        <f>IF(D4998=0,2*MAX(6*F4998,75),(D4998-1)*2*MAX(6*F4998,75))/1000</f>
        <v>0.15</v>
      </c>
      <c r="M4998" t="str">
        <v>=</v>
      </c>
      <c r="N4998">
        <f>J4998+L4998</f>
        <v>0.27</v>
      </c>
      <c r="T4998" t="str">
        <v>x</v>
      </c>
      <c r="U4998">
        <f>0.006165*F4998^2</f>
        <v>0</v>
      </c>
      <c r="V4998" t="str">
        <v>x</v>
      </c>
      <c r="W4998">
        <f>W4994</f>
        <v>24</v>
      </c>
      <c r="X4998" t="str">
        <v>x</v>
      </c>
      <c r="Y4998">
        <f>D4984</f>
        <v>2</v>
      </c>
      <c r="Z4998" t="str">
        <v>=</v>
      </c>
      <c r="AA4998">
        <f>N4998*U4998*W4998*Y4998</f>
        <v>0</v>
      </c>
    </row>
    <row r="4999">
      <c r="A4999" t="str">
        <f>A4974</f>
        <v>Lantai 1</v>
      </c>
      <c r="B4999">
        <f>B4974</f>
        <v>69</v>
      </c>
      <c r="C4999" t="str">
        <v>Kait Horizontal Lap.</v>
      </c>
      <c r="D4999">
        <f>VLOOKUP(D4974,'Detail Balok'!$C$10:$BJ$110,51,FALSE)</f>
        <v>0</v>
      </c>
      <c r="E4999" t="str">
        <v>D</v>
      </c>
      <c r="F4999">
        <f>VLOOKUP(D4974,'Detail Balok'!$C$10:$BJ$110,53,FALSE)</f>
        <v>0</v>
      </c>
      <c r="G4999" t="str">
        <v>-</v>
      </c>
      <c r="H4999">
        <f>VLOOKUP(D4974,'Detail Balok'!$C$10:$BJ$110,55,FALSE)</f>
        <v>100</v>
      </c>
      <c r="J4999">
        <f>(D4975-2*F$5)/1000</f>
        <v>0.12</v>
      </c>
      <c r="K4999" t="str">
        <v>+</v>
      </c>
      <c r="L4999">
        <f>IF(D4999=0,2*MAX(6*F4999,75),(D4999-1)*2*MAX(6*F4999,75))/1000</f>
        <v>0.15</v>
      </c>
      <c r="M4999" t="str">
        <v>=</v>
      </c>
      <c r="N4999">
        <f>J4999+L4999</f>
        <v>0.27</v>
      </c>
      <c r="T4999" t="str">
        <v>x</v>
      </c>
      <c r="U4999">
        <f>0.006165*F4999^2</f>
        <v>0</v>
      </c>
      <c r="V4999" t="str">
        <v>x</v>
      </c>
      <c r="W4999">
        <f>W4995</f>
        <v>23</v>
      </c>
      <c r="X4999" t="str">
        <v>x</v>
      </c>
      <c r="Y4999">
        <f>D4984</f>
        <v>2</v>
      </c>
      <c r="Z4999" t="str">
        <v>=</v>
      </c>
      <c r="AA4999">
        <f>N4999*U4999*W4999*Y4999</f>
        <v>0</v>
      </c>
    </row>
    <row r="5000">
      <c r="A5000" t="str">
        <f>A4974</f>
        <v>Lantai 1</v>
      </c>
      <c r="B5000">
        <f>B4974</f>
        <v>69</v>
      </c>
      <c r="C5000" t="str">
        <v>Kait Horizontal Tump.</v>
      </c>
      <c r="D5000">
        <f>VLOOKUP(D4974,'Detail Balok'!$C$10:$BJ$110,56,FALSE)</f>
        <v>0</v>
      </c>
      <c r="E5000" t="str">
        <v>D</v>
      </c>
      <c r="F5000">
        <f>VLOOKUP(D4974,'Detail Balok'!$C$10:$BJ$110,58,FALSE)</f>
        <v>0</v>
      </c>
      <c r="G5000" t="str">
        <v>-</v>
      </c>
      <c r="H5000">
        <f>VLOOKUP(D4974,'Detail Balok'!$C$10:$BJ$110,60,FALSE)</f>
        <v>100</v>
      </c>
      <c r="J5000">
        <f>(D4975-2*F$5)/1000</f>
        <v>0.12</v>
      </c>
      <c r="K5000" t="str">
        <v>+</v>
      </c>
      <c r="L5000">
        <f>IF(D5000=0,2*MAX(6*F5000,75),(D5000-1)*2*MAX(6*F5000,75))/1000</f>
        <v>0.15</v>
      </c>
      <c r="M5000" t="str">
        <v>=</v>
      </c>
      <c r="N5000">
        <f>J5000+L5000</f>
        <v>0.27</v>
      </c>
      <c r="T5000" t="str">
        <v>x</v>
      </c>
      <c r="U5000">
        <f>0.006165*F5000^2</f>
        <v>0</v>
      </c>
      <c r="V5000" t="str">
        <v>x</v>
      </c>
      <c r="W5000">
        <f>W4996</f>
        <v>24</v>
      </c>
      <c r="X5000" t="str">
        <v>x</v>
      </c>
      <c r="Y5000">
        <f>D4984</f>
        <v>2</v>
      </c>
      <c r="Z5000" t="str">
        <v>=</v>
      </c>
      <c r="AA5000">
        <f>N5000*U5000*W5000*Y5000</f>
        <v>0</v>
      </c>
    </row>
    <row r="5004">
      <c r="A5004" t="str">
        <f>A4974</f>
        <v>Lantai 1</v>
      </c>
      <c r="B5004">
        <f>B4974+1</f>
        <v>70</v>
      </c>
      <c r="C5004" t="str">
        <f>CONCATENATE(A5004," no. ",B5004)</f>
        <v>Lantai 1 no. 70</v>
      </c>
      <c r="D5004" t="str">
        <f>VLOOKUP(C5004,'Data Panjang Balok'!$C$9:$N$424,2,FALSE)</f>
        <v>B245-1</v>
      </c>
    </row>
    <row r="5005">
      <c r="C5005" t="str">
        <v>Dimensi</v>
      </c>
      <c r="D5005">
        <f>VLOOKUP(D5004,'Detail Balok'!$C$10:$AU$110,2,FALSE)</f>
        <v>200</v>
      </c>
      <c r="F5005" t="str">
        <v>x</v>
      </c>
      <c r="G5005">
        <f>VLOOKUP(D5004,'Detail Balok'!$C$10:$AU$110,3,FALSE)</f>
        <v>450</v>
      </c>
    </row>
    <row r="5006">
      <c r="C5006" t="str">
        <v>Panjang as ke as</v>
      </c>
      <c r="D5006">
        <f>VLOOKUP(C5004,'Data Panjang Balok'!$C$9:$N$424,4,FALSE)</f>
        <v>6335</v>
      </c>
    </row>
    <row r="5007">
      <c r="C5007" t="str">
        <v>Panjang netto</v>
      </c>
      <c r="D5007">
        <f>VLOOKUP(C5004,'Data Panjang Balok'!$C$9:$N$424,7,FALSE)</f>
        <v>6335</v>
      </c>
    </row>
    <row r="5008">
      <c r="C5008" t="str">
        <v>Kolom / balok kiri</v>
      </c>
      <c r="D5008">
        <f>VLOOKUP(C5004,'Data Panjang Balok'!$C$9:$N$424,9,FALSE)</f>
        <v>0</v>
      </c>
    </row>
    <row r="5009">
      <c r="C5009" t="str">
        <v>Kolom / balok kanan</v>
      </c>
      <c r="D5009">
        <f>VLOOKUP(C5004,'Data Panjang Balok'!$C$9:$N$424,10,FALSE)</f>
        <v>0</v>
      </c>
    </row>
    <row r="5010">
      <c r="C5010" t="str">
        <v>Jumlah</v>
      </c>
      <c r="D5010">
        <f>VLOOKUP(C5004,'Data Panjang Balok'!$C$9:$N$424,3,FALSE)</f>
        <v>1</v>
      </c>
    </row>
    <row r="5011">
      <c r="A5011" t="str">
        <f>A5004</f>
        <v>Lantai 1</v>
      </c>
      <c r="B5011">
        <f>B5004</f>
        <v>70</v>
      </c>
      <c r="C5011" t="str">
        <v>Tul Atas Tumpuan</v>
      </c>
      <c r="D5011">
        <f>VLOOKUP(D5004,'Detail Balok'!$C$10:$AU$110,4,FALSE)</f>
        <v>2</v>
      </c>
      <c r="E5011" t="str">
        <v>D</v>
      </c>
      <c r="F5011">
        <f>VLOOKUP(D5004,'Detail Balok'!$C$10:$AU$110,6,FALSE)</f>
        <v>13</v>
      </c>
      <c r="I5011" t="str">
        <v>(</v>
      </c>
      <c r="J5011">
        <f>+D5006/4/1000</f>
        <v>1.58375</v>
      </c>
      <c r="K5011" t="str">
        <v>+</v>
      </c>
      <c r="L5011">
        <f>MAX(VLOOKUP(F5011,N$6:P$15,3,FALSE)/1000,2/3*D5008/1000)+F$16*F5011/1000</f>
        <v>0.156</v>
      </c>
      <c r="M5011" t="str">
        <v>=</v>
      </c>
      <c r="N5011">
        <f>J5011+L5011</f>
        <v>1.73975</v>
      </c>
      <c r="O5011" t="str">
        <v>+</v>
      </c>
      <c r="P5011">
        <f>D5011-D5012</f>
        <v>0</v>
      </c>
      <c r="Q5011" t="str">
        <v>x</v>
      </c>
      <c r="R5011">
        <f>IF(P5011&gt;0,$F$18*F5011/1000,0)</f>
        <v>0</v>
      </c>
      <c r="S5011" t="str">
        <v>)</v>
      </c>
      <c r="T5011" t="str">
        <v>x</v>
      </c>
      <c r="U5011">
        <f>0.006165*F5011^2</f>
        <v>1.041885</v>
      </c>
      <c r="X5011" t="str">
        <v>x</v>
      </c>
      <c r="Y5011">
        <f>D5010</f>
        <v>1</v>
      </c>
      <c r="Z5011" t="str">
        <v>=</v>
      </c>
      <c r="AA5011">
        <f>IF(AA5014=0,(D5011*N5011+P5011*R5011)*U5011*Y5011,0)</f>
        <v>0</v>
      </c>
    </row>
    <row r="5012">
      <c r="A5012" t="str">
        <f>A5004</f>
        <v>Lantai 1</v>
      </c>
      <c r="B5012">
        <f>B5004</f>
        <v>70</v>
      </c>
      <c r="C5012" t="str">
        <v>Tul Atas Lapangan</v>
      </c>
      <c r="D5012">
        <f>VLOOKUP(D5004,'Detail Balok'!$C$10:$AU$110,7,FALSE)</f>
        <v>2</v>
      </c>
      <c r="E5012" t="str">
        <v>D</v>
      </c>
      <c r="F5012">
        <f>VLOOKUP(D5004,'Detail Balok'!$C$10:$AU$110,9,FALSE)</f>
        <v>13</v>
      </c>
      <c r="I5012" t="str">
        <v>(</v>
      </c>
      <c r="J5012">
        <f>+D5006/2/1000</f>
        <v>3.1675</v>
      </c>
      <c r="K5012" t="str">
        <v>+</v>
      </c>
      <c r="M5012" t="str">
        <v>=</v>
      </c>
      <c r="N5012">
        <f>J5012+L5012</f>
        <v>3.1675</v>
      </c>
      <c r="O5012" t="str">
        <v>+</v>
      </c>
      <c r="P5012">
        <f>MAX(D5012-D5011,D5012-D5013)</f>
        <v>0</v>
      </c>
      <c r="Q5012" t="str">
        <v>x</v>
      </c>
      <c r="R5012">
        <f>IF(P5012&gt;0,2*(1-2*$F$19-1/2)*D5007/1000,0)</f>
        <v>0</v>
      </c>
      <c r="S5012" t="str">
        <v>)</v>
      </c>
      <c r="T5012" t="str">
        <v>x</v>
      </c>
      <c r="U5012">
        <f>0.006165*F5012^2</f>
        <v>1.041885</v>
      </c>
      <c r="X5012" t="str">
        <v>x</v>
      </c>
      <c r="Y5012">
        <f>D5010</f>
        <v>1</v>
      </c>
      <c r="Z5012" t="str">
        <v>=</v>
      </c>
      <c r="AA5012">
        <f>IF(AA5014=0,(D5012*N5012+P5012*R5012)*U5012*Y5012,0)</f>
        <v>0</v>
      </c>
    </row>
    <row r="5013">
      <c r="A5013" t="str">
        <f>A5004</f>
        <v>Lantai 1</v>
      </c>
      <c r="B5013">
        <f>B5004</f>
        <v>70</v>
      </c>
      <c r="C5013" t="str">
        <v>Tul Atas Tumpuan</v>
      </c>
      <c r="D5013">
        <f>VLOOKUP(D5004,'Detail Balok'!$C$10:$AU$110,10,FALSE)</f>
        <v>2</v>
      </c>
      <c r="E5013" t="str">
        <v>D</v>
      </c>
      <c r="F5013">
        <f>VLOOKUP(D5004,'Detail Balok'!$C$10:$AU$110,12,FALSE)</f>
        <v>13</v>
      </c>
      <c r="I5013" t="str">
        <v>(</v>
      </c>
      <c r="J5013">
        <f>+D5006/4/1000</f>
        <v>1.58375</v>
      </c>
      <c r="K5013" t="str">
        <v>+</v>
      </c>
      <c r="L5013">
        <f>MAX(VLOOKUP(F5013,N$6:P$15,3,FALSE)/1000,2/3*D5008/1000)+F$16*F5013/1000</f>
        <v>0.156</v>
      </c>
      <c r="M5013" t="str">
        <v>=</v>
      </c>
      <c r="N5013">
        <f>J5013+L5013</f>
        <v>1.73975</v>
      </c>
      <c r="O5013" t="str">
        <v>+</v>
      </c>
      <c r="P5013">
        <f>D5013-D5012</f>
        <v>0</v>
      </c>
      <c r="Q5013" t="str">
        <v>x</v>
      </c>
      <c r="R5013">
        <f>IF(P5013&gt;0,$F$18*F5013/1000,0)</f>
        <v>0</v>
      </c>
      <c r="S5013" t="str">
        <v>)</v>
      </c>
      <c r="T5013" t="str">
        <v>x</v>
      </c>
      <c r="U5013">
        <f>0.006165*F5013^2</f>
        <v>1.041885</v>
      </c>
      <c r="X5013" t="str">
        <v>x</v>
      </c>
      <c r="Y5013">
        <f>D5010</f>
        <v>1</v>
      </c>
      <c r="Z5013" t="str">
        <v>=</v>
      </c>
      <c r="AA5013">
        <f>IF(AA5014=0,(D5013*N5013+P5013*R5013)*U5013*Y5013,0)</f>
        <v>0</v>
      </c>
    </row>
    <row r="5014">
      <c r="A5014" t="str">
        <f>A5004</f>
        <v>Lantai 1</v>
      </c>
      <c r="B5014">
        <f>B5004</f>
        <v>70</v>
      </c>
      <c r="D5014">
        <f>IF(AND(D5011=D5012,D5012=D5013,D5011=D5013),D5011,0)</f>
        <v>2</v>
      </c>
      <c r="E5014" t="str">
        <v>D</v>
      </c>
      <c r="F5014">
        <f>IF(AND(F5011=F5012,F5011=F5013,F5012=F5013),F5011,0)</f>
        <v>13</v>
      </c>
      <c r="L5014" t="str">
        <v>Total panjang per balok</v>
      </c>
      <c r="M5014" t="str">
        <v>=</v>
      </c>
      <c r="N5014">
        <f>IF(AND(D5011=D5012,D5011=D5013,D5012=D5013,F5011=F5012,F5011=F5013,F5012=F5013),SUM(N5011:N5013),0)</f>
        <v>6.646999999999999</v>
      </c>
      <c r="O5014" t="str">
        <v>+</v>
      </c>
      <c r="P5014">
        <f>IF(N5014&gt;12,ROUNDDOWN(N5014/12,0),0)</f>
        <v>0</v>
      </c>
      <c r="Q5014" t="str">
        <v>x</v>
      </c>
      <c r="R5014">
        <f>IF(P5014&gt;0,MAX(VLOOKUP(F5014,$D$6:$G$15,3,FALSE),600),0)/1000</f>
        <v>0</v>
      </c>
      <c r="T5014" t="str">
        <v>x</v>
      </c>
      <c r="U5014">
        <f>U5013</f>
        <v>1.041885</v>
      </c>
      <c r="V5014" t="str">
        <v>x</v>
      </c>
      <c r="W5014">
        <f>D5014</f>
        <v>2</v>
      </c>
      <c r="X5014" t="str">
        <v>x</v>
      </c>
      <c r="Y5014">
        <f>Y5013</f>
        <v>1</v>
      </c>
      <c r="Z5014" t="str">
        <v>=</v>
      </c>
      <c r="AA5014">
        <f>(N5014+P5014*R5014/1000)*U5014*W5014*Y5014</f>
        <v>13.850819189999998</v>
      </c>
    </row>
    <row r="5016">
      <c r="A5016" t="str">
        <f>A5004</f>
        <v>Lantai 1</v>
      </c>
      <c r="B5016">
        <f>B5004</f>
        <v>70</v>
      </c>
      <c r="C5016" t="str">
        <v>Tul Peminggang</v>
      </c>
      <c r="D5016">
        <f>VLOOKUP(D5004,'Detail Balok'!$C$10:$AU$110,13,FALSE)</f>
        <v>2</v>
      </c>
      <c r="E5016" t="str">
        <v>D</v>
      </c>
      <c r="F5016">
        <f>VLOOKUP(D5004,'Detail Balok'!$C$10:$AU$110,15,FALSE)</f>
        <v>8</v>
      </c>
      <c r="J5016">
        <f>+D5006/1000</f>
        <v>6.335</v>
      </c>
      <c r="K5016" t="str">
        <v>+</v>
      </c>
      <c r="L5016">
        <f>2*$F$16*F5016/1000</f>
        <v>0.192</v>
      </c>
      <c r="M5016" t="str">
        <v>=</v>
      </c>
      <c r="N5016">
        <f>J5016+L5016</f>
        <v>6.527</v>
      </c>
      <c r="O5016" t="str">
        <v>+</v>
      </c>
      <c r="P5016">
        <f>IF(N5016&gt;12,ROUNDDOWN(N5016/12,0),0)</f>
        <v>0</v>
      </c>
      <c r="Q5016" t="str">
        <v>x</v>
      </c>
      <c r="R5016">
        <f>IF(P5016&gt;0,MAX(VLOOKUP(F5016,$D$6:$G$15,3,FALSE),600),0)/1000</f>
        <v>0</v>
      </c>
      <c r="T5016" t="str">
        <v>x</v>
      </c>
      <c r="U5016">
        <f>0.006165*F5016^2</f>
        <v>0.39456</v>
      </c>
      <c r="V5016" t="str">
        <v>x</v>
      </c>
      <c r="W5016">
        <f>+D5016</f>
        <v>2</v>
      </c>
      <c r="X5016" t="str">
        <v>x</v>
      </c>
      <c r="Y5016">
        <f>D5010</f>
        <v>1</v>
      </c>
      <c r="Z5016" t="str">
        <v>=</v>
      </c>
      <c r="AA5016">
        <f>(N5016+P5016*R5016/1000)*U5016*W5016*Y5016</f>
        <v>5.15058624</v>
      </c>
    </row>
    <row r="5019">
      <c r="A5019" t="str">
        <f>A5004</f>
        <v>Lantai 1</v>
      </c>
      <c r="B5019">
        <f>B5004</f>
        <v>70</v>
      </c>
      <c r="C5019" t="str">
        <v>Tul Bawah Tumpuan</v>
      </c>
      <c r="D5019">
        <f>VLOOKUP(D5004,'Detail Balok'!$C$10:$AU$110,22,FALSE)</f>
        <v>2</v>
      </c>
      <c r="E5019" t="str">
        <v>D</v>
      </c>
      <c r="F5019">
        <f>VLOOKUP(D5004,'Detail Balok'!$C$10:$AU$110,24,FALSE)</f>
        <v>13</v>
      </c>
      <c r="I5019" t="str">
        <v>(</v>
      </c>
      <c r="J5019">
        <f>+J5011</f>
        <v>1.58375</v>
      </c>
      <c r="K5019" t="str">
        <v>+</v>
      </c>
      <c r="L5019">
        <f>MAX(VLOOKUP(F5019,N$6:P$15,3,FALSE)/1000,2/3*D5009/1000)+F$16*F5019/1000</f>
        <v>0.156</v>
      </c>
      <c r="M5019" t="str">
        <v>=</v>
      </c>
      <c r="N5019">
        <f>J5019+L5019</f>
        <v>1.73975</v>
      </c>
      <c r="O5019" t="str">
        <v>+</v>
      </c>
      <c r="P5019">
        <f>D5019-D5020</f>
        <v>0</v>
      </c>
      <c r="Q5019" t="str">
        <v>x</v>
      </c>
      <c r="R5019">
        <f>IF(P5019&gt;0,$F$18*F5019/1000,0)</f>
        <v>0</v>
      </c>
      <c r="S5019" t="str">
        <v>)</v>
      </c>
      <c r="T5019" t="str">
        <v>x</v>
      </c>
      <c r="U5019">
        <f>0.006165*F5019^2</f>
        <v>1.041885</v>
      </c>
      <c r="X5019" t="str">
        <v>x</v>
      </c>
      <c r="Y5019">
        <f>D5010</f>
        <v>1</v>
      </c>
      <c r="Z5019" t="str">
        <v>=</v>
      </c>
      <c r="AA5019">
        <f>IF(AA5022=0,(D5019*N5019+P5019*R5019)*U5019*Y5019,0)</f>
        <v>0</v>
      </c>
    </row>
    <row r="5020">
      <c r="A5020" t="str">
        <f>A5004</f>
        <v>Lantai 1</v>
      </c>
      <c r="B5020">
        <f>B5004</f>
        <v>70</v>
      </c>
      <c r="C5020" t="str">
        <v>Tul Bawah Lapangan</v>
      </c>
      <c r="D5020">
        <f>VLOOKUP(D5004,'Detail Balok'!$C$10:$AU$110,25,FALSE)</f>
        <v>2</v>
      </c>
      <c r="E5020" t="str">
        <v>D</v>
      </c>
      <c r="F5020">
        <f>VLOOKUP(D5004,'Detail Balok'!$C$10:$AU$110,27,FALSE)</f>
        <v>13</v>
      </c>
      <c r="I5020" t="str">
        <v>(</v>
      </c>
      <c r="J5020">
        <f>+J5012</f>
        <v>3.1675</v>
      </c>
      <c r="K5020" t="str">
        <v>+</v>
      </c>
      <c r="M5020" t="str">
        <v>=</v>
      </c>
      <c r="N5020">
        <f>J5020+L5020</f>
        <v>3.1675</v>
      </c>
      <c r="O5020" t="str">
        <v>+</v>
      </c>
      <c r="P5020">
        <f>MAX(D5020-D5019,D5020-D5021)</f>
        <v>0</v>
      </c>
      <c r="Q5020" t="str">
        <v>x</v>
      </c>
      <c r="R5020">
        <f>IF(P5020&gt;0,2*(1-2*$F$19-1/2)*D5007/1000,0)</f>
        <v>0</v>
      </c>
      <c r="S5020" t="str">
        <v>)</v>
      </c>
      <c r="T5020" t="str">
        <v>x</v>
      </c>
      <c r="U5020">
        <f>0.006165*F5020^2</f>
        <v>1.041885</v>
      </c>
      <c r="X5020" t="str">
        <v>x</v>
      </c>
      <c r="Y5020">
        <f>D5010</f>
        <v>1</v>
      </c>
      <c r="Z5020" t="str">
        <v>=</v>
      </c>
      <c r="AA5020">
        <f>IF(AA5022=0,(D5020*N5020+P5020*R5020)*U5020*Y5020,0)</f>
        <v>0</v>
      </c>
    </row>
    <row r="5021">
      <c r="A5021" t="str">
        <f>A5004</f>
        <v>Lantai 1</v>
      </c>
      <c r="B5021">
        <f>B5004</f>
        <v>70</v>
      </c>
      <c r="C5021" t="str">
        <v>Tul Bawah Tumpuan</v>
      </c>
      <c r="D5021">
        <f>VLOOKUP(D5004,'Detail Balok'!$C$10:$AU$110,28,FALSE)</f>
        <v>2</v>
      </c>
      <c r="E5021" t="str">
        <v>D</v>
      </c>
      <c r="F5021">
        <f>VLOOKUP(D5004,'Detail Balok'!$C$10:$AU$110,30,FALSE)</f>
        <v>13</v>
      </c>
      <c r="I5021" t="str">
        <v>(</v>
      </c>
      <c r="J5021">
        <f>+J5013</f>
        <v>1.58375</v>
      </c>
      <c r="K5021" t="str">
        <v>+</v>
      </c>
      <c r="L5021">
        <f>MAX(VLOOKUP(F5021,N$6:P$15,3,FALSE)/1000,2/3*D5009/1000)+F$16*F5021/1000</f>
        <v>0.156</v>
      </c>
      <c r="M5021" t="str">
        <v>=</v>
      </c>
      <c r="N5021">
        <f>J5021+L5021</f>
        <v>1.73975</v>
      </c>
      <c r="O5021" t="str">
        <v>+</v>
      </c>
      <c r="P5021">
        <f>D5021-D5020</f>
        <v>0</v>
      </c>
      <c r="Q5021" t="str">
        <v>x</v>
      </c>
      <c r="R5021">
        <f>IF(P5021&gt;0,$F$18*F5021/1000,0)</f>
        <v>0</v>
      </c>
      <c r="S5021" t="str">
        <v>)</v>
      </c>
      <c r="T5021" t="str">
        <v>x</v>
      </c>
      <c r="U5021">
        <f>0.006165*F5021^2</f>
        <v>1.041885</v>
      </c>
      <c r="X5021" t="str">
        <v>x</v>
      </c>
      <c r="Y5021">
        <f>D5010</f>
        <v>1</v>
      </c>
      <c r="Z5021" t="str">
        <v>=</v>
      </c>
      <c r="AA5021">
        <f>IF(AA5022=0,(D5021*N5021+P5021*R5021)*U5021*Y5021,0)</f>
        <v>0</v>
      </c>
    </row>
    <row r="5022">
      <c r="A5022" t="str">
        <f>A5004</f>
        <v>Lantai 1</v>
      </c>
      <c r="B5022">
        <f>B5004</f>
        <v>70</v>
      </c>
      <c r="D5022">
        <f>IF(AND(D5019=D5020,D5020=D5021,D5019=D5021),D5019,0)</f>
        <v>2</v>
      </c>
      <c r="E5022" t="str">
        <v>D</v>
      </c>
      <c r="F5022">
        <f>IF(AND(F5019=F5020,F5019=F5021,F5020=F5021),F5019,0)</f>
        <v>13</v>
      </c>
      <c r="L5022" t="str">
        <v>Total panjang per balok</v>
      </c>
      <c r="M5022" t="str">
        <v>=</v>
      </c>
      <c r="N5022">
        <f>IF(AND(D5019=D5020,D5019=D5021,D5020=D5021,F5019=F5020,F5019=F5021,F5020=F5021),SUM(N5019:N5021),0)</f>
        <v>6.646999999999999</v>
      </c>
      <c r="O5022" t="str">
        <v>+</v>
      </c>
      <c r="P5022">
        <f>IF(N5022&gt;12,ROUNDDOWN(N5022/12,0),0)</f>
        <v>0</v>
      </c>
      <c r="Q5022" t="str">
        <v>x</v>
      </c>
      <c r="R5022">
        <f>IF(P5022&gt;0,MAX(VLOOKUP(F5022,$D$6:$G$15,3,FALSE),600),0)/1000</f>
        <v>0</v>
      </c>
      <c r="T5022" t="str">
        <v>x</v>
      </c>
      <c r="U5022">
        <f>U5021</f>
        <v>1.041885</v>
      </c>
      <c r="V5022" t="str">
        <v>x</v>
      </c>
      <c r="W5022">
        <f>D5022</f>
        <v>2</v>
      </c>
      <c r="X5022" t="str">
        <v>x</v>
      </c>
      <c r="Y5022">
        <f>Y5021</f>
        <v>1</v>
      </c>
      <c r="Z5022" t="str">
        <v>=</v>
      </c>
      <c r="AA5022">
        <f>(N5022+P5022*R5022/1000)*U5022*W5022*Y5022</f>
        <v>13.850819189999998</v>
      </c>
    </row>
    <row r="5024">
      <c r="A5024" t="str">
        <f>A5004</f>
        <v>Lantai 1</v>
      </c>
      <c r="B5024">
        <f>B5004</f>
        <v>70</v>
      </c>
      <c r="C5024" t="str">
        <v>Sengkang Tumpuan</v>
      </c>
      <c r="D5024">
        <f>VLOOKUP(D5004,'Detail Balok'!$C$10:$AU$110,31,FALSE)</f>
        <v>0</v>
      </c>
      <c r="E5024" t="str">
        <v>D</v>
      </c>
      <c r="F5024">
        <f>VLOOKUP(D5004,'Detail Balok'!$C$10:$AU$110,33,FALSE)</f>
        <v>8</v>
      </c>
      <c r="G5024" t="str">
        <v>-</v>
      </c>
      <c r="H5024">
        <f>VLOOKUP(D5004,'Detail Balok'!$C$10:$AU$110,35,FALSE)</f>
        <v>100</v>
      </c>
      <c r="J5024">
        <f>(IF(D5024=0,(2*(D5005+G5005))-(F$5*8),IF(D5024=3,(2*(D5005+G5005))-(F$5*8)+(G5005-2*F$5),IF(D5024=4,(2*(D5005+G5005))-(F$5*8)+2*(G5005-2*F$5)))))/1000</f>
        <v>0.98</v>
      </c>
      <c r="K5024" t="str">
        <v>+</v>
      </c>
      <c r="L5024">
        <f>IF(D5024=0,2*MAX(6*F5024,75),(D5024-1)*2*MAX(6*F5024,75))/1000</f>
        <v>0.15</v>
      </c>
      <c r="M5024" t="str">
        <v>=</v>
      </c>
      <c r="N5024">
        <f>J5024+L5024</f>
        <v>1.13</v>
      </c>
      <c r="T5024" t="str">
        <v>x</v>
      </c>
      <c r="U5024">
        <f>0.006165*F5024^2</f>
        <v>0.39456</v>
      </c>
      <c r="V5024" t="str">
        <v>x</v>
      </c>
      <c r="W5024">
        <f>IF(D5007&gt;4*G5005,ROUND(MAX(D5007/4,2*G5005)/H5024,0)+1,ROUND(D5007/H5024,0)+1)</f>
        <v>17</v>
      </c>
      <c r="X5024" t="str">
        <v>x</v>
      </c>
      <c r="Y5024">
        <f>D5010</f>
        <v>1</v>
      </c>
      <c r="Z5024" t="str">
        <v>=</v>
      </c>
      <c r="AA5024">
        <f>N5024*U5024*W5024*Y5024</f>
        <v>7.5794976</v>
      </c>
    </row>
    <row r="5025">
      <c r="A5025" t="str">
        <f>A5004</f>
        <v>Lantai 1</v>
      </c>
      <c r="B5025">
        <f>B5004</f>
        <v>70</v>
      </c>
      <c r="C5025" t="str">
        <v>Sengkang Lapangan</v>
      </c>
      <c r="D5025">
        <f>VLOOKUP(D5004,'Detail Balok'!$C$10:$AU$110,36,FALSE)</f>
        <v>0</v>
      </c>
      <c r="E5025" t="str">
        <v>D</v>
      </c>
      <c r="F5025">
        <f>VLOOKUP(D5004,'Detail Balok'!$C$10:$AU$110,38,FALSE)</f>
        <v>8</v>
      </c>
      <c r="G5025" t="str">
        <v>-</v>
      </c>
      <c r="H5025">
        <f>VLOOKUP(D5004,'Detail Balok'!$C$10:$AU$110,40,FALSE)</f>
        <v>200</v>
      </c>
      <c r="J5025">
        <f>(IF(D5025=0,(2*(D5005+G5005))-(F$5*8),IF(D5025=3,(2*(D5005+G5005))-(F$5*8)+(G5005-2*F$5),IF(D5025=4,(2*(D5005+G5005))-(F$5*8)+2*(G5005-2*F$5)))))/1000</f>
        <v>0.98</v>
      </c>
      <c r="K5025" t="str">
        <v>+</v>
      </c>
      <c r="L5025">
        <f>IF(D5025=0,2*MAX(6*F5025,75),(D5025-1)*2*MAX(6*F5025,75))/1000</f>
        <v>0.15</v>
      </c>
      <c r="M5025" t="str">
        <v>=</v>
      </c>
      <c r="N5025">
        <f>J5025+L5025</f>
        <v>1.13</v>
      </c>
      <c r="T5025" t="str">
        <v>x</v>
      </c>
      <c r="U5025">
        <f>0.006165*F5025^2</f>
        <v>0.39456</v>
      </c>
      <c r="V5025" t="str">
        <v>x</v>
      </c>
      <c r="W5025">
        <f>IF(D5007-MAX(D5007/4,2*G5005)*2&gt;0,ROUND((D5007-MAX(D5007/4,2*G5005)*2)/H5025,0),0)</f>
        <v>16</v>
      </c>
      <c r="X5025" t="str">
        <v>x</v>
      </c>
      <c r="Y5025">
        <f>D5010</f>
        <v>1</v>
      </c>
      <c r="Z5025" t="str">
        <v>=</v>
      </c>
      <c r="AA5025">
        <f>N5025*U5025*W5025*Y5025</f>
        <v>7.1336448</v>
      </c>
    </row>
    <row r="5026">
      <c r="A5026" t="str">
        <f>A5004</f>
        <v>Lantai 1</v>
      </c>
      <c r="B5026">
        <f>B5004</f>
        <v>70</v>
      </c>
      <c r="C5026" t="str">
        <v>Sengkang Tumpuan</v>
      </c>
      <c r="D5026">
        <f>VLOOKUP(D5004,'Detail Balok'!$C$10:$AU$110,41,FALSE)</f>
        <v>0</v>
      </c>
      <c r="E5026" t="str">
        <v>D</v>
      </c>
      <c r="F5026">
        <f>VLOOKUP(D5004,'Detail Balok'!$C$10:$AU$110,43,FALSE)</f>
        <v>8</v>
      </c>
      <c r="G5026" t="str">
        <v>-</v>
      </c>
      <c r="H5026">
        <f>VLOOKUP(D5004,'Detail Balok'!$C$10:$AU$110,45,FALSE)</f>
        <v>100</v>
      </c>
      <c r="J5026">
        <f>(IF(D5026=0,(2*(D5005+G5005))-(F$5*8),IF(D5026=3,(2*(D5005+G5005))-(F$5*8)+(G5005-2*F$5),IF(D5026=4,(2*(D5005+G5005))-(F$5*8)+2*(G5005-2*F$5)))))/1000</f>
        <v>0.98</v>
      </c>
      <c r="K5026" t="str">
        <v>+</v>
      </c>
      <c r="L5026">
        <f>IF(D5026=0,2*MAX(6*F5026,75),(D5026-1)*2*MAX(6*F5026,75))/1000</f>
        <v>0.15</v>
      </c>
      <c r="M5026" t="str">
        <v>=</v>
      </c>
      <c r="N5026">
        <f>J5026+L5026</f>
        <v>1.13</v>
      </c>
      <c r="T5026" t="str">
        <v>x</v>
      </c>
      <c r="U5026">
        <f>0.006165*F5026^2</f>
        <v>0.39456</v>
      </c>
      <c r="V5026" t="str">
        <v>x</v>
      </c>
      <c r="W5026">
        <f>IF(D5007&gt;4*G5005,ROUND(MAX(D5007/4,2*G5005)/H5026,0)+1,0)</f>
        <v>17</v>
      </c>
      <c r="X5026" t="str">
        <v>x</v>
      </c>
      <c r="Y5026">
        <f>D5010</f>
        <v>1</v>
      </c>
      <c r="Z5026" t="str">
        <v>=</v>
      </c>
      <c r="AA5026">
        <f>N5026*U5026*W5026*Y5026</f>
        <v>7.5794976</v>
      </c>
    </row>
    <row r="5028">
      <c r="A5028" t="str">
        <f>A5004</f>
        <v>Lantai 1</v>
      </c>
      <c r="B5028">
        <f>B5004</f>
        <v>70</v>
      </c>
      <c r="C5028" t="str">
        <v>Kait Horizontal Tump.</v>
      </c>
      <c r="D5028">
        <f>VLOOKUP(D5004,'Detail Balok'!$C$10:$BJ$110,46,FALSE)</f>
        <v>0</v>
      </c>
      <c r="E5028" t="str">
        <v>D</v>
      </c>
      <c r="F5028">
        <f>VLOOKUP(D5004,'Detail Balok'!$C$10:$BJ$110,48,FALSE)</f>
        <v>0</v>
      </c>
      <c r="G5028" t="str">
        <v>-</v>
      </c>
      <c r="H5028">
        <f>VLOOKUP(D5004,'Detail Balok'!$C$10:$BJ$110,50,FALSE)</f>
        <v>100</v>
      </c>
      <c r="J5028">
        <f>(D5005-2*F$5)/1000</f>
        <v>0.12</v>
      </c>
      <c r="K5028" t="str">
        <v>+</v>
      </c>
      <c r="L5028">
        <f>IF(D5028=0,2*MAX(6*F5028,75),(D5028-1)*2*MAX(6*F5028,75))/1000</f>
        <v>0.15</v>
      </c>
      <c r="M5028" t="str">
        <v>=</v>
      </c>
      <c r="N5028">
        <f>J5028+L5028</f>
        <v>0.27</v>
      </c>
      <c r="T5028" t="str">
        <v>x</v>
      </c>
      <c r="U5028">
        <f>0.006165*F5028^2</f>
        <v>0</v>
      </c>
      <c r="V5028" t="str">
        <v>x</v>
      </c>
      <c r="W5028">
        <f>W5024</f>
        <v>17</v>
      </c>
      <c r="X5028" t="str">
        <v>x</v>
      </c>
      <c r="Y5028">
        <f>D5014</f>
        <v>2</v>
      </c>
      <c r="Z5028" t="str">
        <v>=</v>
      </c>
      <c r="AA5028">
        <f>N5028*U5028*W5028*Y5028</f>
        <v>0</v>
      </c>
    </row>
    <row r="5029">
      <c r="A5029" t="str">
        <f>A5004</f>
        <v>Lantai 1</v>
      </c>
      <c r="B5029">
        <f>B5004</f>
        <v>70</v>
      </c>
      <c r="C5029" t="str">
        <v>Kait Horizontal Lap.</v>
      </c>
      <c r="D5029">
        <f>VLOOKUP(D5004,'Detail Balok'!$C$10:$BJ$110,51,FALSE)</f>
        <v>0</v>
      </c>
      <c r="E5029" t="str">
        <v>D</v>
      </c>
      <c r="F5029">
        <f>VLOOKUP(D5004,'Detail Balok'!$C$10:$BJ$110,53,FALSE)</f>
        <v>0</v>
      </c>
      <c r="G5029" t="str">
        <v>-</v>
      </c>
      <c r="H5029">
        <f>VLOOKUP(D5004,'Detail Balok'!$C$10:$BJ$110,55,FALSE)</f>
        <v>100</v>
      </c>
      <c r="J5029">
        <f>(D5005-2*F$5)/1000</f>
        <v>0.12</v>
      </c>
      <c r="K5029" t="str">
        <v>+</v>
      </c>
      <c r="L5029">
        <f>IF(D5029=0,2*MAX(6*F5029,75),(D5029-1)*2*MAX(6*F5029,75))/1000</f>
        <v>0.15</v>
      </c>
      <c r="M5029" t="str">
        <v>=</v>
      </c>
      <c r="N5029">
        <f>J5029+L5029</f>
        <v>0.27</v>
      </c>
      <c r="T5029" t="str">
        <v>x</v>
      </c>
      <c r="U5029">
        <f>0.006165*F5029^2</f>
        <v>0</v>
      </c>
      <c r="V5029" t="str">
        <v>x</v>
      </c>
      <c r="W5029">
        <f>W5025</f>
        <v>16</v>
      </c>
      <c r="X5029" t="str">
        <v>x</v>
      </c>
      <c r="Y5029">
        <f>D5014</f>
        <v>2</v>
      </c>
      <c r="Z5029" t="str">
        <v>=</v>
      </c>
      <c r="AA5029">
        <f>N5029*U5029*W5029*Y5029</f>
        <v>0</v>
      </c>
    </row>
    <row r="5030">
      <c r="A5030" t="str">
        <f>A5004</f>
        <v>Lantai 1</v>
      </c>
      <c r="B5030">
        <f>B5004</f>
        <v>70</v>
      </c>
      <c r="C5030" t="str">
        <v>Kait Horizontal Tump.</v>
      </c>
      <c r="D5030">
        <f>VLOOKUP(D5004,'Detail Balok'!$C$10:$BJ$110,56,FALSE)</f>
        <v>0</v>
      </c>
      <c r="E5030" t="str">
        <v>D</v>
      </c>
      <c r="F5030">
        <f>VLOOKUP(D5004,'Detail Balok'!$C$10:$BJ$110,58,FALSE)</f>
        <v>0</v>
      </c>
      <c r="G5030" t="str">
        <v>-</v>
      </c>
      <c r="H5030">
        <f>VLOOKUP(D5004,'Detail Balok'!$C$10:$BJ$110,60,FALSE)</f>
        <v>100</v>
      </c>
      <c r="J5030">
        <f>(D5005-2*F$5)/1000</f>
        <v>0.12</v>
      </c>
      <c r="K5030" t="str">
        <v>+</v>
      </c>
      <c r="L5030">
        <f>IF(D5030=0,2*MAX(6*F5030,75),(D5030-1)*2*MAX(6*F5030,75))/1000</f>
        <v>0.15</v>
      </c>
      <c r="M5030" t="str">
        <v>=</v>
      </c>
      <c r="N5030">
        <f>J5030+L5030</f>
        <v>0.27</v>
      </c>
      <c r="T5030" t="str">
        <v>x</v>
      </c>
      <c r="U5030">
        <f>0.006165*F5030^2</f>
        <v>0</v>
      </c>
      <c r="V5030" t="str">
        <v>x</v>
      </c>
      <c r="W5030">
        <f>W5026</f>
        <v>17</v>
      </c>
      <c r="X5030" t="str">
        <v>x</v>
      </c>
      <c r="Y5030">
        <f>D5014</f>
        <v>2</v>
      </c>
      <c r="Z5030" t="str">
        <v>=</v>
      </c>
      <c r="AA5030">
        <f>N5030*U5030*W5030*Y5030</f>
        <v>0</v>
      </c>
    </row>
    <row r="5034">
      <c r="A5034" t="str">
        <f>A5004</f>
        <v>Lantai 1</v>
      </c>
      <c r="B5034">
        <f>B5004+1</f>
        <v>71</v>
      </c>
      <c r="C5034" t="str">
        <f>CONCATENATE(A5034," no. ",B5034)</f>
        <v>Lantai 1 no. 71</v>
      </c>
      <c r="D5034" t="str">
        <f>VLOOKUP(C5034,'Data Panjang Balok'!$C$9:$N$424,2,FALSE)</f>
        <v>B245-2</v>
      </c>
    </row>
    <row r="5035">
      <c r="C5035" t="str">
        <v>Dimensi</v>
      </c>
      <c r="D5035">
        <f>VLOOKUP(D5034,'Detail Balok'!$C$10:$AU$110,2,FALSE)</f>
        <v>200</v>
      </c>
      <c r="F5035" t="str">
        <v>x</v>
      </c>
      <c r="G5035">
        <f>VLOOKUP(D5034,'Detail Balok'!$C$10:$AU$110,3,FALSE)</f>
        <v>450</v>
      </c>
    </row>
    <row r="5036">
      <c r="C5036" t="str">
        <v>Panjang as ke as</v>
      </c>
      <c r="D5036">
        <f>VLOOKUP(C5034,'Data Panjang Balok'!$C$9:$N$424,4,FALSE)</f>
        <v>5765</v>
      </c>
    </row>
    <row r="5037">
      <c r="C5037" t="str">
        <v>Panjang netto</v>
      </c>
      <c r="D5037">
        <f>VLOOKUP(C5034,'Data Panjang Balok'!$C$9:$N$424,7,FALSE)</f>
        <v>5765</v>
      </c>
    </row>
    <row r="5038">
      <c r="C5038" t="str">
        <v>Kolom / balok kiri</v>
      </c>
      <c r="D5038">
        <f>VLOOKUP(C5034,'Data Panjang Balok'!$C$9:$N$424,9,FALSE)</f>
        <v>0</v>
      </c>
    </row>
    <row r="5039">
      <c r="C5039" t="str">
        <v>Kolom / balok kanan</v>
      </c>
      <c r="D5039">
        <f>VLOOKUP(C5034,'Data Panjang Balok'!$C$9:$N$424,10,FALSE)</f>
        <v>0</v>
      </c>
    </row>
    <row r="5040">
      <c r="C5040" t="str">
        <v>Jumlah</v>
      </c>
      <c r="D5040">
        <f>VLOOKUP(C5034,'Data Panjang Balok'!$C$9:$N$424,3,FALSE)</f>
        <v>1</v>
      </c>
    </row>
    <row r="5041">
      <c r="A5041" t="str">
        <f>A5034</f>
        <v>Lantai 1</v>
      </c>
      <c r="B5041">
        <f>B5034</f>
        <v>71</v>
      </c>
      <c r="C5041" t="str">
        <v>Tul Atas Tumpuan</v>
      </c>
      <c r="D5041">
        <f>VLOOKUP(D5034,'Detail Balok'!$C$10:$AU$110,4,FALSE)</f>
        <v>3</v>
      </c>
      <c r="E5041" t="str">
        <v>D</v>
      </c>
      <c r="F5041">
        <f>VLOOKUP(D5034,'Detail Balok'!$C$10:$AU$110,6,FALSE)</f>
        <v>13</v>
      </c>
      <c r="I5041" t="str">
        <v>(</v>
      </c>
      <c r="J5041">
        <f>+D5036/4/1000</f>
        <v>1.44125</v>
      </c>
      <c r="K5041" t="str">
        <v>+</v>
      </c>
      <c r="L5041">
        <f>MAX(VLOOKUP(F5041,N$6:P$15,3,FALSE)/1000,2/3*D5038/1000)+F$16*F5041/1000</f>
        <v>0.156</v>
      </c>
      <c r="M5041" t="str">
        <v>=</v>
      </c>
      <c r="N5041">
        <f>J5041+L5041</f>
        <v>1.5972499999999998</v>
      </c>
      <c r="O5041" t="str">
        <v>+</v>
      </c>
      <c r="P5041">
        <f>D5041-D5042</f>
        <v>0</v>
      </c>
      <c r="Q5041" t="str">
        <v>x</v>
      </c>
      <c r="R5041">
        <f>IF(P5041&gt;0,$F$18*F5041/1000,0)</f>
        <v>0</v>
      </c>
      <c r="S5041" t="str">
        <v>)</v>
      </c>
      <c r="T5041" t="str">
        <v>x</v>
      </c>
      <c r="U5041">
        <f>0.006165*F5041^2</f>
        <v>1.041885</v>
      </c>
      <c r="X5041" t="str">
        <v>x</v>
      </c>
      <c r="Y5041">
        <f>D5040</f>
        <v>1</v>
      </c>
      <c r="Z5041" t="str">
        <v>=</v>
      </c>
      <c r="AA5041">
        <f>IF(AA5044=0,(D5041*N5041+P5041*R5041)*U5041*Y5041,0)</f>
        <v>0</v>
      </c>
    </row>
    <row r="5042">
      <c r="A5042" t="str">
        <f>A5034</f>
        <v>Lantai 1</v>
      </c>
      <c r="B5042">
        <f>B5034</f>
        <v>71</v>
      </c>
      <c r="C5042" t="str">
        <v>Tul Atas Lapangan</v>
      </c>
      <c r="D5042">
        <f>VLOOKUP(D5034,'Detail Balok'!$C$10:$AU$110,7,FALSE)</f>
        <v>3</v>
      </c>
      <c r="E5042" t="str">
        <v>D</v>
      </c>
      <c r="F5042">
        <f>VLOOKUP(D5034,'Detail Balok'!$C$10:$AU$110,9,FALSE)</f>
        <v>13</v>
      </c>
      <c r="I5042" t="str">
        <v>(</v>
      </c>
      <c r="J5042">
        <f>+D5036/2/1000</f>
        <v>2.8825</v>
      </c>
      <c r="K5042" t="str">
        <v>+</v>
      </c>
      <c r="M5042" t="str">
        <v>=</v>
      </c>
      <c r="N5042">
        <f>J5042+L5042</f>
        <v>2.8825</v>
      </c>
      <c r="O5042" t="str">
        <v>+</v>
      </c>
      <c r="P5042">
        <f>MAX(D5042-D5041,D5042-D5043)</f>
        <v>0</v>
      </c>
      <c r="Q5042" t="str">
        <v>x</v>
      </c>
      <c r="R5042">
        <f>IF(P5042&gt;0,2*(1-2*$F$19-1/2)*D5037/1000,0)</f>
        <v>0</v>
      </c>
      <c r="S5042" t="str">
        <v>)</v>
      </c>
      <c r="T5042" t="str">
        <v>x</v>
      </c>
      <c r="U5042">
        <f>0.006165*F5042^2</f>
        <v>1.041885</v>
      </c>
      <c r="X5042" t="str">
        <v>x</v>
      </c>
      <c r="Y5042">
        <f>D5040</f>
        <v>1</v>
      </c>
      <c r="Z5042" t="str">
        <v>=</v>
      </c>
      <c r="AA5042">
        <f>IF(AA5044=0,(D5042*N5042+P5042*R5042)*U5042*Y5042,0)</f>
        <v>0</v>
      </c>
    </row>
    <row r="5043">
      <c r="A5043" t="str">
        <f>A5034</f>
        <v>Lantai 1</v>
      </c>
      <c r="B5043">
        <f>B5034</f>
        <v>71</v>
      </c>
      <c r="C5043" t="str">
        <v>Tul Atas Tumpuan</v>
      </c>
      <c r="D5043">
        <f>VLOOKUP(D5034,'Detail Balok'!$C$10:$AU$110,10,FALSE)</f>
        <v>3</v>
      </c>
      <c r="E5043" t="str">
        <v>D</v>
      </c>
      <c r="F5043">
        <f>VLOOKUP(D5034,'Detail Balok'!$C$10:$AU$110,12,FALSE)</f>
        <v>13</v>
      </c>
      <c r="I5043" t="str">
        <v>(</v>
      </c>
      <c r="J5043">
        <f>+D5036/4/1000</f>
        <v>1.44125</v>
      </c>
      <c r="K5043" t="str">
        <v>+</v>
      </c>
      <c r="L5043">
        <f>MAX(VLOOKUP(F5043,N$6:P$15,3,FALSE)/1000,2/3*D5038/1000)+F$16*F5043/1000</f>
        <v>0.156</v>
      </c>
      <c r="M5043" t="str">
        <v>=</v>
      </c>
      <c r="N5043">
        <f>J5043+L5043</f>
        <v>1.5972499999999998</v>
      </c>
      <c r="O5043" t="str">
        <v>+</v>
      </c>
      <c r="P5043">
        <f>D5043-D5042</f>
        <v>0</v>
      </c>
      <c r="Q5043" t="str">
        <v>x</v>
      </c>
      <c r="R5043">
        <f>IF(P5043&gt;0,$F$18*F5043/1000,0)</f>
        <v>0</v>
      </c>
      <c r="S5043" t="str">
        <v>)</v>
      </c>
      <c r="T5043" t="str">
        <v>x</v>
      </c>
      <c r="U5043">
        <f>0.006165*F5043^2</f>
        <v>1.041885</v>
      </c>
      <c r="X5043" t="str">
        <v>x</v>
      </c>
      <c r="Y5043">
        <f>D5040</f>
        <v>1</v>
      </c>
      <c r="Z5043" t="str">
        <v>=</v>
      </c>
      <c r="AA5043">
        <f>IF(AA5044=0,(D5043*N5043+P5043*R5043)*U5043*Y5043,0)</f>
        <v>0</v>
      </c>
    </row>
    <row r="5044">
      <c r="A5044" t="str">
        <f>A5034</f>
        <v>Lantai 1</v>
      </c>
      <c r="B5044">
        <f>B5034</f>
        <v>71</v>
      </c>
      <c r="D5044">
        <f>IF(AND(D5041=D5042,D5042=D5043,D5041=D5043),D5041,0)</f>
        <v>3</v>
      </c>
      <c r="E5044" t="str">
        <v>D</v>
      </c>
      <c r="F5044">
        <f>IF(AND(F5041=F5042,F5041=F5043,F5042=F5043),F5041,0)</f>
        <v>13</v>
      </c>
      <c r="L5044" t="str">
        <v>Total panjang per balok</v>
      </c>
      <c r="M5044" t="str">
        <v>=</v>
      </c>
      <c r="N5044">
        <f>IF(AND(D5041=D5042,D5041=D5043,D5042=D5043,F5041=F5042,F5041=F5043,F5042=F5043),SUM(N5041:N5043),0)</f>
        <v>6.076999999999999</v>
      </c>
      <c r="O5044" t="str">
        <v>+</v>
      </c>
      <c r="P5044">
        <f>IF(N5044&gt;12,ROUNDDOWN(N5044/12,0),0)</f>
        <v>0</v>
      </c>
      <c r="Q5044" t="str">
        <v>x</v>
      </c>
      <c r="R5044">
        <f>IF(P5044&gt;0,MAX(VLOOKUP(F5044,$D$6:$G$15,3,FALSE),600),0)/1000</f>
        <v>0</v>
      </c>
      <c r="T5044" t="str">
        <v>x</v>
      </c>
      <c r="U5044">
        <f>U5043</f>
        <v>1.041885</v>
      </c>
      <c r="V5044" t="str">
        <v>x</v>
      </c>
      <c r="W5044">
        <f>D5044</f>
        <v>3</v>
      </c>
      <c r="X5044" t="str">
        <v>x</v>
      </c>
      <c r="Y5044">
        <f>Y5043</f>
        <v>1</v>
      </c>
      <c r="Z5044" t="str">
        <v>=</v>
      </c>
      <c r="AA5044">
        <f>(N5044+P5044*R5044/1000)*U5044*W5044*Y5044</f>
        <v>18.994605434999997</v>
      </c>
    </row>
    <row r="5046">
      <c r="A5046" t="str">
        <f>A5034</f>
        <v>Lantai 1</v>
      </c>
      <c r="B5046">
        <f>B5034</f>
        <v>71</v>
      </c>
      <c r="C5046" t="str">
        <v>Tul Peminggang</v>
      </c>
      <c r="D5046">
        <f>VLOOKUP(D5034,'Detail Balok'!$C$10:$AU$110,13,FALSE)</f>
        <v>2</v>
      </c>
      <c r="E5046" t="str">
        <v>D</v>
      </c>
      <c r="F5046">
        <f>VLOOKUP(D5034,'Detail Balok'!$C$10:$AU$110,15,FALSE)</f>
        <v>8</v>
      </c>
      <c r="J5046">
        <f>+D5036/1000</f>
        <v>5.765</v>
      </c>
      <c r="K5046" t="str">
        <v>+</v>
      </c>
      <c r="L5046">
        <f>2*$F$16*F5046/1000</f>
        <v>0.192</v>
      </c>
      <c r="M5046" t="str">
        <v>=</v>
      </c>
      <c r="N5046">
        <f>J5046+L5046</f>
        <v>5.957</v>
      </c>
      <c r="O5046" t="str">
        <v>+</v>
      </c>
      <c r="P5046">
        <f>IF(N5046&gt;12,ROUNDDOWN(N5046/12,0),0)</f>
        <v>0</v>
      </c>
      <c r="Q5046" t="str">
        <v>x</v>
      </c>
      <c r="R5046">
        <f>IF(P5046&gt;0,MAX(VLOOKUP(F5046,$D$6:$G$15,3,FALSE),600),0)/1000</f>
        <v>0</v>
      </c>
      <c r="T5046" t="str">
        <v>x</v>
      </c>
      <c r="U5046">
        <f>0.006165*F5046^2</f>
        <v>0.39456</v>
      </c>
      <c r="V5046" t="str">
        <v>x</v>
      </c>
      <c r="W5046">
        <f>+D5046</f>
        <v>2</v>
      </c>
      <c r="X5046" t="str">
        <v>x</v>
      </c>
      <c r="Y5046">
        <f>D5040</f>
        <v>1</v>
      </c>
      <c r="Z5046" t="str">
        <v>=</v>
      </c>
      <c r="AA5046">
        <f>(N5046+P5046*R5046/1000)*U5046*W5046*Y5046</f>
        <v>4.70078784</v>
      </c>
    </row>
    <row r="5049">
      <c r="A5049" t="str">
        <f>A5034</f>
        <v>Lantai 1</v>
      </c>
      <c r="B5049">
        <f>B5034</f>
        <v>71</v>
      </c>
      <c r="C5049" t="str">
        <v>Tul Bawah Tumpuan</v>
      </c>
      <c r="D5049">
        <f>VLOOKUP(D5034,'Detail Balok'!$C$10:$AU$110,22,FALSE)</f>
        <v>3</v>
      </c>
      <c r="E5049" t="str">
        <v>D</v>
      </c>
      <c r="F5049">
        <f>VLOOKUP(D5034,'Detail Balok'!$C$10:$AU$110,24,FALSE)</f>
        <v>13</v>
      </c>
      <c r="I5049" t="str">
        <v>(</v>
      </c>
      <c r="J5049">
        <f>+J5041</f>
        <v>1.44125</v>
      </c>
      <c r="K5049" t="str">
        <v>+</v>
      </c>
      <c r="L5049">
        <f>MAX(VLOOKUP(F5049,N$6:P$15,3,FALSE)/1000,2/3*D5039/1000)+F$16*F5049/1000</f>
        <v>0.156</v>
      </c>
      <c r="M5049" t="str">
        <v>=</v>
      </c>
      <c r="N5049">
        <f>J5049+L5049</f>
        <v>1.5972499999999998</v>
      </c>
      <c r="O5049" t="str">
        <v>+</v>
      </c>
      <c r="P5049">
        <f>D5049-D5050</f>
        <v>0</v>
      </c>
      <c r="Q5049" t="str">
        <v>x</v>
      </c>
      <c r="R5049">
        <f>IF(P5049&gt;0,$F$18*F5049/1000,0)</f>
        <v>0</v>
      </c>
      <c r="S5049" t="str">
        <v>)</v>
      </c>
      <c r="T5049" t="str">
        <v>x</v>
      </c>
      <c r="U5049">
        <f>0.006165*F5049^2</f>
        <v>1.041885</v>
      </c>
      <c r="X5049" t="str">
        <v>x</v>
      </c>
      <c r="Y5049">
        <f>D5040</f>
        <v>1</v>
      </c>
      <c r="Z5049" t="str">
        <v>=</v>
      </c>
      <c r="AA5049">
        <f>IF(AA5052=0,(D5049*N5049+P5049*R5049)*U5049*Y5049,0)</f>
        <v>0</v>
      </c>
    </row>
    <row r="5050">
      <c r="A5050" t="str">
        <f>A5034</f>
        <v>Lantai 1</v>
      </c>
      <c r="B5050">
        <f>B5034</f>
        <v>71</v>
      </c>
      <c r="C5050" t="str">
        <v>Tul Bawah Lapangan</v>
      </c>
      <c r="D5050">
        <f>VLOOKUP(D5034,'Detail Balok'!$C$10:$AU$110,25,FALSE)</f>
        <v>3</v>
      </c>
      <c r="E5050" t="str">
        <v>D</v>
      </c>
      <c r="F5050">
        <f>VLOOKUP(D5034,'Detail Balok'!$C$10:$AU$110,27,FALSE)</f>
        <v>13</v>
      </c>
      <c r="I5050" t="str">
        <v>(</v>
      </c>
      <c r="J5050">
        <f>+J5042</f>
        <v>2.8825</v>
      </c>
      <c r="K5050" t="str">
        <v>+</v>
      </c>
      <c r="M5050" t="str">
        <v>=</v>
      </c>
      <c r="N5050">
        <f>J5050+L5050</f>
        <v>2.8825</v>
      </c>
      <c r="O5050" t="str">
        <v>+</v>
      </c>
      <c r="P5050">
        <f>MAX(D5050-D5049,D5050-D5051)</f>
        <v>0</v>
      </c>
      <c r="Q5050" t="str">
        <v>x</v>
      </c>
      <c r="R5050">
        <f>IF(P5050&gt;0,2*(1-2*$F$19-1/2)*D5037/1000,0)</f>
        <v>0</v>
      </c>
      <c r="S5050" t="str">
        <v>)</v>
      </c>
      <c r="T5050" t="str">
        <v>x</v>
      </c>
      <c r="U5050">
        <f>0.006165*F5050^2</f>
        <v>1.041885</v>
      </c>
      <c r="X5050" t="str">
        <v>x</v>
      </c>
      <c r="Y5050">
        <f>D5040</f>
        <v>1</v>
      </c>
      <c r="Z5050" t="str">
        <v>=</v>
      </c>
      <c r="AA5050">
        <f>IF(AA5052=0,(D5050*N5050+P5050*R5050)*U5050*Y5050,0)</f>
        <v>0</v>
      </c>
    </row>
    <row r="5051">
      <c r="A5051" t="str">
        <f>A5034</f>
        <v>Lantai 1</v>
      </c>
      <c r="B5051">
        <f>B5034</f>
        <v>71</v>
      </c>
      <c r="C5051" t="str">
        <v>Tul Bawah Tumpuan</v>
      </c>
      <c r="D5051">
        <f>VLOOKUP(D5034,'Detail Balok'!$C$10:$AU$110,28,FALSE)</f>
        <v>3</v>
      </c>
      <c r="E5051" t="str">
        <v>D</v>
      </c>
      <c r="F5051">
        <f>VLOOKUP(D5034,'Detail Balok'!$C$10:$AU$110,30,FALSE)</f>
        <v>13</v>
      </c>
      <c r="I5051" t="str">
        <v>(</v>
      </c>
      <c r="J5051">
        <f>+J5043</f>
        <v>1.44125</v>
      </c>
      <c r="K5051" t="str">
        <v>+</v>
      </c>
      <c r="L5051">
        <f>MAX(VLOOKUP(F5051,N$6:P$15,3,FALSE)/1000,2/3*D5039/1000)+F$16*F5051/1000</f>
        <v>0.156</v>
      </c>
      <c r="M5051" t="str">
        <v>=</v>
      </c>
      <c r="N5051">
        <f>J5051+L5051</f>
        <v>1.5972499999999998</v>
      </c>
      <c r="O5051" t="str">
        <v>+</v>
      </c>
      <c r="P5051">
        <f>D5051-D5050</f>
        <v>0</v>
      </c>
      <c r="Q5051" t="str">
        <v>x</v>
      </c>
      <c r="R5051">
        <f>IF(P5051&gt;0,$F$18*F5051/1000,0)</f>
        <v>0</v>
      </c>
      <c r="S5051" t="str">
        <v>)</v>
      </c>
      <c r="T5051" t="str">
        <v>x</v>
      </c>
      <c r="U5051">
        <f>0.006165*F5051^2</f>
        <v>1.041885</v>
      </c>
      <c r="X5051" t="str">
        <v>x</v>
      </c>
      <c r="Y5051">
        <f>D5040</f>
        <v>1</v>
      </c>
      <c r="Z5051" t="str">
        <v>=</v>
      </c>
      <c r="AA5051">
        <f>IF(AA5052=0,(D5051*N5051+P5051*R5051)*U5051*Y5051,0)</f>
        <v>0</v>
      </c>
    </row>
    <row r="5052">
      <c r="A5052" t="str">
        <f>A5034</f>
        <v>Lantai 1</v>
      </c>
      <c r="B5052">
        <f>B5034</f>
        <v>71</v>
      </c>
      <c r="D5052">
        <f>IF(AND(D5049=D5050,D5050=D5051,D5049=D5051),D5049,0)</f>
        <v>3</v>
      </c>
      <c r="E5052" t="str">
        <v>D</v>
      </c>
      <c r="F5052">
        <f>IF(AND(F5049=F5050,F5049=F5051,F5050=F5051),F5049,0)</f>
        <v>13</v>
      </c>
      <c r="L5052" t="str">
        <v>Total panjang per balok</v>
      </c>
      <c r="M5052" t="str">
        <v>=</v>
      </c>
      <c r="N5052">
        <f>IF(AND(D5049=D5050,D5049=D5051,D5050=D5051,F5049=F5050,F5049=F5051,F5050=F5051),SUM(N5049:N5051),0)</f>
        <v>6.076999999999999</v>
      </c>
      <c r="O5052" t="str">
        <v>+</v>
      </c>
      <c r="P5052">
        <f>IF(N5052&gt;12,ROUNDDOWN(N5052/12,0),0)</f>
        <v>0</v>
      </c>
      <c r="Q5052" t="str">
        <v>x</v>
      </c>
      <c r="R5052">
        <f>IF(P5052&gt;0,MAX(VLOOKUP(F5052,$D$6:$G$15,3,FALSE),600),0)/1000</f>
        <v>0</v>
      </c>
      <c r="T5052" t="str">
        <v>x</v>
      </c>
      <c r="U5052">
        <f>U5051</f>
        <v>1.041885</v>
      </c>
      <c r="V5052" t="str">
        <v>x</v>
      </c>
      <c r="W5052">
        <f>D5052</f>
        <v>3</v>
      </c>
      <c r="X5052" t="str">
        <v>x</v>
      </c>
      <c r="Y5052">
        <f>Y5051</f>
        <v>1</v>
      </c>
      <c r="Z5052" t="str">
        <v>=</v>
      </c>
      <c r="AA5052">
        <f>(N5052+P5052*R5052/1000)*U5052*W5052*Y5052</f>
        <v>18.994605434999997</v>
      </c>
    </row>
    <row r="5054">
      <c r="A5054" t="str">
        <f>A5034</f>
        <v>Lantai 1</v>
      </c>
      <c r="B5054">
        <f>B5034</f>
        <v>71</v>
      </c>
      <c r="C5054" t="str">
        <v>Sengkang Tumpuan</v>
      </c>
      <c r="D5054">
        <f>VLOOKUP(D5034,'Detail Balok'!$C$10:$AU$110,31,FALSE)</f>
        <v>0</v>
      </c>
      <c r="E5054" t="str">
        <v>D</v>
      </c>
      <c r="F5054">
        <f>VLOOKUP(D5034,'Detail Balok'!$C$10:$AU$110,33,FALSE)</f>
        <v>8</v>
      </c>
      <c r="G5054" t="str">
        <v>-</v>
      </c>
      <c r="H5054">
        <f>VLOOKUP(D5034,'Detail Balok'!$C$10:$AU$110,35,FALSE)</f>
        <v>100</v>
      </c>
      <c r="J5054">
        <f>(IF(D5054=0,(2*(D5035+G5035))-(F$5*8),IF(D5054=3,(2*(D5035+G5035))-(F$5*8)+(G5035-2*F$5),IF(D5054=4,(2*(D5035+G5035))-(F$5*8)+2*(G5035-2*F$5)))))/1000</f>
        <v>0.98</v>
      </c>
      <c r="K5054" t="str">
        <v>+</v>
      </c>
      <c r="L5054">
        <f>IF(D5054=0,2*MAX(6*F5054,75),(D5054-1)*2*MAX(6*F5054,75))/1000</f>
        <v>0.15</v>
      </c>
      <c r="M5054" t="str">
        <v>=</v>
      </c>
      <c r="N5054">
        <f>J5054+L5054</f>
        <v>1.13</v>
      </c>
      <c r="T5054" t="str">
        <v>x</v>
      </c>
      <c r="U5054">
        <f>0.006165*F5054^2</f>
        <v>0.39456</v>
      </c>
      <c r="V5054" t="str">
        <v>x</v>
      </c>
      <c r="W5054">
        <f>IF(D5037&gt;4*G5035,ROUND(MAX(D5037/4,2*G5035)/H5054,0)+1,ROUND(D5037/H5054,0)+1)</f>
        <v>15</v>
      </c>
      <c r="X5054" t="str">
        <v>x</v>
      </c>
      <c r="Y5054">
        <f>D5040</f>
        <v>1</v>
      </c>
      <c r="Z5054" t="str">
        <v>=</v>
      </c>
      <c r="AA5054">
        <f>N5054*U5054*W5054*Y5054</f>
        <v>6.687792</v>
      </c>
    </row>
    <row r="5055">
      <c r="A5055" t="str">
        <f>A5034</f>
        <v>Lantai 1</v>
      </c>
      <c r="B5055">
        <f>B5034</f>
        <v>71</v>
      </c>
      <c r="C5055" t="str">
        <v>Sengkang Lapangan</v>
      </c>
      <c r="D5055">
        <f>VLOOKUP(D5034,'Detail Balok'!$C$10:$AU$110,36,FALSE)</f>
        <v>0</v>
      </c>
      <c r="E5055" t="str">
        <v>D</v>
      </c>
      <c r="F5055">
        <f>VLOOKUP(D5034,'Detail Balok'!$C$10:$AU$110,38,FALSE)</f>
        <v>8</v>
      </c>
      <c r="G5055" t="str">
        <v>-</v>
      </c>
      <c r="H5055">
        <f>VLOOKUP(D5034,'Detail Balok'!$C$10:$AU$110,40,FALSE)</f>
        <v>200</v>
      </c>
      <c r="J5055">
        <f>(IF(D5055=0,(2*(D5035+G5035))-(F$5*8),IF(D5055=3,(2*(D5035+G5035))-(F$5*8)+(G5035-2*F$5),IF(D5055=4,(2*(D5035+G5035))-(F$5*8)+2*(G5035-2*F$5)))))/1000</f>
        <v>0.98</v>
      </c>
      <c r="K5055" t="str">
        <v>+</v>
      </c>
      <c r="L5055">
        <f>IF(D5055=0,2*MAX(6*F5055,75),(D5055-1)*2*MAX(6*F5055,75))/1000</f>
        <v>0.15</v>
      </c>
      <c r="M5055" t="str">
        <v>=</v>
      </c>
      <c r="N5055">
        <f>J5055+L5055</f>
        <v>1.13</v>
      </c>
      <c r="T5055" t="str">
        <v>x</v>
      </c>
      <c r="U5055">
        <f>0.006165*F5055^2</f>
        <v>0.39456</v>
      </c>
      <c r="V5055" t="str">
        <v>x</v>
      </c>
      <c r="W5055">
        <f>IF(D5037-MAX(D5037/4,2*G5035)*2&gt;0,ROUND((D5037-MAX(D5037/4,2*G5035)*2)/H5055,0),0)</f>
        <v>14</v>
      </c>
      <c r="X5055" t="str">
        <v>x</v>
      </c>
      <c r="Y5055">
        <f>D5040</f>
        <v>1</v>
      </c>
      <c r="Z5055" t="str">
        <v>=</v>
      </c>
      <c r="AA5055">
        <f>N5055*U5055*W5055*Y5055</f>
        <v>6.2419392</v>
      </c>
    </row>
    <row r="5056">
      <c r="A5056" t="str">
        <f>A5034</f>
        <v>Lantai 1</v>
      </c>
      <c r="B5056">
        <f>B5034</f>
        <v>71</v>
      </c>
      <c r="C5056" t="str">
        <v>Sengkang Tumpuan</v>
      </c>
      <c r="D5056">
        <f>VLOOKUP(D5034,'Detail Balok'!$C$10:$AU$110,41,FALSE)</f>
        <v>0</v>
      </c>
      <c r="E5056" t="str">
        <v>D</v>
      </c>
      <c r="F5056">
        <f>VLOOKUP(D5034,'Detail Balok'!$C$10:$AU$110,43,FALSE)</f>
        <v>8</v>
      </c>
      <c r="G5056" t="str">
        <v>-</v>
      </c>
      <c r="H5056">
        <f>VLOOKUP(D5034,'Detail Balok'!$C$10:$AU$110,45,FALSE)</f>
        <v>100</v>
      </c>
      <c r="J5056">
        <f>(IF(D5056=0,(2*(D5035+G5035))-(F$5*8),IF(D5056=3,(2*(D5035+G5035))-(F$5*8)+(G5035-2*F$5),IF(D5056=4,(2*(D5035+G5035))-(F$5*8)+2*(G5035-2*F$5)))))/1000</f>
        <v>0.98</v>
      </c>
      <c r="K5056" t="str">
        <v>+</v>
      </c>
      <c r="L5056">
        <f>IF(D5056=0,2*MAX(6*F5056,75),(D5056-1)*2*MAX(6*F5056,75))/1000</f>
        <v>0.15</v>
      </c>
      <c r="M5056" t="str">
        <v>=</v>
      </c>
      <c r="N5056">
        <f>J5056+L5056</f>
        <v>1.13</v>
      </c>
      <c r="T5056" t="str">
        <v>x</v>
      </c>
      <c r="U5056">
        <f>0.006165*F5056^2</f>
        <v>0.39456</v>
      </c>
      <c r="V5056" t="str">
        <v>x</v>
      </c>
      <c r="W5056">
        <f>IF(D5037&gt;4*G5035,ROUND(MAX(D5037/4,2*G5035)/H5056,0)+1,0)</f>
        <v>15</v>
      </c>
      <c r="X5056" t="str">
        <v>x</v>
      </c>
      <c r="Y5056">
        <f>D5040</f>
        <v>1</v>
      </c>
      <c r="Z5056" t="str">
        <v>=</v>
      </c>
      <c r="AA5056">
        <f>N5056*U5056*W5056*Y5056</f>
        <v>6.687792</v>
      </c>
    </row>
    <row r="5058">
      <c r="A5058" t="str">
        <f>A5034</f>
        <v>Lantai 1</v>
      </c>
      <c r="B5058">
        <f>B5034</f>
        <v>71</v>
      </c>
      <c r="C5058" t="str">
        <v>Kait Horizontal Tump.</v>
      </c>
      <c r="D5058">
        <f>VLOOKUP(D5034,'Detail Balok'!$C$10:$BJ$110,46,FALSE)</f>
        <v>0</v>
      </c>
      <c r="E5058" t="str">
        <v>D</v>
      </c>
      <c r="F5058">
        <f>VLOOKUP(D5034,'Detail Balok'!$C$10:$BJ$110,48,FALSE)</f>
        <v>0</v>
      </c>
      <c r="G5058" t="str">
        <v>-</v>
      </c>
      <c r="H5058">
        <f>VLOOKUP(D5034,'Detail Balok'!$C$10:$BJ$110,50,FALSE)</f>
        <v>100</v>
      </c>
      <c r="J5058">
        <f>(D5035-2*F$5)/1000</f>
        <v>0.12</v>
      </c>
      <c r="K5058" t="str">
        <v>+</v>
      </c>
      <c r="L5058">
        <f>IF(D5058=0,2*MAX(6*F5058,75),(D5058-1)*2*MAX(6*F5058,75))/1000</f>
        <v>0.15</v>
      </c>
      <c r="M5058" t="str">
        <v>=</v>
      </c>
      <c r="N5058">
        <f>J5058+L5058</f>
        <v>0.27</v>
      </c>
      <c r="T5058" t="str">
        <v>x</v>
      </c>
      <c r="U5058">
        <f>0.006165*F5058^2</f>
        <v>0</v>
      </c>
      <c r="V5058" t="str">
        <v>x</v>
      </c>
      <c r="W5058">
        <f>W5054</f>
        <v>15</v>
      </c>
      <c r="X5058" t="str">
        <v>x</v>
      </c>
      <c r="Y5058">
        <f>D5044</f>
        <v>3</v>
      </c>
      <c r="Z5058" t="str">
        <v>=</v>
      </c>
      <c r="AA5058">
        <f>N5058*U5058*W5058*Y5058</f>
        <v>0</v>
      </c>
    </row>
    <row r="5059">
      <c r="A5059" t="str">
        <f>A5034</f>
        <v>Lantai 1</v>
      </c>
      <c r="B5059">
        <f>B5034</f>
        <v>71</v>
      </c>
      <c r="C5059" t="str">
        <v>Kait Horizontal Lap.</v>
      </c>
      <c r="D5059">
        <f>VLOOKUP(D5034,'Detail Balok'!$C$10:$BJ$110,51,FALSE)</f>
        <v>0</v>
      </c>
      <c r="E5059" t="str">
        <v>D</v>
      </c>
      <c r="F5059">
        <f>VLOOKUP(D5034,'Detail Balok'!$C$10:$BJ$110,53,FALSE)</f>
        <v>0</v>
      </c>
      <c r="G5059" t="str">
        <v>-</v>
      </c>
      <c r="H5059">
        <f>VLOOKUP(D5034,'Detail Balok'!$C$10:$BJ$110,55,FALSE)</f>
        <v>100</v>
      </c>
      <c r="J5059">
        <f>(D5035-2*F$5)/1000</f>
        <v>0.12</v>
      </c>
      <c r="K5059" t="str">
        <v>+</v>
      </c>
      <c r="L5059">
        <f>IF(D5059=0,2*MAX(6*F5059,75),(D5059-1)*2*MAX(6*F5059,75))/1000</f>
        <v>0.15</v>
      </c>
      <c r="M5059" t="str">
        <v>=</v>
      </c>
      <c r="N5059">
        <f>J5059+L5059</f>
        <v>0.27</v>
      </c>
      <c r="T5059" t="str">
        <v>x</v>
      </c>
      <c r="U5059">
        <f>0.006165*F5059^2</f>
        <v>0</v>
      </c>
      <c r="V5059" t="str">
        <v>x</v>
      </c>
      <c r="W5059">
        <f>W5055</f>
        <v>14</v>
      </c>
      <c r="X5059" t="str">
        <v>x</v>
      </c>
      <c r="Y5059">
        <f>D5044</f>
        <v>3</v>
      </c>
      <c r="Z5059" t="str">
        <v>=</v>
      </c>
      <c r="AA5059">
        <f>N5059*U5059*W5059*Y5059</f>
        <v>0</v>
      </c>
    </row>
    <row r="5060">
      <c r="A5060" t="str">
        <f>A5034</f>
        <v>Lantai 1</v>
      </c>
      <c r="B5060">
        <f>B5034</f>
        <v>71</v>
      </c>
      <c r="C5060" t="str">
        <v>Kait Horizontal Tump.</v>
      </c>
      <c r="D5060">
        <f>VLOOKUP(D5034,'Detail Balok'!$C$10:$BJ$110,56,FALSE)</f>
        <v>0</v>
      </c>
      <c r="E5060" t="str">
        <v>D</v>
      </c>
      <c r="F5060">
        <f>VLOOKUP(D5034,'Detail Balok'!$C$10:$BJ$110,58,FALSE)</f>
        <v>0</v>
      </c>
      <c r="G5060" t="str">
        <v>-</v>
      </c>
      <c r="H5060">
        <f>VLOOKUP(D5034,'Detail Balok'!$C$10:$BJ$110,60,FALSE)</f>
        <v>100</v>
      </c>
      <c r="J5060">
        <f>(D5035-2*F$5)/1000</f>
        <v>0.12</v>
      </c>
      <c r="K5060" t="str">
        <v>+</v>
      </c>
      <c r="L5060">
        <f>IF(D5060=0,2*MAX(6*F5060,75),(D5060-1)*2*MAX(6*F5060,75))/1000</f>
        <v>0.15</v>
      </c>
      <c r="M5060" t="str">
        <v>=</v>
      </c>
      <c r="N5060">
        <f>J5060+L5060</f>
        <v>0.27</v>
      </c>
      <c r="T5060" t="str">
        <v>x</v>
      </c>
      <c r="U5060">
        <f>0.006165*F5060^2</f>
        <v>0</v>
      </c>
      <c r="V5060" t="str">
        <v>x</v>
      </c>
      <c r="W5060">
        <f>W5056</f>
        <v>15</v>
      </c>
      <c r="X5060" t="str">
        <v>x</v>
      </c>
      <c r="Y5060">
        <f>D5044</f>
        <v>3</v>
      </c>
      <c r="Z5060" t="str">
        <v>=</v>
      </c>
      <c r="AA5060">
        <f>N5060*U5060*W5060*Y5060</f>
        <v>0</v>
      </c>
    </row>
    <row r="5064">
      <c r="A5064" t="str">
        <f>A5034</f>
        <v>Lantai 1</v>
      </c>
      <c r="B5064">
        <f>B5034+1</f>
        <v>72</v>
      </c>
      <c r="C5064" t="str">
        <f>CONCATENATE(A5064," no. ",B5064)</f>
        <v>Lantai 1 no. 72</v>
      </c>
      <c r="D5064" t="str">
        <f>VLOOKUP(C5064,'Data Panjang Balok'!$C$9:$N$424,2,FALSE)</f>
        <v>B57-1</v>
      </c>
    </row>
    <row r="5065">
      <c r="C5065" t="str">
        <v>Dimensi</v>
      </c>
      <c r="D5065">
        <f>VLOOKUP(D5064,'Detail Balok'!$C$10:$AU$110,2,FALSE)</f>
        <v>500</v>
      </c>
      <c r="F5065" t="str">
        <v>x</v>
      </c>
      <c r="G5065">
        <f>VLOOKUP(D5064,'Detail Balok'!$C$10:$AU$110,3,FALSE)</f>
        <v>700</v>
      </c>
    </row>
    <row r="5066">
      <c r="C5066" t="str">
        <v>Panjang as ke as</v>
      </c>
      <c r="D5066">
        <f>VLOOKUP(C5064,'Data Panjang Balok'!$C$9:$N$424,4,FALSE)</f>
        <v>7915</v>
      </c>
    </row>
    <row r="5067">
      <c r="C5067" t="str">
        <v>Panjang netto</v>
      </c>
      <c r="D5067">
        <f>VLOOKUP(C5064,'Data Panjang Balok'!$C$9:$N$424,7,FALSE)</f>
        <v>7915</v>
      </c>
    </row>
    <row r="5068">
      <c r="C5068" t="str">
        <v>Kolom / balok kiri</v>
      </c>
      <c r="D5068">
        <f>VLOOKUP(C5064,'Data Panjang Balok'!$C$9:$N$424,9,FALSE)</f>
        <v>0</v>
      </c>
    </row>
    <row r="5069">
      <c r="C5069" t="str">
        <v>Kolom / balok kanan</v>
      </c>
      <c r="D5069">
        <f>VLOOKUP(C5064,'Data Panjang Balok'!$C$9:$N$424,10,FALSE)</f>
        <v>0</v>
      </c>
    </row>
    <row r="5070">
      <c r="C5070" t="str">
        <v>Jumlah</v>
      </c>
      <c r="D5070">
        <f>VLOOKUP(C5064,'Data Panjang Balok'!$C$9:$N$424,3,FALSE)</f>
        <v>1</v>
      </c>
    </row>
    <row r="5071">
      <c r="A5071" t="str">
        <f>A5064</f>
        <v>Lantai 1</v>
      </c>
      <c r="B5071">
        <f>B5064</f>
        <v>72</v>
      </c>
      <c r="C5071" t="str">
        <v>Tul Atas Tumpuan</v>
      </c>
      <c r="D5071">
        <f>VLOOKUP(D5064,'Detail Balok'!$C$10:$AU$110,4,FALSE)</f>
        <v>5</v>
      </c>
      <c r="E5071" t="str">
        <v>D</v>
      </c>
      <c r="F5071">
        <f>VLOOKUP(D5064,'Detail Balok'!$C$10:$AU$110,6,FALSE)</f>
        <v>22</v>
      </c>
      <c r="I5071" t="str">
        <v>(</v>
      </c>
      <c r="J5071">
        <f>+D5066/4/1000</f>
        <v>1.97875</v>
      </c>
      <c r="K5071" t="str">
        <v>+</v>
      </c>
      <c r="L5071">
        <f>MAX(VLOOKUP(F5071,N$6:P$15,3,FALSE)/1000,2/3*D5068/1000)+F$16*F5071/1000</f>
        <v>0.264</v>
      </c>
      <c r="M5071" t="str">
        <v>=</v>
      </c>
      <c r="N5071">
        <f>J5071+L5071</f>
        <v>2.24275</v>
      </c>
      <c r="O5071" t="str">
        <v>+</v>
      </c>
      <c r="P5071">
        <f>D5071-D5072</f>
        <v>0</v>
      </c>
      <c r="Q5071" t="str">
        <v>x</v>
      </c>
      <c r="R5071">
        <f>IF(P5071&gt;0,$F$18*F5071/1000,0)</f>
        <v>0</v>
      </c>
      <c r="S5071" t="str">
        <v>)</v>
      </c>
      <c r="T5071" t="str">
        <v>x</v>
      </c>
      <c r="U5071">
        <f>0.006165*F5071^2</f>
        <v>2.98386</v>
      </c>
      <c r="X5071" t="str">
        <v>x</v>
      </c>
      <c r="Y5071">
        <f>D5070</f>
        <v>1</v>
      </c>
      <c r="Z5071" t="str">
        <v>=</v>
      </c>
      <c r="AA5071">
        <f>IF(AA5074=0,(D5071*N5071+P5071*R5071)*U5071*Y5071,0)</f>
        <v>0</v>
      </c>
    </row>
    <row r="5072">
      <c r="A5072" t="str">
        <f>A5064</f>
        <v>Lantai 1</v>
      </c>
      <c r="B5072">
        <f>B5064</f>
        <v>72</v>
      </c>
      <c r="C5072" t="str">
        <v>Tul Atas Lapangan</v>
      </c>
      <c r="D5072">
        <f>VLOOKUP(D5064,'Detail Balok'!$C$10:$AU$110,7,FALSE)</f>
        <v>5</v>
      </c>
      <c r="E5072" t="str">
        <v>D</v>
      </c>
      <c r="F5072">
        <f>VLOOKUP(D5064,'Detail Balok'!$C$10:$AU$110,9,FALSE)</f>
        <v>22</v>
      </c>
      <c r="I5072" t="str">
        <v>(</v>
      </c>
      <c r="J5072">
        <f>+D5066/2/1000</f>
        <v>3.9575</v>
      </c>
      <c r="K5072" t="str">
        <v>+</v>
      </c>
      <c r="M5072" t="str">
        <v>=</v>
      </c>
      <c r="N5072">
        <f>J5072+L5072</f>
        <v>3.9575</v>
      </c>
      <c r="O5072" t="str">
        <v>+</v>
      </c>
      <c r="P5072">
        <f>MAX(D5072-D5071,D5072-D5073)</f>
        <v>0</v>
      </c>
      <c r="Q5072" t="str">
        <v>x</v>
      </c>
      <c r="R5072">
        <f>IF(P5072&gt;0,2*(1-2*$F$19-1/2)*D5067/1000,0)</f>
        <v>0</v>
      </c>
      <c r="S5072" t="str">
        <v>)</v>
      </c>
      <c r="T5072" t="str">
        <v>x</v>
      </c>
      <c r="U5072">
        <f>0.006165*F5072^2</f>
        <v>2.98386</v>
      </c>
      <c r="X5072" t="str">
        <v>x</v>
      </c>
      <c r="Y5072">
        <f>D5070</f>
        <v>1</v>
      </c>
      <c r="Z5072" t="str">
        <v>=</v>
      </c>
      <c r="AA5072">
        <f>IF(AA5074=0,(D5072*N5072+P5072*R5072)*U5072*Y5072,0)</f>
        <v>0</v>
      </c>
    </row>
    <row r="5073">
      <c r="A5073" t="str">
        <f>A5064</f>
        <v>Lantai 1</v>
      </c>
      <c r="B5073">
        <f>B5064</f>
        <v>72</v>
      </c>
      <c r="C5073" t="str">
        <v>Tul Atas Tumpuan</v>
      </c>
      <c r="D5073">
        <f>VLOOKUP(D5064,'Detail Balok'!$C$10:$AU$110,10,FALSE)</f>
        <v>5</v>
      </c>
      <c r="E5073" t="str">
        <v>D</v>
      </c>
      <c r="F5073">
        <f>VLOOKUP(D5064,'Detail Balok'!$C$10:$AU$110,12,FALSE)</f>
        <v>22</v>
      </c>
      <c r="I5073" t="str">
        <v>(</v>
      </c>
      <c r="J5073">
        <f>+D5066/4/1000</f>
        <v>1.97875</v>
      </c>
      <c r="K5073" t="str">
        <v>+</v>
      </c>
      <c r="L5073">
        <f>MAX(VLOOKUP(F5073,N$6:P$15,3,FALSE)/1000,2/3*D5068/1000)+F$16*F5073/1000</f>
        <v>0.264</v>
      </c>
      <c r="M5073" t="str">
        <v>=</v>
      </c>
      <c r="N5073">
        <f>J5073+L5073</f>
        <v>2.24275</v>
      </c>
      <c r="O5073" t="str">
        <v>+</v>
      </c>
      <c r="P5073">
        <f>D5073-D5072</f>
        <v>0</v>
      </c>
      <c r="Q5073" t="str">
        <v>x</v>
      </c>
      <c r="R5073">
        <f>IF(P5073&gt;0,$F$18*F5073/1000,0)</f>
        <v>0</v>
      </c>
      <c r="S5073" t="str">
        <v>)</v>
      </c>
      <c r="T5073" t="str">
        <v>x</v>
      </c>
      <c r="U5073">
        <f>0.006165*F5073^2</f>
        <v>2.98386</v>
      </c>
      <c r="X5073" t="str">
        <v>x</v>
      </c>
      <c r="Y5073">
        <f>D5070</f>
        <v>1</v>
      </c>
      <c r="Z5073" t="str">
        <v>=</v>
      </c>
      <c r="AA5073">
        <f>IF(AA5074=0,(D5073*N5073+P5073*R5073)*U5073*Y5073,0)</f>
        <v>0</v>
      </c>
    </row>
    <row r="5074">
      <c r="A5074" t="str">
        <f>A5064</f>
        <v>Lantai 1</v>
      </c>
      <c r="B5074">
        <f>B5064</f>
        <v>72</v>
      </c>
      <c r="D5074">
        <f>IF(AND(D5071=D5072,D5072=D5073,D5071=D5073),D5071,0)</f>
        <v>5</v>
      </c>
      <c r="E5074" t="str">
        <v>D</v>
      </c>
      <c r="F5074">
        <f>IF(AND(F5071=F5072,F5071=F5073,F5072=F5073),F5071,0)</f>
        <v>22</v>
      </c>
      <c r="L5074" t="str">
        <v>Total panjang per balok</v>
      </c>
      <c r="M5074" t="str">
        <v>=</v>
      </c>
      <c r="N5074">
        <f>IF(AND(D5071=D5072,D5071=D5073,D5072=D5073,F5071=F5072,F5071=F5073,F5072=F5073),SUM(N5071:N5073),0)</f>
        <v>8.443000000000001</v>
      </c>
      <c r="O5074" t="str">
        <v>+</v>
      </c>
      <c r="P5074">
        <f>IF(N5074&gt;12,ROUNDDOWN(N5074/12,0),0)</f>
        <v>0</v>
      </c>
      <c r="Q5074" t="str">
        <v>x</v>
      </c>
      <c r="R5074">
        <f>IF(P5074&gt;0,MAX(VLOOKUP(F5074,$D$6:$G$15,3,FALSE),600),0)/1000</f>
        <v>0</v>
      </c>
      <c r="T5074" t="str">
        <v>x</v>
      </c>
      <c r="U5074">
        <f>U5073</f>
        <v>2.98386</v>
      </c>
      <c r="V5074" t="str">
        <v>x</v>
      </c>
      <c r="W5074">
        <f>D5074</f>
        <v>5</v>
      </c>
      <c r="X5074" t="str">
        <v>x</v>
      </c>
      <c r="Y5074">
        <f>Y5073</f>
        <v>1</v>
      </c>
      <c r="Z5074" t="str">
        <v>=</v>
      </c>
      <c r="AA5074">
        <f>(N5074+P5074*R5074/1000)*U5074*W5074*Y5074</f>
        <v>125.96364990000001</v>
      </c>
    </row>
    <row r="5076">
      <c r="A5076" t="str">
        <f>A5064</f>
        <v>Lantai 1</v>
      </c>
      <c r="B5076">
        <f>B5064</f>
        <v>72</v>
      </c>
      <c r="C5076" t="str">
        <v>Tul Peminggang</v>
      </c>
      <c r="D5076">
        <f>VLOOKUP(D5064,'Detail Balok'!$C$10:$AU$110,13,FALSE)</f>
        <v>2</v>
      </c>
      <c r="E5076" t="str">
        <v>D</v>
      </c>
      <c r="F5076">
        <f>VLOOKUP(D5064,'Detail Balok'!$C$10:$AU$110,15,FALSE)</f>
        <v>13</v>
      </c>
      <c r="J5076">
        <f>+D5066/1000</f>
        <v>7.915</v>
      </c>
      <c r="K5076" t="str">
        <v>+</v>
      </c>
      <c r="L5076">
        <f>2*$F$16*F5076/1000</f>
        <v>0.312</v>
      </c>
      <c r="M5076" t="str">
        <v>=</v>
      </c>
      <c r="N5076">
        <f>J5076+L5076</f>
        <v>8.227</v>
      </c>
      <c r="O5076" t="str">
        <v>+</v>
      </c>
      <c r="P5076">
        <f>IF(N5076&gt;12,ROUNDDOWN(N5076/12,0),0)</f>
        <v>0</v>
      </c>
      <c r="Q5076" t="str">
        <v>x</v>
      </c>
      <c r="R5076">
        <f>IF(P5076&gt;0,MAX(VLOOKUP(F5076,$D$6:$G$15,3,FALSE),600),0)/1000</f>
        <v>0</v>
      </c>
      <c r="T5076" t="str">
        <v>x</v>
      </c>
      <c r="U5076">
        <f>0.006165*F5076^2</f>
        <v>1.041885</v>
      </c>
      <c r="V5076" t="str">
        <v>x</v>
      </c>
      <c r="W5076">
        <f>+D5076</f>
        <v>2</v>
      </c>
      <c r="X5076" t="str">
        <v>x</v>
      </c>
      <c r="Y5076">
        <f>D5070</f>
        <v>1</v>
      </c>
      <c r="Z5076" t="str">
        <v>=</v>
      </c>
      <c r="AA5076">
        <f>(N5076+P5076*R5076/1000)*U5076*W5076*Y5076</f>
        <v>17.14317579</v>
      </c>
    </row>
    <row r="5079">
      <c r="A5079" t="str">
        <f>A5064</f>
        <v>Lantai 1</v>
      </c>
      <c r="B5079">
        <f>B5064</f>
        <v>72</v>
      </c>
      <c r="C5079" t="str">
        <v>Tul Bawah Tumpuan</v>
      </c>
      <c r="D5079">
        <f>VLOOKUP(D5064,'Detail Balok'!$C$10:$AU$110,22,FALSE)</f>
        <v>5</v>
      </c>
      <c r="E5079" t="str">
        <v>D</v>
      </c>
      <c r="F5079">
        <f>VLOOKUP(D5064,'Detail Balok'!$C$10:$AU$110,24,FALSE)</f>
        <v>22</v>
      </c>
      <c r="I5079" t="str">
        <v>(</v>
      </c>
      <c r="J5079">
        <f>+J5071</f>
        <v>1.97875</v>
      </c>
      <c r="K5079" t="str">
        <v>+</v>
      </c>
      <c r="L5079">
        <f>MAX(VLOOKUP(F5079,N$6:P$15,3,FALSE)/1000,2/3*D5069/1000)+F$16*F5079/1000</f>
        <v>0.264</v>
      </c>
      <c r="M5079" t="str">
        <v>=</v>
      </c>
      <c r="N5079">
        <f>J5079+L5079</f>
        <v>2.24275</v>
      </c>
      <c r="O5079" t="str">
        <v>+</v>
      </c>
      <c r="P5079">
        <f>D5079-D5080</f>
        <v>-5</v>
      </c>
      <c r="Q5079" t="str">
        <v>x</v>
      </c>
      <c r="R5079">
        <f>IF(P5079&gt;0,$F$18*F5079/1000,0)</f>
        <v>0</v>
      </c>
      <c r="S5079" t="str">
        <v>)</v>
      </c>
      <c r="T5079" t="str">
        <v>x</v>
      </c>
      <c r="U5079">
        <f>0.006165*F5079^2</f>
        <v>2.98386</v>
      </c>
      <c r="X5079" t="str">
        <v>x</v>
      </c>
      <c r="Y5079">
        <f>D5070</f>
        <v>1</v>
      </c>
      <c r="Z5079" t="str">
        <v>=</v>
      </c>
      <c r="AA5079">
        <f>IF(AA5082=0,(D5079*N5079+P5079*R5079)*U5079*Y5079,0)</f>
        <v>33.460260075</v>
      </c>
    </row>
    <row r="5080">
      <c r="A5080" t="str">
        <f>A5064</f>
        <v>Lantai 1</v>
      </c>
      <c r="B5080">
        <f>B5064</f>
        <v>72</v>
      </c>
      <c r="C5080" t="str">
        <v>Tul Bawah Lapangan</v>
      </c>
      <c r="D5080">
        <f>VLOOKUP(D5064,'Detail Balok'!$C$10:$AU$110,25,FALSE)</f>
        <v>10</v>
      </c>
      <c r="E5080" t="str">
        <v>D</v>
      </c>
      <c r="F5080">
        <f>VLOOKUP(D5064,'Detail Balok'!$C$10:$AU$110,27,FALSE)</f>
        <v>22</v>
      </c>
      <c r="I5080" t="str">
        <v>(</v>
      </c>
      <c r="J5080">
        <f>+J5072</f>
        <v>3.9575</v>
      </c>
      <c r="K5080" t="str">
        <v>+</v>
      </c>
      <c r="M5080" t="str">
        <v>=</v>
      </c>
      <c r="N5080">
        <f>J5080+L5080</f>
        <v>3.9575</v>
      </c>
      <c r="O5080" t="str">
        <v>+</v>
      </c>
      <c r="P5080">
        <f>MAX(D5080-D5079,D5080-D5081)</f>
        <v>5</v>
      </c>
      <c r="Q5080" t="str">
        <v>x</v>
      </c>
      <c r="R5080">
        <f>IF(P5080&gt;0,2*(1-2*$F$19-1/2)*D5067/1000,0)</f>
        <v>1.5829999999999995</v>
      </c>
      <c r="S5080" t="str">
        <v>)</v>
      </c>
      <c r="T5080" t="str">
        <v>x</v>
      </c>
      <c r="U5080">
        <f>0.006165*F5080^2</f>
        <v>2.98386</v>
      </c>
      <c r="X5080" t="str">
        <v>x</v>
      </c>
      <c r="Y5080">
        <f>D5070</f>
        <v>1</v>
      </c>
      <c r="Z5080" t="str">
        <v>=</v>
      </c>
      <c r="AA5080">
        <f>IF(AA5082=0,(D5080*N5080+P5080*R5080)*U5080*Y5080,0)</f>
        <v>141.7035114</v>
      </c>
    </row>
    <row r="5081">
      <c r="A5081" t="str">
        <f>A5064</f>
        <v>Lantai 1</v>
      </c>
      <c r="B5081">
        <f>B5064</f>
        <v>72</v>
      </c>
      <c r="C5081" t="str">
        <v>Tul Bawah Tumpuan</v>
      </c>
      <c r="D5081">
        <f>VLOOKUP(D5064,'Detail Balok'!$C$10:$AU$110,28,FALSE)</f>
        <v>5</v>
      </c>
      <c r="E5081" t="str">
        <v>D</v>
      </c>
      <c r="F5081">
        <f>VLOOKUP(D5064,'Detail Balok'!$C$10:$AU$110,30,FALSE)</f>
        <v>22</v>
      </c>
      <c r="I5081" t="str">
        <v>(</v>
      </c>
      <c r="J5081">
        <f>+J5073</f>
        <v>1.97875</v>
      </c>
      <c r="K5081" t="str">
        <v>+</v>
      </c>
      <c r="L5081">
        <f>MAX(VLOOKUP(F5081,N$6:P$15,3,FALSE)/1000,2/3*D5069/1000)+F$16*F5081/1000</f>
        <v>0.264</v>
      </c>
      <c r="M5081" t="str">
        <v>=</v>
      </c>
      <c r="N5081">
        <f>J5081+L5081</f>
        <v>2.24275</v>
      </c>
      <c r="O5081" t="str">
        <v>+</v>
      </c>
      <c r="P5081">
        <f>D5081-D5080</f>
        <v>-5</v>
      </c>
      <c r="Q5081" t="str">
        <v>x</v>
      </c>
      <c r="R5081">
        <f>IF(P5081&gt;0,$F$18*F5081/1000,0)</f>
        <v>0</v>
      </c>
      <c r="S5081" t="str">
        <v>)</v>
      </c>
      <c r="T5081" t="str">
        <v>x</v>
      </c>
      <c r="U5081">
        <f>0.006165*F5081^2</f>
        <v>2.98386</v>
      </c>
      <c r="X5081" t="str">
        <v>x</v>
      </c>
      <c r="Y5081">
        <f>D5070</f>
        <v>1</v>
      </c>
      <c r="Z5081" t="str">
        <v>=</v>
      </c>
      <c r="AA5081">
        <f>IF(AA5082=0,(D5081*N5081+P5081*R5081)*U5081*Y5081,0)</f>
        <v>33.460260075</v>
      </c>
    </row>
    <row r="5082">
      <c r="A5082" t="str">
        <f>A5064</f>
        <v>Lantai 1</v>
      </c>
      <c r="B5082">
        <f>B5064</f>
        <v>72</v>
      </c>
      <c r="D5082">
        <f>IF(AND(D5079=D5080,D5080=D5081,D5079=D5081),D5079,0)</f>
        <v>0</v>
      </c>
      <c r="E5082" t="str">
        <v>D</v>
      </c>
      <c r="F5082">
        <f>IF(AND(F5079=F5080,F5079=F5081,F5080=F5081),F5079,0)</f>
        <v>22</v>
      </c>
      <c r="L5082" t="str">
        <v>Total panjang per balok</v>
      </c>
      <c r="M5082" t="str">
        <v>=</v>
      </c>
      <c r="N5082">
        <f>IF(AND(D5079=D5080,D5079=D5081,D5080=D5081,F5079=F5080,F5079=F5081,F5080=F5081),SUM(N5079:N5081),0)</f>
        <v>0</v>
      </c>
      <c r="O5082" t="str">
        <v>+</v>
      </c>
      <c r="P5082">
        <f>IF(N5082&gt;12,ROUNDDOWN(N5082/12,0),0)</f>
        <v>0</v>
      </c>
      <c r="Q5082" t="str">
        <v>x</v>
      </c>
      <c r="R5082">
        <f>IF(P5082&gt;0,MAX(VLOOKUP(F5082,$D$6:$G$15,3,FALSE),600),0)/1000</f>
        <v>0</v>
      </c>
      <c r="T5082" t="str">
        <v>x</v>
      </c>
      <c r="U5082">
        <f>U5081</f>
        <v>2.98386</v>
      </c>
      <c r="V5082" t="str">
        <v>x</v>
      </c>
      <c r="W5082">
        <f>D5082</f>
        <v>0</v>
      </c>
      <c r="X5082" t="str">
        <v>x</v>
      </c>
      <c r="Y5082">
        <f>Y5081</f>
        <v>1</v>
      </c>
      <c r="Z5082" t="str">
        <v>=</v>
      </c>
      <c r="AA5082">
        <f>(N5082+P5082*R5082/1000)*U5082*W5082*Y5082</f>
        <v>0</v>
      </c>
    </row>
    <row r="5084">
      <c r="A5084" t="str">
        <f>A5064</f>
        <v>Lantai 1</v>
      </c>
      <c r="B5084">
        <f>B5064</f>
        <v>72</v>
      </c>
      <c r="C5084" t="str">
        <v>Sengkang Tumpuan</v>
      </c>
      <c r="D5084">
        <f>VLOOKUP(D5064,'Detail Balok'!$C$10:$AU$110,31,FALSE)</f>
        <v>3</v>
      </c>
      <c r="E5084" t="str">
        <v>D</v>
      </c>
      <c r="F5084">
        <f>VLOOKUP(D5064,'Detail Balok'!$C$10:$AU$110,33,FALSE)</f>
        <v>13</v>
      </c>
      <c r="G5084" t="str">
        <v>-</v>
      </c>
      <c r="H5084">
        <f>VLOOKUP(D5064,'Detail Balok'!$C$10:$AU$110,35,FALSE)</f>
        <v>75</v>
      </c>
      <c r="J5084">
        <f>(IF(D5084=0,(2*(D5065+G5065))-(F$5*8),IF(D5084=3,(2*(D5065+G5065))-(F$5*8)+(G5065-2*F$5),IF(D5084=4,(2*(D5065+G5065))-(F$5*8)+2*(G5065-2*F$5)))))/1000</f>
        <v>2.7</v>
      </c>
      <c r="K5084" t="str">
        <v>+</v>
      </c>
      <c r="L5084">
        <f>IF(D5084=0,2*MAX(6*F5084,75),(D5084-1)*2*MAX(6*F5084,75))/1000</f>
        <v>0.312</v>
      </c>
      <c r="M5084" t="str">
        <v>=</v>
      </c>
      <c r="N5084">
        <f>J5084+L5084</f>
        <v>3.012</v>
      </c>
      <c r="T5084" t="str">
        <v>x</v>
      </c>
      <c r="U5084">
        <f>0.006165*F5084^2</f>
        <v>1.041885</v>
      </c>
      <c r="V5084" t="str">
        <v>x</v>
      </c>
      <c r="W5084">
        <f>IF(D5067&gt;4*G5065,ROUND(MAX(D5067/4,2*G5065)/H5084,0)+1,ROUND(D5067/H5084,0)+1)</f>
        <v>27</v>
      </c>
      <c r="X5084" t="str">
        <v>x</v>
      </c>
      <c r="Y5084">
        <f>D5070</f>
        <v>1</v>
      </c>
      <c r="Z5084" t="str">
        <v>=</v>
      </c>
      <c r="AA5084">
        <f>N5084*U5084*W5084*Y5084</f>
        <v>84.73025573999999</v>
      </c>
    </row>
    <row r="5085">
      <c r="A5085" t="str">
        <f>A5064</f>
        <v>Lantai 1</v>
      </c>
      <c r="B5085">
        <f>B5064</f>
        <v>72</v>
      </c>
      <c r="C5085" t="str">
        <v>Sengkang Lapangan</v>
      </c>
      <c r="D5085">
        <f>VLOOKUP(D5064,'Detail Balok'!$C$10:$AU$110,36,FALSE)</f>
        <v>0</v>
      </c>
      <c r="E5085" t="str">
        <v>D</v>
      </c>
      <c r="F5085">
        <f>VLOOKUP(D5064,'Detail Balok'!$C$10:$AU$110,38,FALSE)</f>
        <v>13</v>
      </c>
      <c r="G5085" t="str">
        <v>-</v>
      </c>
      <c r="H5085">
        <f>VLOOKUP(D5064,'Detail Balok'!$C$10:$AU$110,40,FALSE)</f>
        <v>150</v>
      </c>
      <c r="J5085">
        <f>(IF(D5085=0,(2*(D5065+G5065))-(F$5*8),IF(D5085=3,(2*(D5065+G5065))-(F$5*8)+(G5065-2*F$5),IF(D5085=4,(2*(D5065+G5065))-(F$5*8)+2*(G5065-2*F$5)))))/1000</f>
        <v>2.08</v>
      </c>
      <c r="K5085" t="str">
        <v>+</v>
      </c>
      <c r="L5085">
        <f>IF(D5085=0,2*MAX(6*F5085,75),(D5085-1)*2*MAX(6*F5085,75))/1000</f>
        <v>0.156</v>
      </c>
      <c r="M5085" t="str">
        <v>=</v>
      </c>
      <c r="N5085">
        <f>J5085+L5085</f>
        <v>2.236</v>
      </c>
      <c r="T5085" t="str">
        <v>x</v>
      </c>
      <c r="U5085">
        <f>0.006165*F5085^2</f>
        <v>1.041885</v>
      </c>
      <c r="V5085" t="str">
        <v>x</v>
      </c>
      <c r="W5085">
        <f>IF(D5067-MAX(D5067/4,2*G5065)*2&gt;0,ROUND((D5067-MAX(D5067/4,2*G5065)*2)/H5085,0),0)</f>
        <v>26</v>
      </c>
      <c r="X5085" t="str">
        <v>x</v>
      </c>
      <c r="Y5085">
        <f>D5070</f>
        <v>1</v>
      </c>
      <c r="Z5085" t="str">
        <v>=</v>
      </c>
      <c r="AA5085">
        <f>N5085*U5085*W5085*Y5085</f>
        <v>60.571026360000005</v>
      </c>
    </row>
    <row r="5086">
      <c r="A5086" t="str">
        <f>A5064</f>
        <v>Lantai 1</v>
      </c>
      <c r="B5086">
        <f>B5064</f>
        <v>72</v>
      </c>
      <c r="C5086" t="str">
        <v>Sengkang Tumpuan</v>
      </c>
      <c r="D5086">
        <f>VLOOKUP(D5064,'Detail Balok'!$C$10:$AU$110,41,FALSE)</f>
        <v>3</v>
      </c>
      <c r="E5086" t="str">
        <v>D</v>
      </c>
      <c r="F5086">
        <f>VLOOKUP(D5064,'Detail Balok'!$C$10:$AU$110,43,FALSE)</f>
        <v>13</v>
      </c>
      <c r="G5086" t="str">
        <v>-</v>
      </c>
      <c r="H5086">
        <f>VLOOKUP(D5064,'Detail Balok'!$C$10:$AU$110,45,FALSE)</f>
        <v>75</v>
      </c>
      <c r="J5086">
        <f>(IF(D5086=0,(2*(D5065+G5065))-(F$5*8),IF(D5086=3,(2*(D5065+G5065))-(F$5*8)+(G5065-2*F$5),IF(D5086=4,(2*(D5065+G5065))-(F$5*8)+2*(G5065-2*F$5)))))/1000</f>
        <v>2.7</v>
      </c>
      <c r="K5086" t="str">
        <v>+</v>
      </c>
      <c r="L5086">
        <f>IF(D5086=0,2*MAX(6*F5086,75),(D5086-1)*2*MAX(6*F5086,75))/1000</f>
        <v>0.312</v>
      </c>
      <c r="M5086" t="str">
        <v>=</v>
      </c>
      <c r="N5086">
        <f>J5086+L5086</f>
        <v>3.012</v>
      </c>
      <c r="T5086" t="str">
        <v>x</v>
      </c>
      <c r="U5086">
        <f>0.006165*F5086^2</f>
        <v>1.041885</v>
      </c>
      <c r="V5086" t="str">
        <v>x</v>
      </c>
      <c r="W5086">
        <f>IF(D5067&gt;4*G5065,ROUND(MAX(D5067/4,2*G5065)/H5086,0)+1,0)</f>
        <v>27</v>
      </c>
      <c r="X5086" t="str">
        <v>x</v>
      </c>
      <c r="Y5086">
        <f>D5070</f>
        <v>1</v>
      </c>
      <c r="Z5086" t="str">
        <v>=</v>
      </c>
      <c r="AA5086">
        <f>N5086*U5086*W5086*Y5086</f>
        <v>84.73025573999999</v>
      </c>
    </row>
    <row r="5088">
      <c r="A5088" t="str">
        <f>A5064</f>
        <v>Lantai 1</v>
      </c>
      <c r="B5088">
        <f>B5064</f>
        <v>72</v>
      </c>
      <c r="C5088" t="str">
        <v>Kait Horizontal Tump.</v>
      </c>
      <c r="D5088">
        <f>VLOOKUP(D5064,'Detail Balok'!$C$10:$BJ$110,46,FALSE)</f>
        <v>0</v>
      </c>
      <c r="E5088" t="str">
        <v>D</v>
      </c>
      <c r="F5088">
        <f>VLOOKUP(D5064,'Detail Balok'!$C$10:$BJ$110,48,FALSE)</f>
        <v>0</v>
      </c>
      <c r="G5088" t="str">
        <v>-</v>
      </c>
      <c r="H5088">
        <f>VLOOKUP(D5064,'Detail Balok'!$C$10:$BJ$110,50,FALSE)</f>
        <v>100</v>
      </c>
      <c r="J5088">
        <f>(D5065-2*F$5)/1000</f>
        <v>0.42</v>
      </c>
      <c r="K5088" t="str">
        <v>+</v>
      </c>
      <c r="L5088">
        <f>IF(D5088=0,2*MAX(6*F5088,75),(D5088-1)*2*MAX(6*F5088,75))/1000</f>
        <v>0.15</v>
      </c>
      <c r="M5088" t="str">
        <v>=</v>
      </c>
      <c r="N5088">
        <f>J5088+L5088</f>
        <v>0.57</v>
      </c>
      <c r="T5088" t="str">
        <v>x</v>
      </c>
      <c r="U5088">
        <f>0.006165*F5088^2</f>
        <v>0</v>
      </c>
      <c r="V5088" t="str">
        <v>x</v>
      </c>
      <c r="W5088">
        <f>W5084</f>
        <v>27</v>
      </c>
      <c r="X5088" t="str">
        <v>x</v>
      </c>
      <c r="Y5088">
        <f>D5074</f>
        <v>5</v>
      </c>
      <c r="Z5088" t="str">
        <v>=</v>
      </c>
      <c r="AA5088">
        <f>N5088*U5088*W5088*Y5088</f>
        <v>0</v>
      </c>
    </row>
    <row r="5089">
      <c r="A5089" t="str">
        <f>A5064</f>
        <v>Lantai 1</v>
      </c>
      <c r="B5089">
        <f>B5064</f>
        <v>72</v>
      </c>
      <c r="C5089" t="str">
        <v>Kait Horizontal Lap.</v>
      </c>
      <c r="D5089">
        <f>VLOOKUP(D5064,'Detail Balok'!$C$10:$BJ$110,51,FALSE)</f>
        <v>0</v>
      </c>
      <c r="E5089" t="str">
        <v>D</v>
      </c>
      <c r="F5089">
        <f>VLOOKUP(D5064,'Detail Balok'!$C$10:$BJ$110,53,FALSE)</f>
        <v>0</v>
      </c>
      <c r="G5089" t="str">
        <v>-</v>
      </c>
      <c r="H5089">
        <f>VLOOKUP(D5064,'Detail Balok'!$C$10:$BJ$110,55,FALSE)</f>
        <v>100</v>
      </c>
      <c r="J5089">
        <f>(D5065-2*F$5)/1000</f>
        <v>0.42</v>
      </c>
      <c r="K5089" t="str">
        <v>+</v>
      </c>
      <c r="L5089">
        <f>IF(D5089=0,2*MAX(6*F5089,75),(D5089-1)*2*MAX(6*F5089,75))/1000</f>
        <v>0.15</v>
      </c>
      <c r="M5089" t="str">
        <v>=</v>
      </c>
      <c r="N5089">
        <f>J5089+L5089</f>
        <v>0.57</v>
      </c>
      <c r="T5089" t="str">
        <v>x</v>
      </c>
      <c r="U5089">
        <f>0.006165*F5089^2</f>
        <v>0</v>
      </c>
      <c r="V5089" t="str">
        <v>x</v>
      </c>
      <c r="W5089">
        <f>W5085</f>
        <v>26</v>
      </c>
      <c r="X5089" t="str">
        <v>x</v>
      </c>
      <c r="Y5089">
        <f>D5074</f>
        <v>5</v>
      </c>
      <c r="Z5089" t="str">
        <v>=</v>
      </c>
      <c r="AA5089">
        <f>N5089*U5089*W5089*Y5089</f>
        <v>0</v>
      </c>
    </row>
    <row r="5090">
      <c r="A5090" t="str">
        <f>A5064</f>
        <v>Lantai 1</v>
      </c>
      <c r="B5090">
        <f>B5064</f>
        <v>72</v>
      </c>
      <c r="C5090" t="str">
        <v>Kait Horizontal Tump.</v>
      </c>
      <c r="D5090">
        <f>VLOOKUP(D5064,'Detail Balok'!$C$10:$BJ$110,56,FALSE)</f>
        <v>0</v>
      </c>
      <c r="E5090" t="str">
        <v>D</v>
      </c>
      <c r="F5090">
        <f>VLOOKUP(D5064,'Detail Balok'!$C$10:$BJ$110,58,FALSE)</f>
        <v>0</v>
      </c>
      <c r="G5090" t="str">
        <v>-</v>
      </c>
      <c r="H5090">
        <f>VLOOKUP(D5064,'Detail Balok'!$C$10:$BJ$110,60,FALSE)</f>
        <v>100</v>
      </c>
      <c r="J5090">
        <f>(D5065-2*F$5)/1000</f>
        <v>0.42</v>
      </c>
      <c r="K5090" t="str">
        <v>+</v>
      </c>
      <c r="L5090">
        <f>IF(D5090=0,2*MAX(6*F5090,75),(D5090-1)*2*MAX(6*F5090,75))/1000</f>
        <v>0.15</v>
      </c>
      <c r="M5090" t="str">
        <v>=</v>
      </c>
      <c r="N5090">
        <f>J5090+L5090</f>
        <v>0.57</v>
      </c>
      <c r="T5090" t="str">
        <v>x</v>
      </c>
      <c r="U5090">
        <f>0.006165*F5090^2</f>
        <v>0</v>
      </c>
      <c r="V5090" t="str">
        <v>x</v>
      </c>
      <c r="W5090">
        <f>W5086</f>
        <v>27</v>
      </c>
      <c r="X5090" t="str">
        <v>x</v>
      </c>
      <c r="Y5090">
        <f>D5074</f>
        <v>5</v>
      </c>
      <c r="Z5090" t="str">
        <v>=</v>
      </c>
      <c r="AA5090">
        <f>N5090*U5090*W5090*Y5090</f>
        <v>0</v>
      </c>
    </row>
    <row r="5094">
      <c r="A5094" t="str">
        <f>A5064</f>
        <v>Lantai 1</v>
      </c>
      <c r="B5094">
        <f>B5064+1</f>
        <v>73</v>
      </c>
      <c r="C5094" t="str">
        <f>CONCATENATE(A5094," no. ",B5094)</f>
        <v>Lantai 1 no. 73</v>
      </c>
      <c r="D5094" t="str">
        <f>VLOOKUP(C5094,'Data Panjang Balok'!$C$9:$N$424,2,FALSE)</f>
        <v>B57-1</v>
      </c>
    </row>
    <row r="5095">
      <c r="C5095" t="str">
        <v>Dimensi</v>
      </c>
      <c r="D5095">
        <f>VLOOKUP(D5094,'Detail Balok'!$C$10:$AU$110,2,FALSE)</f>
        <v>500</v>
      </c>
      <c r="F5095" t="str">
        <v>x</v>
      </c>
      <c r="G5095">
        <f>VLOOKUP(D5094,'Detail Balok'!$C$10:$AU$110,3,FALSE)</f>
        <v>700</v>
      </c>
    </row>
    <row r="5096">
      <c r="C5096" t="str">
        <v>Panjang as ke as</v>
      </c>
      <c r="D5096">
        <f>VLOOKUP(C5094,'Data Panjang Balok'!$C$9:$N$424,4,FALSE)</f>
        <v>6035</v>
      </c>
    </row>
    <row r="5097">
      <c r="C5097" t="str">
        <v>Panjang netto</v>
      </c>
      <c r="D5097">
        <f>VLOOKUP(C5094,'Data Panjang Balok'!$C$9:$N$424,7,FALSE)</f>
        <v>6035</v>
      </c>
    </row>
    <row r="5098">
      <c r="C5098" t="str">
        <v>Kolom / balok kiri</v>
      </c>
      <c r="D5098">
        <f>VLOOKUP(C5094,'Data Panjang Balok'!$C$9:$N$424,9,FALSE)</f>
        <v>0</v>
      </c>
    </row>
    <row r="5099">
      <c r="C5099" t="str">
        <v>Kolom / balok kanan</v>
      </c>
      <c r="D5099">
        <f>VLOOKUP(C5094,'Data Panjang Balok'!$C$9:$N$424,10,FALSE)</f>
        <v>0</v>
      </c>
    </row>
    <row r="5100">
      <c r="C5100" t="str">
        <v>Jumlah</v>
      </c>
      <c r="D5100">
        <f>VLOOKUP(C5094,'Data Panjang Balok'!$C$9:$N$424,3,FALSE)</f>
        <v>1</v>
      </c>
    </row>
    <row r="5101">
      <c r="A5101" t="str">
        <f>A5094</f>
        <v>Lantai 1</v>
      </c>
      <c r="B5101">
        <f>B5094</f>
        <v>73</v>
      </c>
      <c r="C5101" t="str">
        <v>Tul Atas Tumpuan</v>
      </c>
      <c r="D5101">
        <f>VLOOKUP(D5094,'Detail Balok'!$C$10:$AU$110,4,FALSE)</f>
        <v>5</v>
      </c>
      <c r="E5101" t="str">
        <v>D</v>
      </c>
      <c r="F5101">
        <f>VLOOKUP(D5094,'Detail Balok'!$C$10:$AU$110,6,FALSE)</f>
        <v>22</v>
      </c>
      <c r="I5101" t="str">
        <v>(</v>
      </c>
      <c r="J5101">
        <f>+D5096/4/1000</f>
        <v>1.50875</v>
      </c>
      <c r="K5101" t="str">
        <v>+</v>
      </c>
      <c r="L5101">
        <f>MAX(VLOOKUP(F5101,N$6:P$15,3,FALSE)/1000,2/3*D5098/1000)+F$16*F5101/1000</f>
        <v>0.264</v>
      </c>
      <c r="M5101" t="str">
        <v>=</v>
      </c>
      <c r="N5101">
        <f>J5101+L5101</f>
        <v>1.77275</v>
      </c>
      <c r="O5101" t="str">
        <v>+</v>
      </c>
      <c r="P5101">
        <f>D5101-D5102</f>
        <v>0</v>
      </c>
      <c r="Q5101" t="str">
        <v>x</v>
      </c>
      <c r="R5101">
        <f>IF(P5101&gt;0,$F$18*F5101/1000,0)</f>
        <v>0</v>
      </c>
      <c r="S5101" t="str">
        <v>)</v>
      </c>
      <c r="T5101" t="str">
        <v>x</v>
      </c>
      <c r="U5101">
        <f>0.006165*F5101^2</f>
        <v>2.98386</v>
      </c>
      <c r="X5101" t="str">
        <v>x</v>
      </c>
      <c r="Y5101">
        <f>D5100</f>
        <v>1</v>
      </c>
      <c r="Z5101" t="str">
        <v>=</v>
      </c>
      <c r="AA5101">
        <f>IF(AA5104=0,(D5101*N5101+P5101*R5101)*U5101*Y5101,0)</f>
        <v>0</v>
      </c>
    </row>
    <row r="5102">
      <c r="A5102" t="str">
        <f>A5094</f>
        <v>Lantai 1</v>
      </c>
      <c r="B5102">
        <f>B5094</f>
        <v>73</v>
      </c>
      <c r="C5102" t="str">
        <v>Tul Atas Lapangan</v>
      </c>
      <c r="D5102">
        <f>VLOOKUP(D5094,'Detail Balok'!$C$10:$AU$110,7,FALSE)</f>
        <v>5</v>
      </c>
      <c r="E5102" t="str">
        <v>D</v>
      </c>
      <c r="F5102">
        <f>VLOOKUP(D5094,'Detail Balok'!$C$10:$AU$110,9,FALSE)</f>
        <v>22</v>
      </c>
      <c r="I5102" t="str">
        <v>(</v>
      </c>
      <c r="J5102">
        <f>+D5096/2/1000</f>
        <v>3.0175</v>
      </c>
      <c r="K5102" t="str">
        <v>+</v>
      </c>
      <c r="M5102" t="str">
        <v>=</v>
      </c>
      <c r="N5102">
        <f>J5102+L5102</f>
        <v>3.0175</v>
      </c>
      <c r="O5102" t="str">
        <v>+</v>
      </c>
      <c r="P5102">
        <f>MAX(D5102-D5101,D5102-D5103)</f>
        <v>0</v>
      </c>
      <c r="Q5102" t="str">
        <v>x</v>
      </c>
      <c r="R5102">
        <f>IF(P5102&gt;0,2*(1-2*$F$19-1/2)*D5097/1000,0)</f>
        <v>0</v>
      </c>
      <c r="S5102" t="str">
        <v>)</v>
      </c>
      <c r="T5102" t="str">
        <v>x</v>
      </c>
      <c r="U5102">
        <f>0.006165*F5102^2</f>
        <v>2.98386</v>
      </c>
      <c r="X5102" t="str">
        <v>x</v>
      </c>
      <c r="Y5102">
        <f>D5100</f>
        <v>1</v>
      </c>
      <c r="Z5102" t="str">
        <v>=</v>
      </c>
      <c r="AA5102">
        <f>IF(AA5104=0,(D5102*N5102+P5102*R5102)*U5102*Y5102,0)</f>
        <v>0</v>
      </c>
    </row>
    <row r="5103">
      <c r="A5103" t="str">
        <f>A5094</f>
        <v>Lantai 1</v>
      </c>
      <c r="B5103">
        <f>B5094</f>
        <v>73</v>
      </c>
      <c r="C5103" t="str">
        <v>Tul Atas Tumpuan</v>
      </c>
      <c r="D5103">
        <f>VLOOKUP(D5094,'Detail Balok'!$C$10:$AU$110,10,FALSE)</f>
        <v>5</v>
      </c>
      <c r="E5103" t="str">
        <v>D</v>
      </c>
      <c r="F5103">
        <f>VLOOKUP(D5094,'Detail Balok'!$C$10:$AU$110,12,FALSE)</f>
        <v>22</v>
      </c>
      <c r="I5103" t="str">
        <v>(</v>
      </c>
      <c r="J5103">
        <f>+D5096/4/1000</f>
        <v>1.50875</v>
      </c>
      <c r="K5103" t="str">
        <v>+</v>
      </c>
      <c r="L5103">
        <f>MAX(VLOOKUP(F5103,N$6:P$15,3,FALSE)/1000,2/3*D5098/1000)+F$16*F5103/1000</f>
        <v>0.264</v>
      </c>
      <c r="M5103" t="str">
        <v>=</v>
      </c>
      <c r="N5103">
        <f>J5103+L5103</f>
        <v>1.77275</v>
      </c>
      <c r="O5103" t="str">
        <v>+</v>
      </c>
      <c r="P5103">
        <f>D5103-D5102</f>
        <v>0</v>
      </c>
      <c r="Q5103" t="str">
        <v>x</v>
      </c>
      <c r="R5103">
        <f>IF(P5103&gt;0,$F$18*F5103/1000,0)</f>
        <v>0</v>
      </c>
      <c r="S5103" t="str">
        <v>)</v>
      </c>
      <c r="T5103" t="str">
        <v>x</v>
      </c>
      <c r="U5103">
        <f>0.006165*F5103^2</f>
        <v>2.98386</v>
      </c>
      <c r="X5103" t="str">
        <v>x</v>
      </c>
      <c r="Y5103">
        <f>D5100</f>
        <v>1</v>
      </c>
      <c r="Z5103" t="str">
        <v>=</v>
      </c>
      <c r="AA5103">
        <f>IF(AA5104=0,(D5103*N5103+P5103*R5103)*U5103*Y5103,0)</f>
        <v>0</v>
      </c>
    </row>
    <row r="5104">
      <c r="A5104" t="str">
        <f>A5094</f>
        <v>Lantai 1</v>
      </c>
      <c r="B5104">
        <f>B5094</f>
        <v>73</v>
      </c>
      <c r="D5104">
        <f>IF(AND(D5101=D5102,D5102=D5103,D5101=D5103),D5101,0)</f>
        <v>5</v>
      </c>
      <c r="E5104" t="str">
        <v>D</v>
      </c>
      <c r="F5104">
        <f>IF(AND(F5101=F5102,F5101=F5103,F5102=F5103),F5101,0)</f>
        <v>22</v>
      </c>
      <c r="L5104" t="str">
        <v>Total panjang per balok</v>
      </c>
      <c r="M5104" t="str">
        <v>=</v>
      </c>
      <c r="N5104">
        <f>IF(AND(D5101=D5102,D5101=D5103,D5102=D5103,F5101=F5102,F5101=F5103,F5102=F5103),SUM(N5101:N5103),0)</f>
        <v>6.563000000000001</v>
      </c>
      <c r="O5104" t="str">
        <v>+</v>
      </c>
      <c r="P5104">
        <f>IF(N5104&gt;12,ROUNDDOWN(N5104/12,0),0)</f>
        <v>0</v>
      </c>
      <c r="Q5104" t="str">
        <v>x</v>
      </c>
      <c r="R5104">
        <f>IF(P5104&gt;0,MAX(VLOOKUP(F5104,$D$6:$G$15,3,FALSE),600),0)/1000</f>
        <v>0</v>
      </c>
      <c r="T5104" t="str">
        <v>x</v>
      </c>
      <c r="U5104">
        <f>U5103</f>
        <v>2.98386</v>
      </c>
      <c r="V5104" t="str">
        <v>x</v>
      </c>
      <c r="W5104">
        <f>D5104</f>
        <v>5</v>
      </c>
      <c r="X5104" t="str">
        <v>x</v>
      </c>
      <c r="Y5104">
        <f>Y5103</f>
        <v>1</v>
      </c>
      <c r="Z5104" t="str">
        <v>=</v>
      </c>
      <c r="AA5104">
        <f>(N5104+P5104*R5104/1000)*U5104*W5104*Y5104</f>
        <v>97.91536590000001</v>
      </c>
    </row>
    <row r="5106">
      <c r="A5106" t="str">
        <f>A5094</f>
        <v>Lantai 1</v>
      </c>
      <c r="B5106">
        <f>B5094</f>
        <v>73</v>
      </c>
      <c r="C5106" t="str">
        <v>Tul Peminggang</v>
      </c>
      <c r="D5106">
        <f>VLOOKUP(D5094,'Detail Balok'!$C$10:$AU$110,13,FALSE)</f>
        <v>2</v>
      </c>
      <c r="E5106" t="str">
        <v>D</v>
      </c>
      <c r="F5106">
        <f>VLOOKUP(D5094,'Detail Balok'!$C$10:$AU$110,15,FALSE)</f>
        <v>13</v>
      </c>
      <c r="J5106">
        <f>+D5096/1000</f>
        <v>6.035</v>
      </c>
      <c r="K5106" t="str">
        <v>+</v>
      </c>
      <c r="L5106">
        <f>2*$F$16*F5106/1000</f>
        <v>0.312</v>
      </c>
      <c r="M5106" t="str">
        <v>=</v>
      </c>
      <c r="N5106">
        <f>J5106+L5106</f>
        <v>6.347</v>
      </c>
      <c r="O5106" t="str">
        <v>+</v>
      </c>
      <c r="P5106">
        <f>IF(N5106&gt;12,ROUNDDOWN(N5106/12,0),0)</f>
        <v>0</v>
      </c>
      <c r="Q5106" t="str">
        <v>x</v>
      </c>
      <c r="R5106">
        <f>IF(P5106&gt;0,MAX(VLOOKUP(F5106,$D$6:$G$15,3,FALSE),600),0)/1000</f>
        <v>0</v>
      </c>
      <c r="T5106" t="str">
        <v>x</v>
      </c>
      <c r="U5106">
        <f>0.006165*F5106^2</f>
        <v>1.041885</v>
      </c>
      <c r="V5106" t="str">
        <v>x</v>
      </c>
      <c r="W5106">
        <f>+D5106</f>
        <v>2</v>
      </c>
      <c r="X5106" t="str">
        <v>x</v>
      </c>
      <c r="Y5106">
        <f>D5100</f>
        <v>1</v>
      </c>
      <c r="Z5106" t="str">
        <v>=</v>
      </c>
      <c r="AA5106">
        <f>(N5106+P5106*R5106/1000)*U5106*W5106*Y5106</f>
        <v>13.22568819</v>
      </c>
    </row>
    <row r="5109">
      <c r="A5109" t="str">
        <f>A5094</f>
        <v>Lantai 1</v>
      </c>
      <c r="B5109">
        <f>B5094</f>
        <v>73</v>
      </c>
      <c r="C5109" t="str">
        <v>Tul Bawah Tumpuan</v>
      </c>
      <c r="D5109">
        <f>VLOOKUP(D5094,'Detail Balok'!$C$10:$AU$110,22,FALSE)</f>
        <v>5</v>
      </c>
      <c r="E5109" t="str">
        <v>D</v>
      </c>
      <c r="F5109">
        <f>VLOOKUP(D5094,'Detail Balok'!$C$10:$AU$110,24,FALSE)</f>
        <v>22</v>
      </c>
      <c r="I5109" t="str">
        <v>(</v>
      </c>
      <c r="J5109">
        <f>+J5101</f>
        <v>1.50875</v>
      </c>
      <c r="K5109" t="str">
        <v>+</v>
      </c>
      <c r="L5109">
        <f>MAX(VLOOKUP(F5109,N$6:P$15,3,FALSE)/1000,2/3*D5099/1000)+F$16*F5109/1000</f>
        <v>0.264</v>
      </c>
      <c r="M5109" t="str">
        <v>=</v>
      </c>
      <c r="N5109">
        <f>J5109+L5109</f>
        <v>1.77275</v>
      </c>
      <c r="O5109" t="str">
        <v>+</v>
      </c>
      <c r="P5109">
        <f>D5109-D5110</f>
        <v>-5</v>
      </c>
      <c r="Q5109" t="str">
        <v>x</v>
      </c>
      <c r="R5109">
        <f>IF(P5109&gt;0,$F$18*F5109/1000,0)</f>
        <v>0</v>
      </c>
      <c r="S5109" t="str">
        <v>)</v>
      </c>
      <c r="T5109" t="str">
        <v>x</v>
      </c>
      <c r="U5109">
        <f>0.006165*F5109^2</f>
        <v>2.98386</v>
      </c>
      <c r="X5109" t="str">
        <v>x</v>
      </c>
      <c r="Y5109">
        <f>D5100</f>
        <v>1</v>
      </c>
      <c r="Z5109" t="str">
        <v>=</v>
      </c>
      <c r="AA5109">
        <f>IF(AA5112=0,(D5109*N5109+P5109*R5109)*U5109*Y5109,0)</f>
        <v>26.448189075</v>
      </c>
    </row>
    <row r="5110">
      <c r="A5110" t="str">
        <f>A5094</f>
        <v>Lantai 1</v>
      </c>
      <c r="B5110">
        <f>B5094</f>
        <v>73</v>
      </c>
      <c r="C5110" t="str">
        <v>Tul Bawah Lapangan</v>
      </c>
      <c r="D5110">
        <f>VLOOKUP(D5094,'Detail Balok'!$C$10:$AU$110,25,FALSE)</f>
        <v>10</v>
      </c>
      <c r="E5110" t="str">
        <v>D</v>
      </c>
      <c r="F5110">
        <f>VLOOKUP(D5094,'Detail Balok'!$C$10:$AU$110,27,FALSE)</f>
        <v>22</v>
      </c>
      <c r="I5110" t="str">
        <v>(</v>
      </c>
      <c r="J5110">
        <f>+J5102</f>
        <v>3.0175</v>
      </c>
      <c r="K5110" t="str">
        <v>+</v>
      </c>
      <c r="M5110" t="str">
        <v>=</v>
      </c>
      <c r="N5110">
        <f>J5110+L5110</f>
        <v>3.0175</v>
      </c>
      <c r="O5110" t="str">
        <v>+</v>
      </c>
      <c r="P5110">
        <f>MAX(D5110-D5109,D5110-D5111)</f>
        <v>5</v>
      </c>
      <c r="Q5110" t="str">
        <v>x</v>
      </c>
      <c r="R5110">
        <f>IF(P5110&gt;0,2*(1-2*$F$19-1/2)*D5097/1000,0)</f>
        <v>1.2069999999999999</v>
      </c>
      <c r="S5110" t="str">
        <v>)</v>
      </c>
      <c r="T5110" t="str">
        <v>x</v>
      </c>
      <c r="U5110">
        <f>0.006165*F5110^2</f>
        <v>2.98386</v>
      </c>
      <c r="X5110" t="str">
        <v>x</v>
      </c>
      <c r="Y5110">
        <f>D5100</f>
        <v>1</v>
      </c>
      <c r="Z5110" t="str">
        <v>=</v>
      </c>
      <c r="AA5110">
        <f>IF(AA5112=0,(D5110*N5110+P5110*R5110)*U5110*Y5110,0)</f>
        <v>108.0455706</v>
      </c>
    </row>
    <row r="5111">
      <c r="A5111" t="str">
        <f>A5094</f>
        <v>Lantai 1</v>
      </c>
      <c r="B5111">
        <f>B5094</f>
        <v>73</v>
      </c>
      <c r="C5111" t="str">
        <v>Tul Bawah Tumpuan</v>
      </c>
      <c r="D5111">
        <f>VLOOKUP(D5094,'Detail Balok'!$C$10:$AU$110,28,FALSE)</f>
        <v>5</v>
      </c>
      <c r="E5111" t="str">
        <v>D</v>
      </c>
      <c r="F5111">
        <f>VLOOKUP(D5094,'Detail Balok'!$C$10:$AU$110,30,FALSE)</f>
        <v>22</v>
      </c>
      <c r="I5111" t="str">
        <v>(</v>
      </c>
      <c r="J5111">
        <f>+J5103</f>
        <v>1.50875</v>
      </c>
      <c r="K5111" t="str">
        <v>+</v>
      </c>
      <c r="L5111">
        <f>MAX(VLOOKUP(F5111,N$6:P$15,3,FALSE)/1000,2/3*D5099/1000)+F$16*F5111/1000</f>
        <v>0.264</v>
      </c>
      <c r="M5111" t="str">
        <v>=</v>
      </c>
      <c r="N5111">
        <f>J5111+L5111</f>
        <v>1.77275</v>
      </c>
      <c r="O5111" t="str">
        <v>+</v>
      </c>
      <c r="P5111">
        <f>D5111-D5110</f>
        <v>-5</v>
      </c>
      <c r="Q5111" t="str">
        <v>x</v>
      </c>
      <c r="R5111">
        <f>IF(P5111&gt;0,$F$18*F5111/1000,0)</f>
        <v>0</v>
      </c>
      <c r="S5111" t="str">
        <v>)</v>
      </c>
      <c r="T5111" t="str">
        <v>x</v>
      </c>
      <c r="U5111">
        <f>0.006165*F5111^2</f>
        <v>2.98386</v>
      </c>
      <c r="X5111" t="str">
        <v>x</v>
      </c>
      <c r="Y5111">
        <f>D5100</f>
        <v>1</v>
      </c>
      <c r="Z5111" t="str">
        <v>=</v>
      </c>
      <c r="AA5111">
        <f>IF(AA5112=0,(D5111*N5111+P5111*R5111)*U5111*Y5111,0)</f>
        <v>26.448189075</v>
      </c>
    </row>
    <row r="5112">
      <c r="A5112" t="str">
        <f>A5094</f>
        <v>Lantai 1</v>
      </c>
      <c r="B5112">
        <f>B5094</f>
        <v>73</v>
      </c>
      <c r="D5112">
        <f>IF(AND(D5109=D5110,D5110=D5111,D5109=D5111),D5109,0)</f>
        <v>0</v>
      </c>
      <c r="E5112" t="str">
        <v>D</v>
      </c>
      <c r="F5112">
        <f>IF(AND(F5109=F5110,F5109=F5111,F5110=F5111),F5109,0)</f>
        <v>22</v>
      </c>
      <c r="L5112" t="str">
        <v>Total panjang per balok</v>
      </c>
      <c r="M5112" t="str">
        <v>=</v>
      </c>
      <c r="N5112">
        <f>IF(AND(D5109=D5110,D5109=D5111,D5110=D5111,F5109=F5110,F5109=F5111,F5110=F5111),SUM(N5109:N5111),0)</f>
        <v>0</v>
      </c>
      <c r="O5112" t="str">
        <v>+</v>
      </c>
      <c r="P5112">
        <f>IF(N5112&gt;12,ROUNDDOWN(N5112/12,0),0)</f>
        <v>0</v>
      </c>
      <c r="Q5112" t="str">
        <v>x</v>
      </c>
      <c r="R5112">
        <f>IF(P5112&gt;0,MAX(VLOOKUP(F5112,$D$6:$G$15,3,FALSE),600),0)/1000</f>
        <v>0</v>
      </c>
      <c r="T5112" t="str">
        <v>x</v>
      </c>
      <c r="U5112">
        <f>U5111</f>
        <v>2.98386</v>
      </c>
      <c r="V5112" t="str">
        <v>x</v>
      </c>
      <c r="W5112">
        <f>D5112</f>
        <v>0</v>
      </c>
      <c r="X5112" t="str">
        <v>x</v>
      </c>
      <c r="Y5112">
        <f>Y5111</f>
        <v>1</v>
      </c>
      <c r="Z5112" t="str">
        <v>=</v>
      </c>
      <c r="AA5112">
        <f>(N5112+P5112*R5112/1000)*U5112*W5112*Y5112</f>
        <v>0</v>
      </c>
    </row>
    <row r="5114">
      <c r="A5114" t="str">
        <f>A5094</f>
        <v>Lantai 1</v>
      </c>
      <c r="B5114">
        <f>B5094</f>
        <v>73</v>
      </c>
      <c r="C5114" t="str">
        <v>Sengkang Tumpuan</v>
      </c>
      <c r="D5114">
        <f>VLOOKUP(D5094,'Detail Balok'!$C$10:$AU$110,31,FALSE)</f>
        <v>3</v>
      </c>
      <c r="E5114" t="str">
        <v>D</v>
      </c>
      <c r="F5114">
        <f>VLOOKUP(D5094,'Detail Balok'!$C$10:$AU$110,33,FALSE)</f>
        <v>13</v>
      </c>
      <c r="G5114" t="str">
        <v>-</v>
      </c>
      <c r="H5114">
        <f>VLOOKUP(D5094,'Detail Balok'!$C$10:$AU$110,35,FALSE)</f>
        <v>75</v>
      </c>
      <c r="J5114">
        <f>(IF(D5114=0,(2*(D5095+G5095))-(F$5*8),IF(D5114=3,(2*(D5095+G5095))-(F$5*8)+(G5095-2*F$5),IF(D5114=4,(2*(D5095+G5095))-(F$5*8)+2*(G5095-2*F$5)))))/1000</f>
        <v>2.7</v>
      </c>
      <c r="K5114" t="str">
        <v>+</v>
      </c>
      <c r="L5114">
        <f>IF(D5114=0,2*MAX(6*F5114,75),(D5114-1)*2*MAX(6*F5114,75))/1000</f>
        <v>0.312</v>
      </c>
      <c r="M5114" t="str">
        <v>=</v>
      </c>
      <c r="N5114">
        <f>J5114+L5114</f>
        <v>3.012</v>
      </c>
      <c r="T5114" t="str">
        <v>x</v>
      </c>
      <c r="U5114">
        <f>0.006165*F5114^2</f>
        <v>1.041885</v>
      </c>
      <c r="V5114" t="str">
        <v>x</v>
      </c>
      <c r="W5114">
        <f>IF(D5097&gt;4*G5095,ROUND(MAX(D5097/4,2*G5095)/H5114,0)+1,ROUND(D5097/H5114,0)+1)</f>
        <v>21</v>
      </c>
      <c r="X5114" t="str">
        <v>x</v>
      </c>
      <c r="Y5114">
        <f>D5100</f>
        <v>1</v>
      </c>
      <c r="Z5114" t="str">
        <v>=</v>
      </c>
      <c r="AA5114">
        <f>N5114*U5114*W5114*Y5114</f>
        <v>65.90131002</v>
      </c>
    </row>
    <row r="5115">
      <c r="A5115" t="str">
        <f>A5094</f>
        <v>Lantai 1</v>
      </c>
      <c r="B5115">
        <f>B5094</f>
        <v>73</v>
      </c>
      <c r="C5115" t="str">
        <v>Sengkang Lapangan</v>
      </c>
      <c r="D5115">
        <f>VLOOKUP(D5094,'Detail Balok'!$C$10:$AU$110,36,FALSE)</f>
        <v>0</v>
      </c>
      <c r="E5115" t="str">
        <v>D</v>
      </c>
      <c r="F5115">
        <f>VLOOKUP(D5094,'Detail Balok'!$C$10:$AU$110,38,FALSE)</f>
        <v>13</v>
      </c>
      <c r="G5115" t="str">
        <v>-</v>
      </c>
      <c r="H5115">
        <f>VLOOKUP(D5094,'Detail Balok'!$C$10:$AU$110,40,FALSE)</f>
        <v>150</v>
      </c>
      <c r="J5115">
        <f>(IF(D5115=0,(2*(D5095+G5095))-(F$5*8),IF(D5115=3,(2*(D5095+G5095))-(F$5*8)+(G5095-2*F$5),IF(D5115=4,(2*(D5095+G5095))-(F$5*8)+2*(G5095-2*F$5)))))/1000</f>
        <v>2.08</v>
      </c>
      <c r="K5115" t="str">
        <v>+</v>
      </c>
      <c r="L5115">
        <f>IF(D5115=0,2*MAX(6*F5115,75),(D5115-1)*2*MAX(6*F5115,75))/1000</f>
        <v>0.156</v>
      </c>
      <c r="M5115" t="str">
        <v>=</v>
      </c>
      <c r="N5115">
        <f>J5115+L5115</f>
        <v>2.236</v>
      </c>
      <c r="T5115" t="str">
        <v>x</v>
      </c>
      <c r="U5115">
        <f>0.006165*F5115^2</f>
        <v>1.041885</v>
      </c>
      <c r="V5115" t="str">
        <v>x</v>
      </c>
      <c r="W5115">
        <f>IF(D5097-MAX(D5097/4,2*G5095)*2&gt;0,ROUND((D5097-MAX(D5097/4,2*G5095)*2)/H5115,0),0)</f>
        <v>20</v>
      </c>
      <c r="X5115" t="str">
        <v>x</v>
      </c>
      <c r="Y5115">
        <f>D5100</f>
        <v>1</v>
      </c>
      <c r="Z5115" t="str">
        <v>=</v>
      </c>
      <c r="AA5115">
        <f>N5115*U5115*W5115*Y5115</f>
        <v>46.5930972</v>
      </c>
    </row>
    <row r="5116">
      <c r="A5116" t="str">
        <f>A5094</f>
        <v>Lantai 1</v>
      </c>
      <c r="B5116">
        <f>B5094</f>
        <v>73</v>
      </c>
      <c r="C5116" t="str">
        <v>Sengkang Tumpuan</v>
      </c>
      <c r="D5116">
        <f>VLOOKUP(D5094,'Detail Balok'!$C$10:$AU$110,41,FALSE)</f>
        <v>3</v>
      </c>
      <c r="E5116" t="str">
        <v>D</v>
      </c>
      <c r="F5116">
        <f>VLOOKUP(D5094,'Detail Balok'!$C$10:$AU$110,43,FALSE)</f>
        <v>13</v>
      </c>
      <c r="G5116" t="str">
        <v>-</v>
      </c>
      <c r="H5116">
        <f>VLOOKUP(D5094,'Detail Balok'!$C$10:$AU$110,45,FALSE)</f>
        <v>75</v>
      </c>
      <c r="J5116">
        <f>(IF(D5116=0,(2*(D5095+G5095))-(F$5*8),IF(D5116=3,(2*(D5095+G5095))-(F$5*8)+(G5095-2*F$5),IF(D5116=4,(2*(D5095+G5095))-(F$5*8)+2*(G5095-2*F$5)))))/1000</f>
        <v>2.7</v>
      </c>
      <c r="K5116" t="str">
        <v>+</v>
      </c>
      <c r="L5116">
        <f>IF(D5116=0,2*MAX(6*F5116,75),(D5116-1)*2*MAX(6*F5116,75))/1000</f>
        <v>0.312</v>
      </c>
      <c r="M5116" t="str">
        <v>=</v>
      </c>
      <c r="N5116">
        <f>J5116+L5116</f>
        <v>3.012</v>
      </c>
      <c r="T5116" t="str">
        <v>x</v>
      </c>
      <c r="U5116">
        <f>0.006165*F5116^2</f>
        <v>1.041885</v>
      </c>
      <c r="V5116" t="str">
        <v>x</v>
      </c>
      <c r="W5116">
        <f>IF(D5097&gt;4*G5095,ROUND(MAX(D5097/4,2*G5095)/H5116,0)+1,0)</f>
        <v>21</v>
      </c>
      <c r="X5116" t="str">
        <v>x</v>
      </c>
      <c r="Y5116">
        <f>D5100</f>
        <v>1</v>
      </c>
      <c r="Z5116" t="str">
        <v>=</v>
      </c>
      <c r="AA5116">
        <f>N5116*U5116*W5116*Y5116</f>
        <v>65.90131002</v>
      </c>
    </row>
    <row r="5118">
      <c r="A5118" t="str">
        <f>A5094</f>
        <v>Lantai 1</v>
      </c>
      <c r="B5118">
        <f>B5094</f>
        <v>73</v>
      </c>
      <c r="C5118" t="str">
        <v>Kait Horizontal Tump.</v>
      </c>
      <c r="D5118">
        <f>VLOOKUP(D5094,'Detail Balok'!$C$10:$BJ$110,46,FALSE)</f>
        <v>0</v>
      </c>
      <c r="E5118" t="str">
        <v>D</v>
      </c>
      <c r="F5118">
        <f>VLOOKUP(D5094,'Detail Balok'!$C$10:$BJ$110,48,FALSE)</f>
        <v>0</v>
      </c>
      <c r="G5118" t="str">
        <v>-</v>
      </c>
      <c r="H5118">
        <f>VLOOKUP(D5094,'Detail Balok'!$C$10:$BJ$110,50,FALSE)</f>
        <v>100</v>
      </c>
      <c r="J5118">
        <f>(D5095-2*F$5)/1000</f>
        <v>0.42</v>
      </c>
      <c r="K5118" t="str">
        <v>+</v>
      </c>
      <c r="L5118">
        <f>IF(D5118=0,2*MAX(6*F5118,75),(D5118-1)*2*MAX(6*F5118,75))/1000</f>
        <v>0.15</v>
      </c>
      <c r="M5118" t="str">
        <v>=</v>
      </c>
      <c r="N5118">
        <f>J5118+L5118</f>
        <v>0.57</v>
      </c>
      <c r="T5118" t="str">
        <v>x</v>
      </c>
      <c r="U5118">
        <f>0.006165*F5118^2</f>
        <v>0</v>
      </c>
      <c r="V5118" t="str">
        <v>x</v>
      </c>
      <c r="W5118">
        <f>W5114</f>
        <v>21</v>
      </c>
      <c r="X5118" t="str">
        <v>x</v>
      </c>
      <c r="Y5118">
        <f>D5104</f>
        <v>5</v>
      </c>
      <c r="Z5118" t="str">
        <v>=</v>
      </c>
      <c r="AA5118">
        <f>N5118*U5118*W5118*Y5118</f>
        <v>0</v>
      </c>
    </row>
    <row r="5119">
      <c r="A5119" t="str">
        <f>A5094</f>
        <v>Lantai 1</v>
      </c>
      <c r="B5119">
        <f>B5094</f>
        <v>73</v>
      </c>
      <c r="C5119" t="str">
        <v>Kait Horizontal Lap.</v>
      </c>
      <c r="D5119">
        <f>VLOOKUP(D5094,'Detail Balok'!$C$10:$BJ$110,51,FALSE)</f>
        <v>0</v>
      </c>
      <c r="E5119" t="str">
        <v>D</v>
      </c>
      <c r="F5119">
        <f>VLOOKUP(D5094,'Detail Balok'!$C$10:$BJ$110,53,FALSE)</f>
        <v>0</v>
      </c>
      <c r="G5119" t="str">
        <v>-</v>
      </c>
      <c r="H5119">
        <f>VLOOKUP(D5094,'Detail Balok'!$C$10:$BJ$110,55,FALSE)</f>
        <v>100</v>
      </c>
      <c r="J5119">
        <f>(D5095-2*F$5)/1000</f>
        <v>0.42</v>
      </c>
      <c r="K5119" t="str">
        <v>+</v>
      </c>
      <c r="L5119">
        <f>IF(D5119=0,2*MAX(6*F5119,75),(D5119-1)*2*MAX(6*F5119,75))/1000</f>
        <v>0.15</v>
      </c>
      <c r="M5119" t="str">
        <v>=</v>
      </c>
      <c r="N5119">
        <f>J5119+L5119</f>
        <v>0.57</v>
      </c>
      <c r="T5119" t="str">
        <v>x</v>
      </c>
      <c r="U5119">
        <f>0.006165*F5119^2</f>
        <v>0</v>
      </c>
      <c r="V5119" t="str">
        <v>x</v>
      </c>
      <c r="W5119">
        <f>W5115</f>
        <v>20</v>
      </c>
      <c r="X5119" t="str">
        <v>x</v>
      </c>
      <c r="Y5119">
        <f>D5104</f>
        <v>5</v>
      </c>
      <c r="Z5119" t="str">
        <v>=</v>
      </c>
      <c r="AA5119">
        <f>N5119*U5119*W5119*Y5119</f>
        <v>0</v>
      </c>
    </row>
    <row r="5120">
      <c r="A5120" t="str">
        <f>A5094</f>
        <v>Lantai 1</v>
      </c>
      <c r="B5120">
        <f>B5094</f>
        <v>73</v>
      </c>
      <c r="C5120" t="str">
        <v>Kait Horizontal Tump.</v>
      </c>
      <c r="D5120">
        <f>VLOOKUP(D5094,'Detail Balok'!$C$10:$BJ$110,56,FALSE)</f>
        <v>0</v>
      </c>
      <c r="E5120" t="str">
        <v>D</v>
      </c>
      <c r="F5120">
        <f>VLOOKUP(D5094,'Detail Balok'!$C$10:$BJ$110,58,FALSE)</f>
        <v>0</v>
      </c>
      <c r="G5120" t="str">
        <v>-</v>
      </c>
      <c r="H5120">
        <f>VLOOKUP(D5094,'Detail Balok'!$C$10:$BJ$110,60,FALSE)</f>
        <v>100</v>
      </c>
      <c r="J5120">
        <f>(D5095-2*F$5)/1000</f>
        <v>0.42</v>
      </c>
      <c r="K5120" t="str">
        <v>+</v>
      </c>
      <c r="L5120">
        <f>IF(D5120=0,2*MAX(6*F5120,75),(D5120-1)*2*MAX(6*F5120,75))/1000</f>
        <v>0.15</v>
      </c>
      <c r="M5120" t="str">
        <v>=</v>
      </c>
      <c r="N5120">
        <f>J5120+L5120</f>
        <v>0.57</v>
      </c>
      <c r="T5120" t="str">
        <v>x</v>
      </c>
      <c r="U5120">
        <f>0.006165*F5120^2</f>
        <v>0</v>
      </c>
      <c r="V5120" t="str">
        <v>x</v>
      </c>
      <c r="W5120">
        <f>W5116</f>
        <v>21</v>
      </c>
      <c r="X5120" t="str">
        <v>x</v>
      </c>
      <c r="Y5120">
        <f>D5104</f>
        <v>5</v>
      </c>
      <c r="Z5120" t="str">
        <v>=</v>
      </c>
      <c r="AA5120">
        <f>N5120*U5120*W5120*Y5120</f>
        <v>0</v>
      </c>
    </row>
    <row r="5124">
      <c r="A5124" t="str">
        <f>A5094</f>
        <v>Lantai 1</v>
      </c>
      <c r="B5124">
        <f>B5094+1</f>
        <v>74</v>
      </c>
      <c r="C5124" t="str">
        <f>CONCATENATE(A5124," no. ",B5124)</f>
        <v>Lantai 1 no. 74</v>
      </c>
      <c r="D5124" t="str">
        <f>VLOOKUP(C5124,'Data Panjang Balok'!$C$9:$N$424,2,FALSE)</f>
        <v>B245-2</v>
      </c>
    </row>
    <row r="5125">
      <c r="C5125" t="str">
        <v>Dimensi</v>
      </c>
      <c r="D5125">
        <f>VLOOKUP(D5124,'Detail Balok'!$C$10:$AU$110,2,FALSE)</f>
        <v>200</v>
      </c>
      <c r="F5125" t="str">
        <v>x</v>
      </c>
      <c r="G5125">
        <f>VLOOKUP(D5124,'Detail Balok'!$C$10:$AU$110,3,FALSE)</f>
        <v>450</v>
      </c>
    </row>
    <row r="5126">
      <c r="C5126" t="str">
        <v>Panjang as ke as</v>
      </c>
      <c r="D5126">
        <f>VLOOKUP(C5124,'Data Panjang Balok'!$C$9:$N$424,4,FALSE)</f>
        <v>5365</v>
      </c>
    </row>
    <row r="5127">
      <c r="C5127" t="str">
        <v>Panjang netto</v>
      </c>
      <c r="D5127">
        <f>VLOOKUP(C5124,'Data Panjang Balok'!$C$9:$N$424,7,FALSE)</f>
        <v>5365</v>
      </c>
    </row>
    <row r="5128">
      <c r="C5128" t="str">
        <v>Kolom / balok kiri</v>
      </c>
      <c r="D5128">
        <f>VLOOKUP(C5124,'Data Panjang Balok'!$C$9:$N$424,9,FALSE)</f>
        <v>0</v>
      </c>
    </row>
    <row r="5129">
      <c r="C5129" t="str">
        <v>Kolom / balok kanan</v>
      </c>
      <c r="D5129">
        <f>VLOOKUP(C5124,'Data Panjang Balok'!$C$9:$N$424,10,FALSE)</f>
        <v>0</v>
      </c>
    </row>
    <row r="5130">
      <c r="C5130" t="str">
        <v>Jumlah</v>
      </c>
      <c r="D5130">
        <f>VLOOKUP(C5124,'Data Panjang Balok'!$C$9:$N$424,3,FALSE)</f>
        <v>1</v>
      </c>
    </row>
    <row r="5131">
      <c r="A5131" t="str">
        <f>A5124</f>
        <v>Lantai 1</v>
      </c>
      <c r="B5131">
        <f>B5124</f>
        <v>74</v>
      </c>
      <c r="C5131" t="str">
        <v>Tul Atas Tumpuan</v>
      </c>
      <c r="D5131">
        <f>VLOOKUP(D5124,'Detail Balok'!$C$10:$AU$110,4,FALSE)</f>
        <v>3</v>
      </c>
      <c r="E5131" t="str">
        <v>D</v>
      </c>
      <c r="F5131">
        <f>VLOOKUP(D5124,'Detail Balok'!$C$10:$AU$110,6,FALSE)</f>
        <v>13</v>
      </c>
      <c r="I5131" t="str">
        <v>(</v>
      </c>
      <c r="J5131">
        <f>+D5126/4/1000</f>
        <v>1.34125</v>
      </c>
      <c r="K5131" t="str">
        <v>+</v>
      </c>
      <c r="L5131">
        <f>MAX(VLOOKUP(F5131,N$6:P$15,3,FALSE)/1000,2/3*D5128/1000)+F$16*F5131/1000</f>
        <v>0.156</v>
      </c>
      <c r="M5131" t="str">
        <v>=</v>
      </c>
      <c r="N5131">
        <f>J5131+L5131</f>
        <v>1.49725</v>
      </c>
      <c r="O5131" t="str">
        <v>+</v>
      </c>
      <c r="P5131">
        <f>D5131-D5132</f>
        <v>0</v>
      </c>
      <c r="Q5131" t="str">
        <v>x</v>
      </c>
      <c r="R5131">
        <f>IF(P5131&gt;0,$F$18*F5131/1000,0)</f>
        <v>0</v>
      </c>
      <c r="S5131" t="str">
        <v>)</v>
      </c>
      <c r="T5131" t="str">
        <v>x</v>
      </c>
      <c r="U5131">
        <f>0.006165*F5131^2</f>
        <v>1.041885</v>
      </c>
      <c r="X5131" t="str">
        <v>x</v>
      </c>
      <c r="Y5131">
        <f>D5130</f>
        <v>1</v>
      </c>
      <c r="Z5131" t="str">
        <v>=</v>
      </c>
      <c r="AA5131">
        <f>IF(AA5134=0,(D5131*N5131+P5131*R5131)*U5131*Y5131,0)</f>
        <v>0</v>
      </c>
    </row>
    <row r="5132">
      <c r="A5132" t="str">
        <f>A5124</f>
        <v>Lantai 1</v>
      </c>
      <c r="B5132">
        <f>B5124</f>
        <v>74</v>
      </c>
      <c r="C5132" t="str">
        <v>Tul Atas Lapangan</v>
      </c>
      <c r="D5132">
        <f>VLOOKUP(D5124,'Detail Balok'!$C$10:$AU$110,7,FALSE)</f>
        <v>3</v>
      </c>
      <c r="E5132" t="str">
        <v>D</v>
      </c>
      <c r="F5132">
        <f>VLOOKUP(D5124,'Detail Balok'!$C$10:$AU$110,9,FALSE)</f>
        <v>13</v>
      </c>
      <c r="I5132" t="str">
        <v>(</v>
      </c>
      <c r="J5132">
        <f>+D5126/2/1000</f>
        <v>2.6825</v>
      </c>
      <c r="K5132" t="str">
        <v>+</v>
      </c>
      <c r="M5132" t="str">
        <v>=</v>
      </c>
      <c r="N5132">
        <f>J5132+L5132</f>
        <v>2.6825</v>
      </c>
      <c r="O5132" t="str">
        <v>+</v>
      </c>
      <c r="P5132">
        <f>MAX(D5132-D5131,D5132-D5133)</f>
        <v>0</v>
      </c>
      <c r="Q5132" t="str">
        <v>x</v>
      </c>
      <c r="R5132">
        <f>IF(P5132&gt;0,2*(1-2*$F$19-1/2)*D5127/1000,0)</f>
        <v>0</v>
      </c>
      <c r="S5132" t="str">
        <v>)</v>
      </c>
      <c r="T5132" t="str">
        <v>x</v>
      </c>
      <c r="U5132">
        <f>0.006165*F5132^2</f>
        <v>1.041885</v>
      </c>
      <c r="X5132" t="str">
        <v>x</v>
      </c>
      <c r="Y5132">
        <f>D5130</f>
        <v>1</v>
      </c>
      <c r="Z5132" t="str">
        <v>=</v>
      </c>
      <c r="AA5132">
        <f>IF(AA5134=0,(D5132*N5132+P5132*R5132)*U5132*Y5132,0)</f>
        <v>0</v>
      </c>
    </row>
    <row r="5133">
      <c r="A5133" t="str">
        <f>A5124</f>
        <v>Lantai 1</v>
      </c>
      <c r="B5133">
        <f>B5124</f>
        <v>74</v>
      </c>
      <c r="C5133" t="str">
        <v>Tul Atas Tumpuan</v>
      </c>
      <c r="D5133">
        <f>VLOOKUP(D5124,'Detail Balok'!$C$10:$AU$110,10,FALSE)</f>
        <v>3</v>
      </c>
      <c r="E5133" t="str">
        <v>D</v>
      </c>
      <c r="F5133">
        <f>VLOOKUP(D5124,'Detail Balok'!$C$10:$AU$110,12,FALSE)</f>
        <v>13</v>
      </c>
      <c r="I5133" t="str">
        <v>(</v>
      </c>
      <c r="J5133">
        <f>+D5126/4/1000</f>
        <v>1.34125</v>
      </c>
      <c r="K5133" t="str">
        <v>+</v>
      </c>
      <c r="L5133">
        <f>MAX(VLOOKUP(F5133,N$6:P$15,3,FALSE)/1000,2/3*D5128/1000)+F$16*F5133/1000</f>
        <v>0.156</v>
      </c>
      <c r="M5133" t="str">
        <v>=</v>
      </c>
      <c r="N5133">
        <f>J5133+L5133</f>
        <v>1.49725</v>
      </c>
      <c r="O5133" t="str">
        <v>+</v>
      </c>
      <c r="P5133">
        <f>D5133-D5132</f>
        <v>0</v>
      </c>
      <c r="Q5133" t="str">
        <v>x</v>
      </c>
      <c r="R5133">
        <f>IF(P5133&gt;0,$F$18*F5133/1000,0)</f>
        <v>0</v>
      </c>
      <c r="S5133" t="str">
        <v>)</v>
      </c>
      <c r="T5133" t="str">
        <v>x</v>
      </c>
      <c r="U5133">
        <f>0.006165*F5133^2</f>
        <v>1.041885</v>
      </c>
      <c r="X5133" t="str">
        <v>x</v>
      </c>
      <c r="Y5133">
        <f>D5130</f>
        <v>1</v>
      </c>
      <c r="Z5133" t="str">
        <v>=</v>
      </c>
      <c r="AA5133">
        <f>IF(AA5134=0,(D5133*N5133+P5133*R5133)*U5133*Y5133,0)</f>
        <v>0</v>
      </c>
    </row>
    <row r="5134">
      <c r="A5134" t="str">
        <f>A5124</f>
        <v>Lantai 1</v>
      </c>
      <c r="B5134">
        <f>B5124</f>
        <v>74</v>
      </c>
      <c r="D5134">
        <f>IF(AND(D5131=D5132,D5132=D5133,D5131=D5133),D5131,0)</f>
        <v>3</v>
      </c>
      <c r="E5134" t="str">
        <v>D</v>
      </c>
      <c r="F5134">
        <f>IF(AND(F5131=F5132,F5131=F5133,F5132=F5133),F5131,0)</f>
        <v>13</v>
      </c>
      <c r="L5134" t="str">
        <v>Total panjang per balok</v>
      </c>
      <c r="M5134" t="str">
        <v>=</v>
      </c>
      <c r="N5134">
        <f>IF(AND(D5131=D5132,D5131=D5133,D5132=D5133,F5131=F5132,F5131=F5133,F5132=F5133),SUM(N5131:N5133),0)</f>
        <v>5.6770000000000005</v>
      </c>
      <c r="O5134" t="str">
        <v>+</v>
      </c>
      <c r="P5134">
        <f>IF(N5134&gt;12,ROUNDDOWN(N5134/12,0),0)</f>
        <v>0</v>
      </c>
      <c r="Q5134" t="str">
        <v>x</v>
      </c>
      <c r="R5134">
        <f>IF(P5134&gt;0,MAX(VLOOKUP(F5134,$D$6:$G$15,3,FALSE),600),0)/1000</f>
        <v>0</v>
      </c>
      <c r="T5134" t="str">
        <v>x</v>
      </c>
      <c r="U5134">
        <f>U5133</f>
        <v>1.041885</v>
      </c>
      <c r="V5134" t="str">
        <v>x</v>
      </c>
      <c r="W5134">
        <f>D5134</f>
        <v>3</v>
      </c>
      <c r="X5134" t="str">
        <v>x</v>
      </c>
      <c r="Y5134">
        <f>Y5133</f>
        <v>1</v>
      </c>
      <c r="Z5134" t="str">
        <v>=</v>
      </c>
      <c r="AA5134">
        <f>(N5134+P5134*R5134/1000)*U5134*W5134*Y5134</f>
        <v>17.744343435</v>
      </c>
    </row>
    <row r="5136">
      <c r="A5136" t="str">
        <f>A5124</f>
        <v>Lantai 1</v>
      </c>
      <c r="B5136">
        <f>B5124</f>
        <v>74</v>
      </c>
      <c r="C5136" t="str">
        <v>Tul Peminggang</v>
      </c>
      <c r="D5136">
        <f>VLOOKUP(D5124,'Detail Balok'!$C$10:$AU$110,13,FALSE)</f>
        <v>2</v>
      </c>
      <c r="E5136" t="str">
        <v>D</v>
      </c>
      <c r="F5136">
        <f>VLOOKUP(D5124,'Detail Balok'!$C$10:$AU$110,15,FALSE)</f>
        <v>8</v>
      </c>
      <c r="J5136">
        <f>+D5126/1000</f>
        <v>5.365</v>
      </c>
      <c r="K5136" t="str">
        <v>+</v>
      </c>
      <c r="L5136">
        <f>2*$F$16*F5136/1000</f>
        <v>0.192</v>
      </c>
      <c r="M5136" t="str">
        <v>=</v>
      </c>
      <c r="N5136">
        <f>J5136+L5136</f>
        <v>5.557</v>
      </c>
      <c r="O5136" t="str">
        <v>+</v>
      </c>
      <c r="P5136">
        <f>IF(N5136&gt;12,ROUNDDOWN(N5136/12,0),0)</f>
        <v>0</v>
      </c>
      <c r="Q5136" t="str">
        <v>x</v>
      </c>
      <c r="R5136">
        <f>IF(P5136&gt;0,MAX(VLOOKUP(F5136,$D$6:$G$15,3,FALSE),600),0)/1000</f>
        <v>0</v>
      </c>
      <c r="T5136" t="str">
        <v>x</v>
      </c>
      <c r="U5136">
        <f>0.006165*F5136^2</f>
        <v>0.39456</v>
      </c>
      <c r="V5136" t="str">
        <v>x</v>
      </c>
      <c r="W5136">
        <f>+D5136</f>
        <v>2</v>
      </c>
      <c r="X5136" t="str">
        <v>x</v>
      </c>
      <c r="Y5136">
        <f>D5130</f>
        <v>1</v>
      </c>
      <c r="Z5136" t="str">
        <v>=</v>
      </c>
      <c r="AA5136">
        <f>(N5136+P5136*R5136/1000)*U5136*W5136*Y5136</f>
        <v>4.385139840000001</v>
      </c>
    </row>
    <row r="5139">
      <c r="A5139" t="str">
        <f>A5124</f>
        <v>Lantai 1</v>
      </c>
      <c r="B5139">
        <f>B5124</f>
        <v>74</v>
      </c>
      <c r="C5139" t="str">
        <v>Tul Bawah Tumpuan</v>
      </c>
      <c r="D5139">
        <f>VLOOKUP(D5124,'Detail Balok'!$C$10:$AU$110,22,FALSE)</f>
        <v>3</v>
      </c>
      <c r="E5139" t="str">
        <v>D</v>
      </c>
      <c r="F5139">
        <f>VLOOKUP(D5124,'Detail Balok'!$C$10:$AU$110,24,FALSE)</f>
        <v>13</v>
      </c>
      <c r="I5139" t="str">
        <v>(</v>
      </c>
      <c r="J5139">
        <f>+J5131</f>
        <v>1.34125</v>
      </c>
      <c r="K5139" t="str">
        <v>+</v>
      </c>
      <c r="L5139">
        <f>MAX(VLOOKUP(F5139,N$6:P$15,3,FALSE)/1000,2/3*D5129/1000)+F$16*F5139/1000</f>
        <v>0.156</v>
      </c>
      <c r="M5139" t="str">
        <v>=</v>
      </c>
      <c r="N5139">
        <f>J5139+L5139</f>
        <v>1.49725</v>
      </c>
      <c r="O5139" t="str">
        <v>+</v>
      </c>
      <c r="P5139">
        <f>D5139-D5140</f>
        <v>0</v>
      </c>
      <c r="Q5139" t="str">
        <v>x</v>
      </c>
      <c r="R5139">
        <f>IF(P5139&gt;0,$F$18*F5139/1000,0)</f>
        <v>0</v>
      </c>
      <c r="S5139" t="str">
        <v>)</v>
      </c>
      <c r="T5139" t="str">
        <v>x</v>
      </c>
      <c r="U5139">
        <f>0.006165*F5139^2</f>
        <v>1.041885</v>
      </c>
      <c r="X5139" t="str">
        <v>x</v>
      </c>
      <c r="Y5139">
        <f>D5130</f>
        <v>1</v>
      </c>
      <c r="Z5139" t="str">
        <v>=</v>
      </c>
      <c r="AA5139">
        <f>IF(AA5142=0,(D5139*N5139+P5139*R5139)*U5139*Y5139,0)</f>
        <v>0</v>
      </c>
    </row>
    <row r="5140">
      <c r="A5140" t="str">
        <f>A5124</f>
        <v>Lantai 1</v>
      </c>
      <c r="B5140">
        <f>B5124</f>
        <v>74</v>
      </c>
      <c r="C5140" t="str">
        <v>Tul Bawah Lapangan</v>
      </c>
      <c r="D5140">
        <f>VLOOKUP(D5124,'Detail Balok'!$C$10:$AU$110,25,FALSE)</f>
        <v>3</v>
      </c>
      <c r="E5140" t="str">
        <v>D</v>
      </c>
      <c r="F5140">
        <f>VLOOKUP(D5124,'Detail Balok'!$C$10:$AU$110,27,FALSE)</f>
        <v>13</v>
      </c>
      <c r="I5140" t="str">
        <v>(</v>
      </c>
      <c r="J5140">
        <f>+J5132</f>
        <v>2.6825</v>
      </c>
      <c r="K5140" t="str">
        <v>+</v>
      </c>
      <c r="M5140" t="str">
        <v>=</v>
      </c>
      <c r="N5140">
        <f>J5140+L5140</f>
        <v>2.6825</v>
      </c>
      <c r="O5140" t="str">
        <v>+</v>
      </c>
      <c r="P5140">
        <f>MAX(D5140-D5139,D5140-D5141)</f>
        <v>0</v>
      </c>
      <c r="Q5140" t="str">
        <v>x</v>
      </c>
      <c r="R5140">
        <f>IF(P5140&gt;0,2*(1-2*$F$19-1/2)*D5127/1000,0)</f>
        <v>0</v>
      </c>
      <c r="S5140" t="str">
        <v>)</v>
      </c>
      <c r="T5140" t="str">
        <v>x</v>
      </c>
      <c r="U5140">
        <f>0.006165*F5140^2</f>
        <v>1.041885</v>
      </c>
      <c r="X5140" t="str">
        <v>x</v>
      </c>
      <c r="Y5140">
        <f>D5130</f>
        <v>1</v>
      </c>
      <c r="Z5140" t="str">
        <v>=</v>
      </c>
      <c r="AA5140">
        <f>IF(AA5142=0,(D5140*N5140+P5140*R5140)*U5140*Y5140,0)</f>
        <v>0</v>
      </c>
    </row>
    <row r="5141">
      <c r="A5141" t="str">
        <f>A5124</f>
        <v>Lantai 1</v>
      </c>
      <c r="B5141">
        <f>B5124</f>
        <v>74</v>
      </c>
      <c r="C5141" t="str">
        <v>Tul Bawah Tumpuan</v>
      </c>
      <c r="D5141">
        <f>VLOOKUP(D5124,'Detail Balok'!$C$10:$AU$110,28,FALSE)</f>
        <v>3</v>
      </c>
      <c r="E5141" t="str">
        <v>D</v>
      </c>
      <c r="F5141">
        <f>VLOOKUP(D5124,'Detail Balok'!$C$10:$AU$110,30,FALSE)</f>
        <v>13</v>
      </c>
      <c r="I5141" t="str">
        <v>(</v>
      </c>
      <c r="J5141">
        <f>+J5133</f>
        <v>1.34125</v>
      </c>
      <c r="K5141" t="str">
        <v>+</v>
      </c>
      <c r="L5141">
        <f>MAX(VLOOKUP(F5141,N$6:P$15,3,FALSE)/1000,2/3*D5129/1000)+F$16*F5141/1000</f>
        <v>0.156</v>
      </c>
      <c r="M5141" t="str">
        <v>=</v>
      </c>
      <c r="N5141">
        <f>J5141+L5141</f>
        <v>1.49725</v>
      </c>
      <c r="O5141" t="str">
        <v>+</v>
      </c>
      <c r="P5141">
        <f>D5141-D5140</f>
        <v>0</v>
      </c>
      <c r="Q5141" t="str">
        <v>x</v>
      </c>
      <c r="R5141">
        <f>IF(P5141&gt;0,$F$18*F5141/1000,0)</f>
        <v>0</v>
      </c>
      <c r="S5141" t="str">
        <v>)</v>
      </c>
      <c r="T5141" t="str">
        <v>x</v>
      </c>
      <c r="U5141">
        <f>0.006165*F5141^2</f>
        <v>1.041885</v>
      </c>
      <c r="X5141" t="str">
        <v>x</v>
      </c>
      <c r="Y5141">
        <f>D5130</f>
        <v>1</v>
      </c>
      <c r="Z5141" t="str">
        <v>=</v>
      </c>
      <c r="AA5141">
        <f>IF(AA5142=0,(D5141*N5141+P5141*R5141)*U5141*Y5141,0)</f>
        <v>0</v>
      </c>
    </row>
    <row r="5142">
      <c r="A5142" t="str">
        <f>A5124</f>
        <v>Lantai 1</v>
      </c>
      <c r="B5142">
        <f>B5124</f>
        <v>74</v>
      </c>
      <c r="D5142">
        <f>IF(AND(D5139=D5140,D5140=D5141,D5139=D5141),D5139,0)</f>
        <v>3</v>
      </c>
      <c r="E5142" t="str">
        <v>D</v>
      </c>
      <c r="F5142">
        <f>IF(AND(F5139=F5140,F5139=F5141,F5140=F5141),F5139,0)</f>
        <v>13</v>
      </c>
      <c r="L5142" t="str">
        <v>Total panjang per balok</v>
      </c>
      <c r="M5142" t="str">
        <v>=</v>
      </c>
      <c r="N5142">
        <f>IF(AND(D5139=D5140,D5139=D5141,D5140=D5141,F5139=F5140,F5139=F5141,F5140=F5141),SUM(N5139:N5141),0)</f>
        <v>5.6770000000000005</v>
      </c>
      <c r="O5142" t="str">
        <v>+</v>
      </c>
      <c r="P5142">
        <f>IF(N5142&gt;12,ROUNDDOWN(N5142/12,0),0)</f>
        <v>0</v>
      </c>
      <c r="Q5142" t="str">
        <v>x</v>
      </c>
      <c r="R5142">
        <f>IF(P5142&gt;0,MAX(VLOOKUP(F5142,$D$6:$G$15,3,FALSE),600),0)/1000</f>
        <v>0</v>
      </c>
      <c r="T5142" t="str">
        <v>x</v>
      </c>
      <c r="U5142">
        <f>U5141</f>
        <v>1.041885</v>
      </c>
      <c r="V5142" t="str">
        <v>x</v>
      </c>
      <c r="W5142">
        <f>D5142</f>
        <v>3</v>
      </c>
      <c r="X5142" t="str">
        <v>x</v>
      </c>
      <c r="Y5142">
        <f>Y5141</f>
        <v>1</v>
      </c>
      <c r="Z5142" t="str">
        <v>=</v>
      </c>
      <c r="AA5142">
        <f>(N5142+P5142*R5142/1000)*U5142*W5142*Y5142</f>
        <v>17.744343435</v>
      </c>
    </row>
    <row r="5144">
      <c r="A5144" t="str">
        <f>A5124</f>
        <v>Lantai 1</v>
      </c>
      <c r="B5144">
        <f>B5124</f>
        <v>74</v>
      </c>
      <c r="C5144" t="str">
        <v>Sengkang Tumpuan</v>
      </c>
      <c r="D5144">
        <f>VLOOKUP(D5124,'Detail Balok'!$C$10:$AU$110,31,FALSE)</f>
        <v>0</v>
      </c>
      <c r="E5144" t="str">
        <v>D</v>
      </c>
      <c r="F5144">
        <f>VLOOKUP(D5124,'Detail Balok'!$C$10:$AU$110,33,FALSE)</f>
        <v>8</v>
      </c>
      <c r="G5144" t="str">
        <v>-</v>
      </c>
      <c r="H5144">
        <f>VLOOKUP(D5124,'Detail Balok'!$C$10:$AU$110,35,FALSE)</f>
        <v>100</v>
      </c>
      <c r="J5144">
        <f>(IF(D5144=0,(2*(D5125+G5125))-(F$5*8),IF(D5144=3,(2*(D5125+G5125))-(F$5*8)+(G5125-2*F$5),IF(D5144=4,(2*(D5125+G5125))-(F$5*8)+2*(G5125-2*F$5)))))/1000</f>
        <v>0.98</v>
      </c>
      <c r="K5144" t="str">
        <v>+</v>
      </c>
      <c r="L5144">
        <f>IF(D5144=0,2*MAX(6*F5144,75),(D5144-1)*2*MAX(6*F5144,75))/1000</f>
        <v>0.15</v>
      </c>
      <c r="M5144" t="str">
        <v>=</v>
      </c>
      <c r="N5144">
        <f>J5144+L5144</f>
        <v>1.13</v>
      </c>
      <c r="T5144" t="str">
        <v>x</v>
      </c>
      <c r="U5144">
        <f>0.006165*F5144^2</f>
        <v>0.39456</v>
      </c>
      <c r="V5144" t="str">
        <v>x</v>
      </c>
      <c r="W5144">
        <f>IF(D5127&gt;4*G5125,ROUND(MAX(D5127/4,2*G5125)/H5144,0)+1,ROUND(D5127/H5144,0)+1)</f>
        <v>14</v>
      </c>
      <c r="X5144" t="str">
        <v>x</v>
      </c>
      <c r="Y5144">
        <f>D5130</f>
        <v>1</v>
      </c>
      <c r="Z5144" t="str">
        <v>=</v>
      </c>
      <c r="AA5144">
        <f>N5144*U5144*W5144*Y5144</f>
        <v>6.2419392</v>
      </c>
    </row>
    <row r="5145">
      <c r="A5145" t="str">
        <f>A5124</f>
        <v>Lantai 1</v>
      </c>
      <c r="B5145">
        <f>B5124</f>
        <v>74</v>
      </c>
      <c r="C5145" t="str">
        <v>Sengkang Lapangan</v>
      </c>
      <c r="D5145">
        <f>VLOOKUP(D5124,'Detail Balok'!$C$10:$AU$110,36,FALSE)</f>
        <v>0</v>
      </c>
      <c r="E5145" t="str">
        <v>D</v>
      </c>
      <c r="F5145">
        <f>VLOOKUP(D5124,'Detail Balok'!$C$10:$AU$110,38,FALSE)</f>
        <v>8</v>
      </c>
      <c r="G5145" t="str">
        <v>-</v>
      </c>
      <c r="H5145">
        <f>VLOOKUP(D5124,'Detail Balok'!$C$10:$AU$110,40,FALSE)</f>
        <v>200</v>
      </c>
      <c r="J5145">
        <f>(IF(D5145=0,(2*(D5125+G5125))-(F$5*8),IF(D5145=3,(2*(D5125+G5125))-(F$5*8)+(G5125-2*F$5),IF(D5145=4,(2*(D5125+G5125))-(F$5*8)+2*(G5125-2*F$5)))))/1000</f>
        <v>0.98</v>
      </c>
      <c r="K5145" t="str">
        <v>+</v>
      </c>
      <c r="L5145">
        <f>IF(D5145=0,2*MAX(6*F5145,75),(D5145-1)*2*MAX(6*F5145,75))/1000</f>
        <v>0.15</v>
      </c>
      <c r="M5145" t="str">
        <v>=</v>
      </c>
      <c r="N5145">
        <f>J5145+L5145</f>
        <v>1.13</v>
      </c>
      <c r="T5145" t="str">
        <v>x</v>
      </c>
      <c r="U5145">
        <f>0.006165*F5145^2</f>
        <v>0.39456</v>
      </c>
      <c r="V5145" t="str">
        <v>x</v>
      </c>
      <c r="W5145">
        <f>IF(D5127-MAX(D5127/4,2*G5125)*2&gt;0,ROUND((D5127-MAX(D5127/4,2*G5125)*2)/H5145,0),0)</f>
        <v>13</v>
      </c>
      <c r="X5145" t="str">
        <v>x</v>
      </c>
      <c r="Y5145">
        <f>D5130</f>
        <v>1</v>
      </c>
      <c r="Z5145" t="str">
        <v>=</v>
      </c>
      <c r="AA5145">
        <f>N5145*U5145*W5145*Y5145</f>
        <v>5.7960864</v>
      </c>
    </row>
    <row r="5146">
      <c r="A5146" t="str">
        <f>A5124</f>
        <v>Lantai 1</v>
      </c>
      <c r="B5146">
        <f>B5124</f>
        <v>74</v>
      </c>
      <c r="C5146" t="str">
        <v>Sengkang Tumpuan</v>
      </c>
      <c r="D5146">
        <f>VLOOKUP(D5124,'Detail Balok'!$C$10:$AU$110,41,FALSE)</f>
        <v>0</v>
      </c>
      <c r="E5146" t="str">
        <v>D</v>
      </c>
      <c r="F5146">
        <f>VLOOKUP(D5124,'Detail Balok'!$C$10:$AU$110,43,FALSE)</f>
        <v>8</v>
      </c>
      <c r="G5146" t="str">
        <v>-</v>
      </c>
      <c r="H5146">
        <f>VLOOKUP(D5124,'Detail Balok'!$C$10:$AU$110,45,FALSE)</f>
        <v>100</v>
      </c>
      <c r="J5146">
        <f>(IF(D5146=0,(2*(D5125+G5125))-(F$5*8),IF(D5146=3,(2*(D5125+G5125))-(F$5*8)+(G5125-2*F$5),IF(D5146=4,(2*(D5125+G5125))-(F$5*8)+2*(G5125-2*F$5)))))/1000</f>
        <v>0.98</v>
      </c>
      <c r="K5146" t="str">
        <v>+</v>
      </c>
      <c r="L5146">
        <f>IF(D5146=0,2*MAX(6*F5146,75),(D5146-1)*2*MAX(6*F5146,75))/1000</f>
        <v>0.15</v>
      </c>
      <c r="M5146" t="str">
        <v>=</v>
      </c>
      <c r="N5146">
        <f>J5146+L5146</f>
        <v>1.13</v>
      </c>
      <c r="T5146" t="str">
        <v>x</v>
      </c>
      <c r="U5146">
        <f>0.006165*F5146^2</f>
        <v>0.39456</v>
      </c>
      <c r="V5146" t="str">
        <v>x</v>
      </c>
      <c r="W5146">
        <f>IF(D5127&gt;4*G5125,ROUND(MAX(D5127/4,2*G5125)/H5146,0)+1,0)</f>
        <v>14</v>
      </c>
      <c r="X5146" t="str">
        <v>x</v>
      </c>
      <c r="Y5146">
        <f>D5130</f>
        <v>1</v>
      </c>
      <c r="Z5146" t="str">
        <v>=</v>
      </c>
      <c r="AA5146">
        <f>N5146*U5146*W5146*Y5146</f>
        <v>6.2419392</v>
      </c>
    </row>
    <row r="5148">
      <c r="A5148" t="str">
        <f>A5124</f>
        <v>Lantai 1</v>
      </c>
      <c r="B5148">
        <f>B5124</f>
        <v>74</v>
      </c>
      <c r="C5148" t="str">
        <v>Kait Horizontal Tump.</v>
      </c>
      <c r="D5148">
        <f>VLOOKUP(D5124,'Detail Balok'!$C$10:$BJ$110,46,FALSE)</f>
        <v>0</v>
      </c>
      <c r="E5148" t="str">
        <v>D</v>
      </c>
      <c r="F5148">
        <f>VLOOKUP(D5124,'Detail Balok'!$C$10:$BJ$110,48,FALSE)</f>
        <v>0</v>
      </c>
      <c r="G5148" t="str">
        <v>-</v>
      </c>
      <c r="H5148">
        <f>VLOOKUP(D5124,'Detail Balok'!$C$10:$BJ$110,50,FALSE)</f>
        <v>100</v>
      </c>
      <c r="J5148">
        <f>(D5125-2*F$5)/1000</f>
        <v>0.12</v>
      </c>
      <c r="K5148" t="str">
        <v>+</v>
      </c>
      <c r="L5148">
        <f>IF(D5148=0,2*MAX(6*F5148,75),(D5148-1)*2*MAX(6*F5148,75))/1000</f>
        <v>0.15</v>
      </c>
      <c r="M5148" t="str">
        <v>=</v>
      </c>
      <c r="N5148">
        <f>J5148+L5148</f>
        <v>0.27</v>
      </c>
      <c r="T5148" t="str">
        <v>x</v>
      </c>
      <c r="U5148">
        <f>0.006165*F5148^2</f>
        <v>0</v>
      </c>
      <c r="V5148" t="str">
        <v>x</v>
      </c>
      <c r="W5148">
        <f>W5144</f>
        <v>14</v>
      </c>
      <c r="X5148" t="str">
        <v>x</v>
      </c>
      <c r="Y5148">
        <f>D5134</f>
        <v>3</v>
      </c>
      <c r="Z5148" t="str">
        <v>=</v>
      </c>
      <c r="AA5148">
        <f>N5148*U5148*W5148*Y5148</f>
        <v>0</v>
      </c>
    </row>
    <row r="5149">
      <c r="A5149" t="str">
        <f>A5124</f>
        <v>Lantai 1</v>
      </c>
      <c r="B5149">
        <f>B5124</f>
        <v>74</v>
      </c>
      <c r="C5149" t="str">
        <v>Kait Horizontal Lap.</v>
      </c>
      <c r="D5149">
        <f>VLOOKUP(D5124,'Detail Balok'!$C$10:$BJ$110,51,FALSE)</f>
        <v>0</v>
      </c>
      <c r="E5149" t="str">
        <v>D</v>
      </c>
      <c r="F5149">
        <f>VLOOKUP(D5124,'Detail Balok'!$C$10:$BJ$110,53,FALSE)</f>
        <v>0</v>
      </c>
      <c r="G5149" t="str">
        <v>-</v>
      </c>
      <c r="H5149">
        <f>VLOOKUP(D5124,'Detail Balok'!$C$10:$BJ$110,55,FALSE)</f>
        <v>100</v>
      </c>
      <c r="J5149">
        <f>(D5125-2*F$5)/1000</f>
        <v>0.12</v>
      </c>
      <c r="K5149" t="str">
        <v>+</v>
      </c>
      <c r="L5149">
        <f>IF(D5149=0,2*MAX(6*F5149,75),(D5149-1)*2*MAX(6*F5149,75))/1000</f>
        <v>0.15</v>
      </c>
      <c r="M5149" t="str">
        <v>=</v>
      </c>
      <c r="N5149">
        <f>J5149+L5149</f>
        <v>0.27</v>
      </c>
      <c r="T5149" t="str">
        <v>x</v>
      </c>
      <c r="U5149">
        <f>0.006165*F5149^2</f>
        <v>0</v>
      </c>
      <c r="V5149" t="str">
        <v>x</v>
      </c>
      <c r="W5149">
        <f>W5145</f>
        <v>13</v>
      </c>
      <c r="X5149" t="str">
        <v>x</v>
      </c>
      <c r="Y5149">
        <f>D5134</f>
        <v>3</v>
      </c>
      <c r="Z5149" t="str">
        <v>=</v>
      </c>
      <c r="AA5149">
        <f>N5149*U5149*W5149*Y5149</f>
        <v>0</v>
      </c>
    </row>
    <row r="5150">
      <c r="A5150" t="str">
        <f>A5124</f>
        <v>Lantai 1</v>
      </c>
      <c r="B5150">
        <f>B5124</f>
        <v>74</v>
      </c>
      <c r="C5150" t="str">
        <v>Kait Horizontal Tump.</v>
      </c>
      <c r="D5150">
        <f>VLOOKUP(D5124,'Detail Balok'!$C$10:$BJ$110,56,FALSE)</f>
        <v>0</v>
      </c>
      <c r="E5150" t="str">
        <v>D</v>
      </c>
      <c r="F5150">
        <f>VLOOKUP(D5124,'Detail Balok'!$C$10:$BJ$110,58,FALSE)</f>
        <v>0</v>
      </c>
      <c r="G5150" t="str">
        <v>-</v>
      </c>
      <c r="H5150">
        <f>VLOOKUP(D5124,'Detail Balok'!$C$10:$BJ$110,60,FALSE)</f>
        <v>100</v>
      </c>
      <c r="J5150">
        <f>(D5125-2*F$5)/1000</f>
        <v>0.12</v>
      </c>
      <c r="K5150" t="str">
        <v>+</v>
      </c>
      <c r="L5150">
        <f>IF(D5150=0,2*MAX(6*F5150,75),(D5150-1)*2*MAX(6*F5150,75))/1000</f>
        <v>0.15</v>
      </c>
      <c r="M5150" t="str">
        <v>=</v>
      </c>
      <c r="N5150">
        <f>J5150+L5150</f>
        <v>0.27</v>
      </c>
      <c r="T5150" t="str">
        <v>x</v>
      </c>
      <c r="U5150">
        <f>0.006165*F5150^2</f>
        <v>0</v>
      </c>
      <c r="V5150" t="str">
        <v>x</v>
      </c>
      <c r="W5150">
        <f>W5146</f>
        <v>14</v>
      </c>
      <c r="X5150" t="str">
        <v>x</v>
      </c>
      <c r="Y5150">
        <f>D5134</f>
        <v>3</v>
      </c>
      <c r="Z5150" t="str">
        <v>=</v>
      </c>
      <c r="AA5150">
        <f>N5150*U5150*W5150*Y5150</f>
        <v>0</v>
      </c>
    </row>
    <row r="5154">
      <c r="A5154" t="str">
        <f>A5124</f>
        <v>Lantai 1</v>
      </c>
      <c r="B5154">
        <f>B5124+1</f>
        <v>75</v>
      </c>
      <c r="C5154" t="str">
        <f>CONCATENATE(A5154," no. ",B5154)</f>
        <v>Lantai 1 no. 75</v>
      </c>
      <c r="D5154" t="str">
        <f>VLOOKUP(C5154,'Data Panjang Balok'!$C$9:$N$424,2,FALSE)</f>
        <v>B245-2</v>
      </c>
    </row>
    <row r="5155">
      <c r="C5155" t="str">
        <v>Dimensi</v>
      </c>
      <c r="D5155">
        <f>VLOOKUP(D5154,'Detail Balok'!$C$10:$AU$110,2,FALSE)</f>
        <v>200</v>
      </c>
      <c r="F5155" t="str">
        <v>x</v>
      </c>
      <c r="G5155">
        <f>VLOOKUP(D5154,'Detail Balok'!$C$10:$AU$110,3,FALSE)</f>
        <v>450</v>
      </c>
    </row>
    <row r="5156">
      <c r="C5156" t="str">
        <v>Panjang as ke as</v>
      </c>
      <c r="D5156">
        <f>VLOOKUP(C5154,'Data Panjang Balok'!$C$9:$N$424,4,FALSE)</f>
        <v>5100</v>
      </c>
    </row>
    <row r="5157">
      <c r="C5157" t="str">
        <v>Panjang netto</v>
      </c>
      <c r="D5157">
        <f>VLOOKUP(C5154,'Data Panjang Balok'!$C$9:$N$424,7,FALSE)</f>
        <v>5100</v>
      </c>
    </row>
    <row r="5158">
      <c r="C5158" t="str">
        <v>Kolom / balok kiri</v>
      </c>
      <c r="D5158">
        <f>VLOOKUP(C5154,'Data Panjang Balok'!$C$9:$N$424,9,FALSE)</f>
        <v>0</v>
      </c>
    </row>
    <row r="5159">
      <c r="C5159" t="str">
        <v>Kolom / balok kanan</v>
      </c>
      <c r="D5159">
        <f>VLOOKUP(C5154,'Data Panjang Balok'!$C$9:$N$424,10,FALSE)</f>
        <v>0</v>
      </c>
    </row>
    <row r="5160">
      <c r="C5160" t="str">
        <v>Jumlah</v>
      </c>
      <c r="D5160">
        <f>VLOOKUP(C5154,'Data Panjang Balok'!$C$9:$N$424,3,FALSE)</f>
        <v>1</v>
      </c>
    </row>
    <row r="5161">
      <c r="A5161" t="str">
        <f>A5154</f>
        <v>Lantai 1</v>
      </c>
      <c r="B5161">
        <f>B5154</f>
        <v>75</v>
      </c>
      <c r="C5161" t="str">
        <v>Tul Atas Tumpuan</v>
      </c>
      <c r="D5161">
        <f>VLOOKUP(D5154,'Detail Balok'!$C$10:$AU$110,4,FALSE)</f>
        <v>3</v>
      </c>
      <c r="E5161" t="str">
        <v>D</v>
      </c>
      <c r="F5161">
        <f>VLOOKUP(D5154,'Detail Balok'!$C$10:$AU$110,6,FALSE)</f>
        <v>13</v>
      </c>
      <c r="I5161" t="str">
        <v>(</v>
      </c>
      <c r="J5161">
        <f>+D5156/4/1000</f>
        <v>1.275</v>
      </c>
      <c r="K5161" t="str">
        <v>+</v>
      </c>
      <c r="L5161">
        <f>MAX(VLOOKUP(F5161,N$6:P$15,3,FALSE)/1000,2/3*D5158/1000)+F$16*F5161/1000</f>
        <v>0.156</v>
      </c>
      <c r="M5161" t="str">
        <v>=</v>
      </c>
      <c r="N5161">
        <f>J5161+L5161</f>
        <v>1.4309999999999998</v>
      </c>
      <c r="O5161" t="str">
        <v>+</v>
      </c>
      <c r="P5161">
        <f>D5161-D5162</f>
        <v>0</v>
      </c>
      <c r="Q5161" t="str">
        <v>x</v>
      </c>
      <c r="R5161">
        <f>IF(P5161&gt;0,$F$18*F5161/1000,0)</f>
        <v>0</v>
      </c>
      <c r="S5161" t="str">
        <v>)</v>
      </c>
      <c r="T5161" t="str">
        <v>x</v>
      </c>
      <c r="U5161">
        <f>0.006165*F5161^2</f>
        <v>1.041885</v>
      </c>
      <c r="X5161" t="str">
        <v>x</v>
      </c>
      <c r="Y5161">
        <f>D5160</f>
        <v>1</v>
      </c>
      <c r="Z5161" t="str">
        <v>=</v>
      </c>
      <c r="AA5161">
        <f>IF(AA5164=0,(D5161*N5161+P5161*R5161)*U5161*Y5161,0)</f>
        <v>0</v>
      </c>
    </row>
    <row r="5162">
      <c r="A5162" t="str">
        <f>A5154</f>
        <v>Lantai 1</v>
      </c>
      <c r="B5162">
        <f>B5154</f>
        <v>75</v>
      </c>
      <c r="C5162" t="str">
        <v>Tul Atas Lapangan</v>
      </c>
      <c r="D5162">
        <f>VLOOKUP(D5154,'Detail Balok'!$C$10:$AU$110,7,FALSE)</f>
        <v>3</v>
      </c>
      <c r="E5162" t="str">
        <v>D</v>
      </c>
      <c r="F5162">
        <f>VLOOKUP(D5154,'Detail Balok'!$C$10:$AU$110,9,FALSE)</f>
        <v>13</v>
      </c>
      <c r="I5162" t="str">
        <v>(</v>
      </c>
      <c r="J5162">
        <f>+D5156/2/1000</f>
        <v>2.55</v>
      </c>
      <c r="K5162" t="str">
        <v>+</v>
      </c>
      <c r="M5162" t="str">
        <v>=</v>
      </c>
      <c r="N5162">
        <f>J5162+L5162</f>
        <v>2.55</v>
      </c>
      <c r="O5162" t="str">
        <v>+</v>
      </c>
      <c r="P5162">
        <f>MAX(D5162-D5161,D5162-D5163)</f>
        <v>0</v>
      </c>
      <c r="Q5162" t="str">
        <v>x</v>
      </c>
      <c r="R5162">
        <f>IF(P5162&gt;0,2*(1-2*$F$19-1/2)*D5157/1000,0)</f>
        <v>0</v>
      </c>
      <c r="S5162" t="str">
        <v>)</v>
      </c>
      <c r="T5162" t="str">
        <v>x</v>
      </c>
      <c r="U5162">
        <f>0.006165*F5162^2</f>
        <v>1.041885</v>
      </c>
      <c r="X5162" t="str">
        <v>x</v>
      </c>
      <c r="Y5162">
        <f>D5160</f>
        <v>1</v>
      </c>
      <c r="Z5162" t="str">
        <v>=</v>
      </c>
      <c r="AA5162">
        <f>IF(AA5164=0,(D5162*N5162+P5162*R5162)*U5162*Y5162,0)</f>
        <v>0</v>
      </c>
    </row>
    <row r="5163">
      <c r="A5163" t="str">
        <f>A5154</f>
        <v>Lantai 1</v>
      </c>
      <c r="B5163">
        <f>B5154</f>
        <v>75</v>
      </c>
      <c r="C5163" t="str">
        <v>Tul Atas Tumpuan</v>
      </c>
      <c r="D5163">
        <f>VLOOKUP(D5154,'Detail Balok'!$C$10:$AU$110,10,FALSE)</f>
        <v>3</v>
      </c>
      <c r="E5163" t="str">
        <v>D</v>
      </c>
      <c r="F5163">
        <f>VLOOKUP(D5154,'Detail Balok'!$C$10:$AU$110,12,FALSE)</f>
        <v>13</v>
      </c>
      <c r="I5163" t="str">
        <v>(</v>
      </c>
      <c r="J5163">
        <f>+D5156/4/1000</f>
        <v>1.275</v>
      </c>
      <c r="K5163" t="str">
        <v>+</v>
      </c>
      <c r="L5163">
        <f>MAX(VLOOKUP(F5163,N$6:P$15,3,FALSE)/1000,2/3*D5158/1000)+F$16*F5163/1000</f>
        <v>0.156</v>
      </c>
      <c r="M5163" t="str">
        <v>=</v>
      </c>
      <c r="N5163">
        <f>J5163+L5163</f>
        <v>1.4309999999999998</v>
      </c>
      <c r="O5163" t="str">
        <v>+</v>
      </c>
      <c r="P5163">
        <f>D5163-D5162</f>
        <v>0</v>
      </c>
      <c r="Q5163" t="str">
        <v>x</v>
      </c>
      <c r="R5163">
        <f>IF(P5163&gt;0,$F$18*F5163/1000,0)</f>
        <v>0</v>
      </c>
      <c r="S5163" t="str">
        <v>)</v>
      </c>
      <c r="T5163" t="str">
        <v>x</v>
      </c>
      <c r="U5163">
        <f>0.006165*F5163^2</f>
        <v>1.041885</v>
      </c>
      <c r="X5163" t="str">
        <v>x</v>
      </c>
      <c r="Y5163">
        <f>D5160</f>
        <v>1</v>
      </c>
      <c r="Z5163" t="str">
        <v>=</v>
      </c>
      <c r="AA5163">
        <f>IF(AA5164=0,(D5163*N5163+P5163*R5163)*U5163*Y5163,0)</f>
        <v>0</v>
      </c>
    </row>
    <row r="5164">
      <c r="A5164" t="str">
        <f>A5154</f>
        <v>Lantai 1</v>
      </c>
      <c r="B5164">
        <f>B5154</f>
        <v>75</v>
      </c>
      <c r="D5164">
        <f>IF(AND(D5161=D5162,D5162=D5163,D5161=D5163),D5161,0)</f>
        <v>3</v>
      </c>
      <c r="E5164" t="str">
        <v>D</v>
      </c>
      <c r="F5164">
        <f>IF(AND(F5161=F5162,F5161=F5163,F5162=F5163),F5161,0)</f>
        <v>13</v>
      </c>
      <c r="L5164" t="str">
        <v>Total panjang per balok</v>
      </c>
      <c r="M5164" t="str">
        <v>=</v>
      </c>
      <c r="N5164">
        <f>IF(AND(D5161=D5162,D5161=D5163,D5162=D5163,F5161=F5162,F5161=F5163,F5162=F5163),SUM(N5161:N5163),0)</f>
        <v>5.412</v>
      </c>
      <c r="O5164" t="str">
        <v>+</v>
      </c>
      <c r="P5164">
        <f>IF(N5164&gt;12,ROUNDDOWN(N5164/12,0),0)</f>
        <v>0</v>
      </c>
      <c r="Q5164" t="str">
        <v>x</v>
      </c>
      <c r="R5164">
        <f>IF(P5164&gt;0,MAX(VLOOKUP(F5164,$D$6:$G$15,3,FALSE),600),0)/1000</f>
        <v>0</v>
      </c>
      <c r="T5164" t="str">
        <v>x</v>
      </c>
      <c r="U5164">
        <f>U5163</f>
        <v>1.041885</v>
      </c>
      <c r="V5164" t="str">
        <v>x</v>
      </c>
      <c r="W5164">
        <f>D5164</f>
        <v>3</v>
      </c>
      <c r="X5164" t="str">
        <v>x</v>
      </c>
      <c r="Y5164">
        <f>Y5163</f>
        <v>1</v>
      </c>
      <c r="Z5164" t="str">
        <v>=</v>
      </c>
      <c r="AA5164">
        <f>(N5164+P5164*R5164/1000)*U5164*W5164*Y5164</f>
        <v>16.91604486</v>
      </c>
    </row>
    <row r="5166">
      <c r="A5166" t="str">
        <f>A5154</f>
        <v>Lantai 1</v>
      </c>
      <c r="B5166">
        <f>B5154</f>
        <v>75</v>
      </c>
      <c r="C5166" t="str">
        <v>Tul Peminggang</v>
      </c>
      <c r="D5166">
        <f>VLOOKUP(D5154,'Detail Balok'!$C$10:$AU$110,13,FALSE)</f>
        <v>2</v>
      </c>
      <c r="E5166" t="str">
        <v>D</v>
      </c>
      <c r="F5166">
        <f>VLOOKUP(D5154,'Detail Balok'!$C$10:$AU$110,15,FALSE)</f>
        <v>8</v>
      </c>
      <c r="J5166">
        <f>+D5156/1000</f>
        <v>5.1</v>
      </c>
      <c r="K5166" t="str">
        <v>+</v>
      </c>
      <c r="L5166">
        <f>2*$F$16*F5166/1000</f>
        <v>0.192</v>
      </c>
      <c r="M5166" t="str">
        <v>=</v>
      </c>
      <c r="N5166">
        <f>J5166+L5166</f>
        <v>5.292</v>
      </c>
      <c r="O5166" t="str">
        <v>+</v>
      </c>
      <c r="P5166">
        <f>IF(N5166&gt;12,ROUNDDOWN(N5166/12,0),0)</f>
        <v>0</v>
      </c>
      <c r="Q5166" t="str">
        <v>x</v>
      </c>
      <c r="R5166">
        <f>IF(P5166&gt;0,MAX(VLOOKUP(F5166,$D$6:$G$15,3,FALSE),600),0)/1000</f>
        <v>0</v>
      </c>
      <c r="T5166" t="str">
        <v>x</v>
      </c>
      <c r="U5166">
        <f>0.006165*F5166^2</f>
        <v>0.39456</v>
      </c>
      <c r="V5166" t="str">
        <v>x</v>
      </c>
      <c r="W5166">
        <f>+D5166</f>
        <v>2</v>
      </c>
      <c r="X5166" t="str">
        <v>x</v>
      </c>
      <c r="Y5166">
        <f>D5160</f>
        <v>1</v>
      </c>
      <c r="Z5166" t="str">
        <v>=</v>
      </c>
      <c r="AA5166">
        <f>(N5166+P5166*R5166/1000)*U5166*W5166*Y5166</f>
        <v>4.1760230400000005</v>
      </c>
    </row>
    <row r="5169">
      <c r="A5169" t="str">
        <f>A5154</f>
        <v>Lantai 1</v>
      </c>
      <c r="B5169">
        <f>B5154</f>
        <v>75</v>
      </c>
      <c r="C5169" t="str">
        <v>Tul Bawah Tumpuan</v>
      </c>
      <c r="D5169">
        <f>VLOOKUP(D5154,'Detail Balok'!$C$10:$AU$110,22,FALSE)</f>
        <v>3</v>
      </c>
      <c r="E5169" t="str">
        <v>D</v>
      </c>
      <c r="F5169">
        <f>VLOOKUP(D5154,'Detail Balok'!$C$10:$AU$110,24,FALSE)</f>
        <v>13</v>
      </c>
      <c r="I5169" t="str">
        <v>(</v>
      </c>
      <c r="J5169">
        <f>+J5161</f>
        <v>1.275</v>
      </c>
      <c r="K5169" t="str">
        <v>+</v>
      </c>
      <c r="L5169">
        <f>MAX(VLOOKUP(F5169,N$6:P$15,3,FALSE)/1000,2/3*D5159/1000)+F$16*F5169/1000</f>
        <v>0.156</v>
      </c>
      <c r="M5169" t="str">
        <v>=</v>
      </c>
      <c r="N5169">
        <f>J5169+L5169</f>
        <v>1.4309999999999998</v>
      </c>
      <c r="O5169" t="str">
        <v>+</v>
      </c>
      <c r="P5169">
        <f>D5169-D5170</f>
        <v>0</v>
      </c>
      <c r="Q5169" t="str">
        <v>x</v>
      </c>
      <c r="R5169">
        <f>IF(P5169&gt;0,$F$18*F5169/1000,0)</f>
        <v>0</v>
      </c>
      <c r="S5169" t="str">
        <v>)</v>
      </c>
      <c r="T5169" t="str">
        <v>x</v>
      </c>
      <c r="U5169">
        <f>0.006165*F5169^2</f>
        <v>1.041885</v>
      </c>
      <c r="X5169" t="str">
        <v>x</v>
      </c>
      <c r="Y5169">
        <f>D5160</f>
        <v>1</v>
      </c>
      <c r="Z5169" t="str">
        <v>=</v>
      </c>
      <c r="AA5169">
        <f>IF(AA5172=0,(D5169*N5169+P5169*R5169)*U5169*Y5169,0)</f>
        <v>0</v>
      </c>
    </row>
    <row r="5170">
      <c r="A5170" t="str">
        <f>A5154</f>
        <v>Lantai 1</v>
      </c>
      <c r="B5170">
        <f>B5154</f>
        <v>75</v>
      </c>
      <c r="C5170" t="str">
        <v>Tul Bawah Lapangan</v>
      </c>
      <c r="D5170">
        <f>VLOOKUP(D5154,'Detail Balok'!$C$10:$AU$110,25,FALSE)</f>
        <v>3</v>
      </c>
      <c r="E5170" t="str">
        <v>D</v>
      </c>
      <c r="F5170">
        <f>VLOOKUP(D5154,'Detail Balok'!$C$10:$AU$110,27,FALSE)</f>
        <v>13</v>
      </c>
      <c r="I5170" t="str">
        <v>(</v>
      </c>
      <c r="J5170">
        <f>+J5162</f>
        <v>2.55</v>
      </c>
      <c r="K5170" t="str">
        <v>+</v>
      </c>
      <c r="M5170" t="str">
        <v>=</v>
      </c>
      <c r="N5170">
        <f>J5170+L5170</f>
        <v>2.55</v>
      </c>
      <c r="O5170" t="str">
        <v>+</v>
      </c>
      <c r="P5170">
        <f>MAX(D5170-D5169,D5170-D5171)</f>
        <v>0</v>
      </c>
      <c r="Q5170" t="str">
        <v>x</v>
      </c>
      <c r="R5170">
        <f>IF(P5170&gt;0,2*(1-2*$F$19-1/2)*D5157/1000,0)</f>
        <v>0</v>
      </c>
      <c r="S5170" t="str">
        <v>)</v>
      </c>
      <c r="T5170" t="str">
        <v>x</v>
      </c>
      <c r="U5170">
        <f>0.006165*F5170^2</f>
        <v>1.041885</v>
      </c>
      <c r="X5170" t="str">
        <v>x</v>
      </c>
      <c r="Y5170">
        <f>D5160</f>
        <v>1</v>
      </c>
      <c r="Z5170" t="str">
        <v>=</v>
      </c>
      <c r="AA5170">
        <f>IF(AA5172=0,(D5170*N5170+P5170*R5170)*U5170*Y5170,0)</f>
        <v>0</v>
      </c>
    </row>
    <row r="5171">
      <c r="A5171" t="str">
        <f>A5154</f>
        <v>Lantai 1</v>
      </c>
      <c r="B5171">
        <f>B5154</f>
        <v>75</v>
      </c>
      <c r="C5171" t="str">
        <v>Tul Bawah Tumpuan</v>
      </c>
      <c r="D5171">
        <f>VLOOKUP(D5154,'Detail Balok'!$C$10:$AU$110,28,FALSE)</f>
        <v>3</v>
      </c>
      <c r="E5171" t="str">
        <v>D</v>
      </c>
      <c r="F5171">
        <f>VLOOKUP(D5154,'Detail Balok'!$C$10:$AU$110,30,FALSE)</f>
        <v>13</v>
      </c>
      <c r="I5171" t="str">
        <v>(</v>
      </c>
      <c r="J5171">
        <f>+J5163</f>
        <v>1.275</v>
      </c>
      <c r="K5171" t="str">
        <v>+</v>
      </c>
      <c r="L5171">
        <f>MAX(VLOOKUP(F5171,N$6:P$15,3,FALSE)/1000,2/3*D5159/1000)+F$16*F5171/1000</f>
        <v>0.156</v>
      </c>
      <c r="M5171" t="str">
        <v>=</v>
      </c>
      <c r="N5171">
        <f>J5171+L5171</f>
        <v>1.4309999999999998</v>
      </c>
      <c r="O5171" t="str">
        <v>+</v>
      </c>
      <c r="P5171">
        <f>D5171-D5170</f>
        <v>0</v>
      </c>
      <c r="Q5171" t="str">
        <v>x</v>
      </c>
      <c r="R5171">
        <f>IF(P5171&gt;0,$F$18*F5171/1000,0)</f>
        <v>0</v>
      </c>
      <c r="S5171" t="str">
        <v>)</v>
      </c>
      <c r="T5171" t="str">
        <v>x</v>
      </c>
      <c r="U5171">
        <f>0.006165*F5171^2</f>
        <v>1.041885</v>
      </c>
      <c r="X5171" t="str">
        <v>x</v>
      </c>
      <c r="Y5171">
        <f>D5160</f>
        <v>1</v>
      </c>
      <c r="Z5171" t="str">
        <v>=</v>
      </c>
      <c r="AA5171">
        <f>IF(AA5172=0,(D5171*N5171+P5171*R5171)*U5171*Y5171,0)</f>
        <v>0</v>
      </c>
    </row>
    <row r="5172">
      <c r="A5172" t="str">
        <f>A5154</f>
        <v>Lantai 1</v>
      </c>
      <c r="B5172">
        <f>B5154</f>
        <v>75</v>
      </c>
      <c r="D5172">
        <f>IF(AND(D5169=D5170,D5170=D5171,D5169=D5171),D5169,0)</f>
        <v>3</v>
      </c>
      <c r="E5172" t="str">
        <v>D</v>
      </c>
      <c r="F5172">
        <f>IF(AND(F5169=F5170,F5169=F5171,F5170=F5171),F5169,0)</f>
        <v>13</v>
      </c>
      <c r="L5172" t="str">
        <v>Total panjang per balok</v>
      </c>
      <c r="M5172" t="str">
        <v>=</v>
      </c>
      <c r="N5172">
        <f>IF(AND(D5169=D5170,D5169=D5171,D5170=D5171,F5169=F5170,F5169=F5171,F5170=F5171),SUM(N5169:N5171),0)</f>
        <v>5.412</v>
      </c>
      <c r="O5172" t="str">
        <v>+</v>
      </c>
      <c r="P5172">
        <f>IF(N5172&gt;12,ROUNDDOWN(N5172/12,0),0)</f>
        <v>0</v>
      </c>
      <c r="Q5172" t="str">
        <v>x</v>
      </c>
      <c r="R5172">
        <f>IF(P5172&gt;0,MAX(VLOOKUP(F5172,$D$6:$G$15,3,FALSE),600),0)/1000</f>
        <v>0</v>
      </c>
      <c r="T5172" t="str">
        <v>x</v>
      </c>
      <c r="U5172">
        <f>U5171</f>
        <v>1.041885</v>
      </c>
      <c r="V5172" t="str">
        <v>x</v>
      </c>
      <c r="W5172">
        <f>D5172</f>
        <v>3</v>
      </c>
      <c r="X5172" t="str">
        <v>x</v>
      </c>
      <c r="Y5172">
        <f>Y5171</f>
        <v>1</v>
      </c>
      <c r="Z5172" t="str">
        <v>=</v>
      </c>
      <c r="AA5172">
        <f>(N5172+P5172*R5172/1000)*U5172*W5172*Y5172</f>
        <v>16.91604486</v>
      </c>
    </row>
    <row r="5174">
      <c r="A5174" t="str">
        <f>A5154</f>
        <v>Lantai 1</v>
      </c>
      <c r="B5174">
        <f>B5154</f>
        <v>75</v>
      </c>
      <c r="C5174" t="str">
        <v>Sengkang Tumpuan</v>
      </c>
      <c r="D5174">
        <f>VLOOKUP(D5154,'Detail Balok'!$C$10:$AU$110,31,FALSE)</f>
        <v>0</v>
      </c>
      <c r="E5174" t="str">
        <v>D</v>
      </c>
      <c r="F5174">
        <f>VLOOKUP(D5154,'Detail Balok'!$C$10:$AU$110,33,FALSE)</f>
        <v>8</v>
      </c>
      <c r="G5174" t="str">
        <v>-</v>
      </c>
      <c r="H5174">
        <f>VLOOKUP(D5154,'Detail Balok'!$C$10:$AU$110,35,FALSE)</f>
        <v>100</v>
      </c>
      <c r="J5174">
        <f>(IF(D5174=0,(2*(D5155+G5155))-(F$5*8),IF(D5174=3,(2*(D5155+G5155))-(F$5*8)+(G5155-2*F$5),IF(D5174=4,(2*(D5155+G5155))-(F$5*8)+2*(G5155-2*F$5)))))/1000</f>
        <v>0.98</v>
      </c>
      <c r="K5174" t="str">
        <v>+</v>
      </c>
      <c r="L5174">
        <f>IF(D5174=0,2*MAX(6*F5174,75),(D5174-1)*2*MAX(6*F5174,75))/1000</f>
        <v>0.15</v>
      </c>
      <c r="M5174" t="str">
        <v>=</v>
      </c>
      <c r="N5174">
        <f>J5174+L5174</f>
        <v>1.13</v>
      </c>
      <c r="T5174" t="str">
        <v>x</v>
      </c>
      <c r="U5174">
        <f>0.006165*F5174^2</f>
        <v>0.39456</v>
      </c>
      <c r="V5174" t="str">
        <v>x</v>
      </c>
      <c r="W5174">
        <f>IF(D5157&gt;4*G5155,ROUND(MAX(D5157/4,2*G5155)/H5174,0)+1,ROUND(D5157/H5174,0)+1)</f>
        <v>14</v>
      </c>
      <c r="X5174" t="str">
        <v>x</v>
      </c>
      <c r="Y5174">
        <f>D5160</f>
        <v>1</v>
      </c>
      <c r="Z5174" t="str">
        <v>=</v>
      </c>
      <c r="AA5174">
        <f>N5174*U5174*W5174*Y5174</f>
        <v>6.2419392</v>
      </c>
    </row>
    <row r="5175">
      <c r="A5175" t="str">
        <f>A5154</f>
        <v>Lantai 1</v>
      </c>
      <c r="B5175">
        <f>B5154</f>
        <v>75</v>
      </c>
      <c r="C5175" t="str">
        <v>Sengkang Lapangan</v>
      </c>
      <c r="D5175">
        <f>VLOOKUP(D5154,'Detail Balok'!$C$10:$AU$110,36,FALSE)</f>
        <v>0</v>
      </c>
      <c r="E5175" t="str">
        <v>D</v>
      </c>
      <c r="F5175">
        <f>VLOOKUP(D5154,'Detail Balok'!$C$10:$AU$110,38,FALSE)</f>
        <v>8</v>
      </c>
      <c r="G5175" t="str">
        <v>-</v>
      </c>
      <c r="H5175">
        <f>VLOOKUP(D5154,'Detail Balok'!$C$10:$AU$110,40,FALSE)</f>
        <v>200</v>
      </c>
      <c r="J5175">
        <f>(IF(D5175=0,(2*(D5155+G5155))-(F$5*8),IF(D5175=3,(2*(D5155+G5155))-(F$5*8)+(G5155-2*F$5),IF(D5175=4,(2*(D5155+G5155))-(F$5*8)+2*(G5155-2*F$5)))))/1000</f>
        <v>0.98</v>
      </c>
      <c r="K5175" t="str">
        <v>+</v>
      </c>
      <c r="L5175">
        <f>IF(D5175=0,2*MAX(6*F5175,75),(D5175-1)*2*MAX(6*F5175,75))/1000</f>
        <v>0.15</v>
      </c>
      <c r="M5175" t="str">
        <v>=</v>
      </c>
      <c r="N5175">
        <f>J5175+L5175</f>
        <v>1.13</v>
      </c>
      <c r="T5175" t="str">
        <v>x</v>
      </c>
      <c r="U5175">
        <f>0.006165*F5175^2</f>
        <v>0.39456</v>
      </c>
      <c r="V5175" t="str">
        <v>x</v>
      </c>
      <c r="W5175">
        <f>IF(D5157-MAX(D5157/4,2*G5155)*2&gt;0,ROUND((D5157-MAX(D5157/4,2*G5155)*2)/H5175,0),0)</f>
        <v>13</v>
      </c>
      <c r="X5175" t="str">
        <v>x</v>
      </c>
      <c r="Y5175">
        <f>D5160</f>
        <v>1</v>
      </c>
      <c r="Z5175" t="str">
        <v>=</v>
      </c>
      <c r="AA5175">
        <f>N5175*U5175*W5175*Y5175</f>
        <v>5.7960864</v>
      </c>
    </row>
    <row r="5176">
      <c r="A5176" t="str">
        <f>A5154</f>
        <v>Lantai 1</v>
      </c>
      <c r="B5176">
        <f>B5154</f>
        <v>75</v>
      </c>
      <c r="C5176" t="str">
        <v>Sengkang Tumpuan</v>
      </c>
      <c r="D5176">
        <f>VLOOKUP(D5154,'Detail Balok'!$C$10:$AU$110,41,FALSE)</f>
        <v>0</v>
      </c>
      <c r="E5176" t="str">
        <v>D</v>
      </c>
      <c r="F5176">
        <f>VLOOKUP(D5154,'Detail Balok'!$C$10:$AU$110,43,FALSE)</f>
        <v>8</v>
      </c>
      <c r="G5176" t="str">
        <v>-</v>
      </c>
      <c r="H5176">
        <f>VLOOKUP(D5154,'Detail Balok'!$C$10:$AU$110,45,FALSE)</f>
        <v>100</v>
      </c>
      <c r="J5176">
        <f>(IF(D5176=0,(2*(D5155+G5155))-(F$5*8),IF(D5176=3,(2*(D5155+G5155))-(F$5*8)+(G5155-2*F$5),IF(D5176=4,(2*(D5155+G5155))-(F$5*8)+2*(G5155-2*F$5)))))/1000</f>
        <v>0.98</v>
      </c>
      <c r="K5176" t="str">
        <v>+</v>
      </c>
      <c r="L5176">
        <f>IF(D5176=0,2*MAX(6*F5176,75),(D5176-1)*2*MAX(6*F5176,75))/1000</f>
        <v>0.15</v>
      </c>
      <c r="M5176" t="str">
        <v>=</v>
      </c>
      <c r="N5176">
        <f>J5176+L5176</f>
        <v>1.13</v>
      </c>
      <c r="T5176" t="str">
        <v>x</v>
      </c>
      <c r="U5176">
        <f>0.006165*F5176^2</f>
        <v>0.39456</v>
      </c>
      <c r="V5176" t="str">
        <v>x</v>
      </c>
      <c r="W5176">
        <f>IF(D5157&gt;4*G5155,ROUND(MAX(D5157/4,2*G5155)/H5176,0)+1,0)</f>
        <v>14</v>
      </c>
      <c r="X5176" t="str">
        <v>x</v>
      </c>
      <c r="Y5176">
        <f>D5160</f>
        <v>1</v>
      </c>
      <c r="Z5176" t="str">
        <v>=</v>
      </c>
      <c r="AA5176">
        <f>N5176*U5176*W5176*Y5176</f>
        <v>6.2419392</v>
      </c>
    </row>
    <row r="5178">
      <c r="A5178" t="str">
        <f>A5154</f>
        <v>Lantai 1</v>
      </c>
      <c r="B5178">
        <f>B5154</f>
        <v>75</v>
      </c>
      <c r="C5178" t="str">
        <v>Kait Horizontal Tump.</v>
      </c>
      <c r="D5178">
        <f>VLOOKUP(D5154,'Detail Balok'!$C$10:$BJ$110,46,FALSE)</f>
        <v>0</v>
      </c>
      <c r="E5178" t="str">
        <v>D</v>
      </c>
      <c r="F5178">
        <f>VLOOKUP(D5154,'Detail Balok'!$C$10:$BJ$110,48,FALSE)</f>
        <v>0</v>
      </c>
      <c r="G5178" t="str">
        <v>-</v>
      </c>
      <c r="H5178">
        <f>VLOOKUP(D5154,'Detail Balok'!$C$10:$BJ$110,50,FALSE)</f>
        <v>100</v>
      </c>
      <c r="J5178">
        <f>(D5155-2*F$5)/1000</f>
        <v>0.12</v>
      </c>
      <c r="K5178" t="str">
        <v>+</v>
      </c>
      <c r="L5178">
        <f>IF(D5178=0,2*MAX(6*F5178,75),(D5178-1)*2*MAX(6*F5178,75))/1000</f>
        <v>0.15</v>
      </c>
      <c r="M5178" t="str">
        <v>=</v>
      </c>
      <c r="N5178">
        <f>J5178+L5178</f>
        <v>0.27</v>
      </c>
      <c r="T5178" t="str">
        <v>x</v>
      </c>
      <c r="U5178">
        <f>0.006165*F5178^2</f>
        <v>0</v>
      </c>
      <c r="V5178" t="str">
        <v>x</v>
      </c>
      <c r="W5178">
        <f>W5174</f>
        <v>14</v>
      </c>
      <c r="X5178" t="str">
        <v>x</v>
      </c>
      <c r="Y5178">
        <f>D5164</f>
        <v>3</v>
      </c>
      <c r="Z5178" t="str">
        <v>=</v>
      </c>
      <c r="AA5178">
        <f>N5178*U5178*W5178*Y5178</f>
        <v>0</v>
      </c>
    </row>
    <row r="5179">
      <c r="A5179" t="str">
        <f>A5154</f>
        <v>Lantai 1</v>
      </c>
      <c r="B5179">
        <f>B5154</f>
        <v>75</v>
      </c>
      <c r="C5179" t="str">
        <v>Kait Horizontal Lap.</v>
      </c>
      <c r="D5179">
        <f>VLOOKUP(D5154,'Detail Balok'!$C$10:$BJ$110,51,FALSE)</f>
        <v>0</v>
      </c>
      <c r="E5179" t="str">
        <v>D</v>
      </c>
      <c r="F5179">
        <f>VLOOKUP(D5154,'Detail Balok'!$C$10:$BJ$110,53,FALSE)</f>
        <v>0</v>
      </c>
      <c r="G5179" t="str">
        <v>-</v>
      </c>
      <c r="H5179">
        <f>VLOOKUP(D5154,'Detail Balok'!$C$10:$BJ$110,55,FALSE)</f>
        <v>100</v>
      </c>
      <c r="J5179">
        <f>(D5155-2*F$5)/1000</f>
        <v>0.12</v>
      </c>
      <c r="K5179" t="str">
        <v>+</v>
      </c>
      <c r="L5179">
        <f>IF(D5179=0,2*MAX(6*F5179,75),(D5179-1)*2*MAX(6*F5179,75))/1000</f>
        <v>0.15</v>
      </c>
      <c r="M5179" t="str">
        <v>=</v>
      </c>
      <c r="N5179">
        <f>J5179+L5179</f>
        <v>0.27</v>
      </c>
      <c r="T5179" t="str">
        <v>x</v>
      </c>
      <c r="U5179">
        <f>0.006165*F5179^2</f>
        <v>0</v>
      </c>
      <c r="V5179" t="str">
        <v>x</v>
      </c>
      <c r="W5179">
        <f>W5175</f>
        <v>13</v>
      </c>
      <c r="X5179" t="str">
        <v>x</v>
      </c>
      <c r="Y5179">
        <f>D5164</f>
        <v>3</v>
      </c>
      <c r="Z5179" t="str">
        <v>=</v>
      </c>
      <c r="AA5179">
        <f>N5179*U5179*W5179*Y5179</f>
        <v>0</v>
      </c>
    </row>
    <row r="5180">
      <c r="A5180" t="str">
        <f>A5154</f>
        <v>Lantai 1</v>
      </c>
      <c r="B5180">
        <f>B5154</f>
        <v>75</v>
      </c>
      <c r="C5180" t="str">
        <v>Kait Horizontal Tump.</v>
      </c>
      <c r="D5180">
        <f>VLOOKUP(D5154,'Detail Balok'!$C$10:$BJ$110,56,FALSE)</f>
        <v>0</v>
      </c>
      <c r="E5180" t="str">
        <v>D</v>
      </c>
      <c r="F5180">
        <f>VLOOKUP(D5154,'Detail Balok'!$C$10:$BJ$110,58,FALSE)</f>
        <v>0</v>
      </c>
      <c r="G5180" t="str">
        <v>-</v>
      </c>
      <c r="H5180">
        <f>VLOOKUP(D5154,'Detail Balok'!$C$10:$BJ$110,60,FALSE)</f>
        <v>100</v>
      </c>
      <c r="J5180">
        <f>(D5155-2*F$5)/1000</f>
        <v>0.12</v>
      </c>
      <c r="K5180" t="str">
        <v>+</v>
      </c>
      <c r="L5180">
        <f>IF(D5180=0,2*MAX(6*F5180,75),(D5180-1)*2*MAX(6*F5180,75))/1000</f>
        <v>0.15</v>
      </c>
      <c r="M5180" t="str">
        <v>=</v>
      </c>
      <c r="N5180">
        <f>J5180+L5180</f>
        <v>0.27</v>
      </c>
      <c r="T5180" t="str">
        <v>x</v>
      </c>
      <c r="U5180">
        <f>0.006165*F5180^2</f>
        <v>0</v>
      </c>
      <c r="V5180" t="str">
        <v>x</v>
      </c>
      <c r="W5180">
        <f>W5176</f>
        <v>14</v>
      </c>
      <c r="X5180" t="str">
        <v>x</v>
      </c>
      <c r="Y5180">
        <f>D5164</f>
        <v>3</v>
      </c>
      <c r="Z5180" t="str">
        <v>=</v>
      </c>
      <c r="AA5180">
        <f>N5180*U5180*W5180*Y5180</f>
        <v>0</v>
      </c>
    </row>
    <row r="5184">
      <c r="A5184" t="str">
        <f>A5154</f>
        <v>Lantai 1</v>
      </c>
      <c r="B5184">
        <f>B5154+1</f>
        <v>76</v>
      </c>
      <c r="C5184" t="str">
        <f>CONCATENATE(A5184," no. ",B5184)</f>
        <v>Lantai 1 no. 76</v>
      </c>
      <c r="D5184" t="str">
        <f>VLOOKUP(C5184,'Data Panjang Balok'!$C$9:$N$424,2,FALSE)</f>
        <v>CL25-1</v>
      </c>
    </row>
    <row r="5185">
      <c r="C5185" t="str">
        <v>Dimensi</v>
      </c>
      <c r="D5185">
        <f>VLOOKUP(D5184,'Detail Balok'!$C$10:$AU$110,2,FALSE)</f>
        <v>200</v>
      </c>
      <c r="F5185" t="str">
        <v>x</v>
      </c>
      <c r="G5185">
        <f>VLOOKUP(D5184,'Detail Balok'!$C$10:$AU$110,3,FALSE)</f>
        <v>500</v>
      </c>
    </row>
    <row r="5186">
      <c r="C5186" t="str">
        <v>Panjang as ke as</v>
      </c>
      <c r="D5186">
        <f>VLOOKUP(C5184,'Data Panjang Balok'!$C$9:$N$424,4,FALSE)</f>
        <v>3285</v>
      </c>
    </row>
    <row r="5187">
      <c r="C5187" t="str">
        <v>Panjang netto</v>
      </c>
      <c r="D5187">
        <f>VLOOKUP(C5184,'Data Panjang Balok'!$C$9:$N$424,7,FALSE)</f>
        <v>3285</v>
      </c>
    </row>
    <row r="5188">
      <c r="C5188" t="str">
        <v>Kolom / balok kiri</v>
      </c>
      <c r="D5188">
        <f>VLOOKUP(C5184,'Data Panjang Balok'!$C$9:$N$424,9,FALSE)</f>
        <v>0</v>
      </c>
    </row>
    <row r="5189">
      <c r="C5189" t="str">
        <v>Kolom / balok kanan</v>
      </c>
      <c r="D5189">
        <f>VLOOKUP(C5184,'Data Panjang Balok'!$C$9:$N$424,10,FALSE)</f>
        <v>0</v>
      </c>
    </row>
    <row r="5190">
      <c r="C5190" t="str">
        <v>Jumlah</v>
      </c>
      <c r="D5190">
        <f>VLOOKUP(C5184,'Data Panjang Balok'!$C$9:$N$424,3,FALSE)</f>
        <v>1</v>
      </c>
    </row>
    <row r="5191">
      <c r="A5191" t="str">
        <f>A5184</f>
        <v>Lantai 1</v>
      </c>
      <c r="B5191">
        <f>B5184</f>
        <v>76</v>
      </c>
      <c r="C5191" t="str">
        <v>Tul Atas Tumpuan</v>
      </c>
      <c r="D5191">
        <f>VLOOKUP(D5184,'Detail Balok'!$C$10:$AU$110,4,FALSE)</f>
        <v>5</v>
      </c>
      <c r="E5191" t="str">
        <v>D</v>
      </c>
      <c r="F5191">
        <f>VLOOKUP(D5184,'Detail Balok'!$C$10:$AU$110,6,FALSE)</f>
        <v>16</v>
      </c>
      <c r="I5191" t="str">
        <v>(</v>
      </c>
      <c r="J5191">
        <f>+D5186/4/1000</f>
        <v>0.82125</v>
      </c>
      <c r="K5191" t="str">
        <v>+</v>
      </c>
      <c r="L5191">
        <f>MAX(VLOOKUP(F5191,N$6:P$15,3,FALSE)/1000,2/3*D5188/1000)+F$16*F5191/1000</f>
        <v>0.192</v>
      </c>
      <c r="M5191" t="str">
        <v>=</v>
      </c>
      <c r="N5191">
        <f>J5191+L5191</f>
        <v>1.01325</v>
      </c>
      <c r="O5191" t="str">
        <v>+</v>
      </c>
      <c r="P5191">
        <f>D5191-D5192</f>
        <v>2</v>
      </c>
      <c r="Q5191" t="str">
        <v>x</v>
      </c>
      <c r="R5191">
        <f>IF(P5191&gt;0,$F$18*F5191/1000,0)</f>
        <v>0.24</v>
      </c>
      <c r="S5191" t="str">
        <v>)</v>
      </c>
      <c r="T5191" t="str">
        <v>x</v>
      </c>
      <c r="U5191">
        <f>0.006165*F5191^2</f>
        <v>1.57824</v>
      </c>
      <c r="X5191" t="str">
        <v>x</v>
      </c>
      <c r="Y5191">
        <f>D5190</f>
        <v>1</v>
      </c>
      <c r="Z5191" t="str">
        <v>=</v>
      </c>
      <c r="AA5191">
        <f>IF(AA5194=0,(D5191*N5191+P5191*R5191)*U5191*Y5191,0)</f>
        <v>8.753313600000002</v>
      </c>
    </row>
    <row r="5192">
      <c r="A5192" t="str">
        <f>A5184</f>
        <v>Lantai 1</v>
      </c>
      <c r="B5192">
        <f>B5184</f>
        <v>76</v>
      </c>
      <c r="C5192" t="str">
        <v>Tul Atas Lapangan</v>
      </c>
      <c r="D5192">
        <f>VLOOKUP(D5184,'Detail Balok'!$C$10:$AU$110,7,FALSE)</f>
        <v>3</v>
      </c>
      <c r="E5192" t="str">
        <v>D</v>
      </c>
      <c r="F5192">
        <f>VLOOKUP(D5184,'Detail Balok'!$C$10:$AU$110,9,FALSE)</f>
        <v>16</v>
      </c>
      <c r="I5192" t="str">
        <v>(</v>
      </c>
      <c r="J5192">
        <f>+D5186/2/1000</f>
        <v>1.6425</v>
      </c>
      <c r="K5192" t="str">
        <v>+</v>
      </c>
      <c r="M5192" t="str">
        <v>=</v>
      </c>
      <c r="N5192">
        <f>J5192+L5192</f>
        <v>1.6425</v>
      </c>
      <c r="O5192" t="str">
        <v>+</v>
      </c>
      <c r="P5192">
        <f>MAX(D5192-D5191,D5192-D5193)</f>
        <v>-2</v>
      </c>
      <c r="Q5192" t="str">
        <v>x</v>
      </c>
      <c r="R5192">
        <f>IF(P5192&gt;0,2*(1-2*$F$19-1/2)*D5187/1000,0)</f>
        <v>0</v>
      </c>
      <c r="S5192" t="str">
        <v>)</v>
      </c>
      <c r="T5192" t="str">
        <v>x</v>
      </c>
      <c r="U5192">
        <f>0.006165*F5192^2</f>
        <v>1.57824</v>
      </c>
      <c r="X5192" t="str">
        <v>x</v>
      </c>
      <c r="Y5192">
        <f>D5190</f>
        <v>1</v>
      </c>
      <c r="Z5192" t="str">
        <v>=</v>
      </c>
      <c r="AA5192">
        <f>IF(AA5194=0,(D5192*N5192+P5192*R5192)*U5192*Y5192,0)</f>
        <v>7.776777600000001</v>
      </c>
    </row>
    <row r="5193">
      <c r="A5193" t="str">
        <f>A5184</f>
        <v>Lantai 1</v>
      </c>
      <c r="B5193">
        <f>B5184</f>
        <v>76</v>
      </c>
      <c r="C5193" t="str">
        <v>Tul Atas Tumpuan</v>
      </c>
      <c r="D5193">
        <f>VLOOKUP(D5184,'Detail Balok'!$C$10:$AU$110,10,FALSE)</f>
        <v>5</v>
      </c>
      <c r="E5193" t="str">
        <v>D</v>
      </c>
      <c r="F5193">
        <f>VLOOKUP(D5184,'Detail Balok'!$C$10:$AU$110,12,FALSE)</f>
        <v>16</v>
      </c>
      <c r="I5193" t="str">
        <v>(</v>
      </c>
      <c r="J5193">
        <f>+D5186/4/1000</f>
        <v>0.82125</v>
      </c>
      <c r="K5193" t="str">
        <v>+</v>
      </c>
      <c r="L5193">
        <f>MAX(VLOOKUP(F5193,N$6:P$15,3,FALSE)/1000,2/3*D5188/1000)+F$16*F5193/1000</f>
        <v>0.192</v>
      </c>
      <c r="M5193" t="str">
        <v>=</v>
      </c>
      <c r="N5193">
        <f>J5193+L5193</f>
        <v>1.01325</v>
      </c>
      <c r="O5193" t="str">
        <v>+</v>
      </c>
      <c r="P5193">
        <f>D5193-D5192</f>
        <v>2</v>
      </c>
      <c r="Q5193" t="str">
        <v>x</v>
      </c>
      <c r="R5193">
        <f>IF(P5193&gt;0,$F$18*F5193/1000,0)</f>
        <v>0.24</v>
      </c>
      <c r="S5193" t="str">
        <v>)</v>
      </c>
      <c r="T5193" t="str">
        <v>x</v>
      </c>
      <c r="U5193">
        <f>0.006165*F5193^2</f>
        <v>1.57824</v>
      </c>
      <c r="X5193" t="str">
        <v>x</v>
      </c>
      <c r="Y5193">
        <f>D5190</f>
        <v>1</v>
      </c>
      <c r="Z5193" t="str">
        <v>=</v>
      </c>
      <c r="AA5193">
        <f>IF(AA5194=0,(D5193*N5193+P5193*R5193)*U5193*Y5193,0)</f>
        <v>8.753313600000002</v>
      </c>
    </row>
    <row r="5194">
      <c r="A5194" t="str">
        <f>A5184</f>
        <v>Lantai 1</v>
      </c>
      <c r="B5194">
        <f>B5184</f>
        <v>76</v>
      </c>
      <c r="D5194">
        <f>IF(AND(D5191=D5192,D5192=D5193,D5191=D5193),D5191,0)</f>
        <v>0</v>
      </c>
      <c r="E5194" t="str">
        <v>D</v>
      </c>
      <c r="F5194">
        <f>IF(AND(F5191=F5192,F5191=F5193,F5192=F5193),F5191,0)</f>
        <v>16</v>
      </c>
      <c r="L5194" t="str">
        <v>Total panjang per balok</v>
      </c>
      <c r="M5194" t="str">
        <v>=</v>
      </c>
      <c r="N5194">
        <f>IF(AND(D5191=D5192,D5191=D5193,D5192=D5193,F5191=F5192,F5191=F5193,F5192=F5193),SUM(N5191:N5193),0)</f>
        <v>0</v>
      </c>
      <c r="O5194" t="str">
        <v>+</v>
      </c>
      <c r="P5194">
        <f>IF(N5194&gt;12,ROUNDDOWN(N5194/12,0),0)</f>
        <v>0</v>
      </c>
      <c r="Q5194" t="str">
        <v>x</v>
      </c>
      <c r="R5194">
        <f>IF(P5194&gt;0,MAX(VLOOKUP(F5194,$D$6:$G$15,3,FALSE),600),0)/1000</f>
        <v>0</v>
      </c>
      <c r="T5194" t="str">
        <v>x</v>
      </c>
      <c r="U5194">
        <f>U5193</f>
        <v>1.57824</v>
      </c>
      <c r="V5194" t="str">
        <v>x</v>
      </c>
      <c r="W5194">
        <f>D5194</f>
        <v>0</v>
      </c>
      <c r="X5194" t="str">
        <v>x</v>
      </c>
      <c r="Y5194">
        <f>Y5193</f>
        <v>1</v>
      </c>
      <c r="Z5194" t="str">
        <v>=</v>
      </c>
      <c r="AA5194">
        <f>(N5194+P5194*R5194/1000)*U5194*W5194*Y5194</f>
        <v>0</v>
      </c>
    </row>
    <row r="5196">
      <c r="A5196" t="str">
        <f>A5184</f>
        <v>Lantai 1</v>
      </c>
      <c r="B5196">
        <f>B5184</f>
        <v>76</v>
      </c>
      <c r="C5196" t="str">
        <v>Tul Peminggang</v>
      </c>
      <c r="D5196">
        <f>VLOOKUP(D5184,'Detail Balok'!$C$10:$AU$110,13,FALSE)</f>
        <v>2</v>
      </c>
      <c r="E5196" t="str">
        <v>D</v>
      </c>
      <c r="F5196">
        <f>VLOOKUP(D5184,'Detail Balok'!$C$10:$AU$110,15,FALSE)</f>
        <v>10</v>
      </c>
      <c r="J5196">
        <f>+D5186/1000</f>
        <v>3.285</v>
      </c>
      <c r="K5196" t="str">
        <v>+</v>
      </c>
      <c r="L5196">
        <f>2*$F$16*F5196/1000</f>
        <v>0.24</v>
      </c>
      <c r="M5196" t="str">
        <v>=</v>
      </c>
      <c r="N5196">
        <f>J5196+L5196</f>
        <v>3.5250000000000004</v>
      </c>
      <c r="O5196" t="str">
        <v>+</v>
      </c>
      <c r="P5196">
        <f>IF(N5196&gt;12,ROUNDDOWN(N5196/12,0),0)</f>
        <v>0</v>
      </c>
      <c r="Q5196" t="str">
        <v>x</v>
      </c>
      <c r="R5196">
        <f>IF(P5196&gt;0,MAX(VLOOKUP(F5196,$D$6:$G$15,3,FALSE),600),0)/1000</f>
        <v>0</v>
      </c>
      <c r="T5196" t="str">
        <v>x</v>
      </c>
      <c r="U5196">
        <f>0.006165*F5196^2</f>
        <v>0.6165</v>
      </c>
      <c r="V5196" t="str">
        <v>x</v>
      </c>
      <c r="W5196">
        <f>+D5196</f>
        <v>2</v>
      </c>
      <c r="X5196" t="str">
        <v>x</v>
      </c>
      <c r="Y5196">
        <f>D5190</f>
        <v>1</v>
      </c>
      <c r="Z5196" t="str">
        <v>=</v>
      </c>
      <c r="AA5196">
        <f>(N5196+P5196*R5196/1000)*U5196*W5196*Y5196</f>
        <v>4.346325000000001</v>
      </c>
    </row>
    <row r="5199">
      <c r="A5199" t="str">
        <f>A5184</f>
        <v>Lantai 1</v>
      </c>
      <c r="B5199">
        <f>B5184</f>
        <v>76</v>
      </c>
      <c r="C5199" t="str">
        <v>Tul Bawah Tumpuan</v>
      </c>
      <c r="D5199">
        <f>VLOOKUP(D5184,'Detail Balok'!$C$10:$AU$110,22,FALSE)</f>
        <v>3</v>
      </c>
      <c r="E5199" t="str">
        <v>D</v>
      </c>
      <c r="F5199">
        <f>VLOOKUP(D5184,'Detail Balok'!$C$10:$AU$110,24,FALSE)</f>
        <v>16</v>
      </c>
      <c r="I5199" t="str">
        <v>(</v>
      </c>
      <c r="J5199">
        <f>+J5191</f>
        <v>0.82125</v>
      </c>
      <c r="K5199" t="str">
        <v>+</v>
      </c>
      <c r="L5199">
        <f>MAX(VLOOKUP(F5199,N$6:P$15,3,FALSE)/1000,2/3*D5189/1000)+F$16*F5199/1000</f>
        <v>0.192</v>
      </c>
      <c r="M5199" t="str">
        <v>=</v>
      </c>
      <c r="N5199">
        <f>J5199+L5199</f>
        <v>1.01325</v>
      </c>
      <c r="O5199" t="str">
        <v>+</v>
      </c>
      <c r="P5199">
        <f>D5199-D5200</f>
        <v>0</v>
      </c>
      <c r="Q5199" t="str">
        <v>x</v>
      </c>
      <c r="R5199">
        <f>IF(P5199&gt;0,$F$18*F5199/1000,0)</f>
        <v>0</v>
      </c>
      <c r="S5199" t="str">
        <v>)</v>
      </c>
      <c r="T5199" t="str">
        <v>x</v>
      </c>
      <c r="U5199">
        <f>0.006165*F5199^2</f>
        <v>1.57824</v>
      </c>
      <c r="X5199" t="str">
        <v>x</v>
      </c>
      <c r="Y5199">
        <f>D5190</f>
        <v>1</v>
      </c>
      <c r="Z5199" t="str">
        <v>=</v>
      </c>
      <c r="AA5199">
        <f>IF(AA5202=0,(D5199*N5199+P5199*R5199)*U5199*Y5199,0)</f>
        <v>0</v>
      </c>
    </row>
    <row r="5200">
      <c r="A5200" t="str">
        <f>A5184</f>
        <v>Lantai 1</v>
      </c>
      <c r="B5200">
        <f>B5184</f>
        <v>76</v>
      </c>
      <c r="C5200" t="str">
        <v>Tul Bawah Lapangan</v>
      </c>
      <c r="D5200">
        <f>VLOOKUP(D5184,'Detail Balok'!$C$10:$AU$110,25,FALSE)</f>
        <v>3</v>
      </c>
      <c r="E5200" t="str">
        <v>D</v>
      </c>
      <c r="F5200">
        <f>VLOOKUP(D5184,'Detail Balok'!$C$10:$AU$110,27,FALSE)</f>
        <v>16</v>
      </c>
      <c r="I5200" t="str">
        <v>(</v>
      </c>
      <c r="J5200">
        <f>+J5192</f>
        <v>1.6425</v>
      </c>
      <c r="K5200" t="str">
        <v>+</v>
      </c>
      <c r="M5200" t="str">
        <v>=</v>
      </c>
      <c r="N5200">
        <f>J5200+L5200</f>
        <v>1.6425</v>
      </c>
      <c r="O5200" t="str">
        <v>+</v>
      </c>
      <c r="P5200">
        <f>MAX(D5200-D5199,D5200-D5201)</f>
        <v>0</v>
      </c>
      <c r="Q5200" t="str">
        <v>x</v>
      </c>
      <c r="R5200">
        <f>IF(P5200&gt;0,2*(1-2*$F$19-1/2)*D5187/1000,0)</f>
        <v>0</v>
      </c>
      <c r="S5200" t="str">
        <v>)</v>
      </c>
      <c r="T5200" t="str">
        <v>x</v>
      </c>
      <c r="U5200">
        <f>0.006165*F5200^2</f>
        <v>1.57824</v>
      </c>
      <c r="X5200" t="str">
        <v>x</v>
      </c>
      <c r="Y5200">
        <f>D5190</f>
        <v>1</v>
      </c>
      <c r="Z5200" t="str">
        <v>=</v>
      </c>
      <c r="AA5200">
        <f>IF(AA5202=0,(D5200*N5200+P5200*R5200)*U5200*Y5200,0)</f>
        <v>0</v>
      </c>
    </row>
    <row r="5201">
      <c r="A5201" t="str">
        <f>A5184</f>
        <v>Lantai 1</v>
      </c>
      <c r="B5201">
        <f>B5184</f>
        <v>76</v>
      </c>
      <c r="C5201" t="str">
        <v>Tul Bawah Tumpuan</v>
      </c>
      <c r="D5201">
        <f>VLOOKUP(D5184,'Detail Balok'!$C$10:$AU$110,28,FALSE)</f>
        <v>3</v>
      </c>
      <c r="E5201" t="str">
        <v>D</v>
      </c>
      <c r="F5201">
        <f>VLOOKUP(D5184,'Detail Balok'!$C$10:$AU$110,30,FALSE)</f>
        <v>16</v>
      </c>
      <c r="I5201" t="str">
        <v>(</v>
      </c>
      <c r="J5201">
        <f>+J5193</f>
        <v>0.82125</v>
      </c>
      <c r="K5201" t="str">
        <v>+</v>
      </c>
      <c r="L5201">
        <f>MAX(VLOOKUP(F5201,N$6:P$15,3,FALSE)/1000,2/3*D5189/1000)+F$16*F5201/1000</f>
        <v>0.192</v>
      </c>
      <c r="M5201" t="str">
        <v>=</v>
      </c>
      <c r="N5201">
        <f>J5201+L5201</f>
        <v>1.01325</v>
      </c>
      <c r="O5201" t="str">
        <v>+</v>
      </c>
      <c r="P5201">
        <f>D5201-D5200</f>
        <v>0</v>
      </c>
      <c r="Q5201" t="str">
        <v>x</v>
      </c>
      <c r="R5201">
        <f>IF(P5201&gt;0,$F$18*F5201/1000,0)</f>
        <v>0</v>
      </c>
      <c r="S5201" t="str">
        <v>)</v>
      </c>
      <c r="T5201" t="str">
        <v>x</v>
      </c>
      <c r="U5201">
        <f>0.006165*F5201^2</f>
        <v>1.57824</v>
      </c>
      <c r="X5201" t="str">
        <v>x</v>
      </c>
      <c r="Y5201">
        <f>D5190</f>
        <v>1</v>
      </c>
      <c r="Z5201" t="str">
        <v>=</v>
      </c>
      <c r="AA5201">
        <f>IF(AA5202=0,(D5201*N5201+P5201*R5201)*U5201*Y5201,0)</f>
        <v>0</v>
      </c>
    </row>
    <row r="5202">
      <c r="A5202" t="str">
        <f>A5184</f>
        <v>Lantai 1</v>
      </c>
      <c r="B5202">
        <f>B5184</f>
        <v>76</v>
      </c>
      <c r="D5202">
        <f>IF(AND(D5199=D5200,D5200=D5201,D5199=D5201),D5199,0)</f>
        <v>3</v>
      </c>
      <c r="E5202" t="str">
        <v>D</v>
      </c>
      <c r="F5202">
        <f>IF(AND(F5199=F5200,F5199=F5201,F5200=F5201),F5199,0)</f>
        <v>16</v>
      </c>
      <c r="L5202" t="str">
        <v>Total panjang per balok</v>
      </c>
      <c r="M5202" t="str">
        <v>=</v>
      </c>
      <c r="N5202">
        <f>IF(AND(D5199=D5200,D5199=D5201,D5200=D5201,F5199=F5200,F5199=F5201,F5200=F5201),SUM(N5199:N5201),0)</f>
        <v>3.6690000000000005</v>
      </c>
      <c r="O5202" t="str">
        <v>+</v>
      </c>
      <c r="P5202">
        <f>IF(N5202&gt;12,ROUNDDOWN(N5202/12,0),0)</f>
        <v>0</v>
      </c>
      <c r="Q5202" t="str">
        <v>x</v>
      </c>
      <c r="R5202">
        <f>IF(P5202&gt;0,MAX(VLOOKUP(F5202,$D$6:$G$15,3,FALSE),600),0)/1000</f>
        <v>0</v>
      </c>
      <c r="T5202" t="str">
        <v>x</v>
      </c>
      <c r="U5202">
        <f>U5201</f>
        <v>1.57824</v>
      </c>
      <c r="V5202" t="str">
        <v>x</v>
      </c>
      <c r="W5202">
        <f>D5202</f>
        <v>3</v>
      </c>
      <c r="X5202" t="str">
        <v>x</v>
      </c>
      <c r="Y5202">
        <f>Y5201</f>
        <v>1</v>
      </c>
      <c r="Z5202" t="str">
        <v>=</v>
      </c>
      <c r="AA5202">
        <f>(N5202+P5202*R5202/1000)*U5202*W5202*Y5202</f>
        <v>17.371687680000004</v>
      </c>
    </row>
    <row r="5204">
      <c r="A5204" t="str">
        <f>A5184</f>
        <v>Lantai 1</v>
      </c>
      <c r="B5204">
        <f>B5184</f>
        <v>76</v>
      </c>
      <c r="C5204" t="str">
        <v>Sengkang Tumpuan</v>
      </c>
      <c r="D5204">
        <f>VLOOKUP(D5184,'Detail Balok'!$C$10:$AU$110,31,FALSE)</f>
        <v>0</v>
      </c>
      <c r="E5204" t="str">
        <v>D</v>
      </c>
      <c r="F5204">
        <f>VLOOKUP(D5184,'Detail Balok'!$C$10:$AU$110,33,FALSE)</f>
        <v>10</v>
      </c>
      <c r="G5204" t="str">
        <v>-</v>
      </c>
      <c r="H5204">
        <f>VLOOKUP(D5184,'Detail Balok'!$C$10:$AU$110,35,FALSE)</f>
        <v>200</v>
      </c>
      <c r="J5204">
        <f>(IF(D5204=0,(2*(D5185+G5185))-(F$5*8),IF(D5204=3,(2*(D5185+G5185))-(F$5*8)+(G5185-2*F$5),IF(D5204=4,(2*(D5185+G5185))-(F$5*8)+2*(G5185-2*F$5)))))/1000</f>
        <v>1.08</v>
      </c>
      <c r="K5204" t="str">
        <v>+</v>
      </c>
      <c r="L5204">
        <f>IF(D5204=0,2*MAX(6*F5204,75),(D5204-1)*2*MAX(6*F5204,75))/1000</f>
        <v>0.15</v>
      </c>
      <c r="M5204" t="str">
        <v>=</v>
      </c>
      <c r="N5204">
        <f>J5204+L5204</f>
        <v>1.23</v>
      </c>
      <c r="T5204" t="str">
        <v>x</v>
      </c>
      <c r="U5204">
        <f>0.006165*F5204^2</f>
        <v>0.6165</v>
      </c>
      <c r="V5204" t="str">
        <v>x</v>
      </c>
      <c r="W5204">
        <f>IF(D5187&gt;4*G5185,ROUND(MAX(D5187/4,2*G5185)/H5204,0)+1,ROUND(D5187/H5204,0)+1)</f>
        <v>6</v>
      </c>
      <c r="X5204" t="str">
        <v>x</v>
      </c>
      <c r="Y5204">
        <f>D5190</f>
        <v>1</v>
      </c>
      <c r="Z5204" t="str">
        <v>=</v>
      </c>
      <c r="AA5204">
        <f>N5204*U5204*W5204*Y5204</f>
        <v>4.5497700000000005</v>
      </c>
    </row>
    <row r="5205">
      <c r="A5205" t="str">
        <f>A5184</f>
        <v>Lantai 1</v>
      </c>
      <c r="B5205">
        <f>B5184</f>
        <v>76</v>
      </c>
      <c r="C5205" t="str">
        <v>Sengkang Lapangan</v>
      </c>
      <c r="D5205">
        <f>VLOOKUP(D5184,'Detail Balok'!$C$10:$AU$110,36,FALSE)</f>
        <v>0</v>
      </c>
      <c r="E5205" t="str">
        <v>D</v>
      </c>
      <c r="F5205">
        <f>VLOOKUP(D5184,'Detail Balok'!$C$10:$AU$110,38,FALSE)</f>
        <v>10</v>
      </c>
      <c r="G5205" t="str">
        <v>-</v>
      </c>
      <c r="H5205">
        <f>VLOOKUP(D5184,'Detail Balok'!$C$10:$AU$110,40,FALSE)</f>
        <v>200</v>
      </c>
      <c r="J5205">
        <f>(IF(D5205=0,(2*(D5185+G5185))-(F$5*8),IF(D5205=3,(2*(D5185+G5185))-(F$5*8)+(G5185-2*F$5),IF(D5205=4,(2*(D5185+G5185))-(F$5*8)+2*(G5185-2*F$5)))))/1000</f>
        <v>1.08</v>
      </c>
      <c r="K5205" t="str">
        <v>+</v>
      </c>
      <c r="L5205">
        <f>IF(D5205=0,2*MAX(6*F5205,75),(D5205-1)*2*MAX(6*F5205,75))/1000</f>
        <v>0.15</v>
      </c>
      <c r="M5205" t="str">
        <v>=</v>
      </c>
      <c r="N5205">
        <f>J5205+L5205</f>
        <v>1.23</v>
      </c>
      <c r="T5205" t="str">
        <v>x</v>
      </c>
      <c r="U5205">
        <f>0.006165*F5205^2</f>
        <v>0.6165</v>
      </c>
      <c r="V5205" t="str">
        <v>x</v>
      </c>
      <c r="W5205">
        <f>IF(D5187-MAX(D5187/4,2*G5185)*2&gt;0,ROUND((D5187-MAX(D5187/4,2*G5185)*2)/H5205,0),0)</f>
        <v>6</v>
      </c>
      <c r="X5205" t="str">
        <v>x</v>
      </c>
      <c r="Y5205">
        <f>D5190</f>
        <v>1</v>
      </c>
      <c r="Z5205" t="str">
        <v>=</v>
      </c>
      <c r="AA5205">
        <f>N5205*U5205*W5205*Y5205</f>
        <v>4.5497700000000005</v>
      </c>
    </row>
    <row r="5206">
      <c r="A5206" t="str">
        <f>A5184</f>
        <v>Lantai 1</v>
      </c>
      <c r="B5206">
        <f>B5184</f>
        <v>76</v>
      </c>
      <c r="C5206" t="str">
        <v>Sengkang Tumpuan</v>
      </c>
      <c r="D5206">
        <f>VLOOKUP(D5184,'Detail Balok'!$C$10:$AU$110,41,FALSE)</f>
        <v>0</v>
      </c>
      <c r="E5206" t="str">
        <v>D</v>
      </c>
      <c r="F5206">
        <f>VLOOKUP(D5184,'Detail Balok'!$C$10:$AU$110,43,FALSE)</f>
        <v>10</v>
      </c>
      <c r="G5206" t="str">
        <v>-</v>
      </c>
      <c r="H5206">
        <f>VLOOKUP(D5184,'Detail Balok'!$C$10:$AU$110,45,FALSE)</f>
        <v>200</v>
      </c>
      <c r="J5206">
        <f>(IF(D5206=0,(2*(D5185+G5185))-(F$5*8),IF(D5206=3,(2*(D5185+G5185))-(F$5*8)+(G5185-2*F$5),IF(D5206=4,(2*(D5185+G5185))-(F$5*8)+2*(G5185-2*F$5)))))/1000</f>
        <v>1.08</v>
      </c>
      <c r="K5206" t="str">
        <v>+</v>
      </c>
      <c r="L5206">
        <f>IF(D5206=0,2*MAX(6*F5206,75),(D5206-1)*2*MAX(6*F5206,75))/1000</f>
        <v>0.15</v>
      </c>
      <c r="M5206" t="str">
        <v>=</v>
      </c>
      <c r="N5206">
        <f>J5206+L5206</f>
        <v>1.23</v>
      </c>
      <c r="T5206" t="str">
        <v>x</v>
      </c>
      <c r="U5206">
        <f>0.006165*F5206^2</f>
        <v>0.6165</v>
      </c>
      <c r="V5206" t="str">
        <v>x</v>
      </c>
      <c r="W5206">
        <f>IF(D5187&gt;4*G5185,ROUND(MAX(D5187/4,2*G5185)/H5206,0)+1,0)</f>
        <v>6</v>
      </c>
      <c r="X5206" t="str">
        <v>x</v>
      </c>
      <c r="Y5206">
        <f>D5190</f>
        <v>1</v>
      </c>
      <c r="Z5206" t="str">
        <v>=</v>
      </c>
      <c r="AA5206">
        <f>N5206*U5206*W5206*Y5206</f>
        <v>4.5497700000000005</v>
      </c>
    </row>
    <row r="5208">
      <c r="A5208" t="str">
        <f>A5184</f>
        <v>Lantai 1</v>
      </c>
      <c r="B5208">
        <f>B5184</f>
        <v>76</v>
      </c>
      <c r="C5208" t="str">
        <v>Kait Horizontal Tump.</v>
      </c>
      <c r="D5208">
        <f>VLOOKUP(D5184,'Detail Balok'!$C$10:$BJ$110,46,FALSE)</f>
        <v>0</v>
      </c>
      <c r="E5208" t="str">
        <v>D</v>
      </c>
      <c r="F5208">
        <f>VLOOKUP(D5184,'Detail Balok'!$C$10:$BJ$110,48,FALSE)</f>
        <v>0</v>
      </c>
      <c r="G5208" t="str">
        <v>-</v>
      </c>
      <c r="H5208">
        <f>VLOOKUP(D5184,'Detail Balok'!$C$10:$BJ$110,50,FALSE)</f>
        <v>100</v>
      </c>
      <c r="J5208">
        <f>(D5185-2*F$5)/1000</f>
        <v>0.12</v>
      </c>
      <c r="K5208" t="str">
        <v>+</v>
      </c>
      <c r="L5208">
        <f>IF(D5208=0,2*MAX(6*F5208,75),(D5208-1)*2*MAX(6*F5208,75))/1000</f>
        <v>0.15</v>
      </c>
      <c r="M5208" t="str">
        <v>=</v>
      </c>
      <c r="N5208">
        <f>J5208+L5208</f>
        <v>0.27</v>
      </c>
      <c r="T5208" t="str">
        <v>x</v>
      </c>
      <c r="U5208">
        <f>0.006165*F5208^2</f>
        <v>0</v>
      </c>
      <c r="V5208" t="str">
        <v>x</v>
      </c>
      <c r="W5208">
        <f>W5204</f>
        <v>6</v>
      </c>
      <c r="X5208" t="str">
        <v>x</v>
      </c>
      <c r="Y5208">
        <f>D5194</f>
        <v>0</v>
      </c>
      <c r="Z5208" t="str">
        <v>=</v>
      </c>
      <c r="AA5208">
        <f>N5208*U5208*W5208*Y5208</f>
        <v>0</v>
      </c>
    </row>
    <row r="5209">
      <c r="A5209" t="str">
        <f>A5184</f>
        <v>Lantai 1</v>
      </c>
      <c r="B5209">
        <f>B5184</f>
        <v>76</v>
      </c>
      <c r="C5209" t="str">
        <v>Kait Horizontal Lap.</v>
      </c>
      <c r="D5209">
        <f>VLOOKUP(D5184,'Detail Balok'!$C$10:$BJ$110,51,FALSE)</f>
        <v>0</v>
      </c>
      <c r="E5209" t="str">
        <v>D</v>
      </c>
      <c r="F5209">
        <f>VLOOKUP(D5184,'Detail Balok'!$C$10:$BJ$110,53,FALSE)</f>
        <v>0</v>
      </c>
      <c r="G5209" t="str">
        <v>-</v>
      </c>
      <c r="H5209">
        <f>VLOOKUP(D5184,'Detail Balok'!$C$10:$BJ$110,55,FALSE)</f>
        <v>100</v>
      </c>
      <c r="J5209">
        <f>(D5185-2*F$5)/1000</f>
        <v>0.12</v>
      </c>
      <c r="K5209" t="str">
        <v>+</v>
      </c>
      <c r="L5209">
        <f>IF(D5209=0,2*MAX(6*F5209,75),(D5209-1)*2*MAX(6*F5209,75))/1000</f>
        <v>0.15</v>
      </c>
      <c r="M5209" t="str">
        <v>=</v>
      </c>
      <c r="N5209">
        <f>J5209+L5209</f>
        <v>0.27</v>
      </c>
      <c r="T5209" t="str">
        <v>x</v>
      </c>
      <c r="U5209">
        <f>0.006165*F5209^2</f>
        <v>0</v>
      </c>
      <c r="V5209" t="str">
        <v>x</v>
      </c>
      <c r="W5209">
        <f>W5205</f>
        <v>6</v>
      </c>
      <c r="X5209" t="str">
        <v>x</v>
      </c>
      <c r="Y5209">
        <f>D5194</f>
        <v>0</v>
      </c>
      <c r="Z5209" t="str">
        <v>=</v>
      </c>
      <c r="AA5209">
        <f>N5209*U5209*W5209*Y5209</f>
        <v>0</v>
      </c>
    </row>
    <row r="5210">
      <c r="A5210" t="str">
        <f>A5184</f>
        <v>Lantai 1</v>
      </c>
      <c r="B5210">
        <f>B5184</f>
        <v>76</v>
      </c>
      <c r="C5210" t="str">
        <v>Kait Horizontal Tump.</v>
      </c>
      <c r="D5210">
        <f>VLOOKUP(D5184,'Detail Balok'!$C$10:$BJ$110,56,FALSE)</f>
        <v>0</v>
      </c>
      <c r="E5210" t="str">
        <v>D</v>
      </c>
      <c r="F5210">
        <f>VLOOKUP(D5184,'Detail Balok'!$C$10:$BJ$110,58,FALSE)</f>
        <v>0</v>
      </c>
      <c r="G5210" t="str">
        <v>-</v>
      </c>
      <c r="H5210">
        <f>VLOOKUP(D5184,'Detail Balok'!$C$10:$BJ$110,60,FALSE)</f>
        <v>100</v>
      </c>
      <c r="J5210">
        <f>(D5185-2*F$5)/1000</f>
        <v>0.12</v>
      </c>
      <c r="K5210" t="str">
        <v>+</v>
      </c>
      <c r="L5210">
        <f>IF(D5210=0,2*MAX(6*F5210,75),(D5210-1)*2*MAX(6*F5210,75))/1000</f>
        <v>0.15</v>
      </c>
      <c r="M5210" t="str">
        <v>=</v>
      </c>
      <c r="N5210">
        <f>J5210+L5210</f>
        <v>0.27</v>
      </c>
      <c r="T5210" t="str">
        <v>x</v>
      </c>
      <c r="U5210">
        <f>0.006165*F5210^2</f>
        <v>0</v>
      </c>
      <c r="V5210" t="str">
        <v>x</v>
      </c>
      <c r="W5210">
        <f>W5206</f>
        <v>6</v>
      </c>
      <c r="X5210" t="str">
        <v>x</v>
      </c>
      <c r="Y5210">
        <f>D5194</f>
        <v>0</v>
      </c>
      <c r="Z5210" t="str">
        <v>=</v>
      </c>
      <c r="AA5210">
        <f>N5210*U5210*W5210*Y5210</f>
        <v>0</v>
      </c>
    </row>
    <row r="5214">
      <c r="A5214" t="str">
        <f>A5184</f>
        <v>Lantai 1</v>
      </c>
      <c r="B5214">
        <f>B5184+1</f>
        <v>77</v>
      </c>
      <c r="C5214" t="str">
        <f>CONCATENATE(A5214," no. ",B5214)</f>
        <v>Lantai 1 no. 77</v>
      </c>
      <c r="D5214" t="str">
        <f>VLOOKUP(C5214,'Data Panjang Balok'!$C$9:$N$424,2,FALSE)</f>
        <v>B25-1</v>
      </c>
    </row>
    <row r="5215">
      <c r="C5215" t="str">
        <v>Dimensi</v>
      </c>
      <c r="D5215">
        <f>VLOOKUP(D5214,'Detail Balok'!$C$10:$AU$110,2,FALSE)</f>
        <v>200</v>
      </c>
      <c r="F5215" t="str">
        <v>x</v>
      </c>
      <c r="G5215">
        <f>VLOOKUP(D5214,'Detail Balok'!$C$10:$AU$110,3,FALSE)</f>
        <v>500</v>
      </c>
    </row>
    <row r="5216">
      <c r="C5216" t="str">
        <v>Panjang as ke as</v>
      </c>
      <c r="D5216">
        <f>VLOOKUP(C5214,'Data Panjang Balok'!$C$9:$N$424,4,FALSE)</f>
        <v>3600</v>
      </c>
    </row>
    <row r="5217">
      <c r="C5217" t="str">
        <v>Panjang netto</v>
      </c>
      <c r="D5217">
        <f>VLOOKUP(C5214,'Data Panjang Balok'!$C$9:$N$424,7,FALSE)</f>
        <v>3600</v>
      </c>
    </row>
    <row r="5218">
      <c r="C5218" t="str">
        <v>Kolom / balok kiri</v>
      </c>
      <c r="D5218">
        <f>VLOOKUP(C5214,'Data Panjang Balok'!$C$9:$N$424,9,FALSE)</f>
        <v>0</v>
      </c>
    </row>
    <row r="5219">
      <c r="C5219" t="str">
        <v>Kolom / balok kanan</v>
      </c>
      <c r="D5219">
        <f>VLOOKUP(C5214,'Data Panjang Balok'!$C$9:$N$424,10,FALSE)</f>
        <v>0</v>
      </c>
    </row>
    <row r="5220">
      <c r="C5220" t="str">
        <v>Jumlah</v>
      </c>
      <c r="D5220">
        <f>VLOOKUP(C5214,'Data Panjang Balok'!$C$9:$N$424,3,FALSE)</f>
        <v>1</v>
      </c>
    </row>
    <row r="5221">
      <c r="A5221" t="str">
        <f>A5214</f>
        <v>Lantai 1</v>
      </c>
      <c r="B5221">
        <f>B5214</f>
        <v>77</v>
      </c>
      <c r="C5221" t="str">
        <v>Tul Atas Tumpuan</v>
      </c>
      <c r="D5221">
        <f>VLOOKUP(D5214,'Detail Balok'!$C$10:$AU$110,4,FALSE)</f>
        <v>2</v>
      </c>
      <c r="E5221" t="str">
        <v>D</v>
      </c>
      <c r="F5221">
        <f>VLOOKUP(D5214,'Detail Balok'!$C$10:$AU$110,6,FALSE)</f>
        <v>16</v>
      </c>
      <c r="I5221" t="str">
        <v>(</v>
      </c>
      <c r="J5221">
        <f>+D5216/4/1000</f>
        <v>0.9</v>
      </c>
      <c r="K5221" t="str">
        <v>+</v>
      </c>
      <c r="L5221">
        <f>MAX(VLOOKUP(F5221,N$6:P$15,3,FALSE)/1000,2/3*D5218/1000)+F$16*F5221/1000</f>
        <v>0.192</v>
      </c>
      <c r="M5221" t="str">
        <v>=</v>
      </c>
      <c r="N5221">
        <f>J5221+L5221</f>
        <v>1.092</v>
      </c>
      <c r="O5221" t="str">
        <v>+</v>
      </c>
      <c r="P5221">
        <f>D5221-D5222</f>
        <v>0</v>
      </c>
      <c r="Q5221" t="str">
        <v>x</v>
      </c>
      <c r="R5221">
        <f>IF(P5221&gt;0,$F$18*F5221/1000,0)</f>
        <v>0</v>
      </c>
      <c r="S5221" t="str">
        <v>)</v>
      </c>
      <c r="T5221" t="str">
        <v>x</v>
      </c>
      <c r="U5221">
        <f>0.006165*F5221^2</f>
        <v>1.57824</v>
      </c>
      <c r="X5221" t="str">
        <v>x</v>
      </c>
      <c r="Y5221">
        <f>D5220</f>
        <v>1</v>
      </c>
      <c r="Z5221" t="str">
        <v>=</v>
      </c>
      <c r="AA5221">
        <f>IF(AA5224=0,(D5221*N5221+P5221*R5221)*U5221*Y5221,0)</f>
        <v>0</v>
      </c>
    </row>
    <row r="5222">
      <c r="A5222" t="str">
        <f>A5214</f>
        <v>Lantai 1</v>
      </c>
      <c r="B5222">
        <f>B5214</f>
        <v>77</v>
      </c>
      <c r="C5222" t="str">
        <v>Tul Atas Lapangan</v>
      </c>
      <c r="D5222">
        <f>VLOOKUP(D5214,'Detail Balok'!$C$10:$AU$110,7,FALSE)</f>
        <v>2</v>
      </c>
      <c r="E5222" t="str">
        <v>D</v>
      </c>
      <c r="F5222">
        <f>VLOOKUP(D5214,'Detail Balok'!$C$10:$AU$110,9,FALSE)</f>
        <v>16</v>
      </c>
      <c r="I5222" t="str">
        <v>(</v>
      </c>
      <c r="J5222">
        <f>+D5216/2/1000</f>
        <v>1.8</v>
      </c>
      <c r="K5222" t="str">
        <v>+</v>
      </c>
      <c r="M5222" t="str">
        <v>=</v>
      </c>
      <c r="N5222">
        <f>J5222+L5222</f>
        <v>1.8</v>
      </c>
      <c r="O5222" t="str">
        <v>+</v>
      </c>
      <c r="P5222">
        <f>MAX(D5222-D5221,D5222-D5223)</f>
        <v>0</v>
      </c>
      <c r="Q5222" t="str">
        <v>x</v>
      </c>
      <c r="R5222">
        <f>IF(P5222&gt;0,2*(1-2*$F$19-1/2)*D5217/1000,0)</f>
        <v>0</v>
      </c>
      <c r="S5222" t="str">
        <v>)</v>
      </c>
      <c r="T5222" t="str">
        <v>x</v>
      </c>
      <c r="U5222">
        <f>0.006165*F5222^2</f>
        <v>1.57824</v>
      </c>
      <c r="X5222" t="str">
        <v>x</v>
      </c>
      <c r="Y5222">
        <f>D5220</f>
        <v>1</v>
      </c>
      <c r="Z5222" t="str">
        <v>=</v>
      </c>
      <c r="AA5222">
        <f>IF(AA5224=0,(D5222*N5222+P5222*R5222)*U5222*Y5222,0)</f>
        <v>0</v>
      </c>
    </row>
    <row r="5223">
      <c r="A5223" t="str">
        <f>A5214</f>
        <v>Lantai 1</v>
      </c>
      <c r="B5223">
        <f>B5214</f>
        <v>77</v>
      </c>
      <c r="C5223" t="str">
        <v>Tul Atas Tumpuan</v>
      </c>
      <c r="D5223">
        <f>VLOOKUP(D5214,'Detail Balok'!$C$10:$AU$110,10,FALSE)</f>
        <v>2</v>
      </c>
      <c r="E5223" t="str">
        <v>D</v>
      </c>
      <c r="F5223">
        <f>VLOOKUP(D5214,'Detail Balok'!$C$10:$AU$110,12,FALSE)</f>
        <v>16</v>
      </c>
      <c r="I5223" t="str">
        <v>(</v>
      </c>
      <c r="J5223">
        <f>+D5216/4/1000</f>
        <v>0.9</v>
      </c>
      <c r="K5223" t="str">
        <v>+</v>
      </c>
      <c r="L5223">
        <f>MAX(VLOOKUP(F5223,N$6:P$15,3,FALSE)/1000,2/3*D5218/1000)+F$16*F5223/1000</f>
        <v>0.192</v>
      </c>
      <c r="M5223" t="str">
        <v>=</v>
      </c>
      <c r="N5223">
        <f>J5223+L5223</f>
        <v>1.092</v>
      </c>
      <c r="O5223" t="str">
        <v>+</v>
      </c>
      <c r="P5223">
        <f>D5223-D5222</f>
        <v>0</v>
      </c>
      <c r="Q5223" t="str">
        <v>x</v>
      </c>
      <c r="R5223">
        <f>IF(P5223&gt;0,$F$18*F5223/1000,0)</f>
        <v>0</v>
      </c>
      <c r="S5223" t="str">
        <v>)</v>
      </c>
      <c r="T5223" t="str">
        <v>x</v>
      </c>
      <c r="U5223">
        <f>0.006165*F5223^2</f>
        <v>1.57824</v>
      </c>
      <c r="X5223" t="str">
        <v>x</v>
      </c>
      <c r="Y5223">
        <f>D5220</f>
        <v>1</v>
      </c>
      <c r="Z5223" t="str">
        <v>=</v>
      </c>
      <c r="AA5223">
        <f>IF(AA5224=0,(D5223*N5223+P5223*R5223)*U5223*Y5223,0)</f>
        <v>0</v>
      </c>
    </row>
    <row r="5224">
      <c r="A5224" t="str">
        <f>A5214</f>
        <v>Lantai 1</v>
      </c>
      <c r="B5224">
        <f>B5214</f>
        <v>77</v>
      </c>
      <c r="D5224">
        <f>IF(AND(D5221=D5222,D5222=D5223,D5221=D5223),D5221,0)</f>
        <v>2</v>
      </c>
      <c r="E5224" t="str">
        <v>D</v>
      </c>
      <c r="F5224">
        <f>IF(AND(F5221=F5222,F5221=F5223,F5222=F5223),F5221,0)</f>
        <v>16</v>
      </c>
      <c r="L5224" t="str">
        <v>Total panjang per balok</v>
      </c>
      <c r="M5224" t="str">
        <v>=</v>
      </c>
      <c r="N5224">
        <f>IF(AND(D5221=D5222,D5221=D5223,D5222=D5223,F5221=F5222,F5221=F5223,F5222=F5223),SUM(N5221:N5223),0)</f>
        <v>3.9840000000000004</v>
      </c>
      <c r="O5224" t="str">
        <v>+</v>
      </c>
      <c r="P5224">
        <f>IF(N5224&gt;12,ROUNDDOWN(N5224/12,0),0)</f>
        <v>0</v>
      </c>
      <c r="Q5224" t="str">
        <v>x</v>
      </c>
      <c r="R5224">
        <f>IF(P5224&gt;0,MAX(VLOOKUP(F5224,$D$6:$G$15,3,FALSE),600),0)/1000</f>
        <v>0</v>
      </c>
      <c r="T5224" t="str">
        <v>x</v>
      </c>
      <c r="U5224">
        <f>U5223</f>
        <v>1.57824</v>
      </c>
      <c r="V5224" t="str">
        <v>x</v>
      </c>
      <c r="W5224">
        <f>D5224</f>
        <v>2</v>
      </c>
      <c r="X5224" t="str">
        <v>x</v>
      </c>
      <c r="Y5224">
        <f>Y5223</f>
        <v>1</v>
      </c>
      <c r="Z5224" t="str">
        <v>=</v>
      </c>
      <c r="AA5224">
        <f>(N5224+P5224*R5224/1000)*U5224*W5224*Y5224</f>
        <v>12.575416320000002</v>
      </c>
    </row>
    <row r="5226">
      <c r="A5226" t="str">
        <f>A5214</f>
        <v>Lantai 1</v>
      </c>
      <c r="B5226">
        <f>B5214</f>
        <v>77</v>
      </c>
      <c r="C5226" t="str">
        <v>Tul Peminggang</v>
      </c>
      <c r="D5226">
        <f>VLOOKUP(D5214,'Detail Balok'!$C$10:$AU$110,13,FALSE)</f>
        <v>2</v>
      </c>
      <c r="E5226" t="str">
        <v>D</v>
      </c>
      <c r="F5226">
        <f>VLOOKUP(D5214,'Detail Balok'!$C$10:$AU$110,15,FALSE)</f>
        <v>10</v>
      </c>
      <c r="J5226">
        <f>+D5216/1000</f>
        <v>3.6</v>
      </c>
      <c r="K5226" t="str">
        <v>+</v>
      </c>
      <c r="L5226">
        <f>2*$F$16*F5226/1000</f>
        <v>0.24</v>
      </c>
      <c r="M5226" t="str">
        <v>=</v>
      </c>
      <c r="N5226">
        <f>J5226+L5226</f>
        <v>3.84</v>
      </c>
      <c r="O5226" t="str">
        <v>+</v>
      </c>
      <c r="P5226">
        <f>IF(N5226&gt;12,ROUNDDOWN(N5226/12,0),0)</f>
        <v>0</v>
      </c>
      <c r="Q5226" t="str">
        <v>x</v>
      </c>
      <c r="R5226">
        <f>IF(P5226&gt;0,MAX(VLOOKUP(F5226,$D$6:$G$15,3,FALSE),600),0)/1000</f>
        <v>0</v>
      </c>
      <c r="T5226" t="str">
        <v>x</v>
      </c>
      <c r="U5226">
        <f>0.006165*F5226^2</f>
        <v>0.6165</v>
      </c>
      <c r="V5226" t="str">
        <v>x</v>
      </c>
      <c r="W5226">
        <f>+D5226</f>
        <v>2</v>
      </c>
      <c r="X5226" t="str">
        <v>x</v>
      </c>
      <c r="Y5226">
        <f>D5220</f>
        <v>1</v>
      </c>
      <c r="Z5226" t="str">
        <v>=</v>
      </c>
      <c r="AA5226">
        <f>(N5226+P5226*R5226/1000)*U5226*W5226*Y5226</f>
        <v>4.73472</v>
      </c>
    </row>
    <row r="5229">
      <c r="A5229" t="str">
        <f>A5214</f>
        <v>Lantai 1</v>
      </c>
      <c r="B5229">
        <f>B5214</f>
        <v>77</v>
      </c>
      <c r="C5229" t="str">
        <v>Tul Bawah Tumpuan</v>
      </c>
      <c r="D5229">
        <f>VLOOKUP(D5214,'Detail Balok'!$C$10:$AU$110,22,FALSE)</f>
        <v>2</v>
      </c>
      <c r="E5229" t="str">
        <v>D</v>
      </c>
      <c r="F5229">
        <f>VLOOKUP(D5214,'Detail Balok'!$C$10:$AU$110,24,FALSE)</f>
        <v>16</v>
      </c>
      <c r="I5229" t="str">
        <v>(</v>
      </c>
      <c r="J5229">
        <f>+J5221</f>
        <v>0.9</v>
      </c>
      <c r="K5229" t="str">
        <v>+</v>
      </c>
      <c r="L5229">
        <f>MAX(VLOOKUP(F5229,N$6:P$15,3,FALSE)/1000,2/3*D5219/1000)+F$16*F5229/1000</f>
        <v>0.192</v>
      </c>
      <c r="M5229" t="str">
        <v>=</v>
      </c>
      <c r="N5229">
        <f>J5229+L5229</f>
        <v>1.092</v>
      </c>
      <c r="O5229" t="str">
        <v>+</v>
      </c>
      <c r="P5229">
        <f>D5229-D5230</f>
        <v>0</v>
      </c>
      <c r="Q5229" t="str">
        <v>x</v>
      </c>
      <c r="R5229">
        <f>IF(P5229&gt;0,$F$18*F5229/1000,0)</f>
        <v>0</v>
      </c>
      <c r="S5229" t="str">
        <v>)</v>
      </c>
      <c r="T5229" t="str">
        <v>x</v>
      </c>
      <c r="U5229">
        <f>0.006165*F5229^2</f>
        <v>1.57824</v>
      </c>
      <c r="X5229" t="str">
        <v>x</v>
      </c>
      <c r="Y5229">
        <f>D5220</f>
        <v>1</v>
      </c>
      <c r="Z5229" t="str">
        <v>=</v>
      </c>
      <c r="AA5229">
        <f>IF(AA5232=0,(D5229*N5229+P5229*R5229)*U5229*Y5229,0)</f>
        <v>0</v>
      </c>
    </row>
    <row r="5230">
      <c r="A5230" t="str">
        <f>A5214</f>
        <v>Lantai 1</v>
      </c>
      <c r="B5230">
        <f>B5214</f>
        <v>77</v>
      </c>
      <c r="C5230" t="str">
        <v>Tul Bawah Lapangan</v>
      </c>
      <c r="D5230">
        <f>VLOOKUP(D5214,'Detail Balok'!$C$10:$AU$110,25,FALSE)</f>
        <v>2</v>
      </c>
      <c r="E5230" t="str">
        <v>D</v>
      </c>
      <c r="F5230">
        <f>VLOOKUP(D5214,'Detail Balok'!$C$10:$AU$110,27,FALSE)</f>
        <v>16</v>
      </c>
      <c r="I5230" t="str">
        <v>(</v>
      </c>
      <c r="J5230">
        <f>+J5222</f>
        <v>1.8</v>
      </c>
      <c r="K5230" t="str">
        <v>+</v>
      </c>
      <c r="M5230" t="str">
        <v>=</v>
      </c>
      <c r="N5230">
        <f>J5230+L5230</f>
        <v>1.8</v>
      </c>
      <c r="O5230" t="str">
        <v>+</v>
      </c>
      <c r="P5230">
        <f>MAX(D5230-D5229,D5230-D5231)</f>
        <v>0</v>
      </c>
      <c r="Q5230" t="str">
        <v>x</v>
      </c>
      <c r="R5230">
        <f>IF(P5230&gt;0,2*(1-2*$F$19-1/2)*D5217/1000,0)</f>
        <v>0</v>
      </c>
      <c r="S5230" t="str">
        <v>)</v>
      </c>
      <c r="T5230" t="str">
        <v>x</v>
      </c>
      <c r="U5230">
        <f>0.006165*F5230^2</f>
        <v>1.57824</v>
      </c>
      <c r="X5230" t="str">
        <v>x</v>
      </c>
      <c r="Y5230">
        <f>D5220</f>
        <v>1</v>
      </c>
      <c r="Z5230" t="str">
        <v>=</v>
      </c>
      <c r="AA5230">
        <f>IF(AA5232=0,(D5230*N5230+P5230*R5230)*U5230*Y5230,0)</f>
        <v>0</v>
      </c>
    </row>
    <row r="5231">
      <c r="A5231" t="str">
        <f>A5214</f>
        <v>Lantai 1</v>
      </c>
      <c r="B5231">
        <f>B5214</f>
        <v>77</v>
      </c>
      <c r="C5231" t="str">
        <v>Tul Bawah Tumpuan</v>
      </c>
      <c r="D5231">
        <f>VLOOKUP(D5214,'Detail Balok'!$C$10:$AU$110,28,FALSE)</f>
        <v>2</v>
      </c>
      <c r="E5231" t="str">
        <v>D</v>
      </c>
      <c r="F5231">
        <f>VLOOKUP(D5214,'Detail Balok'!$C$10:$AU$110,30,FALSE)</f>
        <v>16</v>
      </c>
      <c r="I5231" t="str">
        <v>(</v>
      </c>
      <c r="J5231">
        <f>+J5223</f>
        <v>0.9</v>
      </c>
      <c r="K5231" t="str">
        <v>+</v>
      </c>
      <c r="L5231">
        <f>MAX(VLOOKUP(F5231,N$6:P$15,3,FALSE)/1000,2/3*D5219/1000)+F$16*F5231/1000</f>
        <v>0.192</v>
      </c>
      <c r="M5231" t="str">
        <v>=</v>
      </c>
      <c r="N5231">
        <f>J5231+L5231</f>
        <v>1.092</v>
      </c>
      <c r="O5231" t="str">
        <v>+</v>
      </c>
      <c r="P5231">
        <f>D5231-D5230</f>
        <v>0</v>
      </c>
      <c r="Q5231" t="str">
        <v>x</v>
      </c>
      <c r="R5231">
        <f>IF(P5231&gt;0,$F$18*F5231/1000,0)</f>
        <v>0</v>
      </c>
      <c r="S5231" t="str">
        <v>)</v>
      </c>
      <c r="T5231" t="str">
        <v>x</v>
      </c>
      <c r="U5231">
        <f>0.006165*F5231^2</f>
        <v>1.57824</v>
      </c>
      <c r="X5231" t="str">
        <v>x</v>
      </c>
      <c r="Y5231">
        <f>D5220</f>
        <v>1</v>
      </c>
      <c r="Z5231" t="str">
        <v>=</v>
      </c>
      <c r="AA5231">
        <f>IF(AA5232=0,(D5231*N5231+P5231*R5231)*U5231*Y5231,0)</f>
        <v>0</v>
      </c>
    </row>
    <row r="5232">
      <c r="A5232" t="str">
        <f>A5214</f>
        <v>Lantai 1</v>
      </c>
      <c r="B5232">
        <f>B5214</f>
        <v>77</v>
      </c>
      <c r="D5232">
        <f>IF(AND(D5229=D5230,D5230=D5231,D5229=D5231),D5229,0)</f>
        <v>2</v>
      </c>
      <c r="E5232" t="str">
        <v>D</v>
      </c>
      <c r="F5232">
        <f>IF(AND(F5229=F5230,F5229=F5231,F5230=F5231),F5229,0)</f>
        <v>16</v>
      </c>
      <c r="L5232" t="str">
        <v>Total panjang per balok</v>
      </c>
      <c r="M5232" t="str">
        <v>=</v>
      </c>
      <c r="N5232">
        <f>IF(AND(D5229=D5230,D5229=D5231,D5230=D5231,F5229=F5230,F5229=F5231,F5230=F5231),SUM(N5229:N5231),0)</f>
        <v>3.9840000000000004</v>
      </c>
      <c r="O5232" t="str">
        <v>+</v>
      </c>
      <c r="P5232">
        <f>IF(N5232&gt;12,ROUNDDOWN(N5232/12,0),0)</f>
        <v>0</v>
      </c>
      <c r="Q5232" t="str">
        <v>x</v>
      </c>
      <c r="R5232">
        <f>IF(P5232&gt;0,MAX(VLOOKUP(F5232,$D$6:$G$15,3,FALSE),600),0)/1000</f>
        <v>0</v>
      </c>
      <c r="T5232" t="str">
        <v>x</v>
      </c>
      <c r="U5232">
        <f>U5231</f>
        <v>1.57824</v>
      </c>
      <c r="V5232" t="str">
        <v>x</v>
      </c>
      <c r="W5232">
        <f>D5232</f>
        <v>2</v>
      </c>
      <c r="X5232" t="str">
        <v>x</v>
      </c>
      <c r="Y5232">
        <f>Y5231</f>
        <v>1</v>
      </c>
      <c r="Z5232" t="str">
        <v>=</v>
      </c>
      <c r="AA5232">
        <f>(N5232+P5232*R5232/1000)*U5232*W5232*Y5232</f>
        <v>12.575416320000002</v>
      </c>
    </row>
    <row r="5234">
      <c r="A5234" t="str">
        <f>A5214</f>
        <v>Lantai 1</v>
      </c>
      <c r="B5234">
        <f>B5214</f>
        <v>77</v>
      </c>
      <c r="C5234" t="str">
        <v>Sengkang Tumpuan</v>
      </c>
      <c r="D5234">
        <f>VLOOKUP(D5214,'Detail Balok'!$C$10:$AU$110,31,FALSE)</f>
        <v>0</v>
      </c>
      <c r="E5234" t="str">
        <v>D</v>
      </c>
      <c r="F5234">
        <f>VLOOKUP(D5214,'Detail Balok'!$C$10:$AU$110,33,FALSE)</f>
        <v>10</v>
      </c>
      <c r="G5234" t="str">
        <v>-</v>
      </c>
      <c r="H5234">
        <f>VLOOKUP(D5214,'Detail Balok'!$C$10:$AU$110,35,FALSE)</f>
        <v>100</v>
      </c>
      <c r="J5234">
        <f>(IF(D5234=0,(2*(D5215+G5215))-(F$5*8),IF(D5234=3,(2*(D5215+G5215))-(F$5*8)+(G5215-2*F$5),IF(D5234=4,(2*(D5215+G5215))-(F$5*8)+2*(G5215-2*F$5)))))/1000</f>
        <v>1.08</v>
      </c>
      <c r="K5234" t="str">
        <v>+</v>
      </c>
      <c r="L5234">
        <f>IF(D5234=0,2*MAX(6*F5234,75),(D5234-1)*2*MAX(6*F5234,75))/1000</f>
        <v>0.15</v>
      </c>
      <c r="M5234" t="str">
        <v>=</v>
      </c>
      <c r="N5234">
        <f>J5234+L5234</f>
        <v>1.23</v>
      </c>
      <c r="T5234" t="str">
        <v>x</v>
      </c>
      <c r="U5234">
        <f>0.006165*F5234^2</f>
        <v>0.6165</v>
      </c>
      <c r="V5234" t="str">
        <v>x</v>
      </c>
      <c r="W5234">
        <f>IF(D5217&gt;4*G5215,ROUND(MAX(D5217/4,2*G5215)/H5234,0)+1,ROUND(D5217/H5234,0)+1)</f>
        <v>11</v>
      </c>
      <c r="X5234" t="str">
        <v>x</v>
      </c>
      <c r="Y5234">
        <f>D5220</f>
        <v>1</v>
      </c>
      <c r="Z5234" t="str">
        <v>=</v>
      </c>
      <c r="AA5234">
        <f>N5234*U5234*W5234*Y5234</f>
        <v>8.341245</v>
      </c>
    </row>
    <row r="5235">
      <c r="A5235" t="str">
        <f>A5214</f>
        <v>Lantai 1</v>
      </c>
      <c r="B5235">
        <f>B5214</f>
        <v>77</v>
      </c>
      <c r="C5235" t="str">
        <v>Sengkang Lapangan</v>
      </c>
      <c r="D5235">
        <f>VLOOKUP(D5214,'Detail Balok'!$C$10:$AU$110,36,FALSE)</f>
        <v>0</v>
      </c>
      <c r="E5235" t="str">
        <v>D</v>
      </c>
      <c r="F5235">
        <f>VLOOKUP(D5214,'Detail Balok'!$C$10:$AU$110,38,FALSE)</f>
        <v>10</v>
      </c>
      <c r="G5235" t="str">
        <v>-</v>
      </c>
      <c r="H5235">
        <f>VLOOKUP(D5214,'Detail Balok'!$C$10:$AU$110,40,FALSE)</f>
        <v>200</v>
      </c>
      <c r="J5235">
        <f>(IF(D5235=0,(2*(D5215+G5215))-(F$5*8),IF(D5235=3,(2*(D5215+G5215))-(F$5*8)+(G5215-2*F$5),IF(D5235=4,(2*(D5215+G5215))-(F$5*8)+2*(G5215-2*F$5)))))/1000</f>
        <v>1.08</v>
      </c>
      <c r="K5235" t="str">
        <v>+</v>
      </c>
      <c r="L5235">
        <f>IF(D5235=0,2*MAX(6*F5235,75),(D5235-1)*2*MAX(6*F5235,75))/1000</f>
        <v>0.15</v>
      </c>
      <c r="M5235" t="str">
        <v>=</v>
      </c>
      <c r="N5235">
        <f>J5235+L5235</f>
        <v>1.23</v>
      </c>
      <c r="T5235" t="str">
        <v>x</v>
      </c>
      <c r="U5235">
        <f>0.006165*F5235^2</f>
        <v>0.6165</v>
      </c>
      <c r="V5235" t="str">
        <v>x</v>
      </c>
      <c r="W5235">
        <f>IF(D5217-MAX(D5217/4,2*G5215)*2&gt;0,ROUND((D5217-MAX(D5217/4,2*G5215)*2)/H5235,0),0)</f>
        <v>8</v>
      </c>
      <c r="X5235" t="str">
        <v>x</v>
      </c>
      <c r="Y5235">
        <f>D5220</f>
        <v>1</v>
      </c>
      <c r="Z5235" t="str">
        <v>=</v>
      </c>
      <c r="AA5235">
        <f>N5235*U5235*W5235*Y5235</f>
        <v>6.06636</v>
      </c>
    </row>
    <row r="5236">
      <c r="A5236" t="str">
        <f>A5214</f>
        <v>Lantai 1</v>
      </c>
      <c r="B5236">
        <f>B5214</f>
        <v>77</v>
      </c>
      <c r="C5236" t="str">
        <v>Sengkang Tumpuan</v>
      </c>
      <c r="D5236">
        <f>VLOOKUP(D5214,'Detail Balok'!$C$10:$AU$110,41,FALSE)</f>
        <v>0</v>
      </c>
      <c r="E5236" t="str">
        <v>D</v>
      </c>
      <c r="F5236">
        <f>VLOOKUP(D5214,'Detail Balok'!$C$10:$AU$110,43,FALSE)</f>
        <v>10</v>
      </c>
      <c r="G5236" t="str">
        <v>-</v>
      </c>
      <c r="H5236">
        <f>VLOOKUP(D5214,'Detail Balok'!$C$10:$AU$110,45,FALSE)</f>
        <v>100</v>
      </c>
      <c r="J5236">
        <f>(IF(D5236=0,(2*(D5215+G5215))-(F$5*8),IF(D5236=3,(2*(D5215+G5215))-(F$5*8)+(G5215-2*F$5),IF(D5236=4,(2*(D5215+G5215))-(F$5*8)+2*(G5215-2*F$5)))))/1000</f>
        <v>1.08</v>
      </c>
      <c r="K5236" t="str">
        <v>+</v>
      </c>
      <c r="L5236">
        <f>IF(D5236=0,2*MAX(6*F5236,75),(D5236-1)*2*MAX(6*F5236,75))/1000</f>
        <v>0.15</v>
      </c>
      <c r="M5236" t="str">
        <v>=</v>
      </c>
      <c r="N5236">
        <f>J5236+L5236</f>
        <v>1.23</v>
      </c>
      <c r="T5236" t="str">
        <v>x</v>
      </c>
      <c r="U5236">
        <f>0.006165*F5236^2</f>
        <v>0.6165</v>
      </c>
      <c r="V5236" t="str">
        <v>x</v>
      </c>
      <c r="W5236">
        <f>IF(D5217&gt;4*G5215,ROUND(MAX(D5217/4,2*G5215)/H5236,0)+1,0)</f>
        <v>11</v>
      </c>
      <c r="X5236" t="str">
        <v>x</v>
      </c>
      <c r="Y5236">
        <f>D5220</f>
        <v>1</v>
      </c>
      <c r="Z5236" t="str">
        <v>=</v>
      </c>
      <c r="AA5236">
        <f>N5236*U5236*W5236*Y5236</f>
        <v>8.341245</v>
      </c>
    </row>
    <row r="5238">
      <c r="A5238" t="str">
        <f>A5214</f>
        <v>Lantai 1</v>
      </c>
      <c r="B5238">
        <f>B5214</f>
        <v>77</v>
      </c>
      <c r="C5238" t="str">
        <v>Kait Horizontal Tump.</v>
      </c>
      <c r="D5238">
        <f>VLOOKUP(D5214,'Detail Balok'!$C$10:$BJ$110,46,FALSE)</f>
        <v>0</v>
      </c>
      <c r="E5238" t="str">
        <v>D</v>
      </c>
      <c r="F5238">
        <f>VLOOKUP(D5214,'Detail Balok'!$C$10:$BJ$110,48,FALSE)</f>
        <v>0</v>
      </c>
      <c r="G5238" t="str">
        <v>-</v>
      </c>
      <c r="H5238">
        <f>VLOOKUP(D5214,'Detail Balok'!$C$10:$BJ$110,50,FALSE)</f>
        <v>100</v>
      </c>
      <c r="J5238">
        <f>(D5215-2*F$5)/1000</f>
        <v>0.12</v>
      </c>
      <c r="K5238" t="str">
        <v>+</v>
      </c>
      <c r="L5238">
        <f>IF(D5238=0,2*MAX(6*F5238,75),(D5238-1)*2*MAX(6*F5238,75))/1000</f>
        <v>0.15</v>
      </c>
      <c r="M5238" t="str">
        <v>=</v>
      </c>
      <c r="N5238">
        <f>J5238+L5238</f>
        <v>0.27</v>
      </c>
      <c r="T5238" t="str">
        <v>x</v>
      </c>
      <c r="U5238">
        <f>0.006165*F5238^2</f>
        <v>0</v>
      </c>
      <c r="V5238" t="str">
        <v>x</v>
      </c>
      <c r="W5238">
        <f>W5234</f>
        <v>11</v>
      </c>
      <c r="X5238" t="str">
        <v>x</v>
      </c>
      <c r="Y5238">
        <f>D5224</f>
        <v>2</v>
      </c>
      <c r="Z5238" t="str">
        <v>=</v>
      </c>
      <c r="AA5238">
        <f>N5238*U5238*W5238*Y5238</f>
        <v>0</v>
      </c>
    </row>
    <row r="5239">
      <c r="A5239" t="str">
        <f>A5214</f>
        <v>Lantai 1</v>
      </c>
      <c r="B5239">
        <f>B5214</f>
        <v>77</v>
      </c>
      <c r="C5239" t="str">
        <v>Kait Horizontal Lap.</v>
      </c>
      <c r="D5239">
        <f>VLOOKUP(D5214,'Detail Balok'!$C$10:$BJ$110,51,FALSE)</f>
        <v>0</v>
      </c>
      <c r="E5239" t="str">
        <v>D</v>
      </c>
      <c r="F5239">
        <f>VLOOKUP(D5214,'Detail Balok'!$C$10:$BJ$110,53,FALSE)</f>
        <v>0</v>
      </c>
      <c r="G5239" t="str">
        <v>-</v>
      </c>
      <c r="H5239">
        <f>VLOOKUP(D5214,'Detail Balok'!$C$10:$BJ$110,55,FALSE)</f>
        <v>100</v>
      </c>
      <c r="J5239">
        <f>(D5215-2*F$5)/1000</f>
        <v>0.12</v>
      </c>
      <c r="K5239" t="str">
        <v>+</v>
      </c>
      <c r="L5239">
        <f>IF(D5239=0,2*MAX(6*F5239,75),(D5239-1)*2*MAX(6*F5239,75))/1000</f>
        <v>0.15</v>
      </c>
      <c r="M5239" t="str">
        <v>=</v>
      </c>
      <c r="N5239">
        <f>J5239+L5239</f>
        <v>0.27</v>
      </c>
      <c r="T5239" t="str">
        <v>x</v>
      </c>
      <c r="U5239">
        <f>0.006165*F5239^2</f>
        <v>0</v>
      </c>
      <c r="V5239" t="str">
        <v>x</v>
      </c>
      <c r="W5239">
        <f>W5235</f>
        <v>8</v>
      </c>
      <c r="X5239" t="str">
        <v>x</v>
      </c>
      <c r="Y5239">
        <f>D5224</f>
        <v>2</v>
      </c>
      <c r="Z5239" t="str">
        <v>=</v>
      </c>
      <c r="AA5239">
        <f>N5239*U5239*W5239*Y5239</f>
        <v>0</v>
      </c>
    </row>
    <row r="5240">
      <c r="A5240" t="str">
        <f>A5214</f>
        <v>Lantai 1</v>
      </c>
      <c r="B5240">
        <f>B5214</f>
        <v>77</v>
      </c>
      <c r="C5240" t="str">
        <v>Kait Horizontal Tump.</v>
      </c>
      <c r="D5240">
        <f>VLOOKUP(D5214,'Detail Balok'!$C$10:$BJ$110,56,FALSE)</f>
        <v>0</v>
      </c>
      <c r="E5240" t="str">
        <v>D</v>
      </c>
      <c r="F5240">
        <f>VLOOKUP(D5214,'Detail Balok'!$C$10:$BJ$110,58,FALSE)</f>
        <v>0</v>
      </c>
      <c r="G5240" t="str">
        <v>-</v>
      </c>
      <c r="H5240">
        <f>VLOOKUP(D5214,'Detail Balok'!$C$10:$BJ$110,60,FALSE)</f>
        <v>100</v>
      </c>
      <c r="J5240">
        <f>(D5215-2*F$5)/1000</f>
        <v>0.12</v>
      </c>
      <c r="K5240" t="str">
        <v>+</v>
      </c>
      <c r="L5240">
        <f>IF(D5240=0,2*MAX(6*F5240,75),(D5240-1)*2*MAX(6*F5240,75))/1000</f>
        <v>0.15</v>
      </c>
      <c r="M5240" t="str">
        <v>=</v>
      </c>
      <c r="N5240">
        <f>J5240+L5240</f>
        <v>0.27</v>
      </c>
      <c r="T5240" t="str">
        <v>x</v>
      </c>
      <c r="U5240">
        <f>0.006165*F5240^2</f>
        <v>0</v>
      </c>
      <c r="V5240" t="str">
        <v>x</v>
      </c>
      <c r="W5240">
        <f>W5236</f>
        <v>11</v>
      </c>
      <c r="X5240" t="str">
        <v>x</v>
      </c>
      <c r="Y5240">
        <f>D5224</f>
        <v>2</v>
      </c>
      <c r="Z5240" t="str">
        <v>=</v>
      </c>
      <c r="AA5240">
        <f>N5240*U5240*W5240*Y5240</f>
        <v>0</v>
      </c>
    </row>
    <row r="5244">
      <c r="A5244" t="str">
        <f>A5214</f>
        <v>Lantai 1</v>
      </c>
      <c r="B5244">
        <f>B5214+1</f>
        <v>78</v>
      </c>
      <c r="C5244" t="str">
        <f>CONCATENATE(A5244," no. ",B5244)</f>
        <v>Lantai 1 no. 78</v>
      </c>
      <c r="D5244" t="str">
        <f>VLOOKUP(C5244,'Data Panjang Balok'!$C$9:$N$424,2,FALSE)</f>
        <v>B37-1</v>
      </c>
    </row>
    <row r="5245">
      <c r="C5245" t="str">
        <v>Dimensi</v>
      </c>
      <c r="D5245">
        <f>VLOOKUP(D5244,'Detail Balok'!$C$10:$AU$110,2,FALSE)</f>
        <v>300</v>
      </c>
      <c r="F5245" t="str">
        <v>x</v>
      </c>
      <c r="G5245">
        <f>VLOOKUP(D5244,'Detail Balok'!$C$10:$AU$110,3,FALSE)</f>
        <v>700</v>
      </c>
    </row>
    <row r="5246">
      <c r="C5246" t="str">
        <v>Panjang as ke as</v>
      </c>
      <c r="D5246">
        <f>VLOOKUP(C5244,'Data Panjang Balok'!$C$9:$N$424,4,FALSE)</f>
        <v>2885</v>
      </c>
    </row>
    <row r="5247">
      <c r="C5247" t="str">
        <v>Panjang netto</v>
      </c>
      <c r="D5247">
        <f>VLOOKUP(C5244,'Data Panjang Balok'!$C$9:$N$424,7,FALSE)</f>
        <v>2885</v>
      </c>
    </row>
    <row r="5248">
      <c r="C5248" t="str">
        <v>Kolom / balok kiri</v>
      </c>
      <c r="D5248">
        <f>VLOOKUP(C5244,'Data Panjang Balok'!$C$9:$N$424,9,FALSE)</f>
        <v>0</v>
      </c>
    </row>
    <row r="5249">
      <c r="C5249" t="str">
        <v>Kolom / balok kanan</v>
      </c>
      <c r="D5249">
        <f>VLOOKUP(C5244,'Data Panjang Balok'!$C$9:$N$424,10,FALSE)</f>
        <v>0</v>
      </c>
    </row>
    <row r="5250">
      <c r="C5250" t="str">
        <v>Jumlah</v>
      </c>
      <c r="D5250">
        <f>VLOOKUP(C5244,'Data Panjang Balok'!$C$9:$N$424,3,FALSE)</f>
        <v>1</v>
      </c>
    </row>
    <row r="5251">
      <c r="A5251" t="str">
        <f>A5244</f>
        <v>Lantai 1</v>
      </c>
      <c r="B5251">
        <f>B5244</f>
        <v>78</v>
      </c>
      <c r="C5251" t="str">
        <v>Tul Atas Tumpuan</v>
      </c>
      <c r="D5251">
        <f>VLOOKUP(D5244,'Detail Balok'!$C$10:$AU$110,4,FALSE)</f>
        <v>7</v>
      </c>
      <c r="E5251" t="str">
        <v>D</v>
      </c>
      <c r="F5251">
        <f>VLOOKUP(D5244,'Detail Balok'!$C$10:$AU$110,6,FALSE)</f>
        <v>22</v>
      </c>
      <c r="I5251" t="str">
        <v>(</v>
      </c>
      <c r="J5251">
        <f>+D5246/4/1000</f>
        <v>0.72125</v>
      </c>
      <c r="K5251" t="str">
        <v>+</v>
      </c>
      <c r="L5251">
        <f>MAX(VLOOKUP(F5251,N$6:P$15,3,FALSE)/1000,2/3*D5248/1000)+F$16*F5251/1000</f>
        <v>0.264</v>
      </c>
      <c r="M5251" t="str">
        <v>=</v>
      </c>
      <c r="N5251">
        <f>J5251+L5251</f>
        <v>0.98525</v>
      </c>
      <c r="O5251" t="str">
        <v>+</v>
      </c>
      <c r="P5251">
        <f>D5251-D5252</f>
        <v>5</v>
      </c>
      <c r="Q5251" t="str">
        <v>x</v>
      </c>
      <c r="R5251">
        <f>IF(P5251&gt;0,$F$18*F5251/1000,0)</f>
        <v>0.33</v>
      </c>
      <c r="S5251" t="str">
        <v>)</v>
      </c>
      <c r="T5251" t="str">
        <v>x</v>
      </c>
      <c r="U5251">
        <f>0.006165*F5251^2</f>
        <v>2.98386</v>
      </c>
      <c r="X5251" t="str">
        <v>x</v>
      </c>
      <c r="Y5251">
        <f>D5250</f>
        <v>1</v>
      </c>
      <c r="Z5251" t="str">
        <v>=</v>
      </c>
      <c r="AA5251">
        <f>IF(AA5254=0,(D5251*N5251+P5251*R5251)*U5251*Y5251,0)</f>
        <v>25.502305455</v>
      </c>
    </row>
    <row r="5252">
      <c r="A5252" t="str">
        <f>A5244</f>
        <v>Lantai 1</v>
      </c>
      <c r="B5252">
        <f>B5244</f>
        <v>78</v>
      </c>
      <c r="C5252" t="str">
        <v>Tul Atas Lapangan</v>
      </c>
      <c r="D5252">
        <f>VLOOKUP(D5244,'Detail Balok'!$C$10:$AU$110,7,FALSE)</f>
        <v>2</v>
      </c>
      <c r="E5252" t="str">
        <v>D</v>
      </c>
      <c r="F5252">
        <f>VLOOKUP(D5244,'Detail Balok'!$C$10:$AU$110,9,FALSE)</f>
        <v>22</v>
      </c>
      <c r="I5252" t="str">
        <v>(</v>
      </c>
      <c r="J5252">
        <f>+D5246/2/1000</f>
        <v>1.4425</v>
      </c>
      <c r="K5252" t="str">
        <v>+</v>
      </c>
      <c r="M5252" t="str">
        <v>=</v>
      </c>
      <c r="N5252">
        <f>J5252+L5252</f>
        <v>1.4425</v>
      </c>
      <c r="O5252" t="str">
        <v>+</v>
      </c>
      <c r="P5252">
        <f>MAX(D5252-D5251,D5252-D5253)</f>
        <v>-5</v>
      </c>
      <c r="Q5252" t="str">
        <v>x</v>
      </c>
      <c r="R5252">
        <f>IF(P5252&gt;0,2*(1-2*$F$19-1/2)*D5247/1000,0)</f>
        <v>0</v>
      </c>
      <c r="S5252" t="str">
        <v>)</v>
      </c>
      <c r="T5252" t="str">
        <v>x</v>
      </c>
      <c r="U5252">
        <f>0.006165*F5252^2</f>
        <v>2.98386</v>
      </c>
      <c r="X5252" t="str">
        <v>x</v>
      </c>
      <c r="Y5252">
        <f>D5250</f>
        <v>1</v>
      </c>
      <c r="Z5252" t="str">
        <v>=</v>
      </c>
      <c r="AA5252">
        <f>IF(AA5254=0,(D5252*N5252+P5252*R5252)*U5252*Y5252,0)</f>
        <v>8.608436099999999</v>
      </c>
    </row>
    <row r="5253">
      <c r="A5253" t="str">
        <f>A5244</f>
        <v>Lantai 1</v>
      </c>
      <c r="B5253">
        <f>B5244</f>
        <v>78</v>
      </c>
      <c r="C5253" t="str">
        <v>Tul Atas Tumpuan</v>
      </c>
      <c r="D5253">
        <f>VLOOKUP(D5244,'Detail Balok'!$C$10:$AU$110,10,FALSE)</f>
        <v>7</v>
      </c>
      <c r="E5253" t="str">
        <v>D</v>
      </c>
      <c r="F5253">
        <f>VLOOKUP(D5244,'Detail Balok'!$C$10:$AU$110,12,FALSE)</f>
        <v>22</v>
      </c>
      <c r="I5253" t="str">
        <v>(</v>
      </c>
      <c r="J5253">
        <f>+D5246/4/1000</f>
        <v>0.72125</v>
      </c>
      <c r="K5253" t="str">
        <v>+</v>
      </c>
      <c r="L5253">
        <f>MAX(VLOOKUP(F5253,N$6:P$15,3,FALSE)/1000,2/3*D5248/1000)+F$16*F5253/1000</f>
        <v>0.264</v>
      </c>
      <c r="M5253" t="str">
        <v>=</v>
      </c>
      <c r="N5253">
        <f>J5253+L5253</f>
        <v>0.98525</v>
      </c>
      <c r="O5253" t="str">
        <v>+</v>
      </c>
      <c r="P5253">
        <f>D5253-D5252</f>
        <v>5</v>
      </c>
      <c r="Q5253" t="str">
        <v>x</v>
      </c>
      <c r="R5253">
        <f>IF(P5253&gt;0,$F$18*F5253/1000,0)</f>
        <v>0.33</v>
      </c>
      <c r="S5253" t="str">
        <v>)</v>
      </c>
      <c r="T5253" t="str">
        <v>x</v>
      </c>
      <c r="U5253">
        <f>0.006165*F5253^2</f>
        <v>2.98386</v>
      </c>
      <c r="X5253" t="str">
        <v>x</v>
      </c>
      <c r="Y5253">
        <f>D5250</f>
        <v>1</v>
      </c>
      <c r="Z5253" t="str">
        <v>=</v>
      </c>
      <c r="AA5253">
        <f>IF(AA5254=0,(D5253*N5253+P5253*R5253)*U5253*Y5253,0)</f>
        <v>25.502305455</v>
      </c>
    </row>
    <row r="5254">
      <c r="A5254" t="str">
        <f>A5244</f>
        <v>Lantai 1</v>
      </c>
      <c r="B5254">
        <f>B5244</f>
        <v>78</v>
      </c>
      <c r="D5254">
        <f>IF(AND(D5251=D5252,D5252=D5253,D5251=D5253),D5251,0)</f>
        <v>0</v>
      </c>
      <c r="E5254" t="str">
        <v>D</v>
      </c>
      <c r="F5254">
        <f>IF(AND(F5251=F5252,F5251=F5253,F5252=F5253),F5251,0)</f>
        <v>22</v>
      </c>
      <c r="L5254" t="str">
        <v>Total panjang per balok</v>
      </c>
      <c r="M5254" t="str">
        <v>=</v>
      </c>
      <c r="N5254">
        <f>IF(AND(D5251=D5252,D5251=D5253,D5252=D5253,F5251=F5252,F5251=F5253,F5252=F5253),SUM(N5251:N5253),0)</f>
        <v>0</v>
      </c>
      <c r="O5254" t="str">
        <v>+</v>
      </c>
      <c r="P5254">
        <f>IF(N5254&gt;12,ROUNDDOWN(N5254/12,0),0)</f>
        <v>0</v>
      </c>
      <c r="Q5254" t="str">
        <v>x</v>
      </c>
      <c r="R5254">
        <f>IF(P5254&gt;0,MAX(VLOOKUP(F5254,$D$6:$G$15,3,FALSE),600),0)/1000</f>
        <v>0</v>
      </c>
      <c r="T5254" t="str">
        <v>x</v>
      </c>
      <c r="U5254">
        <f>U5253</f>
        <v>2.98386</v>
      </c>
      <c r="V5254" t="str">
        <v>x</v>
      </c>
      <c r="W5254">
        <f>D5254</f>
        <v>0</v>
      </c>
      <c r="X5254" t="str">
        <v>x</v>
      </c>
      <c r="Y5254">
        <f>Y5253</f>
        <v>1</v>
      </c>
      <c r="Z5254" t="str">
        <v>=</v>
      </c>
      <c r="AA5254">
        <f>(N5254+P5254*R5254/1000)*U5254*W5254*Y5254</f>
        <v>0</v>
      </c>
    </row>
    <row r="5256">
      <c r="A5256" t="str">
        <f>A5244</f>
        <v>Lantai 1</v>
      </c>
      <c r="B5256">
        <f>B5244</f>
        <v>78</v>
      </c>
      <c r="C5256" t="str">
        <v>Tul Peminggang</v>
      </c>
      <c r="D5256">
        <f>VLOOKUP(D5244,'Detail Balok'!$C$10:$AU$110,13,FALSE)</f>
        <v>2</v>
      </c>
      <c r="E5256" t="str">
        <v>D</v>
      </c>
      <c r="F5256">
        <f>VLOOKUP(D5244,'Detail Balok'!$C$10:$AU$110,15,FALSE)</f>
        <v>10</v>
      </c>
      <c r="J5256">
        <f>+D5246/1000</f>
        <v>2.885</v>
      </c>
      <c r="K5256" t="str">
        <v>+</v>
      </c>
      <c r="L5256">
        <f>2*$F$16*F5256/1000</f>
        <v>0.24</v>
      </c>
      <c r="M5256" t="str">
        <v>=</v>
      </c>
      <c r="N5256">
        <f>J5256+L5256</f>
        <v>3.125</v>
      </c>
      <c r="O5256" t="str">
        <v>+</v>
      </c>
      <c r="P5256">
        <f>IF(N5256&gt;12,ROUNDDOWN(N5256/12,0),0)</f>
        <v>0</v>
      </c>
      <c r="Q5256" t="str">
        <v>x</v>
      </c>
      <c r="R5256">
        <f>IF(P5256&gt;0,MAX(VLOOKUP(F5256,$D$6:$G$15,3,FALSE),600),0)/1000</f>
        <v>0</v>
      </c>
      <c r="T5256" t="str">
        <v>x</v>
      </c>
      <c r="U5256">
        <f>0.006165*F5256^2</f>
        <v>0.6165</v>
      </c>
      <c r="V5256" t="str">
        <v>x</v>
      </c>
      <c r="W5256">
        <f>+D5256</f>
        <v>2</v>
      </c>
      <c r="X5256" t="str">
        <v>x</v>
      </c>
      <c r="Y5256">
        <f>D5250</f>
        <v>1</v>
      </c>
      <c r="Z5256" t="str">
        <v>=</v>
      </c>
      <c r="AA5256">
        <f>(N5256+P5256*R5256/1000)*U5256*W5256*Y5256</f>
        <v>3.8531250000000004</v>
      </c>
    </row>
    <row r="5259">
      <c r="A5259" t="str">
        <f>A5244</f>
        <v>Lantai 1</v>
      </c>
      <c r="B5259">
        <f>B5244</f>
        <v>78</v>
      </c>
      <c r="C5259" t="str">
        <v>Tul Bawah Tumpuan</v>
      </c>
      <c r="D5259">
        <f>VLOOKUP(D5244,'Detail Balok'!$C$10:$AU$110,22,FALSE)</f>
        <v>4</v>
      </c>
      <c r="E5259" t="str">
        <v>D</v>
      </c>
      <c r="F5259">
        <f>VLOOKUP(D5244,'Detail Balok'!$C$10:$AU$110,24,FALSE)</f>
        <v>22</v>
      </c>
      <c r="I5259" t="str">
        <v>(</v>
      </c>
      <c r="J5259">
        <f>+J5251</f>
        <v>0.72125</v>
      </c>
      <c r="K5259" t="str">
        <v>+</v>
      </c>
      <c r="L5259">
        <f>MAX(VLOOKUP(F5259,N$6:P$15,3,FALSE)/1000,2/3*D5249/1000)+F$16*F5259/1000</f>
        <v>0.264</v>
      </c>
      <c r="M5259" t="str">
        <v>=</v>
      </c>
      <c r="N5259">
        <f>J5259+L5259</f>
        <v>0.98525</v>
      </c>
      <c r="O5259" t="str">
        <v>+</v>
      </c>
      <c r="P5259">
        <f>D5259-D5260</f>
        <v>-2</v>
      </c>
      <c r="Q5259" t="str">
        <v>x</v>
      </c>
      <c r="R5259">
        <f>IF(P5259&gt;0,$F$18*F5259/1000,0)</f>
        <v>0</v>
      </c>
      <c r="S5259" t="str">
        <v>)</v>
      </c>
      <c r="T5259" t="str">
        <v>x</v>
      </c>
      <c r="U5259">
        <f>0.006165*F5259^2</f>
        <v>2.98386</v>
      </c>
      <c r="X5259" t="str">
        <v>x</v>
      </c>
      <c r="Y5259">
        <f>D5250</f>
        <v>1</v>
      </c>
      <c r="Z5259" t="str">
        <v>=</v>
      </c>
      <c r="AA5259">
        <f>IF(AA5262=0,(D5259*N5259+P5259*R5259)*U5259*Y5259,0)</f>
        <v>11.759392259999998</v>
      </c>
    </row>
    <row r="5260">
      <c r="A5260" t="str">
        <f>A5244</f>
        <v>Lantai 1</v>
      </c>
      <c r="B5260">
        <f>B5244</f>
        <v>78</v>
      </c>
      <c r="C5260" t="str">
        <v>Tul Bawah Lapangan</v>
      </c>
      <c r="D5260">
        <f>VLOOKUP(D5244,'Detail Balok'!$C$10:$AU$110,25,FALSE)</f>
        <v>6</v>
      </c>
      <c r="E5260" t="str">
        <v>D</v>
      </c>
      <c r="F5260">
        <f>VLOOKUP(D5244,'Detail Balok'!$C$10:$AU$110,27,FALSE)</f>
        <v>22</v>
      </c>
      <c r="I5260" t="str">
        <v>(</v>
      </c>
      <c r="J5260">
        <f>+J5252</f>
        <v>1.4425</v>
      </c>
      <c r="K5260" t="str">
        <v>+</v>
      </c>
      <c r="M5260" t="str">
        <v>=</v>
      </c>
      <c r="N5260">
        <f>J5260+L5260</f>
        <v>1.4425</v>
      </c>
      <c r="O5260" t="str">
        <v>+</v>
      </c>
      <c r="P5260">
        <f>MAX(D5260-D5259,D5260-D5261)</f>
        <v>2</v>
      </c>
      <c r="Q5260" t="str">
        <v>x</v>
      </c>
      <c r="R5260">
        <f>IF(P5260&gt;0,2*(1-2*$F$19-1/2)*D5247/1000,0)</f>
        <v>0.5769999999999998</v>
      </c>
      <c r="S5260" t="str">
        <v>)</v>
      </c>
      <c r="T5260" t="str">
        <v>x</v>
      </c>
      <c r="U5260">
        <f>0.006165*F5260^2</f>
        <v>2.98386</v>
      </c>
      <c r="X5260" t="str">
        <v>x</v>
      </c>
      <c r="Y5260">
        <f>D5250</f>
        <v>1</v>
      </c>
      <c r="Z5260" t="str">
        <v>=</v>
      </c>
      <c r="AA5260">
        <f>IF(AA5262=0,(D5260*N5260+P5260*R5260)*U5260*Y5260,0)</f>
        <v>29.26868274</v>
      </c>
    </row>
    <row r="5261">
      <c r="A5261" t="str">
        <f>A5244</f>
        <v>Lantai 1</v>
      </c>
      <c r="B5261">
        <f>B5244</f>
        <v>78</v>
      </c>
      <c r="C5261" t="str">
        <v>Tul Bawah Tumpuan</v>
      </c>
      <c r="D5261">
        <f>VLOOKUP(D5244,'Detail Balok'!$C$10:$AU$110,28,FALSE)</f>
        <v>4</v>
      </c>
      <c r="E5261" t="str">
        <v>D</v>
      </c>
      <c r="F5261">
        <f>VLOOKUP(D5244,'Detail Balok'!$C$10:$AU$110,30,FALSE)</f>
        <v>22</v>
      </c>
      <c r="I5261" t="str">
        <v>(</v>
      </c>
      <c r="J5261">
        <f>+J5253</f>
        <v>0.72125</v>
      </c>
      <c r="K5261" t="str">
        <v>+</v>
      </c>
      <c r="L5261">
        <f>MAX(VLOOKUP(F5261,N$6:P$15,3,FALSE)/1000,2/3*D5249/1000)+F$16*F5261/1000</f>
        <v>0.264</v>
      </c>
      <c r="M5261" t="str">
        <v>=</v>
      </c>
      <c r="N5261">
        <f>J5261+L5261</f>
        <v>0.98525</v>
      </c>
      <c r="O5261" t="str">
        <v>+</v>
      </c>
      <c r="P5261">
        <f>D5261-D5260</f>
        <v>-2</v>
      </c>
      <c r="Q5261" t="str">
        <v>x</v>
      </c>
      <c r="R5261">
        <f>IF(P5261&gt;0,$F$18*F5261/1000,0)</f>
        <v>0</v>
      </c>
      <c r="S5261" t="str">
        <v>)</v>
      </c>
      <c r="T5261" t="str">
        <v>x</v>
      </c>
      <c r="U5261">
        <f>0.006165*F5261^2</f>
        <v>2.98386</v>
      </c>
      <c r="X5261" t="str">
        <v>x</v>
      </c>
      <c r="Y5261">
        <f>D5250</f>
        <v>1</v>
      </c>
      <c r="Z5261" t="str">
        <v>=</v>
      </c>
      <c r="AA5261">
        <f>IF(AA5262=0,(D5261*N5261+P5261*R5261)*U5261*Y5261,0)</f>
        <v>11.759392259999998</v>
      </c>
    </row>
    <row r="5262">
      <c r="A5262" t="str">
        <f>A5244</f>
        <v>Lantai 1</v>
      </c>
      <c r="B5262">
        <f>B5244</f>
        <v>78</v>
      </c>
      <c r="D5262">
        <f>IF(AND(D5259=D5260,D5260=D5261,D5259=D5261),D5259,0)</f>
        <v>0</v>
      </c>
      <c r="E5262" t="str">
        <v>D</v>
      </c>
      <c r="F5262">
        <f>IF(AND(F5259=F5260,F5259=F5261,F5260=F5261),F5259,0)</f>
        <v>22</v>
      </c>
      <c r="L5262" t="str">
        <v>Total panjang per balok</v>
      </c>
      <c r="M5262" t="str">
        <v>=</v>
      </c>
      <c r="N5262">
        <f>IF(AND(D5259=D5260,D5259=D5261,D5260=D5261,F5259=F5260,F5259=F5261,F5260=F5261),SUM(N5259:N5261),0)</f>
        <v>0</v>
      </c>
      <c r="O5262" t="str">
        <v>+</v>
      </c>
      <c r="P5262">
        <f>IF(N5262&gt;12,ROUNDDOWN(N5262/12,0),0)</f>
        <v>0</v>
      </c>
      <c r="Q5262" t="str">
        <v>x</v>
      </c>
      <c r="R5262">
        <f>IF(P5262&gt;0,MAX(VLOOKUP(F5262,$D$6:$G$15,3,FALSE),600),0)/1000</f>
        <v>0</v>
      </c>
      <c r="T5262" t="str">
        <v>x</v>
      </c>
      <c r="U5262">
        <f>U5261</f>
        <v>2.98386</v>
      </c>
      <c r="V5262" t="str">
        <v>x</v>
      </c>
      <c r="W5262">
        <f>D5262</f>
        <v>0</v>
      </c>
      <c r="X5262" t="str">
        <v>x</v>
      </c>
      <c r="Y5262">
        <f>Y5261</f>
        <v>1</v>
      </c>
      <c r="Z5262" t="str">
        <v>=</v>
      </c>
      <c r="AA5262">
        <f>(N5262+P5262*R5262/1000)*U5262*W5262*Y5262</f>
        <v>0</v>
      </c>
    </row>
    <row r="5264">
      <c r="A5264" t="str">
        <f>A5244</f>
        <v>Lantai 1</v>
      </c>
      <c r="B5264">
        <f>B5244</f>
        <v>78</v>
      </c>
      <c r="C5264" t="str">
        <v>Sengkang Tumpuan</v>
      </c>
      <c r="D5264">
        <f>VLOOKUP(D5244,'Detail Balok'!$C$10:$AU$110,31,FALSE)</f>
        <v>0</v>
      </c>
      <c r="E5264" t="str">
        <v>D</v>
      </c>
      <c r="F5264">
        <f>VLOOKUP(D5244,'Detail Balok'!$C$10:$AU$110,33,FALSE)</f>
        <v>10</v>
      </c>
      <c r="G5264" t="str">
        <v>-</v>
      </c>
      <c r="H5264">
        <f>VLOOKUP(D5244,'Detail Balok'!$C$10:$AU$110,35,FALSE)</f>
        <v>80</v>
      </c>
      <c r="J5264">
        <f>(IF(D5264=0,(2*(D5245+G5245))-(F$5*8),IF(D5264=3,(2*(D5245+G5245))-(F$5*8)+(G5245-2*F$5),IF(D5264=4,(2*(D5245+G5245))-(F$5*8)+2*(G5245-2*F$5)))))/1000</f>
        <v>1.68</v>
      </c>
      <c r="K5264" t="str">
        <v>+</v>
      </c>
      <c r="L5264">
        <f>IF(D5264=0,2*MAX(6*F5264,75),(D5264-1)*2*MAX(6*F5264,75))/1000</f>
        <v>0.15</v>
      </c>
      <c r="M5264" t="str">
        <v>=</v>
      </c>
      <c r="N5264">
        <f>J5264+L5264</f>
        <v>1.8299999999999998</v>
      </c>
      <c r="T5264" t="str">
        <v>x</v>
      </c>
      <c r="U5264">
        <f>0.006165*F5264^2</f>
        <v>0.6165</v>
      </c>
      <c r="V5264" t="str">
        <v>x</v>
      </c>
      <c r="W5264">
        <f>IF(D5247&gt;4*G5245,ROUND(MAX(D5247/4,2*G5245)/H5264,0)+1,ROUND(D5247/H5264,0)+1)</f>
        <v>19</v>
      </c>
      <c r="X5264" t="str">
        <v>x</v>
      </c>
      <c r="Y5264">
        <f>D5250</f>
        <v>1</v>
      </c>
      <c r="Z5264" t="str">
        <v>=</v>
      </c>
      <c r="AA5264">
        <f>N5264*U5264*W5264*Y5264</f>
        <v>21.435705000000002</v>
      </c>
    </row>
    <row r="5265">
      <c r="A5265" t="str">
        <f>A5244</f>
        <v>Lantai 1</v>
      </c>
      <c r="B5265">
        <f>B5244</f>
        <v>78</v>
      </c>
      <c r="C5265" t="str">
        <v>Sengkang Lapangan</v>
      </c>
      <c r="D5265">
        <f>VLOOKUP(D5244,'Detail Balok'!$C$10:$AU$110,36,FALSE)</f>
        <v>0</v>
      </c>
      <c r="E5265" t="str">
        <v>D</v>
      </c>
      <c r="F5265">
        <f>VLOOKUP(D5244,'Detail Balok'!$C$10:$AU$110,38,FALSE)</f>
        <v>10</v>
      </c>
      <c r="G5265" t="str">
        <v>-</v>
      </c>
      <c r="H5265">
        <f>VLOOKUP(D5244,'Detail Balok'!$C$10:$AU$110,40,FALSE)</f>
        <v>100</v>
      </c>
      <c r="J5265">
        <f>(IF(D5265=0,(2*(D5245+G5245))-(F$5*8),IF(D5265=3,(2*(D5245+G5245))-(F$5*8)+(G5245-2*F$5),IF(D5265=4,(2*(D5245+G5245))-(F$5*8)+2*(G5245-2*F$5)))))/1000</f>
        <v>1.68</v>
      </c>
      <c r="K5265" t="str">
        <v>+</v>
      </c>
      <c r="L5265">
        <f>IF(D5265=0,2*MAX(6*F5265,75),(D5265-1)*2*MAX(6*F5265,75))/1000</f>
        <v>0.15</v>
      </c>
      <c r="M5265" t="str">
        <v>=</v>
      </c>
      <c r="N5265">
        <f>J5265+L5265</f>
        <v>1.8299999999999998</v>
      </c>
      <c r="T5265" t="str">
        <v>x</v>
      </c>
      <c r="U5265">
        <f>0.006165*F5265^2</f>
        <v>0.6165</v>
      </c>
      <c r="V5265" t="str">
        <v>x</v>
      </c>
      <c r="W5265">
        <f>IF(D5247-MAX(D5247/4,2*G5245)*2&gt;0,ROUND((D5247-MAX(D5247/4,2*G5245)*2)/H5265,0),0)</f>
        <v>1</v>
      </c>
      <c r="X5265" t="str">
        <v>x</v>
      </c>
      <c r="Y5265">
        <f>D5250</f>
        <v>1</v>
      </c>
      <c r="Z5265" t="str">
        <v>=</v>
      </c>
      <c r="AA5265">
        <f>N5265*U5265*W5265*Y5265</f>
        <v>1.128195</v>
      </c>
    </row>
    <row r="5266">
      <c r="A5266" t="str">
        <f>A5244</f>
        <v>Lantai 1</v>
      </c>
      <c r="B5266">
        <f>B5244</f>
        <v>78</v>
      </c>
      <c r="C5266" t="str">
        <v>Sengkang Tumpuan</v>
      </c>
      <c r="D5266">
        <f>VLOOKUP(D5244,'Detail Balok'!$C$10:$AU$110,41,FALSE)</f>
        <v>0</v>
      </c>
      <c r="E5266" t="str">
        <v>D</v>
      </c>
      <c r="F5266">
        <f>VLOOKUP(D5244,'Detail Balok'!$C$10:$AU$110,43,FALSE)</f>
        <v>10</v>
      </c>
      <c r="G5266" t="str">
        <v>-</v>
      </c>
      <c r="H5266">
        <f>VLOOKUP(D5244,'Detail Balok'!$C$10:$AU$110,45,FALSE)</f>
        <v>80</v>
      </c>
      <c r="J5266">
        <f>(IF(D5266=0,(2*(D5245+G5245))-(F$5*8),IF(D5266=3,(2*(D5245+G5245))-(F$5*8)+(G5245-2*F$5),IF(D5266=4,(2*(D5245+G5245))-(F$5*8)+2*(G5245-2*F$5)))))/1000</f>
        <v>1.68</v>
      </c>
      <c r="K5266" t="str">
        <v>+</v>
      </c>
      <c r="L5266">
        <f>IF(D5266=0,2*MAX(6*F5266,75),(D5266-1)*2*MAX(6*F5266,75))/1000</f>
        <v>0.15</v>
      </c>
      <c r="M5266" t="str">
        <v>=</v>
      </c>
      <c r="N5266">
        <f>J5266+L5266</f>
        <v>1.8299999999999998</v>
      </c>
      <c r="T5266" t="str">
        <v>x</v>
      </c>
      <c r="U5266">
        <f>0.006165*F5266^2</f>
        <v>0.6165</v>
      </c>
      <c r="V5266" t="str">
        <v>x</v>
      </c>
      <c r="W5266">
        <f>IF(D5247&gt;4*G5245,ROUND(MAX(D5247/4,2*G5245)/H5266,0)+1,0)</f>
        <v>19</v>
      </c>
      <c r="X5266" t="str">
        <v>x</v>
      </c>
      <c r="Y5266">
        <f>D5250</f>
        <v>1</v>
      </c>
      <c r="Z5266" t="str">
        <v>=</v>
      </c>
      <c r="AA5266">
        <f>N5266*U5266*W5266*Y5266</f>
        <v>21.435705000000002</v>
      </c>
    </row>
    <row r="5268">
      <c r="A5268" t="str">
        <f>A5244</f>
        <v>Lantai 1</v>
      </c>
      <c r="B5268">
        <f>B5244</f>
        <v>78</v>
      </c>
      <c r="C5268" t="str">
        <v>Kait Horizontal Tump.</v>
      </c>
      <c r="D5268">
        <f>VLOOKUP(D5244,'Detail Balok'!$C$10:$BJ$110,46,FALSE)</f>
        <v>0</v>
      </c>
      <c r="E5268" t="str">
        <v>D</v>
      </c>
      <c r="F5268">
        <f>VLOOKUP(D5244,'Detail Balok'!$C$10:$BJ$110,48,FALSE)</f>
        <v>0</v>
      </c>
      <c r="G5268" t="str">
        <v>-</v>
      </c>
      <c r="H5268">
        <f>VLOOKUP(D5244,'Detail Balok'!$C$10:$BJ$110,50,FALSE)</f>
        <v>100</v>
      </c>
      <c r="J5268">
        <f>(D5245-2*F$5)/1000</f>
        <v>0.22</v>
      </c>
      <c r="K5268" t="str">
        <v>+</v>
      </c>
      <c r="L5268">
        <f>IF(D5268=0,2*MAX(6*F5268,75),(D5268-1)*2*MAX(6*F5268,75))/1000</f>
        <v>0.15</v>
      </c>
      <c r="M5268" t="str">
        <v>=</v>
      </c>
      <c r="N5268">
        <f>J5268+L5268</f>
        <v>0.37</v>
      </c>
      <c r="T5268" t="str">
        <v>x</v>
      </c>
      <c r="U5268">
        <f>0.006165*F5268^2</f>
        <v>0</v>
      </c>
      <c r="V5268" t="str">
        <v>x</v>
      </c>
      <c r="W5268">
        <f>W5264</f>
        <v>19</v>
      </c>
      <c r="X5268" t="str">
        <v>x</v>
      </c>
      <c r="Y5268">
        <f>D5254</f>
        <v>0</v>
      </c>
      <c r="Z5268" t="str">
        <v>=</v>
      </c>
      <c r="AA5268">
        <f>N5268*U5268*W5268*Y5268</f>
        <v>0</v>
      </c>
    </row>
    <row r="5269">
      <c r="A5269" t="str">
        <f>A5244</f>
        <v>Lantai 1</v>
      </c>
      <c r="B5269">
        <f>B5244</f>
        <v>78</v>
      </c>
      <c r="C5269" t="str">
        <v>Kait Horizontal Lap.</v>
      </c>
      <c r="D5269">
        <f>VLOOKUP(D5244,'Detail Balok'!$C$10:$BJ$110,51,FALSE)</f>
        <v>0</v>
      </c>
      <c r="E5269" t="str">
        <v>D</v>
      </c>
      <c r="F5269">
        <f>VLOOKUP(D5244,'Detail Balok'!$C$10:$BJ$110,53,FALSE)</f>
        <v>0</v>
      </c>
      <c r="G5269" t="str">
        <v>-</v>
      </c>
      <c r="H5269">
        <f>VLOOKUP(D5244,'Detail Balok'!$C$10:$BJ$110,55,FALSE)</f>
        <v>100</v>
      </c>
      <c r="J5269">
        <f>(D5245-2*F$5)/1000</f>
        <v>0.22</v>
      </c>
      <c r="K5269" t="str">
        <v>+</v>
      </c>
      <c r="L5269">
        <f>IF(D5269=0,2*MAX(6*F5269,75),(D5269-1)*2*MAX(6*F5269,75))/1000</f>
        <v>0.15</v>
      </c>
      <c r="M5269" t="str">
        <v>=</v>
      </c>
      <c r="N5269">
        <f>J5269+L5269</f>
        <v>0.37</v>
      </c>
      <c r="T5269" t="str">
        <v>x</v>
      </c>
      <c r="U5269">
        <f>0.006165*F5269^2</f>
        <v>0</v>
      </c>
      <c r="V5269" t="str">
        <v>x</v>
      </c>
      <c r="W5269">
        <f>W5265</f>
        <v>1</v>
      </c>
      <c r="X5269" t="str">
        <v>x</v>
      </c>
      <c r="Y5269">
        <f>D5254</f>
        <v>0</v>
      </c>
      <c r="Z5269" t="str">
        <v>=</v>
      </c>
      <c r="AA5269">
        <f>N5269*U5269*W5269*Y5269</f>
        <v>0</v>
      </c>
    </row>
    <row r="5270">
      <c r="A5270" t="str">
        <f>A5244</f>
        <v>Lantai 1</v>
      </c>
      <c r="B5270">
        <f>B5244</f>
        <v>78</v>
      </c>
      <c r="C5270" t="str">
        <v>Kait Horizontal Tump.</v>
      </c>
      <c r="D5270">
        <f>VLOOKUP(D5244,'Detail Balok'!$C$10:$BJ$110,56,FALSE)</f>
        <v>0</v>
      </c>
      <c r="E5270" t="str">
        <v>D</v>
      </c>
      <c r="F5270">
        <f>VLOOKUP(D5244,'Detail Balok'!$C$10:$BJ$110,58,FALSE)</f>
        <v>0</v>
      </c>
      <c r="G5270" t="str">
        <v>-</v>
      </c>
      <c r="H5270">
        <f>VLOOKUP(D5244,'Detail Balok'!$C$10:$BJ$110,60,FALSE)</f>
        <v>100</v>
      </c>
      <c r="J5270">
        <f>(D5245-2*F$5)/1000</f>
        <v>0.22</v>
      </c>
      <c r="K5270" t="str">
        <v>+</v>
      </c>
      <c r="L5270">
        <f>IF(D5270=0,2*MAX(6*F5270,75),(D5270-1)*2*MAX(6*F5270,75))/1000</f>
        <v>0.15</v>
      </c>
      <c r="M5270" t="str">
        <v>=</v>
      </c>
      <c r="N5270">
        <f>J5270+L5270</f>
        <v>0.37</v>
      </c>
      <c r="T5270" t="str">
        <v>x</v>
      </c>
      <c r="U5270">
        <f>0.006165*F5270^2</f>
        <v>0</v>
      </c>
      <c r="V5270" t="str">
        <v>x</v>
      </c>
      <c r="W5270">
        <f>W5266</f>
        <v>19</v>
      </c>
      <c r="X5270" t="str">
        <v>x</v>
      </c>
      <c r="Y5270">
        <f>D5254</f>
        <v>0</v>
      </c>
      <c r="Z5270" t="str">
        <v>=</v>
      </c>
      <c r="AA5270">
        <f>N5270*U5270*W5270*Y5270</f>
        <v>0</v>
      </c>
    </row>
    <row r="5274">
      <c r="A5274" t="str">
        <f>A5244</f>
        <v>Lantai 1</v>
      </c>
      <c r="B5274">
        <f>B5244+1</f>
        <v>79</v>
      </c>
      <c r="C5274" t="str">
        <f>CONCATENATE(A5274," no. ",B5274)</f>
        <v>Lantai 1 no. 79</v>
      </c>
      <c r="D5274" t="str">
        <f>VLOOKUP(C5274,'Data Panjang Balok'!$C$9:$N$424,2,FALSE)</f>
        <v>B37-1</v>
      </c>
    </row>
    <row r="5275">
      <c r="C5275" t="str">
        <v>Dimensi</v>
      </c>
      <c r="D5275">
        <f>VLOOKUP(D5274,'Detail Balok'!$C$10:$AU$110,2,FALSE)</f>
        <v>300</v>
      </c>
      <c r="F5275" t="str">
        <v>x</v>
      </c>
      <c r="G5275">
        <f>VLOOKUP(D5274,'Detail Balok'!$C$10:$AU$110,3,FALSE)</f>
        <v>700</v>
      </c>
    </row>
    <row r="5276">
      <c r="C5276" t="str">
        <v>Panjang as ke as</v>
      </c>
      <c r="D5276">
        <f>VLOOKUP(C5274,'Data Panjang Balok'!$C$9:$N$424,4,FALSE)</f>
        <v>4915</v>
      </c>
    </row>
    <row r="5277">
      <c r="C5277" t="str">
        <v>Panjang netto</v>
      </c>
      <c r="D5277">
        <f>VLOOKUP(C5274,'Data Panjang Balok'!$C$9:$N$424,7,FALSE)</f>
        <v>4915</v>
      </c>
    </row>
    <row r="5278">
      <c r="C5278" t="str">
        <v>Kolom / balok kiri</v>
      </c>
      <c r="D5278">
        <f>VLOOKUP(C5274,'Data Panjang Balok'!$C$9:$N$424,9,FALSE)</f>
        <v>0</v>
      </c>
    </row>
    <row r="5279">
      <c r="C5279" t="str">
        <v>Kolom / balok kanan</v>
      </c>
      <c r="D5279">
        <f>VLOOKUP(C5274,'Data Panjang Balok'!$C$9:$N$424,10,FALSE)</f>
        <v>0</v>
      </c>
    </row>
    <row r="5280">
      <c r="C5280" t="str">
        <v>Jumlah</v>
      </c>
      <c r="D5280">
        <f>VLOOKUP(C5274,'Data Panjang Balok'!$C$9:$N$424,3,FALSE)</f>
        <v>1</v>
      </c>
    </row>
    <row r="5281">
      <c r="A5281" t="str">
        <f>A5274</f>
        <v>Lantai 1</v>
      </c>
      <c r="B5281">
        <f>B5274</f>
        <v>79</v>
      </c>
      <c r="C5281" t="str">
        <v>Tul Atas Tumpuan</v>
      </c>
      <c r="D5281">
        <f>VLOOKUP(D5274,'Detail Balok'!$C$10:$AU$110,4,FALSE)</f>
        <v>7</v>
      </c>
      <c r="E5281" t="str">
        <v>D</v>
      </c>
      <c r="F5281">
        <f>VLOOKUP(D5274,'Detail Balok'!$C$10:$AU$110,6,FALSE)</f>
        <v>22</v>
      </c>
      <c r="I5281" t="str">
        <v>(</v>
      </c>
      <c r="J5281">
        <f>+D5276/4/1000</f>
        <v>1.22875</v>
      </c>
      <c r="K5281" t="str">
        <v>+</v>
      </c>
      <c r="L5281">
        <f>MAX(VLOOKUP(F5281,N$6:P$15,3,FALSE)/1000,2/3*D5278/1000)+F$16*F5281/1000</f>
        <v>0.264</v>
      </c>
      <c r="M5281" t="str">
        <v>=</v>
      </c>
      <c r="N5281">
        <f>J5281+L5281</f>
        <v>1.49275</v>
      </c>
      <c r="O5281" t="str">
        <v>+</v>
      </c>
      <c r="P5281">
        <f>D5281-D5282</f>
        <v>5</v>
      </c>
      <c r="Q5281" t="str">
        <v>x</v>
      </c>
      <c r="R5281">
        <f>IF(P5281&gt;0,$F$18*F5281/1000,0)</f>
        <v>0.33</v>
      </c>
      <c r="S5281" t="str">
        <v>)</v>
      </c>
      <c r="T5281" t="str">
        <v>x</v>
      </c>
      <c r="U5281">
        <f>0.006165*F5281^2</f>
        <v>2.98386</v>
      </c>
      <c r="X5281" t="str">
        <v>x</v>
      </c>
      <c r="Y5281">
        <f>D5280</f>
        <v>1</v>
      </c>
      <c r="Z5281" t="str">
        <v>=</v>
      </c>
      <c r="AA5281">
        <f>IF(AA5284=0,(D5281*N5281+P5281*R5281)*U5281*Y5281,0)</f>
        <v>36.102468105</v>
      </c>
    </row>
    <row r="5282">
      <c r="A5282" t="str">
        <f>A5274</f>
        <v>Lantai 1</v>
      </c>
      <c r="B5282">
        <f>B5274</f>
        <v>79</v>
      </c>
      <c r="C5282" t="str">
        <v>Tul Atas Lapangan</v>
      </c>
      <c r="D5282">
        <f>VLOOKUP(D5274,'Detail Balok'!$C$10:$AU$110,7,FALSE)</f>
        <v>2</v>
      </c>
      <c r="E5282" t="str">
        <v>D</v>
      </c>
      <c r="F5282">
        <f>VLOOKUP(D5274,'Detail Balok'!$C$10:$AU$110,9,FALSE)</f>
        <v>22</v>
      </c>
      <c r="I5282" t="str">
        <v>(</v>
      </c>
      <c r="J5282">
        <f>+D5276/2/1000</f>
        <v>2.4575</v>
      </c>
      <c r="K5282" t="str">
        <v>+</v>
      </c>
      <c r="M5282" t="str">
        <v>=</v>
      </c>
      <c r="N5282">
        <f>J5282+L5282</f>
        <v>2.4575</v>
      </c>
      <c r="O5282" t="str">
        <v>+</v>
      </c>
      <c r="P5282">
        <f>MAX(D5282-D5281,D5282-D5283)</f>
        <v>-5</v>
      </c>
      <c r="Q5282" t="str">
        <v>x</v>
      </c>
      <c r="R5282">
        <f>IF(P5282&gt;0,2*(1-2*$F$19-1/2)*D5277/1000,0)</f>
        <v>0</v>
      </c>
      <c r="S5282" t="str">
        <v>)</v>
      </c>
      <c r="T5282" t="str">
        <v>x</v>
      </c>
      <c r="U5282">
        <f>0.006165*F5282^2</f>
        <v>2.98386</v>
      </c>
      <c r="X5282" t="str">
        <v>x</v>
      </c>
      <c r="Y5282">
        <f>D5280</f>
        <v>1</v>
      </c>
      <c r="Z5282" t="str">
        <v>=</v>
      </c>
      <c r="AA5282">
        <f>IF(AA5284=0,(D5282*N5282+P5282*R5282)*U5282*Y5282,0)</f>
        <v>14.6656719</v>
      </c>
    </row>
    <row r="5283">
      <c r="A5283" t="str">
        <f>A5274</f>
        <v>Lantai 1</v>
      </c>
      <c r="B5283">
        <f>B5274</f>
        <v>79</v>
      </c>
      <c r="C5283" t="str">
        <v>Tul Atas Tumpuan</v>
      </c>
      <c r="D5283">
        <f>VLOOKUP(D5274,'Detail Balok'!$C$10:$AU$110,10,FALSE)</f>
        <v>7</v>
      </c>
      <c r="E5283" t="str">
        <v>D</v>
      </c>
      <c r="F5283">
        <f>VLOOKUP(D5274,'Detail Balok'!$C$10:$AU$110,12,FALSE)</f>
        <v>22</v>
      </c>
      <c r="I5283" t="str">
        <v>(</v>
      </c>
      <c r="J5283">
        <f>+D5276/4/1000</f>
        <v>1.22875</v>
      </c>
      <c r="K5283" t="str">
        <v>+</v>
      </c>
      <c r="L5283">
        <f>MAX(VLOOKUP(F5283,N$6:P$15,3,FALSE)/1000,2/3*D5278/1000)+F$16*F5283/1000</f>
        <v>0.264</v>
      </c>
      <c r="M5283" t="str">
        <v>=</v>
      </c>
      <c r="N5283">
        <f>J5283+L5283</f>
        <v>1.49275</v>
      </c>
      <c r="O5283" t="str">
        <v>+</v>
      </c>
      <c r="P5283">
        <f>D5283-D5282</f>
        <v>5</v>
      </c>
      <c r="Q5283" t="str">
        <v>x</v>
      </c>
      <c r="R5283">
        <f>IF(P5283&gt;0,$F$18*F5283/1000,0)</f>
        <v>0.33</v>
      </c>
      <c r="S5283" t="str">
        <v>)</v>
      </c>
      <c r="T5283" t="str">
        <v>x</v>
      </c>
      <c r="U5283">
        <f>0.006165*F5283^2</f>
        <v>2.98386</v>
      </c>
      <c r="X5283" t="str">
        <v>x</v>
      </c>
      <c r="Y5283">
        <f>D5280</f>
        <v>1</v>
      </c>
      <c r="Z5283" t="str">
        <v>=</v>
      </c>
      <c r="AA5283">
        <f>IF(AA5284=0,(D5283*N5283+P5283*R5283)*U5283*Y5283,0)</f>
        <v>36.102468105</v>
      </c>
    </row>
    <row r="5284">
      <c r="A5284" t="str">
        <f>A5274</f>
        <v>Lantai 1</v>
      </c>
      <c r="B5284">
        <f>B5274</f>
        <v>79</v>
      </c>
      <c r="D5284">
        <f>IF(AND(D5281=D5282,D5282=D5283,D5281=D5283),D5281,0)</f>
        <v>0</v>
      </c>
      <c r="E5284" t="str">
        <v>D</v>
      </c>
      <c r="F5284">
        <f>IF(AND(F5281=F5282,F5281=F5283,F5282=F5283),F5281,0)</f>
        <v>22</v>
      </c>
      <c r="L5284" t="str">
        <v>Total panjang per balok</v>
      </c>
      <c r="M5284" t="str">
        <v>=</v>
      </c>
      <c r="N5284">
        <f>IF(AND(D5281=D5282,D5281=D5283,D5282=D5283,F5281=F5282,F5281=F5283,F5282=F5283),SUM(N5281:N5283),0)</f>
        <v>0</v>
      </c>
      <c r="O5284" t="str">
        <v>+</v>
      </c>
      <c r="P5284">
        <f>IF(N5284&gt;12,ROUNDDOWN(N5284/12,0),0)</f>
        <v>0</v>
      </c>
      <c r="Q5284" t="str">
        <v>x</v>
      </c>
      <c r="R5284">
        <f>IF(P5284&gt;0,MAX(VLOOKUP(F5284,$D$6:$G$15,3,FALSE),600),0)/1000</f>
        <v>0</v>
      </c>
      <c r="T5284" t="str">
        <v>x</v>
      </c>
      <c r="U5284">
        <f>U5283</f>
        <v>2.98386</v>
      </c>
      <c r="V5284" t="str">
        <v>x</v>
      </c>
      <c r="W5284">
        <f>D5284</f>
        <v>0</v>
      </c>
      <c r="X5284" t="str">
        <v>x</v>
      </c>
      <c r="Y5284">
        <f>Y5283</f>
        <v>1</v>
      </c>
      <c r="Z5284" t="str">
        <v>=</v>
      </c>
      <c r="AA5284">
        <f>(N5284+P5284*R5284/1000)*U5284*W5284*Y5284</f>
        <v>0</v>
      </c>
    </row>
    <row r="5286">
      <c r="A5286" t="str">
        <f>A5274</f>
        <v>Lantai 1</v>
      </c>
      <c r="B5286">
        <f>B5274</f>
        <v>79</v>
      </c>
      <c r="C5286" t="str">
        <v>Tul Peminggang</v>
      </c>
      <c r="D5286">
        <f>VLOOKUP(D5274,'Detail Balok'!$C$10:$AU$110,13,FALSE)</f>
        <v>2</v>
      </c>
      <c r="E5286" t="str">
        <v>D</v>
      </c>
      <c r="F5286">
        <f>VLOOKUP(D5274,'Detail Balok'!$C$10:$AU$110,15,FALSE)</f>
        <v>10</v>
      </c>
      <c r="J5286">
        <f>+D5276/1000</f>
        <v>4.915</v>
      </c>
      <c r="K5286" t="str">
        <v>+</v>
      </c>
      <c r="L5286">
        <f>2*$F$16*F5286/1000</f>
        <v>0.24</v>
      </c>
      <c r="M5286" t="str">
        <v>=</v>
      </c>
      <c r="N5286">
        <f>J5286+L5286</f>
        <v>5.155</v>
      </c>
      <c r="O5286" t="str">
        <v>+</v>
      </c>
      <c r="P5286">
        <f>IF(N5286&gt;12,ROUNDDOWN(N5286/12,0),0)</f>
        <v>0</v>
      </c>
      <c r="Q5286" t="str">
        <v>x</v>
      </c>
      <c r="R5286">
        <f>IF(P5286&gt;0,MAX(VLOOKUP(F5286,$D$6:$G$15,3,FALSE),600),0)/1000</f>
        <v>0</v>
      </c>
      <c r="T5286" t="str">
        <v>x</v>
      </c>
      <c r="U5286">
        <f>0.006165*F5286^2</f>
        <v>0.6165</v>
      </c>
      <c r="V5286" t="str">
        <v>x</v>
      </c>
      <c r="W5286">
        <f>+D5286</f>
        <v>2</v>
      </c>
      <c r="X5286" t="str">
        <v>x</v>
      </c>
      <c r="Y5286">
        <f>D5280</f>
        <v>1</v>
      </c>
      <c r="Z5286" t="str">
        <v>=</v>
      </c>
      <c r="AA5286">
        <f>(N5286+P5286*R5286/1000)*U5286*W5286*Y5286</f>
        <v>6.356115000000001</v>
      </c>
    </row>
    <row r="5289">
      <c r="A5289" t="str">
        <f>A5274</f>
        <v>Lantai 1</v>
      </c>
      <c r="B5289">
        <f>B5274</f>
        <v>79</v>
      </c>
      <c r="C5289" t="str">
        <v>Tul Bawah Tumpuan</v>
      </c>
      <c r="D5289">
        <f>VLOOKUP(D5274,'Detail Balok'!$C$10:$AU$110,22,FALSE)</f>
        <v>4</v>
      </c>
      <c r="E5289" t="str">
        <v>D</v>
      </c>
      <c r="F5289">
        <f>VLOOKUP(D5274,'Detail Balok'!$C$10:$AU$110,24,FALSE)</f>
        <v>22</v>
      </c>
      <c r="I5289" t="str">
        <v>(</v>
      </c>
      <c r="J5289">
        <f>+J5281</f>
        <v>1.22875</v>
      </c>
      <c r="K5289" t="str">
        <v>+</v>
      </c>
      <c r="L5289">
        <f>MAX(VLOOKUP(F5289,N$6:P$15,3,FALSE)/1000,2/3*D5279/1000)+F$16*F5289/1000</f>
        <v>0.264</v>
      </c>
      <c r="M5289" t="str">
        <v>=</v>
      </c>
      <c r="N5289">
        <f>J5289+L5289</f>
        <v>1.49275</v>
      </c>
      <c r="O5289" t="str">
        <v>+</v>
      </c>
      <c r="P5289">
        <f>D5289-D5290</f>
        <v>-2</v>
      </c>
      <c r="Q5289" t="str">
        <v>x</v>
      </c>
      <c r="R5289">
        <f>IF(P5289&gt;0,$F$18*F5289/1000,0)</f>
        <v>0</v>
      </c>
      <c r="S5289" t="str">
        <v>)</v>
      </c>
      <c r="T5289" t="str">
        <v>x</v>
      </c>
      <c r="U5289">
        <f>0.006165*F5289^2</f>
        <v>2.98386</v>
      </c>
      <c r="X5289" t="str">
        <v>x</v>
      </c>
      <c r="Y5289">
        <f>D5280</f>
        <v>1</v>
      </c>
      <c r="Z5289" t="str">
        <v>=</v>
      </c>
      <c r="AA5289">
        <f>IF(AA5292=0,(D5289*N5289+P5289*R5289)*U5289*Y5289,0)</f>
        <v>17.81662806</v>
      </c>
    </row>
    <row r="5290">
      <c r="A5290" t="str">
        <f>A5274</f>
        <v>Lantai 1</v>
      </c>
      <c r="B5290">
        <f>B5274</f>
        <v>79</v>
      </c>
      <c r="C5290" t="str">
        <v>Tul Bawah Lapangan</v>
      </c>
      <c r="D5290">
        <f>VLOOKUP(D5274,'Detail Balok'!$C$10:$AU$110,25,FALSE)</f>
        <v>6</v>
      </c>
      <c r="E5290" t="str">
        <v>D</v>
      </c>
      <c r="F5290">
        <f>VLOOKUP(D5274,'Detail Balok'!$C$10:$AU$110,27,FALSE)</f>
        <v>22</v>
      </c>
      <c r="I5290" t="str">
        <v>(</v>
      </c>
      <c r="J5290">
        <f>+J5282</f>
        <v>2.4575</v>
      </c>
      <c r="K5290" t="str">
        <v>+</v>
      </c>
      <c r="M5290" t="str">
        <v>=</v>
      </c>
      <c r="N5290">
        <f>J5290+L5290</f>
        <v>2.4575</v>
      </c>
      <c r="O5290" t="str">
        <v>+</v>
      </c>
      <c r="P5290">
        <f>MAX(D5290-D5289,D5290-D5291)</f>
        <v>2</v>
      </c>
      <c r="Q5290" t="str">
        <v>x</v>
      </c>
      <c r="R5290">
        <f>IF(P5290&gt;0,2*(1-2*$F$19-1/2)*D5277/1000,0)</f>
        <v>0.9829999999999998</v>
      </c>
      <c r="S5290" t="str">
        <v>)</v>
      </c>
      <c r="T5290" t="str">
        <v>x</v>
      </c>
      <c r="U5290">
        <f>0.006165*F5290^2</f>
        <v>2.98386</v>
      </c>
      <c r="X5290" t="str">
        <v>x</v>
      </c>
      <c r="Y5290">
        <f>D5280</f>
        <v>1</v>
      </c>
      <c r="Z5290" t="str">
        <v>=</v>
      </c>
      <c r="AA5290">
        <f>IF(AA5292=0,(D5290*N5290+P5290*R5290)*U5290*Y5290,0)</f>
        <v>49.86328446</v>
      </c>
    </row>
    <row r="5291">
      <c r="A5291" t="str">
        <f>A5274</f>
        <v>Lantai 1</v>
      </c>
      <c r="B5291">
        <f>B5274</f>
        <v>79</v>
      </c>
      <c r="C5291" t="str">
        <v>Tul Bawah Tumpuan</v>
      </c>
      <c r="D5291">
        <f>VLOOKUP(D5274,'Detail Balok'!$C$10:$AU$110,28,FALSE)</f>
        <v>4</v>
      </c>
      <c r="E5291" t="str">
        <v>D</v>
      </c>
      <c r="F5291">
        <f>VLOOKUP(D5274,'Detail Balok'!$C$10:$AU$110,30,FALSE)</f>
        <v>22</v>
      </c>
      <c r="I5291" t="str">
        <v>(</v>
      </c>
      <c r="J5291">
        <f>+J5283</f>
        <v>1.22875</v>
      </c>
      <c r="K5291" t="str">
        <v>+</v>
      </c>
      <c r="L5291">
        <f>MAX(VLOOKUP(F5291,N$6:P$15,3,FALSE)/1000,2/3*D5279/1000)+F$16*F5291/1000</f>
        <v>0.264</v>
      </c>
      <c r="M5291" t="str">
        <v>=</v>
      </c>
      <c r="N5291">
        <f>J5291+L5291</f>
        <v>1.49275</v>
      </c>
      <c r="O5291" t="str">
        <v>+</v>
      </c>
      <c r="P5291">
        <f>D5291-D5290</f>
        <v>-2</v>
      </c>
      <c r="Q5291" t="str">
        <v>x</v>
      </c>
      <c r="R5291">
        <f>IF(P5291&gt;0,$F$18*F5291/1000,0)</f>
        <v>0</v>
      </c>
      <c r="S5291" t="str">
        <v>)</v>
      </c>
      <c r="T5291" t="str">
        <v>x</v>
      </c>
      <c r="U5291">
        <f>0.006165*F5291^2</f>
        <v>2.98386</v>
      </c>
      <c r="X5291" t="str">
        <v>x</v>
      </c>
      <c r="Y5291">
        <f>D5280</f>
        <v>1</v>
      </c>
      <c r="Z5291" t="str">
        <v>=</v>
      </c>
      <c r="AA5291">
        <f>IF(AA5292=0,(D5291*N5291+P5291*R5291)*U5291*Y5291,0)</f>
        <v>17.81662806</v>
      </c>
    </row>
    <row r="5292">
      <c r="A5292" t="str">
        <f>A5274</f>
        <v>Lantai 1</v>
      </c>
      <c r="B5292">
        <f>B5274</f>
        <v>79</v>
      </c>
      <c r="D5292">
        <f>IF(AND(D5289=D5290,D5290=D5291,D5289=D5291),D5289,0)</f>
        <v>0</v>
      </c>
      <c r="E5292" t="str">
        <v>D</v>
      </c>
      <c r="F5292">
        <f>IF(AND(F5289=F5290,F5289=F5291,F5290=F5291),F5289,0)</f>
        <v>22</v>
      </c>
      <c r="L5292" t="str">
        <v>Total panjang per balok</v>
      </c>
      <c r="M5292" t="str">
        <v>=</v>
      </c>
      <c r="N5292">
        <f>IF(AND(D5289=D5290,D5289=D5291,D5290=D5291,F5289=F5290,F5289=F5291,F5290=F5291),SUM(N5289:N5291),0)</f>
        <v>0</v>
      </c>
      <c r="O5292" t="str">
        <v>+</v>
      </c>
      <c r="P5292">
        <f>IF(N5292&gt;12,ROUNDDOWN(N5292/12,0),0)</f>
        <v>0</v>
      </c>
      <c r="Q5292" t="str">
        <v>x</v>
      </c>
      <c r="R5292">
        <f>IF(P5292&gt;0,MAX(VLOOKUP(F5292,$D$6:$G$15,3,FALSE),600),0)/1000</f>
        <v>0</v>
      </c>
      <c r="T5292" t="str">
        <v>x</v>
      </c>
      <c r="U5292">
        <f>U5291</f>
        <v>2.98386</v>
      </c>
      <c r="V5292" t="str">
        <v>x</v>
      </c>
      <c r="W5292">
        <f>D5292</f>
        <v>0</v>
      </c>
      <c r="X5292" t="str">
        <v>x</v>
      </c>
      <c r="Y5292">
        <f>Y5291</f>
        <v>1</v>
      </c>
      <c r="Z5292" t="str">
        <v>=</v>
      </c>
      <c r="AA5292">
        <f>(N5292+P5292*R5292/1000)*U5292*W5292*Y5292</f>
        <v>0</v>
      </c>
    </row>
    <row r="5294">
      <c r="A5294" t="str">
        <f>A5274</f>
        <v>Lantai 1</v>
      </c>
      <c r="B5294">
        <f>B5274</f>
        <v>79</v>
      </c>
      <c r="C5294" t="str">
        <v>Sengkang Tumpuan</v>
      </c>
      <c r="D5294">
        <f>VLOOKUP(D5274,'Detail Balok'!$C$10:$AU$110,31,FALSE)</f>
        <v>0</v>
      </c>
      <c r="E5294" t="str">
        <v>D</v>
      </c>
      <c r="F5294">
        <f>VLOOKUP(D5274,'Detail Balok'!$C$10:$AU$110,33,FALSE)</f>
        <v>10</v>
      </c>
      <c r="G5294" t="str">
        <v>-</v>
      </c>
      <c r="H5294">
        <f>VLOOKUP(D5274,'Detail Balok'!$C$10:$AU$110,35,FALSE)</f>
        <v>80</v>
      </c>
      <c r="J5294">
        <f>(IF(D5294=0,(2*(D5275+G5275))-(F$5*8),IF(D5294=3,(2*(D5275+G5275))-(F$5*8)+(G5275-2*F$5),IF(D5294=4,(2*(D5275+G5275))-(F$5*8)+2*(G5275-2*F$5)))))/1000</f>
        <v>1.68</v>
      </c>
      <c r="K5294" t="str">
        <v>+</v>
      </c>
      <c r="L5294">
        <f>IF(D5294=0,2*MAX(6*F5294,75),(D5294-1)*2*MAX(6*F5294,75))/1000</f>
        <v>0.15</v>
      </c>
      <c r="M5294" t="str">
        <v>=</v>
      </c>
      <c r="N5294">
        <f>J5294+L5294</f>
        <v>1.8299999999999998</v>
      </c>
      <c r="T5294" t="str">
        <v>x</v>
      </c>
      <c r="U5294">
        <f>0.006165*F5294^2</f>
        <v>0.6165</v>
      </c>
      <c r="V5294" t="str">
        <v>x</v>
      </c>
      <c r="W5294">
        <f>IF(D5277&gt;4*G5275,ROUND(MAX(D5277/4,2*G5275)/H5294,0)+1,ROUND(D5277/H5294,0)+1)</f>
        <v>19</v>
      </c>
      <c r="X5294" t="str">
        <v>x</v>
      </c>
      <c r="Y5294">
        <f>D5280</f>
        <v>1</v>
      </c>
      <c r="Z5294" t="str">
        <v>=</v>
      </c>
      <c r="AA5294">
        <f>N5294*U5294*W5294*Y5294</f>
        <v>21.435705000000002</v>
      </c>
    </row>
    <row r="5295">
      <c r="A5295" t="str">
        <f>A5274</f>
        <v>Lantai 1</v>
      </c>
      <c r="B5295">
        <f>B5274</f>
        <v>79</v>
      </c>
      <c r="C5295" t="str">
        <v>Sengkang Lapangan</v>
      </c>
      <c r="D5295">
        <f>VLOOKUP(D5274,'Detail Balok'!$C$10:$AU$110,36,FALSE)</f>
        <v>0</v>
      </c>
      <c r="E5295" t="str">
        <v>D</v>
      </c>
      <c r="F5295">
        <f>VLOOKUP(D5274,'Detail Balok'!$C$10:$AU$110,38,FALSE)</f>
        <v>10</v>
      </c>
      <c r="G5295" t="str">
        <v>-</v>
      </c>
      <c r="H5295">
        <f>VLOOKUP(D5274,'Detail Balok'!$C$10:$AU$110,40,FALSE)</f>
        <v>100</v>
      </c>
      <c r="J5295">
        <f>(IF(D5295=0,(2*(D5275+G5275))-(F$5*8),IF(D5295=3,(2*(D5275+G5275))-(F$5*8)+(G5275-2*F$5),IF(D5295=4,(2*(D5275+G5275))-(F$5*8)+2*(G5275-2*F$5)))))/1000</f>
        <v>1.68</v>
      </c>
      <c r="K5295" t="str">
        <v>+</v>
      </c>
      <c r="L5295">
        <f>IF(D5295=0,2*MAX(6*F5295,75),(D5295-1)*2*MAX(6*F5295,75))/1000</f>
        <v>0.15</v>
      </c>
      <c r="M5295" t="str">
        <v>=</v>
      </c>
      <c r="N5295">
        <f>J5295+L5295</f>
        <v>1.8299999999999998</v>
      </c>
      <c r="T5295" t="str">
        <v>x</v>
      </c>
      <c r="U5295">
        <f>0.006165*F5295^2</f>
        <v>0.6165</v>
      </c>
      <c r="V5295" t="str">
        <v>x</v>
      </c>
      <c r="W5295">
        <f>IF(D5277-MAX(D5277/4,2*G5275)*2&gt;0,ROUND((D5277-MAX(D5277/4,2*G5275)*2)/H5295,0),0)</f>
        <v>21</v>
      </c>
      <c r="X5295" t="str">
        <v>x</v>
      </c>
      <c r="Y5295">
        <f>D5280</f>
        <v>1</v>
      </c>
      <c r="Z5295" t="str">
        <v>=</v>
      </c>
      <c r="AA5295">
        <f>N5295*U5295*W5295*Y5295</f>
        <v>23.692095000000002</v>
      </c>
    </row>
    <row r="5296">
      <c r="A5296" t="str">
        <f>A5274</f>
        <v>Lantai 1</v>
      </c>
      <c r="B5296">
        <f>B5274</f>
        <v>79</v>
      </c>
      <c r="C5296" t="str">
        <v>Sengkang Tumpuan</v>
      </c>
      <c r="D5296">
        <f>VLOOKUP(D5274,'Detail Balok'!$C$10:$AU$110,41,FALSE)</f>
        <v>0</v>
      </c>
      <c r="E5296" t="str">
        <v>D</v>
      </c>
      <c r="F5296">
        <f>VLOOKUP(D5274,'Detail Balok'!$C$10:$AU$110,43,FALSE)</f>
        <v>10</v>
      </c>
      <c r="G5296" t="str">
        <v>-</v>
      </c>
      <c r="H5296">
        <f>VLOOKUP(D5274,'Detail Balok'!$C$10:$AU$110,45,FALSE)</f>
        <v>80</v>
      </c>
      <c r="J5296">
        <f>(IF(D5296=0,(2*(D5275+G5275))-(F$5*8),IF(D5296=3,(2*(D5275+G5275))-(F$5*8)+(G5275-2*F$5),IF(D5296=4,(2*(D5275+G5275))-(F$5*8)+2*(G5275-2*F$5)))))/1000</f>
        <v>1.68</v>
      </c>
      <c r="K5296" t="str">
        <v>+</v>
      </c>
      <c r="L5296">
        <f>IF(D5296=0,2*MAX(6*F5296,75),(D5296-1)*2*MAX(6*F5296,75))/1000</f>
        <v>0.15</v>
      </c>
      <c r="M5296" t="str">
        <v>=</v>
      </c>
      <c r="N5296">
        <f>J5296+L5296</f>
        <v>1.8299999999999998</v>
      </c>
      <c r="T5296" t="str">
        <v>x</v>
      </c>
      <c r="U5296">
        <f>0.006165*F5296^2</f>
        <v>0.6165</v>
      </c>
      <c r="V5296" t="str">
        <v>x</v>
      </c>
      <c r="W5296">
        <f>IF(D5277&gt;4*G5275,ROUND(MAX(D5277/4,2*G5275)/H5296,0)+1,0)</f>
        <v>19</v>
      </c>
      <c r="X5296" t="str">
        <v>x</v>
      </c>
      <c r="Y5296">
        <f>D5280</f>
        <v>1</v>
      </c>
      <c r="Z5296" t="str">
        <v>=</v>
      </c>
      <c r="AA5296">
        <f>N5296*U5296*W5296*Y5296</f>
        <v>21.435705000000002</v>
      </c>
    </row>
    <row r="5298">
      <c r="A5298" t="str">
        <f>A5274</f>
        <v>Lantai 1</v>
      </c>
      <c r="B5298">
        <f>B5274</f>
        <v>79</v>
      </c>
      <c r="C5298" t="str">
        <v>Kait Horizontal Tump.</v>
      </c>
      <c r="D5298">
        <f>VLOOKUP(D5274,'Detail Balok'!$C$10:$BJ$110,46,FALSE)</f>
        <v>0</v>
      </c>
      <c r="E5298" t="str">
        <v>D</v>
      </c>
      <c r="F5298">
        <f>VLOOKUP(D5274,'Detail Balok'!$C$10:$BJ$110,48,FALSE)</f>
        <v>0</v>
      </c>
      <c r="G5298" t="str">
        <v>-</v>
      </c>
      <c r="H5298">
        <f>VLOOKUP(D5274,'Detail Balok'!$C$10:$BJ$110,50,FALSE)</f>
        <v>100</v>
      </c>
      <c r="J5298">
        <f>(D5275-2*F$5)/1000</f>
        <v>0.22</v>
      </c>
      <c r="K5298" t="str">
        <v>+</v>
      </c>
      <c r="L5298">
        <f>IF(D5298=0,2*MAX(6*F5298,75),(D5298-1)*2*MAX(6*F5298,75))/1000</f>
        <v>0.15</v>
      </c>
      <c r="M5298" t="str">
        <v>=</v>
      </c>
      <c r="N5298">
        <f>J5298+L5298</f>
        <v>0.37</v>
      </c>
      <c r="T5298" t="str">
        <v>x</v>
      </c>
      <c r="U5298">
        <f>0.006165*F5298^2</f>
        <v>0</v>
      </c>
      <c r="V5298" t="str">
        <v>x</v>
      </c>
      <c r="W5298">
        <f>W5294</f>
        <v>19</v>
      </c>
      <c r="X5298" t="str">
        <v>x</v>
      </c>
      <c r="Y5298">
        <f>D5284</f>
        <v>0</v>
      </c>
      <c r="Z5298" t="str">
        <v>=</v>
      </c>
      <c r="AA5298">
        <f>N5298*U5298*W5298*Y5298</f>
        <v>0</v>
      </c>
    </row>
    <row r="5299">
      <c r="A5299" t="str">
        <f>A5274</f>
        <v>Lantai 1</v>
      </c>
      <c r="B5299">
        <f>B5274</f>
        <v>79</v>
      </c>
      <c r="C5299" t="str">
        <v>Kait Horizontal Lap.</v>
      </c>
      <c r="D5299">
        <f>VLOOKUP(D5274,'Detail Balok'!$C$10:$BJ$110,51,FALSE)</f>
        <v>0</v>
      </c>
      <c r="E5299" t="str">
        <v>D</v>
      </c>
      <c r="F5299">
        <f>VLOOKUP(D5274,'Detail Balok'!$C$10:$BJ$110,53,FALSE)</f>
        <v>0</v>
      </c>
      <c r="G5299" t="str">
        <v>-</v>
      </c>
      <c r="H5299">
        <f>VLOOKUP(D5274,'Detail Balok'!$C$10:$BJ$110,55,FALSE)</f>
        <v>100</v>
      </c>
      <c r="J5299">
        <f>(D5275-2*F$5)/1000</f>
        <v>0.22</v>
      </c>
      <c r="K5299" t="str">
        <v>+</v>
      </c>
      <c r="L5299">
        <f>IF(D5299=0,2*MAX(6*F5299,75),(D5299-1)*2*MAX(6*F5299,75))/1000</f>
        <v>0.15</v>
      </c>
      <c r="M5299" t="str">
        <v>=</v>
      </c>
      <c r="N5299">
        <f>J5299+L5299</f>
        <v>0.37</v>
      </c>
      <c r="T5299" t="str">
        <v>x</v>
      </c>
      <c r="U5299">
        <f>0.006165*F5299^2</f>
        <v>0</v>
      </c>
      <c r="V5299" t="str">
        <v>x</v>
      </c>
      <c r="W5299">
        <f>W5295</f>
        <v>21</v>
      </c>
      <c r="X5299" t="str">
        <v>x</v>
      </c>
      <c r="Y5299">
        <f>D5284</f>
        <v>0</v>
      </c>
      <c r="Z5299" t="str">
        <v>=</v>
      </c>
      <c r="AA5299">
        <f>N5299*U5299*W5299*Y5299</f>
        <v>0</v>
      </c>
    </row>
    <row r="5300">
      <c r="A5300" t="str">
        <f>A5274</f>
        <v>Lantai 1</v>
      </c>
      <c r="B5300">
        <f>B5274</f>
        <v>79</v>
      </c>
      <c r="C5300" t="str">
        <v>Kait Horizontal Tump.</v>
      </c>
      <c r="D5300">
        <f>VLOOKUP(D5274,'Detail Balok'!$C$10:$BJ$110,56,FALSE)</f>
        <v>0</v>
      </c>
      <c r="E5300" t="str">
        <v>D</v>
      </c>
      <c r="F5300">
        <f>VLOOKUP(D5274,'Detail Balok'!$C$10:$BJ$110,58,FALSE)</f>
        <v>0</v>
      </c>
      <c r="G5300" t="str">
        <v>-</v>
      </c>
      <c r="H5300">
        <f>VLOOKUP(D5274,'Detail Balok'!$C$10:$BJ$110,60,FALSE)</f>
        <v>100</v>
      </c>
      <c r="J5300">
        <f>(D5275-2*F$5)/1000</f>
        <v>0.22</v>
      </c>
      <c r="K5300" t="str">
        <v>+</v>
      </c>
      <c r="L5300">
        <f>IF(D5300=0,2*MAX(6*F5300,75),(D5300-1)*2*MAX(6*F5300,75))/1000</f>
        <v>0.15</v>
      </c>
      <c r="M5300" t="str">
        <v>=</v>
      </c>
      <c r="N5300">
        <f>J5300+L5300</f>
        <v>0.37</v>
      </c>
      <c r="T5300" t="str">
        <v>x</v>
      </c>
      <c r="U5300">
        <f>0.006165*F5300^2</f>
        <v>0</v>
      </c>
      <c r="V5300" t="str">
        <v>x</v>
      </c>
      <c r="W5300">
        <f>W5296</f>
        <v>19</v>
      </c>
      <c r="X5300" t="str">
        <v>x</v>
      </c>
      <c r="Y5300">
        <f>D5284</f>
        <v>0</v>
      </c>
      <c r="Z5300" t="str">
        <v>=</v>
      </c>
      <c r="AA5300">
        <f>N5300*U5300*W5300*Y5300</f>
        <v>0</v>
      </c>
    </row>
    <row r="5304">
      <c r="A5304" t="str">
        <f>A5274</f>
        <v>Lantai 1</v>
      </c>
      <c r="B5304">
        <f>B5274+1</f>
        <v>80</v>
      </c>
      <c r="C5304" t="str">
        <f>CONCATENATE(A5304," no. ",B5304)</f>
        <v>Lantai 1 no. 80</v>
      </c>
      <c r="D5304" t="str">
        <f>VLOOKUP(C5304,'Data Panjang Balok'!$C$9:$N$424,2,FALSE)</f>
        <v>B37-1</v>
      </c>
    </row>
    <row r="5305">
      <c r="C5305" t="str">
        <v>Dimensi</v>
      </c>
      <c r="D5305">
        <f>VLOOKUP(D5304,'Detail Balok'!$C$10:$AU$110,2,FALSE)</f>
        <v>300</v>
      </c>
      <c r="F5305" t="str">
        <v>x</v>
      </c>
      <c r="G5305">
        <f>VLOOKUP(D5304,'Detail Balok'!$C$10:$AU$110,3,FALSE)</f>
        <v>700</v>
      </c>
    </row>
    <row r="5306">
      <c r="C5306" t="str">
        <v>Panjang as ke as</v>
      </c>
      <c r="D5306">
        <f>VLOOKUP(C5304,'Data Panjang Balok'!$C$9:$N$424,4,FALSE)</f>
        <v>8400</v>
      </c>
    </row>
    <row r="5307">
      <c r="C5307" t="str">
        <v>Panjang netto</v>
      </c>
      <c r="D5307">
        <f>VLOOKUP(C5304,'Data Panjang Balok'!$C$9:$N$424,7,FALSE)</f>
        <v>8400</v>
      </c>
    </row>
    <row r="5308">
      <c r="C5308" t="str">
        <v>Kolom / balok kiri</v>
      </c>
      <c r="D5308">
        <f>VLOOKUP(C5304,'Data Panjang Balok'!$C$9:$N$424,9,FALSE)</f>
        <v>0</v>
      </c>
    </row>
    <row r="5309">
      <c r="C5309" t="str">
        <v>Kolom / balok kanan</v>
      </c>
      <c r="D5309">
        <f>VLOOKUP(C5304,'Data Panjang Balok'!$C$9:$N$424,10,FALSE)</f>
        <v>0</v>
      </c>
    </row>
    <row r="5310">
      <c r="C5310" t="str">
        <v>Jumlah</v>
      </c>
      <c r="D5310">
        <f>VLOOKUP(C5304,'Data Panjang Balok'!$C$9:$N$424,3,FALSE)</f>
        <v>1</v>
      </c>
    </row>
    <row r="5311">
      <c r="A5311" t="str">
        <f>A5304</f>
        <v>Lantai 1</v>
      </c>
      <c r="B5311">
        <f>B5304</f>
        <v>80</v>
      </c>
      <c r="C5311" t="str">
        <v>Tul Atas Tumpuan</v>
      </c>
      <c r="D5311">
        <f>VLOOKUP(D5304,'Detail Balok'!$C$10:$AU$110,4,FALSE)</f>
        <v>7</v>
      </c>
      <c r="E5311" t="str">
        <v>D</v>
      </c>
      <c r="F5311">
        <f>VLOOKUP(D5304,'Detail Balok'!$C$10:$AU$110,6,FALSE)</f>
        <v>22</v>
      </c>
      <c r="I5311" t="str">
        <v>(</v>
      </c>
      <c r="J5311">
        <f>+D5306/4/1000</f>
        <v>2.1</v>
      </c>
      <c r="K5311" t="str">
        <v>+</v>
      </c>
      <c r="L5311">
        <f>MAX(VLOOKUP(F5311,N$6:P$15,3,FALSE)/1000,2/3*D5308/1000)+F$16*F5311/1000</f>
        <v>0.264</v>
      </c>
      <c r="M5311" t="str">
        <v>=</v>
      </c>
      <c r="N5311">
        <f>J5311+L5311</f>
        <v>2.364</v>
      </c>
      <c r="O5311" t="str">
        <v>+</v>
      </c>
      <c r="P5311">
        <f>D5311-D5312</f>
        <v>5</v>
      </c>
      <c r="Q5311" t="str">
        <v>x</v>
      </c>
      <c r="R5311">
        <f>IF(P5311&gt;0,$F$18*F5311/1000,0)</f>
        <v>0.33</v>
      </c>
      <c r="S5311" t="str">
        <v>)</v>
      </c>
      <c r="T5311" t="str">
        <v>x</v>
      </c>
      <c r="U5311">
        <f>0.006165*F5311^2</f>
        <v>2.98386</v>
      </c>
      <c r="X5311" t="str">
        <v>x</v>
      </c>
      <c r="Y5311">
        <f>D5310</f>
        <v>1</v>
      </c>
      <c r="Z5311" t="str">
        <v>=</v>
      </c>
      <c r="AA5311">
        <f>IF(AA5314=0,(D5311*N5311+P5311*R5311)*U5311*Y5311,0)</f>
        <v>54.30028427999999</v>
      </c>
    </row>
    <row r="5312">
      <c r="A5312" t="str">
        <f>A5304</f>
        <v>Lantai 1</v>
      </c>
      <c r="B5312">
        <f>B5304</f>
        <v>80</v>
      </c>
      <c r="C5312" t="str">
        <v>Tul Atas Lapangan</v>
      </c>
      <c r="D5312">
        <f>VLOOKUP(D5304,'Detail Balok'!$C$10:$AU$110,7,FALSE)</f>
        <v>2</v>
      </c>
      <c r="E5312" t="str">
        <v>D</v>
      </c>
      <c r="F5312">
        <f>VLOOKUP(D5304,'Detail Balok'!$C$10:$AU$110,9,FALSE)</f>
        <v>22</v>
      </c>
      <c r="I5312" t="str">
        <v>(</v>
      </c>
      <c r="J5312">
        <f>+D5306/2/1000</f>
        <v>4.2</v>
      </c>
      <c r="K5312" t="str">
        <v>+</v>
      </c>
      <c r="M5312" t="str">
        <v>=</v>
      </c>
      <c r="N5312">
        <f>J5312+L5312</f>
        <v>4.2</v>
      </c>
      <c r="O5312" t="str">
        <v>+</v>
      </c>
      <c r="P5312">
        <f>MAX(D5312-D5311,D5312-D5313)</f>
        <v>-5</v>
      </c>
      <c r="Q5312" t="str">
        <v>x</v>
      </c>
      <c r="R5312">
        <f>IF(P5312&gt;0,2*(1-2*$F$19-1/2)*D5307/1000,0)</f>
        <v>0</v>
      </c>
      <c r="S5312" t="str">
        <v>)</v>
      </c>
      <c r="T5312" t="str">
        <v>x</v>
      </c>
      <c r="U5312">
        <f>0.006165*F5312^2</f>
        <v>2.98386</v>
      </c>
      <c r="X5312" t="str">
        <v>x</v>
      </c>
      <c r="Y5312">
        <f>D5310</f>
        <v>1</v>
      </c>
      <c r="Z5312" t="str">
        <v>=</v>
      </c>
      <c r="AA5312">
        <f>IF(AA5314=0,(D5312*N5312+P5312*R5312)*U5312*Y5312,0)</f>
        <v>25.064424</v>
      </c>
    </row>
    <row r="5313">
      <c r="A5313" t="str">
        <f>A5304</f>
        <v>Lantai 1</v>
      </c>
      <c r="B5313">
        <f>B5304</f>
        <v>80</v>
      </c>
      <c r="C5313" t="str">
        <v>Tul Atas Tumpuan</v>
      </c>
      <c r="D5313">
        <f>VLOOKUP(D5304,'Detail Balok'!$C$10:$AU$110,10,FALSE)</f>
        <v>7</v>
      </c>
      <c r="E5313" t="str">
        <v>D</v>
      </c>
      <c r="F5313">
        <f>VLOOKUP(D5304,'Detail Balok'!$C$10:$AU$110,12,FALSE)</f>
        <v>22</v>
      </c>
      <c r="I5313" t="str">
        <v>(</v>
      </c>
      <c r="J5313">
        <f>+D5306/4/1000</f>
        <v>2.1</v>
      </c>
      <c r="K5313" t="str">
        <v>+</v>
      </c>
      <c r="L5313">
        <f>MAX(VLOOKUP(F5313,N$6:P$15,3,FALSE)/1000,2/3*D5308/1000)+F$16*F5313/1000</f>
        <v>0.264</v>
      </c>
      <c r="M5313" t="str">
        <v>=</v>
      </c>
      <c r="N5313">
        <f>J5313+L5313</f>
        <v>2.364</v>
      </c>
      <c r="O5313" t="str">
        <v>+</v>
      </c>
      <c r="P5313">
        <f>D5313-D5312</f>
        <v>5</v>
      </c>
      <c r="Q5313" t="str">
        <v>x</v>
      </c>
      <c r="R5313">
        <f>IF(P5313&gt;0,$F$18*F5313/1000,0)</f>
        <v>0.33</v>
      </c>
      <c r="S5313" t="str">
        <v>)</v>
      </c>
      <c r="T5313" t="str">
        <v>x</v>
      </c>
      <c r="U5313">
        <f>0.006165*F5313^2</f>
        <v>2.98386</v>
      </c>
      <c r="X5313" t="str">
        <v>x</v>
      </c>
      <c r="Y5313">
        <f>D5310</f>
        <v>1</v>
      </c>
      <c r="Z5313" t="str">
        <v>=</v>
      </c>
      <c r="AA5313">
        <f>IF(AA5314=0,(D5313*N5313+P5313*R5313)*U5313*Y5313,0)</f>
        <v>54.30028427999999</v>
      </c>
    </row>
    <row r="5314">
      <c r="A5314" t="str">
        <f>A5304</f>
        <v>Lantai 1</v>
      </c>
      <c r="B5314">
        <f>B5304</f>
        <v>80</v>
      </c>
      <c r="D5314">
        <f>IF(AND(D5311=D5312,D5312=D5313,D5311=D5313),D5311,0)</f>
        <v>0</v>
      </c>
      <c r="E5314" t="str">
        <v>D</v>
      </c>
      <c r="F5314">
        <f>IF(AND(F5311=F5312,F5311=F5313,F5312=F5313),F5311,0)</f>
        <v>22</v>
      </c>
      <c r="L5314" t="str">
        <v>Total panjang per balok</v>
      </c>
      <c r="M5314" t="str">
        <v>=</v>
      </c>
      <c r="N5314">
        <f>IF(AND(D5311=D5312,D5311=D5313,D5312=D5313,F5311=F5312,F5311=F5313,F5312=F5313),SUM(N5311:N5313),0)</f>
        <v>0</v>
      </c>
      <c r="O5314" t="str">
        <v>+</v>
      </c>
      <c r="P5314">
        <f>IF(N5314&gt;12,ROUNDDOWN(N5314/12,0),0)</f>
        <v>0</v>
      </c>
      <c r="Q5314" t="str">
        <v>x</v>
      </c>
      <c r="R5314">
        <f>IF(P5314&gt;0,MAX(VLOOKUP(F5314,$D$6:$G$15,3,FALSE),600),0)/1000</f>
        <v>0</v>
      </c>
      <c r="T5314" t="str">
        <v>x</v>
      </c>
      <c r="U5314">
        <f>U5313</f>
        <v>2.98386</v>
      </c>
      <c r="V5314" t="str">
        <v>x</v>
      </c>
      <c r="W5314">
        <f>D5314</f>
        <v>0</v>
      </c>
      <c r="X5314" t="str">
        <v>x</v>
      </c>
      <c r="Y5314">
        <f>Y5313</f>
        <v>1</v>
      </c>
      <c r="Z5314" t="str">
        <v>=</v>
      </c>
      <c r="AA5314">
        <f>(N5314+P5314*R5314/1000)*U5314*W5314*Y5314</f>
        <v>0</v>
      </c>
    </row>
    <row r="5316">
      <c r="A5316" t="str">
        <f>A5304</f>
        <v>Lantai 1</v>
      </c>
      <c r="B5316">
        <f>B5304</f>
        <v>80</v>
      </c>
      <c r="C5316" t="str">
        <v>Tul Peminggang</v>
      </c>
      <c r="D5316">
        <f>VLOOKUP(D5304,'Detail Balok'!$C$10:$AU$110,13,FALSE)</f>
        <v>2</v>
      </c>
      <c r="E5316" t="str">
        <v>D</v>
      </c>
      <c r="F5316">
        <f>VLOOKUP(D5304,'Detail Balok'!$C$10:$AU$110,15,FALSE)</f>
        <v>10</v>
      </c>
      <c r="J5316">
        <f>+D5306/1000</f>
        <v>8.4</v>
      </c>
      <c r="K5316" t="str">
        <v>+</v>
      </c>
      <c r="L5316">
        <f>2*$F$16*F5316/1000</f>
        <v>0.24</v>
      </c>
      <c r="M5316" t="str">
        <v>=</v>
      </c>
      <c r="N5316">
        <f>J5316+L5316</f>
        <v>8.64</v>
      </c>
      <c r="O5316" t="str">
        <v>+</v>
      </c>
      <c r="P5316">
        <f>IF(N5316&gt;12,ROUNDDOWN(N5316/12,0),0)</f>
        <v>0</v>
      </c>
      <c r="Q5316" t="str">
        <v>x</v>
      </c>
      <c r="R5316">
        <f>IF(P5316&gt;0,MAX(VLOOKUP(F5316,$D$6:$G$15,3,FALSE),600),0)/1000</f>
        <v>0</v>
      </c>
      <c r="T5316" t="str">
        <v>x</v>
      </c>
      <c r="U5316">
        <f>0.006165*F5316^2</f>
        <v>0.6165</v>
      </c>
      <c r="V5316" t="str">
        <v>x</v>
      </c>
      <c r="W5316">
        <f>+D5316</f>
        <v>2</v>
      </c>
      <c r="X5316" t="str">
        <v>x</v>
      </c>
      <c r="Y5316">
        <f>D5310</f>
        <v>1</v>
      </c>
      <c r="Z5316" t="str">
        <v>=</v>
      </c>
      <c r="AA5316">
        <f>(N5316+P5316*R5316/1000)*U5316*W5316*Y5316</f>
        <v>10.653120000000001</v>
      </c>
    </row>
    <row r="5319">
      <c r="A5319" t="str">
        <f>A5304</f>
        <v>Lantai 1</v>
      </c>
      <c r="B5319">
        <f>B5304</f>
        <v>80</v>
      </c>
      <c r="C5319" t="str">
        <v>Tul Bawah Tumpuan</v>
      </c>
      <c r="D5319">
        <f>VLOOKUP(D5304,'Detail Balok'!$C$10:$AU$110,22,FALSE)</f>
        <v>4</v>
      </c>
      <c r="E5319" t="str">
        <v>D</v>
      </c>
      <c r="F5319">
        <f>VLOOKUP(D5304,'Detail Balok'!$C$10:$AU$110,24,FALSE)</f>
        <v>22</v>
      </c>
      <c r="I5319" t="str">
        <v>(</v>
      </c>
      <c r="J5319">
        <f>+J5311</f>
        <v>2.1</v>
      </c>
      <c r="K5319" t="str">
        <v>+</v>
      </c>
      <c r="L5319">
        <f>MAX(VLOOKUP(F5319,N$6:P$15,3,FALSE)/1000,2/3*D5309/1000)+F$16*F5319/1000</f>
        <v>0.264</v>
      </c>
      <c r="M5319" t="str">
        <v>=</v>
      </c>
      <c r="N5319">
        <f>J5319+L5319</f>
        <v>2.364</v>
      </c>
      <c r="O5319" t="str">
        <v>+</v>
      </c>
      <c r="P5319">
        <f>D5319-D5320</f>
        <v>-2</v>
      </c>
      <c r="Q5319" t="str">
        <v>x</v>
      </c>
      <c r="R5319">
        <f>IF(P5319&gt;0,$F$18*F5319/1000,0)</f>
        <v>0</v>
      </c>
      <c r="S5319" t="str">
        <v>)</v>
      </c>
      <c r="T5319" t="str">
        <v>x</v>
      </c>
      <c r="U5319">
        <f>0.006165*F5319^2</f>
        <v>2.98386</v>
      </c>
      <c r="X5319" t="str">
        <v>x</v>
      </c>
      <c r="Y5319">
        <f>D5310</f>
        <v>1</v>
      </c>
      <c r="Z5319" t="str">
        <v>=</v>
      </c>
      <c r="AA5319">
        <f>IF(AA5322=0,(D5319*N5319+P5319*R5319)*U5319*Y5319,0)</f>
        <v>28.21538016</v>
      </c>
    </row>
    <row r="5320">
      <c r="A5320" t="str">
        <f>A5304</f>
        <v>Lantai 1</v>
      </c>
      <c r="B5320">
        <f>B5304</f>
        <v>80</v>
      </c>
      <c r="C5320" t="str">
        <v>Tul Bawah Lapangan</v>
      </c>
      <c r="D5320">
        <f>VLOOKUP(D5304,'Detail Balok'!$C$10:$AU$110,25,FALSE)</f>
        <v>6</v>
      </c>
      <c r="E5320" t="str">
        <v>D</v>
      </c>
      <c r="F5320">
        <f>VLOOKUP(D5304,'Detail Balok'!$C$10:$AU$110,27,FALSE)</f>
        <v>22</v>
      </c>
      <c r="I5320" t="str">
        <v>(</v>
      </c>
      <c r="J5320">
        <f>+J5312</f>
        <v>4.2</v>
      </c>
      <c r="K5320" t="str">
        <v>+</v>
      </c>
      <c r="M5320" t="str">
        <v>=</v>
      </c>
      <c r="N5320">
        <f>J5320+L5320</f>
        <v>4.2</v>
      </c>
      <c r="O5320" t="str">
        <v>+</v>
      </c>
      <c r="P5320">
        <f>MAX(D5320-D5319,D5320-D5321)</f>
        <v>2</v>
      </c>
      <c r="Q5320" t="str">
        <v>x</v>
      </c>
      <c r="R5320">
        <f>IF(P5320&gt;0,2*(1-2*$F$19-1/2)*D5307/1000,0)</f>
        <v>1.6799999999999995</v>
      </c>
      <c r="S5320" t="str">
        <v>)</v>
      </c>
      <c r="T5320" t="str">
        <v>x</v>
      </c>
      <c r="U5320">
        <f>0.006165*F5320^2</f>
        <v>2.98386</v>
      </c>
      <c r="X5320" t="str">
        <v>x</v>
      </c>
      <c r="Y5320">
        <f>D5310</f>
        <v>1</v>
      </c>
      <c r="Z5320" t="str">
        <v>=</v>
      </c>
      <c r="AA5320">
        <f>IF(AA5322=0,(D5320*N5320+P5320*R5320)*U5320*Y5320,0)</f>
        <v>85.21904160000001</v>
      </c>
    </row>
    <row r="5321">
      <c r="A5321" t="str">
        <f>A5304</f>
        <v>Lantai 1</v>
      </c>
      <c r="B5321">
        <f>B5304</f>
        <v>80</v>
      </c>
      <c r="C5321" t="str">
        <v>Tul Bawah Tumpuan</v>
      </c>
      <c r="D5321">
        <f>VLOOKUP(D5304,'Detail Balok'!$C$10:$AU$110,28,FALSE)</f>
        <v>4</v>
      </c>
      <c r="E5321" t="str">
        <v>D</v>
      </c>
      <c r="F5321">
        <f>VLOOKUP(D5304,'Detail Balok'!$C$10:$AU$110,30,FALSE)</f>
        <v>22</v>
      </c>
      <c r="I5321" t="str">
        <v>(</v>
      </c>
      <c r="J5321">
        <f>+J5313</f>
        <v>2.1</v>
      </c>
      <c r="K5321" t="str">
        <v>+</v>
      </c>
      <c r="L5321">
        <f>MAX(VLOOKUP(F5321,N$6:P$15,3,FALSE)/1000,2/3*D5309/1000)+F$16*F5321/1000</f>
        <v>0.264</v>
      </c>
      <c r="M5321" t="str">
        <v>=</v>
      </c>
      <c r="N5321">
        <f>J5321+L5321</f>
        <v>2.364</v>
      </c>
      <c r="O5321" t="str">
        <v>+</v>
      </c>
      <c r="P5321">
        <f>D5321-D5320</f>
        <v>-2</v>
      </c>
      <c r="Q5321" t="str">
        <v>x</v>
      </c>
      <c r="R5321">
        <f>IF(P5321&gt;0,$F$18*F5321/1000,0)</f>
        <v>0</v>
      </c>
      <c r="S5321" t="str">
        <v>)</v>
      </c>
      <c r="T5321" t="str">
        <v>x</v>
      </c>
      <c r="U5321">
        <f>0.006165*F5321^2</f>
        <v>2.98386</v>
      </c>
      <c r="X5321" t="str">
        <v>x</v>
      </c>
      <c r="Y5321">
        <f>D5310</f>
        <v>1</v>
      </c>
      <c r="Z5321" t="str">
        <v>=</v>
      </c>
      <c r="AA5321">
        <f>IF(AA5322=0,(D5321*N5321+P5321*R5321)*U5321*Y5321,0)</f>
        <v>28.21538016</v>
      </c>
    </row>
    <row r="5322">
      <c r="A5322" t="str">
        <f>A5304</f>
        <v>Lantai 1</v>
      </c>
      <c r="B5322">
        <f>B5304</f>
        <v>80</v>
      </c>
      <c r="D5322">
        <f>IF(AND(D5319=D5320,D5320=D5321,D5319=D5321),D5319,0)</f>
        <v>0</v>
      </c>
      <c r="E5322" t="str">
        <v>D</v>
      </c>
      <c r="F5322">
        <f>IF(AND(F5319=F5320,F5319=F5321,F5320=F5321),F5319,0)</f>
        <v>22</v>
      </c>
      <c r="L5322" t="str">
        <v>Total panjang per balok</v>
      </c>
      <c r="M5322" t="str">
        <v>=</v>
      </c>
      <c r="N5322">
        <f>IF(AND(D5319=D5320,D5319=D5321,D5320=D5321,F5319=F5320,F5319=F5321,F5320=F5321),SUM(N5319:N5321),0)</f>
        <v>0</v>
      </c>
      <c r="O5322" t="str">
        <v>+</v>
      </c>
      <c r="P5322">
        <f>IF(N5322&gt;12,ROUNDDOWN(N5322/12,0),0)</f>
        <v>0</v>
      </c>
      <c r="Q5322" t="str">
        <v>x</v>
      </c>
      <c r="R5322">
        <f>IF(P5322&gt;0,MAX(VLOOKUP(F5322,$D$6:$G$15,3,FALSE),600),0)/1000</f>
        <v>0</v>
      </c>
      <c r="T5322" t="str">
        <v>x</v>
      </c>
      <c r="U5322">
        <f>U5321</f>
        <v>2.98386</v>
      </c>
      <c r="V5322" t="str">
        <v>x</v>
      </c>
      <c r="W5322">
        <f>D5322</f>
        <v>0</v>
      </c>
      <c r="X5322" t="str">
        <v>x</v>
      </c>
      <c r="Y5322">
        <f>Y5321</f>
        <v>1</v>
      </c>
      <c r="Z5322" t="str">
        <v>=</v>
      </c>
      <c r="AA5322">
        <f>(N5322+P5322*R5322/1000)*U5322*W5322*Y5322</f>
        <v>0</v>
      </c>
    </row>
    <row r="5324">
      <c r="A5324" t="str">
        <f>A5304</f>
        <v>Lantai 1</v>
      </c>
      <c r="B5324">
        <f>B5304</f>
        <v>80</v>
      </c>
      <c r="C5324" t="str">
        <v>Sengkang Tumpuan</v>
      </c>
      <c r="D5324">
        <f>VLOOKUP(D5304,'Detail Balok'!$C$10:$AU$110,31,FALSE)</f>
        <v>0</v>
      </c>
      <c r="E5324" t="str">
        <v>D</v>
      </c>
      <c r="F5324">
        <f>VLOOKUP(D5304,'Detail Balok'!$C$10:$AU$110,33,FALSE)</f>
        <v>10</v>
      </c>
      <c r="G5324" t="str">
        <v>-</v>
      </c>
      <c r="H5324">
        <f>VLOOKUP(D5304,'Detail Balok'!$C$10:$AU$110,35,FALSE)</f>
        <v>80</v>
      </c>
      <c r="J5324">
        <f>(IF(D5324=0,(2*(D5305+G5305))-(F$5*8),IF(D5324=3,(2*(D5305+G5305))-(F$5*8)+(G5305-2*F$5),IF(D5324=4,(2*(D5305+G5305))-(F$5*8)+2*(G5305-2*F$5)))))/1000</f>
        <v>1.68</v>
      </c>
      <c r="K5324" t="str">
        <v>+</v>
      </c>
      <c r="L5324">
        <f>IF(D5324=0,2*MAX(6*F5324,75),(D5324-1)*2*MAX(6*F5324,75))/1000</f>
        <v>0.15</v>
      </c>
      <c r="M5324" t="str">
        <v>=</v>
      </c>
      <c r="N5324">
        <f>J5324+L5324</f>
        <v>1.8299999999999998</v>
      </c>
      <c r="T5324" t="str">
        <v>x</v>
      </c>
      <c r="U5324">
        <f>0.006165*F5324^2</f>
        <v>0.6165</v>
      </c>
      <c r="V5324" t="str">
        <v>x</v>
      </c>
      <c r="W5324">
        <f>IF(D5307&gt;4*G5305,ROUND(MAX(D5307/4,2*G5305)/H5324,0)+1,ROUND(D5307/H5324,0)+1)</f>
        <v>27</v>
      </c>
      <c r="X5324" t="str">
        <v>x</v>
      </c>
      <c r="Y5324">
        <f>D5310</f>
        <v>1</v>
      </c>
      <c r="Z5324" t="str">
        <v>=</v>
      </c>
      <c r="AA5324">
        <f>N5324*U5324*W5324*Y5324</f>
        <v>30.461265</v>
      </c>
    </row>
    <row r="5325">
      <c r="A5325" t="str">
        <f>A5304</f>
        <v>Lantai 1</v>
      </c>
      <c r="B5325">
        <f>B5304</f>
        <v>80</v>
      </c>
      <c r="C5325" t="str">
        <v>Sengkang Lapangan</v>
      </c>
      <c r="D5325">
        <f>VLOOKUP(D5304,'Detail Balok'!$C$10:$AU$110,36,FALSE)</f>
        <v>0</v>
      </c>
      <c r="E5325" t="str">
        <v>D</v>
      </c>
      <c r="F5325">
        <f>VLOOKUP(D5304,'Detail Balok'!$C$10:$AU$110,38,FALSE)</f>
        <v>10</v>
      </c>
      <c r="G5325" t="str">
        <v>-</v>
      </c>
      <c r="H5325">
        <f>VLOOKUP(D5304,'Detail Balok'!$C$10:$AU$110,40,FALSE)</f>
        <v>100</v>
      </c>
      <c r="J5325">
        <f>(IF(D5325=0,(2*(D5305+G5305))-(F$5*8),IF(D5325=3,(2*(D5305+G5305))-(F$5*8)+(G5305-2*F$5),IF(D5325=4,(2*(D5305+G5305))-(F$5*8)+2*(G5305-2*F$5)))))/1000</f>
        <v>1.68</v>
      </c>
      <c r="K5325" t="str">
        <v>+</v>
      </c>
      <c r="L5325">
        <f>IF(D5325=0,2*MAX(6*F5325,75),(D5325-1)*2*MAX(6*F5325,75))/1000</f>
        <v>0.15</v>
      </c>
      <c r="M5325" t="str">
        <v>=</v>
      </c>
      <c r="N5325">
        <f>J5325+L5325</f>
        <v>1.8299999999999998</v>
      </c>
      <c r="T5325" t="str">
        <v>x</v>
      </c>
      <c r="U5325">
        <f>0.006165*F5325^2</f>
        <v>0.6165</v>
      </c>
      <c r="V5325" t="str">
        <v>x</v>
      </c>
      <c r="W5325">
        <f>IF(D5307-MAX(D5307/4,2*G5305)*2&gt;0,ROUND((D5307-MAX(D5307/4,2*G5305)*2)/H5325,0),0)</f>
        <v>42</v>
      </c>
      <c r="X5325" t="str">
        <v>x</v>
      </c>
      <c r="Y5325">
        <f>D5310</f>
        <v>1</v>
      </c>
      <c r="Z5325" t="str">
        <v>=</v>
      </c>
      <c r="AA5325">
        <f>N5325*U5325*W5325*Y5325</f>
        <v>47.384190000000004</v>
      </c>
    </row>
    <row r="5326">
      <c r="A5326" t="str">
        <f>A5304</f>
        <v>Lantai 1</v>
      </c>
      <c r="B5326">
        <f>B5304</f>
        <v>80</v>
      </c>
      <c r="C5326" t="str">
        <v>Sengkang Tumpuan</v>
      </c>
      <c r="D5326">
        <f>VLOOKUP(D5304,'Detail Balok'!$C$10:$AU$110,41,FALSE)</f>
        <v>0</v>
      </c>
      <c r="E5326" t="str">
        <v>D</v>
      </c>
      <c r="F5326">
        <f>VLOOKUP(D5304,'Detail Balok'!$C$10:$AU$110,43,FALSE)</f>
        <v>10</v>
      </c>
      <c r="G5326" t="str">
        <v>-</v>
      </c>
      <c r="H5326">
        <f>VLOOKUP(D5304,'Detail Balok'!$C$10:$AU$110,45,FALSE)</f>
        <v>80</v>
      </c>
      <c r="J5326">
        <f>(IF(D5326=0,(2*(D5305+G5305))-(F$5*8),IF(D5326=3,(2*(D5305+G5305))-(F$5*8)+(G5305-2*F$5),IF(D5326=4,(2*(D5305+G5305))-(F$5*8)+2*(G5305-2*F$5)))))/1000</f>
        <v>1.68</v>
      </c>
      <c r="K5326" t="str">
        <v>+</v>
      </c>
      <c r="L5326">
        <f>IF(D5326=0,2*MAX(6*F5326,75),(D5326-1)*2*MAX(6*F5326,75))/1000</f>
        <v>0.15</v>
      </c>
      <c r="M5326" t="str">
        <v>=</v>
      </c>
      <c r="N5326">
        <f>J5326+L5326</f>
        <v>1.8299999999999998</v>
      </c>
      <c r="T5326" t="str">
        <v>x</v>
      </c>
      <c r="U5326">
        <f>0.006165*F5326^2</f>
        <v>0.6165</v>
      </c>
      <c r="V5326" t="str">
        <v>x</v>
      </c>
      <c r="W5326">
        <f>IF(D5307&gt;4*G5305,ROUND(MAX(D5307/4,2*G5305)/H5326,0)+1,0)</f>
        <v>27</v>
      </c>
      <c r="X5326" t="str">
        <v>x</v>
      </c>
      <c r="Y5326">
        <f>D5310</f>
        <v>1</v>
      </c>
      <c r="Z5326" t="str">
        <v>=</v>
      </c>
      <c r="AA5326">
        <f>N5326*U5326*W5326*Y5326</f>
        <v>30.461265</v>
      </c>
    </row>
    <row r="5328">
      <c r="A5328" t="str">
        <f>A5304</f>
        <v>Lantai 1</v>
      </c>
      <c r="B5328">
        <f>B5304</f>
        <v>80</v>
      </c>
      <c r="C5328" t="str">
        <v>Kait Horizontal Tump.</v>
      </c>
      <c r="D5328">
        <f>VLOOKUP(D5304,'Detail Balok'!$C$10:$BJ$110,46,FALSE)</f>
        <v>0</v>
      </c>
      <c r="E5328" t="str">
        <v>D</v>
      </c>
      <c r="F5328">
        <f>VLOOKUP(D5304,'Detail Balok'!$C$10:$BJ$110,48,FALSE)</f>
        <v>0</v>
      </c>
      <c r="G5328" t="str">
        <v>-</v>
      </c>
      <c r="H5328">
        <f>VLOOKUP(D5304,'Detail Balok'!$C$10:$BJ$110,50,FALSE)</f>
        <v>100</v>
      </c>
      <c r="J5328">
        <f>(D5305-2*F$5)/1000</f>
        <v>0.22</v>
      </c>
      <c r="K5328" t="str">
        <v>+</v>
      </c>
      <c r="L5328">
        <f>IF(D5328=0,2*MAX(6*F5328,75),(D5328-1)*2*MAX(6*F5328,75))/1000</f>
        <v>0.15</v>
      </c>
      <c r="M5328" t="str">
        <v>=</v>
      </c>
      <c r="N5328">
        <f>J5328+L5328</f>
        <v>0.37</v>
      </c>
      <c r="T5328" t="str">
        <v>x</v>
      </c>
      <c r="U5328">
        <f>0.006165*F5328^2</f>
        <v>0</v>
      </c>
      <c r="V5328" t="str">
        <v>x</v>
      </c>
      <c r="W5328">
        <f>W5324</f>
        <v>27</v>
      </c>
      <c r="X5328" t="str">
        <v>x</v>
      </c>
      <c r="Y5328">
        <f>D5314</f>
        <v>0</v>
      </c>
      <c r="Z5328" t="str">
        <v>=</v>
      </c>
      <c r="AA5328">
        <f>N5328*U5328*W5328*Y5328</f>
        <v>0</v>
      </c>
    </row>
    <row r="5329">
      <c r="A5329" t="str">
        <f>A5304</f>
        <v>Lantai 1</v>
      </c>
      <c r="B5329">
        <f>B5304</f>
        <v>80</v>
      </c>
      <c r="C5329" t="str">
        <v>Kait Horizontal Lap.</v>
      </c>
      <c r="D5329">
        <f>VLOOKUP(D5304,'Detail Balok'!$C$10:$BJ$110,51,FALSE)</f>
        <v>0</v>
      </c>
      <c r="E5329" t="str">
        <v>D</v>
      </c>
      <c r="F5329">
        <f>VLOOKUP(D5304,'Detail Balok'!$C$10:$BJ$110,53,FALSE)</f>
        <v>0</v>
      </c>
      <c r="G5329" t="str">
        <v>-</v>
      </c>
      <c r="H5329">
        <f>VLOOKUP(D5304,'Detail Balok'!$C$10:$BJ$110,55,FALSE)</f>
        <v>100</v>
      </c>
      <c r="J5329">
        <f>(D5305-2*F$5)/1000</f>
        <v>0.22</v>
      </c>
      <c r="K5329" t="str">
        <v>+</v>
      </c>
      <c r="L5329">
        <f>IF(D5329=0,2*MAX(6*F5329,75),(D5329-1)*2*MAX(6*F5329,75))/1000</f>
        <v>0.15</v>
      </c>
      <c r="M5329" t="str">
        <v>=</v>
      </c>
      <c r="N5329">
        <f>J5329+L5329</f>
        <v>0.37</v>
      </c>
      <c r="T5329" t="str">
        <v>x</v>
      </c>
      <c r="U5329">
        <f>0.006165*F5329^2</f>
        <v>0</v>
      </c>
      <c r="V5329" t="str">
        <v>x</v>
      </c>
      <c r="W5329">
        <f>W5325</f>
        <v>42</v>
      </c>
      <c r="X5329" t="str">
        <v>x</v>
      </c>
      <c r="Y5329">
        <f>D5314</f>
        <v>0</v>
      </c>
      <c r="Z5329" t="str">
        <v>=</v>
      </c>
      <c r="AA5329">
        <f>N5329*U5329*W5329*Y5329</f>
        <v>0</v>
      </c>
    </row>
    <row r="5330">
      <c r="A5330" t="str">
        <f>A5304</f>
        <v>Lantai 1</v>
      </c>
      <c r="B5330">
        <f>B5304</f>
        <v>80</v>
      </c>
      <c r="C5330" t="str">
        <v>Kait Horizontal Tump.</v>
      </c>
      <c r="D5330">
        <f>VLOOKUP(D5304,'Detail Balok'!$C$10:$BJ$110,56,FALSE)</f>
        <v>0</v>
      </c>
      <c r="E5330" t="str">
        <v>D</v>
      </c>
      <c r="F5330">
        <f>VLOOKUP(D5304,'Detail Balok'!$C$10:$BJ$110,58,FALSE)</f>
        <v>0</v>
      </c>
      <c r="G5330" t="str">
        <v>-</v>
      </c>
      <c r="H5330">
        <f>VLOOKUP(D5304,'Detail Balok'!$C$10:$BJ$110,60,FALSE)</f>
        <v>100</v>
      </c>
      <c r="J5330">
        <f>(D5305-2*F$5)/1000</f>
        <v>0.22</v>
      </c>
      <c r="K5330" t="str">
        <v>+</v>
      </c>
      <c r="L5330">
        <f>IF(D5330=0,2*MAX(6*F5330,75),(D5330-1)*2*MAX(6*F5330,75))/1000</f>
        <v>0.15</v>
      </c>
      <c r="M5330" t="str">
        <v>=</v>
      </c>
      <c r="N5330">
        <f>J5330+L5330</f>
        <v>0.37</v>
      </c>
      <c r="T5330" t="str">
        <v>x</v>
      </c>
      <c r="U5330">
        <f>0.006165*F5330^2</f>
        <v>0</v>
      </c>
      <c r="V5330" t="str">
        <v>x</v>
      </c>
      <c r="W5330">
        <f>W5326</f>
        <v>27</v>
      </c>
      <c r="X5330" t="str">
        <v>x</v>
      </c>
      <c r="Y5330">
        <f>D5314</f>
        <v>0</v>
      </c>
      <c r="Z5330" t="str">
        <v>=</v>
      </c>
      <c r="AA5330">
        <f>N5330*U5330*W5330*Y5330</f>
        <v>0</v>
      </c>
    </row>
    <row r="5334">
      <c r="A5334" t="str">
        <f>A5304</f>
        <v>Lantai 1</v>
      </c>
      <c r="B5334">
        <f>B5304+1</f>
        <v>81</v>
      </c>
      <c r="C5334" t="str">
        <f>CONCATENATE(A5334," no. ",B5334)</f>
        <v>Lantai 1 no. 81</v>
      </c>
      <c r="D5334" t="str">
        <f>VLOOKUP(C5334,'Data Panjang Balok'!$C$9:$N$424,2,FALSE)</f>
        <v>B345-1</v>
      </c>
    </row>
    <row r="5335">
      <c r="C5335" t="str">
        <v>Dimensi</v>
      </c>
      <c r="D5335">
        <f>VLOOKUP(D5334,'Detail Balok'!$C$10:$AU$110,2,FALSE)</f>
        <v>300</v>
      </c>
      <c r="F5335" t="str">
        <v>x</v>
      </c>
      <c r="G5335">
        <f>VLOOKUP(D5334,'Detail Balok'!$C$10:$AU$110,3,FALSE)</f>
        <v>450</v>
      </c>
    </row>
    <row r="5336">
      <c r="C5336" t="str">
        <v>Panjang as ke as</v>
      </c>
      <c r="D5336">
        <f>VLOOKUP(C5334,'Data Panjang Balok'!$C$9:$N$424,4,FALSE)</f>
        <v>3700</v>
      </c>
    </row>
    <row r="5337">
      <c r="C5337" t="str">
        <v>Panjang netto</v>
      </c>
      <c r="D5337">
        <f>VLOOKUP(C5334,'Data Panjang Balok'!$C$9:$N$424,7,FALSE)</f>
        <v>3700</v>
      </c>
    </row>
    <row r="5338">
      <c r="C5338" t="str">
        <v>Kolom / balok kiri</v>
      </c>
      <c r="D5338">
        <f>VLOOKUP(C5334,'Data Panjang Balok'!$C$9:$N$424,9,FALSE)</f>
        <v>0</v>
      </c>
    </row>
    <row r="5339">
      <c r="C5339" t="str">
        <v>Kolom / balok kanan</v>
      </c>
      <c r="D5339">
        <f>VLOOKUP(C5334,'Data Panjang Balok'!$C$9:$N$424,10,FALSE)</f>
        <v>0</v>
      </c>
    </row>
    <row r="5340">
      <c r="C5340" t="str">
        <v>Jumlah</v>
      </c>
      <c r="D5340">
        <f>VLOOKUP(C5334,'Data Panjang Balok'!$C$9:$N$424,3,FALSE)</f>
        <v>1</v>
      </c>
    </row>
    <row r="5341">
      <c r="A5341" t="str">
        <f>A5334</f>
        <v>Lantai 1</v>
      </c>
      <c r="B5341">
        <f>B5334</f>
        <v>81</v>
      </c>
      <c r="C5341" t="str">
        <v>Tul Atas Tumpuan</v>
      </c>
      <c r="D5341">
        <f>VLOOKUP(D5334,'Detail Balok'!$C$10:$AU$110,4,FALSE)</f>
        <v>4</v>
      </c>
      <c r="E5341" t="str">
        <v>D</v>
      </c>
      <c r="F5341">
        <f>VLOOKUP(D5334,'Detail Balok'!$C$10:$AU$110,6,FALSE)</f>
        <v>16</v>
      </c>
      <c r="I5341" t="str">
        <v>(</v>
      </c>
      <c r="J5341">
        <f>+D5336/4/1000</f>
        <v>0.925</v>
      </c>
      <c r="K5341" t="str">
        <v>+</v>
      </c>
      <c r="L5341">
        <f>MAX(VLOOKUP(F5341,N$6:P$15,3,FALSE)/1000,2/3*D5338/1000)+F$16*F5341/1000</f>
        <v>0.192</v>
      </c>
      <c r="M5341" t="str">
        <v>=</v>
      </c>
      <c r="N5341">
        <f>J5341+L5341</f>
        <v>1.117</v>
      </c>
      <c r="O5341" t="str">
        <v>+</v>
      </c>
      <c r="P5341">
        <f>D5341-D5342</f>
        <v>2</v>
      </c>
      <c r="Q5341" t="str">
        <v>x</v>
      </c>
      <c r="R5341">
        <f>IF(P5341&gt;0,$F$18*F5341/1000,0)</f>
        <v>0.24</v>
      </c>
      <c r="S5341" t="str">
        <v>)</v>
      </c>
      <c r="T5341" t="str">
        <v>x</v>
      </c>
      <c r="U5341">
        <f>0.006165*F5341^2</f>
        <v>1.57824</v>
      </c>
      <c r="X5341" t="str">
        <v>x</v>
      </c>
      <c r="Y5341">
        <f>D5340</f>
        <v>1</v>
      </c>
      <c r="Z5341" t="str">
        <v>=</v>
      </c>
      <c r="AA5341">
        <f>IF(AA5344=0,(D5341*N5341+P5341*R5341)*U5341*Y5341,0)</f>
        <v>7.809131520000001</v>
      </c>
    </row>
    <row r="5342">
      <c r="A5342" t="str">
        <f>A5334</f>
        <v>Lantai 1</v>
      </c>
      <c r="B5342">
        <f>B5334</f>
        <v>81</v>
      </c>
      <c r="C5342" t="str">
        <v>Tul Atas Lapangan</v>
      </c>
      <c r="D5342">
        <f>VLOOKUP(D5334,'Detail Balok'!$C$10:$AU$110,7,FALSE)</f>
        <v>2</v>
      </c>
      <c r="E5342" t="str">
        <v>D</v>
      </c>
      <c r="F5342">
        <f>VLOOKUP(D5334,'Detail Balok'!$C$10:$AU$110,9,FALSE)</f>
        <v>16</v>
      </c>
      <c r="I5342" t="str">
        <v>(</v>
      </c>
      <c r="J5342">
        <f>+D5336/2/1000</f>
        <v>1.85</v>
      </c>
      <c r="K5342" t="str">
        <v>+</v>
      </c>
      <c r="M5342" t="str">
        <v>=</v>
      </c>
      <c r="N5342">
        <f>J5342+L5342</f>
        <v>1.85</v>
      </c>
      <c r="O5342" t="str">
        <v>+</v>
      </c>
      <c r="P5342">
        <f>MAX(D5342-D5341,D5342-D5343)</f>
        <v>-2</v>
      </c>
      <c r="Q5342" t="str">
        <v>x</v>
      </c>
      <c r="R5342">
        <f>IF(P5342&gt;0,2*(1-2*$F$19-1/2)*D5337/1000,0)</f>
        <v>0</v>
      </c>
      <c r="S5342" t="str">
        <v>)</v>
      </c>
      <c r="T5342" t="str">
        <v>x</v>
      </c>
      <c r="U5342">
        <f>0.006165*F5342^2</f>
        <v>1.57824</v>
      </c>
      <c r="X5342" t="str">
        <v>x</v>
      </c>
      <c r="Y5342">
        <f>D5340</f>
        <v>1</v>
      </c>
      <c r="Z5342" t="str">
        <v>=</v>
      </c>
      <c r="AA5342">
        <f>IF(AA5344=0,(D5342*N5342+P5342*R5342)*U5342*Y5342,0)</f>
        <v>5.839488</v>
      </c>
    </row>
    <row r="5343">
      <c r="A5343" t="str">
        <f>A5334</f>
        <v>Lantai 1</v>
      </c>
      <c r="B5343">
        <f>B5334</f>
        <v>81</v>
      </c>
      <c r="C5343" t="str">
        <v>Tul Atas Tumpuan</v>
      </c>
      <c r="D5343">
        <f>VLOOKUP(D5334,'Detail Balok'!$C$10:$AU$110,10,FALSE)</f>
        <v>4</v>
      </c>
      <c r="E5343" t="str">
        <v>D</v>
      </c>
      <c r="F5343">
        <f>VLOOKUP(D5334,'Detail Balok'!$C$10:$AU$110,12,FALSE)</f>
        <v>16</v>
      </c>
      <c r="I5343" t="str">
        <v>(</v>
      </c>
      <c r="J5343">
        <f>+D5336/4/1000</f>
        <v>0.925</v>
      </c>
      <c r="K5343" t="str">
        <v>+</v>
      </c>
      <c r="L5343">
        <f>MAX(VLOOKUP(F5343,N$6:P$15,3,FALSE)/1000,2/3*D5338/1000)+F$16*F5343/1000</f>
        <v>0.192</v>
      </c>
      <c r="M5343" t="str">
        <v>=</v>
      </c>
      <c r="N5343">
        <f>J5343+L5343</f>
        <v>1.117</v>
      </c>
      <c r="O5343" t="str">
        <v>+</v>
      </c>
      <c r="P5343">
        <f>D5343-D5342</f>
        <v>2</v>
      </c>
      <c r="Q5343" t="str">
        <v>x</v>
      </c>
      <c r="R5343">
        <f>IF(P5343&gt;0,$F$18*F5343/1000,0)</f>
        <v>0.24</v>
      </c>
      <c r="S5343" t="str">
        <v>)</v>
      </c>
      <c r="T5343" t="str">
        <v>x</v>
      </c>
      <c r="U5343">
        <f>0.006165*F5343^2</f>
        <v>1.57824</v>
      </c>
      <c r="X5343" t="str">
        <v>x</v>
      </c>
      <c r="Y5343">
        <f>D5340</f>
        <v>1</v>
      </c>
      <c r="Z5343" t="str">
        <v>=</v>
      </c>
      <c r="AA5343">
        <f>IF(AA5344=0,(D5343*N5343+P5343*R5343)*U5343*Y5343,0)</f>
        <v>7.809131520000001</v>
      </c>
    </row>
    <row r="5344">
      <c r="A5344" t="str">
        <f>A5334</f>
        <v>Lantai 1</v>
      </c>
      <c r="B5344">
        <f>B5334</f>
        <v>81</v>
      </c>
      <c r="D5344">
        <f>IF(AND(D5341=D5342,D5342=D5343,D5341=D5343),D5341,0)</f>
        <v>0</v>
      </c>
      <c r="E5344" t="str">
        <v>D</v>
      </c>
      <c r="F5344">
        <f>IF(AND(F5341=F5342,F5341=F5343,F5342=F5343),F5341,0)</f>
        <v>16</v>
      </c>
      <c r="L5344" t="str">
        <v>Total panjang per balok</v>
      </c>
      <c r="M5344" t="str">
        <v>=</v>
      </c>
      <c r="N5344">
        <f>IF(AND(D5341=D5342,D5341=D5343,D5342=D5343,F5341=F5342,F5341=F5343,F5342=F5343),SUM(N5341:N5343),0)</f>
        <v>0</v>
      </c>
      <c r="O5344" t="str">
        <v>+</v>
      </c>
      <c r="P5344">
        <f>IF(N5344&gt;12,ROUNDDOWN(N5344/12,0),0)</f>
        <v>0</v>
      </c>
      <c r="Q5344" t="str">
        <v>x</v>
      </c>
      <c r="R5344">
        <f>IF(P5344&gt;0,MAX(VLOOKUP(F5344,$D$6:$G$15,3,FALSE),600),0)/1000</f>
        <v>0</v>
      </c>
      <c r="T5344" t="str">
        <v>x</v>
      </c>
      <c r="U5344">
        <f>U5343</f>
        <v>1.57824</v>
      </c>
      <c r="V5344" t="str">
        <v>x</v>
      </c>
      <c r="W5344">
        <f>D5344</f>
        <v>0</v>
      </c>
      <c r="X5344" t="str">
        <v>x</v>
      </c>
      <c r="Y5344">
        <f>Y5343</f>
        <v>1</v>
      </c>
      <c r="Z5344" t="str">
        <v>=</v>
      </c>
      <c r="AA5344">
        <f>(N5344+P5344*R5344/1000)*U5344*W5344*Y5344</f>
        <v>0</v>
      </c>
    </row>
    <row r="5346">
      <c r="A5346" t="str">
        <f>A5334</f>
        <v>Lantai 1</v>
      </c>
      <c r="B5346">
        <f>B5334</f>
        <v>81</v>
      </c>
      <c r="C5346" t="str">
        <v>Tul Peminggang</v>
      </c>
      <c r="D5346">
        <f>VLOOKUP(D5334,'Detail Balok'!$C$10:$AU$110,13,FALSE)</f>
        <v>2</v>
      </c>
      <c r="E5346" t="str">
        <v>D</v>
      </c>
      <c r="F5346">
        <f>VLOOKUP(D5334,'Detail Balok'!$C$10:$AU$110,15,FALSE)</f>
        <v>8</v>
      </c>
      <c r="J5346">
        <f>+D5336/1000</f>
        <v>3.7</v>
      </c>
      <c r="K5346" t="str">
        <v>+</v>
      </c>
      <c r="L5346">
        <f>2*$F$16*F5346/1000</f>
        <v>0.192</v>
      </c>
      <c r="M5346" t="str">
        <v>=</v>
      </c>
      <c r="N5346">
        <f>J5346+L5346</f>
        <v>3.8920000000000003</v>
      </c>
      <c r="O5346" t="str">
        <v>+</v>
      </c>
      <c r="P5346">
        <f>IF(N5346&gt;12,ROUNDDOWN(N5346/12,0),0)</f>
        <v>0</v>
      </c>
      <c r="Q5346" t="str">
        <v>x</v>
      </c>
      <c r="R5346">
        <f>IF(P5346&gt;0,MAX(VLOOKUP(F5346,$D$6:$G$15,3,FALSE),600),0)/1000</f>
        <v>0</v>
      </c>
      <c r="T5346" t="str">
        <v>x</v>
      </c>
      <c r="U5346">
        <f>0.006165*F5346^2</f>
        <v>0.39456</v>
      </c>
      <c r="V5346" t="str">
        <v>x</v>
      </c>
      <c r="W5346">
        <f>+D5346</f>
        <v>2</v>
      </c>
      <c r="X5346" t="str">
        <v>x</v>
      </c>
      <c r="Y5346">
        <f>D5340</f>
        <v>1</v>
      </c>
      <c r="Z5346" t="str">
        <v>=</v>
      </c>
      <c r="AA5346">
        <f>(N5346+P5346*R5346/1000)*U5346*W5346*Y5346</f>
        <v>3.0712550400000005</v>
      </c>
    </row>
    <row r="5349">
      <c r="A5349" t="str">
        <f>A5334</f>
        <v>Lantai 1</v>
      </c>
      <c r="B5349">
        <f>B5334</f>
        <v>81</v>
      </c>
      <c r="C5349" t="str">
        <v>Tul Bawah Tumpuan</v>
      </c>
      <c r="D5349">
        <f>VLOOKUP(D5334,'Detail Balok'!$C$10:$AU$110,22,FALSE)</f>
        <v>3</v>
      </c>
      <c r="E5349" t="str">
        <v>D</v>
      </c>
      <c r="F5349">
        <f>VLOOKUP(D5334,'Detail Balok'!$C$10:$AU$110,24,FALSE)</f>
        <v>16</v>
      </c>
      <c r="I5349" t="str">
        <v>(</v>
      </c>
      <c r="J5349">
        <f>+J5341</f>
        <v>0.925</v>
      </c>
      <c r="K5349" t="str">
        <v>+</v>
      </c>
      <c r="L5349">
        <f>MAX(VLOOKUP(F5349,N$6:P$15,3,FALSE)/1000,2/3*D5339/1000)+F$16*F5349/1000</f>
        <v>0.192</v>
      </c>
      <c r="M5349" t="str">
        <v>=</v>
      </c>
      <c r="N5349">
        <f>J5349+L5349</f>
        <v>1.117</v>
      </c>
      <c r="O5349" t="str">
        <v>+</v>
      </c>
      <c r="P5349">
        <f>D5349-D5350</f>
        <v>0</v>
      </c>
      <c r="Q5349" t="str">
        <v>x</v>
      </c>
      <c r="R5349">
        <f>IF(P5349&gt;0,$F$18*F5349/1000,0)</f>
        <v>0</v>
      </c>
      <c r="S5349" t="str">
        <v>)</v>
      </c>
      <c r="T5349" t="str">
        <v>x</v>
      </c>
      <c r="U5349">
        <f>0.006165*F5349^2</f>
        <v>1.57824</v>
      </c>
      <c r="X5349" t="str">
        <v>x</v>
      </c>
      <c r="Y5349">
        <f>D5340</f>
        <v>1</v>
      </c>
      <c r="Z5349" t="str">
        <v>=</v>
      </c>
      <c r="AA5349">
        <f>IF(AA5352=0,(D5349*N5349+P5349*R5349)*U5349*Y5349,0)</f>
        <v>0</v>
      </c>
    </row>
    <row r="5350">
      <c r="A5350" t="str">
        <f>A5334</f>
        <v>Lantai 1</v>
      </c>
      <c r="B5350">
        <f>B5334</f>
        <v>81</v>
      </c>
      <c r="C5350" t="str">
        <v>Tul Bawah Lapangan</v>
      </c>
      <c r="D5350">
        <f>VLOOKUP(D5334,'Detail Balok'!$C$10:$AU$110,25,FALSE)</f>
        <v>3</v>
      </c>
      <c r="E5350" t="str">
        <v>D</v>
      </c>
      <c r="F5350">
        <f>VLOOKUP(D5334,'Detail Balok'!$C$10:$AU$110,27,FALSE)</f>
        <v>16</v>
      </c>
      <c r="I5350" t="str">
        <v>(</v>
      </c>
      <c r="J5350">
        <f>+J5342</f>
        <v>1.85</v>
      </c>
      <c r="K5350" t="str">
        <v>+</v>
      </c>
      <c r="M5350" t="str">
        <v>=</v>
      </c>
      <c r="N5350">
        <f>J5350+L5350</f>
        <v>1.85</v>
      </c>
      <c r="O5350" t="str">
        <v>+</v>
      </c>
      <c r="P5350">
        <f>MAX(D5350-D5349,D5350-D5351)</f>
        <v>0</v>
      </c>
      <c r="Q5350" t="str">
        <v>x</v>
      </c>
      <c r="R5350">
        <f>IF(P5350&gt;0,2*(1-2*$F$19-1/2)*D5337/1000,0)</f>
        <v>0</v>
      </c>
      <c r="S5350" t="str">
        <v>)</v>
      </c>
      <c r="T5350" t="str">
        <v>x</v>
      </c>
      <c r="U5350">
        <f>0.006165*F5350^2</f>
        <v>1.57824</v>
      </c>
      <c r="X5350" t="str">
        <v>x</v>
      </c>
      <c r="Y5350">
        <f>D5340</f>
        <v>1</v>
      </c>
      <c r="Z5350" t="str">
        <v>=</v>
      </c>
      <c r="AA5350">
        <f>IF(AA5352=0,(D5350*N5350+P5350*R5350)*U5350*Y5350,0)</f>
        <v>0</v>
      </c>
    </row>
    <row r="5351">
      <c r="A5351" t="str">
        <f>A5334</f>
        <v>Lantai 1</v>
      </c>
      <c r="B5351">
        <f>B5334</f>
        <v>81</v>
      </c>
      <c r="C5351" t="str">
        <v>Tul Bawah Tumpuan</v>
      </c>
      <c r="D5351">
        <f>VLOOKUP(D5334,'Detail Balok'!$C$10:$AU$110,28,FALSE)</f>
        <v>3</v>
      </c>
      <c r="E5351" t="str">
        <v>D</v>
      </c>
      <c r="F5351">
        <f>VLOOKUP(D5334,'Detail Balok'!$C$10:$AU$110,30,FALSE)</f>
        <v>16</v>
      </c>
      <c r="I5351" t="str">
        <v>(</v>
      </c>
      <c r="J5351">
        <f>+J5343</f>
        <v>0.925</v>
      </c>
      <c r="K5351" t="str">
        <v>+</v>
      </c>
      <c r="L5351">
        <f>MAX(VLOOKUP(F5351,N$6:P$15,3,FALSE)/1000,2/3*D5339/1000)+F$16*F5351/1000</f>
        <v>0.192</v>
      </c>
      <c r="M5351" t="str">
        <v>=</v>
      </c>
      <c r="N5351">
        <f>J5351+L5351</f>
        <v>1.117</v>
      </c>
      <c r="O5351" t="str">
        <v>+</v>
      </c>
      <c r="P5351">
        <f>D5351-D5350</f>
        <v>0</v>
      </c>
      <c r="Q5351" t="str">
        <v>x</v>
      </c>
      <c r="R5351">
        <f>IF(P5351&gt;0,$F$18*F5351/1000,0)</f>
        <v>0</v>
      </c>
      <c r="S5351" t="str">
        <v>)</v>
      </c>
      <c r="T5351" t="str">
        <v>x</v>
      </c>
      <c r="U5351">
        <f>0.006165*F5351^2</f>
        <v>1.57824</v>
      </c>
      <c r="X5351" t="str">
        <v>x</v>
      </c>
      <c r="Y5351">
        <f>D5340</f>
        <v>1</v>
      </c>
      <c r="Z5351" t="str">
        <v>=</v>
      </c>
      <c r="AA5351">
        <f>IF(AA5352=0,(D5351*N5351+P5351*R5351)*U5351*Y5351,0)</f>
        <v>0</v>
      </c>
    </row>
    <row r="5352">
      <c r="A5352" t="str">
        <f>A5334</f>
        <v>Lantai 1</v>
      </c>
      <c r="B5352">
        <f>B5334</f>
        <v>81</v>
      </c>
      <c r="D5352">
        <f>IF(AND(D5349=D5350,D5350=D5351,D5349=D5351),D5349,0)</f>
        <v>3</v>
      </c>
      <c r="E5352" t="str">
        <v>D</v>
      </c>
      <c r="F5352">
        <f>IF(AND(F5349=F5350,F5349=F5351,F5350=F5351),F5349,0)</f>
        <v>16</v>
      </c>
      <c r="L5352" t="str">
        <v>Total panjang per balok</v>
      </c>
      <c r="M5352" t="str">
        <v>=</v>
      </c>
      <c r="N5352">
        <f>IF(AND(D5349=D5350,D5349=D5351,D5350=D5351,F5349=F5350,F5349=F5351,F5350=F5351),SUM(N5349:N5351),0)</f>
        <v>4.084</v>
      </c>
      <c r="O5352" t="str">
        <v>+</v>
      </c>
      <c r="P5352">
        <f>IF(N5352&gt;12,ROUNDDOWN(N5352/12,0),0)</f>
        <v>0</v>
      </c>
      <c r="Q5352" t="str">
        <v>x</v>
      </c>
      <c r="R5352">
        <f>IF(P5352&gt;0,MAX(VLOOKUP(F5352,$D$6:$G$15,3,FALSE),600),0)/1000</f>
        <v>0</v>
      </c>
      <c r="T5352" t="str">
        <v>x</v>
      </c>
      <c r="U5352">
        <f>U5351</f>
        <v>1.57824</v>
      </c>
      <c r="V5352" t="str">
        <v>x</v>
      </c>
      <c r="W5352">
        <f>D5352</f>
        <v>3</v>
      </c>
      <c r="X5352" t="str">
        <v>x</v>
      </c>
      <c r="Y5352">
        <f>Y5351</f>
        <v>1</v>
      </c>
      <c r="Z5352" t="str">
        <v>=</v>
      </c>
      <c r="AA5352">
        <f>(N5352+P5352*R5352/1000)*U5352*W5352*Y5352</f>
        <v>19.33659648</v>
      </c>
    </row>
    <row r="5354">
      <c r="A5354" t="str">
        <f>A5334</f>
        <v>Lantai 1</v>
      </c>
      <c r="B5354">
        <f>B5334</f>
        <v>81</v>
      </c>
      <c r="C5354" t="str">
        <v>Sengkang Tumpuan</v>
      </c>
      <c r="D5354">
        <f>VLOOKUP(D5334,'Detail Balok'!$C$10:$AU$110,31,FALSE)</f>
        <v>0</v>
      </c>
      <c r="E5354" t="str">
        <v>D</v>
      </c>
      <c r="F5354">
        <f>VLOOKUP(D5334,'Detail Balok'!$C$10:$AU$110,33,FALSE)</f>
        <v>8</v>
      </c>
      <c r="G5354" t="str">
        <v>-</v>
      </c>
      <c r="H5354">
        <f>VLOOKUP(D5334,'Detail Balok'!$C$10:$AU$110,35,FALSE)</f>
        <v>100</v>
      </c>
      <c r="J5354">
        <f>(IF(D5354=0,(2*(D5335+G5335))-(F$5*8),IF(D5354=3,(2*(D5335+G5335))-(F$5*8)+(G5335-2*F$5),IF(D5354=4,(2*(D5335+G5335))-(F$5*8)+2*(G5335-2*F$5)))))/1000</f>
        <v>1.18</v>
      </c>
      <c r="K5354" t="str">
        <v>+</v>
      </c>
      <c r="L5354">
        <f>IF(D5354=0,2*MAX(6*F5354,75),(D5354-1)*2*MAX(6*F5354,75))/1000</f>
        <v>0.15</v>
      </c>
      <c r="M5354" t="str">
        <v>=</v>
      </c>
      <c r="N5354">
        <f>J5354+L5354</f>
        <v>1.3299999999999998</v>
      </c>
      <c r="T5354" t="str">
        <v>x</v>
      </c>
      <c r="U5354">
        <f>0.006165*F5354^2</f>
        <v>0.39456</v>
      </c>
      <c r="V5354" t="str">
        <v>x</v>
      </c>
      <c r="W5354">
        <f>IF(D5337&gt;4*G5335,ROUND(MAX(D5337/4,2*G5335)/H5354,0)+1,ROUND(D5337/H5354,0)+1)</f>
        <v>10</v>
      </c>
      <c r="X5354" t="str">
        <v>x</v>
      </c>
      <c r="Y5354">
        <f>D5340</f>
        <v>1</v>
      </c>
      <c r="Z5354" t="str">
        <v>=</v>
      </c>
      <c r="AA5354">
        <f>N5354*U5354*W5354*Y5354</f>
        <v>5.247647999999999</v>
      </c>
    </row>
    <row r="5355">
      <c r="A5355" t="str">
        <f>A5334</f>
        <v>Lantai 1</v>
      </c>
      <c r="B5355">
        <f>B5334</f>
        <v>81</v>
      </c>
      <c r="C5355" t="str">
        <v>Sengkang Lapangan</v>
      </c>
      <c r="D5355">
        <f>VLOOKUP(D5334,'Detail Balok'!$C$10:$AU$110,36,FALSE)</f>
        <v>0</v>
      </c>
      <c r="E5355" t="str">
        <v>D</v>
      </c>
      <c r="F5355">
        <f>VLOOKUP(D5334,'Detail Balok'!$C$10:$AU$110,38,FALSE)</f>
        <v>8</v>
      </c>
      <c r="G5355" t="str">
        <v>-</v>
      </c>
      <c r="H5355">
        <f>VLOOKUP(D5334,'Detail Balok'!$C$10:$AU$110,40,FALSE)</f>
        <v>200</v>
      </c>
      <c r="J5355">
        <f>(IF(D5355=0,(2*(D5335+G5335))-(F$5*8),IF(D5355=3,(2*(D5335+G5335))-(F$5*8)+(G5335-2*F$5),IF(D5355=4,(2*(D5335+G5335))-(F$5*8)+2*(G5335-2*F$5)))))/1000</f>
        <v>1.18</v>
      </c>
      <c r="K5355" t="str">
        <v>+</v>
      </c>
      <c r="L5355">
        <f>IF(D5355=0,2*MAX(6*F5355,75),(D5355-1)*2*MAX(6*F5355,75))/1000</f>
        <v>0.15</v>
      </c>
      <c r="M5355" t="str">
        <v>=</v>
      </c>
      <c r="N5355">
        <f>J5355+L5355</f>
        <v>1.3299999999999998</v>
      </c>
      <c r="T5355" t="str">
        <v>x</v>
      </c>
      <c r="U5355">
        <f>0.006165*F5355^2</f>
        <v>0.39456</v>
      </c>
      <c r="V5355" t="str">
        <v>x</v>
      </c>
      <c r="W5355">
        <f>IF(D5337-MAX(D5337/4,2*G5335)*2&gt;0,ROUND((D5337-MAX(D5337/4,2*G5335)*2)/H5355,0),0)</f>
        <v>9</v>
      </c>
      <c r="X5355" t="str">
        <v>x</v>
      </c>
      <c r="Y5355">
        <f>D5340</f>
        <v>1</v>
      </c>
      <c r="Z5355" t="str">
        <v>=</v>
      </c>
      <c r="AA5355">
        <f>N5355*U5355*W5355*Y5355</f>
        <v>4.722883199999999</v>
      </c>
    </row>
    <row r="5356">
      <c r="A5356" t="str">
        <f>A5334</f>
        <v>Lantai 1</v>
      </c>
      <c r="B5356">
        <f>B5334</f>
        <v>81</v>
      </c>
      <c r="C5356" t="str">
        <v>Sengkang Tumpuan</v>
      </c>
      <c r="D5356">
        <f>VLOOKUP(D5334,'Detail Balok'!$C$10:$AU$110,41,FALSE)</f>
        <v>0</v>
      </c>
      <c r="E5356" t="str">
        <v>D</v>
      </c>
      <c r="F5356">
        <f>VLOOKUP(D5334,'Detail Balok'!$C$10:$AU$110,43,FALSE)</f>
        <v>8</v>
      </c>
      <c r="G5356" t="str">
        <v>-</v>
      </c>
      <c r="H5356">
        <f>VLOOKUP(D5334,'Detail Balok'!$C$10:$AU$110,45,FALSE)</f>
        <v>100</v>
      </c>
      <c r="J5356">
        <f>(IF(D5356=0,(2*(D5335+G5335))-(F$5*8),IF(D5356=3,(2*(D5335+G5335))-(F$5*8)+(G5335-2*F$5),IF(D5356=4,(2*(D5335+G5335))-(F$5*8)+2*(G5335-2*F$5)))))/1000</f>
        <v>1.18</v>
      </c>
      <c r="K5356" t="str">
        <v>+</v>
      </c>
      <c r="L5356">
        <f>IF(D5356=0,2*MAX(6*F5356,75),(D5356-1)*2*MAX(6*F5356,75))/1000</f>
        <v>0.15</v>
      </c>
      <c r="M5356" t="str">
        <v>=</v>
      </c>
      <c r="N5356">
        <f>J5356+L5356</f>
        <v>1.3299999999999998</v>
      </c>
      <c r="T5356" t="str">
        <v>x</v>
      </c>
      <c r="U5356">
        <f>0.006165*F5356^2</f>
        <v>0.39456</v>
      </c>
      <c r="V5356" t="str">
        <v>x</v>
      </c>
      <c r="W5356">
        <f>IF(D5337&gt;4*G5335,ROUND(MAX(D5337/4,2*G5335)/H5356,0)+1,0)</f>
        <v>10</v>
      </c>
      <c r="X5356" t="str">
        <v>x</v>
      </c>
      <c r="Y5356">
        <f>D5340</f>
        <v>1</v>
      </c>
      <c r="Z5356" t="str">
        <v>=</v>
      </c>
      <c r="AA5356">
        <f>N5356*U5356*W5356*Y5356</f>
        <v>5.247647999999999</v>
      </c>
    </row>
    <row r="5358">
      <c r="A5358" t="str">
        <f>A5334</f>
        <v>Lantai 1</v>
      </c>
      <c r="B5358">
        <f>B5334</f>
        <v>81</v>
      </c>
      <c r="C5358" t="str">
        <v>Kait Horizontal Tump.</v>
      </c>
      <c r="D5358">
        <f>VLOOKUP(D5334,'Detail Balok'!$C$10:$BJ$110,46,FALSE)</f>
        <v>0</v>
      </c>
      <c r="E5358" t="str">
        <v>D</v>
      </c>
      <c r="F5358">
        <f>VLOOKUP(D5334,'Detail Balok'!$C$10:$BJ$110,48,FALSE)</f>
        <v>0</v>
      </c>
      <c r="G5358" t="str">
        <v>-</v>
      </c>
      <c r="H5358">
        <f>VLOOKUP(D5334,'Detail Balok'!$C$10:$BJ$110,50,FALSE)</f>
        <v>100</v>
      </c>
      <c r="J5358">
        <f>(D5335-2*F$5)/1000</f>
        <v>0.22</v>
      </c>
      <c r="K5358" t="str">
        <v>+</v>
      </c>
      <c r="L5358">
        <f>IF(D5358=0,2*MAX(6*F5358,75),(D5358-1)*2*MAX(6*F5358,75))/1000</f>
        <v>0.15</v>
      </c>
      <c r="M5358" t="str">
        <v>=</v>
      </c>
      <c r="N5358">
        <f>J5358+L5358</f>
        <v>0.37</v>
      </c>
      <c r="T5358" t="str">
        <v>x</v>
      </c>
      <c r="U5358">
        <f>0.006165*F5358^2</f>
        <v>0</v>
      </c>
      <c r="V5358" t="str">
        <v>x</v>
      </c>
      <c r="W5358">
        <f>W5354</f>
        <v>10</v>
      </c>
      <c r="X5358" t="str">
        <v>x</v>
      </c>
      <c r="Y5358">
        <f>D5344</f>
        <v>0</v>
      </c>
      <c r="Z5358" t="str">
        <v>=</v>
      </c>
      <c r="AA5358">
        <f>N5358*U5358*W5358*Y5358</f>
        <v>0</v>
      </c>
    </row>
    <row r="5359">
      <c r="A5359" t="str">
        <f>A5334</f>
        <v>Lantai 1</v>
      </c>
      <c r="B5359">
        <f>B5334</f>
        <v>81</v>
      </c>
      <c r="C5359" t="str">
        <v>Kait Horizontal Lap.</v>
      </c>
      <c r="D5359">
        <f>VLOOKUP(D5334,'Detail Balok'!$C$10:$BJ$110,51,FALSE)</f>
        <v>0</v>
      </c>
      <c r="E5359" t="str">
        <v>D</v>
      </c>
      <c r="F5359">
        <f>VLOOKUP(D5334,'Detail Balok'!$C$10:$BJ$110,53,FALSE)</f>
        <v>0</v>
      </c>
      <c r="G5359" t="str">
        <v>-</v>
      </c>
      <c r="H5359">
        <f>VLOOKUP(D5334,'Detail Balok'!$C$10:$BJ$110,55,FALSE)</f>
        <v>100</v>
      </c>
      <c r="J5359">
        <f>(D5335-2*F$5)/1000</f>
        <v>0.22</v>
      </c>
      <c r="K5359" t="str">
        <v>+</v>
      </c>
      <c r="L5359">
        <f>IF(D5359=0,2*MAX(6*F5359,75),(D5359-1)*2*MAX(6*F5359,75))/1000</f>
        <v>0.15</v>
      </c>
      <c r="M5359" t="str">
        <v>=</v>
      </c>
      <c r="N5359">
        <f>J5359+L5359</f>
        <v>0.37</v>
      </c>
      <c r="T5359" t="str">
        <v>x</v>
      </c>
      <c r="U5359">
        <f>0.006165*F5359^2</f>
        <v>0</v>
      </c>
      <c r="V5359" t="str">
        <v>x</v>
      </c>
      <c r="W5359">
        <f>W5355</f>
        <v>9</v>
      </c>
      <c r="X5359" t="str">
        <v>x</v>
      </c>
      <c r="Y5359">
        <f>D5344</f>
        <v>0</v>
      </c>
      <c r="Z5359" t="str">
        <v>=</v>
      </c>
      <c r="AA5359">
        <f>N5359*U5359*W5359*Y5359</f>
        <v>0</v>
      </c>
    </row>
    <row r="5360">
      <c r="A5360" t="str">
        <f>A5334</f>
        <v>Lantai 1</v>
      </c>
      <c r="B5360">
        <f>B5334</f>
        <v>81</v>
      </c>
      <c r="C5360" t="str">
        <v>Kait Horizontal Tump.</v>
      </c>
      <c r="D5360">
        <f>VLOOKUP(D5334,'Detail Balok'!$C$10:$BJ$110,56,FALSE)</f>
        <v>0</v>
      </c>
      <c r="E5360" t="str">
        <v>D</v>
      </c>
      <c r="F5360">
        <f>VLOOKUP(D5334,'Detail Balok'!$C$10:$BJ$110,58,FALSE)</f>
        <v>0</v>
      </c>
      <c r="G5360" t="str">
        <v>-</v>
      </c>
      <c r="H5360">
        <f>VLOOKUP(D5334,'Detail Balok'!$C$10:$BJ$110,60,FALSE)</f>
        <v>100</v>
      </c>
      <c r="J5360">
        <f>(D5335-2*F$5)/1000</f>
        <v>0.22</v>
      </c>
      <c r="K5360" t="str">
        <v>+</v>
      </c>
      <c r="L5360">
        <f>IF(D5360=0,2*MAX(6*F5360,75),(D5360-1)*2*MAX(6*F5360,75))/1000</f>
        <v>0.15</v>
      </c>
      <c r="M5360" t="str">
        <v>=</v>
      </c>
      <c r="N5360">
        <f>J5360+L5360</f>
        <v>0.37</v>
      </c>
      <c r="T5360" t="str">
        <v>x</v>
      </c>
      <c r="U5360">
        <f>0.006165*F5360^2</f>
        <v>0</v>
      </c>
      <c r="V5360" t="str">
        <v>x</v>
      </c>
      <c r="W5360">
        <f>W5356</f>
        <v>10</v>
      </c>
      <c r="X5360" t="str">
        <v>x</v>
      </c>
      <c r="Y5360">
        <f>D5344</f>
        <v>0</v>
      </c>
      <c r="Z5360" t="str">
        <v>=</v>
      </c>
      <c r="AA5360">
        <f>N5360*U5360*W5360*Y5360</f>
        <v>0</v>
      </c>
    </row>
    <row r="5364">
      <c r="A5364" t="str">
        <f>A5334</f>
        <v>Lantai 1</v>
      </c>
      <c r="B5364">
        <f>B5334+1</f>
        <v>82</v>
      </c>
      <c r="C5364" t="str">
        <f>CONCATENATE(A5364," no. ",B5364)</f>
        <v>Lantai 1 no. 82</v>
      </c>
      <c r="D5364" t="str">
        <f>VLOOKUP(C5364,'Data Panjang Balok'!$C$9:$N$424,2,FALSE)</f>
        <v>B23-1</v>
      </c>
    </row>
    <row r="5365">
      <c r="C5365" t="str">
        <v>Dimensi</v>
      </c>
      <c r="D5365">
        <f>VLOOKUP(D5364,'Detail Balok'!$C$10:$AU$110,2,FALSE)</f>
        <v>200</v>
      </c>
      <c r="F5365" t="str">
        <v>x</v>
      </c>
      <c r="G5365">
        <f>VLOOKUP(D5364,'Detail Balok'!$C$10:$AU$110,3,FALSE)</f>
        <v>300</v>
      </c>
    </row>
    <row r="5366">
      <c r="C5366" t="str">
        <v>Panjang as ke as</v>
      </c>
      <c r="D5366">
        <f>VLOOKUP(C5364,'Data Panjang Balok'!$C$9:$N$424,4,FALSE)</f>
        <v>2700</v>
      </c>
    </row>
    <row r="5367">
      <c r="C5367" t="str">
        <v>Panjang netto</v>
      </c>
      <c r="D5367">
        <f>VLOOKUP(C5364,'Data Panjang Balok'!$C$9:$N$424,7,FALSE)</f>
        <v>2700</v>
      </c>
    </row>
    <row r="5368">
      <c r="C5368" t="str">
        <v>Kolom / balok kiri</v>
      </c>
      <c r="D5368">
        <f>VLOOKUP(C5364,'Data Panjang Balok'!$C$9:$N$424,9,FALSE)</f>
        <v>0</v>
      </c>
    </row>
    <row r="5369">
      <c r="C5369" t="str">
        <v>Kolom / balok kanan</v>
      </c>
      <c r="D5369">
        <f>VLOOKUP(C5364,'Data Panjang Balok'!$C$9:$N$424,10,FALSE)</f>
        <v>0</v>
      </c>
    </row>
    <row r="5370">
      <c r="C5370" t="str">
        <v>Jumlah</v>
      </c>
      <c r="D5370">
        <f>VLOOKUP(C5364,'Data Panjang Balok'!$C$9:$N$424,3,FALSE)</f>
        <v>1</v>
      </c>
    </row>
    <row r="5371">
      <c r="A5371" t="str">
        <f>A5364</f>
        <v>Lantai 1</v>
      </c>
      <c r="B5371">
        <f>B5364</f>
        <v>82</v>
      </c>
      <c r="C5371" t="str">
        <v>Tul Atas Tumpuan</v>
      </c>
      <c r="D5371">
        <f>VLOOKUP(D5364,'Detail Balok'!$C$10:$AU$110,4,FALSE)</f>
        <v>2</v>
      </c>
      <c r="E5371" t="str">
        <v>D</v>
      </c>
      <c r="F5371">
        <f>VLOOKUP(D5364,'Detail Balok'!$C$10:$AU$110,6,FALSE)</f>
        <v>13</v>
      </c>
      <c r="I5371" t="str">
        <v>(</v>
      </c>
      <c r="J5371">
        <f>+D5366/4/1000</f>
        <v>0.675</v>
      </c>
      <c r="K5371" t="str">
        <v>+</v>
      </c>
      <c r="L5371">
        <f>MAX(VLOOKUP(F5371,N$6:P$15,3,FALSE)/1000,2/3*D5368/1000)+F$16*F5371/1000</f>
        <v>0.156</v>
      </c>
      <c r="M5371" t="str">
        <v>=</v>
      </c>
      <c r="N5371">
        <f>J5371+L5371</f>
        <v>0.8310000000000001</v>
      </c>
      <c r="O5371" t="str">
        <v>+</v>
      </c>
      <c r="P5371">
        <f>D5371-D5372</f>
        <v>0</v>
      </c>
      <c r="Q5371" t="str">
        <v>x</v>
      </c>
      <c r="R5371">
        <f>IF(P5371&gt;0,$F$18*F5371/1000,0)</f>
        <v>0</v>
      </c>
      <c r="S5371" t="str">
        <v>)</v>
      </c>
      <c r="T5371" t="str">
        <v>x</v>
      </c>
      <c r="U5371">
        <f>0.006165*F5371^2</f>
        <v>1.041885</v>
      </c>
      <c r="X5371" t="str">
        <v>x</v>
      </c>
      <c r="Y5371">
        <f>D5370</f>
        <v>1</v>
      </c>
      <c r="Z5371" t="str">
        <v>=</v>
      </c>
      <c r="AA5371">
        <f>IF(AA5374=0,(D5371*N5371+P5371*R5371)*U5371*Y5371,0)</f>
        <v>0</v>
      </c>
    </row>
    <row r="5372">
      <c r="A5372" t="str">
        <f>A5364</f>
        <v>Lantai 1</v>
      </c>
      <c r="B5372">
        <f>B5364</f>
        <v>82</v>
      </c>
      <c r="C5372" t="str">
        <v>Tul Atas Lapangan</v>
      </c>
      <c r="D5372">
        <f>VLOOKUP(D5364,'Detail Balok'!$C$10:$AU$110,7,FALSE)</f>
        <v>2</v>
      </c>
      <c r="E5372" t="str">
        <v>D</v>
      </c>
      <c r="F5372">
        <f>VLOOKUP(D5364,'Detail Balok'!$C$10:$AU$110,9,FALSE)</f>
        <v>13</v>
      </c>
      <c r="I5372" t="str">
        <v>(</v>
      </c>
      <c r="J5372">
        <f>+D5366/2/1000</f>
        <v>1.35</v>
      </c>
      <c r="K5372" t="str">
        <v>+</v>
      </c>
      <c r="M5372" t="str">
        <v>=</v>
      </c>
      <c r="N5372">
        <f>J5372+L5372</f>
        <v>1.35</v>
      </c>
      <c r="O5372" t="str">
        <v>+</v>
      </c>
      <c r="P5372">
        <f>MAX(D5372-D5371,D5372-D5373)</f>
        <v>0</v>
      </c>
      <c r="Q5372" t="str">
        <v>x</v>
      </c>
      <c r="R5372">
        <f>IF(P5372&gt;0,2*(1-2*$F$19-1/2)*D5367/1000,0)</f>
        <v>0</v>
      </c>
      <c r="S5372" t="str">
        <v>)</v>
      </c>
      <c r="T5372" t="str">
        <v>x</v>
      </c>
      <c r="U5372">
        <f>0.006165*F5372^2</f>
        <v>1.041885</v>
      </c>
      <c r="X5372" t="str">
        <v>x</v>
      </c>
      <c r="Y5372">
        <f>D5370</f>
        <v>1</v>
      </c>
      <c r="Z5372" t="str">
        <v>=</v>
      </c>
      <c r="AA5372">
        <f>IF(AA5374=0,(D5372*N5372+P5372*R5372)*U5372*Y5372,0)</f>
        <v>0</v>
      </c>
    </row>
    <row r="5373">
      <c r="A5373" t="str">
        <f>A5364</f>
        <v>Lantai 1</v>
      </c>
      <c r="B5373">
        <f>B5364</f>
        <v>82</v>
      </c>
      <c r="C5373" t="str">
        <v>Tul Atas Tumpuan</v>
      </c>
      <c r="D5373">
        <f>VLOOKUP(D5364,'Detail Balok'!$C$10:$AU$110,10,FALSE)</f>
        <v>2</v>
      </c>
      <c r="E5373" t="str">
        <v>D</v>
      </c>
      <c r="F5373">
        <f>VLOOKUP(D5364,'Detail Balok'!$C$10:$AU$110,12,FALSE)</f>
        <v>13</v>
      </c>
      <c r="I5373" t="str">
        <v>(</v>
      </c>
      <c r="J5373">
        <f>+D5366/4/1000</f>
        <v>0.675</v>
      </c>
      <c r="K5373" t="str">
        <v>+</v>
      </c>
      <c r="L5373">
        <f>MAX(VLOOKUP(F5373,N$6:P$15,3,FALSE)/1000,2/3*D5368/1000)+F$16*F5373/1000</f>
        <v>0.156</v>
      </c>
      <c r="M5373" t="str">
        <v>=</v>
      </c>
      <c r="N5373">
        <f>J5373+L5373</f>
        <v>0.8310000000000001</v>
      </c>
      <c r="O5373" t="str">
        <v>+</v>
      </c>
      <c r="P5373">
        <f>D5373-D5372</f>
        <v>0</v>
      </c>
      <c r="Q5373" t="str">
        <v>x</v>
      </c>
      <c r="R5373">
        <f>IF(P5373&gt;0,$F$18*F5373/1000,0)</f>
        <v>0</v>
      </c>
      <c r="S5373" t="str">
        <v>)</v>
      </c>
      <c r="T5373" t="str">
        <v>x</v>
      </c>
      <c r="U5373">
        <f>0.006165*F5373^2</f>
        <v>1.041885</v>
      </c>
      <c r="X5373" t="str">
        <v>x</v>
      </c>
      <c r="Y5373">
        <f>D5370</f>
        <v>1</v>
      </c>
      <c r="Z5373" t="str">
        <v>=</v>
      </c>
      <c r="AA5373">
        <f>IF(AA5374=0,(D5373*N5373+P5373*R5373)*U5373*Y5373,0)</f>
        <v>0</v>
      </c>
    </row>
    <row r="5374">
      <c r="A5374" t="str">
        <f>A5364</f>
        <v>Lantai 1</v>
      </c>
      <c r="B5374">
        <f>B5364</f>
        <v>82</v>
      </c>
      <c r="D5374">
        <f>IF(AND(D5371=D5372,D5372=D5373,D5371=D5373),D5371,0)</f>
        <v>2</v>
      </c>
      <c r="E5374" t="str">
        <v>D</v>
      </c>
      <c r="F5374">
        <f>IF(AND(F5371=F5372,F5371=F5373,F5372=F5373),F5371,0)</f>
        <v>13</v>
      </c>
      <c r="L5374" t="str">
        <v>Total panjang per balok</v>
      </c>
      <c r="M5374" t="str">
        <v>=</v>
      </c>
      <c r="N5374">
        <f>IF(AND(D5371=D5372,D5371=D5373,D5372=D5373,F5371=F5372,F5371=F5373,F5372=F5373),SUM(N5371:N5373),0)</f>
        <v>3.012</v>
      </c>
      <c r="O5374" t="str">
        <v>+</v>
      </c>
      <c r="P5374">
        <f>IF(N5374&gt;12,ROUNDDOWN(N5374/12,0),0)</f>
        <v>0</v>
      </c>
      <c r="Q5374" t="str">
        <v>x</v>
      </c>
      <c r="R5374">
        <f>IF(P5374&gt;0,MAX(VLOOKUP(F5374,$D$6:$G$15,3,FALSE),600),0)/1000</f>
        <v>0</v>
      </c>
      <c r="T5374" t="str">
        <v>x</v>
      </c>
      <c r="U5374">
        <f>U5373</f>
        <v>1.041885</v>
      </c>
      <c r="V5374" t="str">
        <v>x</v>
      </c>
      <c r="W5374">
        <f>D5374</f>
        <v>2</v>
      </c>
      <c r="X5374" t="str">
        <v>x</v>
      </c>
      <c r="Y5374">
        <f>Y5373</f>
        <v>1</v>
      </c>
      <c r="Z5374" t="str">
        <v>=</v>
      </c>
      <c r="AA5374">
        <f>(N5374+P5374*R5374/1000)*U5374*W5374*Y5374</f>
        <v>6.27631524</v>
      </c>
    </row>
    <row r="5376">
      <c r="A5376" t="str">
        <f>A5364</f>
        <v>Lantai 1</v>
      </c>
      <c r="B5376">
        <f>B5364</f>
        <v>82</v>
      </c>
      <c r="C5376" t="str">
        <v>Tul Peminggang</v>
      </c>
      <c r="D5376">
        <f>VLOOKUP(D5364,'Detail Balok'!$C$10:$AU$110,13,FALSE)</f>
        <v>0</v>
      </c>
      <c r="E5376" t="str">
        <v>D</v>
      </c>
      <c r="F5376">
        <f>VLOOKUP(D5364,'Detail Balok'!$C$10:$AU$110,15,FALSE)</f>
        <v>6</v>
      </c>
      <c r="J5376">
        <f>+D5366/1000</f>
        <v>2.7</v>
      </c>
      <c r="K5376" t="str">
        <v>+</v>
      </c>
      <c r="L5376">
        <f>2*$F$16*F5376/1000</f>
        <v>0.144</v>
      </c>
      <c r="M5376" t="str">
        <v>=</v>
      </c>
      <c r="N5376">
        <f>J5376+L5376</f>
        <v>2.8440000000000003</v>
      </c>
      <c r="O5376" t="str">
        <v>+</v>
      </c>
      <c r="P5376">
        <f>IF(N5376&gt;12,ROUNDDOWN(N5376/12,0),0)</f>
        <v>0</v>
      </c>
      <c r="Q5376" t="str">
        <v>x</v>
      </c>
      <c r="R5376">
        <f>IF(P5376&gt;0,MAX(VLOOKUP(F5376,$D$6:$G$15,3,FALSE),600),0)/1000</f>
        <v>0</v>
      </c>
      <c r="T5376" t="str">
        <v>x</v>
      </c>
      <c r="U5376">
        <f>0.006165*F5376^2</f>
        <v>0.22194000000000003</v>
      </c>
      <c r="V5376" t="str">
        <v>x</v>
      </c>
      <c r="W5376">
        <f>+D5376</f>
        <v>0</v>
      </c>
      <c r="X5376" t="str">
        <v>x</v>
      </c>
      <c r="Y5376">
        <f>D5370</f>
        <v>1</v>
      </c>
      <c r="Z5376" t="str">
        <v>=</v>
      </c>
      <c r="AA5376">
        <f>(N5376+P5376*R5376/1000)*U5376*W5376*Y5376</f>
        <v>0</v>
      </c>
    </row>
    <row r="5379">
      <c r="A5379" t="str">
        <f>A5364</f>
        <v>Lantai 1</v>
      </c>
      <c r="B5379">
        <f>B5364</f>
        <v>82</v>
      </c>
      <c r="C5379" t="str">
        <v>Tul Bawah Tumpuan</v>
      </c>
      <c r="D5379">
        <f>VLOOKUP(D5364,'Detail Balok'!$C$10:$AU$110,22,FALSE)</f>
        <v>2</v>
      </c>
      <c r="E5379" t="str">
        <v>D</v>
      </c>
      <c r="F5379">
        <f>VLOOKUP(D5364,'Detail Balok'!$C$10:$AU$110,24,FALSE)</f>
        <v>13</v>
      </c>
      <c r="I5379" t="str">
        <v>(</v>
      </c>
      <c r="J5379">
        <f>+J5371</f>
        <v>0.675</v>
      </c>
      <c r="K5379" t="str">
        <v>+</v>
      </c>
      <c r="L5379">
        <f>MAX(VLOOKUP(F5379,N$6:P$15,3,FALSE)/1000,2/3*D5369/1000)+F$16*F5379/1000</f>
        <v>0.156</v>
      </c>
      <c r="M5379" t="str">
        <v>=</v>
      </c>
      <c r="N5379">
        <f>J5379+L5379</f>
        <v>0.8310000000000001</v>
      </c>
      <c r="O5379" t="str">
        <v>+</v>
      </c>
      <c r="P5379">
        <f>D5379-D5380</f>
        <v>0</v>
      </c>
      <c r="Q5379" t="str">
        <v>x</v>
      </c>
      <c r="R5379">
        <f>IF(P5379&gt;0,$F$18*F5379/1000,0)</f>
        <v>0</v>
      </c>
      <c r="S5379" t="str">
        <v>)</v>
      </c>
      <c r="T5379" t="str">
        <v>x</v>
      </c>
      <c r="U5379">
        <f>0.006165*F5379^2</f>
        <v>1.041885</v>
      </c>
      <c r="X5379" t="str">
        <v>x</v>
      </c>
      <c r="Y5379">
        <f>D5370</f>
        <v>1</v>
      </c>
      <c r="Z5379" t="str">
        <v>=</v>
      </c>
      <c r="AA5379">
        <f>IF(AA5382=0,(D5379*N5379+P5379*R5379)*U5379*Y5379,0)</f>
        <v>0</v>
      </c>
    </row>
    <row r="5380">
      <c r="A5380" t="str">
        <f>A5364</f>
        <v>Lantai 1</v>
      </c>
      <c r="B5380">
        <f>B5364</f>
        <v>82</v>
      </c>
      <c r="C5380" t="str">
        <v>Tul Bawah Lapangan</v>
      </c>
      <c r="D5380">
        <f>VLOOKUP(D5364,'Detail Balok'!$C$10:$AU$110,25,FALSE)</f>
        <v>2</v>
      </c>
      <c r="E5380" t="str">
        <v>D</v>
      </c>
      <c r="F5380">
        <f>VLOOKUP(D5364,'Detail Balok'!$C$10:$AU$110,27,FALSE)</f>
        <v>13</v>
      </c>
      <c r="I5380" t="str">
        <v>(</v>
      </c>
      <c r="J5380">
        <f>+J5372</f>
        <v>1.35</v>
      </c>
      <c r="K5380" t="str">
        <v>+</v>
      </c>
      <c r="M5380" t="str">
        <v>=</v>
      </c>
      <c r="N5380">
        <f>J5380+L5380</f>
        <v>1.35</v>
      </c>
      <c r="O5380" t="str">
        <v>+</v>
      </c>
      <c r="P5380">
        <f>MAX(D5380-D5379,D5380-D5381)</f>
        <v>0</v>
      </c>
      <c r="Q5380" t="str">
        <v>x</v>
      </c>
      <c r="R5380">
        <f>IF(P5380&gt;0,2*(1-2*$F$19-1/2)*D5367/1000,0)</f>
        <v>0</v>
      </c>
      <c r="S5380" t="str">
        <v>)</v>
      </c>
      <c r="T5380" t="str">
        <v>x</v>
      </c>
      <c r="U5380">
        <f>0.006165*F5380^2</f>
        <v>1.041885</v>
      </c>
      <c r="X5380" t="str">
        <v>x</v>
      </c>
      <c r="Y5380">
        <f>D5370</f>
        <v>1</v>
      </c>
      <c r="Z5380" t="str">
        <v>=</v>
      </c>
      <c r="AA5380">
        <f>IF(AA5382=0,(D5380*N5380+P5380*R5380)*U5380*Y5380,0)</f>
        <v>0</v>
      </c>
    </row>
    <row r="5381">
      <c r="A5381" t="str">
        <f>A5364</f>
        <v>Lantai 1</v>
      </c>
      <c r="B5381">
        <f>B5364</f>
        <v>82</v>
      </c>
      <c r="C5381" t="str">
        <v>Tul Bawah Tumpuan</v>
      </c>
      <c r="D5381">
        <f>VLOOKUP(D5364,'Detail Balok'!$C$10:$AU$110,28,FALSE)</f>
        <v>2</v>
      </c>
      <c r="E5381" t="str">
        <v>D</v>
      </c>
      <c r="F5381">
        <f>VLOOKUP(D5364,'Detail Balok'!$C$10:$AU$110,30,FALSE)</f>
        <v>13</v>
      </c>
      <c r="I5381" t="str">
        <v>(</v>
      </c>
      <c r="J5381">
        <f>+J5373</f>
        <v>0.675</v>
      </c>
      <c r="K5381" t="str">
        <v>+</v>
      </c>
      <c r="L5381">
        <f>MAX(VLOOKUP(F5381,N$6:P$15,3,FALSE)/1000,2/3*D5369/1000)+F$16*F5381/1000</f>
        <v>0.156</v>
      </c>
      <c r="M5381" t="str">
        <v>=</v>
      </c>
      <c r="N5381">
        <f>J5381+L5381</f>
        <v>0.8310000000000001</v>
      </c>
      <c r="O5381" t="str">
        <v>+</v>
      </c>
      <c r="P5381">
        <f>D5381-D5380</f>
        <v>0</v>
      </c>
      <c r="Q5381" t="str">
        <v>x</v>
      </c>
      <c r="R5381">
        <f>IF(P5381&gt;0,$F$18*F5381/1000,0)</f>
        <v>0</v>
      </c>
      <c r="S5381" t="str">
        <v>)</v>
      </c>
      <c r="T5381" t="str">
        <v>x</v>
      </c>
      <c r="U5381">
        <f>0.006165*F5381^2</f>
        <v>1.041885</v>
      </c>
      <c r="X5381" t="str">
        <v>x</v>
      </c>
      <c r="Y5381">
        <f>D5370</f>
        <v>1</v>
      </c>
      <c r="Z5381" t="str">
        <v>=</v>
      </c>
      <c r="AA5381">
        <f>IF(AA5382=0,(D5381*N5381+P5381*R5381)*U5381*Y5381,0)</f>
        <v>0</v>
      </c>
    </row>
    <row r="5382">
      <c r="A5382" t="str">
        <f>A5364</f>
        <v>Lantai 1</v>
      </c>
      <c r="B5382">
        <f>B5364</f>
        <v>82</v>
      </c>
      <c r="D5382">
        <f>IF(AND(D5379=D5380,D5380=D5381,D5379=D5381),D5379,0)</f>
        <v>2</v>
      </c>
      <c r="E5382" t="str">
        <v>D</v>
      </c>
      <c r="F5382">
        <f>IF(AND(F5379=F5380,F5379=F5381,F5380=F5381),F5379,0)</f>
        <v>13</v>
      </c>
      <c r="L5382" t="str">
        <v>Total panjang per balok</v>
      </c>
      <c r="M5382" t="str">
        <v>=</v>
      </c>
      <c r="N5382">
        <f>IF(AND(D5379=D5380,D5379=D5381,D5380=D5381,F5379=F5380,F5379=F5381,F5380=F5381),SUM(N5379:N5381),0)</f>
        <v>3.012</v>
      </c>
      <c r="O5382" t="str">
        <v>+</v>
      </c>
      <c r="P5382">
        <f>IF(N5382&gt;12,ROUNDDOWN(N5382/12,0),0)</f>
        <v>0</v>
      </c>
      <c r="Q5382" t="str">
        <v>x</v>
      </c>
      <c r="R5382">
        <f>IF(P5382&gt;0,MAX(VLOOKUP(F5382,$D$6:$G$15,3,FALSE),600),0)/1000</f>
        <v>0</v>
      </c>
      <c r="T5382" t="str">
        <v>x</v>
      </c>
      <c r="U5382">
        <f>U5381</f>
        <v>1.041885</v>
      </c>
      <c r="V5382" t="str">
        <v>x</v>
      </c>
      <c r="W5382">
        <f>D5382</f>
        <v>2</v>
      </c>
      <c r="X5382" t="str">
        <v>x</v>
      </c>
      <c r="Y5382">
        <f>Y5381</f>
        <v>1</v>
      </c>
      <c r="Z5382" t="str">
        <v>=</v>
      </c>
      <c r="AA5382">
        <f>(N5382+P5382*R5382/1000)*U5382*W5382*Y5382</f>
        <v>6.27631524</v>
      </c>
    </row>
    <row r="5384">
      <c r="A5384" t="str">
        <f>A5364</f>
        <v>Lantai 1</v>
      </c>
      <c r="B5384">
        <f>B5364</f>
        <v>82</v>
      </c>
      <c r="C5384" t="str">
        <v>Sengkang Tumpuan</v>
      </c>
      <c r="D5384">
        <f>VLOOKUP(D5364,'Detail Balok'!$C$10:$AU$110,31,FALSE)</f>
        <v>0</v>
      </c>
      <c r="E5384" t="str">
        <v>D</v>
      </c>
      <c r="F5384">
        <f>VLOOKUP(D5364,'Detail Balok'!$C$10:$AU$110,33,FALSE)</f>
        <v>8</v>
      </c>
      <c r="G5384" t="str">
        <v>-</v>
      </c>
      <c r="H5384">
        <f>VLOOKUP(D5364,'Detail Balok'!$C$10:$AU$110,35,FALSE)</f>
        <v>100</v>
      </c>
      <c r="J5384">
        <f>(IF(D5384=0,(2*(D5365+G5365))-(F$5*8),IF(D5384=3,(2*(D5365+G5365))-(F$5*8)+(G5365-2*F$5),IF(D5384=4,(2*(D5365+G5365))-(F$5*8)+2*(G5365-2*F$5)))))/1000</f>
        <v>0.68</v>
      </c>
      <c r="K5384" t="str">
        <v>+</v>
      </c>
      <c r="L5384">
        <f>IF(D5384=0,2*MAX(6*F5384,75),(D5384-1)*2*MAX(6*F5384,75))/1000</f>
        <v>0.15</v>
      </c>
      <c r="M5384" t="str">
        <v>=</v>
      </c>
      <c r="N5384">
        <f>J5384+L5384</f>
        <v>0.8300000000000001</v>
      </c>
      <c r="T5384" t="str">
        <v>x</v>
      </c>
      <c r="U5384">
        <f>0.006165*F5384^2</f>
        <v>0.39456</v>
      </c>
      <c r="V5384" t="str">
        <v>x</v>
      </c>
      <c r="W5384">
        <f>IF(D5367&gt;4*G5365,ROUND(MAX(D5367/4,2*G5365)/H5384,0)+1,ROUND(D5367/H5384,0)+1)</f>
        <v>8</v>
      </c>
      <c r="X5384" t="str">
        <v>x</v>
      </c>
      <c r="Y5384">
        <f>D5370</f>
        <v>1</v>
      </c>
      <c r="Z5384" t="str">
        <v>=</v>
      </c>
      <c r="AA5384">
        <f>N5384*U5384*W5384*Y5384</f>
        <v>2.6198784</v>
      </c>
    </row>
    <row r="5385">
      <c r="A5385" t="str">
        <f>A5364</f>
        <v>Lantai 1</v>
      </c>
      <c r="B5385">
        <f>B5364</f>
        <v>82</v>
      </c>
      <c r="C5385" t="str">
        <v>Sengkang Lapangan</v>
      </c>
      <c r="D5385">
        <f>VLOOKUP(D5364,'Detail Balok'!$C$10:$AU$110,36,FALSE)</f>
        <v>0</v>
      </c>
      <c r="E5385" t="str">
        <v>D</v>
      </c>
      <c r="F5385">
        <f>VLOOKUP(D5364,'Detail Balok'!$C$10:$AU$110,38,FALSE)</f>
        <v>8</v>
      </c>
      <c r="G5385" t="str">
        <v>-</v>
      </c>
      <c r="H5385">
        <f>VLOOKUP(D5364,'Detail Balok'!$C$10:$AU$110,40,FALSE)</f>
        <v>150</v>
      </c>
      <c r="J5385">
        <f>(IF(D5385=0,(2*(D5365+G5365))-(F$5*8),IF(D5385=3,(2*(D5365+G5365))-(F$5*8)+(G5365-2*F$5),IF(D5385=4,(2*(D5365+G5365))-(F$5*8)+2*(G5365-2*F$5)))))/1000</f>
        <v>0.68</v>
      </c>
      <c r="K5385" t="str">
        <v>+</v>
      </c>
      <c r="L5385">
        <f>IF(D5385=0,2*MAX(6*F5385,75),(D5385-1)*2*MAX(6*F5385,75))/1000</f>
        <v>0.15</v>
      </c>
      <c r="M5385" t="str">
        <v>=</v>
      </c>
      <c r="N5385">
        <f>J5385+L5385</f>
        <v>0.8300000000000001</v>
      </c>
      <c r="T5385" t="str">
        <v>x</v>
      </c>
      <c r="U5385">
        <f>0.006165*F5385^2</f>
        <v>0.39456</v>
      </c>
      <c r="V5385" t="str">
        <v>x</v>
      </c>
      <c r="W5385">
        <f>IF(D5367-MAX(D5367/4,2*G5365)*2&gt;0,ROUND((D5367-MAX(D5367/4,2*G5365)*2)/H5385,0),0)</f>
        <v>9</v>
      </c>
      <c r="X5385" t="str">
        <v>x</v>
      </c>
      <c r="Y5385">
        <f>D5370</f>
        <v>1</v>
      </c>
      <c r="Z5385" t="str">
        <v>=</v>
      </c>
      <c r="AA5385">
        <f>N5385*U5385*W5385*Y5385</f>
        <v>2.9473632000000003</v>
      </c>
    </row>
    <row r="5386">
      <c r="A5386" t="str">
        <f>A5364</f>
        <v>Lantai 1</v>
      </c>
      <c r="B5386">
        <f>B5364</f>
        <v>82</v>
      </c>
      <c r="C5386" t="str">
        <v>Sengkang Tumpuan</v>
      </c>
      <c r="D5386">
        <f>VLOOKUP(D5364,'Detail Balok'!$C$10:$AU$110,41,FALSE)</f>
        <v>0</v>
      </c>
      <c r="E5386" t="str">
        <v>D</v>
      </c>
      <c r="F5386">
        <f>VLOOKUP(D5364,'Detail Balok'!$C$10:$AU$110,43,FALSE)</f>
        <v>8</v>
      </c>
      <c r="G5386" t="str">
        <v>-</v>
      </c>
      <c r="H5386">
        <f>VLOOKUP(D5364,'Detail Balok'!$C$10:$AU$110,45,FALSE)</f>
        <v>100</v>
      </c>
      <c r="J5386">
        <f>(IF(D5386=0,(2*(D5365+G5365))-(F$5*8),IF(D5386=3,(2*(D5365+G5365))-(F$5*8)+(G5365-2*F$5),IF(D5386=4,(2*(D5365+G5365))-(F$5*8)+2*(G5365-2*F$5)))))/1000</f>
        <v>0.68</v>
      </c>
      <c r="K5386" t="str">
        <v>+</v>
      </c>
      <c r="L5386">
        <f>IF(D5386=0,2*MAX(6*F5386,75),(D5386-1)*2*MAX(6*F5386,75))/1000</f>
        <v>0.15</v>
      </c>
      <c r="M5386" t="str">
        <v>=</v>
      </c>
      <c r="N5386">
        <f>J5386+L5386</f>
        <v>0.8300000000000001</v>
      </c>
      <c r="T5386" t="str">
        <v>x</v>
      </c>
      <c r="U5386">
        <f>0.006165*F5386^2</f>
        <v>0.39456</v>
      </c>
      <c r="V5386" t="str">
        <v>x</v>
      </c>
      <c r="W5386">
        <f>IF(D5367&gt;4*G5365,ROUND(MAX(D5367/4,2*G5365)/H5386,0)+1,0)</f>
        <v>8</v>
      </c>
      <c r="X5386" t="str">
        <v>x</v>
      </c>
      <c r="Y5386">
        <f>D5370</f>
        <v>1</v>
      </c>
      <c r="Z5386" t="str">
        <v>=</v>
      </c>
      <c r="AA5386">
        <f>N5386*U5386*W5386*Y5386</f>
        <v>2.6198784</v>
      </c>
    </row>
    <row r="5388">
      <c r="A5388" t="str">
        <f>A5364</f>
        <v>Lantai 1</v>
      </c>
      <c r="B5388">
        <f>B5364</f>
        <v>82</v>
      </c>
      <c r="C5388" t="str">
        <v>Kait Horizontal Tump.</v>
      </c>
      <c r="D5388">
        <f>VLOOKUP(D5364,'Detail Balok'!$C$10:$BJ$110,46,FALSE)</f>
        <v>0</v>
      </c>
      <c r="E5388" t="str">
        <v>D</v>
      </c>
      <c r="F5388">
        <f>VLOOKUP(D5364,'Detail Balok'!$C$10:$BJ$110,48,FALSE)</f>
        <v>0</v>
      </c>
      <c r="G5388" t="str">
        <v>-</v>
      </c>
      <c r="H5388">
        <f>VLOOKUP(D5364,'Detail Balok'!$C$10:$BJ$110,50,FALSE)</f>
        <v>100</v>
      </c>
      <c r="J5388">
        <f>(D5365-2*F$5)/1000</f>
        <v>0.12</v>
      </c>
      <c r="K5388" t="str">
        <v>+</v>
      </c>
      <c r="L5388">
        <f>IF(D5388=0,2*MAX(6*F5388,75),(D5388-1)*2*MAX(6*F5388,75))/1000</f>
        <v>0.15</v>
      </c>
      <c r="M5388" t="str">
        <v>=</v>
      </c>
      <c r="N5388">
        <f>J5388+L5388</f>
        <v>0.27</v>
      </c>
      <c r="T5388" t="str">
        <v>x</v>
      </c>
      <c r="U5388">
        <f>0.006165*F5388^2</f>
        <v>0</v>
      </c>
      <c r="V5388" t="str">
        <v>x</v>
      </c>
      <c r="W5388">
        <f>W5384</f>
        <v>8</v>
      </c>
      <c r="X5388" t="str">
        <v>x</v>
      </c>
      <c r="Y5388">
        <f>D5374</f>
        <v>2</v>
      </c>
      <c r="Z5388" t="str">
        <v>=</v>
      </c>
      <c r="AA5388">
        <f>N5388*U5388*W5388*Y5388</f>
        <v>0</v>
      </c>
    </row>
    <row r="5389">
      <c r="A5389" t="str">
        <f>A5364</f>
        <v>Lantai 1</v>
      </c>
      <c r="B5389">
        <f>B5364</f>
        <v>82</v>
      </c>
      <c r="C5389" t="str">
        <v>Kait Horizontal Lap.</v>
      </c>
      <c r="D5389">
        <f>VLOOKUP(D5364,'Detail Balok'!$C$10:$BJ$110,51,FALSE)</f>
        <v>0</v>
      </c>
      <c r="E5389" t="str">
        <v>D</v>
      </c>
      <c r="F5389">
        <f>VLOOKUP(D5364,'Detail Balok'!$C$10:$BJ$110,53,FALSE)</f>
        <v>0</v>
      </c>
      <c r="G5389" t="str">
        <v>-</v>
      </c>
      <c r="H5389">
        <f>VLOOKUP(D5364,'Detail Balok'!$C$10:$BJ$110,55,FALSE)</f>
        <v>100</v>
      </c>
      <c r="J5389">
        <f>(D5365-2*F$5)/1000</f>
        <v>0.12</v>
      </c>
      <c r="K5389" t="str">
        <v>+</v>
      </c>
      <c r="L5389">
        <f>IF(D5389=0,2*MAX(6*F5389,75),(D5389-1)*2*MAX(6*F5389,75))/1000</f>
        <v>0.15</v>
      </c>
      <c r="M5389" t="str">
        <v>=</v>
      </c>
      <c r="N5389">
        <f>J5389+L5389</f>
        <v>0.27</v>
      </c>
      <c r="T5389" t="str">
        <v>x</v>
      </c>
      <c r="U5389">
        <f>0.006165*F5389^2</f>
        <v>0</v>
      </c>
      <c r="V5389" t="str">
        <v>x</v>
      </c>
      <c r="W5389">
        <f>W5385</f>
        <v>9</v>
      </c>
      <c r="X5389" t="str">
        <v>x</v>
      </c>
      <c r="Y5389">
        <f>D5374</f>
        <v>2</v>
      </c>
      <c r="Z5389" t="str">
        <v>=</v>
      </c>
      <c r="AA5389">
        <f>N5389*U5389*W5389*Y5389</f>
        <v>0</v>
      </c>
    </row>
    <row r="5390">
      <c r="A5390" t="str">
        <f>A5364</f>
        <v>Lantai 1</v>
      </c>
      <c r="B5390">
        <f>B5364</f>
        <v>82</v>
      </c>
      <c r="C5390" t="str">
        <v>Kait Horizontal Tump.</v>
      </c>
      <c r="D5390">
        <f>VLOOKUP(D5364,'Detail Balok'!$C$10:$BJ$110,56,FALSE)</f>
        <v>0</v>
      </c>
      <c r="E5390" t="str">
        <v>D</v>
      </c>
      <c r="F5390">
        <f>VLOOKUP(D5364,'Detail Balok'!$C$10:$BJ$110,58,FALSE)</f>
        <v>0</v>
      </c>
      <c r="G5390" t="str">
        <v>-</v>
      </c>
      <c r="H5390">
        <f>VLOOKUP(D5364,'Detail Balok'!$C$10:$BJ$110,60,FALSE)</f>
        <v>100</v>
      </c>
      <c r="J5390">
        <f>(D5365-2*F$5)/1000</f>
        <v>0.12</v>
      </c>
      <c r="K5390" t="str">
        <v>+</v>
      </c>
      <c r="L5390">
        <f>IF(D5390=0,2*MAX(6*F5390,75),(D5390-1)*2*MAX(6*F5390,75))/1000</f>
        <v>0.15</v>
      </c>
      <c r="M5390" t="str">
        <v>=</v>
      </c>
      <c r="N5390">
        <f>J5390+L5390</f>
        <v>0.27</v>
      </c>
      <c r="T5390" t="str">
        <v>x</v>
      </c>
      <c r="U5390">
        <f>0.006165*F5390^2</f>
        <v>0</v>
      </c>
      <c r="V5390" t="str">
        <v>x</v>
      </c>
      <c r="W5390">
        <f>W5386</f>
        <v>8</v>
      </c>
      <c r="X5390" t="str">
        <v>x</v>
      </c>
      <c r="Y5390">
        <f>D5374</f>
        <v>2</v>
      </c>
      <c r="Z5390" t="str">
        <v>=</v>
      </c>
      <c r="AA5390">
        <f>N5390*U5390*W5390*Y5390</f>
        <v>0</v>
      </c>
    </row>
    <row r="5394">
      <c r="A5394" t="str">
        <f>A5364</f>
        <v>Lantai 1</v>
      </c>
      <c r="B5394">
        <f>B5364+1</f>
        <v>83</v>
      </c>
      <c r="C5394" t="str">
        <f>CONCATENATE(A5394," no. ",B5394)</f>
        <v>Lantai 1 no. 83</v>
      </c>
      <c r="D5394" t="str">
        <f>VLOOKUP(C5394,'Data Panjang Balok'!$C$9:$N$424,2,FALSE)</f>
        <v>B35-1</v>
      </c>
    </row>
    <row r="5395">
      <c r="C5395" t="str">
        <v>Dimensi</v>
      </c>
      <c r="D5395">
        <f>VLOOKUP(D5394,'Detail Balok'!$C$10:$AU$110,2,FALSE)</f>
        <v>300</v>
      </c>
      <c r="F5395" t="str">
        <v>x</v>
      </c>
      <c r="G5395">
        <f>VLOOKUP(D5394,'Detail Balok'!$C$10:$AU$110,3,FALSE)</f>
        <v>500</v>
      </c>
    </row>
    <row r="5396">
      <c r="C5396" t="str">
        <v>Panjang as ke as</v>
      </c>
      <c r="D5396">
        <f>VLOOKUP(C5394,'Data Panjang Balok'!$C$9:$N$424,4,FALSE)</f>
        <v>6685</v>
      </c>
    </row>
    <row r="5397">
      <c r="C5397" t="str">
        <v>Panjang netto</v>
      </c>
      <c r="D5397">
        <f>VLOOKUP(C5394,'Data Panjang Balok'!$C$9:$N$424,7,FALSE)</f>
        <v>6685</v>
      </c>
    </row>
    <row r="5398">
      <c r="C5398" t="str">
        <v>Kolom / balok kiri</v>
      </c>
      <c r="D5398">
        <f>VLOOKUP(C5394,'Data Panjang Balok'!$C$9:$N$424,9,FALSE)</f>
        <v>0</v>
      </c>
    </row>
    <row r="5399">
      <c r="C5399" t="str">
        <v>Kolom / balok kanan</v>
      </c>
      <c r="D5399">
        <f>VLOOKUP(C5394,'Data Panjang Balok'!$C$9:$N$424,10,FALSE)</f>
        <v>0</v>
      </c>
    </row>
    <row r="5400">
      <c r="C5400" t="str">
        <v>Jumlah</v>
      </c>
      <c r="D5400">
        <f>VLOOKUP(C5394,'Data Panjang Balok'!$C$9:$N$424,3,FALSE)</f>
        <v>1</v>
      </c>
    </row>
    <row r="5401">
      <c r="A5401" t="str">
        <f>A5394</f>
        <v>Lantai 1</v>
      </c>
      <c r="B5401">
        <f>B5394</f>
        <v>83</v>
      </c>
      <c r="C5401" t="str">
        <v>Tul Atas Tumpuan</v>
      </c>
      <c r="D5401">
        <f>VLOOKUP(D5394,'Detail Balok'!$C$10:$AU$110,4,FALSE)</f>
        <v>4</v>
      </c>
      <c r="E5401" t="str">
        <v>D</v>
      </c>
      <c r="F5401">
        <f>VLOOKUP(D5394,'Detail Balok'!$C$10:$AU$110,6,FALSE)</f>
        <v>16</v>
      </c>
      <c r="I5401" t="str">
        <v>(</v>
      </c>
      <c r="J5401">
        <f>+D5396/4/1000</f>
        <v>1.67125</v>
      </c>
      <c r="K5401" t="str">
        <v>+</v>
      </c>
      <c r="L5401">
        <f>MAX(VLOOKUP(F5401,N$6:P$15,3,FALSE)/1000,2/3*D5398/1000)+F$16*F5401/1000</f>
        <v>0.192</v>
      </c>
      <c r="M5401" t="str">
        <v>=</v>
      </c>
      <c r="N5401">
        <f>J5401+L5401</f>
        <v>1.8632499999999999</v>
      </c>
      <c r="O5401" t="str">
        <v>+</v>
      </c>
      <c r="P5401">
        <f>D5401-D5402</f>
        <v>0</v>
      </c>
      <c r="Q5401" t="str">
        <v>x</v>
      </c>
      <c r="R5401">
        <f>IF(P5401&gt;0,$F$18*F5401/1000,0)</f>
        <v>0</v>
      </c>
      <c r="S5401" t="str">
        <v>)</v>
      </c>
      <c r="T5401" t="str">
        <v>x</v>
      </c>
      <c r="U5401">
        <f>0.006165*F5401^2</f>
        <v>1.57824</v>
      </c>
      <c r="X5401" t="str">
        <v>x</v>
      </c>
      <c r="Y5401">
        <f>D5400</f>
        <v>1</v>
      </c>
      <c r="Z5401" t="str">
        <v>=</v>
      </c>
      <c r="AA5401">
        <f>IF(AA5404=0,(D5401*N5401+P5401*R5401)*U5401*Y5401,0)</f>
        <v>0</v>
      </c>
    </row>
    <row r="5402">
      <c r="A5402" t="str">
        <f>A5394</f>
        <v>Lantai 1</v>
      </c>
      <c r="B5402">
        <f>B5394</f>
        <v>83</v>
      </c>
      <c r="C5402" t="str">
        <v>Tul Atas Lapangan</v>
      </c>
      <c r="D5402">
        <f>VLOOKUP(D5394,'Detail Balok'!$C$10:$AU$110,7,FALSE)</f>
        <v>4</v>
      </c>
      <c r="E5402" t="str">
        <v>D</v>
      </c>
      <c r="F5402">
        <f>VLOOKUP(D5394,'Detail Balok'!$C$10:$AU$110,9,FALSE)</f>
        <v>16</v>
      </c>
      <c r="I5402" t="str">
        <v>(</v>
      </c>
      <c r="J5402">
        <f>+D5396/2/1000</f>
        <v>3.3425</v>
      </c>
      <c r="K5402" t="str">
        <v>+</v>
      </c>
      <c r="M5402" t="str">
        <v>=</v>
      </c>
      <c r="N5402">
        <f>J5402+L5402</f>
        <v>3.3425</v>
      </c>
      <c r="O5402" t="str">
        <v>+</v>
      </c>
      <c r="P5402">
        <f>MAX(D5402-D5401,D5402-D5403)</f>
        <v>0</v>
      </c>
      <c r="Q5402" t="str">
        <v>x</v>
      </c>
      <c r="R5402">
        <f>IF(P5402&gt;0,2*(1-2*$F$19-1/2)*D5397/1000,0)</f>
        <v>0</v>
      </c>
      <c r="S5402" t="str">
        <v>)</v>
      </c>
      <c r="T5402" t="str">
        <v>x</v>
      </c>
      <c r="U5402">
        <f>0.006165*F5402^2</f>
        <v>1.57824</v>
      </c>
      <c r="X5402" t="str">
        <v>x</v>
      </c>
      <c r="Y5402">
        <f>D5400</f>
        <v>1</v>
      </c>
      <c r="Z5402" t="str">
        <v>=</v>
      </c>
      <c r="AA5402">
        <f>IF(AA5404=0,(D5402*N5402+P5402*R5402)*U5402*Y5402,0)</f>
        <v>0</v>
      </c>
    </row>
    <row r="5403">
      <c r="A5403" t="str">
        <f>A5394</f>
        <v>Lantai 1</v>
      </c>
      <c r="B5403">
        <f>B5394</f>
        <v>83</v>
      </c>
      <c r="C5403" t="str">
        <v>Tul Atas Tumpuan</v>
      </c>
      <c r="D5403">
        <f>VLOOKUP(D5394,'Detail Balok'!$C$10:$AU$110,10,FALSE)</f>
        <v>4</v>
      </c>
      <c r="E5403" t="str">
        <v>D</v>
      </c>
      <c r="F5403">
        <f>VLOOKUP(D5394,'Detail Balok'!$C$10:$AU$110,12,FALSE)</f>
        <v>16</v>
      </c>
      <c r="I5403" t="str">
        <v>(</v>
      </c>
      <c r="J5403">
        <f>+D5396/4/1000</f>
        <v>1.67125</v>
      </c>
      <c r="K5403" t="str">
        <v>+</v>
      </c>
      <c r="L5403">
        <f>MAX(VLOOKUP(F5403,N$6:P$15,3,FALSE)/1000,2/3*D5398/1000)+F$16*F5403/1000</f>
        <v>0.192</v>
      </c>
      <c r="M5403" t="str">
        <v>=</v>
      </c>
      <c r="N5403">
        <f>J5403+L5403</f>
        <v>1.8632499999999999</v>
      </c>
      <c r="O5403" t="str">
        <v>+</v>
      </c>
      <c r="P5403">
        <f>D5403-D5402</f>
        <v>0</v>
      </c>
      <c r="Q5403" t="str">
        <v>x</v>
      </c>
      <c r="R5403">
        <f>IF(P5403&gt;0,$F$18*F5403/1000,0)</f>
        <v>0</v>
      </c>
      <c r="S5403" t="str">
        <v>)</v>
      </c>
      <c r="T5403" t="str">
        <v>x</v>
      </c>
      <c r="U5403">
        <f>0.006165*F5403^2</f>
        <v>1.57824</v>
      </c>
      <c r="X5403" t="str">
        <v>x</v>
      </c>
      <c r="Y5403">
        <f>D5400</f>
        <v>1</v>
      </c>
      <c r="Z5403" t="str">
        <v>=</v>
      </c>
      <c r="AA5403">
        <f>IF(AA5404=0,(D5403*N5403+P5403*R5403)*U5403*Y5403,0)</f>
        <v>0</v>
      </c>
    </row>
    <row r="5404">
      <c r="A5404" t="str">
        <f>A5394</f>
        <v>Lantai 1</v>
      </c>
      <c r="B5404">
        <f>B5394</f>
        <v>83</v>
      </c>
      <c r="D5404">
        <f>IF(AND(D5401=D5402,D5402=D5403,D5401=D5403),D5401,0)</f>
        <v>4</v>
      </c>
      <c r="E5404" t="str">
        <v>D</v>
      </c>
      <c r="F5404">
        <f>IF(AND(F5401=F5402,F5401=F5403,F5402=F5403),F5401,0)</f>
        <v>16</v>
      </c>
      <c r="L5404" t="str">
        <v>Total panjang per balok</v>
      </c>
      <c r="M5404" t="str">
        <v>=</v>
      </c>
      <c r="N5404">
        <f>IF(AND(D5401=D5402,D5401=D5403,D5402=D5403,F5401=F5402,F5401=F5403,F5402=F5403),SUM(N5401:N5403),0)</f>
        <v>7.069</v>
      </c>
      <c r="O5404" t="str">
        <v>+</v>
      </c>
      <c r="P5404">
        <f>IF(N5404&gt;12,ROUNDDOWN(N5404/12,0),0)</f>
        <v>0</v>
      </c>
      <c r="Q5404" t="str">
        <v>x</v>
      </c>
      <c r="R5404">
        <f>IF(P5404&gt;0,MAX(VLOOKUP(F5404,$D$6:$G$15,3,FALSE),600),0)/1000</f>
        <v>0</v>
      </c>
      <c r="T5404" t="str">
        <v>x</v>
      </c>
      <c r="U5404">
        <f>U5403</f>
        <v>1.57824</v>
      </c>
      <c r="V5404" t="str">
        <v>x</v>
      </c>
      <c r="W5404">
        <f>D5404</f>
        <v>4</v>
      </c>
      <c r="X5404" t="str">
        <v>x</v>
      </c>
      <c r="Y5404">
        <f>Y5403</f>
        <v>1</v>
      </c>
      <c r="Z5404" t="str">
        <v>=</v>
      </c>
      <c r="AA5404">
        <f>(N5404+P5404*R5404/1000)*U5404*W5404*Y5404</f>
        <v>44.62631424</v>
      </c>
    </row>
    <row r="5406">
      <c r="A5406" t="str">
        <f>A5394</f>
        <v>Lantai 1</v>
      </c>
      <c r="B5406">
        <f>B5394</f>
        <v>83</v>
      </c>
      <c r="C5406" t="str">
        <v>Tul Peminggang</v>
      </c>
      <c r="D5406">
        <f>VLOOKUP(D5394,'Detail Balok'!$C$10:$AU$110,13,FALSE)</f>
        <v>2</v>
      </c>
      <c r="E5406" t="str">
        <v>D</v>
      </c>
      <c r="F5406">
        <f>VLOOKUP(D5394,'Detail Balok'!$C$10:$AU$110,15,FALSE)</f>
        <v>10</v>
      </c>
      <c r="J5406">
        <f>+D5396/1000</f>
        <v>6.685</v>
      </c>
      <c r="K5406" t="str">
        <v>+</v>
      </c>
      <c r="L5406">
        <f>2*$F$16*F5406/1000</f>
        <v>0.24</v>
      </c>
      <c r="M5406" t="str">
        <v>=</v>
      </c>
      <c r="N5406">
        <f>J5406+L5406</f>
        <v>6.925</v>
      </c>
      <c r="O5406" t="str">
        <v>+</v>
      </c>
      <c r="P5406">
        <f>IF(N5406&gt;12,ROUNDDOWN(N5406/12,0),0)</f>
        <v>0</v>
      </c>
      <c r="Q5406" t="str">
        <v>x</v>
      </c>
      <c r="R5406">
        <f>IF(P5406&gt;0,MAX(VLOOKUP(F5406,$D$6:$G$15,3,FALSE),600),0)/1000</f>
        <v>0</v>
      </c>
      <c r="T5406" t="str">
        <v>x</v>
      </c>
      <c r="U5406">
        <f>0.006165*F5406^2</f>
        <v>0.6165</v>
      </c>
      <c r="V5406" t="str">
        <v>x</v>
      </c>
      <c r="W5406">
        <f>+D5406</f>
        <v>2</v>
      </c>
      <c r="X5406" t="str">
        <v>x</v>
      </c>
      <c r="Y5406">
        <f>D5400</f>
        <v>1</v>
      </c>
      <c r="Z5406" t="str">
        <v>=</v>
      </c>
      <c r="AA5406">
        <f>(N5406+P5406*R5406/1000)*U5406*W5406*Y5406</f>
        <v>8.538525</v>
      </c>
    </row>
    <row r="5409">
      <c r="A5409" t="str">
        <f>A5394</f>
        <v>Lantai 1</v>
      </c>
      <c r="B5409">
        <f>B5394</f>
        <v>83</v>
      </c>
      <c r="C5409" t="str">
        <v>Tul Bawah Tumpuan</v>
      </c>
      <c r="D5409">
        <f>VLOOKUP(D5394,'Detail Balok'!$C$10:$AU$110,22,FALSE)</f>
        <v>3</v>
      </c>
      <c r="E5409" t="str">
        <v>D</v>
      </c>
      <c r="F5409">
        <f>VLOOKUP(D5394,'Detail Balok'!$C$10:$AU$110,24,FALSE)</f>
        <v>16</v>
      </c>
      <c r="I5409" t="str">
        <v>(</v>
      </c>
      <c r="J5409">
        <f>+J5401</f>
        <v>1.67125</v>
      </c>
      <c r="K5409" t="str">
        <v>+</v>
      </c>
      <c r="L5409">
        <f>MAX(VLOOKUP(F5409,N$6:P$15,3,FALSE)/1000,2/3*D5399/1000)+F$16*F5409/1000</f>
        <v>0.192</v>
      </c>
      <c r="M5409" t="str">
        <v>=</v>
      </c>
      <c r="N5409">
        <f>J5409+L5409</f>
        <v>1.8632499999999999</v>
      </c>
      <c r="O5409" t="str">
        <v>+</v>
      </c>
      <c r="P5409">
        <f>D5409-D5410</f>
        <v>0</v>
      </c>
      <c r="Q5409" t="str">
        <v>x</v>
      </c>
      <c r="R5409">
        <f>IF(P5409&gt;0,$F$18*F5409/1000,0)</f>
        <v>0</v>
      </c>
      <c r="S5409" t="str">
        <v>)</v>
      </c>
      <c r="T5409" t="str">
        <v>x</v>
      </c>
      <c r="U5409">
        <f>0.006165*F5409^2</f>
        <v>1.57824</v>
      </c>
      <c r="X5409" t="str">
        <v>x</v>
      </c>
      <c r="Y5409">
        <f>D5400</f>
        <v>1</v>
      </c>
      <c r="Z5409" t="str">
        <v>=</v>
      </c>
      <c r="AA5409">
        <f>IF(AA5412=0,(D5409*N5409+P5409*R5409)*U5409*Y5409,0)</f>
        <v>0</v>
      </c>
    </row>
    <row r="5410">
      <c r="A5410" t="str">
        <f>A5394</f>
        <v>Lantai 1</v>
      </c>
      <c r="B5410">
        <f>B5394</f>
        <v>83</v>
      </c>
      <c r="C5410" t="str">
        <v>Tul Bawah Lapangan</v>
      </c>
      <c r="D5410">
        <f>VLOOKUP(D5394,'Detail Balok'!$C$10:$AU$110,25,FALSE)</f>
        <v>3</v>
      </c>
      <c r="E5410" t="str">
        <v>D</v>
      </c>
      <c r="F5410">
        <f>VLOOKUP(D5394,'Detail Balok'!$C$10:$AU$110,27,FALSE)</f>
        <v>16</v>
      </c>
      <c r="I5410" t="str">
        <v>(</v>
      </c>
      <c r="J5410">
        <f>+J5402</f>
        <v>3.3425</v>
      </c>
      <c r="K5410" t="str">
        <v>+</v>
      </c>
      <c r="M5410" t="str">
        <v>=</v>
      </c>
      <c r="N5410">
        <f>J5410+L5410</f>
        <v>3.3425</v>
      </c>
      <c r="O5410" t="str">
        <v>+</v>
      </c>
      <c r="P5410">
        <f>MAX(D5410-D5409,D5410-D5411)</f>
        <v>0</v>
      </c>
      <c r="Q5410" t="str">
        <v>x</v>
      </c>
      <c r="R5410">
        <f>IF(P5410&gt;0,2*(1-2*$F$19-1/2)*D5397/1000,0)</f>
        <v>0</v>
      </c>
      <c r="S5410" t="str">
        <v>)</v>
      </c>
      <c r="T5410" t="str">
        <v>x</v>
      </c>
      <c r="U5410">
        <f>0.006165*F5410^2</f>
        <v>1.57824</v>
      </c>
      <c r="X5410" t="str">
        <v>x</v>
      </c>
      <c r="Y5410">
        <f>D5400</f>
        <v>1</v>
      </c>
      <c r="Z5410" t="str">
        <v>=</v>
      </c>
      <c r="AA5410">
        <f>IF(AA5412=0,(D5410*N5410+P5410*R5410)*U5410*Y5410,0)</f>
        <v>0</v>
      </c>
    </row>
    <row r="5411">
      <c r="A5411" t="str">
        <f>A5394</f>
        <v>Lantai 1</v>
      </c>
      <c r="B5411">
        <f>B5394</f>
        <v>83</v>
      </c>
      <c r="C5411" t="str">
        <v>Tul Bawah Tumpuan</v>
      </c>
      <c r="D5411">
        <f>VLOOKUP(D5394,'Detail Balok'!$C$10:$AU$110,28,FALSE)</f>
        <v>3</v>
      </c>
      <c r="E5411" t="str">
        <v>D</v>
      </c>
      <c r="F5411">
        <f>VLOOKUP(D5394,'Detail Balok'!$C$10:$AU$110,30,FALSE)</f>
        <v>16</v>
      </c>
      <c r="I5411" t="str">
        <v>(</v>
      </c>
      <c r="J5411">
        <f>+J5403</f>
        <v>1.67125</v>
      </c>
      <c r="K5411" t="str">
        <v>+</v>
      </c>
      <c r="L5411">
        <f>MAX(VLOOKUP(F5411,N$6:P$15,3,FALSE)/1000,2/3*D5399/1000)+F$16*F5411/1000</f>
        <v>0.192</v>
      </c>
      <c r="M5411" t="str">
        <v>=</v>
      </c>
      <c r="N5411">
        <f>J5411+L5411</f>
        <v>1.8632499999999999</v>
      </c>
      <c r="O5411" t="str">
        <v>+</v>
      </c>
      <c r="P5411">
        <f>D5411-D5410</f>
        <v>0</v>
      </c>
      <c r="Q5411" t="str">
        <v>x</v>
      </c>
      <c r="R5411">
        <f>IF(P5411&gt;0,$F$18*F5411/1000,0)</f>
        <v>0</v>
      </c>
      <c r="S5411" t="str">
        <v>)</v>
      </c>
      <c r="T5411" t="str">
        <v>x</v>
      </c>
      <c r="U5411">
        <f>0.006165*F5411^2</f>
        <v>1.57824</v>
      </c>
      <c r="X5411" t="str">
        <v>x</v>
      </c>
      <c r="Y5411">
        <f>D5400</f>
        <v>1</v>
      </c>
      <c r="Z5411" t="str">
        <v>=</v>
      </c>
      <c r="AA5411">
        <f>IF(AA5412=0,(D5411*N5411+P5411*R5411)*U5411*Y5411,0)</f>
        <v>0</v>
      </c>
    </row>
    <row r="5412">
      <c r="A5412" t="str">
        <f>A5394</f>
        <v>Lantai 1</v>
      </c>
      <c r="B5412">
        <f>B5394</f>
        <v>83</v>
      </c>
      <c r="D5412">
        <f>IF(AND(D5409=D5410,D5410=D5411,D5409=D5411),D5409,0)</f>
        <v>3</v>
      </c>
      <c r="E5412" t="str">
        <v>D</v>
      </c>
      <c r="F5412">
        <f>IF(AND(F5409=F5410,F5409=F5411,F5410=F5411),F5409,0)</f>
        <v>16</v>
      </c>
      <c r="L5412" t="str">
        <v>Total panjang per balok</v>
      </c>
      <c r="M5412" t="str">
        <v>=</v>
      </c>
      <c r="N5412">
        <f>IF(AND(D5409=D5410,D5409=D5411,D5410=D5411,F5409=F5410,F5409=F5411,F5410=F5411),SUM(N5409:N5411),0)</f>
        <v>7.069</v>
      </c>
      <c r="O5412" t="str">
        <v>+</v>
      </c>
      <c r="P5412">
        <f>IF(N5412&gt;12,ROUNDDOWN(N5412/12,0),0)</f>
        <v>0</v>
      </c>
      <c r="Q5412" t="str">
        <v>x</v>
      </c>
      <c r="R5412">
        <f>IF(P5412&gt;0,MAX(VLOOKUP(F5412,$D$6:$G$15,3,FALSE),600),0)/1000</f>
        <v>0</v>
      </c>
      <c r="T5412" t="str">
        <v>x</v>
      </c>
      <c r="U5412">
        <f>U5411</f>
        <v>1.57824</v>
      </c>
      <c r="V5412" t="str">
        <v>x</v>
      </c>
      <c r="W5412">
        <f>D5412</f>
        <v>3</v>
      </c>
      <c r="X5412" t="str">
        <v>x</v>
      </c>
      <c r="Y5412">
        <f>Y5411</f>
        <v>1</v>
      </c>
      <c r="Z5412" t="str">
        <v>=</v>
      </c>
      <c r="AA5412">
        <f>(N5412+P5412*R5412/1000)*U5412*W5412*Y5412</f>
        <v>33.46973568</v>
      </c>
    </row>
    <row r="5414">
      <c r="A5414" t="str">
        <f>A5394</f>
        <v>Lantai 1</v>
      </c>
      <c r="B5414">
        <f>B5394</f>
        <v>83</v>
      </c>
      <c r="C5414" t="str">
        <v>Sengkang Tumpuan</v>
      </c>
      <c r="D5414">
        <f>VLOOKUP(D5394,'Detail Balok'!$C$10:$AU$110,31,FALSE)</f>
        <v>0</v>
      </c>
      <c r="E5414" t="str">
        <v>D</v>
      </c>
      <c r="F5414">
        <f>VLOOKUP(D5394,'Detail Balok'!$C$10:$AU$110,33,FALSE)</f>
        <v>10</v>
      </c>
      <c r="G5414" t="str">
        <v>-</v>
      </c>
      <c r="H5414">
        <f>VLOOKUP(D5394,'Detail Balok'!$C$10:$AU$110,35,FALSE)</f>
        <v>200</v>
      </c>
      <c r="J5414">
        <f>(IF(D5414=0,(2*(D5395+G5395))-(F$5*8),IF(D5414=3,(2*(D5395+G5395))-(F$5*8)+(G5395-2*F$5),IF(D5414=4,(2*(D5395+G5395))-(F$5*8)+2*(G5395-2*F$5)))))/1000</f>
        <v>1.28</v>
      </c>
      <c r="K5414" t="str">
        <v>+</v>
      </c>
      <c r="L5414">
        <f>IF(D5414=0,2*MAX(6*F5414,75),(D5414-1)*2*MAX(6*F5414,75))/1000</f>
        <v>0.15</v>
      </c>
      <c r="M5414" t="str">
        <v>=</v>
      </c>
      <c r="N5414">
        <f>J5414+L5414</f>
        <v>1.43</v>
      </c>
      <c r="T5414" t="str">
        <v>x</v>
      </c>
      <c r="U5414">
        <f>0.006165*F5414^2</f>
        <v>0.6165</v>
      </c>
      <c r="V5414" t="str">
        <v>x</v>
      </c>
      <c r="W5414">
        <f>IF(D5397&gt;4*G5395,ROUND(MAX(D5397/4,2*G5395)/H5414,0)+1,ROUND(D5397/H5414,0)+1)</f>
        <v>9</v>
      </c>
      <c r="X5414" t="str">
        <v>x</v>
      </c>
      <c r="Y5414">
        <f>D5400</f>
        <v>1</v>
      </c>
      <c r="Z5414" t="str">
        <v>=</v>
      </c>
      <c r="AA5414">
        <f>N5414*U5414*W5414*Y5414</f>
        <v>7.934355</v>
      </c>
    </row>
    <row r="5415">
      <c r="A5415" t="str">
        <f>A5394</f>
        <v>Lantai 1</v>
      </c>
      <c r="B5415">
        <f>B5394</f>
        <v>83</v>
      </c>
      <c r="C5415" t="str">
        <v>Sengkang Lapangan</v>
      </c>
      <c r="D5415">
        <f>VLOOKUP(D5394,'Detail Balok'!$C$10:$AU$110,36,FALSE)</f>
        <v>0</v>
      </c>
      <c r="E5415" t="str">
        <v>D</v>
      </c>
      <c r="F5415">
        <f>VLOOKUP(D5394,'Detail Balok'!$C$10:$AU$110,38,FALSE)</f>
        <v>10</v>
      </c>
      <c r="G5415" t="str">
        <v>-</v>
      </c>
      <c r="H5415">
        <f>VLOOKUP(D5394,'Detail Balok'!$C$10:$AU$110,40,FALSE)</f>
        <v>200</v>
      </c>
      <c r="J5415">
        <f>(IF(D5415=0,(2*(D5395+G5395))-(F$5*8),IF(D5415=3,(2*(D5395+G5395))-(F$5*8)+(G5395-2*F$5),IF(D5415=4,(2*(D5395+G5395))-(F$5*8)+2*(G5395-2*F$5)))))/1000</f>
        <v>1.28</v>
      </c>
      <c r="K5415" t="str">
        <v>+</v>
      </c>
      <c r="L5415">
        <f>IF(D5415=0,2*MAX(6*F5415,75),(D5415-1)*2*MAX(6*F5415,75))/1000</f>
        <v>0.15</v>
      </c>
      <c r="M5415" t="str">
        <v>=</v>
      </c>
      <c r="N5415">
        <f>J5415+L5415</f>
        <v>1.43</v>
      </c>
      <c r="T5415" t="str">
        <v>x</v>
      </c>
      <c r="U5415">
        <f>0.006165*F5415^2</f>
        <v>0.6165</v>
      </c>
      <c r="V5415" t="str">
        <v>x</v>
      </c>
      <c r="W5415">
        <f>IF(D5397-MAX(D5397/4,2*G5395)*2&gt;0,ROUND((D5397-MAX(D5397/4,2*G5395)*2)/H5415,0),0)</f>
        <v>17</v>
      </c>
      <c r="X5415" t="str">
        <v>x</v>
      </c>
      <c r="Y5415">
        <f>D5400</f>
        <v>1</v>
      </c>
      <c r="Z5415" t="str">
        <v>=</v>
      </c>
      <c r="AA5415">
        <f>N5415*U5415*W5415*Y5415</f>
        <v>14.987115000000001</v>
      </c>
    </row>
    <row r="5416">
      <c r="A5416" t="str">
        <f>A5394</f>
        <v>Lantai 1</v>
      </c>
      <c r="B5416">
        <f>B5394</f>
        <v>83</v>
      </c>
      <c r="C5416" t="str">
        <v>Sengkang Tumpuan</v>
      </c>
      <c r="D5416">
        <f>VLOOKUP(D5394,'Detail Balok'!$C$10:$AU$110,41,FALSE)</f>
        <v>0</v>
      </c>
      <c r="E5416" t="str">
        <v>D</v>
      </c>
      <c r="F5416">
        <f>VLOOKUP(D5394,'Detail Balok'!$C$10:$AU$110,43,FALSE)</f>
        <v>10</v>
      </c>
      <c r="G5416" t="str">
        <v>-</v>
      </c>
      <c r="H5416">
        <f>VLOOKUP(D5394,'Detail Balok'!$C$10:$AU$110,45,FALSE)</f>
        <v>200</v>
      </c>
      <c r="J5416">
        <f>(IF(D5416=0,(2*(D5395+G5395))-(F$5*8),IF(D5416=3,(2*(D5395+G5395))-(F$5*8)+(G5395-2*F$5),IF(D5416=4,(2*(D5395+G5395))-(F$5*8)+2*(G5395-2*F$5)))))/1000</f>
        <v>1.28</v>
      </c>
      <c r="K5416" t="str">
        <v>+</v>
      </c>
      <c r="L5416">
        <f>IF(D5416=0,2*MAX(6*F5416,75),(D5416-1)*2*MAX(6*F5416,75))/1000</f>
        <v>0.15</v>
      </c>
      <c r="M5416" t="str">
        <v>=</v>
      </c>
      <c r="N5416">
        <f>J5416+L5416</f>
        <v>1.43</v>
      </c>
      <c r="T5416" t="str">
        <v>x</v>
      </c>
      <c r="U5416">
        <f>0.006165*F5416^2</f>
        <v>0.6165</v>
      </c>
      <c r="V5416" t="str">
        <v>x</v>
      </c>
      <c r="W5416">
        <f>IF(D5397&gt;4*G5395,ROUND(MAX(D5397/4,2*G5395)/H5416,0)+1,0)</f>
        <v>9</v>
      </c>
      <c r="X5416" t="str">
        <v>x</v>
      </c>
      <c r="Y5416">
        <f>D5400</f>
        <v>1</v>
      </c>
      <c r="Z5416" t="str">
        <v>=</v>
      </c>
      <c r="AA5416">
        <f>N5416*U5416*W5416*Y5416</f>
        <v>7.934355</v>
      </c>
    </row>
    <row r="5418">
      <c r="A5418" t="str">
        <f>A5394</f>
        <v>Lantai 1</v>
      </c>
      <c r="B5418">
        <f>B5394</f>
        <v>83</v>
      </c>
      <c r="C5418" t="str">
        <v>Kait Horizontal Tump.</v>
      </c>
      <c r="D5418">
        <f>VLOOKUP(D5394,'Detail Balok'!$C$10:$BJ$110,46,FALSE)</f>
        <v>0</v>
      </c>
      <c r="E5418" t="str">
        <v>D</v>
      </c>
      <c r="F5418">
        <f>VLOOKUP(D5394,'Detail Balok'!$C$10:$BJ$110,48,FALSE)</f>
        <v>0</v>
      </c>
      <c r="G5418" t="str">
        <v>-</v>
      </c>
      <c r="H5418">
        <f>VLOOKUP(D5394,'Detail Balok'!$C$10:$BJ$110,50,FALSE)</f>
        <v>100</v>
      </c>
      <c r="J5418">
        <f>(D5395-2*F$5)/1000</f>
        <v>0.22</v>
      </c>
      <c r="K5418" t="str">
        <v>+</v>
      </c>
      <c r="L5418">
        <f>IF(D5418=0,2*MAX(6*F5418,75),(D5418-1)*2*MAX(6*F5418,75))/1000</f>
        <v>0.15</v>
      </c>
      <c r="M5418" t="str">
        <v>=</v>
      </c>
      <c r="N5418">
        <f>J5418+L5418</f>
        <v>0.37</v>
      </c>
      <c r="T5418" t="str">
        <v>x</v>
      </c>
      <c r="U5418">
        <f>0.006165*F5418^2</f>
        <v>0</v>
      </c>
      <c r="V5418" t="str">
        <v>x</v>
      </c>
      <c r="W5418">
        <f>W5414</f>
        <v>9</v>
      </c>
      <c r="X5418" t="str">
        <v>x</v>
      </c>
      <c r="Y5418">
        <f>D5404</f>
        <v>4</v>
      </c>
      <c r="Z5418" t="str">
        <v>=</v>
      </c>
      <c r="AA5418">
        <f>N5418*U5418*W5418*Y5418</f>
        <v>0</v>
      </c>
    </row>
    <row r="5419">
      <c r="A5419" t="str">
        <f>A5394</f>
        <v>Lantai 1</v>
      </c>
      <c r="B5419">
        <f>B5394</f>
        <v>83</v>
      </c>
      <c r="C5419" t="str">
        <v>Kait Horizontal Lap.</v>
      </c>
      <c r="D5419">
        <f>VLOOKUP(D5394,'Detail Balok'!$C$10:$BJ$110,51,FALSE)</f>
        <v>0</v>
      </c>
      <c r="E5419" t="str">
        <v>D</v>
      </c>
      <c r="F5419">
        <f>VLOOKUP(D5394,'Detail Balok'!$C$10:$BJ$110,53,FALSE)</f>
        <v>0</v>
      </c>
      <c r="G5419" t="str">
        <v>-</v>
      </c>
      <c r="H5419">
        <f>VLOOKUP(D5394,'Detail Balok'!$C$10:$BJ$110,55,FALSE)</f>
        <v>100</v>
      </c>
      <c r="J5419">
        <f>(D5395-2*F$5)/1000</f>
        <v>0.22</v>
      </c>
      <c r="K5419" t="str">
        <v>+</v>
      </c>
      <c r="L5419">
        <f>IF(D5419=0,2*MAX(6*F5419,75),(D5419-1)*2*MAX(6*F5419,75))/1000</f>
        <v>0.15</v>
      </c>
      <c r="M5419" t="str">
        <v>=</v>
      </c>
      <c r="N5419">
        <f>J5419+L5419</f>
        <v>0.37</v>
      </c>
      <c r="T5419" t="str">
        <v>x</v>
      </c>
      <c r="U5419">
        <f>0.006165*F5419^2</f>
        <v>0</v>
      </c>
      <c r="V5419" t="str">
        <v>x</v>
      </c>
      <c r="W5419">
        <f>W5415</f>
        <v>17</v>
      </c>
      <c r="X5419" t="str">
        <v>x</v>
      </c>
      <c r="Y5419">
        <f>D5404</f>
        <v>4</v>
      </c>
      <c r="Z5419" t="str">
        <v>=</v>
      </c>
      <c r="AA5419">
        <f>N5419*U5419*W5419*Y5419</f>
        <v>0</v>
      </c>
    </row>
    <row r="5420">
      <c r="A5420" t="str">
        <f>A5394</f>
        <v>Lantai 1</v>
      </c>
      <c r="B5420">
        <f>B5394</f>
        <v>83</v>
      </c>
      <c r="C5420" t="str">
        <v>Kait Horizontal Tump.</v>
      </c>
      <c r="D5420">
        <f>VLOOKUP(D5394,'Detail Balok'!$C$10:$BJ$110,56,FALSE)</f>
        <v>0</v>
      </c>
      <c r="E5420" t="str">
        <v>D</v>
      </c>
      <c r="F5420">
        <f>VLOOKUP(D5394,'Detail Balok'!$C$10:$BJ$110,58,FALSE)</f>
        <v>0</v>
      </c>
      <c r="G5420" t="str">
        <v>-</v>
      </c>
      <c r="H5420">
        <f>VLOOKUP(D5394,'Detail Balok'!$C$10:$BJ$110,60,FALSE)</f>
        <v>100</v>
      </c>
      <c r="J5420">
        <f>(D5395-2*F$5)/1000</f>
        <v>0.22</v>
      </c>
      <c r="K5420" t="str">
        <v>+</v>
      </c>
      <c r="L5420">
        <f>IF(D5420=0,2*MAX(6*F5420,75),(D5420-1)*2*MAX(6*F5420,75))/1000</f>
        <v>0.15</v>
      </c>
      <c r="M5420" t="str">
        <v>=</v>
      </c>
      <c r="N5420">
        <f>J5420+L5420</f>
        <v>0.37</v>
      </c>
      <c r="T5420" t="str">
        <v>x</v>
      </c>
      <c r="U5420">
        <f>0.006165*F5420^2</f>
        <v>0</v>
      </c>
      <c r="V5420" t="str">
        <v>x</v>
      </c>
      <c r="W5420">
        <f>W5416</f>
        <v>9</v>
      </c>
      <c r="X5420" t="str">
        <v>x</v>
      </c>
      <c r="Y5420">
        <f>D5404</f>
        <v>4</v>
      </c>
      <c r="Z5420" t="str">
        <v>=</v>
      </c>
      <c r="AA5420">
        <f>N5420*U5420*W5420*Y5420</f>
        <v>0</v>
      </c>
    </row>
    <row r="5424">
      <c r="A5424" t="str">
        <f>A5394</f>
        <v>Lantai 1</v>
      </c>
      <c r="B5424">
        <f>B5394+1</f>
        <v>84</v>
      </c>
      <c r="C5424" t="str">
        <f>CONCATENATE(A5424," no. ",B5424)</f>
        <v>Lantai 1 no. 84</v>
      </c>
      <c r="D5424" t="str">
        <f>VLOOKUP(C5424,'Data Panjang Balok'!$C$9:$N$424,2,FALSE)</f>
        <v>B245-3</v>
      </c>
    </row>
    <row r="5425">
      <c r="C5425" t="str">
        <v>Dimensi</v>
      </c>
      <c r="D5425">
        <f>VLOOKUP(D5424,'Detail Balok'!$C$10:$AU$110,2,FALSE)</f>
        <v>200</v>
      </c>
      <c r="F5425" t="str">
        <v>x</v>
      </c>
      <c r="G5425">
        <f>VLOOKUP(D5424,'Detail Balok'!$C$10:$AU$110,3,FALSE)</f>
        <v>450</v>
      </c>
    </row>
    <row r="5426">
      <c r="C5426" t="str">
        <v>Panjang as ke as</v>
      </c>
      <c r="D5426">
        <f>VLOOKUP(C5424,'Data Panjang Balok'!$C$9:$N$424,4,FALSE)</f>
        <v>4600</v>
      </c>
    </row>
    <row r="5427">
      <c r="C5427" t="str">
        <v>Panjang netto</v>
      </c>
      <c r="D5427">
        <f>VLOOKUP(C5424,'Data Panjang Balok'!$C$9:$N$424,7,FALSE)</f>
        <v>4600</v>
      </c>
    </row>
    <row r="5428">
      <c r="C5428" t="str">
        <v>Kolom / balok kiri</v>
      </c>
      <c r="D5428">
        <f>VLOOKUP(C5424,'Data Panjang Balok'!$C$9:$N$424,9,FALSE)</f>
        <v>0</v>
      </c>
    </row>
    <row r="5429">
      <c r="C5429" t="str">
        <v>Kolom / balok kanan</v>
      </c>
      <c r="D5429">
        <f>VLOOKUP(C5424,'Data Panjang Balok'!$C$9:$N$424,10,FALSE)</f>
        <v>0</v>
      </c>
    </row>
    <row r="5430">
      <c r="C5430" t="str">
        <v>Jumlah</v>
      </c>
      <c r="D5430">
        <f>VLOOKUP(C5424,'Data Panjang Balok'!$C$9:$N$424,3,FALSE)</f>
        <v>1</v>
      </c>
    </row>
    <row r="5431">
      <c r="A5431" t="str">
        <f>A5424</f>
        <v>Lantai 1</v>
      </c>
      <c r="B5431">
        <f>B5424</f>
        <v>84</v>
      </c>
      <c r="C5431" t="str">
        <v>Tul Atas Tumpuan</v>
      </c>
      <c r="D5431">
        <f>VLOOKUP(D5424,'Detail Balok'!$C$10:$AU$110,4,FALSE)</f>
        <v>2</v>
      </c>
      <c r="E5431" t="str">
        <v>D</v>
      </c>
      <c r="F5431">
        <f>VLOOKUP(D5424,'Detail Balok'!$C$10:$AU$110,6,FALSE)</f>
        <v>16</v>
      </c>
      <c r="I5431" t="str">
        <v>(</v>
      </c>
      <c r="J5431">
        <f>+D5426/4/1000</f>
        <v>1.15</v>
      </c>
      <c r="K5431" t="str">
        <v>+</v>
      </c>
      <c r="L5431">
        <f>MAX(VLOOKUP(F5431,N$6:P$15,3,FALSE)/1000,2/3*D5428/1000)+F$16*F5431/1000</f>
        <v>0.192</v>
      </c>
      <c r="M5431" t="str">
        <v>=</v>
      </c>
      <c r="N5431">
        <f>J5431+L5431</f>
        <v>1.3419999999999999</v>
      </c>
      <c r="O5431" t="str">
        <v>+</v>
      </c>
      <c r="P5431">
        <f>D5431-D5432</f>
        <v>0</v>
      </c>
      <c r="Q5431" t="str">
        <v>x</v>
      </c>
      <c r="R5431">
        <f>IF(P5431&gt;0,$F$18*F5431/1000,0)</f>
        <v>0</v>
      </c>
      <c r="S5431" t="str">
        <v>)</v>
      </c>
      <c r="T5431" t="str">
        <v>x</v>
      </c>
      <c r="U5431">
        <f>0.006165*F5431^2</f>
        <v>1.57824</v>
      </c>
      <c r="X5431" t="str">
        <v>x</v>
      </c>
      <c r="Y5431">
        <f>D5430</f>
        <v>1</v>
      </c>
      <c r="Z5431" t="str">
        <v>=</v>
      </c>
      <c r="AA5431">
        <f>IF(AA5434=0,(D5431*N5431+P5431*R5431)*U5431*Y5431,0)</f>
        <v>0</v>
      </c>
    </row>
    <row r="5432">
      <c r="A5432" t="str">
        <f>A5424</f>
        <v>Lantai 1</v>
      </c>
      <c r="B5432">
        <f>B5424</f>
        <v>84</v>
      </c>
      <c r="C5432" t="str">
        <v>Tul Atas Lapangan</v>
      </c>
      <c r="D5432">
        <f>VLOOKUP(D5424,'Detail Balok'!$C$10:$AU$110,7,FALSE)</f>
        <v>2</v>
      </c>
      <c r="E5432" t="str">
        <v>D</v>
      </c>
      <c r="F5432">
        <f>VLOOKUP(D5424,'Detail Balok'!$C$10:$AU$110,9,FALSE)</f>
        <v>16</v>
      </c>
      <c r="I5432" t="str">
        <v>(</v>
      </c>
      <c r="J5432">
        <f>+D5426/2/1000</f>
        <v>2.3</v>
      </c>
      <c r="K5432" t="str">
        <v>+</v>
      </c>
      <c r="M5432" t="str">
        <v>=</v>
      </c>
      <c r="N5432">
        <f>J5432+L5432</f>
        <v>2.3</v>
      </c>
      <c r="O5432" t="str">
        <v>+</v>
      </c>
      <c r="P5432">
        <f>MAX(D5432-D5431,D5432-D5433)</f>
        <v>0</v>
      </c>
      <c r="Q5432" t="str">
        <v>x</v>
      </c>
      <c r="R5432">
        <f>IF(P5432&gt;0,2*(1-2*$F$19-1/2)*D5427/1000,0)</f>
        <v>0</v>
      </c>
      <c r="S5432" t="str">
        <v>)</v>
      </c>
      <c r="T5432" t="str">
        <v>x</v>
      </c>
      <c r="U5432">
        <f>0.006165*F5432^2</f>
        <v>1.57824</v>
      </c>
      <c r="X5432" t="str">
        <v>x</v>
      </c>
      <c r="Y5432">
        <f>D5430</f>
        <v>1</v>
      </c>
      <c r="Z5432" t="str">
        <v>=</v>
      </c>
      <c r="AA5432">
        <f>IF(AA5434=0,(D5432*N5432+P5432*R5432)*U5432*Y5432,0)</f>
        <v>0</v>
      </c>
    </row>
    <row r="5433">
      <c r="A5433" t="str">
        <f>A5424</f>
        <v>Lantai 1</v>
      </c>
      <c r="B5433">
        <f>B5424</f>
        <v>84</v>
      </c>
      <c r="C5433" t="str">
        <v>Tul Atas Tumpuan</v>
      </c>
      <c r="D5433">
        <f>VLOOKUP(D5424,'Detail Balok'!$C$10:$AU$110,10,FALSE)</f>
        <v>2</v>
      </c>
      <c r="E5433" t="str">
        <v>D</v>
      </c>
      <c r="F5433">
        <f>VLOOKUP(D5424,'Detail Balok'!$C$10:$AU$110,12,FALSE)</f>
        <v>16</v>
      </c>
      <c r="I5433" t="str">
        <v>(</v>
      </c>
      <c r="J5433">
        <f>+D5426/4/1000</f>
        <v>1.15</v>
      </c>
      <c r="K5433" t="str">
        <v>+</v>
      </c>
      <c r="L5433">
        <f>MAX(VLOOKUP(F5433,N$6:P$15,3,FALSE)/1000,2/3*D5428/1000)+F$16*F5433/1000</f>
        <v>0.192</v>
      </c>
      <c r="M5433" t="str">
        <v>=</v>
      </c>
      <c r="N5433">
        <f>J5433+L5433</f>
        <v>1.3419999999999999</v>
      </c>
      <c r="O5433" t="str">
        <v>+</v>
      </c>
      <c r="P5433">
        <f>D5433-D5432</f>
        <v>0</v>
      </c>
      <c r="Q5433" t="str">
        <v>x</v>
      </c>
      <c r="R5433">
        <f>IF(P5433&gt;0,$F$18*F5433/1000,0)</f>
        <v>0</v>
      </c>
      <c r="S5433" t="str">
        <v>)</v>
      </c>
      <c r="T5433" t="str">
        <v>x</v>
      </c>
      <c r="U5433">
        <f>0.006165*F5433^2</f>
        <v>1.57824</v>
      </c>
      <c r="X5433" t="str">
        <v>x</v>
      </c>
      <c r="Y5433">
        <f>D5430</f>
        <v>1</v>
      </c>
      <c r="Z5433" t="str">
        <v>=</v>
      </c>
      <c r="AA5433">
        <f>IF(AA5434=0,(D5433*N5433+P5433*R5433)*U5433*Y5433,0)</f>
        <v>0</v>
      </c>
    </row>
    <row r="5434">
      <c r="A5434" t="str">
        <f>A5424</f>
        <v>Lantai 1</v>
      </c>
      <c r="B5434">
        <f>B5424</f>
        <v>84</v>
      </c>
      <c r="D5434">
        <f>IF(AND(D5431=D5432,D5432=D5433,D5431=D5433),D5431,0)</f>
        <v>2</v>
      </c>
      <c r="E5434" t="str">
        <v>D</v>
      </c>
      <c r="F5434">
        <f>IF(AND(F5431=F5432,F5431=F5433,F5432=F5433),F5431,0)</f>
        <v>16</v>
      </c>
      <c r="L5434" t="str">
        <v>Total panjang per balok</v>
      </c>
      <c r="M5434" t="str">
        <v>=</v>
      </c>
      <c r="N5434">
        <f>IF(AND(D5431=D5432,D5431=D5433,D5432=D5433,F5431=F5432,F5431=F5433,F5432=F5433),SUM(N5431:N5433),0)</f>
        <v>4.983999999999999</v>
      </c>
      <c r="O5434" t="str">
        <v>+</v>
      </c>
      <c r="P5434">
        <f>IF(N5434&gt;12,ROUNDDOWN(N5434/12,0),0)</f>
        <v>0</v>
      </c>
      <c r="Q5434" t="str">
        <v>x</v>
      </c>
      <c r="R5434">
        <f>IF(P5434&gt;0,MAX(VLOOKUP(F5434,$D$6:$G$15,3,FALSE),600),0)/1000</f>
        <v>0</v>
      </c>
      <c r="T5434" t="str">
        <v>x</v>
      </c>
      <c r="U5434">
        <f>U5433</f>
        <v>1.57824</v>
      </c>
      <c r="V5434" t="str">
        <v>x</v>
      </c>
      <c r="W5434">
        <f>D5434</f>
        <v>2</v>
      </c>
      <c r="X5434" t="str">
        <v>x</v>
      </c>
      <c r="Y5434">
        <f>Y5433</f>
        <v>1</v>
      </c>
      <c r="Z5434" t="str">
        <v>=</v>
      </c>
      <c r="AA5434">
        <f>(N5434+P5434*R5434/1000)*U5434*W5434*Y5434</f>
        <v>15.731896319999999</v>
      </c>
    </row>
    <row r="5436">
      <c r="A5436" t="str">
        <f>A5424</f>
        <v>Lantai 1</v>
      </c>
      <c r="B5436">
        <f>B5424</f>
        <v>84</v>
      </c>
      <c r="C5436" t="str">
        <v>Tul Peminggang</v>
      </c>
      <c r="D5436">
        <f>VLOOKUP(D5424,'Detail Balok'!$C$10:$AU$110,13,FALSE)</f>
        <v>2</v>
      </c>
      <c r="E5436" t="str">
        <v>D</v>
      </c>
      <c r="F5436">
        <f>VLOOKUP(D5424,'Detail Balok'!$C$10:$AU$110,15,FALSE)</f>
        <v>10</v>
      </c>
      <c r="J5436">
        <f>+D5426/1000</f>
        <v>4.6</v>
      </c>
      <c r="K5436" t="str">
        <v>+</v>
      </c>
      <c r="L5436">
        <f>2*$F$16*F5436/1000</f>
        <v>0.24</v>
      </c>
      <c r="M5436" t="str">
        <v>=</v>
      </c>
      <c r="N5436">
        <f>J5436+L5436</f>
        <v>4.84</v>
      </c>
      <c r="O5436" t="str">
        <v>+</v>
      </c>
      <c r="P5436">
        <f>IF(N5436&gt;12,ROUNDDOWN(N5436/12,0),0)</f>
        <v>0</v>
      </c>
      <c r="Q5436" t="str">
        <v>x</v>
      </c>
      <c r="R5436">
        <f>IF(P5436&gt;0,MAX(VLOOKUP(F5436,$D$6:$G$15,3,FALSE),600),0)/1000</f>
        <v>0</v>
      </c>
      <c r="T5436" t="str">
        <v>x</v>
      </c>
      <c r="U5436">
        <f>0.006165*F5436^2</f>
        <v>0.6165</v>
      </c>
      <c r="V5436" t="str">
        <v>x</v>
      </c>
      <c r="W5436">
        <f>+D5436</f>
        <v>2</v>
      </c>
      <c r="X5436" t="str">
        <v>x</v>
      </c>
      <c r="Y5436">
        <f>D5430</f>
        <v>1</v>
      </c>
      <c r="Z5436" t="str">
        <v>=</v>
      </c>
      <c r="AA5436">
        <f>(N5436+P5436*R5436/1000)*U5436*W5436*Y5436</f>
        <v>5.96772</v>
      </c>
    </row>
    <row r="5439">
      <c r="A5439" t="str">
        <f>A5424</f>
        <v>Lantai 1</v>
      </c>
      <c r="B5439">
        <f>B5424</f>
        <v>84</v>
      </c>
      <c r="C5439" t="str">
        <v>Tul Bawah Tumpuan</v>
      </c>
      <c r="D5439">
        <f>VLOOKUP(D5424,'Detail Balok'!$C$10:$AU$110,22,FALSE)</f>
        <v>2</v>
      </c>
      <c r="E5439" t="str">
        <v>D</v>
      </c>
      <c r="F5439">
        <f>VLOOKUP(D5424,'Detail Balok'!$C$10:$AU$110,24,FALSE)</f>
        <v>16</v>
      </c>
      <c r="I5439" t="str">
        <v>(</v>
      </c>
      <c r="J5439">
        <f>+J5431</f>
        <v>1.15</v>
      </c>
      <c r="K5439" t="str">
        <v>+</v>
      </c>
      <c r="L5439">
        <f>MAX(VLOOKUP(F5439,N$6:P$15,3,FALSE)/1000,2/3*D5429/1000)+F$16*F5439/1000</f>
        <v>0.192</v>
      </c>
      <c r="M5439" t="str">
        <v>=</v>
      </c>
      <c r="N5439">
        <f>J5439+L5439</f>
        <v>1.3419999999999999</v>
      </c>
      <c r="O5439" t="str">
        <v>+</v>
      </c>
      <c r="P5439">
        <f>D5439-D5440</f>
        <v>0</v>
      </c>
      <c r="Q5439" t="str">
        <v>x</v>
      </c>
      <c r="R5439">
        <f>IF(P5439&gt;0,$F$18*F5439/1000,0)</f>
        <v>0</v>
      </c>
      <c r="S5439" t="str">
        <v>)</v>
      </c>
      <c r="T5439" t="str">
        <v>x</v>
      </c>
      <c r="U5439">
        <f>0.006165*F5439^2</f>
        <v>1.57824</v>
      </c>
      <c r="X5439" t="str">
        <v>x</v>
      </c>
      <c r="Y5439">
        <f>D5430</f>
        <v>1</v>
      </c>
      <c r="Z5439" t="str">
        <v>=</v>
      </c>
      <c r="AA5439">
        <f>IF(AA5442=0,(D5439*N5439+P5439*R5439)*U5439*Y5439,0)</f>
        <v>0</v>
      </c>
    </row>
    <row r="5440">
      <c r="A5440" t="str">
        <f>A5424</f>
        <v>Lantai 1</v>
      </c>
      <c r="B5440">
        <f>B5424</f>
        <v>84</v>
      </c>
      <c r="C5440" t="str">
        <v>Tul Bawah Lapangan</v>
      </c>
      <c r="D5440">
        <f>VLOOKUP(D5424,'Detail Balok'!$C$10:$AU$110,25,FALSE)</f>
        <v>2</v>
      </c>
      <c r="E5440" t="str">
        <v>D</v>
      </c>
      <c r="F5440">
        <f>VLOOKUP(D5424,'Detail Balok'!$C$10:$AU$110,27,FALSE)</f>
        <v>16</v>
      </c>
      <c r="I5440" t="str">
        <v>(</v>
      </c>
      <c r="J5440">
        <f>+J5432</f>
        <v>2.3</v>
      </c>
      <c r="K5440" t="str">
        <v>+</v>
      </c>
      <c r="M5440" t="str">
        <v>=</v>
      </c>
      <c r="N5440">
        <f>J5440+L5440</f>
        <v>2.3</v>
      </c>
      <c r="O5440" t="str">
        <v>+</v>
      </c>
      <c r="P5440">
        <f>MAX(D5440-D5439,D5440-D5441)</f>
        <v>0</v>
      </c>
      <c r="Q5440" t="str">
        <v>x</v>
      </c>
      <c r="R5440">
        <f>IF(P5440&gt;0,2*(1-2*$F$19-1/2)*D5427/1000,0)</f>
        <v>0</v>
      </c>
      <c r="S5440" t="str">
        <v>)</v>
      </c>
      <c r="T5440" t="str">
        <v>x</v>
      </c>
      <c r="U5440">
        <f>0.006165*F5440^2</f>
        <v>1.57824</v>
      </c>
      <c r="X5440" t="str">
        <v>x</v>
      </c>
      <c r="Y5440">
        <f>D5430</f>
        <v>1</v>
      </c>
      <c r="Z5440" t="str">
        <v>=</v>
      </c>
      <c r="AA5440">
        <f>IF(AA5442=0,(D5440*N5440+P5440*R5440)*U5440*Y5440,0)</f>
        <v>0</v>
      </c>
    </row>
    <row r="5441">
      <c r="A5441" t="str">
        <f>A5424</f>
        <v>Lantai 1</v>
      </c>
      <c r="B5441">
        <f>B5424</f>
        <v>84</v>
      </c>
      <c r="C5441" t="str">
        <v>Tul Bawah Tumpuan</v>
      </c>
      <c r="D5441">
        <f>VLOOKUP(D5424,'Detail Balok'!$C$10:$AU$110,28,FALSE)</f>
        <v>2</v>
      </c>
      <c r="E5441" t="str">
        <v>D</v>
      </c>
      <c r="F5441">
        <f>VLOOKUP(D5424,'Detail Balok'!$C$10:$AU$110,30,FALSE)</f>
        <v>16</v>
      </c>
      <c r="I5441" t="str">
        <v>(</v>
      </c>
      <c r="J5441">
        <f>+J5433</f>
        <v>1.15</v>
      </c>
      <c r="K5441" t="str">
        <v>+</v>
      </c>
      <c r="L5441">
        <f>MAX(VLOOKUP(F5441,N$6:P$15,3,FALSE)/1000,2/3*D5429/1000)+F$16*F5441/1000</f>
        <v>0.192</v>
      </c>
      <c r="M5441" t="str">
        <v>=</v>
      </c>
      <c r="N5441">
        <f>J5441+L5441</f>
        <v>1.3419999999999999</v>
      </c>
      <c r="O5441" t="str">
        <v>+</v>
      </c>
      <c r="P5441">
        <f>D5441-D5440</f>
        <v>0</v>
      </c>
      <c r="Q5441" t="str">
        <v>x</v>
      </c>
      <c r="R5441">
        <f>IF(P5441&gt;0,$F$18*F5441/1000,0)</f>
        <v>0</v>
      </c>
      <c r="S5441" t="str">
        <v>)</v>
      </c>
      <c r="T5441" t="str">
        <v>x</v>
      </c>
      <c r="U5441">
        <f>0.006165*F5441^2</f>
        <v>1.57824</v>
      </c>
      <c r="X5441" t="str">
        <v>x</v>
      </c>
      <c r="Y5441">
        <f>D5430</f>
        <v>1</v>
      </c>
      <c r="Z5441" t="str">
        <v>=</v>
      </c>
      <c r="AA5441">
        <f>IF(AA5442=0,(D5441*N5441+P5441*R5441)*U5441*Y5441,0)</f>
        <v>0</v>
      </c>
    </row>
    <row r="5442">
      <c r="A5442" t="str">
        <f>A5424</f>
        <v>Lantai 1</v>
      </c>
      <c r="B5442">
        <f>B5424</f>
        <v>84</v>
      </c>
      <c r="D5442">
        <f>IF(AND(D5439=D5440,D5440=D5441,D5439=D5441),D5439,0)</f>
        <v>2</v>
      </c>
      <c r="E5442" t="str">
        <v>D</v>
      </c>
      <c r="F5442">
        <f>IF(AND(F5439=F5440,F5439=F5441,F5440=F5441),F5439,0)</f>
        <v>16</v>
      </c>
      <c r="L5442" t="str">
        <v>Total panjang per balok</v>
      </c>
      <c r="M5442" t="str">
        <v>=</v>
      </c>
      <c r="N5442">
        <f>IF(AND(D5439=D5440,D5439=D5441,D5440=D5441,F5439=F5440,F5439=F5441,F5440=F5441),SUM(N5439:N5441),0)</f>
        <v>4.983999999999999</v>
      </c>
      <c r="O5442" t="str">
        <v>+</v>
      </c>
      <c r="P5442">
        <f>IF(N5442&gt;12,ROUNDDOWN(N5442/12,0),0)</f>
        <v>0</v>
      </c>
      <c r="Q5442" t="str">
        <v>x</v>
      </c>
      <c r="R5442">
        <f>IF(P5442&gt;0,MAX(VLOOKUP(F5442,$D$6:$G$15,3,FALSE),600),0)/1000</f>
        <v>0</v>
      </c>
      <c r="T5442" t="str">
        <v>x</v>
      </c>
      <c r="U5442">
        <f>U5441</f>
        <v>1.57824</v>
      </c>
      <c r="V5442" t="str">
        <v>x</v>
      </c>
      <c r="W5442">
        <f>D5442</f>
        <v>2</v>
      </c>
      <c r="X5442" t="str">
        <v>x</v>
      </c>
      <c r="Y5442">
        <f>Y5441</f>
        <v>1</v>
      </c>
      <c r="Z5442" t="str">
        <v>=</v>
      </c>
      <c r="AA5442">
        <f>(N5442+P5442*R5442/1000)*U5442*W5442*Y5442</f>
        <v>15.731896319999999</v>
      </c>
    </row>
    <row r="5444">
      <c r="A5444" t="str">
        <f>A5424</f>
        <v>Lantai 1</v>
      </c>
      <c r="B5444">
        <f>B5424</f>
        <v>84</v>
      </c>
      <c r="C5444" t="str">
        <v>Sengkang Tumpuan</v>
      </c>
      <c r="D5444">
        <f>VLOOKUP(D5424,'Detail Balok'!$C$10:$AU$110,31,FALSE)</f>
        <v>0</v>
      </c>
      <c r="E5444" t="str">
        <v>D</v>
      </c>
      <c r="F5444">
        <f>VLOOKUP(D5424,'Detail Balok'!$C$10:$AU$110,33,FALSE)</f>
        <v>10</v>
      </c>
      <c r="G5444" t="str">
        <v>-</v>
      </c>
      <c r="H5444">
        <f>VLOOKUP(D5424,'Detail Balok'!$C$10:$AU$110,35,FALSE)</f>
        <v>90</v>
      </c>
      <c r="J5444">
        <f>(IF(D5444=0,(2*(D5425+G5425))-(F$5*8),IF(D5444=3,(2*(D5425+G5425))-(F$5*8)+(G5425-2*F$5),IF(D5444=4,(2*(D5425+G5425))-(F$5*8)+2*(G5425-2*F$5)))))/1000</f>
        <v>0.98</v>
      </c>
      <c r="K5444" t="str">
        <v>+</v>
      </c>
      <c r="L5444">
        <f>IF(D5444=0,2*MAX(6*F5444,75),(D5444-1)*2*MAX(6*F5444,75))/1000</f>
        <v>0.15</v>
      </c>
      <c r="M5444" t="str">
        <v>=</v>
      </c>
      <c r="N5444">
        <f>J5444+L5444</f>
        <v>1.13</v>
      </c>
      <c r="T5444" t="str">
        <v>x</v>
      </c>
      <c r="U5444">
        <f>0.006165*F5444^2</f>
        <v>0.6165</v>
      </c>
      <c r="V5444" t="str">
        <v>x</v>
      </c>
      <c r="W5444">
        <f>IF(D5427&gt;4*G5425,ROUND(MAX(D5427/4,2*G5425)/H5444,0)+1,ROUND(D5427/H5444,0)+1)</f>
        <v>14</v>
      </c>
      <c r="X5444" t="str">
        <v>x</v>
      </c>
      <c r="Y5444">
        <f>D5430</f>
        <v>1</v>
      </c>
      <c r="Z5444" t="str">
        <v>=</v>
      </c>
      <c r="AA5444">
        <f>N5444*U5444*W5444*Y5444</f>
        <v>9.753029999999999</v>
      </c>
    </row>
    <row r="5445">
      <c r="A5445" t="str">
        <f>A5424</f>
        <v>Lantai 1</v>
      </c>
      <c r="B5445">
        <f>B5424</f>
        <v>84</v>
      </c>
      <c r="C5445" t="str">
        <v>Sengkang Lapangan</v>
      </c>
      <c r="D5445">
        <f>VLOOKUP(D5424,'Detail Balok'!$C$10:$AU$110,36,FALSE)</f>
        <v>0</v>
      </c>
      <c r="E5445" t="str">
        <v>D</v>
      </c>
      <c r="F5445">
        <f>VLOOKUP(D5424,'Detail Balok'!$C$10:$AU$110,38,FALSE)</f>
        <v>10</v>
      </c>
      <c r="G5445" t="str">
        <v>-</v>
      </c>
      <c r="H5445">
        <f>VLOOKUP(D5424,'Detail Balok'!$C$10:$AU$110,40,FALSE)</f>
        <v>175</v>
      </c>
      <c r="J5445">
        <f>(IF(D5445=0,(2*(D5425+G5425))-(F$5*8),IF(D5445=3,(2*(D5425+G5425))-(F$5*8)+(G5425-2*F$5),IF(D5445=4,(2*(D5425+G5425))-(F$5*8)+2*(G5425-2*F$5)))))/1000</f>
        <v>0.98</v>
      </c>
      <c r="K5445" t="str">
        <v>+</v>
      </c>
      <c r="L5445">
        <f>IF(D5445=0,2*MAX(6*F5445,75),(D5445-1)*2*MAX(6*F5445,75))/1000</f>
        <v>0.15</v>
      </c>
      <c r="M5445" t="str">
        <v>=</v>
      </c>
      <c r="N5445">
        <f>J5445+L5445</f>
        <v>1.13</v>
      </c>
      <c r="T5445" t="str">
        <v>x</v>
      </c>
      <c r="U5445">
        <f>0.006165*F5445^2</f>
        <v>0.6165</v>
      </c>
      <c r="V5445" t="str">
        <v>x</v>
      </c>
      <c r="W5445">
        <f>IF(D5427-MAX(D5427/4,2*G5425)*2&gt;0,ROUND((D5427-MAX(D5427/4,2*G5425)*2)/H5445,0),0)</f>
        <v>13</v>
      </c>
      <c r="X5445" t="str">
        <v>x</v>
      </c>
      <c r="Y5445">
        <f>D5430</f>
        <v>1</v>
      </c>
      <c r="Z5445" t="str">
        <v>=</v>
      </c>
      <c r="AA5445">
        <f>N5445*U5445*W5445*Y5445</f>
        <v>9.056384999999999</v>
      </c>
    </row>
    <row r="5446">
      <c r="A5446" t="str">
        <f>A5424</f>
        <v>Lantai 1</v>
      </c>
      <c r="B5446">
        <f>B5424</f>
        <v>84</v>
      </c>
      <c r="C5446" t="str">
        <v>Sengkang Tumpuan</v>
      </c>
      <c r="D5446">
        <f>VLOOKUP(D5424,'Detail Balok'!$C$10:$AU$110,41,FALSE)</f>
        <v>0</v>
      </c>
      <c r="E5446" t="str">
        <v>D</v>
      </c>
      <c r="F5446">
        <f>VLOOKUP(D5424,'Detail Balok'!$C$10:$AU$110,43,FALSE)</f>
        <v>10</v>
      </c>
      <c r="G5446" t="str">
        <v>-</v>
      </c>
      <c r="H5446">
        <f>VLOOKUP(D5424,'Detail Balok'!$C$10:$AU$110,45,FALSE)</f>
        <v>90</v>
      </c>
      <c r="J5446">
        <f>(IF(D5446=0,(2*(D5425+G5425))-(F$5*8),IF(D5446=3,(2*(D5425+G5425))-(F$5*8)+(G5425-2*F$5),IF(D5446=4,(2*(D5425+G5425))-(F$5*8)+2*(G5425-2*F$5)))))/1000</f>
        <v>0.98</v>
      </c>
      <c r="K5446" t="str">
        <v>+</v>
      </c>
      <c r="L5446">
        <f>IF(D5446=0,2*MAX(6*F5446,75),(D5446-1)*2*MAX(6*F5446,75))/1000</f>
        <v>0.15</v>
      </c>
      <c r="M5446" t="str">
        <v>=</v>
      </c>
      <c r="N5446">
        <f>J5446+L5446</f>
        <v>1.13</v>
      </c>
      <c r="T5446" t="str">
        <v>x</v>
      </c>
      <c r="U5446">
        <f>0.006165*F5446^2</f>
        <v>0.6165</v>
      </c>
      <c r="V5446" t="str">
        <v>x</v>
      </c>
      <c r="W5446">
        <f>IF(D5427&gt;4*G5425,ROUND(MAX(D5427/4,2*G5425)/H5446,0)+1,0)</f>
        <v>14</v>
      </c>
      <c r="X5446" t="str">
        <v>x</v>
      </c>
      <c r="Y5446">
        <f>D5430</f>
        <v>1</v>
      </c>
      <c r="Z5446" t="str">
        <v>=</v>
      </c>
      <c r="AA5446">
        <f>N5446*U5446*W5446*Y5446</f>
        <v>9.753029999999999</v>
      </c>
    </row>
    <row r="5448">
      <c r="A5448" t="str">
        <f>A5424</f>
        <v>Lantai 1</v>
      </c>
      <c r="B5448">
        <f>B5424</f>
        <v>84</v>
      </c>
      <c r="C5448" t="str">
        <v>Kait Horizontal Tump.</v>
      </c>
      <c r="D5448">
        <f>VLOOKUP(D5424,'Detail Balok'!$C$10:$BJ$110,46,FALSE)</f>
        <v>0</v>
      </c>
      <c r="E5448" t="str">
        <v>D</v>
      </c>
      <c r="F5448">
        <f>VLOOKUP(D5424,'Detail Balok'!$C$10:$BJ$110,48,FALSE)</f>
        <v>0</v>
      </c>
      <c r="G5448" t="str">
        <v>-</v>
      </c>
      <c r="H5448">
        <f>VLOOKUP(D5424,'Detail Balok'!$C$10:$BJ$110,50,FALSE)</f>
        <v>100</v>
      </c>
      <c r="J5448">
        <f>(D5425-2*F$5)/1000</f>
        <v>0.12</v>
      </c>
      <c r="K5448" t="str">
        <v>+</v>
      </c>
      <c r="L5448">
        <f>IF(D5448=0,2*MAX(6*F5448,75),(D5448-1)*2*MAX(6*F5448,75))/1000</f>
        <v>0.15</v>
      </c>
      <c r="M5448" t="str">
        <v>=</v>
      </c>
      <c r="N5448">
        <f>J5448+L5448</f>
        <v>0.27</v>
      </c>
      <c r="T5448" t="str">
        <v>x</v>
      </c>
      <c r="U5448">
        <f>0.006165*F5448^2</f>
        <v>0</v>
      </c>
      <c r="V5448" t="str">
        <v>x</v>
      </c>
      <c r="W5448">
        <f>W5444</f>
        <v>14</v>
      </c>
      <c r="X5448" t="str">
        <v>x</v>
      </c>
      <c r="Y5448">
        <f>D5434</f>
        <v>2</v>
      </c>
      <c r="Z5448" t="str">
        <v>=</v>
      </c>
      <c r="AA5448">
        <f>N5448*U5448*W5448*Y5448</f>
        <v>0</v>
      </c>
    </row>
    <row r="5449">
      <c r="A5449" t="str">
        <f>A5424</f>
        <v>Lantai 1</v>
      </c>
      <c r="B5449">
        <f>B5424</f>
        <v>84</v>
      </c>
      <c r="C5449" t="str">
        <v>Kait Horizontal Lap.</v>
      </c>
      <c r="D5449">
        <f>VLOOKUP(D5424,'Detail Balok'!$C$10:$BJ$110,51,FALSE)</f>
        <v>0</v>
      </c>
      <c r="E5449" t="str">
        <v>D</v>
      </c>
      <c r="F5449">
        <f>VLOOKUP(D5424,'Detail Balok'!$C$10:$BJ$110,53,FALSE)</f>
        <v>0</v>
      </c>
      <c r="G5449" t="str">
        <v>-</v>
      </c>
      <c r="H5449">
        <f>VLOOKUP(D5424,'Detail Balok'!$C$10:$BJ$110,55,FALSE)</f>
        <v>100</v>
      </c>
      <c r="J5449">
        <f>(D5425-2*F$5)/1000</f>
        <v>0.12</v>
      </c>
      <c r="K5449" t="str">
        <v>+</v>
      </c>
      <c r="L5449">
        <f>IF(D5449=0,2*MAX(6*F5449,75),(D5449-1)*2*MAX(6*F5449,75))/1000</f>
        <v>0.15</v>
      </c>
      <c r="M5449" t="str">
        <v>=</v>
      </c>
      <c r="N5449">
        <f>J5449+L5449</f>
        <v>0.27</v>
      </c>
      <c r="T5449" t="str">
        <v>x</v>
      </c>
      <c r="U5449">
        <f>0.006165*F5449^2</f>
        <v>0</v>
      </c>
      <c r="V5449" t="str">
        <v>x</v>
      </c>
      <c r="W5449">
        <f>W5445</f>
        <v>13</v>
      </c>
      <c r="X5449" t="str">
        <v>x</v>
      </c>
      <c r="Y5449">
        <f>D5434</f>
        <v>2</v>
      </c>
      <c r="Z5449" t="str">
        <v>=</v>
      </c>
      <c r="AA5449">
        <f>N5449*U5449*W5449*Y5449</f>
        <v>0</v>
      </c>
    </row>
    <row r="5450">
      <c r="A5450" t="str">
        <f>A5424</f>
        <v>Lantai 1</v>
      </c>
      <c r="B5450">
        <f>B5424</f>
        <v>84</v>
      </c>
      <c r="C5450" t="str">
        <v>Kait Horizontal Tump.</v>
      </c>
      <c r="D5450">
        <f>VLOOKUP(D5424,'Detail Balok'!$C$10:$BJ$110,56,FALSE)</f>
        <v>0</v>
      </c>
      <c r="E5450" t="str">
        <v>D</v>
      </c>
      <c r="F5450">
        <f>VLOOKUP(D5424,'Detail Balok'!$C$10:$BJ$110,58,FALSE)</f>
        <v>0</v>
      </c>
      <c r="G5450" t="str">
        <v>-</v>
      </c>
      <c r="H5450">
        <f>VLOOKUP(D5424,'Detail Balok'!$C$10:$BJ$110,60,FALSE)</f>
        <v>100</v>
      </c>
      <c r="J5450">
        <f>(D5425-2*F$5)/1000</f>
        <v>0.12</v>
      </c>
      <c r="K5450" t="str">
        <v>+</v>
      </c>
      <c r="L5450">
        <f>IF(D5450=0,2*MAX(6*F5450,75),(D5450-1)*2*MAX(6*F5450,75))/1000</f>
        <v>0.15</v>
      </c>
      <c r="M5450" t="str">
        <v>=</v>
      </c>
      <c r="N5450">
        <f>J5450+L5450</f>
        <v>0.27</v>
      </c>
      <c r="T5450" t="str">
        <v>x</v>
      </c>
      <c r="U5450">
        <f>0.006165*F5450^2</f>
        <v>0</v>
      </c>
      <c r="V5450" t="str">
        <v>x</v>
      </c>
      <c r="W5450">
        <f>W5446</f>
        <v>14</v>
      </c>
      <c r="X5450" t="str">
        <v>x</v>
      </c>
      <c r="Y5450">
        <f>D5434</f>
        <v>2</v>
      </c>
      <c r="Z5450" t="str">
        <v>=</v>
      </c>
      <c r="AA5450">
        <f>N5450*U5450*W5450*Y5450</f>
        <v>0</v>
      </c>
    </row>
    <row r="5454">
      <c r="A5454" t="str">
        <f>A5424</f>
        <v>Lantai 1</v>
      </c>
      <c r="B5454">
        <f>B5424+1</f>
        <v>85</v>
      </c>
      <c r="C5454" t="str">
        <f>CONCATENATE(A5454," no. ",B5454)</f>
        <v>Lantai 1 no. 85</v>
      </c>
      <c r="D5454" t="str">
        <f>VLOOKUP(C5454,'Data Panjang Balok'!$C$9:$N$424,2,FALSE)</f>
        <v>B37-1</v>
      </c>
    </row>
    <row r="5455">
      <c r="C5455" t="str">
        <v>Dimensi</v>
      </c>
      <c r="D5455">
        <f>VLOOKUP(D5454,'Detail Balok'!$C$10:$AU$110,2,FALSE)</f>
        <v>300</v>
      </c>
      <c r="F5455" t="str">
        <v>x</v>
      </c>
      <c r="G5455">
        <f>VLOOKUP(D5454,'Detail Balok'!$C$10:$AU$110,3,FALSE)</f>
        <v>700</v>
      </c>
    </row>
    <row r="5456">
      <c r="C5456" t="str">
        <v>Panjang as ke as</v>
      </c>
      <c r="D5456">
        <f>VLOOKUP(C5454,'Data Panjang Balok'!$C$9:$N$424,4,FALSE)</f>
        <v>2885</v>
      </c>
    </row>
    <row r="5457">
      <c r="C5457" t="str">
        <v>Panjang netto</v>
      </c>
      <c r="D5457">
        <f>VLOOKUP(C5454,'Data Panjang Balok'!$C$9:$N$424,7,FALSE)</f>
        <v>2885</v>
      </c>
    </row>
    <row r="5458">
      <c r="C5458" t="str">
        <v>Kolom / balok kiri</v>
      </c>
      <c r="D5458">
        <f>VLOOKUP(C5454,'Data Panjang Balok'!$C$9:$N$424,9,FALSE)</f>
        <v>0</v>
      </c>
    </row>
    <row r="5459">
      <c r="C5459" t="str">
        <v>Kolom / balok kanan</v>
      </c>
      <c r="D5459">
        <f>VLOOKUP(C5454,'Data Panjang Balok'!$C$9:$N$424,10,FALSE)</f>
        <v>0</v>
      </c>
    </row>
    <row r="5460">
      <c r="C5460" t="str">
        <v>Jumlah</v>
      </c>
      <c r="D5460">
        <f>VLOOKUP(C5454,'Data Panjang Balok'!$C$9:$N$424,3,FALSE)</f>
        <v>1</v>
      </c>
    </row>
    <row r="5461">
      <c r="A5461" t="str">
        <f>A5454</f>
        <v>Lantai 1</v>
      </c>
      <c r="B5461">
        <f>B5454</f>
        <v>85</v>
      </c>
      <c r="C5461" t="str">
        <v>Tul Atas Tumpuan</v>
      </c>
      <c r="D5461">
        <f>VLOOKUP(D5454,'Detail Balok'!$C$10:$AU$110,4,FALSE)</f>
        <v>7</v>
      </c>
      <c r="E5461" t="str">
        <v>D</v>
      </c>
      <c r="F5461">
        <f>VLOOKUP(D5454,'Detail Balok'!$C$10:$AU$110,6,FALSE)</f>
        <v>22</v>
      </c>
      <c r="I5461" t="str">
        <v>(</v>
      </c>
      <c r="J5461">
        <f>+D5456/4/1000</f>
        <v>0.72125</v>
      </c>
      <c r="K5461" t="str">
        <v>+</v>
      </c>
      <c r="L5461">
        <f>MAX(VLOOKUP(F5461,N$6:P$15,3,FALSE)/1000,2/3*D5458/1000)+F$16*F5461/1000</f>
        <v>0.264</v>
      </c>
      <c r="M5461" t="str">
        <v>=</v>
      </c>
      <c r="N5461">
        <f>J5461+L5461</f>
        <v>0.98525</v>
      </c>
      <c r="O5461" t="str">
        <v>+</v>
      </c>
      <c r="P5461">
        <f>D5461-D5462</f>
        <v>5</v>
      </c>
      <c r="Q5461" t="str">
        <v>x</v>
      </c>
      <c r="R5461">
        <f>IF(P5461&gt;0,$F$18*F5461/1000,0)</f>
        <v>0.33</v>
      </c>
      <c r="S5461" t="str">
        <v>)</v>
      </c>
      <c r="T5461" t="str">
        <v>x</v>
      </c>
      <c r="U5461">
        <f>0.006165*F5461^2</f>
        <v>2.98386</v>
      </c>
      <c r="X5461" t="str">
        <v>x</v>
      </c>
      <c r="Y5461">
        <f>D5460</f>
        <v>1</v>
      </c>
      <c r="Z5461" t="str">
        <v>=</v>
      </c>
      <c r="AA5461">
        <f>IF(AA5464=0,(D5461*N5461+P5461*R5461)*U5461*Y5461,0)</f>
        <v>25.502305455</v>
      </c>
    </row>
    <row r="5462">
      <c r="A5462" t="str">
        <f>A5454</f>
        <v>Lantai 1</v>
      </c>
      <c r="B5462">
        <f>B5454</f>
        <v>85</v>
      </c>
      <c r="C5462" t="str">
        <v>Tul Atas Lapangan</v>
      </c>
      <c r="D5462">
        <f>VLOOKUP(D5454,'Detail Balok'!$C$10:$AU$110,7,FALSE)</f>
        <v>2</v>
      </c>
      <c r="E5462" t="str">
        <v>D</v>
      </c>
      <c r="F5462">
        <f>VLOOKUP(D5454,'Detail Balok'!$C$10:$AU$110,9,FALSE)</f>
        <v>22</v>
      </c>
      <c r="I5462" t="str">
        <v>(</v>
      </c>
      <c r="J5462">
        <f>+D5456/2/1000</f>
        <v>1.4425</v>
      </c>
      <c r="K5462" t="str">
        <v>+</v>
      </c>
      <c r="M5462" t="str">
        <v>=</v>
      </c>
      <c r="N5462">
        <f>J5462+L5462</f>
        <v>1.4425</v>
      </c>
      <c r="O5462" t="str">
        <v>+</v>
      </c>
      <c r="P5462">
        <f>MAX(D5462-D5461,D5462-D5463)</f>
        <v>-5</v>
      </c>
      <c r="Q5462" t="str">
        <v>x</v>
      </c>
      <c r="R5462">
        <f>IF(P5462&gt;0,2*(1-2*$F$19-1/2)*D5457/1000,0)</f>
        <v>0</v>
      </c>
      <c r="S5462" t="str">
        <v>)</v>
      </c>
      <c r="T5462" t="str">
        <v>x</v>
      </c>
      <c r="U5462">
        <f>0.006165*F5462^2</f>
        <v>2.98386</v>
      </c>
      <c r="X5462" t="str">
        <v>x</v>
      </c>
      <c r="Y5462">
        <f>D5460</f>
        <v>1</v>
      </c>
      <c r="Z5462" t="str">
        <v>=</v>
      </c>
      <c r="AA5462">
        <f>IF(AA5464=0,(D5462*N5462+P5462*R5462)*U5462*Y5462,0)</f>
        <v>8.608436099999999</v>
      </c>
    </row>
    <row r="5463">
      <c r="A5463" t="str">
        <f>A5454</f>
        <v>Lantai 1</v>
      </c>
      <c r="B5463">
        <f>B5454</f>
        <v>85</v>
      </c>
      <c r="C5463" t="str">
        <v>Tul Atas Tumpuan</v>
      </c>
      <c r="D5463">
        <f>VLOOKUP(D5454,'Detail Balok'!$C$10:$AU$110,10,FALSE)</f>
        <v>7</v>
      </c>
      <c r="E5463" t="str">
        <v>D</v>
      </c>
      <c r="F5463">
        <f>VLOOKUP(D5454,'Detail Balok'!$C$10:$AU$110,12,FALSE)</f>
        <v>22</v>
      </c>
      <c r="I5463" t="str">
        <v>(</v>
      </c>
      <c r="J5463">
        <f>+D5456/4/1000</f>
        <v>0.72125</v>
      </c>
      <c r="K5463" t="str">
        <v>+</v>
      </c>
      <c r="L5463">
        <f>MAX(VLOOKUP(F5463,N$6:P$15,3,FALSE)/1000,2/3*D5458/1000)+F$16*F5463/1000</f>
        <v>0.264</v>
      </c>
      <c r="M5463" t="str">
        <v>=</v>
      </c>
      <c r="N5463">
        <f>J5463+L5463</f>
        <v>0.98525</v>
      </c>
      <c r="O5463" t="str">
        <v>+</v>
      </c>
      <c r="P5463">
        <f>D5463-D5462</f>
        <v>5</v>
      </c>
      <c r="Q5463" t="str">
        <v>x</v>
      </c>
      <c r="R5463">
        <f>IF(P5463&gt;0,$F$18*F5463/1000,0)</f>
        <v>0.33</v>
      </c>
      <c r="S5463" t="str">
        <v>)</v>
      </c>
      <c r="T5463" t="str">
        <v>x</v>
      </c>
      <c r="U5463">
        <f>0.006165*F5463^2</f>
        <v>2.98386</v>
      </c>
      <c r="X5463" t="str">
        <v>x</v>
      </c>
      <c r="Y5463">
        <f>D5460</f>
        <v>1</v>
      </c>
      <c r="Z5463" t="str">
        <v>=</v>
      </c>
      <c r="AA5463">
        <f>IF(AA5464=0,(D5463*N5463+P5463*R5463)*U5463*Y5463,0)</f>
        <v>25.502305455</v>
      </c>
    </row>
    <row r="5464">
      <c r="A5464" t="str">
        <f>A5454</f>
        <v>Lantai 1</v>
      </c>
      <c r="B5464">
        <f>B5454</f>
        <v>85</v>
      </c>
      <c r="D5464">
        <f>IF(AND(D5461=D5462,D5462=D5463,D5461=D5463),D5461,0)</f>
        <v>0</v>
      </c>
      <c r="E5464" t="str">
        <v>D</v>
      </c>
      <c r="F5464">
        <f>IF(AND(F5461=F5462,F5461=F5463,F5462=F5463),F5461,0)</f>
        <v>22</v>
      </c>
      <c r="L5464" t="str">
        <v>Total panjang per balok</v>
      </c>
      <c r="M5464" t="str">
        <v>=</v>
      </c>
      <c r="N5464">
        <f>IF(AND(D5461=D5462,D5461=D5463,D5462=D5463,F5461=F5462,F5461=F5463,F5462=F5463),SUM(N5461:N5463),0)</f>
        <v>0</v>
      </c>
      <c r="O5464" t="str">
        <v>+</v>
      </c>
      <c r="P5464">
        <f>IF(N5464&gt;12,ROUNDDOWN(N5464/12,0),0)</f>
        <v>0</v>
      </c>
      <c r="Q5464" t="str">
        <v>x</v>
      </c>
      <c r="R5464">
        <f>IF(P5464&gt;0,MAX(VLOOKUP(F5464,$D$6:$G$15,3,FALSE),600),0)/1000</f>
        <v>0</v>
      </c>
      <c r="T5464" t="str">
        <v>x</v>
      </c>
      <c r="U5464">
        <f>U5463</f>
        <v>2.98386</v>
      </c>
      <c r="V5464" t="str">
        <v>x</v>
      </c>
      <c r="W5464">
        <f>D5464</f>
        <v>0</v>
      </c>
      <c r="X5464" t="str">
        <v>x</v>
      </c>
      <c r="Y5464">
        <f>Y5463</f>
        <v>1</v>
      </c>
      <c r="Z5464" t="str">
        <v>=</v>
      </c>
      <c r="AA5464">
        <f>(N5464+P5464*R5464/1000)*U5464*W5464*Y5464</f>
        <v>0</v>
      </c>
    </row>
    <row r="5466">
      <c r="A5466" t="str">
        <f>A5454</f>
        <v>Lantai 1</v>
      </c>
      <c r="B5466">
        <f>B5454</f>
        <v>85</v>
      </c>
      <c r="C5466" t="str">
        <v>Tul Peminggang</v>
      </c>
      <c r="D5466">
        <f>VLOOKUP(D5454,'Detail Balok'!$C$10:$AU$110,13,FALSE)</f>
        <v>2</v>
      </c>
      <c r="E5466" t="str">
        <v>D</v>
      </c>
      <c r="F5466">
        <f>VLOOKUP(D5454,'Detail Balok'!$C$10:$AU$110,15,FALSE)</f>
        <v>10</v>
      </c>
      <c r="J5466">
        <f>+D5456/1000</f>
        <v>2.885</v>
      </c>
      <c r="K5466" t="str">
        <v>+</v>
      </c>
      <c r="L5466">
        <f>2*$F$16*F5466/1000</f>
        <v>0.24</v>
      </c>
      <c r="M5466" t="str">
        <v>=</v>
      </c>
      <c r="N5466">
        <f>J5466+L5466</f>
        <v>3.125</v>
      </c>
      <c r="O5466" t="str">
        <v>+</v>
      </c>
      <c r="P5466">
        <f>IF(N5466&gt;12,ROUNDDOWN(N5466/12,0),0)</f>
        <v>0</v>
      </c>
      <c r="Q5466" t="str">
        <v>x</v>
      </c>
      <c r="R5466">
        <f>IF(P5466&gt;0,MAX(VLOOKUP(F5466,$D$6:$G$15,3,FALSE),600),0)/1000</f>
        <v>0</v>
      </c>
      <c r="T5466" t="str">
        <v>x</v>
      </c>
      <c r="U5466">
        <f>0.006165*F5466^2</f>
        <v>0.6165</v>
      </c>
      <c r="V5466" t="str">
        <v>x</v>
      </c>
      <c r="W5466">
        <f>+D5466</f>
        <v>2</v>
      </c>
      <c r="X5466" t="str">
        <v>x</v>
      </c>
      <c r="Y5466">
        <f>D5460</f>
        <v>1</v>
      </c>
      <c r="Z5466" t="str">
        <v>=</v>
      </c>
      <c r="AA5466">
        <f>(N5466+P5466*R5466/1000)*U5466*W5466*Y5466</f>
        <v>3.8531250000000004</v>
      </c>
    </row>
    <row r="5469">
      <c r="A5469" t="str">
        <f>A5454</f>
        <v>Lantai 1</v>
      </c>
      <c r="B5469">
        <f>B5454</f>
        <v>85</v>
      </c>
      <c r="C5469" t="str">
        <v>Tul Bawah Tumpuan</v>
      </c>
      <c r="D5469">
        <f>VLOOKUP(D5454,'Detail Balok'!$C$10:$AU$110,22,FALSE)</f>
        <v>4</v>
      </c>
      <c r="E5469" t="str">
        <v>D</v>
      </c>
      <c r="F5469">
        <f>VLOOKUP(D5454,'Detail Balok'!$C$10:$AU$110,24,FALSE)</f>
        <v>22</v>
      </c>
      <c r="I5469" t="str">
        <v>(</v>
      </c>
      <c r="J5469">
        <f>+J5461</f>
        <v>0.72125</v>
      </c>
      <c r="K5469" t="str">
        <v>+</v>
      </c>
      <c r="L5469">
        <f>MAX(VLOOKUP(F5469,N$6:P$15,3,FALSE)/1000,2/3*D5459/1000)+F$16*F5469/1000</f>
        <v>0.264</v>
      </c>
      <c r="M5469" t="str">
        <v>=</v>
      </c>
      <c r="N5469">
        <f>J5469+L5469</f>
        <v>0.98525</v>
      </c>
      <c r="O5469" t="str">
        <v>+</v>
      </c>
      <c r="P5469">
        <f>D5469-D5470</f>
        <v>-2</v>
      </c>
      <c r="Q5469" t="str">
        <v>x</v>
      </c>
      <c r="R5469">
        <f>IF(P5469&gt;0,$F$18*F5469/1000,0)</f>
        <v>0</v>
      </c>
      <c r="S5469" t="str">
        <v>)</v>
      </c>
      <c r="T5469" t="str">
        <v>x</v>
      </c>
      <c r="U5469">
        <f>0.006165*F5469^2</f>
        <v>2.98386</v>
      </c>
      <c r="X5469" t="str">
        <v>x</v>
      </c>
      <c r="Y5469">
        <f>D5460</f>
        <v>1</v>
      </c>
      <c r="Z5469" t="str">
        <v>=</v>
      </c>
      <c r="AA5469">
        <f>IF(AA5472=0,(D5469*N5469+P5469*R5469)*U5469*Y5469,0)</f>
        <v>11.759392259999998</v>
      </c>
    </row>
    <row r="5470">
      <c r="A5470" t="str">
        <f>A5454</f>
        <v>Lantai 1</v>
      </c>
      <c r="B5470">
        <f>B5454</f>
        <v>85</v>
      </c>
      <c r="C5470" t="str">
        <v>Tul Bawah Lapangan</v>
      </c>
      <c r="D5470">
        <f>VLOOKUP(D5454,'Detail Balok'!$C$10:$AU$110,25,FALSE)</f>
        <v>6</v>
      </c>
      <c r="E5470" t="str">
        <v>D</v>
      </c>
      <c r="F5470">
        <f>VLOOKUP(D5454,'Detail Balok'!$C$10:$AU$110,27,FALSE)</f>
        <v>22</v>
      </c>
      <c r="I5470" t="str">
        <v>(</v>
      </c>
      <c r="J5470">
        <f>+J5462</f>
        <v>1.4425</v>
      </c>
      <c r="K5470" t="str">
        <v>+</v>
      </c>
      <c r="M5470" t="str">
        <v>=</v>
      </c>
      <c r="N5470">
        <f>J5470+L5470</f>
        <v>1.4425</v>
      </c>
      <c r="O5470" t="str">
        <v>+</v>
      </c>
      <c r="P5470">
        <f>MAX(D5470-D5469,D5470-D5471)</f>
        <v>2</v>
      </c>
      <c r="Q5470" t="str">
        <v>x</v>
      </c>
      <c r="R5470">
        <f>IF(P5470&gt;0,2*(1-2*$F$19-1/2)*D5457/1000,0)</f>
        <v>0.5769999999999998</v>
      </c>
      <c r="S5470" t="str">
        <v>)</v>
      </c>
      <c r="T5470" t="str">
        <v>x</v>
      </c>
      <c r="U5470">
        <f>0.006165*F5470^2</f>
        <v>2.98386</v>
      </c>
      <c r="X5470" t="str">
        <v>x</v>
      </c>
      <c r="Y5470">
        <f>D5460</f>
        <v>1</v>
      </c>
      <c r="Z5470" t="str">
        <v>=</v>
      </c>
      <c r="AA5470">
        <f>IF(AA5472=0,(D5470*N5470+P5470*R5470)*U5470*Y5470,0)</f>
        <v>29.26868274</v>
      </c>
    </row>
    <row r="5471">
      <c r="A5471" t="str">
        <f>A5454</f>
        <v>Lantai 1</v>
      </c>
      <c r="B5471">
        <f>B5454</f>
        <v>85</v>
      </c>
      <c r="C5471" t="str">
        <v>Tul Bawah Tumpuan</v>
      </c>
      <c r="D5471">
        <f>VLOOKUP(D5454,'Detail Balok'!$C$10:$AU$110,28,FALSE)</f>
        <v>4</v>
      </c>
      <c r="E5471" t="str">
        <v>D</v>
      </c>
      <c r="F5471">
        <f>VLOOKUP(D5454,'Detail Balok'!$C$10:$AU$110,30,FALSE)</f>
        <v>22</v>
      </c>
      <c r="I5471" t="str">
        <v>(</v>
      </c>
      <c r="J5471">
        <f>+J5463</f>
        <v>0.72125</v>
      </c>
      <c r="K5471" t="str">
        <v>+</v>
      </c>
      <c r="L5471">
        <f>MAX(VLOOKUP(F5471,N$6:P$15,3,FALSE)/1000,2/3*D5459/1000)+F$16*F5471/1000</f>
        <v>0.264</v>
      </c>
      <c r="M5471" t="str">
        <v>=</v>
      </c>
      <c r="N5471">
        <f>J5471+L5471</f>
        <v>0.98525</v>
      </c>
      <c r="O5471" t="str">
        <v>+</v>
      </c>
      <c r="P5471">
        <f>D5471-D5470</f>
        <v>-2</v>
      </c>
      <c r="Q5471" t="str">
        <v>x</v>
      </c>
      <c r="R5471">
        <f>IF(P5471&gt;0,$F$18*F5471/1000,0)</f>
        <v>0</v>
      </c>
      <c r="S5471" t="str">
        <v>)</v>
      </c>
      <c r="T5471" t="str">
        <v>x</v>
      </c>
      <c r="U5471">
        <f>0.006165*F5471^2</f>
        <v>2.98386</v>
      </c>
      <c r="X5471" t="str">
        <v>x</v>
      </c>
      <c r="Y5471">
        <f>D5460</f>
        <v>1</v>
      </c>
      <c r="Z5471" t="str">
        <v>=</v>
      </c>
      <c r="AA5471">
        <f>IF(AA5472=0,(D5471*N5471+P5471*R5471)*U5471*Y5471,0)</f>
        <v>11.759392259999998</v>
      </c>
    </row>
    <row r="5472">
      <c r="A5472" t="str">
        <f>A5454</f>
        <v>Lantai 1</v>
      </c>
      <c r="B5472">
        <f>B5454</f>
        <v>85</v>
      </c>
      <c r="D5472">
        <f>IF(AND(D5469=D5470,D5470=D5471,D5469=D5471),D5469,0)</f>
        <v>0</v>
      </c>
      <c r="E5472" t="str">
        <v>D</v>
      </c>
      <c r="F5472">
        <f>IF(AND(F5469=F5470,F5469=F5471,F5470=F5471),F5469,0)</f>
        <v>22</v>
      </c>
      <c r="L5472" t="str">
        <v>Total panjang per balok</v>
      </c>
      <c r="M5472" t="str">
        <v>=</v>
      </c>
      <c r="N5472">
        <f>IF(AND(D5469=D5470,D5469=D5471,D5470=D5471,F5469=F5470,F5469=F5471,F5470=F5471),SUM(N5469:N5471),0)</f>
        <v>0</v>
      </c>
      <c r="O5472" t="str">
        <v>+</v>
      </c>
      <c r="P5472">
        <f>IF(N5472&gt;12,ROUNDDOWN(N5472/12,0),0)</f>
        <v>0</v>
      </c>
      <c r="Q5472" t="str">
        <v>x</v>
      </c>
      <c r="R5472">
        <f>IF(P5472&gt;0,MAX(VLOOKUP(F5472,$D$6:$G$15,3,FALSE),600),0)/1000</f>
        <v>0</v>
      </c>
      <c r="T5472" t="str">
        <v>x</v>
      </c>
      <c r="U5472">
        <f>U5471</f>
        <v>2.98386</v>
      </c>
      <c r="V5472" t="str">
        <v>x</v>
      </c>
      <c r="W5472">
        <f>D5472</f>
        <v>0</v>
      </c>
      <c r="X5472" t="str">
        <v>x</v>
      </c>
      <c r="Y5472">
        <f>Y5471</f>
        <v>1</v>
      </c>
      <c r="Z5472" t="str">
        <v>=</v>
      </c>
      <c r="AA5472">
        <f>(N5472+P5472*R5472/1000)*U5472*W5472*Y5472</f>
        <v>0</v>
      </c>
    </row>
    <row r="5474">
      <c r="A5474" t="str">
        <f>A5454</f>
        <v>Lantai 1</v>
      </c>
      <c r="B5474">
        <f>B5454</f>
        <v>85</v>
      </c>
      <c r="C5474" t="str">
        <v>Sengkang Tumpuan</v>
      </c>
      <c r="D5474">
        <f>VLOOKUP(D5454,'Detail Balok'!$C$10:$AU$110,31,FALSE)</f>
        <v>0</v>
      </c>
      <c r="E5474" t="str">
        <v>D</v>
      </c>
      <c r="F5474">
        <f>VLOOKUP(D5454,'Detail Balok'!$C$10:$AU$110,33,FALSE)</f>
        <v>10</v>
      </c>
      <c r="G5474" t="str">
        <v>-</v>
      </c>
      <c r="H5474">
        <f>VLOOKUP(D5454,'Detail Balok'!$C$10:$AU$110,35,FALSE)</f>
        <v>80</v>
      </c>
      <c r="J5474">
        <f>(IF(D5474=0,(2*(D5455+G5455))-(F$5*8),IF(D5474=3,(2*(D5455+G5455))-(F$5*8)+(G5455-2*F$5),IF(D5474=4,(2*(D5455+G5455))-(F$5*8)+2*(G5455-2*F$5)))))/1000</f>
        <v>1.68</v>
      </c>
      <c r="K5474" t="str">
        <v>+</v>
      </c>
      <c r="L5474">
        <f>IF(D5474=0,2*MAX(6*F5474,75),(D5474-1)*2*MAX(6*F5474,75))/1000</f>
        <v>0.15</v>
      </c>
      <c r="M5474" t="str">
        <v>=</v>
      </c>
      <c r="N5474">
        <f>J5474+L5474</f>
        <v>1.8299999999999998</v>
      </c>
      <c r="T5474" t="str">
        <v>x</v>
      </c>
      <c r="U5474">
        <f>0.006165*F5474^2</f>
        <v>0.6165</v>
      </c>
      <c r="V5474" t="str">
        <v>x</v>
      </c>
      <c r="W5474">
        <f>IF(D5457&gt;4*G5455,ROUND(MAX(D5457/4,2*G5455)/H5474,0)+1,ROUND(D5457/H5474,0)+1)</f>
        <v>19</v>
      </c>
      <c r="X5474" t="str">
        <v>x</v>
      </c>
      <c r="Y5474">
        <f>D5460</f>
        <v>1</v>
      </c>
      <c r="Z5474" t="str">
        <v>=</v>
      </c>
      <c r="AA5474">
        <f>N5474*U5474*W5474*Y5474</f>
        <v>21.435705000000002</v>
      </c>
    </row>
    <row r="5475">
      <c r="A5475" t="str">
        <f>A5454</f>
        <v>Lantai 1</v>
      </c>
      <c r="B5475">
        <f>B5454</f>
        <v>85</v>
      </c>
      <c r="C5475" t="str">
        <v>Sengkang Lapangan</v>
      </c>
      <c r="D5475">
        <f>VLOOKUP(D5454,'Detail Balok'!$C$10:$AU$110,36,FALSE)</f>
        <v>0</v>
      </c>
      <c r="E5475" t="str">
        <v>D</v>
      </c>
      <c r="F5475">
        <f>VLOOKUP(D5454,'Detail Balok'!$C$10:$AU$110,38,FALSE)</f>
        <v>10</v>
      </c>
      <c r="G5475" t="str">
        <v>-</v>
      </c>
      <c r="H5475">
        <f>VLOOKUP(D5454,'Detail Balok'!$C$10:$AU$110,40,FALSE)</f>
        <v>100</v>
      </c>
      <c r="J5475">
        <f>(IF(D5475=0,(2*(D5455+G5455))-(F$5*8),IF(D5475=3,(2*(D5455+G5455))-(F$5*8)+(G5455-2*F$5),IF(D5475=4,(2*(D5455+G5455))-(F$5*8)+2*(G5455-2*F$5)))))/1000</f>
        <v>1.68</v>
      </c>
      <c r="K5475" t="str">
        <v>+</v>
      </c>
      <c r="L5475">
        <f>IF(D5475=0,2*MAX(6*F5475,75),(D5475-1)*2*MAX(6*F5475,75))/1000</f>
        <v>0.15</v>
      </c>
      <c r="M5475" t="str">
        <v>=</v>
      </c>
      <c r="N5475">
        <f>J5475+L5475</f>
        <v>1.8299999999999998</v>
      </c>
      <c r="T5475" t="str">
        <v>x</v>
      </c>
      <c r="U5475">
        <f>0.006165*F5475^2</f>
        <v>0.6165</v>
      </c>
      <c r="V5475" t="str">
        <v>x</v>
      </c>
      <c r="W5475">
        <f>IF(D5457-MAX(D5457/4,2*G5455)*2&gt;0,ROUND((D5457-MAX(D5457/4,2*G5455)*2)/H5475,0),0)</f>
        <v>1</v>
      </c>
      <c r="X5475" t="str">
        <v>x</v>
      </c>
      <c r="Y5475">
        <f>D5460</f>
        <v>1</v>
      </c>
      <c r="Z5475" t="str">
        <v>=</v>
      </c>
      <c r="AA5475">
        <f>N5475*U5475*W5475*Y5475</f>
        <v>1.128195</v>
      </c>
    </row>
    <row r="5476">
      <c r="A5476" t="str">
        <f>A5454</f>
        <v>Lantai 1</v>
      </c>
      <c r="B5476">
        <f>B5454</f>
        <v>85</v>
      </c>
      <c r="C5476" t="str">
        <v>Sengkang Tumpuan</v>
      </c>
      <c r="D5476">
        <f>VLOOKUP(D5454,'Detail Balok'!$C$10:$AU$110,41,FALSE)</f>
        <v>0</v>
      </c>
      <c r="E5476" t="str">
        <v>D</v>
      </c>
      <c r="F5476">
        <f>VLOOKUP(D5454,'Detail Balok'!$C$10:$AU$110,43,FALSE)</f>
        <v>10</v>
      </c>
      <c r="G5476" t="str">
        <v>-</v>
      </c>
      <c r="H5476">
        <f>VLOOKUP(D5454,'Detail Balok'!$C$10:$AU$110,45,FALSE)</f>
        <v>80</v>
      </c>
      <c r="J5476">
        <f>(IF(D5476=0,(2*(D5455+G5455))-(F$5*8),IF(D5476=3,(2*(D5455+G5455))-(F$5*8)+(G5455-2*F$5),IF(D5476=4,(2*(D5455+G5455))-(F$5*8)+2*(G5455-2*F$5)))))/1000</f>
        <v>1.68</v>
      </c>
      <c r="K5476" t="str">
        <v>+</v>
      </c>
      <c r="L5476">
        <f>IF(D5476=0,2*MAX(6*F5476,75),(D5476-1)*2*MAX(6*F5476,75))/1000</f>
        <v>0.15</v>
      </c>
      <c r="M5476" t="str">
        <v>=</v>
      </c>
      <c r="N5476">
        <f>J5476+L5476</f>
        <v>1.8299999999999998</v>
      </c>
      <c r="T5476" t="str">
        <v>x</v>
      </c>
      <c r="U5476">
        <f>0.006165*F5476^2</f>
        <v>0.6165</v>
      </c>
      <c r="V5476" t="str">
        <v>x</v>
      </c>
      <c r="W5476">
        <f>IF(D5457&gt;4*G5455,ROUND(MAX(D5457/4,2*G5455)/H5476,0)+1,0)</f>
        <v>19</v>
      </c>
      <c r="X5476" t="str">
        <v>x</v>
      </c>
      <c r="Y5476">
        <f>D5460</f>
        <v>1</v>
      </c>
      <c r="Z5476" t="str">
        <v>=</v>
      </c>
      <c r="AA5476">
        <f>N5476*U5476*W5476*Y5476</f>
        <v>21.435705000000002</v>
      </c>
    </row>
    <row r="5478">
      <c r="A5478" t="str">
        <f>A5454</f>
        <v>Lantai 1</v>
      </c>
      <c r="B5478">
        <f>B5454</f>
        <v>85</v>
      </c>
      <c r="C5478" t="str">
        <v>Kait Horizontal Tump.</v>
      </c>
      <c r="D5478">
        <f>VLOOKUP(D5454,'Detail Balok'!$C$10:$BJ$110,46,FALSE)</f>
        <v>0</v>
      </c>
      <c r="E5478" t="str">
        <v>D</v>
      </c>
      <c r="F5478">
        <f>VLOOKUP(D5454,'Detail Balok'!$C$10:$BJ$110,48,FALSE)</f>
        <v>0</v>
      </c>
      <c r="G5478" t="str">
        <v>-</v>
      </c>
      <c r="H5478">
        <f>VLOOKUP(D5454,'Detail Balok'!$C$10:$BJ$110,50,FALSE)</f>
        <v>100</v>
      </c>
      <c r="J5478">
        <f>(D5455-2*F$5)/1000</f>
        <v>0.22</v>
      </c>
      <c r="K5478" t="str">
        <v>+</v>
      </c>
      <c r="L5478">
        <f>IF(D5478=0,2*MAX(6*F5478,75),(D5478-1)*2*MAX(6*F5478,75))/1000</f>
        <v>0.15</v>
      </c>
      <c r="M5478" t="str">
        <v>=</v>
      </c>
      <c r="N5478">
        <f>J5478+L5478</f>
        <v>0.37</v>
      </c>
      <c r="T5478" t="str">
        <v>x</v>
      </c>
      <c r="U5478">
        <f>0.006165*F5478^2</f>
        <v>0</v>
      </c>
      <c r="V5478" t="str">
        <v>x</v>
      </c>
      <c r="W5478">
        <f>W5474</f>
        <v>19</v>
      </c>
      <c r="X5478" t="str">
        <v>x</v>
      </c>
      <c r="Y5478">
        <f>D5464</f>
        <v>0</v>
      </c>
      <c r="Z5478" t="str">
        <v>=</v>
      </c>
      <c r="AA5478">
        <f>N5478*U5478*W5478*Y5478</f>
        <v>0</v>
      </c>
    </row>
    <row r="5479">
      <c r="A5479" t="str">
        <f>A5454</f>
        <v>Lantai 1</v>
      </c>
      <c r="B5479">
        <f>B5454</f>
        <v>85</v>
      </c>
      <c r="C5479" t="str">
        <v>Kait Horizontal Lap.</v>
      </c>
      <c r="D5479">
        <f>VLOOKUP(D5454,'Detail Balok'!$C$10:$BJ$110,51,FALSE)</f>
        <v>0</v>
      </c>
      <c r="E5479" t="str">
        <v>D</v>
      </c>
      <c r="F5479">
        <f>VLOOKUP(D5454,'Detail Balok'!$C$10:$BJ$110,53,FALSE)</f>
        <v>0</v>
      </c>
      <c r="G5479" t="str">
        <v>-</v>
      </c>
      <c r="H5479">
        <f>VLOOKUP(D5454,'Detail Balok'!$C$10:$BJ$110,55,FALSE)</f>
        <v>100</v>
      </c>
      <c r="J5479">
        <f>(D5455-2*F$5)/1000</f>
        <v>0.22</v>
      </c>
      <c r="K5479" t="str">
        <v>+</v>
      </c>
      <c r="L5479">
        <f>IF(D5479=0,2*MAX(6*F5479,75),(D5479-1)*2*MAX(6*F5479,75))/1000</f>
        <v>0.15</v>
      </c>
      <c r="M5479" t="str">
        <v>=</v>
      </c>
      <c r="N5479">
        <f>J5479+L5479</f>
        <v>0.37</v>
      </c>
      <c r="T5479" t="str">
        <v>x</v>
      </c>
      <c r="U5479">
        <f>0.006165*F5479^2</f>
        <v>0</v>
      </c>
      <c r="V5479" t="str">
        <v>x</v>
      </c>
      <c r="W5479">
        <f>W5475</f>
        <v>1</v>
      </c>
      <c r="X5479" t="str">
        <v>x</v>
      </c>
      <c r="Y5479">
        <f>D5464</f>
        <v>0</v>
      </c>
      <c r="Z5479" t="str">
        <v>=</v>
      </c>
      <c r="AA5479">
        <f>N5479*U5479*W5479*Y5479</f>
        <v>0</v>
      </c>
    </row>
    <row r="5480">
      <c r="A5480" t="str">
        <f>A5454</f>
        <v>Lantai 1</v>
      </c>
      <c r="B5480">
        <f>B5454</f>
        <v>85</v>
      </c>
      <c r="C5480" t="str">
        <v>Kait Horizontal Tump.</v>
      </c>
      <c r="D5480">
        <f>VLOOKUP(D5454,'Detail Balok'!$C$10:$BJ$110,56,FALSE)</f>
        <v>0</v>
      </c>
      <c r="E5480" t="str">
        <v>D</v>
      </c>
      <c r="F5480">
        <f>VLOOKUP(D5454,'Detail Balok'!$C$10:$BJ$110,58,FALSE)</f>
        <v>0</v>
      </c>
      <c r="G5480" t="str">
        <v>-</v>
      </c>
      <c r="H5480">
        <f>VLOOKUP(D5454,'Detail Balok'!$C$10:$BJ$110,60,FALSE)</f>
        <v>100</v>
      </c>
      <c r="J5480">
        <f>(D5455-2*F$5)/1000</f>
        <v>0.22</v>
      </c>
      <c r="K5480" t="str">
        <v>+</v>
      </c>
      <c r="L5480">
        <f>IF(D5480=0,2*MAX(6*F5480,75),(D5480-1)*2*MAX(6*F5480,75))/1000</f>
        <v>0.15</v>
      </c>
      <c r="M5480" t="str">
        <v>=</v>
      </c>
      <c r="N5480">
        <f>J5480+L5480</f>
        <v>0.37</v>
      </c>
      <c r="T5480" t="str">
        <v>x</v>
      </c>
      <c r="U5480">
        <f>0.006165*F5480^2</f>
        <v>0</v>
      </c>
      <c r="V5480" t="str">
        <v>x</v>
      </c>
      <c r="W5480">
        <f>W5476</f>
        <v>19</v>
      </c>
      <c r="X5480" t="str">
        <v>x</v>
      </c>
      <c r="Y5480">
        <f>D5464</f>
        <v>0</v>
      </c>
      <c r="Z5480" t="str">
        <v>=</v>
      </c>
      <c r="AA5480">
        <f>N5480*U5480*W5480*Y5480</f>
        <v>0</v>
      </c>
    </row>
    <row r="5484">
      <c r="A5484" t="str">
        <f>A5454</f>
        <v>Lantai 1</v>
      </c>
      <c r="B5484">
        <f>B5454+1</f>
        <v>86</v>
      </c>
      <c r="C5484" t="str">
        <f>CONCATENATE(A5484," no. ",B5484)</f>
        <v>Lantai 1 no. 86</v>
      </c>
      <c r="D5484" t="str">
        <f>VLOOKUP(C5484,'Data Panjang Balok'!$C$9:$N$424,2,FALSE)</f>
        <v>B37-1</v>
      </c>
    </row>
    <row r="5485">
      <c r="C5485" t="str">
        <v>Dimensi</v>
      </c>
      <c r="D5485">
        <f>VLOOKUP(D5484,'Detail Balok'!$C$10:$AU$110,2,FALSE)</f>
        <v>300</v>
      </c>
      <c r="F5485" t="str">
        <v>x</v>
      </c>
      <c r="G5485">
        <f>VLOOKUP(D5484,'Detail Balok'!$C$10:$AU$110,3,FALSE)</f>
        <v>700</v>
      </c>
    </row>
    <row r="5486">
      <c r="C5486" t="str">
        <v>Panjang as ke as</v>
      </c>
      <c r="D5486">
        <f>VLOOKUP(C5484,'Data Panjang Balok'!$C$9:$N$424,4,FALSE)</f>
        <v>4915</v>
      </c>
    </row>
    <row r="5487">
      <c r="C5487" t="str">
        <v>Panjang netto</v>
      </c>
      <c r="D5487">
        <f>VLOOKUP(C5484,'Data Panjang Balok'!$C$9:$N$424,7,FALSE)</f>
        <v>4915</v>
      </c>
    </row>
    <row r="5488">
      <c r="C5488" t="str">
        <v>Kolom / balok kiri</v>
      </c>
      <c r="D5488">
        <f>VLOOKUP(C5484,'Data Panjang Balok'!$C$9:$N$424,9,FALSE)</f>
        <v>0</v>
      </c>
    </row>
    <row r="5489">
      <c r="C5489" t="str">
        <v>Kolom / balok kanan</v>
      </c>
      <c r="D5489">
        <f>VLOOKUP(C5484,'Data Panjang Balok'!$C$9:$N$424,10,FALSE)</f>
        <v>0</v>
      </c>
    </row>
    <row r="5490">
      <c r="C5490" t="str">
        <v>Jumlah</v>
      </c>
      <c r="D5490">
        <f>VLOOKUP(C5484,'Data Panjang Balok'!$C$9:$N$424,3,FALSE)</f>
        <v>1</v>
      </c>
    </row>
    <row r="5491">
      <c r="A5491" t="str">
        <f>A5484</f>
        <v>Lantai 1</v>
      </c>
      <c r="B5491">
        <f>B5484</f>
        <v>86</v>
      </c>
      <c r="C5491" t="str">
        <v>Tul Atas Tumpuan</v>
      </c>
      <c r="D5491">
        <f>VLOOKUP(D5484,'Detail Balok'!$C$10:$AU$110,4,FALSE)</f>
        <v>7</v>
      </c>
      <c r="E5491" t="str">
        <v>D</v>
      </c>
      <c r="F5491">
        <f>VLOOKUP(D5484,'Detail Balok'!$C$10:$AU$110,6,FALSE)</f>
        <v>22</v>
      </c>
      <c r="I5491" t="str">
        <v>(</v>
      </c>
      <c r="J5491">
        <f>+D5486/4/1000</f>
        <v>1.22875</v>
      </c>
      <c r="K5491" t="str">
        <v>+</v>
      </c>
      <c r="L5491">
        <f>MAX(VLOOKUP(F5491,N$6:P$15,3,FALSE)/1000,2/3*D5488/1000)+F$16*F5491/1000</f>
        <v>0.264</v>
      </c>
      <c r="M5491" t="str">
        <v>=</v>
      </c>
      <c r="N5491">
        <f>J5491+L5491</f>
        <v>1.49275</v>
      </c>
      <c r="O5491" t="str">
        <v>+</v>
      </c>
      <c r="P5491">
        <f>D5491-D5492</f>
        <v>5</v>
      </c>
      <c r="Q5491" t="str">
        <v>x</v>
      </c>
      <c r="R5491">
        <f>IF(P5491&gt;0,$F$18*F5491/1000,0)</f>
        <v>0.33</v>
      </c>
      <c r="S5491" t="str">
        <v>)</v>
      </c>
      <c r="T5491" t="str">
        <v>x</v>
      </c>
      <c r="U5491">
        <f>0.006165*F5491^2</f>
        <v>2.98386</v>
      </c>
      <c r="X5491" t="str">
        <v>x</v>
      </c>
      <c r="Y5491">
        <f>D5490</f>
        <v>1</v>
      </c>
      <c r="Z5491" t="str">
        <v>=</v>
      </c>
      <c r="AA5491">
        <f>IF(AA5494=0,(D5491*N5491+P5491*R5491)*U5491*Y5491,0)</f>
        <v>36.102468105</v>
      </c>
    </row>
    <row r="5492">
      <c r="A5492" t="str">
        <f>A5484</f>
        <v>Lantai 1</v>
      </c>
      <c r="B5492">
        <f>B5484</f>
        <v>86</v>
      </c>
      <c r="C5492" t="str">
        <v>Tul Atas Lapangan</v>
      </c>
      <c r="D5492">
        <f>VLOOKUP(D5484,'Detail Balok'!$C$10:$AU$110,7,FALSE)</f>
        <v>2</v>
      </c>
      <c r="E5492" t="str">
        <v>D</v>
      </c>
      <c r="F5492">
        <f>VLOOKUP(D5484,'Detail Balok'!$C$10:$AU$110,9,FALSE)</f>
        <v>22</v>
      </c>
      <c r="I5492" t="str">
        <v>(</v>
      </c>
      <c r="J5492">
        <f>+D5486/2/1000</f>
        <v>2.4575</v>
      </c>
      <c r="K5492" t="str">
        <v>+</v>
      </c>
      <c r="M5492" t="str">
        <v>=</v>
      </c>
      <c r="N5492">
        <f>J5492+L5492</f>
        <v>2.4575</v>
      </c>
      <c r="O5492" t="str">
        <v>+</v>
      </c>
      <c r="P5492">
        <f>MAX(D5492-D5491,D5492-D5493)</f>
        <v>-5</v>
      </c>
      <c r="Q5492" t="str">
        <v>x</v>
      </c>
      <c r="R5492">
        <f>IF(P5492&gt;0,2*(1-2*$F$19-1/2)*D5487/1000,0)</f>
        <v>0</v>
      </c>
      <c r="S5492" t="str">
        <v>)</v>
      </c>
      <c r="T5492" t="str">
        <v>x</v>
      </c>
      <c r="U5492">
        <f>0.006165*F5492^2</f>
        <v>2.98386</v>
      </c>
      <c r="X5492" t="str">
        <v>x</v>
      </c>
      <c r="Y5492">
        <f>D5490</f>
        <v>1</v>
      </c>
      <c r="Z5492" t="str">
        <v>=</v>
      </c>
      <c r="AA5492">
        <f>IF(AA5494=0,(D5492*N5492+P5492*R5492)*U5492*Y5492,0)</f>
        <v>14.6656719</v>
      </c>
    </row>
    <row r="5493">
      <c r="A5493" t="str">
        <f>A5484</f>
        <v>Lantai 1</v>
      </c>
      <c r="B5493">
        <f>B5484</f>
        <v>86</v>
      </c>
      <c r="C5493" t="str">
        <v>Tul Atas Tumpuan</v>
      </c>
      <c r="D5493">
        <f>VLOOKUP(D5484,'Detail Balok'!$C$10:$AU$110,10,FALSE)</f>
        <v>7</v>
      </c>
      <c r="E5493" t="str">
        <v>D</v>
      </c>
      <c r="F5493">
        <f>VLOOKUP(D5484,'Detail Balok'!$C$10:$AU$110,12,FALSE)</f>
        <v>22</v>
      </c>
      <c r="I5493" t="str">
        <v>(</v>
      </c>
      <c r="J5493">
        <f>+D5486/4/1000</f>
        <v>1.22875</v>
      </c>
      <c r="K5493" t="str">
        <v>+</v>
      </c>
      <c r="L5493">
        <f>MAX(VLOOKUP(F5493,N$6:P$15,3,FALSE)/1000,2/3*D5488/1000)+F$16*F5493/1000</f>
        <v>0.264</v>
      </c>
      <c r="M5493" t="str">
        <v>=</v>
      </c>
      <c r="N5493">
        <f>J5493+L5493</f>
        <v>1.49275</v>
      </c>
      <c r="O5493" t="str">
        <v>+</v>
      </c>
      <c r="P5493">
        <f>D5493-D5492</f>
        <v>5</v>
      </c>
      <c r="Q5493" t="str">
        <v>x</v>
      </c>
      <c r="R5493">
        <f>IF(P5493&gt;0,$F$18*F5493/1000,0)</f>
        <v>0.33</v>
      </c>
      <c r="S5493" t="str">
        <v>)</v>
      </c>
      <c r="T5493" t="str">
        <v>x</v>
      </c>
      <c r="U5493">
        <f>0.006165*F5493^2</f>
        <v>2.98386</v>
      </c>
      <c r="X5493" t="str">
        <v>x</v>
      </c>
      <c r="Y5493">
        <f>D5490</f>
        <v>1</v>
      </c>
      <c r="Z5493" t="str">
        <v>=</v>
      </c>
      <c r="AA5493">
        <f>IF(AA5494=0,(D5493*N5493+P5493*R5493)*U5493*Y5493,0)</f>
        <v>36.102468105</v>
      </c>
    </row>
    <row r="5494">
      <c r="A5494" t="str">
        <f>A5484</f>
        <v>Lantai 1</v>
      </c>
      <c r="B5494">
        <f>B5484</f>
        <v>86</v>
      </c>
      <c r="D5494">
        <f>IF(AND(D5491=D5492,D5492=D5493,D5491=D5493),D5491,0)</f>
        <v>0</v>
      </c>
      <c r="E5494" t="str">
        <v>D</v>
      </c>
      <c r="F5494">
        <f>IF(AND(F5491=F5492,F5491=F5493,F5492=F5493),F5491,0)</f>
        <v>22</v>
      </c>
      <c r="L5494" t="str">
        <v>Total panjang per balok</v>
      </c>
      <c r="M5494" t="str">
        <v>=</v>
      </c>
      <c r="N5494">
        <f>IF(AND(D5491=D5492,D5491=D5493,D5492=D5493,F5491=F5492,F5491=F5493,F5492=F5493),SUM(N5491:N5493),0)</f>
        <v>0</v>
      </c>
      <c r="O5494" t="str">
        <v>+</v>
      </c>
      <c r="P5494">
        <f>IF(N5494&gt;12,ROUNDDOWN(N5494/12,0),0)</f>
        <v>0</v>
      </c>
      <c r="Q5494" t="str">
        <v>x</v>
      </c>
      <c r="R5494">
        <f>IF(P5494&gt;0,MAX(VLOOKUP(F5494,$D$6:$G$15,3,FALSE),600),0)/1000</f>
        <v>0</v>
      </c>
      <c r="T5494" t="str">
        <v>x</v>
      </c>
      <c r="U5494">
        <f>U5493</f>
        <v>2.98386</v>
      </c>
      <c r="V5494" t="str">
        <v>x</v>
      </c>
      <c r="W5494">
        <f>D5494</f>
        <v>0</v>
      </c>
      <c r="X5494" t="str">
        <v>x</v>
      </c>
      <c r="Y5494">
        <f>Y5493</f>
        <v>1</v>
      </c>
      <c r="Z5494" t="str">
        <v>=</v>
      </c>
      <c r="AA5494">
        <f>(N5494+P5494*R5494/1000)*U5494*W5494*Y5494</f>
        <v>0</v>
      </c>
    </row>
    <row r="5496">
      <c r="A5496" t="str">
        <f>A5484</f>
        <v>Lantai 1</v>
      </c>
      <c r="B5496">
        <f>B5484</f>
        <v>86</v>
      </c>
      <c r="C5496" t="str">
        <v>Tul Peminggang</v>
      </c>
      <c r="D5496">
        <f>VLOOKUP(D5484,'Detail Balok'!$C$10:$AU$110,13,FALSE)</f>
        <v>2</v>
      </c>
      <c r="E5496" t="str">
        <v>D</v>
      </c>
      <c r="F5496">
        <f>VLOOKUP(D5484,'Detail Balok'!$C$10:$AU$110,15,FALSE)</f>
        <v>10</v>
      </c>
      <c r="J5496">
        <f>+D5486/1000</f>
        <v>4.915</v>
      </c>
      <c r="K5496" t="str">
        <v>+</v>
      </c>
      <c r="L5496">
        <f>2*$F$16*F5496/1000</f>
        <v>0.24</v>
      </c>
      <c r="M5496" t="str">
        <v>=</v>
      </c>
      <c r="N5496">
        <f>J5496+L5496</f>
        <v>5.155</v>
      </c>
      <c r="O5496" t="str">
        <v>+</v>
      </c>
      <c r="P5496">
        <f>IF(N5496&gt;12,ROUNDDOWN(N5496/12,0),0)</f>
        <v>0</v>
      </c>
      <c r="Q5496" t="str">
        <v>x</v>
      </c>
      <c r="R5496">
        <f>IF(P5496&gt;0,MAX(VLOOKUP(F5496,$D$6:$G$15,3,FALSE),600),0)/1000</f>
        <v>0</v>
      </c>
      <c r="T5496" t="str">
        <v>x</v>
      </c>
      <c r="U5496">
        <f>0.006165*F5496^2</f>
        <v>0.6165</v>
      </c>
      <c r="V5496" t="str">
        <v>x</v>
      </c>
      <c r="W5496">
        <f>+D5496</f>
        <v>2</v>
      </c>
      <c r="X5496" t="str">
        <v>x</v>
      </c>
      <c r="Y5496">
        <f>D5490</f>
        <v>1</v>
      </c>
      <c r="Z5496" t="str">
        <v>=</v>
      </c>
      <c r="AA5496">
        <f>(N5496+P5496*R5496/1000)*U5496*W5496*Y5496</f>
        <v>6.356115000000001</v>
      </c>
    </row>
    <row r="5499">
      <c r="A5499" t="str">
        <f>A5484</f>
        <v>Lantai 1</v>
      </c>
      <c r="B5499">
        <f>B5484</f>
        <v>86</v>
      </c>
      <c r="C5499" t="str">
        <v>Tul Bawah Tumpuan</v>
      </c>
      <c r="D5499">
        <f>VLOOKUP(D5484,'Detail Balok'!$C$10:$AU$110,22,FALSE)</f>
        <v>4</v>
      </c>
      <c r="E5499" t="str">
        <v>D</v>
      </c>
      <c r="F5499">
        <f>VLOOKUP(D5484,'Detail Balok'!$C$10:$AU$110,24,FALSE)</f>
        <v>22</v>
      </c>
      <c r="I5499" t="str">
        <v>(</v>
      </c>
      <c r="J5499">
        <f>+J5491</f>
        <v>1.22875</v>
      </c>
      <c r="K5499" t="str">
        <v>+</v>
      </c>
      <c r="L5499">
        <f>MAX(VLOOKUP(F5499,N$6:P$15,3,FALSE)/1000,2/3*D5489/1000)+F$16*F5499/1000</f>
        <v>0.264</v>
      </c>
      <c r="M5499" t="str">
        <v>=</v>
      </c>
      <c r="N5499">
        <f>J5499+L5499</f>
        <v>1.49275</v>
      </c>
      <c r="O5499" t="str">
        <v>+</v>
      </c>
      <c r="P5499">
        <f>D5499-D5500</f>
        <v>-2</v>
      </c>
      <c r="Q5499" t="str">
        <v>x</v>
      </c>
      <c r="R5499">
        <f>IF(P5499&gt;0,$F$18*F5499/1000,0)</f>
        <v>0</v>
      </c>
      <c r="S5499" t="str">
        <v>)</v>
      </c>
      <c r="T5499" t="str">
        <v>x</v>
      </c>
      <c r="U5499">
        <f>0.006165*F5499^2</f>
        <v>2.98386</v>
      </c>
      <c r="X5499" t="str">
        <v>x</v>
      </c>
      <c r="Y5499">
        <f>D5490</f>
        <v>1</v>
      </c>
      <c r="Z5499" t="str">
        <v>=</v>
      </c>
      <c r="AA5499">
        <f>IF(AA5502=0,(D5499*N5499+P5499*R5499)*U5499*Y5499,0)</f>
        <v>17.81662806</v>
      </c>
    </row>
    <row r="5500">
      <c r="A5500" t="str">
        <f>A5484</f>
        <v>Lantai 1</v>
      </c>
      <c r="B5500">
        <f>B5484</f>
        <v>86</v>
      </c>
      <c r="C5500" t="str">
        <v>Tul Bawah Lapangan</v>
      </c>
      <c r="D5500">
        <f>VLOOKUP(D5484,'Detail Balok'!$C$10:$AU$110,25,FALSE)</f>
        <v>6</v>
      </c>
      <c r="E5500" t="str">
        <v>D</v>
      </c>
      <c r="F5500">
        <f>VLOOKUP(D5484,'Detail Balok'!$C$10:$AU$110,27,FALSE)</f>
        <v>22</v>
      </c>
      <c r="I5500" t="str">
        <v>(</v>
      </c>
      <c r="J5500">
        <f>+J5492</f>
        <v>2.4575</v>
      </c>
      <c r="K5500" t="str">
        <v>+</v>
      </c>
      <c r="M5500" t="str">
        <v>=</v>
      </c>
      <c r="N5500">
        <f>J5500+L5500</f>
        <v>2.4575</v>
      </c>
      <c r="O5500" t="str">
        <v>+</v>
      </c>
      <c r="P5500">
        <f>MAX(D5500-D5499,D5500-D5501)</f>
        <v>2</v>
      </c>
      <c r="Q5500" t="str">
        <v>x</v>
      </c>
      <c r="R5500">
        <f>IF(P5500&gt;0,2*(1-2*$F$19-1/2)*D5487/1000,0)</f>
        <v>0.9829999999999998</v>
      </c>
      <c r="S5500" t="str">
        <v>)</v>
      </c>
      <c r="T5500" t="str">
        <v>x</v>
      </c>
      <c r="U5500">
        <f>0.006165*F5500^2</f>
        <v>2.98386</v>
      </c>
      <c r="X5500" t="str">
        <v>x</v>
      </c>
      <c r="Y5500">
        <f>D5490</f>
        <v>1</v>
      </c>
      <c r="Z5500" t="str">
        <v>=</v>
      </c>
      <c r="AA5500">
        <f>IF(AA5502=0,(D5500*N5500+P5500*R5500)*U5500*Y5500,0)</f>
        <v>49.86328446</v>
      </c>
    </row>
    <row r="5501">
      <c r="A5501" t="str">
        <f>A5484</f>
        <v>Lantai 1</v>
      </c>
      <c r="B5501">
        <f>B5484</f>
        <v>86</v>
      </c>
      <c r="C5501" t="str">
        <v>Tul Bawah Tumpuan</v>
      </c>
      <c r="D5501">
        <f>VLOOKUP(D5484,'Detail Balok'!$C$10:$AU$110,28,FALSE)</f>
        <v>4</v>
      </c>
      <c r="E5501" t="str">
        <v>D</v>
      </c>
      <c r="F5501">
        <f>VLOOKUP(D5484,'Detail Balok'!$C$10:$AU$110,30,FALSE)</f>
        <v>22</v>
      </c>
      <c r="I5501" t="str">
        <v>(</v>
      </c>
      <c r="J5501">
        <f>+J5493</f>
        <v>1.22875</v>
      </c>
      <c r="K5501" t="str">
        <v>+</v>
      </c>
      <c r="L5501">
        <f>MAX(VLOOKUP(F5501,N$6:P$15,3,FALSE)/1000,2/3*D5489/1000)+F$16*F5501/1000</f>
        <v>0.264</v>
      </c>
      <c r="M5501" t="str">
        <v>=</v>
      </c>
      <c r="N5501">
        <f>J5501+L5501</f>
        <v>1.49275</v>
      </c>
      <c r="O5501" t="str">
        <v>+</v>
      </c>
      <c r="P5501">
        <f>D5501-D5500</f>
        <v>-2</v>
      </c>
      <c r="Q5501" t="str">
        <v>x</v>
      </c>
      <c r="R5501">
        <f>IF(P5501&gt;0,$F$18*F5501/1000,0)</f>
        <v>0</v>
      </c>
      <c r="S5501" t="str">
        <v>)</v>
      </c>
      <c r="T5501" t="str">
        <v>x</v>
      </c>
      <c r="U5501">
        <f>0.006165*F5501^2</f>
        <v>2.98386</v>
      </c>
      <c r="X5501" t="str">
        <v>x</v>
      </c>
      <c r="Y5501">
        <f>D5490</f>
        <v>1</v>
      </c>
      <c r="Z5501" t="str">
        <v>=</v>
      </c>
      <c r="AA5501">
        <f>IF(AA5502=0,(D5501*N5501+P5501*R5501)*U5501*Y5501,0)</f>
        <v>17.81662806</v>
      </c>
    </row>
    <row r="5502">
      <c r="A5502" t="str">
        <f>A5484</f>
        <v>Lantai 1</v>
      </c>
      <c r="B5502">
        <f>B5484</f>
        <v>86</v>
      </c>
      <c r="D5502">
        <f>IF(AND(D5499=D5500,D5500=D5501,D5499=D5501),D5499,0)</f>
        <v>0</v>
      </c>
      <c r="E5502" t="str">
        <v>D</v>
      </c>
      <c r="F5502">
        <f>IF(AND(F5499=F5500,F5499=F5501,F5500=F5501),F5499,0)</f>
        <v>22</v>
      </c>
      <c r="L5502" t="str">
        <v>Total panjang per balok</v>
      </c>
      <c r="M5502" t="str">
        <v>=</v>
      </c>
      <c r="N5502">
        <f>IF(AND(D5499=D5500,D5499=D5501,D5500=D5501,F5499=F5500,F5499=F5501,F5500=F5501),SUM(N5499:N5501),0)</f>
        <v>0</v>
      </c>
      <c r="O5502" t="str">
        <v>+</v>
      </c>
      <c r="P5502">
        <f>IF(N5502&gt;12,ROUNDDOWN(N5502/12,0),0)</f>
        <v>0</v>
      </c>
      <c r="Q5502" t="str">
        <v>x</v>
      </c>
      <c r="R5502">
        <f>IF(P5502&gt;0,MAX(VLOOKUP(F5502,$D$6:$G$15,3,FALSE),600),0)/1000</f>
        <v>0</v>
      </c>
      <c r="T5502" t="str">
        <v>x</v>
      </c>
      <c r="U5502">
        <f>U5501</f>
        <v>2.98386</v>
      </c>
      <c r="V5502" t="str">
        <v>x</v>
      </c>
      <c r="W5502">
        <f>D5502</f>
        <v>0</v>
      </c>
      <c r="X5502" t="str">
        <v>x</v>
      </c>
      <c r="Y5502">
        <f>Y5501</f>
        <v>1</v>
      </c>
      <c r="Z5502" t="str">
        <v>=</v>
      </c>
      <c r="AA5502">
        <f>(N5502+P5502*R5502/1000)*U5502*W5502*Y5502</f>
        <v>0</v>
      </c>
    </row>
    <row r="5504">
      <c r="A5504" t="str">
        <f>A5484</f>
        <v>Lantai 1</v>
      </c>
      <c r="B5504">
        <f>B5484</f>
        <v>86</v>
      </c>
      <c r="C5504" t="str">
        <v>Sengkang Tumpuan</v>
      </c>
      <c r="D5504">
        <f>VLOOKUP(D5484,'Detail Balok'!$C$10:$AU$110,31,FALSE)</f>
        <v>0</v>
      </c>
      <c r="E5504" t="str">
        <v>D</v>
      </c>
      <c r="F5504">
        <f>VLOOKUP(D5484,'Detail Balok'!$C$10:$AU$110,33,FALSE)</f>
        <v>10</v>
      </c>
      <c r="G5504" t="str">
        <v>-</v>
      </c>
      <c r="H5504">
        <f>VLOOKUP(D5484,'Detail Balok'!$C$10:$AU$110,35,FALSE)</f>
        <v>80</v>
      </c>
      <c r="J5504">
        <f>(IF(D5504=0,(2*(D5485+G5485))-(F$5*8),IF(D5504=3,(2*(D5485+G5485))-(F$5*8)+(G5485-2*F$5),IF(D5504=4,(2*(D5485+G5485))-(F$5*8)+2*(G5485-2*F$5)))))/1000</f>
        <v>1.68</v>
      </c>
      <c r="K5504" t="str">
        <v>+</v>
      </c>
      <c r="L5504">
        <f>IF(D5504=0,2*MAX(6*F5504,75),(D5504-1)*2*MAX(6*F5504,75))/1000</f>
        <v>0.15</v>
      </c>
      <c r="M5504" t="str">
        <v>=</v>
      </c>
      <c r="N5504">
        <f>J5504+L5504</f>
        <v>1.8299999999999998</v>
      </c>
      <c r="T5504" t="str">
        <v>x</v>
      </c>
      <c r="U5504">
        <f>0.006165*F5504^2</f>
        <v>0.6165</v>
      </c>
      <c r="V5504" t="str">
        <v>x</v>
      </c>
      <c r="W5504">
        <f>IF(D5487&gt;4*G5485,ROUND(MAX(D5487/4,2*G5485)/H5504,0)+1,ROUND(D5487/H5504,0)+1)</f>
        <v>19</v>
      </c>
      <c r="X5504" t="str">
        <v>x</v>
      </c>
      <c r="Y5504">
        <f>D5490</f>
        <v>1</v>
      </c>
      <c r="Z5504" t="str">
        <v>=</v>
      </c>
      <c r="AA5504">
        <f>N5504*U5504*W5504*Y5504</f>
        <v>21.435705000000002</v>
      </c>
    </row>
    <row r="5505">
      <c r="A5505" t="str">
        <f>A5484</f>
        <v>Lantai 1</v>
      </c>
      <c r="B5505">
        <f>B5484</f>
        <v>86</v>
      </c>
      <c r="C5505" t="str">
        <v>Sengkang Lapangan</v>
      </c>
      <c r="D5505">
        <f>VLOOKUP(D5484,'Detail Balok'!$C$10:$AU$110,36,FALSE)</f>
        <v>0</v>
      </c>
      <c r="E5505" t="str">
        <v>D</v>
      </c>
      <c r="F5505">
        <f>VLOOKUP(D5484,'Detail Balok'!$C$10:$AU$110,38,FALSE)</f>
        <v>10</v>
      </c>
      <c r="G5505" t="str">
        <v>-</v>
      </c>
      <c r="H5505">
        <f>VLOOKUP(D5484,'Detail Balok'!$C$10:$AU$110,40,FALSE)</f>
        <v>100</v>
      </c>
      <c r="J5505">
        <f>(IF(D5505=0,(2*(D5485+G5485))-(F$5*8),IF(D5505=3,(2*(D5485+G5485))-(F$5*8)+(G5485-2*F$5),IF(D5505=4,(2*(D5485+G5485))-(F$5*8)+2*(G5485-2*F$5)))))/1000</f>
        <v>1.68</v>
      </c>
      <c r="K5505" t="str">
        <v>+</v>
      </c>
      <c r="L5505">
        <f>IF(D5505=0,2*MAX(6*F5505,75),(D5505-1)*2*MAX(6*F5505,75))/1000</f>
        <v>0.15</v>
      </c>
      <c r="M5505" t="str">
        <v>=</v>
      </c>
      <c r="N5505">
        <f>J5505+L5505</f>
        <v>1.8299999999999998</v>
      </c>
      <c r="T5505" t="str">
        <v>x</v>
      </c>
      <c r="U5505">
        <f>0.006165*F5505^2</f>
        <v>0.6165</v>
      </c>
      <c r="V5505" t="str">
        <v>x</v>
      </c>
      <c r="W5505">
        <f>IF(D5487-MAX(D5487/4,2*G5485)*2&gt;0,ROUND((D5487-MAX(D5487/4,2*G5485)*2)/H5505,0),0)</f>
        <v>21</v>
      </c>
      <c r="X5505" t="str">
        <v>x</v>
      </c>
      <c r="Y5505">
        <f>D5490</f>
        <v>1</v>
      </c>
      <c r="Z5505" t="str">
        <v>=</v>
      </c>
      <c r="AA5505">
        <f>N5505*U5505*W5505*Y5505</f>
        <v>23.692095000000002</v>
      </c>
    </row>
    <row r="5506">
      <c r="A5506" t="str">
        <f>A5484</f>
        <v>Lantai 1</v>
      </c>
      <c r="B5506">
        <f>B5484</f>
        <v>86</v>
      </c>
      <c r="C5506" t="str">
        <v>Sengkang Tumpuan</v>
      </c>
      <c r="D5506">
        <f>VLOOKUP(D5484,'Detail Balok'!$C$10:$AU$110,41,FALSE)</f>
        <v>0</v>
      </c>
      <c r="E5506" t="str">
        <v>D</v>
      </c>
      <c r="F5506">
        <f>VLOOKUP(D5484,'Detail Balok'!$C$10:$AU$110,43,FALSE)</f>
        <v>10</v>
      </c>
      <c r="G5506" t="str">
        <v>-</v>
      </c>
      <c r="H5506">
        <f>VLOOKUP(D5484,'Detail Balok'!$C$10:$AU$110,45,FALSE)</f>
        <v>80</v>
      </c>
      <c r="J5506">
        <f>(IF(D5506=0,(2*(D5485+G5485))-(F$5*8),IF(D5506=3,(2*(D5485+G5485))-(F$5*8)+(G5485-2*F$5),IF(D5506=4,(2*(D5485+G5485))-(F$5*8)+2*(G5485-2*F$5)))))/1000</f>
        <v>1.68</v>
      </c>
      <c r="K5506" t="str">
        <v>+</v>
      </c>
      <c r="L5506">
        <f>IF(D5506=0,2*MAX(6*F5506,75),(D5506-1)*2*MAX(6*F5506,75))/1000</f>
        <v>0.15</v>
      </c>
      <c r="M5506" t="str">
        <v>=</v>
      </c>
      <c r="N5506">
        <f>J5506+L5506</f>
        <v>1.8299999999999998</v>
      </c>
      <c r="T5506" t="str">
        <v>x</v>
      </c>
      <c r="U5506">
        <f>0.006165*F5506^2</f>
        <v>0.6165</v>
      </c>
      <c r="V5506" t="str">
        <v>x</v>
      </c>
      <c r="W5506">
        <f>IF(D5487&gt;4*G5485,ROUND(MAX(D5487/4,2*G5485)/H5506,0)+1,0)</f>
        <v>19</v>
      </c>
      <c r="X5506" t="str">
        <v>x</v>
      </c>
      <c r="Y5506">
        <f>D5490</f>
        <v>1</v>
      </c>
      <c r="Z5506" t="str">
        <v>=</v>
      </c>
      <c r="AA5506">
        <f>N5506*U5506*W5506*Y5506</f>
        <v>21.435705000000002</v>
      </c>
    </row>
    <row r="5508">
      <c r="A5508" t="str">
        <f>A5484</f>
        <v>Lantai 1</v>
      </c>
      <c r="B5508">
        <f>B5484</f>
        <v>86</v>
      </c>
      <c r="C5508" t="str">
        <v>Kait Horizontal Tump.</v>
      </c>
      <c r="D5508">
        <f>VLOOKUP(D5484,'Detail Balok'!$C$10:$BJ$110,46,FALSE)</f>
        <v>0</v>
      </c>
      <c r="E5508" t="str">
        <v>D</v>
      </c>
      <c r="F5508">
        <f>VLOOKUP(D5484,'Detail Balok'!$C$10:$BJ$110,48,FALSE)</f>
        <v>0</v>
      </c>
      <c r="G5508" t="str">
        <v>-</v>
      </c>
      <c r="H5508">
        <f>VLOOKUP(D5484,'Detail Balok'!$C$10:$BJ$110,50,FALSE)</f>
        <v>100</v>
      </c>
      <c r="J5508">
        <f>(D5485-2*F$5)/1000</f>
        <v>0.22</v>
      </c>
      <c r="K5508" t="str">
        <v>+</v>
      </c>
      <c r="L5508">
        <f>IF(D5508=0,2*MAX(6*F5508,75),(D5508-1)*2*MAX(6*F5508,75))/1000</f>
        <v>0.15</v>
      </c>
      <c r="M5508" t="str">
        <v>=</v>
      </c>
      <c r="N5508">
        <f>J5508+L5508</f>
        <v>0.37</v>
      </c>
      <c r="T5508" t="str">
        <v>x</v>
      </c>
      <c r="U5508">
        <f>0.006165*F5508^2</f>
        <v>0</v>
      </c>
      <c r="V5508" t="str">
        <v>x</v>
      </c>
      <c r="W5508">
        <f>W5504</f>
        <v>19</v>
      </c>
      <c r="X5508" t="str">
        <v>x</v>
      </c>
      <c r="Y5508">
        <f>D5494</f>
        <v>0</v>
      </c>
      <c r="Z5508" t="str">
        <v>=</v>
      </c>
      <c r="AA5508">
        <f>N5508*U5508*W5508*Y5508</f>
        <v>0</v>
      </c>
    </row>
    <row r="5509">
      <c r="A5509" t="str">
        <f>A5484</f>
        <v>Lantai 1</v>
      </c>
      <c r="B5509">
        <f>B5484</f>
        <v>86</v>
      </c>
      <c r="C5509" t="str">
        <v>Kait Horizontal Lap.</v>
      </c>
      <c r="D5509">
        <f>VLOOKUP(D5484,'Detail Balok'!$C$10:$BJ$110,51,FALSE)</f>
        <v>0</v>
      </c>
      <c r="E5509" t="str">
        <v>D</v>
      </c>
      <c r="F5509">
        <f>VLOOKUP(D5484,'Detail Balok'!$C$10:$BJ$110,53,FALSE)</f>
        <v>0</v>
      </c>
      <c r="G5509" t="str">
        <v>-</v>
      </c>
      <c r="H5509">
        <f>VLOOKUP(D5484,'Detail Balok'!$C$10:$BJ$110,55,FALSE)</f>
        <v>100</v>
      </c>
      <c r="J5509">
        <f>(D5485-2*F$5)/1000</f>
        <v>0.22</v>
      </c>
      <c r="K5509" t="str">
        <v>+</v>
      </c>
      <c r="L5509">
        <f>IF(D5509=0,2*MAX(6*F5509,75),(D5509-1)*2*MAX(6*F5509,75))/1000</f>
        <v>0.15</v>
      </c>
      <c r="M5509" t="str">
        <v>=</v>
      </c>
      <c r="N5509">
        <f>J5509+L5509</f>
        <v>0.37</v>
      </c>
      <c r="T5509" t="str">
        <v>x</v>
      </c>
      <c r="U5509">
        <f>0.006165*F5509^2</f>
        <v>0</v>
      </c>
      <c r="V5509" t="str">
        <v>x</v>
      </c>
      <c r="W5509">
        <f>W5505</f>
        <v>21</v>
      </c>
      <c r="X5509" t="str">
        <v>x</v>
      </c>
      <c r="Y5509">
        <f>D5494</f>
        <v>0</v>
      </c>
      <c r="Z5509" t="str">
        <v>=</v>
      </c>
      <c r="AA5509">
        <f>N5509*U5509*W5509*Y5509</f>
        <v>0</v>
      </c>
    </row>
    <row r="5510">
      <c r="A5510" t="str">
        <f>A5484</f>
        <v>Lantai 1</v>
      </c>
      <c r="B5510">
        <f>B5484</f>
        <v>86</v>
      </c>
      <c r="C5510" t="str">
        <v>Kait Horizontal Tump.</v>
      </c>
      <c r="D5510">
        <f>VLOOKUP(D5484,'Detail Balok'!$C$10:$BJ$110,56,FALSE)</f>
        <v>0</v>
      </c>
      <c r="E5510" t="str">
        <v>D</v>
      </c>
      <c r="F5510">
        <f>VLOOKUP(D5484,'Detail Balok'!$C$10:$BJ$110,58,FALSE)</f>
        <v>0</v>
      </c>
      <c r="G5510" t="str">
        <v>-</v>
      </c>
      <c r="H5510">
        <f>VLOOKUP(D5484,'Detail Balok'!$C$10:$BJ$110,60,FALSE)</f>
        <v>100</v>
      </c>
      <c r="J5510">
        <f>(D5485-2*F$5)/1000</f>
        <v>0.22</v>
      </c>
      <c r="K5510" t="str">
        <v>+</v>
      </c>
      <c r="L5510">
        <f>IF(D5510=0,2*MAX(6*F5510,75),(D5510-1)*2*MAX(6*F5510,75))/1000</f>
        <v>0.15</v>
      </c>
      <c r="M5510" t="str">
        <v>=</v>
      </c>
      <c r="N5510">
        <f>J5510+L5510</f>
        <v>0.37</v>
      </c>
      <c r="T5510" t="str">
        <v>x</v>
      </c>
      <c r="U5510">
        <f>0.006165*F5510^2</f>
        <v>0</v>
      </c>
      <c r="V5510" t="str">
        <v>x</v>
      </c>
      <c r="W5510">
        <f>W5506</f>
        <v>19</v>
      </c>
      <c r="X5510" t="str">
        <v>x</v>
      </c>
      <c r="Y5510">
        <f>D5494</f>
        <v>0</v>
      </c>
      <c r="Z5510" t="str">
        <v>=</v>
      </c>
      <c r="AA5510">
        <f>N5510*U5510*W5510*Y5510</f>
        <v>0</v>
      </c>
    </row>
    <row r="5514">
      <c r="A5514" t="str">
        <f>A5484</f>
        <v>Lantai 1</v>
      </c>
      <c r="B5514">
        <f>B5484+1</f>
        <v>87</v>
      </c>
      <c r="C5514" t="str">
        <f>CONCATENATE(A5514," no. ",B5514)</f>
        <v>Lantai 1 no. 87</v>
      </c>
      <c r="D5514" t="str">
        <f>VLOOKUP(C5514,'Data Panjang Balok'!$C$9:$N$424,2,FALSE)</f>
        <v>B37-1</v>
      </c>
    </row>
    <row r="5515">
      <c r="C5515" t="str">
        <v>Dimensi</v>
      </c>
      <c r="D5515">
        <f>VLOOKUP(D5514,'Detail Balok'!$C$10:$AU$110,2,FALSE)</f>
        <v>300</v>
      </c>
      <c r="F5515" t="str">
        <v>x</v>
      </c>
      <c r="G5515">
        <f>VLOOKUP(D5514,'Detail Balok'!$C$10:$AU$110,3,FALSE)</f>
        <v>700</v>
      </c>
    </row>
    <row r="5516">
      <c r="C5516" t="str">
        <v>Panjang as ke as</v>
      </c>
      <c r="D5516">
        <f>VLOOKUP(C5514,'Data Panjang Balok'!$C$9:$N$424,4,FALSE)</f>
        <v>5715</v>
      </c>
    </row>
    <row r="5517">
      <c r="C5517" t="str">
        <v>Panjang netto</v>
      </c>
      <c r="D5517">
        <f>VLOOKUP(C5514,'Data Panjang Balok'!$C$9:$N$424,7,FALSE)</f>
        <v>5715</v>
      </c>
    </row>
    <row r="5518">
      <c r="C5518" t="str">
        <v>Kolom / balok kiri</v>
      </c>
      <c r="D5518">
        <f>VLOOKUP(C5514,'Data Panjang Balok'!$C$9:$N$424,9,FALSE)</f>
        <v>0</v>
      </c>
    </row>
    <row r="5519">
      <c r="C5519" t="str">
        <v>Kolom / balok kanan</v>
      </c>
      <c r="D5519">
        <f>VLOOKUP(C5514,'Data Panjang Balok'!$C$9:$N$424,10,FALSE)</f>
        <v>0</v>
      </c>
    </row>
    <row r="5520">
      <c r="C5520" t="str">
        <v>Jumlah</v>
      </c>
      <c r="D5520">
        <f>VLOOKUP(C5514,'Data Panjang Balok'!$C$9:$N$424,3,FALSE)</f>
        <v>1</v>
      </c>
    </row>
    <row r="5521">
      <c r="A5521" t="str">
        <f>A5514</f>
        <v>Lantai 1</v>
      </c>
      <c r="B5521">
        <f>B5514</f>
        <v>87</v>
      </c>
      <c r="C5521" t="str">
        <v>Tul Atas Tumpuan</v>
      </c>
      <c r="D5521">
        <f>VLOOKUP(D5514,'Detail Balok'!$C$10:$AU$110,4,FALSE)</f>
        <v>7</v>
      </c>
      <c r="E5521" t="str">
        <v>D</v>
      </c>
      <c r="F5521">
        <f>VLOOKUP(D5514,'Detail Balok'!$C$10:$AU$110,6,FALSE)</f>
        <v>22</v>
      </c>
      <c r="I5521" t="str">
        <v>(</v>
      </c>
      <c r="J5521">
        <f>+D5516/4/1000</f>
        <v>1.42875</v>
      </c>
      <c r="K5521" t="str">
        <v>+</v>
      </c>
      <c r="L5521">
        <f>MAX(VLOOKUP(F5521,N$6:P$15,3,FALSE)/1000,2/3*D5518/1000)+F$16*F5521/1000</f>
        <v>0.264</v>
      </c>
      <c r="M5521" t="str">
        <v>=</v>
      </c>
      <c r="N5521">
        <f>J5521+L5521</f>
        <v>1.69275</v>
      </c>
      <c r="O5521" t="str">
        <v>+</v>
      </c>
      <c r="P5521">
        <f>D5521-D5522</f>
        <v>5</v>
      </c>
      <c r="Q5521" t="str">
        <v>x</v>
      </c>
      <c r="R5521">
        <f>IF(P5521&gt;0,$F$18*F5521/1000,0)</f>
        <v>0.33</v>
      </c>
      <c r="S5521" t="str">
        <v>)</v>
      </c>
      <c r="T5521" t="str">
        <v>x</v>
      </c>
      <c r="U5521">
        <f>0.006165*F5521^2</f>
        <v>2.98386</v>
      </c>
      <c r="X5521" t="str">
        <v>x</v>
      </c>
      <c r="Y5521">
        <f>D5520</f>
        <v>1</v>
      </c>
      <c r="Z5521" t="str">
        <v>=</v>
      </c>
      <c r="AA5521">
        <f>IF(AA5524=0,(D5521*N5521+P5521*R5521)*U5521*Y5521,0)</f>
        <v>40.279872105</v>
      </c>
    </row>
    <row r="5522">
      <c r="A5522" t="str">
        <f>A5514</f>
        <v>Lantai 1</v>
      </c>
      <c r="B5522">
        <f>B5514</f>
        <v>87</v>
      </c>
      <c r="C5522" t="str">
        <v>Tul Atas Lapangan</v>
      </c>
      <c r="D5522">
        <f>VLOOKUP(D5514,'Detail Balok'!$C$10:$AU$110,7,FALSE)</f>
        <v>2</v>
      </c>
      <c r="E5522" t="str">
        <v>D</v>
      </c>
      <c r="F5522">
        <f>VLOOKUP(D5514,'Detail Balok'!$C$10:$AU$110,9,FALSE)</f>
        <v>22</v>
      </c>
      <c r="I5522" t="str">
        <v>(</v>
      </c>
      <c r="J5522">
        <f>+D5516/2/1000</f>
        <v>2.8575</v>
      </c>
      <c r="K5522" t="str">
        <v>+</v>
      </c>
      <c r="M5522" t="str">
        <v>=</v>
      </c>
      <c r="N5522">
        <f>J5522+L5522</f>
        <v>2.8575</v>
      </c>
      <c r="O5522" t="str">
        <v>+</v>
      </c>
      <c r="P5522">
        <f>MAX(D5522-D5521,D5522-D5523)</f>
        <v>-5</v>
      </c>
      <c r="Q5522" t="str">
        <v>x</v>
      </c>
      <c r="R5522">
        <f>IF(P5522&gt;0,2*(1-2*$F$19-1/2)*D5517/1000,0)</f>
        <v>0</v>
      </c>
      <c r="S5522" t="str">
        <v>)</v>
      </c>
      <c r="T5522" t="str">
        <v>x</v>
      </c>
      <c r="U5522">
        <f>0.006165*F5522^2</f>
        <v>2.98386</v>
      </c>
      <c r="X5522" t="str">
        <v>x</v>
      </c>
      <c r="Y5522">
        <f>D5520</f>
        <v>1</v>
      </c>
      <c r="Z5522" t="str">
        <v>=</v>
      </c>
      <c r="AA5522">
        <f>IF(AA5524=0,(D5522*N5522+P5522*R5522)*U5522*Y5522,0)</f>
        <v>17.052759899999998</v>
      </c>
    </row>
    <row r="5523">
      <c r="A5523" t="str">
        <f>A5514</f>
        <v>Lantai 1</v>
      </c>
      <c r="B5523">
        <f>B5514</f>
        <v>87</v>
      </c>
      <c r="C5523" t="str">
        <v>Tul Atas Tumpuan</v>
      </c>
      <c r="D5523">
        <f>VLOOKUP(D5514,'Detail Balok'!$C$10:$AU$110,10,FALSE)</f>
        <v>7</v>
      </c>
      <c r="E5523" t="str">
        <v>D</v>
      </c>
      <c r="F5523">
        <f>VLOOKUP(D5514,'Detail Balok'!$C$10:$AU$110,12,FALSE)</f>
        <v>22</v>
      </c>
      <c r="I5523" t="str">
        <v>(</v>
      </c>
      <c r="J5523">
        <f>+D5516/4/1000</f>
        <v>1.42875</v>
      </c>
      <c r="K5523" t="str">
        <v>+</v>
      </c>
      <c r="L5523">
        <f>MAX(VLOOKUP(F5523,N$6:P$15,3,FALSE)/1000,2/3*D5518/1000)+F$16*F5523/1000</f>
        <v>0.264</v>
      </c>
      <c r="M5523" t="str">
        <v>=</v>
      </c>
      <c r="N5523">
        <f>J5523+L5523</f>
        <v>1.69275</v>
      </c>
      <c r="O5523" t="str">
        <v>+</v>
      </c>
      <c r="P5523">
        <f>D5523-D5522</f>
        <v>5</v>
      </c>
      <c r="Q5523" t="str">
        <v>x</v>
      </c>
      <c r="R5523">
        <f>IF(P5523&gt;0,$F$18*F5523/1000,0)</f>
        <v>0.33</v>
      </c>
      <c r="S5523" t="str">
        <v>)</v>
      </c>
      <c r="T5523" t="str">
        <v>x</v>
      </c>
      <c r="U5523">
        <f>0.006165*F5523^2</f>
        <v>2.98386</v>
      </c>
      <c r="X5523" t="str">
        <v>x</v>
      </c>
      <c r="Y5523">
        <f>D5520</f>
        <v>1</v>
      </c>
      <c r="Z5523" t="str">
        <v>=</v>
      </c>
      <c r="AA5523">
        <f>IF(AA5524=0,(D5523*N5523+P5523*R5523)*U5523*Y5523,0)</f>
        <v>40.279872105</v>
      </c>
    </row>
    <row r="5524">
      <c r="A5524" t="str">
        <f>A5514</f>
        <v>Lantai 1</v>
      </c>
      <c r="B5524">
        <f>B5514</f>
        <v>87</v>
      </c>
      <c r="D5524">
        <f>IF(AND(D5521=D5522,D5522=D5523,D5521=D5523),D5521,0)</f>
        <v>0</v>
      </c>
      <c r="E5524" t="str">
        <v>D</v>
      </c>
      <c r="F5524">
        <f>IF(AND(F5521=F5522,F5521=F5523,F5522=F5523),F5521,0)</f>
        <v>22</v>
      </c>
      <c r="L5524" t="str">
        <v>Total panjang per balok</v>
      </c>
      <c r="M5524" t="str">
        <v>=</v>
      </c>
      <c r="N5524">
        <f>IF(AND(D5521=D5522,D5521=D5523,D5522=D5523,F5521=F5522,F5521=F5523,F5522=F5523),SUM(N5521:N5523),0)</f>
        <v>0</v>
      </c>
      <c r="O5524" t="str">
        <v>+</v>
      </c>
      <c r="P5524">
        <f>IF(N5524&gt;12,ROUNDDOWN(N5524/12,0),0)</f>
        <v>0</v>
      </c>
      <c r="Q5524" t="str">
        <v>x</v>
      </c>
      <c r="R5524">
        <f>IF(P5524&gt;0,MAX(VLOOKUP(F5524,$D$6:$G$15,3,FALSE),600),0)/1000</f>
        <v>0</v>
      </c>
      <c r="T5524" t="str">
        <v>x</v>
      </c>
      <c r="U5524">
        <f>U5523</f>
        <v>2.98386</v>
      </c>
      <c r="V5524" t="str">
        <v>x</v>
      </c>
      <c r="W5524">
        <f>D5524</f>
        <v>0</v>
      </c>
      <c r="X5524" t="str">
        <v>x</v>
      </c>
      <c r="Y5524">
        <f>Y5523</f>
        <v>1</v>
      </c>
      <c r="Z5524" t="str">
        <v>=</v>
      </c>
      <c r="AA5524">
        <f>(N5524+P5524*R5524/1000)*U5524*W5524*Y5524</f>
        <v>0</v>
      </c>
    </row>
    <row r="5526">
      <c r="A5526" t="str">
        <f>A5514</f>
        <v>Lantai 1</v>
      </c>
      <c r="B5526">
        <f>B5514</f>
        <v>87</v>
      </c>
      <c r="C5526" t="str">
        <v>Tul Peminggang</v>
      </c>
      <c r="D5526">
        <f>VLOOKUP(D5514,'Detail Balok'!$C$10:$AU$110,13,FALSE)</f>
        <v>2</v>
      </c>
      <c r="E5526" t="str">
        <v>D</v>
      </c>
      <c r="F5526">
        <f>VLOOKUP(D5514,'Detail Balok'!$C$10:$AU$110,15,FALSE)</f>
        <v>10</v>
      </c>
      <c r="J5526">
        <f>+D5516/1000</f>
        <v>5.715</v>
      </c>
      <c r="K5526" t="str">
        <v>+</v>
      </c>
      <c r="L5526">
        <f>2*$F$16*F5526/1000</f>
        <v>0.24</v>
      </c>
      <c r="M5526" t="str">
        <v>=</v>
      </c>
      <c r="N5526">
        <f>J5526+L5526</f>
        <v>5.955</v>
      </c>
      <c r="O5526" t="str">
        <v>+</v>
      </c>
      <c r="P5526">
        <f>IF(N5526&gt;12,ROUNDDOWN(N5526/12,0),0)</f>
        <v>0</v>
      </c>
      <c r="Q5526" t="str">
        <v>x</v>
      </c>
      <c r="R5526">
        <f>IF(P5526&gt;0,MAX(VLOOKUP(F5526,$D$6:$G$15,3,FALSE),600),0)/1000</f>
        <v>0</v>
      </c>
      <c r="T5526" t="str">
        <v>x</v>
      </c>
      <c r="U5526">
        <f>0.006165*F5526^2</f>
        <v>0.6165</v>
      </c>
      <c r="V5526" t="str">
        <v>x</v>
      </c>
      <c r="W5526">
        <f>+D5526</f>
        <v>2</v>
      </c>
      <c r="X5526" t="str">
        <v>x</v>
      </c>
      <c r="Y5526">
        <f>D5520</f>
        <v>1</v>
      </c>
      <c r="Z5526" t="str">
        <v>=</v>
      </c>
      <c r="AA5526">
        <f>(N5526+P5526*R5526/1000)*U5526*W5526*Y5526</f>
        <v>7.342515000000001</v>
      </c>
    </row>
    <row r="5529">
      <c r="A5529" t="str">
        <f>A5514</f>
        <v>Lantai 1</v>
      </c>
      <c r="B5529">
        <f>B5514</f>
        <v>87</v>
      </c>
      <c r="C5529" t="str">
        <v>Tul Bawah Tumpuan</v>
      </c>
      <c r="D5529">
        <f>VLOOKUP(D5514,'Detail Balok'!$C$10:$AU$110,22,FALSE)</f>
        <v>4</v>
      </c>
      <c r="E5529" t="str">
        <v>D</v>
      </c>
      <c r="F5529">
        <f>VLOOKUP(D5514,'Detail Balok'!$C$10:$AU$110,24,FALSE)</f>
        <v>22</v>
      </c>
      <c r="I5529" t="str">
        <v>(</v>
      </c>
      <c r="J5529">
        <f>+J5521</f>
        <v>1.42875</v>
      </c>
      <c r="K5529" t="str">
        <v>+</v>
      </c>
      <c r="L5529">
        <f>MAX(VLOOKUP(F5529,N$6:P$15,3,FALSE)/1000,2/3*D5519/1000)+F$16*F5529/1000</f>
        <v>0.264</v>
      </c>
      <c r="M5529" t="str">
        <v>=</v>
      </c>
      <c r="N5529">
        <f>J5529+L5529</f>
        <v>1.69275</v>
      </c>
      <c r="O5529" t="str">
        <v>+</v>
      </c>
      <c r="P5529">
        <f>D5529-D5530</f>
        <v>-2</v>
      </c>
      <c r="Q5529" t="str">
        <v>x</v>
      </c>
      <c r="R5529">
        <f>IF(P5529&gt;0,$F$18*F5529/1000,0)</f>
        <v>0</v>
      </c>
      <c r="S5529" t="str">
        <v>)</v>
      </c>
      <c r="T5529" t="str">
        <v>x</v>
      </c>
      <c r="U5529">
        <f>0.006165*F5529^2</f>
        <v>2.98386</v>
      </c>
      <c r="X5529" t="str">
        <v>x</v>
      </c>
      <c r="Y5529">
        <f>D5520</f>
        <v>1</v>
      </c>
      <c r="Z5529" t="str">
        <v>=</v>
      </c>
      <c r="AA5529">
        <f>IF(AA5532=0,(D5529*N5529+P5529*R5529)*U5529*Y5529,0)</f>
        <v>20.203716059999998</v>
      </c>
    </row>
    <row r="5530">
      <c r="A5530" t="str">
        <f>A5514</f>
        <v>Lantai 1</v>
      </c>
      <c r="B5530">
        <f>B5514</f>
        <v>87</v>
      </c>
      <c r="C5530" t="str">
        <v>Tul Bawah Lapangan</v>
      </c>
      <c r="D5530">
        <f>VLOOKUP(D5514,'Detail Balok'!$C$10:$AU$110,25,FALSE)</f>
        <v>6</v>
      </c>
      <c r="E5530" t="str">
        <v>D</v>
      </c>
      <c r="F5530">
        <f>VLOOKUP(D5514,'Detail Balok'!$C$10:$AU$110,27,FALSE)</f>
        <v>22</v>
      </c>
      <c r="I5530" t="str">
        <v>(</v>
      </c>
      <c r="J5530">
        <f>+J5522</f>
        <v>2.8575</v>
      </c>
      <c r="K5530" t="str">
        <v>+</v>
      </c>
      <c r="M5530" t="str">
        <v>=</v>
      </c>
      <c r="N5530">
        <f>J5530+L5530</f>
        <v>2.8575</v>
      </c>
      <c r="O5530" t="str">
        <v>+</v>
      </c>
      <c r="P5530">
        <f>MAX(D5530-D5529,D5530-D5531)</f>
        <v>2</v>
      </c>
      <c r="Q5530" t="str">
        <v>x</v>
      </c>
      <c r="R5530">
        <f>IF(P5530&gt;0,2*(1-2*$F$19-1/2)*D5517/1000,0)</f>
        <v>1.1429999999999998</v>
      </c>
      <c r="S5530" t="str">
        <v>)</v>
      </c>
      <c r="T5530" t="str">
        <v>x</v>
      </c>
      <c r="U5530">
        <f>0.006165*F5530^2</f>
        <v>2.98386</v>
      </c>
      <c r="X5530" t="str">
        <v>x</v>
      </c>
      <c r="Y5530">
        <f>D5520</f>
        <v>1</v>
      </c>
      <c r="Z5530" t="str">
        <v>=</v>
      </c>
      <c r="AA5530">
        <f>IF(AA5532=0,(D5530*N5530+P5530*R5530)*U5530*Y5530,0)</f>
        <v>57.97938365999999</v>
      </c>
    </row>
    <row r="5531">
      <c r="A5531" t="str">
        <f>A5514</f>
        <v>Lantai 1</v>
      </c>
      <c r="B5531">
        <f>B5514</f>
        <v>87</v>
      </c>
      <c r="C5531" t="str">
        <v>Tul Bawah Tumpuan</v>
      </c>
      <c r="D5531">
        <f>VLOOKUP(D5514,'Detail Balok'!$C$10:$AU$110,28,FALSE)</f>
        <v>4</v>
      </c>
      <c r="E5531" t="str">
        <v>D</v>
      </c>
      <c r="F5531">
        <f>VLOOKUP(D5514,'Detail Balok'!$C$10:$AU$110,30,FALSE)</f>
        <v>22</v>
      </c>
      <c r="I5531" t="str">
        <v>(</v>
      </c>
      <c r="J5531">
        <f>+J5523</f>
        <v>1.42875</v>
      </c>
      <c r="K5531" t="str">
        <v>+</v>
      </c>
      <c r="L5531">
        <f>MAX(VLOOKUP(F5531,N$6:P$15,3,FALSE)/1000,2/3*D5519/1000)+F$16*F5531/1000</f>
        <v>0.264</v>
      </c>
      <c r="M5531" t="str">
        <v>=</v>
      </c>
      <c r="N5531">
        <f>J5531+L5531</f>
        <v>1.69275</v>
      </c>
      <c r="O5531" t="str">
        <v>+</v>
      </c>
      <c r="P5531">
        <f>D5531-D5530</f>
        <v>-2</v>
      </c>
      <c r="Q5531" t="str">
        <v>x</v>
      </c>
      <c r="R5531">
        <f>IF(P5531&gt;0,$F$18*F5531/1000,0)</f>
        <v>0</v>
      </c>
      <c r="S5531" t="str">
        <v>)</v>
      </c>
      <c r="T5531" t="str">
        <v>x</v>
      </c>
      <c r="U5531">
        <f>0.006165*F5531^2</f>
        <v>2.98386</v>
      </c>
      <c r="X5531" t="str">
        <v>x</v>
      </c>
      <c r="Y5531">
        <f>D5520</f>
        <v>1</v>
      </c>
      <c r="Z5531" t="str">
        <v>=</v>
      </c>
      <c r="AA5531">
        <f>IF(AA5532=0,(D5531*N5531+P5531*R5531)*U5531*Y5531,0)</f>
        <v>20.203716059999998</v>
      </c>
    </row>
    <row r="5532">
      <c r="A5532" t="str">
        <f>A5514</f>
        <v>Lantai 1</v>
      </c>
      <c r="B5532">
        <f>B5514</f>
        <v>87</v>
      </c>
      <c r="D5532">
        <f>IF(AND(D5529=D5530,D5530=D5531,D5529=D5531),D5529,0)</f>
        <v>0</v>
      </c>
      <c r="E5532" t="str">
        <v>D</v>
      </c>
      <c r="F5532">
        <f>IF(AND(F5529=F5530,F5529=F5531,F5530=F5531),F5529,0)</f>
        <v>22</v>
      </c>
      <c r="L5532" t="str">
        <v>Total panjang per balok</v>
      </c>
      <c r="M5532" t="str">
        <v>=</v>
      </c>
      <c r="N5532">
        <f>IF(AND(D5529=D5530,D5529=D5531,D5530=D5531,F5529=F5530,F5529=F5531,F5530=F5531),SUM(N5529:N5531),0)</f>
        <v>0</v>
      </c>
      <c r="O5532" t="str">
        <v>+</v>
      </c>
      <c r="P5532">
        <f>IF(N5532&gt;12,ROUNDDOWN(N5532/12,0),0)</f>
        <v>0</v>
      </c>
      <c r="Q5532" t="str">
        <v>x</v>
      </c>
      <c r="R5532">
        <f>IF(P5532&gt;0,MAX(VLOOKUP(F5532,$D$6:$G$15,3,FALSE),600),0)/1000</f>
        <v>0</v>
      </c>
      <c r="T5532" t="str">
        <v>x</v>
      </c>
      <c r="U5532">
        <f>U5531</f>
        <v>2.98386</v>
      </c>
      <c r="V5532" t="str">
        <v>x</v>
      </c>
      <c r="W5532">
        <f>D5532</f>
        <v>0</v>
      </c>
      <c r="X5532" t="str">
        <v>x</v>
      </c>
      <c r="Y5532">
        <f>Y5531</f>
        <v>1</v>
      </c>
      <c r="Z5532" t="str">
        <v>=</v>
      </c>
      <c r="AA5532">
        <f>(N5532+P5532*R5532/1000)*U5532*W5532*Y5532</f>
        <v>0</v>
      </c>
    </row>
    <row r="5534">
      <c r="A5534" t="str">
        <f>A5514</f>
        <v>Lantai 1</v>
      </c>
      <c r="B5534">
        <f>B5514</f>
        <v>87</v>
      </c>
      <c r="C5534" t="str">
        <v>Sengkang Tumpuan</v>
      </c>
      <c r="D5534">
        <f>VLOOKUP(D5514,'Detail Balok'!$C$10:$AU$110,31,FALSE)</f>
        <v>0</v>
      </c>
      <c r="E5534" t="str">
        <v>D</v>
      </c>
      <c r="F5534">
        <f>VLOOKUP(D5514,'Detail Balok'!$C$10:$AU$110,33,FALSE)</f>
        <v>10</v>
      </c>
      <c r="G5534" t="str">
        <v>-</v>
      </c>
      <c r="H5534">
        <f>VLOOKUP(D5514,'Detail Balok'!$C$10:$AU$110,35,FALSE)</f>
        <v>80</v>
      </c>
      <c r="J5534">
        <f>(IF(D5534=0,(2*(D5515+G5515))-(F$5*8),IF(D5534=3,(2*(D5515+G5515))-(F$5*8)+(G5515-2*F$5),IF(D5534=4,(2*(D5515+G5515))-(F$5*8)+2*(G5515-2*F$5)))))/1000</f>
        <v>1.68</v>
      </c>
      <c r="K5534" t="str">
        <v>+</v>
      </c>
      <c r="L5534">
        <f>IF(D5534=0,2*MAX(6*F5534,75),(D5534-1)*2*MAX(6*F5534,75))/1000</f>
        <v>0.15</v>
      </c>
      <c r="M5534" t="str">
        <v>=</v>
      </c>
      <c r="N5534">
        <f>J5534+L5534</f>
        <v>1.8299999999999998</v>
      </c>
      <c r="T5534" t="str">
        <v>x</v>
      </c>
      <c r="U5534">
        <f>0.006165*F5534^2</f>
        <v>0.6165</v>
      </c>
      <c r="V5534" t="str">
        <v>x</v>
      </c>
      <c r="W5534">
        <f>IF(D5517&gt;4*G5515,ROUND(MAX(D5517/4,2*G5515)/H5534,0)+1,ROUND(D5517/H5534,0)+1)</f>
        <v>19</v>
      </c>
      <c r="X5534" t="str">
        <v>x</v>
      </c>
      <c r="Y5534">
        <f>D5520</f>
        <v>1</v>
      </c>
      <c r="Z5534" t="str">
        <v>=</v>
      </c>
      <c r="AA5534">
        <f>N5534*U5534*W5534*Y5534</f>
        <v>21.435705000000002</v>
      </c>
    </row>
    <row r="5535">
      <c r="A5535" t="str">
        <f>A5514</f>
        <v>Lantai 1</v>
      </c>
      <c r="B5535">
        <f>B5514</f>
        <v>87</v>
      </c>
      <c r="C5535" t="str">
        <v>Sengkang Lapangan</v>
      </c>
      <c r="D5535">
        <f>VLOOKUP(D5514,'Detail Balok'!$C$10:$AU$110,36,FALSE)</f>
        <v>0</v>
      </c>
      <c r="E5535" t="str">
        <v>D</v>
      </c>
      <c r="F5535">
        <f>VLOOKUP(D5514,'Detail Balok'!$C$10:$AU$110,38,FALSE)</f>
        <v>10</v>
      </c>
      <c r="G5535" t="str">
        <v>-</v>
      </c>
      <c r="H5535">
        <f>VLOOKUP(D5514,'Detail Balok'!$C$10:$AU$110,40,FALSE)</f>
        <v>100</v>
      </c>
      <c r="J5535">
        <f>(IF(D5535=0,(2*(D5515+G5515))-(F$5*8),IF(D5535=3,(2*(D5515+G5515))-(F$5*8)+(G5515-2*F$5),IF(D5535=4,(2*(D5515+G5515))-(F$5*8)+2*(G5515-2*F$5)))))/1000</f>
        <v>1.68</v>
      </c>
      <c r="K5535" t="str">
        <v>+</v>
      </c>
      <c r="L5535">
        <f>IF(D5535=0,2*MAX(6*F5535,75),(D5535-1)*2*MAX(6*F5535,75))/1000</f>
        <v>0.15</v>
      </c>
      <c r="M5535" t="str">
        <v>=</v>
      </c>
      <c r="N5535">
        <f>J5535+L5535</f>
        <v>1.8299999999999998</v>
      </c>
      <c r="T5535" t="str">
        <v>x</v>
      </c>
      <c r="U5535">
        <f>0.006165*F5535^2</f>
        <v>0.6165</v>
      </c>
      <c r="V5535" t="str">
        <v>x</v>
      </c>
      <c r="W5535">
        <f>IF(D5517-MAX(D5517/4,2*G5515)*2&gt;0,ROUND((D5517-MAX(D5517/4,2*G5515)*2)/H5535,0),0)</f>
        <v>29</v>
      </c>
      <c r="X5535" t="str">
        <v>x</v>
      </c>
      <c r="Y5535">
        <f>D5520</f>
        <v>1</v>
      </c>
      <c r="Z5535" t="str">
        <v>=</v>
      </c>
      <c r="AA5535">
        <f>N5535*U5535*W5535*Y5535</f>
        <v>32.717655</v>
      </c>
    </row>
    <row r="5536">
      <c r="A5536" t="str">
        <f>A5514</f>
        <v>Lantai 1</v>
      </c>
      <c r="B5536">
        <f>B5514</f>
        <v>87</v>
      </c>
      <c r="C5536" t="str">
        <v>Sengkang Tumpuan</v>
      </c>
      <c r="D5536">
        <f>VLOOKUP(D5514,'Detail Balok'!$C$10:$AU$110,41,FALSE)</f>
        <v>0</v>
      </c>
      <c r="E5536" t="str">
        <v>D</v>
      </c>
      <c r="F5536">
        <f>VLOOKUP(D5514,'Detail Balok'!$C$10:$AU$110,43,FALSE)</f>
        <v>10</v>
      </c>
      <c r="G5536" t="str">
        <v>-</v>
      </c>
      <c r="H5536">
        <f>VLOOKUP(D5514,'Detail Balok'!$C$10:$AU$110,45,FALSE)</f>
        <v>80</v>
      </c>
      <c r="J5536">
        <f>(IF(D5536=0,(2*(D5515+G5515))-(F$5*8),IF(D5536=3,(2*(D5515+G5515))-(F$5*8)+(G5515-2*F$5),IF(D5536=4,(2*(D5515+G5515))-(F$5*8)+2*(G5515-2*F$5)))))/1000</f>
        <v>1.68</v>
      </c>
      <c r="K5536" t="str">
        <v>+</v>
      </c>
      <c r="L5536">
        <f>IF(D5536=0,2*MAX(6*F5536,75),(D5536-1)*2*MAX(6*F5536,75))/1000</f>
        <v>0.15</v>
      </c>
      <c r="M5536" t="str">
        <v>=</v>
      </c>
      <c r="N5536">
        <f>J5536+L5536</f>
        <v>1.8299999999999998</v>
      </c>
      <c r="T5536" t="str">
        <v>x</v>
      </c>
      <c r="U5536">
        <f>0.006165*F5536^2</f>
        <v>0.6165</v>
      </c>
      <c r="V5536" t="str">
        <v>x</v>
      </c>
      <c r="W5536">
        <f>IF(D5517&gt;4*G5515,ROUND(MAX(D5517/4,2*G5515)/H5536,0)+1,0)</f>
        <v>19</v>
      </c>
      <c r="X5536" t="str">
        <v>x</v>
      </c>
      <c r="Y5536">
        <f>D5520</f>
        <v>1</v>
      </c>
      <c r="Z5536" t="str">
        <v>=</v>
      </c>
      <c r="AA5536">
        <f>N5536*U5536*W5536*Y5536</f>
        <v>21.435705000000002</v>
      </c>
    </row>
    <row r="5538">
      <c r="A5538" t="str">
        <f>A5514</f>
        <v>Lantai 1</v>
      </c>
      <c r="B5538">
        <f>B5514</f>
        <v>87</v>
      </c>
      <c r="C5538" t="str">
        <v>Kait Horizontal Tump.</v>
      </c>
      <c r="D5538">
        <f>VLOOKUP(D5514,'Detail Balok'!$C$10:$BJ$110,46,FALSE)</f>
        <v>0</v>
      </c>
      <c r="E5538" t="str">
        <v>D</v>
      </c>
      <c r="F5538">
        <f>VLOOKUP(D5514,'Detail Balok'!$C$10:$BJ$110,48,FALSE)</f>
        <v>0</v>
      </c>
      <c r="G5538" t="str">
        <v>-</v>
      </c>
      <c r="H5538">
        <f>VLOOKUP(D5514,'Detail Balok'!$C$10:$BJ$110,50,FALSE)</f>
        <v>100</v>
      </c>
      <c r="J5538">
        <f>(D5515-2*F$5)/1000</f>
        <v>0.22</v>
      </c>
      <c r="K5538" t="str">
        <v>+</v>
      </c>
      <c r="L5538">
        <f>IF(D5538=0,2*MAX(6*F5538,75),(D5538-1)*2*MAX(6*F5538,75))/1000</f>
        <v>0.15</v>
      </c>
      <c r="M5538" t="str">
        <v>=</v>
      </c>
      <c r="N5538">
        <f>J5538+L5538</f>
        <v>0.37</v>
      </c>
      <c r="T5538" t="str">
        <v>x</v>
      </c>
      <c r="U5538">
        <f>0.006165*F5538^2</f>
        <v>0</v>
      </c>
      <c r="V5538" t="str">
        <v>x</v>
      </c>
      <c r="W5538">
        <f>W5534</f>
        <v>19</v>
      </c>
      <c r="X5538" t="str">
        <v>x</v>
      </c>
      <c r="Y5538">
        <f>D5524</f>
        <v>0</v>
      </c>
      <c r="Z5538" t="str">
        <v>=</v>
      </c>
      <c r="AA5538">
        <f>N5538*U5538*W5538*Y5538</f>
        <v>0</v>
      </c>
    </row>
    <row r="5539">
      <c r="A5539" t="str">
        <f>A5514</f>
        <v>Lantai 1</v>
      </c>
      <c r="B5539">
        <f>B5514</f>
        <v>87</v>
      </c>
      <c r="C5539" t="str">
        <v>Kait Horizontal Lap.</v>
      </c>
      <c r="D5539">
        <f>VLOOKUP(D5514,'Detail Balok'!$C$10:$BJ$110,51,FALSE)</f>
        <v>0</v>
      </c>
      <c r="E5539" t="str">
        <v>D</v>
      </c>
      <c r="F5539">
        <f>VLOOKUP(D5514,'Detail Balok'!$C$10:$BJ$110,53,FALSE)</f>
        <v>0</v>
      </c>
      <c r="G5539" t="str">
        <v>-</v>
      </c>
      <c r="H5539">
        <f>VLOOKUP(D5514,'Detail Balok'!$C$10:$BJ$110,55,FALSE)</f>
        <v>100</v>
      </c>
      <c r="J5539">
        <f>(D5515-2*F$5)/1000</f>
        <v>0.22</v>
      </c>
      <c r="K5539" t="str">
        <v>+</v>
      </c>
      <c r="L5539">
        <f>IF(D5539=0,2*MAX(6*F5539,75),(D5539-1)*2*MAX(6*F5539,75))/1000</f>
        <v>0.15</v>
      </c>
      <c r="M5539" t="str">
        <v>=</v>
      </c>
      <c r="N5539">
        <f>J5539+L5539</f>
        <v>0.37</v>
      </c>
      <c r="T5539" t="str">
        <v>x</v>
      </c>
      <c r="U5539">
        <f>0.006165*F5539^2</f>
        <v>0</v>
      </c>
      <c r="V5539" t="str">
        <v>x</v>
      </c>
      <c r="W5539">
        <f>W5535</f>
        <v>29</v>
      </c>
      <c r="X5539" t="str">
        <v>x</v>
      </c>
      <c r="Y5539">
        <f>D5524</f>
        <v>0</v>
      </c>
      <c r="Z5539" t="str">
        <v>=</v>
      </c>
      <c r="AA5539">
        <f>N5539*U5539*W5539*Y5539</f>
        <v>0</v>
      </c>
    </row>
    <row r="5540">
      <c r="A5540" t="str">
        <f>A5514</f>
        <v>Lantai 1</v>
      </c>
      <c r="B5540">
        <f>B5514</f>
        <v>87</v>
      </c>
      <c r="C5540" t="str">
        <v>Kait Horizontal Tump.</v>
      </c>
      <c r="D5540">
        <f>VLOOKUP(D5514,'Detail Balok'!$C$10:$BJ$110,56,FALSE)</f>
        <v>0</v>
      </c>
      <c r="E5540" t="str">
        <v>D</v>
      </c>
      <c r="F5540">
        <f>VLOOKUP(D5514,'Detail Balok'!$C$10:$BJ$110,58,FALSE)</f>
        <v>0</v>
      </c>
      <c r="G5540" t="str">
        <v>-</v>
      </c>
      <c r="H5540">
        <f>VLOOKUP(D5514,'Detail Balok'!$C$10:$BJ$110,60,FALSE)</f>
        <v>100</v>
      </c>
      <c r="J5540">
        <f>(D5515-2*F$5)/1000</f>
        <v>0.22</v>
      </c>
      <c r="K5540" t="str">
        <v>+</v>
      </c>
      <c r="L5540">
        <f>IF(D5540=0,2*MAX(6*F5540,75),(D5540-1)*2*MAX(6*F5540,75))/1000</f>
        <v>0.15</v>
      </c>
      <c r="M5540" t="str">
        <v>=</v>
      </c>
      <c r="N5540">
        <f>J5540+L5540</f>
        <v>0.37</v>
      </c>
      <c r="T5540" t="str">
        <v>x</v>
      </c>
      <c r="U5540">
        <f>0.006165*F5540^2</f>
        <v>0</v>
      </c>
      <c r="V5540" t="str">
        <v>x</v>
      </c>
      <c r="W5540">
        <f>W5536</f>
        <v>19</v>
      </c>
      <c r="X5540" t="str">
        <v>x</v>
      </c>
      <c r="Y5540">
        <f>D5524</f>
        <v>0</v>
      </c>
      <c r="Z5540" t="str">
        <v>=</v>
      </c>
      <c r="AA5540">
        <f>N5540*U5540*W5540*Y5540</f>
        <v>0</v>
      </c>
    </row>
    <row r="5544">
      <c r="A5544" t="str">
        <f>A5514</f>
        <v>Lantai 1</v>
      </c>
      <c r="B5544">
        <f>B5514+1</f>
        <v>88</v>
      </c>
      <c r="C5544" t="str">
        <f>CONCATENATE(A5544," no. ",B5544)</f>
        <v>Lantai 1 no. 88</v>
      </c>
      <c r="D5544" t="str">
        <f>VLOOKUP(C5544,'Data Panjang Balok'!$C$9:$N$424,2,FALSE)</f>
        <v>B245-4</v>
      </c>
    </row>
    <row r="5545">
      <c r="C5545" t="str">
        <v>Dimensi</v>
      </c>
      <c r="D5545">
        <f>VLOOKUP(D5544,'Detail Balok'!$C$10:$AU$110,2,FALSE)</f>
        <v>200</v>
      </c>
      <c r="F5545" t="str">
        <v>x</v>
      </c>
      <c r="G5545">
        <f>VLOOKUP(D5544,'Detail Balok'!$C$10:$AU$110,3,FALSE)</f>
        <v>450</v>
      </c>
    </row>
    <row r="5546">
      <c r="C5546" t="str">
        <v>Panjang as ke as</v>
      </c>
      <c r="D5546">
        <f>VLOOKUP(C5544,'Data Panjang Balok'!$C$9:$N$424,4,FALSE)</f>
        <v>2600</v>
      </c>
    </row>
    <row r="5547">
      <c r="C5547" t="str">
        <v>Panjang netto</v>
      </c>
      <c r="D5547">
        <f>VLOOKUP(C5544,'Data Panjang Balok'!$C$9:$N$424,7,FALSE)</f>
        <v>2600</v>
      </c>
    </row>
    <row r="5548">
      <c r="C5548" t="str">
        <v>Kolom / balok kiri</v>
      </c>
      <c r="D5548">
        <f>VLOOKUP(C5544,'Data Panjang Balok'!$C$9:$N$424,9,FALSE)</f>
        <v>0</v>
      </c>
    </row>
    <row r="5549">
      <c r="C5549" t="str">
        <v>Kolom / balok kanan</v>
      </c>
      <c r="D5549">
        <f>VLOOKUP(C5544,'Data Panjang Balok'!$C$9:$N$424,10,FALSE)</f>
        <v>0</v>
      </c>
    </row>
    <row r="5550">
      <c r="C5550" t="str">
        <v>Jumlah</v>
      </c>
      <c r="D5550">
        <f>VLOOKUP(C5544,'Data Panjang Balok'!$C$9:$N$424,3,FALSE)</f>
        <v>1</v>
      </c>
    </row>
    <row r="5551">
      <c r="A5551" t="str">
        <f>A5544</f>
        <v>Lantai 1</v>
      </c>
      <c r="B5551">
        <f>B5544</f>
        <v>88</v>
      </c>
      <c r="C5551" t="str">
        <v>Tul Atas Tumpuan</v>
      </c>
      <c r="D5551">
        <f>VLOOKUP(D5544,'Detail Balok'!$C$10:$AU$110,4,FALSE)</f>
        <v>3</v>
      </c>
      <c r="E5551" t="str">
        <v>D</v>
      </c>
      <c r="F5551">
        <f>VLOOKUP(D5544,'Detail Balok'!$C$10:$AU$110,6,FALSE)</f>
        <v>16</v>
      </c>
      <c r="I5551" t="str">
        <v>(</v>
      </c>
      <c r="J5551">
        <f>+D5546/4/1000</f>
        <v>0.65</v>
      </c>
      <c r="K5551" t="str">
        <v>+</v>
      </c>
      <c r="L5551">
        <f>MAX(VLOOKUP(F5551,N$6:P$15,3,FALSE)/1000,2/3*D5548/1000)+F$16*F5551/1000</f>
        <v>0.192</v>
      </c>
      <c r="M5551" t="str">
        <v>=</v>
      </c>
      <c r="N5551">
        <f>J5551+L5551</f>
        <v>0.8420000000000001</v>
      </c>
      <c r="O5551" t="str">
        <v>+</v>
      </c>
      <c r="P5551">
        <f>D5551-D5552</f>
        <v>0</v>
      </c>
      <c r="Q5551" t="str">
        <v>x</v>
      </c>
      <c r="R5551">
        <f>IF(P5551&gt;0,$F$18*F5551/1000,0)</f>
        <v>0</v>
      </c>
      <c r="S5551" t="str">
        <v>)</v>
      </c>
      <c r="T5551" t="str">
        <v>x</v>
      </c>
      <c r="U5551">
        <f>0.006165*F5551^2</f>
        <v>1.57824</v>
      </c>
      <c r="X5551" t="str">
        <v>x</v>
      </c>
      <c r="Y5551">
        <f>D5550</f>
        <v>1</v>
      </c>
      <c r="Z5551" t="str">
        <v>=</v>
      </c>
      <c r="AA5551">
        <f>IF(AA5554=0,(D5551*N5551+P5551*R5551)*U5551*Y5551,0)</f>
        <v>0</v>
      </c>
    </row>
    <row r="5552">
      <c r="A5552" t="str">
        <f>A5544</f>
        <v>Lantai 1</v>
      </c>
      <c r="B5552">
        <f>B5544</f>
        <v>88</v>
      </c>
      <c r="C5552" t="str">
        <v>Tul Atas Lapangan</v>
      </c>
      <c r="D5552">
        <f>VLOOKUP(D5544,'Detail Balok'!$C$10:$AU$110,7,FALSE)</f>
        <v>3</v>
      </c>
      <c r="E5552" t="str">
        <v>D</v>
      </c>
      <c r="F5552">
        <f>VLOOKUP(D5544,'Detail Balok'!$C$10:$AU$110,9,FALSE)</f>
        <v>16</v>
      </c>
      <c r="I5552" t="str">
        <v>(</v>
      </c>
      <c r="J5552">
        <f>+D5546/2/1000</f>
        <v>1.3</v>
      </c>
      <c r="K5552" t="str">
        <v>+</v>
      </c>
      <c r="M5552" t="str">
        <v>=</v>
      </c>
      <c r="N5552">
        <f>J5552+L5552</f>
        <v>1.3</v>
      </c>
      <c r="O5552" t="str">
        <v>+</v>
      </c>
      <c r="P5552">
        <f>MAX(D5552-D5551,D5552-D5553)</f>
        <v>0</v>
      </c>
      <c r="Q5552" t="str">
        <v>x</v>
      </c>
      <c r="R5552">
        <f>IF(P5552&gt;0,2*(1-2*$F$19-1/2)*D5547/1000,0)</f>
        <v>0</v>
      </c>
      <c r="S5552" t="str">
        <v>)</v>
      </c>
      <c r="T5552" t="str">
        <v>x</v>
      </c>
      <c r="U5552">
        <f>0.006165*F5552^2</f>
        <v>1.57824</v>
      </c>
      <c r="X5552" t="str">
        <v>x</v>
      </c>
      <c r="Y5552">
        <f>D5550</f>
        <v>1</v>
      </c>
      <c r="Z5552" t="str">
        <v>=</v>
      </c>
      <c r="AA5552">
        <f>IF(AA5554=0,(D5552*N5552+P5552*R5552)*U5552*Y5552,0)</f>
        <v>0</v>
      </c>
    </row>
    <row r="5553">
      <c r="A5553" t="str">
        <f>A5544</f>
        <v>Lantai 1</v>
      </c>
      <c r="B5553">
        <f>B5544</f>
        <v>88</v>
      </c>
      <c r="C5553" t="str">
        <v>Tul Atas Tumpuan</v>
      </c>
      <c r="D5553">
        <f>VLOOKUP(D5544,'Detail Balok'!$C$10:$AU$110,10,FALSE)</f>
        <v>3</v>
      </c>
      <c r="E5553" t="str">
        <v>D</v>
      </c>
      <c r="F5553">
        <f>VLOOKUP(D5544,'Detail Balok'!$C$10:$AU$110,12,FALSE)</f>
        <v>16</v>
      </c>
      <c r="I5553" t="str">
        <v>(</v>
      </c>
      <c r="J5553">
        <f>+D5546/4/1000</f>
        <v>0.65</v>
      </c>
      <c r="K5553" t="str">
        <v>+</v>
      </c>
      <c r="L5553">
        <f>MAX(VLOOKUP(F5553,N$6:P$15,3,FALSE)/1000,2/3*D5548/1000)+F$16*F5553/1000</f>
        <v>0.192</v>
      </c>
      <c r="M5553" t="str">
        <v>=</v>
      </c>
      <c r="N5553">
        <f>J5553+L5553</f>
        <v>0.8420000000000001</v>
      </c>
      <c r="O5553" t="str">
        <v>+</v>
      </c>
      <c r="P5553">
        <f>D5553-D5552</f>
        <v>0</v>
      </c>
      <c r="Q5553" t="str">
        <v>x</v>
      </c>
      <c r="R5553">
        <f>IF(P5553&gt;0,$F$18*F5553/1000,0)</f>
        <v>0</v>
      </c>
      <c r="S5553" t="str">
        <v>)</v>
      </c>
      <c r="T5553" t="str">
        <v>x</v>
      </c>
      <c r="U5553">
        <f>0.006165*F5553^2</f>
        <v>1.57824</v>
      </c>
      <c r="X5553" t="str">
        <v>x</v>
      </c>
      <c r="Y5553">
        <f>D5550</f>
        <v>1</v>
      </c>
      <c r="Z5553" t="str">
        <v>=</v>
      </c>
      <c r="AA5553">
        <f>IF(AA5554=0,(D5553*N5553+P5553*R5553)*U5553*Y5553,0)</f>
        <v>0</v>
      </c>
    </row>
    <row r="5554">
      <c r="A5554" t="str">
        <f>A5544</f>
        <v>Lantai 1</v>
      </c>
      <c r="B5554">
        <f>B5544</f>
        <v>88</v>
      </c>
      <c r="D5554">
        <f>IF(AND(D5551=D5552,D5552=D5553,D5551=D5553),D5551,0)</f>
        <v>3</v>
      </c>
      <c r="E5554" t="str">
        <v>D</v>
      </c>
      <c r="F5554">
        <f>IF(AND(F5551=F5552,F5551=F5553,F5552=F5553),F5551,0)</f>
        <v>16</v>
      </c>
      <c r="L5554" t="str">
        <v>Total panjang per balok</v>
      </c>
      <c r="M5554" t="str">
        <v>=</v>
      </c>
      <c r="N5554">
        <f>IF(AND(D5551=D5552,D5551=D5553,D5552=D5553,F5551=F5552,F5551=F5553,F5552=F5553),SUM(N5551:N5553),0)</f>
        <v>2.9840000000000004</v>
      </c>
      <c r="O5554" t="str">
        <v>+</v>
      </c>
      <c r="P5554">
        <f>IF(N5554&gt;12,ROUNDDOWN(N5554/12,0),0)</f>
        <v>0</v>
      </c>
      <c r="Q5554" t="str">
        <v>x</v>
      </c>
      <c r="R5554">
        <f>IF(P5554&gt;0,MAX(VLOOKUP(F5554,$D$6:$G$15,3,FALSE),600),0)/1000</f>
        <v>0</v>
      </c>
      <c r="T5554" t="str">
        <v>x</v>
      </c>
      <c r="U5554">
        <f>U5553</f>
        <v>1.57824</v>
      </c>
      <c r="V5554" t="str">
        <v>x</v>
      </c>
      <c r="W5554">
        <f>D5554</f>
        <v>3</v>
      </c>
      <c r="X5554" t="str">
        <v>x</v>
      </c>
      <c r="Y5554">
        <f>Y5553</f>
        <v>1</v>
      </c>
      <c r="Z5554" t="str">
        <v>=</v>
      </c>
      <c r="AA5554">
        <f>(N5554+P5554*R5554/1000)*U5554*W5554*Y5554</f>
        <v>14.128404480000004</v>
      </c>
    </row>
    <row r="5556">
      <c r="A5556" t="str">
        <f>A5544</f>
        <v>Lantai 1</v>
      </c>
      <c r="B5556">
        <f>B5544</f>
        <v>88</v>
      </c>
      <c r="C5556" t="str">
        <v>Tul Peminggang</v>
      </c>
      <c r="D5556">
        <f>VLOOKUP(D5544,'Detail Balok'!$C$10:$AU$110,13,FALSE)</f>
        <v>2</v>
      </c>
      <c r="E5556" t="str">
        <v>D</v>
      </c>
      <c r="F5556">
        <f>VLOOKUP(D5544,'Detail Balok'!$C$10:$AU$110,15,FALSE)</f>
        <v>8</v>
      </c>
      <c r="J5556">
        <f>+D5546/1000</f>
        <v>2.6</v>
      </c>
      <c r="K5556" t="str">
        <v>+</v>
      </c>
      <c r="L5556">
        <f>2*$F$16*F5556/1000</f>
        <v>0.192</v>
      </c>
      <c r="M5556" t="str">
        <v>=</v>
      </c>
      <c r="N5556">
        <f>J5556+L5556</f>
        <v>2.7920000000000003</v>
      </c>
      <c r="O5556" t="str">
        <v>+</v>
      </c>
      <c r="P5556">
        <f>IF(N5556&gt;12,ROUNDDOWN(N5556/12,0),0)</f>
        <v>0</v>
      </c>
      <c r="Q5556" t="str">
        <v>x</v>
      </c>
      <c r="R5556">
        <f>IF(P5556&gt;0,MAX(VLOOKUP(F5556,$D$6:$G$15,3,FALSE),600),0)/1000</f>
        <v>0</v>
      </c>
      <c r="T5556" t="str">
        <v>x</v>
      </c>
      <c r="U5556">
        <f>0.006165*F5556^2</f>
        <v>0.39456</v>
      </c>
      <c r="V5556" t="str">
        <v>x</v>
      </c>
      <c r="W5556">
        <f>+D5556</f>
        <v>2</v>
      </c>
      <c r="X5556" t="str">
        <v>x</v>
      </c>
      <c r="Y5556">
        <f>D5550</f>
        <v>1</v>
      </c>
      <c r="Z5556" t="str">
        <v>=</v>
      </c>
      <c r="AA5556">
        <f>(N5556+P5556*R5556/1000)*U5556*W5556*Y5556</f>
        <v>2.20322304</v>
      </c>
    </row>
    <row r="5559">
      <c r="A5559" t="str">
        <f>A5544</f>
        <v>Lantai 1</v>
      </c>
      <c r="B5559">
        <f>B5544</f>
        <v>88</v>
      </c>
      <c r="C5559" t="str">
        <v>Tul Bawah Tumpuan</v>
      </c>
      <c r="D5559">
        <f>VLOOKUP(D5544,'Detail Balok'!$C$10:$AU$110,22,FALSE)</f>
        <v>3</v>
      </c>
      <c r="E5559" t="str">
        <v>D</v>
      </c>
      <c r="F5559">
        <f>VLOOKUP(D5544,'Detail Balok'!$C$10:$AU$110,24,FALSE)</f>
        <v>16</v>
      </c>
      <c r="I5559" t="str">
        <v>(</v>
      </c>
      <c r="J5559">
        <f>+J5551</f>
        <v>0.65</v>
      </c>
      <c r="K5559" t="str">
        <v>+</v>
      </c>
      <c r="L5559">
        <f>MAX(VLOOKUP(F5559,N$6:P$15,3,FALSE)/1000,2/3*D5549/1000)+F$16*F5559/1000</f>
        <v>0.192</v>
      </c>
      <c r="M5559" t="str">
        <v>=</v>
      </c>
      <c r="N5559">
        <f>J5559+L5559</f>
        <v>0.8420000000000001</v>
      </c>
      <c r="O5559" t="str">
        <v>+</v>
      </c>
      <c r="P5559">
        <f>D5559-D5560</f>
        <v>0</v>
      </c>
      <c r="Q5559" t="str">
        <v>x</v>
      </c>
      <c r="R5559">
        <f>IF(P5559&gt;0,$F$18*F5559/1000,0)</f>
        <v>0</v>
      </c>
      <c r="S5559" t="str">
        <v>)</v>
      </c>
      <c r="T5559" t="str">
        <v>x</v>
      </c>
      <c r="U5559">
        <f>0.006165*F5559^2</f>
        <v>1.57824</v>
      </c>
      <c r="X5559" t="str">
        <v>x</v>
      </c>
      <c r="Y5559">
        <f>D5550</f>
        <v>1</v>
      </c>
      <c r="Z5559" t="str">
        <v>=</v>
      </c>
      <c r="AA5559">
        <f>IF(AA5562=0,(D5559*N5559+P5559*R5559)*U5559*Y5559,0)</f>
        <v>0</v>
      </c>
    </row>
    <row r="5560">
      <c r="A5560" t="str">
        <f>A5544</f>
        <v>Lantai 1</v>
      </c>
      <c r="B5560">
        <f>B5544</f>
        <v>88</v>
      </c>
      <c r="C5560" t="str">
        <v>Tul Bawah Lapangan</v>
      </c>
      <c r="D5560">
        <f>VLOOKUP(D5544,'Detail Balok'!$C$10:$AU$110,25,FALSE)</f>
        <v>3</v>
      </c>
      <c r="E5560" t="str">
        <v>D</v>
      </c>
      <c r="F5560">
        <f>VLOOKUP(D5544,'Detail Balok'!$C$10:$AU$110,27,FALSE)</f>
        <v>16</v>
      </c>
      <c r="I5560" t="str">
        <v>(</v>
      </c>
      <c r="J5560">
        <f>+J5552</f>
        <v>1.3</v>
      </c>
      <c r="K5560" t="str">
        <v>+</v>
      </c>
      <c r="M5560" t="str">
        <v>=</v>
      </c>
      <c r="N5560">
        <f>J5560+L5560</f>
        <v>1.3</v>
      </c>
      <c r="O5560" t="str">
        <v>+</v>
      </c>
      <c r="P5560">
        <f>MAX(D5560-D5559,D5560-D5561)</f>
        <v>0</v>
      </c>
      <c r="Q5560" t="str">
        <v>x</v>
      </c>
      <c r="R5560">
        <f>IF(P5560&gt;0,2*(1-2*$F$19-1/2)*D5547/1000,0)</f>
        <v>0</v>
      </c>
      <c r="S5560" t="str">
        <v>)</v>
      </c>
      <c r="T5560" t="str">
        <v>x</v>
      </c>
      <c r="U5560">
        <f>0.006165*F5560^2</f>
        <v>1.57824</v>
      </c>
      <c r="X5560" t="str">
        <v>x</v>
      </c>
      <c r="Y5560">
        <f>D5550</f>
        <v>1</v>
      </c>
      <c r="Z5560" t="str">
        <v>=</v>
      </c>
      <c r="AA5560">
        <f>IF(AA5562=0,(D5560*N5560+P5560*R5560)*U5560*Y5560,0)</f>
        <v>0</v>
      </c>
    </row>
    <row r="5561">
      <c r="A5561" t="str">
        <f>A5544</f>
        <v>Lantai 1</v>
      </c>
      <c r="B5561">
        <f>B5544</f>
        <v>88</v>
      </c>
      <c r="C5561" t="str">
        <v>Tul Bawah Tumpuan</v>
      </c>
      <c r="D5561">
        <f>VLOOKUP(D5544,'Detail Balok'!$C$10:$AU$110,28,FALSE)</f>
        <v>3</v>
      </c>
      <c r="E5561" t="str">
        <v>D</v>
      </c>
      <c r="F5561">
        <f>VLOOKUP(D5544,'Detail Balok'!$C$10:$AU$110,30,FALSE)</f>
        <v>16</v>
      </c>
      <c r="I5561" t="str">
        <v>(</v>
      </c>
      <c r="J5561">
        <f>+J5553</f>
        <v>0.65</v>
      </c>
      <c r="K5561" t="str">
        <v>+</v>
      </c>
      <c r="L5561">
        <f>MAX(VLOOKUP(F5561,N$6:P$15,3,FALSE)/1000,2/3*D5549/1000)+F$16*F5561/1000</f>
        <v>0.192</v>
      </c>
      <c r="M5561" t="str">
        <v>=</v>
      </c>
      <c r="N5561">
        <f>J5561+L5561</f>
        <v>0.8420000000000001</v>
      </c>
      <c r="O5561" t="str">
        <v>+</v>
      </c>
      <c r="P5561">
        <f>D5561-D5560</f>
        <v>0</v>
      </c>
      <c r="Q5561" t="str">
        <v>x</v>
      </c>
      <c r="R5561">
        <f>IF(P5561&gt;0,$F$18*F5561/1000,0)</f>
        <v>0</v>
      </c>
      <c r="S5561" t="str">
        <v>)</v>
      </c>
      <c r="T5561" t="str">
        <v>x</v>
      </c>
      <c r="U5561">
        <f>0.006165*F5561^2</f>
        <v>1.57824</v>
      </c>
      <c r="X5561" t="str">
        <v>x</v>
      </c>
      <c r="Y5561">
        <f>D5550</f>
        <v>1</v>
      </c>
      <c r="Z5561" t="str">
        <v>=</v>
      </c>
      <c r="AA5561">
        <f>IF(AA5562=0,(D5561*N5561+P5561*R5561)*U5561*Y5561,0)</f>
        <v>0</v>
      </c>
    </row>
    <row r="5562">
      <c r="A5562" t="str">
        <f>A5544</f>
        <v>Lantai 1</v>
      </c>
      <c r="B5562">
        <f>B5544</f>
        <v>88</v>
      </c>
      <c r="D5562">
        <f>IF(AND(D5559=D5560,D5560=D5561,D5559=D5561),D5559,0)</f>
        <v>3</v>
      </c>
      <c r="E5562" t="str">
        <v>D</v>
      </c>
      <c r="F5562">
        <f>IF(AND(F5559=F5560,F5559=F5561,F5560=F5561),F5559,0)</f>
        <v>16</v>
      </c>
      <c r="L5562" t="str">
        <v>Total panjang per balok</v>
      </c>
      <c r="M5562" t="str">
        <v>=</v>
      </c>
      <c r="N5562">
        <f>IF(AND(D5559=D5560,D5559=D5561,D5560=D5561,F5559=F5560,F5559=F5561,F5560=F5561),SUM(N5559:N5561),0)</f>
        <v>2.9840000000000004</v>
      </c>
      <c r="O5562" t="str">
        <v>+</v>
      </c>
      <c r="P5562">
        <f>IF(N5562&gt;12,ROUNDDOWN(N5562/12,0),0)</f>
        <v>0</v>
      </c>
      <c r="Q5562" t="str">
        <v>x</v>
      </c>
      <c r="R5562">
        <f>IF(P5562&gt;0,MAX(VLOOKUP(F5562,$D$6:$G$15,3,FALSE),600),0)/1000</f>
        <v>0</v>
      </c>
      <c r="T5562" t="str">
        <v>x</v>
      </c>
      <c r="U5562">
        <f>U5561</f>
        <v>1.57824</v>
      </c>
      <c r="V5562" t="str">
        <v>x</v>
      </c>
      <c r="W5562">
        <f>D5562</f>
        <v>3</v>
      </c>
      <c r="X5562" t="str">
        <v>x</v>
      </c>
      <c r="Y5562">
        <f>Y5561</f>
        <v>1</v>
      </c>
      <c r="Z5562" t="str">
        <v>=</v>
      </c>
      <c r="AA5562">
        <f>(N5562+P5562*R5562/1000)*U5562*W5562*Y5562</f>
        <v>14.128404480000004</v>
      </c>
    </row>
    <row r="5564">
      <c r="A5564" t="str">
        <f>A5544</f>
        <v>Lantai 1</v>
      </c>
      <c r="B5564">
        <f>B5544</f>
        <v>88</v>
      </c>
      <c r="C5564" t="str">
        <v>Sengkang Tumpuan</v>
      </c>
      <c r="D5564">
        <f>VLOOKUP(D5544,'Detail Balok'!$C$10:$AU$110,31,FALSE)</f>
        <v>0</v>
      </c>
      <c r="E5564" t="str">
        <v>D</v>
      </c>
      <c r="F5564">
        <f>VLOOKUP(D5544,'Detail Balok'!$C$10:$AU$110,33,FALSE)</f>
        <v>8</v>
      </c>
      <c r="G5564" t="str">
        <v>-</v>
      </c>
      <c r="H5564">
        <f>VLOOKUP(D5544,'Detail Balok'!$C$10:$AU$110,35,FALSE)</f>
        <v>100</v>
      </c>
      <c r="J5564">
        <f>(IF(D5564=0,(2*(D5545+G5545))-(F$5*8),IF(D5564=3,(2*(D5545+G5545))-(F$5*8)+(G5545-2*F$5),IF(D5564=4,(2*(D5545+G5545))-(F$5*8)+2*(G5545-2*F$5)))))/1000</f>
        <v>0.98</v>
      </c>
      <c r="K5564" t="str">
        <v>+</v>
      </c>
      <c r="L5564">
        <f>IF(D5564=0,2*MAX(6*F5564,75),(D5564-1)*2*MAX(6*F5564,75))/1000</f>
        <v>0.15</v>
      </c>
      <c r="M5564" t="str">
        <v>=</v>
      </c>
      <c r="N5564">
        <f>J5564+L5564</f>
        <v>1.13</v>
      </c>
      <c r="T5564" t="str">
        <v>x</v>
      </c>
      <c r="U5564">
        <f>0.006165*F5564^2</f>
        <v>0.39456</v>
      </c>
      <c r="V5564" t="str">
        <v>x</v>
      </c>
      <c r="W5564">
        <f>IF(D5547&gt;4*G5545,ROUND(MAX(D5547/4,2*G5545)/H5564,0)+1,ROUND(D5547/H5564,0)+1)</f>
        <v>10</v>
      </c>
      <c r="X5564" t="str">
        <v>x</v>
      </c>
      <c r="Y5564">
        <f>D5550</f>
        <v>1</v>
      </c>
      <c r="Z5564" t="str">
        <v>=</v>
      </c>
      <c r="AA5564">
        <f>N5564*U5564*W5564*Y5564</f>
        <v>4.458528</v>
      </c>
    </row>
    <row r="5565">
      <c r="A5565" t="str">
        <f>A5544</f>
        <v>Lantai 1</v>
      </c>
      <c r="B5565">
        <f>B5544</f>
        <v>88</v>
      </c>
      <c r="C5565" t="str">
        <v>Sengkang Lapangan</v>
      </c>
      <c r="D5565">
        <f>VLOOKUP(D5544,'Detail Balok'!$C$10:$AU$110,36,FALSE)</f>
        <v>0</v>
      </c>
      <c r="E5565" t="str">
        <v>D</v>
      </c>
      <c r="F5565">
        <f>VLOOKUP(D5544,'Detail Balok'!$C$10:$AU$110,38,FALSE)</f>
        <v>8</v>
      </c>
      <c r="G5565" t="str">
        <v>-</v>
      </c>
      <c r="H5565">
        <f>VLOOKUP(D5544,'Detail Balok'!$C$10:$AU$110,40,FALSE)</f>
        <v>200</v>
      </c>
      <c r="J5565">
        <f>(IF(D5565=0,(2*(D5545+G5545))-(F$5*8),IF(D5565=3,(2*(D5545+G5545))-(F$5*8)+(G5545-2*F$5),IF(D5565=4,(2*(D5545+G5545))-(F$5*8)+2*(G5545-2*F$5)))))/1000</f>
        <v>0.98</v>
      </c>
      <c r="K5565" t="str">
        <v>+</v>
      </c>
      <c r="L5565">
        <f>IF(D5565=0,2*MAX(6*F5565,75),(D5565-1)*2*MAX(6*F5565,75))/1000</f>
        <v>0.15</v>
      </c>
      <c r="M5565" t="str">
        <v>=</v>
      </c>
      <c r="N5565">
        <f>J5565+L5565</f>
        <v>1.13</v>
      </c>
      <c r="T5565" t="str">
        <v>x</v>
      </c>
      <c r="U5565">
        <f>0.006165*F5565^2</f>
        <v>0.39456</v>
      </c>
      <c r="V5565" t="str">
        <v>x</v>
      </c>
      <c r="W5565">
        <f>IF(D5547-MAX(D5547/4,2*G5545)*2&gt;0,ROUND((D5547-MAX(D5547/4,2*G5545)*2)/H5565,0),0)</f>
        <v>4</v>
      </c>
      <c r="X5565" t="str">
        <v>x</v>
      </c>
      <c r="Y5565">
        <f>D5550</f>
        <v>1</v>
      </c>
      <c r="Z5565" t="str">
        <v>=</v>
      </c>
      <c r="AA5565">
        <f>N5565*U5565*W5565*Y5565</f>
        <v>1.7834112</v>
      </c>
    </row>
    <row r="5566">
      <c r="A5566" t="str">
        <f>A5544</f>
        <v>Lantai 1</v>
      </c>
      <c r="B5566">
        <f>B5544</f>
        <v>88</v>
      </c>
      <c r="C5566" t="str">
        <v>Sengkang Tumpuan</v>
      </c>
      <c r="D5566">
        <f>VLOOKUP(D5544,'Detail Balok'!$C$10:$AU$110,41,FALSE)</f>
        <v>0</v>
      </c>
      <c r="E5566" t="str">
        <v>D</v>
      </c>
      <c r="F5566">
        <f>VLOOKUP(D5544,'Detail Balok'!$C$10:$AU$110,43,FALSE)</f>
        <v>8</v>
      </c>
      <c r="G5566" t="str">
        <v>-</v>
      </c>
      <c r="H5566">
        <f>VLOOKUP(D5544,'Detail Balok'!$C$10:$AU$110,45,FALSE)</f>
        <v>100</v>
      </c>
      <c r="J5566">
        <f>(IF(D5566=0,(2*(D5545+G5545))-(F$5*8),IF(D5566=3,(2*(D5545+G5545))-(F$5*8)+(G5545-2*F$5),IF(D5566=4,(2*(D5545+G5545))-(F$5*8)+2*(G5545-2*F$5)))))/1000</f>
        <v>0.98</v>
      </c>
      <c r="K5566" t="str">
        <v>+</v>
      </c>
      <c r="L5566">
        <f>IF(D5566=0,2*MAX(6*F5566,75),(D5566-1)*2*MAX(6*F5566,75))/1000</f>
        <v>0.15</v>
      </c>
      <c r="M5566" t="str">
        <v>=</v>
      </c>
      <c r="N5566">
        <f>J5566+L5566</f>
        <v>1.13</v>
      </c>
      <c r="T5566" t="str">
        <v>x</v>
      </c>
      <c r="U5566">
        <f>0.006165*F5566^2</f>
        <v>0.39456</v>
      </c>
      <c r="V5566" t="str">
        <v>x</v>
      </c>
      <c r="W5566">
        <f>IF(D5547&gt;4*G5545,ROUND(MAX(D5547/4,2*G5545)/H5566,0)+1,0)</f>
        <v>10</v>
      </c>
      <c r="X5566" t="str">
        <v>x</v>
      </c>
      <c r="Y5566">
        <f>D5550</f>
        <v>1</v>
      </c>
      <c r="Z5566" t="str">
        <v>=</v>
      </c>
      <c r="AA5566">
        <f>N5566*U5566*W5566*Y5566</f>
        <v>4.458528</v>
      </c>
    </row>
    <row r="5568">
      <c r="A5568" t="str">
        <f>A5544</f>
        <v>Lantai 1</v>
      </c>
      <c r="B5568">
        <f>B5544</f>
        <v>88</v>
      </c>
      <c r="C5568" t="str">
        <v>Kait Horizontal Tump.</v>
      </c>
      <c r="D5568">
        <f>VLOOKUP(D5544,'Detail Balok'!$C$10:$BJ$110,46,FALSE)</f>
        <v>0</v>
      </c>
      <c r="E5568" t="str">
        <v>D</v>
      </c>
      <c r="F5568">
        <f>VLOOKUP(D5544,'Detail Balok'!$C$10:$BJ$110,48,FALSE)</f>
        <v>0</v>
      </c>
      <c r="G5568" t="str">
        <v>-</v>
      </c>
      <c r="H5568">
        <f>VLOOKUP(D5544,'Detail Balok'!$C$10:$BJ$110,50,FALSE)</f>
        <v>100</v>
      </c>
      <c r="J5568">
        <f>(D5545-2*F$5)/1000</f>
        <v>0.12</v>
      </c>
      <c r="K5568" t="str">
        <v>+</v>
      </c>
      <c r="L5568">
        <f>IF(D5568=0,2*MAX(6*F5568,75),(D5568-1)*2*MAX(6*F5568,75))/1000</f>
        <v>0.15</v>
      </c>
      <c r="M5568" t="str">
        <v>=</v>
      </c>
      <c r="N5568">
        <f>J5568+L5568</f>
        <v>0.27</v>
      </c>
      <c r="T5568" t="str">
        <v>x</v>
      </c>
      <c r="U5568">
        <f>0.006165*F5568^2</f>
        <v>0</v>
      </c>
      <c r="V5568" t="str">
        <v>x</v>
      </c>
      <c r="W5568">
        <f>W5564</f>
        <v>10</v>
      </c>
      <c r="X5568" t="str">
        <v>x</v>
      </c>
      <c r="Y5568">
        <f>D5554</f>
        <v>3</v>
      </c>
      <c r="Z5568" t="str">
        <v>=</v>
      </c>
      <c r="AA5568">
        <f>N5568*U5568*W5568*Y5568</f>
        <v>0</v>
      </c>
    </row>
    <row r="5569">
      <c r="A5569" t="str">
        <f>A5544</f>
        <v>Lantai 1</v>
      </c>
      <c r="B5569">
        <f>B5544</f>
        <v>88</v>
      </c>
      <c r="C5569" t="str">
        <v>Kait Horizontal Lap.</v>
      </c>
      <c r="D5569">
        <f>VLOOKUP(D5544,'Detail Balok'!$C$10:$BJ$110,51,FALSE)</f>
        <v>0</v>
      </c>
      <c r="E5569" t="str">
        <v>D</v>
      </c>
      <c r="F5569">
        <f>VLOOKUP(D5544,'Detail Balok'!$C$10:$BJ$110,53,FALSE)</f>
        <v>0</v>
      </c>
      <c r="G5569" t="str">
        <v>-</v>
      </c>
      <c r="H5569">
        <f>VLOOKUP(D5544,'Detail Balok'!$C$10:$BJ$110,55,FALSE)</f>
        <v>100</v>
      </c>
      <c r="J5569">
        <f>(D5545-2*F$5)/1000</f>
        <v>0.12</v>
      </c>
      <c r="K5569" t="str">
        <v>+</v>
      </c>
      <c r="L5569">
        <f>IF(D5569=0,2*MAX(6*F5569,75),(D5569-1)*2*MAX(6*F5569,75))/1000</f>
        <v>0.15</v>
      </c>
      <c r="M5569" t="str">
        <v>=</v>
      </c>
      <c r="N5569">
        <f>J5569+L5569</f>
        <v>0.27</v>
      </c>
      <c r="T5569" t="str">
        <v>x</v>
      </c>
      <c r="U5569">
        <f>0.006165*F5569^2</f>
        <v>0</v>
      </c>
      <c r="V5569" t="str">
        <v>x</v>
      </c>
      <c r="W5569">
        <f>W5565</f>
        <v>4</v>
      </c>
      <c r="X5569" t="str">
        <v>x</v>
      </c>
      <c r="Y5569">
        <f>D5554</f>
        <v>3</v>
      </c>
      <c r="Z5569" t="str">
        <v>=</v>
      </c>
      <c r="AA5569">
        <f>N5569*U5569*W5569*Y5569</f>
        <v>0</v>
      </c>
    </row>
    <row r="5570">
      <c r="A5570" t="str">
        <f>A5544</f>
        <v>Lantai 1</v>
      </c>
      <c r="B5570">
        <f>B5544</f>
        <v>88</v>
      </c>
      <c r="C5570" t="str">
        <v>Kait Horizontal Tump.</v>
      </c>
      <c r="D5570">
        <f>VLOOKUP(D5544,'Detail Balok'!$C$10:$BJ$110,56,FALSE)</f>
        <v>0</v>
      </c>
      <c r="E5570" t="str">
        <v>D</v>
      </c>
      <c r="F5570">
        <f>VLOOKUP(D5544,'Detail Balok'!$C$10:$BJ$110,58,FALSE)</f>
        <v>0</v>
      </c>
      <c r="G5570" t="str">
        <v>-</v>
      </c>
      <c r="H5570">
        <f>VLOOKUP(D5544,'Detail Balok'!$C$10:$BJ$110,60,FALSE)</f>
        <v>100</v>
      </c>
      <c r="J5570">
        <f>(D5545-2*F$5)/1000</f>
        <v>0.12</v>
      </c>
      <c r="K5570" t="str">
        <v>+</v>
      </c>
      <c r="L5570">
        <f>IF(D5570=0,2*MAX(6*F5570,75),(D5570-1)*2*MAX(6*F5570,75))/1000</f>
        <v>0.15</v>
      </c>
      <c r="M5570" t="str">
        <v>=</v>
      </c>
      <c r="N5570">
        <f>J5570+L5570</f>
        <v>0.27</v>
      </c>
      <c r="T5570" t="str">
        <v>x</v>
      </c>
      <c r="U5570">
        <f>0.006165*F5570^2</f>
        <v>0</v>
      </c>
      <c r="V5570" t="str">
        <v>x</v>
      </c>
      <c r="W5570">
        <f>W5566</f>
        <v>10</v>
      </c>
      <c r="X5570" t="str">
        <v>x</v>
      </c>
      <c r="Y5570">
        <f>D5554</f>
        <v>3</v>
      </c>
      <c r="Z5570" t="str">
        <v>=</v>
      </c>
      <c r="AA5570">
        <f>N5570*U5570*W5570*Y5570</f>
        <v>0</v>
      </c>
    </row>
    <row r="5574">
      <c r="A5574" t="str">
        <f>A5544</f>
        <v>Lantai 1</v>
      </c>
      <c r="B5574">
        <f>B5544+1</f>
        <v>89</v>
      </c>
      <c r="C5574" t="str">
        <f>CONCATENATE(A5574," no. ",B5574)</f>
        <v>Lantai 1 no. 89</v>
      </c>
      <c r="D5574" t="str">
        <f>VLOOKUP(C5574,'Data Panjang Balok'!$C$9:$N$424,2,FALSE)</f>
        <v>B245-3</v>
      </c>
    </row>
    <row r="5575">
      <c r="C5575" t="str">
        <v>Dimensi</v>
      </c>
      <c r="D5575">
        <f>VLOOKUP(D5574,'Detail Balok'!$C$10:$AU$110,2,FALSE)</f>
        <v>200</v>
      </c>
      <c r="F5575" t="str">
        <v>x</v>
      </c>
      <c r="G5575">
        <f>VLOOKUP(D5574,'Detail Balok'!$C$10:$AU$110,3,FALSE)</f>
        <v>450</v>
      </c>
    </row>
    <row r="5576">
      <c r="C5576" t="str">
        <v>Panjang as ke as</v>
      </c>
      <c r="D5576">
        <f>VLOOKUP(C5574,'Data Panjang Balok'!$C$9:$N$424,4,FALSE)</f>
        <v>3000</v>
      </c>
    </row>
    <row r="5577">
      <c r="C5577" t="str">
        <v>Panjang netto</v>
      </c>
      <c r="D5577">
        <f>VLOOKUP(C5574,'Data Panjang Balok'!$C$9:$N$424,7,FALSE)</f>
        <v>3000</v>
      </c>
    </row>
    <row r="5578">
      <c r="C5578" t="str">
        <v>Kolom / balok kiri</v>
      </c>
      <c r="D5578">
        <f>VLOOKUP(C5574,'Data Panjang Balok'!$C$9:$N$424,9,FALSE)</f>
        <v>0</v>
      </c>
    </row>
    <row r="5579">
      <c r="C5579" t="str">
        <v>Kolom / balok kanan</v>
      </c>
      <c r="D5579">
        <f>VLOOKUP(C5574,'Data Panjang Balok'!$C$9:$N$424,10,FALSE)</f>
        <v>0</v>
      </c>
    </row>
    <row r="5580">
      <c r="C5580" t="str">
        <v>Jumlah</v>
      </c>
      <c r="D5580">
        <f>VLOOKUP(C5574,'Data Panjang Balok'!$C$9:$N$424,3,FALSE)</f>
        <v>1</v>
      </c>
    </row>
    <row r="5581">
      <c r="A5581" t="str">
        <f>A5574</f>
        <v>Lantai 1</v>
      </c>
      <c r="B5581">
        <f>B5574</f>
        <v>89</v>
      </c>
      <c r="C5581" t="str">
        <v>Tul Atas Tumpuan</v>
      </c>
      <c r="D5581">
        <f>VLOOKUP(D5574,'Detail Balok'!$C$10:$AU$110,4,FALSE)</f>
        <v>2</v>
      </c>
      <c r="E5581" t="str">
        <v>D</v>
      </c>
      <c r="F5581">
        <f>VLOOKUP(D5574,'Detail Balok'!$C$10:$AU$110,6,FALSE)</f>
        <v>16</v>
      </c>
      <c r="I5581" t="str">
        <v>(</v>
      </c>
      <c r="J5581">
        <f>+D5576/4/1000</f>
        <v>0.75</v>
      </c>
      <c r="K5581" t="str">
        <v>+</v>
      </c>
      <c r="L5581">
        <f>MAX(VLOOKUP(F5581,N$6:P$15,3,FALSE)/1000,2/3*D5578/1000)+F$16*F5581/1000</f>
        <v>0.192</v>
      </c>
      <c r="M5581" t="str">
        <v>=</v>
      </c>
      <c r="N5581">
        <f>J5581+L5581</f>
        <v>0.942</v>
      </c>
      <c r="O5581" t="str">
        <v>+</v>
      </c>
      <c r="P5581">
        <f>D5581-D5582</f>
        <v>0</v>
      </c>
      <c r="Q5581" t="str">
        <v>x</v>
      </c>
      <c r="R5581">
        <f>IF(P5581&gt;0,$F$18*F5581/1000,0)</f>
        <v>0</v>
      </c>
      <c r="S5581" t="str">
        <v>)</v>
      </c>
      <c r="T5581" t="str">
        <v>x</v>
      </c>
      <c r="U5581">
        <f>0.006165*F5581^2</f>
        <v>1.57824</v>
      </c>
      <c r="X5581" t="str">
        <v>x</v>
      </c>
      <c r="Y5581">
        <f>D5580</f>
        <v>1</v>
      </c>
      <c r="Z5581" t="str">
        <v>=</v>
      </c>
      <c r="AA5581">
        <f>IF(AA5584=0,(D5581*N5581+P5581*R5581)*U5581*Y5581,0)</f>
        <v>0</v>
      </c>
    </row>
    <row r="5582">
      <c r="A5582" t="str">
        <f>A5574</f>
        <v>Lantai 1</v>
      </c>
      <c r="B5582">
        <f>B5574</f>
        <v>89</v>
      </c>
      <c r="C5582" t="str">
        <v>Tul Atas Lapangan</v>
      </c>
      <c r="D5582">
        <f>VLOOKUP(D5574,'Detail Balok'!$C$10:$AU$110,7,FALSE)</f>
        <v>2</v>
      </c>
      <c r="E5582" t="str">
        <v>D</v>
      </c>
      <c r="F5582">
        <f>VLOOKUP(D5574,'Detail Balok'!$C$10:$AU$110,9,FALSE)</f>
        <v>16</v>
      </c>
      <c r="I5582" t="str">
        <v>(</v>
      </c>
      <c r="J5582">
        <f>+D5576/2/1000</f>
        <v>1.5</v>
      </c>
      <c r="K5582" t="str">
        <v>+</v>
      </c>
      <c r="M5582" t="str">
        <v>=</v>
      </c>
      <c r="N5582">
        <f>J5582+L5582</f>
        <v>1.5</v>
      </c>
      <c r="O5582" t="str">
        <v>+</v>
      </c>
      <c r="P5582">
        <f>MAX(D5582-D5581,D5582-D5583)</f>
        <v>0</v>
      </c>
      <c r="Q5582" t="str">
        <v>x</v>
      </c>
      <c r="R5582">
        <f>IF(P5582&gt;0,2*(1-2*$F$19-1/2)*D5577/1000,0)</f>
        <v>0</v>
      </c>
      <c r="S5582" t="str">
        <v>)</v>
      </c>
      <c r="T5582" t="str">
        <v>x</v>
      </c>
      <c r="U5582">
        <f>0.006165*F5582^2</f>
        <v>1.57824</v>
      </c>
      <c r="X5582" t="str">
        <v>x</v>
      </c>
      <c r="Y5582">
        <f>D5580</f>
        <v>1</v>
      </c>
      <c r="Z5582" t="str">
        <v>=</v>
      </c>
      <c r="AA5582">
        <f>IF(AA5584=0,(D5582*N5582+P5582*R5582)*U5582*Y5582,0)</f>
        <v>0</v>
      </c>
    </row>
    <row r="5583">
      <c r="A5583" t="str">
        <f>A5574</f>
        <v>Lantai 1</v>
      </c>
      <c r="B5583">
        <f>B5574</f>
        <v>89</v>
      </c>
      <c r="C5583" t="str">
        <v>Tul Atas Tumpuan</v>
      </c>
      <c r="D5583">
        <f>VLOOKUP(D5574,'Detail Balok'!$C$10:$AU$110,10,FALSE)</f>
        <v>2</v>
      </c>
      <c r="E5583" t="str">
        <v>D</v>
      </c>
      <c r="F5583">
        <f>VLOOKUP(D5574,'Detail Balok'!$C$10:$AU$110,12,FALSE)</f>
        <v>16</v>
      </c>
      <c r="I5583" t="str">
        <v>(</v>
      </c>
      <c r="J5583">
        <f>+D5576/4/1000</f>
        <v>0.75</v>
      </c>
      <c r="K5583" t="str">
        <v>+</v>
      </c>
      <c r="L5583">
        <f>MAX(VLOOKUP(F5583,N$6:P$15,3,FALSE)/1000,2/3*D5578/1000)+F$16*F5583/1000</f>
        <v>0.192</v>
      </c>
      <c r="M5583" t="str">
        <v>=</v>
      </c>
      <c r="N5583">
        <f>J5583+L5583</f>
        <v>0.942</v>
      </c>
      <c r="O5583" t="str">
        <v>+</v>
      </c>
      <c r="P5583">
        <f>D5583-D5582</f>
        <v>0</v>
      </c>
      <c r="Q5583" t="str">
        <v>x</v>
      </c>
      <c r="R5583">
        <f>IF(P5583&gt;0,$F$18*F5583/1000,0)</f>
        <v>0</v>
      </c>
      <c r="S5583" t="str">
        <v>)</v>
      </c>
      <c r="T5583" t="str">
        <v>x</v>
      </c>
      <c r="U5583">
        <f>0.006165*F5583^2</f>
        <v>1.57824</v>
      </c>
      <c r="X5583" t="str">
        <v>x</v>
      </c>
      <c r="Y5583">
        <f>D5580</f>
        <v>1</v>
      </c>
      <c r="Z5583" t="str">
        <v>=</v>
      </c>
      <c r="AA5583">
        <f>IF(AA5584=0,(D5583*N5583+P5583*R5583)*U5583*Y5583,0)</f>
        <v>0</v>
      </c>
    </row>
    <row r="5584">
      <c r="A5584" t="str">
        <f>A5574</f>
        <v>Lantai 1</v>
      </c>
      <c r="B5584">
        <f>B5574</f>
        <v>89</v>
      </c>
      <c r="D5584">
        <f>IF(AND(D5581=D5582,D5582=D5583,D5581=D5583),D5581,0)</f>
        <v>2</v>
      </c>
      <c r="E5584" t="str">
        <v>D</v>
      </c>
      <c r="F5584">
        <f>IF(AND(F5581=F5582,F5581=F5583,F5582=F5583),F5581,0)</f>
        <v>16</v>
      </c>
      <c r="L5584" t="str">
        <v>Total panjang per balok</v>
      </c>
      <c r="M5584" t="str">
        <v>=</v>
      </c>
      <c r="N5584">
        <f>IF(AND(D5581=D5582,D5581=D5583,D5582=D5583,F5581=F5582,F5581=F5583,F5582=F5583),SUM(N5581:N5583),0)</f>
        <v>3.3840000000000003</v>
      </c>
      <c r="O5584" t="str">
        <v>+</v>
      </c>
      <c r="P5584">
        <f>IF(N5584&gt;12,ROUNDDOWN(N5584/12,0),0)</f>
        <v>0</v>
      </c>
      <c r="Q5584" t="str">
        <v>x</v>
      </c>
      <c r="R5584">
        <f>IF(P5584&gt;0,MAX(VLOOKUP(F5584,$D$6:$G$15,3,FALSE),600),0)/1000</f>
        <v>0</v>
      </c>
      <c r="T5584" t="str">
        <v>x</v>
      </c>
      <c r="U5584">
        <f>U5583</f>
        <v>1.57824</v>
      </c>
      <c r="V5584" t="str">
        <v>x</v>
      </c>
      <c r="W5584">
        <f>D5584</f>
        <v>2</v>
      </c>
      <c r="X5584" t="str">
        <v>x</v>
      </c>
      <c r="Y5584">
        <f>Y5583</f>
        <v>1</v>
      </c>
      <c r="Z5584" t="str">
        <v>=</v>
      </c>
      <c r="AA5584">
        <f>(N5584+P5584*R5584/1000)*U5584*W5584*Y5584</f>
        <v>10.681528320000002</v>
      </c>
    </row>
    <row r="5586">
      <c r="A5586" t="str">
        <f>A5574</f>
        <v>Lantai 1</v>
      </c>
      <c r="B5586">
        <f>B5574</f>
        <v>89</v>
      </c>
      <c r="C5586" t="str">
        <v>Tul Peminggang</v>
      </c>
      <c r="D5586">
        <f>VLOOKUP(D5574,'Detail Balok'!$C$10:$AU$110,13,FALSE)</f>
        <v>2</v>
      </c>
      <c r="E5586" t="str">
        <v>D</v>
      </c>
      <c r="F5586">
        <f>VLOOKUP(D5574,'Detail Balok'!$C$10:$AU$110,15,FALSE)</f>
        <v>10</v>
      </c>
      <c r="J5586">
        <f>+D5576/1000</f>
        <v>3</v>
      </c>
      <c r="K5586" t="str">
        <v>+</v>
      </c>
      <c r="L5586">
        <f>2*$F$16*F5586/1000</f>
        <v>0.24</v>
      </c>
      <c r="M5586" t="str">
        <v>=</v>
      </c>
      <c r="N5586">
        <f>J5586+L5586</f>
        <v>3.24</v>
      </c>
      <c r="O5586" t="str">
        <v>+</v>
      </c>
      <c r="P5586">
        <f>IF(N5586&gt;12,ROUNDDOWN(N5586/12,0),0)</f>
        <v>0</v>
      </c>
      <c r="Q5586" t="str">
        <v>x</v>
      </c>
      <c r="R5586">
        <f>IF(P5586&gt;0,MAX(VLOOKUP(F5586,$D$6:$G$15,3,FALSE),600),0)/1000</f>
        <v>0</v>
      </c>
      <c r="T5586" t="str">
        <v>x</v>
      </c>
      <c r="U5586">
        <f>0.006165*F5586^2</f>
        <v>0.6165</v>
      </c>
      <c r="V5586" t="str">
        <v>x</v>
      </c>
      <c r="W5586">
        <f>+D5586</f>
        <v>2</v>
      </c>
      <c r="X5586" t="str">
        <v>x</v>
      </c>
      <c r="Y5586">
        <f>D5580</f>
        <v>1</v>
      </c>
      <c r="Z5586" t="str">
        <v>=</v>
      </c>
      <c r="AA5586">
        <f>(N5586+P5586*R5586/1000)*U5586*W5586*Y5586</f>
        <v>3.9949200000000005</v>
      </c>
    </row>
    <row r="5589">
      <c r="A5589" t="str">
        <f>A5574</f>
        <v>Lantai 1</v>
      </c>
      <c r="B5589">
        <f>B5574</f>
        <v>89</v>
      </c>
      <c r="C5589" t="str">
        <v>Tul Bawah Tumpuan</v>
      </c>
      <c r="D5589">
        <f>VLOOKUP(D5574,'Detail Balok'!$C$10:$AU$110,22,FALSE)</f>
        <v>2</v>
      </c>
      <c r="E5589" t="str">
        <v>D</v>
      </c>
      <c r="F5589">
        <f>VLOOKUP(D5574,'Detail Balok'!$C$10:$AU$110,24,FALSE)</f>
        <v>16</v>
      </c>
      <c r="I5589" t="str">
        <v>(</v>
      </c>
      <c r="J5589">
        <f>+J5581</f>
        <v>0.75</v>
      </c>
      <c r="K5589" t="str">
        <v>+</v>
      </c>
      <c r="L5589">
        <f>MAX(VLOOKUP(F5589,N$6:P$15,3,FALSE)/1000,2/3*D5579/1000)+F$16*F5589/1000</f>
        <v>0.192</v>
      </c>
      <c r="M5589" t="str">
        <v>=</v>
      </c>
      <c r="N5589">
        <f>J5589+L5589</f>
        <v>0.942</v>
      </c>
      <c r="O5589" t="str">
        <v>+</v>
      </c>
      <c r="P5589">
        <f>D5589-D5590</f>
        <v>0</v>
      </c>
      <c r="Q5589" t="str">
        <v>x</v>
      </c>
      <c r="R5589">
        <f>IF(P5589&gt;0,$F$18*F5589/1000,0)</f>
        <v>0</v>
      </c>
      <c r="S5589" t="str">
        <v>)</v>
      </c>
      <c r="T5589" t="str">
        <v>x</v>
      </c>
      <c r="U5589">
        <f>0.006165*F5589^2</f>
        <v>1.57824</v>
      </c>
      <c r="X5589" t="str">
        <v>x</v>
      </c>
      <c r="Y5589">
        <f>D5580</f>
        <v>1</v>
      </c>
      <c r="Z5589" t="str">
        <v>=</v>
      </c>
      <c r="AA5589">
        <f>IF(AA5592=0,(D5589*N5589+P5589*R5589)*U5589*Y5589,0)</f>
        <v>0</v>
      </c>
    </row>
    <row r="5590">
      <c r="A5590" t="str">
        <f>A5574</f>
        <v>Lantai 1</v>
      </c>
      <c r="B5590">
        <f>B5574</f>
        <v>89</v>
      </c>
      <c r="C5590" t="str">
        <v>Tul Bawah Lapangan</v>
      </c>
      <c r="D5590">
        <f>VLOOKUP(D5574,'Detail Balok'!$C$10:$AU$110,25,FALSE)</f>
        <v>2</v>
      </c>
      <c r="E5590" t="str">
        <v>D</v>
      </c>
      <c r="F5590">
        <f>VLOOKUP(D5574,'Detail Balok'!$C$10:$AU$110,27,FALSE)</f>
        <v>16</v>
      </c>
      <c r="I5590" t="str">
        <v>(</v>
      </c>
      <c r="J5590">
        <f>+J5582</f>
        <v>1.5</v>
      </c>
      <c r="K5590" t="str">
        <v>+</v>
      </c>
      <c r="M5590" t="str">
        <v>=</v>
      </c>
      <c r="N5590">
        <f>J5590+L5590</f>
        <v>1.5</v>
      </c>
      <c r="O5590" t="str">
        <v>+</v>
      </c>
      <c r="P5590">
        <f>MAX(D5590-D5589,D5590-D5591)</f>
        <v>0</v>
      </c>
      <c r="Q5590" t="str">
        <v>x</v>
      </c>
      <c r="R5590">
        <f>IF(P5590&gt;0,2*(1-2*$F$19-1/2)*D5577/1000,0)</f>
        <v>0</v>
      </c>
      <c r="S5590" t="str">
        <v>)</v>
      </c>
      <c r="T5590" t="str">
        <v>x</v>
      </c>
      <c r="U5590">
        <f>0.006165*F5590^2</f>
        <v>1.57824</v>
      </c>
      <c r="X5590" t="str">
        <v>x</v>
      </c>
      <c r="Y5590">
        <f>D5580</f>
        <v>1</v>
      </c>
      <c r="Z5590" t="str">
        <v>=</v>
      </c>
      <c r="AA5590">
        <f>IF(AA5592=0,(D5590*N5590+P5590*R5590)*U5590*Y5590,0)</f>
        <v>0</v>
      </c>
    </row>
    <row r="5591">
      <c r="A5591" t="str">
        <f>A5574</f>
        <v>Lantai 1</v>
      </c>
      <c r="B5591">
        <f>B5574</f>
        <v>89</v>
      </c>
      <c r="C5591" t="str">
        <v>Tul Bawah Tumpuan</v>
      </c>
      <c r="D5591">
        <f>VLOOKUP(D5574,'Detail Balok'!$C$10:$AU$110,28,FALSE)</f>
        <v>2</v>
      </c>
      <c r="E5591" t="str">
        <v>D</v>
      </c>
      <c r="F5591">
        <f>VLOOKUP(D5574,'Detail Balok'!$C$10:$AU$110,30,FALSE)</f>
        <v>16</v>
      </c>
      <c r="I5591" t="str">
        <v>(</v>
      </c>
      <c r="J5591">
        <f>+J5583</f>
        <v>0.75</v>
      </c>
      <c r="K5591" t="str">
        <v>+</v>
      </c>
      <c r="L5591">
        <f>MAX(VLOOKUP(F5591,N$6:P$15,3,FALSE)/1000,2/3*D5579/1000)+F$16*F5591/1000</f>
        <v>0.192</v>
      </c>
      <c r="M5591" t="str">
        <v>=</v>
      </c>
      <c r="N5591">
        <f>J5591+L5591</f>
        <v>0.942</v>
      </c>
      <c r="O5591" t="str">
        <v>+</v>
      </c>
      <c r="P5591">
        <f>D5591-D5590</f>
        <v>0</v>
      </c>
      <c r="Q5591" t="str">
        <v>x</v>
      </c>
      <c r="R5591">
        <f>IF(P5591&gt;0,$F$18*F5591/1000,0)</f>
        <v>0</v>
      </c>
      <c r="S5591" t="str">
        <v>)</v>
      </c>
      <c r="T5591" t="str">
        <v>x</v>
      </c>
      <c r="U5591">
        <f>0.006165*F5591^2</f>
        <v>1.57824</v>
      </c>
      <c r="X5591" t="str">
        <v>x</v>
      </c>
      <c r="Y5591">
        <f>D5580</f>
        <v>1</v>
      </c>
      <c r="Z5591" t="str">
        <v>=</v>
      </c>
      <c r="AA5591">
        <f>IF(AA5592=0,(D5591*N5591+P5591*R5591)*U5591*Y5591,0)</f>
        <v>0</v>
      </c>
    </row>
    <row r="5592">
      <c r="A5592" t="str">
        <f>A5574</f>
        <v>Lantai 1</v>
      </c>
      <c r="B5592">
        <f>B5574</f>
        <v>89</v>
      </c>
      <c r="D5592">
        <f>IF(AND(D5589=D5590,D5590=D5591,D5589=D5591),D5589,0)</f>
        <v>2</v>
      </c>
      <c r="E5592" t="str">
        <v>D</v>
      </c>
      <c r="F5592">
        <f>IF(AND(F5589=F5590,F5589=F5591,F5590=F5591),F5589,0)</f>
        <v>16</v>
      </c>
      <c r="L5592" t="str">
        <v>Total panjang per balok</v>
      </c>
      <c r="M5592" t="str">
        <v>=</v>
      </c>
      <c r="N5592">
        <f>IF(AND(D5589=D5590,D5589=D5591,D5590=D5591,F5589=F5590,F5589=F5591,F5590=F5591),SUM(N5589:N5591),0)</f>
        <v>3.3840000000000003</v>
      </c>
      <c r="O5592" t="str">
        <v>+</v>
      </c>
      <c r="P5592">
        <f>IF(N5592&gt;12,ROUNDDOWN(N5592/12,0),0)</f>
        <v>0</v>
      </c>
      <c r="Q5592" t="str">
        <v>x</v>
      </c>
      <c r="R5592">
        <f>IF(P5592&gt;0,MAX(VLOOKUP(F5592,$D$6:$G$15,3,FALSE),600),0)/1000</f>
        <v>0</v>
      </c>
      <c r="T5592" t="str">
        <v>x</v>
      </c>
      <c r="U5592">
        <f>U5591</f>
        <v>1.57824</v>
      </c>
      <c r="V5592" t="str">
        <v>x</v>
      </c>
      <c r="W5592">
        <f>D5592</f>
        <v>2</v>
      </c>
      <c r="X5592" t="str">
        <v>x</v>
      </c>
      <c r="Y5592">
        <f>Y5591</f>
        <v>1</v>
      </c>
      <c r="Z5592" t="str">
        <v>=</v>
      </c>
      <c r="AA5592">
        <f>(N5592+P5592*R5592/1000)*U5592*W5592*Y5592</f>
        <v>10.681528320000002</v>
      </c>
    </row>
    <row r="5594">
      <c r="A5594" t="str">
        <f>A5574</f>
        <v>Lantai 1</v>
      </c>
      <c r="B5594">
        <f>B5574</f>
        <v>89</v>
      </c>
      <c r="C5594" t="str">
        <v>Sengkang Tumpuan</v>
      </c>
      <c r="D5594">
        <f>VLOOKUP(D5574,'Detail Balok'!$C$10:$AU$110,31,FALSE)</f>
        <v>0</v>
      </c>
      <c r="E5594" t="str">
        <v>D</v>
      </c>
      <c r="F5594">
        <f>VLOOKUP(D5574,'Detail Balok'!$C$10:$AU$110,33,FALSE)</f>
        <v>10</v>
      </c>
      <c r="G5594" t="str">
        <v>-</v>
      </c>
      <c r="H5594">
        <f>VLOOKUP(D5574,'Detail Balok'!$C$10:$AU$110,35,FALSE)</f>
        <v>90</v>
      </c>
      <c r="J5594">
        <f>(IF(D5594=0,(2*(D5575+G5575))-(F$5*8),IF(D5594=3,(2*(D5575+G5575))-(F$5*8)+(G5575-2*F$5),IF(D5594=4,(2*(D5575+G5575))-(F$5*8)+2*(G5575-2*F$5)))))/1000</f>
        <v>0.98</v>
      </c>
      <c r="K5594" t="str">
        <v>+</v>
      </c>
      <c r="L5594">
        <f>IF(D5594=0,2*MAX(6*F5594,75),(D5594-1)*2*MAX(6*F5594,75))/1000</f>
        <v>0.15</v>
      </c>
      <c r="M5594" t="str">
        <v>=</v>
      </c>
      <c r="N5594">
        <f>J5594+L5594</f>
        <v>1.13</v>
      </c>
      <c r="T5594" t="str">
        <v>x</v>
      </c>
      <c r="U5594">
        <f>0.006165*F5594^2</f>
        <v>0.6165</v>
      </c>
      <c r="V5594" t="str">
        <v>x</v>
      </c>
      <c r="W5594">
        <f>IF(D5577&gt;4*G5575,ROUND(MAX(D5577/4,2*G5575)/H5594,0)+1,ROUND(D5577/H5594,0)+1)</f>
        <v>11</v>
      </c>
      <c r="X5594" t="str">
        <v>x</v>
      </c>
      <c r="Y5594">
        <f>D5580</f>
        <v>1</v>
      </c>
      <c r="Z5594" t="str">
        <v>=</v>
      </c>
      <c r="AA5594">
        <f>N5594*U5594*W5594*Y5594</f>
        <v>7.663094999999999</v>
      </c>
    </row>
    <row r="5595">
      <c r="A5595" t="str">
        <f>A5574</f>
        <v>Lantai 1</v>
      </c>
      <c r="B5595">
        <f>B5574</f>
        <v>89</v>
      </c>
      <c r="C5595" t="str">
        <v>Sengkang Lapangan</v>
      </c>
      <c r="D5595">
        <f>VLOOKUP(D5574,'Detail Balok'!$C$10:$AU$110,36,FALSE)</f>
        <v>0</v>
      </c>
      <c r="E5595" t="str">
        <v>D</v>
      </c>
      <c r="F5595">
        <f>VLOOKUP(D5574,'Detail Balok'!$C$10:$AU$110,38,FALSE)</f>
        <v>10</v>
      </c>
      <c r="G5595" t="str">
        <v>-</v>
      </c>
      <c r="H5595">
        <f>VLOOKUP(D5574,'Detail Balok'!$C$10:$AU$110,40,FALSE)</f>
        <v>175</v>
      </c>
      <c r="J5595">
        <f>(IF(D5595=0,(2*(D5575+G5575))-(F$5*8),IF(D5595=3,(2*(D5575+G5575))-(F$5*8)+(G5575-2*F$5),IF(D5595=4,(2*(D5575+G5575))-(F$5*8)+2*(G5575-2*F$5)))))/1000</f>
        <v>0.98</v>
      </c>
      <c r="K5595" t="str">
        <v>+</v>
      </c>
      <c r="L5595">
        <f>IF(D5595=0,2*MAX(6*F5595,75),(D5595-1)*2*MAX(6*F5595,75))/1000</f>
        <v>0.15</v>
      </c>
      <c r="M5595" t="str">
        <v>=</v>
      </c>
      <c r="N5595">
        <f>J5595+L5595</f>
        <v>1.13</v>
      </c>
      <c r="T5595" t="str">
        <v>x</v>
      </c>
      <c r="U5595">
        <f>0.006165*F5595^2</f>
        <v>0.6165</v>
      </c>
      <c r="V5595" t="str">
        <v>x</v>
      </c>
      <c r="W5595">
        <f>IF(D5577-MAX(D5577/4,2*G5575)*2&gt;0,ROUND((D5577-MAX(D5577/4,2*G5575)*2)/H5595,0),0)</f>
        <v>7</v>
      </c>
      <c r="X5595" t="str">
        <v>x</v>
      </c>
      <c r="Y5595">
        <f>D5580</f>
        <v>1</v>
      </c>
      <c r="Z5595" t="str">
        <v>=</v>
      </c>
      <c r="AA5595">
        <f>N5595*U5595*W5595*Y5595</f>
        <v>4.8765149999999995</v>
      </c>
    </row>
    <row r="5596">
      <c r="A5596" t="str">
        <f>A5574</f>
        <v>Lantai 1</v>
      </c>
      <c r="B5596">
        <f>B5574</f>
        <v>89</v>
      </c>
      <c r="C5596" t="str">
        <v>Sengkang Tumpuan</v>
      </c>
      <c r="D5596">
        <f>VLOOKUP(D5574,'Detail Balok'!$C$10:$AU$110,41,FALSE)</f>
        <v>0</v>
      </c>
      <c r="E5596" t="str">
        <v>D</v>
      </c>
      <c r="F5596">
        <f>VLOOKUP(D5574,'Detail Balok'!$C$10:$AU$110,43,FALSE)</f>
        <v>10</v>
      </c>
      <c r="G5596" t="str">
        <v>-</v>
      </c>
      <c r="H5596">
        <f>VLOOKUP(D5574,'Detail Balok'!$C$10:$AU$110,45,FALSE)</f>
        <v>90</v>
      </c>
      <c r="J5596">
        <f>(IF(D5596=0,(2*(D5575+G5575))-(F$5*8),IF(D5596=3,(2*(D5575+G5575))-(F$5*8)+(G5575-2*F$5),IF(D5596=4,(2*(D5575+G5575))-(F$5*8)+2*(G5575-2*F$5)))))/1000</f>
        <v>0.98</v>
      </c>
      <c r="K5596" t="str">
        <v>+</v>
      </c>
      <c r="L5596">
        <f>IF(D5596=0,2*MAX(6*F5596,75),(D5596-1)*2*MAX(6*F5596,75))/1000</f>
        <v>0.15</v>
      </c>
      <c r="M5596" t="str">
        <v>=</v>
      </c>
      <c r="N5596">
        <f>J5596+L5596</f>
        <v>1.13</v>
      </c>
      <c r="T5596" t="str">
        <v>x</v>
      </c>
      <c r="U5596">
        <f>0.006165*F5596^2</f>
        <v>0.6165</v>
      </c>
      <c r="V5596" t="str">
        <v>x</v>
      </c>
      <c r="W5596">
        <f>IF(D5577&gt;4*G5575,ROUND(MAX(D5577/4,2*G5575)/H5596,0)+1,0)</f>
        <v>11</v>
      </c>
      <c r="X5596" t="str">
        <v>x</v>
      </c>
      <c r="Y5596">
        <f>D5580</f>
        <v>1</v>
      </c>
      <c r="Z5596" t="str">
        <v>=</v>
      </c>
      <c r="AA5596">
        <f>N5596*U5596*W5596*Y5596</f>
        <v>7.663094999999999</v>
      </c>
    </row>
    <row r="5598">
      <c r="A5598" t="str">
        <f>A5574</f>
        <v>Lantai 1</v>
      </c>
      <c r="B5598">
        <f>B5574</f>
        <v>89</v>
      </c>
      <c r="C5598" t="str">
        <v>Kait Horizontal Tump.</v>
      </c>
      <c r="D5598">
        <f>VLOOKUP(D5574,'Detail Balok'!$C$10:$BJ$110,46,FALSE)</f>
        <v>0</v>
      </c>
      <c r="E5598" t="str">
        <v>D</v>
      </c>
      <c r="F5598">
        <f>VLOOKUP(D5574,'Detail Balok'!$C$10:$BJ$110,48,FALSE)</f>
        <v>0</v>
      </c>
      <c r="G5598" t="str">
        <v>-</v>
      </c>
      <c r="H5598">
        <f>VLOOKUP(D5574,'Detail Balok'!$C$10:$BJ$110,50,FALSE)</f>
        <v>100</v>
      </c>
      <c r="J5598">
        <f>(D5575-2*F$5)/1000</f>
        <v>0.12</v>
      </c>
      <c r="K5598" t="str">
        <v>+</v>
      </c>
      <c r="L5598">
        <f>IF(D5598=0,2*MAX(6*F5598,75),(D5598-1)*2*MAX(6*F5598,75))/1000</f>
        <v>0.15</v>
      </c>
      <c r="M5598" t="str">
        <v>=</v>
      </c>
      <c r="N5598">
        <f>J5598+L5598</f>
        <v>0.27</v>
      </c>
      <c r="T5598" t="str">
        <v>x</v>
      </c>
      <c r="U5598">
        <f>0.006165*F5598^2</f>
        <v>0</v>
      </c>
      <c r="V5598" t="str">
        <v>x</v>
      </c>
      <c r="W5598">
        <f>W5594</f>
        <v>11</v>
      </c>
      <c r="X5598" t="str">
        <v>x</v>
      </c>
      <c r="Y5598">
        <f>D5584</f>
        <v>2</v>
      </c>
      <c r="Z5598" t="str">
        <v>=</v>
      </c>
      <c r="AA5598">
        <f>N5598*U5598*W5598*Y5598</f>
        <v>0</v>
      </c>
    </row>
    <row r="5599">
      <c r="A5599" t="str">
        <f>A5574</f>
        <v>Lantai 1</v>
      </c>
      <c r="B5599">
        <f>B5574</f>
        <v>89</v>
      </c>
      <c r="C5599" t="str">
        <v>Kait Horizontal Lap.</v>
      </c>
      <c r="D5599">
        <f>VLOOKUP(D5574,'Detail Balok'!$C$10:$BJ$110,51,FALSE)</f>
        <v>0</v>
      </c>
      <c r="E5599" t="str">
        <v>D</v>
      </c>
      <c r="F5599">
        <f>VLOOKUP(D5574,'Detail Balok'!$C$10:$BJ$110,53,FALSE)</f>
        <v>0</v>
      </c>
      <c r="G5599" t="str">
        <v>-</v>
      </c>
      <c r="H5599">
        <f>VLOOKUP(D5574,'Detail Balok'!$C$10:$BJ$110,55,FALSE)</f>
        <v>100</v>
      </c>
      <c r="J5599">
        <f>(D5575-2*F$5)/1000</f>
        <v>0.12</v>
      </c>
      <c r="K5599" t="str">
        <v>+</v>
      </c>
      <c r="L5599">
        <f>IF(D5599=0,2*MAX(6*F5599,75),(D5599-1)*2*MAX(6*F5599,75))/1000</f>
        <v>0.15</v>
      </c>
      <c r="M5599" t="str">
        <v>=</v>
      </c>
      <c r="N5599">
        <f>J5599+L5599</f>
        <v>0.27</v>
      </c>
      <c r="T5599" t="str">
        <v>x</v>
      </c>
      <c r="U5599">
        <f>0.006165*F5599^2</f>
        <v>0</v>
      </c>
      <c r="V5599" t="str">
        <v>x</v>
      </c>
      <c r="W5599">
        <f>W5595</f>
        <v>7</v>
      </c>
      <c r="X5599" t="str">
        <v>x</v>
      </c>
      <c r="Y5599">
        <f>D5584</f>
        <v>2</v>
      </c>
      <c r="Z5599" t="str">
        <v>=</v>
      </c>
      <c r="AA5599">
        <f>N5599*U5599*W5599*Y5599</f>
        <v>0</v>
      </c>
    </row>
    <row r="5600">
      <c r="A5600" t="str">
        <f>A5574</f>
        <v>Lantai 1</v>
      </c>
      <c r="B5600">
        <f>B5574</f>
        <v>89</v>
      </c>
      <c r="C5600" t="str">
        <v>Kait Horizontal Tump.</v>
      </c>
      <c r="D5600">
        <f>VLOOKUP(D5574,'Detail Balok'!$C$10:$BJ$110,56,FALSE)</f>
        <v>0</v>
      </c>
      <c r="E5600" t="str">
        <v>D</v>
      </c>
      <c r="F5600">
        <f>VLOOKUP(D5574,'Detail Balok'!$C$10:$BJ$110,58,FALSE)</f>
        <v>0</v>
      </c>
      <c r="G5600" t="str">
        <v>-</v>
      </c>
      <c r="H5600">
        <f>VLOOKUP(D5574,'Detail Balok'!$C$10:$BJ$110,60,FALSE)</f>
        <v>100</v>
      </c>
      <c r="J5600">
        <f>(D5575-2*F$5)/1000</f>
        <v>0.12</v>
      </c>
      <c r="K5600" t="str">
        <v>+</v>
      </c>
      <c r="L5600">
        <f>IF(D5600=0,2*MAX(6*F5600,75),(D5600-1)*2*MAX(6*F5600,75))/1000</f>
        <v>0.15</v>
      </c>
      <c r="M5600" t="str">
        <v>=</v>
      </c>
      <c r="N5600">
        <f>J5600+L5600</f>
        <v>0.27</v>
      </c>
      <c r="T5600" t="str">
        <v>x</v>
      </c>
      <c r="U5600">
        <f>0.006165*F5600^2</f>
        <v>0</v>
      </c>
      <c r="V5600" t="str">
        <v>x</v>
      </c>
      <c r="W5600">
        <f>W5596</f>
        <v>11</v>
      </c>
      <c r="X5600" t="str">
        <v>x</v>
      </c>
      <c r="Y5600">
        <f>D5584</f>
        <v>2</v>
      </c>
      <c r="Z5600" t="str">
        <v>=</v>
      </c>
      <c r="AA5600">
        <f>N5600*U5600*W5600*Y5600</f>
        <v>0</v>
      </c>
    </row>
    <row r="5604">
      <c r="A5604" t="str">
        <f>A5574</f>
        <v>Lantai 1</v>
      </c>
      <c r="B5604" t="str">
        <v>89A</v>
      </c>
      <c r="C5604" t="str">
        <f>CONCATENATE(A5604," no. ",B5604)</f>
        <v>Lantai 1 no. 89A</v>
      </c>
      <c r="D5604" t="str">
        <f>VLOOKUP(C5604,'Data Panjang Balok'!$C$9:$N$424,2,FALSE)</f>
        <v>B245-6</v>
      </c>
    </row>
    <row r="5605">
      <c r="C5605" t="str">
        <v>Dimensi</v>
      </c>
      <c r="D5605">
        <f>VLOOKUP(D5604,'Detail Balok'!$C$10:$AU$110,2,FALSE)</f>
        <v>200</v>
      </c>
      <c r="F5605" t="str">
        <v>x</v>
      </c>
      <c r="G5605">
        <f>VLOOKUP(D5604,'Detail Balok'!$C$10:$AU$110,3,FALSE)</f>
        <v>450</v>
      </c>
    </row>
    <row r="5606">
      <c r="C5606" t="str">
        <v>Panjang as ke as</v>
      </c>
      <c r="D5606">
        <f>VLOOKUP(C5604,'Data Panjang Balok'!$C$9:$N$424,4,FALSE)</f>
        <v>3135</v>
      </c>
    </row>
    <row r="5607">
      <c r="C5607" t="str">
        <v>Panjang netto</v>
      </c>
      <c r="D5607">
        <f>VLOOKUP(C5604,'Data Panjang Balok'!$C$9:$N$424,7,FALSE)</f>
        <v>3135</v>
      </c>
    </row>
    <row r="5608">
      <c r="C5608" t="str">
        <v>Kolom / balok kiri</v>
      </c>
      <c r="D5608">
        <f>VLOOKUP(C5604,'Data Panjang Balok'!$C$9:$N$424,9,FALSE)</f>
        <v>0</v>
      </c>
    </row>
    <row r="5609">
      <c r="C5609" t="str">
        <v>Kolom / balok kanan</v>
      </c>
      <c r="D5609">
        <f>VLOOKUP(C5604,'Data Panjang Balok'!$C$9:$N$424,10,FALSE)</f>
        <v>0</v>
      </c>
    </row>
    <row r="5610">
      <c r="C5610" t="str">
        <v>Jumlah</v>
      </c>
      <c r="D5610">
        <f>VLOOKUP(C5604,'Data Panjang Balok'!$C$9:$N$424,3,FALSE)</f>
        <v>1</v>
      </c>
    </row>
    <row r="5611">
      <c r="A5611" t="str">
        <f>A5604</f>
        <v>Lantai 1</v>
      </c>
      <c r="B5611" t="str">
        <f>B5604</f>
        <v>89A</v>
      </c>
      <c r="C5611" t="str">
        <v>Tul Atas Tumpuan</v>
      </c>
      <c r="D5611">
        <f>VLOOKUP(D5604,'Detail Balok'!$C$10:$AU$110,4,FALSE)</f>
        <v>4</v>
      </c>
      <c r="E5611" t="str">
        <v>D</v>
      </c>
      <c r="F5611">
        <f>VLOOKUP(D5604,'Detail Balok'!$C$10:$AU$110,6,FALSE)</f>
        <v>16</v>
      </c>
      <c r="I5611" t="str">
        <v>(</v>
      </c>
      <c r="J5611">
        <f>+D5606/4/1000</f>
        <v>0.78375</v>
      </c>
      <c r="K5611" t="str">
        <v>+</v>
      </c>
      <c r="L5611">
        <f>MAX(VLOOKUP(F5611,N$6:P$15,3,FALSE)/1000,2/3*D5608/1000)+F$16*F5611/1000</f>
        <v>0.192</v>
      </c>
      <c r="M5611" t="str">
        <v>=</v>
      </c>
      <c r="N5611">
        <f>J5611+L5611</f>
        <v>0.9757499999999999</v>
      </c>
      <c r="O5611" t="str">
        <v>+</v>
      </c>
      <c r="P5611">
        <f>D5611-D5612</f>
        <v>2</v>
      </c>
      <c r="Q5611" t="str">
        <v>x</v>
      </c>
      <c r="R5611">
        <f>IF(P5611&gt;0,$F$18*F5611/1000,0)</f>
        <v>0.24</v>
      </c>
      <c r="S5611" t="str">
        <v>)</v>
      </c>
      <c r="T5611" t="str">
        <v>x</v>
      </c>
      <c r="U5611">
        <f>0.006165*F5611^2</f>
        <v>1.57824</v>
      </c>
      <c r="X5611" t="str">
        <v>x</v>
      </c>
      <c r="Y5611">
        <f>D5610</f>
        <v>1</v>
      </c>
      <c r="Z5611" t="str">
        <v>=</v>
      </c>
      <c r="AA5611">
        <f>IF(AA5614=0,(D5611*N5611+P5611*R5611)*U5611*Y5611,0)</f>
        <v>6.917425919999999</v>
      </c>
    </row>
    <row r="5612">
      <c r="A5612" t="str">
        <f>A5604</f>
        <v>Lantai 1</v>
      </c>
      <c r="B5612" t="str">
        <f>B5604</f>
        <v>89A</v>
      </c>
      <c r="C5612" t="str">
        <v>Tul Atas Lapangan</v>
      </c>
      <c r="D5612">
        <f>VLOOKUP(D5604,'Detail Balok'!$C$10:$AU$110,7,FALSE)</f>
        <v>2</v>
      </c>
      <c r="E5612" t="str">
        <v>D</v>
      </c>
      <c r="F5612">
        <f>VLOOKUP(D5604,'Detail Balok'!$C$10:$AU$110,9,FALSE)</f>
        <v>16</v>
      </c>
      <c r="I5612" t="str">
        <v>(</v>
      </c>
      <c r="J5612">
        <f>+D5606/2/1000</f>
        <v>1.5675</v>
      </c>
      <c r="K5612" t="str">
        <v>+</v>
      </c>
      <c r="M5612" t="str">
        <v>=</v>
      </c>
      <c r="N5612">
        <f>J5612+L5612</f>
        <v>1.5675</v>
      </c>
      <c r="O5612" t="str">
        <v>+</v>
      </c>
      <c r="P5612">
        <f>MAX(D5612-D5611,D5612-D5613)</f>
        <v>-2</v>
      </c>
      <c r="Q5612" t="str">
        <v>x</v>
      </c>
      <c r="R5612">
        <f>IF(P5612&gt;0,2*(1-2*$F$19-1/2)*D5607/1000,0)</f>
        <v>0</v>
      </c>
      <c r="S5612" t="str">
        <v>)</v>
      </c>
      <c r="T5612" t="str">
        <v>x</v>
      </c>
      <c r="U5612">
        <f>0.006165*F5612^2</f>
        <v>1.57824</v>
      </c>
      <c r="X5612" t="str">
        <v>x</v>
      </c>
      <c r="Y5612">
        <f>D5610</f>
        <v>1</v>
      </c>
      <c r="Z5612" t="str">
        <v>=</v>
      </c>
      <c r="AA5612">
        <f>IF(AA5614=0,(D5612*N5612+P5612*R5612)*U5612*Y5612,0)</f>
        <v>4.9477824</v>
      </c>
    </row>
    <row r="5613">
      <c r="A5613" t="str">
        <f>A5604</f>
        <v>Lantai 1</v>
      </c>
      <c r="B5613" t="str">
        <f>B5604</f>
        <v>89A</v>
      </c>
      <c r="C5613" t="str">
        <v>Tul Atas Tumpuan</v>
      </c>
      <c r="D5613">
        <f>VLOOKUP(D5604,'Detail Balok'!$C$10:$AU$110,10,FALSE)</f>
        <v>4</v>
      </c>
      <c r="E5613" t="str">
        <v>D</v>
      </c>
      <c r="F5613">
        <f>VLOOKUP(D5604,'Detail Balok'!$C$10:$AU$110,12,FALSE)</f>
        <v>16</v>
      </c>
      <c r="I5613" t="str">
        <v>(</v>
      </c>
      <c r="J5613">
        <f>+D5606/4/1000</f>
        <v>0.78375</v>
      </c>
      <c r="K5613" t="str">
        <v>+</v>
      </c>
      <c r="L5613">
        <f>MAX(VLOOKUP(F5613,N$6:P$15,3,FALSE)/1000,2/3*D5608/1000)+F$16*F5613/1000</f>
        <v>0.192</v>
      </c>
      <c r="M5613" t="str">
        <v>=</v>
      </c>
      <c r="N5613">
        <f>J5613+L5613</f>
        <v>0.9757499999999999</v>
      </c>
      <c r="O5613" t="str">
        <v>+</v>
      </c>
      <c r="P5613">
        <f>D5613-D5612</f>
        <v>2</v>
      </c>
      <c r="Q5613" t="str">
        <v>x</v>
      </c>
      <c r="R5613">
        <f>IF(P5613&gt;0,$F$18*F5613/1000,0)</f>
        <v>0.24</v>
      </c>
      <c r="S5613" t="str">
        <v>)</v>
      </c>
      <c r="T5613" t="str">
        <v>x</v>
      </c>
      <c r="U5613">
        <f>0.006165*F5613^2</f>
        <v>1.57824</v>
      </c>
      <c r="X5613" t="str">
        <v>x</v>
      </c>
      <c r="Y5613">
        <f>D5610</f>
        <v>1</v>
      </c>
      <c r="Z5613" t="str">
        <v>=</v>
      </c>
      <c r="AA5613">
        <f>IF(AA5614=0,(D5613*N5613+P5613*R5613)*U5613*Y5613,0)</f>
        <v>6.917425919999999</v>
      </c>
    </row>
    <row r="5614">
      <c r="A5614" t="str">
        <f>A5604</f>
        <v>Lantai 1</v>
      </c>
      <c r="B5614" t="str">
        <f>B5604</f>
        <v>89A</v>
      </c>
      <c r="D5614">
        <f>IF(AND(D5611=D5612,D5612=D5613,D5611=D5613),D5611,0)</f>
        <v>0</v>
      </c>
      <c r="E5614" t="str">
        <v>D</v>
      </c>
      <c r="F5614">
        <f>IF(AND(F5611=F5612,F5611=F5613,F5612=F5613),F5611,0)</f>
        <v>16</v>
      </c>
      <c r="L5614" t="str">
        <v>Total panjang per balok</v>
      </c>
      <c r="M5614" t="str">
        <v>=</v>
      </c>
      <c r="N5614">
        <f>IF(AND(D5611=D5612,D5611=D5613,D5612=D5613,F5611=F5612,F5611=F5613,F5612=F5613),SUM(N5611:N5613),0)</f>
        <v>0</v>
      </c>
      <c r="O5614" t="str">
        <v>+</v>
      </c>
      <c r="P5614">
        <f>IF(N5614&gt;12,ROUNDDOWN(N5614/12,0),0)</f>
        <v>0</v>
      </c>
      <c r="Q5614" t="str">
        <v>x</v>
      </c>
      <c r="R5614">
        <f>IF(P5614&gt;0,MAX(VLOOKUP(F5614,$D$6:$G$15,3,FALSE),600),0)/1000</f>
        <v>0</v>
      </c>
      <c r="T5614" t="str">
        <v>x</v>
      </c>
      <c r="U5614">
        <f>U5613</f>
        <v>1.57824</v>
      </c>
      <c r="V5614" t="str">
        <v>x</v>
      </c>
      <c r="W5614">
        <f>D5614</f>
        <v>0</v>
      </c>
      <c r="X5614" t="str">
        <v>x</v>
      </c>
      <c r="Y5614">
        <f>Y5613</f>
        <v>1</v>
      </c>
      <c r="Z5614" t="str">
        <v>=</v>
      </c>
      <c r="AA5614">
        <f>(N5614+P5614*R5614/1000)*U5614*W5614*Y5614</f>
        <v>0</v>
      </c>
    </row>
    <row r="5616">
      <c r="A5616" t="str">
        <f>A5604</f>
        <v>Lantai 1</v>
      </c>
      <c r="B5616" t="str">
        <f>B5604</f>
        <v>89A</v>
      </c>
      <c r="C5616" t="str">
        <v>Tul Peminggang</v>
      </c>
      <c r="D5616">
        <f>VLOOKUP(D5604,'Detail Balok'!$C$10:$AU$110,13,FALSE)</f>
        <v>2</v>
      </c>
      <c r="E5616" t="str">
        <v>D</v>
      </c>
      <c r="F5616">
        <f>VLOOKUP(D5604,'Detail Balok'!$C$10:$AU$110,15,FALSE)</f>
        <v>8</v>
      </c>
      <c r="J5616">
        <f>+D5606/1000</f>
        <v>3.135</v>
      </c>
      <c r="K5616" t="str">
        <v>+</v>
      </c>
      <c r="L5616">
        <f>2*$F$16*F5616/1000</f>
        <v>0.192</v>
      </c>
      <c r="M5616" t="str">
        <v>=</v>
      </c>
      <c r="N5616">
        <f>J5616+L5616</f>
        <v>3.327</v>
      </c>
      <c r="O5616" t="str">
        <v>+</v>
      </c>
      <c r="P5616">
        <f>IF(N5616&gt;12,ROUNDDOWN(N5616/12,0),0)</f>
        <v>0</v>
      </c>
      <c r="Q5616" t="str">
        <v>x</v>
      </c>
      <c r="R5616">
        <f>IF(P5616&gt;0,MAX(VLOOKUP(F5616,$D$6:$G$15,3,FALSE),600),0)/1000</f>
        <v>0</v>
      </c>
      <c r="T5616" t="str">
        <v>x</v>
      </c>
      <c r="U5616">
        <f>0.006165*F5616^2</f>
        <v>0.39456</v>
      </c>
      <c r="V5616" t="str">
        <v>x</v>
      </c>
      <c r="W5616">
        <f>+D5616</f>
        <v>2</v>
      </c>
      <c r="X5616" t="str">
        <v>x</v>
      </c>
      <c r="Y5616">
        <f>D5610</f>
        <v>1</v>
      </c>
      <c r="Z5616" t="str">
        <v>=</v>
      </c>
      <c r="AA5616">
        <f>(N5616+P5616*R5616/1000)*U5616*W5616*Y5616</f>
        <v>2.62540224</v>
      </c>
    </row>
    <row r="5619">
      <c r="A5619" t="str">
        <f>A5604</f>
        <v>Lantai 1</v>
      </c>
      <c r="B5619" t="str">
        <f>B5604</f>
        <v>89A</v>
      </c>
      <c r="C5619" t="str">
        <v>Tul Bawah Tumpuan</v>
      </c>
      <c r="D5619">
        <f>VLOOKUP(D5604,'Detail Balok'!$C$10:$AU$110,22,FALSE)</f>
        <v>3</v>
      </c>
      <c r="E5619" t="str">
        <v>D</v>
      </c>
      <c r="F5619">
        <f>VLOOKUP(D5604,'Detail Balok'!$C$10:$AU$110,24,FALSE)</f>
        <v>16</v>
      </c>
      <c r="I5619" t="str">
        <v>(</v>
      </c>
      <c r="J5619">
        <f>+J5611</f>
        <v>0.78375</v>
      </c>
      <c r="K5619" t="str">
        <v>+</v>
      </c>
      <c r="L5619">
        <f>MAX(VLOOKUP(F5619,N$6:P$15,3,FALSE)/1000,2/3*D5609/1000)+F$16*F5619/1000</f>
        <v>0.192</v>
      </c>
      <c r="M5619" t="str">
        <v>=</v>
      </c>
      <c r="N5619">
        <f>J5619+L5619</f>
        <v>0.9757499999999999</v>
      </c>
      <c r="O5619" t="str">
        <v>+</v>
      </c>
      <c r="P5619">
        <f>D5619-D5620</f>
        <v>0</v>
      </c>
      <c r="Q5619" t="str">
        <v>x</v>
      </c>
      <c r="R5619">
        <f>IF(P5619&gt;0,$F$18*F5619/1000,0)</f>
        <v>0</v>
      </c>
      <c r="S5619" t="str">
        <v>)</v>
      </c>
      <c r="T5619" t="str">
        <v>x</v>
      </c>
      <c r="U5619">
        <f>0.006165*F5619^2</f>
        <v>1.57824</v>
      </c>
      <c r="X5619" t="str">
        <v>x</v>
      </c>
      <c r="Y5619">
        <f>D5610</f>
        <v>1</v>
      </c>
      <c r="Z5619" t="str">
        <v>=</v>
      </c>
      <c r="AA5619">
        <f>IF(AA5622=0,(D5619*N5619+P5619*R5619)*U5619*Y5619,0)</f>
        <v>0</v>
      </c>
    </row>
    <row r="5620">
      <c r="A5620" t="str">
        <f>A5604</f>
        <v>Lantai 1</v>
      </c>
      <c r="B5620" t="str">
        <f>B5604</f>
        <v>89A</v>
      </c>
      <c r="C5620" t="str">
        <v>Tul Bawah Lapangan</v>
      </c>
      <c r="D5620">
        <f>VLOOKUP(D5604,'Detail Balok'!$C$10:$AU$110,25,FALSE)</f>
        <v>3</v>
      </c>
      <c r="E5620" t="str">
        <v>D</v>
      </c>
      <c r="F5620">
        <f>VLOOKUP(D5604,'Detail Balok'!$C$10:$AU$110,27,FALSE)</f>
        <v>16</v>
      </c>
      <c r="I5620" t="str">
        <v>(</v>
      </c>
      <c r="J5620">
        <f>+J5612</f>
        <v>1.5675</v>
      </c>
      <c r="K5620" t="str">
        <v>+</v>
      </c>
      <c r="M5620" t="str">
        <v>=</v>
      </c>
      <c r="N5620">
        <f>J5620+L5620</f>
        <v>1.5675</v>
      </c>
      <c r="O5620" t="str">
        <v>+</v>
      </c>
      <c r="P5620">
        <f>MAX(D5620-D5619,D5620-D5621)</f>
        <v>0</v>
      </c>
      <c r="Q5620" t="str">
        <v>x</v>
      </c>
      <c r="R5620">
        <f>IF(P5620&gt;0,2*(1-2*$F$19-1/2)*D5607/1000,0)</f>
        <v>0</v>
      </c>
      <c r="S5620" t="str">
        <v>)</v>
      </c>
      <c r="T5620" t="str">
        <v>x</v>
      </c>
      <c r="U5620">
        <f>0.006165*F5620^2</f>
        <v>1.57824</v>
      </c>
      <c r="X5620" t="str">
        <v>x</v>
      </c>
      <c r="Y5620">
        <f>D5610</f>
        <v>1</v>
      </c>
      <c r="Z5620" t="str">
        <v>=</v>
      </c>
      <c r="AA5620">
        <f>IF(AA5622=0,(D5620*N5620+P5620*R5620)*U5620*Y5620,0)</f>
        <v>0</v>
      </c>
    </row>
    <row r="5621">
      <c r="A5621" t="str">
        <f>A5604</f>
        <v>Lantai 1</v>
      </c>
      <c r="B5621" t="str">
        <f>B5604</f>
        <v>89A</v>
      </c>
      <c r="C5621" t="str">
        <v>Tul Bawah Tumpuan</v>
      </c>
      <c r="D5621">
        <f>VLOOKUP(D5604,'Detail Balok'!$C$10:$AU$110,28,FALSE)</f>
        <v>3</v>
      </c>
      <c r="E5621" t="str">
        <v>D</v>
      </c>
      <c r="F5621">
        <f>VLOOKUP(D5604,'Detail Balok'!$C$10:$AU$110,30,FALSE)</f>
        <v>16</v>
      </c>
      <c r="I5621" t="str">
        <v>(</v>
      </c>
      <c r="J5621">
        <f>+J5613</f>
        <v>0.78375</v>
      </c>
      <c r="K5621" t="str">
        <v>+</v>
      </c>
      <c r="L5621">
        <f>MAX(VLOOKUP(F5621,N$6:P$15,3,FALSE)/1000,2/3*D5609/1000)+F$16*F5621/1000</f>
        <v>0.192</v>
      </c>
      <c r="M5621" t="str">
        <v>=</v>
      </c>
      <c r="N5621">
        <f>J5621+L5621</f>
        <v>0.9757499999999999</v>
      </c>
      <c r="O5621" t="str">
        <v>+</v>
      </c>
      <c r="P5621">
        <f>D5621-D5620</f>
        <v>0</v>
      </c>
      <c r="Q5621" t="str">
        <v>x</v>
      </c>
      <c r="R5621">
        <f>IF(P5621&gt;0,$F$18*F5621/1000,0)</f>
        <v>0</v>
      </c>
      <c r="S5621" t="str">
        <v>)</v>
      </c>
      <c r="T5621" t="str">
        <v>x</v>
      </c>
      <c r="U5621">
        <f>0.006165*F5621^2</f>
        <v>1.57824</v>
      </c>
      <c r="X5621" t="str">
        <v>x</v>
      </c>
      <c r="Y5621">
        <f>D5610</f>
        <v>1</v>
      </c>
      <c r="Z5621" t="str">
        <v>=</v>
      </c>
      <c r="AA5621">
        <f>IF(AA5622=0,(D5621*N5621+P5621*R5621)*U5621*Y5621,0)</f>
        <v>0</v>
      </c>
    </row>
    <row r="5622">
      <c r="A5622" t="str">
        <f>A5604</f>
        <v>Lantai 1</v>
      </c>
      <c r="B5622" t="str">
        <f>B5604</f>
        <v>89A</v>
      </c>
      <c r="D5622">
        <f>IF(AND(D5619=D5620,D5620=D5621,D5619=D5621),D5619,0)</f>
        <v>3</v>
      </c>
      <c r="E5622" t="str">
        <v>D</v>
      </c>
      <c r="F5622">
        <f>IF(AND(F5619=F5620,F5619=F5621,F5620=F5621),F5619,0)</f>
        <v>16</v>
      </c>
      <c r="L5622" t="str">
        <v>Total panjang per balok</v>
      </c>
      <c r="M5622" t="str">
        <v>=</v>
      </c>
      <c r="N5622">
        <f>IF(AND(D5619=D5620,D5619=D5621,D5620=D5621,F5619=F5620,F5619=F5621,F5620=F5621),SUM(N5619:N5621),0)</f>
        <v>3.5189999999999992</v>
      </c>
      <c r="O5622" t="str">
        <v>+</v>
      </c>
      <c r="P5622">
        <f>IF(N5622&gt;12,ROUNDDOWN(N5622/12,0),0)</f>
        <v>0</v>
      </c>
      <c r="Q5622" t="str">
        <v>x</v>
      </c>
      <c r="R5622">
        <f>IF(P5622&gt;0,MAX(VLOOKUP(F5622,$D$6:$G$15,3,FALSE),600),0)/1000</f>
        <v>0</v>
      </c>
      <c r="T5622" t="str">
        <v>x</v>
      </c>
      <c r="U5622">
        <f>U5621</f>
        <v>1.57824</v>
      </c>
      <c r="V5622" t="str">
        <v>x</v>
      </c>
      <c r="W5622">
        <f>D5622</f>
        <v>3</v>
      </c>
      <c r="X5622" t="str">
        <v>x</v>
      </c>
      <c r="Y5622">
        <f>Y5621</f>
        <v>1</v>
      </c>
      <c r="Z5622" t="str">
        <v>=</v>
      </c>
      <c r="AA5622">
        <f>(N5622+P5622*R5622/1000)*U5622*W5622*Y5622</f>
        <v>16.66147968</v>
      </c>
    </row>
    <row r="5624">
      <c r="A5624" t="str">
        <f>A5604</f>
        <v>Lantai 1</v>
      </c>
      <c r="B5624" t="str">
        <f>B5604</f>
        <v>89A</v>
      </c>
      <c r="C5624" t="str">
        <v>Sengkang Tumpuan</v>
      </c>
      <c r="D5624">
        <f>VLOOKUP(D5604,'Detail Balok'!$C$10:$AU$110,31,FALSE)</f>
        <v>0</v>
      </c>
      <c r="E5624" t="str">
        <v>D</v>
      </c>
      <c r="F5624">
        <f>VLOOKUP(D5604,'Detail Balok'!$C$10:$AU$110,33,FALSE)</f>
        <v>8</v>
      </c>
      <c r="G5624" t="str">
        <v>-</v>
      </c>
      <c r="H5624">
        <f>VLOOKUP(D5604,'Detail Balok'!$C$10:$AU$110,35,FALSE)</f>
        <v>75</v>
      </c>
      <c r="J5624">
        <f>(IF(D5624=0,(2*(D5605+G5605))-(F$5*8),IF(D5624=3,(2*(D5605+G5605))-(F$5*8)+(G5605-2*F$5),IF(D5624=4,(2*(D5605+G5605))-(F$5*8)+2*(G5605-2*F$5)))))/1000</f>
        <v>0.98</v>
      </c>
      <c r="K5624" t="str">
        <v>+</v>
      </c>
      <c r="L5624">
        <f>IF(D5624=0,2*MAX(6*F5624,75),(D5624-1)*2*MAX(6*F5624,75))/1000</f>
        <v>0.15</v>
      </c>
      <c r="M5624" t="str">
        <v>=</v>
      </c>
      <c r="N5624">
        <f>J5624+L5624</f>
        <v>1.13</v>
      </c>
      <c r="T5624" t="str">
        <v>x</v>
      </c>
      <c r="U5624">
        <f>0.006165*F5624^2</f>
        <v>0.39456</v>
      </c>
      <c r="V5624" t="str">
        <v>x</v>
      </c>
      <c r="W5624">
        <f>IF(D5607&gt;4*G5605,ROUND(MAX(D5607/4,2*G5605)/H5624,0)+1,ROUND(D5607/H5624,0)+1)</f>
        <v>13</v>
      </c>
      <c r="X5624" t="str">
        <v>x</v>
      </c>
      <c r="Y5624">
        <f>D5610</f>
        <v>1</v>
      </c>
      <c r="Z5624" t="str">
        <v>=</v>
      </c>
      <c r="AA5624">
        <f>N5624*U5624*W5624*Y5624</f>
        <v>5.7960864</v>
      </c>
    </row>
    <row r="5625">
      <c r="A5625" t="str">
        <f>A5604</f>
        <v>Lantai 1</v>
      </c>
      <c r="B5625" t="str">
        <f>B5604</f>
        <v>89A</v>
      </c>
      <c r="C5625" t="str">
        <v>Sengkang Lapangan</v>
      </c>
      <c r="D5625">
        <f>VLOOKUP(D5604,'Detail Balok'!$C$10:$AU$110,36,FALSE)</f>
        <v>0</v>
      </c>
      <c r="E5625" t="str">
        <v>D</v>
      </c>
      <c r="F5625">
        <f>VLOOKUP(D5604,'Detail Balok'!$C$10:$AU$110,38,FALSE)</f>
        <v>8</v>
      </c>
      <c r="G5625" t="str">
        <v>-</v>
      </c>
      <c r="H5625">
        <f>VLOOKUP(D5604,'Detail Balok'!$C$10:$AU$110,40,FALSE)</f>
        <v>200</v>
      </c>
      <c r="J5625">
        <f>(IF(D5625=0,(2*(D5605+G5605))-(F$5*8),IF(D5625=3,(2*(D5605+G5605))-(F$5*8)+(G5605-2*F$5),IF(D5625=4,(2*(D5605+G5605))-(F$5*8)+2*(G5605-2*F$5)))))/1000</f>
        <v>0.98</v>
      </c>
      <c r="K5625" t="str">
        <v>+</v>
      </c>
      <c r="L5625">
        <f>IF(D5625=0,2*MAX(6*F5625,75),(D5625-1)*2*MAX(6*F5625,75))/1000</f>
        <v>0.15</v>
      </c>
      <c r="M5625" t="str">
        <v>=</v>
      </c>
      <c r="N5625">
        <f>J5625+L5625</f>
        <v>1.13</v>
      </c>
      <c r="T5625" t="str">
        <v>x</v>
      </c>
      <c r="U5625">
        <f>0.006165*F5625^2</f>
        <v>0.39456</v>
      </c>
      <c r="V5625" t="str">
        <v>x</v>
      </c>
      <c r="W5625">
        <f>IF(D5607-MAX(D5607/4,2*G5605)*2&gt;0,ROUND((D5607-MAX(D5607/4,2*G5605)*2)/H5625,0),0)</f>
        <v>7</v>
      </c>
      <c r="X5625" t="str">
        <v>x</v>
      </c>
      <c r="Y5625">
        <f>D5610</f>
        <v>1</v>
      </c>
      <c r="Z5625" t="str">
        <v>=</v>
      </c>
      <c r="AA5625">
        <f>N5625*U5625*W5625*Y5625</f>
        <v>3.1209696</v>
      </c>
    </row>
    <row r="5626">
      <c r="A5626" t="str">
        <f>A5604</f>
        <v>Lantai 1</v>
      </c>
      <c r="B5626" t="str">
        <f>B5604</f>
        <v>89A</v>
      </c>
      <c r="C5626" t="str">
        <v>Sengkang Tumpuan</v>
      </c>
      <c r="D5626">
        <f>VLOOKUP(D5604,'Detail Balok'!$C$10:$AU$110,41,FALSE)</f>
        <v>0</v>
      </c>
      <c r="E5626" t="str">
        <v>D</v>
      </c>
      <c r="F5626">
        <f>VLOOKUP(D5604,'Detail Balok'!$C$10:$AU$110,43,FALSE)</f>
        <v>8</v>
      </c>
      <c r="G5626" t="str">
        <v>-</v>
      </c>
      <c r="H5626">
        <f>VLOOKUP(D5604,'Detail Balok'!$C$10:$AU$110,45,FALSE)</f>
        <v>75</v>
      </c>
      <c r="J5626">
        <f>(IF(D5626=0,(2*(D5605+G5605))-(F$5*8),IF(D5626=3,(2*(D5605+G5605))-(F$5*8)+(G5605-2*F$5),IF(D5626=4,(2*(D5605+G5605))-(F$5*8)+2*(G5605-2*F$5)))))/1000</f>
        <v>0.98</v>
      </c>
      <c r="K5626" t="str">
        <v>+</v>
      </c>
      <c r="L5626">
        <f>IF(D5626=0,2*MAX(6*F5626,75),(D5626-1)*2*MAX(6*F5626,75))/1000</f>
        <v>0.15</v>
      </c>
      <c r="M5626" t="str">
        <v>=</v>
      </c>
      <c r="N5626">
        <f>J5626+L5626</f>
        <v>1.13</v>
      </c>
      <c r="T5626" t="str">
        <v>x</v>
      </c>
      <c r="U5626">
        <f>0.006165*F5626^2</f>
        <v>0.39456</v>
      </c>
      <c r="V5626" t="str">
        <v>x</v>
      </c>
      <c r="W5626">
        <f>IF(D5607&gt;4*G5605,ROUND(MAX(D5607/4,2*G5605)/H5626,0)+1,0)</f>
        <v>13</v>
      </c>
      <c r="X5626" t="str">
        <v>x</v>
      </c>
      <c r="Y5626">
        <f>D5610</f>
        <v>1</v>
      </c>
      <c r="Z5626" t="str">
        <v>=</v>
      </c>
      <c r="AA5626">
        <f>N5626*U5626*W5626*Y5626</f>
        <v>5.7960864</v>
      </c>
    </row>
    <row r="5628">
      <c r="A5628" t="str">
        <f>A5604</f>
        <v>Lantai 1</v>
      </c>
      <c r="B5628" t="str">
        <f>B5604</f>
        <v>89A</v>
      </c>
      <c r="C5628" t="str">
        <v>Kait Horizontal Tump.</v>
      </c>
      <c r="D5628">
        <f>VLOOKUP(D5604,'Detail Balok'!$C$10:$BJ$110,46,FALSE)</f>
        <v>0</v>
      </c>
      <c r="E5628" t="str">
        <v>D</v>
      </c>
      <c r="F5628">
        <f>VLOOKUP(D5604,'Detail Balok'!$C$10:$BJ$110,48,FALSE)</f>
        <v>0</v>
      </c>
      <c r="G5628" t="str">
        <v>-</v>
      </c>
      <c r="H5628">
        <f>VLOOKUP(D5604,'Detail Balok'!$C$10:$BJ$110,50,FALSE)</f>
        <v>100</v>
      </c>
      <c r="J5628">
        <f>(D5605-2*F$5)/1000</f>
        <v>0.12</v>
      </c>
      <c r="K5628" t="str">
        <v>+</v>
      </c>
      <c r="L5628">
        <f>IF(D5628=0,2*MAX(6*F5628,75),(D5628-1)*2*MAX(6*F5628,75))/1000</f>
        <v>0.15</v>
      </c>
      <c r="M5628" t="str">
        <v>=</v>
      </c>
      <c r="N5628">
        <f>J5628+L5628</f>
        <v>0.27</v>
      </c>
      <c r="T5628" t="str">
        <v>x</v>
      </c>
      <c r="U5628">
        <f>0.006165*F5628^2</f>
        <v>0</v>
      </c>
      <c r="V5628" t="str">
        <v>x</v>
      </c>
      <c r="W5628">
        <f>W5624</f>
        <v>13</v>
      </c>
      <c r="X5628" t="str">
        <v>x</v>
      </c>
      <c r="Y5628">
        <f>D5614</f>
        <v>0</v>
      </c>
      <c r="Z5628" t="str">
        <v>=</v>
      </c>
      <c r="AA5628">
        <f>N5628*U5628*W5628*Y5628</f>
        <v>0</v>
      </c>
    </row>
    <row r="5629">
      <c r="A5629" t="str">
        <f>A5604</f>
        <v>Lantai 1</v>
      </c>
      <c r="B5629" t="str">
        <f>B5604</f>
        <v>89A</v>
      </c>
      <c r="C5629" t="str">
        <v>Kait Horizontal Lap.</v>
      </c>
      <c r="D5629">
        <f>VLOOKUP(D5604,'Detail Balok'!$C$10:$BJ$110,51,FALSE)</f>
        <v>0</v>
      </c>
      <c r="E5629" t="str">
        <v>D</v>
      </c>
      <c r="F5629">
        <f>VLOOKUP(D5604,'Detail Balok'!$C$10:$BJ$110,53,FALSE)</f>
        <v>0</v>
      </c>
      <c r="G5629" t="str">
        <v>-</v>
      </c>
      <c r="H5629">
        <f>VLOOKUP(D5604,'Detail Balok'!$C$10:$BJ$110,55,FALSE)</f>
        <v>100</v>
      </c>
      <c r="J5629">
        <f>(D5605-2*F$5)/1000</f>
        <v>0.12</v>
      </c>
      <c r="K5629" t="str">
        <v>+</v>
      </c>
      <c r="L5629">
        <f>IF(D5629=0,2*MAX(6*F5629,75),(D5629-1)*2*MAX(6*F5629,75))/1000</f>
        <v>0.15</v>
      </c>
      <c r="M5629" t="str">
        <v>=</v>
      </c>
      <c r="N5629">
        <f>J5629+L5629</f>
        <v>0.27</v>
      </c>
      <c r="T5629" t="str">
        <v>x</v>
      </c>
      <c r="U5629">
        <f>0.006165*F5629^2</f>
        <v>0</v>
      </c>
      <c r="V5629" t="str">
        <v>x</v>
      </c>
      <c r="W5629">
        <f>W5625</f>
        <v>7</v>
      </c>
      <c r="X5629" t="str">
        <v>x</v>
      </c>
      <c r="Y5629">
        <f>D5614</f>
        <v>0</v>
      </c>
      <c r="Z5629" t="str">
        <v>=</v>
      </c>
      <c r="AA5629">
        <f>N5629*U5629*W5629*Y5629</f>
        <v>0</v>
      </c>
    </row>
    <row r="5630">
      <c r="A5630" t="str">
        <f>A5604</f>
        <v>Lantai 1</v>
      </c>
      <c r="B5630" t="str">
        <f>B5604</f>
        <v>89A</v>
      </c>
      <c r="C5630" t="str">
        <v>Kait Horizontal Tump.</v>
      </c>
      <c r="D5630">
        <f>VLOOKUP(D5604,'Detail Balok'!$C$10:$BJ$110,56,FALSE)</f>
        <v>0</v>
      </c>
      <c r="E5630" t="str">
        <v>D</v>
      </c>
      <c r="F5630">
        <f>VLOOKUP(D5604,'Detail Balok'!$C$10:$BJ$110,58,FALSE)</f>
        <v>0</v>
      </c>
      <c r="G5630" t="str">
        <v>-</v>
      </c>
      <c r="H5630">
        <f>VLOOKUP(D5604,'Detail Balok'!$C$10:$BJ$110,60,FALSE)</f>
        <v>100</v>
      </c>
      <c r="J5630">
        <f>(D5605-2*F$5)/1000</f>
        <v>0.12</v>
      </c>
      <c r="K5630" t="str">
        <v>+</v>
      </c>
      <c r="L5630">
        <f>IF(D5630=0,2*MAX(6*F5630,75),(D5630-1)*2*MAX(6*F5630,75))/1000</f>
        <v>0.15</v>
      </c>
      <c r="M5630" t="str">
        <v>=</v>
      </c>
      <c r="N5630">
        <f>J5630+L5630</f>
        <v>0.27</v>
      </c>
      <c r="T5630" t="str">
        <v>x</v>
      </c>
      <c r="U5630">
        <f>0.006165*F5630^2</f>
        <v>0</v>
      </c>
      <c r="V5630" t="str">
        <v>x</v>
      </c>
      <c r="W5630">
        <f>W5626</f>
        <v>13</v>
      </c>
      <c r="X5630" t="str">
        <v>x</v>
      </c>
      <c r="Y5630">
        <f>D5614</f>
        <v>0</v>
      </c>
      <c r="Z5630" t="str">
        <v>=</v>
      </c>
      <c r="AA5630">
        <f>N5630*U5630*W5630*Y5630</f>
        <v>0</v>
      </c>
    </row>
    <row r="5634">
      <c r="A5634" t="str">
        <f>A5574</f>
        <v>Lantai 1</v>
      </c>
      <c r="B5634">
        <f>B5574+1</f>
        <v>90</v>
      </c>
      <c r="C5634" t="str">
        <f>CONCATENATE(A5634," no. ",B5634)</f>
        <v>Lantai 1 no. 90</v>
      </c>
      <c r="D5634" t="str">
        <f>VLOOKUP(C5634,'Data Panjang Balok'!$C$9:$N$424,2,FALSE)</f>
        <v>B24-1</v>
      </c>
    </row>
    <row r="5635">
      <c r="C5635" t="str">
        <v>Dimensi</v>
      </c>
      <c r="D5635">
        <f>VLOOKUP(D5634,'Detail Balok'!$C$10:$AU$110,2,FALSE)</f>
        <v>200</v>
      </c>
      <c r="F5635" t="str">
        <v>x</v>
      </c>
      <c r="G5635">
        <f>VLOOKUP(D5634,'Detail Balok'!$C$10:$AU$110,3,FALSE)</f>
        <v>400</v>
      </c>
    </row>
    <row r="5636">
      <c r="C5636" t="str">
        <v>Panjang as ke as</v>
      </c>
      <c r="D5636">
        <f>VLOOKUP(C5634,'Data Panjang Balok'!$C$9:$N$424,4,FALSE)</f>
        <v>4850</v>
      </c>
    </row>
    <row r="5637">
      <c r="C5637" t="str">
        <v>Panjang netto</v>
      </c>
      <c r="D5637">
        <f>VLOOKUP(C5634,'Data Panjang Balok'!$C$9:$N$424,7,FALSE)</f>
        <v>4850</v>
      </c>
    </row>
    <row r="5638">
      <c r="C5638" t="str">
        <v>Kolom / balok kiri</v>
      </c>
      <c r="D5638">
        <f>VLOOKUP(C5634,'Data Panjang Balok'!$C$9:$N$424,9,FALSE)</f>
        <v>0</v>
      </c>
    </row>
    <row r="5639">
      <c r="C5639" t="str">
        <v>Kolom / balok kanan</v>
      </c>
      <c r="D5639">
        <f>VLOOKUP(C5634,'Data Panjang Balok'!$C$9:$N$424,10,FALSE)</f>
        <v>0</v>
      </c>
    </row>
    <row r="5640">
      <c r="C5640" t="str">
        <v>Jumlah</v>
      </c>
      <c r="D5640">
        <f>VLOOKUP(C5634,'Data Panjang Balok'!$C$9:$N$424,3,FALSE)</f>
        <v>1</v>
      </c>
    </row>
    <row r="5641">
      <c r="A5641" t="str">
        <f>A5634</f>
        <v>Lantai 1</v>
      </c>
      <c r="B5641">
        <f>B5634</f>
        <v>90</v>
      </c>
      <c r="C5641" t="str">
        <v>Tul Atas Tumpuan</v>
      </c>
      <c r="D5641">
        <f>VLOOKUP(D5634,'Detail Balok'!$C$10:$AU$110,4,FALSE)</f>
        <v>2</v>
      </c>
      <c r="E5641" t="str">
        <v>D</v>
      </c>
      <c r="F5641">
        <f>VLOOKUP(D5634,'Detail Balok'!$C$10:$AU$110,6,FALSE)</f>
        <v>13</v>
      </c>
      <c r="I5641" t="str">
        <v>(</v>
      </c>
      <c r="J5641">
        <f>+D5636/4/1000</f>
        <v>1.2125</v>
      </c>
      <c r="K5641" t="str">
        <v>+</v>
      </c>
      <c r="L5641">
        <f>MAX(VLOOKUP(F5641,N$6:P$15,3,FALSE)/1000,2/3*D5638/1000)+F$16*F5641/1000</f>
        <v>0.156</v>
      </c>
      <c r="M5641" t="str">
        <v>=</v>
      </c>
      <c r="N5641">
        <f>J5641+L5641</f>
        <v>1.3684999999999998</v>
      </c>
      <c r="O5641" t="str">
        <v>+</v>
      </c>
      <c r="P5641">
        <f>D5641-D5642</f>
        <v>0</v>
      </c>
      <c r="Q5641" t="str">
        <v>x</v>
      </c>
      <c r="R5641">
        <f>IF(P5641&gt;0,$F$18*F5641/1000,0)</f>
        <v>0</v>
      </c>
      <c r="S5641" t="str">
        <v>)</v>
      </c>
      <c r="T5641" t="str">
        <v>x</v>
      </c>
      <c r="U5641">
        <f>0.006165*F5641^2</f>
        <v>1.041885</v>
      </c>
      <c r="X5641" t="str">
        <v>x</v>
      </c>
      <c r="Y5641">
        <f>D5640</f>
        <v>1</v>
      </c>
      <c r="Z5641" t="str">
        <v>=</v>
      </c>
      <c r="AA5641">
        <f>IF(AA5644=0,(D5641*N5641+P5641*R5641)*U5641*Y5641,0)</f>
        <v>0</v>
      </c>
    </row>
    <row r="5642">
      <c r="A5642" t="str">
        <f>A5634</f>
        <v>Lantai 1</v>
      </c>
      <c r="B5642">
        <f>B5634</f>
        <v>90</v>
      </c>
      <c r="C5642" t="str">
        <v>Tul Atas Lapangan</v>
      </c>
      <c r="D5642">
        <f>VLOOKUP(D5634,'Detail Balok'!$C$10:$AU$110,7,FALSE)</f>
        <v>2</v>
      </c>
      <c r="E5642" t="str">
        <v>D</v>
      </c>
      <c r="F5642">
        <f>VLOOKUP(D5634,'Detail Balok'!$C$10:$AU$110,9,FALSE)</f>
        <v>13</v>
      </c>
      <c r="I5642" t="str">
        <v>(</v>
      </c>
      <c r="J5642">
        <f>+D5636/2/1000</f>
        <v>2.425</v>
      </c>
      <c r="K5642" t="str">
        <v>+</v>
      </c>
      <c r="M5642" t="str">
        <v>=</v>
      </c>
      <c r="N5642">
        <f>J5642+L5642</f>
        <v>2.425</v>
      </c>
      <c r="O5642" t="str">
        <v>+</v>
      </c>
      <c r="P5642">
        <f>MAX(D5642-D5641,D5642-D5643)</f>
        <v>0</v>
      </c>
      <c r="Q5642" t="str">
        <v>x</v>
      </c>
      <c r="R5642">
        <f>IF(P5642&gt;0,2*(1-2*$F$19-1/2)*D5637/1000,0)</f>
        <v>0</v>
      </c>
      <c r="S5642" t="str">
        <v>)</v>
      </c>
      <c r="T5642" t="str">
        <v>x</v>
      </c>
      <c r="U5642">
        <f>0.006165*F5642^2</f>
        <v>1.041885</v>
      </c>
      <c r="X5642" t="str">
        <v>x</v>
      </c>
      <c r="Y5642">
        <f>D5640</f>
        <v>1</v>
      </c>
      <c r="Z5642" t="str">
        <v>=</v>
      </c>
      <c r="AA5642">
        <f>IF(AA5644=0,(D5642*N5642+P5642*R5642)*U5642*Y5642,0)</f>
        <v>0</v>
      </c>
    </row>
    <row r="5643">
      <c r="A5643" t="str">
        <f>A5634</f>
        <v>Lantai 1</v>
      </c>
      <c r="B5643">
        <f>B5634</f>
        <v>90</v>
      </c>
      <c r="C5643" t="str">
        <v>Tul Atas Tumpuan</v>
      </c>
      <c r="D5643">
        <f>VLOOKUP(D5634,'Detail Balok'!$C$10:$AU$110,10,FALSE)</f>
        <v>2</v>
      </c>
      <c r="E5643" t="str">
        <v>D</v>
      </c>
      <c r="F5643">
        <f>VLOOKUP(D5634,'Detail Balok'!$C$10:$AU$110,12,FALSE)</f>
        <v>13</v>
      </c>
      <c r="I5643" t="str">
        <v>(</v>
      </c>
      <c r="J5643">
        <f>+D5636/4/1000</f>
        <v>1.2125</v>
      </c>
      <c r="K5643" t="str">
        <v>+</v>
      </c>
      <c r="L5643">
        <f>MAX(VLOOKUP(F5643,N$6:P$15,3,FALSE)/1000,2/3*D5638/1000)+F$16*F5643/1000</f>
        <v>0.156</v>
      </c>
      <c r="M5643" t="str">
        <v>=</v>
      </c>
      <c r="N5643">
        <f>J5643+L5643</f>
        <v>1.3684999999999998</v>
      </c>
      <c r="O5643" t="str">
        <v>+</v>
      </c>
      <c r="P5643">
        <f>D5643-D5642</f>
        <v>0</v>
      </c>
      <c r="Q5643" t="str">
        <v>x</v>
      </c>
      <c r="R5643">
        <f>IF(P5643&gt;0,$F$18*F5643/1000,0)</f>
        <v>0</v>
      </c>
      <c r="S5643" t="str">
        <v>)</v>
      </c>
      <c r="T5643" t="str">
        <v>x</v>
      </c>
      <c r="U5643">
        <f>0.006165*F5643^2</f>
        <v>1.041885</v>
      </c>
      <c r="X5643" t="str">
        <v>x</v>
      </c>
      <c r="Y5643">
        <f>D5640</f>
        <v>1</v>
      </c>
      <c r="Z5643" t="str">
        <v>=</v>
      </c>
      <c r="AA5643">
        <f>IF(AA5644=0,(D5643*N5643+P5643*R5643)*U5643*Y5643,0)</f>
        <v>0</v>
      </c>
    </row>
    <row r="5644">
      <c r="A5644" t="str">
        <f>A5634</f>
        <v>Lantai 1</v>
      </c>
      <c r="B5644">
        <f>B5634</f>
        <v>90</v>
      </c>
      <c r="D5644">
        <f>IF(AND(D5641=D5642,D5642=D5643,D5641=D5643),D5641,0)</f>
        <v>2</v>
      </c>
      <c r="E5644" t="str">
        <v>D</v>
      </c>
      <c r="F5644">
        <f>IF(AND(F5641=F5642,F5641=F5643,F5642=F5643),F5641,0)</f>
        <v>13</v>
      </c>
      <c r="L5644" t="str">
        <v>Total panjang per balok</v>
      </c>
      <c r="M5644" t="str">
        <v>=</v>
      </c>
      <c r="N5644">
        <f>IF(AND(D5641=D5642,D5641=D5643,D5642=D5643,F5641=F5642,F5641=F5643,F5642=F5643),SUM(N5641:N5643),0)</f>
        <v>5.162</v>
      </c>
      <c r="O5644" t="str">
        <v>+</v>
      </c>
      <c r="P5644">
        <f>IF(N5644&gt;12,ROUNDDOWN(N5644/12,0),0)</f>
        <v>0</v>
      </c>
      <c r="Q5644" t="str">
        <v>x</v>
      </c>
      <c r="R5644">
        <f>IF(P5644&gt;0,MAX(VLOOKUP(F5644,$D$6:$G$15,3,FALSE),600),0)/1000</f>
        <v>0</v>
      </c>
      <c r="T5644" t="str">
        <v>x</v>
      </c>
      <c r="U5644">
        <f>U5643</f>
        <v>1.041885</v>
      </c>
      <c r="V5644" t="str">
        <v>x</v>
      </c>
      <c r="W5644">
        <f>D5644</f>
        <v>2</v>
      </c>
      <c r="X5644" t="str">
        <v>x</v>
      </c>
      <c r="Y5644">
        <f>Y5643</f>
        <v>1</v>
      </c>
      <c r="Z5644" t="str">
        <v>=</v>
      </c>
      <c r="AA5644">
        <f>(N5644+P5644*R5644/1000)*U5644*W5644*Y5644</f>
        <v>10.75642074</v>
      </c>
    </row>
    <row r="5646">
      <c r="A5646" t="str">
        <f>A5634</f>
        <v>Lantai 1</v>
      </c>
      <c r="B5646">
        <f>B5634</f>
        <v>90</v>
      </c>
      <c r="C5646" t="str">
        <v>Tul Peminggang</v>
      </c>
      <c r="D5646">
        <f>VLOOKUP(D5634,'Detail Balok'!$C$10:$AU$110,13,FALSE)</f>
        <v>0</v>
      </c>
      <c r="E5646" t="str">
        <v>D</v>
      </c>
      <c r="F5646">
        <f>VLOOKUP(D5634,'Detail Balok'!$C$10:$AU$110,15,FALSE)</f>
        <v>6</v>
      </c>
      <c r="J5646">
        <f>+D5636/1000</f>
        <v>4.85</v>
      </c>
      <c r="K5646" t="str">
        <v>+</v>
      </c>
      <c r="L5646">
        <f>2*$F$16*F5646/1000</f>
        <v>0.144</v>
      </c>
      <c r="M5646" t="str">
        <v>=</v>
      </c>
      <c r="N5646">
        <f>J5646+L5646</f>
        <v>4.994</v>
      </c>
      <c r="O5646" t="str">
        <v>+</v>
      </c>
      <c r="P5646">
        <f>IF(N5646&gt;12,ROUNDDOWN(N5646/12,0),0)</f>
        <v>0</v>
      </c>
      <c r="Q5646" t="str">
        <v>x</v>
      </c>
      <c r="R5646">
        <f>IF(P5646&gt;0,MAX(VLOOKUP(F5646,$D$6:$G$15,3,FALSE),600),0)/1000</f>
        <v>0</v>
      </c>
      <c r="T5646" t="str">
        <v>x</v>
      </c>
      <c r="U5646">
        <f>0.006165*F5646^2</f>
        <v>0.22194000000000003</v>
      </c>
      <c r="V5646" t="str">
        <v>x</v>
      </c>
      <c r="W5646">
        <f>+D5646</f>
        <v>0</v>
      </c>
      <c r="X5646" t="str">
        <v>x</v>
      </c>
      <c r="Y5646">
        <f>D5640</f>
        <v>1</v>
      </c>
      <c r="Z5646" t="str">
        <v>=</v>
      </c>
      <c r="AA5646">
        <f>(N5646+P5646*R5646/1000)*U5646*W5646*Y5646</f>
        <v>0</v>
      </c>
    </row>
    <row r="5649">
      <c r="A5649" t="str">
        <f>A5634</f>
        <v>Lantai 1</v>
      </c>
      <c r="B5649">
        <f>B5634</f>
        <v>90</v>
      </c>
      <c r="C5649" t="str">
        <v>Tul Bawah Tumpuan</v>
      </c>
      <c r="D5649">
        <f>VLOOKUP(D5634,'Detail Balok'!$C$10:$AU$110,22,FALSE)</f>
        <v>2</v>
      </c>
      <c r="E5649" t="str">
        <v>D</v>
      </c>
      <c r="F5649">
        <f>VLOOKUP(D5634,'Detail Balok'!$C$10:$AU$110,24,FALSE)</f>
        <v>13</v>
      </c>
      <c r="I5649" t="str">
        <v>(</v>
      </c>
      <c r="J5649">
        <f>+J5641</f>
        <v>1.2125</v>
      </c>
      <c r="K5649" t="str">
        <v>+</v>
      </c>
      <c r="L5649">
        <f>MAX(VLOOKUP(F5649,N$6:P$15,3,FALSE)/1000,2/3*D5639/1000)+F$16*F5649/1000</f>
        <v>0.156</v>
      </c>
      <c r="M5649" t="str">
        <v>=</v>
      </c>
      <c r="N5649">
        <f>J5649+L5649</f>
        <v>1.3684999999999998</v>
      </c>
      <c r="O5649" t="str">
        <v>+</v>
      </c>
      <c r="P5649">
        <f>D5649-D5650</f>
        <v>0</v>
      </c>
      <c r="Q5649" t="str">
        <v>x</v>
      </c>
      <c r="R5649">
        <f>IF(P5649&gt;0,$F$18*F5649/1000,0)</f>
        <v>0</v>
      </c>
      <c r="S5649" t="str">
        <v>)</v>
      </c>
      <c r="T5649" t="str">
        <v>x</v>
      </c>
      <c r="U5649">
        <f>0.006165*F5649^2</f>
        <v>1.041885</v>
      </c>
      <c r="X5649" t="str">
        <v>x</v>
      </c>
      <c r="Y5649">
        <f>D5640</f>
        <v>1</v>
      </c>
      <c r="Z5649" t="str">
        <v>=</v>
      </c>
      <c r="AA5649">
        <f>IF(AA5652=0,(D5649*N5649+P5649*R5649)*U5649*Y5649,0)</f>
        <v>0</v>
      </c>
    </row>
    <row r="5650">
      <c r="A5650" t="str">
        <f>A5634</f>
        <v>Lantai 1</v>
      </c>
      <c r="B5650">
        <f>B5634</f>
        <v>90</v>
      </c>
      <c r="C5650" t="str">
        <v>Tul Bawah Lapangan</v>
      </c>
      <c r="D5650">
        <f>VLOOKUP(D5634,'Detail Balok'!$C$10:$AU$110,25,FALSE)</f>
        <v>2</v>
      </c>
      <c r="E5650" t="str">
        <v>D</v>
      </c>
      <c r="F5650">
        <f>VLOOKUP(D5634,'Detail Balok'!$C$10:$AU$110,27,FALSE)</f>
        <v>13</v>
      </c>
      <c r="I5650" t="str">
        <v>(</v>
      </c>
      <c r="J5650">
        <f>+J5642</f>
        <v>2.425</v>
      </c>
      <c r="K5650" t="str">
        <v>+</v>
      </c>
      <c r="M5650" t="str">
        <v>=</v>
      </c>
      <c r="N5650">
        <f>J5650+L5650</f>
        <v>2.425</v>
      </c>
      <c r="O5650" t="str">
        <v>+</v>
      </c>
      <c r="P5650">
        <f>MAX(D5650-D5649,D5650-D5651)</f>
        <v>0</v>
      </c>
      <c r="Q5650" t="str">
        <v>x</v>
      </c>
      <c r="R5650">
        <f>IF(P5650&gt;0,2*(1-2*$F$19-1/2)*D5637/1000,0)</f>
        <v>0</v>
      </c>
      <c r="S5650" t="str">
        <v>)</v>
      </c>
      <c r="T5650" t="str">
        <v>x</v>
      </c>
      <c r="U5650">
        <f>0.006165*F5650^2</f>
        <v>1.041885</v>
      </c>
      <c r="X5650" t="str">
        <v>x</v>
      </c>
      <c r="Y5650">
        <f>D5640</f>
        <v>1</v>
      </c>
      <c r="Z5650" t="str">
        <v>=</v>
      </c>
      <c r="AA5650">
        <f>IF(AA5652=0,(D5650*N5650+P5650*R5650)*U5650*Y5650,0)</f>
        <v>0</v>
      </c>
    </row>
    <row r="5651">
      <c r="A5651" t="str">
        <f>A5634</f>
        <v>Lantai 1</v>
      </c>
      <c r="B5651">
        <f>B5634</f>
        <v>90</v>
      </c>
      <c r="C5651" t="str">
        <v>Tul Bawah Tumpuan</v>
      </c>
      <c r="D5651">
        <f>VLOOKUP(D5634,'Detail Balok'!$C$10:$AU$110,28,FALSE)</f>
        <v>2</v>
      </c>
      <c r="E5651" t="str">
        <v>D</v>
      </c>
      <c r="F5651">
        <f>VLOOKUP(D5634,'Detail Balok'!$C$10:$AU$110,30,FALSE)</f>
        <v>13</v>
      </c>
      <c r="I5651" t="str">
        <v>(</v>
      </c>
      <c r="J5651">
        <f>+J5643</f>
        <v>1.2125</v>
      </c>
      <c r="K5651" t="str">
        <v>+</v>
      </c>
      <c r="L5651">
        <f>MAX(VLOOKUP(F5651,N$6:P$15,3,FALSE)/1000,2/3*D5639/1000)+F$16*F5651/1000</f>
        <v>0.156</v>
      </c>
      <c r="M5651" t="str">
        <v>=</v>
      </c>
      <c r="N5651">
        <f>J5651+L5651</f>
        <v>1.3684999999999998</v>
      </c>
      <c r="O5651" t="str">
        <v>+</v>
      </c>
      <c r="P5651">
        <f>D5651-D5650</f>
        <v>0</v>
      </c>
      <c r="Q5651" t="str">
        <v>x</v>
      </c>
      <c r="R5651">
        <f>IF(P5651&gt;0,$F$18*F5651/1000,0)</f>
        <v>0</v>
      </c>
      <c r="S5651" t="str">
        <v>)</v>
      </c>
      <c r="T5651" t="str">
        <v>x</v>
      </c>
      <c r="U5651">
        <f>0.006165*F5651^2</f>
        <v>1.041885</v>
      </c>
      <c r="X5651" t="str">
        <v>x</v>
      </c>
      <c r="Y5651">
        <f>D5640</f>
        <v>1</v>
      </c>
      <c r="Z5651" t="str">
        <v>=</v>
      </c>
      <c r="AA5651">
        <f>IF(AA5652=0,(D5651*N5651+P5651*R5651)*U5651*Y5651,0)</f>
        <v>0</v>
      </c>
    </row>
    <row r="5652">
      <c r="A5652" t="str">
        <f>A5634</f>
        <v>Lantai 1</v>
      </c>
      <c r="B5652">
        <f>B5634</f>
        <v>90</v>
      </c>
      <c r="D5652">
        <f>IF(AND(D5649=D5650,D5650=D5651,D5649=D5651),D5649,0)</f>
        <v>2</v>
      </c>
      <c r="E5652" t="str">
        <v>D</v>
      </c>
      <c r="F5652">
        <f>IF(AND(F5649=F5650,F5649=F5651,F5650=F5651),F5649,0)</f>
        <v>13</v>
      </c>
      <c r="L5652" t="str">
        <v>Total panjang per balok</v>
      </c>
      <c r="M5652" t="str">
        <v>=</v>
      </c>
      <c r="N5652">
        <f>IF(AND(D5649=D5650,D5649=D5651,D5650=D5651,F5649=F5650,F5649=F5651,F5650=F5651),SUM(N5649:N5651),0)</f>
        <v>5.162</v>
      </c>
      <c r="O5652" t="str">
        <v>+</v>
      </c>
      <c r="P5652">
        <f>IF(N5652&gt;12,ROUNDDOWN(N5652/12,0),0)</f>
        <v>0</v>
      </c>
      <c r="Q5652" t="str">
        <v>x</v>
      </c>
      <c r="R5652">
        <f>IF(P5652&gt;0,MAX(VLOOKUP(F5652,$D$6:$G$15,3,FALSE),600),0)/1000</f>
        <v>0</v>
      </c>
      <c r="T5652" t="str">
        <v>x</v>
      </c>
      <c r="U5652">
        <f>U5651</f>
        <v>1.041885</v>
      </c>
      <c r="V5652" t="str">
        <v>x</v>
      </c>
      <c r="W5652">
        <f>D5652</f>
        <v>2</v>
      </c>
      <c r="X5652" t="str">
        <v>x</v>
      </c>
      <c r="Y5652">
        <f>Y5651</f>
        <v>1</v>
      </c>
      <c r="Z5652" t="str">
        <v>=</v>
      </c>
      <c r="AA5652">
        <f>(N5652+P5652*R5652/1000)*U5652*W5652*Y5652</f>
        <v>10.75642074</v>
      </c>
    </row>
    <row r="5654">
      <c r="A5654" t="str">
        <f>A5634</f>
        <v>Lantai 1</v>
      </c>
      <c r="B5654">
        <f>B5634</f>
        <v>90</v>
      </c>
      <c r="C5654" t="str">
        <v>Sengkang Tumpuan</v>
      </c>
      <c r="D5654">
        <f>VLOOKUP(D5634,'Detail Balok'!$C$10:$AU$110,31,FALSE)</f>
        <v>0</v>
      </c>
      <c r="E5654" t="str">
        <v>D</v>
      </c>
      <c r="F5654">
        <f>VLOOKUP(D5634,'Detail Balok'!$C$10:$AU$110,33,FALSE)</f>
        <v>8</v>
      </c>
      <c r="G5654" t="str">
        <v>-</v>
      </c>
      <c r="H5654">
        <f>VLOOKUP(D5634,'Detail Balok'!$C$10:$AU$110,35,FALSE)</f>
        <v>100</v>
      </c>
      <c r="J5654">
        <f>(IF(D5654=0,(2*(D5635+G5635))-(F$5*8),IF(D5654=3,(2*(D5635+G5635))-(F$5*8)+(G5635-2*F$5),IF(D5654=4,(2*(D5635+G5635))-(F$5*8)+2*(G5635-2*F$5)))))/1000</f>
        <v>0.88</v>
      </c>
      <c r="K5654" t="str">
        <v>+</v>
      </c>
      <c r="L5654">
        <f>IF(D5654=0,2*MAX(6*F5654,75),(D5654-1)*2*MAX(6*F5654,75))/1000</f>
        <v>0.15</v>
      </c>
      <c r="M5654" t="str">
        <v>=</v>
      </c>
      <c r="N5654">
        <f>J5654+L5654</f>
        <v>1.03</v>
      </c>
      <c r="T5654" t="str">
        <v>x</v>
      </c>
      <c r="U5654">
        <f>0.006165*F5654^2</f>
        <v>0.39456</v>
      </c>
      <c r="V5654" t="str">
        <v>x</v>
      </c>
      <c r="W5654">
        <f>IF(D5637&gt;4*G5635,ROUND(MAX(D5637/4,2*G5635)/H5654,0)+1,ROUND(D5637/H5654,0)+1)</f>
        <v>13</v>
      </c>
      <c r="X5654" t="str">
        <v>x</v>
      </c>
      <c r="Y5654">
        <f>D5640</f>
        <v>1</v>
      </c>
      <c r="Z5654" t="str">
        <v>=</v>
      </c>
      <c r="AA5654">
        <f>N5654*U5654*W5654*Y5654</f>
        <v>5.2831584000000005</v>
      </c>
    </row>
    <row r="5655">
      <c r="A5655" t="str">
        <f>A5634</f>
        <v>Lantai 1</v>
      </c>
      <c r="B5655">
        <f>B5634</f>
        <v>90</v>
      </c>
      <c r="C5655" t="str">
        <v>Sengkang Lapangan</v>
      </c>
      <c r="D5655">
        <f>VLOOKUP(D5634,'Detail Balok'!$C$10:$AU$110,36,FALSE)</f>
        <v>0</v>
      </c>
      <c r="E5655" t="str">
        <v>D</v>
      </c>
      <c r="F5655">
        <f>VLOOKUP(D5634,'Detail Balok'!$C$10:$AU$110,38,FALSE)</f>
        <v>8</v>
      </c>
      <c r="G5655" t="str">
        <v>-</v>
      </c>
      <c r="H5655">
        <f>VLOOKUP(D5634,'Detail Balok'!$C$10:$AU$110,40,FALSE)</f>
        <v>200</v>
      </c>
      <c r="J5655">
        <f>(IF(D5655=0,(2*(D5635+G5635))-(F$5*8),IF(D5655=3,(2*(D5635+G5635))-(F$5*8)+(G5635-2*F$5),IF(D5655=4,(2*(D5635+G5635))-(F$5*8)+2*(G5635-2*F$5)))))/1000</f>
        <v>0.88</v>
      </c>
      <c r="K5655" t="str">
        <v>+</v>
      </c>
      <c r="L5655">
        <f>IF(D5655=0,2*MAX(6*F5655,75),(D5655-1)*2*MAX(6*F5655,75))/1000</f>
        <v>0.15</v>
      </c>
      <c r="M5655" t="str">
        <v>=</v>
      </c>
      <c r="N5655">
        <f>J5655+L5655</f>
        <v>1.03</v>
      </c>
      <c r="T5655" t="str">
        <v>x</v>
      </c>
      <c r="U5655">
        <f>0.006165*F5655^2</f>
        <v>0.39456</v>
      </c>
      <c r="V5655" t="str">
        <v>x</v>
      </c>
      <c r="W5655">
        <f>IF(D5637-MAX(D5637/4,2*G5635)*2&gt;0,ROUND((D5637-MAX(D5637/4,2*G5635)*2)/H5655,0),0)</f>
        <v>12</v>
      </c>
      <c r="X5655" t="str">
        <v>x</v>
      </c>
      <c r="Y5655">
        <f>D5640</f>
        <v>1</v>
      </c>
      <c r="Z5655" t="str">
        <v>=</v>
      </c>
      <c r="AA5655">
        <f>N5655*U5655*W5655*Y5655</f>
        <v>4.876761600000001</v>
      </c>
    </row>
    <row r="5656">
      <c r="A5656" t="str">
        <f>A5634</f>
        <v>Lantai 1</v>
      </c>
      <c r="B5656">
        <f>B5634</f>
        <v>90</v>
      </c>
      <c r="C5656" t="str">
        <v>Sengkang Tumpuan</v>
      </c>
      <c r="D5656">
        <f>VLOOKUP(D5634,'Detail Balok'!$C$10:$AU$110,41,FALSE)</f>
        <v>0</v>
      </c>
      <c r="E5656" t="str">
        <v>D</v>
      </c>
      <c r="F5656">
        <f>VLOOKUP(D5634,'Detail Balok'!$C$10:$AU$110,43,FALSE)</f>
        <v>8</v>
      </c>
      <c r="G5656" t="str">
        <v>-</v>
      </c>
      <c r="H5656">
        <f>VLOOKUP(D5634,'Detail Balok'!$C$10:$AU$110,45,FALSE)</f>
        <v>100</v>
      </c>
      <c r="J5656">
        <f>(IF(D5656=0,(2*(D5635+G5635))-(F$5*8),IF(D5656=3,(2*(D5635+G5635))-(F$5*8)+(G5635-2*F$5),IF(D5656=4,(2*(D5635+G5635))-(F$5*8)+2*(G5635-2*F$5)))))/1000</f>
        <v>0.88</v>
      </c>
      <c r="K5656" t="str">
        <v>+</v>
      </c>
      <c r="L5656">
        <f>IF(D5656=0,2*MAX(6*F5656,75),(D5656-1)*2*MAX(6*F5656,75))/1000</f>
        <v>0.15</v>
      </c>
      <c r="M5656" t="str">
        <v>=</v>
      </c>
      <c r="N5656">
        <f>J5656+L5656</f>
        <v>1.03</v>
      </c>
      <c r="T5656" t="str">
        <v>x</v>
      </c>
      <c r="U5656">
        <f>0.006165*F5656^2</f>
        <v>0.39456</v>
      </c>
      <c r="V5656" t="str">
        <v>x</v>
      </c>
      <c r="W5656">
        <f>IF(D5637&gt;4*G5635,ROUND(MAX(D5637/4,2*G5635)/H5656,0)+1,0)</f>
        <v>13</v>
      </c>
      <c r="X5656" t="str">
        <v>x</v>
      </c>
      <c r="Y5656">
        <f>D5640</f>
        <v>1</v>
      </c>
      <c r="Z5656" t="str">
        <v>=</v>
      </c>
      <c r="AA5656">
        <f>N5656*U5656*W5656*Y5656</f>
        <v>5.2831584000000005</v>
      </c>
    </row>
    <row r="5658">
      <c r="A5658" t="str">
        <f>A5634</f>
        <v>Lantai 1</v>
      </c>
      <c r="B5658">
        <f>B5634</f>
        <v>90</v>
      </c>
      <c r="C5658" t="str">
        <v>Kait Horizontal Tump.</v>
      </c>
      <c r="D5658">
        <f>VLOOKUP(D5634,'Detail Balok'!$C$10:$BJ$110,46,FALSE)</f>
        <v>0</v>
      </c>
      <c r="E5658" t="str">
        <v>D</v>
      </c>
      <c r="F5658">
        <f>VLOOKUP(D5634,'Detail Balok'!$C$10:$BJ$110,48,FALSE)</f>
        <v>0</v>
      </c>
      <c r="G5658" t="str">
        <v>-</v>
      </c>
      <c r="H5658">
        <f>VLOOKUP(D5634,'Detail Balok'!$C$10:$BJ$110,50,FALSE)</f>
        <v>100</v>
      </c>
      <c r="J5658">
        <f>(D5635-2*F$5)/1000</f>
        <v>0.12</v>
      </c>
      <c r="K5658" t="str">
        <v>+</v>
      </c>
      <c r="L5658">
        <f>IF(D5658=0,2*MAX(6*F5658,75),(D5658-1)*2*MAX(6*F5658,75))/1000</f>
        <v>0.15</v>
      </c>
      <c r="M5658" t="str">
        <v>=</v>
      </c>
      <c r="N5658">
        <f>J5658+L5658</f>
        <v>0.27</v>
      </c>
      <c r="T5658" t="str">
        <v>x</v>
      </c>
      <c r="U5658">
        <f>0.006165*F5658^2</f>
        <v>0</v>
      </c>
      <c r="V5658" t="str">
        <v>x</v>
      </c>
      <c r="W5658">
        <f>W5654</f>
        <v>13</v>
      </c>
      <c r="X5658" t="str">
        <v>x</v>
      </c>
      <c r="Y5658">
        <f>D5644</f>
        <v>2</v>
      </c>
      <c r="Z5658" t="str">
        <v>=</v>
      </c>
      <c r="AA5658">
        <f>N5658*U5658*W5658*Y5658</f>
        <v>0</v>
      </c>
    </row>
    <row r="5659">
      <c r="A5659" t="str">
        <f>A5634</f>
        <v>Lantai 1</v>
      </c>
      <c r="B5659">
        <f>B5634</f>
        <v>90</v>
      </c>
      <c r="C5659" t="str">
        <v>Kait Horizontal Lap.</v>
      </c>
      <c r="D5659">
        <f>VLOOKUP(D5634,'Detail Balok'!$C$10:$BJ$110,51,FALSE)</f>
        <v>0</v>
      </c>
      <c r="E5659" t="str">
        <v>D</v>
      </c>
      <c r="F5659">
        <f>VLOOKUP(D5634,'Detail Balok'!$C$10:$BJ$110,53,FALSE)</f>
        <v>0</v>
      </c>
      <c r="G5659" t="str">
        <v>-</v>
      </c>
      <c r="H5659">
        <f>VLOOKUP(D5634,'Detail Balok'!$C$10:$BJ$110,55,FALSE)</f>
        <v>100</v>
      </c>
      <c r="J5659">
        <f>(D5635-2*F$5)/1000</f>
        <v>0.12</v>
      </c>
      <c r="K5659" t="str">
        <v>+</v>
      </c>
      <c r="L5659">
        <f>IF(D5659=0,2*MAX(6*F5659,75),(D5659-1)*2*MAX(6*F5659,75))/1000</f>
        <v>0.15</v>
      </c>
      <c r="M5659" t="str">
        <v>=</v>
      </c>
      <c r="N5659">
        <f>J5659+L5659</f>
        <v>0.27</v>
      </c>
      <c r="T5659" t="str">
        <v>x</v>
      </c>
      <c r="U5659">
        <f>0.006165*F5659^2</f>
        <v>0</v>
      </c>
      <c r="V5659" t="str">
        <v>x</v>
      </c>
      <c r="W5659">
        <f>W5655</f>
        <v>12</v>
      </c>
      <c r="X5659" t="str">
        <v>x</v>
      </c>
      <c r="Y5659">
        <f>D5644</f>
        <v>2</v>
      </c>
      <c r="Z5659" t="str">
        <v>=</v>
      </c>
      <c r="AA5659">
        <f>N5659*U5659*W5659*Y5659</f>
        <v>0</v>
      </c>
    </row>
    <row r="5660">
      <c r="A5660" t="str">
        <f>A5634</f>
        <v>Lantai 1</v>
      </c>
      <c r="B5660">
        <f>B5634</f>
        <v>90</v>
      </c>
      <c r="C5660" t="str">
        <v>Kait Horizontal Tump.</v>
      </c>
      <c r="D5660">
        <f>VLOOKUP(D5634,'Detail Balok'!$C$10:$BJ$110,56,FALSE)</f>
        <v>0</v>
      </c>
      <c r="E5660" t="str">
        <v>D</v>
      </c>
      <c r="F5660">
        <f>VLOOKUP(D5634,'Detail Balok'!$C$10:$BJ$110,58,FALSE)</f>
        <v>0</v>
      </c>
      <c r="G5660" t="str">
        <v>-</v>
      </c>
      <c r="H5660">
        <f>VLOOKUP(D5634,'Detail Balok'!$C$10:$BJ$110,60,FALSE)</f>
        <v>100</v>
      </c>
      <c r="J5660">
        <f>(D5635-2*F$5)/1000</f>
        <v>0.12</v>
      </c>
      <c r="K5660" t="str">
        <v>+</v>
      </c>
      <c r="L5660">
        <f>IF(D5660=0,2*MAX(6*F5660,75),(D5660-1)*2*MAX(6*F5660,75))/1000</f>
        <v>0.15</v>
      </c>
      <c r="M5660" t="str">
        <v>=</v>
      </c>
      <c r="N5660">
        <f>J5660+L5660</f>
        <v>0.27</v>
      </c>
      <c r="T5660" t="str">
        <v>x</v>
      </c>
      <c r="U5660">
        <f>0.006165*F5660^2</f>
        <v>0</v>
      </c>
      <c r="V5660" t="str">
        <v>x</v>
      </c>
      <c r="W5660">
        <f>W5656</f>
        <v>13</v>
      </c>
      <c r="X5660" t="str">
        <v>x</v>
      </c>
      <c r="Y5660">
        <f>D5644</f>
        <v>2</v>
      </c>
      <c r="Z5660" t="str">
        <v>=</v>
      </c>
      <c r="AA5660">
        <f>N5660*U5660*W5660*Y5660</f>
        <v>0</v>
      </c>
    </row>
    <row r="5664">
      <c r="A5664" t="str">
        <f>A5634</f>
        <v>Lantai 1</v>
      </c>
      <c r="B5664">
        <f>B5634+1</f>
        <v>91</v>
      </c>
      <c r="C5664" t="str">
        <f>CONCATENATE(A5664," no. ",B5664)</f>
        <v>Lantai 1 no. 91</v>
      </c>
      <c r="D5664" t="str">
        <f>VLOOKUP(C5664,'Data Panjang Balok'!$C$9:$N$424,2,FALSE)</f>
        <v>B245-1</v>
      </c>
    </row>
    <row r="5665">
      <c r="C5665" t="str">
        <v>Dimensi</v>
      </c>
      <c r="D5665">
        <f>VLOOKUP(D5664,'Detail Balok'!$C$10:$AU$110,2,FALSE)</f>
        <v>200</v>
      </c>
      <c r="F5665" t="str">
        <v>x</v>
      </c>
      <c r="G5665">
        <f>VLOOKUP(D5664,'Detail Balok'!$C$10:$AU$110,3,FALSE)</f>
        <v>450</v>
      </c>
    </row>
    <row r="5666">
      <c r="C5666" t="str">
        <v>Panjang as ke as</v>
      </c>
      <c r="D5666">
        <f>VLOOKUP(C5664,'Data Panjang Balok'!$C$9:$N$424,4,FALSE)</f>
        <v>3400</v>
      </c>
    </row>
    <row r="5667">
      <c r="C5667" t="str">
        <v>Panjang netto</v>
      </c>
      <c r="D5667">
        <f>VLOOKUP(C5664,'Data Panjang Balok'!$C$9:$N$424,7,FALSE)</f>
        <v>3400</v>
      </c>
    </row>
    <row r="5668">
      <c r="C5668" t="str">
        <v>Kolom / balok kiri</v>
      </c>
      <c r="D5668">
        <f>VLOOKUP(C5664,'Data Panjang Balok'!$C$9:$N$424,9,FALSE)</f>
        <v>0</v>
      </c>
    </row>
    <row r="5669">
      <c r="C5669" t="str">
        <v>Kolom / balok kanan</v>
      </c>
      <c r="D5669">
        <f>VLOOKUP(C5664,'Data Panjang Balok'!$C$9:$N$424,10,FALSE)</f>
        <v>0</v>
      </c>
    </row>
    <row r="5670">
      <c r="C5670" t="str">
        <v>Jumlah</v>
      </c>
      <c r="D5670">
        <f>VLOOKUP(C5664,'Data Panjang Balok'!$C$9:$N$424,3,FALSE)</f>
        <v>1</v>
      </c>
    </row>
    <row r="5671">
      <c r="A5671" t="str">
        <f>A5664</f>
        <v>Lantai 1</v>
      </c>
      <c r="B5671">
        <f>B5664</f>
        <v>91</v>
      </c>
      <c r="C5671" t="str">
        <v>Tul Atas Tumpuan</v>
      </c>
      <c r="D5671">
        <f>VLOOKUP(D5664,'Detail Balok'!$C$10:$AU$110,4,FALSE)</f>
        <v>2</v>
      </c>
      <c r="E5671" t="str">
        <v>D</v>
      </c>
      <c r="F5671">
        <f>VLOOKUP(D5664,'Detail Balok'!$C$10:$AU$110,6,FALSE)</f>
        <v>13</v>
      </c>
      <c r="I5671" t="str">
        <v>(</v>
      </c>
      <c r="J5671">
        <f>+D5666/4/1000</f>
        <v>0.85</v>
      </c>
      <c r="K5671" t="str">
        <v>+</v>
      </c>
      <c r="L5671">
        <f>MAX(VLOOKUP(F5671,N$6:P$15,3,FALSE)/1000,2/3*D5668/1000)+F$16*F5671/1000</f>
        <v>0.156</v>
      </c>
      <c r="M5671" t="str">
        <v>=</v>
      </c>
      <c r="N5671">
        <f>J5671+L5671</f>
        <v>1.006</v>
      </c>
      <c r="O5671" t="str">
        <v>+</v>
      </c>
      <c r="P5671">
        <f>D5671-D5672</f>
        <v>0</v>
      </c>
      <c r="Q5671" t="str">
        <v>x</v>
      </c>
      <c r="R5671">
        <f>IF(P5671&gt;0,$F$18*F5671/1000,0)</f>
        <v>0</v>
      </c>
      <c r="S5671" t="str">
        <v>)</v>
      </c>
      <c r="T5671" t="str">
        <v>x</v>
      </c>
      <c r="U5671">
        <f>0.006165*F5671^2</f>
        <v>1.041885</v>
      </c>
      <c r="X5671" t="str">
        <v>x</v>
      </c>
      <c r="Y5671">
        <f>D5670</f>
        <v>1</v>
      </c>
      <c r="Z5671" t="str">
        <v>=</v>
      </c>
      <c r="AA5671">
        <f>IF(AA5674=0,(D5671*N5671+P5671*R5671)*U5671*Y5671,0)</f>
        <v>0</v>
      </c>
    </row>
    <row r="5672">
      <c r="A5672" t="str">
        <f>A5664</f>
        <v>Lantai 1</v>
      </c>
      <c r="B5672">
        <f>B5664</f>
        <v>91</v>
      </c>
      <c r="C5672" t="str">
        <v>Tul Atas Lapangan</v>
      </c>
      <c r="D5672">
        <f>VLOOKUP(D5664,'Detail Balok'!$C$10:$AU$110,7,FALSE)</f>
        <v>2</v>
      </c>
      <c r="E5672" t="str">
        <v>D</v>
      </c>
      <c r="F5672">
        <f>VLOOKUP(D5664,'Detail Balok'!$C$10:$AU$110,9,FALSE)</f>
        <v>13</v>
      </c>
      <c r="I5672" t="str">
        <v>(</v>
      </c>
      <c r="J5672">
        <f>+D5666/2/1000</f>
        <v>1.7</v>
      </c>
      <c r="K5672" t="str">
        <v>+</v>
      </c>
      <c r="M5672" t="str">
        <v>=</v>
      </c>
      <c r="N5672">
        <f>J5672+L5672</f>
        <v>1.7</v>
      </c>
      <c r="O5672" t="str">
        <v>+</v>
      </c>
      <c r="P5672">
        <f>MAX(D5672-D5671,D5672-D5673)</f>
        <v>0</v>
      </c>
      <c r="Q5672" t="str">
        <v>x</v>
      </c>
      <c r="R5672">
        <f>IF(P5672&gt;0,2*(1-2*$F$19-1/2)*D5667/1000,0)</f>
        <v>0</v>
      </c>
      <c r="S5672" t="str">
        <v>)</v>
      </c>
      <c r="T5672" t="str">
        <v>x</v>
      </c>
      <c r="U5672">
        <f>0.006165*F5672^2</f>
        <v>1.041885</v>
      </c>
      <c r="X5672" t="str">
        <v>x</v>
      </c>
      <c r="Y5672">
        <f>D5670</f>
        <v>1</v>
      </c>
      <c r="Z5672" t="str">
        <v>=</v>
      </c>
      <c r="AA5672">
        <f>IF(AA5674=0,(D5672*N5672+P5672*R5672)*U5672*Y5672,0)</f>
        <v>0</v>
      </c>
    </row>
    <row r="5673">
      <c r="A5673" t="str">
        <f>A5664</f>
        <v>Lantai 1</v>
      </c>
      <c r="B5673">
        <f>B5664</f>
        <v>91</v>
      </c>
      <c r="C5673" t="str">
        <v>Tul Atas Tumpuan</v>
      </c>
      <c r="D5673">
        <f>VLOOKUP(D5664,'Detail Balok'!$C$10:$AU$110,10,FALSE)</f>
        <v>2</v>
      </c>
      <c r="E5673" t="str">
        <v>D</v>
      </c>
      <c r="F5673">
        <f>VLOOKUP(D5664,'Detail Balok'!$C$10:$AU$110,12,FALSE)</f>
        <v>13</v>
      </c>
      <c r="I5673" t="str">
        <v>(</v>
      </c>
      <c r="J5673">
        <f>+D5666/4/1000</f>
        <v>0.85</v>
      </c>
      <c r="K5673" t="str">
        <v>+</v>
      </c>
      <c r="L5673">
        <f>MAX(VLOOKUP(F5673,N$6:P$15,3,FALSE)/1000,2/3*D5668/1000)+F$16*F5673/1000</f>
        <v>0.156</v>
      </c>
      <c r="M5673" t="str">
        <v>=</v>
      </c>
      <c r="N5673">
        <f>J5673+L5673</f>
        <v>1.006</v>
      </c>
      <c r="O5673" t="str">
        <v>+</v>
      </c>
      <c r="P5673">
        <f>D5673-D5672</f>
        <v>0</v>
      </c>
      <c r="Q5673" t="str">
        <v>x</v>
      </c>
      <c r="R5673">
        <f>IF(P5673&gt;0,$F$18*F5673/1000,0)</f>
        <v>0</v>
      </c>
      <c r="S5673" t="str">
        <v>)</v>
      </c>
      <c r="T5673" t="str">
        <v>x</v>
      </c>
      <c r="U5673">
        <f>0.006165*F5673^2</f>
        <v>1.041885</v>
      </c>
      <c r="X5673" t="str">
        <v>x</v>
      </c>
      <c r="Y5673">
        <f>D5670</f>
        <v>1</v>
      </c>
      <c r="Z5673" t="str">
        <v>=</v>
      </c>
      <c r="AA5673">
        <f>IF(AA5674=0,(D5673*N5673+P5673*R5673)*U5673*Y5673,0)</f>
        <v>0</v>
      </c>
    </row>
    <row r="5674">
      <c r="A5674" t="str">
        <f>A5664</f>
        <v>Lantai 1</v>
      </c>
      <c r="B5674">
        <f>B5664</f>
        <v>91</v>
      </c>
      <c r="D5674">
        <f>IF(AND(D5671=D5672,D5672=D5673,D5671=D5673),D5671,0)</f>
        <v>2</v>
      </c>
      <c r="E5674" t="str">
        <v>D</v>
      </c>
      <c r="F5674">
        <f>IF(AND(F5671=F5672,F5671=F5673,F5672=F5673),F5671,0)</f>
        <v>13</v>
      </c>
      <c r="L5674" t="str">
        <v>Total panjang per balok</v>
      </c>
      <c r="M5674" t="str">
        <v>=</v>
      </c>
      <c r="N5674">
        <f>IF(AND(D5671=D5672,D5671=D5673,D5672=D5673,F5671=F5672,F5671=F5673,F5672=F5673),SUM(N5671:N5673),0)</f>
        <v>3.7119999999999997</v>
      </c>
      <c r="O5674" t="str">
        <v>+</v>
      </c>
      <c r="P5674">
        <f>IF(N5674&gt;12,ROUNDDOWN(N5674/12,0),0)</f>
        <v>0</v>
      </c>
      <c r="Q5674" t="str">
        <v>x</v>
      </c>
      <c r="R5674">
        <f>IF(P5674&gt;0,MAX(VLOOKUP(F5674,$D$6:$G$15,3,FALSE),600),0)/1000</f>
        <v>0</v>
      </c>
      <c r="T5674" t="str">
        <v>x</v>
      </c>
      <c r="U5674">
        <f>U5673</f>
        <v>1.041885</v>
      </c>
      <c r="V5674" t="str">
        <v>x</v>
      </c>
      <c r="W5674">
        <f>D5674</f>
        <v>2</v>
      </c>
      <c r="X5674" t="str">
        <v>x</v>
      </c>
      <c r="Y5674">
        <f>Y5673</f>
        <v>1</v>
      </c>
      <c r="Z5674" t="str">
        <v>=</v>
      </c>
      <c r="AA5674">
        <f>(N5674+P5674*R5674/1000)*U5674*W5674*Y5674</f>
        <v>7.7349542399999995</v>
      </c>
    </row>
    <row r="5676">
      <c r="A5676" t="str">
        <f>A5664</f>
        <v>Lantai 1</v>
      </c>
      <c r="B5676">
        <f>B5664</f>
        <v>91</v>
      </c>
      <c r="C5676" t="str">
        <v>Tul Peminggang</v>
      </c>
      <c r="D5676">
        <f>VLOOKUP(D5664,'Detail Balok'!$C$10:$AU$110,13,FALSE)</f>
        <v>2</v>
      </c>
      <c r="E5676" t="str">
        <v>D</v>
      </c>
      <c r="F5676">
        <f>VLOOKUP(D5664,'Detail Balok'!$C$10:$AU$110,15,FALSE)</f>
        <v>8</v>
      </c>
      <c r="J5676">
        <f>+D5666/1000</f>
        <v>3.4</v>
      </c>
      <c r="K5676" t="str">
        <v>+</v>
      </c>
      <c r="L5676">
        <f>2*$F$16*F5676/1000</f>
        <v>0.192</v>
      </c>
      <c r="M5676" t="str">
        <v>=</v>
      </c>
      <c r="N5676">
        <f>J5676+L5676</f>
        <v>3.592</v>
      </c>
      <c r="O5676" t="str">
        <v>+</v>
      </c>
      <c r="P5676">
        <f>IF(N5676&gt;12,ROUNDDOWN(N5676/12,0),0)</f>
        <v>0</v>
      </c>
      <c r="Q5676" t="str">
        <v>x</v>
      </c>
      <c r="R5676">
        <f>IF(P5676&gt;0,MAX(VLOOKUP(F5676,$D$6:$G$15,3,FALSE),600),0)/1000</f>
        <v>0</v>
      </c>
      <c r="T5676" t="str">
        <v>x</v>
      </c>
      <c r="U5676">
        <f>0.006165*F5676^2</f>
        <v>0.39456</v>
      </c>
      <c r="V5676" t="str">
        <v>x</v>
      </c>
      <c r="W5676">
        <f>+D5676</f>
        <v>2</v>
      </c>
      <c r="X5676" t="str">
        <v>x</v>
      </c>
      <c r="Y5676">
        <f>D5670</f>
        <v>1</v>
      </c>
      <c r="Z5676" t="str">
        <v>=</v>
      </c>
      <c r="AA5676">
        <f>(N5676+P5676*R5676/1000)*U5676*W5676*Y5676</f>
        <v>2.8345190400000004</v>
      </c>
    </row>
    <row r="5679">
      <c r="A5679" t="str">
        <f>A5664</f>
        <v>Lantai 1</v>
      </c>
      <c r="B5679">
        <f>B5664</f>
        <v>91</v>
      </c>
      <c r="C5679" t="str">
        <v>Tul Bawah Tumpuan</v>
      </c>
      <c r="D5679">
        <f>VLOOKUP(D5664,'Detail Balok'!$C$10:$AU$110,22,FALSE)</f>
        <v>2</v>
      </c>
      <c r="E5679" t="str">
        <v>D</v>
      </c>
      <c r="F5679">
        <f>VLOOKUP(D5664,'Detail Balok'!$C$10:$AU$110,24,FALSE)</f>
        <v>13</v>
      </c>
      <c r="I5679" t="str">
        <v>(</v>
      </c>
      <c r="J5679">
        <f>+J5671</f>
        <v>0.85</v>
      </c>
      <c r="K5679" t="str">
        <v>+</v>
      </c>
      <c r="L5679">
        <f>MAX(VLOOKUP(F5679,N$6:P$15,3,FALSE)/1000,2/3*D5669/1000)+F$16*F5679/1000</f>
        <v>0.156</v>
      </c>
      <c r="M5679" t="str">
        <v>=</v>
      </c>
      <c r="N5679">
        <f>J5679+L5679</f>
        <v>1.006</v>
      </c>
      <c r="O5679" t="str">
        <v>+</v>
      </c>
      <c r="P5679">
        <f>D5679-D5680</f>
        <v>0</v>
      </c>
      <c r="Q5679" t="str">
        <v>x</v>
      </c>
      <c r="R5679">
        <f>IF(P5679&gt;0,$F$18*F5679/1000,0)</f>
        <v>0</v>
      </c>
      <c r="S5679" t="str">
        <v>)</v>
      </c>
      <c r="T5679" t="str">
        <v>x</v>
      </c>
      <c r="U5679">
        <f>0.006165*F5679^2</f>
        <v>1.041885</v>
      </c>
      <c r="X5679" t="str">
        <v>x</v>
      </c>
      <c r="Y5679">
        <f>D5670</f>
        <v>1</v>
      </c>
      <c r="Z5679" t="str">
        <v>=</v>
      </c>
      <c r="AA5679">
        <f>IF(AA5682=0,(D5679*N5679+P5679*R5679)*U5679*Y5679,0)</f>
        <v>0</v>
      </c>
    </row>
    <row r="5680">
      <c r="A5680" t="str">
        <f>A5664</f>
        <v>Lantai 1</v>
      </c>
      <c r="B5680">
        <f>B5664</f>
        <v>91</v>
      </c>
      <c r="C5680" t="str">
        <v>Tul Bawah Lapangan</v>
      </c>
      <c r="D5680">
        <f>VLOOKUP(D5664,'Detail Balok'!$C$10:$AU$110,25,FALSE)</f>
        <v>2</v>
      </c>
      <c r="E5680" t="str">
        <v>D</v>
      </c>
      <c r="F5680">
        <f>VLOOKUP(D5664,'Detail Balok'!$C$10:$AU$110,27,FALSE)</f>
        <v>13</v>
      </c>
      <c r="I5680" t="str">
        <v>(</v>
      </c>
      <c r="J5680">
        <f>+J5672</f>
        <v>1.7</v>
      </c>
      <c r="K5680" t="str">
        <v>+</v>
      </c>
      <c r="M5680" t="str">
        <v>=</v>
      </c>
      <c r="N5680">
        <f>J5680+L5680</f>
        <v>1.7</v>
      </c>
      <c r="O5680" t="str">
        <v>+</v>
      </c>
      <c r="P5680">
        <f>MAX(D5680-D5679,D5680-D5681)</f>
        <v>0</v>
      </c>
      <c r="Q5680" t="str">
        <v>x</v>
      </c>
      <c r="R5680">
        <f>IF(P5680&gt;0,2*(1-2*$F$19-1/2)*D5667/1000,0)</f>
        <v>0</v>
      </c>
      <c r="S5680" t="str">
        <v>)</v>
      </c>
      <c r="T5680" t="str">
        <v>x</v>
      </c>
      <c r="U5680">
        <f>0.006165*F5680^2</f>
        <v>1.041885</v>
      </c>
      <c r="X5680" t="str">
        <v>x</v>
      </c>
      <c r="Y5680">
        <f>D5670</f>
        <v>1</v>
      </c>
      <c r="Z5680" t="str">
        <v>=</v>
      </c>
      <c r="AA5680">
        <f>IF(AA5682=0,(D5680*N5680+P5680*R5680)*U5680*Y5680,0)</f>
        <v>0</v>
      </c>
    </row>
    <row r="5681">
      <c r="A5681" t="str">
        <f>A5664</f>
        <v>Lantai 1</v>
      </c>
      <c r="B5681">
        <f>B5664</f>
        <v>91</v>
      </c>
      <c r="C5681" t="str">
        <v>Tul Bawah Tumpuan</v>
      </c>
      <c r="D5681">
        <f>VLOOKUP(D5664,'Detail Balok'!$C$10:$AU$110,28,FALSE)</f>
        <v>2</v>
      </c>
      <c r="E5681" t="str">
        <v>D</v>
      </c>
      <c r="F5681">
        <f>VLOOKUP(D5664,'Detail Balok'!$C$10:$AU$110,30,FALSE)</f>
        <v>13</v>
      </c>
      <c r="I5681" t="str">
        <v>(</v>
      </c>
      <c r="J5681">
        <f>+J5673</f>
        <v>0.85</v>
      </c>
      <c r="K5681" t="str">
        <v>+</v>
      </c>
      <c r="L5681">
        <f>MAX(VLOOKUP(F5681,N$6:P$15,3,FALSE)/1000,2/3*D5669/1000)+F$16*F5681/1000</f>
        <v>0.156</v>
      </c>
      <c r="M5681" t="str">
        <v>=</v>
      </c>
      <c r="N5681">
        <f>J5681+L5681</f>
        <v>1.006</v>
      </c>
      <c r="O5681" t="str">
        <v>+</v>
      </c>
      <c r="P5681">
        <f>D5681-D5680</f>
        <v>0</v>
      </c>
      <c r="Q5681" t="str">
        <v>x</v>
      </c>
      <c r="R5681">
        <f>IF(P5681&gt;0,$F$18*F5681/1000,0)</f>
        <v>0</v>
      </c>
      <c r="S5681" t="str">
        <v>)</v>
      </c>
      <c r="T5681" t="str">
        <v>x</v>
      </c>
      <c r="U5681">
        <f>0.006165*F5681^2</f>
        <v>1.041885</v>
      </c>
      <c r="X5681" t="str">
        <v>x</v>
      </c>
      <c r="Y5681">
        <f>D5670</f>
        <v>1</v>
      </c>
      <c r="Z5681" t="str">
        <v>=</v>
      </c>
      <c r="AA5681">
        <f>IF(AA5682=0,(D5681*N5681+P5681*R5681)*U5681*Y5681,0)</f>
        <v>0</v>
      </c>
    </row>
    <row r="5682">
      <c r="A5682" t="str">
        <f>A5664</f>
        <v>Lantai 1</v>
      </c>
      <c r="B5682">
        <f>B5664</f>
        <v>91</v>
      </c>
      <c r="D5682">
        <f>IF(AND(D5679=D5680,D5680=D5681,D5679=D5681),D5679,0)</f>
        <v>2</v>
      </c>
      <c r="E5682" t="str">
        <v>D</v>
      </c>
      <c r="F5682">
        <f>IF(AND(F5679=F5680,F5679=F5681,F5680=F5681),F5679,0)</f>
        <v>13</v>
      </c>
      <c r="L5682" t="str">
        <v>Total panjang per balok</v>
      </c>
      <c r="M5682" t="str">
        <v>=</v>
      </c>
      <c r="N5682">
        <f>IF(AND(D5679=D5680,D5679=D5681,D5680=D5681,F5679=F5680,F5679=F5681,F5680=F5681),SUM(N5679:N5681),0)</f>
        <v>3.7119999999999997</v>
      </c>
      <c r="O5682" t="str">
        <v>+</v>
      </c>
      <c r="P5682">
        <f>IF(N5682&gt;12,ROUNDDOWN(N5682/12,0),0)</f>
        <v>0</v>
      </c>
      <c r="Q5682" t="str">
        <v>x</v>
      </c>
      <c r="R5682">
        <f>IF(P5682&gt;0,MAX(VLOOKUP(F5682,$D$6:$G$15,3,FALSE),600),0)/1000</f>
        <v>0</v>
      </c>
      <c r="T5682" t="str">
        <v>x</v>
      </c>
      <c r="U5682">
        <f>U5681</f>
        <v>1.041885</v>
      </c>
      <c r="V5682" t="str">
        <v>x</v>
      </c>
      <c r="W5682">
        <f>D5682</f>
        <v>2</v>
      </c>
      <c r="X5682" t="str">
        <v>x</v>
      </c>
      <c r="Y5682">
        <f>Y5681</f>
        <v>1</v>
      </c>
      <c r="Z5682" t="str">
        <v>=</v>
      </c>
      <c r="AA5682">
        <f>(N5682+P5682*R5682/1000)*U5682*W5682*Y5682</f>
        <v>7.7349542399999995</v>
      </c>
    </row>
    <row r="5684">
      <c r="A5684" t="str">
        <f>A5664</f>
        <v>Lantai 1</v>
      </c>
      <c r="B5684">
        <f>B5664</f>
        <v>91</v>
      </c>
      <c r="C5684" t="str">
        <v>Sengkang Tumpuan</v>
      </c>
      <c r="D5684">
        <f>VLOOKUP(D5664,'Detail Balok'!$C$10:$AU$110,31,FALSE)</f>
        <v>0</v>
      </c>
      <c r="E5684" t="str">
        <v>D</v>
      </c>
      <c r="F5684">
        <f>VLOOKUP(D5664,'Detail Balok'!$C$10:$AU$110,33,FALSE)</f>
        <v>8</v>
      </c>
      <c r="G5684" t="str">
        <v>-</v>
      </c>
      <c r="H5684">
        <f>VLOOKUP(D5664,'Detail Balok'!$C$10:$AU$110,35,FALSE)</f>
        <v>100</v>
      </c>
      <c r="J5684">
        <f>(IF(D5684=0,(2*(D5665+G5665))-(F$5*8),IF(D5684=3,(2*(D5665+G5665))-(F$5*8)+(G5665-2*F$5),IF(D5684=4,(2*(D5665+G5665))-(F$5*8)+2*(G5665-2*F$5)))))/1000</f>
        <v>0.98</v>
      </c>
      <c r="K5684" t="str">
        <v>+</v>
      </c>
      <c r="L5684">
        <f>IF(D5684=0,2*MAX(6*F5684,75),(D5684-1)*2*MAX(6*F5684,75))/1000</f>
        <v>0.15</v>
      </c>
      <c r="M5684" t="str">
        <v>=</v>
      </c>
      <c r="N5684">
        <f>J5684+L5684</f>
        <v>1.13</v>
      </c>
      <c r="T5684" t="str">
        <v>x</v>
      </c>
      <c r="U5684">
        <f>0.006165*F5684^2</f>
        <v>0.39456</v>
      </c>
      <c r="V5684" t="str">
        <v>x</v>
      </c>
      <c r="W5684">
        <f>IF(D5667&gt;4*G5665,ROUND(MAX(D5667/4,2*G5665)/H5684,0)+1,ROUND(D5667/H5684,0)+1)</f>
        <v>10</v>
      </c>
      <c r="X5684" t="str">
        <v>x</v>
      </c>
      <c r="Y5684">
        <f>D5670</f>
        <v>1</v>
      </c>
      <c r="Z5684" t="str">
        <v>=</v>
      </c>
      <c r="AA5684">
        <f>N5684*U5684*W5684*Y5684</f>
        <v>4.458528</v>
      </c>
    </row>
    <row r="5685">
      <c r="A5685" t="str">
        <f>A5664</f>
        <v>Lantai 1</v>
      </c>
      <c r="B5685">
        <f>B5664</f>
        <v>91</v>
      </c>
      <c r="C5685" t="str">
        <v>Sengkang Lapangan</v>
      </c>
      <c r="D5685">
        <f>VLOOKUP(D5664,'Detail Balok'!$C$10:$AU$110,36,FALSE)</f>
        <v>0</v>
      </c>
      <c r="E5685" t="str">
        <v>D</v>
      </c>
      <c r="F5685">
        <f>VLOOKUP(D5664,'Detail Balok'!$C$10:$AU$110,38,FALSE)</f>
        <v>8</v>
      </c>
      <c r="G5685" t="str">
        <v>-</v>
      </c>
      <c r="H5685">
        <f>VLOOKUP(D5664,'Detail Balok'!$C$10:$AU$110,40,FALSE)</f>
        <v>200</v>
      </c>
      <c r="J5685">
        <f>(IF(D5685=0,(2*(D5665+G5665))-(F$5*8),IF(D5685=3,(2*(D5665+G5665))-(F$5*8)+(G5665-2*F$5),IF(D5685=4,(2*(D5665+G5665))-(F$5*8)+2*(G5665-2*F$5)))))/1000</f>
        <v>0.98</v>
      </c>
      <c r="K5685" t="str">
        <v>+</v>
      </c>
      <c r="L5685">
        <f>IF(D5685=0,2*MAX(6*F5685,75),(D5685-1)*2*MAX(6*F5685,75))/1000</f>
        <v>0.15</v>
      </c>
      <c r="M5685" t="str">
        <v>=</v>
      </c>
      <c r="N5685">
        <f>J5685+L5685</f>
        <v>1.13</v>
      </c>
      <c r="T5685" t="str">
        <v>x</v>
      </c>
      <c r="U5685">
        <f>0.006165*F5685^2</f>
        <v>0.39456</v>
      </c>
      <c r="V5685" t="str">
        <v>x</v>
      </c>
      <c r="W5685">
        <f>IF(D5667-MAX(D5667/4,2*G5665)*2&gt;0,ROUND((D5667-MAX(D5667/4,2*G5665)*2)/H5685,0),0)</f>
        <v>8</v>
      </c>
      <c r="X5685" t="str">
        <v>x</v>
      </c>
      <c r="Y5685">
        <f>D5670</f>
        <v>1</v>
      </c>
      <c r="Z5685" t="str">
        <v>=</v>
      </c>
      <c r="AA5685">
        <f>N5685*U5685*W5685*Y5685</f>
        <v>3.5668224</v>
      </c>
    </row>
    <row r="5686">
      <c r="A5686" t="str">
        <f>A5664</f>
        <v>Lantai 1</v>
      </c>
      <c r="B5686">
        <f>B5664</f>
        <v>91</v>
      </c>
      <c r="C5686" t="str">
        <v>Sengkang Tumpuan</v>
      </c>
      <c r="D5686">
        <f>VLOOKUP(D5664,'Detail Balok'!$C$10:$AU$110,41,FALSE)</f>
        <v>0</v>
      </c>
      <c r="E5686" t="str">
        <v>D</v>
      </c>
      <c r="F5686">
        <f>VLOOKUP(D5664,'Detail Balok'!$C$10:$AU$110,43,FALSE)</f>
        <v>8</v>
      </c>
      <c r="G5686" t="str">
        <v>-</v>
      </c>
      <c r="H5686">
        <f>VLOOKUP(D5664,'Detail Balok'!$C$10:$AU$110,45,FALSE)</f>
        <v>100</v>
      </c>
      <c r="J5686">
        <f>(IF(D5686=0,(2*(D5665+G5665))-(F$5*8),IF(D5686=3,(2*(D5665+G5665))-(F$5*8)+(G5665-2*F$5),IF(D5686=4,(2*(D5665+G5665))-(F$5*8)+2*(G5665-2*F$5)))))/1000</f>
        <v>0.98</v>
      </c>
      <c r="K5686" t="str">
        <v>+</v>
      </c>
      <c r="L5686">
        <f>IF(D5686=0,2*MAX(6*F5686,75),(D5686-1)*2*MAX(6*F5686,75))/1000</f>
        <v>0.15</v>
      </c>
      <c r="M5686" t="str">
        <v>=</v>
      </c>
      <c r="N5686">
        <f>J5686+L5686</f>
        <v>1.13</v>
      </c>
      <c r="T5686" t="str">
        <v>x</v>
      </c>
      <c r="U5686">
        <f>0.006165*F5686^2</f>
        <v>0.39456</v>
      </c>
      <c r="V5686" t="str">
        <v>x</v>
      </c>
      <c r="W5686">
        <f>IF(D5667&gt;4*G5665,ROUND(MAX(D5667/4,2*G5665)/H5686,0)+1,0)</f>
        <v>10</v>
      </c>
      <c r="X5686" t="str">
        <v>x</v>
      </c>
      <c r="Y5686">
        <f>D5670</f>
        <v>1</v>
      </c>
      <c r="Z5686" t="str">
        <v>=</v>
      </c>
      <c r="AA5686">
        <f>N5686*U5686*W5686*Y5686</f>
        <v>4.458528</v>
      </c>
    </row>
    <row r="5688">
      <c r="A5688" t="str">
        <f>A5664</f>
        <v>Lantai 1</v>
      </c>
      <c r="B5688">
        <f>B5664</f>
        <v>91</v>
      </c>
      <c r="C5688" t="str">
        <v>Kait Horizontal Tump.</v>
      </c>
      <c r="D5688">
        <f>VLOOKUP(D5664,'Detail Balok'!$C$10:$BJ$110,46,FALSE)</f>
        <v>0</v>
      </c>
      <c r="E5688" t="str">
        <v>D</v>
      </c>
      <c r="F5688">
        <f>VLOOKUP(D5664,'Detail Balok'!$C$10:$BJ$110,48,FALSE)</f>
        <v>0</v>
      </c>
      <c r="G5688" t="str">
        <v>-</v>
      </c>
      <c r="H5688">
        <f>VLOOKUP(D5664,'Detail Balok'!$C$10:$BJ$110,50,FALSE)</f>
        <v>100</v>
      </c>
      <c r="J5688">
        <f>(D5665-2*F$5)/1000</f>
        <v>0.12</v>
      </c>
      <c r="K5688" t="str">
        <v>+</v>
      </c>
      <c r="L5688">
        <f>IF(D5688=0,2*MAX(6*F5688,75),(D5688-1)*2*MAX(6*F5688,75))/1000</f>
        <v>0.15</v>
      </c>
      <c r="M5688" t="str">
        <v>=</v>
      </c>
      <c r="N5688">
        <f>J5688+L5688</f>
        <v>0.27</v>
      </c>
      <c r="T5688" t="str">
        <v>x</v>
      </c>
      <c r="U5688">
        <f>0.006165*F5688^2</f>
        <v>0</v>
      </c>
      <c r="V5688" t="str">
        <v>x</v>
      </c>
      <c r="W5688">
        <f>W5684</f>
        <v>10</v>
      </c>
      <c r="X5688" t="str">
        <v>x</v>
      </c>
      <c r="Y5688">
        <f>D5674</f>
        <v>2</v>
      </c>
      <c r="Z5688" t="str">
        <v>=</v>
      </c>
      <c r="AA5688">
        <f>N5688*U5688*W5688*Y5688</f>
        <v>0</v>
      </c>
    </row>
    <row r="5689">
      <c r="A5689" t="str">
        <f>A5664</f>
        <v>Lantai 1</v>
      </c>
      <c r="B5689">
        <f>B5664</f>
        <v>91</v>
      </c>
      <c r="C5689" t="str">
        <v>Kait Horizontal Lap.</v>
      </c>
      <c r="D5689">
        <f>VLOOKUP(D5664,'Detail Balok'!$C$10:$BJ$110,51,FALSE)</f>
        <v>0</v>
      </c>
      <c r="E5689" t="str">
        <v>D</v>
      </c>
      <c r="F5689">
        <f>VLOOKUP(D5664,'Detail Balok'!$C$10:$BJ$110,53,FALSE)</f>
        <v>0</v>
      </c>
      <c r="G5689" t="str">
        <v>-</v>
      </c>
      <c r="H5689">
        <f>VLOOKUP(D5664,'Detail Balok'!$C$10:$BJ$110,55,FALSE)</f>
        <v>100</v>
      </c>
      <c r="J5689">
        <f>(D5665-2*F$5)/1000</f>
        <v>0.12</v>
      </c>
      <c r="K5689" t="str">
        <v>+</v>
      </c>
      <c r="L5689">
        <f>IF(D5689=0,2*MAX(6*F5689,75),(D5689-1)*2*MAX(6*F5689,75))/1000</f>
        <v>0.15</v>
      </c>
      <c r="M5689" t="str">
        <v>=</v>
      </c>
      <c r="N5689">
        <f>J5689+L5689</f>
        <v>0.27</v>
      </c>
      <c r="T5689" t="str">
        <v>x</v>
      </c>
      <c r="U5689">
        <f>0.006165*F5689^2</f>
        <v>0</v>
      </c>
      <c r="V5689" t="str">
        <v>x</v>
      </c>
      <c r="W5689">
        <f>W5685</f>
        <v>8</v>
      </c>
      <c r="X5689" t="str">
        <v>x</v>
      </c>
      <c r="Y5689">
        <f>D5674</f>
        <v>2</v>
      </c>
      <c r="Z5689" t="str">
        <v>=</v>
      </c>
      <c r="AA5689">
        <f>N5689*U5689*W5689*Y5689</f>
        <v>0</v>
      </c>
    </row>
    <row r="5690">
      <c r="A5690" t="str">
        <f>A5664</f>
        <v>Lantai 1</v>
      </c>
      <c r="B5690">
        <f>B5664</f>
        <v>91</v>
      </c>
      <c r="C5690" t="str">
        <v>Kait Horizontal Tump.</v>
      </c>
      <c r="D5690">
        <f>VLOOKUP(D5664,'Detail Balok'!$C$10:$BJ$110,56,FALSE)</f>
        <v>0</v>
      </c>
      <c r="E5690" t="str">
        <v>D</v>
      </c>
      <c r="F5690">
        <f>VLOOKUP(D5664,'Detail Balok'!$C$10:$BJ$110,58,FALSE)</f>
        <v>0</v>
      </c>
      <c r="G5690" t="str">
        <v>-</v>
      </c>
      <c r="H5690">
        <f>VLOOKUP(D5664,'Detail Balok'!$C$10:$BJ$110,60,FALSE)</f>
        <v>100</v>
      </c>
      <c r="J5690">
        <f>(D5665-2*F$5)/1000</f>
        <v>0.12</v>
      </c>
      <c r="K5690" t="str">
        <v>+</v>
      </c>
      <c r="L5690">
        <f>IF(D5690=0,2*MAX(6*F5690,75),(D5690-1)*2*MAX(6*F5690,75))/1000</f>
        <v>0.15</v>
      </c>
      <c r="M5690" t="str">
        <v>=</v>
      </c>
      <c r="N5690">
        <f>J5690+L5690</f>
        <v>0.27</v>
      </c>
      <c r="T5690" t="str">
        <v>x</v>
      </c>
      <c r="U5690">
        <f>0.006165*F5690^2</f>
        <v>0</v>
      </c>
      <c r="V5690" t="str">
        <v>x</v>
      </c>
      <c r="W5690">
        <f>W5686</f>
        <v>10</v>
      </c>
      <c r="X5690" t="str">
        <v>x</v>
      </c>
      <c r="Y5690">
        <f>D5674</f>
        <v>2</v>
      </c>
      <c r="Z5690" t="str">
        <v>=</v>
      </c>
      <c r="AA5690">
        <f>N5690*U5690*W5690*Y5690</f>
        <v>0</v>
      </c>
    </row>
    <row r="5694">
      <c r="A5694" t="str">
        <f>A5664</f>
        <v>Lantai 1</v>
      </c>
      <c r="B5694">
        <f>B5664+1</f>
        <v>92</v>
      </c>
      <c r="C5694" t="str">
        <f>CONCATENATE(A5694," no. ",B5694)</f>
        <v>Lantai 1 no. 92</v>
      </c>
      <c r="D5694" t="str">
        <f>VLOOKUP(C5694,'Data Panjang Balok'!$C$9:$N$424,2,FALSE)</f>
        <v>B57-1</v>
      </c>
    </row>
    <row r="5695">
      <c r="C5695" t="str">
        <v>Dimensi</v>
      </c>
      <c r="D5695">
        <f>VLOOKUP(D5694,'Detail Balok'!$C$10:$AU$110,2,FALSE)</f>
        <v>500</v>
      </c>
      <c r="F5695" t="str">
        <v>x</v>
      </c>
      <c r="G5695">
        <f>VLOOKUP(D5694,'Detail Balok'!$C$10:$AU$110,3,FALSE)</f>
        <v>700</v>
      </c>
    </row>
    <row r="5696">
      <c r="C5696" t="str">
        <v>Panjang as ke as</v>
      </c>
      <c r="D5696">
        <f>VLOOKUP(C5694,'Data Panjang Balok'!$C$9:$N$424,4,FALSE)</f>
        <v>3450</v>
      </c>
    </row>
    <row r="5697">
      <c r="C5697" t="str">
        <v>Panjang netto</v>
      </c>
      <c r="D5697">
        <f>VLOOKUP(C5694,'Data Panjang Balok'!$C$9:$N$424,7,FALSE)</f>
        <v>3450</v>
      </c>
    </row>
    <row r="5698">
      <c r="C5698" t="str">
        <v>Kolom / balok kiri</v>
      </c>
      <c r="D5698">
        <f>VLOOKUP(C5694,'Data Panjang Balok'!$C$9:$N$424,9,FALSE)</f>
        <v>0</v>
      </c>
    </row>
    <row r="5699">
      <c r="C5699" t="str">
        <v>Kolom / balok kanan</v>
      </c>
      <c r="D5699">
        <f>VLOOKUP(C5694,'Data Panjang Balok'!$C$9:$N$424,10,FALSE)</f>
        <v>0</v>
      </c>
    </row>
    <row r="5700">
      <c r="C5700" t="str">
        <v>Jumlah</v>
      </c>
      <c r="D5700">
        <f>VLOOKUP(C5694,'Data Panjang Balok'!$C$9:$N$424,3,FALSE)</f>
        <v>1</v>
      </c>
    </row>
    <row r="5701">
      <c r="A5701" t="str">
        <f>A5694</f>
        <v>Lantai 1</v>
      </c>
      <c r="B5701">
        <f>B5694</f>
        <v>92</v>
      </c>
      <c r="C5701" t="str">
        <v>Tul Atas Tumpuan</v>
      </c>
      <c r="D5701">
        <f>VLOOKUP(D5694,'Detail Balok'!$C$10:$AU$110,4,FALSE)</f>
        <v>5</v>
      </c>
      <c r="E5701" t="str">
        <v>D</v>
      </c>
      <c r="F5701">
        <f>VLOOKUP(D5694,'Detail Balok'!$C$10:$AU$110,6,FALSE)</f>
        <v>22</v>
      </c>
      <c r="I5701" t="str">
        <v>(</v>
      </c>
      <c r="J5701">
        <f>+D5696/4/1000</f>
        <v>0.8625</v>
      </c>
      <c r="K5701" t="str">
        <v>+</v>
      </c>
      <c r="L5701">
        <f>MAX(VLOOKUP(F5701,N$6:P$15,3,FALSE)/1000,2/3*D5698/1000)+F$16*F5701/1000</f>
        <v>0.264</v>
      </c>
      <c r="M5701" t="str">
        <v>=</v>
      </c>
      <c r="N5701">
        <f>J5701+L5701</f>
        <v>1.1265</v>
      </c>
      <c r="O5701" t="str">
        <v>+</v>
      </c>
      <c r="P5701">
        <f>D5701-D5702</f>
        <v>0</v>
      </c>
      <c r="Q5701" t="str">
        <v>x</v>
      </c>
      <c r="R5701">
        <f>IF(P5701&gt;0,$F$18*F5701/1000,0)</f>
        <v>0</v>
      </c>
      <c r="S5701" t="str">
        <v>)</v>
      </c>
      <c r="T5701" t="str">
        <v>x</v>
      </c>
      <c r="U5701">
        <f>0.006165*F5701^2</f>
        <v>2.98386</v>
      </c>
      <c r="X5701" t="str">
        <v>x</v>
      </c>
      <c r="Y5701">
        <f>D5700</f>
        <v>1</v>
      </c>
      <c r="Z5701" t="str">
        <v>=</v>
      </c>
      <c r="AA5701">
        <f>IF(AA5704=0,(D5701*N5701+P5701*R5701)*U5701*Y5701,0)</f>
        <v>0</v>
      </c>
    </row>
    <row r="5702">
      <c r="A5702" t="str">
        <f>A5694</f>
        <v>Lantai 1</v>
      </c>
      <c r="B5702">
        <f>B5694</f>
        <v>92</v>
      </c>
      <c r="C5702" t="str">
        <v>Tul Atas Lapangan</v>
      </c>
      <c r="D5702">
        <f>VLOOKUP(D5694,'Detail Balok'!$C$10:$AU$110,7,FALSE)</f>
        <v>5</v>
      </c>
      <c r="E5702" t="str">
        <v>D</v>
      </c>
      <c r="F5702">
        <f>VLOOKUP(D5694,'Detail Balok'!$C$10:$AU$110,9,FALSE)</f>
        <v>22</v>
      </c>
      <c r="I5702" t="str">
        <v>(</v>
      </c>
      <c r="J5702">
        <f>+D5696/2/1000</f>
        <v>1.725</v>
      </c>
      <c r="K5702" t="str">
        <v>+</v>
      </c>
      <c r="M5702" t="str">
        <v>=</v>
      </c>
      <c r="N5702">
        <f>J5702+L5702</f>
        <v>1.725</v>
      </c>
      <c r="O5702" t="str">
        <v>+</v>
      </c>
      <c r="P5702">
        <f>MAX(D5702-D5701,D5702-D5703)</f>
        <v>0</v>
      </c>
      <c r="Q5702" t="str">
        <v>x</v>
      </c>
      <c r="R5702">
        <f>IF(P5702&gt;0,2*(1-2*$F$19-1/2)*D5697/1000,0)</f>
        <v>0</v>
      </c>
      <c r="S5702" t="str">
        <v>)</v>
      </c>
      <c r="T5702" t="str">
        <v>x</v>
      </c>
      <c r="U5702">
        <f>0.006165*F5702^2</f>
        <v>2.98386</v>
      </c>
      <c r="X5702" t="str">
        <v>x</v>
      </c>
      <c r="Y5702">
        <f>D5700</f>
        <v>1</v>
      </c>
      <c r="Z5702" t="str">
        <v>=</v>
      </c>
      <c r="AA5702">
        <f>IF(AA5704=0,(D5702*N5702+P5702*R5702)*U5702*Y5702,0)</f>
        <v>0</v>
      </c>
    </row>
    <row r="5703">
      <c r="A5703" t="str">
        <f>A5694</f>
        <v>Lantai 1</v>
      </c>
      <c r="B5703">
        <f>B5694</f>
        <v>92</v>
      </c>
      <c r="C5703" t="str">
        <v>Tul Atas Tumpuan</v>
      </c>
      <c r="D5703">
        <f>VLOOKUP(D5694,'Detail Balok'!$C$10:$AU$110,10,FALSE)</f>
        <v>5</v>
      </c>
      <c r="E5703" t="str">
        <v>D</v>
      </c>
      <c r="F5703">
        <f>VLOOKUP(D5694,'Detail Balok'!$C$10:$AU$110,12,FALSE)</f>
        <v>22</v>
      </c>
      <c r="I5703" t="str">
        <v>(</v>
      </c>
      <c r="J5703">
        <f>+D5696/4/1000</f>
        <v>0.8625</v>
      </c>
      <c r="K5703" t="str">
        <v>+</v>
      </c>
      <c r="L5703">
        <f>MAX(VLOOKUP(F5703,N$6:P$15,3,FALSE)/1000,2/3*D5698/1000)+F$16*F5703/1000</f>
        <v>0.264</v>
      </c>
      <c r="M5703" t="str">
        <v>=</v>
      </c>
      <c r="N5703">
        <f>J5703+L5703</f>
        <v>1.1265</v>
      </c>
      <c r="O5703" t="str">
        <v>+</v>
      </c>
      <c r="P5703">
        <f>D5703-D5702</f>
        <v>0</v>
      </c>
      <c r="Q5703" t="str">
        <v>x</v>
      </c>
      <c r="R5703">
        <f>IF(P5703&gt;0,$F$18*F5703/1000,0)</f>
        <v>0</v>
      </c>
      <c r="S5703" t="str">
        <v>)</v>
      </c>
      <c r="T5703" t="str">
        <v>x</v>
      </c>
      <c r="U5703">
        <f>0.006165*F5703^2</f>
        <v>2.98386</v>
      </c>
      <c r="X5703" t="str">
        <v>x</v>
      </c>
      <c r="Y5703">
        <f>D5700</f>
        <v>1</v>
      </c>
      <c r="Z5703" t="str">
        <v>=</v>
      </c>
      <c r="AA5703">
        <f>IF(AA5704=0,(D5703*N5703+P5703*R5703)*U5703*Y5703,0)</f>
        <v>0</v>
      </c>
    </row>
    <row r="5704">
      <c r="A5704" t="str">
        <f>A5694</f>
        <v>Lantai 1</v>
      </c>
      <c r="B5704">
        <f>B5694</f>
        <v>92</v>
      </c>
      <c r="D5704">
        <f>IF(AND(D5701=D5702,D5702=D5703,D5701=D5703),D5701,0)</f>
        <v>5</v>
      </c>
      <c r="E5704" t="str">
        <v>D</v>
      </c>
      <c r="F5704">
        <f>IF(AND(F5701=F5702,F5701=F5703,F5702=F5703),F5701,0)</f>
        <v>22</v>
      </c>
      <c r="L5704" t="str">
        <v>Total panjang per balok</v>
      </c>
      <c r="M5704" t="str">
        <v>=</v>
      </c>
      <c r="N5704">
        <f>IF(AND(D5701=D5702,D5701=D5703,D5702=D5703,F5701=F5702,F5701=F5703,F5702=F5703),SUM(N5701:N5703),0)</f>
        <v>3.978</v>
      </c>
      <c r="O5704" t="str">
        <v>+</v>
      </c>
      <c r="P5704">
        <f>IF(N5704&gt;12,ROUNDDOWN(N5704/12,0),0)</f>
        <v>0</v>
      </c>
      <c r="Q5704" t="str">
        <v>x</v>
      </c>
      <c r="R5704">
        <f>IF(P5704&gt;0,MAX(VLOOKUP(F5704,$D$6:$G$15,3,FALSE),600),0)/1000</f>
        <v>0</v>
      </c>
      <c r="T5704" t="str">
        <v>x</v>
      </c>
      <c r="U5704">
        <f>U5703</f>
        <v>2.98386</v>
      </c>
      <c r="V5704" t="str">
        <v>x</v>
      </c>
      <c r="W5704">
        <f>D5704</f>
        <v>5</v>
      </c>
      <c r="X5704" t="str">
        <v>x</v>
      </c>
      <c r="Y5704">
        <f>Y5703</f>
        <v>1</v>
      </c>
      <c r="Z5704" t="str">
        <v>=</v>
      </c>
      <c r="AA5704">
        <f>(N5704+P5704*R5704/1000)*U5704*W5704*Y5704</f>
        <v>59.34897540000001</v>
      </c>
    </row>
    <row r="5706">
      <c r="A5706" t="str">
        <f>A5694</f>
        <v>Lantai 1</v>
      </c>
      <c r="B5706">
        <f>B5694</f>
        <v>92</v>
      </c>
      <c r="C5706" t="str">
        <v>Tul Peminggang</v>
      </c>
      <c r="D5706">
        <f>VLOOKUP(D5694,'Detail Balok'!$C$10:$AU$110,13,FALSE)</f>
        <v>2</v>
      </c>
      <c r="E5706" t="str">
        <v>D</v>
      </c>
      <c r="F5706">
        <f>VLOOKUP(D5694,'Detail Balok'!$C$10:$AU$110,15,FALSE)</f>
        <v>13</v>
      </c>
      <c r="J5706">
        <f>+D5696/1000</f>
        <v>3.45</v>
      </c>
      <c r="K5706" t="str">
        <v>+</v>
      </c>
      <c r="L5706">
        <f>2*$F$16*F5706/1000</f>
        <v>0.312</v>
      </c>
      <c r="M5706" t="str">
        <v>=</v>
      </c>
      <c r="N5706">
        <f>J5706+L5706</f>
        <v>3.762</v>
      </c>
      <c r="O5706" t="str">
        <v>+</v>
      </c>
      <c r="P5706">
        <f>IF(N5706&gt;12,ROUNDDOWN(N5706/12,0),0)</f>
        <v>0</v>
      </c>
      <c r="Q5706" t="str">
        <v>x</v>
      </c>
      <c r="R5706">
        <f>IF(P5706&gt;0,MAX(VLOOKUP(F5706,$D$6:$G$15,3,FALSE),600),0)/1000</f>
        <v>0</v>
      </c>
      <c r="T5706" t="str">
        <v>x</v>
      </c>
      <c r="U5706">
        <f>0.006165*F5706^2</f>
        <v>1.041885</v>
      </c>
      <c r="V5706" t="str">
        <v>x</v>
      </c>
      <c r="W5706">
        <f>+D5706</f>
        <v>2</v>
      </c>
      <c r="X5706" t="str">
        <v>x</v>
      </c>
      <c r="Y5706">
        <f>D5700</f>
        <v>1</v>
      </c>
      <c r="Z5706" t="str">
        <v>=</v>
      </c>
      <c r="AA5706">
        <f>(N5706+P5706*R5706/1000)*U5706*W5706*Y5706</f>
        <v>7.83914274</v>
      </c>
    </row>
    <row r="5709">
      <c r="A5709" t="str">
        <f>A5694</f>
        <v>Lantai 1</v>
      </c>
      <c r="B5709">
        <f>B5694</f>
        <v>92</v>
      </c>
      <c r="C5709" t="str">
        <v>Tul Bawah Tumpuan</v>
      </c>
      <c r="D5709">
        <f>VLOOKUP(D5694,'Detail Balok'!$C$10:$AU$110,22,FALSE)</f>
        <v>5</v>
      </c>
      <c r="E5709" t="str">
        <v>D</v>
      </c>
      <c r="F5709">
        <f>VLOOKUP(D5694,'Detail Balok'!$C$10:$AU$110,24,FALSE)</f>
        <v>22</v>
      </c>
      <c r="I5709" t="str">
        <v>(</v>
      </c>
      <c r="J5709">
        <f>+J5701</f>
        <v>0.8625</v>
      </c>
      <c r="K5709" t="str">
        <v>+</v>
      </c>
      <c r="L5709">
        <f>MAX(VLOOKUP(F5709,N$6:P$15,3,FALSE)/1000,2/3*D5699/1000)+F$16*F5709/1000</f>
        <v>0.264</v>
      </c>
      <c r="M5709" t="str">
        <v>=</v>
      </c>
      <c r="N5709">
        <f>J5709+L5709</f>
        <v>1.1265</v>
      </c>
      <c r="O5709" t="str">
        <v>+</v>
      </c>
      <c r="P5709">
        <f>D5709-D5710</f>
        <v>-5</v>
      </c>
      <c r="Q5709" t="str">
        <v>x</v>
      </c>
      <c r="R5709">
        <f>IF(P5709&gt;0,$F$18*F5709/1000,0)</f>
        <v>0</v>
      </c>
      <c r="S5709" t="str">
        <v>)</v>
      </c>
      <c r="T5709" t="str">
        <v>x</v>
      </c>
      <c r="U5709">
        <f>0.006165*F5709^2</f>
        <v>2.98386</v>
      </c>
      <c r="X5709" t="str">
        <v>x</v>
      </c>
      <c r="Y5709">
        <f>D5700</f>
        <v>1</v>
      </c>
      <c r="Z5709" t="str">
        <v>=</v>
      </c>
      <c r="AA5709">
        <f>IF(AA5712=0,(D5709*N5709+P5709*R5709)*U5709*Y5709,0)</f>
        <v>16.80659145</v>
      </c>
    </row>
    <row r="5710">
      <c r="A5710" t="str">
        <f>A5694</f>
        <v>Lantai 1</v>
      </c>
      <c r="B5710">
        <f>B5694</f>
        <v>92</v>
      </c>
      <c r="C5710" t="str">
        <v>Tul Bawah Lapangan</v>
      </c>
      <c r="D5710">
        <f>VLOOKUP(D5694,'Detail Balok'!$C$10:$AU$110,25,FALSE)</f>
        <v>10</v>
      </c>
      <c r="E5710" t="str">
        <v>D</v>
      </c>
      <c r="F5710">
        <f>VLOOKUP(D5694,'Detail Balok'!$C$10:$AU$110,27,FALSE)</f>
        <v>22</v>
      </c>
      <c r="I5710" t="str">
        <v>(</v>
      </c>
      <c r="J5710">
        <f>+J5702</f>
        <v>1.725</v>
      </c>
      <c r="K5710" t="str">
        <v>+</v>
      </c>
      <c r="M5710" t="str">
        <v>=</v>
      </c>
      <c r="N5710">
        <f>J5710+L5710</f>
        <v>1.725</v>
      </c>
      <c r="O5710" t="str">
        <v>+</v>
      </c>
      <c r="P5710">
        <f>MAX(D5710-D5709,D5710-D5711)</f>
        <v>5</v>
      </c>
      <c r="Q5710" t="str">
        <v>x</v>
      </c>
      <c r="R5710">
        <f>IF(P5710&gt;0,2*(1-2*$F$19-1/2)*D5697/1000,0)</f>
        <v>0.6899999999999998</v>
      </c>
      <c r="S5710" t="str">
        <v>)</v>
      </c>
      <c r="T5710" t="str">
        <v>x</v>
      </c>
      <c r="U5710">
        <f>0.006165*F5710^2</f>
        <v>2.98386</v>
      </c>
      <c r="X5710" t="str">
        <v>x</v>
      </c>
      <c r="Y5710">
        <f>D5700</f>
        <v>1</v>
      </c>
      <c r="Z5710" t="str">
        <v>=</v>
      </c>
      <c r="AA5710">
        <f>IF(AA5712=0,(D5710*N5710+P5710*R5710)*U5710*Y5710,0)</f>
        <v>61.765902</v>
      </c>
    </row>
    <row r="5711">
      <c r="A5711" t="str">
        <f>A5694</f>
        <v>Lantai 1</v>
      </c>
      <c r="B5711">
        <f>B5694</f>
        <v>92</v>
      </c>
      <c r="C5711" t="str">
        <v>Tul Bawah Tumpuan</v>
      </c>
      <c r="D5711">
        <f>VLOOKUP(D5694,'Detail Balok'!$C$10:$AU$110,28,FALSE)</f>
        <v>5</v>
      </c>
      <c r="E5711" t="str">
        <v>D</v>
      </c>
      <c r="F5711">
        <f>VLOOKUP(D5694,'Detail Balok'!$C$10:$AU$110,30,FALSE)</f>
        <v>22</v>
      </c>
      <c r="I5711" t="str">
        <v>(</v>
      </c>
      <c r="J5711">
        <f>+J5703</f>
        <v>0.8625</v>
      </c>
      <c r="K5711" t="str">
        <v>+</v>
      </c>
      <c r="L5711">
        <f>MAX(VLOOKUP(F5711,N$6:P$15,3,FALSE)/1000,2/3*D5699/1000)+F$16*F5711/1000</f>
        <v>0.264</v>
      </c>
      <c r="M5711" t="str">
        <v>=</v>
      </c>
      <c r="N5711">
        <f>J5711+L5711</f>
        <v>1.1265</v>
      </c>
      <c r="O5711" t="str">
        <v>+</v>
      </c>
      <c r="P5711">
        <f>D5711-D5710</f>
        <v>-5</v>
      </c>
      <c r="Q5711" t="str">
        <v>x</v>
      </c>
      <c r="R5711">
        <f>IF(P5711&gt;0,$F$18*F5711/1000,0)</f>
        <v>0</v>
      </c>
      <c r="S5711" t="str">
        <v>)</v>
      </c>
      <c r="T5711" t="str">
        <v>x</v>
      </c>
      <c r="U5711">
        <f>0.006165*F5711^2</f>
        <v>2.98386</v>
      </c>
      <c r="X5711" t="str">
        <v>x</v>
      </c>
      <c r="Y5711">
        <f>D5700</f>
        <v>1</v>
      </c>
      <c r="Z5711" t="str">
        <v>=</v>
      </c>
      <c r="AA5711">
        <f>IF(AA5712=0,(D5711*N5711+P5711*R5711)*U5711*Y5711,0)</f>
        <v>16.80659145</v>
      </c>
    </row>
    <row r="5712">
      <c r="A5712" t="str">
        <f>A5694</f>
        <v>Lantai 1</v>
      </c>
      <c r="B5712">
        <f>B5694</f>
        <v>92</v>
      </c>
      <c r="D5712">
        <f>IF(AND(D5709=D5710,D5710=D5711,D5709=D5711),D5709,0)</f>
        <v>0</v>
      </c>
      <c r="E5712" t="str">
        <v>D</v>
      </c>
      <c r="F5712">
        <f>IF(AND(F5709=F5710,F5709=F5711,F5710=F5711),F5709,0)</f>
        <v>22</v>
      </c>
      <c r="L5712" t="str">
        <v>Total panjang per balok</v>
      </c>
      <c r="M5712" t="str">
        <v>=</v>
      </c>
      <c r="N5712">
        <f>IF(AND(D5709=D5710,D5709=D5711,D5710=D5711,F5709=F5710,F5709=F5711,F5710=F5711),SUM(N5709:N5711),0)</f>
        <v>0</v>
      </c>
      <c r="O5712" t="str">
        <v>+</v>
      </c>
      <c r="P5712">
        <f>IF(N5712&gt;12,ROUNDDOWN(N5712/12,0),0)</f>
        <v>0</v>
      </c>
      <c r="Q5712" t="str">
        <v>x</v>
      </c>
      <c r="R5712">
        <f>IF(P5712&gt;0,MAX(VLOOKUP(F5712,$D$6:$G$15,3,FALSE),600),0)/1000</f>
        <v>0</v>
      </c>
      <c r="T5712" t="str">
        <v>x</v>
      </c>
      <c r="U5712">
        <f>U5711</f>
        <v>2.98386</v>
      </c>
      <c r="V5712" t="str">
        <v>x</v>
      </c>
      <c r="W5712">
        <f>D5712</f>
        <v>0</v>
      </c>
      <c r="X5712" t="str">
        <v>x</v>
      </c>
      <c r="Y5712">
        <f>Y5711</f>
        <v>1</v>
      </c>
      <c r="Z5712" t="str">
        <v>=</v>
      </c>
      <c r="AA5712">
        <f>(N5712+P5712*R5712/1000)*U5712*W5712*Y5712</f>
        <v>0</v>
      </c>
    </row>
    <row r="5714">
      <c r="A5714" t="str">
        <f>A5694</f>
        <v>Lantai 1</v>
      </c>
      <c r="B5714">
        <f>B5694</f>
        <v>92</v>
      </c>
      <c r="C5714" t="str">
        <v>Sengkang Tumpuan</v>
      </c>
      <c r="D5714">
        <f>VLOOKUP(D5694,'Detail Balok'!$C$10:$AU$110,31,FALSE)</f>
        <v>3</v>
      </c>
      <c r="E5714" t="str">
        <v>D</v>
      </c>
      <c r="F5714">
        <f>VLOOKUP(D5694,'Detail Balok'!$C$10:$AU$110,33,FALSE)</f>
        <v>13</v>
      </c>
      <c r="G5714" t="str">
        <v>-</v>
      </c>
      <c r="H5714">
        <f>VLOOKUP(D5694,'Detail Balok'!$C$10:$AU$110,35,FALSE)</f>
        <v>75</v>
      </c>
      <c r="J5714">
        <f>(IF(D5714=0,(2*(D5695+G5695))-(F$5*8),IF(D5714=3,(2*(D5695+G5695))-(F$5*8)+(G5695-2*F$5),IF(D5714=4,(2*(D5695+G5695))-(F$5*8)+2*(G5695-2*F$5)))))/1000</f>
        <v>2.7</v>
      </c>
      <c r="K5714" t="str">
        <v>+</v>
      </c>
      <c r="L5714">
        <f>IF(D5714=0,2*MAX(6*F5714,75),(D5714-1)*2*MAX(6*F5714,75))/1000</f>
        <v>0.312</v>
      </c>
      <c r="M5714" t="str">
        <v>=</v>
      </c>
      <c r="N5714">
        <f>J5714+L5714</f>
        <v>3.012</v>
      </c>
      <c r="T5714" t="str">
        <v>x</v>
      </c>
      <c r="U5714">
        <f>0.006165*F5714^2</f>
        <v>1.041885</v>
      </c>
      <c r="V5714" t="str">
        <v>x</v>
      </c>
      <c r="W5714">
        <f>IF(D5697&gt;4*G5695,ROUND(MAX(D5697/4,2*G5695)/H5714,0)+1,ROUND(D5697/H5714,0)+1)</f>
        <v>20</v>
      </c>
      <c r="X5714" t="str">
        <v>x</v>
      </c>
      <c r="Y5714">
        <f>D5700</f>
        <v>1</v>
      </c>
      <c r="Z5714" t="str">
        <v>=</v>
      </c>
      <c r="AA5714">
        <f>N5714*U5714*W5714*Y5714</f>
        <v>62.763152399999996</v>
      </c>
    </row>
    <row r="5715">
      <c r="A5715" t="str">
        <f>A5694</f>
        <v>Lantai 1</v>
      </c>
      <c r="B5715">
        <f>B5694</f>
        <v>92</v>
      </c>
      <c r="C5715" t="str">
        <v>Sengkang Lapangan</v>
      </c>
      <c r="D5715">
        <f>VLOOKUP(D5694,'Detail Balok'!$C$10:$AU$110,36,FALSE)</f>
        <v>0</v>
      </c>
      <c r="E5715" t="str">
        <v>D</v>
      </c>
      <c r="F5715">
        <f>VLOOKUP(D5694,'Detail Balok'!$C$10:$AU$110,38,FALSE)</f>
        <v>13</v>
      </c>
      <c r="G5715" t="str">
        <v>-</v>
      </c>
      <c r="H5715">
        <f>VLOOKUP(D5694,'Detail Balok'!$C$10:$AU$110,40,FALSE)</f>
        <v>150</v>
      </c>
      <c r="J5715">
        <f>(IF(D5715=0,(2*(D5695+G5695))-(F$5*8),IF(D5715=3,(2*(D5695+G5695))-(F$5*8)+(G5695-2*F$5),IF(D5715=4,(2*(D5695+G5695))-(F$5*8)+2*(G5695-2*F$5)))))/1000</f>
        <v>2.08</v>
      </c>
      <c r="K5715" t="str">
        <v>+</v>
      </c>
      <c r="L5715">
        <f>IF(D5715=0,2*MAX(6*F5715,75),(D5715-1)*2*MAX(6*F5715,75))/1000</f>
        <v>0.156</v>
      </c>
      <c r="M5715" t="str">
        <v>=</v>
      </c>
      <c r="N5715">
        <f>J5715+L5715</f>
        <v>2.236</v>
      </c>
      <c r="T5715" t="str">
        <v>x</v>
      </c>
      <c r="U5715">
        <f>0.006165*F5715^2</f>
        <v>1.041885</v>
      </c>
      <c r="V5715" t="str">
        <v>x</v>
      </c>
      <c r="W5715">
        <f>IF(D5697-MAX(D5697/4,2*G5695)*2&gt;0,ROUND((D5697-MAX(D5697/4,2*G5695)*2)/H5715,0),0)</f>
        <v>4</v>
      </c>
      <c r="X5715" t="str">
        <v>x</v>
      </c>
      <c r="Y5715">
        <f>D5700</f>
        <v>1</v>
      </c>
      <c r="Z5715" t="str">
        <v>=</v>
      </c>
      <c r="AA5715">
        <f>N5715*U5715*W5715*Y5715</f>
        <v>9.31861944</v>
      </c>
    </row>
    <row r="5716">
      <c r="A5716" t="str">
        <f>A5694</f>
        <v>Lantai 1</v>
      </c>
      <c r="B5716">
        <f>B5694</f>
        <v>92</v>
      </c>
      <c r="C5716" t="str">
        <v>Sengkang Tumpuan</v>
      </c>
      <c r="D5716">
        <f>VLOOKUP(D5694,'Detail Balok'!$C$10:$AU$110,41,FALSE)</f>
        <v>3</v>
      </c>
      <c r="E5716" t="str">
        <v>D</v>
      </c>
      <c r="F5716">
        <f>VLOOKUP(D5694,'Detail Balok'!$C$10:$AU$110,43,FALSE)</f>
        <v>13</v>
      </c>
      <c r="G5716" t="str">
        <v>-</v>
      </c>
      <c r="H5716">
        <f>VLOOKUP(D5694,'Detail Balok'!$C$10:$AU$110,45,FALSE)</f>
        <v>75</v>
      </c>
      <c r="J5716">
        <f>(IF(D5716=0,(2*(D5695+G5695))-(F$5*8),IF(D5716=3,(2*(D5695+G5695))-(F$5*8)+(G5695-2*F$5),IF(D5716=4,(2*(D5695+G5695))-(F$5*8)+2*(G5695-2*F$5)))))/1000</f>
        <v>2.7</v>
      </c>
      <c r="K5716" t="str">
        <v>+</v>
      </c>
      <c r="L5716">
        <f>IF(D5716=0,2*MAX(6*F5716,75),(D5716-1)*2*MAX(6*F5716,75))/1000</f>
        <v>0.312</v>
      </c>
      <c r="M5716" t="str">
        <v>=</v>
      </c>
      <c r="N5716">
        <f>J5716+L5716</f>
        <v>3.012</v>
      </c>
      <c r="T5716" t="str">
        <v>x</v>
      </c>
      <c r="U5716">
        <f>0.006165*F5716^2</f>
        <v>1.041885</v>
      </c>
      <c r="V5716" t="str">
        <v>x</v>
      </c>
      <c r="W5716">
        <f>IF(D5697&gt;4*G5695,ROUND(MAX(D5697/4,2*G5695)/H5716,0)+1,0)</f>
        <v>20</v>
      </c>
      <c r="X5716" t="str">
        <v>x</v>
      </c>
      <c r="Y5716">
        <f>D5700</f>
        <v>1</v>
      </c>
      <c r="Z5716" t="str">
        <v>=</v>
      </c>
      <c r="AA5716">
        <f>N5716*U5716*W5716*Y5716</f>
        <v>62.763152399999996</v>
      </c>
    </row>
    <row r="5718">
      <c r="A5718" t="str">
        <f>A5694</f>
        <v>Lantai 1</v>
      </c>
      <c r="B5718">
        <f>B5694</f>
        <v>92</v>
      </c>
      <c r="C5718" t="str">
        <v>Kait Horizontal Tump.</v>
      </c>
      <c r="D5718">
        <f>VLOOKUP(D5694,'Detail Balok'!$C$10:$BJ$110,46,FALSE)</f>
        <v>0</v>
      </c>
      <c r="E5718" t="str">
        <v>D</v>
      </c>
      <c r="F5718">
        <f>VLOOKUP(D5694,'Detail Balok'!$C$10:$BJ$110,48,FALSE)</f>
        <v>0</v>
      </c>
      <c r="G5718" t="str">
        <v>-</v>
      </c>
      <c r="H5718">
        <f>VLOOKUP(D5694,'Detail Balok'!$C$10:$BJ$110,50,FALSE)</f>
        <v>100</v>
      </c>
      <c r="J5718">
        <f>(D5695-2*F$5)/1000</f>
        <v>0.42</v>
      </c>
      <c r="K5718" t="str">
        <v>+</v>
      </c>
      <c r="L5718">
        <f>IF(D5718=0,2*MAX(6*F5718,75),(D5718-1)*2*MAX(6*F5718,75))/1000</f>
        <v>0.15</v>
      </c>
      <c r="M5718" t="str">
        <v>=</v>
      </c>
      <c r="N5718">
        <f>J5718+L5718</f>
        <v>0.57</v>
      </c>
      <c r="T5718" t="str">
        <v>x</v>
      </c>
      <c r="U5718">
        <f>0.006165*F5718^2</f>
        <v>0</v>
      </c>
      <c r="V5718" t="str">
        <v>x</v>
      </c>
      <c r="W5718">
        <f>W5714</f>
        <v>20</v>
      </c>
      <c r="X5718" t="str">
        <v>x</v>
      </c>
      <c r="Y5718">
        <f>D5704</f>
        <v>5</v>
      </c>
      <c r="Z5718" t="str">
        <v>=</v>
      </c>
      <c r="AA5718">
        <f>N5718*U5718*W5718*Y5718</f>
        <v>0</v>
      </c>
    </row>
    <row r="5719">
      <c r="A5719" t="str">
        <f>A5694</f>
        <v>Lantai 1</v>
      </c>
      <c r="B5719">
        <f>B5694</f>
        <v>92</v>
      </c>
      <c r="C5719" t="str">
        <v>Kait Horizontal Lap.</v>
      </c>
      <c r="D5719">
        <f>VLOOKUP(D5694,'Detail Balok'!$C$10:$BJ$110,51,FALSE)</f>
        <v>0</v>
      </c>
      <c r="E5719" t="str">
        <v>D</v>
      </c>
      <c r="F5719">
        <f>VLOOKUP(D5694,'Detail Balok'!$C$10:$BJ$110,53,FALSE)</f>
        <v>0</v>
      </c>
      <c r="G5719" t="str">
        <v>-</v>
      </c>
      <c r="H5719">
        <f>VLOOKUP(D5694,'Detail Balok'!$C$10:$BJ$110,55,FALSE)</f>
        <v>100</v>
      </c>
      <c r="J5719">
        <f>(D5695-2*F$5)/1000</f>
        <v>0.42</v>
      </c>
      <c r="K5719" t="str">
        <v>+</v>
      </c>
      <c r="L5719">
        <f>IF(D5719=0,2*MAX(6*F5719,75),(D5719-1)*2*MAX(6*F5719,75))/1000</f>
        <v>0.15</v>
      </c>
      <c r="M5719" t="str">
        <v>=</v>
      </c>
      <c r="N5719">
        <f>J5719+L5719</f>
        <v>0.57</v>
      </c>
      <c r="T5719" t="str">
        <v>x</v>
      </c>
      <c r="U5719">
        <f>0.006165*F5719^2</f>
        <v>0</v>
      </c>
      <c r="V5719" t="str">
        <v>x</v>
      </c>
      <c r="W5719">
        <f>W5715</f>
        <v>4</v>
      </c>
      <c r="X5719" t="str">
        <v>x</v>
      </c>
      <c r="Y5719">
        <f>D5704</f>
        <v>5</v>
      </c>
      <c r="Z5719" t="str">
        <v>=</v>
      </c>
      <c r="AA5719">
        <f>N5719*U5719*W5719*Y5719</f>
        <v>0</v>
      </c>
    </row>
    <row r="5720">
      <c r="A5720" t="str">
        <f>A5694</f>
        <v>Lantai 1</v>
      </c>
      <c r="B5720">
        <f>B5694</f>
        <v>92</v>
      </c>
      <c r="C5720" t="str">
        <v>Kait Horizontal Tump.</v>
      </c>
      <c r="D5720">
        <f>VLOOKUP(D5694,'Detail Balok'!$C$10:$BJ$110,56,FALSE)</f>
        <v>0</v>
      </c>
      <c r="E5720" t="str">
        <v>D</v>
      </c>
      <c r="F5720">
        <f>VLOOKUP(D5694,'Detail Balok'!$C$10:$BJ$110,58,FALSE)</f>
        <v>0</v>
      </c>
      <c r="G5720" t="str">
        <v>-</v>
      </c>
      <c r="H5720">
        <f>VLOOKUP(D5694,'Detail Balok'!$C$10:$BJ$110,60,FALSE)</f>
        <v>100</v>
      </c>
      <c r="J5720">
        <f>(D5695-2*F$5)/1000</f>
        <v>0.42</v>
      </c>
      <c r="K5720" t="str">
        <v>+</v>
      </c>
      <c r="L5720">
        <f>IF(D5720=0,2*MAX(6*F5720,75),(D5720-1)*2*MAX(6*F5720,75))/1000</f>
        <v>0.15</v>
      </c>
      <c r="M5720" t="str">
        <v>=</v>
      </c>
      <c r="N5720">
        <f>J5720+L5720</f>
        <v>0.57</v>
      </c>
      <c r="T5720" t="str">
        <v>x</v>
      </c>
      <c r="U5720">
        <f>0.006165*F5720^2</f>
        <v>0</v>
      </c>
      <c r="V5720" t="str">
        <v>x</v>
      </c>
      <c r="W5720">
        <f>W5716</f>
        <v>20</v>
      </c>
      <c r="X5720" t="str">
        <v>x</v>
      </c>
      <c r="Y5720">
        <f>D5704</f>
        <v>5</v>
      </c>
      <c r="Z5720" t="str">
        <v>=</v>
      </c>
      <c r="AA5720">
        <f>N5720*U5720*W5720*Y5720</f>
        <v>0</v>
      </c>
    </row>
    <row r="5724">
      <c r="A5724" t="str">
        <f>A5694</f>
        <v>Lantai 1</v>
      </c>
      <c r="B5724">
        <f>B5694+1</f>
        <v>93</v>
      </c>
      <c r="C5724" t="str">
        <f>CONCATENATE(A5724," no. ",B5724)</f>
        <v>Lantai 1 no. 93</v>
      </c>
      <c r="D5724" t="str">
        <f>VLOOKUP(C5724,'Data Panjang Balok'!$C$9:$N$424,2,FALSE)</f>
        <v>B57-1</v>
      </c>
    </row>
    <row r="5725">
      <c r="C5725" t="str">
        <v>Dimensi</v>
      </c>
      <c r="D5725">
        <f>VLOOKUP(D5724,'Detail Balok'!$C$10:$AU$110,2,FALSE)</f>
        <v>500</v>
      </c>
      <c r="F5725" t="str">
        <v>x</v>
      </c>
      <c r="G5725">
        <f>VLOOKUP(D5724,'Detail Balok'!$C$10:$AU$110,3,FALSE)</f>
        <v>700</v>
      </c>
    </row>
    <row r="5726">
      <c r="C5726" t="str">
        <v>Panjang as ke as</v>
      </c>
      <c r="D5726">
        <f>VLOOKUP(C5724,'Data Panjang Balok'!$C$9:$N$424,4,FALSE)</f>
        <v>4715</v>
      </c>
    </row>
    <row r="5727">
      <c r="C5727" t="str">
        <v>Panjang netto</v>
      </c>
      <c r="D5727">
        <f>VLOOKUP(C5724,'Data Panjang Balok'!$C$9:$N$424,7,FALSE)</f>
        <v>4715</v>
      </c>
    </row>
    <row r="5728">
      <c r="C5728" t="str">
        <v>Kolom / balok kiri</v>
      </c>
      <c r="D5728">
        <f>VLOOKUP(C5724,'Data Panjang Balok'!$C$9:$N$424,9,FALSE)</f>
        <v>0</v>
      </c>
    </row>
    <row r="5729">
      <c r="C5729" t="str">
        <v>Kolom / balok kanan</v>
      </c>
      <c r="D5729">
        <f>VLOOKUP(C5724,'Data Panjang Balok'!$C$9:$N$424,10,FALSE)</f>
        <v>0</v>
      </c>
    </row>
    <row r="5730">
      <c r="C5730" t="str">
        <v>Jumlah</v>
      </c>
      <c r="D5730">
        <f>VLOOKUP(C5724,'Data Panjang Balok'!$C$9:$N$424,3,FALSE)</f>
        <v>1</v>
      </c>
    </row>
    <row r="5731">
      <c r="A5731" t="str">
        <f>A5724</f>
        <v>Lantai 1</v>
      </c>
      <c r="B5731">
        <f>B5724</f>
        <v>93</v>
      </c>
      <c r="C5731" t="str">
        <v>Tul Atas Tumpuan</v>
      </c>
      <c r="D5731">
        <f>VLOOKUP(D5724,'Detail Balok'!$C$10:$AU$110,4,FALSE)</f>
        <v>5</v>
      </c>
      <c r="E5731" t="str">
        <v>D</v>
      </c>
      <c r="F5731">
        <f>VLOOKUP(D5724,'Detail Balok'!$C$10:$AU$110,6,FALSE)</f>
        <v>22</v>
      </c>
      <c r="I5731" t="str">
        <v>(</v>
      </c>
      <c r="J5731">
        <f>+D5726/4/1000</f>
        <v>1.17875</v>
      </c>
      <c r="K5731" t="str">
        <v>+</v>
      </c>
      <c r="L5731">
        <f>MAX(VLOOKUP(F5731,N$6:P$15,3,FALSE)/1000,2/3*D5728/1000)+F$16*F5731/1000</f>
        <v>0.264</v>
      </c>
      <c r="M5731" t="str">
        <v>=</v>
      </c>
      <c r="N5731">
        <f>J5731+L5731</f>
        <v>1.44275</v>
      </c>
      <c r="O5731" t="str">
        <v>+</v>
      </c>
      <c r="P5731">
        <f>D5731-D5732</f>
        <v>0</v>
      </c>
      <c r="Q5731" t="str">
        <v>x</v>
      </c>
      <c r="R5731">
        <f>IF(P5731&gt;0,$F$18*F5731/1000,0)</f>
        <v>0</v>
      </c>
      <c r="S5731" t="str">
        <v>)</v>
      </c>
      <c r="T5731" t="str">
        <v>x</v>
      </c>
      <c r="U5731">
        <f>0.006165*F5731^2</f>
        <v>2.98386</v>
      </c>
      <c r="X5731" t="str">
        <v>x</v>
      </c>
      <c r="Y5731">
        <f>D5730</f>
        <v>1</v>
      </c>
      <c r="Z5731" t="str">
        <v>=</v>
      </c>
      <c r="AA5731">
        <f>IF(AA5734=0,(D5731*N5731+P5731*R5731)*U5731*Y5731,0)</f>
        <v>0</v>
      </c>
    </row>
    <row r="5732">
      <c r="A5732" t="str">
        <f>A5724</f>
        <v>Lantai 1</v>
      </c>
      <c r="B5732">
        <f>B5724</f>
        <v>93</v>
      </c>
      <c r="C5732" t="str">
        <v>Tul Atas Lapangan</v>
      </c>
      <c r="D5732">
        <f>VLOOKUP(D5724,'Detail Balok'!$C$10:$AU$110,7,FALSE)</f>
        <v>5</v>
      </c>
      <c r="E5732" t="str">
        <v>D</v>
      </c>
      <c r="F5732">
        <f>VLOOKUP(D5724,'Detail Balok'!$C$10:$AU$110,9,FALSE)</f>
        <v>22</v>
      </c>
      <c r="I5732" t="str">
        <v>(</v>
      </c>
      <c r="J5732">
        <f>+D5726/2/1000</f>
        <v>2.3575</v>
      </c>
      <c r="K5732" t="str">
        <v>+</v>
      </c>
      <c r="M5732" t="str">
        <v>=</v>
      </c>
      <c r="N5732">
        <f>J5732+L5732</f>
        <v>2.3575</v>
      </c>
      <c r="O5732" t="str">
        <v>+</v>
      </c>
      <c r="P5732">
        <f>MAX(D5732-D5731,D5732-D5733)</f>
        <v>0</v>
      </c>
      <c r="Q5732" t="str">
        <v>x</v>
      </c>
      <c r="R5732">
        <f>IF(P5732&gt;0,2*(1-2*$F$19-1/2)*D5727/1000,0)</f>
        <v>0</v>
      </c>
      <c r="S5732" t="str">
        <v>)</v>
      </c>
      <c r="T5732" t="str">
        <v>x</v>
      </c>
      <c r="U5732">
        <f>0.006165*F5732^2</f>
        <v>2.98386</v>
      </c>
      <c r="X5732" t="str">
        <v>x</v>
      </c>
      <c r="Y5732">
        <f>D5730</f>
        <v>1</v>
      </c>
      <c r="Z5732" t="str">
        <v>=</v>
      </c>
      <c r="AA5732">
        <f>IF(AA5734=0,(D5732*N5732+P5732*R5732)*U5732*Y5732,0)</f>
        <v>0</v>
      </c>
    </row>
    <row r="5733">
      <c r="A5733" t="str">
        <f>A5724</f>
        <v>Lantai 1</v>
      </c>
      <c r="B5733">
        <f>B5724</f>
        <v>93</v>
      </c>
      <c r="C5733" t="str">
        <v>Tul Atas Tumpuan</v>
      </c>
      <c r="D5733">
        <f>VLOOKUP(D5724,'Detail Balok'!$C$10:$AU$110,10,FALSE)</f>
        <v>5</v>
      </c>
      <c r="E5733" t="str">
        <v>D</v>
      </c>
      <c r="F5733">
        <f>VLOOKUP(D5724,'Detail Balok'!$C$10:$AU$110,12,FALSE)</f>
        <v>22</v>
      </c>
      <c r="I5733" t="str">
        <v>(</v>
      </c>
      <c r="J5733">
        <f>+D5726/4/1000</f>
        <v>1.17875</v>
      </c>
      <c r="K5733" t="str">
        <v>+</v>
      </c>
      <c r="L5733">
        <f>MAX(VLOOKUP(F5733,N$6:P$15,3,FALSE)/1000,2/3*D5728/1000)+F$16*F5733/1000</f>
        <v>0.264</v>
      </c>
      <c r="M5733" t="str">
        <v>=</v>
      </c>
      <c r="N5733">
        <f>J5733+L5733</f>
        <v>1.44275</v>
      </c>
      <c r="O5733" t="str">
        <v>+</v>
      </c>
      <c r="P5733">
        <f>D5733-D5732</f>
        <v>0</v>
      </c>
      <c r="Q5733" t="str">
        <v>x</v>
      </c>
      <c r="R5733">
        <f>IF(P5733&gt;0,$F$18*F5733/1000,0)</f>
        <v>0</v>
      </c>
      <c r="S5733" t="str">
        <v>)</v>
      </c>
      <c r="T5733" t="str">
        <v>x</v>
      </c>
      <c r="U5733">
        <f>0.006165*F5733^2</f>
        <v>2.98386</v>
      </c>
      <c r="X5733" t="str">
        <v>x</v>
      </c>
      <c r="Y5733">
        <f>D5730</f>
        <v>1</v>
      </c>
      <c r="Z5733" t="str">
        <v>=</v>
      </c>
      <c r="AA5733">
        <f>IF(AA5734=0,(D5733*N5733+P5733*R5733)*U5733*Y5733,0)</f>
        <v>0</v>
      </c>
    </row>
    <row r="5734">
      <c r="A5734" t="str">
        <f>A5724</f>
        <v>Lantai 1</v>
      </c>
      <c r="B5734">
        <f>B5724</f>
        <v>93</v>
      </c>
      <c r="D5734">
        <f>IF(AND(D5731=D5732,D5732=D5733,D5731=D5733),D5731,0)</f>
        <v>5</v>
      </c>
      <c r="E5734" t="str">
        <v>D</v>
      </c>
      <c r="F5734">
        <f>IF(AND(F5731=F5732,F5731=F5733,F5732=F5733),F5731,0)</f>
        <v>22</v>
      </c>
      <c r="L5734" t="str">
        <v>Total panjang per balok</v>
      </c>
      <c r="M5734" t="str">
        <v>=</v>
      </c>
      <c r="N5734">
        <f>IF(AND(D5731=D5732,D5731=D5733,D5732=D5733,F5731=F5732,F5731=F5733,F5732=F5733),SUM(N5731:N5733),0)</f>
        <v>5.243</v>
      </c>
      <c r="O5734" t="str">
        <v>+</v>
      </c>
      <c r="P5734">
        <f>IF(N5734&gt;12,ROUNDDOWN(N5734/12,0),0)</f>
        <v>0</v>
      </c>
      <c r="Q5734" t="str">
        <v>x</v>
      </c>
      <c r="R5734">
        <f>IF(P5734&gt;0,MAX(VLOOKUP(F5734,$D$6:$G$15,3,FALSE),600),0)/1000</f>
        <v>0</v>
      </c>
      <c r="T5734" t="str">
        <v>x</v>
      </c>
      <c r="U5734">
        <f>U5733</f>
        <v>2.98386</v>
      </c>
      <c r="V5734" t="str">
        <v>x</v>
      </c>
      <c r="W5734">
        <f>D5734</f>
        <v>5</v>
      </c>
      <c r="X5734" t="str">
        <v>x</v>
      </c>
      <c r="Y5734">
        <f>Y5733</f>
        <v>1</v>
      </c>
      <c r="Z5734" t="str">
        <v>=</v>
      </c>
      <c r="AA5734">
        <f>(N5734+P5734*R5734/1000)*U5734*W5734*Y5734</f>
        <v>78.22188990000001</v>
      </c>
    </row>
    <row r="5736">
      <c r="A5736" t="str">
        <f>A5724</f>
        <v>Lantai 1</v>
      </c>
      <c r="B5736">
        <f>B5724</f>
        <v>93</v>
      </c>
      <c r="C5736" t="str">
        <v>Tul Peminggang</v>
      </c>
      <c r="D5736">
        <f>VLOOKUP(D5724,'Detail Balok'!$C$10:$AU$110,13,FALSE)</f>
        <v>2</v>
      </c>
      <c r="E5736" t="str">
        <v>D</v>
      </c>
      <c r="F5736">
        <f>VLOOKUP(D5724,'Detail Balok'!$C$10:$AU$110,15,FALSE)</f>
        <v>13</v>
      </c>
      <c r="J5736">
        <f>+D5726/1000</f>
        <v>4.715</v>
      </c>
      <c r="K5736" t="str">
        <v>+</v>
      </c>
      <c r="L5736">
        <f>2*$F$16*F5736/1000</f>
        <v>0.312</v>
      </c>
      <c r="M5736" t="str">
        <v>=</v>
      </c>
      <c r="N5736">
        <f>J5736+L5736</f>
        <v>5.027</v>
      </c>
      <c r="O5736" t="str">
        <v>+</v>
      </c>
      <c r="P5736">
        <f>IF(N5736&gt;12,ROUNDDOWN(N5736/12,0),0)</f>
        <v>0</v>
      </c>
      <c r="Q5736" t="str">
        <v>x</v>
      </c>
      <c r="R5736">
        <f>IF(P5736&gt;0,MAX(VLOOKUP(F5736,$D$6:$G$15,3,FALSE),600),0)/1000</f>
        <v>0</v>
      </c>
      <c r="T5736" t="str">
        <v>x</v>
      </c>
      <c r="U5736">
        <f>0.006165*F5736^2</f>
        <v>1.041885</v>
      </c>
      <c r="V5736" t="str">
        <v>x</v>
      </c>
      <c r="W5736">
        <f>+D5736</f>
        <v>2</v>
      </c>
      <c r="X5736" t="str">
        <v>x</v>
      </c>
      <c r="Y5736">
        <f>D5730</f>
        <v>1</v>
      </c>
      <c r="Z5736" t="str">
        <v>=</v>
      </c>
      <c r="AA5736">
        <f>(N5736+P5736*R5736/1000)*U5736*W5736*Y5736</f>
        <v>10.47511179</v>
      </c>
    </row>
    <row r="5739">
      <c r="A5739" t="str">
        <f>A5724</f>
        <v>Lantai 1</v>
      </c>
      <c r="B5739">
        <f>B5724</f>
        <v>93</v>
      </c>
      <c r="C5739" t="str">
        <v>Tul Bawah Tumpuan</v>
      </c>
      <c r="D5739">
        <f>VLOOKUP(D5724,'Detail Balok'!$C$10:$AU$110,22,FALSE)</f>
        <v>5</v>
      </c>
      <c r="E5739" t="str">
        <v>D</v>
      </c>
      <c r="F5739">
        <f>VLOOKUP(D5724,'Detail Balok'!$C$10:$AU$110,24,FALSE)</f>
        <v>22</v>
      </c>
      <c r="I5739" t="str">
        <v>(</v>
      </c>
      <c r="J5739">
        <f>+J5731</f>
        <v>1.17875</v>
      </c>
      <c r="K5739" t="str">
        <v>+</v>
      </c>
      <c r="L5739">
        <f>MAX(VLOOKUP(F5739,N$6:P$15,3,FALSE)/1000,2/3*D5729/1000)+F$16*F5739/1000</f>
        <v>0.264</v>
      </c>
      <c r="M5739" t="str">
        <v>=</v>
      </c>
      <c r="N5739">
        <f>J5739+L5739</f>
        <v>1.44275</v>
      </c>
      <c r="O5739" t="str">
        <v>+</v>
      </c>
      <c r="P5739">
        <f>D5739-D5740</f>
        <v>-5</v>
      </c>
      <c r="Q5739" t="str">
        <v>x</v>
      </c>
      <c r="R5739">
        <f>IF(P5739&gt;0,$F$18*F5739/1000,0)</f>
        <v>0</v>
      </c>
      <c r="S5739" t="str">
        <v>)</v>
      </c>
      <c r="T5739" t="str">
        <v>x</v>
      </c>
      <c r="U5739">
        <f>0.006165*F5739^2</f>
        <v>2.98386</v>
      </c>
      <c r="X5739" t="str">
        <v>x</v>
      </c>
      <c r="Y5739">
        <f>D5730</f>
        <v>1</v>
      </c>
      <c r="Z5739" t="str">
        <v>=</v>
      </c>
      <c r="AA5739">
        <f>IF(AA5742=0,(D5739*N5739+P5739*R5739)*U5739*Y5739,0)</f>
        <v>21.524820075</v>
      </c>
    </row>
    <row r="5740">
      <c r="A5740" t="str">
        <f>A5724</f>
        <v>Lantai 1</v>
      </c>
      <c r="B5740">
        <f>B5724</f>
        <v>93</v>
      </c>
      <c r="C5740" t="str">
        <v>Tul Bawah Lapangan</v>
      </c>
      <c r="D5740">
        <f>VLOOKUP(D5724,'Detail Balok'!$C$10:$AU$110,25,FALSE)</f>
        <v>10</v>
      </c>
      <c r="E5740" t="str">
        <v>D</v>
      </c>
      <c r="F5740">
        <f>VLOOKUP(D5724,'Detail Balok'!$C$10:$AU$110,27,FALSE)</f>
        <v>22</v>
      </c>
      <c r="I5740" t="str">
        <v>(</v>
      </c>
      <c r="J5740">
        <f>+J5732</f>
        <v>2.3575</v>
      </c>
      <c r="K5740" t="str">
        <v>+</v>
      </c>
      <c r="M5740" t="str">
        <v>=</v>
      </c>
      <c r="N5740">
        <f>J5740+L5740</f>
        <v>2.3575</v>
      </c>
      <c r="O5740" t="str">
        <v>+</v>
      </c>
      <c r="P5740">
        <f>MAX(D5740-D5739,D5740-D5741)</f>
        <v>5</v>
      </c>
      <c r="Q5740" t="str">
        <v>x</v>
      </c>
      <c r="R5740">
        <f>IF(P5740&gt;0,2*(1-2*$F$19-1/2)*D5727/1000,0)</f>
        <v>0.9429999999999997</v>
      </c>
      <c r="S5740" t="str">
        <v>)</v>
      </c>
      <c r="T5740" t="str">
        <v>x</v>
      </c>
      <c r="U5740">
        <f>0.006165*F5740^2</f>
        <v>2.98386</v>
      </c>
      <c r="X5740" t="str">
        <v>x</v>
      </c>
      <c r="Y5740">
        <f>D5730</f>
        <v>1</v>
      </c>
      <c r="Z5740" t="str">
        <v>=</v>
      </c>
      <c r="AA5740">
        <f>IF(AA5742=0,(D5740*N5740+P5740*R5740)*U5740*Y5740,0)</f>
        <v>84.4133994</v>
      </c>
    </row>
    <row r="5741">
      <c r="A5741" t="str">
        <f>A5724</f>
        <v>Lantai 1</v>
      </c>
      <c r="B5741">
        <f>B5724</f>
        <v>93</v>
      </c>
      <c r="C5741" t="str">
        <v>Tul Bawah Tumpuan</v>
      </c>
      <c r="D5741">
        <f>VLOOKUP(D5724,'Detail Balok'!$C$10:$AU$110,28,FALSE)</f>
        <v>5</v>
      </c>
      <c r="E5741" t="str">
        <v>D</v>
      </c>
      <c r="F5741">
        <f>VLOOKUP(D5724,'Detail Balok'!$C$10:$AU$110,30,FALSE)</f>
        <v>22</v>
      </c>
      <c r="I5741" t="str">
        <v>(</v>
      </c>
      <c r="J5741">
        <f>+J5733</f>
        <v>1.17875</v>
      </c>
      <c r="K5741" t="str">
        <v>+</v>
      </c>
      <c r="L5741">
        <f>MAX(VLOOKUP(F5741,N$6:P$15,3,FALSE)/1000,2/3*D5729/1000)+F$16*F5741/1000</f>
        <v>0.264</v>
      </c>
      <c r="M5741" t="str">
        <v>=</v>
      </c>
      <c r="N5741">
        <f>J5741+L5741</f>
        <v>1.44275</v>
      </c>
      <c r="O5741" t="str">
        <v>+</v>
      </c>
      <c r="P5741">
        <f>D5741-D5740</f>
        <v>-5</v>
      </c>
      <c r="Q5741" t="str">
        <v>x</v>
      </c>
      <c r="R5741">
        <f>IF(P5741&gt;0,$F$18*F5741/1000,0)</f>
        <v>0</v>
      </c>
      <c r="S5741" t="str">
        <v>)</v>
      </c>
      <c r="T5741" t="str">
        <v>x</v>
      </c>
      <c r="U5741">
        <f>0.006165*F5741^2</f>
        <v>2.98386</v>
      </c>
      <c r="X5741" t="str">
        <v>x</v>
      </c>
      <c r="Y5741">
        <f>D5730</f>
        <v>1</v>
      </c>
      <c r="Z5741" t="str">
        <v>=</v>
      </c>
      <c r="AA5741">
        <f>IF(AA5742=0,(D5741*N5741+P5741*R5741)*U5741*Y5741,0)</f>
        <v>21.524820075</v>
      </c>
    </row>
    <row r="5742">
      <c r="A5742" t="str">
        <f>A5724</f>
        <v>Lantai 1</v>
      </c>
      <c r="B5742">
        <f>B5724</f>
        <v>93</v>
      </c>
      <c r="D5742">
        <f>IF(AND(D5739=D5740,D5740=D5741,D5739=D5741),D5739,0)</f>
        <v>0</v>
      </c>
      <c r="E5742" t="str">
        <v>D</v>
      </c>
      <c r="F5742">
        <f>IF(AND(F5739=F5740,F5739=F5741,F5740=F5741),F5739,0)</f>
        <v>22</v>
      </c>
      <c r="L5742" t="str">
        <v>Total panjang per balok</v>
      </c>
      <c r="M5742" t="str">
        <v>=</v>
      </c>
      <c r="N5742">
        <f>IF(AND(D5739=D5740,D5739=D5741,D5740=D5741,F5739=F5740,F5739=F5741,F5740=F5741),SUM(N5739:N5741),0)</f>
        <v>0</v>
      </c>
      <c r="O5742" t="str">
        <v>+</v>
      </c>
      <c r="P5742">
        <f>IF(N5742&gt;12,ROUNDDOWN(N5742/12,0),0)</f>
        <v>0</v>
      </c>
      <c r="Q5742" t="str">
        <v>x</v>
      </c>
      <c r="R5742">
        <f>IF(P5742&gt;0,MAX(VLOOKUP(F5742,$D$6:$G$15,3,FALSE),600),0)/1000</f>
        <v>0</v>
      </c>
      <c r="T5742" t="str">
        <v>x</v>
      </c>
      <c r="U5742">
        <f>U5741</f>
        <v>2.98386</v>
      </c>
      <c r="V5742" t="str">
        <v>x</v>
      </c>
      <c r="W5742">
        <f>D5742</f>
        <v>0</v>
      </c>
      <c r="X5742" t="str">
        <v>x</v>
      </c>
      <c r="Y5742">
        <f>Y5741</f>
        <v>1</v>
      </c>
      <c r="Z5742" t="str">
        <v>=</v>
      </c>
      <c r="AA5742">
        <f>(N5742+P5742*R5742/1000)*U5742*W5742*Y5742</f>
        <v>0</v>
      </c>
    </row>
    <row r="5744">
      <c r="A5744" t="str">
        <f>A5724</f>
        <v>Lantai 1</v>
      </c>
      <c r="B5744">
        <f>B5724</f>
        <v>93</v>
      </c>
      <c r="C5744" t="str">
        <v>Sengkang Tumpuan</v>
      </c>
      <c r="D5744">
        <f>VLOOKUP(D5724,'Detail Balok'!$C$10:$AU$110,31,FALSE)</f>
        <v>3</v>
      </c>
      <c r="E5744" t="str">
        <v>D</v>
      </c>
      <c r="F5744">
        <f>VLOOKUP(D5724,'Detail Balok'!$C$10:$AU$110,33,FALSE)</f>
        <v>13</v>
      </c>
      <c r="G5744" t="str">
        <v>-</v>
      </c>
      <c r="H5744">
        <f>VLOOKUP(D5724,'Detail Balok'!$C$10:$AU$110,35,FALSE)</f>
        <v>75</v>
      </c>
      <c r="J5744">
        <f>(IF(D5744=0,(2*(D5725+G5725))-(F$5*8),IF(D5744=3,(2*(D5725+G5725))-(F$5*8)+(G5725-2*F$5),IF(D5744=4,(2*(D5725+G5725))-(F$5*8)+2*(G5725-2*F$5)))))/1000</f>
        <v>2.7</v>
      </c>
      <c r="K5744" t="str">
        <v>+</v>
      </c>
      <c r="L5744">
        <f>IF(D5744=0,2*MAX(6*F5744,75),(D5744-1)*2*MAX(6*F5744,75))/1000</f>
        <v>0.312</v>
      </c>
      <c r="M5744" t="str">
        <v>=</v>
      </c>
      <c r="N5744">
        <f>J5744+L5744</f>
        <v>3.012</v>
      </c>
      <c r="T5744" t="str">
        <v>x</v>
      </c>
      <c r="U5744">
        <f>0.006165*F5744^2</f>
        <v>1.041885</v>
      </c>
      <c r="V5744" t="str">
        <v>x</v>
      </c>
      <c r="W5744">
        <f>IF(D5727&gt;4*G5725,ROUND(MAX(D5727/4,2*G5725)/H5744,0)+1,ROUND(D5727/H5744,0)+1)</f>
        <v>20</v>
      </c>
      <c r="X5744" t="str">
        <v>x</v>
      </c>
      <c r="Y5744">
        <f>D5730</f>
        <v>1</v>
      </c>
      <c r="Z5744" t="str">
        <v>=</v>
      </c>
      <c r="AA5744">
        <f>N5744*U5744*W5744*Y5744</f>
        <v>62.763152399999996</v>
      </c>
    </row>
    <row r="5745">
      <c r="A5745" t="str">
        <f>A5724</f>
        <v>Lantai 1</v>
      </c>
      <c r="B5745">
        <f>B5724</f>
        <v>93</v>
      </c>
      <c r="C5745" t="str">
        <v>Sengkang Lapangan</v>
      </c>
      <c r="D5745">
        <f>VLOOKUP(D5724,'Detail Balok'!$C$10:$AU$110,36,FALSE)</f>
        <v>0</v>
      </c>
      <c r="E5745" t="str">
        <v>D</v>
      </c>
      <c r="F5745">
        <f>VLOOKUP(D5724,'Detail Balok'!$C$10:$AU$110,38,FALSE)</f>
        <v>13</v>
      </c>
      <c r="G5745" t="str">
        <v>-</v>
      </c>
      <c r="H5745">
        <f>VLOOKUP(D5724,'Detail Balok'!$C$10:$AU$110,40,FALSE)</f>
        <v>150</v>
      </c>
      <c r="J5745">
        <f>(IF(D5745=0,(2*(D5725+G5725))-(F$5*8),IF(D5745=3,(2*(D5725+G5725))-(F$5*8)+(G5725-2*F$5),IF(D5745=4,(2*(D5725+G5725))-(F$5*8)+2*(G5725-2*F$5)))))/1000</f>
        <v>2.08</v>
      </c>
      <c r="K5745" t="str">
        <v>+</v>
      </c>
      <c r="L5745">
        <f>IF(D5745=0,2*MAX(6*F5745,75),(D5745-1)*2*MAX(6*F5745,75))/1000</f>
        <v>0.156</v>
      </c>
      <c r="M5745" t="str">
        <v>=</v>
      </c>
      <c r="N5745">
        <f>J5745+L5745</f>
        <v>2.236</v>
      </c>
      <c r="T5745" t="str">
        <v>x</v>
      </c>
      <c r="U5745">
        <f>0.006165*F5745^2</f>
        <v>1.041885</v>
      </c>
      <c r="V5745" t="str">
        <v>x</v>
      </c>
      <c r="W5745">
        <f>IF(D5727-MAX(D5727/4,2*G5725)*2&gt;0,ROUND((D5727-MAX(D5727/4,2*G5725)*2)/H5745,0),0)</f>
        <v>13</v>
      </c>
      <c r="X5745" t="str">
        <v>x</v>
      </c>
      <c r="Y5745">
        <f>D5730</f>
        <v>1</v>
      </c>
      <c r="Z5745" t="str">
        <v>=</v>
      </c>
      <c r="AA5745">
        <f>N5745*U5745*W5745*Y5745</f>
        <v>30.285513180000002</v>
      </c>
    </row>
    <row r="5746">
      <c r="A5746" t="str">
        <f>A5724</f>
        <v>Lantai 1</v>
      </c>
      <c r="B5746">
        <f>B5724</f>
        <v>93</v>
      </c>
      <c r="C5746" t="str">
        <v>Sengkang Tumpuan</v>
      </c>
      <c r="D5746">
        <f>VLOOKUP(D5724,'Detail Balok'!$C$10:$AU$110,41,FALSE)</f>
        <v>3</v>
      </c>
      <c r="E5746" t="str">
        <v>D</v>
      </c>
      <c r="F5746">
        <f>VLOOKUP(D5724,'Detail Balok'!$C$10:$AU$110,43,FALSE)</f>
        <v>13</v>
      </c>
      <c r="G5746" t="str">
        <v>-</v>
      </c>
      <c r="H5746">
        <f>VLOOKUP(D5724,'Detail Balok'!$C$10:$AU$110,45,FALSE)</f>
        <v>75</v>
      </c>
      <c r="J5746">
        <f>(IF(D5746=0,(2*(D5725+G5725))-(F$5*8),IF(D5746=3,(2*(D5725+G5725))-(F$5*8)+(G5725-2*F$5),IF(D5746=4,(2*(D5725+G5725))-(F$5*8)+2*(G5725-2*F$5)))))/1000</f>
        <v>2.7</v>
      </c>
      <c r="K5746" t="str">
        <v>+</v>
      </c>
      <c r="L5746">
        <f>IF(D5746=0,2*MAX(6*F5746,75),(D5746-1)*2*MAX(6*F5746,75))/1000</f>
        <v>0.312</v>
      </c>
      <c r="M5746" t="str">
        <v>=</v>
      </c>
      <c r="N5746">
        <f>J5746+L5746</f>
        <v>3.012</v>
      </c>
      <c r="T5746" t="str">
        <v>x</v>
      </c>
      <c r="U5746">
        <f>0.006165*F5746^2</f>
        <v>1.041885</v>
      </c>
      <c r="V5746" t="str">
        <v>x</v>
      </c>
      <c r="W5746">
        <f>IF(D5727&gt;4*G5725,ROUND(MAX(D5727/4,2*G5725)/H5746,0)+1,0)</f>
        <v>20</v>
      </c>
      <c r="X5746" t="str">
        <v>x</v>
      </c>
      <c r="Y5746">
        <f>D5730</f>
        <v>1</v>
      </c>
      <c r="Z5746" t="str">
        <v>=</v>
      </c>
      <c r="AA5746">
        <f>N5746*U5746*W5746*Y5746</f>
        <v>62.763152399999996</v>
      </c>
    </row>
    <row r="5748">
      <c r="A5748" t="str">
        <f>A5724</f>
        <v>Lantai 1</v>
      </c>
      <c r="B5748">
        <f>B5724</f>
        <v>93</v>
      </c>
      <c r="C5748" t="str">
        <v>Kait Horizontal Tump.</v>
      </c>
      <c r="D5748">
        <f>VLOOKUP(D5724,'Detail Balok'!$C$10:$BJ$110,46,FALSE)</f>
        <v>0</v>
      </c>
      <c r="E5748" t="str">
        <v>D</v>
      </c>
      <c r="F5748">
        <f>VLOOKUP(D5724,'Detail Balok'!$C$10:$BJ$110,48,FALSE)</f>
        <v>0</v>
      </c>
      <c r="G5748" t="str">
        <v>-</v>
      </c>
      <c r="H5748">
        <f>VLOOKUP(D5724,'Detail Balok'!$C$10:$BJ$110,50,FALSE)</f>
        <v>100</v>
      </c>
      <c r="J5748">
        <f>(D5725-2*F$5)/1000</f>
        <v>0.42</v>
      </c>
      <c r="K5748" t="str">
        <v>+</v>
      </c>
      <c r="L5748">
        <f>IF(D5748=0,2*MAX(6*F5748,75),(D5748-1)*2*MAX(6*F5748,75))/1000</f>
        <v>0.15</v>
      </c>
      <c r="M5748" t="str">
        <v>=</v>
      </c>
      <c r="N5748">
        <f>J5748+L5748</f>
        <v>0.57</v>
      </c>
      <c r="T5748" t="str">
        <v>x</v>
      </c>
      <c r="U5748">
        <f>0.006165*F5748^2</f>
        <v>0</v>
      </c>
      <c r="V5748" t="str">
        <v>x</v>
      </c>
      <c r="W5748">
        <f>W5744</f>
        <v>20</v>
      </c>
      <c r="X5748" t="str">
        <v>x</v>
      </c>
      <c r="Y5748">
        <f>D5734</f>
        <v>5</v>
      </c>
      <c r="Z5748" t="str">
        <v>=</v>
      </c>
      <c r="AA5748">
        <f>N5748*U5748*W5748*Y5748</f>
        <v>0</v>
      </c>
    </row>
    <row r="5749">
      <c r="A5749" t="str">
        <f>A5724</f>
        <v>Lantai 1</v>
      </c>
      <c r="B5749">
        <f>B5724</f>
        <v>93</v>
      </c>
      <c r="C5749" t="str">
        <v>Kait Horizontal Lap.</v>
      </c>
      <c r="D5749">
        <f>VLOOKUP(D5724,'Detail Balok'!$C$10:$BJ$110,51,FALSE)</f>
        <v>0</v>
      </c>
      <c r="E5749" t="str">
        <v>D</v>
      </c>
      <c r="F5749">
        <f>VLOOKUP(D5724,'Detail Balok'!$C$10:$BJ$110,53,FALSE)</f>
        <v>0</v>
      </c>
      <c r="G5749" t="str">
        <v>-</v>
      </c>
      <c r="H5749">
        <f>VLOOKUP(D5724,'Detail Balok'!$C$10:$BJ$110,55,FALSE)</f>
        <v>100</v>
      </c>
      <c r="J5749">
        <f>(D5725-2*F$5)/1000</f>
        <v>0.42</v>
      </c>
      <c r="K5749" t="str">
        <v>+</v>
      </c>
      <c r="L5749">
        <f>IF(D5749=0,2*MAX(6*F5749,75),(D5749-1)*2*MAX(6*F5749,75))/1000</f>
        <v>0.15</v>
      </c>
      <c r="M5749" t="str">
        <v>=</v>
      </c>
      <c r="N5749">
        <f>J5749+L5749</f>
        <v>0.57</v>
      </c>
      <c r="T5749" t="str">
        <v>x</v>
      </c>
      <c r="U5749">
        <f>0.006165*F5749^2</f>
        <v>0</v>
      </c>
      <c r="V5749" t="str">
        <v>x</v>
      </c>
      <c r="W5749">
        <f>W5745</f>
        <v>13</v>
      </c>
      <c r="X5749" t="str">
        <v>x</v>
      </c>
      <c r="Y5749">
        <f>D5734</f>
        <v>5</v>
      </c>
      <c r="Z5749" t="str">
        <v>=</v>
      </c>
      <c r="AA5749">
        <f>N5749*U5749*W5749*Y5749</f>
        <v>0</v>
      </c>
    </row>
    <row r="5750">
      <c r="A5750" t="str">
        <f>A5724</f>
        <v>Lantai 1</v>
      </c>
      <c r="B5750">
        <f>B5724</f>
        <v>93</v>
      </c>
      <c r="C5750" t="str">
        <v>Kait Horizontal Tump.</v>
      </c>
      <c r="D5750">
        <f>VLOOKUP(D5724,'Detail Balok'!$C$10:$BJ$110,56,FALSE)</f>
        <v>0</v>
      </c>
      <c r="E5750" t="str">
        <v>D</v>
      </c>
      <c r="F5750">
        <f>VLOOKUP(D5724,'Detail Balok'!$C$10:$BJ$110,58,FALSE)</f>
        <v>0</v>
      </c>
      <c r="G5750" t="str">
        <v>-</v>
      </c>
      <c r="H5750">
        <f>VLOOKUP(D5724,'Detail Balok'!$C$10:$BJ$110,60,FALSE)</f>
        <v>100</v>
      </c>
      <c r="J5750">
        <f>(D5725-2*F$5)/1000</f>
        <v>0.42</v>
      </c>
      <c r="K5750" t="str">
        <v>+</v>
      </c>
      <c r="L5750">
        <f>IF(D5750=0,2*MAX(6*F5750,75),(D5750-1)*2*MAX(6*F5750,75))/1000</f>
        <v>0.15</v>
      </c>
      <c r="M5750" t="str">
        <v>=</v>
      </c>
      <c r="N5750">
        <f>J5750+L5750</f>
        <v>0.57</v>
      </c>
      <c r="T5750" t="str">
        <v>x</v>
      </c>
      <c r="U5750">
        <f>0.006165*F5750^2</f>
        <v>0</v>
      </c>
      <c r="V5750" t="str">
        <v>x</v>
      </c>
      <c r="W5750">
        <f>W5746</f>
        <v>20</v>
      </c>
      <c r="X5750" t="str">
        <v>x</v>
      </c>
      <c r="Y5750">
        <f>D5734</f>
        <v>5</v>
      </c>
      <c r="Z5750" t="str">
        <v>=</v>
      </c>
      <c r="AA5750">
        <f>N5750*U5750*W5750*Y5750</f>
        <v>0</v>
      </c>
    </row>
    <row r="5754">
      <c r="A5754" t="str">
        <f>A5724</f>
        <v>Lantai 1</v>
      </c>
      <c r="B5754">
        <f>B5724+1</f>
        <v>94</v>
      </c>
      <c r="C5754" t="str">
        <f>CONCATENATE(A5754," no. ",B5754)</f>
        <v>Lantai 1 no. 94</v>
      </c>
      <c r="D5754" t="str">
        <f>VLOOKUP(C5754,'Data Panjang Balok'!$C$9:$N$424,2,FALSE)</f>
        <v>B57-1</v>
      </c>
    </row>
    <row r="5755">
      <c r="C5755" t="str">
        <v>Dimensi</v>
      </c>
      <c r="D5755">
        <f>VLOOKUP(D5754,'Detail Balok'!$C$10:$AU$110,2,FALSE)</f>
        <v>500</v>
      </c>
      <c r="F5755" t="str">
        <v>x</v>
      </c>
      <c r="G5755">
        <f>VLOOKUP(D5754,'Detail Balok'!$C$10:$AU$110,3,FALSE)</f>
        <v>700</v>
      </c>
    </row>
    <row r="5756">
      <c r="C5756" t="str">
        <v>Panjang as ke as</v>
      </c>
      <c r="D5756">
        <f>VLOOKUP(C5754,'Data Panjang Balok'!$C$9:$N$424,4,FALSE)</f>
        <v>5500</v>
      </c>
    </row>
    <row r="5757">
      <c r="C5757" t="str">
        <v>Panjang netto</v>
      </c>
      <c r="D5757">
        <f>VLOOKUP(C5754,'Data Panjang Balok'!$C$9:$N$424,7,FALSE)</f>
        <v>5500</v>
      </c>
    </row>
    <row r="5758">
      <c r="C5758" t="str">
        <v>Kolom / balok kiri</v>
      </c>
      <c r="D5758">
        <f>VLOOKUP(C5754,'Data Panjang Balok'!$C$9:$N$424,9,FALSE)</f>
        <v>0</v>
      </c>
    </row>
    <row r="5759">
      <c r="C5759" t="str">
        <v>Kolom / balok kanan</v>
      </c>
      <c r="D5759">
        <f>VLOOKUP(C5754,'Data Panjang Balok'!$C$9:$N$424,10,FALSE)</f>
        <v>0</v>
      </c>
    </row>
    <row r="5760">
      <c r="C5760" t="str">
        <v>Jumlah</v>
      </c>
      <c r="D5760">
        <f>VLOOKUP(C5754,'Data Panjang Balok'!$C$9:$N$424,3,FALSE)</f>
        <v>1</v>
      </c>
    </row>
    <row r="5761">
      <c r="A5761" t="str">
        <f>A5754</f>
        <v>Lantai 1</v>
      </c>
      <c r="B5761">
        <f>B5754</f>
        <v>94</v>
      </c>
      <c r="C5761" t="str">
        <v>Tul Atas Tumpuan</v>
      </c>
      <c r="D5761">
        <f>VLOOKUP(D5754,'Detail Balok'!$C$10:$AU$110,4,FALSE)</f>
        <v>5</v>
      </c>
      <c r="E5761" t="str">
        <v>D</v>
      </c>
      <c r="F5761">
        <f>VLOOKUP(D5754,'Detail Balok'!$C$10:$AU$110,6,FALSE)</f>
        <v>22</v>
      </c>
      <c r="I5761" t="str">
        <v>(</v>
      </c>
      <c r="J5761">
        <f>+D5756/4/1000</f>
        <v>1.375</v>
      </c>
      <c r="K5761" t="str">
        <v>+</v>
      </c>
      <c r="L5761">
        <f>MAX(VLOOKUP(F5761,N$6:P$15,3,FALSE)/1000,2/3*D5758/1000)+F$16*F5761/1000</f>
        <v>0.264</v>
      </c>
      <c r="M5761" t="str">
        <v>=</v>
      </c>
      <c r="N5761">
        <f>J5761+L5761</f>
        <v>1.639</v>
      </c>
      <c r="O5761" t="str">
        <v>+</v>
      </c>
      <c r="P5761">
        <f>D5761-D5762</f>
        <v>0</v>
      </c>
      <c r="Q5761" t="str">
        <v>x</v>
      </c>
      <c r="R5761">
        <f>IF(P5761&gt;0,$F$18*F5761/1000,0)</f>
        <v>0</v>
      </c>
      <c r="S5761" t="str">
        <v>)</v>
      </c>
      <c r="T5761" t="str">
        <v>x</v>
      </c>
      <c r="U5761">
        <f>0.006165*F5761^2</f>
        <v>2.98386</v>
      </c>
      <c r="X5761" t="str">
        <v>x</v>
      </c>
      <c r="Y5761">
        <f>D5760</f>
        <v>1</v>
      </c>
      <c r="Z5761" t="str">
        <v>=</v>
      </c>
      <c r="AA5761">
        <f>IF(AA5764=0,(D5761*N5761+P5761*R5761)*U5761*Y5761,0)</f>
        <v>0</v>
      </c>
    </row>
    <row r="5762">
      <c r="A5762" t="str">
        <f>A5754</f>
        <v>Lantai 1</v>
      </c>
      <c r="B5762">
        <f>B5754</f>
        <v>94</v>
      </c>
      <c r="C5762" t="str">
        <v>Tul Atas Lapangan</v>
      </c>
      <c r="D5762">
        <f>VLOOKUP(D5754,'Detail Balok'!$C$10:$AU$110,7,FALSE)</f>
        <v>5</v>
      </c>
      <c r="E5762" t="str">
        <v>D</v>
      </c>
      <c r="F5762">
        <f>VLOOKUP(D5754,'Detail Balok'!$C$10:$AU$110,9,FALSE)</f>
        <v>22</v>
      </c>
      <c r="I5762" t="str">
        <v>(</v>
      </c>
      <c r="J5762">
        <f>+D5756/2/1000</f>
        <v>2.75</v>
      </c>
      <c r="K5762" t="str">
        <v>+</v>
      </c>
      <c r="M5762" t="str">
        <v>=</v>
      </c>
      <c r="N5762">
        <f>J5762+L5762</f>
        <v>2.75</v>
      </c>
      <c r="O5762" t="str">
        <v>+</v>
      </c>
      <c r="P5762">
        <f>MAX(D5762-D5761,D5762-D5763)</f>
        <v>0</v>
      </c>
      <c r="Q5762" t="str">
        <v>x</v>
      </c>
      <c r="R5762">
        <f>IF(P5762&gt;0,2*(1-2*$F$19-1/2)*D5757/1000,0)</f>
        <v>0</v>
      </c>
      <c r="S5762" t="str">
        <v>)</v>
      </c>
      <c r="T5762" t="str">
        <v>x</v>
      </c>
      <c r="U5762">
        <f>0.006165*F5762^2</f>
        <v>2.98386</v>
      </c>
      <c r="X5762" t="str">
        <v>x</v>
      </c>
      <c r="Y5762">
        <f>D5760</f>
        <v>1</v>
      </c>
      <c r="Z5762" t="str">
        <v>=</v>
      </c>
      <c r="AA5762">
        <f>IF(AA5764=0,(D5762*N5762+P5762*R5762)*U5762*Y5762,0)</f>
        <v>0</v>
      </c>
    </row>
    <row r="5763">
      <c r="A5763" t="str">
        <f>A5754</f>
        <v>Lantai 1</v>
      </c>
      <c r="B5763">
        <f>B5754</f>
        <v>94</v>
      </c>
      <c r="C5763" t="str">
        <v>Tul Atas Tumpuan</v>
      </c>
      <c r="D5763">
        <f>VLOOKUP(D5754,'Detail Balok'!$C$10:$AU$110,10,FALSE)</f>
        <v>5</v>
      </c>
      <c r="E5763" t="str">
        <v>D</v>
      </c>
      <c r="F5763">
        <f>VLOOKUP(D5754,'Detail Balok'!$C$10:$AU$110,12,FALSE)</f>
        <v>22</v>
      </c>
      <c r="I5763" t="str">
        <v>(</v>
      </c>
      <c r="J5763">
        <f>+D5756/4/1000</f>
        <v>1.375</v>
      </c>
      <c r="K5763" t="str">
        <v>+</v>
      </c>
      <c r="L5763">
        <f>MAX(VLOOKUP(F5763,N$6:P$15,3,FALSE)/1000,2/3*D5758/1000)+F$16*F5763/1000</f>
        <v>0.264</v>
      </c>
      <c r="M5763" t="str">
        <v>=</v>
      </c>
      <c r="N5763">
        <f>J5763+L5763</f>
        <v>1.639</v>
      </c>
      <c r="O5763" t="str">
        <v>+</v>
      </c>
      <c r="P5763">
        <f>D5763-D5762</f>
        <v>0</v>
      </c>
      <c r="Q5763" t="str">
        <v>x</v>
      </c>
      <c r="R5763">
        <f>IF(P5763&gt;0,$F$18*F5763/1000,0)</f>
        <v>0</v>
      </c>
      <c r="S5763" t="str">
        <v>)</v>
      </c>
      <c r="T5763" t="str">
        <v>x</v>
      </c>
      <c r="U5763">
        <f>0.006165*F5763^2</f>
        <v>2.98386</v>
      </c>
      <c r="X5763" t="str">
        <v>x</v>
      </c>
      <c r="Y5763">
        <f>D5760</f>
        <v>1</v>
      </c>
      <c r="Z5763" t="str">
        <v>=</v>
      </c>
      <c r="AA5763">
        <f>IF(AA5764=0,(D5763*N5763+P5763*R5763)*U5763*Y5763,0)</f>
        <v>0</v>
      </c>
    </row>
    <row r="5764">
      <c r="A5764" t="str">
        <f>A5754</f>
        <v>Lantai 1</v>
      </c>
      <c r="B5764">
        <f>B5754</f>
        <v>94</v>
      </c>
      <c r="D5764">
        <f>IF(AND(D5761=D5762,D5762=D5763,D5761=D5763),D5761,0)</f>
        <v>5</v>
      </c>
      <c r="E5764" t="str">
        <v>D</v>
      </c>
      <c r="F5764">
        <f>IF(AND(F5761=F5762,F5761=F5763,F5762=F5763),F5761,0)</f>
        <v>22</v>
      </c>
      <c r="L5764" t="str">
        <v>Total panjang per balok</v>
      </c>
      <c r="M5764" t="str">
        <v>=</v>
      </c>
      <c r="N5764">
        <f>IF(AND(D5761=D5762,D5761=D5763,D5762=D5763,F5761=F5762,F5761=F5763,F5762=F5763),SUM(N5761:N5763),0)</f>
        <v>6.0280000000000005</v>
      </c>
      <c r="O5764" t="str">
        <v>+</v>
      </c>
      <c r="P5764">
        <f>IF(N5764&gt;12,ROUNDDOWN(N5764/12,0),0)</f>
        <v>0</v>
      </c>
      <c r="Q5764" t="str">
        <v>x</v>
      </c>
      <c r="R5764">
        <f>IF(P5764&gt;0,MAX(VLOOKUP(F5764,$D$6:$G$15,3,FALSE),600),0)/1000</f>
        <v>0</v>
      </c>
      <c r="T5764" t="str">
        <v>x</v>
      </c>
      <c r="U5764">
        <f>U5763</f>
        <v>2.98386</v>
      </c>
      <c r="V5764" t="str">
        <v>x</v>
      </c>
      <c r="W5764">
        <f>D5764</f>
        <v>5</v>
      </c>
      <c r="X5764" t="str">
        <v>x</v>
      </c>
      <c r="Y5764">
        <f>Y5763</f>
        <v>1</v>
      </c>
      <c r="Z5764" t="str">
        <v>=</v>
      </c>
      <c r="AA5764">
        <f>(N5764+P5764*R5764/1000)*U5764*W5764*Y5764</f>
        <v>89.9335404</v>
      </c>
    </row>
    <row r="5766">
      <c r="A5766" t="str">
        <f>A5754</f>
        <v>Lantai 1</v>
      </c>
      <c r="B5766">
        <f>B5754</f>
        <v>94</v>
      </c>
      <c r="C5766" t="str">
        <v>Tul Peminggang</v>
      </c>
      <c r="D5766">
        <f>VLOOKUP(D5754,'Detail Balok'!$C$10:$AU$110,13,FALSE)</f>
        <v>2</v>
      </c>
      <c r="E5766" t="str">
        <v>D</v>
      </c>
      <c r="F5766">
        <f>VLOOKUP(D5754,'Detail Balok'!$C$10:$AU$110,15,FALSE)</f>
        <v>13</v>
      </c>
      <c r="J5766">
        <f>+D5756/1000</f>
        <v>5.5</v>
      </c>
      <c r="K5766" t="str">
        <v>+</v>
      </c>
      <c r="L5766">
        <f>2*$F$16*F5766/1000</f>
        <v>0.312</v>
      </c>
      <c r="M5766" t="str">
        <v>=</v>
      </c>
      <c r="N5766">
        <f>J5766+L5766</f>
        <v>5.812</v>
      </c>
      <c r="O5766" t="str">
        <v>+</v>
      </c>
      <c r="P5766">
        <f>IF(N5766&gt;12,ROUNDDOWN(N5766/12,0),0)</f>
        <v>0</v>
      </c>
      <c r="Q5766" t="str">
        <v>x</v>
      </c>
      <c r="R5766">
        <f>IF(P5766&gt;0,MAX(VLOOKUP(F5766,$D$6:$G$15,3,FALSE),600),0)/1000</f>
        <v>0</v>
      </c>
      <c r="T5766" t="str">
        <v>x</v>
      </c>
      <c r="U5766">
        <f>0.006165*F5766^2</f>
        <v>1.041885</v>
      </c>
      <c r="V5766" t="str">
        <v>x</v>
      </c>
      <c r="W5766">
        <f>+D5766</f>
        <v>2</v>
      </c>
      <c r="X5766" t="str">
        <v>x</v>
      </c>
      <c r="Y5766">
        <f>D5760</f>
        <v>1</v>
      </c>
      <c r="Z5766" t="str">
        <v>=</v>
      </c>
      <c r="AA5766">
        <f>(N5766+P5766*R5766/1000)*U5766*W5766*Y5766</f>
        <v>12.11087124</v>
      </c>
    </row>
    <row r="5769">
      <c r="A5769" t="str">
        <f>A5754</f>
        <v>Lantai 1</v>
      </c>
      <c r="B5769">
        <f>B5754</f>
        <v>94</v>
      </c>
      <c r="C5769" t="str">
        <v>Tul Bawah Tumpuan</v>
      </c>
      <c r="D5769">
        <f>VLOOKUP(D5754,'Detail Balok'!$C$10:$AU$110,22,FALSE)</f>
        <v>5</v>
      </c>
      <c r="E5769" t="str">
        <v>D</v>
      </c>
      <c r="F5769">
        <f>VLOOKUP(D5754,'Detail Balok'!$C$10:$AU$110,24,FALSE)</f>
        <v>22</v>
      </c>
      <c r="I5769" t="str">
        <v>(</v>
      </c>
      <c r="J5769">
        <f>+J5761</f>
        <v>1.375</v>
      </c>
      <c r="K5769" t="str">
        <v>+</v>
      </c>
      <c r="L5769">
        <f>MAX(VLOOKUP(F5769,N$6:P$15,3,FALSE)/1000,2/3*D5759/1000)+F$16*F5769/1000</f>
        <v>0.264</v>
      </c>
      <c r="M5769" t="str">
        <v>=</v>
      </c>
      <c r="N5769">
        <f>J5769+L5769</f>
        <v>1.639</v>
      </c>
      <c r="O5769" t="str">
        <v>+</v>
      </c>
      <c r="P5769">
        <f>D5769-D5770</f>
        <v>-5</v>
      </c>
      <c r="Q5769" t="str">
        <v>x</v>
      </c>
      <c r="R5769">
        <f>IF(P5769&gt;0,$F$18*F5769/1000,0)</f>
        <v>0</v>
      </c>
      <c r="S5769" t="str">
        <v>)</v>
      </c>
      <c r="T5769" t="str">
        <v>x</v>
      </c>
      <c r="U5769">
        <f>0.006165*F5769^2</f>
        <v>2.98386</v>
      </c>
      <c r="X5769" t="str">
        <v>x</v>
      </c>
      <c r="Y5769">
        <f>D5760</f>
        <v>1</v>
      </c>
      <c r="Z5769" t="str">
        <v>=</v>
      </c>
      <c r="AA5769">
        <f>IF(AA5772=0,(D5769*N5769+P5769*R5769)*U5769*Y5769,0)</f>
        <v>24.452732700000002</v>
      </c>
    </row>
    <row r="5770">
      <c r="A5770" t="str">
        <f>A5754</f>
        <v>Lantai 1</v>
      </c>
      <c r="B5770">
        <f>B5754</f>
        <v>94</v>
      </c>
      <c r="C5770" t="str">
        <v>Tul Bawah Lapangan</v>
      </c>
      <c r="D5770">
        <f>VLOOKUP(D5754,'Detail Balok'!$C$10:$AU$110,25,FALSE)</f>
        <v>10</v>
      </c>
      <c r="E5770" t="str">
        <v>D</v>
      </c>
      <c r="F5770">
        <f>VLOOKUP(D5754,'Detail Balok'!$C$10:$AU$110,27,FALSE)</f>
        <v>22</v>
      </c>
      <c r="I5770" t="str">
        <v>(</v>
      </c>
      <c r="J5770">
        <f>+J5762</f>
        <v>2.75</v>
      </c>
      <c r="K5770" t="str">
        <v>+</v>
      </c>
      <c r="M5770" t="str">
        <v>=</v>
      </c>
      <c r="N5770">
        <f>J5770+L5770</f>
        <v>2.75</v>
      </c>
      <c r="O5770" t="str">
        <v>+</v>
      </c>
      <c r="P5770">
        <f>MAX(D5770-D5769,D5770-D5771)</f>
        <v>5</v>
      </c>
      <c r="Q5770" t="str">
        <v>x</v>
      </c>
      <c r="R5770">
        <f>IF(P5770&gt;0,2*(1-2*$F$19-1/2)*D5757/1000,0)</f>
        <v>1.0999999999999999</v>
      </c>
      <c r="S5770" t="str">
        <v>)</v>
      </c>
      <c r="T5770" t="str">
        <v>x</v>
      </c>
      <c r="U5770">
        <f>0.006165*F5770^2</f>
        <v>2.98386</v>
      </c>
      <c r="X5770" t="str">
        <v>x</v>
      </c>
      <c r="Y5770">
        <f>D5760</f>
        <v>1</v>
      </c>
      <c r="Z5770" t="str">
        <v>=</v>
      </c>
      <c r="AA5770">
        <f>IF(AA5772=0,(D5770*N5770+P5770*R5770)*U5770*Y5770,0)</f>
        <v>98.46737999999999</v>
      </c>
    </row>
    <row r="5771">
      <c r="A5771" t="str">
        <f>A5754</f>
        <v>Lantai 1</v>
      </c>
      <c r="B5771">
        <f>B5754</f>
        <v>94</v>
      </c>
      <c r="C5771" t="str">
        <v>Tul Bawah Tumpuan</v>
      </c>
      <c r="D5771">
        <f>VLOOKUP(D5754,'Detail Balok'!$C$10:$AU$110,28,FALSE)</f>
        <v>5</v>
      </c>
      <c r="E5771" t="str">
        <v>D</v>
      </c>
      <c r="F5771">
        <f>VLOOKUP(D5754,'Detail Balok'!$C$10:$AU$110,30,FALSE)</f>
        <v>22</v>
      </c>
      <c r="I5771" t="str">
        <v>(</v>
      </c>
      <c r="J5771">
        <f>+J5763</f>
        <v>1.375</v>
      </c>
      <c r="K5771" t="str">
        <v>+</v>
      </c>
      <c r="L5771">
        <f>MAX(VLOOKUP(F5771,N$6:P$15,3,FALSE)/1000,2/3*D5759/1000)+F$16*F5771/1000</f>
        <v>0.264</v>
      </c>
      <c r="M5771" t="str">
        <v>=</v>
      </c>
      <c r="N5771">
        <f>J5771+L5771</f>
        <v>1.639</v>
      </c>
      <c r="O5771" t="str">
        <v>+</v>
      </c>
      <c r="P5771">
        <f>D5771-D5770</f>
        <v>-5</v>
      </c>
      <c r="Q5771" t="str">
        <v>x</v>
      </c>
      <c r="R5771">
        <f>IF(P5771&gt;0,$F$18*F5771/1000,0)</f>
        <v>0</v>
      </c>
      <c r="S5771" t="str">
        <v>)</v>
      </c>
      <c r="T5771" t="str">
        <v>x</v>
      </c>
      <c r="U5771">
        <f>0.006165*F5771^2</f>
        <v>2.98386</v>
      </c>
      <c r="X5771" t="str">
        <v>x</v>
      </c>
      <c r="Y5771">
        <f>D5760</f>
        <v>1</v>
      </c>
      <c r="Z5771" t="str">
        <v>=</v>
      </c>
      <c r="AA5771">
        <f>IF(AA5772=0,(D5771*N5771+P5771*R5771)*U5771*Y5771,0)</f>
        <v>24.452732700000002</v>
      </c>
    </row>
    <row r="5772">
      <c r="A5772" t="str">
        <f>A5754</f>
        <v>Lantai 1</v>
      </c>
      <c r="B5772">
        <f>B5754</f>
        <v>94</v>
      </c>
      <c r="D5772">
        <f>IF(AND(D5769=D5770,D5770=D5771,D5769=D5771),D5769,0)</f>
        <v>0</v>
      </c>
      <c r="E5772" t="str">
        <v>D</v>
      </c>
      <c r="F5772">
        <f>IF(AND(F5769=F5770,F5769=F5771,F5770=F5771),F5769,0)</f>
        <v>22</v>
      </c>
      <c r="L5772" t="str">
        <v>Total panjang per balok</v>
      </c>
      <c r="M5772" t="str">
        <v>=</v>
      </c>
      <c r="N5772">
        <f>IF(AND(D5769=D5770,D5769=D5771,D5770=D5771,F5769=F5770,F5769=F5771,F5770=F5771),SUM(N5769:N5771),0)</f>
        <v>0</v>
      </c>
      <c r="O5772" t="str">
        <v>+</v>
      </c>
      <c r="P5772">
        <f>IF(N5772&gt;12,ROUNDDOWN(N5772/12,0),0)</f>
        <v>0</v>
      </c>
      <c r="Q5772" t="str">
        <v>x</v>
      </c>
      <c r="R5772">
        <f>IF(P5772&gt;0,MAX(VLOOKUP(F5772,$D$6:$G$15,3,FALSE),600),0)/1000</f>
        <v>0</v>
      </c>
      <c r="T5772" t="str">
        <v>x</v>
      </c>
      <c r="U5772">
        <f>U5771</f>
        <v>2.98386</v>
      </c>
      <c r="V5772" t="str">
        <v>x</v>
      </c>
      <c r="W5772">
        <f>D5772</f>
        <v>0</v>
      </c>
      <c r="X5772" t="str">
        <v>x</v>
      </c>
      <c r="Y5772">
        <f>Y5771</f>
        <v>1</v>
      </c>
      <c r="Z5772" t="str">
        <v>=</v>
      </c>
      <c r="AA5772">
        <f>(N5772+P5772*R5772/1000)*U5772*W5772*Y5772</f>
        <v>0</v>
      </c>
    </row>
    <row r="5774">
      <c r="A5774" t="str">
        <f>A5754</f>
        <v>Lantai 1</v>
      </c>
      <c r="B5774">
        <f>B5754</f>
        <v>94</v>
      </c>
      <c r="C5774" t="str">
        <v>Sengkang Tumpuan</v>
      </c>
      <c r="D5774">
        <f>VLOOKUP(D5754,'Detail Balok'!$C$10:$AU$110,31,FALSE)</f>
        <v>3</v>
      </c>
      <c r="E5774" t="str">
        <v>D</v>
      </c>
      <c r="F5774">
        <f>VLOOKUP(D5754,'Detail Balok'!$C$10:$AU$110,33,FALSE)</f>
        <v>13</v>
      </c>
      <c r="G5774" t="str">
        <v>-</v>
      </c>
      <c r="H5774">
        <f>VLOOKUP(D5754,'Detail Balok'!$C$10:$AU$110,35,FALSE)</f>
        <v>75</v>
      </c>
      <c r="J5774">
        <f>(IF(D5774=0,(2*(D5755+G5755))-(F$5*8),IF(D5774=3,(2*(D5755+G5755))-(F$5*8)+(G5755-2*F$5),IF(D5774=4,(2*(D5755+G5755))-(F$5*8)+2*(G5755-2*F$5)))))/1000</f>
        <v>2.7</v>
      </c>
      <c r="K5774" t="str">
        <v>+</v>
      </c>
      <c r="L5774">
        <f>IF(D5774=0,2*MAX(6*F5774,75),(D5774-1)*2*MAX(6*F5774,75))/1000</f>
        <v>0.312</v>
      </c>
      <c r="M5774" t="str">
        <v>=</v>
      </c>
      <c r="N5774">
        <f>J5774+L5774</f>
        <v>3.012</v>
      </c>
      <c r="T5774" t="str">
        <v>x</v>
      </c>
      <c r="U5774">
        <f>0.006165*F5774^2</f>
        <v>1.041885</v>
      </c>
      <c r="V5774" t="str">
        <v>x</v>
      </c>
      <c r="W5774">
        <f>IF(D5757&gt;4*G5755,ROUND(MAX(D5757/4,2*G5755)/H5774,0)+1,ROUND(D5757/H5774,0)+1)</f>
        <v>20</v>
      </c>
      <c r="X5774" t="str">
        <v>x</v>
      </c>
      <c r="Y5774">
        <f>D5760</f>
        <v>1</v>
      </c>
      <c r="Z5774" t="str">
        <v>=</v>
      </c>
      <c r="AA5774">
        <f>N5774*U5774*W5774*Y5774</f>
        <v>62.763152399999996</v>
      </c>
    </row>
    <row r="5775">
      <c r="A5775" t="str">
        <f>A5754</f>
        <v>Lantai 1</v>
      </c>
      <c r="B5775">
        <f>B5754</f>
        <v>94</v>
      </c>
      <c r="C5775" t="str">
        <v>Sengkang Lapangan</v>
      </c>
      <c r="D5775">
        <f>VLOOKUP(D5754,'Detail Balok'!$C$10:$AU$110,36,FALSE)</f>
        <v>0</v>
      </c>
      <c r="E5775" t="str">
        <v>D</v>
      </c>
      <c r="F5775">
        <f>VLOOKUP(D5754,'Detail Balok'!$C$10:$AU$110,38,FALSE)</f>
        <v>13</v>
      </c>
      <c r="G5775" t="str">
        <v>-</v>
      </c>
      <c r="H5775">
        <f>VLOOKUP(D5754,'Detail Balok'!$C$10:$AU$110,40,FALSE)</f>
        <v>150</v>
      </c>
      <c r="J5775">
        <f>(IF(D5775=0,(2*(D5755+G5755))-(F$5*8),IF(D5775=3,(2*(D5755+G5755))-(F$5*8)+(G5755-2*F$5),IF(D5775=4,(2*(D5755+G5755))-(F$5*8)+2*(G5755-2*F$5)))))/1000</f>
        <v>2.08</v>
      </c>
      <c r="K5775" t="str">
        <v>+</v>
      </c>
      <c r="L5775">
        <f>IF(D5775=0,2*MAX(6*F5775,75),(D5775-1)*2*MAX(6*F5775,75))/1000</f>
        <v>0.156</v>
      </c>
      <c r="M5775" t="str">
        <v>=</v>
      </c>
      <c r="N5775">
        <f>J5775+L5775</f>
        <v>2.236</v>
      </c>
      <c r="T5775" t="str">
        <v>x</v>
      </c>
      <c r="U5775">
        <f>0.006165*F5775^2</f>
        <v>1.041885</v>
      </c>
      <c r="V5775" t="str">
        <v>x</v>
      </c>
      <c r="W5775">
        <f>IF(D5757-MAX(D5757/4,2*G5755)*2&gt;0,ROUND((D5757-MAX(D5757/4,2*G5755)*2)/H5775,0),0)</f>
        <v>18</v>
      </c>
      <c r="X5775" t="str">
        <v>x</v>
      </c>
      <c r="Y5775">
        <f>D5760</f>
        <v>1</v>
      </c>
      <c r="Z5775" t="str">
        <v>=</v>
      </c>
      <c r="AA5775">
        <f>N5775*U5775*W5775*Y5775</f>
        <v>41.93378748000001</v>
      </c>
    </row>
    <row r="5776">
      <c r="A5776" t="str">
        <f>A5754</f>
        <v>Lantai 1</v>
      </c>
      <c r="B5776">
        <f>B5754</f>
        <v>94</v>
      </c>
      <c r="C5776" t="str">
        <v>Sengkang Tumpuan</v>
      </c>
      <c r="D5776">
        <f>VLOOKUP(D5754,'Detail Balok'!$C$10:$AU$110,41,FALSE)</f>
        <v>3</v>
      </c>
      <c r="E5776" t="str">
        <v>D</v>
      </c>
      <c r="F5776">
        <f>VLOOKUP(D5754,'Detail Balok'!$C$10:$AU$110,43,FALSE)</f>
        <v>13</v>
      </c>
      <c r="G5776" t="str">
        <v>-</v>
      </c>
      <c r="H5776">
        <f>VLOOKUP(D5754,'Detail Balok'!$C$10:$AU$110,45,FALSE)</f>
        <v>75</v>
      </c>
      <c r="J5776">
        <f>(IF(D5776=0,(2*(D5755+G5755))-(F$5*8),IF(D5776=3,(2*(D5755+G5755))-(F$5*8)+(G5755-2*F$5),IF(D5776=4,(2*(D5755+G5755))-(F$5*8)+2*(G5755-2*F$5)))))/1000</f>
        <v>2.7</v>
      </c>
      <c r="K5776" t="str">
        <v>+</v>
      </c>
      <c r="L5776">
        <f>IF(D5776=0,2*MAX(6*F5776,75),(D5776-1)*2*MAX(6*F5776,75))/1000</f>
        <v>0.312</v>
      </c>
      <c r="M5776" t="str">
        <v>=</v>
      </c>
      <c r="N5776">
        <f>J5776+L5776</f>
        <v>3.012</v>
      </c>
      <c r="T5776" t="str">
        <v>x</v>
      </c>
      <c r="U5776">
        <f>0.006165*F5776^2</f>
        <v>1.041885</v>
      </c>
      <c r="V5776" t="str">
        <v>x</v>
      </c>
      <c r="W5776">
        <f>IF(D5757&gt;4*G5755,ROUND(MAX(D5757/4,2*G5755)/H5776,0)+1,0)</f>
        <v>20</v>
      </c>
      <c r="X5776" t="str">
        <v>x</v>
      </c>
      <c r="Y5776">
        <f>D5760</f>
        <v>1</v>
      </c>
      <c r="Z5776" t="str">
        <v>=</v>
      </c>
      <c r="AA5776">
        <f>N5776*U5776*W5776*Y5776</f>
        <v>62.763152399999996</v>
      </c>
    </row>
    <row r="5778">
      <c r="A5778" t="str">
        <f>A5754</f>
        <v>Lantai 1</v>
      </c>
      <c r="B5778">
        <f>B5754</f>
        <v>94</v>
      </c>
      <c r="C5778" t="str">
        <v>Kait Horizontal Tump.</v>
      </c>
      <c r="D5778">
        <f>VLOOKUP(D5754,'Detail Balok'!$C$10:$BJ$110,46,FALSE)</f>
        <v>0</v>
      </c>
      <c r="E5778" t="str">
        <v>D</v>
      </c>
      <c r="F5778">
        <f>VLOOKUP(D5754,'Detail Balok'!$C$10:$BJ$110,48,FALSE)</f>
        <v>0</v>
      </c>
      <c r="G5778" t="str">
        <v>-</v>
      </c>
      <c r="H5778">
        <f>VLOOKUP(D5754,'Detail Balok'!$C$10:$BJ$110,50,FALSE)</f>
        <v>100</v>
      </c>
      <c r="J5778">
        <f>(D5755-2*F$5)/1000</f>
        <v>0.42</v>
      </c>
      <c r="K5778" t="str">
        <v>+</v>
      </c>
      <c r="L5778">
        <f>IF(D5778=0,2*MAX(6*F5778,75),(D5778-1)*2*MAX(6*F5778,75))/1000</f>
        <v>0.15</v>
      </c>
      <c r="M5778" t="str">
        <v>=</v>
      </c>
      <c r="N5778">
        <f>J5778+L5778</f>
        <v>0.57</v>
      </c>
      <c r="T5778" t="str">
        <v>x</v>
      </c>
      <c r="U5778">
        <f>0.006165*F5778^2</f>
        <v>0</v>
      </c>
      <c r="V5778" t="str">
        <v>x</v>
      </c>
      <c r="W5778">
        <f>W5774</f>
        <v>20</v>
      </c>
      <c r="X5778" t="str">
        <v>x</v>
      </c>
      <c r="Y5778">
        <f>D5764</f>
        <v>5</v>
      </c>
      <c r="Z5778" t="str">
        <v>=</v>
      </c>
      <c r="AA5778">
        <f>N5778*U5778*W5778*Y5778</f>
        <v>0</v>
      </c>
    </row>
    <row r="5779">
      <c r="A5779" t="str">
        <f>A5754</f>
        <v>Lantai 1</v>
      </c>
      <c r="B5779">
        <f>B5754</f>
        <v>94</v>
      </c>
      <c r="C5779" t="str">
        <v>Kait Horizontal Lap.</v>
      </c>
      <c r="D5779">
        <f>VLOOKUP(D5754,'Detail Balok'!$C$10:$BJ$110,51,FALSE)</f>
        <v>0</v>
      </c>
      <c r="E5779" t="str">
        <v>D</v>
      </c>
      <c r="F5779">
        <f>VLOOKUP(D5754,'Detail Balok'!$C$10:$BJ$110,53,FALSE)</f>
        <v>0</v>
      </c>
      <c r="G5779" t="str">
        <v>-</v>
      </c>
      <c r="H5779">
        <f>VLOOKUP(D5754,'Detail Balok'!$C$10:$BJ$110,55,FALSE)</f>
        <v>100</v>
      </c>
      <c r="J5779">
        <f>(D5755-2*F$5)/1000</f>
        <v>0.42</v>
      </c>
      <c r="K5779" t="str">
        <v>+</v>
      </c>
      <c r="L5779">
        <f>IF(D5779=0,2*MAX(6*F5779,75),(D5779-1)*2*MAX(6*F5779,75))/1000</f>
        <v>0.15</v>
      </c>
      <c r="M5779" t="str">
        <v>=</v>
      </c>
      <c r="N5779">
        <f>J5779+L5779</f>
        <v>0.57</v>
      </c>
      <c r="T5779" t="str">
        <v>x</v>
      </c>
      <c r="U5779">
        <f>0.006165*F5779^2</f>
        <v>0</v>
      </c>
      <c r="V5779" t="str">
        <v>x</v>
      </c>
      <c r="W5779">
        <f>W5775</f>
        <v>18</v>
      </c>
      <c r="X5779" t="str">
        <v>x</v>
      </c>
      <c r="Y5779">
        <f>D5764</f>
        <v>5</v>
      </c>
      <c r="Z5779" t="str">
        <v>=</v>
      </c>
      <c r="AA5779">
        <f>N5779*U5779*W5779*Y5779</f>
        <v>0</v>
      </c>
    </row>
    <row r="5780">
      <c r="A5780" t="str">
        <f>A5754</f>
        <v>Lantai 1</v>
      </c>
      <c r="B5780">
        <f>B5754</f>
        <v>94</v>
      </c>
      <c r="C5780" t="str">
        <v>Kait Horizontal Tump.</v>
      </c>
      <c r="D5780">
        <f>VLOOKUP(D5754,'Detail Balok'!$C$10:$BJ$110,56,FALSE)</f>
        <v>0</v>
      </c>
      <c r="E5780" t="str">
        <v>D</v>
      </c>
      <c r="F5780">
        <f>VLOOKUP(D5754,'Detail Balok'!$C$10:$BJ$110,58,FALSE)</f>
        <v>0</v>
      </c>
      <c r="G5780" t="str">
        <v>-</v>
      </c>
      <c r="H5780">
        <f>VLOOKUP(D5754,'Detail Balok'!$C$10:$BJ$110,60,FALSE)</f>
        <v>100</v>
      </c>
      <c r="J5780">
        <f>(D5755-2*F$5)/1000</f>
        <v>0.42</v>
      </c>
      <c r="K5780" t="str">
        <v>+</v>
      </c>
      <c r="L5780">
        <f>IF(D5780=0,2*MAX(6*F5780,75),(D5780-1)*2*MAX(6*F5780,75))/1000</f>
        <v>0.15</v>
      </c>
      <c r="M5780" t="str">
        <v>=</v>
      </c>
      <c r="N5780">
        <f>J5780+L5780</f>
        <v>0.57</v>
      </c>
      <c r="T5780" t="str">
        <v>x</v>
      </c>
      <c r="U5780">
        <f>0.006165*F5780^2</f>
        <v>0</v>
      </c>
      <c r="V5780" t="str">
        <v>x</v>
      </c>
      <c r="W5780">
        <f>W5776</f>
        <v>20</v>
      </c>
      <c r="X5780" t="str">
        <v>x</v>
      </c>
      <c r="Y5780">
        <f>D5764</f>
        <v>5</v>
      </c>
      <c r="Z5780" t="str">
        <v>=</v>
      </c>
      <c r="AA5780">
        <f>N5780*U5780*W5780*Y5780</f>
        <v>0</v>
      </c>
    </row>
    <row r="5784">
      <c r="A5784" t="str">
        <f>A5754</f>
        <v>Lantai 1</v>
      </c>
      <c r="B5784">
        <f>B5754+1</f>
        <v>95</v>
      </c>
      <c r="C5784" t="str">
        <f>CONCATENATE(A5784," no. ",B5784)</f>
        <v>Lantai 1 no. 95</v>
      </c>
      <c r="D5784" t="str">
        <f>VLOOKUP(C5784,'Data Panjang Balok'!$C$9:$N$424,2,FALSE)</f>
        <v>B174-1</v>
      </c>
    </row>
    <row r="5785">
      <c r="C5785" t="str">
        <v>Dimensi</v>
      </c>
      <c r="D5785">
        <f>VLOOKUP(D5784,'Detail Balok'!$C$10:$AU$110,2,FALSE)</f>
        <v>170</v>
      </c>
      <c r="F5785" t="str">
        <v>x</v>
      </c>
      <c r="G5785">
        <f>VLOOKUP(D5784,'Detail Balok'!$C$10:$AU$110,3,FALSE)</f>
        <v>400</v>
      </c>
    </row>
    <row r="5786">
      <c r="C5786" t="str">
        <v>Panjang as ke as</v>
      </c>
      <c r="D5786">
        <f>VLOOKUP(C5784,'Data Panjang Balok'!$C$9:$N$424,4,FALSE)</f>
        <v>2685</v>
      </c>
    </row>
    <row r="5787">
      <c r="C5787" t="str">
        <v>Panjang netto</v>
      </c>
      <c r="D5787">
        <f>VLOOKUP(C5784,'Data Panjang Balok'!$C$9:$N$424,7,FALSE)</f>
        <v>2685</v>
      </c>
    </row>
    <row r="5788">
      <c r="C5788" t="str">
        <v>Kolom / balok kiri</v>
      </c>
      <c r="D5788">
        <f>VLOOKUP(C5784,'Data Panjang Balok'!$C$9:$N$424,9,FALSE)</f>
        <v>0</v>
      </c>
    </row>
    <row r="5789">
      <c r="C5789" t="str">
        <v>Kolom / balok kanan</v>
      </c>
      <c r="D5789">
        <f>VLOOKUP(C5784,'Data Panjang Balok'!$C$9:$N$424,10,FALSE)</f>
        <v>0</v>
      </c>
    </row>
    <row r="5790">
      <c r="C5790" t="str">
        <v>Jumlah</v>
      </c>
      <c r="D5790">
        <f>VLOOKUP(C5784,'Data Panjang Balok'!$C$9:$N$424,3,FALSE)</f>
        <v>1</v>
      </c>
    </row>
    <row r="5791">
      <c r="A5791" t="str">
        <f>A5784</f>
        <v>Lantai 1</v>
      </c>
      <c r="B5791">
        <f>B5784</f>
        <v>95</v>
      </c>
      <c r="C5791" t="str">
        <v>Tul Atas Tumpuan</v>
      </c>
      <c r="D5791">
        <f>VLOOKUP(D5784,'Detail Balok'!$C$10:$AU$110,4,FALSE)</f>
        <v>2</v>
      </c>
      <c r="E5791" t="str">
        <v>D</v>
      </c>
      <c r="F5791">
        <f>VLOOKUP(D5784,'Detail Balok'!$C$10:$AU$110,6,FALSE)</f>
        <v>13</v>
      </c>
      <c r="I5791" t="str">
        <v>(</v>
      </c>
      <c r="J5791">
        <f>+D5786/4/1000</f>
        <v>0.67125</v>
      </c>
      <c r="K5791" t="str">
        <v>+</v>
      </c>
      <c r="L5791">
        <f>MAX(VLOOKUP(F5791,N$6:P$15,3,FALSE)/1000,2/3*D5788/1000)+F$16*F5791/1000</f>
        <v>0.156</v>
      </c>
      <c r="M5791" t="str">
        <v>=</v>
      </c>
      <c r="N5791">
        <f>J5791+L5791</f>
        <v>0.82725</v>
      </c>
      <c r="O5791" t="str">
        <v>+</v>
      </c>
      <c r="P5791">
        <f>D5791-D5792</f>
        <v>0</v>
      </c>
      <c r="Q5791" t="str">
        <v>x</v>
      </c>
      <c r="R5791">
        <f>IF(P5791&gt;0,$F$18*F5791/1000,0)</f>
        <v>0</v>
      </c>
      <c r="S5791" t="str">
        <v>)</v>
      </c>
      <c r="T5791" t="str">
        <v>x</v>
      </c>
      <c r="U5791">
        <f>0.006165*F5791^2</f>
        <v>1.041885</v>
      </c>
      <c r="X5791" t="str">
        <v>x</v>
      </c>
      <c r="Y5791">
        <f>D5790</f>
        <v>1</v>
      </c>
      <c r="Z5791" t="str">
        <v>=</v>
      </c>
      <c r="AA5791">
        <f>IF(AA5794=0,(D5791*N5791+P5791*R5791)*U5791*Y5791,0)</f>
        <v>0</v>
      </c>
    </row>
    <row r="5792">
      <c r="A5792" t="str">
        <f>A5784</f>
        <v>Lantai 1</v>
      </c>
      <c r="B5792">
        <f>B5784</f>
        <v>95</v>
      </c>
      <c r="C5792" t="str">
        <v>Tul Atas Lapangan</v>
      </c>
      <c r="D5792">
        <f>VLOOKUP(D5784,'Detail Balok'!$C$10:$AU$110,7,FALSE)</f>
        <v>2</v>
      </c>
      <c r="E5792" t="str">
        <v>D</v>
      </c>
      <c r="F5792">
        <f>VLOOKUP(D5784,'Detail Balok'!$C$10:$AU$110,9,FALSE)</f>
        <v>13</v>
      </c>
      <c r="I5792" t="str">
        <v>(</v>
      </c>
      <c r="J5792">
        <f>+D5786/2/1000</f>
        <v>1.3425</v>
      </c>
      <c r="K5792" t="str">
        <v>+</v>
      </c>
      <c r="M5792" t="str">
        <v>=</v>
      </c>
      <c r="N5792">
        <f>J5792+L5792</f>
        <v>1.3425</v>
      </c>
      <c r="O5792" t="str">
        <v>+</v>
      </c>
      <c r="P5792">
        <f>MAX(D5792-D5791,D5792-D5793)</f>
        <v>0</v>
      </c>
      <c r="Q5792" t="str">
        <v>x</v>
      </c>
      <c r="R5792">
        <f>IF(P5792&gt;0,2*(1-2*$F$19-1/2)*D5787/1000,0)</f>
        <v>0</v>
      </c>
      <c r="S5792" t="str">
        <v>)</v>
      </c>
      <c r="T5792" t="str">
        <v>x</v>
      </c>
      <c r="U5792">
        <f>0.006165*F5792^2</f>
        <v>1.041885</v>
      </c>
      <c r="X5792" t="str">
        <v>x</v>
      </c>
      <c r="Y5792">
        <f>D5790</f>
        <v>1</v>
      </c>
      <c r="Z5792" t="str">
        <v>=</v>
      </c>
      <c r="AA5792">
        <f>IF(AA5794=0,(D5792*N5792+P5792*R5792)*U5792*Y5792,0)</f>
        <v>0</v>
      </c>
    </row>
    <row r="5793">
      <c r="A5793" t="str">
        <f>A5784</f>
        <v>Lantai 1</v>
      </c>
      <c r="B5793">
        <f>B5784</f>
        <v>95</v>
      </c>
      <c r="C5793" t="str">
        <v>Tul Atas Tumpuan</v>
      </c>
      <c r="D5793">
        <f>VLOOKUP(D5784,'Detail Balok'!$C$10:$AU$110,10,FALSE)</f>
        <v>2</v>
      </c>
      <c r="E5793" t="str">
        <v>D</v>
      </c>
      <c r="F5793">
        <f>VLOOKUP(D5784,'Detail Balok'!$C$10:$AU$110,12,FALSE)</f>
        <v>13</v>
      </c>
      <c r="I5793" t="str">
        <v>(</v>
      </c>
      <c r="J5793">
        <f>+D5786/4/1000</f>
        <v>0.67125</v>
      </c>
      <c r="K5793" t="str">
        <v>+</v>
      </c>
      <c r="L5793">
        <f>MAX(VLOOKUP(F5793,N$6:P$15,3,FALSE)/1000,2/3*D5788/1000)+F$16*F5793/1000</f>
        <v>0.156</v>
      </c>
      <c r="M5793" t="str">
        <v>=</v>
      </c>
      <c r="N5793">
        <f>J5793+L5793</f>
        <v>0.82725</v>
      </c>
      <c r="O5793" t="str">
        <v>+</v>
      </c>
      <c r="P5793">
        <f>D5793-D5792</f>
        <v>0</v>
      </c>
      <c r="Q5793" t="str">
        <v>x</v>
      </c>
      <c r="R5793">
        <f>IF(P5793&gt;0,$F$18*F5793/1000,0)</f>
        <v>0</v>
      </c>
      <c r="S5793" t="str">
        <v>)</v>
      </c>
      <c r="T5793" t="str">
        <v>x</v>
      </c>
      <c r="U5793">
        <f>0.006165*F5793^2</f>
        <v>1.041885</v>
      </c>
      <c r="X5793" t="str">
        <v>x</v>
      </c>
      <c r="Y5793">
        <f>D5790</f>
        <v>1</v>
      </c>
      <c r="Z5793" t="str">
        <v>=</v>
      </c>
      <c r="AA5793">
        <f>IF(AA5794=0,(D5793*N5793+P5793*R5793)*U5793*Y5793,0)</f>
        <v>0</v>
      </c>
    </row>
    <row r="5794">
      <c r="A5794" t="str">
        <f>A5784</f>
        <v>Lantai 1</v>
      </c>
      <c r="B5794">
        <f>B5784</f>
        <v>95</v>
      </c>
      <c r="D5794">
        <f>IF(AND(D5791=D5792,D5792=D5793,D5791=D5793),D5791,0)</f>
        <v>2</v>
      </c>
      <c r="E5794" t="str">
        <v>D</v>
      </c>
      <c r="F5794">
        <f>IF(AND(F5791=F5792,F5791=F5793,F5792=F5793),F5791,0)</f>
        <v>13</v>
      </c>
      <c r="L5794" t="str">
        <v>Total panjang per balok</v>
      </c>
      <c r="M5794" t="str">
        <v>=</v>
      </c>
      <c r="N5794">
        <f>IF(AND(D5791=D5792,D5791=D5793,D5792=D5793,F5791=F5792,F5791=F5793,F5792=F5793),SUM(N5791:N5793),0)</f>
        <v>2.997</v>
      </c>
      <c r="O5794" t="str">
        <v>+</v>
      </c>
      <c r="P5794">
        <f>IF(N5794&gt;12,ROUNDDOWN(N5794/12,0),0)</f>
        <v>0</v>
      </c>
      <c r="Q5794" t="str">
        <v>x</v>
      </c>
      <c r="R5794">
        <f>IF(P5794&gt;0,MAX(VLOOKUP(F5794,$D$6:$G$15,3,FALSE),600),0)/1000</f>
        <v>0</v>
      </c>
      <c r="T5794" t="str">
        <v>x</v>
      </c>
      <c r="U5794">
        <f>U5793</f>
        <v>1.041885</v>
      </c>
      <c r="V5794" t="str">
        <v>x</v>
      </c>
      <c r="W5794">
        <f>D5794</f>
        <v>2</v>
      </c>
      <c r="X5794" t="str">
        <v>x</v>
      </c>
      <c r="Y5794">
        <f>Y5793</f>
        <v>1</v>
      </c>
      <c r="Z5794" t="str">
        <v>=</v>
      </c>
      <c r="AA5794">
        <f>(N5794+P5794*R5794/1000)*U5794*W5794*Y5794</f>
        <v>6.24505869</v>
      </c>
    </row>
    <row r="5796">
      <c r="A5796" t="str">
        <f>A5784</f>
        <v>Lantai 1</v>
      </c>
      <c r="B5796">
        <f>B5784</f>
        <v>95</v>
      </c>
      <c r="C5796" t="str">
        <v>Tul Peminggang</v>
      </c>
      <c r="D5796">
        <f>VLOOKUP(D5784,'Detail Balok'!$C$10:$AU$110,13,FALSE)</f>
        <v>0</v>
      </c>
      <c r="E5796" t="str">
        <v>D</v>
      </c>
      <c r="F5796">
        <f>VLOOKUP(D5784,'Detail Balok'!$C$10:$AU$110,15,FALSE)</f>
        <v>6</v>
      </c>
      <c r="J5796">
        <f>+D5786/1000</f>
        <v>2.685</v>
      </c>
      <c r="K5796" t="str">
        <v>+</v>
      </c>
      <c r="L5796">
        <f>2*$F$16*F5796/1000</f>
        <v>0.144</v>
      </c>
      <c r="M5796" t="str">
        <v>=</v>
      </c>
      <c r="N5796">
        <f>J5796+L5796</f>
        <v>2.829</v>
      </c>
      <c r="O5796" t="str">
        <v>+</v>
      </c>
      <c r="P5796">
        <f>IF(N5796&gt;12,ROUNDDOWN(N5796/12,0),0)</f>
        <v>0</v>
      </c>
      <c r="Q5796" t="str">
        <v>x</v>
      </c>
      <c r="R5796">
        <f>IF(P5796&gt;0,MAX(VLOOKUP(F5796,$D$6:$G$15,3,FALSE),600),0)/1000</f>
        <v>0</v>
      </c>
      <c r="T5796" t="str">
        <v>x</v>
      </c>
      <c r="U5796">
        <f>0.006165*F5796^2</f>
        <v>0.22194000000000003</v>
      </c>
      <c r="V5796" t="str">
        <v>x</v>
      </c>
      <c r="W5796">
        <f>+D5796</f>
        <v>0</v>
      </c>
      <c r="X5796" t="str">
        <v>x</v>
      </c>
      <c r="Y5796">
        <f>D5790</f>
        <v>1</v>
      </c>
      <c r="Z5796" t="str">
        <v>=</v>
      </c>
      <c r="AA5796">
        <f>(N5796+P5796*R5796/1000)*U5796*W5796*Y5796</f>
        <v>0</v>
      </c>
    </row>
    <row r="5799">
      <c r="A5799" t="str">
        <f>A5784</f>
        <v>Lantai 1</v>
      </c>
      <c r="B5799">
        <f>B5784</f>
        <v>95</v>
      </c>
      <c r="C5799" t="str">
        <v>Tul Bawah Tumpuan</v>
      </c>
      <c r="D5799">
        <f>VLOOKUP(D5784,'Detail Balok'!$C$10:$AU$110,22,FALSE)</f>
        <v>2</v>
      </c>
      <c r="E5799" t="str">
        <v>D</v>
      </c>
      <c r="F5799">
        <f>VLOOKUP(D5784,'Detail Balok'!$C$10:$AU$110,24,FALSE)</f>
        <v>13</v>
      </c>
      <c r="I5799" t="str">
        <v>(</v>
      </c>
      <c r="J5799">
        <f>+J5791</f>
        <v>0.67125</v>
      </c>
      <c r="K5799" t="str">
        <v>+</v>
      </c>
      <c r="L5799">
        <f>MAX(VLOOKUP(F5799,N$6:P$15,3,FALSE)/1000,2/3*D5789/1000)+F$16*F5799/1000</f>
        <v>0.156</v>
      </c>
      <c r="M5799" t="str">
        <v>=</v>
      </c>
      <c r="N5799">
        <f>J5799+L5799</f>
        <v>0.82725</v>
      </c>
      <c r="O5799" t="str">
        <v>+</v>
      </c>
      <c r="P5799">
        <f>D5799-D5800</f>
        <v>0</v>
      </c>
      <c r="Q5799" t="str">
        <v>x</v>
      </c>
      <c r="R5799">
        <f>IF(P5799&gt;0,$F$18*F5799/1000,0)</f>
        <v>0</v>
      </c>
      <c r="S5799" t="str">
        <v>)</v>
      </c>
      <c r="T5799" t="str">
        <v>x</v>
      </c>
      <c r="U5799">
        <f>0.006165*F5799^2</f>
        <v>1.041885</v>
      </c>
      <c r="X5799" t="str">
        <v>x</v>
      </c>
      <c r="Y5799">
        <f>D5790</f>
        <v>1</v>
      </c>
      <c r="Z5799" t="str">
        <v>=</v>
      </c>
      <c r="AA5799">
        <f>IF(AA5802=0,(D5799*N5799+P5799*R5799)*U5799*Y5799,0)</f>
        <v>0</v>
      </c>
    </row>
    <row r="5800">
      <c r="A5800" t="str">
        <f>A5784</f>
        <v>Lantai 1</v>
      </c>
      <c r="B5800">
        <f>B5784</f>
        <v>95</v>
      </c>
      <c r="C5800" t="str">
        <v>Tul Bawah Lapangan</v>
      </c>
      <c r="D5800">
        <f>VLOOKUP(D5784,'Detail Balok'!$C$10:$AU$110,25,FALSE)</f>
        <v>2</v>
      </c>
      <c r="E5800" t="str">
        <v>D</v>
      </c>
      <c r="F5800">
        <f>VLOOKUP(D5784,'Detail Balok'!$C$10:$AU$110,27,FALSE)</f>
        <v>13</v>
      </c>
      <c r="I5800" t="str">
        <v>(</v>
      </c>
      <c r="J5800">
        <f>+J5792</f>
        <v>1.3425</v>
      </c>
      <c r="K5800" t="str">
        <v>+</v>
      </c>
      <c r="M5800" t="str">
        <v>=</v>
      </c>
      <c r="N5800">
        <f>J5800+L5800</f>
        <v>1.3425</v>
      </c>
      <c r="O5800" t="str">
        <v>+</v>
      </c>
      <c r="P5800">
        <f>MAX(D5800-D5799,D5800-D5801)</f>
        <v>0</v>
      </c>
      <c r="Q5800" t="str">
        <v>x</v>
      </c>
      <c r="R5800">
        <f>IF(P5800&gt;0,2*(1-2*$F$19-1/2)*D5787/1000,0)</f>
        <v>0</v>
      </c>
      <c r="S5800" t="str">
        <v>)</v>
      </c>
      <c r="T5800" t="str">
        <v>x</v>
      </c>
      <c r="U5800">
        <f>0.006165*F5800^2</f>
        <v>1.041885</v>
      </c>
      <c r="X5800" t="str">
        <v>x</v>
      </c>
      <c r="Y5800">
        <f>D5790</f>
        <v>1</v>
      </c>
      <c r="Z5800" t="str">
        <v>=</v>
      </c>
      <c r="AA5800">
        <f>IF(AA5802=0,(D5800*N5800+P5800*R5800)*U5800*Y5800,0)</f>
        <v>0</v>
      </c>
    </row>
    <row r="5801">
      <c r="A5801" t="str">
        <f>A5784</f>
        <v>Lantai 1</v>
      </c>
      <c r="B5801">
        <f>B5784</f>
        <v>95</v>
      </c>
      <c r="C5801" t="str">
        <v>Tul Bawah Tumpuan</v>
      </c>
      <c r="D5801">
        <f>VLOOKUP(D5784,'Detail Balok'!$C$10:$AU$110,28,FALSE)</f>
        <v>2</v>
      </c>
      <c r="E5801" t="str">
        <v>D</v>
      </c>
      <c r="F5801">
        <f>VLOOKUP(D5784,'Detail Balok'!$C$10:$AU$110,30,FALSE)</f>
        <v>13</v>
      </c>
      <c r="I5801" t="str">
        <v>(</v>
      </c>
      <c r="J5801">
        <f>+J5793</f>
        <v>0.67125</v>
      </c>
      <c r="K5801" t="str">
        <v>+</v>
      </c>
      <c r="L5801">
        <f>MAX(VLOOKUP(F5801,N$6:P$15,3,FALSE)/1000,2/3*D5789/1000)+F$16*F5801/1000</f>
        <v>0.156</v>
      </c>
      <c r="M5801" t="str">
        <v>=</v>
      </c>
      <c r="N5801">
        <f>J5801+L5801</f>
        <v>0.82725</v>
      </c>
      <c r="O5801" t="str">
        <v>+</v>
      </c>
      <c r="P5801">
        <f>D5801-D5800</f>
        <v>0</v>
      </c>
      <c r="Q5801" t="str">
        <v>x</v>
      </c>
      <c r="R5801">
        <f>IF(P5801&gt;0,$F$18*F5801/1000,0)</f>
        <v>0</v>
      </c>
      <c r="S5801" t="str">
        <v>)</v>
      </c>
      <c r="T5801" t="str">
        <v>x</v>
      </c>
      <c r="U5801">
        <f>0.006165*F5801^2</f>
        <v>1.041885</v>
      </c>
      <c r="X5801" t="str">
        <v>x</v>
      </c>
      <c r="Y5801">
        <f>D5790</f>
        <v>1</v>
      </c>
      <c r="Z5801" t="str">
        <v>=</v>
      </c>
      <c r="AA5801">
        <f>IF(AA5802=0,(D5801*N5801+P5801*R5801)*U5801*Y5801,0)</f>
        <v>0</v>
      </c>
    </row>
    <row r="5802">
      <c r="A5802" t="str">
        <f>A5784</f>
        <v>Lantai 1</v>
      </c>
      <c r="B5802">
        <f>B5784</f>
        <v>95</v>
      </c>
      <c r="D5802">
        <f>IF(AND(D5799=D5800,D5800=D5801,D5799=D5801),D5799,0)</f>
        <v>2</v>
      </c>
      <c r="E5802" t="str">
        <v>D</v>
      </c>
      <c r="F5802">
        <f>IF(AND(F5799=F5800,F5799=F5801,F5800=F5801),F5799,0)</f>
        <v>13</v>
      </c>
      <c r="L5802" t="str">
        <v>Total panjang per balok</v>
      </c>
      <c r="M5802" t="str">
        <v>=</v>
      </c>
      <c r="N5802">
        <f>IF(AND(D5799=D5800,D5799=D5801,D5800=D5801,F5799=F5800,F5799=F5801,F5800=F5801),SUM(N5799:N5801),0)</f>
        <v>2.997</v>
      </c>
      <c r="O5802" t="str">
        <v>+</v>
      </c>
      <c r="P5802">
        <f>IF(N5802&gt;12,ROUNDDOWN(N5802/12,0),0)</f>
        <v>0</v>
      </c>
      <c r="Q5802" t="str">
        <v>x</v>
      </c>
      <c r="R5802">
        <f>IF(P5802&gt;0,MAX(VLOOKUP(F5802,$D$6:$G$15,3,FALSE),600),0)/1000</f>
        <v>0</v>
      </c>
      <c r="T5802" t="str">
        <v>x</v>
      </c>
      <c r="U5802">
        <f>U5801</f>
        <v>1.041885</v>
      </c>
      <c r="V5802" t="str">
        <v>x</v>
      </c>
      <c r="W5802">
        <f>D5802</f>
        <v>2</v>
      </c>
      <c r="X5802" t="str">
        <v>x</v>
      </c>
      <c r="Y5802">
        <f>Y5801</f>
        <v>1</v>
      </c>
      <c r="Z5802" t="str">
        <v>=</v>
      </c>
      <c r="AA5802">
        <f>(N5802+P5802*R5802/1000)*U5802*W5802*Y5802</f>
        <v>6.24505869</v>
      </c>
    </row>
    <row r="5804">
      <c r="A5804" t="str">
        <f>A5784</f>
        <v>Lantai 1</v>
      </c>
      <c r="B5804">
        <f>B5784</f>
        <v>95</v>
      </c>
      <c r="C5804" t="str">
        <v>Sengkang Tumpuan</v>
      </c>
      <c r="D5804">
        <f>VLOOKUP(D5784,'Detail Balok'!$C$10:$AU$110,31,FALSE)</f>
        <v>0</v>
      </c>
      <c r="E5804" t="str">
        <v>D</v>
      </c>
      <c r="F5804">
        <f>VLOOKUP(D5784,'Detail Balok'!$C$10:$AU$110,33,FALSE)</f>
        <v>10</v>
      </c>
      <c r="G5804" t="str">
        <v>-</v>
      </c>
      <c r="H5804">
        <f>VLOOKUP(D5784,'Detail Balok'!$C$10:$AU$110,35,FALSE)</f>
        <v>100</v>
      </c>
      <c r="J5804">
        <f>(IF(D5804=0,(2*(D5785+G5785))-(F$5*8),IF(D5804=3,(2*(D5785+G5785))-(F$5*8)+(G5785-2*F$5),IF(D5804=4,(2*(D5785+G5785))-(F$5*8)+2*(G5785-2*F$5)))))/1000</f>
        <v>0.82</v>
      </c>
      <c r="K5804" t="str">
        <v>+</v>
      </c>
      <c r="L5804">
        <f>IF(D5804=0,2*MAX(6*F5804,75),(D5804-1)*2*MAX(6*F5804,75))/1000</f>
        <v>0.15</v>
      </c>
      <c r="M5804" t="str">
        <v>=</v>
      </c>
      <c r="N5804">
        <f>J5804+L5804</f>
        <v>0.97</v>
      </c>
      <c r="T5804" t="str">
        <v>x</v>
      </c>
      <c r="U5804">
        <f>0.006165*F5804^2</f>
        <v>0.6165</v>
      </c>
      <c r="V5804" t="str">
        <v>x</v>
      </c>
      <c r="W5804">
        <f>IF(D5787&gt;4*G5785,ROUND(MAX(D5787/4,2*G5785)/H5804,0)+1,ROUND(D5787/H5804,0)+1)</f>
        <v>9</v>
      </c>
      <c r="X5804" t="str">
        <v>x</v>
      </c>
      <c r="Y5804">
        <f>D5790</f>
        <v>1</v>
      </c>
      <c r="Z5804" t="str">
        <v>=</v>
      </c>
      <c r="AA5804">
        <f>N5804*U5804*W5804*Y5804</f>
        <v>5.382045</v>
      </c>
    </row>
    <row r="5805">
      <c r="A5805" t="str">
        <f>A5784</f>
        <v>Lantai 1</v>
      </c>
      <c r="B5805">
        <f>B5784</f>
        <v>95</v>
      </c>
      <c r="C5805" t="str">
        <v>Sengkang Lapangan</v>
      </c>
      <c r="D5805">
        <f>VLOOKUP(D5784,'Detail Balok'!$C$10:$AU$110,36,FALSE)</f>
        <v>0</v>
      </c>
      <c r="E5805" t="str">
        <v>D</v>
      </c>
      <c r="F5805">
        <f>VLOOKUP(D5784,'Detail Balok'!$C$10:$AU$110,38,FALSE)</f>
        <v>10</v>
      </c>
      <c r="G5805" t="str">
        <v>-</v>
      </c>
      <c r="H5805">
        <f>VLOOKUP(D5784,'Detail Balok'!$C$10:$AU$110,40,FALSE)</f>
        <v>200</v>
      </c>
      <c r="J5805">
        <f>(IF(D5805=0,(2*(D5785+G5785))-(F$5*8),IF(D5805=3,(2*(D5785+G5785))-(F$5*8)+(G5785-2*F$5),IF(D5805=4,(2*(D5785+G5785))-(F$5*8)+2*(G5785-2*F$5)))))/1000</f>
        <v>0.82</v>
      </c>
      <c r="K5805" t="str">
        <v>+</v>
      </c>
      <c r="L5805">
        <f>IF(D5805=0,2*MAX(6*F5805,75),(D5805-1)*2*MAX(6*F5805,75))/1000</f>
        <v>0.15</v>
      </c>
      <c r="M5805" t="str">
        <v>=</v>
      </c>
      <c r="N5805">
        <f>J5805+L5805</f>
        <v>0.97</v>
      </c>
      <c r="T5805" t="str">
        <v>x</v>
      </c>
      <c r="U5805">
        <f>0.006165*F5805^2</f>
        <v>0.6165</v>
      </c>
      <c r="V5805" t="str">
        <v>x</v>
      </c>
      <c r="W5805">
        <f>IF(D5787-MAX(D5787/4,2*G5785)*2&gt;0,ROUND((D5787-MAX(D5787/4,2*G5785)*2)/H5805,0),0)</f>
        <v>5</v>
      </c>
      <c r="X5805" t="str">
        <v>x</v>
      </c>
      <c r="Y5805">
        <f>D5790</f>
        <v>1</v>
      </c>
      <c r="Z5805" t="str">
        <v>=</v>
      </c>
      <c r="AA5805">
        <f>N5805*U5805*W5805*Y5805</f>
        <v>2.990025</v>
      </c>
    </row>
    <row r="5806">
      <c r="A5806" t="str">
        <f>A5784</f>
        <v>Lantai 1</v>
      </c>
      <c r="B5806">
        <f>B5784</f>
        <v>95</v>
      </c>
      <c r="C5806" t="str">
        <v>Sengkang Tumpuan</v>
      </c>
      <c r="D5806">
        <f>VLOOKUP(D5784,'Detail Balok'!$C$10:$AU$110,41,FALSE)</f>
        <v>0</v>
      </c>
      <c r="E5806" t="str">
        <v>D</v>
      </c>
      <c r="F5806">
        <f>VLOOKUP(D5784,'Detail Balok'!$C$10:$AU$110,43,FALSE)</f>
        <v>10</v>
      </c>
      <c r="G5806" t="str">
        <v>-</v>
      </c>
      <c r="H5806">
        <f>VLOOKUP(D5784,'Detail Balok'!$C$10:$AU$110,45,FALSE)</f>
        <v>100</v>
      </c>
      <c r="J5806">
        <f>(IF(D5806=0,(2*(D5785+G5785))-(F$5*8),IF(D5806=3,(2*(D5785+G5785))-(F$5*8)+(G5785-2*F$5),IF(D5806=4,(2*(D5785+G5785))-(F$5*8)+2*(G5785-2*F$5)))))/1000</f>
        <v>0.82</v>
      </c>
      <c r="K5806" t="str">
        <v>+</v>
      </c>
      <c r="L5806">
        <f>IF(D5806=0,2*MAX(6*F5806,75),(D5806-1)*2*MAX(6*F5806,75))/1000</f>
        <v>0.15</v>
      </c>
      <c r="M5806" t="str">
        <v>=</v>
      </c>
      <c r="N5806">
        <f>J5806+L5806</f>
        <v>0.97</v>
      </c>
      <c r="T5806" t="str">
        <v>x</v>
      </c>
      <c r="U5806">
        <f>0.006165*F5806^2</f>
        <v>0.6165</v>
      </c>
      <c r="V5806" t="str">
        <v>x</v>
      </c>
      <c r="W5806">
        <f>IF(D5787&gt;4*G5785,ROUND(MAX(D5787/4,2*G5785)/H5806,0)+1,0)</f>
        <v>9</v>
      </c>
      <c r="X5806" t="str">
        <v>x</v>
      </c>
      <c r="Y5806">
        <f>D5790</f>
        <v>1</v>
      </c>
      <c r="Z5806" t="str">
        <v>=</v>
      </c>
      <c r="AA5806">
        <f>N5806*U5806*W5806*Y5806</f>
        <v>5.382045</v>
      </c>
    </row>
    <row r="5808">
      <c r="A5808" t="str">
        <f>A5784</f>
        <v>Lantai 1</v>
      </c>
      <c r="B5808">
        <f>B5784</f>
        <v>95</v>
      </c>
      <c r="C5808" t="str">
        <v>Kait Horizontal Tump.</v>
      </c>
      <c r="D5808">
        <f>VLOOKUP(D5784,'Detail Balok'!$C$10:$BJ$110,46,FALSE)</f>
        <v>0</v>
      </c>
      <c r="E5808" t="str">
        <v>D</v>
      </c>
      <c r="F5808">
        <f>VLOOKUP(D5784,'Detail Balok'!$C$10:$BJ$110,48,FALSE)</f>
        <v>0</v>
      </c>
      <c r="G5808" t="str">
        <v>-</v>
      </c>
      <c r="H5808">
        <f>VLOOKUP(D5784,'Detail Balok'!$C$10:$BJ$110,50,FALSE)</f>
        <v>100</v>
      </c>
      <c r="J5808">
        <f>(D5785-2*F$5)/1000</f>
        <v>0.09</v>
      </c>
      <c r="K5808" t="str">
        <v>+</v>
      </c>
      <c r="L5808">
        <f>IF(D5808=0,2*MAX(6*F5808,75),(D5808-1)*2*MAX(6*F5808,75))/1000</f>
        <v>0.15</v>
      </c>
      <c r="M5808" t="str">
        <v>=</v>
      </c>
      <c r="N5808">
        <f>J5808+L5808</f>
        <v>0.24</v>
      </c>
      <c r="T5808" t="str">
        <v>x</v>
      </c>
      <c r="U5808">
        <f>0.006165*F5808^2</f>
        <v>0</v>
      </c>
      <c r="V5808" t="str">
        <v>x</v>
      </c>
      <c r="W5808">
        <f>W5804</f>
        <v>9</v>
      </c>
      <c r="X5808" t="str">
        <v>x</v>
      </c>
      <c r="Y5808">
        <f>D5794</f>
        <v>2</v>
      </c>
      <c r="Z5808" t="str">
        <v>=</v>
      </c>
      <c r="AA5808">
        <f>N5808*U5808*W5808*Y5808</f>
        <v>0</v>
      </c>
    </row>
    <row r="5809">
      <c r="A5809" t="str">
        <f>A5784</f>
        <v>Lantai 1</v>
      </c>
      <c r="B5809">
        <f>B5784</f>
        <v>95</v>
      </c>
      <c r="C5809" t="str">
        <v>Kait Horizontal Lap.</v>
      </c>
      <c r="D5809">
        <f>VLOOKUP(D5784,'Detail Balok'!$C$10:$BJ$110,51,FALSE)</f>
        <v>0</v>
      </c>
      <c r="E5809" t="str">
        <v>D</v>
      </c>
      <c r="F5809">
        <f>VLOOKUP(D5784,'Detail Balok'!$C$10:$BJ$110,53,FALSE)</f>
        <v>0</v>
      </c>
      <c r="G5809" t="str">
        <v>-</v>
      </c>
      <c r="H5809">
        <f>VLOOKUP(D5784,'Detail Balok'!$C$10:$BJ$110,55,FALSE)</f>
        <v>100</v>
      </c>
      <c r="J5809">
        <f>(D5785-2*F$5)/1000</f>
        <v>0.09</v>
      </c>
      <c r="K5809" t="str">
        <v>+</v>
      </c>
      <c r="L5809">
        <f>IF(D5809=0,2*MAX(6*F5809,75),(D5809-1)*2*MAX(6*F5809,75))/1000</f>
        <v>0.15</v>
      </c>
      <c r="M5809" t="str">
        <v>=</v>
      </c>
      <c r="N5809">
        <f>J5809+L5809</f>
        <v>0.24</v>
      </c>
      <c r="T5809" t="str">
        <v>x</v>
      </c>
      <c r="U5809">
        <f>0.006165*F5809^2</f>
        <v>0</v>
      </c>
      <c r="V5809" t="str">
        <v>x</v>
      </c>
      <c r="W5809">
        <f>W5805</f>
        <v>5</v>
      </c>
      <c r="X5809" t="str">
        <v>x</v>
      </c>
      <c r="Y5809">
        <f>D5794</f>
        <v>2</v>
      </c>
      <c r="Z5809" t="str">
        <v>=</v>
      </c>
      <c r="AA5809">
        <f>N5809*U5809*W5809*Y5809</f>
        <v>0</v>
      </c>
    </row>
    <row r="5810">
      <c r="A5810" t="str">
        <f>A5784</f>
        <v>Lantai 1</v>
      </c>
      <c r="B5810">
        <f>B5784</f>
        <v>95</v>
      </c>
      <c r="C5810" t="str">
        <v>Kait Horizontal Tump.</v>
      </c>
      <c r="D5810">
        <f>VLOOKUP(D5784,'Detail Balok'!$C$10:$BJ$110,56,FALSE)</f>
        <v>0</v>
      </c>
      <c r="E5810" t="str">
        <v>D</v>
      </c>
      <c r="F5810">
        <f>VLOOKUP(D5784,'Detail Balok'!$C$10:$BJ$110,58,FALSE)</f>
        <v>0</v>
      </c>
      <c r="G5810" t="str">
        <v>-</v>
      </c>
      <c r="H5810">
        <f>VLOOKUP(D5784,'Detail Balok'!$C$10:$BJ$110,60,FALSE)</f>
        <v>100</v>
      </c>
      <c r="J5810">
        <f>(D5785-2*F$5)/1000</f>
        <v>0.09</v>
      </c>
      <c r="K5810" t="str">
        <v>+</v>
      </c>
      <c r="L5810">
        <f>IF(D5810=0,2*MAX(6*F5810,75),(D5810-1)*2*MAX(6*F5810,75))/1000</f>
        <v>0.15</v>
      </c>
      <c r="M5810" t="str">
        <v>=</v>
      </c>
      <c r="N5810">
        <f>J5810+L5810</f>
        <v>0.24</v>
      </c>
      <c r="T5810" t="str">
        <v>x</v>
      </c>
      <c r="U5810">
        <f>0.006165*F5810^2</f>
        <v>0</v>
      </c>
      <c r="V5810" t="str">
        <v>x</v>
      </c>
      <c r="W5810">
        <f>W5806</f>
        <v>9</v>
      </c>
      <c r="X5810" t="str">
        <v>x</v>
      </c>
      <c r="Y5810">
        <f>D5794</f>
        <v>2</v>
      </c>
      <c r="Z5810" t="str">
        <v>=</v>
      </c>
      <c r="AA5810">
        <f>N5810*U5810*W5810*Y5810</f>
        <v>0</v>
      </c>
    </row>
    <row r="5814">
      <c r="A5814" t="str">
        <f>A5784</f>
        <v>Lantai 1</v>
      </c>
      <c r="B5814">
        <f>B5784+1</f>
        <v>96</v>
      </c>
      <c r="C5814" t="str">
        <f>CONCATENATE(A5814," no. ",B5814)</f>
        <v>Lantai 1 no. 96</v>
      </c>
      <c r="D5814" t="str">
        <f>VLOOKUP(C5814,'Data Panjang Balok'!$C$9:$N$424,2,FALSE)</f>
        <v>B176-1</v>
      </c>
    </row>
    <row r="5815">
      <c r="C5815" t="str">
        <v>Dimensi</v>
      </c>
      <c r="D5815">
        <f>VLOOKUP(D5814,'Detail Balok'!$C$10:$AU$110,2,FALSE)</f>
        <v>170</v>
      </c>
      <c r="F5815" t="str">
        <v>x</v>
      </c>
      <c r="G5815">
        <f>VLOOKUP(D5814,'Detail Balok'!$C$10:$AU$110,3,FALSE)</f>
        <v>600</v>
      </c>
    </row>
    <row r="5816">
      <c r="C5816" t="str">
        <v>Panjang as ke as</v>
      </c>
      <c r="D5816">
        <f>VLOOKUP(C5814,'Data Panjang Balok'!$C$9:$N$424,4,FALSE)</f>
        <v>4900</v>
      </c>
    </row>
    <row r="5817">
      <c r="C5817" t="str">
        <v>Panjang netto</v>
      </c>
      <c r="D5817">
        <f>VLOOKUP(C5814,'Data Panjang Balok'!$C$9:$N$424,7,FALSE)</f>
        <v>4900</v>
      </c>
    </row>
    <row r="5818">
      <c r="C5818" t="str">
        <v>Kolom / balok kiri</v>
      </c>
      <c r="D5818">
        <f>VLOOKUP(C5814,'Data Panjang Balok'!$C$9:$N$424,9,FALSE)</f>
        <v>0</v>
      </c>
    </row>
    <row r="5819">
      <c r="C5819" t="str">
        <v>Kolom / balok kanan</v>
      </c>
      <c r="D5819">
        <f>VLOOKUP(C5814,'Data Panjang Balok'!$C$9:$N$424,10,FALSE)</f>
        <v>0</v>
      </c>
    </row>
    <row r="5820">
      <c r="C5820" t="str">
        <v>Jumlah</v>
      </c>
      <c r="D5820">
        <f>VLOOKUP(C5814,'Data Panjang Balok'!$C$9:$N$424,3,FALSE)</f>
        <v>1</v>
      </c>
    </row>
    <row r="5821">
      <c r="A5821" t="str">
        <f>A5814</f>
        <v>Lantai 1</v>
      </c>
      <c r="B5821">
        <f>B5814</f>
        <v>96</v>
      </c>
      <c r="C5821" t="str">
        <v>Tul Atas Tumpuan</v>
      </c>
      <c r="D5821">
        <f>VLOOKUP(D5814,'Detail Balok'!$C$10:$AU$110,4,FALSE)</f>
        <v>3</v>
      </c>
      <c r="E5821" t="str">
        <v>D</v>
      </c>
      <c r="F5821">
        <f>VLOOKUP(D5814,'Detail Balok'!$C$10:$AU$110,6,FALSE)</f>
        <v>13</v>
      </c>
      <c r="I5821" t="str">
        <v>(</v>
      </c>
      <c r="J5821">
        <f>+D5816/4/1000</f>
        <v>1.225</v>
      </c>
      <c r="K5821" t="str">
        <v>+</v>
      </c>
      <c r="L5821">
        <f>MAX(VLOOKUP(F5821,N$6:P$15,3,FALSE)/1000,2/3*D5818/1000)+F$16*F5821/1000</f>
        <v>0.156</v>
      </c>
      <c r="M5821" t="str">
        <v>=</v>
      </c>
      <c r="N5821">
        <f>J5821+L5821</f>
        <v>1.381</v>
      </c>
      <c r="O5821" t="str">
        <v>+</v>
      </c>
      <c r="P5821">
        <f>D5821-D5822</f>
        <v>0</v>
      </c>
      <c r="Q5821" t="str">
        <v>x</v>
      </c>
      <c r="R5821">
        <f>IF(P5821&gt;0,$F$18*F5821/1000,0)</f>
        <v>0</v>
      </c>
      <c r="S5821" t="str">
        <v>)</v>
      </c>
      <c r="T5821" t="str">
        <v>x</v>
      </c>
      <c r="U5821">
        <f>0.006165*F5821^2</f>
        <v>1.041885</v>
      </c>
      <c r="X5821" t="str">
        <v>x</v>
      </c>
      <c r="Y5821">
        <f>D5820</f>
        <v>1</v>
      </c>
      <c r="Z5821" t="str">
        <v>=</v>
      </c>
      <c r="AA5821">
        <f>IF(AA5824=0,(D5821*N5821+P5821*R5821)*U5821*Y5821,0)</f>
        <v>0</v>
      </c>
    </row>
    <row r="5822">
      <c r="A5822" t="str">
        <f>A5814</f>
        <v>Lantai 1</v>
      </c>
      <c r="B5822">
        <f>B5814</f>
        <v>96</v>
      </c>
      <c r="C5822" t="str">
        <v>Tul Atas Lapangan</v>
      </c>
      <c r="D5822">
        <f>VLOOKUP(D5814,'Detail Balok'!$C$10:$AU$110,7,FALSE)</f>
        <v>3</v>
      </c>
      <c r="E5822" t="str">
        <v>D</v>
      </c>
      <c r="F5822">
        <f>VLOOKUP(D5814,'Detail Balok'!$C$10:$AU$110,9,FALSE)</f>
        <v>13</v>
      </c>
      <c r="I5822" t="str">
        <v>(</v>
      </c>
      <c r="J5822">
        <f>+D5816/2/1000</f>
        <v>2.45</v>
      </c>
      <c r="K5822" t="str">
        <v>+</v>
      </c>
      <c r="M5822" t="str">
        <v>=</v>
      </c>
      <c r="N5822">
        <f>J5822+L5822</f>
        <v>2.45</v>
      </c>
      <c r="O5822" t="str">
        <v>+</v>
      </c>
      <c r="P5822">
        <f>MAX(D5822-D5821,D5822-D5823)</f>
        <v>0</v>
      </c>
      <c r="Q5822" t="str">
        <v>x</v>
      </c>
      <c r="R5822">
        <f>IF(P5822&gt;0,2*(1-2*$F$19-1/2)*D5817/1000,0)</f>
        <v>0</v>
      </c>
      <c r="S5822" t="str">
        <v>)</v>
      </c>
      <c r="T5822" t="str">
        <v>x</v>
      </c>
      <c r="U5822">
        <f>0.006165*F5822^2</f>
        <v>1.041885</v>
      </c>
      <c r="X5822" t="str">
        <v>x</v>
      </c>
      <c r="Y5822">
        <f>D5820</f>
        <v>1</v>
      </c>
      <c r="Z5822" t="str">
        <v>=</v>
      </c>
      <c r="AA5822">
        <f>IF(AA5824=0,(D5822*N5822+P5822*R5822)*U5822*Y5822,0)</f>
        <v>0</v>
      </c>
    </row>
    <row r="5823">
      <c r="A5823" t="str">
        <f>A5814</f>
        <v>Lantai 1</v>
      </c>
      <c r="B5823">
        <f>B5814</f>
        <v>96</v>
      </c>
      <c r="C5823" t="str">
        <v>Tul Atas Tumpuan</v>
      </c>
      <c r="D5823">
        <f>VLOOKUP(D5814,'Detail Balok'!$C$10:$AU$110,10,FALSE)</f>
        <v>3</v>
      </c>
      <c r="E5823" t="str">
        <v>D</v>
      </c>
      <c r="F5823">
        <f>VLOOKUP(D5814,'Detail Balok'!$C$10:$AU$110,12,FALSE)</f>
        <v>13</v>
      </c>
      <c r="I5823" t="str">
        <v>(</v>
      </c>
      <c r="J5823">
        <f>+D5816/4/1000</f>
        <v>1.225</v>
      </c>
      <c r="K5823" t="str">
        <v>+</v>
      </c>
      <c r="L5823">
        <f>MAX(VLOOKUP(F5823,N$6:P$15,3,FALSE)/1000,2/3*D5818/1000)+F$16*F5823/1000</f>
        <v>0.156</v>
      </c>
      <c r="M5823" t="str">
        <v>=</v>
      </c>
      <c r="N5823">
        <f>J5823+L5823</f>
        <v>1.381</v>
      </c>
      <c r="O5823" t="str">
        <v>+</v>
      </c>
      <c r="P5823">
        <f>D5823-D5822</f>
        <v>0</v>
      </c>
      <c r="Q5823" t="str">
        <v>x</v>
      </c>
      <c r="R5823">
        <f>IF(P5823&gt;0,$F$18*F5823/1000,0)</f>
        <v>0</v>
      </c>
      <c r="S5823" t="str">
        <v>)</v>
      </c>
      <c r="T5823" t="str">
        <v>x</v>
      </c>
      <c r="U5823">
        <f>0.006165*F5823^2</f>
        <v>1.041885</v>
      </c>
      <c r="X5823" t="str">
        <v>x</v>
      </c>
      <c r="Y5823">
        <f>D5820</f>
        <v>1</v>
      </c>
      <c r="Z5823" t="str">
        <v>=</v>
      </c>
      <c r="AA5823">
        <f>IF(AA5824=0,(D5823*N5823+P5823*R5823)*U5823*Y5823,0)</f>
        <v>0</v>
      </c>
    </row>
    <row r="5824">
      <c r="A5824" t="str">
        <f>A5814</f>
        <v>Lantai 1</v>
      </c>
      <c r="B5824">
        <f>B5814</f>
        <v>96</v>
      </c>
      <c r="D5824">
        <f>IF(AND(D5821=D5822,D5822=D5823,D5821=D5823),D5821,0)</f>
        <v>3</v>
      </c>
      <c r="E5824" t="str">
        <v>D</v>
      </c>
      <c r="F5824">
        <f>IF(AND(F5821=F5822,F5821=F5823,F5822=F5823),F5821,0)</f>
        <v>13</v>
      </c>
      <c r="L5824" t="str">
        <v>Total panjang per balok</v>
      </c>
      <c r="M5824" t="str">
        <v>=</v>
      </c>
      <c r="N5824">
        <f>IF(AND(D5821=D5822,D5821=D5823,D5822=D5823,F5821=F5822,F5821=F5823,F5822=F5823),SUM(N5821:N5823),0)</f>
        <v>5.212000000000001</v>
      </c>
      <c r="O5824" t="str">
        <v>+</v>
      </c>
      <c r="P5824">
        <f>IF(N5824&gt;12,ROUNDDOWN(N5824/12,0),0)</f>
        <v>0</v>
      </c>
      <c r="Q5824" t="str">
        <v>x</v>
      </c>
      <c r="R5824">
        <f>IF(P5824&gt;0,MAX(VLOOKUP(F5824,$D$6:$G$15,3,FALSE),600),0)/1000</f>
        <v>0</v>
      </c>
      <c r="T5824" t="str">
        <v>x</v>
      </c>
      <c r="U5824">
        <f>U5823</f>
        <v>1.041885</v>
      </c>
      <c r="V5824" t="str">
        <v>x</v>
      </c>
      <c r="W5824">
        <f>D5824</f>
        <v>3</v>
      </c>
      <c r="X5824" t="str">
        <v>x</v>
      </c>
      <c r="Y5824">
        <f>Y5823</f>
        <v>1</v>
      </c>
      <c r="Z5824" t="str">
        <v>=</v>
      </c>
      <c r="AA5824">
        <f>(N5824+P5824*R5824/1000)*U5824*W5824*Y5824</f>
        <v>16.29091386</v>
      </c>
    </row>
    <row r="5826">
      <c r="A5826" t="str">
        <f>A5814</f>
        <v>Lantai 1</v>
      </c>
      <c r="B5826">
        <f>B5814</f>
        <v>96</v>
      </c>
      <c r="C5826" t="str">
        <v>Tul Peminggang</v>
      </c>
      <c r="D5826">
        <f>VLOOKUP(D5814,'Detail Balok'!$C$10:$AU$110,13,FALSE)</f>
        <v>2</v>
      </c>
      <c r="E5826" t="str">
        <v>D</v>
      </c>
      <c r="F5826">
        <f>VLOOKUP(D5814,'Detail Balok'!$C$10:$AU$110,15,FALSE)</f>
        <v>10</v>
      </c>
      <c r="J5826">
        <f>+D5816/1000</f>
        <v>4.9</v>
      </c>
      <c r="K5826" t="str">
        <v>+</v>
      </c>
      <c r="L5826">
        <f>2*$F$16*F5826/1000</f>
        <v>0.24</v>
      </c>
      <c r="M5826" t="str">
        <v>=</v>
      </c>
      <c r="N5826">
        <f>J5826+L5826</f>
        <v>5.140000000000001</v>
      </c>
      <c r="O5826" t="str">
        <v>+</v>
      </c>
      <c r="P5826">
        <f>IF(N5826&gt;12,ROUNDDOWN(N5826/12,0),0)</f>
        <v>0</v>
      </c>
      <c r="Q5826" t="str">
        <v>x</v>
      </c>
      <c r="R5826">
        <f>IF(P5826&gt;0,MAX(VLOOKUP(F5826,$D$6:$G$15,3,FALSE),600),0)/1000</f>
        <v>0</v>
      </c>
      <c r="T5826" t="str">
        <v>x</v>
      </c>
      <c r="U5826">
        <f>0.006165*F5826^2</f>
        <v>0.6165</v>
      </c>
      <c r="V5826" t="str">
        <v>x</v>
      </c>
      <c r="W5826">
        <f>+D5826</f>
        <v>2</v>
      </c>
      <c r="X5826" t="str">
        <v>x</v>
      </c>
      <c r="Y5826">
        <f>D5820</f>
        <v>1</v>
      </c>
      <c r="Z5826" t="str">
        <v>=</v>
      </c>
      <c r="AA5826">
        <f>(N5826+P5826*R5826/1000)*U5826*W5826*Y5826</f>
        <v>6.337620000000001</v>
      </c>
    </row>
    <row r="5829">
      <c r="A5829" t="str">
        <f>A5814</f>
        <v>Lantai 1</v>
      </c>
      <c r="B5829">
        <f>B5814</f>
        <v>96</v>
      </c>
      <c r="C5829" t="str">
        <v>Tul Bawah Tumpuan</v>
      </c>
      <c r="D5829">
        <f>VLOOKUP(D5814,'Detail Balok'!$C$10:$AU$110,22,FALSE)</f>
        <v>3</v>
      </c>
      <c r="E5829" t="str">
        <v>D</v>
      </c>
      <c r="F5829">
        <f>VLOOKUP(D5814,'Detail Balok'!$C$10:$AU$110,24,FALSE)</f>
        <v>13</v>
      </c>
      <c r="I5829" t="str">
        <v>(</v>
      </c>
      <c r="J5829">
        <f>+J5821</f>
        <v>1.225</v>
      </c>
      <c r="K5829" t="str">
        <v>+</v>
      </c>
      <c r="L5829">
        <f>MAX(VLOOKUP(F5829,N$6:P$15,3,FALSE)/1000,2/3*D5819/1000)+F$16*F5829/1000</f>
        <v>0.156</v>
      </c>
      <c r="M5829" t="str">
        <v>=</v>
      </c>
      <c r="N5829">
        <f>J5829+L5829</f>
        <v>1.381</v>
      </c>
      <c r="O5829" t="str">
        <v>+</v>
      </c>
      <c r="P5829">
        <f>D5829-D5830</f>
        <v>0</v>
      </c>
      <c r="Q5829" t="str">
        <v>x</v>
      </c>
      <c r="R5829">
        <f>IF(P5829&gt;0,$F$18*F5829/1000,0)</f>
        <v>0</v>
      </c>
      <c r="S5829" t="str">
        <v>)</v>
      </c>
      <c r="T5829" t="str">
        <v>x</v>
      </c>
      <c r="U5829">
        <f>0.006165*F5829^2</f>
        <v>1.041885</v>
      </c>
      <c r="X5829" t="str">
        <v>x</v>
      </c>
      <c r="Y5829">
        <f>D5820</f>
        <v>1</v>
      </c>
      <c r="Z5829" t="str">
        <v>=</v>
      </c>
      <c r="AA5829">
        <f>IF(AA5832=0,(D5829*N5829+P5829*R5829)*U5829*Y5829,0)</f>
        <v>0</v>
      </c>
    </row>
    <row r="5830">
      <c r="A5830" t="str">
        <f>A5814</f>
        <v>Lantai 1</v>
      </c>
      <c r="B5830">
        <f>B5814</f>
        <v>96</v>
      </c>
      <c r="C5830" t="str">
        <v>Tul Bawah Lapangan</v>
      </c>
      <c r="D5830">
        <f>VLOOKUP(D5814,'Detail Balok'!$C$10:$AU$110,25,FALSE)</f>
        <v>3</v>
      </c>
      <c r="E5830" t="str">
        <v>D</v>
      </c>
      <c r="F5830">
        <f>VLOOKUP(D5814,'Detail Balok'!$C$10:$AU$110,27,FALSE)</f>
        <v>13</v>
      </c>
      <c r="I5830" t="str">
        <v>(</v>
      </c>
      <c r="J5830">
        <f>+J5822</f>
        <v>2.45</v>
      </c>
      <c r="K5830" t="str">
        <v>+</v>
      </c>
      <c r="M5830" t="str">
        <v>=</v>
      </c>
      <c r="N5830">
        <f>J5830+L5830</f>
        <v>2.45</v>
      </c>
      <c r="O5830" t="str">
        <v>+</v>
      </c>
      <c r="P5830">
        <f>MAX(D5830-D5829,D5830-D5831)</f>
        <v>0</v>
      </c>
      <c r="Q5830" t="str">
        <v>x</v>
      </c>
      <c r="R5830">
        <f>IF(P5830&gt;0,2*(1-2*$F$19-1/2)*D5817/1000,0)</f>
        <v>0</v>
      </c>
      <c r="S5830" t="str">
        <v>)</v>
      </c>
      <c r="T5830" t="str">
        <v>x</v>
      </c>
      <c r="U5830">
        <f>0.006165*F5830^2</f>
        <v>1.041885</v>
      </c>
      <c r="X5830" t="str">
        <v>x</v>
      </c>
      <c r="Y5830">
        <f>D5820</f>
        <v>1</v>
      </c>
      <c r="Z5830" t="str">
        <v>=</v>
      </c>
      <c r="AA5830">
        <f>IF(AA5832=0,(D5830*N5830+P5830*R5830)*U5830*Y5830,0)</f>
        <v>0</v>
      </c>
    </row>
    <row r="5831">
      <c r="A5831" t="str">
        <f>A5814</f>
        <v>Lantai 1</v>
      </c>
      <c r="B5831">
        <f>B5814</f>
        <v>96</v>
      </c>
      <c r="C5831" t="str">
        <v>Tul Bawah Tumpuan</v>
      </c>
      <c r="D5831">
        <f>VLOOKUP(D5814,'Detail Balok'!$C$10:$AU$110,28,FALSE)</f>
        <v>3</v>
      </c>
      <c r="E5831" t="str">
        <v>D</v>
      </c>
      <c r="F5831">
        <f>VLOOKUP(D5814,'Detail Balok'!$C$10:$AU$110,30,FALSE)</f>
        <v>13</v>
      </c>
      <c r="I5831" t="str">
        <v>(</v>
      </c>
      <c r="J5831">
        <f>+J5823</f>
        <v>1.225</v>
      </c>
      <c r="K5831" t="str">
        <v>+</v>
      </c>
      <c r="L5831">
        <f>MAX(VLOOKUP(F5831,N$6:P$15,3,FALSE)/1000,2/3*D5819/1000)+F$16*F5831/1000</f>
        <v>0.156</v>
      </c>
      <c r="M5831" t="str">
        <v>=</v>
      </c>
      <c r="N5831">
        <f>J5831+L5831</f>
        <v>1.381</v>
      </c>
      <c r="O5831" t="str">
        <v>+</v>
      </c>
      <c r="P5831">
        <f>D5831-D5830</f>
        <v>0</v>
      </c>
      <c r="Q5831" t="str">
        <v>x</v>
      </c>
      <c r="R5831">
        <f>IF(P5831&gt;0,$F$18*F5831/1000,0)</f>
        <v>0</v>
      </c>
      <c r="S5831" t="str">
        <v>)</v>
      </c>
      <c r="T5831" t="str">
        <v>x</v>
      </c>
      <c r="U5831">
        <f>0.006165*F5831^2</f>
        <v>1.041885</v>
      </c>
      <c r="X5831" t="str">
        <v>x</v>
      </c>
      <c r="Y5831">
        <f>D5820</f>
        <v>1</v>
      </c>
      <c r="Z5831" t="str">
        <v>=</v>
      </c>
      <c r="AA5831">
        <f>IF(AA5832=0,(D5831*N5831+P5831*R5831)*U5831*Y5831,0)</f>
        <v>0</v>
      </c>
    </row>
    <row r="5832">
      <c r="A5832" t="str">
        <f>A5814</f>
        <v>Lantai 1</v>
      </c>
      <c r="B5832">
        <f>B5814</f>
        <v>96</v>
      </c>
      <c r="D5832">
        <f>IF(AND(D5829=D5830,D5830=D5831,D5829=D5831),D5829,0)</f>
        <v>3</v>
      </c>
      <c r="E5832" t="str">
        <v>D</v>
      </c>
      <c r="F5832">
        <f>IF(AND(F5829=F5830,F5829=F5831,F5830=F5831),F5829,0)</f>
        <v>13</v>
      </c>
      <c r="L5832" t="str">
        <v>Total panjang per balok</v>
      </c>
      <c r="M5832" t="str">
        <v>=</v>
      </c>
      <c r="N5832">
        <f>IF(AND(D5829=D5830,D5829=D5831,D5830=D5831,F5829=F5830,F5829=F5831,F5830=F5831),SUM(N5829:N5831),0)</f>
        <v>5.212000000000001</v>
      </c>
      <c r="O5832" t="str">
        <v>+</v>
      </c>
      <c r="P5832">
        <f>IF(N5832&gt;12,ROUNDDOWN(N5832/12,0),0)</f>
        <v>0</v>
      </c>
      <c r="Q5832" t="str">
        <v>x</v>
      </c>
      <c r="R5832">
        <f>IF(P5832&gt;0,MAX(VLOOKUP(F5832,$D$6:$G$15,3,FALSE),600),0)/1000</f>
        <v>0</v>
      </c>
      <c r="T5832" t="str">
        <v>x</v>
      </c>
      <c r="U5832">
        <f>U5831</f>
        <v>1.041885</v>
      </c>
      <c r="V5832" t="str">
        <v>x</v>
      </c>
      <c r="W5832">
        <f>D5832</f>
        <v>3</v>
      </c>
      <c r="X5832" t="str">
        <v>x</v>
      </c>
      <c r="Y5832">
        <f>Y5831</f>
        <v>1</v>
      </c>
      <c r="Z5832" t="str">
        <v>=</v>
      </c>
      <c r="AA5832">
        <f>(N5832+P5832*R5832/1000)*U5832*W5832*Y5832</f>
        <v>16.29091386</v>
      </c>
    </row>
    <row r="5834">
      <c r="A5834" t="str">
        <f>A5814</f>
        <v>Lantai 1</v>
      </c>
      <c r="B5834">
        <f>B5814</f>
        <v>96</v>
      </c>
      <c r="C5834" t="str">
        <v>Sengkang Tumpuan</v>
      </c>
      <c r="D5834">
        <f>VLOOKUP(D5814,'Detail Balok'!$C$10:$AU$110,31,FALSE)</f>
        <v>0</v>
      </c>
      <c r="E5834" t="str">
        <v>D</v>
      </c>
      <c r="F5834">
        <f>VLOOKUP(D5814,'Detail Balok'!$C$10:$AU$110,33,FALSE)</f>
        <v>10</v>
      </c>
      <c r="G5834" t="str">
        <v>-</v>
      </c>
      <c r="H5834">
        <f>VLOOKUP(D5814,'Detail Balok'!$C$10:$AU$110,35,FALSE)</f>
        <v>100</v>
      </c>
      <c r="J5834">
        <f>(IF(D5834=0,(2*(D5815+G5815))-(F$5*8),IF(D5834=3,(2*(D5815+G5815))-(F$5*8)+(G5815-2*F$5),IF(D5834=4,(2*(D5815+G5815))-(F$5*8)+2*(G5815-2*F$5)))))/1000</f>
        <v>1.22</v>
      </c>
      <c r="K5834" t="str">
        <v>+</v>
      </c>
      <c r="L5834">
        <f>IF(D5834=0,2*MAX(6*F5834,75),(D5834-1)*2*MAX(6*F5834,75))/1000</f>
        <v>0.15</v>
      </c>
      <c r="M5834" t="str">
        <v>=</v>
      </c>
      <c r="N5834">
        <f>J5834+L5834</f>
        <v>1.3699999999999999</v>
      </c>
      <c r="T5834" t="str">
        <v>x</v>
      </c>
      <c r="U5834">
        <f>0.006165*F5834^2</f>
        <v>0.6165</v>
      </c>
      <c r="V5834" t="str">
        <v>x</v>
      </c>
      <c r="W5834">
        <f>IF(D5817&gt;4*G5815,ROUND(MAX(D5817/4,2*G5815)/H5834,0)+1,ROUND(D5817/H5834,0)+1)</f>
        <v>13</v>
      </c>
      <c r="X5834" t="str">
        <v>x</v>
      </c>
      <c r="Y5834">
        <f>D5820</f>
        <v>1</v>
      </c>
      <c r="Z5834" t="str">
        <v>=</v>
      </c>
      <c r="AA5834">
        <f>N5834*U5834*W5834*Y5834</f>
        <v>10.979864999999998</v>
      </c>
    </row>
    <row r="5835">
      <c r="A5835" t="str">
        <f>A5814</f>
        <v>Lantai 1</v>
      </c>
      <c r="B5835">
        <f>B5814</f>
        <v>96</v>
      </c>
      <c r="C5835" t="str">
        <v>Sengkang Lapangan</v>
      </c>
      <c r="D5835">
        <f>VLOOKUP(D5814,'Detail Balok'!$C$10:$AU$110,36,FALSE)</f>
        <v>0</v>
      </c>
      <c r="E5835" t="str">
        <v>D</v>
      </c>
      <c r="F5835">
        <f>VLOOKUP(D5814,'Detail Balok'!$C$10:$AU$110,38,FALSE)</f>
        <v>10</v>
      </c>
      <c r="G5835" t="str">
        <v>-</v>
      </c>
      <c r="H5835">
        <f>VLOOKUP(D5814,'Detail Balok'!$C$10:$AU$110,40,FALSE)</f>
        <v>200</v>
      </c>
      <c r="J5835">
        <f>(IF(D5835=0,(2*(D5815+G5815))-(F$5*8),IF(D5835=3,(2*(D5815+G5815))-(F$5*8)+(G5815-2*F$5),IF(D5835=4,(2*(D5815+G5815))-(F$5*8)+2*(G5815-2*F$5)))))/1000</f>
        <v>1.22</v>
      </c>
      <c r="K5835" t="str">
        <v>+</v>
      </c>
      <c r="L5835">
        <f>IF(D5835=0,2*MAX(6*F5835,75),(D5835-1)*2*MAX(6*F5835,75))/1000</f>
        <v>0.15</v>
      </c>
      <c r="M5835" t="str">
        <v>=</v>
      </c>
      <c r="N5835">
        <f>J5835+L5835</f>
        <v>1.3699999999999999</v>
      </c>
      <c r="T5835" t="str">
        <v>x</v>
      </c>
      <c r="U5835">
        <f>0.006165*F5835^2</f>
        <v>0.6165</v>
      </c>
      <c r="V5835" t="str">
        <v>x</v>
      </c>
      <c r="W5835">
        <f>IF(D5817-MAX(D5817/4,2*G5815)*2&gt;0,ROUND((D5817-MAX(D5817/4,2*G5815)*2)/H5835,0),0)</f>
        <v>12</v>
      </c>
      <c r="X5835" t="str">
        <v>x</v>
      </c>
      <c r="Y5835">
        <f>D5820</f>
        <v>1</v>
      </c>
      <c r="Z5835" t="str">
        <v>=</v>
      </c>
      <c r="AA5835">
        <f>N5835*U5835*W5835*Y5835</f>
        <v>10.135259999999999</v>
      </c>
    </row>
    <row r="5836">
      <c r="A5836" t="str">
        <f>A5814</f>
        <v>Lantai 1</v>
      </c>
      <c r="B5836">
        <f>B5814</f>
        <v>96</v>
      </c>
      <c r="C5836" t="str">
        <v>Sengkang Tumpuan</v>
      </c>
      <c r="D5836">
        <f>VLOOKUP(D5814,'Detail Balok'!$C$10:$AU$110,41,FALSE)</f>
        <v>0</v>
      </c>
      <c r="E5836" t="str">
        <v>D</v>
      </c>
      <c r="F5836">
        <f>VLOOKUP(D5814,'Detail Balok'!$C$10:$AU$110,43,FALSE)</f>
        <v>10</v>
      </c>
      <c r="G5836" t="str">
        <v>-</v>
      </c>
      <c r="H5836">
        <f>VLOOKUP(D5814,'Detail Balok'!$C$10:$AU$110,45,FALSE)</f>
        <v>100</v>
      </c>
      <c r="J5836">
        <f>(IF(D5836=0,(2*(D5815+G5815))-(F$5*8),IF(D5836=3,(2*(D5815+G5815))-(F$5*8)+(G5815-2*F$5),IF(D5836=4,(2*(D5815+G5815))-(F$5*8)+2*(G5815-2*F$5)))))/1000</f>
        <v>1.22</v>
      </c>
      <c r="K5836" t="str">
        <v>+</v>
      </c>
      <c r="L5836">
        <f>IF(D5836=0,2*MAX(6*F5836,75),(D5836-1)*2*MAX(6*F5836,75))/1000</f>
        <v>0.15</v>
      </c>
      <c r="M5836" t="str">
        <v>=</v>
      </c>
      <c r="N5836">
        <f>J5836+L5836</f>
        <v>1.3699999999999999</v>
      </c>
      <c r="T5836" t="str">
        <v>x</v>
      </c>
      <c r="U5836">
        <f>0.006165*F5836^2</f>
        <v>0.6165</v>
      </c>
      <c r="V5836" t="str">
        <v>x</v>
      </c>
      <c r="W5836">
        <f>IF(D5817&gt;4*G5815,ROUND(MAX(D5817/4,2*G5815)/H5836,0)+1,0)</f>
        <v>13</v>
      </c>
      <c r="X5836" t="str">
        <v>x</v>
      </c>
      <c r="Y5836">
        <f>D5820</f>
        <v>1</v>
      </c>
      <c r="Z5836" t="str">
        <v>=</v>
      </c>
      <c r="AA5836">
        <f>N5836*U5836*W5836*Y5836</f>
        <v>10.979864999999998</v>
      </c>
    </row>
    <row r="5838">
      <c r="A5838" t="str">
        <f>A5814</f>
        <v>Lantai 1</v>
      </c>
      <c r="B5838">
        <f>B5814</f>
        <v>96</v>
      </c>
      <c r="C5838" t="str">
        <v>Kait Horizontal Tump.</v>
      </c>
      <c r="D5838">
        <f>VLOOKUP(D5814,'Detail Balok'!$C$10:$BJ$110,46,FALSE)</f>
        <v>0</v>
      </c>
      <c r="E5838" t="str">
        <v>D</v>
      </c>
      <c r="F5838">
        <f>VLOOKUP(D5814,'Detail Balok'!$C$10:$BJ$110,48,FALSE)</f>
        <v>0</v>
      </c>
      <c r="G5838" t="str">
        <v>-</v>
      </c>
      <c r="H5838">
        <f>VLOOKUP(D5814,'Detail Balok'!$C$10:$BJ$110,50,FALSE)</f>
        <v>100</v>
      </c>
      <c r="J5838">
        <f>(D5815-2*F$5)/1000</f>
        <v>0.09</v>
      </c>
      <c r="K5838" t="str">
        <v>+</v>
      </c>
      <c r="L5838">
        <f>IF(D5838=0,2*MAX(6*F5838,75),(D5838-1)*2*MAX(6*F5838,75))/1000</f>
        <v>0.15</v>
      </c>
      <c r="M5838" t="str">
        <v>=</v>
      </c>
      <c r="N5838">
        <f>J5838+L5838</f>
        <v>0.24</v>
      </c>
      <c r="T5838" t="str">
        <v>x</v>
      </c>
      <c r="U5838">
        <f>0.006165*F5838^2</f>
        <v>0</v>
      </c>
      <c r="V5838" t="str">
        <v>x</v>
      </c>
      <c r="W5838">
        <f>W5834</f>
        <v>13</v>
      </c>
      <c r="X5838" t="str">
        <v>x</v>
      </c>
      <c r="Y5838">
        <f>D5824</f>
        <v>3</v>
      </c>
      <c r="Z5838" t="str">
        <v>=</v>
      </c>
      <c r="AA5838">
        <f>N5838*U5838*W5838*Y5838</f>
        <v>0</v>
      </c>
    </row>
    <row r="5839">
      <c r="A5839" t="str">
        <f>A5814</f>
        <v>Lantai 1</v>
      </c>
      <c r="B5839">
        <f>B5814</f>
        <v>96</v>
      </c>
      <c r="C5839" t="str">
        <v>Kait Horizontal Lap.</v>
      </c>
      <c r="D5839">
        <f>VLOOKUP(D5814,'Detail Balok'!$C$10:$BJ$110,51,FALSE)</f>
        <v>0</v>
      </c>
      <c r="E5839" t="str">
        <v>D</v>
      </c>
      <c r="F5839">
        <f>VLOOKUP(D5814,'Detail Balok'!$C$10:$BJ$110,53,FALSE)</f>
        <v>0</v>
      </c>
      <c r="G5839" t="str">
        <v>-</v>
      </c>
      <c r="H5839">
        <f>VLOOKUP(D5814,'Detail Balok'!$C$10:$BJ$110,55,FALSE)</f>
        <v>100</v>
      </c>
      <c r="J5839">
        <f>(D5815-2*F$5)/1000</f>
        <v>0.09</v>
      </c>
      <c r="K5839" t="str">
        <v>+</v>
      </c>
      <c r="L5839">
        <f>IF(D5839=0,2*MAX(6*F5839,75),(D5839-1)*2*MAX(6*F5839,75))/1000</f>
        <v>0.15</v>
      </c>
      <c r="M5839" t="str">
        <v>=</v>
      </c>
      <c r="N5839">
        <f>J5839+L5839</f>
        <v>0.24</v>
      </c>
      <c r="T5839" t="str">
        <v>x</v>
      </c>
      <c r="U5839">
        <f>0.006165*F5839^2</f>
        <v>0</v>
      </c>
      <c r="V5839" t="str">
        <v>x</v>
      </c>
      <c r="W5839">
        <f>W5835</f>
        <v>12</v>
      </c>
      <c r="X5839" t="str">
        <v>x</v>
      </c>
      <c r="Y5839">
        <f>D5824</f>
        <v>3</v>
      </c>
      <c r="Z5839" t="str">
        <v>=</v>
      </c>
      <c r="AA5839">
        <f>N5839*U5839*W5839*Y5839</f>
        <v>0</v>
      </c>
    </row>
    <row r="5840">
      <c r="A5840" t="str">
        <f>A5814</f>
        <v>Lantai 1</v>
      </c>
      <c r="B5840">
        <f>B5814</f>
        <v>96</v>
      </c>
      <c r="C5840" t="str">
        <v>Kait Horizontal Tump.</v>
      </c>
      <c r="D5840">
        <f>VLOOKUP(D5814,'Detail Balok'!$C$10:$BJ$110,56,FALSE)</f>
        <v>0</v>
      </c>
      <c r="E5840" t="str">
        <v>D</v>
      </c>
      <c r="F5840">
        <f>VLOOKUP(D5814,'Detail Balok'!$C$10:$BJ$110,58,FALSE)</f>
        <v>0</v>
      </c>
      <c r="G5840" t="str">
        <v>-</v>
      </c>
      <c r="H5840">
        <f>VLOOKUP(D5814,'Detail Balok'!$C$10:$BJ$110,60,FALSE)</f>
        <v>100</v>
      </c>
      <c r="J5840">
        <f>(D5815-2*F$5)/1000</f>
        <v>0.09</v>
      </c>
      <c r="K5840" t="str">
        <v>+</v>
      </c>
      <c r="L5840">
        <f>IF(D5840=0,2*MAX(6*F5840,75),(D5840-1)*2*MAX(6*F5840,75))/1000</f>
        <v>0.15</v>
      </c>
      <c r="M5840" t="str">
        <v>=</v>
      </c>
      <c r="N5840">
        <f>J5840+L5840</f>
        <v>0.24</v>
      </c>
      <c r="T5840" t="str">
        <v>x</v>
      </c>
      <c r="U5840">
        <f>0.006165*F5840^2</f>
        <v>0</v>
      </c>
      <c r="V5840" t="str">
        <v>x</v>
      </c>
      <c r="W5840">
        <f>W5836</f>
        <v>13</v>
      </c>
      <c r="X5840" t="str">
        <v>x</v>
      </c>
      <c r="Y5840">
        <f>D5824</f>
        <v>3</v>
      </c>
      <c r="Z5840" t="str">
        <v>=</v>
      </c>
      <c r="AA5840">
        <f>N5840*U5840*W5840*Y5840</f>
        <v>0</v>
      </c>
    </row>
    <row r="5844">
      <c r="A5844" t="str">
        <f>A5814</f>
        <v>Lantai 1</v>
      </c>
      <c r="B5844">
        <f>B5814+1</f>
        <v>97</v>
      </c>
      <c r="C5844" t="str">
        <f>CONCATENATE(A5844," no. ",B5844)</f>
        <v>Lantai 1 no. 97</v>
      </c>
      <c r="D5844" t="str">
        <f>VLOOKUP(C5844,'Data Panjang Balok'!$C$9:$N$424,2,FALSE)</f>
        <v>B174-1</v>
      </c>
    </row>
    <row r="5845">
      <c r="C5845" t="str">
        <v>Dimensi</v>
      </c>
      <c r="D5845">
        <f>VLOOKUP(D5844,'Detail Balok'!$C$10:$AU$110,2,FALSE)</f>
        <v>170</v>
      </c>
      <c r="F5845" t="str">
        <v>x</v>
      </c>
      <c r="G5845">
        <f>VLOOKUP(D5844,'Detail Balok'!$C$10:$AU$110,3,FALSE)</f>
        <v>400</v>
      </c>
    </row>
    <row r="5846">
      <c r="C5846" t="str">
        <v>Panjang as ke as</v>
      </c>
      <c r="D5846">
        <f>VLOOKUP(C5844,'Data Panjang Balok'!$C$9:$N$424,4,FALSE)</f>
        <v>3185</v>
      </c>
    </row>
    <row r="5847">
      <c r="C5847" t="str">
        <v>Panjang netto</v>
      </c>
      <c r="D5847">
        <f>VLOOKUP(C5844,'Data Panjang Balok'!$C$9:$N$424,7,FALSE)</f>
        <v>3185</v>
      </c>
    </row>
    <row r="5848">
      <c r="C5848" t="str">
        <v>Kolom / balok kiri</v>
      </c>
      <c r="D5848">
        <f>VLOOKUP(C5844,'Data Panjang Balok'!$C$9:$N$424,9,FALSE)</f>
        <v>0</v>
      </c>
    </row>
    <row r="5849">
      <c r="C5849" t="str">
        <v>Kolom / balok kanan</v>
      </c>
      <c r="D5849">
        <f>VLOOKUP(C5844,'Data Panjang Balok'!$C$9:$N$424,10,FALSE)</f>
        <v>0</v>
      </c>
    </row>
    <row r="5850">
      <c r="C5850" t="str">
        <v>Jumlah</v>
      </c>
      <c r="D5850">
        <f>VLOOKUP(C5844,'Data Panjang Balok'!$C$9:$N$424,3,FALSE)</f>
        <v>1</v>
      </c>
    </row>
    <row r="5851">
      <c r="A5851" t="str">
        <f>A5844</f>
        <v>Lantai 1</v>
      </c>
      <c r="B5851">
        <f>B5844</f>
        <v>97</v>
      </c>
      <c r="C5851" t="str">
        <v>Tul Atas Tumpuan</v>
      </c>
      <c r="D5851">
        <f>VLOOKUP(D5844,'Detail Balok'!$C$10:$AU$110,4,FALSE)</f>
        <v>2</v>
      </c>
      <c r="E5851" t="str">
        <v>D</v>
      </c>
      <c r="F5851">
        <f>VLOOKUP(D5844,'Detail Balok'!$C$10:$AU$110,6,FALSE)</f>
        <v>13</v>
      </c>
      <c r="I5851" t="str">
        <v>(</v>
      </c>
      <c r="J5851">
        <f>+D5846/4/1000</f>
        <v>0.79625</v>
      </c>
      <c r="K5851" t="str">
        <v>+</v>
      </c>
      <c r="L5851">
        <f>MAX(VLOOKUP(F5851,N$6:P$15,3,FALSE)/1000,2/3*D5848/1000)+F$16*F5851/1000</f>
        <v>0.156</v>
      </c>
      <c r="M5851" t="str">
        <v>=</v>
      </c>
      <c r="N5851">
        <f>J5851+L5851</f>
        <v>0.95225</v>
      </c>
      <c r="O5851" t="str">
        <v>+</v>
      </c>
      <c r="P5851">
        <f>D5851-D5852</f>
        <v>0</v>
      </c>
      <c r="Q5851" t="str">
        <v>x</v>
      </c>
      <c r="R5851">
        <f>IF(P5851&gt;0,$F$18*F5851/1000,0)</f>
        <v>0</v>
      </c>
      <c r="S5851" t="str">
        <v>)</v>
      </c>
      <c r="T5851" t="str">
        <v>x</v>
      </c>
      <c r="U5851">
        <f>0.006165*F5851^2</f>
        <v>1.041885</v>
      </c>
      <c r="X5851" t="str">
        <v>x</v>
      </c>
      <c r="Y5851">
        <f>D5850</f>
        <v>1</v>
      </c>
      <c r="Z5851" t="str">
        <v>=</v>
      </c>
      <c r="AA5851">
        <f>IF(AA5854=0,(D5851*N5851+P5851*R5851)*U5851*Y5851,0)</f>
        <v>0</v>
      </c>
    </row>
    <row r="5852">
      <c r="A5852" t="str">
        <f>A5844</f>
        <v>Lantai 1</v>
      </c>
      <c r="B5852">
        <f>B5844</f>
        <v>97</v>
      </c>
      <c r="C5852" t="str">
        <v>Tul Atas Lapangan</v>
      </c>
      <c r="D5852">
        <f>VLOOKUP(D5844,'Detail Balok'!$C$10:$AU$110,7,FALSE)</f>
        <v>2</v>
      </c>
      <c r="E5852" t="str">
        <v>D</v>
      </c>
      <c r="F5852">
        <f>VLOOKUP(D5844,'Detail Balok'!$C$10:$AU$110,9,FALSE)</f>
        <v>13</v>
      </c>
      <c r="I5852" t="str">
        <v>(</v>
      </c>
      <c r="J5852">
        <f>+D5846/2/1000</f>
        <v>1.5925</v>
      </c>
      <c r="K5852" t="str">
        <v>+</v>
      </c>
      <c r="M5852" t="str">
        <v>=</v>
      </c>
      <c r="N5852">
        <f>J5852+L5852</f>
        <v>1.5925</v>
      </c>
      <c r="O5852" t="str">
        <v>+</v>
      </c>
      <c r="P5852">
        <f>MAX(D5852-D5851,D5852-D5853)</f>
        <v>0</v>
      </c>
      <c r="Q5852" t="str">
        <v>x</v>
      </c>
      <c r="R5852">
        <f>IF(P5852&gt;0,2*(1-2*$F$19-1/2)*D5847/1000,0)</f>
        <v>0</v>
      </c>
      <c r="S5852" t="str">
        <v>)</v>
      </c>
      <c r="T5852" t="str">
        <v>x</v>
      </c>
      <c r="U5852">
        <f>0.006165*F5852^2</f>
        <v>1.041885</v>
      </c>
      <c r="X5852" t="str">
        <v>x</v>
      </c>
      <c r="Y5852">
        <f>D5850</f>
        <v>1</v>
      </c>
      <c r="Z5852" t="str">
        <v>=</v>
      </c>
      <c r="AA5852">
        <f>IF(AA5854=0,(D5852*N5852+P5852*R5852)*U5852*Y5852,0)</f>
        <v>0</v>
      </c>
    </row>
    <row r="5853">
      <c r="A5853" t="str">
        <f>A5844</f>
        <v>Lantai 1</v>
      </c>
      <c r="B5853">
        <f>B5844</f>
        <v>97</v>
      </c>
      <c r="C5853" t="str">
        <v>Tul Atas Tumpuan</v>
      </c>
      <c r="D5853">
        <f>VLOOKUP(D5844,'Detail Balok'!$C$10:$AU$110,10,FALSE)</f>
        <v>2</v>
      </c>
      <c r="E5853" t="str">
        <v>D</v>
      </c>
      <c r="F5853">
        <f>VLOOKUP(D5844,'Detail Balok'!$C$10:$AU$110,12,FALSE)</f>
        <v>13</v>
      </c>
      <c r="I5853" t="str">
        <v>(</v>
      </c>
      <c r="J5853">
        <f>+D5846/4/1000</f>
        <v>0.79625</v>
      </c>
      <c r="K5853" t="str">
        <v>+</v>
      </c>
      <c r="L5853">
        <f>MAX(VLOOKUP(F5853,N$6:P$15,3,FALSE)/1000,2/3*D5848/1000)+F$16*F5853/1000</f>
        <v>0.156</v>
      </c>
      <c r="M5853" t="str">
        <v>=</v>
      </c>
      <c r="N5853">
        <f>J5853+L5853</f>
        <v>0.95225</v>
      </c>
      <c r="O5853" t="str">
        <v>+</v>
      </c>
      <c r="P5853">
        <f>D5853-D5852</f>
        <v>0</v>
      </c>
      <c r="Q5853" t="str">
        <v>x</v>
      </c>
      <c r="R5853">
        <f>IF(P5853&gt;0,$F$18*F5853/1000,0)</f>
        <v>0</v>
      </c>
      <c r="S5853" t="str">
        <v>)</v>
      </c>
      <c r="T5853" t="str">
        <v>x</v>
      </c>
      <c r="U5853">
        <f>0.006165*F5853^2</f>
        <v>1.041885</v>
      </c>
      <c r="X5853" t="str">
        <v>x</v>
      </c>
      <c r="Y5853">
        <f>D5850</f>
        <v>1</v>
      </c>
      <c r="Z5853" t="str">
        <v>=</v>
      </c>
      <c r="AA5853">
        <f>IF(AA5854=0,(D5853*N5853+P5853*R5853)*U5853*Y5853,0)</f>
        <v>0</v>
      </c>
    </row>
    <row r="5854">
      <c r="A5854" t="str">
        <f>A5844</f>
        <v>Lantai 1</v>
      </c>
      <c r="B5854">
        <f>B5844</f>
        <v>97</v>
      </c>
      <c r="D5854">
        <f>IF(AND(D5851=D5852,D5852=D5853,D5851=D5853),D5851,0)</f>
        <v>2</v>
      </c>
      <c r="E5854" t="str">
        <v>D</v>
      </c>
      <c r="F5854">
        <f>IF(AND(F5851=F5852,F5851=F5853,F5852=F5853),F5851,0)</f>
        <v>13</v>
      </c>
      <c r="L5854" t="str">
        <v>Total panjang per balok</v>
      </c>
      <c r="M5854" t="str">
        <v>=</v>
      </c>
      <c r="N5854">
        <f>IF(AND(D5851=D5852,D5851=D5853,D5852=D5853,F5851=F5852,F5851=F5853,F5852=F5853),SUM(N5851:N5853),0)</f>
        <v>3.497</v>
      </c>
      <c r="O5854" t="str">
        <v>+</v>
      </c>
      <c r="P5854">
        <f>IF(N5854&gt;12,ROUNDDOWN(N5854/12,0),0)</f>
        <v>0</v>
      </c>
      <c r="Q5854" t="str">
        <v>x</v>
      </c>
      <c r="R5854">
        <f>IF(P5854&gt;0,MAX(VLOOKUP(F5854,$D$6:$G$15,3,FALSE),600),0)/1000</f>
        <v>0</v>
      </c>
      <c r="T5854" t="str">
        <v>x</v>
      </c>
      <c r="U5854">
        <f>U5853</f>
        <v>1.041885</v>
      </c>
      <c r="V5854" t="str">
        <v>x</v>
      </c>
      <c r="W5854">
        <f>D5854</f>
        <v>2</v>
      </c>
      <c r="X5854" t="str">
        <v>x</v>
      </c>
      <c r="Y5854">
        <f>Y5853</f>
        <v>1</v>
      </c>
      <c r="Z5854" t="str">
        <v>=</v>
      </c>
      <c r="AA5854">
        <f>(N5854+P5854*R5854/1000)*U5854*W5854*Y5854</f>
        <v>7.286943689999999</v>
      </c>
    </row>
    <row r="5856">
      <c r="A5856" t="str">
        <f>A5844</f>
        <v>Lantai 1</v>
      </c>
      <c r="B5856">
        <f>B5844</f>
        <v>97</v>
      </c>
      <c r="C5856" t="str">
        <v>Tul Peminggang</v>
      </c>
      <c r="D5856">
        <f>VLOOKUP(D5844,'Detail Balok'!$C$10:$AU$110,13,FALSE)</f>
        <v>0</v>
      </c>
      <c r="E5856" t="str">
        <v>D</v>
      </c>
      <c r="F5856">
        <f>VLOOKUP(D5844,'Detail Balok'!$C$10:$AU$110,15,FALSE)</f>
        <v>6</v>
      </c>
      <c r="J5856">
        <f>+D5846/1000</f>
        <v>3.185</v>
      </c>
      <c r="K5856" t="str">
        <v>+</v>
      </c>
      <c r="L5856">
        <f>2*$F$16*F5856/1000</f>
        <v>0.144</v>
      </c>
      <c r="M5856" t="str">
        <v>=</v>
      </c>
      <c r="N5856">
        <f>J5856+L5856</f>
        <v>3.329</v>
      </c>
      <c r="O5856" t="str">
        <v>+</v>
      </c>
      <c r="P5856">
        <f>IF(N5856&gt;12,ROUNDDOWN(N5856/12,0),0)</f>
        <v>0</v>
      </c>
      <c r="Q5856" t="str">
        <v>x</v>
      </c>
      <c r="R5856">
        <f>IF(P5856&gt;0,MAX(VLOOKUP(F5856,$D$6:$G$15,3,FALSE),600),0)/1000</f>
        <v>0</v>
      </c>
      <c r="T5856" t="str">
        <v>x</v>
      </c>
      <c r="U5856">
        <f>0.006165*F5856^2</f>
        <v>0.22194000000000003</v>
      </c>
      <c r="V5856" t="str">
        <v>x</v>
      </c>
      <c r="W5856">
        <f>+D5856</f>
        <v>0</v>
      </c>
      <c r="X5856" t="str">
        <v>x</v>
      </c>
      <c r="Y5856">
        <f>D5850</f>
        <v>1</v>
      </c>
      <c r="Z5856" t="str">
        <v>=</v>
      </c>
      <c r="AA5856">
        <f>(N5856+P5856*R5856/1000)*U5856*W5856*Y5856</f>
        <v>0</v>
      </c>
    </row>
    <row r="5859">
      <c r="A5859" t="str">
        <f>A5844</f>
        <v>Lantai 1</v>
      </c>
      <c r="B5859">
        <f>B5844</f>
        <v>97</v>
      </c>
      <c r="C5859" t="str">
        <v>Tul Bawah Tumpuan</v>
      </c>
      <c r="D5859">
        <f>VLOOKUP(D5844,'Detail Balok'!$C$10:$AU$110,22,FALSE)</f>
        <v>2</v>
      </c>
      <c r="E5859" t="str">
        <v>D</v>
      </c>
      <c r="F5859">
        <f>VLOOKUP(D5844,'Detail Balok'!$C$10:$AU$110,24,FALSE)</f>
        <v>13</v>
      </c>
      <c r="I5859" t="str">
        <v>(</v>
      </c>
      <c r="J5859">
        <f>+J5851</f>
        <v>0.79625</v>
      </c>
      <c r="K5859" t="str">
        <v>+</v>
      </c>
      <c r="L5859">
        <f>MAX(VLOOKUP(F5859,N$6:P$15,3,FALSE)/1000,2/3*D5849/1000)+F$16*F5859/1000</f>
        <v>0.156</v>
      </c>
      <c r="M5859" t="str">
        <v>=</v>
      </c>
      <c r="N5859">
        <f>J5859+L5859</f>
        <v>0.95225</v>
      </c>
      <c r="O5859" t="str">
        <v>+</v>
      </c>
      <c r="P5859">
        <f>D5859-D5860</f>
        <v>0</v>
      </c>
      <c r="Q5859" t="str">
        <v>x</v>
      </c>
      <c r="R5859">
        <f>IF(P5859&gt;0,$F$18*F5859/1000,0)</f>
        <v>0</v>
      </c>
      <c r="S5859" t="str">
        <v>)</v>
      </c>
      <c r="T5859" t="str">
        <v>x</v>
      </c>
      <c r="U5859">
        <f>0.006165*F5859^2</f>
        <v>1.041885</v>
      </c>
      <c r="X5859" t="str">
        <v>x</v>
      </c>
      <c r="Y5859">
        <f>D5850</f>
        <v>1</v>
      </c>
      <c r="Z5859" t="str">
        <v>=</v>
      </c>
      <c r="AA5859">
        <f>IF(AA5862=0,(D5859*N5859+P5859*R5859)*U5859*Y5859,0)</f>
        <v>0</v>
      </c>
    </row>
    <row r="5860">
      <c r="A5860" t="str">
        <f>A5844</f>
        <v>Lantai 1</v>
      </c>
      <c r="B5860">
        <f>B5844</f>
        <v>97</v>
      </c>
      <c r="C5860" t="str">
        <v>Tul Bawah Lapangan</v>
      </c>
      <c r="D5860">
        <f>VLOOKUP(D5844,'Detail Balok'!$C$10:$AU$110,25,FALSE)</f>
        <v>2</v>
      </c>
      <c r="E5860" t="str">
        <v>D</v>
      </c>
      <c r="F5860">
        <f>VLOOKUP(D5844,'Detail Balok'!$C$10:$AU$110,27,FALSE)</f>
        <v>13</v>
      </c>
      <c r="I5860" t="str">
        <v>(</v>
      </c>
      <c r="J5860">
        <f>+J5852</f>
        <v>1.5925</v>
      </c>
      <c r="K5860" t="str">
        <v>+</v>
      </c>
      <c r="M5860" t="str">
        <v>=</v>
      </c>
      <c r="N5860">
        <f>J5860+L5860</f>
        <v>1.5925</v>
      </c>
      <c r="O5860" t="str">
        <v>+</v>
      </c>
      <c r="P5860">
        <f>MAX(D5860-D5859,D5860-D5861)</f>
        <v>0</v>
      </c>
      <c r="Q5860" t="str">
        <v>x</v>
      </c>
      <c r="R5860">
        <f>IF(P5860&gt;0,2*(1-2*$F$19-1/2)*D5847/1000,0)</f>
        <v>0</v>
      </c>
      <c r="S5860" t="str">
        <v>)</v>
      </c>
      <c r="T5860" t="str">
        <v>x</v>
      </c>
      <c r="U5860">
        <f>0.006165*F5860^2</f>
        <v>1.041885</v>
      </c>
      <c r="X5860" t="str">
        <v>x</v>
      </c>
      <c r="Y5860">
        <f>D5850</f>
        <v>1</v>
      </c>
      <c r="Z5860" t="str">
        <v>=</v>
      </c>
      <c r="AA5860">
        <f>IF(AA5862=0,(D5860*N5860+P5860*R5860)*U5860*Y5860,0)</f>
        <v>0</v>
      </c>
    </row>
    <row r="5861">
      <c r="A5861" t="str">
        <f>A5844</f>
        <v>Lantai 1</v>
      </c>
      <c r="B5861">
        <f>B5844</f>
        <v>97</v>
      </c>
      <c r="C5861" t="str">
        <v>Tul Bawah Tumpuan</v>
      </c>
      <c r="D5861">
        <f>VLOOKUP(D5844,'Detail Balok'!$C$10:$AU$110,28,FALSE)</f>
        <v>2</v>
      </c>
      <c r="E5861" t="str">
        <v>D</v>
      </c>
      <c r="F5861">
        <f>VLOOKUP(D5844,'Detail Balok'!$C$10:$AU$110,30,FALSE)</f>
        <v>13</v>
      </c>
      <c r="I5861" t="str">
        <v>(</v>
      </c>
      <c r="J5861">
        <f>+J5853</f>
        <v>0.79625</v>
      </c>
      <c r="K5861" t="str">
        <v>+</v>
      </c>
      <c r="L5861">
        <f>MAX(VLOOKUP(F5861,N$6:P$15,3,FALSE)/1000,2/3*D5849/1000)+F$16*F5861/1000</f>
        <v>0.156</v>
      </c>
      <c r="M5861" t="str">
        <v>=</v>
      </c>
      <c r="N5861">
        <f>J5861+L5861</f>
        <v>0.95225</v>
      </c>
      <c r="O5861" t="str">
        <v>+</v>
      </c>
      <c r="P5861">
        <f>D5861-D5860</f>
        <v>0</v>
      </c>
      <c r="Q5861" t="str">
        <v>x</v>
      </c>
      <c r="R5861">
        <f>IF(P5861&gt;0,$F$18*F5861/1000,0)</f>
        <v>0</v>
      </c>
      <c r="S5861" t="str">
        <v>)</v>
      </c>
      <c r="T5861" t="str">
        <v>x</v>
      </c>
      <c r="U5861">
        <f>0.006165*F5861^2</f>
        <v>1.041885</v>
      </c>
      <c r="X5861" t="str">
        <v>x</v>
      </c>
      <c r="Y5861">
        <f>D5850</f>
        <v>1</v>
      </c>
      <c r="Z5861" t="str">
        <v>=</v>
      </c>
      <c r="AA5861">
        <f>IF(AA5862=0,(D5861*N5861+P5861*R5861)*U5861*Y5861,0)</f>
        <v>0</v>
      </c>
    </row>
    <row r="5862">
      <c r="A5862" t="str">
        <f>A5844</f>
        <v>Lantai 1</v>
      </c>
      <c r="B5862">
        <f>B5844</f>
        <v>97</v>
      </c>
      <c r="D5862">
        <f>IF(AND(D5859=D5860,D5860=D5861,D5859=D5861),D5859,0)</f>
        <v>2</v>
      </c>
      <c r="E5862" t="str">
        <v>D</v>
      </c>
      <c r="F5862">
        <f>IF(AND(F5859=F5860,F5859=F5861,F5860=F5861),F5859,0)</f>
        <v>13</v>
      </c>
      <c r="L5862" t="str">
        <v>Total panjang per balok</v>
      </c>
      <c r="M5862" t="str">
        <v>=</v>
      </c>
      <c r="N5862">
        <f>IF(AND(D5859=D5860,D5859=D5861,D5860=D5861,F5859=F5860,F5859=F5861,F5860=F5861),SUM(N5859:N5861),0)</f>
        <v>3.497</v>
      </c>
      <c r="O5862" t="str">
        <v>+</v>
      </c>
      <c r="P5862">
        <f>IF(N5862&gt;12,ROUNDDOWN(N5862/12,0),0)</f>
        <v>0</v>
      </c>
      <c r="Q5862" t="str">
        <v>x</v>
      </c>
      <c r="R5862">
        <f>IF(P5862&gt;0,MAX(VLOOKUP(F5862,$D$6:$G$15,3,FALSE),600),0)/1000</f>
        <v>0</v>
      </c>
      <c r="T5862" t="str">
        <v>x</v>
      </c>
      <c r="U5862">
        <f>U5861</f>
        <v>1.041885</v>
      </c>
      <c r="V5862" t="str">
        <v>x</v>
      </c>
      <c r="W5862">
        <f>D5862</f>
        <v>2</v>
      </c>
      <c r="X5862" t="str">
        <v>x</v>
      </c>
      <c r="Y5862">
        <f>Y5861</f>
        <v>1</v>
      </c>
      <c r="Z5862" t="str">
        <v>=</v>
      </c>
      <c r="AA5862">
        <f>(N5862+P5862*R5862/1000)*U5862*W5862*Y5862</f>
        <v>7.286943689999999</v>
      </c>
    </row>
    <row r="5864">
      <c r="A5864" t="str">
        <f>A5844</f>
        <v>Lantai 1</v>
      </c>
      <c r="B5864">
        <f>B5844</f>
        <v>97</v>
      </c>
      <c r="C5864" t="str">
        <v>Sengkang Tumpuan</v>
      </c>
      <c r="D5864">
        <f>VLOOKUP(D5844,'Detail Balok'!$C$10:$AU$110,31,FALSE)</f>
        <v>0</v>
      </c>
      <c r="E5864" t="str">
        <v>D</v>
      </c>
      <c r="F5864">
        <f>VLOOKUP(D5844,'Detail Balok'!$C$10:$AU$110,33,FALSE)</f>
        <v>10</v>
      </c>
      <c r="G5864" t="str">
        <v>-</v>
      </c>
      <c r="H5864">
        <f>VLOOKUP(D5844,'Detail Balok'!$C$10:$AU$110,35,FALSE)</f>
        <v>100</v>
      </c>
      <c r="J5864">
        <f>(IF(D5864=0,(2*(D5845+G5845))-(F$5*8),IF(D5864=3,(2*(D5845+G5845))-(F$5*8)+(G5845-2*F$5),IF(D5864=4,(2*(D5845+G5845))-(F$5*8)+2*(G5845-2*F$5)))))/1000</f>
        <v>0.82</v>
      </c>
      <c r="K5864" t="str">
        <v>+</v>
      </c>
      <c r="L5864">
        <f>IF(D5864=0,2*MAX(6*F5864,75),(D5864-1)*2*MAX(6*F5864,75))/1000</f>
        <v>0.15</v>
      </c>
      <c r="M5864" t="str">
        <v>=</v>
      </c>
      <c r="N5864">
        <f>J5864+L5864</f>
        <v>0.97</v>
      </c>
      <c r="T5864" t="str">
        <v>x</v>
      </c>
      <c r="U5864">
        <f>0.006165*F5864^2</f>
        <v>0.6165</v>
      </c>
      <c r="V5864" t="str">
        <v>x</v>
      </c>
      <c r="W5864">
        <f>IF(D5847&gt;4*G5845,ROUND(MAX(D5847/4,2*G5845)/H5864,0)+1,ROUND(D5847/H5864,0)+1)</f>
        <v>9</v>
      </c>
      <c r="X5864" t="str">
        <v>x</v>
      </c>
      <c r="Y5864">
        <f>D5850</f>
        <v>1</v>
      </c>
      <c r="Z5864" t="str">
        <v>=</v>
      </c>
      <c r="AA5864">
        <f>N5864*U5864*W5864*Y5864</f>
        <v>5.382045</v>
      </c>
    </row>
    <row r="5865">
      <c r="A5865" t="str">
        <f>A5844</f>
        <v>Lantai 1</v>
      </c>
      <c r="B5865">
        <f>B5844</f>
        <v>97</v>
      </c>
      <c r="C5865" t="str">
        <v>Sengkang Lapangan</v>
      </c>
      <c r="D5865">
        <f>VLOOKUP(D5844,'Detail Balok'!$C$10:$AU$110,36,FALSE)</f>
        <v>0</v>
      </c>
      <c r="E5865" t="str">
        <v>D</v>
      </c>
      <c r="F5865">
        <f>VLOOKUP(D5844,'Detail Balok'!$C$10:$AU$110,38,FALSE)</f>
        <v>10</v>
      </c>
      <c r="G5865" t="str">
        <v>-</v>
      </c>
      <c r="H5865">
        <f>VLOOKUP(D5844,'Detail Balok'!$C$10:$AU$110,40,FALSE)</f>
        <v>200</v>
      </c>
      <c r="J5865">
        <f>(IF(D5865=0,(2*(D5845+G5845))-(F$5*8),IF(D5865=3,(2*(D5845+G5845))-(F$5*8)+(G5845-2*F$5),IF(D5865=4,(2*(D5845+G5845))-(F$5*8)+2*(G5845-2*F$5)))))/1000</f>
        <v>0.82</v>
      </c>
      <c r="K5865" t="str">
        <v>+</v>
      </c>
      <c r="L5865">
        <f>IF(D5865=0,2*MAX(6*F5865,75),(D5865-1)*2*MAX(6*F5865,75))/1000</f>
        <v>0.15</v>
      </c>
      <c r="M5865" t="str">
        <v>=</v>
      </c>
      <c r="N5865">
        <f>J5865+L5865</f>
        <v>0.97</v>
      </c>
      <c r="T5865" t="str">
        <v>x</v>
      </c>
      <c r="U5865">
        <f>0.006165*F5865^2</f>
        <v>0.6165</v>
      </c>
      <c r="V5865" t="str">
        <v>x</v>
      </c>
      <c r="W5865">
        <f>IF(D5847-MAX(D5847/4,2*G5845)*2&gt;0,ROUND((D5847-MAX(D5847/4,2*G5845)*2)/H5865,0),0)</f>
        <v>8</v>
      </c>
      <c r="X5865" t="str">
        <v>x</v>
      </c>
      <c r="Y5865">
        <f>D5850</f>
        <v>1</v>
      </c>
      <c r="Z5865" t="str">
        <v>=</v>
      </c>
      <c r="AA5865">
        <f>N5865*U5865*W5865*Y5865</f>
        <v>4.78404</v>
      </c>
    </row>
    <row r="5866">
      <c r="A5866" t="str">
        <f>A5844</f>
        <v>Lantai 1</v>
      </c>
      <c r="B5866">
        <f>B5844</f>
        <v>97</v>
      </c>
      <c r="C5866" t="str">
        <v>Sengkang Tumpuan</v>
      </c>
      <c r="D5866">
        <f>VLOOKUP(D5844,'Detail Balok'!$C$10:$AU$110,41,FALSE)</f>
        <v>0</v>
      </c>
      <c r="E5866" t="str">
        <v>D</v>
      </c>
      <c r="F5866">
        <f>VLOOKUP(D5844,'Detail Balok'!$C$10:$AU$110,43,FALSE)</f>
        <v>10</v>
      </c>
      <c r="G5866" t="str">
        <v>-</v>
      </c>
      <c r="H5866">
        <f>VLOOKUP(D5844,'Detail Balok'!$C$10:$AU$110,45,FALSE)</f>
        <v>100</v>
      </c>
      <c r="J5866">
        <f>(IF(D5866=0,(2*(D5845+G5845))-(F$5*8),IF(D5866=3,(2*(D5845+G5845))-(F$5*8)+(G5845-2*F$5),IF(D5866=4,(2*(D5845+G5845))-(F$5*8)+2*(G5845-2*F$5)))))/1000</f>
        <v>0.82</v>
      </c>
      <c r="K5866" t="str">
        <v>+</v>
      </c>
      <c r="L5866">
        <f>IF(D5866=0,2*MAX(6*F5866,75),(D5866-1)*2*MAX(6*F5866,75))/1000</f>
        <v>0.15</v>
      </c>
      <c r="M5866" t="str">
        <v>=</v>
      </c>
      <c r="N5866">
        <f>J5866+L5866</f>
        <v>0.97</v>
      </c>
      <c r="T5866" t="str">
        <v>x</v>
      </c>
      <c r="U5866">
        <f>0.006165*F5866^2</f>
        <v>0.6165</v>
      </c>
      <c r="V5866" t="str">
        <v>x</v>
      </c>
      <c r="W5866">
        <f>IF(D5847&gt;4*G5845,ROUND(MAX(D5847/4,2*G5845)/H5866,0)+1,0)</f>
        <v>9</v>
      </c>
      <c r="X5866" t="str">
        <v>x</v>
      </c>
      <c r="Y5866">
        <f>D5850</f>
        <v>1</v>
      </c>
      <c r="Z5866" t="str">
        <v>=</v>
      </c>
      <c r="AA5866">
        <f>N5866*U5866*W5866*Y5866</f>
        <v>5.382045</v>
      </c>
    </row>
    <row r="5868">
      <c r="A5868" t="str">
        <f>A5844</f>
        <v>Lantai 1</v>
      </c>
      <c r="B5868">
        <f>B5844</f>
        <v>97</v>
      </c>
      <c r="C5868" t="str">
        <v>Kait Horizontal Tump.</v>
      </c>
      <c r="D5868">
        <f>VLOOKUP(D5844,'Detail Balok'!$C$10:$BJ$110,46,FALSE)</f>
        <v>0</v>
      </c>
      <c r="E5868" t="str">
        <v>D</v>
      </c>
      <c r="F5868">
        <f>VLOOKUP(D5844,'Detail Balok'!$C$10:$BJ$110,48,FALSE)</f>
        <v>0</v>
      </c>
      <c r="G5868" t="str">
        <v>-</v>
      </c>
      <c r="H5868">
        <f>VLOOKUP(D5844,'Detail Balok'!$C$10:$BJ$110,50,FALSE)</f>
        <v>100</v>
      </c>
      <c r="J5868">
        <f>(D5845-2*F$5)/1000</f>
        <v>0.09</v>
      </c>
      <c r="K5868" t="str">
        <v>+</v>
      </c>
      <c r="L5868">
        <f>IF(D5868=0,2*MAX(6*F5868,75),(D5868-1)*2*MAX(6*F5868,75))/1000</f>
        <v>0.15</v>
      </c>
      <c r="M5868" t="str">
        <v>=</v>
      </c>
      <c r="N5868">
        <f>J5868+L5868</f>
        <v>0.24</v>
      </c>
      <c r="T5868" t="str">
        <v>x</v>
      </c>
      <c r="U5868">
        <f>0.006165*F5868^2</f>
        <v>0</v>
      </c>
      <c r="V5868" t="str">
        <v>x</v>
      </c>
      <c r="W5868">
        <f>W5864</f>
        <v>9</v>
      </c>
      <c r="X5868" t="str">
        <v>x</v>
      </c>
      <c r="Y5868">
        <f>D5854</f>
        <v>2</v>
      </c>
      <c r="Z5868" t="str">
        <v>=</v>
      </c>
      <c r="AA5868">
        <f>N5868*U5868*W5868*Y5868</f>
        <v>0</v>
      </c>
    </row>
    <row r="5869">
      <c r="A5869" t="str">
        <f>A5844</f>
        <v>Lantai 1</v>
      </c>
      <c r="B5869">
        <f>B5844</f>
        <v>97</v>
      </c>
      <c r="C5869" t="str">
        <v>Kait Horizontal Lap.</v>
      </c>
      <c r="D5869">
        <f>VLOOKUP(D5844,'Detail Balok'!$C$10:$BJ$110,51,FALSE)</f>
        <v>0</v>
      </c>
      <c r="E5869" t="str">
        <v>D</v>
      </c>
      <c r="F5869">
        <f>VLOOKUP(D5844,'Detail Balok'!$C$10:$BJ$110,53,FALSE)</f>
        <v>0</v>
      </c>
      <c r="G5869" t="str">
        <v>-</v>
      </c>
      <c r="H5869">
        <f>VLOOKUP(D5844,'Detail Balok'!$C$10:$BJ$110,55,FALSE)</f>
        <v>100</v>
      </c>
      <c r="J5869">
        <f>(D5845-2*F$5)/1000</f>
        <v>0.09</v>
      </c>
      <c r="K5869" t="str">
        <v>+</v>
      </c>
      <c r="L5869">
        <f>IF(D5869=0,2*MAX(6*F5869,75),(D5869-1)*2*MAX(6*F5869,75))/1000</f>
        <v>0.15</v>
      </c>
      <c r="M5869" t="str">
        <v>=</v>
      </c>
      <c r="N5869">
        <f>J5869+L5869</f>
        <v>0.24</v>
      </c>
      <c r="T5869" t="str">
        <v>x</v>
      </c>
      <c r="U5869">
        <f>0.006165*F5869^2</f>
        <v>0</v>
      </c>
      <c r="V5869" t="str">
        <v>x</v>
      </c>
      <c r="W5869">
        <f>W5865</f>
        <v>8</v>
      </c>
      <c r="X5869" t="str">
        <v>x</v>
      </c>
      <c r="Y5869">
        <f>D5854</f>
        <v>2</v>
      </c>
      <c r="Z5869" t="str">
        <v>=</v>
      </c>
      <c r="AA5869">
        <f>N5869*U5869*W5869*Y5869</f>
        <v>0</v>
      </c>
    </row>
    <row r="5870">
      <c r="A5870" t="str">
        <f>A5844</f>
        <v>Lantai 1</v>
      </c>
      <c r="B5870">
        <f>B5844</f>
        <v>97</v>
      </c>
      <c r="C5870" t="str">
        <v>Kait Horizontal Tump.</v>
      </c>
      <c r="D5870">
        <f>VLOOKUP(D5844,'Detail Balok'!$C$10:$BJ$110,56,FALSE)</f>
        <v>0</v>
      </c>
      <c r="E5870" t="str">
        <v>D</v>
      </c>
      <c r="F5870">
        <f>VLOOKUP(D5844,'Detail Balok'!$C$10:$BJ$110,58,FALSE)</f>
        <v>0</v>
      </c>
      <c r="G5870" t="str">
        <v>-</v>
      </c>
      <c r="H5870">
        <f>VLOOKUP(D5844,'Detail Balok'!$C$10:$BJ$110,60,FALSE)</f>
        <v>100</v>
      </c>
      <c r="J5870">
        <f>(D5845-2*F$5)/1000</f>
        <v>0.09</v>
      </c>
      <c r="K5870" t="str">
        <v>+</v>
      </c>
      <c r="L5870">
        <f>IF(D5870=0,2*MAX(6*F5870,75),(D5870-1)*2*MAX(6*F5870,75))/1000</f>
        <v>0.15</v>
      </c>
      <c r="M5870" t="str">
        <v>=</v>
      </c>
      <c r="N5870">
        <f>J5870+L5870</f>
        <v>0.24</v>
      </c>
      <c r="T5870" t="str">
        <v>x</v>
      </c>
      <c r="U5870">
        <f>0.006165*F5870^2</f>
        <v>0</v>
      </c>
      <c r="V5870" t="str">
        <v>x</v>
      </c>
      <c r="W5870">
        <f>W5866</f>
        <v>9</v>
      </c>
      <c r="X5870" t="str">
        <v>x</v>
      </c>
      <c r="Y5870">
        <f>D5854</f>
        <v>2</v>
      </c>
      <c r="Z5870" t="str">
        <v>=</v>
      </c>
      <c r="AA5870">
        <f>N5870*U5870*W5870*Y5870</f>
        <v>0</v>
      </c>
    </row>
    <row r="5874">
      <c r="A5874" t="str">
        <v>Lantai 2</v>
      </c>
      <c r="B5874">
        <v>1</v>
      </c>
      <c r="C5874" t="str">
        <f>CONCATENATE(A5874," no. ",B5874)</f>
        <v>Lantai 2 no. 1</v>
      </c>
      <c r="D5874" t="str">
        <f>VLOOKUP(C5874,'Data Panjang Balok'!$C$9:$N$424,2,FALSE)</f>
        <v>B26-6</v>
      </c>
    </row>
    <row r="5875">
      <c r="C5875" t="str">
        <v>Dimensi</v>
      </c>
      <c r="D5875">
        <f>VLOOKUP(D5874,'Detail Balok'!$C$10:$AU$110,2,FALSE)</f>
        <v>200</v>
      </c>
      <c r="F5875" t="str">
        <v>x</v>
      </c>
      <c r="G5875">
        <f>VLOOKUP(D5874,'Detail Balok'!$C$10:$AU$110,3,FALSE)</f>
        <v>600</v>
      </c>
    </row>
    <row r="5876">
      <c r="C5876" t="str">
        <v>Panjang as ke as</v>
      </c>
      <c r="D5876">
        <f>VLOOKUP(C5874,'Data Panjang Balok'!$C$9:$N$424,4,FALSE)</f>
        <v>3500</v>
      </c>
    </row>
    <row r="5877">
      <c r="C5877" t="str">
        <v>Panjang netto</v>
      </c>
      <c r="D5877">
        <f>VLOOKUP(C5874,'Data Panjang Balok'!$C$9:$N$424,7,FALSE)</f>
        <v>3500</v>
      </c>
    </row>
    <row r="5878">
      <c r="C5878" t="str">
        <v>Kolom / balok kiri</v>
      </c>
      <c r="D5878">
        <f>VLOOKUP(C5874,'Data Panjang Balok'!$C$9:$N$424,9,FALSE)</f>
        <v>0</v>
      </c>
    </row>
    <row r="5879">
      <c r="C5879" t="str">
        <v>Kolom / balok kanan</v>
      </c>
      <c r="D5879">
        <f>VLOOKUP(C5874,'Data Panjang Balok'!$C$9:$N$424,10,FALSE)</f>
        <v>0</v>
      </c>
    </row>
    <row r="5880">
      <c r="C5880" t="str">
        <v>Jumlah</v>
      </c>
      <c r="D5880">
        <f>VLOOKUP(C5874,'Data Panjang Balok'!$C$9:$N$424,3,FALSE)</f>
        <v>1</v>
      </c>
    </row>
    <row r="5881">
      <c r="A5881" t="str">
        <f>A5874</f>
        <v>Lantai 2</v>
      </c>
      <c r="B5881">
        <f>B5874</f>
        <v>1</v>
      </c>
      <c r="C5881" t="str">
        <v>Tul Atas Tumpuan</v>
      </c>
      <c r="D5881">
        <f>VLOOKUP(D5874,'Detail Balok'!$C$10:$AU$110,4,FALSE)</f>
        <v>2</v>
      </c>
      <c r="E5881" t="str">
        <v>D</v>
      </c>
      <c r="F5881">
        <f>VLOOKUP(D5874,'Detail Balok'!$C$10:$AU$110,6,FALSE)</f>
        <v>16</v>
      </c>
      <c r="I5881" t="str">
        <v>(</v>
      </c>
      <c r="J5881">
        <f>+D5876/4/1000</f>
        <v>0.875</v>
      </c>
      <c r="K5881" t="str">
        <v>+</v>
      </c>
      <c r="L5881">
        <f>MAX(VLOOKUP(F5881,N$6:P$15,3,FALSE)/1000,2/3*D5878/1000)+F$16*F5881/1000</f>
        <v>0.192</v>
      </c>
      <c r="M5881" t="str">
        <v>=</v>
      </c>
      <c r="N5881">
        <f>J5881+L5881</f>
        <v>1.067</v>
      </c>
      <c r="O5881" t="str">
        <v>+</v>
      </c>
      <c r="P5881">
        <f>D5881-D5882</f>
        <v>0</v>
      </c>
      <c r="Q5881" t="str">
        <v>x</v>
      </c>
      <c r="R5881">
        <f>IF(P5881&gt;0,$F$18*F5881/1000,0)</f>
        <v>0</v>
      </c>
      <c r="S5881" t="str">
        <v>)</v>
      </c>
      <c r="T5881" t="str">
        <v>x</v>
      </c>
      <c r="U5881">
        <f>0.006165*F5881^2</f>
        <v>1.57824</v>
      </c>
      <c r="X5881" t="str">
        <v>x</v>
      </c>
      <c r="Y5881">
        <f>D5880</f>
        <v>1</v>
      </c>
      <c r="Z5881" t="str">
        <v>=</v>
      </c>
      <c r="AA5881">
        <f>IF(AA5884=0,(D5881*N5881+P5881*R5881)*U5881*Y5881,0)</f>
        <v>0</v>
      </c>
    </row>
    <row r="5882">
      <c r="A5882" t="str">
        <f>A5874</f>
        <v>Lantai 2</v>
      </c>
      <c r="B5882">
        <f>B5874</f>
        <v>1</v>
      </c>
      <c r="C5882" t="str">
        <v>Tul Atas Lapangan</v>
      </c>
      <c r="D5882">
        <f>VLOOKUP(D5874,'Detail Balok'!$C$10:$AU$110,7,FALSE)</f>
        <v>2</v>
      </c>
      <c r="E5882" t="str">
        <v>D</v>
      </c>
      <c r="F5882">
        <f>VLOOKUP(D5874,'Detail Balok'!$C$10:$AU$110,9,FALSE)</f>
        <v>16</v>
      </c>
      <c r="I5882" t="str">
        <v>(</v>
      </c>
      <c r="J5882">
        <f>+D5876/2/1000</f>
        <v>1.75</v>
      </c>
      <c r="K5882" t="str">
        <v>+</v>
      </c>
      <c r="M5882" t="str">
        <v>=</v>
      </c>
      <c r="N5882">
        <f>J5882+L5882</f>
        <v>1.75</v>
      </c>
      <c r="O5882" t="str">
        <v>+</v>
      </c>
      <c r="P5882">
        <f>MAX(D5882-D5881,D5882-D5883)</f>
        <v>0</v>
      </c>
      <c r="Q5882" t="str">
        <v>x</v>
      </c>
      <c r="R5882">
        <f>IF(P5882&gt;0,2*(1-2*$F$19-1/2)*D5877/1000,0)</f>
        <v>0</v>
      </c>
      <c r="S5882" t="str">
        <v>)</v>
      </c>
      <c r="T5882" t="str">
        <v>x</v>
      </c>
      <c r="U5882">
        <f>0.006165*F5882^2</f>
        <v>1.57824</v>
      </c>
      <c r="X5882" t="str">
        <v>x</v>
      </c>
      <c r="Y5882">
        <f>D5880</f>
        <v>1</v>
      </c>
      <c r="Z5882" t="str">
        <v>=</v>
      </c>
      <c r="AA5882">
        <f>IF(AA5884=0,(D5882*N5882+P5882*R5882)*U5882*Y5882,0)</f>
        <v>0</v>
      </c>
    </row>
    <row r="5883">
      <c r="A5883" t="str">
        <f>A5874</f>
        <v>Lantai 2</v>
      </c>
      <c r="B5883">
        <f>B5874</f>
        <v>1</v>
      </c>
      <c r="C5883" t="str">
        <v>Tul Atas Tumpuan</v>
      </c>
      <c r="D5883">
        <f>VLOOKUP(D5874,'Detail Balok'!$C$10:$AU$110,10,FALSE)</f>
        <v>2</v>
      </c>
      <c r="E5883" t="str">
        <v>D</v>
      </c>
      <c r="F5883">
        <f>VLOOKUP(D5874,'Detail Balok'!$C$10:$AU$110,12,FALSE)</f>
        <v>16</v>
      </c>
      <c r="I5883" t="str">
        <v>(</v>
      </c>
      <c r="J5883">
        <f>+D5876/4/1000</f>
        <v>0.875</v>
      </c>
      <c r="K5883" t="str">
        <v>+</v>
      </c>
      <c r="L5883">
        <f>MAX(VLOOKUP(F5883,N$6:P$15,3,FALSE)/1000,2/3*D5878/1000)+F$16*F5883/1000</f>
        <v>0.192</v>
      </c>
      <c r="M5883" t="str">
        <v>=</v>
      </c>
      <c r="N5883">
        <f>J5883+L5883</f>
        <v>1.067</v>
      </c>
      <c r="O5883" t="str">
        <v>+</v>
      </c>
      <c r="P5883">
        <f>D5883-D5882</f>
        <v>0</v>
      </c>
      <c r="Q5883" t="str">
        <v>x</v>
      </c>
      <c r="R5883">
        <f>IF(P5883&gt;0,$F$18*F5883/1000,0)</f>
        <v>0</v>
      </c>
      <c r="S5883" t="str">
        <v>)</v>
      </c>
      <c r="T5883" t="str">
        <v>x</v>
      </c>
      <c r="U5883">
        <f>0.006165*F5883^2</f>
        <v>1.57824</v>
      </c>
      <c r="X5883" t="str">
        <v>x</v>
      </c>
      <c r="Y5883">
        <f>D5880</f>
        <v>1</v>
      </c>
      <c r="Z5883" t="str">
        <v>=</v>
      </c>
      <c r="AA5883">
        <f>IF(AA5884=0,(D5883*N5883+P5883*R5883)*U5883*Y5883,0)</f>
        <v>0</v>
      </c>
    </row>
    <row r="5884">
      <c r="A5884" t="str">
        <f>A5874</f>
        <v>Lantai 2</v>
      </c>
      <c r="B5884">
        <f>B5874</f>
        <v>1</v>
      </c>
      <c r="D5884">
        <f>IF(AND(D5881=D5882,D5882=D5883,D5881=D5883),D5881,0)</f>
        <v>2</v>
      </c>
      <c r="E5884" t="str">
        <v>D</v>
      </c>
      <c r="F5884">
        <f>IF(AND(F5881=F5882,F5881=F5883,F5882=F5883),F5881,0)</f>
        <v>16</v>
      </c>
      <c r="L5884" t="str">
        <v>Total panjang per balok</v>
      </c>
      <c r="M5884" t="str">
        <v>=</v>
      </c>
      <c r="N5884">
        <f>IF(AND(D5881=D5882,D5881=D5883,D5882=D5883,F5881=F5882,F5881=F5883,F5882=F5883),SUM(N5881:N5883),0)</f>
        <v>3.8840000000000003</v>
      </c>
      <c r="O5884" t="str">
        <v>+</v>
      </c>
      <c r="P5884">
        <f>IF(N5884&gt;12,ROUNDDOWN(N5884/12,0),0)</f>
        <v>0</v>
      </c>
      <c r="Q5884" t="str">
        <v>x</v>
      </c>
      <c r="R5884">
        <f>IF(P5884&gt;0,MAX(VLOOKUP(F5884,$D$6:$G$15,3,FALSE),600),0)/1000</f>
        <v>0</v>
      </c>
      <c r="T5884" t="str">
        <v>x</v>
      </c>
      <c r="U5884">
        <f>U5883</f>
        <v>1.57824</v>
      </c>
      <c r="V5884" t="str">
        <v>x</v>
      </c>
      <c r="W5884">
        <f>D5884</f>
        <v>2</v>
      </c>
      <c r="X5884" t="str">
        <v>x</v>
      </c>
      <c r="Y5884">
        <f>Y5883</f>
        <v>1</v>
      </c>
      <c r="Z5884" t="str">
        <v>=</v>
      </c>
      <c r="AA5884">
        <f>(N5884+P5884*R5884/1000)*U5884*W5884*Y5884</f>
        <v>12.259768320000001</v>
      </c>
    </row>
    <row r="5886">
      <c r="A5886" t="str">
        <f>A5874</f>
        <v>Lantai 2</v>
      </c>
      <c r="B5886">
        <f>B5874</f>
        <v>1</v>
      </c>
      <c r="C5886" t="str">
        <v>Tul Peminggang</v>
      </c>
      <c r="D5886">
        <f>VLOOKUP(D5874,'Detail Balok'!$C$10:$AU$110,13,FALSE)</f>
        <v>2</v>
      </c>
      <c r="E5886" t="str">
        <v>D</v>
      </c>
      <c r="F5886">
        <f>VLOOKUP(D5874,'Detail Balok'!$C$10:$AU$110,15,FALSE)</f>
        <v>10</v>
      </c>
      <c r="J5886">
        <f>+D5876/1000</f>
        <v>3.5</v>
      </c>
      <c r="K5886" t="str">
        <v>+</v>
      </c>
      <c r="L5886">
        <f>2*$F$16*F5886/1000</f>
        <v>0.24</v>
      </c>
      <c r="M5886" t="str">
        <v>=</v>
      </c>
      <c r="N5886">
        <f>J5886+L5886</f>
        <v>3.74</v>
      </c>
      <c r="O5886" t="str">
        <v>+</v>
      </c>
      <c r="P5886">
        <f>IF(N5886&gt;12,ROUNDDOWN(N5886/12,0),0)</f>
        <v>0</v>
      </c>
      <c r="Q5886" t="str">
        <v>x</v>
      </c>
      <c r="R5886">
        <f>IF(P5886&gt;0,MAX(VLOOKUP(F5886,$D$6:$G$15,3,FALSE),600),0)/1000</f>
        <v>0</v>
      </c>
      <c r="T5886" t="str">
        <v>x</v>
      </c>
      <c r="U5886">
        <f>0.006165*F5886^2</f>
        <v>0.6165</v>
      </c>
      <c r="V5886" t="str">
        <v>x</v>
      </c>
      <c r="W5886">
        <f>+D5886</f>
        <v>2</v>
      </c>
      <c r="X5886" t="str">
        <v>x</v>
      </c>
      <c r="Y5886">
        <f>D5880</f>
        <v>1</v>
      </c>
      <c r="Z5886" t="str">
        <v>=</v>
      </c>
      <c r="AA5886">
        <f>(N5886+P5886*R5886/1000)*U5886*W5886*Y5886</f>
        <v>4.611420000000001</v>
      </c>
    </row>
    <row r="5889">
      <c r="A5889" t="str">
        <f>A5874</f>
        <v>Lantai 2</v>
      </c>
      <c r="B5889">
        <f>B5874</f>
        <v>1</v>
      </c>
      <c r="C5889" t="str">
        <v>Tul Bawah Tumpuan</v>
      </c>
      <c r="D5889">
        <f>VLOOKUP(D5874,'Detail Balok'!$C$10:$AU$110,22,FALSE)</f>
        <v>2</v>
      </c>
      <c r="E5889" t="str">
        <v>D</v>
      </c>
      <c r="F5889">
        <f>VLOOKUP(D5874,'Detail Balok'!$C$10:$AU$110,24,FALSE)</f>
        <v>16</v>
      </c>
      <c r="I5889" t="str">
        <v>(</v>
      </c>
      <c r="J5889">
        <f>+J5881</f>
        <v>0.875</v>
      </c>
      <c r="K5889" t="str">
        <v>+</v>
      </c>
      <c r="L5889">
        <f>MAX(VLOOKUP(F5889,N$6:P$15,3,FALSE)/1000,2/3*D5879/1000)+F$16*F5889/1000</f>
        <v>0.192</v>
      </c>
      <c r="M5889" t="str">
        <v>=</v>
      </c>
      <c r="N5889">
        <f>J5889+L5889</f>
        <v>1.067</v>
      </c>
      <c r="O5889" t="str">
        <v>+</v>
      </c>
      <c r="P5889">
        <f>D5889-D5890</f>
        <v>0</v>
      </c>
      <c r="Q5889" t="str">
        <v>x</v>
      </c>
      <c r="R5889">
        <f>IF(P5889&gt;0,$F$18*F5889/1000,0)</f>
        <v>0</v>
      </c>
      <c r="S5889" t="str">
        <v>)</v>
      </c>
      <c r="T5889" t="str">
        <v>x</v>
      </c>
      <c r="U5889">
        <f>0.006165*F5889^2</f>
        <v>1.57824</v>
      </c>
      <c r="X5889" t="str">
        <v>x</v>
      </c>
      <c r="Y5889">
        <f>D5880</f>
        <v>1</v>
      </c>
      <c r="Z5889" t="str">
        <v>=</v>
      </c>
      <c r="AA5889">
        <f>IF(AA5892=0,(D5889*N5889+P5889*R5889)*U5889*Y5889,0)</f>
        <v>0</v>
      </c>
    </row>
    <row r="5890">
      <c r="A5890" t="str">
        <f>A5874</f>
        <v>Lantai 2</v>
      </c>
      <c r="B5890">
        <f>B5874</f>
        <v>1</v>
      </c>
      <c r="C5890" t="str">
        <v>Tul Bawah Lapangan</v>
      </c>
      <c r="D5890">
        <f>VLOOKUP(D5874,'Detail Balok'!$C$10:$AU$110,25,FALSE)</f>
        <v>2</v>
      </c>
      <c r="E5890" t="str">
        <v>D</v>
      </c>
      <c r="F5890">
        <f>VLOOKUP(D5874,'Detail Balok'!$C$10:$AU$110,27,FALSE)</f>
        <v>16</v>
      </c>
      <c r="I5890" t="str">
        <v>(</v>
      </c>
      <c r="J5890">
        <f>+J5882</f>
        <v>1.75</v>
      </c>
      <c r="K5890" t="str">
        <v>+</v>
      </c>
      <c r="M5890" t="str">
        <v>=</v>
      </c>
      <c r="N5890">
        <f>J5890+L5890</f>
        <v>1.75</v>
      </c>
      <c r="O5890" t="str">
        <v>+</v>
      </c>
      <c r="P5890">
        <f>MAX(D5890-D5889,D5890-D5891)</f>
        <v>0</v>
      </c>
      <c r="Q5890" t="str">
        <v>x</v>
      </c>
      <c r="R5890">
        <f>IF(P5890&gt;0,2*(1-2*$F$19-1/2)*D5877/1000,0)</f>
        <v>0</v>
      </c>
      <c r="S5890" t="str">
        <v>)</v>
      </c>
      <c r="T5890" t="str">
        <v>x</v>
      </c>
      <c r="U5890">
        <f>0.006165*F5890^2</f>
        <v>1.57824</v>
      </c>
      <c r="X5890" t="str">
        <v>x</v>
      </c>
      <c r="Y5890">
        <f>D5880</f>
        <v>1</v>
      </c>
      <c r="Z5890" t="str">
        <v>=</v>
      </c>
      <c r="AA5890">
        <f>IF(AA5892=0,(D5890*N5890+P5890*R5890)*U5890*Y5890,0)</f>
        <v>0</v>
      </c>
    </row>
    <row r="5891">
      <c r="A5891" t="str">
        <f>A5874</f>
        <v>Lantai 2</v>
      </c>
      <c r="B5891">
        <f>B5874</f>
        <v>1</v>
      </c>
      <c r="C5891" t="str">
        <v>Tul Bawah Tumpuan</v>
      </c>
      <c r="D5891">
        <f>VLOOKUP(D5874,'Detail Balok'!$C$10:$AU$110,28,FALSE)</f>
        <v>2</v>
      </c>
      <c r="E5891" t="str">
        <v>D</v>
      </c>
      <c r="F5891">
        <f>VLOOKUP(D5874,'Detail Balok'!$C$10:$AU$110,30,FALSE)</f>
        <v>16</v>
      </c>
      <c r="I5891" t="str">
        <v>(</v>
      </c>
      <c r="J5891">
        <f>+J5883</f>
        <v>0.875</v>
      </c>
      <c r="K5891" t="str">
        <v>+</v>
      </c>
      <c r="L5891">
        <f>MAX(VLOOKUP(F5891,N$6:P$15,3,FALSE)/1000,2/3*D5879/1000)+F$16*F5891/1000</f>
        <v>0.192</v>
      </c>
      <c r="M5891" t="str">
        <v>=</v>
      </c>
      <c r="N5891">
        <f>J5891+L5891</f>
        <v>1.067</v>
      </c>
      <c r="O5891" t="str">
        <v>+</v>
      </c>
      <c r="P5891">
        <f>D5891-D5890</f>
        <v>0</v>
      </c>
      <c r="Q5891" t="str">
        <v>x</v>
      </c>
      <c r="R5891">
        <f>IF(P5891&gt;0,$F$18*F5891/1000,0)</f>
        <v>0</v>
      </c>
      <c r="S5891" t="str">
        <v>)</v>
      </c>
      <c r="T5891" t="str">
        <v>x</v>
      </c>
      <c r="U5891">
        <f>0.006165*F5891^2</f>
        <v>1.57824</v>
      </c>
      <c r="X5891" t="str">
        <v>x</v>
      </c>
      <c r="Y5891">
        <f>D5880</f>
        <v>1</v>
      </c>
      <c r="Z5891" t="str">
        <v>=</v>
      </c>
      <c r="AA5891">
        <f>IF(AA5892=0,(D5891*N5891+P5891*R5891)*U5891*Y5891,0)</f>
        <v>0</v>
      </c>
    </row>
    <row r="5892">
      <c r="A5892" t="str">
        <f>A5874</f>
        <v>Lantai 2</v>
      </c>
      <c r="B5892">
        <f>B5874</f>
        <v>1</v>
      </c>
      <c r="D5892">
        <f>IF(AND(D5889=D5890,D5890=D5891,D5889=D5891),D5889,0)</f>
        <v>2</v>
      </c>
      <c r="E5892" t="str">
        <v>D</v>
      </c>
      <c r="F5892">
        <f>IF(AND(F5889=F5890,F5889=F5891,F5890=F5891),F5889,0)</f>
        <v>16</v>
      </c>
      <c r="L5892" t="str">
        <v>Total panjang per balok</v>
      </c>
      <c r="M5892" t="str">
        <v>=</v>
      </c>
      <c r="N5892">
        <f>IF(AND(D5889=D5890,D5889=D5891,D5890=D5891,F5889=F5890,F5889=F5891,F5890=F5891),SUM(N5889:N5891),0)</f>
        <v>3.8840000000000003</v>
      </c>
      <c r="O5892" t="str">
        <v>+</v>
      </c>
      <c r="P5892">
        <f>IF(N5892&gt;12,ROUNDDOWN(N5892/12,0),0)</f>
        <v>0</v>
      </c>
      <c r="Q5892" t="str">
        <v>x</v>
      </c>
      <c r="R5892">
        <f>IF(P5892&gt;0,MAX(VLOOKUP(F5892,$D$6:$G$15,3,FALSE),600),0)/1000</f>
        <v>0</v>
      </c>
      <c r="T5892" t="str">
        <v>x</v>
      </c>
      <c r="U5892">
        <f>U5891</f>
        <v>1.57824</v>
      </c>
      <c r="V5892" t="str">
        <v>x</v>
      </c>
      <c r="W5892">
        <f>D5892</f>
        <v>2</v>
      </c>
      <c r="X5892" t="str">
        <v>x</v>
      </c>
      <c r="Y5892">
        <f>Y5891</f>
        <v>1</v>
      </c>
      <c r="Z5892" t="str">
        <v>=</v>
      </c>
      <c r="AA5892">
        <f>(N5892+P5892*R5892/1000)*U5892*W5892*Y5892</f>
        <v>12.259768320000001</v>
      </c>
    </row>
    <row r="5894">
      <c r="A5894" t="str">
        <f>A5874</f>
        <v>Lantai 2</v>
      </c>
      <c r="B5894">
        <f>B5874</f>
        <v>1</v>
      </c>
      <c r="C5894" t="str">
        <v>Sengkang Tumpuan</v>
      </c>
      <c r="D5894">
        <f>VLOOKUP(D5874,'Detail Balok'!$C$10:$AU$110,31,FALSE)</f>
        <v>0</v>
      </c>
      <c r="E5894" t="str">
        <v>D</v>
      </c>
      <c r="F5894">
        <f>VLOOKUP(D5874,'Detail Balok'!$C$10:$AU$110,33,FALSE)</f>
        <v>10</v>
      </c>
      <c r="G5894" t="str">
        <v>-</v>
      </c>
      <c r="H5894">
        <f>VLOOKUP(D5874,'Detail Balok'!$C$10:$AU$110,35,FALSE)</f>
        <v>100</v>
      </c>
      <c r="J5894">
        <f>(IF(D5894=0,(2*(D5875+G5875))-(F$5*8),IF(D5894=3,(2*(D5875+G5875))-(F$5*8)+(G5875-2*F$5),IF(D5894=4,(2*(D5875+G5875))-(F$5*8)+2*(G5875-2*F$5)))))/1000</f>
        <v>1.28</v>
      </c>
      <c r="K5894" t="str">
        <v>+</v>
      </c>
      <c r="L5894">
        <f>IF(D5894=0,2*MAX(6*F5894,75),(D5894-1)*2*MAX(6*F5894,75))/1000</f>
        <v>0.15</v>
      </c>
      <c r="M5894" t="str">
        <v>=</v>
      </c>
      <c r="N5894">
        <f>J5894+L5894</f>
        <v>1.43</v>
      </c>
      <c r="T5894" t="str">
        <v>x</v>
      </c>
      <c r="U5894">
        <f>0.006165*F5894^2</f>
        <v>0.6165</v>
      </c>
      <c r="V5894" t="str">
        <v>x</v>
      </c>
      <c r="W5894">
        <f>IF(D5877&gt;4*G5875,ROUND(MAX(D5877/4,2*G5875)/H5894,0)+1,ROUND(D5877/H5894,0)+1)</f>
        <v>13</v>
      </c>
      <c r="X5894" t="str">
        <v>x</v>
      </c>
      <c r="Y5894">
        <f>D5880</f>
        <v>1</v>
      </c>
      <c r="Z5894" t="str">
        <v>=</v>
      </c>
      <c r="AA5894">
        <f>N5894*U5894*W5894*Y5894</f>
        <v>11.460735</v>
      </c>
    </row>
    <row r="5895">
      <c r="A5895" t="str">
        <f>A5874</f>
        <v>Lantai 2</v>
      </c>
      <c r="B5895">
        <f>B5874</f>
        <v>1</v>
      </c>
      <c r="C5895" t="str">
        <v>Sengkang Lapangan</v>
      </c>
      <c r="D5895">
        <f>VLOOKUP(D5874,'Detail Balok'!$C$10:$AU$110,36,FALSE)</f>
        <v>0</v>
      </c>
      <c r="E5895" t="str">
        <v>D</v>
      </c>
      <c r="F5895">
        <f>VLOOKUP(D5874,'Detail Balok'!$C$10:$AU$110,38,FALSE)</f>
        <v>10</v>
      </c>
      <c r="G5895" t="str">
        <v>-</v>
      </c>
      <c r="H5895">
        <f>VLOOKUP(D5874,'Detail Balok'!$C$10:$AU$110,40,FALSE)</f>
        <v>200</v>
      </c>
      <c r="J5895">
        <f>(IF(D5895=0,(2*(D5875+G5875))-(F$5*8),IF(D5895=3,(2*(D5875+G5875))-(F$5*8)+(G5875-2*F$5),IF(D5895=4,(2*(D5875+G5875))-(F$5*8)+2*(G5875-2*F$5)))))/1000</f>
        <v>1.28</v>
      </c>
      <c r="K5895" t="str">
        <v>+</v>
      </c>
      <c r="L5895">
        <f>IF(D5895=0,2*MAX(6*F5895,75),(D5895-1)*2*MAX(6*F5895,75))/1000</f>
        <v>0.15</v>
      </c>
      <c r="M5895" t="str">
        <v>=</v>
      </c>
      <c r="N5895">
        <f>J5895+L5895</f>
        <v>1.43</v>
      </c>
      <c r="T5895" t="str">
        <v>x</v>
      </c>
      <c r="U5895">
        <f>0.006165*F5895^2</f>
        <v>0.6165</v>
      </c>
      <c r="V5895" t="str">
        <v>x</v>
      </c>
      <c r="W5895">
        <f>IF(D5877-MAX(D5877/4,2*G5875)*2&gt;0,ROUND((D5877-MAX(D5877/4,2*G5875)*2)/H5895,0),0)</f>
        <v>6</v>
      </c>
      <c r="X5895" t="str">
        <v>x</v>
      </c>
      <c r="Y5895">
        <f>D5880</f>
        <v>1</v>
      </c>
      <c r="Z5895" t="str">
        <v>=</v>
      </c>
      <c r="AA5895">
        <f>N5895*U5895*W5895*Y5895</f>
        <v>5.28957</v>
      </c>
    </row>
    <row r="5896">
      <c r="A5896" t="str">
        <f>A5874</f>
        <v>Lantai 2</v>
      </c>
      <c r="B5896">
        <f>B5874</f>
        <v>1</v>
      </c>
      <c r="C5896" t="str">
        <v>Sengkang Tumpuan</v>
      </c>
      <c r="D5896">
        <f>VLOOKUP(D5874,'Detail Balok'!$C$10:$AU$110,41,FALSE)</f>
        <v>0</v>
      </c>
      <c r="E5896" t="str">
        <v>D</v>
      </c>
      <c r="F5896">
        <f>VLOOKUP(D5874,'Detail Balok'!$C$10:$AU$110,43,FALSE)</f>
        <v>10</v>
      </c>
      <c r="G5896" t="str">
        <v>-</v>
      </c>
      <c r="H5896">
        <f>VLOOKUP(D5874,'Detail Balok'!$C$10:$AU$110,45,FALSE)</f>
        <v>100</v>
      </c>
      <c r="J5896">
        <f>(IF(D5896=0,(2*(D5875+G5875))-(F$5*8),IF(D5896=3,(2*(D5875+G5875))-(F$5*8)+(G5875-2*F$5),IF(D5896=4,(2*(D5875+G5875))-(F$5*8)+2*(G5875-2*F$5)))))/1000</f>
        <v>1.28</v>
      </c>
      <c r="K5896" t="str">
        <v>+</v>
      </c>
      <c r="L5896">
        <f>IF(D5896=0,2*MAX(6*F5896,75),(D5896-1)*2*MAX(6*F5896,75))/1000</f>
        <v>0.15</v>
      </c>
      <c r="M5896" t="str">
        <v>=</v>
      </c>
      <c r="N5896">
        <f>J5896+L5896</f>
        <v>1.43</v>
      </c>
      <c r="T5896" t="str">
        <v>x</v>
      </c>
      <c r="U5896">
        <f>0.006165*F5896^2</f>
        <v>0.6165</v>
      </c>
      <c r="V5896" t="str">
        <v>x</v>
      </c>
      <c r="W5896">
        <f>IF(D5877&gt;4*G5875,ROUND(MAX(D5877/4,2*G5875)/H5896,0)+1,0)</f>
        <v>13</v>
      </c>
      <c r="X5896" t="str">
        <v>x</v>
      </c>
      <c r="Y5896">
        <f>D5880</f>
        <v>1</v>
      </c>
      <c r="Z5896" t="str">
        <v>=</v>
      </c>
      <c r="AA5896">
        <f>N5896*U5896*W5896*Y5896</f>
        <v>11.460735</v>
      </c>
    </row>
    <row r="5898">
      <c r="A5898" t="str">
        <f>A5874</f>
        <v>Lantai 2</v>
      </c>
      <c r="B5898">
        <f>B5874</f>
        <v>1</v>
      </c>
      <c r="C5898" t="str">
        <v>Kait Horizontal Tump.</v>
      </c>
      <c r="D5898">
        <f>VLOOKUP(D5874,'Detail Balok'!$C$10:$BJ$110,46,FALSE)</f>
        <v>0</v>
      </c>
      <c r="E5898" t="str">
        <v>D</v>
      </c>
      <c r="F5898">
        <f>VLOOKUP(D5874,'Detail Balok'!$C$10:$BJ$110,48,FALSE)</f>
        <v>0</v>
      </c>
      <c r="G5898" t="str">
        <v>-</v>
      </c>
      <c r="H5898">
        <f>VLOOKUP(D5874,'Detail Balok'!$C$10:$BJ$110,50,FALSE)</f>
        <v>100</v>
      </c>
      <c r="J5898">
        <f>(D5875-2*F$5)/1000</f>
        <v>0.12</v>
      </c>
      <c r="K5898" t="str">
        <v>+</v>
      </c>
      <c r="L5898">
        <f>IF(D5898=0,2*MAX(6*F5898,75),(D5898-1)*2*MAX(6*F5898,75))/1000</f>
        <v>0.15</v>
      </c>
      <c r="M5898" t="str">
        <v>=</v>
      </c>
      <c r="N5898">
        <f>J5898+L5898</f>
        <v>0.27</v>
      </c>
      <c r="T5898" t="str">
        <v>x</v>
      </c>
      <c r="U5898">
        <f>0.006165*F5898^2</f>
        <v>0</v>
      </c>
      <c r="V5898" t="str">
        <v>x</v>
      </c>
      <c r="W5898">
        <f>W5894</f>
        <v>13</v>
      </c>
      <c r="X5898" t="str">
        <v>x</v>
      </c>
      <c r="Y5898">
        <f>D5884</f>
        <v>2</v>
      </c>
      <c r="Z5898" t="str">
        <v>=</v>
      </c>
      <c r="AA5898">
        <f>N5898*U5898*W5898*Y5898</f>
        <v>0</v>
      </c>
    </row>
    <row r="5899">
      <c r="A5899" t="str">
        <f>A5874</f>
        <v>Lantai 2</v>
      </c>
      <c r="B5899">
        <f>B5874</f>
        <v>1</v>
      </c>
      <c r="C5899" t="str">
        <v>Kait Horizontal Lap.</v>
      </c>
      <c r="D5899">
        <f>VLOOKUP(D5874,'Detail Balok'!$C$10:$BJ$110,51,FALSE)</f>
        <v>0</v>
      </c>
      <c r="E5899" t="str">
        <v>D</v>
      </c>
      <c r="F5899">
        <f>VLOOKUP(D5874,'Detail Balok'!$C$10:$BJ$110,53,FALSE)</f>
        <v>0</v>
      </c>
      <c r="G5899" t="str">
        <v>-</v>
      </c>
      <c r="H5899">
        <f>VLOOKUP(D5874,'Detail Balok'!$C$10:$BJ$110,55,FALSE)</f>
        <v>100</v>
      </c>
      <c r="J5899">
        <f>(D5875-2*F$5)/1000</f>
        <v>0.12</v>
      </c>
      <c r="K5899" t="str">
        <v>+</v>
      </c>
      <c r="L5899">
        <f>IF(D5899=0,2*MAX(6*F5899,75),(D5899-1)*2*MAX(6*F5899,75))/1000</f>
        <v>0.15</v>
      </c>
      <c r="M5899" t="str">
        <v>=</v>
      </c>
      <c r="N5899">
        <f>J5899+L5899</f>
        <v>0.27</v>
      </c>
      <c r="T5899" t="str">
        <v>x</v>
      </c>
      <c r="U5899">
        <f>0.006165*F5899^2</f>
        <v>0</v>
      </c>
      <c r="V5899" t="str">
        <v>x</v>
      </c>
      <c r="W5899">
        <f>W5895</f>
        <v>6</v>
      </c>
      <c r="X5899" t="str">
        <v>x</v>
      </c>
      <c r="Y5899">
        <f>D5884</f>
        <v>2</v>
      </c>
      <c r="Z5899" t="str">
        <v>=</v>
      </c>
      <c r="AA5899">
        <f>N5899*U5899*W5899*Y5899</f>
        <v>0</v>
      </c>
    </row>
    <row r="5900">
      <c r="A5900" t="str">
        <f>A5874</f>
        <v>Lantai 2</v>
      </c>
      <c r="B5900">
        <f>B5874</f>
        <v>1</v>
      </c>
      <c r="C5900" t="str">
        <v>Kait Horizontal Tump.</v>
      </c>
      <c r="D5900">
        <f>VLOOKUP(D5874,'Detail Balok'!$C$10:$BJ$110,56,FALSE)</f>
        <v>0</v>
      </c>
      <c r="E5900" t="str">
        <v>D</v>
      </c>
      <c r="F5900">
        <f>VLOOKUP(D5874,'Detail Balok'!$C$10:$BJ$110,58,FALSE)</f>
        <v>0</v>
      </c>
      <c r="G5900" t="str">
        <v>-</v>
      </c>
      <c r="H5900">
        <f>VLOOKUP(D5874,'Detail Balok'!$C$10:$BJ$110,60,FALSE)</f>
        <v>100</v>
      </c>
      <c r="J5900">
        <f>(D5875-2*F$5)/1000</f>
        <v>0.12</v>
      </c>
      <c r="K5900" t="str">
        <v>+</v>
      </c>
      <c r="L5900">
        <f>IF(D5900=0,2*MAX(6*F5900,75),(D5900-1)*2*MAX(6*F5900,75))/1000</f>
        <v>0.15</v>
      </c>
      <c r="M5900" t="str">
        <v>=</v>
      </c>
      <c r="N5900">
        <f>J5900+L5900</f>
        <v>0.27</v>
      </c>
      <c r="T5900" t="str">
        <v>x</v>
      </c>
      <c r="U5900">
        <f>0.006165*F5900^2</f>
        <v>0</v>
      </c>
      <c r="V5900" t="str">
        <v>x</v>
      </c>
      <c r="W5900">
        <f>W5896</f>
        <v>13</v>
      </c>
      <c r="X5900" t="str">
        <v>x</v>
      </c>
      <c r="Y5900">
        <f>D5884</f>
        <v>2</v>
      </c>
      <c r="Z5900" t="str">
        <v>=</v>
      </c>
      <c r="AA5900">
        <f>N5900*U5900*W5900*Y5900</f>
        <v>0</v>
      </c>
    </row>
    <row r="5904">
      <c r="A5904" t="str">
        <f>A5874</f>
        <v>Lantai 2</v>
      </c>
      <c r="B5904">
        <f>B5874+1</f>
        <v>2</v>
      </c>
      <c r="C5904" t="str">
        <f>CONCATENATE(A5904," no. ",B5904)</f>
        <v>Lantai 2 no. 2</v>
      </c>
      <c r="D5904" t="str">
        <f>VLOOKUP(C5904,'Data Panjang Balok'!$C$9:$N$424,2,FALSE)</f>
        <v>B245-1</v>
      </c>
    </row>
    <row r="5905">
      <c r="C5905" t="str">
        <v>Dimensi</v>
      </c>
      <c r="D5905">
        <f>VLOOKUP(D5904,'Detail Balok'!$C$10:$AU$110,2,FALSE)</f>
        <v>200</v>
      </c>
      <c r="F5905" t="str">
        <v>x</v>
      </c>
      <c r="G5905">
        <f>VLOOKUP(D5904,'Detail Balok'!$C$10:$AU$110,3,FALSE)</f>
        <v>450</v>
      </c>
    </row>
    <row r="5906">
      <c r="C5906" t="str">
        <v>Panjang as ke as</v>
      </c>
      <c r="D5906">
        <f>VLOOKUP(C5904,'Data Panjang Balok'!$C$9:$N$424,4,FALSE)</f>
        <v>6600</v>
      </c>
    </row>
    <row r="5907">
      <c r="C5907" t="str">
        <v>Panjang netto</v>
      </c>
      <c r="D5907">
        <f>VLOOKUP(C5904,'Data Panjang Balok'!$C$9:$N$424,7,FALSE)</f>
        <v>6600</v>
      </c>
    </row>
    <row r="5908">
      <c r="C5908" t="str">
        <v>Kolom / balok kiri</v>
      </c>
      <c r="D5908">
        <f>VLOOKUP(C5904,'Data Panjang Balok'!$C$9:$N$424,9,FALSE)</f>
        <v>0</v>
      </c>
    </row>
    <row r="5909">
      <c r="C5909" t="str">
        <v>Kolom / balok kanan</v>
      </c>
      <c r="D5909">
        <f>VLOOKUP(C5904,'Data Panjang Balok'!$C$9:$N$424,10,FALSE)</f>
        <v>0</v>
      </c>
    </row>
    <row r="5910">
      <c r="C5910" t="str">
        <v>Jumlah</v>
      </c>
      <c r="D5910">
        <f>VLOOKUP(C5904,'Data Panjang Balok'!$C$9:$N$424,3,FALSE)</f>
        <v>1</v>
      </c>
    </row>
    <row r="5911">
      <c r="A5911" t="str">
        <f>A5904</f>
        <v>Lantai 2</v>
      </c>
      <c r="B5911">
        <f>B5904</f>
        <v>2</v>
      </c>
      <c r="C5911" t="str">
        <v>Tul Atas Tumpuan</v>
      </c>
      <c r="D5911">
        <f>VLOOKUP(D5904,'Detail Balok'!$C$10:$AU$110,4,FALSE)</f>
        <v>2</v>
      </c>
      <c r="E5911" t="str">
        <v>D</v>
      </c>
      <c r="F5911">
        <f>VLOOKUP(D5904,'Detail Balok'!$C$10:$AU$110,6,FALSE)</f>
        <v>13</v>
      </c>
      <c r="I5911" t="str">
        <v>(</v>
      </c>
      <c r="J5911">
        <f>+D5906/4/1000</f>
        <v>1.65</v>
      </c>
      <c r="K5911" t="str">
        <v>+</v>
      </c>
      <c r="L5911">
        <f>MAX(VLOOKUP(F5911,N$6:P$15,3,FALSE)/1000,2/3*D5908/1000)+F$16*F5911/1000</f>
        <v>0.156</v>
      </c>
      <c r="M5911" t="str">
        <v>=</v>
      </c>
      <c r="N5911">
        <f>J5911+L5911</f>
        <v>1.8059999999999998</v>
      </c>
      <c r="O5911" t="str">
        <v>+</v>
      </c>
      <c r="P5911">
        <f>D5911-D5912</f>
        <v>0</v>
      </c>
      <c r="Q5911" t="str">
        <v>x</v>
      </c>
      <c r="R5911">
        <f>IF(P5911&gt;0,$F$18*F5911/1000,0)</f>
        <v>0</v>
      </c>
      <c r="S5911" t="str">
        <v>)</v>
      </c>
      <c r="T5911" t="str">
        <v>x</v>
      </c>
      <c r="U5911">
        <f>0.006165*F5911^2</f>
        <v>1.041885</v>
      </c>
      <c r="X5911" t="str">
        <v>x</v>
      </c>
      <c r="Y5911">
        <f>D5910</f>
        <v>1</v>
      </c>
      <c r="Z5911" t="str">
        <v>=</v>
      </c>
      <c r="AA5911">
        <f>IF(AA5914=0,(D5911*N5911+P5911*R5911)*U5911*Y5911,0)</f>
        <v>0</v>
      </c>
    </row>
    <row r="5912">
      <c r="A5912" t="str">
        <f>A5904</f>
        <v>Lantai 2</v>
      </c>
      <c r="B5912">
        <f>B5904</f>
        <v>2</v>
      </c>
      <c r="C5912" t="str">
        <v>Tul Atas Lapangan</v>
      </c>
      <c r="D5912">
        <f>VLOOKUP(D5904,'Detail Balok'!$C$10:$AU$110,7,FALSE)</f>
        <v>2</v>
      </c>
      <c r="E5912" t="str">
        <v>D</v>
      </c>
      <c r="F5912">
        <f>VLOOKUP(D5904,'Detail Balok'!$C$10:$AU$110,9,FALSE)</f>
        <v>13</v>
      </c>
      <c r="I5912" t="str">
        <v>(</v>
      </c>
      <c r="J5912">
        <f>+D5906/2/1000</f>
        <v>3.3</v>
      </c>
      <c r="K5912" t="str">
        <v>+</v>
      </c>
      <c r="M5912" t="str">
        <v>=</v>
      </c>
      <c r="N5912">
        <f>J5912+L5912</f>
        <v>3.3</v>
      </c>
      <c r="O5912" t="str">
        <v>+</v>
      </c>
      <c r="P5912">
        <f>MAX(D5912-D5911,D5912-D5913)</f>
        <v>0</v>
      </c>
      <c r="Q5912" t="str">
        <v>x</v>
      </c>
      <c r="R5912">
        <f>IF(P5912&gt;0,2*(1-2*$F$19-1/2)*D5907/1000,0)</f>
        <v>0</v>
      </c>
      <c r="S5912" t="str">
        <v>)</v>
      </c>
      <c r="T5912" t="str">
        <v>x</v>
      </c>
      <c r="U5912">
        <f>0.006165*F5912^2</f>
        <v>1.041885</v>
      </c>
      <c r="X5912" t="str">
        <v>x</v>
      </c>
      <c r="Y5912">
        <f>D5910</f>
        <v>1</v>
      </c>
      <c r="Z5912" t="str">
        <v>=</v>
      </c>
      <c r="AA5912">
        <f>IF(AA5914=0,(D5912*N5912+P5912*R5912)*U5912*Y5912,0)</f>
        <v>0</v>
      </c>
    </row>
    <row r="5913">
      <c r="A5913" t="str">
        <f>A5904</f>
        <v>Lantai 2</v>
      </c>
      <c r="B5913">
        <f>B5904</f>
        <v>2</v>
      </c>
      <c r="C5913" t="str">
        <v>Tul Atas Tumpuan</v>
      </c>
      <c r="D5913">
        <f>VLOOKUP(D5904,'Detail Balok'!$C$10:$AU$110,10,FALSE)</f>
        <v>2</v>
      </c>
      <c r="E5913" t="str">
        <v>D</v>
      </c>
      <c r="F5913">
        <f>VLOOKUP(D5904,'Detail Balok'!$C$10:$AU$110,12,FALSE)</f>
        <v>13</v>
      </c>
      <c r="I5913" t="str">
        <v>(</v>
      </c>
      <c r="J5913">
        <f>+D5906/4/1000</f>
        <v>1.65</v>
      </c>
      <c r="K5913" t="str">
        <v>+</v>
      </c>
      <c r="L5913">
        <f>MAX(VLOOKUP(F5913,N$6:P$15,3,FALSE)/1000,2/3*D5908/1000)+F$16*F5913/1000</f>
        <v>0.156</v>
      </c>
      <c r="M5913" t="str">
        <v>=</v>
      </c>
      <c r="N5913">
        <f>J5913+L5913</f>
        <v>1.8059999999999998</v>
      </c>
      <c r="O5913" t="str">
        <v>+</v>
      </c>
      <c r="P5913">
        <f>D5913-D5912</f>
        <v>0</v>
      </c>
      <c r="Q5913" t="str">
        <v>x</v>
      </c>
      <c r="R5913">
        <f>IF(P5913&gt;0,$F$18*F5913/1000,0)</f>
        <v>0</v>
      </c>
      <c r="S5913" t="str">
        <v>)</v>
      </c>
      <c r="T5913" t="str">
        <v>x</v>
      </c>
      <c r="U5913">
        <f>0.006165*F5913^2</f>
        <v>1.041885</v>
      </c>
      <c r="X5913" t="str">
        <v>x</v>
      </c>
      <c r="Y5913">
        <f>D5910</f>
        <v>1</v>
      </c>
      <c r="Z5913" t="str">
        <v>=</v>
      </c>
      <c r="AA5913">
        <f>IF(AA5914=0,(D5913*N5913+P5913*R5913)*U5913*Y5913,0)</f>
        <v>0</v>
      </c>
    </row>
    <row r="5914">
      <c r="A5914" t="str">
        <f>A5904</f>
        <v>Lantai 2</v>
      </c>
      <c r="B5914">
        <f>B5904</f>
        <v>2</v>
      </c>
      <c r="D5914">
        <f>IF(AND(D5911=D5912,D5912=D5913,D5911=D5913),D5911,0)</f>
        <v>2</v>
      </c>
      <c r="E5914" t="str">
        <v>D</v>
      </c>
      <c r="F5914">
        <f>IF(AND(F5911=F5912,F5911=F5913,F5912=F5913),F5911,0)</f>
        <v>13</v>
      </c>
      <c r="L5914" t="str">
        <v>Total panjang per balok</v>
      </c>
      <c r="M5914" t="str">
        <v>=</v>
      </c>
      <c r="N5914">
        <f>IF(AND(D5911=D5912,D5911=D5913,D5912=D5913,F5911=F5912,F5911=F5913,F5912=F5913),SUM(N5911:N5913),0)</f>
        <v>6.912</v>
      </c>
      <c r="O5914" t="str">
        <v>+</v>
      </c>
      <c r="P5914">
        <f>IF(N5914&gt;12,ROUNDDOWN(N5914/12,0),0)</f>
        <v>0</v>
      </c>
      <c r="Q5914" t="str">
        <v>x</v>
      </c>
      <c r="R5914">
        <f>IF(P5914&gt;0,MAX(VLOOKUP(F5914,$D$6:$G$15,3,FALSE),600),0)/1000</f>
        <v>0</v>
      </c>
      <c r="T5914" t="str">
        <v>x</v>
      </c>
      <c r="U5914">
        <f>U5913</f>
        <v>1.041885</v>
      </c>
      <c r="V5914" t="str">
        <v>x</v>
      </c>
      <c r="W5914">
        <f>D5914</f>
        <v>2</v>
      </c>
      <c r="X5914" t="str">
        <v>x</v>
      </c>
      <c r="Y5914">
        <f>Y5913</f>
        <v>1</v>
      </c>
      <c r="Z5914" t="str">
        <v>=</v>
      </c>
      <c r="AA5914">
        <f>(N5914+P5914*R5914/1000)*U5914*W5914*Y5914</f>
        <v>14.40301824</v>
      </c>
    </row>
    <row r="5916">
      <c r="A5916" t="str">
        <f>A5904</f>
        <v>Lantai 2</v>
      </c>
      <c r="B5916">
        <f>B5904</f>
        <v>2</v>
      </c>
      <c r="C5916" t="str">
        <v>Tul Peminggang</v>
      </c>
      <c r="D5916">
        <f>VLOOKUP(D5904,'Detail Balok'!$C$10:$AU$110,13,FALSE)</f>
        <v>2</v>
      </c>
      <c r="E5916" t="str">
        <v>D</v>
      </c>
      <c r="F5916">
        <f>VLOOKUP(D5904,'Detail Balok'!$C$10:$AU$110,15,FALSE)</f>
        <v>8</v>
      </c>
      <c r="J5916">
        <f>+D5906/1000</f>
        <v>6.6</v>
      </c>
      <c r="K5916" t="str">
        <v>+</v>
      </c>
      <c r="L5916">
        <f>2*$F$16*F5916/1000</f>
        <v>0.192</v>
      </c>
      <c r="M5916" t="str">
        <v>=</v>
      </c>
      <c r="N5916">
        <f>J5916+L5916</f>
        <v>6.792</v>
      </c>
      <c r="O5916" t="str">
        <v>+</v>
      </c>
      <c r="P5916">
        <f>IF(N5916&gt;12,ROUNDDOWN(N5916/12,0),0)</f>
        <v>0</v>
      </c>
      <c r="Q5916" t="str">
        <v>x</v>
      </c>
      <c r="R5916">
        <f>IF(P5916&gt;0,MAX(VLOOKUP(F5916,$D$6:$G$15,3,FALSE),600),0)/1000</f>
        <v>0</v>
      </c>
      <c r="T5916" t="str">
        <v>x</v>
      </c>
      <c r="U5916">
        <f>0.006165*F5916^2</f>
        <v>0.39456</v>
      </c>
      <c r="V5916" t="str">
        <v>x</v>
      </c>
      <c r="W5916">
        <f>+D5916</f>
        <v>2</v>
      </c>
      <c r="X5916" t="str">
        <v>x</v>
      </c>
      <c r="Y5916">
        <f>D5910</f>
        <v>1</v>
      </c>
      <c r="Z5916" t="str">
        <v>=</v>
      </c>
      <c r="AA5916">
        <f>(N5916+P5916*R5916/1000)*U5916*W5916*Y5916</f>
        <v>5.35970304</v>
      </c>
    </row>
    <row r="5919">
      <c r="A5919" t="str">
        <f>A5904</f>
        <v>Lantai 2</v>
      </c>
      <c r="B5919">
        <f>B5904</f>
        <v>2</v>
      </c>
      <c r="C5919" t="str">
        <v>Tul Bawah Tumpuan</v>
      </c>
      <c r="D5919">
        <f>VLOOKUP(D5904,'Detail Balok'!$C$10:$AU$110,22,FALSE)</f>
        <v>2</v>
      </c>
      <c r="E5919" t="str">
        <v>D</v>
      </c>
      <c r="F5919">
        <f>VLOOKUP(D5904,'Detail Balok'!$C$10:$AU$110,24,FALSE)</f>
        <v>13</v>
      </c>
      <c r="I5919" t="str">
        <v>(</v>
      </c>
      <c r="J5919">
        <f>+J5911</f>
        <v>1.65</v>
      </c>
      <c r="K5919" t="str">
        <v>+</v>
      </c>
      <c r="L5919">
        <f>MAX(VLOOKUP(F5919,N$6:P$15,3,FALSE)/1000,2/3*D5909/1000)+F$16*F5919/1000</f>
        <v>0.156</v>
      </c>
      <c r="M5919" t="str">
        <v>=</v>
      </c>
      <c r="N5919">
        <f>J5919+L5919</f>
        <v>1.8059999999999998</v>
      </c>
      <c r="O5919" t="str">
        <v>+</v>
      </c>
      <c r="P5919">
        <f>D5919-D5920</f>
        <v>0</v>
      </c>
      <c r="Q5919" t="str">
        <v>x</v>
      </c>
      <c r="R5919">
        <f>IF(P5919&gt;0,$F$18*F5919/1000,0)</f>
        <v>0</v>
      </c>
      <c r="S5919" t="str">
        <v>)</v>
      </c>
      <c r="T5919" t="str">
        <v>x</v>
      </c>
      <c r="U5919">
        <f>0.006165*F5919^2</f>
        <v>1.041885</v>
      </c>
      <c r="X5919" t="str">
        <v>x</v>
      </c>
      <c r="Y5919">
        <f>D5910</f>
        <v>1</v>
      </c>
      <c r="Z5919" t="str">
        <v>=</v>
      </c>
      <c r="AA5919">
        <f>IF(AA5922=0,(D5919*N5919+P5919*R5919)*U5919*Y5919,0)</f>
        <v>0</v>
      </c>
    </row>
    <row r="5920">
      <c r="A5920" t="str">
        <f>A5904</f>
        <v>Lantai 2</v>
      </c>
      <c r="B5920">
        <f>B5904</f>
        <v>2</v>
      </c>
      <c r="C5920" t="str">
        <v>Tul Bawah Lapangan</v>
      </c>
      <c r="D5920">
        <f>VLOOKUP(D5904,'Detail Balok'!$C$10:$AU$110,25,FALSE)</f>
        <v>2</v>
      </c>
      <c r="E5920" t="str">
        <v>D</v>
      </c>
      <c r="F5920">
        <f>VLOOKUP(D5904,'Detail Balok'!$C$10:$AU$110,27,FALSE)</f>
        <v>13</v>
      </c>
      <c r="I5920" t="str">
        <v>(</v>
      </c>
      <c r="J5920">
        <f>+J5912</f>
        <v>3.3</v>
      </c>
      <c r="K5920" t="str">
        <v>+</v>
      </c>
      <c r="M5920" t="str">
        <v>=</v>
      </c>
      <c r="N5920">
        <f>J5920+L5920</f>
        <v>3.3</v>
      </c>
      <c r="O5920" t="str">
        <v>+</v>
      </c>
      <c r="P5920">
        <f>MAX(D5920-D5919,D5920-D5921)</f>
        <v>0</v>
      </c>
      <c r="Q5920" t="str">
        <v>x</v>
      </c>
      <c r="R5920">
        <f>IF(P5920&gt;0,2*(1-2*$F$19-1/2)*D5907/1000,0)</f>
        <v>0</v>
      </c>
      <c r="S5920" t="str">
        <v>)</v>
      </c>
      <c r="T5920" t="str">
        <v>x</v>
      </c>
      <c r="U5920">
        <f>0.006165*F5920^2</f>
        <v>1.041885</v>
      </c>
      <c r="X5920" t="str">
        <v>x</v>
      </c>
      <c r="Y5920">
        <f>D5910</f>
        <v>1</v>
      </c>
      <c r="Z5920" t="str">
        <v>=</v>
      </c>
      <c r="AA5920">
        <f>IF(AA5922=0,(D5920*N5920+P5920*R5920)*U5920*Y5920,0)</f>
        <v>0</v>
      </c>
    </row>
    <row r="5921">
      <c r="A5921" t="str">
        <f>A5904</f>
        <v>Lantai 2</v>
      </c>
      <c r="B5921">
        <f>B5904</f>
        <v>2</v>
      </c>
      <c r="C5921" t="str">
        <v>Tul Bawah Tumpuan</v>
      </c>
      <c r="D5921">
        <f>VLOOKUP(D5904,'Detail Balok'!$C$10:$AU$110,28,FALSE)</f>
        <v>2</v>
      </c>
      <c r="E5921" t="str">
        <v>D</v>
      </c>
      <c r="F5921">
        <f>VLOOKUP(D5904,'Detail Balok'!$C$10:$AU$110,30,FALSE)</f>
        <v>13</v>
      </c>
      <c r="I5921" t="str">
        <v>(</v>
      </c>
      <c r="J5921">
        <f>+J5913</f>
        <v>1.65</v>
      </c>
      <c r="K5921" t="str">
        <v>+</v>
      </c>
      <c r="L5921">
        <f>MAX(VLOOKUP(F5921,N$6:P$15,3,FALSE)/1000,2/3*D5909/1000)+F$16*F5921/1000</f>
        <v>0.156</v>
      </c>
      <c r="M5921" t="str">
        <v>=</v>
      </c>
      <c r="N5921">
        <f>J5921+L5921</f>
        <v>1.8059999999999998</v>
      </c>
      <c r="O5921" t="str">
        <v>+</v>
      </c>
      <c r="P5921">
        <f>D5921-D5920</f>
        <v>0</v>
      </c>
      <c r="Q5921" t="str">
        <v>x</v>
      </c>
      <c r="R5921">
        <f>IF(P5921&gt;0,$F$18*F5921/1000,0)</f>
        <v>0</v>
      </c>
      <c r="S5921" t="str">
        <v>)</v>
      </c>
      <c r="T5921" t="str">
        <v>x</v>
      </c>
      <c r="U5921">
        <f>0.006165*F5921^2</f>
        <v>1.041885</v>
      </c>
      <c r="X5921" t="str">
        <v>x</v>
      </c>
      <c r="Y5921">
        <f>D5910</f>
        <v>1</v>
      </c>
      <c r="Z5921" t="str">
        <v>=</v>
      </c>
      <c r="AA5921">
        <f>IF(AA5922=0,(D5921*N5921+P5921*R5921)*U5921*Y5921,0)</f>
        <v>0</v>
      </c>
    </row>
    <row r="5922">
      <c r="A5922" t="str">
        <f>A5904</f>
        <v>Lantai 2</v>
      </c>
      <c r="B5922">
        <f>B5904</f>
        <v>2</v>
      </c>
      <c r="D5922">
        <f>IF(AND(D5919=D5920,D5920=D5921,D5919=D5921),D5919,0)</f>
        <v>2</v>
      </c>
      <c r="E5922" t="str">
        <v>D</v>
      </c>
      <c r="F5922">
        <f>IF(AND(F5919=F5920,F5919=F5921,F5920=F5921),F5919,0)</f>
        <v>13</v>
      </c>
      <c r="L5922" t="str">
        <v>Total panjang per balok</v>
      </c>
      <c r="M5922" t="str">
        <v>=</v>
      </c>
      <c r="N5922">
        <f>IF(AND(D5919=D5920,D5919=D5921,D5920=D5921,F5919=F5920,F5919=F5921,F5920=F5921),SUM(N5919:N5921),0)</f>
        <v>6.912</v>
      </c>
      <c r="O5922" t="str">
        <v>+</v>
      </c>
      <c r="P5922">
        <f>IF(N5922&gt;12,ROUNDDOWN(N5922/12,0),0)</f>
        <v>0</v>
      </c>
      <c r="Q5922" t="str">
        <v>x</v>
      </c>
      <c r="R5922">
        <f>IF(P5922&gt;0,MAX(VLOOKUP(F5922,$D$6:$G$15,3,FALSE),600),0)/1000</f>
        <v>0</v>
      </c>
      <c r="T5922" t="str">
        <v>x</v>
      </c>
      <c r="U5922">
        <f>U5921</f>
        <v>1.041885</v>
      </c>
      <c r="V5922" t="str">
        <v>x</v>
      </c>
      <c r="W5922">
        <f>D5922</f>
        <v>2</v>
      </c>
      <c r="X5922" t="str">
        <v>x</v>
      </c>
      <c r="Y5922">
        <f>Y5921</f>
        <v>1</v>
      </c>
      <c r="Z5922" t="str">
        <v>=</v>
      </c>
      <c r="AA5922">
        <f>(N5922+P5922*R5922/1000)*U5922*W5922*Y5922</f>
        <v>14.40301824</v>
      </c>
    </row>
    <row r="5924">
      <c r="A5924" t="str">
        <f>A5904</f>
        <v>Lantai 2</v>
      </c>
      <c r="B5924">
        <f>B5904</f>
        <v>2</v>
      </c>
      <c r="C5924" t="str">
        <v>Sengkang Tumpuan</v>
      </c>
      <c r="D5924">
        <f>VLOOKUP(D5904,'Detail Balok'!$C$10:$AU$110,31,FALSE)</f>
        <v>0</v>
      </c>
      <c r="E5924" t="str">
        <v>D</v>
      </c>
      <c r="F5924">
        <f>VLOOKUP(D5904,'Detail Balok'!$C$10:$AU$110,33,FALSE)</f>
        <v>8</v>
      </c>
      <c r="G5924" t="str">
        <v>-</v>
      </c>
      <c r="H5924">
        <f>VLOOKUP(D5904,'Detail Balok'!$C$10:$AU$110,35,FALSE)</f>
        <v>100</v>
      </c>
      <c r="J5924">
        <f>(IF(D5924=0,(2*(D5905+G5905))-(F$5*8),IF(D5924=3,(2*(D5905+G5905))-(F$5*8)+(G5905-2*F$5),IF(D5924=4,(2*(D5905+G5905))-(F$5*8)+2*(G5905-2*F$5)))))/1000</f>
        <v>0.98</v>
      </c>
      <c r="K5924" t="str">
        <v>+</v>
      </c>
      <c r="L5924">
        <f>IF(D5924=0,2*MAX(6*F5924,75),(D5924-1)*2*MAX(6*F5924,75))/1000</f>
        <v>0.15</v>
      </c>
      <c r="M5924" t="str">
        <v>=</v>
      </c>
      <c r="N5924">
        <f>J5924+L5924</f>
        <v>1.13</v>
      </c>
      <c r="T5924" t="str">
        <v>x</v>
      </c>
      <c r="U5924">
        <f>0.006165*F5924^2</f>
        <v>0.39456</v>
      </c>
      <c r="V5924" t="str">
        <v>x</v>
      </c>
      <c r="W5924">
        <f>IF(D5907&gt;4*G5905,ROUND(MAX(D5907/4,2*G5905)/H5924,0)+1,ROUND(D5907/H5924,0)+1)</f>
        <v>18</v>
      </c>
      <c r="X5924" t="str">
        <v>x</v>
      </c>
      <c r="Y5924">
        <f>D5910</f>
        <v>1</v>
      </c>
      <c r="Z5924" t="str">
        <v>=</v>
      </c>
      <c r="AA5924">
        <f>N5924*U5924*W5924*Y5924</f>
        <v>8.0253504</v>
      </c>
    </row>
    <row r="5925">
      <c r="A5925" t="str">
        <f>A5904</f>
        <v>Lantai 2</v>
      </c>
      <c r="B5925">
        <f>B5904</f>
        <v>2</v>
      </c>
      <c r="C5925" t="str">
        <v>Sengkang Lapangan</v>
      </c>
      <c r="D5925">
        <f>VLOOKUP(D5904,'Detail Balok'!$C$10:$AU$110,36,FALSE)</f>
        <v>0</v>
      </c>
      <c r="E5925" t="str">
        <v>D</v>
      </c>
      <c r="F5925">
        <f>VLOOKUP(D5904,'Detail Balok'!$C$10:$AU$110,38,FALSE)</f>
        <v>8</v>
      </c>
      <c r="G5925" t="str">
        <v>-</v>
      </c>
      <c r="H5925">
        <f>VLOOKUP(D5904,'Detail Balok'!$C$10:$AU$110,40,FALSE)</f>
        <v>200</v>
      </c>
      <c r="J5925">
        <f>(IF(D5925=0,(2*(D5905+G5905))-(F$5*8),IF(D5925=3,(2*(D5905+G5905))-(F$5*8)+(G5905-2*F$5),IF(D5925=4,(2*(D5905+G5905))-(F$5*8)+2*(G5905-2*F$5)))))/1000</f>
        <v>0.98</v>
      </c>
      <c r="K5925" t="str">
        <v>+</v>
      </c>
      <c r="L5925">
        <f>IF(D5925=0,2*MAX(6*F5925,75),(D5925-1)*2*MAX(6*F5925,75))/1000</f>
        <v>0.15</v>
      </c>
      <c r="M5925" t="str">
        <v>=</v>
      </c>
      <c r="N5925">
        <f>J5925+L5925</f>
        <v>1.13</v>
      </c>
      <c r="T5925" t="str">
        <v>x</v>
      </c>
      <c r="U5925">
        <f>0.006165*F5925^2</f>
        <v>0.39456</v>
      </c>
      <c r="V5925" t="str">
        <v>x</v>
      </c>
      <c r="W5925">
        <f>IF(D5907-MAX(D5907/4,2*G5905)*2&gt;0,ROUND((D5907-MAX(D5907/4,2*G5905)*2)/H5925,0),0)</f>
        <v>17</v>
      </c>
      <c r="X5925" t="str">
        <v>x</v>
      </c>
      <c r="Y5925">
        <f>D5910</f>
        <v>1</v>
      </c>
      <c r="Z5925" t="str">
        <v>=</v>
      </c>
      <c r="AA5925">
        <f>N5925*U5925*W5925*Y5925</f>
        <v>7.5794976</v>
      </c>
    </row>
    <row r="5926">
      <c r="A5926" t="str">
        <f>A5904</f>
        <v>Lantai 2</v>
      </c>
      <c r="B5926">
        <f>B5904</f>
        <v>2</v>
      </c>
      <c r="C5926" t="str">
        <v>Sengkang Tumpuan</v>
      </c>
      <c r="D5926">
        <f>VLOOKUP(D5904,'Detail Balok'!$C$10:$AU$110,41,FALSE)</f>
        <v>0</v>
      </c>
      <c r="E5926" t="str">
        <v>D</v>
      </c>
      <c r="F5926">
        <f>VLOOKUP(D5904,'Detail Balok'!$C$10:$AU$110,43,FALSE)</f>
        <v>8</v>
      </c>
      <c r="G5926" t="str">
        <v>-</v>
      </c>
      <c r="H5926">
        <f>VLOOKUP(D5904,'Detail Balok'!$C$10:$AU$110,45,FALSE)</f>
        <v>100</v>
      </c>
      <c r="J5926">
        <f>(IF(D5926=0,(2*(D5905+G5905))-(F$5*8),IF(D5926=3,(2*(D5905+G5905))-(F$5*8)+(G5905-2*F$5),IF(D5926=4,(2*(D5905+G5905))-(F$5*8)+2*(G5905-2*F$5)))))/1000</f>
        <v>0.98</v>
      </c>
      <c r="K5926" t="str">
        <v>+</v>
      </c>
      <c r="L5926">
        <f>IF(D5926=0,2*MAX(6*F5926,75),(D5926-1)*2*MAX(6*F5926,75))/1000</f>
        <v>0.15</v>
      </c>
      <c r="M5926" t="str">
        <v>=</v>
      </c>
      <c r="N5926">
        <f>J5926+L5926</f>
        <v>1.13</v>
      </c>
      <c r="T5926" t="str">
        <v>x</v>
      </c>
      <c r="U5926">
        <f>0.006165*F5926^2</f>
        <v>0.39456</v>
      </c>
      <c r="V5926" t="str">
        <v>x</v>
      </c>
      <c r="W5926">
        <f>IF(D5907&gt;4*G5905,ROUND(MAX(D5907/4,2*G5905)/H5926,0)+1,0)</f>
        <v>18</v>
      </c>
      <c r="X5926" t="str">
        <v>x</v>
      </c>
      <c r="Y5926">
        <f>D5910</f>
        <v>1</v>
      </c>
      <c r="Z5926" t="str">
        <v>=</v>
      </c>
      <c r="AA5926">
        <f>N5926*U5926*W5926*Y5926</f>
        <v>8.0253504</v>
      </c>
    </row>
    <row r="5928">
      <c r="A5928" t="str">
        <f>A5904</f>
        <v>Lantai 2</v>
      </c>
      <c r="B5928">
        <f>B5904</f>
        <v>2</v>
      </c>
      <c r="C5928" t="str">
        <v>Kait Horizontal Tump.</v>
      </c>
      <c r="D5928">
        <f>VLOOKUP(D5904,'Detail Balok'!$C$10:$BJ$110,46,FALSE)</f>
        <v>0</v>
      </c>
      <c r="E5928" t="str">
        <v>D</v>
      </c>
      <c r="F5928">
        <f>VLOOKUP(D5904,'Detail Balok'!$C$10:$BJ$110,48,FALSE)</f>
        <v>0</v>
      </c>
      <c r="G5928" t="str">
        <v>-</v>
      </c>
      <c r="H5928">
        <f>VLOOKUP(D5904,'Detail Balok'!$C$10:$BJ$110,50,FALSE)</f>
        <v>100</v>
      </c>
      <c r="J5928">
        <f>(D5905-2*F$5)/1000</f>
        <v>0.12</v>
      </c>
      <c r="K5928" t="str">
        <v>+</v>
      </c>
      <c r="L5928">
        <f>IF(D5928=0,2*MAX(6*F5928,75),(D5928-1)*2*MAX(6*F5928,75))/1000</f>
        <v>0.15</v>
      </c>
      <c r="M5928" t="str">
        <v>=</v>
      </c>
      <c r="N5928">
        <f>J5928+L5928</f>
        <v>0.27</v>
      </c>
      <c r="T5928" t="str">
        <v>x</v>
      </c>
      <c r="U5928">
        <f>0.006165*F5928^2</f>
        <v>0</v>
      </c>
      <c r="V5928" t="str">
        <v>x</v>
      </c>
      <c r="W5928">
        <f>W5924</f>
        <v>18</v>
      </c>
      <c r="X5928" t="str">
        <v>x</v>
      </c>
      <c r="Y5928">
        <f>D5914</f>
        <v>2</v>
      </c>
      <c r="Z5928" t="str">
        <v>=</v>
      </c>
      <c r="AA5928">
        <f>N5928*U5928*W5928*Y5928</f>
        <v>0</v>
      </c>
    </row>
    <row r="5929">
      <c r="A5929" t="str">
        <f>A5904</f>
        <v>Lantai 2</v>
      </c>
      <c r="B5929">
        <f>B5904</f>
        <v>2</v>
      </c>
      <c r="C5929" t="str">
        <v>Kait Horizontal Lap.</v>
      </c>
      <c r="D5929">
        <f>VLOOKUP(D5904,'Detail Balok'!$C$10:$BJ$110,51,FALSE)</f>
        <v>0</v>
      </c>
      <c r="E5929" t="str">
        <v>D</v>
      </c>
      <c r="F5929">
        <f>VLOOKUP(D5904,'Detail Balok'!$C$10:$BJ$110,53,FALSE)</f>
        <v>0</v>
      </c>
      <c r="G5929" t="str">
        <v>-</v>
      </c>
      <c r="H5929">
        <f>VLOOKUP(D5904,'Detail Balok'!$C$10:$BJ$110,55,FALSE)</f>
        <v>100</v>
      </c>
      <c r="J5929">
        <f>(D5905-2*F$5)/1000</f>
        <v>0.12</v>
      </c>
      <c r="K5929" t="str">
        <v>+</v>
      </c>
      <c r="L5929">
        <f>IF(D5929=0,2*MAX(6*F5929,75),(D5929-1)*2*MAX(6*F5929,75))/1000</f>
        <v>0.15</v>
      </c>
      <c r="M5929" t="str">
        <v>=</v>
      </c>
      <c r="N5929">
        <f>J5929+L5929</f>
        <v>0.27</v>
      </c>
      <c r="T5929" t="str">
        <v>x</v>
      </c>
      <c r="U5929">
        <f>0.006165*F5929^2</f>
        <v>0</v>
      </c>
      <c r="V5929" t="str">
        <v>x</v>
      </c>
      <c r="W5929">
        <f>W5925</f>
        <v>17</v>
      </c>
      <c r="X5929" t="str">
        <v>x</v>
      </c>
      <c r="Y5929">
        <f>D5914</f>
        <v>2</v>
      </c>
      <c r="Z5929" t="str">
        <v>=</v>
      </c>
      <c r="AA5929">
        <f>N5929*U5929*W5929*Y5929</f>
        <v>0</v>
      </c>
    </row>
    <row r="5930">
      <c r="A5930" t="str">
        <f>A5904</f>
        <v>Lantai 2</v>
      </c>
      <c r="B5930">
        <f>B5904</f>
        <v>2</v>
      </c>
      <c r="C5930" t="str">
        <v>Kait Horizontal Tump.</v>
      </c>
      <c r="D5930">
        <f>VLOOKUP(D5904,'Detail Balok'!$C$10:$BJ$110,56,FALSE)</f>
        <v>0</v>
      </c>
      <c r="E5930" t="str">
        <v>D</v>
      </c>
      <c r="F5930">
        <f>VLOOKUP(D5904,'Detail Balok'!$C$10:$BJ$110,58,FALSE)</f>
        <v>0</v>
      </c>
      <c r="G5930" t="str">
        <v>-</v>
      </c>
      <c r="H5930">
        <f>VLOOKUP(D5904,'Detail Balok'!$C$10:$BJ$110,60,FALSE)</f>
        <v>100</v>
      </c>
      <c r="J5930">
        <f>(D5905-2*F$5)/1000</f>
        <v>0.12</v>
      </c>
      <c r="K5930" t="str">
        <v>+</v>
      </c>
      <c r="L5930">
        <f>IF(D5930=0,2*MAX(6*F5930,75),(D5930-1)*2*MAX(6*F5930,75))/1000</f>
        <v>0.15</v>
      </c>
      <c r="M5930" t="str">
        <v>=</v>
      </c>
      <c r="N5930">
        <f>J5930+L5930</f>
        <v>0.27</v>
      </c>
      <c r="T5930" t="str">
        <v>x</v>
      </c>
      <c r="U5930">
        <f>0.006165*F5930^2</f>
        <v>0</v>
      </c>
      <c r="V5930" t="str">
        <v>x</v>
      </c>
      <c r="W5930">
        <f>W5926</f>
        <v>18</v>
      </c>
      <c r="X5930" t="str">
        <v>x</v>
      </c>
      <c r="Y5930">
        <f>D5914</f>
        <v>2</v>
      </c>
      <c r="Z5930" t="str">
        <v>=</v>
      </c>
      <c r="AA5930">
        <f>N5930*U5930*W5930*Y5930</f>
        <v>0</v>
      </c>
    </row>
    <row r="5934">
      <c r="A5934" t="str">
        <f>A5904</f>
        <v>Lantai 2</v>
      </c>
      <c r="B5934">
        <f>B5904+1</f>
        <v>3</v>
      </c>
      <c r="C5934" t="str">
        <f>CONCATENATE(A5934," no. ",B5934)</f>
        <v>Lantai 2 no. 3</v>
      </c>
      <c r="D5934" t="str">
        <f>VLOOKUP(C5934,'Data Panjang Balok'!$C$9:$N$424,2,FALSE)</f>
        <v>B245-3</v>
      </c>
    </row>
    <row r="5935">
      <c r="C5935" t="str">
        <v>Dimensi</v>
      </c>
      <c r="D5935">
        <f>VLOOKUP(D5934,'Detail Balok'!$C$10:$AU$110,2,FALSE)</f>
        <v>200</v>
      </c>
      <c r="F5935" t="str">
        <v>x</v>
      </c>
      <c r="G5935">
        <f>VLOOKUP(D5934,'Detail Balok'!$C$10:$AU$110,3,FALSE)</f>
        <v>450</v>
      </c>
    </row>
    <row r="5936">
      <c r="C5936" t="str">
        <v>Panjang as ke as</v>
      </c>
      <c r="D5936">
        <f>VLOOKUP(C5934,'Data Panjang Balok'!$C$9:$N$424,4,FALSE)</f>
        <v>2800</v>
      </c>
    </row>
    <row r="5937">
      <c r="C5937" t="str">
        <v>Panjang netto</v>
      </c>
      <c r="D5937">
        <f>VLOOKUP(C5934,'Data Panjang Balok'!$C$9:$N$424,7,FALSE)</f>
        <v>2800</v>
      </c>
    </row>
    <row r="5938">
      <c r="C5938" t="str">
        <v>Kolom / balok kiri</v>
      </c>
      <c r="D5938">
        <f>VLOOKUP(C5934,'Data Panjang Balok'!$C$9:$N$424,9,FALSE)</f>
        <v>0</v>
      </c>
    </row>
    <row r="5939">
      <c r="C5939" t="str">
        <v>Kolom / balok kanan</v>
      </c>
      <c r="D5939">
        <f>VLOOKUP(C5934,'Data Panjang Balok'!$C$9:$N$424,10,FALSE)</f>
        <v>0</v>
      </c>
    </row>
    <row r="5940">
      <c r="C5940" t="str">
        <v>Jumlah</v>
      </c>
      <c r="D5940">
        <f>VLOOKUP(C5934,'Data Panjang Balok'!$C$9:$N$424,3,FALSE)</f>
        <v>1</v>
      </c>
    </row>
    <row r="5941">
      <c r="A5941" t="str">
        <f>A5934</f>
        <v>Lantai 2</v>
      </c>
      <c r="B5941">
        <f>B5934</f>
        <v>3</v>
      </c>
      <c r="C5941" t="str">
        <v>Tul Atas Tumpuan</v>
      </c>
      <c r="D5941">
        <f>VLOOKUP(D5934,'Detail Balok'!$C$10:$AU$110,4,FALSE)</f>
        <v>2</v>
      </c>
      <c r="E5941" t="str">
        <v>D</v>
      </c>
      <c r="F5941">
        <f>VLOOKUP(D5934,'Detail Balok'!$C$10:$AU$110,6,FALSE)</f>
        <v>16</v>
      </c>
      <c r="I5941" t="str">
        <v>(</v>
      </c>
      <c r="J5941">
        <f>+D5936/4/1000</f>
        <v>0.7</v>
      </c>
      <c r="K5941" t="str">
        <v>+</v>
      </c>
      <c r="L5941">
        <f>MAX(VLOOKUP(F5941,N$6:P$15,3,FALSE)/1000,2/3*D5938/1000)+F$16*F5941/1000</f>
        <v>0.192</v>
      </c>
      <c r="M5941" t="str">
        <v>=</v>
      </c>
      <c r="N5941">
        <f>J5941+L5941</f>
        <v>0.8919999999999999</v>
      </c>
      <c r="O5941" t="str">
        <v>+</v>
      </c>
      <c r="P5941">
        <f>D5941-D5942</f>
        <v>0</v>
      </c>
      <c r="Q5941" t="str">
        <v>x</v>
      </c>
      <c r="R5941">
        <f>IF(P5941&gt;0,$F$18*F5941/1000,0)</f>
        <v>0</v>
      </c>
      <c r="S5941" t="str">
        <v>)</v>
      </c>
      <c r="T5941" t="str">
        <v>x</v>
      </c>
      <c r="U5941">
        <f>0.006165*F5941^2</f>
        <v>1.57824</v>
      </c>
      <c r="X5941" t="str">
        <v>x</v>
      </c>
      <c r="Y5941">
        <f>D5940</f>
        <v>1</v>
      </c>
      <c r="Z5941" t="str">
        <v>=</v>
      </c>
      <c r="AA5941">
        <f>IF(AA5944=0,(D5941*N5941+P5941*R5941)*U5941*Y5941,0)</f>
        <v>0</v>
      </c>
    </row>
    <row r="5942">
      <c r="A5942" t="str">
        <f>A5934</f>
        <v>Lantai 2</v>
      </c>
      <c r="B5942">
        <f>B5934</f>
        <v>3</v>
      </c>
      <c r="C5942" t="str">
        <v>Tul Atas Lapangan</v>
      </c>
      <c r="D5942">
        <f>VLOOKUP(D5934,'Detail Balok'!$C$10:$AU$110,7,FALSE)</f>
        <v>2</v>
      </c>
      <c r="E5942" t="str">
        <v>D</v>
      </c>
      <c r="F5942">
        <f>VLOOKUP(D5934,'Detail Balok'!$C$10:$AU$110,9,FALSE)</f>
        <v>16</v>
      </c>
      <c r="I5942" t="str">
        <v>(</v>
      </c>
      <c r="J5942">
        <f>+D5936/2/1000</f>
        <v>1.4</v>
      </c>
      <c r="K5942" t="str">
        <v>+</v>
      </c>
      <c r="M5942" t="str">
        <v>=</v>
      </c>
      <c r="N5942">
        <f>J5942+L5942</f>
        <v>1.4</v>
      </c>
      <c r="O5942" t="str">
        <v>+</v>
      </c>
      <c r="P5942">
        <f>MAX(D5942-D5941,D5942-D5943)</f>
        <v>0</v>
      </c>
      <c r="Q5942" t="str">
        <v>x</v>
      </c>
      <c r="R5942">
        <f>IF(P5942&gt;0,2*(1-2*$F$19-1/2)*D5937/1000,0)</f>
        <v>0</v>
      </c>
      <c r="S5942" t="str">
        <v>)</v>
      </c>
      <c r="T5942" t="str">
        <v>x</v>
      </c>
      <c r="U5942">
        <f>0.006165*F5942^2</f>
        <v>1.57824</v>
      </c>
      <c r="X5942" t="str">
        <v>x</v>
      </c>
      <c r="Y5942">
        <f>D5940</f>
        <v>1</v>
      </c>
      <c r="Z5942" t="str">
        <v>=</v>
      </c>
      <c r="AA5942">
        <f>IF(AA5944=0,(D5942*N5942+P5942*R5942)*U5942*Y5942,0)</f>
        <v>0</v>
      </c>
    </row>
    <row r="5943">
      <c r="A5943" t="str">
        <f>A5934</f>
        <v>Lantai 2</v>
      </c>
      <c r="B5943">
        <f>B5934</f>
        <v>3</v>
      </c>
      <c r="C5943" t="str">
        <v>Tul Atas Tumpuan</v>
      </c>
      <c r="D5943">
        <f>VLOOKUP(D5934,'Detail Balok'!$C$10:$AU$110,10,FALSE)</f>
        <v>2</v>
      </c>
      <c r="E5943" t="str">
        <v>D</v>
      </c>
      <c r="F5943">
        <f>VLOOKUP(D5934,'Detail Balok'!$C$10:$AU$110,12,FALSE)</f>
        <v>16</v>
      </c>
      <c r="I5943" t="str">
        <v>(</v>
      </c>
      <c r="J5943">
        <f>+D5936/4/1000</f>
        <v>0.7</v>
      </c>
      <c r="K5943" t="str">
        <v>+</v>
      </c>
      <c r="L5943">
        <f>MAX(VLOOKUP(F5943,N$6:P$15,3,FALSE)/1000,2/3*D5938/1000)+F$16*F5943/1000</f>
        <v>0.192</v>
      </c>
      <c r="M5943" t="str">
        <v>=</v>
      </c>
      <c r="N5943">
        <f>J5943+L5943</f>
        <v>0.8919999999999999</v>
      </c>
      <c r="O5943" t="str">
        <v>+</v>
      </c>
      <c r="P5943">
        <f>D5943-D5942</f>
        <v>0</v>
      </c>
      <c r="Q5943" t="str">
        <v>x</v>
      </c>
      <c r="R5943">
        <f>IF(P5943&gt;0,$F$18*F5943/1000,0)</f>
        <v>0</v>
      </c>
      <c r="S5943" t="str">
        <v>)</v>
      </c>
      <c r="T5943" t="str">
        <v>x</v>
      </c>
      <c r="U5943">
        <f>0.006165*F5943^2</f>
        <v>1.57824</v>
      </c>
      <c r="X5943" t="str">
        <v>x</v>
      </c>
      <c r="Y5943">
        <f>D5940</f>
        <v>1</v>
      </c>
      <c r="Z5943" t="str">
        <v>=</v>
      </c>
      <c r="AA5943">
        <f>IF(AA5944=0,(D5943*N5943+P5943*R5943)*U5943*Y5943,0)</f>
        <v>0</v>
      </c>
    </row>
    <row r="5944">
      <c r="A5944" t="str">
        <f>A5934</f>
        <v>Lantai 2</v>
      </c>
      <c r="B5944">
        <f>B5934</f>
        <v>3</v>
      </c>
      <c r="D5944">
        <f>IF(AND(D5941=D5942,D5942=D5943,D5941=D5943),D5941,0)</f>
        <v>2</v>
      </c>
      <c r="E5944" t="str">
        <v>D</v>
      </c>
      <c r="F5944">
        <f>IF(AND(F5941=F5942,F5941=F5943,F5942=F5943),F5941,0)</f>
        <v>16</v>
      </c>
      <c r="L5944" t="str">
        <v>Total panjang per balok</v>
      </c>
      <c r="M5944" t="str">
        <v>=</v>
      </c>
      <c r="N5944">
        <f>IF(AND(D5941=D5942,D5941=D5943,D5942=D5943,F5941=F5942,F5941=F5943,F5942=F5943),SUM(N5941:N5943),0)</f>
        <v>3.1839999999999997</v>
      </c>
      <c r="O5944" t="str">
        <v>+</v>
      </c>
      <c r="P5944">
        <f>IF(N5944&gt;12,ROUNDDOWN(N5944/12,0),0)</f>
        <v>0</v>
      </c>
      <c r="Q5944" t="str">
        <v>x</v>
      </c>
      <c r="R5944">
        <f>IF(P5944&gt;0,MAX(VLOOKUP(F5944,$D$6:$G$15,3,FALSE),600),0)/1000</f>
        <v>0</v>
      </c>
      <c r="T5944" t="str">
        <v>x</v>
      </c>
      <c r="U5944">
        <f>U5943</f>
        <v>1.57824</v>
      </c>
      <c r="V5944" t="str">
        <v>x</v>
      </c>
      <c r="W5944">
        <f>D5944</f>
        <v>2</v>
      </c>
      <c r="X5944" t="str">
        <v>x</v>
      </c>
      <c r="Y5944">
        <f>Y5943</f>
        <v>1</v>
      </c>
      <c r="Z5944" t="str">
        <v>=</v>
      </c>
      <c r="AA5944">
        <f>(N5944+P5944*R5944/1000)*U5944*W5944*Y5944</f>
        <v>10.05023232</v>
      </c>
    </row>
    <row r="5946">
      <c r="A5946" t="str">
        <f>A5934</f>
        <v>Lantai 2</v>
      </c>
      <c r="B5946">
        <f>B5934</f>
        <v>3</v>
      </c>
      <c r="C5946" t="str">
        <v>Tul Peminggang</v>
      </c>
      <c r="D5946">
        <f>VLOOKUP(D5934,'Detail Balok'!$C$10:$AU$110,13,FALSE)</f>
        <v>2</v>
      </c>
      <c r="E5946" t="str">
        <v>D</v>
      </c>
      <c r="F5946">
        <f>VLOOKUP(D5934,'Detail Balok'!$C$10:$AU$110,15,FALSE)</f>
        <v>10</v>
      </c>
      <c r="J5946">
        <f>+D5936/1000</f>
        <v>2.8</v>
      </c>
      <c r="K5946" t="str">
        <v>+</v>
      </c>
      <c r="L5946">
        <f>2*$F$16*F5946/1000</f>
        <v>0.24</v>
      </c>
      <c r="M5946" t="str">
        <v>=</v>
      </c>
      <c r="N5946">
        <f>J5946+L5946</f>
        <v>3.04</v>
      </c>
      <c r="O5946" t="str">
        <v>+</v>
      </c>
      <c r="P5946">
        <f>IF(N5946&gt;12,ROUNDDOWN(N5946/12,0),0)</f>
        <v>0</v>
      </c>
      <c r="Q5946" t="str">
        <v>x</v>
      </c>
      <c r="R5946">
        <f>IF(P5946&gt;0,MAX(VLOOKUP(F5946,$D$6:$G$15,3,FALSE),600),0)/1000</f>
        <v>0</v>
      </c>
      <c r="T5946" t="str">
        <v>x</v>
      </c>
      <c r="U5946">
        <f>0.006165*F5946^2</f>
        <v>0.6165</v>
      </c>
      <c r="V5946" t="str">
        <v>x</v>
      </c>
      <c r="W5946">
        <f>+D5946</f>
        <v>2</v>
      </c>
      <c r="X5946" t="str">
        <v>x</v>
      </c>
      <c r="Y5946">
        <f>D5940</f>
        <v>1</v>
      </c>
      <c r="Z5946" t="str">
        <v>=</v>
      </c>
      <c r="AA5946">
        <f>(N5946+P5946*R5946/1000)*U5946*W5946*Y5946</f>
        <v>3.7483200000000005</v>
      </c>
    </row>
    <row r="5949">
      <c r="A5949" t="str">
        <f>A5934</f>
        <v>Lantai 2</v>
      </c>
      <c r="B5949">
        <f>B5934</f>
        <v>3</v>
      </c>
      <c r="C5949" t="str">
        <v>Tul Bawah Tumpuan</v>
      </c>
      <c r="D5949">
        <f>VLOOKUP(D5934,'Detail Balok'!$C$10:$AU$110,22,FALSE)</f>
        <v>2</v>
      </c>
      <c r="E5949" t="str">
        <v>D</v>
      </c>
      <c r="F5949">
        <f>VLOOKUP(D5934,'Detail Balok'!$C$10:$AU$110,24,FALSE)</f>
        <v>16</v>
      </c>
      <c r="I5949" t="str">
        <v>(</v>
      </c>
      <c r="J5949">
        <f>+J5941</f>
        <v>0.7</v>
      </c>
      <c r="K5949" t="str">
        <v>+</v>
      </c>
      <c r="L5949">
        <f>MAX(VLOOKUP(F5949,N$6:P$15,3,FALSE)/1000,2/3*D5939/1000)+F$16*F5949/1000</f>
        <v>0.192</v>
      </c>
      <c r="M5949" t="str">
        <v>=</v>
      </c>
      <c r="N5949">
        <f>J5949+L5949</f>
        <v>0.8919999999999999</v>
      </c>
      <c r="O5949" t="str">
        <v>+</v>
      </c>
      <c r="P5949">
        <f>D5949-D5950</f>
        <v>0</v>
      </c>
      <c r="Q5949" t="str">
        <v>x</v>
      </c>
      <c r="R5949">
        <f>IF(P5949&gt;0,$F$18*F5949/1000,0)</f>
        <v>0</v>
      </c>
      <c r="S5949" t="str">
        <v>)</v>
      </c>
      <c r="T5949" t="str">
        <v>x</v>
      </c>
      <c r="U5949">
        <f>0.006165*F5949^2</f>
        <v>1.57824</v>
      </c>
      <c r="X5949" t="str">
        <v>x</v>
      </c>
      <c r="Y5949">
        <f>D5940</f>
        <v>1</v>
      </c>
      <c r="Z5949" t="str">
        <v>=</v>
      </c>
      <c r="AA5949">
        <f>IF(AA5952=0,(D5949*N5949+P5949*R5949)*U5949*Y5949,0)</f>
        <v>0</v>
      </c>
    </row>
    <row r="5950">
      <c r="A5950" t="str">
        <f>A5934</f>
        <v>Lantai 2</v>
      </c>
      <c r="B5950">
        <f>B5934</f>
        <v>3</v>
      </c>
      <c r="C5950" t="str">
        <v>Tul Bawah Lapangan</v>
      </c>
      <c r="D5950">
        <f>VLOOKUP(D5934,'Detail Balok'!$C$10:$AU$110,25,FALSE)</f>
        <v>2</v>
      </c>
      <c r="E5950" t="str">
        <v>D</v>
      </c>
      <c r="F5950">
        <f>VLOOKUP(D5934,'Detail Balok'!$C$10:$AU$110,27,FALSE)</f>
        <v>16</v>
      </c>
      <c r="I5950" t="str">
        <v>(</v>
      </c>
      <c r="J5950">
        <f>+J5942</f>
        <v>1.4</v>
      </c>
      <c r="K5950" t="str">
        <v>+</v>
      </c>
      <c r="M5950" t="str">
        <v>=</v>
      </c>
      <c r="N5950">
        <f>J5950+L5950</f>
        <v>1.4</v>
      </c>
      <c r="O5950" t="str">
        <v>+</v>
      </c>
      <c r="P5950">
        <f>MAX(D5950-D5949,D5950-D5951)</f>
        <v>0</v>
      </c>
      <c r="Q5950" t="str">
        <v>x</v>
      </c>
      <c r="R5950">
        <f>IF(P5950&gt;0,2*(1-2*$F$19-1/2)*D5937/1000,0)</f>
        <v>0</v>
      </c>
      <c r="S5950" t="str">
        <v>)</v>
      </c>
      <c r="T5950" t="str">
        <v>x</v>
      </c>
      <c r="U5950">
        <f>0.006165*F5950^2</f>
        <v>1.57824</v>
      </c>
      <c r="X5950" t="str">
        <v>x</v>
      </c>
      <c r="Y5950">
        <f>D5940</f>
        <v>1</v>
      </c>
      <c r="Z5950" t="str">
        <v>=</v>
      </c>
      <c r="AA5950">
        <f>IF(AA5952=0,(D5950*N5950+P5950*R5950)*U5950*Y5950,0)</f>
        <v>0</v>
      </c>
    </row>
    <row r="5951">
      <c r="A5951" t="str">
        <f>A5934</f>
        <v>Lantai 2</v>
      </c>
      <c r="B5951">
        <f>B5934</f>
        <v>3</v>
      </c>
      <c r="C5951" t="str">
        <v>Tul Bawah Tumpuan</v>
      </c>
      <c r="D5951">
        <f>VLOOKUP(D5934,'Detail Balok'!$C$10:$AU$110,28,FALSE)</f>
        <v>2</v>
      </c>
      <c r="E5951" t="str">
        <v>D</v>
      </c>
      <c r="F5951">
        <f>VLOOKUP(D5934,'Detail Balok'!$C$10:$AU$110,30,FALSE)</f>
        <v>16</v>
      </c>
      <c r="I5951" t="str">
        <v>(</v>
      </c>
      <c r="J5951">
        <f>+J5943</f>
        <v>0.7</v>
      </c>
      <c r="K5951" t="str">
        <v>+</v>
      </c>
      <c r="L5951">
        <f>MAX(VLOOKUP(F5951,N$6:P$15,3,FALSE)/1000,2/3*D5939/1000)+F$16*F5951/1000</f>
        <v>0.192</v>
      </c>
      <c r="M5951" t="str">
        <v>=</v>
      </c>
      <c r="N5951">
        <f>J5951+L5951</f>
        <v>0.8919999999999999</v>
      </c>
      <c r="O5951" t="str">
        <v>+</v>
      </c>
      <c r="P5951">
        <f>D5951-D5950</f>
        <v>0</v>
      </c>
      <c r="Q5951" t="str">
        <v>x</v>
      </c>
      <c r="R5951">
        <f>IF(P5951&gt;0,$F$18*F5951/1000,0)</f>
        <v>0</v>
      </c>
      <c r="S5951" t="str">
        <v>)</v>
      </c>
      <c r="T5951" t="str">
        <v>x</v>
      </c>
      <c r="U5951">
        <f>0.006165*F5951^2</f>
        <v>1.57824</v>
      </c>
      <c r="X5951" t="str">
        <v>x</v>
      </c>
      <c r="Y5951">
        <f>D5940</f>
        <v>1</v>
      </c>
      <c r="Z5951" t="str">
        <v>=</v>
      </c>
      <c r="AA5951">
        <f>IF(AA5952=0,(D5951*N5951+P5951*R5951)*U5951*Y5951,0)</f>
        <v>0</v>
      </c>
    </row>
    <row r="5952">
      <c r="A5952" t="str">
        <f>A5934</f>
        <v>Lantai 2</v>
      </c>
      <c r="B5952">
        <f>B5934</f>
        <v>3</v>
      </c>
      <c r="D5952">
        <f>IF(AND(D5949=D5950,D5950=D5951,D5949=D5951),D5949,0)</f>
        <v>2</v>
      </c>
      <c r="E5952" t="str">
        <v>D</v>
      </c>
      <c r="F5952">
        <f>IF(AND(F5949=F5950,F5949=F5951,F5950=F5951),F5949,0)</f>
        <v>16</v>
      </c>
      <c r="L5952" t="str">
        <v>Total panjang per balok</v>
      </c>
      <c r="M5952" t="str">
        <v>=</v>
      </c>
      <c r="N5952">
        <f>IF(AND(D5949=D5950,D5949=D5951,D5950=D5951,F5949=F5950,F5949=F5951,F5950=F5951),SUM(N5949:N5951),0)</f>
        <v>3.1839999999999997</v>
      </c>
      <c r="O5952" t="str">
        <v>+</v>
      </c>
      <c r="P5952">
        <f>IF(N5952&gt;12,ROUNDDOWN(N5952/12,0),0)</f>
        <v>0</v>
      </c>
      <c r="Q5952" t="str">
        <v>x</v>
      </c>
      <c r="R5952">
        <f>IF(P5952&gt;0,MAX(VLOOKUP(F5952,$D$6:$G$15,3,FALSE),600),0)/1000</f>
        <v>0</v>
      </c>
      <c r="T5952" t="str">
        <v>x</v>
      </c>
      <c r="U5952">
        <f>U5951</f>
        <v>1.57824</v>
      </c>
      <c r="V5952" t="str">
        <v>x</v>
      </c>
      <c r="W5952">
        <f>D5952</f>
        <v>2</v>
      </c>
      <c r="X5952" t="str">
        <v>x</v>
      </c>
      <c r="Y5952">
        <f>Y5951</f>
        <v>1</v>
      </c>
      <c r="Z5952" t="str">
        <v>=</v>
      </c>
      <c r="AA5952">
        <f>(N5952+P5952*R5952/1000)*U5952*W5952*Y5952</f>
        <v>10.05023232</v>
      </c>
    </row>
    <row r="5954">
      <c r="A5954" t="str">
        <f>A5934</f>
        <v>Lantai 2</v>
      </c>
      <c r="B5954">
        <f>B5934</f>
        <v>3</v>
      </c>
      <c r="C5954" t="str">
        <v>Sengkang Tumpuan</v>
      </c>
      <c r="D5954">
        <f>VLOOKUP(D5934,'Detail Balok'!$C$10:$AU$110,31,FALSE)</f>
        <v>0</v>
      </c>
      <c r="E5954" t="str">
        <v>D</v>
      </c>
      <c r="F5954">
        <f>VLOOKUP(D5934,'Detail Balok'!$C$10:$AU$110,33,FALSE)</f>
        <v>10</v>
      </c>
      <c r="G5954" t="str">
        <v>-</v>
      </c>
      <c r="H5954">
        <f>VLOOKUP(D5934,'Detail Balok'!$C$10:$AU$110,35,FALSE)</f>
        <v>90</v>
      </c>
      <c r="J5954">
        <f>(IF(D5954=0,(2*(D5935+G5935))-(F$5*8),IF(D5954=3,(2*(D5935+G5935))-(F$5*8)+(G5935-2*F$5),IF(D5954=4,(2*(D5935+G5935))-(F$5*8)+2*(G5935-2*F$5)))))/1000</f>
        <v>0.98</v>
      </c>
      <c r="K5954" t="str">
        <v>+</v>
      </c>
      <c r="L5954">
        <f>IF(D5954=0,2*MAX(6*F5954,75),(D5954-1)*2*MAX(6*F5954,75))/1000</f>
        <v>0.15</v>
      </c>
      <c r="M5954" t="str">
        <v>=</v>
      </c>
      <c r="N5954">
        <f>J5954+L5954</f>
        <v>1.13</v>
      </c>
      <c r="T5954" t="str">
        <v>x</v>
      </c>
      <c r="U5954">
        <f>0.006165*F5954^2</f>
        <v>0.6165</v>
      </c>
      <c r="V5954" t="str">
        <v>x</v>
      </c>
      <c r="W5954">
        <f>IF(D5937&gt;4*G5935,ROUND(MAX(D5937/4,2*G5935)/H5954,0)+1,ROUND(D5937/H5954,0)+1)</f>
        <v>11</v>
      </c>
      <c r="X5954" t="str">
        <v>x</v>
      </c>
      <c r="Y5954">
        <f>D5940</f>
        <v>1</v>
      </c>
      <c r="Z5954" t="str">
        <v>=</v>
      </c>
      <c r="AA5954">
        <f>N5954*U5954*W5954*Y5954</f>
        <v>7.663094999999999</v>
      </c>
    </row>
    <row r="5955">
      <c r="A5955" t="str">
        <f>A5934</f>
        <v>Lantai 2</v>
      </c>
      <c r="B5955">
        <f>B5934</f>
        <v>3</v>
      </c>
      <c r="C5955" t="str">
        <v>Sengkang Lapangan</v>
      </c>
      <c r="D5955">
        <f>VLOOKUP(D5934,'Detail Balok'!$C$10:$AU$110,36,FALSE)</f>
        <v>0</v>
      </c>
      <c r="E5955" t="str">
        <v>D</v>
      </c>
      <c r="F5955">
        <f>VLOOKUP(D5934,'Detail Balok'!$C$10:$AU$110,38,FALSE)</f>
        <v>10</v>
      </c>
      <c r="G5955" t="str">
        <v>-</v>
      </c>
      <c r="H5955">
        <f>VLOOKUP(D5934,'Detail Balok'!$C$10:$AU$110,40,FALSE)</f>
        <v>175</v>
      </c>
      <c r="J5955">
        <f>(IF(D5955=0,(2*(D5935+G5935))-(F$5*8),IF(D5955=3,(2*(D5935+G5935))-(F$5*8)+(G5935-2*F$5),IF(D5955=4,(2*(D5935+G5935))-(F$5*8)+2*(G5935-2*F$5)))))/1000</f>
        <v>0.98</v>
      </c>
      <c r="K5955" t="str">
        <v>+</v>
      </c>
      <c r="L5955">
        <f>IF(D5955=0,2*MAX(6*F5955,75),(D5955-1)*2*MAX(6*F5955,75))/1000</f>
        <v>0.15</v>
      </c>
      <c r="M5955" t="str">
        <v>=</v>
      </c>
      <c r="N5955">
        <f>J5955+L5955</f>
        <v>1.13</v>
      </c>
      <c r="T5955" t="str">
        <v>x</v>
      </c>
      <c r="U5955">
        <f>0.006165*F5955^2</f>
        <v>0.6165</v>
      </c>
      <c r="V5955" t="str">
        <v>x</v>
      </c>
      <c r="W5955">
        <f>IF(D5937-MAX(D5937/4,2*G5935)*2&gt;0,ROUND((D5937-MAX(D5937/4,2*G5935)*2)/H5955,0),0)</f>
        <v>6</v>
      </c>
      <c r="X5955" t="str">
        <v>x</v>
      </c>
      <c r="Y5955">
        <f>D5940</f>
        <v>1</v>
      </c>
      <c r="Z5955" t="str">
        <v>=</v>
      </c>
      <c r="AA5955">
        <f>N5955*U5955*W5955*Y5955</f>
        <v>4.179869999999999</v>
      </c>
    </row>
    <row r="5956">
      <c r="A5956" t="str">
        <f>A5934</f>
        <v>Lantai 2</v>
      </c>
      <c r="B5956">
        <f>B5934</f>
        <v>3</v>
      </c>
      <c r="C5956" t="str">
        <v>Sengkang Tumpuan</v>
      </c>
      <c r="D5956">
        <f>VLOOKUP(D5934,'Detail Balok'!$C$10:$AU$110,41,FALSE)</f>
        <v>0</v>
      </c>
      <c r="E5956" t="str">
        <v>D</v>
      </c>
      <c r="F5956">
        <f>VLOOKUP(D5934,'Detail Balok'!$C$10:$AU$110,43,FALSE)</f>
        <v>10</v>
      </c>
      <c r="G5956" t="str">
        <v>-</v>
      </c>
      <c r="H5956">
        <f>VLOOKUP(D5934,'Detail Balok'!$C$10:$AU$110,45,FALSE)</f>
        <v>90</v>
      </c>
      <c r="J5956">
        <f>(IF(D5956=0,(2*(D5935+G5935))-(F$5*8),IF(D5956=3,(2*(D5935+G5935))-(F$5*8)+(G5935-2*F$5),IF(D5956=4,(2*(D5935+G5935))-(F$5*8)+2*(G5935-2*F$5)))))/1000</f>
        <v>0.98</v>
      </c>
      <c r="K5956" t="str">
        <v>+</v>
      </c>
      <c r="L5956">
        <f>IF(D5956=0,2*MAX(6*F5956,75),(D5956-1)*2*MAX(6*F5956,75))/1000</f>
        <v>0.15</v>
      </c>
      <c r="M5956" t="str">
        <v>=</v>
      </c>
      <c r="N5956">
        <f>J5956+L5956</f>
        <v>1.13</v>
      </c>
      <c r="T5956" t="str">
        <v>x</v>
      </c>
      <c r="U5956">
        <f>0.006165*F5956^2</f>
        <v>0.6165</v>
      </c>
      <c r="V5956" t="str">
        <v>x</v>
      </c>
      <c r="W5956">
        <f>IF(D5937&gt;4*G5935,ROUND(MAX(D5937/4,2*G5935)/H5956,0)+1,0)</f>
        <v>11</v>
      </c>
      <c r="X5956" t="str">
        <v>x</v>
      </c>
      <c r="Y5956">
        <f>D5940</f>
        <v>1</v>
      </c>
      <c r="Z5956" t="str">
        <v>=</v>
      </c>
      <c r="AA5956">
        <f>N5956*U5956*W5956*Y5956</f>
        <v>7.663094999999999</v>
      </c>
    </row>
    <row r="5958">
      <c r="A5958" t="str">
        <f>A5934</f>
        <v>Lantai 2</v>
      </c>
      <c r="B5958">
        <f>B5934</f>
        <v>3</v>
      </c>
      <c r="C5958" t="str">
        <v>Kait Horizontal Tump.</v>
      </c>
      <c r="D5958">
        <f>VLOOKUP(D5934,'Detail Balok'!$C$10:$BJ$110,46,FALSE)</f>
        <v>0</v>
      </c>
      <c r="E5958" t="str">
        <v>D</v>
      </c>
      <c r="F5958">
        <f>VLOOKUP(D5934,'Detail Balok'!$C$10:$BJ$110,48,FALSE)</f>
        <v>0</v>
      </c>
      <c r="G5958" t="str">
        <v>-</v>
      </c>
      <c r="H5958">
        <f>VLOOKUP(D5934,'Detail Balok'!$C$10:$BJ$110,50,FALSE)</f>
        <v>100</v>
      </c>
      <c r="J5958">
        <f>(D5935-2*F$5)/1000</f>
        <v>0.12</v>
      </c>
      <c r="K5958" t="str">
        <v>+</v>
      </c>
      <c r="L5958">
        <f>IF(D5958=0,2*MAX(6*F5958,75),(D5958-1)*2*MAX(6*F5958,75))/1000</f>
        <v>0.15</v>
      </c>
      <c r="M5958" t="str">
        <v>=</v>
      </c>
      <c r="N5958">
        <f>J5958+L5958</f>
        <v>0.27</v>
      </c>
      <c r="T5958" t="str">
        <v>x</v>
      </c>
      <c r="U5958">
        <f>0.006165*F5958^2</f>
        <v>0</v>
      </c>
      <c r="V5958" t="str">
        <v>x</v>
      </c>
      <c r="W5958">
        <f>W5954</f>
        <v>11</v>
      </c>
      <c r="X5958" t="str">
        <v>x</v>
      </c>
      <c r="Y5958">
        <f>D5944</f>
        <v>2</v>
      </c>
      <c r="Z5958" t="str">
        <v>=</v>
      </c>
      <c r="AA5958">
        <f>N5958*U5958*W5958*Y5958</f>
        <v>0</v>
      </c>
    </row>
    <row r="5959">
      <c r="A5959" t="str">
        <f>A5934</f>
        <v>Lantai 2</v>
      </c>
      <c r="B5959">
        <f>B5934</f>
        <v>3</v>
      </c>
      <c r="C5959" t="str">
        <v>Kait Horizontal Lap.</v>
      </c>
      <c r="D5959">
        <f>VLOOKUP(D5934,'Detail Balok'!$C$10:$BJ$110,51,FALSE)</f>
        <v>0</v>
      </c>
      <c r="E5959" t="str">
        <v>D</v>
      </c>
      <c r="F5959">
        <f>VLOOKUP(D5934,'Detail Balok'!$C$10:$BJ$110,53,FALSE)</f>
        <v>0</v>
      </c>
      <c r="G5959" t="str">
        <v>-</v>
      </c>
      <c r="H5959">
        <f>VLOOKUP(D5934,'Detail Balok'!$C$10:$BJ$110,55,FALSE)</f>
        <v>100</v>
      </c>
      <c r="J5959">
        <f>(D5935-2*F$5)/1000</f>
        <v>0.12</v>
      </c>
      <c r="K5959" t="str">
        <v>+</v>
      </c>
      <c r="L5959">
        <f>IF(D5959=0,2*MAX(6*F5959,75),(D5959-1)*2*MAX(6*F5959,75))/1000</f>
        <v>0.15</v>
      </c>
      <c r="M5959" t="str">
        <v>=</v>
      </c>
      <c r="N5959">
        <f>J5959+L5959</f>
        <v>0.27</v>
      </c>
      <c r="T5959" t="str">
        <v>x</v>
      </c>
      <c r="U5959">
        <f>0.006165*F5959^2</f>
        <v>0</v>
      </c>
      <c r="V5959" t="str">
        <v>x</v>
      </c>
      <c r="W5959">
        <f>W5955</f>
        <v>6</v>
      </c>
      <c r="X5959" t="str">
        <v>x</v>
      </c>
      <c r="Y5959">
        <f>D5944</f>
        <v>2</v>
      </c>
      <c r="Z5959" t="str">
        <v>=</v>
      </c>
      <c r="AA5959">
        <f>N5959*U5959*W5959*Y5959</f>
        <v>0</v>
      </c>
    </row>
    <row r="5960">
      <c r="A5960" t="str">
        <f>A5934</f>
        <v>Lantai 2</v>
      </c>
      <c r="B5960">
        <f>B5934</f>
        <v>3</v>
      </c>
      <c r="C5960" t="str">
        <v>Kait Horizontal Tump.</v>
      </c>
      <c r="D5960">
        <f>VLOOKUP(D5934,'Detail Balok'!$C$10:$BJ$110,56,FALSE)</f>
        <v>0</v>
      </c>
      <c r="E5960" t="str">
        <v>D</v>
      </c>
      <c r="F5960">
        <f>VLOOKUP(D5934,'Detail Balok'!$C$10:$BJ$110,58,FALSE)</f>
        <v>0</v>
      </c>
      <c r="G5960" t="str">
        <v>-</v>
      </c>
      <c r="H5960">
        <f>VLOOKUP(D5934,'Detail Balok'!$C$10:$BJ$110,60,FALSE)</f>
        <v>100</v>
      </c>
      <c r="J5960">
        <f>(D5935-2*F$5)/1000</f>
        <v>0.12</v>
      </c>
      <c r="K5960" t="str">
        <v>+</v>
      </c>
      <c r="L5960">
        <f>IF(D5960=0,2*MAX(6*F5960,75),(D5960-1)*2*MAX(6*F5960,75))/1000</f>
        <v>0.15</v>
      </c>
      <c r="M5960" t="str">
        <v>=</v>
      </c>
      <c r="N5960">
        <f>J5960+L5960</f>
        <v>0.27</v>
      </c>
      <c r="T5960" t="str">
        <v>x</v>
      </c>
      <c r="U5960">
        <f>0.006165*F5960^2</f>
        <v>0</v>
      </c>
      <c r="V5960" t="str">
        <v>x</v>
      </c>
      <c r="W5960">
        <f>W5956</f>
        <v>11</v>
      </c>
      <c r="X5960" t="str">
        <v>x</v>
      </c>
      <c r="Y5960">
        <f>D5944</f>
        <v>2</v>
      </c>
      <c r="Z5960" t="str">
        <v>=</v>
      </c>
      <c r="AA5960">
        <f>N5960*U5960*W5960*Y5960</f>
        <v>0</v>
      </c>
    </row>
    <row r="5964">
      <c r="A5964" t="str">
        <f>A5934</f>
        <v>Lantai 2</v>
      </c>
      <c r="B5964">
        <f>B5934+1</f>
        <v>4</v>
      </c>
      <c r="C5964" t="str">
        <f>CONCATENATE(A5964," no. ",B5964)</f>
        <v>Lantai 2 no. 4</v>
      </c>
      <c r="D5964" t="str">
        <f>VLOOKUP(C5964,'Data Panjang Balok'!$C$9:$N$424,2,FALSE)</f>
        <v>B24-1</v>
      </c>
    </row>
    <row r="5965">
      <c r="C5965" t="str">
        <v>Dimensi</v>
      </c>
      <c r="D5965">
        <f>VLOOKUP(D5964,'Detail Balok'!$C$10:$AU$110,2,FALSE)</f>
        <v>200</v>
      </c>
      <c r="F5965" t="str">
        <v>x</v>
      </c>
      <c r="G5965">
        <f>VLOOKUP(D5964,'Detail Balok'!$C$10:$AU$110,3,FALSE)</f>
        <v>400</v>
      </c>
    </row>
    <row r="5966">
      <c r="C5966" t="str">
        <v>Panjang as ke as</v>
      </c>
      <c r="D5966">
        <f>VLOOKUP(C5964,'Data Panjang Balok'!$C$9:$N$424,4,FALSE)</f>
        <v>2300</v>
      </c>
    </row>
    <row r="5967">
      <c r="C5967" t="str">
        <v>Panjang netto</v>
      </c>
      <c r="D5967">
        <f>VLOOKUP(C5964,'Data Panjang Balok'!$C$9:$N$424,7,FALSE)</f>
        <v>2300</v>
      </c>
    </row>
    <row r="5968">
      <c r="C5968" t="str">
        <v>Kolom / balok kiri</v>
      </c>
      <c r="D5968">
        <f>VLOOKUP(C5964,'Data Panjang Balok'!$C$9:$N$424,9,FALSE)</f>
        <v>0</v>
      </c>
    </row>
    <row r="5969">
      <c r="C5969" t="str">
        <v>Kolom / balok kanan</v>
      </c>
      <c r="D5969">
        <f>VLOOKUP(C5964,'Data Panjang Balok'!$C$9:$N$424,10,FALSE)</f>
        <v>0</v>
      </c>
    </row>
    <row r="5970">
      <c r="C5970" t="str">
        <v>Jumlah</v>
      </c>
      <c r="D5970">
        <f>VLOOKUP(C5964,'Data Panjang Balok'!$C$9:$N$424,3,FALSE)</f>
        <v>1</v>
      </c>
    </row>
    <row r="5971">
      <c r="A5971" t="str">
        <f>A5964</f>
        <v>Lantai 2</v>
      </c>
      <c r="B5971">
        <f>B5964</f>
        <v>4</v>
      </c>
      <c r="C5971" t="str">
        <v>Tul Atas Tumpuan</v>
      </c>
      <c r="D5971">
        <f>VLOOKUP(D5964,'Detail Balok'!$C$10:$AU$110,4,FALSE)</f>
        <v>2</v>
      </c>
      <c r="E5971" t="str">
        <v>D</v>
      </c>
      <c r="F5971">
        <f>VLOOKUP(D5964,'Detail Balok'!$C$10:$AU$110,6,FALSE)</f>
        <v>13</v>
      </c>
      <c r="I5971" t="str">
        <v>(</v>
      </c>
      <c r="J5971">
        <f>+D5966/4/1000</f>
        <v>0.575</v>
      </c>
      <c r="K5971" t="str">
        <v>+</v>
      </c>
      <c r="L5971">
        <f>MAX(VLOOKUP(F5971,N$6:P$15,3,FALSE)/1000,2/3*D5968/1000)+F$16*F5971/1000</f>
        <v>0.156</v>
      </c>
      <c r="M5971" t="str">
        <v>=</v>
      </c>
      <c r="N5971">
        <f>J5971+L5971</f>
        <v>0.731</v>
      </c>
      <c r="O5971" t="str">
        <v>+</v>
      </c>
      <c r="P5971">
        <f>D5971-D5972</f>
        <v>0</v>
      </c>
      <c r="Q5971" t="str">
        <v>x</v>
      </c>
      <c r="R5971">
        <f>IF(P5971&gt;0,$F$18*F5971/1000,0)</f>
        <v>0</v>
      </c>
      <c r="S5971" t="str">
        <v>)</v>
      </c>
      <c r="T5971" t="str">
        <v>x</v>
      </c>
      <c r="U5971">
        <f>0.006165*F5971^2</f>
        <v>1.041885</v>
      </c>
      <c r="X5971" t="str">
        <v>x</v>
      </c>
      <c r="Y5971">
        <f>D5970</f>
        <v>1</v>
      </c>
      <c r="Z5971" t="str">
        <v>=</v>
      </c>
      <c r="AA5971">
        <f>IF(AA5974=0,(D5971*N5971+P5971*R5971)*U5971*Y5971,0)</f>
        <v>0</v>
      </c>
    </row>
    <row r="5972">
      <c r="A5972" t="str">
        <f>A5964</f>
        <v>Lantai 2</v>
      </c>
      <c r="B5972">
        <f>B5964</f>
        <v>4</v>
      </c>
      <c r="C5972" t="str">
        <v>Tul Atas Lapangan</v>
      </c>
      <c r="D5972">
        <f>VLOOKUP(D5964,'Detail Balok'!$C$10:$AU$110,7,FALSE)</f>
        <v>2</v>
      </c>
      <c r="E5972" t="str">
        <v>D</v>
      </c>
      <c r="F5972">
        <f>VLOOKUP(D5964,'Detail Balok'!$C$10:$AU$110,9,FALSE)</f>
        <v>13</v>
      </c>
      <c r="I5972" t="str">
        <v>(</v>
      </c>
      <c r="J5972">
        <f>+D5966/2/1000</f>
        <v>1.15</v>
      </c>
      <c r="K5972" t="str">
        <v>+</v>
      </c>
      <c r="M5972" t="str">
        <v>=</v>
      </c>
      <c r="N5972">
        <f>J5972+L5972</f>
        <v>1.15</v>
      </c>
      <c r="O5972" t="str">
        <v>+</v>
      </c>
      <c r="P5972">
        <f>MAX(D5972-D5971,D5972-D5973)</f>
        <v>0</v>
      </c>
      <c r="Q5972" t="str">
        <v>x</v>
      </c>
      <c r="R5972">
        <f>IF(P5972&gt;0,2*(1-2*$F$19-1/2)*D5967/1000,0)</f>
        <v>0</v>
      </c>
      <c r="S5972" t="str">
        <v>)</v>
      </c>
      <c r="T5972" t="str">
        <v>x</v>
      </c>
      <c r="U5972">
        <f>0.006165*F5972^2</f>
        <v>1.041885</v>
      </c>
      <c r="X5972" t="str">
        <v>x</v>
      </c>
      <c r="Y5972">
        <f>D5970</f>
        <v>1</v>
      </c>
      <c r="Z5972" t="str">
        <v>=</v>
      </c>
      <c r="AA5972">
        <f>IF(AA5974=0,(D5972*N5972+P5972*R5972)*U5972*Y5972,0)</f>
        <v>0</v>
      </c>
    </row>
    <row r="5973">
      <c r="A5973" t="str">
        <f>A5964</f>
        <v>Lantai 2</v>
      </c>
      <c r="B5973">
        <f>B5964</f>
        <v>4</v>
      </c>
      <c r="C5973" t="str">
        <v>Tul Atas Tumpuan</v>
      </c>
      <c r="D5973">
        <f>VLOOKUP(D5964,'Detail Balok'!$C$10:$AU$110,10,FALSE)</f>
        <v>2</v>
      </c>
      <c r="E5973" t="str">
        <v>D</v>
      </c>
      <c r="F5973">
        <f>VLOOKUP(D5964,'Detail Balok'!$C$10:$AU$110,12,FALSE)</f>
        <v>13</v>
      </c>
      <c r="I5973" t="str">
        <v>(</v>
      </c>
      <c r="J5973">
        <f>+D5966/4/1000</f>
        <v>0.575</v>
      </c>
      <c r="K5973" t="str">
        <v>+</v>
      </c>
      <c r="L5973">
        <f>MAX(VLOOKUP(F5973,N$6:P$15,3,FALSE)/1000,2/3*D5968/1000)+F$16*F5973/1000</f>
        <v>0.156</v>
      </c>
      <c r="M5973" t="str">
        <v>=</v>
      </c>
      <c r="N5973">
        <f>J5973+L5973</f>
        <v>0.731</v>
      </c>
      <c r="O5973" t="str">
        <v>+</v>
      </c>
      <c r="P5973">
        <f>D5973-D5972</f>
        <v>0</v>
      </c>
      <c r="Q5973" t="str">
        <v>x</v>
      </c>
      <c r="R5973">
        <f>IF(P5973&gt;0,$F$18*F5973/1000,0)</f>
        <v>0</v>
      </c>
      <c r="S5973" t="str">
        <v>)</v>
      </c>
      <c r="T5973" t="str">
        <v>x</v>
      </c>
      <c r="U5973">
        <f>0.006165*F5973^2</f>
        <v>1.041885</v>
      </c>
      <c r="X5973" t="str">
        <v>x</v>
      </c>
      <c r="Y5973">
        <f>D5970</f>
        <v>1</v>
      </c>
      <c r="Z5973" t="str">
        <v>=</v>
      </c>
      <c r="AA5973">
        <f>IF(AA5974=0,(D5973*N5973+P5973*R5973)*U5973*Y5973,0)</f>
        <v>0</v>
      </c>
    </row>
    <row r="5974">
      <c r="A5974" t="str">
        <f>A5964</f>
        <v>Lantai 2</v>
      </c>
      <c r="B5974">
        <f>B5964</f>
        <v>4</v>
      </c>
      <c r="D5974">
        <f>IF(AND(D5971=D5972,D5972=D5973,D5971=D5973),D5971,0)</f>
        <v>2</v>
      </c>
      <c r="E5974" t="str">
        <v>D</v>
      </c>
      <c r="F5974">
        <f>IF(AND(F5971=F5972,F5971=F5973,F5972=F5973),F5971,0)</f>
        <v>13</v>
      </c>
      <c r="L5974" t="str">
        <v>Total panjang per balok</v>
      </c>
      <c r="M5974" t="str">
        <v>=</v>
      </c>
      <c r="N5974">
        <f>IF(AND(D5971=D5972,D5971=D5973,D5972=D5973,F5971=F5972,F5971=F5973,F5972=F5973),SUM(N5971:N5973),0)</f>
        <v>2.6119999999999997</v>
      </c>
      <c r="O5974" t="str">
        <v>+</v>
      </c>
      <c r="P5974">
        <f>IF(N5974&gt;12,ROUNDDOWN(N5974/12,0),0)</f>
        <v>0</v>
      </c>
      <c r="Q5974" t="str">
        <v>x</v>
      </c>
      <c r="R5974">
        <f>IF(P5974&gt;0,MAX(VLOOKUP(F5974,$D$6:$G$15,3,FALSE),600),0)/1000</f>
        <v>0</v>
      </c>
      <c r="T5974" t="str">
        <v>x</v>
      </c>
      <c r="U5974">
        <f>U5973</f>
        <v>1.041885</v>
      </c>
      <c r="V5974" t="str">
        <v>x</v>
      </c>
      <c r="W5974">
        <f>D5974</f>
        <v>2</v>
      </c>
      <c r="X5974" t="str">
        <v>x</v>
      </c>
      <c r="Y5974">
        <f>Y5973</f>
        <v>1</v>
      </c>
      <c r="Z5974" t="str">
        <v>=</v>
      </c>
      <c r="AA5974">
        <f>(N5974+P5974*R5974/1000)*U5974*W5974*Y5974</f>
        <v>5.442807239999999</v>
      </c>
    </row>
    <row r="5976">
      <c r="A5976" t="str">
        <f>A5964</f>
        <v>Lantai 2</v>
      </c>
      <c r="B5976">
        <f>B5964</f>
        <v>4</v>
      </c>
      <c r="C5976" t="str">
        <v>Tul Peminggang</v>
      </c>
      <c r="D5976">
        <f>VLOOKUP(D5964,'Detail Balok'!$C$10:$AU$110,13,FALSE)</f>
        <v>0</v>
      </c>
      <c r="E5976" t="str">
        <v>D</v>
      </c>
      <c r="F5976">
        <f>VLOOKUP(D5964,'Detail Balok'!$C$10:$AU$110,15,FALSE)</f>
        <v>6</v>
      </c>
      <c r="J5976">
        <f>+D5966/1000</f>
        <v>2.3</v>
      </c>
      <c r="K5976" t="str">
        <v>+</v>
      </c>
      <c r="L5976">
        <f>2*$F$16*F5976/1000</f>
        <v>0.144</v>
      </c>
      <c r="M5976" t="str">
        <v>=</v>
      </c>
      <c r="N5976">
        <f>J5976+L5976</f>
        <v>2.444</v>
      </c>
      <c r="O5976" t="str">
        <v>+</v>
      </c>
      <c r="P5976">
        <f>IF(N5976&gt;12,ROUNDDOWN(N5976/12,0),0)</f>
        <v>0</v>
      </c>
      <c r="Q5976" t="str">
        <v>x</v>
      </c>
      <c r="R5976">
        <f>IF(P5976&gt;0,MAX(VLOOKUP(F5976,$D$6:$G$15,3,FALSE),600),0)/1000</f>
        <v>0</v>
      </c>
      <c r="T5976" t="str">
        <v>x</v>
      </c>
      <c r="U5976">
        <f>0.006165*F5976^2</f>
        <v>0.22194000000000003</v>
      </c>
      <c r="V5976" t="str">
        <v>x</v>
      </c>
      <c r="W5976">
        <f>+D5976</f>
        <v>0</v>
      </c>
      <c r="X5976" t="str">
        <v>x</v>
      </c>
      <c r="Y5976">
        <f>D5970</f>
        <v>1</v>
      </c>
      <c r="Z5976" t="str">
        <v>=</v>
      </c>
      <c r="AA5976">
        <f>(N5976+P5976*R5976/1000)*U5976*W5976*Y5976</f>
        <v>0</v>
      </c>
    </row>
    <row r="5979">
      <c r="A5979" t="str">
        <f>A5964</f>
        <v>Lantai 2</v>
      </c>
      <c r="B5979">
        <f>B5964</f>
        <v>4</v>
      </c>
      <c r="C5979" t="str">
        <v>Tul Bawah Tumpuan</v>
      </c>
      <c r="D5979">
        <f>VLOOKUP(D5964,'Detail Balok'!$C$10:$AU$110,22,FALSE)</f>
        <v>2</v>
      </c>
      <c r="E5979" t="str">
        <v>D</v>
      </c>
      <c r="F5979">
        <f>VLOOKUP(D5964,'Detail Balok'!$C$10:$AU$110,24,FALSE)</f>
        <v>13</v>
      </c>
      <c r="I5979" t="str">
        <v>(</v>
      </c>
      <c r="J5979">
        <f>+J5971</f>
        <v>0.575</v>
      </c>
      <c r="K5979" t="str">
        <v>+</v>
      </c>
      <c r="L5979">
        <f>MAX(VLOOKUP(F5979,N$6:P$15,3,FALSE)/1000,2/3*D5969/1000)+F$16*F5979/1000</f>
        <v>0.156</v>
      </c>
      <c r="M5979" t="str">
        <v>=</v>
      </c>
      <c r="N5979">
        <f>J5979+L5979</f>
        <v>0.731</v>
      </c>
      <c r="O5979" t="str">
        <v>+</v>
      </c>
      <c r="P5979">
        <f>D5979-D5980</f>
        <v>0</v>
      </c>
      <c r="Q5979" t="str">
        <v>x</v>
      </c>
      <c r="R5979">
        <f>IF(P5979&gt;0,$F$18*F5979/1000,0)</f>
        <v>0</v>
      </c>
      <c r="S5979" t="str">
        <v>)</v>
      </c>
      <c r="T5979" t="str">
        <v>x</v>
      </c>
      <c r="U5979">
        <f>0.006165*F5979^2</f>
        <v>1.041885</v>
      </c>
      <c r="X5979" t="str">
        <v>x</v>
      </c>
      <c r="Y5979">
        <f>D5970</f>
        <v>1</v>
      </c>
      <c r="Z5979" t="str">
        <v>=</v>
      </c>
      <c r="AA5979">
        <f>IF(AA5982=0,(D5979*N5979+P5979*R5979)*U5979*Y5979,0)</f>
        <v>0</v>
      </c>
    </row>
    <row r="5980">
      <c r="A5980" t="str">
        <f>A5964</f>
        <v>Lantai 2</v>
      </c>
      <c r="B5980">
        <f>B5964</f>
        <v>4</v>
      </c>
      <c r="C5980" t="str">
        <v>Tul Bawah Lapangan</v>
      </c>
      <c r="D5980">
        <f>VLOOKUP(D5964,'Detail Balok'!$C$10:$AU$110,25,FALSE)</f>
        <v>2</v>
      </c>
      <c r="E5980" t="str">
        <v>D</v>
      </c>
      <c r="F5980">
        <f>VLOOKUP(D5964,'Detail Balok'!$C$10:$AU$110,27,FALSE)</f>
        <v>13</v>
      </c>
      <c r="I5980" t="str">
        <v>(</v>
      </c>
      <c r="J5980">
        <f>+J5972</f>
        <v>1.15</v>
      </c>
      <c r="K5980" t="str">
        <v>+</v>
      </c>
      <c r="M5980" t="str">
        <v>=</v>
      </c>
      <c r="N5980">
        <f>J5980+L5980</f>
        <v>1.15</v>
      </c>
      <c r="O5980" t="str">
        <v>+</v>
      </c>
      <c r="P5980">
        <f>MAX(D5980-D5979,D5980-D5981)</f>
        <v>0</v>
      </c>
      <c r="Q5980" t="str">
        <v>x</v>
      </c>
      <c r="R5980">
        <f>IF(P5980&gt;0,2*(1-2*$F$19-1/2)*D5967/1000,0)</f>
        <v>0</v>
      </c>
      <c r="S5980" t="str">
        <v>)</v>
      </c>
      <c r="T5980" t="str">
        <v>x</v>
      </c>
      <c r="U5980">
        <f>0.006165*F5980^2</f>
        <v>1.041885</v>
      </c>
      <c r="X5980" t="str">
        <v>x</v>
      </c>
      <c r="Y5980">
        <f>D5970</f>
        <v>1</v>
      </c>
      <c r="Z5980" t="str">
        <v>=</v>
      </c>
      <c r="AA5980">
        <f>IF(AA5982=0,(D5980*N5980+P5980*R5980)*U5980*Y5980,0)</f>
        <v>0</v>
      </c>
    </row>
    <row r="5981">
      <c r="A5981" t="str">
        <f>A5964</f>
        <v>Lantai 2</v>
      </c>
      <c r="B5981">
        <f>B5964</f>
        <v>4</v>
      </c>
      <c r="C5981" t="str">
        <v>Tul Bawah Tumpuan</v>
      </c>
      <c r="D5981">
        <f>VLOOKUP(D5964,'Detail Balok'!$C$10:$AU$110,28,FALSE)</f>
        <v>2</v>
      </c>
      <c r="E5981" t="str">
        <v>D</v>
      </c>
      <c r="F5981">
        <f>VLOOKUP(D5964,'Detail Balok'!$C$10:$AU$110,30,FALSE)</f>
        <v>13</v>
      </c>
      <c r="I5981" t="str">
        <v>(</v>
      </c>
      <c r="J5981">
        <f>+J5973</f>
        <v>0.575</v>
      </c>
      <c r="K5981" t="str">
        <v>+</v>
      </c>
      <c r="L5981">
        <f>MAX(VLOOKUP(F5981,N$6:P$15,3,FALSE)/1000,2/3*D5969/1000)+F$16*F5981/1000</f>
        <v>0.156</v>
      </c>
      <c r="M5981" t="str">
        <v>=</v>
      </c>
      <c r="N5981">
        <f>J5981+L5981</f>
        <v>0.731</v>
      </c>
      <c r="O5981" t="str">
        <v>+</v>
      </c>
      <c r="P5981">
        <f>D5981-D5980</f>
        <v>0</v>
      </c>
      <c r="Q5981" t="str">
        <v>x</v>
      </c>
      <c r="R5981">
        <f>IF(P5981&gt;0,$F$18*F5981/1000,0)</f>
        <v>0</v>
      </c>
      <c r="S5981" t="str">
        <v>)</v>
      </c>
      <c r="T5981" t="str">
        <v>x</v>
      </c>
      <c r="U5981">
        <f>0.006165*F5981^2</f>
        <v>1.041885</v>
      </c>
      <c r="X5981" t="str">
        <v>x</v>
      </c>
      <c r="Y5981">
        <f>D5970</f>
        <v>1</v>
      </c>
      <c r="Z5981" t="str">
        <v>=</v>
      </c>
      <c r="AA5981">
        <f>IF(AA5982=0,(D5981*N5981+P5981*R5981)*U5981*Y5981,0)</f>
        <v>0</v>
      </c>
    </row>
    <row r="5982">
      <c r="A5982" t="str">
        <f>A5964</f>
        <v>Lantai 2</v>
      </c>
      <c r="B5982">
        <f>B5964</f>
        <v>4</v>
      </c>
      <c r="D5982">
        <f>IF(AND(D5979=D5980,D5980=D5981,D5979=D5981),D5979,0)</f>
        <v>2</v>
      </c>
      <c r="E5982" t="str">
        <v>D</v>
      </c>
      <c r="F5982">
        <f>IF(AND(F5979=F5980,F5979=F5981,F5980=F5981),F5979,0)</f>
        <v>13</v>
      </c>
      <c r="L5982" t="str">
        <v>Total panjang per balok</v>
      </c>
      <c r="M5982" t="str">
        <v>=</v>
      </c>
      <c r="N5982">
        <f>IF(AND(D5979=D5980,D5979=D5981,D5980=D5981,F5979=F5980,F5979=F5981,F5980=F5981),SUM(N5979:N5981),0)</f>
        <v>2.6119999999999997</v>
      </c>
      <c r="O5982" t="str">
        <v>+</v>
      </c>
      <c r="P5982">
        <f>IF(N5982&gt;12,ROUNDDOWN(N5982/12,0),0)</f>
        <v>0</v>
      </c>
      <c r="Q5982" t="str">
        <v>x</v>
      </c>
      <c r="R5982">
        <f>IF(P5982&gt;0,MAX(VLOOKUP(F5982,$D$6:$G$15,3,FALSE),600),0)/1000</f>
        <v>0</v>
      </c>
      <c r="T5982" t="str">
        <v>x</v>
      </c>
      <c r="U5982">
        <f>U5981</f>
        <v>1.041885</v>
      </c>
      <c r="V5982" t="str">
        <v>x</v>
      </c>
      <c r="W5982">
        <f>D5982</f>
        <v>2</v>
      </c>
      <c r="X5982" t="str">
        <v>x</v>
      </c>
      <c r="Y5982">
        <f>Y5981</f>
        <v>1</v>
      </c>
      <c r="Z5982" t="str">
        <v>=</v>
      </c>
      <c r="AA5982">
        <f>(N5982+P5982*R5982/1000)*U5982*W5982*Y5982</f>
        <v>5.442807239999999</v>
      </c>
    </row>
    <row r="5984">
      <c r="A5984" t="str">
        <f>A5964</f>
        <v>Lantai 2</v>
      </c>
      <c r="B5984">
        <f>B5964</f>
        <v>4</v>
      </c>
      <c r="C5984" t="str">
        <v>Sengkang Tumpuan</v>
      </c>
      <c r="D5984">
        <f>VLOOKUP(D5964,'Detail Balok'!$C$10:$AU$110,31,FALSE)</f>
        <v>0</v>
      </c>
      <c r="E5984" t="str">
        <v>D</v>
      </c>
      <c r="F5984">
        <f>VLOOKUP(D5964,'Detail Balok'!$C$10:$AU$110,33,FALSE)</f>
        <v>8</v>
      </c>
      <c r="G5984" t="str">
        <v>-</v>
      </c>
      <c r="H5984">
        <f>VLOOKUP(D5964,'Detail Balok'!$C$10:$AU$110,35,FALSE)</f>
        <v>100</v>
      </c>
      <c r="J5984">
        <f>(IF(D5984=0,(2*(D5965+G5965))-(F$5*8),IF(D5984=3,(2*(D5965+G5965))-(F$5*8)+(G5965-2*F$5),IF(D5984=4,(2*(D5965+G5965))-(F$5*8)+2*(G5965-2*F$5)))))/1000</f>
        <v>0.88</v>
      </c>
      <c r="K5984" t="str">
        <v>+</v>
      </c>
      <c r="L5984">
        <f>IF(D5984=0,2*MAX(6*F5984,75),(D5984-1)*2*MAX(6*F5984,75))/1000</f>
        <v>0.15</v>
      </c>
      <c r="M5984" t="str">
        <v>=</v>
      </c>
      <c r="N5984">
        <f>J5984+L5984</f>
        <v>1.03</v>
      </c>
      <c r="T5984" t="str">
        <v>x</v>
      </c>
      <c r="U5984">
        <f>0.006165*F5984^2</f>
        <v>0.39456</v>
      </c>
      <c r="V5984" t="str">
        <v>x</v>
      </c>
      <c r="W5984">
        <f>IF(D5967&gt;4*G5965,ROUND(MAX(D5967/4,2*G5965)/H5984,0)+1,ROUND(D5967/H5984,0)+1)</f>
        <v>9</v>
      </c>
      <c r="X5984" t="str">
        <v>x</v>
      </c>
      <c r="Y5984">
        <f>D5970</f>
        <v>1</v>
      </c>
      <c r="Z5984" t="str">
        <v>=</v>
      </c>
      <c r="AA5984">
        <f>N5984*U5984*W5984*Y5984</f>
        <v>3.6575712000000005</v>
      </c>
    </row>
    <row r="5985">
      <c r="A5985" t="str">
        <f>A5964</f>
        <v>Lantai 2</v>
      </c>
      <c r="B5985">
        <f>B5964</f>
        <v>4</v>
      </c>
      <c r="C5985" t="str">
        <v>Sengkang Lapangan</v>
      </c>
      <c r="D5985">
        <f>VLOOKUP(D5964,'Detail Balok'!$C$10:$AU$110,36,FALSE)</f>
        <v>0</v>
      </c>
      <c r="E5985" t="str">
        <v>D</v>
      </c>
      <c r="F5985">
        <f>VLOOKUP(D5964,'Detail Balok'!$C$10:$AU$110,38,FALSE)</f>
        <v>8</v>
      </c>
      <c r="G5985" t="str">
        <v>-</v>
      </c>
      <c r="H5985">
        <f>VLOOKUP(D5964,'Detail Balok'!$C$10:$AU$110,40,FALSE)</f>
        <v>200</v>
      </c>
      <c r="J5985">
        <f>(IF(D5985=0,(2*(D5965+G5965))-(F$5*8),IF(D5985=3,(2*(D5965+G5965))-(F$5*8)+(G5965-2*F$5),IF(D5985=4,(2*(D5965+G5965))-(F$5*8)+2*(G5965-2*F$5)))))/1000</f>
        <v>0.88</v>
      </c>
      <c r="K5985" t="str">
        <v>+</v>
      </c>
      <c r="L5985">
        <f>IF(D5985=0,2*MAX(6*F5985,75),(D5985-1)*2*MAX(6*F5985,75))/1000</f>
        <v>0.15</v>
      </c>
      <c r="M5985" t="str">
        <v>=</v>
      </c>
      <c r="N5985">
        <f>J5985+L5985</f>
        <v>1.03</v>
      </c>
      <c r="T5985" t="str">
        <v>x</v>
      </c>
      <c r="U5985">
        <f>0.006165*F5985^2</f>
        <v>0.39456</v>
      </c>
      <c r="V5985" t="str">
        <v>x</v>
      </c>
      <c r="W5985">
        <f>IF(D5967-MAX(D5967/4,2*G5965)*2&gt;0,ROUND((D5967-MAX(D5967/4,2*G5965)*2)/H5985,0),0)</f>
        <v>4</v>
      </c>
      <c r="X5985" t="str">
        <v>x</v>
      </c>
      <c r="Y5985">
        <f>D5970</f>
        <v>1</v>
      </c>
      <c r="Z5985" t="str">
        <v>=</v>
      </c>
      <c r="AA5985">
        <f>N5985*U5985*W5985*Y5985</f>
        <v>1.6255872000000002</v>
      </c>
    </row>
    <row r="5986">
      <c r="A5986" t="str">
        <f>A5964</f>
        <v>Lantai 2</v>
      </c>
      <c r="B5986">
        <f>B5964</f>
        <v>4</v>
      </c>
      <c r="C5986" t="str">
        <v>Sengkang Tumpuan</v>
      </c>
      <c r="D5986">
        <f>VLOOKUP(D5964,'Detail Balok'!$C$10:$AU$110,41,FALSE)</f>
        <v>0</v>
      </c>
      <c r="E5986" t="str">
        <v>D</v>
      </c>
      <c r="F5986">
        <f>VLOOKUP(D5964,'Detail Balok'!$C$10:$AU$110,43,FALSE)</f>
        <v>8</v>
      </c>
      <c r="G5986" t="str">
        <v>-</v>
      </c>
      <c r="H5986">
        <f>VLOOKUP(D5964,'Detail Balok'!$C$10:$AU$110,45,FALSE)</f>
        <v>100</v>
      </c>
      <c r="J5986">
        <f>(IF(D5986=0,(2*(D5965+G5965))-(F$5*8),IF(D5986=3,(2*(D5965+G5965))-(F$5*8)+(G5965-2*F$5),IF(D5986=4,(2*(D5965+G5965))-(F$5*8)+2*(G5965-2*F$5)))))/1000</f>
        <v>0.88</v>
      </c>
      <c r="K5986" t="str">
        <v>+</v>
      </c>
      <c r="L5986">
        <f>IF(D5986=0,2*MAX(6*F5986,75),(D5986-1)*2*MAX(6*F5986,75))/1000</f>
        <v>0.15</v>
      </c>
      <c r="M5986" t="str">
        <v>=</v>
      </c>
      <c r="N5986">
        <f>J5986+L5986</f>
        <v>1.03</v>
      </c>
      <c r="T5986" t="str">
        <v>x</v>
      </c>
      <c r="U5986">
        <f>0.006165*F5986^2</f>
        <v>0.39456</v>
      </c>
      <c r="V5986" t="str">
        <v>x</v>
      </c>
      <c r="W5986">
        <f>IF(D5967&gt;4*G5965,ROUND(MAX(D5967/4,2*G5965)/H5986,0)+1,0)</f>
        <v>9</v>
      </c>
      <c r="X5986" t="str">
        <v>x</v>
      </c>
      <c r="Y5986">
        <f>D5970</f>
        <v>1</v>
      </c>
      <c r="Z5986" t="str">
        <v>=</v>
      </c>
      <c r="AA5986">
        <f>N5986*U5986*W5986*Y5986</f>
        <v>3.6575712000000005</v>
      </c>
    </row>
    <row r="5988">
      <c r="A5988" t="str">
        <f>A5964</f>
        <v>Lantai 2</v>
      </c>
      <c r="B5988">
        <f>B5964</f>
        <v>4</v>
      </c>
      <c r="C5988" t="str">
        <v>Kait Horizontal Tump.</v>
      </c>
      <c r="D5988">
        <f>VLOOKUP(D5964,'Detail Balok'!$C$10:$BJ$110,46,FALSE)</f>
        <v>0</v>
      </c>
      <c r="E5988" t="str">
        <v>D</v>
      </c>
      <c r="F5988">
        <f>VLOOKUP(D5964,'Detail Balok'!$C$10:$BJ$110,48,FALSE)</f>
        <v>0</v>
      </c>
      <c r="G5988" t="str">
        <v>-</v>
      </c>
      <c r="H5988">
        <f>VLOOKUP(D5964,'Detail Balok'!$C$10:$BJ$110,50,FALSE)</f>
        <v>100</v>
      </c>
      <c r="J5988">
        <f>(D5965-2*F$5)/1000</f>
        <v>0.12</v>
      </c>
      <c r="K5988" t="str">
        <v>+</v>
      </c>
      <c r="L5988">
        <f>IF(D5988=0,2*MAX(6*F5988,75),(D5988-1)*2*MAX(6*F5988,75))/1000</f>
        <v>0.15</v>
      </c>
      <c r="M5988" t="str">
        <v>=</v>
      </c>
      <c r="N5988">
        <f>J5988+L5988</f>
        <v>0.27</v>
      </c>
      <c r="T5988" t="str">
        <v>x</v>
      </c>
      <c r="U5988">
        <f>0.006165*F5988^2</f>
        <v>0</v>
      </c>
      <c r="V5988" t="str">
        <v>x</v>
      </c>
      <c r="W5988">
        <f>W5984</f>
        <v>9</v>
      </c>
      <c r="X5988" t="str">
        <v>x</v>
      </c>
      <c r="Y5988">
        <f>D5974</f>
        <v>2</v>
      </c>
      <c r="Z5988" t="str">
        <v>=</v>
      </c>
      <c r="AA5988">
        <f>N5988*U5988*W5988*Y5988</f>
        <v>0</v>
      </c>
    </row>
    <row r="5989">
      <c r="A5989" t="str">
        <f>A5964</f>
        <v>Lantai 2</v>
      </c>
      <c r="B5989">
        <f>B5964</f>
        <v>4</v>
      </c>
      <c r="C5989" t="str">
        <v>Kait Horizontal Lap.</v>
      </c>
      <c r="D5989">
        <f>VLOOKUP(D5964,'Detail Balok'!$C$10:$BJ$110,51,FALSE)</f>
        <v>0</v>
      </c>
      <c r="E5989" t="str">
        <v>D</v>
      </c>
      <c r="F5989">
        <f>VLOOKUP(D5964,'Detail Balok'!$C$10:$BJ$110,53,FALSE)</f>
        <v>0</v>
      </c>
      <c r="G5989" t="str">
        <v>-</v>
      </c>
      <c r="H5989">
        <f>VLOOKUP(D5964,'Detail Balok'!$C$10:$BJ$110,55,FALSE)</f>
        <v>100</v>
      </c>
      <c r="J5989">
        <f>(D5965-2*F$5)/1000</f>
        <v>0.12</v>
      </c>
      <c r="K5989" t="str">
        <v>+</v>
      </c>
      <c r="L5989">
        <f>IF(D5989=0,2*MAX(6*F5989,75),(D5989-1)*2*MAX(6*F5989,75))/1000</f>
        <v>0.15</v>
      </c>
      <c r="M5989" t="str">
        <v>=</v>
      </c>
      <c r="N5989">
        <f>J5989+L5989</f>
        <v>0.27</v>
      </c>
      <c r="T5989" t="str">
        <v>x</v>
      </c>
      <c r="U5989">
        <f>0.006165*F5989^2</f>
        <v>0</v>
      </c>
      <c r="V5989" t="str">
        <v>x</v>
      </c>
      <c r="W5989">
        <f>W5985</f>
        <v>4</v>
      </c>
      <c r="X5989" t="str">
        <v>x</v>
      </c>
      <c r="Y5989">
        <f>D5974</f>
        <v>2</v>
      </c>
      <c r="Z5989" t="str">
        <v>=</v>
      </c>
      <c r="AA5989">
        <f>N5989*U5989*W5989*Y5989</f>
        <v>0</v>
      </c>
    </row>
    <row r="5990">
      <c r="A5990" t="str">
        <f>A5964</f>
        <v>Lantai 2</v>
      </c>
      <c r="B5990">
        <f>B5964</f>
        <v>4</v>
      </c>
      <c r="C5990" t="str">
        <v>Kait Horizontal Tump.</v>
      </c>
      <c r="D5990">
        <f>VLOOKUP(D5964,'Detail Balok'!$C$10:$BJ$110,56,FALSE)</f>
        <v>0</v>
      </c>
      <c r="E5990" t="str">
        <v>D</v>
      </c>
      <c r="F5990">
        <f>VLOOKUP(D5964,'Detail Balok'!$C$10:$BJ$110,58,FALSE)</f>
        <v>0</v>
      </c>
      <c r="G5990" t="str">
        <v>-</v>
      </c>
      <c r="H5990">
        <f>VLOOKUP(D5964,'Detail Balok'!$C$10:$BJ$110,60,FALSE)</f>
        <v>100</v>
      </c>
      <c r="J5990">
        <f>(D5965-2*F$5)/1000</f>
        <v>0.12</v>
      </c>
      <c r="K5990" t="str">
        <v>+</v>
      </c>
      <c r="L5990">
        <f>IF(D5990=0,2*MAX(6*F5990,75),(D5990-1)*2*MAX(6*F5990,75))/1000</f>
        <v>0.15</v>
      </c>
      <c r="M5990" t="str">
        <v>=</v>
      </c>
      <c r="N5990">
        <f>J5990+L5990</f>
        <v>0.27</v>
      </c>
      <c r="T5990" t="str">
        <v>x</v>
      </c>
      <c r="U5990">
        <f>0.006165*F5990^2</f>
        <v>0</v>
      </c>
      <c r="V5990" t="str">
        <v>x</v>
      </c>
      <c r="W5990">
        <f>W5986</f>
        <v>9</v>
      </c>
      <c r="X5990" t="str">
        <v>x</v>
      </c>
      <c r="Y5990">
        <f>D5974</f>
        <v>2</v>
      </c>
      <c r="Z5990" t="str">
        <v>=</v>
      </c>
      <c r="AA5990">
        <f>N5990*U5990*W5990*Y5990</f>
        <v>0</v>
      </c>
    </row>
    <row r="5994">
      <c r="A5994" t="str">
        <f>A5964</f>
        <v>Lantai 2</v>
      </c>
      <c r="B5994">
        <f>B5964+1</f>
        <v>5</v>
      </c>
      <c r="C5994" t="str">
        <f>CONCATENATE(A5994," no. ",B5994)</f>
        <v>Lantai 2 no. 5</v>
      </c>
      <c r="D5994" t="str">
        <f>VLOOKUP(C5994,'Data Panjang Balok'!$C$9:$N$424,2,FALSE)</f>
        <v>B1745-1</v>
      </c>
    </row>
    <row r="5995">
      <c r="C5995" t="str">
        <v>Dimensi</v>
      </c>
      <c r="D5995">
        <f>VLOOKUP(D5994,'Detail Balok'!$C$10:$AU$110,2,FALSE)</f>
        <v>170</v>
      </c>
      <c r="F5995" t="str">
        <v>x</v>
      </c>
      <c r="G5995">
        <f>VLOOKUP(D5994,'Detail Balok'!$C$10:$AU$110,3,FALSE)</f>
        <v>450</v>
      </c>
    </row>
    <row r="5996">
      <c r="C5996" t="str">
        <v>Panjang as ke as</v>
      </c>
      <c r="D5996">
        <f>VLOOKUP(C5994,'Data Panjang Balok'!$C$9:$N$424,4,FALSE)</f>
        <v>2800</v>
      </c>
    </row>
    <row r="5997">
      <c r="C5997" t="str">
        <v>Panjang netto</v>
      </c>
      <c r="D5997">
        <f>VLOOKUP(C5994,'Data Panjang Balok'!$C$9:$N$424,7,FALSE)</f>
        <v>2800</v>
      </c>
    </row>
    <row r="5998">
      <c r="C5998" t="str">
        <v>Kolom / balok kiri</v>
      </c>
      <c r="D5998">
        <f>VLOOKUP(C5994,'Data Panjang Balok'!$C$9:$N$424,9,FALSE)</f>
        <v>0</v>
      </c>
    </row>
    <row r="5999">
      <c r="C5999" t="str">
        <v>Kolom / balok kanan</v>
      </c>
      <c r="D5999">
        <f>VLOOKUP(C5994,'Data Panjang Balok'!$C$9:$N$424,10,FALSE)</f>
        <v>0</v>
      </c>
    </row>
    <row r="6000">
      <c r="C6000" t="str">
        <v>Jumlah</v>
      </c>
      <c r="D6000">
        <f>VLOOKUP(C5994,'Data Panjang Balok'!$C$9:$N$424,3,FALSE)</f>
        <v>1</v>
      </c>
    </row>
    <row r="6001">
      <c r="A6001" t="str">
        <f>A5994</f>
        <v>Lantai 2</v>
      </c>
      <c r="B6001">
        <f>B5994</f>
        <v>5</v>
      </c>
      <c r="C6001" t="str">
        <v>Tul Atas Tumpuan</v>
      </c>
      <c r="D6001">
        <f>VLOOKUP(D5994,'Detail Balok'!$C$10:$AU$110,4,FALSE)</f>
        <v>2</v>
      </c>
      <c r="E6001" t="str">
        <v>D</v>
      </c>
      <c r="F6001">
        <f>VLOOKUP(D5994,'Detail Balok'!$C$10:$AU$110,6,FALSE)</f>
        <v>13</v>
      </c>
      <c r="I6001" t="str">
        <v>(</v>
      </c>
      <c r="J6001">
        <f>+D5996/4/1000</f>
        <v>0.7</v>
      </c>
      <c r="K6001" t="str">
        <v>+</v>
      </c>
      <c r="L6001">
        <f>MAX(VLOOKUP(F6001,N$6:P$15,3,FALSE)/1000,2/3*D5998/1000)+F$16*F6001/1000</f>
        <v>0.156</v>
      </c>
      <c r="M6001" t="str">
        <v>=</v>
      </c>
      <c r="N6001">
        <f>J6001+L6001</f>
        <v>0.856</v>
      </c>
      <c r="O6001" t="str">
        <v>+</v>
      </c>
      <c r="P6001">
        <f>D6001-D6002</f>
        <v>0</v>
      </c>
      <c r="Q6001" t="str">
        <v>x</v>
      </c>
      <c r="R6001">
        <f>IF(P6001&gt;0,$F$18*F6001/1000,0)</f>
        <v>0</v>
      </c>
      <c r="S6001" t="str">
        <v>)</v>
      </c>
      <c r="T6001" t="str">
        <v>x</v>
      </c>
      <c r="U6001">
        <f>0.006165*F6001^2</f>
        <v>1.041885</v>
      </c>
      <c r="X6001" t="str">
        <v>x</v>
      </c>
      <c r="Y6001">
        <f>D6000</f>
        <v>1</v>
      </c>
      <c r="Z6001" t="str">
        <v>=</v>
      </c>
      <c r="AA6001">
        <f>IF(AA6004=0,(D6001*N6001+P6001*R6001)*U6001*Y6001,0)</f>
        <v>0</v>
      </c>
    </row>
    <row r="6002">
      <c r="A6002" t="str">
        <f>A5994</f>
        <v>Lantai 2</v>
      </c>
      <c r="B6002">
        <f>B5994</f>
        <v>5</v>
      </c>
      <c r="C6002" t="str">
        <v>Tul Atas Lapangan</v>
      </c>
      <c r="D6002">
        <f>VLOOKUP(D5994,'Detail Balok'!$C$10:$AU$110,7,FALSE)</f>
        <v>2</v>
      </c>
      <c r="E6002" t="str">
        <v>D</v>
      </c>
      <c r="F6002">
        <f>VLOOKUP(D5994,'Detail Balok'!$C$10:$AU$110,9,FALSE)</f>
        <v>13</v>
      </c>
      <c r="I6002" t="str">
        <v>(</v>
      </c>
      <c r="J6002">
        <f>+D5996/2/1000</f>
        <v>1.4</v>
      </c>
      <c r="K6002" t="str">
        <v>+</v>
      </c>
      <c r="M6002" t="str">
        <v>=</v>
      </c>
      <c r="N6002">
        <f>J6002+L6002</f>
        <v>1.4</v>
      </c>
      <c r="O6002" t="str">
        <v>+</v>
      </c>
      <c r="P6002">
        <f>MAX(D6002-D6001,D6002-D6003)</f>
        <v>0</v>
      </c>
      <c r="Q6002" t="str">
        <v>x</v>
      </c>
      <c r="R6002">
        <f>IF(P6002&gt;0,2*(1-2*$F$19-1/2)*D5997/1000,0)</f>
        <v>0</v>
      </c>
      <c r="S6002" t="str">
        <v>)</v>
      </c>
      <c r="T6002" t="str">
        <v>x</v>
      </c>
      <c r="U6002">
        <f>0.006165*F6002^2</f>
        <v>1.041885</v>
      </c>
      <c r="X6002" t="str">
        <v>x</v>
      </c>
      <c r="Y6002">
        <f>D6000</f>
        <v>1</v>
      </c>
      <c r="Z6002" t="str">
        <v>=</v>
      </c>
      <c r="AA6002">
        <f>IF(AA6004=0,(D6002*N6002+P6002*R6002)*U6002*Y6002,0)</f>
        <v>0</v>
      </c>
    </row>
    <row r="6003">
      <c r="A6003" t="str">
        <f>A5994</f>
        <v>Lantai 2</v>
      </c>
      <c r="B6003">
        <f>B5994</f>
        <v>5</v>
      </c>
      <c r="C6003" t="str">
        <v>Tul Atas Tumpuan</v>
      </c>
      <c r="D6003">
        <f>VLOOKUP(D5994,'Detail Balok'!$C$10:$AU$110,10,FALSE)</f>
        <v>2</v>
      </c>
      <c r="E6003" t="str">
        <v>D</v>
      </c>
      <c r="F6003">
        <f>VLOOKUP(D5994,'Detail Balok'!$C$10:$AU$110,12,FALSE)</f>
        <v>13</v>
      </c>
      <c r="I6003" t="str">
        <v>(</v>
      </c>
      <c r="J6003">
        <f>+D5996/4/1000</f>
        <v>0.7</v>
      </c>
      <c r="K6003" t="str">
        <v>+</v>
      </c>
      <c r="L6003">
        <f>MAX(VLOOKUP(F6003,N$6:P$15,3,FALSE)/1000,2/3*D5998/1000)+F$16*F6003/1000</f>
        <v>0.156</v>
      </c>
      <c r="M6003" t="str">
        <v>=</v>
      </c>
      <c r="N6003">
        <f>J6003+L6003</f>
        <v>0.856</v>
      </c>
      <c r="O6003" t="str">
        <v>+</v>
      </c>
      <c r="P6003">
        <f>D6003-D6002</f>
        <v>0</v>
      </c>
      <c r="Q6003" t="str">
        <v>x</v>
      </c>
      <c r="R6003">
        <f>IF(P6003&gt;0,$F$18*F6003/1000,0)</f>
        <v>0</v>
      </c>
      <c r="S6003" t="str">
        <v>)</v>
      </c>
      <c r="T6003" t="str">
        <v>x</v>
      </c>
      <c r="U6003">
        <f>0.006165*F6003^2</f>
        <v>1.041885</v>
      </c>
      <c r="X6003" t="str">
        <v>x</v>
      </c>
      <c r="Y6003">
        <f>D6000</f>
        <v>1</v>
      </c>
      <c r="Z6003" t="str">
        <v>=</v>
      </c>
      <c r="AA6003">
        <f>IF(AA6004=0,(D6003*N6003+P6003*R6003)*U6003*Y6003,0)</f>
        <v>0</v>
      </c>
    </row>
    <row r="6004">
      <c r="A6004" t="str">
        <f>A5994</f>
        <v>Lantai 2</v>
      </c>
      <c r="B6004">
        <f>B5994</f>
        <v>5</v>
      </c>
      <c r="D6004">
        <f>IF(AND(D6001=D6002,D6002=D6003,D6001=D6003),D6001,0)</f>
        <v>2</v>
      </c>
      <c r="E6004" t="str">
        <v>D</v>
      </c>
      <c r="F6004">
        <f>IF(AND(F6001=F6002,F6001=F6003,F6002=F6003),F6001,0)</f>
        <v>13</v>
      </c>
      <c r="L6004" t="str">
        <v>Total panjang per balok</v>
      </c>
      <c r="M6004" t="str">
        <v>=</v>
      </c>
      <c r="N6004">
        <f>IF(AND(D6001=D6002,D6001=D6003,D6002=D6003,F6001=F6002,F6001=F6003,F6002=F6003),SUM(N6001:N6003),0)</f>
        <v>3.1119999999999997</v>
      </c>
      <c r="O6004" t="str">
        <v>+</v>
      </c>
      <c r="P6004">
        <f>IF(N6004&gt;12,ROUNDDOWN(N6004/12,0),0)</f>
        <v>0</v>
      </c>
      <c r="Q6004" t="str">
        <v>x</v>
      </c>
      <c r="R6004">
        <f>IF(P6004&gt;0,MAX(VLOOKUP(F6004,$D$6:$G$15,3,FALSE),600),0)/1000</f>
        <v>0</v>
      </c>
      <c r="T6004" t="str">
        <v>x</v>
      </c>
      <c r="U6004">
        <f>U6003</f>
        <v>1.041885</v>
      </c>
      <c r="V6004" t="str">
        <v>x</v>
      </c>
      <c r="W6004">
        <f>D6004</f>
        <v>2</v>
      </c>
      <c r="X6004" t="str">
        <v>x</v>
      </c>
      <c r="Y6004">
        <f>Y6003</f>
        <v>1</v>
      </c>
      <c r="Z6004" t="str">
        <v>=</v>
      </c>
      <c r="AA6004">
        <f>(N6004+P6004*R6004/1000)*U6004*W6004*Y6004</f>
        <v>6.484692239999999</v>
      </c>
    </row>
    <row r="6006">
      <c r="A6006" t="str">
        <f>A5994</f>
        <v>Lantai 2</v>
      </c>
      <c r="B6006">
        <f>B5994</f>
        <v>5</v>
      </c>
      <c r="C6006" t="str">
        <v>Tul Peminggang</v>
      </c>
      <c r="D6006">
        <f>VLOOKUP(D5994,'Detail Balok'!$C$10:$AU$110,13,FALSE)</f>
        <v>2</v>
      </c>
      <c r="E6006" t="str">
        <v>D</v>
      </c>
      <c r="F6006">
        <f>VLOOKUP(D5994,'Detail Balok'!$C$10:$AU$110,15,FALSE)</f>
        <v>8</v>
      </c>
      <c r="J6006">
        <f>+D5996/1000</f>
        <v>2.8</v>
      </c>
      <c r="K6006" t="str">
        <v>+</v>
      </c>
      <c r="L6006">
        <f>2*$F$16*F6006/1000</f>
        <v>0.192</v>
      </c>
      <c r="M6006" t="str">
        <v>=</v>
      </c>
      <c r="N6006">
        <f>J6006+L6006</f>
        <v>2.992</v>
      </c>
      <c r="O6006" t="str">
        <v>+</v>
      </c>
      <c r="P6006">
        <f>IF(N6006&gt;12,ROUNDDOWN(N6006/12,0),0)</f>
        <v>0</v>
      </c>
      <c r="Q6006" t="str">
        <v>x</v>
      </c>
      <c r="R6006">
        <f>IF(P6006&gt;0,MAX(VLOOKUP(F6006,$D$6:$G$15,3,FALSE),600),0)/1000</f>
        <v>0</v>
      </c>
      <c r="T6006" t="str">
        <v>x</v>
      </c>
      <c r="U6006">
        <f>0.006165*F6006^2</f>
        <v>0.39456</v>
      </c>
      <c r="V6006" t="str">
        <v>x</v>
      </c>
      <c r="W6006">
        <f>+D6006</f>
        <v>2</v>
      </c>
      <c r="X6006" t="str">
        <v>x</v>
      </c>
      <c r="Y6006">
        <f>D6000</f>
        <v>1</v>
      </c>
      <c r="Z6006" t="str">
        <v>=</v>
      </c>
      <c r="AA6006">
        <f>(N6006+P6006*R6006/1000)*U6006*W6006*Y6006</f>
        <v>2.3610470400000003</v>
      </c>
    </row>
    <row r="6009">
      <c r="A6009" t="str">
        <f>A5994</f>
        <v>Lantai 2</v>
      </c>
      <c r="B6009">
        <f>B5994</f>
        <v>5</v>
      </c>
      <c r="C6009" t="str">
        <v>Tul Bawah Tumpuan</v>
      </c>
      <c r="D6009">
        <f>VLOOKUP(D5994,'Detail Balok'!$C$10:$AU$110,22,FALSE)</f>
        <v>2</v>
      </c>
      <c r="E6009" t="str">
        <v>D</v>
      </c>
      <c r="F6009">
        <f>VLOOKUP(D5994,'Detail Balok'!$C$10:$AU$110,24,FALSE)</f>
        <v>13</v>
      </c>
      <c r="I6009" t="str">
        <v>(</v>
      </c>
      <c r="J6009">
        <f>+J6001</f>
        <v>0.7</v>
      </c>
      <c r="K6009" t="str">
        <v>+</v>
      </c>
      <c r="L6009">
        <f>MAX(VLOOKUP(F6009,N$6:P$15,3,FALSE)/1000,2/3*D5999/1000)+F$16*F6009/1000</f>
        <v>0.156</v>
      </c>
      <c r="M6009" t="str">
        <v>=</v>
      </c>
      <c r="N6009">
        <f>J6009+L6009</f>
        <v>0.856</v>
      </c>
      <c r="O6009" t="str">
        <v>+</v>
      </c>
      <c r="P6009">
        <f>D6009-D6010</f>
        <v>0</v>
      </c>
      <c r="Q6009" t="str">
        <v>x</v>
      </c>
      <c r="R6009">
        <f>IF(P6009&gt;0,$F$18*F6009/1000,0)</f>
        <v>0</v>
      </c>
      <c r="S6009" t="str">
        <v>)</v>
      </c>
      <c r="T6009" t="str">
        <v>x</v>
      </c>
      <c r="U6009">
        <f>0.006165*F6009^2</f>
        <v>1.041885</v>
      </c>
      <c r="X6009" t="str">
        <v>x</v>
      </c>
      <c r="Y6009">
        <f>D6000</f>
        <v>1</v>
      </c>
      <c r="Z6009" t="str">
        <v>=</v>
      </c>
      <c r="AA6009">
        <f>IF(AA6012=0,(D6009*N6009+P6009*R6009)*U6009*Y6009,0)</f>
        <v>0</v>
      </c>
    </row>
    <row r="6010">
      <c r="A6010" t="str">
        <f>A5994</f>
        <v>Lantai 2</v>
      </c>
      <c r="B6010">
        <f>B5994</f>
        <v>5</v>
      </c>
      <c r="C6010" t="str">
        <v>Tul Bawah Lapangan</v>
      </c>
      <c r="D6010">
        <f>VLOOKUP(D5994,'Detail Balok'!$C$10:$AU$110,25,FALSE)</f>
        <v>2</v>
      </c>
      <c r="E6010" t="str">
        <v>D</v>
      </c>
      <c r="F6010">
        <f>VLOOKUP(D5994,'Detail Balok'!$C$10:$AU$110,27,FALSE)</f>
        <v>13</v>
      </c>
      <c r="I6010" t="str">
        <v>(</v>
      </c>
      <c r="J6010">
        <f>+J6002</f>
        <v>1.4</v>
      </c>
      <c r="K6010" t="str">
        <v>+</v>
      </c>
      <c r="M6010" t="str">
        <v>=</v>
      </c>
      <c r="N6010">
        <f>J6010+L6010</f>
        <v>1.4</v>
      </c>
      <c r="O6010" t="str">
        <v>+</v>
      </c>
      <c r="P6010">
        <f>MAX(D6010-D6009,D6010-D6011)</f>
        <v>0</v>
      </c>
      <c r="Q6010" t="str">
        <v>x</v>
      </c>
      <c r="R6010">
        <f>IF(P6010&gt;0,2*(1-2*$F$19-1/2)*D5997/1000,0)</f>
        <v>0</v>
      </c>
      <c r="S6010" t="str">
        <v>)</v>
      </c>
      <c r="T6010" t="str">
        <v>x</v>
      </c>
      <c r="U6010">
        <f>0.006165*F6010^2</f>
        <v>1.041885</v>
      </c>
      <c r="X6010" t="str">
        <v>x</v>
      </c>
      <c r="Y6010">
        <f>D6000</f>
        <v>1</v>
      </c>
      <c r="Z6010" t="str">
        <v>=</v>
      </c>
      <c r="AA6010">
        <f>IF(AA6012=0,(D6010*N6010+P6010*R6010)*U6010*Y6010,0)</f>
        <v>0</v>
      </c>
    </row>
    <row r="6011">
      <c r="A6011" t="str">
        <f>A5994</f>
        <v>Lantai 2</v>
      </c>
      <c r="B6011">
        <f>B5994</f>
        <v>5</v>
      </c>
      <c r="C6011" t="str">
        <v>Tul Bawah Tumpuan</v>
      </c>
      <c r="D6011">
        <f>VLOOKUP(D5994,'Detail Balok'!$C$10:$AU$110,28,FALSE)</f>
        <v>2</v>
      </c>
      <c r="E6011" t="str">
        <v>D</v>
      </c>
      <c r="F6011">
        <f>VLOOKUP(D5994,'Detail Balok'!$C$10:$AU$110,30,FALSE)</f>
        <v>13</v>
      </c>
      <c r="I6011" t="str">
        <v>(</v>
      </c>
      <c r="J6011">
        <f>+J6003</f>
        <v>0.7</v>
      </c>
      <c r="K6011" t="str">
        <v>+</v>
      </c>
      <c r="L6011">
        <f>MAX(VLOOKUP(F6011,N$6:P$15,3,FALSE)/1000,2/3*D5999/1000)+F$16*F6011/1000</f>
        <v>0.156</v>
      </c>
      <c r="M6011" t="str">
        <v>=</v>
      </c>
      <c r="N6011">
        <f>J6011+L6011</f>
        <v>0.856</v>
      </c>
      <c r="O6011" t="str">
        <v>+</v>
      </c>
      <c r="P6011">
        <f>D6011-D6010</f>
        <v>0</v>
      </c>
      <c r="Q6011" t="str">
        <v>x</v>
      </c>
      <c r="R6011">
        <f>IF(P6011&gt;0,$F$18*F6011/1000,0)</f>
        <v>0</v>
      </c>
      <c r="S6011" t="str">
        <v>)</v>
      </c>
      <c r="T6011" t="str">
        <v>x</v>
      </c>
      <c r="U6011">
        <f>0.006165*F6011^2</f>
        <v>1.041885</v>
      </c>
      <c r="X6011" t="str">
        <v>x</v>
      </c>
      <c r="Y6011">
        <f>D6000</f>
        <v>1</v>
      </c>
      <c r="Z6011" t="str">
        <v>=</v>
      </c>
      <c r="AA6011">
        <f>IF(AA6012=0,(D6011*N6011+P6011*R6011)*U6011*Y6011,0)</f>
        <v>0</v>
      </c>
    </row>
    <row r="6012">
      <c r="A6012" t="str">
        <f>A5994</f>
        <v>Lantai 2</v>
      </c>
      <c r="B6012">
        <f>B5994</f>
        <v>5</v>
      </c>
      <c r="D6012">
        <f>IF(AND(D6009=D6010,D6010=D6011,D6009=D6011),D6009,0)</f>
        <v>2</v>
      </c>
      <c r="E6012" t="str">
        <v>D</v>
      </c>
      <c r="F6012">
        <f>IF(AND(F6009=F6010,F6009=F6011,F6010=F6011),F6009,0)</f>
        <v>13</v>
      </c>
      <c r="L6012" t="str">
        <v>Total panjang per balok</v>
      </c>
      <c r="M6012" t="str">
        <v>=</v>
      </c>
      <c r="N6012">
        <f>IF(AND(D6009=D6010,D6009=D6011,D6010=D6011,F6009=F6010,F6009=F6011,F6010=F6011),SUM(N6009:N6011),0)</f>
        <v>3.1119999999999997</v>
      </c>
      <c r="O6012" t="str">
        <v>+</v>
      </c>
      <c r="P6012">
        <f>IF(N6012&gt;12,ROUNDDOWN(N6012/12,0),0)</f>
        <v>0</v>
      </c>
      <c r="Q6012" t="str">
        <v>x</v>
      </c>
      <c r="R6012">
        <f>IF(P6012&gt;0,MAX(VLOOKUP(F6012,$D$6:$G$15,3,FALSE),600),0)/1000</f>
        <v>0</v>
      </c>
      <c r="T6012" t="str">
        <v>x</v>
      </c>
      <c r="U6012">
        <f>U6011</f>
        <v>1.041885</v>
      </c>
      <c r="V6012" t="str">
        <v>x</v>
      </c>
      <c r="W6012">
        <f>D6012</f>
        <v>2</v>
      </c>
      <c r="X6012" t="str">
        <v>x</v>
      </c>
      <c r="Y6012">
        <f>Y6011</f>
        <v>1</v>
      </c>
      <c r="Z6012" t="str">
        <v>=</v>
      </c>
      <c r="AA6012">
        <f>(N6012+P6012*R6012/1000)*U6012*W6012*Y6012</f>
        <v>6.484692239999999</v>
      </c>
    </row>
    <row r="6014">
      <c r="A6014" t="str">
        <f>A5994</f>
        <v>Lantai 2</v>
      </c>
      <c r="B6014">
        <f>B5994</f>
        <v>5</v>
      </c>
      <c r="C6014" t="str">
        <v>Sengkang Tumpuan</v>
      </c>
      <c r="D6014">
        <f>VLOOKUP(D5994,'Detail Balok'!$C$10:$AU$110,31,FALSE)</f>
        <v>0</v>
      </c>
      <c r="E6014" t="str">
        <v>D</v>
      </c>
      <c r="F6014">
        <f>VLOOKUP(D5994,'Detail Balok'!$C$10:$AU$110,33,FALSE)</f>
        <v>8</v>
      </c>
      <c r="G6014" t="str">
        <v>-</v>
      </c>
      <c r="H6014">
        <f>VLOOKUP(D5994,'Detail Balok'!$C$10:$AU$110,35,FALSE)</f>
        <v>75</v>
      </c>
      <c r="J6014">
        <f>(IF(D6014=0,(2*(D5995+G5995))-(F$5*8),IF(D6014=3,(2*(D5995+G5995))-(F$5*8)+(G5995-2*F$5),IF(D6014=4,(2*(D5995+G5995))-(F$5*8)+2*(G5995-2*F$5)))))/1000</f>
        <v>0.92</v>
      </c>
      <c r="K6014" t="str">
        <v>+</v>
      </c>
      <c r="L6014">
        <f>IF(D6014=0,2*MAX(6*F6014,75),(D6014-1)*2*MAX(6*F6014,75))/1000</f>
        <v>0.15</v>
      </c>
      <c r="M6014" t="str">
        <v>=</v>
      </c>
      <c r="N6014">
        <f>J6014+L6014</f>
        <v>1.07</v>
      </c>
      <c r="T6014" t="str">
        <v>x</v>
      </c>
      <c r="U6014">
        <f>0.006165*F6014^2</f>
        <v>0.39456</v>
      </c>
      <c r="V6014" t="str">
        <v>x</v>
      </c>
      <c r="W6014">
        <f>IF(D5997&gt;4*G5995,ROUND(MAX(D5997/4,2*G5995)/H6014,0)+1,ROUND(D5997/H6014,0)+1)</f>
        <v>13</v>
      </c>
      <c r="X6014" t="str">
        <v>x</v>
      </c>
      <c r="Y6014">
        <f>D6000</f>
        <v>1</v>
      </c>
      <c r="Z6014" t="str">
        <v>=</v>
      </c>
      <c r="AA6014">
        <f>N6014*U6014*W6014*Y6014</f>
        <v>5.4883296</v>
      </c>
    </row>
    <row r="6015">
      <c r="A6015" t="str">
        <f>A5994</f>
        <v>Lantai 2</v>
      </c>
      <c r="B6015">
        <f>B5994</f>
        <v>5</v>
      </c>
      <c r="C6015" t="str">
        <v>Sengkang Lapangan</v>
      </c>
      <c r="D6015">
        <f>VLOOKUP(D5994,'Detail Balok'!$C$10:$AU$110,36,FALSE)</f>
        <v>0</v>
      </c>
      <c r="E6015" t="str">
        <v>D</v>
      </c>
      <c r="F6015">
        <f>VLOOKUP(D5994,'Detail Balok'!$C$10:$AU$110,38,FALSE)</f>
        <v>8</v>
      </c>
      <c r="G6015" t="str">
        <v>-</v>
      </c>
      <c r="H6015">
        <f>VLOOKUP(D5994,'Detail Balok'!$C$10:$AU$110,40,FALSE)</f>
        <v>75</v>
      </c>
      <c r="J6015">
        <f>(IF(D6015=0,(2*(D5995+G5995))-(F$5*8),IF(D6015=3,(2*(D5995+G5995))-(F$5*8)+(G5995-2*F$5),IF(D6015=4,(2*(D5995+G5995))-(F$5*8)+2*(G5995-2*F$5)))))/1000</f>
        <v>0.92</v>
      </c>
      <c r="K6015" t="str">
        <v>+</v>
      </c>
      <c r="L6015">
        <f>IF(D6015=0,2*MAX(6*F6015,75),(D6015-1)*2*MAX(6*F6015,75))/1000</f>
        <v>0.15</v>
      </c>
      <c r="M6015" t="str">
        <v>=</v>
      </c>
      <c r="N6015">
        <f>J6015+L6015</f>
        <v>1.07</v>
      </c>
      <c r="T6015" t="str">
        <v>x</v>
      </c>
      <c r="U6015">
        <f>0.006165*F6015^2</f>
        <v>0.39456</v>
      </c>
      <c r="V6015" t="str">
        <v>x</v>
      </c>
      <c r="W6015">
        <f>IF(D5997-MAX(D5997/4,2*G5995)*2&gt;0,ROUND((D5997-MAX(D5997/4,2*G5995)*2)/H6015,0),0)</f>
        <v>13</v>
      </c>
      <c r="X6015" t="str">
        <v>x</v>
      </c>
      <c r="Y6015">
        <f>D6000</f>
        <v>1</v>
      </c>
      <c r="Z6015" t="str">
        <v>=</v>
      </c>
      <c r="AA6015">
        <f>N6015*U6015*W6015*Y6015</f>
        <v>5.4883296</v>
      </c>
    </row>
    <row r="6016">
      <c r="A6016" t="str">
        <f>A5994</f>
        <v>Lantai 2</v>
      </c>
      <c r="B6016">
        <f>B5994</f>
        <v>5</v>
      </c>
      <c r="C6016" t="str">
        <v>Sengkang Tumpuan</v>
      </c>
      <c r="D6016">
        <f>VLOOKUP(D5994,'Detail Balok'!$C$10:$AU$110,41,FALSE)</f>
        <v>0</v>
      </c>
      <c r="E6016" t="str">
        <v>D</v>
      </c>
      <c r="F6016">
        <f>VLOOKUP(D5994,'Detail Balok'!$C$10:$AU$110,43,FALSE)</f>
        <v>8</v>
      </c>
      <c r="G6016" t="str">
        <v>-</v>
      </c>
      <c r="H6016">
        <f>VLOOKUP(D5994,'Detail Balok'!$C$10:$AU$110,45,FALSE)</f>
        <v>75</v>
      </c>
      <c r="J6016">
        <f>(IF(D6016=0,(2*(D5995+G5995))-(F$5*8),IF(D6016=3,(2*(D5995+G5995))-(F$5*8)+(G5995-2*F$5),IF(D6016=4,(2*(D5995+G5995))-(F$5*8)+2*(G5995-2*F$5)))))/1000</f>
        <v>0.92</v>
      </c>
      <c r="K6016" t="str">
        <v>+</v>
      </c>
      <c r="L6016">
        <f>IF(D6016=0,2*MAX(6*F6016,75),(D6016-1)*2*MAX(6*F6016,75))/1000</f>
        <v>0.15</v>
      </c>
      <c r="M6016" t="str">
        <v>=</v>
      </c>
      <c r="N6016">
        <f>J6016+L6016</f>
        <v>1.07</v>
      </c>
      <c r="T6016" t="str">
        <v>x</v>
      </c>
      <c r="U6016">
        <f>0.006165*F6016^2</f>
        <v>0.39456</v>
      </c>
      <c r="V6016" t="str">
        <v>x</v>
      </c>
      <c r="W6016">
        <f>IF(D5997&gt;4*G5995,ROUND(MAX(D5997/4,2*G5995)/H6016,0)+1,0)</f>
        <v>13</v>
      </c>
      <c r="X6016" t="str">
        <v>x</v>
      </c>
      <c r="Y6016">
        <f>D6000</f>
        <v>1</v>
      </c>
      <c r="Z6016" t="str">
        <v>=</v>
      </c>
      <c r="AA6016">
        <f>N6016*U6016*W6016*Y6016</f>
        <v>5.4883296</v>
      </c>
    </row>
    <row r="6018">
      <c r="A6018" t="str">
        <f>A5994</f>
        <v>Lantai 2</v>
      </c>
      <c r="B6018">
        <f>B5994</f>
        <v>5</v>
      </c>
      <c r="C6018" t="str">
        <v>Kait Horizontal Tump.</v>
      </c>
      <c r="D6018">
        <f>VLOOKUP(D5994,'Detail Balok'!$C$10:$BJ$110,46,FALSE)</f>
        <v>0</v>
      </c>
      <c r="E6018" t="str">
        <v>D</v>
      </c>
      <c r="F6018">
        <f>VLOOKUP(D5994,'Detail Balok'!$C$10:$BJ$110,48,FALSE)</f>
        <v>0</v>
      </c>
      <c r="G6018" t="str">
        <v>-</v>
      </c>
      <c r="H6018">
        <f>VLOOKUP(D5994,'Detail Balok'!$C$10:$BJ$110,50,FALSE)</f>
        <v>100</v>
      </c>
      <c r="J6018">
        <f>(D5995-2*F$5)/1000</f>
        <v>0.09</v>
      </c>
      <c r="K6018" t="str">
        <v>+</v>
      </c>
      <c r="L6018">
        <f>IF(D6018=0,2*MAX(6*F6018,75),(D6018-1)*2*MAX(6*F6018,75))/1000</f>
        <v>0.15</v>
      </c>
      <c r="M6018" t="str">
        <v>=</v>
      </c>
      <c r="N6018">
        <f>J6018+L6018</f>
        <v>0.24</v>
      </c>
      <c r="T6018" t="str">
        <v>x</v>
      </c>
      <c r="U6018">
        <f>0.006165*F6018^2</f>
        <v>0</v>
      </c>
      <c r="V6018" t="str">
        <v>x</v>
      </c>
      <c r="W6018">
        <f>W6014</f>
        <v>13</v>
      </c>
      <c r="X6018" t="str">
        <v>x</v>
      </c>
      <c r="Y6018">
        <f>D6004</f>
        <v>2</v>
      </c>
      <c r="Z6018" t="str">
        <v>=</v>
      </c>
      <c r="AA6018">
        <f>N6018*U6018*W6018*Y6018</f>
        <v>0</v>
      </c>
    </row>
    <row r="6019">
      <c r="A6019" t="str">
        <f>A5994</f>
        <v>Lantai 2</v>
      </c>
      <c r="B6019">
        <f>B5994</f>
        <v>5</v>
      </c>
      <c r="C6019" t="str">
        <v>Kait Horizontal Lap.</v>
      </c>
      <c r="D6019">
        <f>VLOOKUP(D5994,'Detail Balok'!$C$10:$BJ$110,51,FALSE)</f>
        <v>0</v>
      </c>
      <c r="E6019" t="str">
        <v>D</v>
      </c>
      <c r="F6019">
        <f>VLOOKUP(D5994,'Detail Balok'!$C$10:$BJ$110,53,FALSE)</f>
        <v>0</v>
      </c>
      <c r="G6019" t="str">
        <v>-</v>
      </c>
      <c r="H6019">
        <f>VLOOKUP(D5994,'Detail Balok'!$C$10:$BJ$110,55,FALSE)</f>
        <v>100</v>
      </c>
      <c r="J6019">
        <f>(D5995-2*F$5)/1000</f>
        <v>0.09</v>
      </c>
      <c r="K6019" t="str">
        <v>+</v>
      </c>
      <c r="L6019">
        <f>IF(D6019=0,2*MAX(6*F6019,75),(D6019-1)*2*MAX(6*F6019,75))/1000</f>
        <v>0.15</v>
      </c>
      <c r="M6019" t="str">
        <v>=</v>
      </c>
      <c r="N6019">
        <f>J6019+L6019</f>
        <v>0.24</v>
      </c>
      <c r="T6019" t="str">
        <v>x</v>
      </c>
      <c r="U6019">
        <f>0.006165*F6019^2</f>
        <v>0</v>
      </c>
      <c r="V6019" t="str">
        <v>x</v>
      </c>
      <c r="W6019">
        <f>W6015</f>
        <v>13</v>
      </c>
      <c r="X6019" t="str">
        <v>x</v>
      </c>
      <c r="Y6019">
        <f>D6004</f>
        <v>2</v>
      </c>
      <c r="Z6019" t="str">
        <v>=</v>
      </c>
      <c r="AA6019">
        <f>N6019*U6019*W6019*Y6019</f>
        <v>0</v>
      </c>
    </row>
    <row r="6020">
      <c r="A6020" t="str">
        <f>A5994</f>
        <v>Lantai 2</v>
      </c>
      <c r="B6020">
        <f>B5994</f>
        <v>5</v>
      </c>
      <c r="C6020" t="str">
        <v>Kait Horizontal Tump.</v>
      </c>
      <c r="D6020">
        <f>VLOOKUP(D5994,'Detail Balok'!$C$10:$BJ$110,56,FALSE)</f>
        <v>0</v>
      </c>
      <c r="E6020" t="str">
        <v>D</v>
      </c>
      <c r="F6020">
        <f>VLOOKUP(D5994,'Detail Balok'!$C$10:$BJ$110,58,FALSE)</f>
        <v>0</v>
      </c>
      <c r="G6020" t="str">
        <v>-</v>
      </c>
      <c r="H6020">
        <f>VLOOKUP(D5994,'Detail Balok'!$C$10:$BJ$110,60,FALSE)</f>
        <v>100</v>
      </c>
      <c r="J6020">
        <f>(D5995-2*F$5)/1000</f>
        <v>0.09</v>
      </c>
      <c r="K6020" t="str">
        <v>+</v>
      </c>
      <c r="L6020">
        <f>IF(D6020=0,2*MAX(6*F6020,75),(D6020-1)*2*MAX(6*F6020,75))/1000</f>
        <v>0.15</v>
      </c>
      <c r="M6020" t="str">
        <v>=</v>
      </c>
      <c r="N6020">
        <f>J6020+L6020</f>
        <v>0.24</v>
      </c>
      <c r="T6020" t="str">
        <v>x</v>
      </c>
      <c r="U6020">
        <f>0.006165*F6020^2</f>
        <v>0</v>
      </c>
      <c r="V6020" t="str">
        <v>x</v>
      </c>
      <c r="W6020">
        <f>W6016</f>
        <v>13</v>
      </c>
      <c r="X6020" t="str">
        <v>x</v>
      </c>
      <c r="Y6020">
        <f>D6004</f>
        <v>2</v>
      </c>
      <c r="Z6020" t="str">
        <v>=</v>
      </c>
      <c r="AA6020">
        <f>N6020*U6020*W6020*Y6020</f>
        <v>0</v>
      </c>
    </row>
    <row r="6024">
      <c r="A6024" t="str">
        <f>A5994</f>
        <v>Lantai 2</v>
      </c>
      <c r="B6024">
        <f>B5994+1</f>
        <v>6</v>
      </c>
      <c r="C6024" t="str">
        <f>CONCATENATE(A6024," no. ",B6024)</f>
        <v>Lantai 2 no. 6</v>
      </c>
      <c r="D6024" t="str">
        <f>VLOOKUP(C6024,'Data Panjang Balok'!$C$9:$N$424,2,FALSE)</f>
        <v>B36-1</v>
      </c>
    </row>
    <row r="6025">
      <c r="C6025" t="str">
        <v>Dimensi</v>
      </c>
      <c r="D6025">
        <f>VLOOKUP(D6024,'Detail Balok'!$C$10:$AU$110,2,FALSE)</f>
        <v>300</v>
      </c>
      <c r="F6025" t="str">
        <v>x</v>
      </c>
      <c r="G6025">
        <f>VLOOKUP(D6024,'Detail Balok'!$C$10:$AU$110,3,FALSE)</f>
        <v>600</v>
      </c>
    </row>
    <row r="6026">
      <c r="C6026" t="str">
        <v>Panjang as ke as</v>
      </c>
      <c r="D6026">
        <f>VLOOKUP(C6024,'Data Panjang Balok'!$C$9:$N$424,4,FALSE)</f>
        <v>5585</v>
      </c>
    </row>
    <row r="6027">
      <c r="C6027" t="str">
        <v>Panjang netto</v>
      </c>
      <c r="D6027">
        <f>VLOOKUP(C6024,'Data Panjang Balok'!$C$9:$N$424,7,FALSE)</f>
        <v>5585</v>
      </c>
    </row>
    <row r="6028">
      <c r="C6028" t="str">
        <v>Kolom / balok kiri</v>
      </c>
      <c r="D6028">
        <f>VLOOKUP(C6024,'Data Panjang Balok'!$C$9:$N$424,9,FALSE)</f>
        <v>0</v>
      </c>
    </row>
    <row r="6029">
      <c r="C6029" t="str">
        <v>Kolom / balok kanan</v>
      </c>
      <c r="D6029">
        <f>VLOOKUP(C6024,'Data Panjang Balok'!$C$9:$N$424,10,FALSE)</f>
        <v>0</v>
      </c>
    </row>
    <row r="6030">
      <c r="C6030" t="str">
        <v>Jumlah</v>
      </c>
      <c r="D6030">
        <f>VLOOKUP(C6024,'Data Panjang Balok'!$C$9:$N$424,3,FALSE)</f>
        <v>1</v>
      </c>
    </row>
    <row r="6031">
      <c r="A6031" t="str">
        <f>A6024</f>
        <v>Lantai 2</v>
      </c>
      <c r="B6031">
        <f>B6024</f>
        <v>6</v>
      </c>
      <c r="C6031" t="str">
        <v>Tul Atas Tumpuan</v>
      </c>
      <c r="D6031">
        <f>VLOOKUP(D6024,'Detail Balok'!$C$10:$AU$110,4,FALSE)</f>
        <v>5</v>
      </c>
      <c r="E6031" t="str">
        <v>D</v>
      </c>
      <c r="F6031">
        <f>VLOOKUP(D6024,'Detail Balok'!$C$10:$AU$110,6,FALSE)</f>
        <v>16</v>
      </c>
      <c r="I6031" t="str">
        <v>(</v>
      </c>
      <c r="J6031">
        <f>+D6026/4/1000</f>
        <v>1.39625</v>
      </c>
      <c r="K6031" t="str">
        <v>+</v>
      </c>
      <c r="L6031">
        <f>MAX(VLOOKUP(F6031,N$6:P$15,3,FALSE)/1000,2/3*D6028/1000)+F$16*F6031/1000</f>
        <v>0.192</v>
      </c>
      <c r="M6031" t="str">
        <v>=</v>
      </c>
      <c r="N6031">
        <f>J6031+L6031</f>
        <v>1.58825</v>
      </c>
      <c r="O6031" t="str">
        <v>+</v>
      </c>
      <c r="P6031">
        <f>D6031-D6032</f>
        <v>2</v>
      </c>
      <c r="Q6031" t="str">
        <v>x</v>
      </c>
      <c r="R6031">
        <f>IF(P6031&gt;0,$F$18*F6031/1000,0)</f>
        <v>0.24</v>
      </c>
      <c r="S6031" t="str">
        <v>)</v>
      </c>
      <c r="T6031" t="str">
        <v>x</v>
      </c>
      <c r="U6031">
        <f>0.006165*F6031^2</f>
        <v>1.57824</v>
      </c>
      <c r="X6031" t="str">
        <v>x</v>
      </c>
      <c r="Y6031">
        <f>D6030</f>
        <v>1</v>
      </c>
      <c r="Z6031" t="str">
        <v>=</v>
      </c>
      <c r="AA6031">
        <f>IF(AA6034=0,(D6031*N6031+P6031*R6031)*U6031*Y6031,0)</f>
        <v>13.290753600000002</v>
      </c>
    </row>
    <row r="6032">
      <c r="A6032" t="str">
        <f>A6024</f>
        <v>Lantai 2</v>
      </c>
      <c r="B6032">
        <f>B6024</f>
        <v>6</v>
      </c>
      <c r="C6032" t="str">
        <v>Tul Atas Lapangan</v>
      </c>
      <c r="D6032">
        <f>VLOOKUP(D6024,'Detail Balok'!$C$10:$AU$110,7,FALSE)</f>
        <v>3</v>
      </c>
      <c r="E6032" t="str">
        <v>D</v>
      </c>
      <c r="F6032">
        <f>VLOOKUP(D6024,'Detail Balok'!$C$10:$AU$110,9,FALSE)</f>
        <v>16</v>
      </c>
      <c r="I6032" t="str">
        <v>(</v>
      </c>
      <c r="J6032">
        <f>+D6026/2/1000</f>
        <v>2.7925</v>
      </c>
      <c r="K6032" t="str">
        <v>+</v>
      </c>
      <c r="M6032" t="str">
        <v>=</v>
      </c>
      <c r="N6032">
        <f>J6032+L6032</f>
        <v>2.7925</v>
      </c>
      <c r="O6032" t="str">
        <v>+</v>
      </c>
      <c r="P6032">
        <f>MAX(D6032-D6031,D6032-D6033)</f>
        <v>-2</v>
      </c>
      <c r="Q6032" t="str">
        <v>x</v>
      </c>
      <c r="R6032">
        <f>IF(P6032&gt;0,2*(1-2*$F$19-1/2)*D6027/1000,0)</f>
        <v>0</v>
      </c>
      <c r="S6032" t="str">
        <v>)</v>
      </c>
      <c r="T6032" t="str">
        <v>x</v>
      </c>
      <c r="U6032">
        <f>0.006165*F6032^2</f>
        <v>1.57824</v>
      </c>
      <c r="X6032" t="str">
        <v>x</v>
      </c>
      <c r="Y6032">
        <f>D6030</f>
        <v>1</v>
      </c>
      <c r="Z6032" t="str">
        <v>=</v>
      </c>
      <c r="AA6032">
        <f>IF(AA6034=0,(D6032*N6032+P6032*R6032)*U6032*Y6032,0)</f>
        <v>13.2217056</v>
      </c>
    </row>
    <row r="6033">
      <c r="A6033" t="str">
        <f>A6024</f>
        <v>Lantai 2</v>
      </c>
      <c r="B6033">
        <f>B6024</f>
        <v>6</v>
      </c>
      <c r="C6033" t="str">
        <v>Tul Atas Tumpuan</v>
      </c>
      <c r="D6033">
        <f>VLOOKUP(D6024,'Detail Balok'!$C$10:$AU$110,10,FALSE)</f>
        <v>5</v>
      </c>
      <c r="E6033" t="str">
        <v>D</v>
      </c>
      <c r="F6033">
        <f>VLOOKUP(D6024,'Detail Balok'!$C$10:$AU$110,12,FALSE)</f>
        <v>16</v>
      </c>
      <c r="I6033" t="str">
        <v>(</v>
      </c>
      <c r="J6033">
        <f>+D6026/4/1000</f>
        <v>1.39625</v>
      </c>
      <c r="K6033" t="str">
        <v>+</v>
      </c>
      <c r="L6033">
        <f>MAX(VLOOKUP(F6033,N$6:P$15,3,FALSE)/1000,2/3*D6028/1000)+F$16*F6033/1000</f>
        <v>0.192</v>
      </c>
      <c r="M6033" t="str">
        <v>=</v>
      </c>
      <c r="N6033">
        <f>J6033+L6033</f>
        <v>1.58825</v>
      </c>
      <c r="O6033" t="str">
        <v>+</v>
      </c>
      <c r="P6033">
        <f>D6033-D6032</f>
        <v>2</v>
      </c>
      <c r="Q6033" t="str">
        <v>x</v>
      </c>
      <c r="R6033">
        <f>IF(P6033&gt;0,$F$18*F6033/1000,0)</f>
        <v>0.24</v>
      </c>
      <c r="S6033" t="str">
        <v>)</v>
      </c>
      <c r="T6033" t="str">
        <v>x</v>
      </c>
      <c r="U6033">
        <f>0.006165*F6033^2</f>
        <v>1.57824</v>
      </c>
      <c r="X6033" t="str">
        <v>x</v>
      </c>
      <c r="Y6033">
        <f>D6030</f>
        <v>1</v>
      </c>
      <c r="Z6033" t="str">
        <v>=</v>
      </c>
      <c r="AA6033">
        <f>IF(AA6034=0,(D6033*N6033+P6033*R6033)*U6033*Y6033,0)</f>
        <v>13.290753600000002</v>
      </c>
    </row>
    <row r="6034">
      <c r="A6034" t="str">
        <f>A6024</f>
        <v>Lantai 2</v>
      </c>
      <c r="B6034">
        <f>B6024</f>
        <v>6</v>
      </c>
      <c r="D6034">
        <f>IF(AND(D6031=D6032,D6032=D6033,D6031=D6033),D6031,0)</f>
        <v>0</v>
      </c>
      <c r="E6034" t="str">
        <v>D</v>
      </c>
      <c r="F6034">
        <f>IF(AND(F6031=F6032,F6031=F6033,F6032=F6033),F6031,0)</f>
        <v>16</v>
      </c>
      <c r="L6034" t="str">
        <v>Total panjang per balok</v>
      </c>
      <c r="M6034" t="str">
        <v>=</v>
      </c>
      <c r="N6034">
        <f>IF(AND(D6031=D6032,D6031=D6033,D6032=D6033,F6031=F6032,F6031=F6033,F6032=F6033),SUM(N6031:N6033),0)</f>
        <v>0</v>
      </c>
      <c r="O6034" t="str">
        <v>+</v>
      </c>
      <c r="P6034">
        <f>IF(N6034&gt;12,ROUNDDOWN(N6034/12,0),0)</f>
        <v>0</v>
      </c>
      <c r="Q6034" t="str">
        <v>x</v>
      </c>
      <c r="R6034">
        <f>IF(P6034&gt;0,MAX(VLOOKUP(F6034,$D$6:$G$15,3,FALSE),600),0)/1000</f>
        <v>0</v>
      </c>
      <c r="T6034" t="str">
        <v>x</v>
      </c>
      <c r="U6034">
        <f>U6033</f>
        <v>1.57824</v>
      </c>
      <c r="V6034" t="str">
        <v>x</v>
      </c>
      <c r="W6034">
        <f>D6034</f>
        <v>0</v>
      </c>
      <c r="X6034" t="str">
        <v>x</v>
      </c>
      <c r="Y6034">
        <f>Y6033</f>
        <v>1</v>
      </c>
      <c r="Z6034" t="str">
        <v>=</v>
      </c>
      <c r="AA6034">
        <f>(N6034+P6034*R6034/1000)*U6034*W6034*Y6034</f>
        <v>0</v>
      </c>
    </row>
    <row r="6036">
      <c r="A6036" t="str">
        <f>A6024</f>
        <v>Lantai 2</v>
      </c>
      <c r="B6036">
        <f>B6024</f>
        <v>6</v>
      </c>
      <c r="C6036" t="str">
        <v>Tul Peminggang</v>
      </c>
      <c r="D6036">
        <f>VLOOKUP(D6024,'Detail Balok'!$C$10:$AU$110,13,FALSE)</f>
        <v>2</v>
      </c>
      <c r="E6036" t="str">
        <v>D</v>
      </c>
      <c r="F6036">
        <f>VLOOKUP(D6024,'Detail Balok'!$C$10:$AU$110,15,FALSE)</f>
        <v>10</v>
      </c>
      <c r="J6036">
        <f>+D6026/1000</f>
        <v>5.585</v>
      </c>
      <c r="K6036" t="str">
        <v>+</v>
      </c>
      <c r="L6036">
        <f>2*$F$16*F6036/1000</f>
        <v>0.24</v>
      </c>
      <c r="M6036" t="str">
        <v>=</v>
      </c>
      <c r="N6036">
        <f>J6036+L6036</f>
        <v>5.825</v>
      </c>
      <c r="O6036" t="str">
        <v>+</v>
      </c>
      <c r="P6036">
        <f>IF(N6036&gt;12,ROUNDDOWN(N6036/12,0),0)</f>
        <v>0</v>
      </c>
      <c r="Q6036" t="str">
        <v>x</v>
      </c>
      <c r="R6036">
        <f>IF(P6036&gt;0,MAX(VLOOKUP(F6036,$D$6:$G$15,3,FALSE),600),0)/1000</f>
        <v>0</v>
      </c>
      <c r="T6036" t="str">
        <v>x</v>
      </c>
      <c r="U6036">
        <f>0.006165*F6036^2</f>
        <v>0.6165</v>
      </c>
      <c r="V6036" t="str">
        <v>x</v>
      </c>
      <c r="W6036">
        <f>+D6036</f>
        <v>2</v>
      </c>
      <c r="X6036" t="str">
        <v>x</v>
      </c>
      <c r="Y6036">
        <f>D6030</f>
        <v>1</v>
      </c>
      <c r="Z6036" t="str">
        <v>=</v>
      </c>
      <c r="AA6036">
        <f>(N6036+P6036*R6036/1000)*U6036*W6036*Y6036</f>
        <v>7.182225000000001</v>
      </c>
    </row>
    <row r="6039">
      <c r="A6039" t="str">
        <f>A6024</f>
        <v>Lantai 2</v>
      </c>
      <c r="B6039">
        <f>B6024</f>
        <v>6</v>
      </c>
      <c r="C6039" t="str">
        <v>Tul Bawah Tumpuan</v>
      </c>
      <c r="D6039">
        <f>VLOOKUP(D6024,'Detail Balok'!$C$10:$AU$110,22,FALSE)</f>
        <v>3</v>
      </c>
      <c r="E6039" t="str">
        <v>D</v>
      </c>
      <c r="F6039">
        <f>VLOOKUP(D6024,'Detail Balok'!$C$10:$AU$110,24,FALSE)</f>
        <v>16</v>
      </c>
      <c r="I6039" t="str">
        <v>(</v>
      </c>
      <c r="J6039">
        <f>+J6031</f>
        <v>1.39625</v>
      </c>
      <c r="K6039" t="str">
        <v>+</v>
      </c>
      <c r="L6039">
        <f>MAX(VLOOKUP(F6039,N$6:P$15,3,FALSE)/1000,2/3*D6029/1000)+F$16*F6039/1000</f>
        <v>0.192</v>
      </c>
      <c r="M6039" t="str">
        <v>=</v>
      </c>
      <c r="N6039">
        <f>J6039+L6039</f>
        <v>1.58825</v>
      </c>
      <c r="O6039" t="str">
        <v>+</v>
      </c>
      <c r="P6039">
        <f>D6039-D6040</f>
        <v>-3</v>
      </c>
      <c r="Q6039" t="str">
        <v>x</v>
      </c>
      <c r="R6039">
        <f>IF(P6039&gt;0,$F$18*F6039/1000,0)</f>
        <v>0</v>
      </c>
      <c r="S6039" t="str">
        <v>)</v>
      </c>
      <c r="T6039" t="str">
        <v>x</v>
      </c>
      <c r="U6039">
        <f>0.006165*F6039^2</f>
        <v>1.57824</v>
      </c>
      <c r="X6039" t="str">
        <v>x</v>
      </c>
      <c r="Y6039">
        <f>D6030</f>
        <v>1</v>
      </c>
      <c r="Z6039" t="str">
        <v>=</v>
      </c>
      <c r="AA6039">
        <f>IF(AA6042=0,(D6039*N6039+P6039*R6039)*U6039*Y6039,0)</f>
        <v>7.5199190399999996</v>
      </c>
    </row>
    <row r="6040">
      <c r="A6040" t="str">
        <f>A6024</f>
        <v>Lantai 2</v>
      </c>
      <c r="B6040">
        <f>B6024</f>
        <v>6</v>
      </c>
      <c r="C6040" t="str">
        <v>Tul Bawah Lapangan</v>
      </c>
      <c r="D6040">
        <f>VLOOKUP(D6024,'Detail Balok'!$C$10:$AU$110,25,FALSE)</f>
        <v>6</v>
      </c>
      <c r="E6040" t="str">
        <v>D</v>
      </c>
      <c r="F6040">
        <f>VLOOKUP(D6024,'Detail Balok'!$C$10:$AU$110,27,FALSE)</f>
        <v>16</v>
      </c>
      <c r="I6040" t="str">
        <v>(</v>
      </c>
      <c r="J6040">
        <f>+J6032</f>
        <v>2.7925</v>
      </c>
      <c r="K6040" t="str">
        <v>+</v>
      </c>
      <c r="M6040" t="str">
        <v>=</v>
      </c>
      <c r="N6040">
        <f>J6040+L6040</f>
        <v>2.7925</v>
      </c>
      <c r="O6040" t="str">
        <v>+</v>
      </c>
      <c r="P6040">
        <f>MAX(D6040-D6039,D6040-D6041)</f>
        <v>3</v>
      </c>
      <c r="Q6040" t="str">
        <v>x</v>
      </c>
      <c r="R6040">
        <f>IF(P6040&gt;0,2*(1-2*$F$19-1/2)*D6027/1000,0)</f>
        <v>1.1169999999999998</v>
      </c>
      <c r="S6040" t="str">
        <v>)</v>
      </c>
      <c r="T6040" t="str">
        <v>x</v>
      </c>
      <c r="U6040">
        <f>0.006165*F6040^2</f>
        <v>1.57824</v>
      </c>
      <c r="X6040" t="str">
        <v>x</v>
      </c>
      <c r="Y6040">
        <f>D6030</f>
        <v>1</v>
      </c>
      <c r="Z6040" t="str">
        <v>=</v>
      </c>
      <c r="AA6040">
        <f>IF(AA6042=0,(D6040*N6040+P6040*R6040)*U6040*Y6040,0)</f>
        <v>31.73209344</v>
      </c>
    </row>
    <row r="6041">
      <c r="A6041" t="str">
        <f>A6024</f>
        <v>Lantai 2</v>
      </c>
      <c r="B6041">
        <f>B6024</f>
        <v>6</v>
      </c>
      <c r="C6041" t="str">
        <v>Tul Bawah Tumpuan</v>
      </c>
      <c r="D6041">
        <f>VLOOKUP(D6024,'Detail Balok'!$C$10:$AU$110,28,FALSE)</f>
        <v>3</v>
      </c>
      <c r="E6041" t="str">
        <v>D</v>
      </c>
      <c r="F6041">
        <f>VLOOKUP(D6024,'Detail Balok'!$C$10:$AU$110,30,FALSE)</f>
        <v>16</v>
      </c>
      <c r="I6041" t="str">
        <v>(</v>
      </c>
      <c r="J6041">
        <f>+J6033</f>
        <v>1.39625</v>
      </c>
      <c r="K6041" t="str">
        <v>+</v>
      </c>
      <c r="L6041">
        <f>MAX(VLOOKUP(F6041,N$6:P$15,3,FALSE)/1000,2/3*D6029/1000)+F$16*F6041/1000</f>
        <v>0.192</v>
      </c>
      <c r="M6041" t="str">
        <v>=</v>
      </c>
      <c r="N6041">
        <f>J6041+L6041</f>
        <v>1.58825</v>
      </c>
      <c r="O6041" t="str">
        <v>+</v>
      </c>
      <c r="P6041">
        <f>D6041-D6040</f>
        <v>-3</v>
      </c>
      <c r="Q6041" t="str">
        <v>x</v>
      </c>
      <c r="R6041">
        <f>IF(P6041&gt;0,$F$18*F6041/1000,0)</f>
        <v>0</v>
      </c>
      <c r="S6041" t="str">
        <v>)</v>
      </c>
      <c r="T6041" t="str">
        <v>x</v>
      </c>
      <c r="U6041">
        <f>0.006165*F6041^2</f>
        <v>1.57824</v>
      </c>
      <c r="X6041" t="str">
        <v>x</v>
      </c>
      <c r="Y6041">
        <f>D6030</f>
        <v>1</v>
      </c>
      <c r="Z6041" t="str">
        <v>=</v>
      </c>
      <c r="AA6041">
        <f>IF(AA6042=0,(D6041*N6041+P6041*R6041)*U6041*Y6041,0)</f>
        <v>7.5199190399999996</v>
      </c>
    </row>
    <row r="6042">
      <c r="A6042" t="str">
        <f>A6024</f>
        <v>Lantai 2</v>
      </c>
      <c r="B6042">
        <f>B6024</f>
        <v>6</v>
      </c>
      <c r="D6042">
        <f>IF(AND(D6039=D6040,D6040=D6041,D6039=D6041),D6039,0)</f>
        <v>0</v>
      </c>
      <c r="E6042" t="str">
        <v>D</v>
      </c>
      <c r="F6042">
        <f>IF(AND(F6039=F6040,F6039=F6041,F6040=F6041),F6039,0)</f>
        <v>16</v>
      </c>
      <c r="L6042" t="str">
        <v>Total panjang per balok</v>
      </c>
      <c r="M6042" t="str">
        <v>=</v>
      </c>
      <c r="N6042">
        <f>IF(AND(D6039=D6040,D6039=D6041,D6040=D6041,F6039=F6040,F6039=F6041,F6040=F6041),SUM(N6039:N6041),0)</f>
        <v>0</v>
      </c>
      <c r="O6042" t="str">
        <v>+</v>
      </c>
      <c r="P6042">
        <f>IF(N6042&gt;12,ROUNDDOWN(N6042/12,0),0)</f>
        <v>0</v>
      </c>
      <c r="Q6042" t="str">
        <v>x</v>
      </c>
      <c r="R6042">
        <f>IF(P6042&gt;0,MAX(VLOOKUP(F6042,$D$6:$G$15,3,FALSE),600),0)/1000</f>
        <v>0</v>
      </c>
      <c r="T6042" t="str">
        <v>x</v>
      </c>
      <c r="U6042">
        <f>U6041</f>
        <v>1.57824</v>
      </c>
      <c r="V6042" t="str">
        <v>x</v>
      </c>
      <c r="W6042">
        <f>D6042</f>
        <v>0</v>
      </c>
      <c r="X6042" t="str">
        <v>x</v>
      </c>
      <c r="Y6042">
        <f>Y6041</f>
        <v>1</v>
      </c>
      <c r="Z6042" t="str">
        <v>=</v>
      </c>
      <c r="AA6042">
        <f>(N6042+P6042*R6042/1000)*U6042*W6042*Y6042</f>
        <v>0</v>
      </c>
    </row>
    <row r="6044">
      <c r="A6044" t="str">
        <f>A6024</f>
        <v>Lantai 2</v>
      </c>
      <c r="B6044">
        <f>B6024</f>
        <v>6</v>
      </c>
      <c r="C6044" t="str">
        <v>Sengkang Tumpuan</v>
      </c>
      <c r="D6044">
        <f>VLOOKUP(D6024,'Detail Balok'!$C$10:$AU$110,31,FALSE)</f>
        <v>3</v>
      </c>
      <c r="E6044" t="str">
        <v>D</v>
      </c>
      <c r="F6044">
        <f>VLOOKUP(D6024,'Detail Balok'!$C$10:$AU$110,33,FALSE)</f>
        <v>10</v>
      </c>
      <c r="G6044" t="str">
        <v>-</v>
      </c>
      <c r="H6044">
        <f>VLOOKUP(D6024,'Detail Balok'!$C$10:$AU$110,35,FALSE)</f>
        <v>75</v>
      </c>
      <c r="J6044">
        <f>(IF(D6044=0,(2*(D6025+G6025))-(F$5*8),IF(D6044=3,(2*(D6025+G6025))-(F$5*8)+(G6025-2*F$5),IF(D6044=4,(2*(D6025+G6025))-(F$5*8)+2*(G6025-2*F$5)))))/1000</f>
        <v>2</v>
      </c>
      <c r="K6044" t="str">
        <v>+</v>
      </c>
      <c r="L6044">
        <f>IF(D6044=0,2*MAX(6*F6044,75),(D6044-1)*2*MAX(6*F6044,75))/1000</f>
        <v>0.3</v>
      </c>
      <c r="M6044" t="str">
        <v>=</v>
      </c>
      <c r="N6044">
        <f>J6044+L6044</f>
        <v>2.3</v>
      </c>
      <c r="T6044" t="str">
        <v>x</v>
      </c>
      <c r="U6044">
        <f>0.006165*F6044^2</f>
        <v>0.6165</v>
      </c>
      <c r="V6044" t="str">
        <v>x</v>
      </c>
      <c r="W6044">
        <f>IF(D6027&gt;4*G6025,ROUND(MAX(D6027/4,2*G6025)/H6044,0)+1,ROUND(D6027/H6044,0)+1)</f>
        <v>20</v>
      </c>
      <c r="X6044" t="str">
        <v>x</v>
      </c>
      <c r="Y6044">
        <f>D6030</f>
        <v>1</v>
      </c>
      <c r="Z6044" t="str">
        <v>=</v>
      </c>
      <c r="AA6044">
        <f>N6044*U6044*W6044*Y6044</f>
        <v>28.359</v>
      </c>
    </row>
    <row r="6045">
      <c r="A6045" t="str">
        <f>A6024</f>
        <v>Lantai 2</v>
      </c>
      <c r="B6045">
        <f>B6024</f>
        <v>6</v>
      </c>
      <c r="C6045" t="str">
        <v>Sengkang Lapangan</v>
      </c>
      <c r="D6045">
        <f>VLOOKUP(D6024,'Detail Balok'!$C$10:$AU$110,36,FALSE)</f>
        <v>0</v>
      </c>
      <c r="E6045" t="str">
        <v>D</v>
      </c>
      <c r="F6045">
        <f>VLOOKUP(D6024,'Detail Balok'!$C$10:$AU$110,38,FALSE)</f>
        <v>10</v>
      </c>
      <c r="G6045" t="str">
        <v>-</v>
      </c>
      <c r="H6045">
        <f>VLOOKUP(D6024,'Detail Balok'!$C$10:$AU$110,40,FALSE)</f>
        <v>200</v>
      </c>
      <c r="J6045">
        <f>(IF(D6045=0,(2*(D6025+G6025))-(F$5*8),IF(D6045=3,(2*(D6025+G6025))-(F$5*8)+(G6025-2*F$5),IF(D6045=4,(2*(D6025+G6025))-(F$5*8)+2*(G6025-2*F$5)))))/1000</f>
        <v>1.48</v>
      </c>
      <c r="K6045" t="str">
        <v>+</v>
      </c>
      <c r="L6045">
        <f>IF(D6045=0,2*MAX(6*F6045,75),(D6045-1)*2*MAX(6*F6045,75))/1000</f>
        <v>0.15</v>
      </c>
      <c r="M6045" t="str">
        <v>=</v>
      </c>
      <c r="N6045">
        <f>J6045+L6045</f>
        <v>1.63</v>
      </c>
      <c r="T6045" t="str">
        <v>x</v>
      </c>
      <c r="U6045">
        <f>0.006165*F6045^2</f>
        <v>0.6165</v>
      </c>
      <c r="V6045" t="str">
        <v>x</v>
      </c>
      <c r="W6045">
        <f>IF(D6027-MAX(D6027/4,2*G6025)*2&gt;0,ROUND((D6027-MAX(D6027/4,2*G6025)*2)/H6045,0),0)</f>
        <v>14</v>
      </c>
      <c r="X6045" t="str">
        <v>x</v>
      </c>
      <c r="Y6045">
        <f>D6030</f>
        <v>1</v>
      </c>
      <c r="Z6045" t="str">
        <v>=</v>
      </c>
      <c r="AA6045">
        <f>N6045*U6045*W6045*Y6045</f>
        <v>14.06853</v>
      </c>
    </row>
    <row r="6046">
      <c r="A6046" t="str">
        <f>A6024</f>
        <v>Lantai 2</v>
      </c>
      <c r="B6046">
        <f>B6024</f>
        <v>6</v>
      </c>
      <c r="C6046" t="str">
        <v>Sengkang Tumpuan</v>
      </c>
      <c r="D6046">
        <f>VLOOKUP(D6024,'Detail Balok'!$C$10:$AU$110,41,FALSE)</f>
        <v>3</v>
      </c>
      <c r="E6046" t="str">
        <v>D</v>
      </c>
      <c r="F6046">
        <f>VLOOKUP(D6024,'Detail Balok'!$C$10:$AU$110,43,FALSE)</f>
        <v>10</v>
      </c>
      <c r="G6046" t="str">
        <v>-</v>
      </c>
      <c r="H6046">
        <f>VLOOKUP(D6024,'Detail Balok'!$C$10:$AU$110,45,FALSE)</f>
        <v>75</v>
      </c>
      <c r="J6046">
        <f>(IF(D6046=0,(2*(D6025+G6025))-(F$5*8),IF(D6046=3,(2*(D6025+G6025))-(F$5*8)+(G6025-2*F$5),IF(D6046=4,(2*(D6025+G6025))-(F$5*8)+2*(G6025-2*F$5)))))/1000</f>
        <v>2</v>
      </c>
      <c r="K6046" t="str">
        <v>+</v>
      </c>
      <c r="L6046">
        <f>IF(D6046=0,2*MAX(6*F6046,75),(D6046-1)*2*MAX(6*F6046,75))/1000</f>
        <v>0.3</v>
      </c>
      <c r="M6046" t="str">
        <v>=</v>
      </c>
      <c r="N6046">
        <f>J6046+L6046</f>
        <v>2.3</v>
      </c>
      <c r="T6046" t="str">
        <v>x</v>
      </c>
      <c r="U6046">
        <f>0.006165*F6046^2</f>
        <v>0.6165</v>
      </c>
      <c r="V6046" t="str">
        <v>x</v>
      </c>
      <c r="W6046">
        <f>IF(D6027&gt;4*G6025,ROUND(MAX(D6027/4,2*G6025)/H6046,0)+1,0)</f>
        <v>20</v>
      </c>
      <c r="X6046" t="str">
        <v>x</v>
      </c>
      <c r="Y6046">
        <f>D6030</f>
        <v>1</v>
      </c>
      <c r="Z6046" t="str">
        <v>=</v>
      </c>
      <c r="AA6046">
        <f>N6046*U6046*W6046*Y6046</f>
        <v>28.359</v>
      </c>
    </row>
    <row r="6048">
      <c r="A6048" t="str">
        <f>A6024</f>
        <v>Lantai 2</v>
      </c>
      <c r="B6048">
        <f>B6024</f>
        <v>6</v>
      </c>
      <c r="C6048" t="str">
        <v>Kait Horizontal Tump.</v>
      </c>
      <c r="D6048">
        <f>VLOOKUP(D6024,'Detail Balok'!$C$10:$BJ$110,46,FALSE)</f>
        <v>0</v>
      </c>
      <c r="E6048" t="str">
        <v>D</v>
      </c>
      <c r="F6048">
        <f>VLOOKUP(D6024,'Detail Balok'!$C$10:$BJ$110,48,FALSE)</f>
        <v>0</v>
      </c>
      <c r="G6048" t="str">
        <v>-</v>
      </c>
      <c r="H6048">
        <f>VLOOKUP(D6024,'Detail Balok'!$C$10:$BJ$110,50,FALSE)</f>
        <v>100</v>
      </c>
      <c r="J6048">
        <f>(D6025-2*F$5)/1000</f>
        <v>0.22</v>
      </c>
      <c r="K6048" t="str">
        <v>+</v>
      </c>
      <c r="L6048">
        <f>IF(D6048=0,2*MAX(6*F6048,75),(D6048-1)*2*MAX(6*F6048,75))/1000</f>
        <v>0.15</v>
      </c>
      <c r="M6048" t="str">
        <v>=</v>
      </c>
      <c r="N6048">
        <f>J6048+L6048</f>
        <v>0.37</v>
      </c>
      <c r="T6048" t="str">
        <v>x</v>
      </c>
      <c r="U6048">
        <f>0.006165*F6048^2</f>
        <v>0</v>
      </c>
      <c r="V6048" t="str">
        <v>x</v>
      </c>
      <c r="W6048">
        <f>W6044</f>
        <v>20</v>
      </c>
      <c r="X6048" t="str">
        <v>x</v>
      </c>
      <c r="Y6048">
        <f>D6034</f>
        <v>0</v>
      </c>
      <c r="Z6048" t="str">
        <v>=</v>
      </c>
      <c r="AA6048">
        <f>N6048*U6048*W6048*Y6048</f>
        <v>0</v>
      </c>
    </row>
    <row r="6049">
      <c r="A6049" t="str">
        <f>A6024</f>
        <v>Lantai 2</v>
      </c>
      <c r="B6049">
        <f>B6024</f>
        <v>6</v>
      </c>
      <c r="C6049" t="str">
        <v>Kait Horizontal Lap.</v>
      </c>
      <c r="D6049">
        <f>VLOOKUP(D6024,'Detail Balok'!$C$10:$BJ$110,51,FALSE)</f>
        <v>0</v>
      </c>
      <c r="E6049" t="str">
        <v>D</v>
      </c>
      <c r="F6049">
        <f>VLOOKUP(D6024,'Detail Balok'!$C$10:$BJ$110,53,FALSE)</f>
        <v>0</v>
      </c>
      <c r="G6049" t="str">
        <v>-</v>
      </c>
      <c r="H6049">
        <f>VLOOKUP(D6024,'Detail Balok'!$C$10:$BJ$110,55,FALSE)</f>
        <v>100</v>
      </c>
      <c r="J6049">
        <f>(D6025-2*F$5)/1000</f>
        <v>0.22</v>
      </c>
      <c r="K6049" t="str">
        <v>+</v>
      </c>
      <c r="L6049">
        <f>IF(D6049=0,2*MAX(6*F6049,75),(D6049-1)*2*MAX(6*F6049,75))/1000</f>
        <v>0.15</v>
      </c>
      <c r="M6049" t="str">
        <v>=</v>
      </c>
      <c r="N6049">
        <f>J6049+L6049</f>
        <v>0.37</v>
      </c>
      <c r="T6049" t="str">
        <v>x</v>
      </c>
      <c r="U6049">
        <f>0.006165*F6049^2</f>
        <v>0</v>
      </c>
      <c r="V6049" t="str">
        <v>x</v>
      </c>
      <c r="W6049">
        <f>W6045</f>
        <v>14</v>
      </c>
      <c r="X6049" t="str">
        <v>x</v>
      </c>
      <c r="Y6049">
        <f>D6034</f>
        <v>0</v>
      </c>
      <c r="Z6049" t="str">
        <v>=</v>
      </c>
      <c r="AA6049">
        <f>N6049*U6049*W6049*Y6049</f>
        <v>0</v>
      </c>
    </row>
    <row r="6050">
      <c r="A6050" t="str">
        <f>A6024</f>
        <v>Lantai 2</v>
      </c>
      <c r="B6050">
        <f>B6024</f>
        <v>6</v>
      </c>
      <c r="C6050" t="str">
        <v>Kait Horizontal Tump.</v>
      </c>
      <c r="D6050">
        <f>VLOOKUP(D6024,'Detail Balok'!$C$10:$BJ$110,56,FALSE)</f>
        <v>0</v>
      </c>
      <c r="E6050" t="str">
        <v>D</v>
      </c>
      <c r="F6050">
        <f>VLOOKUP(D6024,'Detail Balok'!$C$10:$BJ$110,58,FALSE)</f>
        <v>0</v>
      </c>
      <c r="G6050" t="str">
        <v>-</v>
      </c>
      <c r="H6050">
        <f>VLOOKUP(D6024,'Detail Balok'!$C$10:$BJ$110,60,FALSE)</f>
        <v>100</v>
      </c>
      <c r="J6050">
        <f>(D6025-2*F$5)/1000</f>
        <v>0.22</v>
      </c>
      <c r="K6050" t="str">
        <v>+</v>
      </c>
      <c r="L6050">
        <f>IF(D6050=0,2*MAX(6*F6050,75),(D6050-1)*2*MAX(6*F6050,75))/1000</f>
        <v>0.15</v>
      </c>
      <c r="M6050" t="str">
        <v>=</v>
      </c>
      <c r="N6050">
        <f>J6050+L6050</f>
        <v>0.37</v>
      </c>
      <c r="T6050" t="str">
        <v>x</v>
      </c>
      <c r="U6050">
        <f>0.006165*F6050^2</f>
        <v>0</v>
      </c>
      <c r="V6050" t="str">
        <v>x</v>
      </c>
      <c r="W6050">
        <f>W6046</f>
        <v>20</v>
      </c>
      <c r="X6050" t="str">
        <v>x</v>
      </c>
      <c r="Y6050">
        <f>D6034</f>
        <v>0</v>
      </c>
      <c r="Z6050" t="str">
        <v>=</v>
      </c>
      <c r="AA6050">
        <f>N6050*U6050*W6050*Y6050</f>
        <v>0</v>
      </c>
    </row>
    <row r="6054">
      <c r="A6054" t="str">
        <f>A6024</f>
        <v>Lantai 2</v>
      </c>
      <c r="B6054">
        <f>B6024+1</f>
        <v>7</v>
      </c>
      <c r="C6054" t="str">
        <f>CONCATENATE(A6054," no. ",B6054)</f>
        <v>Lantai 2 no. 7</v>
      </c>
      <c r="D6054" t="str">
        <f>VLOOKUP(C6054,'Data Panjang Balok'!$C$9:$N$424,2,FALSE)</f>
        <v>Potongan H</v>
      </c>
    </row>
    <row r="6055">
      <c r="C6055" t="str">
        <v>Dimensi</v>
      </c>
      <c r="D6055">
        <f>VLOOKUP(D6054,'Detail Balok'!$C$10:$AU$110,2,FALSE)</f>
        <v>400</v>
      </c>
      <c r="F6055" t="str">
        <v>x</v>
      </c>
      <c r="G6055">
        <f>VLOOKUP(D6054,'Detail Balok'!$C$10:$AU$110,3,FALSE)</f>
        <v>800</v>
      </c>
    </row>
    <row r="6056">
      <c r="C6056" t="str">
        <v>Panjang as ke as</v>
      </c>
      <c r="D6056">
        <f>VLOOKUP(C6054,'Data Panjang Balok'!$C$9:$N$424,4,FALSE)</f>
        <v>2415</v>
      </c>
    </row>
    <row r="6057">
      <c r="C6057" t="str">
        <v>Panjang netto</v>
      </c>
      <c r="D6057">
        <f>VLOOKUP(C6054,'Data Panjang Balok'!$C$9:$N$424,7,FALSE)</f>
        <v>2415</v>
      </c>
    </row>
    <row r="6058">
      <c r="C6058" t="str">
        <v>Kolom / balok kiri</v>
      </c>
      <c r="D6058">
        <f>VLOOKUP(C6054,'Data Panjang Balok'!$C$9:$N$424,9,FALSE)</f>
        <v>0</v>
      </c>
    </row>
    <row r="6059">
      <c r="C6059" t="str">
        <v>Kolom / balok kanan</v>
      </c>
      <c r="D6059">
        <f>VLOOKUP(C6054,'Data Panjang Balok'!$C$9:$N$424,10,FALSE)</f>
        <v>0</v>
      </c>
    </row>
    <row r="6060">
      <c r="C6060" t="str">
        <v>Jumlah</v>
      </c>
      <c r="D6060">
        <f>VLOOKUP(C6054,'Data Panjang Balok'!$C$9:$N$424,3,FALSE)</f>
        <v>1</v>
      </c>
    </row>
    <row r="6061">
      <c r="A6061" t="str">
        <f>A6054</f>
        <v>Lantai 2</v>
      </c>
      <c r="B6061">
        <f>B6054</f>
        <v>7</v>
      </c>
      <c r="C6061" t="str">
        <v>Tul Atas Tumpuan</v>
      </c>
      <c r="D6061">
        <f>VLOOKUP(D6054,'Detail Balok'!$C$10:$AU$110,4,FALSE)</f>
        <v>7</v>
      </c>
      <c r="E6061" t="str">
        <v>D</v>
      </c>
      <c r="F6061">
        <f>VLOOKUP(D6054,'Detail Balok'!$C$10:$AU$110,6,FALSE)</f>
        <v>16</v>
      </c>
      <c r="I6061" t="str">
        <v>(</v>
      </c>
      <c r="J6061">
        <f>+D6056/4/1000</f>
        <v>0.60375</v>
      </c>
      <c r="K6061" t="str">
        <v>+</v>
      </c>
      <c r="L6061">
        <f>MAX(VLOOKUP(F6061,N$6:P$15,3,FALSE)/1000,2/3*D6058/1000)+F$16*F6061/1000</f>
        <v>0.192</v>
      </c>
      <c r="M6061" t="str">
        <v>=</v>
      </c>
      <c r="N6061">
        <f>J6061+L6061</f>
        <v>0.79575</v>
      </c>
      <c r="O6061" t="str">
        <v>+</v>
      </c>
      <c r="P6061">
        <f>D6061-D6062</f>
        <v>0</v>
      </c>
      <c r="Q6061" t="str">
        <v>x</v>
      </c>
      <c r="R6061">
        <f>IF(P6061&gt;0,$F$18*F6061/1000,0)</f>
        <v>0</v>
      </c>
      <c r="S6061" t="str">
        <v>)</v>
      </c>
      <c r="T6061" t="str">
        <v>x</v>
      </c>
      <c r="U6061">
        <f>0.006165*F6061^2</f>
        <v>1.57824</v>
      </c>
      <c r="X6061" t="str">
        <v>x</v>
      </c>
      <c r="Y6061">
        <f>D6060</f>
        <v>1</v>
      </c>
      <c r="Z6061" t="str">
        <v>=</v>
      </c>
      <c r="AA6061">
        <f>IF(AA6064=0,(D6061*N6061+P6061*R6061)*U6061*Y6061,0)</f>
        <v>0</v>
      </c>
    </row>
    <row r="6062">
      <c r="A6062" t="str">
        <f>A6054</f>
        <v>Lantai 2</v>
      </c>
      <c r="B6062">
        <f>B6054</f>
        <v>7</v>
      </c>
      <c r="C6062" t="str">
        <v>Tul Atas Lapangan</v>
      </c>
      <c r="D6062">
        <f>VLOOKUP(D6054,'Detail Balok'!$C$10:$AU$110,7,FALSE)</f>
        <v>7</v>
      </c>
      <c r="E6062" t="str">
        <v>D</v>
      </c>
      <c r="F6062">
        <f>VLOOKUP(D6054,'Detail Balok'!$C$10:$AU$110,9,FALSE)</f>
        <v>16</v>
      </c>
      <c r="I6062" t="str">
        <v>(</v>
      </c>
      <c r="J6062">
        <f>+D6056/2/1000</f>
        <v>1.2075</v>
      </c>
      <c r="K6062" t="str">
        <v>+</v>
      </c>
      <c r="M6062" t="str">
        <v>=</v>
      </c>
      <c r="N6062">
        <f>J6062+L6062</f>
        <v>1.2075</v>
      </c>
      <c r="O6062" t="str">
        <v>+</v>
      </c>
      <c r="P6062">
        <f>MAX(D6062-D6061,D6062-D6063)</f>
        <v>0</v>
      </c>
      <c r="Q6062" t="str">
        <v>x</v>
      </c>
      <c r="R6062">
        <f>IF(P6062&gt;0,2*(1-2*$F$19-1/2)*D6057/1000,0)</f>
        <v>0</v>
      </c>
      <c r="S6062" t="str">
        <v>)</v>
      </c>
      <c r="T6062" t="str">
        <v>x</v>
      </c>
      <c r="U6062">
        <f>0.006165*F6062^2</f>
        <v>1.57824</v>
      </c>
      <c r="X6062" t="str">
        <v>x</v>
      </c>
      <c r="Y6062">
        <f>D6060</f>
        <v>1</v>
      </c>
      <c r="Z6062" t="str">
        <v>=</v>
      </c>
      <c r="AA6062">
        <f>IF(AA6064=0,(D6062*N6062+P6062*R6062)*U6062*Y6062,0)</f>
        <v>0</v>
      </c>
    </row>
    <row r="6063">
      <c r="A6063" t="str">
        <f>A6054</f>
        <v>Lantai 2</v>
      </c>
      <c r="B6063">
        <f>B6054</f>
        <v>7</v>
      </c>
      <c r="C6063" t="str">
        <v>Tul Atas Tumpuan</v>
      </c>
      <c r="D6063">
        <f>VLOOKUP(D6054,'Detail Balok'!$C$10:$AU$110,10,FALSE)</f>
        <v>7</v>
      </c>
      <c r="E6063" t="str">
        <v>D</v>
      </c>
      <c r="F6063">
        <f>VLOOKUP(D6054,'Detail Balok'!$C$10:$AU$110,12,FALSE)</f>
        <v>16</v>
      </c>
      <c r="I6063" t="str">
        <v>(</v>
      </c>
      <c r="J6063">
        <f>+D6056/4/1000</f>
        <v>0.60375</v>
      </c>
      <c r="K6063" t="str">
        <v>+</v>
      </c>
      <c r="L6063">
        <f>MAX(VLOOKUP(F6063,N$6:P$15,3,FALSE)/1000,2/3*D6058/1000)+F$16*F6063/1000</f>
        <v>0.192</v>
      </c>
      <c r="M6063" t="str">
        <v>=</v>
      </c>
      <c r="N6063">
        <f>J6063+L6063</f>
        <v>0.79575</v>
      </c>
      <c r="O6063" t="str">
        <v>+</v>
      </c>
      <c r="P6063">
        <f>D6063-D6062</f>
        <v>0</v>
      </c>
      <c r="Q6063" t="str">
        <v>x</v>
      </c>
      <c r="R6063">
        <f>IF(P6063&gt;0,$F$18*F6063/1000,0)</f>
        <v>0</v>
      </c>
      <c r="S6063" t="str">
        <v>)</v>
      </c>
      <c r="T6063" t="str">
        <v>x</v>
      </c>
      <c r="U6063">
        <f>0.006165*F6063^2</f>
        <v>1.57824</v>
      </c>
      <c r="X6063" t="str">
        <v>x</v>
      </c>
      <c r="Y6063">
        <f>D6060</f>
        <v>1</v>
      </c>
      <c r="Z6063" t="str">
        <v>=</v>
      </c>
      <c r="AA6063">
        <f>IF(AA6064=0,(D6063*N6063+P6063*R6063)*U6063*Y6063,0)</f>
        <v>0</v>
      </c>
    </row>
    <row r="6064">
      <c r="A6064" t="str">
        <f>A6054</f>
        <v>Lantai 2</v>
      </c>
      <c r="B6064">
        <f>B6054</f>
        <v>7</v>
      </c>
      <c r="D6064">
        <f>IF(AND(D6061=D6062,D6062=D6063,D6061=D6063),D6061,0)</f>
        <v>7</v>
      </c>
      <c r="E6064" t="str">
        <v>D</v>
      </c>
      <c r="F6064">
        <f>IF(AND(F6061=F6062,F6061=F6063,F6062=F6063),F6061,0)</f>
        <v>16</v>
      </c>
      <c r="L6064" t="str">
        <v>Total panjang per balok</v>
      </c>
      <c r="M6064" t="str">
        <v>=</v>
      </c>
      <c r="N6064">
        <f>IF(AND(D6061=D6062,D6061=D6063,D6062=D6063,F6061=F6062,F6061=F6063,F6062=F6063),SUM(N6061:N6063),0)</f>
        <v>2.799</v>
      </c>
      <c r="O6064" t="str">
        <v>+</v>
      </c>
      <c r="P6064">
        <f>IF(N6064&gt;12,ROUNDDOWN(N6064/12,0),0)</f>
        <v>0</v>
      </c>
      <c r="Q6064" t="str">
        <v>x</v>
      </c>
      <c r="R6064">
        <f>IF(P6064&gt;0,MAX(VLOOKUP(F6064,$D$6:$G$15,3,FALSE),600),0)/1000</f>
        <v>0</v>
      </c>
      <c r="T6064" t="str">
        <v>x</v>
      </c>
      <c r="U6064">
        <f>U6063</f>
        <v>1.57824</v>
      </c>
      <c r="V6064" t="str">
        <v>x</v>
      </c>
      <c r="W6064">
        <f>D6064</f>
        <v>7</v>
      </c>
      <c r="X6064" t="str">
        <v>x</v>
      </c>
      <c r="Y6064">
        <f>Y6063</f>
        <v>1</v>
      </c>
      <c r="Z6064" t="str">
        <v>=</v>
      </c>
      <c r="AA6064">
        <f>(N6064+P6064*R6064/1000)*U6064*W6064*Y6064</f>
        <v>30.922456320000002</v>
      </c>
    </row>
    <row r="6066">
      <c r="A6066" t="str">
        <f>A6054</f>
        <v>Lantai 2</v>
      </c>
      <c r="B6066">
        <f>B6054</f>
        <v>7</v>
      </c>
      <c r="C6066" t="str">
        <v>Tul Peminggang</v>
      </c>
      <c r="D6066">
        <f>VLOOKUP(D6054,'Detail Balok'!$C$10:$AU$110,13,FALSE)</f>
        <v>4</v>
      </c>
      <c r="E6066" t="str">
        <v>D</v>
      </c>
      <c r="F6066">
        <f>VLOOKUP(D6054,'Detail Balok'!$C$10:$AU$110,15,FALSE)</f>
        <v>10</v>
      </c>
      <c r="J6066">
        <f>+D6056/1000</f>
        <v>2.415</v>
      </c>
      <c r="K6066" t="str">
        <v>+</v>
      </c>
      <c r="L6066">
        <f>2*$F$16*F6066/1000</f>
        <v>0.24</v>
      </c>
      <c r="M6066" t="str">
        <v>=</v>
      </c>
      <c r="N6066">
        <f>J6066+L6066</f>
        <v>2.6550000000000002</v>
      </c>
      <c r="O6066" t="str">
        <v>+</v>
      </c>
      <c r="P6066">
        <f>IF(N6066&gt;12,ROUNDDOWN(N6066/12,0),0)</f>
        <v>0</v>
      </c>
      <c r="Q6066" t="str">
        <v>x</v>
      </c>
      <c r="R6066">
        <f>IF(P6066&gt;0,MAX(VLOOKUP(F6066,$D$6:$G$15,3,FALSE),600),0)/1000</f>
        <v>0</v>
      </c>
      <c r="T6066" t="str">
        <v>x</v>
      </c>
      <c r="U6066">
        <f>0.006165*F6066^2</f>
        <v>0.6165</v>
      </c>
      <c r="V6066" t="str">
        <v>x</v>
      </c>
      <c r="W6066">
        <f>+D6066</f>
        <v>4</v>
      </c>
      <c r="X6066" t="str">
        <v>x</v>
      </c>
      <c r="Y6066">
        <f>D6060</f>
        <v>1</v>
      </c>
      <c r="Z6066" t="str">
        <v>=</v>
      </c>
      <c r="AA6066">
        <f>(N6066+P6066*R6066/1000)*U6066*W6066*Y6066</f>
        <v>6.547230000000001</v>
      </c>
    </row>
    <row r="6069">
      <c r="A6069" t="str">
        <f>A6054</f>
        <v>Lantai 2</v>
      </c>
      <c r="B6069">
        <f>B6054</f>
        <v>7</v>
      </c>
      <c r="C6069" t="str">
        <v>Tul Bawah Tumpuan</v>
      </c>
      <c r="D6069">
        <f>VLOOKUP(D6054,'Detail Balok'!$C$10:$AU$110,22,FALSE)</f>
        <v>5</v>
      </c>
      <c r="E6069" t="str">
        <v>D</v>
      </c>
      <c r="F6069">
        <f>VLOOKUP(D6054,'Detail Balok'!$C$10:$AU$110,24,FALSE)</f>
        <v>16</v>
      </c>
      <c r="I6069" t="str">
        <v>(</v>
      </c>
      <c r="J6069">
        <f>+J6061</f>
        <v>0.60375</v>
      </c>
      <c r="K6069" t="str">
        <v>+</v>
      </c>
      <c r="L6069">
        <f>MAX(VLOOKUP(F6069,N$6:P$15,3,FALSE)/1000,2/3*D6059/1000)+F$16*F6069/1000</f>
        <v>0.192</v>
      </c>
      <c r="M6069" t="str">
        <v>=</v>
      </c>
      <c r="N6069">
        <f>J6069+L6069</f>
        <v>0.79575</v>
      </c>
      <c r="O6069" t="str">
        <v>+</v>
      </c>
      <c r="P6069">
        <f>D6069-D6070</f>
        <v>0</v>
      </c>
      <c r="Q6069" t="str">
        <v>x</v>
      </c>
      <c r="R6069">
        <f>IF(P6069&gt;0,$F$18*F6069/1000,0)</f>
        <v>0</v>
      </c>
      <c r="S6069" t="str">
        <v>)</v>
      </c>
      <c r="T6069" t="str">
        <v>x</v>
      </c>
      <c r="U6069">
        <f>0.006165*F6069^2</f>
        <v>1.57824</v>
      </c>
      <c r="X6069" t="str">
        <v>x</v>
      </c>
      <c r="Y6069">
        <f>D6060</f>
        <v>1</v>
      </c>
      <c r="Z6069" t="str">
        <v>=</v>
      </c>
      <c r="AA6069">
        <f>IF(AA6072=0,(D6069*N6069+P6069*R6069)*U6069*Y6069,0)</f>
        <v>0</v>
      </c>
    </row>
    <row r="6070">
      <c r="A6070" t="str">
        <f>A6054</f>
        <v>Lantai 2</v>
      </c>
      <c r="B6070">
        <f>B6054</f>
        <v>7</v>
      </c>
      <c r="C6070" t="str">
        <v>Tul Bawah Lapangan</v>
      </c>
      <c r="D6070">
        <f>VLOOKUP(D6054,'Detail Balok'!$C$10:$AU$110,25,FALSE)</f>
        <v>5</v>
      </c>
      <c r="E6070" t="str">
        <v>D</v>
      </c>
      <c r="F6070">
        <f>VLOOKUP(D6054,'Detail Balok'!$C$10:$AU$110,27,FALSE)</f>
        <v>16</v>
      </c>
      <c r="I6070" t="str">
        <v>(</v>
      </c>
      <c r="J6070">
        <f>+J6062</f>
        <v>1.2075</v>
      </c>
      <c r="K6070" t="str">
        <v>+</v>
      </c>
      <c r="M6070" t="str">
        <v>=</v>
      </c>
      <c r="N6070">
        <f>J6070+L6070</f>
        <v>1.2075</v>
      </c>
      <c r="O6070" t="str">
        <v>+</v>
      </c>
      <c r="P6070">
        <f>MAX(D6070-D6069,D6070-D6071)</f>
        <v>0</v>
      </c>
      <c r="Q6070" t="str">
        <v>x</v>
      </c>
      <c r="R6070">
        <f>IF(P6070&gt;0,2*(1-2*$F$19-1/2)*D6057/1000,0)</f>
        <v>0</v>
      </c>
      <c r="S6070" t="str">
        <v>)</v>
      </c>
      <c r="T6070" t="str">
        <v>x</v>
      </c>
      <c r="U6070">
        <f>0.006165*F6070^2</f>
        <v>1.57824</v>
      </c>
      <c r="X6070" t="str">
        <v>x</v>
      </c>
      <c r="Y6070">
        <f>D6060</f>
        <v>1</v>
      </c>
      <c r="Z6070" t="str">
        <v>=</v>
      </c>
      <c r="AA6070">
        <f>IF(AA6072=0,(D6070*N6070+P6070*R6070)*U6070*Y6070,0)</f>
        <v>0</v>
      </c>
    </row>
    <row r="6071">
      <c r="A6071" t="str">
        <f>A6054</f>
        <v>Lantai 2</v>
      </c>
      <c r="B6071">
        <f>B6054</f>
        <v>7</v>
      </c>
      <c r="C6071" t="str">
        <v>Tul Bawah Tumpuan</v>
      </c>
      <c r="D6071">
        <f>VLOOKUP(D6054,'Detail Balok'!$C$10:$AU$110,28,FALSE)</f>
        <v>5</v>
      </c>
      <c r="E6071" t="str">
        <v>D</v>
      </c>
      <c r="F6071">
        <f>VLOOKUP(D6054,'Detail Balok'!$C$10:$AU$110,30,FALSE)</f>
        <v>16</v>
      </c>
      <c r="I6071" t="str">
        <v>(</v>
      </c>
      <c r="J6071">
        <f>+J6063</f>
        <v>0.60375</v>
      </c>
      <c r="K6071" t="str">
        <v>+</v>
      </c>
      <c r="L6071">
        <f>MAX(VLOOKUP(F6071,N$6:P$15,3,FALSE)/1000,2/3*D6059/1000)+F$16*F6071/1000</f>
        <v>0.192</v>
      </c>
      <c r="M6071" t="str">
        <v>=</v>
      </c>
      <c r="N6071">
        <f>J6071+L6071</f>
        <v>0.79575</v>
      </c>
      <c r="O6071" t="str">
        <v>+</v>
      </c>
      <c r="P6071">
        <f>D6071-D6070</f>
        <v>0</v>
      </c>
      <c r="Q6071" t="str">
        <v>x</v>
      </c>
      <c r="R6071">
        <f>IF(P6071&gt;0,$F$18*F6071/1000,0)</f>
        <v>0</v>
      </c>
      <c r="S6071" t="str">
        <v>)</v>
      </c>
      <c r="T6071" t="str">
        <v>x</v>
      </c>
      <c r="U6071">
        <f>0.006165*F6071^2</f>
        <v>1.57824</v>
      </c>
      <c r="X6071" t="str">
        <v>x</v>
      </c>
      <c r="Y6071">
        <f>D6060</f>
        <v>1</v>
      </c>
      <c r="Z6071" t="str">
        <v>=</v>
      </c>
      <c r="AA6071">
        <f>IF(AA6072=0,(D6071*N6071+P6071*R6071)*U6071*Y6071,0)</f>
        <v>0</v>
      </c>
    </row>
    <row r="6072">
      <c r="A6072" t="str">
        <f>A6054</f>
        <v>Lantai 2</v>
      </c>
      <c r="B6072">
        <f>B6054</f>
        <v>7</v>
      </c>
      <c r="D6072">
        <f>IF(AND(D6069=D6070,D6070=D6071,D6069=D6071),D6069,0)</f>
        <v>5</v>
      </c>
      <c r="E6072" t="str">
        <v>D</v>
      </c>
      <c r="F6072">
        <f>IF(AND(F6069=F6070,F6069=F6071,F6070=F6071),F6069,0)</f>
        <v>16</v>
      </c>
      <c r="L6072" t="str">
        <v>Total panjang per balok</v>
      </c>
      <c r="M6072" t="str">
        <v>=</v>
      </c>
      <c r="N6072">
        <f>IF(AND(D6069=D6070,D6069=D6071,D6070=D6071,F6069=F6070,F6069=F6071,F6070=F6071),SUM(N6069:N6071),0)</f>
        <v>2.799</v>
      </c>
      <c r="O6072" t="str">
        <v>+</v>
      </c>
      <c r="P6072">
        <f>IF(N6072&gt;12,ROUNDDOWN(N6072/12,0),0)</f>
        <v>0</v>
      </c>
      <c r="Q6072" t="str">
        <v>x</v>
      </c>
      <c r="R6072">
        <f>IF(P6072&gt;0,MAX(VLOOKUP(F6072,$D$6:$G$15,3,FALSE),600),0)/1000</f>
        <v>0</v>
      </c>
      <c r="T6072" t="str">
        <v>x</v>
      </c>
      <c r="U6072">
        <f>U6071</f>
        <v>1.57824</v>
      </c>
      <c r="V6072" t="str">
        <v>x</v>
      </c>
      <c r="W6072">
        <f>D6072</f>
        <v>5</v>
      </c>
      <c r="X6072" t="str">
        <v>x</v>
      </c>
      <c r="Y6072">
        <f>Y6071</f>
        <v>1</v>
      </c>
      <c r="Z6072" t="str">
        <v>=</v>
      </c>
      <c r="AA6072">
        <f>(N6072+P6072*R6072/1000)*U6072*W6072*Y6072</f>
        <v>22.0874688</v>
      </c>
    </row>
    <row r="6074">
      <c r="A6074" t="str">
        <f>A6054</f>
        <v>Lantai 2</v>
      </c>
      <c r="B6074">
        <f>B6054</f>
        <v>7</v>
      </c>
      <c r="C6074" t="str">
        <v>Sengkang Tumpuan</v>
      </c>
      <c r="D6074">
        <f>VLOOKUP(D6054,'Detail Balok'!$C$10:$AU$110,31,FALSE)</f>
        <v>0</v>
      </c>
      <c r="E6074" t="str">
        <v>D</v>
      </c>
      <c r="F6074">
        <f>VLOOKUP(D6054,'Detail Balok'!$C$10:$AU$110,33,FALSE)</f>
        <v>13</v>
      </c>
      <c r="G6074" t="str">
        <v>-</v>
      </c>
      <c r="H6074">
        <f>VLOOKUP(D6054,'Detail Balok'!$C$10:$AU$110,35,FALSE)</f>
        <v>80</v>
      </c>
      <c r="J6074">
        <f>(IF(D6074=0,(2*(D6055+G6055))-(F$5*8),IF(D6074=3,(2*(D6055+G6055))-(F$5*8)+(G6055-2*F$5),IF(D6074=4,(2*(D6055+G6055))-(F$5*8)+2*(G6055-2*F$5)))))/1000</f>
        <v>2.08</v>
      </c>
      <c r="K6074" t="str">
        <v>+</v>
      </c>
      <c r="L6074">
        <f>IF(D6074=0,2*MAX(6*F6074,75),(D6074-1)*2*MAX(6*F6074,75))/1000</f>
        <v>0.156</v>
      </c>
      <c r="M6074" t="str">
        <v>=</v>
      </c>
      <c r="N6074">
        <f>J6074+L6074</f>
        <v>2.236</v>
      </c>
      <c r="T6074" t="str">
        <v>x</v>
      </c>
      <c r="U6074">
        <f>0.006165*F6074^2</f>
        <v>1.041885</v>
      </c>
      <c r="V6074" t="str">
        <v>x</v>
      </c>
      <c r="W6074">
        <f>IF(D6057&gt;4*G6055,ROUND(MAX(D6057/4,2*G6055)/H6074,0)+1,ROUND(D6057/H6074,0)+1)</f>
        <v>31</v>
      </c>
      <c r="X6074" t="str">
        <v>x</v>
      </c>
      <c r="Y6074">
        <f>D6060</f>
        <v>1</v>
      </c>
      <c r="Z6074" t="str">
        <v>=</v>
      </c>
      <c r="AA6074">
        <f>N6074*U6074*W6074*Y6074</f>
        <v>72.21930066</v>
      </c>
    </row>
    <row r="6075">
      <c r="A6075" t="str">
        <f>A6054</f>
        <v>Lantai 2</v>
      </c>
      <c r="B6075">
        <f>B6054</f>
        <v>7</v>
      </c>
      <c r="C6075" t="str">
        <v>Sengkang Lapangan</v>
      </c>
      <c r="D6075">
        <f>VLOOKUP(D6054,'Detail Balok'!$C$10:$AU$110,36,FALSE)</f>
        <v>0</v>
      </c>
      <c r="E6075" t="str">
        <v>D</v>
      </c>
      <c r="F6075">
        <f>VLOOKUP(D6054,'Detail Balok'!$C$10:$AU$110,38,FALSE)</f>
        <v>13</v>
      </c>
      <c r="G6075" t="str">
        <v>-</v>
      </c>
      <c r="H6075">
        <f>VLOOKUP(D6054,'Detail Balok'!$C$10:$AU$110,40,FALSE)</f>
        <v>80</v>
      </c>
      <c r="J6075">
        <f>(IF(D6075=0,(2*(D6055+G6055))-(F$5*8),IF(D6075=3,(2*(D6055+G6055))-(F$5*8)+(G6055-2*F$5),IF(D6075=4,(2*(D6055+G6055))-(F$5*8)+2*(G6055-2*F$5)))))/1000</f>
        <v>2.08</v>
      </c>
      <c r="K6075" t="str">
        <v>+</v>
      </c>
      <c r="L6075">
        <f>IF(D6075=0,2*MAX(6*F6075,75),(D6075-1)*2*MAX(6*F6075,75))/1000</f>
        <v>0.156</v>
      </c>
      <c r="M6075" t="str">
        <v>=</v>
      </c>
      <c r="N6075">
        <f>J6075+L6075</f>
        <v>2.236</v>
      </c>
      <c r="T6075" t="str">
        <v>x</v>
      </c>
      <c r="U6075">
        <f>0.006165*F6075^2</f>
        <v>1.041885</v>
      </c>
      <c r="V6075" t="str">
        <v>x</v>
      </c>
      <c r="W6075">
        <f>IF(D6057-MAX(D6057/4,2*G6055)*2&gt;0,ROUND((D6057-MAX(D6057/4,2*G6055)*2)/H6075,0),0)</f>
        <v>0</v>
      </c>
      <c r="X6075" t="str">
        <v>x</v>
      </c>
      <c r="Y6075">
        <f>D6060</f>
        <v>1</v>
      </c>
      <c r="Z6075" t="str">
        <v>=</v>
      </c>
      <c r="AA6075">
        <f>N6075*U6075*W6075*Y6075</f>
        <v>0</v>
      </c>
    </row>
    <row r="6076">
      <c r="A6076" t="str">
        <f>A6054</f>
        <v>Lantai 2</v>
      </c>
      <c r="B6076">
        <f>B6054</f>
        <v>7</v>
      </c>
      <c r="C6076" t="str">
        <v>Sengkang Tumpuan</v>
      </c>
      <c r="D6076">
        <f>VLOOKUP(D6054,'Detail Balok'!$C$10:$AU$110,41,FALSE)</f>
        <v>0</v>
      </c>
      <c r="E6076" t="str">
        <v>D</v>
      </c>
      <c r="F6076">
        <f>VLOOKUP(D6054,'Detail Balok'!$C$10:$AU$110,43,FALSE)</f>
        <v>13</v>
      </c>
      <c r="G6076" t="str">
        <v>-</v>
      </c>
      <c r="H6076">
        <f>VLOOKUP(D6054,'Detail Balok'!$C$10:$AU$110,45,FALSE)</f>
        <v>80</v>
      </c>
      <c r="J6076">
        <f>(IF(D6076=0,(2*(D6055+G6055))-(F$5*8),IF(D6076=3,(2*(D6055+G6055))-(F$5*8)+(G6055-2*F$5),IF(D6076=4,(2*(D6055+G6055))-(F$5*8)+2*(G6055-2*F$5)))))/1000</f>
        <v>2.08</v>
      </c>
      <c r="K6076" t="str">
        <v>+</v>
      </c>
      <c r="L6076">
        <f>IF(D6076=0,2*MAX(6*F6076,75),(D6076-1)*2*MAX(6*F6076,75))/1000</f>
        <v>0.156</v>
      </c>
      <c r="M6076" t="str">
        <v>=</v>
      </c>
      <c r="N6076">
        <f>J6076+L6076</f>
        <v>2.236</v>
      </c>
      <c r="T6076" t="str">
        <v>x</v>
      </c>
      <c r="U6076">
        <f>0.006165*F6076^2</f>
        <v>1.041885</v>
      </c>
      <c r="V6076" t="str">
        <v>x</v>
      </c>
      <c r="W6076">
        <f>IF(D6057&gt;4*G6055,ROUND(MAX(D6057/4,2*G6055)/H6076,0)+1,0)</f>
        <v>0</v>
      </c>
      <c r="X6076" t="str">
        <v>x</v>
      </c>
      <c r="Y6076">
        <f>D6060</f>
        <v>1</v>
      </c>
      <c r="Z6076" t="str">
        <v>=</v>
      </c>
      <c r="AA6076">
        <f>N6076*U6076*W6076*Y6076</f>
        <v>0</v>
      </c>
    </row>
    <row r="6078">
      <c r="A6078" t="str">
        <f>A6054</f>
        <v>Lantai 2</v>
      </c>
      <c r="B6078">
        <f>B6054</f>
        <v>7</v>
      </c>
      <c r="C6078" t="str">
        <v>Kait Horizontal Tump.</v>
      </c>
      <c r="D6078">
        <f>VLOOKUP(D6054,'Detail Balok'!$C$10:$BJ$110,46,FALSE)</f>
        <v>0</v>
      </c>
      <c r="E6078" t="str">
        <v>D</v>
      </c>
      <c r="F6078">
        <f>VLOOKUP(D6054,'Detail Balok'!$C$10:$BJ$110,48,FALSE)</f>
        <v>0</v>
      </c>
      <c r="G6078" t="str">
        <v>-</v>
      </c>
      <c r="H6078">
        <f>VLOOKUP(D6054,'Detail Balok'!$C$10:$BJ$110,50,FALSE)</f>
        <v>100</v>
      </c>
      <c r="J6078">
        <f>(D6055-2*F$5)/1000</f>
        <v>0.32</v>
      </c>
      <c r="K6078" t="str">
        <v>+</v>
      </c>
      <c r="L6078">
        <f>IF(D6078=0,2*MAX(6*F6078,75),(D6078-1)*2*MAX(6*F6078,75))/1000</f>
        <v>0.15</v>
      </c>
      <c r="M6078" t="str">
        <v>=</v>
      </c>
      <c r="N6078">
        <f>J6078+L6078</f>
        <v>0.47</v>
      </c>
      <c r="T6078" t="str">
        <v>x</v>
      </c>
      <c r="U6078">
        <f>0.006165*F6078^2</f>
        <v>0</v>
      </c>
      <c r="V6078" t="str">
        <v>x</v>
      </c>
      <c r="W6078">
        <f>W6074</f>
        <v>31</v>
      </c>
      <c r="X6078" t="str">
        <v>x</v>
      </c>
      <c r="Y6078">
        <f>D6064</f>
        <v>7</v>
      </c>
      <c r="Z6078" t="str">
        <v>=</v>
      </c>
      <c r="AA6078">
        <f>N6078*U6078*W6078*Y6078</f>
        <v>0</v>
      </c>
    </row>
    <row r="6079">
      <c r="A6079" t="str">
        <f>A6054</f>
        <v>Lantai 2</v>
      </c>
      <c r="B6079">
        <f>B6054</f>
        <v>7</v>
      </c>
      <c r="C6079" t="str">
        <v>Kait Horizontal Lap.</v>
      </c>
      <c r="D6079">
        <f>VLOOKUP(D6054,'Detail Balok'!$C$10:$BJ$110,51,FALSE)</f>
        <v>0</v>
      </c>
      <c r="E6079" t="str">
        <v>D</v>
      </c>
      <c r="F6079">
        <f>VLOOKUP(D6054,'Detail Balok'!$C$10:$BJ$110,53,FALSE)</f>
        <v>0</v>
      </c>
      <c r="G6079" t="str">
        <v>-</v>
      </c>
      <c r="H6079">
        <f>VLOOKUP(D6054,'Detail Balok'!$C$10:$BJ$110,55,FALSE)</f>
        <v>100</v>
      </c>
      <c r="J6079">
        <f>(D6055-2*F$5)/1000</f>
        <v>0.32</v>
      </c>
      <c r="K6079" t="str">
        <v>+</v>
      </c>
      <c r="L6079">
        <f>IF(D6079=0,2*MAX(6*F6079,75),(D6079-1)*2*MAX(6*F6079,75))/1000</f>
        <v>0.15</v>
      </c>
      <c r="M6079" t="str">
        <v>=</v>
      </c>
      <c r="N6079">
        <f>J6079+L6079</f>
        <v>0.47</v>
      </c>
      <c r="T6079" t="str">
        <v>x</v>
      </c>
      <c r="U6079">
        <f>0.006165*F6079^2</f>
        <v>0</v>
      </c>
      <c r="V6079" t="str">
        <v>x</v>
      </c>
      <c r="W6079">
        <f>W6075</f>
        <v>0</v>
      </c>
      <c r="X6079" t="str">
        <v>x</v>
      </c>
      <c r="Y6079">
        <f>D6064</f>
        <v>7</v>
      </c>
      <c r="Z6079" t="str">
        <v>=</v>
      </c>
      <c r="AA6079">
        <f>N6079*U6079*W6079*Y6079</f>
        <v>0</v>
      </c>
    </row>
    <row r="6080">
      <c r="A6080" t="str">
        <f>A6054</f>
        <v>Lantai 2</v>
      </c>
      <c r="B6080">
        <f>B6054</f>
        <v>7</v>
      </c>
      <c r="C6080" t="str">
        <v>Kait Horizontal Tump.</v>
      </c>
      <c r="D6080">
        <f>VLOOKUP(D6054,'Detail Balok'!$C$10:$BJ$110,56,FALSE)</f>
        <v>0</v>
      </c>
      <c r="E6080" t="str">
        <v>D</v>
      </c>
      <c r="F6080">
        <f>VLOOKUP(D6054,'Detail Balok'!$C$10:$BJ$110,58,FALSE)</f>
        <v>0</v>
      </c>
      <c r="G6080" t="str">
        <v>-</v>
      </c>
      <c r="H6080">
        <f>VLOOKUP(D6054,'Detail Balok'!$C$10:$BJ$110,60,FALSE)</f>
        <v>100</v>
      </c>
      <c r="J6080">
        <f>(D6055-2*F$5)/1000</f>
        <v>0.32</v>
      </c>
      <c r="K6080" t="str">
        <v>+</v>
      </c>
      <c r="L6080">
        <f>IF(D6080=0,2*MAX(6*F6080,75),(D6080-1)*2*MAX(6*F6080,75))/1000</f>
        <v>0.15</v>
      </c>
      <c r="M6080" t="str">
        <v>=</v>
      </c>
      <c r="N6080">
        <f>J6080+L6080</f>
        <v>0.47</v>
      </c>
      <c r="T6080" t="str">
        <v>x</v>
      </c>
      <c r="U6080">
        <f>0.006165*F6080^2</f>
        <v>0</v>
      </c>
      <c r="V6080" t="str">
        <v>x</v>
      </c>
      <c r="W6080">
        <f>W6076</f>
        <v>0</v>
      </c>
      <c r="X6080" t="str">
        <v>x</v>
      </c>
      <c r="Y6080">
        <f>D6064</f>
        <v>7</v>
      </c>
      <c r="Z6080" t="str">
        <v>=</v>
      </c>
      <c r="AA6080">
        <f>N6080*U6080*W6080*Y6080</f>
        <v>0</v>
      </c>
    </row>
    <row r="6084">
      <c r="A6084" t="str">
        <f>A6054</f>
        <v>Lantai 2</v>
      </c>
      <c r="B6084">
        <f>B6054+1</f>
        <v>8</v>
      </c>
      <c r="C6084" t="str">
        <f>CONCATENATE(A6084," no. ",B6084)</f>
        <v>Lantai 2 no. 8</v>
      </c>
      <c r="D6084" t="str">
        <f>VLOOKUP(C6084,'Data Panjang Balok'!$C$9:$N$424,2,FALSE)</f>
        <v>B36-2</v>
      </c>
    </row>
    <row r="6085">
      <c r="C6085" t="str">
        <v>Dimensi</v>
      </c>
      <c r="D6085">
        <f>VLOOKUP(D6084,'Detail Balok'!$C$10:$AU$110,2,FALSE)</f>
        <v>300</v>
      </c>
      <c r="F6085" t="str">
        <v>x</v>
      </c>
      <c r="G6085">
        <f>VLOOKUP(D6084,'Detail Balok'!$C$10:$AU$110,3,FALSE)</f>
        <v>600</v>
      </c>
    </row>
    <row r="6086">
      <c r="C6086" t="str">
        <v>Panjang as ke as</v>
      </c>
      <c r="D6086">
        <f>VLOOKUP(C6084,'Data Panjang Balok'!$C$9:$N$424,4,FALSE)</f>
        <v>3835</v>
      </c>
    </row>
    <row r="6087">
      <c r="C6087" t="str">
        <v>Panjang netto</v>
      </c>
      <c r="D6087">
        <f>VLOOKUP(C6084,'Data Panjang Balok'!$C$9:$N$424,7,FALSE)</f>
        <v>3835</v>
      </c>
    </row>
    <row r="6088">
      <c r="C6088" t="str">
        <v>Kolom / balok kiri</v>
      </c>
      <c r="D6088">
        <f>VLOOKUP(C6084,'Data Panjang Balok'!$C$9:$N$424,9,FALSE)</f>
        <v>0</v>
      </c>
    </row>
    <row r="6089">
      <c r="C6089" t="str">
        <v>Kolom / balok kanan</v>
      </c>
      <c r="D6089">
        <f>VLOOKUP(C6084,'Data Panjang Balok'!$C$9:$N$424,10,FALSE)</f>
        <v>0</v>
      </c>
    </row>
    <row r="6090">
      <c r="C6090" t="str">
        <v>Jumlah</v>
      </c>
      <c r="D6090">
        <f>VLOOKUP(C6084,'Data Panjang Balok'!$C$9:$N$424,3,FALSE)</f>
        <v>1</v>
      </c>
    </row>
    <row r="6091">
      <c r="A6091" t="str">
        <f>A6084</f>
        <v>Lantai 2</v>
      </c>
      <c r="B6091">
        <f>B6084</f>
        <v>8</v>
      </c>
      <c r="C6091" t="str">
        <v>Tul Atas Tumpuan</v>
      </c>
      <c r="D6091">
        <f>VLOOKUP(D6084,'Detail Balok'!$C$10:$AU$110,4,FALSE)</f>
        <v>8</v>
      </c>
      <c r="E6091" t="str">
        <v>D</v>
      </c>
      <c r="F6091">
        <f>VLOOKUP(D6084,'Detail Balok'!$C$10:$AU$110,6,FALSE)</f>
        <v>16</v>
      </c>
      <c r="I6091" t="str">
        <v>(</v>
      </c>
      <c r="J6091">
        <f>+D6086/4/1000</f>
        <v>0.95875</v>
      </c>
      <c r="K6091" t="str">
        <v>+</v>
      </c>
      <c r="L6091">
        <f>MAX(VLOOKUP(F6091,N$6:P$15,3,FALSE)/1000,2/3*D6088/1000)+F$16*F6091/1000</f>
        <v>0.192</v>
      </c>
      <c r="M6091" t="str">
        <v>=</v>
      </c>
      <c r="N6091">
        <f>J6091+L6091</f>
        <v>1.15075</v>
      </c>
      <c r="O6091" t="str">
        <v>+</v>
      </c>
      <c r="P6091">
        <f>D6091-D6092</f>
        <v>5</v>
      </c>
      <c r="Q6091" t="str">
        <v>x</v>
      </c>
      <c r="R6091">
        <f>IF(P6091&gt;0,$F$18*F6091/1000,0)</f>
        <v>0.24</v>
      </c>
      <c r="S6091" t="str">
        <v>)</v>
      </c>
      <c r="T6091" t="str">
        <v>x</v>
      </c>
      <c r="U6091">
        <f>0.006165*F6091^2</f>
        <v>1.57824</v>
      </c>
      <c r="X6091" t="str">
        <v>x</v>
      </c>
      <c r="Y6091">
        <f>D6090</f>
        <v>1</v>
      </c>
      <c r="Z6091" t="str">
        <v>=</v>
      </c>
      <c r="AA6091">
        <f>IF(AA6094=0,(D6091*N6091+P6091*R6091)*U6091*Y6091,0)</f>
        <v>16.42316544</v>
      </c>
    </row>
    <row r="6092">
      <c r="A6092" t="str">
        <f>A6084</f>
        <v>Lantai 2</v>
      </c>
      <c r="B6092">
        <f>B6084</f>
        <v>8</v>
      </c>
      <c r="C6092" t="str">
        <v>Tul Atas Lapangan</v>
      </c>
      <c r="D6092">
        <f>VLOOKUP(D6084,'Detail Balok'!$C$10:$AU$110,7,FALSE)</f>
        <v>3</v>
      </c>
      <c r="E6092" t="str">
        <v>D</v>
      </c>
      <c r="F6092">
        <f>VLOOKUP(D6084,'Detail Balok'!$C$10:$AU$110,9,FALSE)</f>
        <v>16</v>
      </c>
      <c r="I6092" t="str">
        <v>(</v>
      </c>
      <c r="J6092">
        <f>+D6086/2/1000</f>
        <v>1.9175</v>
      </c>
      <c r="K6092" t="str">
        <v>+</v>
      </c>
      <c r="M6092" t="str">
        <v>=</v>
      </c>
      <c r="N6092">
        <f>J6092+L6092</f>
        <v>1.9175</v>
      </c>
      <c r="O6092" t="str">
        <v>+</v>
      </c>
      <c r="P6092">
        <f>MAX(D6092-D6091,D6092-D6093)</f>
        <v>-5</v>
      </c>
      <c r="Q6092" t="str">
        <v>x</v>
      </c>
      <c r="R6092">
        <f>IF(P6092&gt;0,2*(1-2*$F$19-1/2)*D6087/1000,0)</f>
        <v>0</v>
      </c>
      <c r="S6092" t="str">
        <v>)</v>
      </c>
      <c r="T6092" t="str">
        <v>x</v>
      </c>
      <c r="U6092">
        <f>0.006165*F6092^2</f>
        <v>1.57824</v>
      </c>
      <c r="X6092" t="str">
        <v>x</v>
      </c>
      <c r="Y6092">
        <f>D6090</f>
        <v>1</v>
      </c>
      <c r="Z6092" t="str">
        <v>=</v>
      </c>
      <c r="AA6092">
        <f>IF(AA6094=0,(D6092*N6092+P6092*R6092)*U6092*Y6092,0)</f>
        <v>9.0788256</v>
      </c>
    </row>
    <row r="6093">
      <c r="A6093" t="str">
        <f>A6084</f>
        <v>Lantai 2</v>
      </c>
      <c r="B6093">
        <f>B6084</f>
        <v>8</v>
      </c>
      <c r="C6093" t="str">
        <v>Tul Atas Tumpuan</v>
      </c>
      <c r="D6093">
        <f>VLOOKUP(D6084,'Detail Balok'!$C$10:$AU$110,10,FALSE)</f>
        <v>8</v>
      </c>
      <c r="E6093" t="str">
        <v>D</v>
      </c>
      <c r="F6093">
        <f>VLOOKUP(D6084,'Detail Balok'!$C$10:$AU$110,12,FALSE)</f>
        <v>16</v>
      </c>
      <c r="I6093" t="str">
        <v>(</v>
      </c>
      <c r="J6093">
        <f>+D6086/4/1000</f>
        <v>0.95875</v>
      </c>
      <c r="K6093" t="str">
        <v>+</v>
      </c>
      <c r="L6093">
        <f>MAX(VLOOKUP(F6093,N$6:P$15,3,FALSE)/1000,2/3*D6088/1000)+F$16*F6093/1000</f>
        <v>0.192</v>
      </c>
      <c r="M6093" t="str">
        <v>=</v>
      </c>
      <c r="N6093">
        <f>J6093+L6093</f>
        <v>1.15075</v>
      </c>
      <c r="O6093" t="str">
        <v>+</v>
      </c>
      <c r="P6093">
        <f>D6093-D6092</f>
        <v>5</v>
      </c>
      <c r="Q6093" t="str">
        <v>x</v>
      </c>
      <c r="R6093">
        <f>IF(P6093&gt;0,$F$18*F6093/1000,0)</f>
        <v>0.24</v>
      </c>
      <c r="S6093" t="str">
        <v>)</v>
      </c>
      <c r="T6093" t="str">
        <v>x</v>
      </c>
      <c r="U6093">
        <f>0.006165*F6093^2</f>
        <v>1.57824</v>
      </c>
      <c r="X6093" t="str">
        <v>x</v>
      </c>
      <c r="Y6093">
        <f>D6090</f>
        <v>1</v>
      </c>
      <c r="Z6093" t="str">
        <v>=</v>
      </c>
      <c r="AA6093">
        <f>IF(AA6094=0,(D6093*N6093+P6093*R6093)*U6093*Y6093,0)</f>
        <v>16.42316544</v>
      </c>
    </row>
    <row r="6094">
      <c r="A6094" t="str">
        <f>A6084</f>
        <v>Lantai 2</v>
      </c>
      <c r="B6094">
        <f>B6084</f>
        <v>8</v>
      </c>
      <c r="D6094">
        <f>IF(AND(D6091=D6092,D6092=D6093,D6091=D6093),D6091,0)</f>
        <v>0</v>
      </c>
      <c r="E6094" t="str">
        <v>D</v>
      </c>
      <c r="F6094">
        <f>IF(AND(F6091=F6092,F6091=F6093,F6092=F6093),F6091,0)</f>
        <v>16</v>
      </c>
      <c r="L6094" t="str">
        <v>Total panjang per balok</v>
      </c>
      <c r="M6094" t="str">
        <v>=</v>
      </c>
      <c r="N6094">
        <f>IF(AND(D6091=D6092,D6091=D6093,D6092=D6093,F6091=F6092,F6091=F6093,F6092=F6093),SUM(N6091:N6093),0)</f>
        <v>0</v>
      </c>
      <c r="O6094" t="str">
        <v>+</v>
      </c>
      <c r="P6094">
        <f>IF(N6094&gt;12,ROUNDDOWN(N6094/12,0),0)</f>
        <v>0</v>
      </c>
      <c r="Q6094" t="str">
        <v>x</v>
      </c>
      <c r="R6094">
        <f>IF(P6094&gt;0,MAX(VLOOKUP(F6094,$D$6:$G$15,3,FALSE),600),0)/1000</f>
        <v>0</v>
      </c>
      <c r="T6094" t="str">
        <v>x</v>
      </c>
      <c r="U6094">
        <f>U6093</f>
        <v>1.57824</v>
      </c>
      <c r="V6094" t="str">
        <v>x</v>
      </c>
      <c r="W6094">
        <f>D6094</f>
        <v>0</v>
      </c>
      <c r="X6094" t="str">
        <v>x</v>
      </c>
      <c r="Y6094">
        <f>Y6093</f>
        <v>1</v>
      </c>
      <c r="Z6094" t="str">
        <v>=</v>
      </c>
      <c r="AA6094">
        <f>(N6094+P6094*R6094/1000)*U6094*W6094*Y6094</f>
        <v>0</v>
      </c>
    </row>
    <row r="6096">
      <c r="A6096" t="str">
        <f>A6084</f>
        <v>Lantai 2</v>
      </c>
      <c r="B6096">
        <f>B6084</f>
        <v>8</v>
      </c>
      <c r="C6096" t="str">
        <v>Tul Peminggang</v>
      </c>
      <c r="D6096">
        <f>VLOOKUP(D6084,'Detail Balok'!$C$10:$AU$110,13,FALSE)</f>
        <v>2</v>
      </c>
      <c r="E6096" t="str">
        <v>D</v>
      </c>
      <c r="F6096">
        <f>VLOOKUP(D6084,'Detail Balok'!$C$10:$AU$110,15,FALSE)</f>
        <v>10</v>
      </c>
      <c r="J6096">
        <f>+D6086/1000</f>
        <v>3.835</v>
      </c>
      <c r="K6096" t="str">
        <v>+</v>
      </c>
      <c r="L6096">
        <f>2*$F$16*F6096/1000</f>
        <v>0.24</v>
      </c>
      <c r="M6096" t="str">
        <v>=</v>
      </c>
      <c r="N6096">
        <f>J6096+L6096</f>
        <v>4.075</v>
      </c>
      <c r="O6096" t="str">
        <v>+</v>
      </c>
      <c r="P6096">
        <f>IF(N6096&gt;12,ROUNDDOWN(N6096/12,0),0)</f>
        <v>0</v>
      </c>
      <c r="Q6096" t="str">
        <v>x</v>
      </c>
      <c r="R6096">
        <f>IF(P6096&gt;0,MAX(VLOOKUP(F6096,$D$6:$G$15,3,FALSE),600),0)/1000</f>
        <v>0</v>
      </c>
      <c r="T6096" t="str">
        <v>x</v>
      </c>
      <c r="U6096">
        <f>0.006165*F6096^2</f>
        <v>0.6165</v>
      </c>
      <c r="V6096" t="str">
        <v>x</v>
      </c>
      <c r="W6096">
        <f>+D6096</f>
        <v>2</v>
      </c>
      <c r="X6096" t="str">
        <v>x</v>
      </c>
      <c r="Y6096">
        <f>D6090</f>
        <v>1</v>
      </c>
      <c r="Z6096" t="str">
        <v>=</v>
      </c>
      <c r="AA6096">
        <f>(N6096+P6096*R6096/1000)*U6096*W6096*Y6096</f>
        <v>5.024475000000001</v>
      </c>
    </row>
    <row r="6099">
      <c r="A6099" t="str">
        <f>A6084</f>
        <v>Lantai 2</v>
      </c>
      <c r="B6099">
        <f>B6084</f>
        <v>8</v>
      </c>
      <c r="C6099" t="str">
        <v>Tul Bawah Tumpuan</v>
      </c>
      <c r="D6099">
        <f>VLOOKUP(D6084,'Detail Balok'!$C$10:$AU$110,22,FALSE)</f>
        <v>4</v>
      </c>
      <c r="E6099" t="str">
        <v>D</v>
      </c>
      <c r="F6099">
        <f>VLOOKUP(D6084,'Detail Balok'!$C$10:$AU$110,24,FALSE)</f>
        <v>16</v>
      </c>
      <c r="I6099" t="str">
        <v>(</v>
      </c>
      <c r="J6099">
        <f>+J6091</f>
        <v>0.95875</v>
      </c>
      <c r="K6099" t="str">
        <v>+</v>
      </c>
      <c r="L6099">
        <f>MAX(VLOOKUP(F6099,N$6:P$15,3,FALSE)/1000,2/3*D6089/1000)+F$16*F6099/1000</f>
        <v>0.192</v>
      </c>
      <c r="M6099" t="str">
        <v>=</v>
      </c>
      <c r="N6099">
        <f>J6099+L6099</f>
        <v>1.15075</v>
      </c>
      <c r="O6099" t="str">
        <v>+</v>
      </c>
      <c r="P6099">
        <f>D6099-D6100</f>
        <v>-2</v>
      </c>
      <c r="Q6099" t="str">
        <v>x</v>
      </c>
      <c r="R6099">
        <f>IF(P6099&gt;0,$F$18*F6099/1000,0)</f>
        <v>0</v>
      </c>
      <c r="S6099" t="str">
        <v>)</v>
      </c>
      <c r="T6099" t="str">
        <v>x</v>
      </c>
      <c r="U6099">
        <f>0.006165*F6099^2</f>
        <v>1.57824</v>
      </c>
      <c r="X6099" t="str">
        <v>x</v>
      </c>
      <c r="Y6099">
        <f>D6090</f>
        <v>1</v>
      </c>
      <c r="Z6099" t="str">
        <v>=</v>
      </c>
      <c r="AA6099">
        <f>IF(AA6102=0,(D6099*N6099+P6099*R6099)*U6099*Y6099,0)</f>
        <v>7.26463872</v>
      </c>
    </row>
    <row r="6100">
      <c r="A6100" t="str">
        <f>A6084</f>
        <v>Lantai 2</v>
      </c>
      <c r="B6100">
        <f>B6084</f>
        <v>8</v>
      </c>
      <c r="C6100" t="str">
        <v>Tul Bawah Lapangan</v>
      </c>
      <c r="D6100">
        <f>VLOOKUP(D6084,'Detail Balok'!$C$10:$AU$110,25,FALSE)</f>
        <v>6</v>
      </c>
      <c r="E6100" t="str">
        <v>D</v>
      </c>
      <c r="F6100">
        <f>VLOOKUP(D6084,'Detail Balok'!$C$10:$AU$110,27,FALSE)</f>
        <v>16</v>
      </c>
      <c r="I6100" t="str">
        <v>(</v>
      </c>
      <c r="J6100">
        <f>+J6092</f>
        <v>1.9175</v>
      </c>
      <c r="K6100" t="str">
        <v>+</v>
      </c>
      <c r="M6100" t="str">
        <v>=</v>
      </c>
      <c r="N6100">
        <f>J6100+L6100</f>
        <v>1.9175</v>
      </c>
      <c r="O6100" t="str">
        <v>+</v>
      </c>
      <c r="P6100">
        <f>MAX(D6100-D6099,D6100-D6101)</f>
        <v>2</v>
      </c>
      <c r="Q6100" t="str">
        <v>x</v>
      </c>
      <c r="R6100">
        <f>IF(P6100&gt;0,2*(1-2*$F$19-1/2)*D6087/1000,0)</f>
        <v>0.7669999999999999</v>
      </c>
      <c r="S6100" t="str">
        <v>)</v>
      </c>
      <c r="T6100" t="str">
        <v>x</v>
      </c>
      <c r="U6100">
        <f>0.006165*F6100^2</f>
        <v>1.57824</v>
      </c>
      <c r="X6100" t="str">
        <v>x</v>
      </c>
      <c r="Y6100">
        <f>D6090</f>
        <v>1</v>
      </c>
      <c r="Z6100" t="str">
        <v>=</v>
      </c>
      <c r="AA6100">
        <f>IF(AA6102=0,(D6100*N6100+P6100*R6100)*U6100*Y6100,0)</f>
        <v>20.578671359999998</v>
      </c>
    </row>
    <row r="6101">
      <c r="A6101" t="str">
        <f>A6084</f>
        <v>Lantai 2</v>
      </c>
      <c r="B6101">
        <f>B6084</f>
        <v>8</v>
      </c>
      <c r="C6101" t="str">
        <v>Tul Bawah Tumpuan</v>
      </c>
      <c r="D6101">
        <f>VLOOKUP(D6084,'Detail Balok'!$C$10:$AU$110,28,FALSE)</f>
        <v>4</v>
      </c>
      <c r="E6101" t="str">
        <v>D</v>
      </c>
      <c r="F6101">
        <f>VLOOKUP(D6084,'Detail Balok'!$C$10:$AU$110,30,FALSE)</f>
        <v>16</v>
      </c>
      <c r="I6101" t="str">
        <v>(</v>
      </c>
      <c r="J6101">
        <f>+J6093</f>
        <v>0.95875</v>
      </c>
      <c r="K6101" t="str">
        <v>+</v>
      </c>
      <c r="L6101">
        <f>MAX(VLOOKUP(F6101,N$6:P$15,3,FALSE)/1000,2/3*D6089/1000)+F$16*F6101/1000</f>
        <v>0.192</v>
      </c>
      <c r="M6101" t="str">
        <v>=</v>
      </c>
      <c r="N6101">
        <f>J6101+L6101</f>
        <v>1.15075</v>
      </c>
      <c r="O6101" t="str">
        <v>+</v>
      </c>
      <c r="P6101">
        <f>D6101-D6100</f>
        <v>-2</v>
      </c>
      <c r="Q6101" t="str">
        <v>x</v>
      </c>
      <c r="R6101">
        <f>IF(P6101&gt;0,$F$18*F6101/1000,0)</f>
        <v>0</v>
      </c>
      <c r="S6101" t="str">
        <v>)</v>
      </c>
      <c r="T6101" t="str">
        <v>x</v>
      </c>
      <c r="U6101">
        <f>0.006165*F6101^2</f>
        <v>1.57824</v>
      </c>
      <c r="X6101" t="str">
        <v>x</v>
      </c>
      <c r="Y6101">
        <f>D6090</f>
        <v>1</v>
      </c>
      <c r="Z6101" t="str">
        <v>=</v>
      </c>
      <c r="AA6101">
        <f>IF(AA6102=0,(D6101*N6101+P6101*R6101)*U6101*Y6101,0)</f>
        <v>7.26463872</v>
      </c>
    </row>
    <row r="6102">
      <c r="A6102" t="str">
        <f>A6084</f>
        <v>Lantai 2</v>
      </c>
      <c r="B6102">
        <f>B6084</f>
        <v>8</v>
      </c>
      <c r="D6102">
        <f>IF(AND(D6099=D6100,D6100=D6101,D6099=D6101),D6099,0)</f>
        <v>0</v>
      </c>
      <c r="E6102" t="str">
        <v>D</v>
      </c>
      <c r="F6102">
        <f>IF(AND(F6099=F6100,F6099=F6101,F6100=F6101),F6099,0)</f>
        <v>16</v>
      </c>
      <c r="L6102" t="str">
        <v>Total panjang per balok</v>
      </c>
      <c r="M6102" t="str">
        <v>=</v>
      </c>
      <c r="N6102">
        <f>IF(AND(D6099=D6100,D6099=D6101,D6100=D6101,F6099=F6100,F6099=F6101,F6100=F6101),SUM(N6099:N6101),0)</f>
        <v>0</v>
      </c>
      <c r="O6102" t="str">
        <v>+</v>
      </c>
      <c r="P6102">
        <f>IF(N6102&gt;12,ROUNDDOWN(N6102/12,0),0)</f>
        <v>0</v>
      </c>
      <c r="Q6102" t="str">
        <v>x</v>
      </c>
      <c r="R6102">
        <f>IF(P6102&gt;0,MAX(VLOOKUP(F6102,$D$6:$G$15,3,FALSE),600),0)/1000</f>
        <v>0</v>
      </c>
      <c r="T6102" t="str">
        <v>x</v>
      </c>
      <c r="U6102">
        <f>U6101</f>
        <v>1.57824</v>
      </c>
      <c r="V6102" t="str">
        <v>x</v>
      </c>
      <c r="W6102">
        <f>D6102</f>
        <v>0</v>
      </c>
      <c r="X6102" t="str">
        <v>x</v>
      </c>
      <c r="Y6102">
        <f>Y6101</f>
        <v>1</v>
      </c>
      <c r="Z6102" t="str">
        <v>=</v>
      </c>
      <c r="AA6102">
        <f>(N6102+P6102*R6102/1000)*U6102*W6102*Y6102</f>
        <v>0</v>
      </c>
    </row>
    <row r="6104">
      <c r="A6104" t="str">
        <f>A6084</f>
        <v>Lantai 2</v>
      </c>
      <c r="B6104">
        <f>B6084</f>
        <v>8</v>
      </c>
      <c r="C6104" t="str">
        <v>Sengkang Tumpuan</v>
      </c>
      <c r="D6104">
        <f>VLOOKUP(D6084,'Detail Balok'!$C$10:$AU$110,31,FALSE)</f>
        <v>3</v>
      </c>
      <c r="E6104" t="str">
        <v>D</v>
      </c>
      <c r="F6104">
        <f>VLOOKUP(D6084,'Detail Balok'!$C$10:$AU$110,33,FALSE)</f>
        <v>10</v>
      </c>
      <c r="G6104" t="str">
        <v>-</v>
      </c>
      <c r="H6104">
        <f>VLOOKUP(D6084,'Detail Balok'!$C$10:$AU$110,35,FALSE)</f>
        <v>75</v>
      </c>
      <c r="J6104">
        <f>(IF(D6104=0,(2*(D6085+G6085))-(F$5*8),IF(D6104=3,(2*(D6085+G6085))-(F$5*8)+(G6085-2*F$5),IF(D6104=4,(2*(D6085+G6085))-(F$5*8)+2*(G6085-2*F$5)))))/1000</f>
        <v>2</v>
      </c>
      <c r="K6104" t="str">
        <v>+</v>
      </c>
      <c r="L6104">
        <f>IF(D6104=0,2*MAX(6*F6104,75),(D6104-1)*2*MAX(6*F6104,75))/1000</f>
        <v>0.3</v>
      </c>
      <c r="M6104" t="str">
        <v>=</v>
      </c>
      <c r="N6104">
        <f>J6104+L6104</f>
        <v>2.3</v>
      </c>
      <c r="T6104" t="str">
        <v>x</v>
      </c>
      <c r="U6104">
        <f>0.006165*F6104^2</f>
        <v>0.6165</v>
      </c>
      <c r="V6104" t="str">
        <v>x</v>
      </c>
      <c r="W6104">
        <f>IF(D6087&gt;4*G6085,ROUND(MAX(D6087/4,2*G6085)/H6104,0)+1,ROUND(D6087/H6104,0)+1)</f>
        <v>17</v>
      </c>
      <c r="X6104" t="str">
        <v>x</v>
      </c>
      <c r="Y6104">
        <f>D6090</f>
        <v>1</v>
      </c>
      <c r="Z6104" t="str">
        <v>=</v>
      </c>
      <c r="AA6104">
        <f>N6104*U6104*W6104*Y6104</f>
        <v>24.105150000000002</v>
      </c>
    </row>
    <row r="6105">
      <c r="A6105" t="str">
        <f>A6084</f>
        <v>Lantai 2</v>
      </c>
      <c r="B6105">
        <f>B6084</f>
        <v>8</v>
      </c>
      <c r="C6105" t="str">
        <v>Sengkang Lapangan</v>
      </c>
      <c r="D6105">
        <f>VLOOKUP(D6084,'Detail Balok'!$C$10:$AU$110,36,FALSE)</f>
        <v>0</v>
      </c>
      <c r="E6105" t="str">
        <v>D</v>
      </c>
      <c r="F6105">
        <f>VLOOKUP(D6084,'Detail Balok'!$C$10:$AU$110,38,FALSE)</f>
        <v>10</v>
      </c>
      <c r="G6105" t="str">
        <v>-</v>
      </c>
      <c r="H6105">
        <f>VLOOKUP(D6084,'Detail Balok'!$C$10:$AU$110,40,FALSE)</f>
        <v>200</v>
      </c>
      <c r="J6105">
        <f>(IF(D6105=0,(2*(D6085+G6085))-(F$5*8),IF(D6105=3,(2*(D6085+G6085))-(F$5*8)+(G6085-2*F$5),IF(D6105=4,(2*(D6085+G6085))-(F$5*8)+2*(G6085-2*F$5)))))/1000</f>
        <v>1.48</v>
      </c>
      <c r="K6105" t="str">
        <v>+</v>
      </c>
      <c r="L6105">
        <f>IF(D6105=0,2*MAX(6*F6105,75),(D6105-1)*2*MAX(6*F6105,75))/1000</f>
        <v>0.15</v>
      </c>
      <c r="M6105" t="str">
        <v>=</v>
      </c>
      <c r="N6105">
        <f>J6105+L6105</f>
        <v>1.63</v>
      </c>
      <c r="T6105" t="str">
        <v>x</v>
      </c>
      <c r="U6105">
        <f>0.006165*F6105^2</f>
        <v>0.6165</v>
      </c>
      <c r="V6105" t="str">
        <v>x</v>
      </c>
      <c r="W6105">
        <f>IF(D6087-MAX(D6087/4,2*G6085)*2&gt;0,ROUND((D6087-MAX(D6087/4,2*G6085)*2)/H6105,0),0)</f>
        <v>7</v>
      </c>
      <c r="X6105" t="str">
        <v>x</v>
      </c>
      <c r="Y6105">
        <f>D6090</f>
        <v>1</v>
      </c>
      <c r="Z6105" t="str">
        <v>=</v>
      </c>
      <c r="AA6105">
        <f>N6105*U6105*W6105*Y6105</f>
        <v>7.034265</v>
      </c>
    </row>
    <row r="6106">
      <c r="A6106" t="str">
        <f>A6084</f>
        <v>Lantai 2</v>
      </c>
      <c r="B6106">
        <f>B6084</f>
        <v>8</v>
      </c>
      <c r="C6106" t="str">
        <v>Sengkang Tumpuan</v>
      </c>
      <c r="D6106">
        <f>VLOOKUP(D6084,'Detail Balok'!$C$10:$AU$110,41,FALSE)</f>
        <v>3</v>
      </c>
      <c r="E6106" t="str">
        <v>D</v>
      </c>
      <c r="F6106">
        <f>VLOOKUP(D6084,'Detail Balok'!$C$10:$AU$110,43,FALSE)</f>
        <v>10</v>
      </c>
      <c r="G6106" t="str">
        <v>-</v>
      </c>
      <c r="H6106">
        <f>VLOOKUP(D6084,'Detail Balok'!$C$10:$AU$110,45,FALSE)</f>
        <v>75</v>
      </c>
      <c r="J6106">
        <f>(IF(D6106=0,(2*(D6085+G6085))-(F$5*8),IF(D6106=3,(2*(D6085+G6085))-(F$5*8)+(G6085-2*F$5),IF(D6106=4,(2*(D6085+G6085))-(F$5*8)+2*(G6085-2*F$5)))))/1000</f>
        <v>2</v>
      </c>
      <c r="K6106" t="str">
        <v>+</v>
      </c>
      <c r="L6106">
        <f>IF(D6106=0,2*MAX(6*F6106,75),(D6106-1)*2*MAX(6*F6106,75))/1000</f>
        <v>0.3</v>
      </c>
      <c r="M6106" t="str">
        <v>=</v>
      </c>
      <c r="N6106">
        <f>J6106+L6106</f>
        <v>2.3</v>
      </c>
      <c r="T6106" t="str">
        <v>x</v>
      </c>
      <c r="U6106">
        <f>0.006165*F6106^2</f>
        <v>0.6165</v>
      </c>
      <c r="V6106" t="str">
        <v>x</v>
      </c>
      <c r="W6106">
        <f>IF(D6087&gt;4*G6085,ROUND(MAX(D6087/4,2*G6085)/H6106,0)+1,0)</f>
        <v>17</v>
      </c>
      <c r="X6106" t="str">
        <v>x</v>
      </c>
      <c r="Y6106">
        <f>D6090</f>
        <v>1</v>
      </c>
      <c r="Z6106" t="str">
        <v>=</v>
      </c>
      <c r="AA6106">
        <f>N6106*U6106*W6106*Y6106</f>
        <v>24.105150000000002</v>
      </c>
    </row>
    <row r="6108">
      <c r="A6108" t="str">
        <f>A6084</f>
        <v>Lantai 2</v>
      </c>
      <c r="B6108">
        <f>B6084</f>
        <v>8</v>
      </c>
      <c r="C6108" t="str">
        <v>Kait Horizontal Tump.</v>
      </c>
      <c r="D6108">
        <f>VLOOKUP(D6084,'Detail Balok'!$C$10:$BJ$110,46,FALSE)</f>
        <v>0</v>
      </c>
      <c r="E6108" t="str">
        <v>D</v>
      </c>
      <c r="F6108">
        <f>VLOOKUP(D6084,'Detail Balok'!$C$10:$BJ$110,48,FALSE)</f>
        <v>0</v>
      </c>
      <c r="G6108" t="str">
        <v>-</v>
      </c>
      <c r="H6108">
        <f>VLOOKUP(D6084,'Detail Balok'!$C$10:$BJ$110,50,FALSE)</f>
        <v>100</v>
      </c>
      <c r="J6108">
        <f>(D6085-2*F$5)/1000</f>
        <v>0.22</v>
      </c>
      <c r="K6108" t="str">
        <v>+</v>
      </c>
      <c r="L6108">
        <f>IF(D6108=0,2*MAX(6*F6108,75),(D6108-1)*2*MAX(6*F6108,75))/1000</f>
        <v>0.15</v>
      </c>
      <c r="M6108" t="str">
        <v>=</v>
      </c>
      <c r="N6108">
        <f>J6108+L6108</f>
        <v>0.37</v>
      </c>
      <c r="T6108" t="str">
        <v>x</v>
      </c>
      <c r="U6108">
        <f>0.006165*F6108^2</f>
        <v>0</v>
      </c>
      <c r="V6108" t="str">
        <v>x</v>
      </c>
      <c r="W6108">
        <f>W6104</f>
        <v>17</v>
      </c>
      <c r="X6108" t="str">
        <v>x</v>
      </c>
      <c r="Y6108">
        <f>D6094</f>
        <v>0</v>
      </c>
      <c r="Z6108" t="str">
        <v>=</v>
      </c>
      <c r="AA6108">
        <f>N6108*U6108*W6108*Y6108</f>
        <v>0</v>
      </c>
    </row>
    <row r="6109">
      <c r="A6109" t="str">
        <f>A6084</f>
        <v>Lantai 2</v>
      </c>
      <c r="B6109">
        <f>B6084</f>
        <v>8</v>
      </c>
      <c r="C6109" t="str">
        <v>Kait Horizontal Lap.</v>
      </c>
      <c r="D6109">
        <f>VLOOKUP(D6084,'Detail Balok'!$C$10:$BJ$110,51,FALSE)</f>
        <v>0</v>
      </c>
      <c r="E6109" t="str">
        <v>D</v>
      </c>
      <c r="F6109">
        <f>VLOOKUP(D6084,'Detail Balok'!$C$10:$BJ$110,53,FALSE)</f>
        <v>0</v>
      </c>
      <c r="G6109" t="str">
        <v>-</v>
      </c>
      <c r="H6109">
        <f>VLOOKUP(D6084,'Detail Balok'!$C$10:$BJ$110,55,FALSE)</f>
        <v>100</v>
      </c>
      <c r="J6109">
        <f>(D6085-2*F$5)/1000</f>
        <v>0.22</v>
      </c>
      <c r="K6109" t="str">
        <v>+</v>
      </c>
      <c r="L6109">
        <f>IF(D6109=0,2*MAX(6*F6109,75),(D6109-1)*2*MAX(6*F6109,75))/1000</f>
        <v>0.15</v>
      </c>
      <c r="M6109" t="str">
        <v>=</v>
      </c>
      <c r="N6109">
        <f>J6109+L6109</f>
        <v>0.37</v>
      </c>
      <c r="T6109" t="str">
        <v>x</v>
      </c>
      <c r="U6109">
        <f>0.006165*F6109^2</f>
        <v>0</v>
      </c>
      <c r="V6109" t="str">
        <v>x</v>
      </c>
      <c r="W6109">
        <f>W6105</f>
        <v>7</v>
      </c>
      <c r="X6109" t="str">
        <v>x</v>
      </c>
      <c r="Y6109">
        <f>D6094</f>
        <v>0</v>
      </c>
      <c r="Z6109" t="str">
        <v>=</v>
      </c>
      <c r="AA6109">
        <f>N6109*U6109*W6109*Y6109</f>
        <v>0</v>
      </c>
    </row>
    <row r="6110">
      <c r="A6110" t="str">
        <f>A6084</f>
        <v>Lantai 2</v>
      </c>
      <c r="B6110">
        <f>B6084</f>
        <v>8</v>
      </c>
      <c r="C6110" t="str">
        <v>Kait Horizontal Tump.</v>
      </c>
      <c r="D6110">
        <f>VLOOKUP(D6084,'Detail Balok'!$C$10:$BJ$110,56,FALSE)</f>
        <v>0</v>
      </c>
      <c r="E6110" t="str">
        <v>D</v>
      </c>
      <c r="F6110">
        <f>VLOOKUP(D6084,'Detail Balok'!$C$10:$BJ$110,58,FALSE)</f>
        <v>0</v>
      </c>
      <c r="G6110" t="str">
        <v>-</v>
      </c>
      <c r="H6110">
        <f>VLOOKUP(D6084,'Detail Balok'!$C$10:$BJ$110,60,FALSE)</f>
        <v>100</v>
      </c>
      <c r="J6110">
        <f>(D6085-2*F$5)/1000</f>
        <v>0.22</v>
      </c>
      <c r="K6110" t="str">
        <v>+</v>
      </c>
      <c r="L6110">
        <f>IF(D6110=0,2*MAX(6*F6110,75),(D6110-1)*2*MAX(6*F6110,75))/1000</f>
        <v>0.15</v>
      </c>
      <c r="M6110" t="str">
        <v>=</v>
      </c>
      <c r="N6110">
        <f>J6110+L6110</f>
        <v>0.37</v>
      </c>
      <c r="T6110" t="str">
        <v>x</v>
      </c>
      <c r="U6110">
        <f>0.006165*F6110^2</f>
        <v>0</v>
      </c>
      <c r="V6110" t="str">
        <v>x</v>
      </c>
      <c r="W6110">
        <f>W6106</f>
        <v>17</v>
      </c>
      <c r="X6110" t="str">
        <v>x</v>
      </c>
      <c r="Y6110">
        <f>D6094</f>
        <v>0</v>
      </c>
      <c r="Z6110" t="str">
        <v>=</v>
      </c>
      <c r="AA6110">
        <f>N6110*U6110*W6110*Y6110</f>
        <v>0</v>
      </c>
    </row>
    <row r="6114">
      <c r="A6114" t="str">
        <f>A6084</f>
        <v>Lantai 2</v>
      </c>
      <c r="B6114">
        <f>B6084+1</f>
        <v>9</v>
      </c>
      <c r="C6114" t="str">
        <f>CONCATENATE(A6114," no. ",B6114)</f>
        <v>Lantai 2 no. 9</v>
      </c>
      <c r="D6114" t="str">
        <f>VLOOKUP(C6114,'Data Panjang Balok'!$C$9:$N$424,2,FALSE)</f>
        <v>B36-1</v>
      </c>
    </row>
    <row r="6115">
      <c r="C6115" t="str">
        <v>Dimensi</v>
      </c>
      <c r="D6115">
        <f>VLOOKUP(D6114,'Detail Balok'!$C$10:$AU$110,2,FALSE)</f>
        <v>300</v>
      </c>
      <c r="F6115" t="str">
        <v>x</v>
      </c>
      <c r="G6115">
        <f>VLOOKUP(D6114,'Detail Balok'!$C$10:$AU$110,3,FALSE)</f>
        <v>600</v>
      </c>
    </row>
    <row r="6116">
      <c r="C6116" t="str">
        <v>Panjang as ke as</v>
      </c>
      <c r="D6116">
        <f>VLOOKUP(C6114,'Data Panjang Balok'!$C$9:$N$424,4,FALSE)</f>
        <v>4265</v>
      </c>
    </row>
    <row r="6117">
      <c r="C6117" t="str">
        <v>Panjang netto</v>
      </c>
      <c r="D6117">
        <f>VLOOKUP(C6114,'Data Panjang Balok'!$C$9:$N$424,7,FALSE)</f>
        <v>4265</v>
      </c>
    </row>
    <row r="6118">
      <c r="C6118" t="str">
        <v>Kolom / balok kiri</v>
      </c>
      <c r="D6118">
        <f>VLOOKUP(C6114,'Data Panjang Balok'!$C$9:$N$424,9,FALSE)</f>
        <v>0</v>
      </c>
    </row>
    <row r="6119">
      <c r="C6119" t="str">
        <v>Kolom / balok kanan</v>
      </c>
      <c r="D6119">
        <f>VLOOKUP(C6114,'Data Panjang Balok'!$C$9:$N$424,10,FALSE)</f>
        <v>0</v>
      </c>
    </row>
    <row r="6120">
      <c r="C6120" t="str">
        <v>Jumlah</v>
      </c>
      <c r="D6120">
        <f>VLOOKUP(C6114,'Data Panjang Balok'!$C$9:$N$424,3,FALSE)</f>
        <v>1</v>
      </c>
    </row>
    <row r="6121">
      <c r="A6121" t="str">
        <f>A6114</f>
        <v>Lantai 2</v>
      </c>
      <c r="B6121">
        <f>B6114</f>
        <v>9</v>
      </c>
      <c r="C6121" t="str">
        <v>Tul Atas Tumpuan</v>
      </c>
      <c r="D6121">
        <f>VLOOKUP(D6114,'Detail Balok'!$C$10:$AU$110,4,FALSE)</f>
        <v>5</v>
      </c>
      <c r="E6121" t="str">
        <v>D</v>
      </c>
      <c r="F6121">
        <f>VLOOKUP(D6114,'Detail Balok'!$C$10:$AU$110,6,FALSE)</f>
        <v>16</v>
      </c>
      <c r="I6121" t="str">
        <v>(</v>
      </c>
      <c r="J6121">
        <f>+D6116/4/1000</f>
        <v>1.06625</v>
      </c>
      <c r="K6121" t="str">
        <v>+</v>
      </c>
      <c r="L6121">
        <f>MAX(VLOOKUP(F6121,N$6:P$15,3,FALSE)/1000,2/3*D6118/1000)+F$16*F6121/1000</f>
        <v>0.192</v>
      </c>
      <c r="M6121" t="str">
        <v>=</v>
      </c>
      <c r="N6121">
        <f>J6121+L6121</f>
        <v>1.2582499999999999</v>
      </c>
      <c r="O6121" t="str">
        <v>+</v>
      </c>
      <c r="P6121">
        <f>D6121-D6122</f>
        <v>2</v>
      </c>
      <c r="Q6121" t="str">
        <v>x</v>
      </c>
      <c r="R6121">
        <f>IF(P6121&gt;0,$F$18*F6121/1000,0)</f>
        <v>0.24</v>
      </c>
      <c r="S6121" t="str">
        <v>)</v>
      </c>
      <c r="T6121" t="str">
        <v>x</v>
      </c>
      <c r="U6121">
        <f>0.006165*F6121^2</f>
        <v>1.57824</v>
      </c>
      <c r="X6121" t="str">
        <v>x</v>
      </c>
      <c r="Y6121">
        <f>D6120</f>
        <v>1</v>
      </c>
      <c r="Z6121" t="str">
        <v>=</v>
      </c>
      <c r="AA6121">
        <f>IF(AA6124=0,(D6121*N6121+P6121*R6121)*U6121*Y6121,0)</f>
        <v>10.6866576</v>
      </c>
    </row>
    <row r="6122">
      <c r="A6122" t="str">
        <f>A6114</f>
        <v>Lantai 2</v>
      </c>
      <c r="B6122">
        <f>B6114</f>
        <v>9</v>
      </c>
      <c r="C6122" t="str">
        <v>Tul Atas Lapangan</v>
      </c>
      <c r="D6122">
        <f>VLOOKUP(D6114,'Detail Balok'!$C$10:$AU$110,7,FALSE)</f>
        <v>3</v>
      </c>
      <c r="E6122" t="str">
        <v>D</v>
      </c>
      <c r="F6122">
        <f>VLOOKUP(D6114,'Detail Balok'!$C$10:$AU$110,9,FALSE)</f>
        <v>16</v>
      </c>
      <c r="I6122" t="str">
        <v>(</v>
      </c>
      <c r="J6122">
        <f>+D6116/2/1000</f>
        <v>2.1325</v>
      </c>
      <c r="K6122" t="str">
        <v>+</v>
      </c>
      <c r="M6122" t="str">
        <v>=</v>
      </c>
      <c r="N6122">
        <f>J6122+L6122</f>
        <v>2.1325</v>
      </c>
      <c r="O6122" t="str">
        <v>+</v>
      </c>
      <c r="P6122">
        <f>MAX(D6122-D6121,D6122-D6123)</f>
        <v>-2</v>
      </c>
      <c r="Q6122" t="str">
        <v>x</v>
      </c>
      <c r="R6122">
        <f>IF(P6122&gt;0,2*(1-2*$F$19-1/2)*D6117/1000,0)</f>
        <v>0</v>
      </c>
      <c r="S6122" t="str">
        <v>)</v>
      </c>
      <c r="T6122" t="str">
        <v>x</v>
      </c>
      <c r="U6122">
        <f>0.006165*F6122^2</f>
        <v>1.57824</v>
      </c>
      <c r="X6122" t="str">
        <v>x</v>
      </c>
      <c r="Y6122">
        <f>D6120</f>
        <v>1</v>
      </c>
      <c r="Z6122" t="str">
        <v>=</v>
      </c>
      <c r="AA6122">
        <f>IF(AA6124=0,(D6122*N6122+P6122*R6122)*U6122*Y6122,0)</f>
        <v>10.0967904</v>
      </c>
    </row>
    <row r="6123">
      <c r="A6123" t="str">
        <f>A6114</f>
        <v>Lantai 2</v>
      </c>
      <c r="B6123">
        <f>B6114</f>
        <v>9</v>
      </c>
      <c r="C6123" t="str">
        <v>Tul Atas Tumpuan</v>
      </c>
      <c r="D6123">
        <f>VLOOKUP(D6114,'Detail Balok'!$C$10:$AU$110,10,FALSE)</f>
        <v>5</v>
      </c>
      <c r="E6123" t="str">
        <v>D</v>
      </c>
      <c r="F6123">
        <f>VLOOKUP(D6114,'Detail Balok'!$C$10:$AU$110,12,FALSE)</f>
        <v>16</v>
      </c>
      <c r="I6123" t="str">
        <v>(</v>
      </c>
      <c r="J6123">
        <f>+D6116/4/1000</f>
        <v>1.06625</v>
      </c>
      <c r="K6123" t="str">
        <v>+</v>
      </c>
      <c r="L6123">
        <f>MAX(VLOOKUP(F6123,N$6:P$15,3,FALSE)/1000,2/3*D6118/1000)+F$16*F6123/1000</f>
        <v>0.192</v>
      </c>
      <c r="M6123" t="str">
        <v>=</v>
      </c>
      <c r="N6123">
        <f>J6123+L6123</f>
        <v>1.2582499999999999</v>
      </c>
      <c r="O6123" t="str">
        <v>+</v>
      </c>
      <c r="P6123">
        <f>D6123-D6122</f>
        <v>2</v>
      </c>
      <c r="Q6123" t="str">
        <v>x</v>
      </c>
      <c r="R6123">
        <f>IF(P6123&gt;0,$F$18*F6123/1000,0)</f>
        <v>0.24</v>
      </c>
      <c r="S6123" t="str">
        <v>)</v>
      </c>
      <c r="T6123" t="str">
        <v>x</v>
      </c>
      <c r="U6123">
        <f>0.006165*F6123^2</f>
        <v>1.57824</v>
      </c>
      <c r="X6123" t="str">
        <v>x</v>
      </c>
      <c r="Y6123">
        <f>D6120</f>
        <v>1</v>
      </c>
      <c r="Z6123" t="str">
        <v>=</v>
      </c>
      <c r="AA6123">
        <f>IF(AA6124=0,(D6123*N6123+P6123*R6123)*U6123*Y6123,0)</f>
        <v>10.6866576</v>
      </c>
    </row>
    <row r="6124">
      <c r="A6124" t="str">
        <f>A6114</f>
        <v>Lantai 2</v>
      </c>
      <c r="B6124">
        <f>B6114</f>
        <v>9</v>
      </c>
      <c r="D6124">
        <f>IF(AND(D6121=D6122,D6122=D6123,D6121=D6123),D6121,0)</f>
        <v>0</v>
      </c>
      <c r="E6124" t="str">
        <v>D</v>
      </c>
      <c r="F6124">
        <f>IF(AND(F6121=F6122,F6121=F6123,F6122=F6123),F6121,0)</f>
        <v>16</v>
      </c>
      <c r="L6124" t="str">
        <v>Total panjang per balok</v>
      </c>
      <c r="M6124" t="str">
        <v>=</v>
      </c>
      <c r="N6124">
        <f>IF(AND(D6121=D6122,D6121=D6123,D6122=D6123,F6121=F6122,F6121=F6123,F6122=F6123),SUM(N6121:N6123),0)</f>
        <v>0</v>
      </c>
      <c r="O6124" t="str">
        <v>+</v>
      </c>
      <c r="P6124">
        <f>IF(N6124&gt;12,ROUNDDOWN(N6124/12,0),0)</f>
        <v>0</v>
      </c>
      <c r="Q6124" t="str">
        <v>x</v>
      </c>
      <c r="R6124">
        <f>IF(P6124&gt;0,MAX(VLOOKUP(F6124,$D$6:$G$15,3,FALSE),600),0)/1000</f>
        <v>0</v>
      </c>
      <c r="T6124" t="str">
        <v>x</v>
      </c>
      <c r="U6124">
        <f>U6123</f>
        <v>1.57824</v>
      </c>
      <c r="V6124" t="str">
        <v>x</v>
      </c>
      <c r="W6124">
        <f>D6124</f>
        <v>0</v>
      </c>
      <c r="X6124" t="str">
        <v>x</v>
      </c>
      <c r="Y6124">
        <f>Y6123</f>
        <v>1</v>
      </c>
      <c r="Z6124" t="str">
        <v>=</v>
      </c>
      <c r="AA6124">
        <f>(N6124+P6124*R6124/1000)*U6124*W6124*Y6124</f>
        <v>0</v>
      </c>
    </row>
    <row r="6126">
      <c r="A6126" t="str">
        <f>A6114</f>
        <v>Lantai 2</v>
      </c>
      <c r="B6126">
        <f>B6114</f>
        <v>9</v>
      </c>
      <c r="C6126" t="str">
        <v>Tul Peminggang</v>
      </c>
      <c r="D6126">
        <f>VLOOKUP(D6114,'Detail Balok'!$C$10:$AU$110,13,FALSE)</f>
        <v>2</v>
      </c>
      <c r="E6126" t="str">
        <v>D</v>
      </c>
      <c r="F6126">
        <f>VLOOKUP(D6114,'Detail Balok'!$C$10:$AU$110,15,FALSE)</f>
        <v>10</v>
      </c>
      <c r="J6126">
        <f>+D6116/1000</f>
        <v>4.265</v>
      </c>
      <c r="K6126" t="str">
        <v>+</v>
      </c>
      <c r="L6126">
        <f>2*$F$16*F6126/1000</f>
        <v>0.24</v>
      </c>
      <c r="M6126" t="str">
        <v>=</v>
      </c>
      <c r="N6126">
        <f>J6126+L6126</f>
        <v>4.505</v>
      </c>
      <c r="O6126" t="str">
        <v>+</v>
      </c>
      <c r="P6126">
        <f>IF(N6126&gt;12,ROUNDDOWN(N6126/12,0),0)</f>
        <v>0</v>
      </c>
      <c r="Q6126" t="str">
        <v>x</v>
      </c>
      <c r="R6126">
        <f>IF(P6126&gt;0,MAX(VLOOKUP(F6126,$D$6:$G$15,3,FALSE),600),0)/1000</f>
        <v>0</v>
      </c>
      <c r="T6126" t="str">
        <v>x</v>
      </c>
      <c r="U6126">
        <f>0.006165*F6126^2</f>
        <v>0.6165</v>
      </c>
      <c r="V6126" t="str">
        <v>x</v>
      </c>
      <c r="W6126">
        <f>+D6126</f>
        <v>2</v>
      </c>
      <c r="X6126" t="str">
        <v>x</v>
      </c>
      <c r="Y6126">
        <f>D6120</f>
        <v>1</v>
      </c>
      <c r="Z6126" t="str">
        <v>=</v>
      </c>
      <c r="AA6126">
        <f>(N6126+P6126*R6126/1000)*U6126*W6126*Y6126</f>
        <v>5.554665</v>
      </c>
    </row>
    <row r="6129">
      <c r="A6129" t="str">
        <f>A6114</f>
        <v>Lantai 2</v>
      </c>
      <c r="B6129">
        <f>B6114</f>
        <v>9</v>
      </c>
      <c r="C6129" t="str">
        <v>Tul Bawah Tumpuan</v>
      </c>
      <c r="D6129">
        <f>VLOOKUP(D6114,'Detail Balok'!$C$10:$AU$110,22,FALSE)</f>
        <v>3</v>
      </c>
      <c r="E6129" t="str">
        <v>D</v>
      </c>
      <c r="F6129">
        <f>VLOOKUP(D6114,'Detail Balok'!$C$10:$AU$110,24,FALSE)</f>
        <v>16</v>
      </c>
      <c r="I6129" t="str">
        <v>(</v>
      </c>
      <c r="J6129">
        <f>+J6121</f>
        <v>1.06625</v>
      </c>
      <c r="K6129" t="str">
        <v>+</v>
      </c>
      <c r="L6129">
        <f>MAX(VLOOKUP(F6129,N$6:P$15,3,FALSE)/1000,2/3*D6119/1000)+F$16*F6129/1000</f>
        <v>0.192</v>
      </c>
      <c r="M6129" t="str">
        <v>=</v>
      </c>
      <c r="N6129">
        <f>J6129+L6129</f>
        <v>1.2582499999999999</v>
      </c>
      <c r="O6129" t="str">
        <v>+</v>
      </c>
      <c r="P6129">
        <f>D6129-D6130</f>
        <v>-3</v>
      </c>
      <c r="Q6129" t="str">
        <v>x</v>
      </c>
      <c r="R6129">
        <f>IF(P6129&gt;0,$F$18*F6129/1000,0)</f>
        <v>0</v>
      </c>
      <c r="S6129" t="str">
        <v>)</v>
      </c>
      <c r="T6129" t="str">
        <v>x</v>
      </c>
      <c r="U6129">
        <f>0.006165*F6129^2</f>
        <v>1.57824</v>
      </c>
      <c r="X6129" t="str">
        <v>x</v>
      </c>
      <c r="Y6129">
        <f>D6120</f>
        <v>1</v>
      </c>
      <c r="Z6129" t="str">
        <v>=</v>
      </c>
      <c r="AA6129">
        <f>IF(AA6132=0,(D6129*N6129+P6129*R6129)*U6129*Y6129,0)</f>
        <v>5.957461439999999</v>
      </c>
    </row>
    <row r="6130">
      <c r="A6130" t="str">
        <f>A6114</f>
        <v>Lantai 2</v>
      </c>
      <c r="B6130">
        <f>B6114</f>
        <v>9</v>
      </c>
      <c r="C6130" t="str">
        <v>Tul Bawah Lapangan</v>
      </c>
      <c r="D6130">
        <f>VLOOKUP(D6114,'Detail Balok'!$C$10:$AU$110,25,FALSE)</f>
        <v>6</v>
      </c>
      <c r="E6130" t="str">
        <v>D</v>
      </c>
      <c r="F6130">
        <f>VLOOKUP(D6114,'Detail Balok'!$C$10:$AU$110,27,FALSE)</f>
        <v>16</v>
      </c>
      <c r="I6130" t="str">
        <v>(</v>
      </c>
      <c r="J6130">
        <f>+J6122</f>
        <v>2.1325</v>
      </c>
      <c r="K6130" t="str">
        <v>+</v>
      </c>
      <c r="M6130" t="str">
        <v>=</v>
      </c>
      <c r="N6130">
        <f>J6130+L6130</f>
        <v>2.1325</v>
      </c>
      <c r="O6130" t="str">
        <v>+</v>
      </c>
      <c r="P6130">
        <f>MAX(D6130-D6129,D6130-D6131)</f>
        <v>3</v>
      </c>
      <c r="Q6130" t="str">
        <v>x</v>
      </c>
      <c r="R6130">
        <f>IF(P6130&gt;0,2*(1-2*$F$19-1/2)*D6117/1000,0)</f>
        <v>0.8529999999999998</v>
      </c>
      <c r="S6130" t="str">
        <v>)</v>
      </c>
      <c r="T6130" t="str">
        <v>x</v>
      </c>
      <c r="U6130">
        <f>0.006165*F6130^2</f>
        <v>1.57824</v>
      </c>
      <c r="X6130" t="str">
        <v>x</v>
      </c>
      <c r="Y6130">
        <f>D6120</f>
        <v>1</v>
      </c>
      <c r="Z6130" t="str">
        <v>=</v>
      </c>
      <c r="AA6130">
        <f>IF(AA6132=0,(D6130*N6130+P6130*R6130)*U6130*Y6130,0)</f>
        <v>24.232296959999996</v>
      </c>
    </row>
    <row r="6131">
      <c r="A6131" t="str">
        <f>A6114</f>
        <v>Lantai 2</v>
      </c>
      <c r="B6131">
        <f>B6114</f>
        <v>9</v>
      </c>
      <c r="C6131" t="str">
        <v>Tul Bawah Tumpuan</v>
      </c>
      <c r="D6131">
        <f>VLOOKUP(D6114,'Detail Balok'!$C$10:$AU$110,28,FALSE)</f>
        <v>3</v>
      </c>
      <c r="E6131" t="str">
        <v>D</v>
      </c>
      <c r="F6131">
        <f>VLOOKUP(D6114,'Detail Balok'!$C$10:$AU$110,30,FALSE)</f>
        <v>16</v>
      </c>
      <c r="I6131" t="str">
        <v>(</v>
      </c>
      <c r="J6131">
        <f>+J6123</f>
        <v>1.06625</v>
      </c>
      <c r="K6131" t="str">
        <v>+</v>
      </c>
      <c r="L6131">
        <f>MAX(VLOOKUP(F6131,N$6:P$15,3,FALSE)/1000,2/3*D6119/1000)+F$16*F6131/1000</f>
        <v>0.192</v>
      </c>
      <c r="M6131" t="str">
        <v>=</v>
      </c>
      <c r="N6131">
        <f>J6131+L6131</f>
        <v>1.2582499999999999</v>
      </c>
      <c r="O6131" t="str">
        <v>+</v>
      </c>
      <c r="P6131">
        <f>D6131-D6130</f>
        <v>-3</v>
      </c>
      <c r="Q6131" t="str">
        <v>x</v>
      </c>
      <c r="R6131">
        <f>IF(P6131&gt;0,$F$18*F6131/1000,0)</f>
        <v>0</v>
      </c>
      <c r="S6131" t="str">
        <v>)</v>
      </c>
      <c r="T6131" t="str">
        <v>x</v>
      </c>
      <c r="U6131">
        <f>0.006165*F6131^2</f>
        <v>1.57824</v>
      </c>
      <c r="X6131" t="str">
        <v>x</v>
      </c>
      <c r="Y6131">
        <f>D6120</f>
        <v>1</v>
      </c>
      <c r="Z6131" t="str">
        <v>=</v>
      </c>
      <c r="AA6131">
        <f>IF(AA6132=0,(D6131*N6131+P6131*R6131)*U6131*Y6131,0)</f>
        <v>5.957461439999999</v>
      </c>
    </row>
    <row r="6132">
      <c r="A6132" t="str">
        <f>A6114</f>
        <v>Lantai 2</v>
      </c>
      <c r="B6132">
        <f>B6114</f>
        <v>9</v>
      </c>
      <c r="D6132">
        <f>IF(AND(D6129=D6130,D6130=D6131,D6129=D6131),D6129,0)</f>
        <v>0</v>
      </c>
      <c r="E6132" t="str">
        <v>D</v>
      </c>
      <c r="F6132">
        <f>IF(AND(F6129=F6130,F6129=F6131,F6130=F6131),F6129,0)</f>
        <v>16</v>
      </c>
      <c r="L6132" t="str">
        <v>Total panjang per balok</v>
      </c>
      <c r="M6132" t="str">
        <v>=</v>
      </c>
      <c r="N6132">
        <f>IF(AND(D6129=D6130,D6129=D6131,D6130=D6131,F6129=F6130,F6129=F6131,F6130=F6131),SUM(N6129:N6131),0)</f>
        <v>0</v>
      </c>
      <c r="O6132" t="str">
        <v>+</v>
      </c>
      <c r="P6132">
        <f>IF(N6132&gt;12,ROUNDDOWN(N6132/12,0),0)</f>
        <v>0</v>
      </c>
      <c r="Q6132" t="str">
        <v>x</v>
      </c>
      <c r="R6132">
        <f>IF(P6132&gt;0,MAX(VLOOKUP(F6132,$D$6:$G$15,3,FALSE),600),0)/1000</f>
        <v>0</v>
      </c>
      <c r="T6132" t="str">
        <v>x</v>
      </c>
      <c r="U6132">
        <f>U6131</f>
        <v>1.57824</v>
      </c>
      <c r="V6132" t="str">
        <v>x</v>
      </c>
      <c r="W6132">
        <f>D6132</f>
        <v>0</v>
      </c>
      <c r="X6132" t="str">
        <v>x</v>
      </c>
      <c r="Y6132">
        <f>Y6131</f>
        <v>1</v>
      </c>
      <c r="Z6132" t="str">
        <v>=</v>
      </c>
      <c r="AA6132">
        <f>(N6132+P6132*R6132/1000)*U6132*W6132*Y6132</f>
        <v>0</v>
      </c>
    </row>
    <row r="6134">
      <c r="A6134" t="str">
        <f>A6114</f>
        <v>Lantai 2</v>
      </c>
      <c r="B6134">
        <f>B6114</f>
        <v>9</v>
      </c>
      <c r="C6134" t="str">
        <v>Sengkang Tumpuan</v>
      </c>
      <c r="D6134">
        <f>VLOOKUP(D6114,'Detail Balok'!$C$10:$AU$110,31,FALSE)</f>
        <v>3</v>
      </c>
      <c r="E6134" t="str">
        <v>D</v>
      </c>
      <c r="F6134">
        <f>VLOOKUP(D6114,'Detail Balok'!$C$10:$AU$110,33,FALSE)</f>
        <v>10</v>
      </c>
      <c r="G6134" t="str">
        <v>-</v>
      </c>
      <c r="H6134">
        <f>VLOOKUP(D6114,'Detail Balok'!$C$10:$AU$110,35,FALSE)</f>
        <v>75</v>
      </c>
      <c r="J6134">
        <f>(IF(D6134=0,(2*(D6115+G6115))-(F$5*8),IF(D6134=3,(2*(D6115+G6115))-(F$5*8)+(G6115-2*F$5),IF(D6134=4,(2*(D6115+G6115))-(F$5*8)+2*(G6115-2*F$5)))))/1000</f>
        <v>2</v>
      </c>
      <c r="K6134" t="str">
        <v>+</v>
      </c>
      <c r="L6134">
        <f>IF(D6134=0,2*MAX(6*F6134,75),(D6134-1)*2*MAX(6*F6134,75))/1000</f>
        <v>0.3</v>
      </c>
      <c r="M6134" t="str">
        <v>=</v>
      </c>
      <c r="N6134">
        <f>J6134+L6134</f>
        <v>2.3</v>
      </c>
      <c r="T6134" t="str">
        <v>x</v>
      </c>
      <c r="U6134">
        <f>0.006165*F6134^2</f>
        <v>0.6165</v>
      </c>
      <c r="V6134" t="str">
        <v>x</v>
      </c>
      <c r="W6134">
        <f>IF(D6117&gt;4*G6115,ROUND(MAX(D6117/4,2*G6115)/H6134,0)+1,ROUND(D6117/H6134,0)+1)</f>
        <v>17</v>
      </c>
      <c r="X6134" t="str">
        <v>x</v>
      </c>
      <c r="Y6134">
        <f>D6120</f>
        <v>1</v>
      </c>
      <c r="Z6134" t="str">
        <v>=</v>
      </c>
      <c r="AA6134">
        <f>N6134*U6134*W6134*Y6134</f>
        <v>24.105150000000002</v>
      </c>
    </row>
    <row r="6135">
      <c r="A6135" t="str">
        <f>A6114</f>
        <v>Lantai 2</v>
      </c>
      <c r="B6135">
        <f>B6114</f>
        <v>9</v>
      </c>
      <c r="C6135" t="str">
        <v>Sengkang Lapangan</v>
      </c>
      <c r="D6135">
        <f>VLOOKUP(D6114,'Detail Balok'!$C$10:$AU$110,36,FALSE)</f>
        <v>0</v>
      </c>
      <c r="E6135" t="str">
        <v>D</v>
      </c>
      <c r="F6135">
        <f>VLOOKUP(D6114,'Detail Balok'!$C$10:$AU$110,38,FALSE)</f>
        <v>10</v>
      </c>
      <c r="G6135" t="str">
        <v>-</v>
      </c>
      <c r="H6135">
        <f>VLOOKUP(D6114,'Detail Balok'!$C$10:$AU$110,40,FALSE)</f>
        <v>200</v>
      </c>
      <c r="J6135">
        <f>(IF(D6135=0,(2*(D6115+G6115))-(F$5*8),IF(D6135=3,(2*(D6115+G6115))-(F$5*8)+(G6115-2*F$5),IF(D6135=4,(2*(D6115+G6115))-(F$5*8)+2*(G6115-2*F$5)))))/1000</f>
        <v>1.48</v>
      </c>
      <c r="K6135" t="str">
        <v>+</v>
      </c>
      <c r="L6135">
        <f>IF(D6135=0,2*MAX(6*F6135,75),(D6135-1)*2*MAX(6*F6135,75))/1000</f>
        <v>0.15</v>
      </c>
      <c r="M6135" t="str">
        <v>=</v>
      </c>
      <c r="N6135">
        <f>J6135+L6135</f>
        <v>1.63</v>
      </c>
      <c r="T6135" t="str">
        <v>x</v>
      </c>
      <c r="U6135">
        <f>0.006165*F6135^2</f>
        <v>0.6165</v>
      </c>
      <c r="V6135" t="str">
        <v>x</v>
      </c>
      <c r="W6135">
        <f>IF(D6117-MAX(D6117/4,2*G6115)*2&gt;0,ROUND((D6117-MAX(D6117/4,2*G6115)*2)/H6135,0),0)</f>
        <v>9</v>
      </c>
      <c r="X6135" t="str">
        <v>x</v>
      </c>
      <c r="Y6135">
        <f>D6120</f>
        <v>1</v>
      </c>
      <c r="Z6135" t="str">
        <v>=</v>
      </c>
      <c r="AA6135">
        <f>N6135*U6135*W6135*Y6135</f>
        <v>9.044055</v>
      </c>
    </row>
    <row r="6136">
      <c r="A6136" t="str">
        <f>A6114</f>
        <v>Lantai 2</v>
      </c>
      <c r="B6136">
        <f>B6114</f>
        <v>9</v>
      </c>
      <c r="C6136" t="str">
        <v>Sengkang Tumpuan</v>
      </c>
      <c r="D6136">
        <f>VLOOKUP(D6114,'Detail Balok'!$C$10:$AU$110,41,FALSE)</f>
        <v>3</v>
      </c>
      <c r="E6136" t="str">
        <v>D</v>
      </c>
      <c r="F6136">
        <f>VLOOKUP(D6114,'Detail Balok'!$C$10:$AU$110,43,FALSE)</f>
        <v>10</v>
      </c>
      <c r="G6136" t="str">
        <v>-</v>
      </c>
      <c r="H6136">
        <f>VLOOKUP(D6114,'Detail Balok'!$C$10:$AU$110,45,FALSE)</f>
        <v>75</v>
      </c>
      <c r="J6136">
        <f>(IF(D6136=0,(2*(D6115+G6115))-(F$5*8),IF(D6136=3,(2*(D6115+G6115))-(F$5*8)+(G6115-2*F$5),IF(D6136=4,(2*(D6115+G6115))-(F$5*8)+2*(G6115-2*F$5)))))/1000</f>
        <v>2</v>
      </c>
      <c r="K6136" t="str">
        <v>+</v>
      </c>
      <c r="L6136">
        <f>IF(D6136=0,2*MAX(6*F6136,75),(D6136-1)*2*MAX(6*F6136,75))/1000</f>
        <v>0.3</v>
      </c>
      <c r="M6136" t="str">
        <v>=</v>
      </c>
      <c r="N6136">
        <f>J6136+L6136</f>
        <v>2.3</v>
      </c>
      <c r="T6136" t="str">
        <v>x</v>
      </c>
      <c r="U6136">
        <f>0.006165*F6136^2</f>
        <v>0.6165</v>
      </c>
      <c r="V6136" t="str">
        <v>x</v>
      </c>
      <c r="W6136">
        <f>IF(D6117&gt;4*G6115,ROUND(MAX(D6117/4,2*G6115)/H6136,0)+1,0)</f>
        <v>17</v>
      </c>
      <c r="X6136" t="str">
        <v>x</v>
      </c>
      <c r="Y6136">
        <f>D6120</f>
        <v>1</v>
      </c>
      <c r="Z6136" t="str">
        <v>=</v>
      </c>
      <c r="AA6136">
        <f>N6136*U6136*W6136*Y6136</f>
        <v>24.105150000000002</v>
      </c>
    </row>
    <row r="6138">
      <c r="A6138" t="str">
        <f>A6114</f>
        <v>Lantai 2</v>
      </c>
      <c r="B6138">
        <f>B6114</f>
        <v>9</v>
      </c>
      <c r="C6138" t="str">
        <v>Kait Horizontal Tump.</v>
      </c>
      <c r="D6138">
        <f>VLOOKUP(D6114,'Detail Balok'!$C$10:$BJ$110,46,FALSE)</f>
        <v>0</v>
      </c>
      <c r="E6138" t="str">
        <v>D</v>
      </c>
      <c r="F6138">
        <f>VLOOKUP(D6114,'Detail Balok'!$C$10:$BJ$110,48,FALSE)</f>
        <v>0</v>
      </c>
      <c r="G6138" t="str">
        <v>-</v>
      </c>
      <c r="H6138">
        <f>VLOOKUP(D6114,'Detail Balok'!$C$10:$BJ$110,50,FALSE)</f>
        <v>100</v>
      </c>
      <c r="J6138">
        <f>(D6115-2*F$5)/1000</f>
        <v>0.22</v>
      </c>
      <c r="K6138" t="str">
        <v>+</v>
      </c>
      <c r="L6138">
        <f>IF(D6138=0,2*MAX(6*F6138,75),(D6138-1)*2*MAX(6*F6138,75))/1000</f>
        <v>0.15</v>
      </c>
      <c r="M6138" t="str">
        <v>=</v>
      </c>
      <c r="N6138">
        <f>J6138+L6138</f>
        <v>0.37</v>
      </c>
      <c r="T6138" t="str">
        <v>x</v>
      </c>
      <c r="U6138">
        <f>0.006165*F6138^2</f>
        <v>0</v>
      </c>
      <c r="V6138" t="str">
        <v>x</v>
      </c>
      <c r="W6138">
        <f>W6134</f>
        <v>17</v>
      </c>
      <c r="X6138" t="str">
        <v>x</v>
      </c>
      <c r="Y6138">
        <f>D6124</f>
        <v>0</v>
      </c>
      <c r="Z6138" t="str">
        <v>=</v>
      </c>
      <c r="AA6138">
        <f>N6138*U6138*W6138*Y6138</f>
        <v>0</v>
      </c>
    </row>
    <row r="6139">
      <c r="A6139" t="str">
        <f>A6114</f>
        <v>Lantai 2</v>
      </c>
      <c r="B6139">
        <f>B6114</f>
        <v>9</v>
      </c>
      <c r="C6139" t="str">
        <v>Kait Horizontal Lap.</v>
      </c>
      <c r="D6139">
        <f>VLOOKUP(D6114,'Detail Balok'!$C$10:$BJ$110,51,FALSE)</f>
        <v>0</v>
      </c>
      <c r="E6139" t="str">
        <v>D</v>
      </c>
      <c r="F6139">
        <f>VLOOKUP(D6114,'Detail Balok'!$C$10:$BJ$110,53,FALSE)</f>
        <v>0</v>
      </c>
      <c r="G6139" t="str">
        <v>-</v>
      </c>
      <c r="H6139">
        <f>VLOOKUP(D6114,'Detail Balok'!$C$10:$BJ$110,55,FALSE)</f>
        <v>100</v>
      </c>
      <c r="J6139">
        <f>(D6115-2*F$5)/1000</f>
        <v>0.22</v>
      </c>
      <c r="K6139" t="str">
        <v>+</v>
      </c>
      <c r="L6139">
        <f>IF(D6139=0,2*MAX(6*F6139,75),(D6139-1)*2*MAX(6*F6139,75))/1000</f>
        <v>0.15</v>
      </c>
      <c r="M6139" t="str">
        <v>=</v>
      </c>
      <c r="N6139">
        <f>J6139+L6139</f>
        <v>0.37</v>
      </c>
      <c r="T6139" t="str">
        <v>x</v>
      </c>
      <c r="U6139">
        <f>0.006165*F6139^2</f>
        <v>0</v>
      </c>
      <c r="V6139" t="str">
        <v>x</v>
      </c>
      <c r="W6139">
        <f>W6135</f>
        <v>9</v>
      </c>
      <c r="X6139" t="str">
        <v>x</v>
      </c>
      <c r="Y6139">
        <f>D6124</f>
        <v>0</v>
      </c>
      <c r="Z6139" t="str">
        <v>=</v>
      </c>
      <c r="AA6139">
        <f>N6139*U6139*W6139*Y6139</f>
        <v>0</v>
      </c>
    </row>
    <row r="6140">
      <c r="A6140" t="str">
        <f>A6114</f>
        <v>Lantai 2</v>
      </c>
      <c r="B6140">
        <f>B6114</f>
        <v>9</v>
      </c>
      <c r="C6140" t="str">
        <v>Kait Horizontal Tump.</v>
      </c>
      <c r="D6140">
        <f>VLOOKUP(D6114,'Detail Balok'!$C$10:$BJ$110,56,FALSE)</f>
        <v>0</v>
      </c>
      <c r="E6140" t="str">
        <v>D</v>
      </c>
      <c r="F6140">
        <f>VLOOKUP(D6114,'Detail Balok'!$C$10:$BJ$110,58,FALSE)</f>
        <v>0</v>
      </c>
      <c r="G6140" t="str">
        <v>-</v>
      </c>
      <c r="H6140">
        <f>VLOOKUP(D6114,'Detail Balok'!$C$10:$BJ$110,60,FALSE)</f>
        <v>100</v>
      </c>
      <c r="J6140">
        <f>(D6115-2*F$5)/1000</f>
        <v>0.22</v>
      </c>
      <c r="K6140" t="str">
        <v>+</v>
      </c>
      <c r="L6140">
        <f>IF(D6140=0,2*MAX(6*F6140,75),(D6140-1)*2*MAX(6*F6140,75))/1000</f>
        <v>0.15</v>
      </c>
      <c r="M6140" t="str">
        <v>=</v>
      </c>
      <c r="N6140">
        <f>J6140+L6140</f>
        <v>0.37</v>
      </c>
      <c r="T6140" t="str">
        <v>x</v>
      </c>
      <c r="U6140">
        <f>0.006165*F6140^2</f>
        <v>0</v>
      </c>
      <c r="V6140" t="str">
        <v>x</v>
      </c>
      <c r="W6140">
        <f>W6136</f>
        <v>17</v>
      </c>
      <c r="X6140" t="str">
        <v>x</v>
      </c>
      <c r="Y6140">
        <f>D6124</f>
        <v>0</v>
      </c>
      <c r="Z6140" t="str">
        <v>=</v>
      </c>
      <c r="AA6140">
        <f>N6140*U6140*W6140*Y6140</f>
        <v>0</v>
      </c>
    </row>
    <row r="6144">
      <c r="A6144" t="str">
        <f>A6114</f>
        <v>Lantai 2</v>
      </c>
      <c r="B6144">
        <f>B6114+1</f>
        <v>10</v>
      </c>
      <c r="C6144" t="str">
        <f>CONCATENATE(A6144," no. ",B6144)</f>
        <v>Lantai 2 no. 10</v>
      </c>
      <c r="D6144" t="str">
        <f>VLOOKUP(C6144,'Data Panjang Balok'!$C$9:$N$424,2,FALSE)</f>
        <v>B245-1</v>
      </c>
    </row>
    <row r="6145">
      <c r="C6145" t="str">
        <v>Dimensi</v>
      </c>
      <c r="D6145">
        <f>VLOOKUP(D6144,'Detail Balok'!$C$10:$AU$110,2,FALSE)</f>
        <v>200</v>
      </c>
      <c r="F6145" t="str">
        <v>x</v>
      </c>
      <c r="G6145">
        <f>VLOOKUP(D6144,'Detail Balok'!$C$10:$AU$110,3,FALSE)</f>
        <v>450</v>
      </c>
    </row>
    <row r="6146">
      <c r="C6146" t="str">
        <v>Panjang as ke as</v>
      </c>
      <c r="D6146">
        <f>VLOOKUP(C6144,'Data Panjang Balok'!$C$9:$N$424,4,FALSE)</f>
        <v>1050</v>
      </c>
    </row>
    <row r="6147">
      <c r="C6147" t="str">
        <v>Panjang netto</v>
      </c>
      <c r="D6147">
        <f>VLOOKUP(C6144,'Data Panjang Balok'!$C$9:$N$424,7,FALSE)</f>
        <v>1050</v>
      </c>
    </row>
    <row r="6148">
      <c r="C6148" t="str">
        <v>Kolom / balok kiri</v>
      </c>
      <c r="D6148">
        <f>VLOOKUP(C6144,'Data Panjang Balok'!$C$9:$N$424,9,FALSE)</f>
        <v>0</v>
      </c>
    </row>
    <row r="6149">
      <c r="C6149" t="str">
        <v>Kolom / balok kanan</v>
      </c>
      <c r="D6149">
        <f>VLOOKUP(C6144,'Data Panjang Balok'!$C$9:$N$424,10,FALSE)</f>
        <v>0</v>
      </c>
    </row>
    <row r="6150">
      <c r="C6150" t="str">
        <v>Jumlah</v>
      </c>
      <c r="D6150">
        <f>VLOOKUP(C6144,'Data Panjang Balok'!$C$9:$N$424,3,FALSE)</f>
        <v>1</v>
      </c>
    </row>
    <row r="6151">
      <c r="A6151" t="str">
        <f>A6144</f>
        <v>Lantai 2</v>
      </c>
      <c r="B6151">
        <f>B6144</f>
        <v>10</v>
      </c>
      <c r="C6151" t="str">
        <v>Tul Atas Tumpuan</v>
      </c>
      <c r="D6151">
        <f>VLOOKUP(D6144,'Detail Balok'!$C$10:$AU$110,4,FALSE)</f>
        <v>2</v>
      </c>
      <c r="E6151" t="str">
        <v>D</v>
      </c>
      <c r="F6151">
        <f>VLOOKUP(D6144,'Detail Balok'!$C$10:$AU$110,6,FALSE)</f>
        <v>13</v>
      </c>
      <c r="I6151" t="str">
        <v>(</v>
      </c>
      <c r="J6151">
        <f>+D6146/4/1000</f>
        <v>0.2625</v>
      </c>
      <c r="K6151" t="str">
        <v>+</v>
      </c>
      <c r="L6151">
        <f>MAX(VLOOKUP(F6151,N$6:P$15,3,FALSE)/1000,2/3*D6148/1000)+F$16*F6151/1000</f>
        <v>0.156</v>
      </c>
      <c r="M6151" t="str">
        <v>=</v>
      </c>
      <c r="N6151">
        <f>J6151+L6151</f>
        <v>0.4185</v>
      </c>
      <c r="O6151" t="str">
        <v>+</v>
      </c>
      <c r="P6151">
        <f>D6151-D6152</f>
        <v>0</v>
      </c>
      <c r="Q6151" t="str">
        <v>x</v>
      </c>
      <c r="R6151">
        <f>IF(P6151&gt;0,$F$18*F6151/1000,0)</f>
        <v>0</v>
      </c>
      <c r="S6151" t="str">
        <v>)</v>
      </c>
      <c r="T6151" t="str">
        <v>x</v>
      </c>
      <c r="U6151">
        <f>0.006165*F6151^2</f>
        <v>1.041885</v>
      </c>
      <c r="X6151" t="str">
        <v>x</v>
      </c>
      <c r="Y6151">
        <f>D6150</f>
        <v>1</v>
      </c>
      <c r="Z6151" t="str">
        <v>=</v>
      </c>
      <c r="AA6151">
        <f>IF(AA6154=0,(D6151*N6151+P6151*R6151)*U6151*Y6151,0)</f>
        <v>0</v>
      </c>
    </row>
    <row r="6152">
      <c r="A6152" t="str">
        <f>A6144</f>
        <v>Lantai 2</v>
      </c>
      <c r="B6152">
        <f>B6144</f>
        <v>10</v>
      </c>
      <c r="C6152" t="str">
        <v>Tul Atas Lapangan</v>
      </c>
      <c r="D6152">
        <f>VLOOKUP(D6144,'Detail Balok'!$C$10:$AU$110,7,FALSE)</f>
        <v>2</v>
      </c>
      <c r="E6152" t="str">
        <v>D</v>
      </c>
      <c r="F6152">
        <f>VLOOKUP(D6144,'Detail Balok'!$C$10:$AU$110,9,FALSE)</f>
        <v>13</v>
      </c>
      <c r="I6152" t="str">
        <v>(</v>
      </c>
      <c r="J6152">
        <f>+D6146/2/1000</f>
        <v>0.525</v>
      </c>
      <c r="K6152" t="str">
        <v>+</v>
      </c>
      <c r="M6152" t="str">
        <v>=</v>
      </c>
      <c r="N6152">
        <f>J6152+L6152</f>
        <v>0.525</v>
      </c>
      <c r="O6152" t="str">
        <v>+</v>
      </c>
      <c r="P6152">
        <f>MAX(D6152-D6151,D6152-D6153)</f>
        <v>0</v>
      </c>
      <c r="Q6152" t="str">
        <v>x</v>
      </c>
      <c r="R6152">
        <f>IF(P6152&gt;0,2*(1-2*$F$19-1/2)*D6147/1000,0)</f>
        <v>0</v>
      </c>
      <c r="S6152" t="str">
        <v>)</v>
      </c>
      <c r="T6152" t="str">
        <v>x</v>
      </c>
      <c r="U6152">
        <f>0.006165*F6152^2</f>
        <v>1.041885</v>
      </c>
      <c r="X6152" t="str">
        <v>x</v>
      </c>
      <c r="Y6152">
        <f>D6150</f>
        <v>1</v>
      </c>
      <c r="Z6152" t="str">
        <v>=</v>
      </c>
      <c r="AA6152">
        <f>IF(AA6154=0,(D6152*N6152+P6152*R6152)*U6152*Y6152,0)</f>
        <v>0</v>
      </c>
    </row>
    <row r="6153">
      <c r="A6153" t="str">
        <f>A6144</f>
        <v>Lantai 2</v>
      </c>
      <c r="B6153">
        <f>B6144</f>
        <v>10</v>
      </c>
      <c r="C6153" t="str">
        <v>Tul Atas Tumpuan</v>
      </c>
      <c r="D6153">
        <f>VLOOKUP(D6144,'Detail Balok'!$C$10:$AU$110,10,FALSE)</f>
        <v>2</v>
      </c>
      <c r="E6153" t="str">
        <v>D</v>
      </c>
      <c r="F6153">
        <f>VLOOKUP(D6144,'Detail Balok'!$C$10:$AU$110,12,FALSE)</f>
        <v>13</v>
      </c>
      <c r="I6153" t="str">
        <v>(</v>
      </c>
      <c r="J6153">
        <f>+D6146/4/1000</f>
        <v>0.2625</v>
      </c>
      <c r="K6153" t="str">
        <v>+</v>
      </c>
      <c r="L6153">
        <f>MAX(VLOOKUP(F6153,N$6:P$15,3,FALSE)/1000,2/3*D6148/1000)+F$16*F6153/1000</f>
        <v>0.156</v>
      </c>
      <c r="M6153" t="str">
        <v>=</v>
      </c>
      <c r="N6153">
        <f>J6153+L6153</f>
        <v>0.4185</v>
      </c>
      <c r="O6153" t="str">
        <v>+</v>
      </c>
      <c r="P6153">
        <f>D6153-D6152</f>
        <v>0</v>
      </c>
      <c r="Q6153" t="str">
        <v>x</v>
      </c>
      <c r="R6153">
        <f>IF(P6153&gt;0,$F$18*F6153/1000,0)</f>
        <v>0</v>
      </c>
      <c r="S6153" t="str">
        <v>)</v>
      </c>
      <c r="T6153" t="str">
        <v>x</v>
      </c>
      <c r="U6153">
        <f>0.006165*F6153^2</f>
        <v>1.041885</v>
      </c>
      <c r="X6153" t="str">
        <v>x</v>
      </c>
      <c r="Y6153">
        <f>D6150</f>
        <v>1</v>
      </c>
      <c r="Z6153" t="str">
        <v>=</v>
      </c>
      <c r="AA6153">
        <f>IF(AA6154=0,(D6153*N6153+P6153*R6153)*U6153*Y6153,0)</f>
        <v>0</v>
      </c>
    </row>
    <row r="6154">
      <c r="A6154" t="str">
        <f>A6144</f>
        <v>Lantai 2</v>
      </c>
      <c r="B6154">
        <f>B6144</f>
        <v>10</v>
      </c>
      <c r="D6154">
        <f>IF(AND(D6151=D6152,D6152=D6153,D6151=D6153),D6151,0)</f>
        <v>2</v>
      </c>
      <c r="E6154" t="str">
        <v>D</v>
      </c>
      <c r="F6154">
        <f>IF(AND(F6151=F6152,F6151=F6153,F6152=F6153),F6151,0)</f>
        <v>13</v>
      </c>
      <c r="L6154" t="str">
        <v>Total panjang per balok</v>
      </c>
      <c r="M6154" t="str">
        <v>=</v>
      </c>
      <c r="N6154">
        <f>IF(AND(D6151=D6152,D6151=D6153,D6152=D6153,F6151=F6152,F6151=F6153,F6152=F6153),SUM(N6151:N6153),0)</f>
        <v>1.362</v>
      </c>
      <c r="O6154" t="str">
        <v>+</v>
      </c>
      <c r="P6154">
        <f>IF(N6154&gt;12,ROUNDDOWN(N6154/12,0),0)</f>
        <v>0</v>
      </c>
      <c r="Q6154" t="str">
        <v>x</v>
      </c>
      <c r="R6154">
        <f>IF(P6154&gt;0,MAX(VLOOKUP(F6154,$D$6:$G$15,3,FALSE),600),0)/1000</f>
        <v>0</v>
      </c>
      <c r="T6154" t="str">
        <v>x</v>
      </c>
      <c r="U6154">
        <f>U6153</f>
        <v>1.041885</v>
      </c>
      <c r="V6154" t="str">
        <v>x</v>
      </c>
      <c r="W6154">
        <f>D6154</f>
        <v>2</v>
      </c>
      <c r="X6154" t="str">
        <v>x</v>
      </c>
      <c r="Y6154">
        <f>Y6153</f>
        <v>1</v>
      </c>
      <c r="Z6154" t="str">
        <v>=</v>
      </c>
      <c r="AA6154">
        <f>(N6154+P6154*R6154/1000)*U6154*W6154*Y6154</f>
        <v>2.8380947400000003</v>
      </c>
    </row>
    <row r="6156">
      <c r="A6156" t="str">
        <f>A6144</f>
        <v>Lantai 2</v>
      </c>
      <c r="B6156">
        <f>B6144</f>
        <v>10</v>
      </c>
      <c r="C6156" t="str">
        <v>Tul Peminggang</v>
      </c>
      <c r="D6156">
        <f>VLOOKUP(D6144,'Detail Balok'!$C$10:$AU$110,13,FALSE)</f>
        <v>2</v>
      </c>
      <c r="E6156" t="str">
        <v>D</v>
      </c>
      <c r="F6156">
        <f>VLOOKUP(D6144,'Detail Balok'!$C$10:$AU$110,15,FALSE)</f>
        <v>8</v>
      </c>
      <c r="J6156">
        <f>+D6146/1000</f>
        <v>1.05</v>
      </c>
      <c r="K6156" t="str">
        <v>+</v>
      </c>
      <c r="L6156">
        <f>2*$F$16*F6156/1000</f>
        <v>0.192</v>
      </c>
      <c r="M6156" t="str">
        <v>=</v>
      </c>
      <c r="N6156">
        <f>J6156+L6156</f>
        <v>1.242</v>
      </c>
      <c r="O6156" t="str">
        <v>+</v>
      </c>
      <c r="P6156">
        <f>IF(N6156&gt;12,ROUNDDOWN(N6156/12,0),0)</f>
        <v>0</v>
      </c>
      <c r="Q6156" t="str">
        <v>x</v>
      </c>
      <c r="R6156">
        <f>IF(P6156&gt;0,MAX(VLOOKUP(F6156,$D$6:$G$15,3,FALSE),600),0)/1000</f>
        <v>0</v>
      </c>
      <c r="T6156" t="str">
        <v>x</v>
      </c>
      <c r="U6156">
        <f>0.006165*F6156^2</f>
        <v>0.39456</v>
      </c>
      <c r="V6156" t="str">
        <v>x</v>
      </c>
      <c r="W6156">
        <f>+D6156</f>
        <v>2</v>
      </c>
      <c r="X6156" t="str">
        <v>x</v>
      </c>
      <c r="Y6156">
        <f>D6150</f>
        <v>1</v>
      </c>
      <c r="Z6156" t="str">
        <v>=</v>
      </c>
      <c r="AA6156">
        <f>(N6156+P6156*R6156/1000)*U6156*W6156*Y6156</f>
        <v>0.98008704</v>
      </c>
    </row>
    <row r="6159">
      <c r="A6159" t="str">
        <f>A6144</f>
        <v>Lantai 2</v>
      </c>
      <c r="B6159">
        <f>B6144</f>
        <v>10</v>
      </c>
      <c r="C6159" t="str">
        <v>Tul Bawah Tumpuan</v>
      </c>
      <c r="D6159">
        <f>VLOOKUP(D6144,'Detail Balok'!$C$10:$AU$110,22,FALSE)</f>
        <v>2</v>
      </c>
      <c r="E6159" t="str">
        <v>D</v>
      </c>
      <c r="F6159">
        <f>VLOOKUP(D6144,'Detail Balok'!$C$10:$AU$110,24,FALSE)</f>
        <v>13</v>
      </c>
      <c r="I6159" t="str">
        <v>(</v>
      </c>
      <c r="J6159">
        <f>+J6151</f>
        <v>0.2625</v>
      </c>
      <c r="K6159" t="str">
        <v>+</v>
      </c>
      <c r="L6159">
        <f>MAX(VLOOKUP(F6159,N$6:P$15,3,FALSE)/1000,2/3*D6149/1000)+F$16*F6159/1000</f>
        <v>0.156</v>
      </c>
      <c r="M6159" t="str">
        <v>=</v>
      </c>
      <c r="N6159">
        <f>J6159+L6159</f>
        <v>0.4185</v>
      </c>
      <c r="O6159" t="str">
        <v>+</v>
      </c>
      <c r="P6159">
        <f>D6159-D6160</f>
        <v>0</v>
      </c>
      <c r="Q6159" t="str">
        <v>x</v>
      </c>
      <c r="R6159">
        <f>IF(P6159&gt;0,$F$18*F6159/1000,0)</f>
        <v>0</v>
      </c>
      <c r="S6159" t="str">
        <v>)</v>
      </c>
      <c r="T6159" t="str">
        <v>x</v>
      </c>
      <c r="U6159">
        <f>0.006165*F6159^2</f>
        <v>1.041885</v>
      </c>
      <c r="X6159" t="str">
        <v>x</v>
      </c>
      <c r="Y6159">
        <f>D6150</f>
        <v>1</v>
      </c>
      <c r="Z6159" t="str">
        <v>=</v>
      </c>
      <c r="AA6159">
        <f>IF(AA6162=0,(D6159*N6159+P6159*R6159)*U6159*Y6159,0)</f>
        <v>0</v>
      </c>
    </row>
    <row r="6160">
      <c r="A6160" t="str">
        <f>A6144</f>
        <v>Lantai 2</v>
      </c>
      <c r="B6160">
        <f>B6144</f>
        <v>10</v>
      </c>
      <c r="C6160" t="str">
        <v>Tul Bawah Lapangan</v>
      </c>
      <c r="D6160">
        <f>VLOOKUP(D6144,'Detail Balok'!$C$10:$AU$110,25,FALSE)</f>
        <v>2</v>
      </c>
      <c r="E6160" t="str">
        <v>D</v>
      </c>
      <c r="F6160">
        <f>VLOOKUP(D6144,'Detail Balok'!$C$10:$AU$110,27,FALSE)</f>
        <v>13</v>
      </c>
      <c r="I6160" t="str">
        <v>(</v>
      </c>
      <c r="J6160">
        <f>+J6152</f>
        <v>0.525</v>
      </c>
      <c r="K6160" t="str">
        <v>+</v>
      </c>
      <c r="M6160" t="str">
        <v>=</v>
      </c>
      <c r="N6160">
        <f>J6160+L6160</f>
        <v>0.525</v>
      </c>
      <c r="O6160" t="str">
        <v>+</v>
      </c>
      <c r="P6160">
        <f>MAX(D6160-D6159,D6160-D6161)</f>
        <v>0</v>
      </c>
      <c r="Q6160" t="str">
        <v>x</v>
      </c>
      <c r="R6160">
        <f>IF(P6160&gt;0,2*(1-2*$F$19-1/2)*D6147/1000,0)</f>
        <v>0</v>
      </c>
      <c r="S6160" t="str">
        <v>)</v>
      </c>
      <c r="T6160" t="str">
        <v>x</v>
      </c>
      <c r="U6160">
        <f>0.006165*F6160^2</f>
        <v>1.041885</v>
      </c>
      <c r="X6160" t="str">
        <v>x</v>
      </c>
      <c r="Y6160">
        <f>D6150</f>
        <v>1</v>
      </c>
      <c r="Z6160" t="str">
        <v>=</v>
      </c>
      <c r="AA6160">
        <f>IF(AA6162=0,(D6160*N6160+P6160*R6160)*U6160*Y6160,0)</f>
        <v>0</v>
      </c>
    </row>
    <row r="6161">
      <c r="A6161" t="str">
        <f>A6144</f>
        <v>Lantai 2</v>
      </c>
      <c r="B6161">
        <f>B6144</f>
        <v>10</v>
      </c>
      <c r="C6161" t="str">
        <v>Tul Bawah Tumpuan</v>
      </c>
      <c r="D6161">
        <f>VLOOKUP(D6144,'Detail Balok'!$C$10:$AU$110,28,FALSE)</f>
        <v>2</v>
      </c>
      <c r="E6161" t="str">
        <v>D</v>
      </c>
      <c r="F6161">
        <f>VLOOKUP(D6144,'Detail Balok'!$C$10:$AU$110,30,FALSE)</f>
        <v>13</v>
      </c>
      <c r="I6161" t="str">
        <v>(</v>
      </c>
      <c r="J6161">
        <f>+J6153</f>
        <v>0.2625</v>
      </c>
      <c r="K6161" t="str">
        <v>+</v>
      </c>
      <c r="L6161">
        <f>MAX(VLOOKUP(F6161,N$6:P$15,3,FALSE)/1000,2/3*D6149/1000)+F$16*F6161/1000</f>
        <v>0.156</v>
      </c>
      <c r="M6161" t="str">
        <v>=</v>
      </c>
      <c r="N6161">
        <f>J6161+L6161</f>
        <v>0.4185</v>
      </c>
      <c r="O6161" t="str">
        <v>+</v>
      </c>
      <c r="P6161">
        <f>D6161-D6160</f>
        <v>0</v>
      </c>
      <c r="Q6161" t="str">
        <v>x</v>
      </c>
      <c r="R6161">
        <f>IF(P6161&gt;0,$F$18*F6161/1000,0)</f>
        <v>0</v>
      </c>
      <c r="S6161" t="str">
        <v>)</v>
      </c>
      <c r="T6161" t="str">
        <v>x</v>
      </c>
      <c r="U6161">
        <f>0.006165*F6161^2</f>
        <v>1.041885</v>
      </c>
      <c r="X6161" t="str">
        <v>x</v>
      </c>
      <c r="Y6161">
        <f>D6150</f>
        <v>1</v>
      </c>
      <c r="Z6161" t="str">
        <v>=</v>
      </c>
      <c r="AA6161">
        <f>IF(AA6162=0,(D6161*N6161+P6161*R6161)*U6161*Y6161,0)</f>
        <v>0</v>
      </c>
    </row>
    <row r="6162">
      <c r="A6162" t="str">
        <f>A6144</f>
        <v>Lantai 2</v>
      </c>
      <c r="B6162">
        <f>B6144</f>
        <v>10</v>
      </c>
      <c r="D6162">
        <f>IF(AND(D6159=D6160,D6160=D6161,D6159=D6161),D6159,0)</f>
        <v>2</v>
      </c>
      <c r="E6162" t="str">
        <v>D</v>
      </c>
      <c r="F6162">
        <f>IF(AND(F6159=F6160,F6159=F6161,F6160=F6161),F6159,0)</f>
        <v>13</v>
      </c>
      <c r="L6162" t="str">
        <v>Total panjang per balok</v>
      </c>
      <c r="M6162" t="str">
        <v>=</v>
      </c>
      <c r="N6162">
        <f>IF(AND(D6159=D6160,D6159=D6161,D6160=D6161,F6159=F6160,F6159=F6161,F6160=F6161),SUM(N6159:N6161),0)</f>
        <v>1.362</v>
      </c>
      <c r="O6162" t="str">
        <v>+</v>
      </c>
      <c r="P6162">
        <f>IF(N6162&gt;12,ROUNDDOWN(N6162/12,0),0)</f>
        <v>0</v>
      </c>
      <c r="Q6162" t="str">
        <v>x</v>
      </c>
      <c r="R6162">
        <f>IF(P6162&gt;0,MAX(VLOOKUP(F6162,$D$6:$G$15,3,FALSE),600),0)/1000</f>
        <v>0</v>
      </c>
      <c r="T6162" t="str">
        <v>x</v>
      </c>
      <c r="U6162">
        <f>U6161</f>
        <v>1.041885</v>
      </c>
      <c r="V6162" t="str">
        <v>x</v>
      </c>
      <c r="W6162">
        <f>D6162</f>
        <v>2</v>
      </c>
      <c r="X6162" t="str">
        <v>x</v>
      </c>
      <c r="Y6162">
        <f>Y6161</f>
        <v>1</v>
      </c>
      <c r="Z6162" t="str">
        <v>=</v>
      </c>
      <c r="AA6162">
        <f>(N6162+P6162*R6162/1000)*U6162*W6162*Y6162</f>
        <v>2.8380947400000003</v>
      </c>
    </row>
    <row r="6164">
      <c r="A6164" t="str">
        <f>A6144</f>
        <v>Lantai 2</v>
      </c>
      <c r="B6164">
        <f>B6144</f>
        <v>10</v>
      </c>
      <c r="C6164" t="str">
        <v>Sengkang Tumpuan</v>
      </c>
      <c r="D6164">
        <f>VLOOKUP(D6144,'Detail Balok'!$C$10:$AU$110,31,FALSE)</f>
        <v>0</v>
      </c>
      <c r="E6164" t="str">
        <v>D</v>
      </c>
      <c r="F6164">
        <f>VLOOKUP(D6144,'Detail Balok'!$C$10:$AU$110,33,FALSE)</f>
        <v>8</v>
      </c>
      <c r="G6164" t="str">
        <v>-</v>
      </c>
      <c r="H6164">
        <f>VLOOKUP(D6144,'Detail Balok'!$C$10:$AU$110,35,FALSE)</f>
        <v>100</v>
      </c>
      <c r="J6164">
        <f>(IF(D6164=0,(2*(D6145+G6145))-(F$5*8),IF(D6164=3,(2*(D6145+G6145))-(F$5*8)+(G6145-2*F$5),IF(D6164=4,(2*(D6145+G6145))-(F$5*8)+2*(G6145-2*F$5)))))/1000</f>
        <v>0.98</v>
      </c>
      <c r="K6164" t="str">
        <v>+</v>
      </c>
      <c r="L6164">
        <f>IF(D6164=0,2*MAX(6*F6164,75),(D6164-1)*2*MAX(6*F6164,75))/1000</f>
        <v>0.15</v>
      </c>
      <c r="M6164" t="str">
        <v>=</v>
      </c>
      <c r="N6164">
        <f>J6164+L6164</f>
        <v>1.13</v>
      </c>
      <c r="T6164" t="str">
        <v>x</v>
      </c>
      <c r="U6164">
        <f>0.006165*F6164^2</f>
        <v>0.39456</v>
      </c>
      <c r="V6164" t="str">
        <v>x</v>
      </c>
      <c r="W6164">
        <f>IF(D6147&gt;4*G6145,ROUND(MAX(D6147/4,2*G6145)/H6164,0)+1,ROUND(D6147/H6164,0)+1)</f>
        <v>12</v>
      </c>
      <c r="X6164" t="str">
        <v>x</v>
      </c>
      <c r="Y6164">
        <f>D6150</f>
        <v>1</v>
      </c>
      <c r="Z6164" t="str">
        <v>=</v>
      </c>
      <c r="AA6164">
        <f>N6164*U6164*W6164*Y6164</f>
        <v>5.3502336</v>
      </c>
    </row>
    <row r="6165">
      <c r="A6165" t="str">
        <f>A6144</f>
        <v>Lantai 2</v>
      </c>
      <c r="B6165">
        <f>B6144</f>
        <v>10</v>
      </c>
      <c r="C6165" t="str">
        <v>Sengkang Lapangan</v>
      </c>
      <c r="D6165">
        <f>VLOOKUP(D6144,'Detail Balok'!$C$10:$AU$110,36,FALSE)</f>
        <v>0</v>
      </c>
      <c r="E6165" t="str">
        <v>D</v>
      </c>
      <c r="F6165">
        <f>VLOOKUP(D6144,'Detail Balok'!$C$10:$AU$110,38,FALSE)</f>
        <v>8</v>
      </c>
      <c r="G6165" t="str">
        <v>-</v>
      </c>
      <c r="H6165">
        <f>VLOOKUP(D6144,'Detail Balok'!$C$10:$AU$110,40,FALSE)</f>
        <v>200</v>
      </c>
      <c r="J6165">
        <f>(IF(D6165=0,(2*(D6145+G6145))-(F$5*8),IF(D6165=3,(2*(D6145+G6145))-(F$5*8)+(G6145-2*F$5),IF(D6165=4,(2*(D6145+G6145))-(F$5*8)+2*(G6145-2*F$5)))))/1000</f>
        <v>0.98</v>
      </c>
      <c r="K6165" t="str">
        <v>+</v>
      </c>
      <c r="L6165">
        <f>IF(D6165=0,2*MAX(6*F6165,75),(D6165-1)*2*MAX(6*F6165,75))/1000</f>
        <v>0.15</v>
      </c>
      <c r="M6165" t="str">
        <v>=</v>
      </c>
      <c r="N6165">
        <f>J6165+L6165</f>
        <v>1.13</v>
      </c>
      <c r="T6165" t="str">
        <v>x</v>
      </c>
      <c r="U6165">
        <f>0.006165*F6165^2</f>
        <v>0.39456</v>
      </c>
      <c r="V6165" t="str">
        <v>x</v>
      </c>
      <c r="W6165">
        <f>IF(D6147-MAX(D6147/4,2*G6145)*2&gt;0,ROUND((D6147-MAX(D6147/4,2*G6145)*2)/H6165,0),0)</f>
        <v>0</v>
      </c>
      <c r="X6165" t="str">
        <v>x</v>
      </c>
      <c r="Y6165">
        <f>D6150</f>
        <v>1</v>
      </c>
      <c r="Z6165" t="str">
        <v>=</v>
      </c>
      <c r="AA6165">
        <f>N6165*U6165*W6165*Y6165</f>
        <v>0</v>
      </c>
    </row>
    <row r="6166">
      <c r="A6166" t="str">
        <f>A6144</f>
        <v>Lantai 2</v>
      </c>
      <c r="B6166">
        <f>B6144</f>
        <v>10</v>
      </c>
      <c r="C6166" t="str">
        <v>Sengkang Tumpuan</v>
      </c>
      <c r="D6166">
        <f>VLOOKUP(D6144,'Detail Balok'!$C$10:$AU$110,41,FALSE)</f>
        <v>0</v>
      </c>
      <c r="E6166" t="str">
        <v>D</v>
      </c>
      <c r="F6166">
        <f>VLOOKUP(D6144,'Detail Balok'!$C$10:$AU$110,43,FALSE)</f>
        <v>8</v>
      </c>
      <c r="G6166" t="str">
        <v>-</v>
      </c>
      <c r="H6166">
        <f>VLOOKUP(D6144,'Detail Balok'!$C$10:$AU$110,45,FALSE)</f>
        <v>100</v>
      </c>
      <c r="J6166">
        <f>(IF(D6166=0,(2*(D6145+G6145))-(F$5*8),IF(D6166=3,(2*(D6145+G6145))-(F$5*8)+(G6145-2*F$5),IF(D6166=4,(2*(D6145+G6145))-(F$5*8)+2*(G6145-2*F$5)))))/1000</f>
        <v>0.98</v>
      </c>
      <c r="K6166" t="str">
        <v>+</v>
      </c>
      <c r="L6166">
        <f>IF(D6166=0,2*MAX(6*F6166,75),(D6166-1)*2*MAX(6*F6166,75))/1000</f>
        <v>0.15</v>
      </c>
      <c r="M6166" t="str">
        <v>=</v>
      </c>
      <c r="N6166">
        <f>J6166+L6166</f>
        <v>1.13</v>
      </c>
      <c r="T6166" t="str">
        <v>x</v>
      </c>
      <c r="U6166">
        <f>0.006165*F6166^2</f>
        <v>0.39456</v>
      </c>
      <c r="V6166" t="str">
        <v>x</v>
      </c>
      <c r="W6166">
        <f>IF(D6147&gt;4*G6145,ROUND(MAX(D6147/4,2*G6145)/H6166,0)+1,0)</f>
        <v>0</v>
      </c>
      <c r="X6166" t="str">
        <v>x</v>
      </c>
      <c r="Y6166">
        <f>D6150</f>
        <v>1</v>
      </c>
      <c r="Z6166" t="str">
        <v>=</v>
      </c>
      <c r="AA6166">
        <f>N6166*U6166*W6166*Y6166</f>
        <v>0</v>
      </c>
    </row>
    <row r="6168">
      <c r="A6168" t="str">
        <f>A6144</f>
        <v>Lantai 2</v>
      </c>
      <c r="B6168">
        <f>B6144</f>
        <v>10</v>
      </c>
      <c r="C6168" t="str">
        <v>Kait Horizontal Tump.</v>
      </c>
      <c r="D6168">
        <f>VLOOKUP(D6144,'Detail Balok'!$C$10:$BJ$110,46,FALSE)</f>
        <v>0</v>
      </c>
      <c r="E6168" t="str">
        <v>D</v>
      </c>
      <c r="F6168">
        <f>VLOOKUP(D6144,'Detail Balok'!$C$10:$BJ$110,48,FALSE)</f>
        <v>0</v>
      </c>
      <c r="G6168" t="str">
        <v>-</v>
      </c>
      <c r="H6168">
        <f>VLOOKUP(D6144,'Detail Balok'!$C$10:$BJ$110,50,FALSE)</f>
        <v>100</v>
      </c>
      <c r="J6168">
        <f>(D6145-2*F$5)/1000</f>
        <v>0.12</v>
      </c>
      <c r="K6168" t="str">
        <v>+</v>
      </c>
      <c r="L6168">
        <f>IF(D6168=0,2*MAX(6*F6168,75),(D6168-1)*2*MAX(6*F6168,75))/1000</f>
        <v>0.15</v>
      </c>
      <c r="M6168" t="str">
        <v>=</v>
      </c>
      <c r="N6168">
        <f>J6168+L6168</f>
        <v>0.27</v>
      </c>
      <c r="T6168" t="str">
        <v>x</v>
      </c>
      <c r="U6168">
        <f>0.006165*F6168^2</f>
        <v>0</v>
      </c>
      <c r="V6168" t="str">
        <v>x</v>
      </c>
      <c r="W6168">
        <f>W6164</f>
        <v>12</v>
      </c>
      <c r="X6168" t="str">
        <v>x</v>
      </c>
      <c r="Y6168">
        <f>D6154</f>
        <v>2</v>
      </c>
      <c r="Z6168" t="str">
        <v>=</v>
      </c>
      <c r="AA6168">
        <f>N6168*U6168*W6168*Y6168</f>
        <v>0</v>
      </c>
    </row>
    <row r="6169">
      <c r="A6169" t="str">
        <f>A6144</f>
        <v>Lantai 2</v>
      </c>
      <c r="B6169">
        <f>B6144</f>
        <v>10</v>
      </c>
      <c r="C6169" t="str">
        <v>Kait Horizontal Lap.</v>
      </c>
      <c r="D6169">
        <f>VLOOKUP(D6144,'Detail Balok'!$C$10:$BJ$110,51,FALSE)</f>
        <v>0</v>
      </c>
      <c r="E6169" t="str">
        <v>D</v>
      </c>
      <c r="F6169">
        <f>VLOOKUP(D6144,'Detail Balok'!$C$10:$BJ$110,53,FALSE)</f>
        <v>0</v>
      </c>
      <c r="G6169" t="str">
        <v>-</v>
      </c>
      <c r="H6169">
        <f>VLOOKUP(D6144,'Detail Balok'!$C$10:$BJ$110,55,FALSE)</f>
        <v>100</v>
      </c>
      <c r="J6169">
        <f>(D6145-2*F$5)/1000</f>
        <v>0.12</v>
      </c>
      <c r="K6169" t="str">
        <v>+</v>
      </c>
      <c r="L6169">
        <f>IF(D6169=0,2*MAX(6*F6169,75),(D6169-1)*2*MAX(6*F6169,75))/1000</f>
        <v>0.15</v>
      </c>
      <c r="M6169" t="str">
        <v>=</v>
      </c>
      <c r="N6169">
        <f>J6169+L6169</f>
        <v>0.27</v>
      </c>
      <c r="T6169" t="str">
        <v>x</v>
      </c>
      <c r="U6169">
        <f>0.006165*F6169^2</f>
        <v>0</v>
      </c>
      <c r="V6169" t="str">
        <v>x</v>
      </c>
      <c r="W6169">
        <f>W6165</f>
        <v>0</v>
      </c>
      <c r="X6169" t="str">
        <v>x</v>
      </c>
      <c r="Y6169">
        <f>D6154</f>
        <v>2</v>
      </c>
      <c r="Z6169" t="str">
        <v>=</v>
      </c>
      <c r="AA6169">
        <f>N6169*U6169*W6169*Y6169</f>
        <v>0</v>
      </c>
    </row>
    <row r="6170">
      <c r="A6170" t="str">
        <f>A6144</f>
        <v>Lantai 2</v>
      </c>
      <c r="B6170">
        <f>B6144</f>
        <v>10</v>
      </c>
      <c r="C6170" t="str">
        <v>Kait Horizontal Tump.</v>
      </c>
      <c r="D6170">
        <f>VLOOKUP(D6144,'Detail Balok'!$C$10:$BJ$110,56,FALSE)</f>
        <v>0</v>
      </c>
      <c r="E6170" t="str">
        <v>D</v>
      </c>
      <c r="F6170">
        <f>VLOOKUP(D6144,'Detail Balok'!$C$10:$BJ$110,58,FALSE)</f>
        <v>0</v>
      </c>
      <c r="G6170" t="str">
        <v>-</v>
      </c>
      <c r="H6170">
        <f>VLOOKUP(D6144,'Detail Balok'!$C$10:$BJ$110,60,FALSE)</f>
        <v>100</v>
      </c>
      <c r="J6170">
        <f>(D6145-2*F$5)/1000</f>
        <v>0.12</v>
      </c>
      <c r="K6170" t="str">
        <v>+</v>
      </c>
      <c r="L6170">
        <f>IF(D6170=0,2*MAX(6*F6170,75),(D6170-1)*2*MAX(6*F6170,75))/1000</f>
        <v>0.15</v>
      </c>
      <c r="M6170" t="str">
        <v>=</v>
      </c>
      <c r="N6170">
        <f>J6170+L6170</f>
        <v>0.27</v>
      </c>
      <c r="T6170" t="str">
        <v>x</v>
      </c>
      <c r="U6170">
        <f>0.006165*F6170^2</f>
        <v>0</v>
      </c>
      <c r="V6170" t="str">
        <v>x</v>
      </c>
      <c r="W6170">
        <f>W6166</f>
        <v>0</v>
      </c>
      <c r="X6170" t="str">
        <v>x</v>
      </c>
      <c r="Y6170">
        <f>D6154</f>
        <v>2</v>
      </c>
      <c r="Z6170" t="str">
        <v>=</v>
      </c>
      <c r="AA6170">
        <f>N6170*U6170*W6170*Y6170</f>
        <v>0</v>
      </c>
    </row>
    <row r="6174">
      <c r="A6174" t="str">
        <f>A6144</f>
        <v>Lantai 2</v>
      </c>
      <c r="B6174">
        <f>B6144+1</f>
        <v>11</v>
      </c>
      <c r="C6174" t="str">
        <f>CONCATENATE(A6174," no. ",B6174)</f>
        <v>Lantai 2 no. 11</v>
      </c>
      <c r="D6174" t="str">
        <f>VLOOKUP(C6174,'Data Panjang Balok'!$C$9:$N$424,2,FALSE)</f>
        <v>B25-2</v>
      </c>
    </row>
    <row r="6175">
      <c r="C6175" t="str">
        <v>Dimensi</v>
      </c>
      <c r="D6175">
        <f>VLOOKUP(D6174,'Detail Balok'!$C$10:$AU$110,2,FALSE)</f>
        <v>200</v>
      </c>
      <c r="F6175" t="str">
        <v>x</v>
      </c>
      <c r="G6175">
        <f>VLOOKUP(D6174,'Detail Balok'!$C$10:$AU$110,3,FALSE)</f>
        <v>500</v>
      </c>
    </row>
    <row r="6176">
      <c r="C6176" t="str">
        <v>Panjang as ke as</v>
      </c>
      <c r="D6176">
        <f>VLOOKUP(C6174,'Data Panjang Balok'!$C$9:$N$424,4,FALSE)</f>
        <v>6000</v>
      </c>
    </row>
    <row r="6177">
      <c r="C6177" t="str">
        <v>Panjang netto</v>
      </c>
      <c r="D6177">
        <f>VLOOKUP(C6174,'Data Panjang Balok'!$C$9:$N$424,7,FALSE)</f>
        <v>6000</v>
      </c>
    </row>
    <row r="6178">
      <c r="C6178" t="str">
        <v>Kolom / balok kiri</v>
      </c>
      <c r="D6178">
        <f>VLOOKUP(C6174,'Data Panjang Balok'!$C$9:$N$424,9,FALSE)</f>
        <v>0</v>
      </c>
    </row>
    <row r="6179">
      <c r="C6179" t="str">
        <v>Kolom / balok kanan</v>
      </c>
      <c r="D6179">
        <f>VLOOKUP(C6174,'Data Panjang Balok'!$C$9:$N$424,10,FALSE)</f>
        <v>0</v>
      </c>
    </row>
    <row r="6180">
      <c r="C6180" t="str">
        <v>Jumlah</v>
      </c>
      <c r="D6180">
        <f>VLOOKUP(C6174,'Data Panjang Balok'!$C$9:$N$424,3,FALSE)</f>
        <v>1</v>
      </c>
    </row>
    <row r="6181">
      <c r="A6181" t="str">
        <f>A6174</f>
        <v>Lantai 2</v>
      </c>
      <c r="B6181">
        <f>B6174</f>
        <v>11</v>
      </c>
      <c r="C6181" t="str">
        <v>Tul Atas Tumpuan</v>
      </c>
      <c r="D6181">
        <f>VLOOKUP(D6174,'Detail Balok'!$C$10:$AU$110,4,FALSE)</f>
        <v>3</v>
      </c>
      <c r="E6181" t="str">
        <v>D</v>
      </c>
      <c r="F6181">
        <f>VLOOKUP(D6174,'Detail Balok'!$C$10:$AU$110,6,FALSE)</f>
        <v>16</v>
      </c>
      <c r="I6181" t="str">
        <v>(</v>
      </c>
      <c r="J6181">
        <f>+D6176/4/1000</f>
        <v>1.5</v>
      </c>
      <c r="K6181" t="str">
        <v>+</v>
      </c>
      <c r="L6181">
        <f>MAX(VLOOKUP(F6181,N$6:P$15,3,FALSE)/1000,2/3*D6178/1000)+F$16*F6181/1000</f>
        <v>0.192</v>
      </c>
      <c r="M6181" t="str">
        <v>=</v>
      </c>
      <c r="N6181">
        <f>J6181+L6181</f>
        <v>1.692</v>
      </c>
      <c r="O6181" t="str">
        <v>+</v>
      </c>
      <c r="P6181">
        <f>D6181-D6182</f>
        <v>0</v>
      </c>
      <c r="Q6181" t="str">
        <v>x</v>
      </c>
      <c r="R6181">
        <f>IF(P6181&gt;0,$F$18*F6181/1000,0)</f>
        <v>0</v>
      </c>
      <c r="S6181" t="str">
        <v>)</v>
      </c>
      <c r="T6181" t="str">
        <v>x</v>
      </c>
      <c r="U6181">
        <f>0.006165*F6181^2</f>
        <v>1.57824</v>
      </c>
      <c r="X6181" t="str">
        <v>x</v>
      </c>
      <c r="Y6181">
        <f>D6180</f>
        <v>1</v>
      </c>
      <c r="Z6181" t="str">
        <v>=</v>
      </c>
      <c r="AA6181">
        <f>IF(AA6184=0,(D6181*N6181+P6181*R6181)*U6181*Y6181,0)</f>
        <v>0</v>
      </c>
    </row>
    <row r="6182">
      <c r="A6182" t="str">
        <f>A6174</f>
        <v>Lantai 2</v>
      </c>
      <c r="B6182">
        <f>B6174</f>
        <v>11</v>
      </c>
      <c r="C6182" t="str">
        <v>Tul Atas Lapangan</v>
      </c>
      <c r="D6182">
        <f>VLOOKUP(D6174,'Detail Balok'!$C$10:$AU$110,7,FALSE)</f>
        <v>3</v>
      </c>
      <c r="E6182" t="str">
        <v>D</v>
      </c>
      <c r="F6182">
        <f>VLOOKUP(D6174,'Detail Balok'!$C$10:$AU$110,9,FALSE)</f>
        <v>16</v>
      </c>
      <c r="I6182" t="str">
        <v>(</v>
      </c>
      <c r="J6182">
        <f>+D6176/2/1000</f>
        <v>3</v>
      </c>
      <c r="K6182" t="str">
        <v>+</v>
      </c>
      <c r="M6182" t="str">
        <v>=</v>
      </c>
      <c r="N6182">
        <f>J6182+L6182</f>
        <v>3</v>
      </c>
      <c r="O6182" t="str">
        <v>+</v>
      </c>
      <c r="P6182">
        <f>MAX(D6182-D6181,D6182-D6183)</f>
        <v>0</v>
      </c>
      <c r="Q6182" t="str">
        <v>x</v>
      </c>
      <c r="R6182">
        <f>IF(P6182&gt;0,2*(1-2*$F$19-1/2)*D6177/1000,0)</f>
        <v>0</v>
      </c>
      <c r="S6182" t="str">
        <v>)</v>
      </c>
      <c r="T6182" t="str">
        <v>x</v>
      </c>
      <c r="U6182">
        <f>0.006165*F6182^2</f>
        <v>1.57824</v>
      </c>
      <c r="X6182" t="str">
        <v>x</v>
      </c>
      <c r="Y6182">
        <f>D6180</f>
        <v>1</v>
      </c>
      <c r="Z6182" t="str">
        <v>=</v>
      </c>
      <c r="AA6182">
        <f>IF(AA6184=0,(D6182*N6182+P6182*R6182)*U6182*Y6182,0)</f>
        <v>0</v>
      </c>
    </row>
    <row r="6183">
      <c r="A6183" t="str">
        <f>A6174</f>
        <v>Lantai 2</v>
      </c>
      <c r="B6183">
        <f>B6174</f>
        <v>11</v>
      </c>
      <c r="C6183" t="str">
        <v>Tul Atas Tumpuan</v>
      </c>
      <c r="D6183">
        <f>VLOOKUP(D6174,'Detail Balok'!$C$10:$AU$110,10,FALSE)</f>
        <v>3</v>
      </c>
      <c r="E6183" t="str">
        <v>D</v>
      </c>
      <c r="F6183">
        <f>VLOOKUP(D6174,'Detail Balok'!$C$10:$AU$110,12,FALSE)</f>
        <v>16</v>
      </c>
      <c r="I6183" t="str">
        <v>(</v>
      </c>
      <c r="J6183">
        <f>+D6176/4/1000</f>
        <v>1.5</v>
      </c>
      <c r="K6183" t="str">
        <v>+</v>
      </c>
      <c r="L6183">
        <f>MAX(VLOOKUP(F6183,N$6:P$15,3,FALSE)/1000,2/3*D6178/1000)+F$16*F6183/1000</f>
        <v>0.192</v>
      </c>
      <c r="M6183" t="str">
        <v>=</v>
      </c>
      <c r="N6183">
        <f>J6183+L6183</f>
        <v>1.692</v>
      </c>
      <c r="O6183" t="str">
        <v>+</v>
      </c>
      <c r="P6183">
        <f>D6183-D6182</f>
        <v>0</v>
      </c>
      <c r="Q6183" t="str">
        <v>x</v>
      </c>
      <c r="R6183">
        <f>IF(P6183&gt;0,$F$18*F6183/1000,0)</f>
        <v>0</v>
      </c>
      <c r="S6183" t="str">
        <v>)</v>
      </c>
      <c r="T6183" t="str">
        <v>x</v>
      </c>
      <c r="U6183">
        <f>0.006165*F6183^2</f>
        <v>1.57824</v>
      </c>
      <c r="X6183" t="str">
        <v>x</v>
      </c>
      <c r="Y6183">
        <f>D6180</f>
        <v>1</v>
      </c>
      <c r="Z6183" t="str">
        <v>=</v>
      </c>
      <c r="AA6183">
        <f>IF(AA6184=0,(D6183*N6183+P6183*R6183)*U6183*Y6183,0)</f>
        <v>0</v>
      </c>
    </row>
    <row r="6184">
      <c r="A6184" t="str">
        <f>A6174</f>
        <v>Lantai 2</v>
      </c>
      <c r="B6184">
        <f>B6174</f>
        <v>11</v>
      </c>
      <c r="D6184">
        <f>IF(AND(D6181=D6182,D6182=D6183,D6181=D6183),D6181,0)</f>
        <v>3</v>
      </c>
      <c r="E6184" t="str">
        <v>D</v>
      </c>
      <c r="F6184">
        <f>IF(AND(F6181=F6182,F6181=F6183,F6182=F6183),F6181,0)</f>
        <v>16</v>
      </c>
      <c r="L6184" t="str">
        <v>Total panjang per balok</v>
      </c>
      <c r="M6184" t="str">
        <v>=</v>
      </c>
      <c r="N6184">
        <f>IF(AND(D6181=D6182,D6181=D6183,D6182=D6183,F6181=F6182,F6181=F6183,F6182=F6183),SUM(N6181:N6183),0)</f>
        <v>6.384</v>
      </c>
      <c r="O6184" t="str">
        <v>+</v>
      </c>
      <c r="P6184">
        <f>IF(N6184&gt;12,ROUNDDOWN(N6184/12,0),0)</f>
        <v>0</v>
      </c>
      <c r="Q6184" t="str">
        <v>x</v>
      </c>
      <c r="R6184">
        <f>IF(P6184&gt;0,MAX(VLOOKUP(F6184,$D$6:$G$15,3,FALSE),600),0)/1000</f>
        <v>0</v>
      </c>
      <c r="T6184" t="str">
        <v>x</v>
      </c>
      <c r="U6184">
        <f>U6183</f>
        <v>1.57824</v>
      </c>
      <c r="V6184" t="str">
        <v>x</v>
      </c>
      <c r="W6184">
        <f>D6184</f>
        <v>3</v>
      </c>
      <c r="X6184" t="str">
        <v>x</v>
      </c>
      <c r="Y6184">
        <f>Y6183</f>
        <v>1</v>
      </c>
      <c r="Z6184" t="str">
        <v>=</v>
      </c>
      <c r="AA6184">
        <f>(N6184+P6184*R6184/1000)*U6184*W6184*Y6184</f>
        <v>30.22645248</v>
      </c>
    </row>
    <row r="6186">
      <c r="A6186" t="str">
        <f>A6174</f>
        <v>Lantai 2</v>
      </c>
      <c r="B6186">
        <f>B6174</f>
        <v>11</v>
      </c>
      <c r="C6186" t="str">
        <v>Tul Peminggang</v>
      </c>
      <c r="D6186">
        <f>VLOOKUP(D6174,'Detail Balok'!$C$10:$AU$110,13,FALSE)</f>
        <v>2</v>
      </c>
      <c r="E6186" t="str">
        <v>D</v>
      </c>
      <c r="F6186">
        <f>VLOOKUP(D6174,'Detail Balok'!$C$10:$AU$110,15,FALSE)</f>
        <v>10</v>
      </c>
      <c r="J6186">
        <f>+D6176/1000</f>
        <v>6</v>
      </c>
      <c r="K6186" t="str">
        <v>+</v>
      </c>
      <c r="L6186">
        <f>2*$F$16*F6186/1000</f>
        <v>0.24</v>
      </c>
      <c r="M6186" t="str">
        <v>=</v>
      </c>
      <c r="N6186">
        <f>J6186+L6186</f>
        <v>6.24</v>
      </c>
      <c r="O6186" t="str">
        <v>+</v>
      </c>
      <c r="P6186">
        <f>IF(N6186&gt;12,ROUNDDOWN(N6186/12,0),0)</f>
        <v>0</v>
      </c>
      <c r="Q6186" t="str">
        <v>x</v>
      </c>
      <c r="R6186">
        <f>IF(P6186&gt;0,MAX(VLOOKUP(F6186,$D$6:$G$15,3,FALSE),600),0)/1000</f>
        <v>0</v>
      </c>
      <c r="T6186" t="str">
        <v>x</v>
      </c>
      <c r="U6186">
        <f>0.006165*F6186^2</f>
        <v>0.6165</v>
      </c>
      <c r="V6186" t="str">
        <v>x</v>
      </c>
      <c r="W6186">
        <f>+D6186</f>
        <v>2</v>
      </c>
      <c r="X6186" t="str">
        <v>x</v>
      </c>
      <c r="Y6186">
        <f>D6180</f>
        <v>1</v>
      </c>
      <c r="Z6186" t="str">
        <v>=</v>
      </c>
      <c r="AA6186">
        <f>(N6186+P6186*R6186/1000)*U6186*W6186*Y6186</f>
        <v>7.693920000000001</v>
      </c>
    </row>
    <row r="6189">
      <c r="A6189" t="str">
        <f>A6174</f>
        <v>Lantai 2</v>
      </c>
      <c r="B6189">
        <f>B6174</f>
        <v>11</v>
      </c>
      <c r="C6189" t="str">
        <v>Tul Bawah Tumpuan</v>
      </c>
      <c r="D6189">
        <f>VLOOKUP(D6174,'Detail Balok'!$C$10:$AU$110,22,FALSE)</f>
        <v>3</v>
      </c>
      <c r="E6189" t="str">
        <v>D</v>
      </c>
      <c r="F6189">
        <f>VLOOKUP(D6174,'Detail Balok'!$C$10:$AU$110,24,FALSE)</f>
        <v>16</v>
      </c>
      <c r="I6189" t="str">
        <v>(</v>
      </c>
      <c r="J6189">
        <f>+J6181</f>
        <v>1.5</v>
      </c>
      <c r="K6189" t="str">
        <v>+</v>
      </c>
      <c r="L6189">
        <f>MAX(VLOOKUP(F6189,N$6:P$15,3,FALSE)/1000,2/3*D6179/1000)+F$16*F6189/1000</f>
        <v>0.192</v>
      </c>
      <c r="M6189" t="str">
        <v>=</v>
      </c>
      <c r="N6189">
        <f>J6189+L6189</f>
        <v>1.692</v>
      </c>
      <c r="O6189" t="str">
        <v>+</v>
      </c>
      <c r="P6189">
        <f>D6189-D6190</f>
        <v>0</v>
      </c>
      <c r="Q6189" t="str">
        <v>x</v>
      </c>
      <c r="R6189">
        <f>IF(P6189&gt;0,$F$18*F6189/1000,0)</f>
        <v>0</v>
      </c>
      <c r="S6189" t="str">
        <v>)</v>
      </c>
      <c r="T6189" t="str">
        <v>x</v>
      </c>
      <c r="U6189">
        <f>0.006165*F6189^2</f>
        <v>1.57824</v>
      </c>
      <c r="X6189" t="str">
        <v>x</v>
      </c>
      <c r="Y6189">
        <f>D6180</f>
        <v>1</v>
      </c>
      <c r="Z6189" t="str">
        <v>=</v>
      </c>
      <c r="AA6189">
        <f>IF(AA6192=0,(D6189*N6189+P6189*R6189)*U6189*Y6189,0)</f>
        <v>0</v>
      </c>
    </row>
    <row r="6190">
      <c r="A6190" t="str">
        <f>A6174</f>
        <v>Lantai 2</v>
      </c>
      <c r="B6190">
        <f>B6174</f>
        <v>11</v>
      </c>
      <c r="C6190" t="str">
        <v>Tul Bawah Lapangan</v>
      </c>
      <c r="D6190">
        <f>VLOOKUP(D6174,'Detail Balok'!$C$10:$AU$110,25,FALSE)</f>
        <v>3</v>
      </c>
      <c r="E6190" t="str">
        <v>D</v>
      </c>
      <c r="F6190">
        <f>VLOOKUP(D6174,'Detail Balok'!$C$10:$AU$110,27,FALSE)</f>
        <v>16</v>
      </c>
      <c r="I6190" t="str">
        <v>(</v>
      </c>
      <c r="J6190">
        <f>+J6182</f>
        <v>3</v>
      </c>
      <c r="K6190" t="str">
        <v>+</v>
      </c>
      <c r="M6190" t="str">
        <v>=</v>
      </c>
      <c r="N6190">
        <f>J6190+L6190</f>
        <v>3</v>
      </c>
      <c r="O6190" t="str">
        <v>+</v>
      </c>
      <c r="P6190">
        <f>MAX(D6190-D6189,D6190-D6191)</f>
        <v>0</v>
      </c>
      <c r="Q6190" t="str">
        <v>x</v>
      </c>
      <c r="R6190">
        <f>IF(P6190&gt;0,2*(1-2*$F$19-1/2)*D6177/1000,0)</f>
        <v>0</v>
      </c>
      <c r="S6190" t="str">
        <v>)</v>
      </c>
      <c r="T6190" t="str">
        <v>x</v>
      </c>
      <c r="U6190">
        <f>0.006165*F6190^2</f>
        <v>1.57824</v>
      </c>
      <c r="X6190" t="str">
        <v>x</v>
      </c>
      <c r="Y6190">
        <f>D6180</f>
        <v>1</v>
      </c>
      <c r="Z6190" t="str">
        <v>=</v>
      </c>
      <c r="AA6190">
        <f>IF(AA6192=0,(D6190*N6190+P6190*R6190)*U6190*Y6190,0)</f>
        <v>0</v>
      </c>
    </row>
    <row r="6191">
      <c r="A6191" t="str">
        <f>A6174</f>
        <v>Lantai 2</v>
      </c>
      <c r="B6191">
        <f>B6174</f>
        <v>11</v>
      </c>
      <c r="C6191" t="str">
        <v>Tul Bawah Tumpuan</v>
      </c>
      <c r="D6191">
        <f>VLOOKUP(D6174,'Detail Balok'!$C$10:$AU$110,28,FALSE)</f>
        <v>3</v>
      </c>
      <c r="E6191" t="str">
        <v>D</v>
      </c>
      <c r="F6191">
        <f>VLOOKUP(D6174,'Detail Balok'!$C$10:$AU$110,30,FALSE)</f>
        <v>16</v>
      </c>
      <c r="I6191" t="str">
        <v>(</v>
      </c>
      <c r="J6191">
        <f>+J6183</f>
        <v>1.5</v>
      </c>
      <c r="K6191" t="str">
        <v>+</v>
      </c>
      <c r="L6191">
        <f>MAX(VLOOKUP(F6191,N$6:P$15,3,FALSE)/1000,2/3*D6179/1000)+F$16*F6191/1000</f>
        <v>0.192</v>
      </c>
      <c r="M6191" t="str">
        <v>=</v>
      </c>
      <c r="N6191">
        <f>J6191+L6191</f>
        <v>1.692</v>
      </c>
      <c r="O6191" t="str">
        <v>+</v>
      </c>
      <c r="P6191">
        <f>D6191-D6190</f>
        <v>0</v>
      </c>
      <c r="Q6191" t="str">
        <v>x</v>
      </c>
      <c r="R6191">
        <f>IF(P6191&gt;0,$F$18*F6191/1000,0)</f>
        <v>0</v>
      </c>
      <c r="S6191" t="str">
        <v>)</v>
      </c>
      <c r="T6191" t="str">
        <v>x</v>
      </c>
      <c r="U6191">
        <f>0.006165*F6191^2</f>
        <v>1.57824</v>
      </c>
      <c r="X6191" t="str">
        <v>x</v>
      </c>
      <c r="Y6191">
        <f>D6180</f>
        <v>1</v>
      </c>
      <c r="Z6191" t="str">
        <v>=</v>
      </c>
      <c r="AA6191">
        <f>IF(AA6192=0,(D6191*N6191+P6191*R6191)*U6191*Y6191,0)</f>
        <v>0</v>
      </c>
    </row>
    <row r="6192">
      <c r="A6192" t="str">
        <f>A6174</f>
        <v>Lantai 2</v>
      </c>
      <c r="B6192">
        <f>B6174</f>
        <v>11</v>
      </c>
      <c r="D6192">
        <f>IF(AND(D6189=D6190,D6190=D6191,D6189=D6191),D6189,0)</f>
        <v>3</v>
      </c>
      <c r="E6192" t="str">
        <v>D</v>
      </c>
      <c r="F6192">
        <f>IF(AND(F6189=F6190,F6189=F6191,F6190=F6191),F6189,0)</f>
        <v>16</v>
      </c>
      <c r="L6192" t="str">
        <v>Total panjang per balok</v>
      </c>
      <c r="M6192" t="str">
        <v>=</v>
      </c>
      <c r="N6192">
        <f>IF(AND(D6189=D6190,D6189=D6191,D6190=D6191,F6189=F6190,F6189=F6191,F6190=F6191),SUM(N6189:N6191),0)</f>
        <v>6.384</v>
      </c>
      <c r="O6192" t="str">
        <v>+</v>
      </c>
      <c r="P6192">
        <f>IF(N6192&gt;12,ROUNDDOWN(N6192/12,0),0)</f>
        <v>0</v>
      </c>
      <c r="Q6192" t="str">
        <v>x</v>
      </c>
      <c r="R6192">
        <f>IF(P6192&gt;0,MAX(VLOOKUP(F6192,$D$6:$G$15,3,FALSE),600),0)/1000</f>
        <v>0</v>
      </c>
      <c r="T6192" t="str">
        <v>x</v>
      </c>
      <c r="U6192">
        <f>U6191</f>
        <v>1.57824</v>
      </c>
      <c r="V6192" t="str">
        <v>x</v>
      </c>
      <c r="W6192">
        <f>D6192</f>
        <v>3</v>
      </c>
      <c r="X6192" t="str">
        <v>x</v>
      </c>
      <c r="Y6192">
        <f>Y6191</f>
        <v>1</v>
      </c>
      <c r="Z6192" t="str">
        <v>=</v>
      </c>
      <c r="AA6192">
        <f>(N6192+P6192*R6192/1000)*U6192*W6192*Y6192</f>
        <v>30.22645248</v>
      </c>
    </row>
    <row r="6194">
      <c r="A6194" t="str">
        <f>A6174</f>
        <v>Lantai 2</v>
      </c>
      <c r="B6194">
        <f>B6174</f>
        <v>11</v>
      </c>
      <c r="C6194" t="str">
        <v>Sengkang Tumpuan</v>
      </c>
      <c r="D6194">
        <f>VLOOKUP(D6174,'Detail Balok'!$C$10:$AU$110,31,FALSE)</f>
        <v>0</v>
      </c>
      <c r="E6194" t="str">
        <v>D</v>
      </c>
      <c r="F6194">
        <f>VLOOKUP(D6174,'Detail Balok'!$C$10:$AU$110,33,FALSE)</f>
        <v>10</v>
      </c>
      <c r="G6194" t="str">
        <v>-</v>
      </c>
      <c r="H6194">
        <f>VLOOKUP(D6174,'Detail Balok'!$C$10:$AU$110,35,FALSE)</f>
        <v>75</v>
      </c>
      <c r="J6194">
        <f>(IF(D6194=0,(2*(D6175+G6175))-(F$5*8),IF(D6194=3,(2*(D6175+G6175))-(F$5*8)+(G6175-2*F$5),IF(D6194=4,(2*(D6175+G6175))-(F$5*8)+2*(G6175-2*F$5)))))/1000</f>
        <v>1.08</v>
      </c>
      <c r="K6194" t="str">
        <v>+</v>
      </c>
      <c r="L6194">
        <f>IF(D6194=0,2*MAX(6*F6194,75),(D6194-1)*2*MAX(6*F6194,75))/1000</f>
        <v>0.15</v>
      </c>
      <c r="M6194" t="str">
        <v>=</v>
      </c>
      <c r="N6194">
        <f>J6194+L6194</f>
        <v>1.23</v>
      </c>
      <c r="T6194" t="str">
        <v>x</v>
      </c>
      <c r="U6194">
        <f>0.006165*F6194^2</f>
        <v>0.6165</v>
      </c>
      <c r="V6194" t="str">
        <v>x</v>
      </c>
      <c r="W6194">
        <f>IF(D6177&gt;4*G6175,ROUND(MAX(D6177/4,2*G6175)/H6194,0)+1,ROUND(D6177/H6194,0)+1)</f>
        <v>21</v>
      </c>
      <c r="X6194" t="str">
        <v>x</v>
      </c>
      <c r="Y6194">
        <f>D6180</f>
        <v>1</v>
      </c>
      <c r="Z6194" t="str">
        <v>=</v>
      </c>
      <c r="AA6194">
        <f>N6194*U6194*W6194*Y6194</f>
        <v>15.924195000000001</v>
      </c>
    </row>
    <row r="6195">
      <c r="A6195" t="str">
        <f>A6174</f>
        <v>Lantai 2</v>
      </c>
      <c r="B6195">
        <f>B6174</f>
        <v>11</v>
      </c>
      <c r="C6195" t="str">
        <v>Sengkang Lapangan</v>
      </c>
      <c r="D6195">
        <f>VLOOKUP(D6174,'Detail Balok'!$C$10:$AU$110,36,FALSE)</f>
        <v>0</v>
      </c>
      <c r="E6195" t="str">
        <v>D</v>
      </c>
      <c r="F6195">
        <f>VLOOKUP(D6174,'Detail Balok'!$C$10:$AU$110,38,FALSE)</f>
        <v>10</v>
      </c>
      <c r="G6195" t="str">
        <v>-</v>
      </c>
      <c r="H6195">
        <f>VLOOKUP(D6174,'Detail Balok'!$C$10:$AU$110,40,FALSE)</f>
        <v>125</v>
      </c>
      <c r="J6195">
        <f>(IF(D6195=0,(2*(D6175+G6175))-(F$5*8),IF(D6195=3,(2*(D6175+G6175))-(F$5*8)+(G6175-2*F$5),IF(D6195=4,(2*(D6175+G6175))-(F$5*8)+2*(G6175-2*F$5)))))/1000</f>
        <v>1.08</v>
      </c>
      <c r="K6195" t="str">
        <v>+</v>
      </c>
      <c r="L6195">
        <f>IF(D6195=0,2*MAX(6*F6195,75),(D6195-1)*2*MAX(6*F6195,75))/1000</f>
        <v>0.15</v>
      </c>
      <c r="M6195" t="str">
        <v>=</v>
      </c>
      <c r="N6195">
        <f>J6195+L6195</f>
        <v>1.23</v>
      </c>
      <c r="T6195" t="str">
        <v>x</v>
      </c>
      <c r="U6195">
        <f>0.006165*F6195^2</f>
        <v>0.6165</v>
      </c>
      <c r="V6195" t="str">
        <v>x</v>
      </c>
      <c r="W6195">
        <f>IF(D6177-MAX(D6177/4,2*G6175)*2&gt;0,ROUND((D6177-MAX(D6177/4,2*G6175)*2)/H6195,0),0)</f>
        <v>24</v>
      </c>
      <c r="X6195" t="str">
        <v>x</v>
      </c>
      <c r="Y6195">
        <f>D6180</f>
        <v>1</v>
      </c>
      <c r="Z6195" t="str">
        <v>=</v>
      </c>
      <c r="AA6195">
        <f>N6195*U6195*W6195*Y6195</f>
        <v>18.199080000000002</v>
      </c>
    </row>
    <row r="6196">
      <c r="A6196" t="str">
        <f>A6174</f>
        <v>Lantai 2</v>
      </c>
      <c r="B6196">
        <f>B6174</f>
        <v>11</v>
      </c>
      <c r="C6196" t="str">
        <v>Sengkang Tumpuan</v>
      </c>
      <c r="D6196">
        <f>VLOOKUP(D6174,'Detail Balok'!$C$10:$AU$110,41,FALSE)</f>
        <v>0</v>
      </c>
      <c r="E6196" t="str">
        <v>D</v>
      </c>
      <c r="F6196">
        <f>VLOOKUP(D6174,'Detail Balok'!$C$10:$AU$110,43,FALSE)</f>
        <v>10</v>
      </c>
      <c r="G6196" t="str">
        <v>-</v>
      </c>
      <c r="H6196">
        <f>VLOOKUP(D6174,'Detail Balok'!$C$10:$AU$110,45,FALSE)</f>
        <v>75</v>
      </c>
      <c r="J6196">
        <f>(IF(D6196=0,(2*(D6175+G6175))-(F$5*8),IF(D6196=3,(2*(D6175+G6175))-(F$5*8)+(G6175-2*F$5),IF(D6196=4,(2*(D6175+G6175))-(F$5*8)+2*(G6175-2*F$5)))))/1000</f>
        <v>1.08</v>
      </c>
      <c r="K6196" t="str">
        <v>+</v>
      </c>
      <c r="L6196">
        <f>IF(D6196=0,2*MAX(6*F6196,75),(D6196-1)*2*MAX(6*F6196,75))/1000</f>
        <v>0.15</v>
      </c>
      <c r="M6196" t="str">
        <v>=</v>
      </c>
      <c r="N6196">
        <f>J6196+L6196</f>
        <v>1.23</v>
      </c>
      <c r="T6196" t="str">
        <v>x</v>
      </c>
      <c r="U6196">
        <f>0.006165*F6196^2</f>
        <v>0.6165</v>
      </c>
      <c r="V6196" t="str">
        <v>x</v>
      </c>
      <c r="W6196">
        <f>IF(D6177&gt;4*G6175,ROUND(MAX(D6177/4,2*G6175)/H6196,0)+1,0)</f>
        <v>21</v>
      </c>
      <c r="X6196" t="str">
        <v>x</v>
      </c>
      <c r="Y6196">
        <f>D6180</f>
        <v>1</v>
      </c>
      <c r="Z6196" t="str">
        <v>=</v>
      </c>
      <c r="AA6196">
        <f>N6196*U6196*W6196*Y6196</f>
        <v>15.924195000000001</v>
      </c>
    </row>
    <row r="6198">
      <c r="A6198" t="str">
        <f>A6174</f>
        <v>Lantai 2</v>
      </c>
      <c r="B6198">
        <f>B6174</f>
        <v>11</v>
      </c>
      <c r="C6198" t="str">
        <v>Kait Horizontal Tump.</v>
      </c>
      <c r="D6198">
        <f>VLOOKUP(D6174,'Detail Balok'!$C$10:$BJ$110,46,FALSE)</f>
        <v>0</v>
      </c>
      <c r="E6198" t="str">
        <v>D</v>
      </c>
      <c r="F6198">
        <f>VLOOKUP(D6174,'Detail Balok'!$C$10:$BJ$110,48,FALSE)</f>
        <v>0</v>
      </c>
      <c r="G6198" t="str">
        <v>-</v>
      </c>
      <c r="H6198">
        <f>VLOOKUP(D6174,'Detail Balok'!$C$10:$BJ$110,50,FALSE)</f>
        <v>100</v>
      </c>
      <c r="J6198">
        <f>(D6175-2*F$5)/1000</f>
        <v>0.12</v>
      </c>
      <c r="K6198" t="str">
        <v>+</v>
      </c>
      <c r="L6198">
        <f>IF(D6198=0,2*MAX(6*F6198,75),(D6198-1)*2*MAX(6*F6198,75))/1000</f>
        <v>0.15</v>
      </c>
      <c r="M6198" t="str">
        <v>=</v>
      </c>
      <c r="N6198">
        <f>J6198+L6198</f>
        <v>0.27</v>
      </c>
      <c r="T6198" t="str">
        <v>x</v>
      </c>
      <c r="U6198">
        <f>0.006165*F6198^2</f>
        <v>0</v>
      </c>
      <c r="V6198" t="str">
        <v>x</v>
      </c>
      <c r="W6198">
        <f>W6194</f>
        <v>21</v>
      </c>
      <c r="X6198" t="str">
        <v>x</v>
      </c>
      <c r="Y6198">
        <f>D6184</f>
        <v>3</v>
      </c>
      <c r="Z6198" t="str">
        <v>=</v>
      </c>
      <c r="AA6198">
        <f>N6198*U6198*W6198*Y6198</f>
        <v>0</v>
      </c>
    </row>
    <row r="6199">
      <c r="A6199" t="str">
        <f>A6174</f>
        <v>Lantai 2</v>
      </c>
      <c r="B6199">
        <f>B6174</f>
        <v>11</v>
      </c>
      <c r="C6199" t="str">
        <v>Kait Horizontal Lap.</v>
      </c>
      <c r="D6199">
        <f>VLOOKUP(D6174,'Detail Balok'!$C$10:$BJ$110,51,FALSE)</f>
        <v>0</v>
      </c>
      <c r="E6199" t="str">
        <v>D</v>
      </c>
      <c r="F6199">
        <f>VLOOKUP(D6174,'Detail Balok'!$C$10:$BJ$110,53,FALSE)</f>
        <v>0</v>
      </c>
      <c r="G6199" t="str">
        <v>-</v>
      </c>
      <c r="H6199">
        <f>VLOOKUP(D6174,'Detail Balok'!$C$10:$BJ$110,55,FALSE)</f>
        <v>100</v>
      </c>
      <c r="J6199">
        <f>(D6175-2*F$5)/1000</f>
        <v>0.12</v>
      </c>
      <c r="K6199" t="str">
        <v>+</v>
      </c>
      <c r="L6199">
        <f>IF(D6199=0,2*MAX(6*F6199,75),(D6199-1)*2*MAX(6*F6199,75))/1000</f>
        <v>0.15</v>
      </c>
      <c r="M6199" t="str">
        <v>=</v>
      </c>
      <c r="N6199">
        <f>J6199+L6199</f>
        <v>0.27</v>
      </c>
      <c r="T6199" t="str">
        <v>x</v>
      </c>
      <c r="U6199">
        <f>0.006165*F6199^2</f>
        <v>0</v>
      </c>
      <c r="V6199" t="str">
        <v>x</v>
      </c>
      <c r="W6199">
        <f>W6195</f>
        <v>24</v>
      </c>
      <c r="X6199" t="str">
        <v>x</v>
      </c>
      <c r="Y6199">
        <f>D6184</f>
        <v>3</v>
      </c>
      <c r="Z6199" t="str">
        <v>=</v>
      </c>
      <c r="AA6199">
        <f>N6199*U6199*W6199*Y6199</f>
        <v>0</v>
      </c>
    </row>
    <row r="6200">
      <c r="A6200" t="str">
        <f>A6174</f>
        <v>Lantai 2</v>
      </c>
      <c r="B6200">
        <f>B6174</f>
        <v>11</v>
      </c>
      <c r="C6200" t="str">
        <v>Kait Horizontal Tump.</v>
      </c>
      <c r="D6200">
        <f>VLOOKUP(D6174,'Detail Balok'!$C$10:$BJ$110,56,FALSE)</f>
        <v>0</v>
      </c>
      <c r="E6200" t="str">
        <v>D</v>
      </c>
      <c r="F6200">
        <f>VLOOKUP(D6174,'Detail Balok'!$C$10:$BJ$110,58,FALSE)</f>
        <v>0</v>
      </c>
      <c r="G6200" t="str">
        <v>-</v>
      </c>
      <c r="H6200">
        <f>VLOOKUP(D6174,'Detail Balok'!$C$10:$BJ$110,60,FALSE)</f>
        <v>100</v>
      </c>
      <c r="J6200">
        <f>(D6175-2*F$5)/1000</f>
        <v>0.12</v>
      </c>
      <c r="K6200" t="str">
        <v>+</v>
      </c>
      <c r="L6200">
        <f>IF(D6200=0,2*MAX(6*F6200,75),(D6200-1)*2*MAX(6*F6200,75))/1000</f>
        <v>0.15</v>
      </c>
      <c r="M6200" t="str">
        <v>=</v>
      </c>
      <c r="N6200">
        <f>J6200+L6200</f>
        <v>0.27</v>
      </c>
      <c r="T6200" t="str">
        <v>x</v>
      </c>
      <c r="U6200">
        <f>0.006165*F6200^2</f>
        <v>0</v>
      </c>
      <c r="V6200" t="str">
        <v>x</v>
      </c>
      <c r="W6200">
        <f>W6196</f>
        <v>21</v>
      </c>
      <c r="X6200" t="str">
        <v>x</v>
      </c>
      <c r="Y6200">
        <f>D6184</f>
        <v>3</v>
      </c>
      <c r="Z6200" t="str">
        <v>=</v>
      </c>
      <c r="AA6200">
        <f>N6200*U6200*W6200*Y6200</f>
        <v>0</v>
      </c>
    </row>
    <row r="6204">
      <c r="A6204" t="str">
        <f>A6174</f>
        <v>Lantai 2</v>
      </c>
      <c r="B6204">
        <f>B6174+1</f>
        <v>12</v>
      </c>
      <c r="C6204" t="str">
        <f>CONCATENATE(A6204," no. ",B6204)</f>
        <v>Lantai 2 no. 12</v>
      </c>
      <c r="D6204" t="str">
        <f>VLOOKUP(C6204,'Data Panjang Balok'!$C$9:$N$424,2,FALSE)</f>
        <v>B25-2</v>
      </c>
    </row>
    <row r="6205">
      <c r="C6205" t="str">
        <v>Dimensi</v>
      </c>
      <c r="D6205">
        <f>VLOOKUP(D6204,'Detail Balok'!$C$10:$AU$110,2,FALSE)</f>
        <v>200</v>
      </c>
      <c r="F6205" t="str">
        <v>x</v>
      </c>
      <c r="G6205">
        <f>VLOOKUP(D6204,'Detail Balok'!$C$10:$AU$110,3,FALSE)</f>
        <v>500</v>
      </c>
    </row>
    <row r="6206">
      <c r="C6206" t="str">
        <v>Panjang as ke as</v>
      </c>
      <c r="D6206">
        <f>VLOOKUP(C6204,'Data Panjang Balok'!$C$9:$N$424,4,FALSE)</f>
        <v>7000</v>
      </c>
    </row>
    <row r="6207">
      <c r="C6207" t="str">
        <v>Panjang netto</v>
      </c>
      <c r="D6207">
        <f>VLOOKUP(C6204,'Data Panjang Balok'!$C$9:$N$424,7,FALSE)</f>
        <v>7000</v>
      </c>
    </row>
    <row r="6208">
      <c r="C6208" t="str">
        <v>Kolom / balok kiri</v>
      </c>
      <c r="D6208">
        <f>VLOOKUP(C6204,'Data Panjang Balok'!$C$9:$N$424,9,FALSE)</f>
        <v>0</v>
      </c>
    </row>
    <row r="6209">
      <c r="C6209" t="str">
        <v>Kolom / balok kanan</v>
      </c>
      <c r="D6209">
        <f>VLOOKUP(C6204,'Data Panjang Balok'!$C$9:$N$424,10,FALSE)</f>
        <v>0</v>
      </c>
    </row>
    <row r="6210">
      <c r="C6210" t="str">
        <v>Jumlah</v>
      </c>
      <c r="D6210">
        <f>VLOOKUP(C6204,'Data Panjang Balok'!$C$9:$N$424,3,FALSE)</f>
        <v>1</v>
      </c>
    </row>
    <row r="6211">
      <c r="A6211" t="str">
        <f>A6204</f>
        <v>Lantai 2</v>
      </c>
      <c r="B6211">
        <f>B6204</f>
        <v>12</v>
      </c>
      <c r="C6211" t="str">
        <v>Tul Atas Tumpuan</v>
      </c>
      <c r="D6211">
        <f>VLOOKUP(D6204,'Detail Balok'!$C$10:$AU$110,4,FALSE)</f>
        <v>3</v>
      </c>
      <c r="E6211" t="str">
        <v>D</v>
      </c>
      <c r="F6211">
        <f>VLOOKUP(D6204,'Detail Balok'!$C$10:$AU$110,6,FALSE)</f>
        <v>16</v>
      </c>
      <c r="I6211" t="str">
        <v>(</v>
      </c>
      <c r="J6211">
        <f>+D6206/4/1000</f>
        <v>1.75</v>
      </c>
      <c r="K6211" t="str">
        <v>+</v>
      </c>
      <c r="L6211">
        <f>MAX(VLOOKUP(F6211,N$6:P$15,3,FALSE)/1000,2/3*D6208/1000)+F$16*F6211/1000</f>
        <v>0.192</v>
      </c>
      <c r="M6211" t="str">
        <v>=</v>
      </c>
      <c r="N6211">
        <f>J6211+L6211</f>
        <v>1.942</v>
      </c>
      <c r="O6211" t="str">
        <v>+</v>
      </c>
      <c r="P6211">
        <f>D6211-D6212</f>
        <v>0</v>
      </c>
      <c r="Q6211" t="str">
        <v>x</v>
      </c>
      <c r="R6211">
        <f>IF(P6211&gt;0,$F$18*F6211/1000,0)</f>
        <v>0</v>
      </c>
      <c r="S6211" t="str">
        <v>)</v>
      </c>
      <c r="T6211" t="str">
        <v>x</v>
      </c>
      <c r="U6211">
        <f>0.006165*F6211^2</f>
        <v>1.57824</v>
      </c>
      <c r="X6211" t="str">
        <v>x</v>
      </c>
      <c r="Y6211">
        <f>D6210</f>
        <v>1</v>
      </c>
      <c r="Z6211" t="str">
        <v>=</v>
      </c>
      <c r="AA6211">
        <f>IF(AA6214=0,(D6211*N6211+P6211*R6211)*U6211*Y6211,0)</f>
        <v>0</v>
      </c>
    </row>
    <row r="6212">
      <c r="A6212" t="str">
        <f>A6204</f>
        <v>Lantai 2</v>
      </c>
      <c r="B6212">
        <f>B6204</f>
        <v>12</v>
      </c>
      <c r="C6212" t="str">
        <v>Tul Atas Lapangan</v>
      </c>
      <c r="D6212">
        <f>VLOOKUP(D6204,'Detail Balok'!$C$10:$AU$110,7,FALSE)</f>
        <v>3</v>
      </c>
      <c r="E6212" t="str">
        <v>D</v>
      </c>
      <c r="F6212">
        <f>VLOOKUP(D6204,'Detail Balok'!$C$10:$AU$110,9,FALSE)</f>
        <v>16</v>
      </c>
      <c r="I6212" t="str">
        <v>(</v>
      </c>
      <c r="J6212">
        <f>+D6206/2/1000</f>
        <v>3.5</v>
      </c>
      <c r="K6212" t="str">
        <v>+</v>
      </c>
      <c r="M6212" t="str">
        <v>=</v>
      </c>
      <c r="N6212">
        <f>J6212+L6212</f>
        <v>3.5</v>
      </c>
      <c r="O6212" t="str">
        <v>+</v>
      </c>
      <c r="P6212">
        <f>MAX(D6212-D6211,D6212-D6213)</f>
        <v>0</v>
      </c>
      <c r="Q6212" t="str">
        <v>x</v>
      </c>
      <c r="R6212">
        <f>IF(P6212&gt;0,2*(1-2*$F$19-1/2)*D6207/1000,0)</f>
        <v>0</v>
      </c>
      <c r="S6212" t="str">
        <v>)</v>
      </c>
      <c r="T6212" t="str">
        <v>x</v>
      </c>
      <c r="U6212">
        <f>0.006165*F6212^2</f>
        <v>1.57824</v>
      </c>
      <c r="X6212" t="str">
        <v>x</v>
      </c>
      <c r="Y6212">
        <f>D6210</f>
        <v>1</v>
      </c>
      <c r="Z6212" t="str">
        <v>=</v>
      </c>
      <c r="AA6212">
        <f>IF(AA6214=0,(D6212*N6212+P6212*R6212)*U6212*Y6212,0)</f>
        <v>0</v>
      </c>
    </row>
    <row r="6213">
      <c r="A6213" t="str">
        <f>A6204</f>
        <v>Lantai 2</v>
      </c>
      <c r="B6213">
        <f>B6204</f>
        <v>12</v>
      </c>
      <c r="C6213" t="str">
        <v>Tul Atas Tumpuan</v>
      </c>
      <c r="D6213">
        <f>VLOOKUP(D6204,'Detail Balok'!$C$10:$AU$110,10,FALSE)</f>
        <v>3</v>
      </c>
      <c r="E6213" t="str">
        <v>D</v>
      </c>
      <c r="F6213">
        <f>VLOOKUP(D6204,'Detail Balok'!$C$10:$AU$110,12,FALSE)</f>
        <v>16</v>
      </c>
      <c r="I6213" t="str">
        <v>(</v>
      </c>
      <c r="J6213">
        <f>+D6206/4/1000</f>
        <v>1.75</v>
      </c>
      <c r="K6213" t="str">
        <v>+</v>
      </c>
      <c r="L6213">
        <f>MAX(VLOOKUP(F6213,N$6:P$15,3,FALSE)/1000,2/3*D6208/1000)+F$16*F6213/1000</f>
        <v>0.192</v>
      </c>
      <c r="M6213" t="str">
        <v>=</v>
      </c>
      <c r="N6213">
        <f>J6213+L6213</f>
        <v>1.942</v>
      </c>
      <c r="O6213" t="str">
        <v>+</v>
      </c>
      <c r="P6213">
        <f>D6213-D6212</f>
        <v>0</v>
      </c>
      <c r="Q6213" t="str">
        <v>x</v>
      </c>
      <c r="R6213">
        <f>IF(P6213&gt;0,$F$18*F6213/1000,0)</f>
        <v>0</v>
      </c>
      <c r="S6213" t="str">
        <v>)</v>
      </c>
      <c r="T6213" t="str">
        <v>x</v>
      </c>
      <c r="U6213">
        <f>0.006165*F6213^2</f>
        <v>1.57824</v>
      </c>
      <c r="X6213" t="str">
        <v>x</v>
      </c>
      <c r="Y6213">
        <f>D6210</f>
        <v>1</v>
      </c>
      <c r="Z6213" t="str">
        <v>=</v>
      </c>
      <c r="AA6213">
        <f>IF(AA6214=0,(D6213*N6213+P6213*R6213)*U6213*Y6213,0)</f>
        <v>0</v>
      </c>
    </row>
    <row r="6214">
      <c r="A6214" t="str">
        <f>A6204</f>
        <v>Lantai 2</v>
      </c>
      <c r="B6214">
        <f>B6204</f>
        <v>12</v>
      </c>
      <c r="D6214">
        <f>IF(AND(D6211=D6212,D6212=D6213,D6211=D6213),D6211,0)</f>
        <v>3</v>
      </c>
      <c r="E6214" t="str">
        <v>D</v>
      </c>
      <c r="F6214">
        <f>IF(AND(F6211=F6212,F6211=F6213,F6212=F6213),F6211,0)</f>
        <v>16</v>
      </c>
      <c r="L6214" t="str">
        <v>Total panjang per balok</v>
      </c>
      <c r="M6214" t="str">
        <v>=</v>
      </c>
      <c r="N6214">
        <f>IF(AND(D6211=D6212,D6211=D6213,D6212=D6213,F6211=F6212,F6211=F6213,F6212=F6213),SUM(N6211:N6213),0)</f>
        <v>7.384</v>
      </c>
      <c r="O6214" t="str">
        <v>+</v>
      </c>
      <c r="P6214">
        <f>IF(N6214&gt;12,ROUNDDOWN(N6214/12,0),0)</f>
        <v>0</v>
      </c>
      <c r="Q6214" t="str">
        <v>x</v>
      </c>
      <c r="R6214">
        <f>IF(P6214&gt;0,MAX(VLOOKUP(F6214,$D$6:$G$15,3,FALSE),600),0)/1000</f>
        <v>0</v>
      </c>
      <c r="T6214" t="str">
        <v>x</v>
      </c>
      <c r="U6214">
        <f>U6213</f>
        <v>1.57824</v>
      </c>
      <c r="V6214" t="str">
        <v>x</v>
      </c>
      <c r="W6214">
        <f>D6214</f>
        <v>3</v>
      </c>
      <c r="X6214" t="str">
        <v>x</v>
      </c>
      <c r="Y6214">
        <f>Y6213</f>
        <v>1</v>
      </c>
      <c r="Z6214" t="str">
        <v>=</v>
      </c>
      <c r="AA6214">
        <f>(N6214+P6214*R6214/1000)*U6214*W6214*Y6214</f>
        <v>34.96117248</v>
      </c>
    </row>
    <row r="6216">
      <c r="A6216" t="str">
        <f>A6204</f>
        <v>Lantai 2</v>
      </c>
      <c r="B6216">
        <f>B6204</f>
        <v>12</v>
      </c>
      <c r="C6216" t="str">
        <v>Tul Peminggang</v>
      </c>
      <c r="D6216">
        <f>VLOOKUP(D6204,'Detail Balok'!$C$10:$AU$110,13,FALSE)</f>
        <v>2</v>
      </c>
      <c r="E6216" t="str">
        <v>D</v>
      </c>
      <c r="F6216">
        <f>VLOOKUP(D6204,'Detail Balok'!$C$10:$AU$110,15,FALSE)</f>
        <v>10</v>
      </c>
      <c r="J6216">
        <f>+D6206/1000</f>
        <v>7</v>
      </c>
      <c r="K6216" t="str">
        <v>+</v>
      </c>
      <c r="L6216">
        <f>2*$F$16*F6216/1000</f>
        <v>0.24</v>
      </c>
      <c r="M6216" t="str">
        <v>=</v>
      </c>
      <c r="N6216">
        <f>J6216+L6216</f>
        <v>7.24</v>
      </c>
      <c r="O6216" t="str">
        <v>+</v>
      </c>
      <c r="P6216">
        <f>IF(N6216&gt;12,ROUNDDOWN(N6216/12,0),0)</f>
        <v>0</v>
      </c>
      <c r="Q6216" t="str">
        <v>x</v>
      </c>
      <c r="R6216">
        <f>IF(P6216&gt;0,MAX(VLOOKUP(F6216,$D$6:$G$15,3,FALSE),600),0)/1000</f>
        <v>0</v>
      </c>
      <c r="T6216" t="str">
        <v>x</v>
      </c>
      <c r="U6216">
        <f>0.006165*F6216^2</f>
        <v>0.6165</v>
      </c>
      <c r="V6216" t="str">
        <v>x</v>
      </c>
      <c r="W6216">
        <f>+D6216</f>
        <v>2</v>
      </c>
      <c r="X6216" t="str">
        <v>x</v>
      </c>
      <c r="Y6216">
        <f>D6210</f>
        <v>1</v>
      </c>
      <c r="Z6216" t="str">
        <v>=</v>
      </c>
      <c r="AA6216">
        <f>(N6216+P6216*R6216/1000)*U6216*W6216*Y6216</f>
        <v>8.92692</v>
      </c>
    </row>
    <row r="6219">
      <c r="A6219" t="str">
        <f>A6204</f>
        <v>Lantai 2</v>
      </c>
      <c r="B6219">
        <f>B6204</f>
        <v>12</v>
      </c>
      <c r="C6219" t="str">
        <v>Tul Bawah Tumpuan</v>
      </c>
      <c r="D6219">
        <f>VLOOKUP(D6204,'Detail Balok'!$C$10:$AU$110,22,FALSE)</f>
        <v>3</v>
      </c>
      <c r="E6219" t="str">
        <v>D</v>
      </c>
      <c r="F6219">
        <f>VLOOKUP(D6204,'Detail Balok'!$C$10:$AU$110,24,FALSE)</f>
        <v>16</v>
      </c>
      <c r="I6219" t="str">
        <v>(</v>
      </c>
      <c r="J6219">
        <f>+J6211</f>
        <v>1.75</v>
      </c>
      <c r="K6219" t="str">
        <v>+</v>
      </c>
      <c r="L6219">
        <f>MAX(VLOOKUP(F6219,N$6:P$15,3,FALSE)/1000,2/3*D6209/1000)+F$16*F6219/1000</f>
        <v>0.192</v>
      </c>
      <c r="M6219" t="str">
        <v>=</v>
      </c>
      <c r="N6219">
        <f>J6219+L6219</f>
        <v>1.942</v>
      </c>
      <c r="O6219" t="str">
        <v>+</v>
      </c>
      <c r="P6219">
        <f>D6219-D6220</f>
        <v>0</v>
      </c>
      <c r="Q6219" t="str">
        <v>x</v>
      </c>
      <c r="R6219">
        <f>IF(P6219&gt;0,$F$18*F6219/1000,0)</f>
        <v>0</v>
      </c>
      <c r="S6219" t="str">
        <v>)</v>
      </c>
      <c r="T6219" t="str">
        <v>x</v>
      </c>
      <c r="U6219">
        <f>0.006165*F6219^2</f>
        <v>1.57824</v>
      </c>
      <c r="X6219" t="str">
        <v>x</v>
      </c>
      <c r="Y6219">
        <f>D6210</f>
        <v>1</v>
      </c>
      <c r="Z6219" t="str">
        <v>=</v>
      </c>
      <c r="AA6219">
        <f>IF(AA6222=0,(D6219*N6219+P6219*R6219)*U6219*Y6219,0)</f>
        <v>0</v>
      </c>
    </row>
    <row r="6220">
      <c r="A6220" t="str">
        <f>A6204</f>
        <v>Lantai 2</v>
      </c>
      <c r="B6220">
        <f>B6204</f>
        <v>12</v>
      </c>
      <c r="C6220" t="str">
        <v>Tul Bawah Lapangan</v>
      </c>
      <c r="D6220">
        <f>VLOOKUP(D6204,'Detail Balok'!$C$10:$AU$110,25,FALSE)</f>
        <v>3</v>
      </c>
      <c r="E6220" t="str">
        <v>D</v>
      </c>
      <c r="F6220">
        <f>VLOOKUP(D6204,'Detail Balok'!$C$10:$AU$110,27,FALSE)</f>
        <v>16</v>
      </c>
      <c r="I6220" t="str">
        <v>(</v>
      </c>
      <c r="J6220">
        <f>+J6212</f>
        <v>3.5</v>
      </c>
      <c r="K6220" t="str">
        <v>+</v>
      </c>
      <c r="M6220" t="str">
        <v>=</v>
      </c>
      <c r="N6220">
        <f>J6220+L6220</f>
        <v>3.5</v>
      </c>
      <c r="O6220" t="str">
        <v>+</v>
      </c>
      <c r="P6220">
        <f>MAX(D6220-D6219,D6220-D6221)</f>
        <v>0</v>
      </c>
      <c r="Q6220" t="str">
        <v>x</v>
      </c>
      <c r="R6220">
        <f>IF(P6220&gt;0,2*(1-2*$F$19-1/2)*D6207/1000,0)</f>
        <v>0</v>
      </c>
      <c r="S6220" t="str">
        <v>)</v>
      </c>
      <c r="T6220" t="str">
        <v>x</v>
      </c>
      <c r="U6220">
        <f>0.006165*F6220^2</f>
        <v>1.57824</v>
      </c>
      <c r="X6220" t="str">
        <v>x</v>
      </c>
      <c r="Y6220">
        <f>D6210</f>
        <v>1</v>
      </c>
      <c r="Z6220" t="str">
        <v>=</v>
      </c>
      <c r="AA6220">
        <f>IF(AA6222=0,(D6220*N6220+P6220*R6220)*U6220*Y6220,0)</f>
        <v>0</v>
      </c>
    </row>
    <row r="6221">
      <c r="A6221" t="str">
        <f>A6204</f>
        <v>Lantai 2</v>
      </c>
      <c r="B6221">
        <f>B6204</f>
        <v>12</v>
      </c>
      <c r="C6221" t="str">
        <v>Tul Bawah Tumpuan</v>
      </c>
      <c r="D6221">
        <f>VLOOKUP(D6204,'Detail Balok'!$C$10:$AU$110,28,FALSE)</f>
        <v>3</v>
      </c>
      <c r="E6221" t="str">
        <v>D</v>
      </c>
      <c r="F6221">
        <f>VLOOKUP(D6204,'Detail Balok'!$C$10:$AU$110,30,FALSE)</f>
        <v>16</v>
      </c>
      <c r="I6221" t="str">
        <v>(</v>
      </c>
      <c r="J6221">
        <f>+J6213</f>
        <v>1.75</v>
      </c>
      <c r="K6221" t="str">
        <v>+</v>
      </c>
      <c r="L6221">
        <f>MAX(VLOOKUP(F6221,N$6:P$15,3,FALSE)/1000,2/3*D6209/1000)+F$16*F6221/1000</f>
        <v>0.192</v>
      </c>
      <c r="M6221" t="str">
        <v>=</v>
      </c>
      <c r="N6221">
        <f>J6221+L6221</f>
        <v>1.942</v>
      </c>
      <c r="O6221" t="str">
        <v>+</v>
      </c>
      <c r="P6221">
        <f>D6221-D6220</f>
        <v>0</v>
      </c>
      <c r="Q6221" t="str">
        <v>x</v>
      </c>
      <c r="R6221">
        <f>IF(P6221&gt;0,$F$18*F6221/1000,0)</f>
        <v>0</v>
      </c>
      <c r="S6221" t="str">
        <v>)</v>
      </c>
      <c r="T6221" t="str">
        <v>x</v>
      </c>
      <c r="U6221">
        <f>0.006165*F6221^2</f>
        <v>1.57824</v>
      </c>
      <c r="X6221" t="str">
        <v>x</v>
      </c>
      <c r="Y6221">
        <f>D6210</f>
        <v>1</v>
      </c>
      <c r="Z6221" t="str">
        <v>=</v>
      </c>
      <c r="AA6221">
        <f>IF(AA6222=0,(D6221*N6221+P6221*R6221)*U6221*Y6221,0)</f>
        <v>0</v>
      </c>
    </row>
    <row r="6222">
      <c r="A6222" t="str">
        <f>A6204</f>
        <v>Lantai 2</v>
      </c>
      <c r="B6222">
        <f>B6204</f>
        <v>12</v>
      </c>
      <c r="D6222">
        <f>IF(AND(D6219=D6220,D6220=D6221,D6219=D6221),D6219,0)</f>
        <v>3</v>
      </c>
      <c r="E6222" t="str">
        <v>D</v>
      </c>
      <c r="F6222">
        <f>IF(AND(F6219=F6220,F6219=F6221,F6220=F6221),F6219,0)</f>
        <v>16</v>
      </c>
      <c r="L6222" t="str">
        <v>Total panjang per balok</v>
      </c>
      <c r="M6222" t="str">
        <v>=</v>
      </c>
      <c r="N6222">
        <f>IF(AND(D6219=D6220,D6219=D6221,D6220=D6221,F6219=F6220,F6219=F6221,F6220=F6221),SUM(N6219:N6221),0)</f>
        <v>7.384</v>
      </c>
      <c r="O6222" t="str">
        <v>+</v>
      </c>
      <c r="P6222">
        <f>IF(N6222&gt;12,ROUNDDOWN(N6222/12,0),0)</f>
        <v>0</v>
      </c>
      <c r="Q6222" t="str">
        <v>x</v>
      </c>
      <c r="R6222">
        <f>IF(P6222&gt;0,MAX(VLOOKUP(F6222,$D$6:$G$15,3,FALSE),600),0)/1000</f>
        <v>0</v>
      </c>
      <c r="T6222" t="str">
        <v>x</v>
      </c>
      <c r="U6222">
        <f>U6221</f>
        <v>1.57824</v>
      </c>
      <c r="V6222" t="str">
        <v>x</v>
      </c>
      <c r="W6222">
        <f>D6222</f>
        <v>3</v>
      </c>
      <c r="X6222" t="str">
        <v>x</v>
      </c>
      <c r="Y6222">
        <f>Y6221</f>
        <v>1</v>
      </c>
      <c r="Z6222" t="str">
        <v>=</v>
      </c>
      <c r="AA6222">
        <f>(N6222+P6222*R6222/1000)*U6222*W6222*Y6222</f>
        <v>34.96117248</v>
      </c>
    </row>
    <row r="6224">
      <c r="A6224" t="str">
        <f>A6204</f>
        <v>Lantai 2</v>
      </c>
      <c r="B6224">
        <f>B6204</f>
        <v>12</v>
      </c>
      <c r="C6224" t="str">
        <v>Sengkang Tumpuan</v>
      </c>
      <c r="D6224">
        <f>VLOOKUP(D6204,'Detail Balok'!$C$10:$AU$110,31,FALSE)</f>
        <v>0</v>
      </c>
      <c r="E6224" t="str">
        <v>D</v>
      </c>
      <c r="F6224">
        <f>VLOOKUP(D6204,'Detail Balok'!$C$10:$AU$110,33,FALSE)</f>
        <v>10</v>
      </c>
      <c r="G6224" t="str">
        <v>-</v>
      </c>
      <c r="H6224">
        <f>VLOOKUP(D6204,'Detail Balok'!$C$10:$AU$110,35,FALSE)</f>
        <v>75</v>
      </c>
      <c r="J6224">
        <f>(IF(D6224=0,(2*(D6205+G6205))-(F$5*8),IF(D6224=3,(2*(D6205+G6205))-(F$5*8)+(G6205-2*F$5),IF(D6224=4,(2*(D6205+G6205))-(F$5*8)+2*(G6205-2*F$5)))))/1000</f>
        <v>1.08</v>
      </c>
      <c r="K6224" t="str">
        <v>+</v>
      </c>
      <c r="L6224">
        <f>IF(D6224=0,2*MAX(6*F6224,75),(D6224-1)*2*MAX(6*F6224,75))/1000</f>
        <v>0.15</v>
      </c>
      <c r="M6224" t="str">
        <v>=</v>
      </c>
      <c r="N6224">
        <f>J6224+L6224</f>
        <v>1.23</v>
      </c>
      <c r="T6224" t="str">
        <v>x</v>
      </c>
      <c r="U6224">
        <f>0.006165*F6224^2</f>
        <v>0.6165</v>
      </c>
      <c r="V6224" t="str">
        <v>x</v>
      </c>
      <c r="W6224">
        <f>IF(D6207&gt;4*G6205,ROUND(MAX(D6207/4,2*G6205)/H6224,0)+1,ROUND(D6207/H6224,0)+1)</f>
        <v>24</v>
      </c>
      <c r="X6224" t="str">
        <v>x</v>
      </c>
      <c r="Y6224">
        <f>D6210</f>
        <v>1</v>
      </c>
      <c r="Z6224" t="str">
        <v>=</v>
      </c>
      <c r="AA6224">
        <f>N6224*U6224*W6224*Y6224</f>
        <v>18.199080000000002</v>
      </c>
    </row>
    <row r="6225">
      <c r="A6225" t="str">
        <f>A6204</f>
        <v>Lantai 2</v>
      </c>
      <c r="B6225">
        <f>B6204</f>
        <v>12</v>
      </c>
      <c r="C6225" t="str">
        <v>Sengkang Lapangan</v>
      </c>
      <c r="D6225">
        <f>VLOOKUP(D6204,'Detail Balok'!$C$10:$AU$110,36,FALSE)</f>
        <v>0</v>
      </c>
      <c r="E6225" t="str">
        <v>D</v>
      </c>
      <c r="F6225">
        <f>VLOOKUP(D6204,'Detail Balok'!$C$10:$AU$110,38,FALSE)</f>
        <v>10</v>
      </c>
      <c r="G6225" t="str">
        <v>-</v>
      </c>
      <c r="H6225">
        <f>VLOOKUP(D6204,'Detail Balok'!$C$10:$AU$110,40,FALSE)</f>
        <v>125</v>
      </c>
      <c r="J6225">
        <f>(IF(D6225=0,(2*(D6205+G6205))-(F$5*8),IF(D6225=3,(2*(D6205+G6205))-(F$5*8)+(G6205-2*F$5),IF(D6225=4,(2*(D6205+G6205))-(F$5*8)+2*(G6205-2*F$5)))))/1000</f>
        <v>1.08</v>
      </c>
      <c r="K6225" t="str">
        <v>+</v>
      </c>
      <c r="L6225">
        <f>IF(D6225=0,2*MAX(6*F6225,75),(D6225-1)*2*MAX(6*F6225,75))/1000</f>
        <v>0.15</v>
      </c>
      <c r="M6225" t="str">
        <v>=</v>
      </c>
      <c r="N6225">
        <f>J6225+L6225</f>
        <v>1.23</v>
      </c>
      <c r="T6225" t="str">
        <v>x</v>
      </c>
      <c r="U6225">
        <f>0.006165*F6225^2</f>
        <v>0.6165</v>
      </c>
      <c r="V6225" t="str">
        <v>x</v>
      </c>
      <c r="W6225">
        <f>IF(D6207-MAX(D6207/4,2*G6205)*2&gt;0,ROUND((D6207-MAX(D6207/4,2*G6205)*2)/H6225,0),0)</f>
        <v>28</v>
      </c>
      <c r="X6225" t="str">
        <v>x</v>
      </c>
      <c r="Y6225">
        <f>D6210</f>
        <v>1</v>
      </c>
      <c r="Z6225" t="str">
        <v>=</v>
      </c>
      <c r="AA6225">
        <f>N6225*U6225*W6225*Y6225</f>
        <v>21.23226</v>
      </c>
    </row>
    <row r="6226">
      <c r="A6226" t="str">
        <f>A6204</f>
        <v>Lantai 2</v>
      </c>
      <c r="B6226">
        <f>B6204</f>
        <v>12</v>
      </c>
      <c r="C6226" t="str">
        <v>Sengkang Tumpuan</v>
      </c>
      <c r="D6226">
        <f>VLOOKUP(D6204,'Detail Balok'!$C$10:$AU$110,41,FALSE)</f>
        <v>0</v>
      </c>
      <c r="E6226" t="str">
        <v>D</v>
      </c>
      <c r="F6226">
        <f>VLOOKUP(D6204,'Detail Balok'!$C$10:$AU$110,43,FALSE)</f>
        <v>10</v>
      </c>
      <c r="G6226" t="str">
        <v>-</v>
      </c>
      <c r="H6226">
        <f>VLOOKUP(D6204,'Detail Balok'!$C$10:$AU$110,45,FALSE)</f>
        <v>75</v>
      </c>
      <c r="J6226">
        <f>(IF(D6226=0,(2*(D6205+G6205))-(F$5*8),IF(D6226=3,(2*(D6205+G6205))-(F$5*8)+(G6205-2*F$5),IF(D6226=4,(2*(D6205+G6205))-(F$5*8)+2*(G6205-2*F$5)))))/1000</f>
        <v>1.08</v>
      </c>
      <c r="K6226" t="str">
        <v>+</v>
      </c>
      <c r="L6226">
        <f>IF(D6226=0,2*MAX(6*F6226,75),(D6226-1)*2*MAX(6*F6226,75))/1000</f>
        <v>0.15</v>
      </c>
      <c r="M6226" t="str">
        <v>=</v>
      </c>
      <c r="N6226">
        <f>J6226+L6226</f>
        <v>1.23</v>
      </c>
      <c r="T6226" t="str">
        <v>x</v>
      </c>
      <c r="U6226">
        <f>0.006165*F6226^2</f>
        <v>0.6165</v>
      </c>
      <c r="V6226" t="str">
        <v>x</v>
      </c>
      <c r="W6226">
        <f>IF(D6207&gt;4*G6205,ROUND(MAX(D6207/4,2*G6205)/H6226,0)+1,0)</f>
        <v>24</v>
      </c>
      <c r="X6226" t="str">
        <v>x</v>
      </c>
      <c r="Y6226">
        <f>D6210</f>
        <v>1</v>
      </c>
      <c r="Z6226" t="str">
        <v>=</v>
      </c>
      <c r="AA6226">
        <f>N6226*U6226*W6226*Y6226</f>
        <v>18.199080000000002</v>
      </c>
    </row>
    <row r="6228">
      <c r="A6228" t="str">
        <f>A6204</f>
        <v>Lantai 2</v>
      </c>
      <c r="B6228">
        <f>B6204</f>
        <v>12</v>
      </c>
      <c r="C6228" t="str">
        <v>Kait Horizontal Tump.</v>
      </c>
      <c r="D6228">
        <f>VLOOKUP(D6204,'Detail Balok'!$C$10:$BJ$110,46,FALSE)</f>
        <v>0</v>
      </c>
      <c r="E6228" t="str">
        <v>D</v>
      </c>
      <c r="F6228">
        <f>VLOOKUP(D6204,'Detail Balok'!$C$10:$BJ$110,48,FALSE)</f>
        <v>0</v>
      </c>
      <c r="G6228" t="str">
        <v>-</v>
      </c>
      <c r="H6228">
        <f>VLOOKUP(D6204,'Detail Balok'!$C$10:$BJ$110,50,FALSE)</f>
        <v>100</v>
      </c>
      <c r="J6228">
        <f>(D6205-2*F$5)/1000</f>
        <v>0.12</v>
      </c>
      <c r="K6228" t="str">
        <v>+</v>
      </c>
      <c r="L6228">
        <f>IF(D6228=0,2*MAX(6*F6228,75),(D6228-1)*2*MAX(6*F6228,75))/1000</f>
        <v>0.15</v>
      </c>
      <c r="M6228" t="str">
        <v>=</v>
      </c>
      <c r="N6228">
        <f>J6228+L6228</f>
        <v>0.27</v>
      </c>
      <c r="T6228" t="str">
        <v>x</v>
      </c>
      <c r="U6228">
        <f>0.006165*F6228^2</f>
        <v>0</v>
      </c>
      <c r="V6228" t="str">
        <v>x</v>
      </c>
      <c r="W6228">
        <f>W6224</f>
        <v>24</v>
      </c>
      <c r="X6228" t="str">
        <v>x</v>
      </c>
      <c r="Y6228">
        <f>D6214</f>
        <v>3</v>
      </c>
      <c r="Z6228" t="str">
        <v>=</v>
      </c>
      <c r="AA6228">
        <f>N6228*U6228*W6228*Y6228</f>
        <v>0</v>
      </c>
    </row>
    <row r="6229">
      <c r="A6229" t="str">
        <f>A6204</f>
        <v>Lantai 2</v>
      </c>
      <c r="B6229">
        <f>B6204</f>
        <v>12</v>
      </c>
      <c r="C6229" t="str">
        <v>Kait Horizontal Lap.</v>
      </c>
      <c r="D6229">
        <f>VLOOKUP(D6204,'Detail Balok'!$C$10:$BJ$110,51,FALSE)</f>
        <v>0</v>
      </c>
      <c r="E6229" t="str">
        <v>D</v>
      </c>
      <c r="F6229">
        <f>VLOOKUP(D6204,'Detail Balok'!$C$10:$BJ$110,53,FALSE)</f>
        <v>0</v>
      </c>
      <c r="G6229" t="str">
        <v>-</v>
      </c>
      <c r="H6229">
        <f>VLOOKUP(D6204,'Detail Balok'!$C$10:$BJ$110,55,FALSE)</f>
        <v>100</v>
      </c>
      <c r="J6229">
        <f>(D6205-2*F$5)/1000</f>
        <v>0.12</v>
      </c>
      <c r="K6229" t="str">
        <v>+</v>
      </c>
      <c r="L6229">
        <f>IF(D6229=0,2*MAX(6*F6229,75),(D6229-1)*2*MAX(6*F6229,75))/1000</f>
        <v>0.15</v>
      </c>
      <c r="M6229" t="str">
        <v>=</v>
      </c>
      <c r="N6229">
        <f>J6229+L6229</f>
        <v>0.27</v>
      </c>
      <c r="T6229" t="str">
        <v>x</v>
      </c>
      <c r="U6229">
        <f>0.006165*F6229^2</f>
        <v>0</v>
      </c>
      <c r="V6229" t="str">
        <v>x</v>
      </c>
      <c r="W6229">
        <f>W6225</f>
        <v>28</v>
      </c>
      <c r="X6229" t="str">
        <v>x</v>
      </c>
      <c r="Y6229">
        <f>D6214</f>
        <v>3</v>
      </c>
      <c r="Z6229" t="str">
        <v>=</v>
      </c>
      <c r="AA6229">
        <f>N6229*U6229*W6229*Y6229</f>
        <v>0</v>
      </c>
    </row>
    <row r="6230">
      <c r="A6230" t="str">
        <f>A6204</f>
        <v>Lantai 2</v>
      </c>
      <c r="B6230">
        <f>B6204</f>
        <v>12</v>
      </c>
      <c r="C6230" t="str">
        <v>Kait Horizontal Tump.</v>
      </c>
      <c r="D6230">
        <f>VLOOKUP(D6204,'Detail Balok'!$C$10:$BJ$110,56,FALSE)</f>
        <v>0</v>
      </c>
      <c r="E6230" t="str">
        <v>D</v>
      </c>
      <c r="F6230">
        <f>VLOOKUP(D6204,'Detail Balok'!$C$10:$BJ$110,58,FALSE)</f>
        <v>0</v>
      </c>
      <c r="G6230" t="str">
        <v>-</v>
      </c>
      <c r="H6230">
        <f>VLOOKUP(D6204,'Detail Balok'!$C$10:$BJ$110,60,FALSE)</f>
        <v>100</v>
      </c>
      <c r="J6230">
        <f>(D6205-2*F$5)/1000</f>
        <v>0.12</v>
      </c>
      <c r="K6230" t="str">
        <v>+</v>
      </c>
      <c r="L6230">
        <f>IF(D6230=0,2*MAX(6*F6230,75),(D6230-1)*2*MAX(6*F6230,75))/1000</f>
        <v>0.15</v>
      </c>
      <c r="M6230" t="str">
        <v>=</v>
      </c>
      <c r="N6230">
        <f>J6230+L6230</f>
        <v>0.27</v>
      </c>
      <c r="T6230" t="str">
        <v>x</v>
      </c>
      <c r="U6230">
        <f>0.006165*F6230^2</f>
        <v>0</v>
      </c>
      <c r="V6230" t="str">
        <v>x</v>
      </c>
      <c r="W6230">
        <f>W6226</f>
        <v>24</v>
      </c>
      <c r="X6230" t="str">
        <v>x</v>
      </c>
      <c r="Y6230">
        <f>D6214</f>
        <v>3</v>
      </c>
      <c r="Z6230" t="str">
        <v>=</v>
      </c>
      <c r="AA6230">
        <f>N6230*U6230*W6230*Y6230</f>
        <v>0</v>
      </c>
    </row>
    <row r="6234">
      <c r="A6234" t="str">
        <f>A6204</f>
        <v>Lantai 2</v>
      </c>
      <c r="B6234">
        <f>B6204+1</f>
        <v>13</v>
      </c>
      <c r="C6234" t="str">
        <f>CONCATENATE(A6234," no. ",B6234)</f>
        <v>Lantai 2 no. 13</v>
      </c>
      <c r="D6234" t="str">
        <f>VLOOKUP(C6234,'Data Panjang Balok'!$C$9:$N$424,2,FALSE)</f>
        <v>B25-1</v>
      </c>
    </row>
    <row r="6235">
      <c r="C6235" t="str">
        <v>Dimensi</v>
      </c>
      <c r="D6235">
        <f>VLOOKUP(D6234,'Detail Balok'!$C$10:$AU$110,2,FALSE)</f>
        <v>200</v>
      </c>
      <c r="F6235" t="str">
        <v>x</v>
      </c>
      <c r="G6235">
        <f>VLOOKUP(D6234,'Detail Balok'!$C$10:$AU$110,3,FALSE)</f>
        <v>500</v>
      </c>
    </row>
    <row r="6236">
      <c r="C6236" t="str">
        <v>Panjang as ke as</v>
      </c>
      <c r="D6236">
        <f>VLOOKUP(C6234,'Data Panjang Balok'!$C$9:$N$424,4,FALSE)</f>
        <v>3000</v>
      </c>
    </row>
    <row r="6237">
      <c r="C6237" t="str">
        <v>Panjang netto</v>
      </c>
      <c r="D6237">
        <f>VLOOKUP(C6234,'Data Panjang Balok'!$C$9:$N$424,7,FALSE)</f>
        <v>3000</v>
      </c>
    </row>
    <row r="6238">
      <c r="C6238" t="str">
        <v>Kolom / balok kiri</v>
      </c>
      <c r="D6238">
        <f>VLOOKUP(C6234,'Data Panjang Balok'!$C$9:$N$424,9,FALSE)</f>
        <v>0</v>
      </c>
    </row>
    <row r="6239">
      <c r="C6239" t="str">
        <v>Kolom / balok kanan</v>
      </c>
      <c r="D6239">
        <f>VLOOKUP(C6234,'Data Panjang Balok'!$C$9:$N$424,10,FALSE)</f>
        <v>0</v>
      </c>
    </row>
    <row r="6240">
      <c r="C6240" t="str">
        <v>Jumlah</v>
      </c>
      <c r="D6240">
        <f>VLOOKUP(C6234,'Data Panjang Balok'!$C$9:$N$424,3,FALSE)</f>
        <v>1</v>
      </c>
    </row>
    <row r="6241">
      <c r="A6241" t="str">
        <f>A6234</f>
        <v>Lantai 2</v>
      </c>
      <c r="B6241">
        <f>B6234</f>
        <v>13</v>
      </c>
      <c r="C6241" t="str">
        <v>Tul Atas Tumpuan</v>
      </c>
      <c r="D6241">
        <f>VLOOKUP(D6234,'Detail Balok'!$C$10:$AU$110,4,FALSE)</f>
        <v>2</v>
      </c>
      <c r="E6241" t="str">
        <v>D</v>
      </c>
      <c r="F6241">
        <f>VLOOKUP(D6234,'Detail Balok'!$C$10:$AU$110,6,FALSE)</f>
        <v>16</v>
      </c>
      <c r="I6241" t="str">
        <v>(</v>
      </c>
      <c r="J6241">
        <f>+D6236/4/1000</f>
        <v>0.75</v>
      </c>
      <c r="K6241" t="str">
        <v>+</v>
      </c>
      <c r="L6241">
        <f>MAX(VLOOKUP(F6241,N$6:P$15,3,FALSE)/1000,2/3*D6238/1000)+F$16*F6241/1000</f>
        <v>0.192</v>
      </c>
      <c r="M6241" t="str">
        <v>=</v>
      </c>
      <c r="N6241">
        <f>J6241+L6241</f>
        <v>0.942</v>
      </c>
      <c r="O6241" t="str">
        <v>+</v>
      </c>
      <c r="P6241">
        <f>D6241-D6242</f>
        <v>0</v>
      </c>
      <c r="Q6241" t="str">
        <v>x</v>
      </c>
      <c r="R6241">
        <f>IF(P6241&gt;0,$F$18*F6241/1000,0)</f>
        <v>0</v>
      </c>
      <c r="S6241" t="str">
        <v>)</v>
      </c>
      <c r="T6241" t="str">
        <v>x</v>
      </c>
      <c r="U6241">
        <f>0.006165*F6241^2</f>
        <v>1.57824</v>
      </c>
      <c r="X6241" t="str">
        <v>x</v>
      </c>
      <c r="Y6241">
        <f>D6240</f>
        <v>1</v>
      </c>
      <c r="Z6241" t="str">
        <v>=</v>
      </c>
      <c r="AA6241">
        <f>IF(AA6244=0,(D6241*N6241+P6241*R6241)*U6241*Y6241,0)</f>
        <v>0</v>
      </c>
    </row>
    <row r="6242">
      <c r="A6242" t="str">
        <f>A6234</f>
        <v>Lantai 2</v>
      </c>
      <c r="B6242">
        <f>B6234</f>
        <v>13</v>
      </c>
      <c r="C6242" t="str">
        <v>Tul Atas Lapangan</v>
      </c>
      <c r="D6242">
        <f>VLOOKUP(D6234,'Detail Balok'!$C$10:$AU$110,7,FALSE)</f>
        <v>2</v>
      </c>
      <c r="E6242" t="str">
        <v>D</v>
      </c>
      <c r="F6242">
        <f>VLOOKUP(D6234,'Detail Balok'!$C$10:$AU$110,9,FALSE)</f>
        <v>16</v>
      </c>
      <c r="I6242" t="str">
        <v>(</v>
      </c>
      <c r="J6242">
        <f>+D6236/2/1000</f>
        <v>1.5</v>
      </c>
      <c r="K6242" t="str">
        <v>+</v>
      </c>
      <c r="M6242" t="str">
        <v>=</v>
      </c>
      <c r="N6242">
        <f>J6242+L6242</f>
        <v>1.5</v>
      </c>
      <c r="O6242" t="str">
        <v>+</v>
      </c>
      <c r="P6242">
        <f>MAX(D6242-D6241,D6242-D6243)</f>
        <v>0</v>
      </c>
      <c r="Q6242" t="str">
        <v>x</v>
      </c>
      <c r="R6242">
        <f>IF(P6242&gt;0,2*(1-2*$F$19-1/2)*D6237/1000,0)</f>
        <v>0</v>
      </c>
      <c r="S6242" t="str">
        <v>)</v>
      </c>
      <c r="T6242" t="str">
        <v>x</v>
      </c>
      <c r="U6242">
        <f>0.006165*F6242^2</f>
        <v>1.57824</v>
      </c>
      <c r="X6242" t="str">
        <v>x</v>
      </c>
      <c r="Y6242">
        <f>D6240</f>
        <v>1</v>
      </c>
      <c r="Z6242" t="str">
        <v>=</v>
      </c>
      <c r="AA6242">
        <f>IF(AA6244=0,(D6242*N6242+P6242*R6242)*U6242*Y6242,0)</f>
        <v>0</v>
      </c>
    </row>
    <row r="6243">
      <c r="A6243" t="str">
        <f>A6234</f>
        <v>Lantai 2</v>
      </c>
      <c r="B6243">
        <f>B6234</f>
        <v>13</v>
      </c>
      <c r="C6243" t="str">
        <v>Tul Atas Tumpuan</v>
      </c>
      <c r="D6243">
        <f>VLOOKUP(D6234,'Detail Balok'!$C$10:$AU$110,10,FALSE)</f>
        <v>2</v>
      </c>
      <c r="E6243" t="str">
        <v>D</v>
      </c>
      <c r="F6243">
        <f>VLOOKUP(D6234,'Detail Balok'!$C$10:$AU$110,12,FALSE)</f>
        <v>16</v>
      </c>
      <c r="I6243" t="str">
        <v>(</v>
      </c>
      <c r="J6243">
        <f>+D6236/4/1000</f>
        <v>0.75</v>
      </c>
      <c r="K6243" t="str">
        <v>+</v>
      </c>
      <c r="L6243">
        <f>MAX(VLOOKUP(F6243,N$6:P$15,3,FALSE)/1000,2/3*D6238/1000)+F$16*F6243/1000</f>
        <v>0.192</v>
      </c>
      <c r="M6243" t="str">
        <v>=</v>
      </c>
      <c r="N6243">
        <f>J6243+L6243</f>
        <v>0.942</v>
      </c>
      <c r="O6243" t="str">
        <v>+</v>
      </c>
      <c r="P6243">
        <f>D6243-D6242</f>
        <v>0</v>
      </c>
      <c r="Q6243" t="str">
        <v>x</v>
      </c>
      <c r="R6243">
        <f>IF(P6243&gt;0,$F$18*F6243/1000,0)</f>
        <v>0</v>
      </c>
      <c r="S6243" t="str">
        <v>)</v>
      </c>
      <c r="T6243" t="str">
        <v>x</v>
      </c>
      <c r="U6243">
        <f>0.006165*F6243^2</f>
        <v>1.57824</v>
      </c>
      <c r="X6243" t="str">
        <v>x</v>
      </c>
      <c r="Y6243">
        <f>D6240</f>
        <v>1</v>
      </c>
      <c r="Z6243" t="str">
        <v>=</v>
      </c>
      <c r="AA6243">
        <f>IF(AA6244=0,(D6243*N6243+P6243*R6243)*U6243*Y6243,0)</f>
        <v>0</v>
      </c>
    </row>
    <row r="6244">
      <c r="A6244" t="str">
        <f>A6234</f>
        <v>Lantai 2</v>
      </c>
      <c r="B6244">
        <f>B6234</f>
        <v>13</v>
      </c>
      <c r="D6244">
        <f>IF(AND(D6241=D6242,D6242=D6243,D6241=D6243),D6241,0)</f>
        <v>2</v>
      </c>
      <c r="E6244" t="str">
        <v>D</v>
      </c>
      <c r="F6244">
        <f>IF(AND(F6241=F6242,F6241=F6243,F6242=F6243),F6241,0)</f>
        <v>16</v>
      </c>
      <c r="L6244" t="str">
        <v>Total panjang per balok</v>
      </c>
      <c r="M6244" t="str">
        <v>=</v>
      </c>
      <c r="N6244">
        <f>IF(AND(D6241=D6242,D6241=D6243,D6242=D6243,F6241=F6242,F6241=F6243,F6242=F6243),SUM(N6241:N6243),0)</f>
        <v>3.3840000000000003</v>
      </c>
      <c r="O6244" t="str">
        <v>+</v>
      </c>
      <c r="P6244">
        <f>IF(N6244&gt;12,ROUNDDOWN(N6244/12,0),0)</f>
        <v>0</v>
      </c>
      <c r="Q6244" t="str">
        <v>x</v>
      </c>
      <c r="R6244">
        <f>IF(P6244&gt;0,MAX(VLOOKUP(F6244,$D$6:$G$15,3,FALSE),600),0)/1000</f>
        <v>0</v>
      </c>
      <c r="T6244" t="str">
        <v>x</v>
      </c>
      <c r="U6244">
        <f>U6243</f>
        <v>1.57824</v>
      </c>
      <c r="V6244" t="str">
        <v>x</v>
      </c>
      <c r="W6244">
        <f>D6244</f>
        <v>2</v>
      </c>
      <c r="X6244" t="str">
        <v>x</v>
      </c>
      <c r="Y6244">
        <f>Y6243</f>
        <v>1</v>
      </c>
      <c r="Z6244" t="str">
        <v>=</v>
      </c>
      <c r="AA6244">
        <f>(N6244+P6244*R6244/1000)*U6244*W6244*Y6244</f>
        <v>10.681528320000002</v>
      </c>
    </row>
    <row r="6246">
      <c r="A6246" t="str">
        <f>A6234</f>
        <v>Lantai 2</v>
      </c>
      <c r="B6246">
        <f>B6234</f>
        <v>13</v>
      </c>
      <c r="C6246" t="str">
        <v>Tul Peminggang</v>
      </c>
      <c r="D6246">
        <f>VLOOKUP(D6234,'Detail Balok'!$C$10:$AU$110,13,FALSE)</f>
        <v>2</v>
      </c>
      <c r="E6246" t="str">
        <v>D</v>
      </c>
      <c r="F6246">
        <f>VLOOKUP(D6234,'Detail Balok'!$C$10:$AU$110,15,FALSE)</f>
        <v>10</v>
      </c>
      <c r="J6246">
        <f>+D6236/1000</f>
        <v>3</v>
      </c>
      <c r="K6246" t="str">
        <v>+</v>
      </c>
      <c r="L6246">
        <f>2*$F$16*F6246/1000</f>
        <v>0.24</v>
      </c>
      <c r="M6246" t="str">
        <v>=</v>
      </c>
      <c r="N6246">
        <f>J6246+L6246</f>
        <v>3.24</v>
      </c>
      <c r="O6246" t="str">
        <v>+</v>
      </c>
      <c r="P6246">
        <f>IF(N6246&gt;12,ROUNDDOWN(N6246/12,0),0)</f>
        <v>0</v>
      </c>
      <c r="Q6246" t="str">
        <v>x</v>
      </c>
      <c r="R6246">
        <f>IF(P6246&gt;0,MAX(VLOOKUP(F6246,$D$6:$G$15,3,FALSE),600),0)/1000</f>
        <v>0</v>
      </c>
      <c r="T6246" t="str">
        <v>x</v>
      </c>
      <c r="U6246">
        <f>0.006165*F6246^2</f>
        <v>0.6165</v>
      </c>
      <c r="V6246" t="str">
        <v>x</v>
      </c>
      <c r="W6246">
        <f>+D6246</f>
        <v>2</v>
      </c>
      <c r="X6246" t="str">
        <v>x</v>
      </c>
      <c r="Y6246">
        <f>D6240</f>
        <v>1</v>
      </c>
      <c r="Z6246" t="str">
        <v>=</v>
      </c>
      <c r="AA6246">
        <f>(N6246+P6246*R6246/1000)*U6246*W6246*Y6246</f>
        <v>3.9949200000000005</v>
      </c>
    </row>
    <row r="6249">
      <c r="A6249" t="str">
        <f>A6234</f>
        <v>Lantai 2</v>
      </c>
      <c r="B6249">
        <f>B6234</f>
        <v>13</v>
      </c>
      <c r="C6249" t="str">
        <v>Tul Bawah Tumpuan</v>
      </c>
      <c r="D6249">
        <f>VLOOKUP(D6234,'Detail Balok'!$C$10:$AU$110,22,FALSE)</f>
        <v>2</v>
      </c>
      <c r="E6249" t="str">
        <v>D</v>
      </c>
      <c r="F6249">
        <f>VLOOKUP(D6234,'Detail Balok'!$C$10:$AU$110,24,FALSE)</f>
        <v>16</v>
      </c>
      <c r="I6249" t="str">
        <v>(</v>
      </c>
      <c r="J6249">
        <f>+J6241</f>
        <v>0.75</v>
      </c>
      <c r="K6249" t="str">
        <v>+</v>
      </c>
      <c r="L6249">
        <f>MAX(VLOOKUP(F6249,N$6:P$15,3,FALSE)/1000,2/3*D6239/1000)+F$16*F6249/1000</f>
        <v>0.192</v>
      </c>
      <c r="M6249" t="str">
        <v>=</v>
      </c>
      <c r="N6249">
        <f>J6249+L6249</f>
        <v>0.942</v>
      </c>
      <c r="O6249" t="str">
        <v>+</v>
      </c>
      <c r="P6249">
        <f>D6249-D6250</f>
        <v>0</v>
      </c>
      <c r="Q6249" t="str">
        <v>x</v>
      </c>
      <c r="R6249">
        <f>IF(P6249&gt;0,$F$18*F6249/1000,0)</f>
        <v>0</v>
      </c>
      <c r="S6249" t="str">
        <v>)</v>
      </c>
      <c r="T6249" t="str">
        <v>x</v>
      </c>
      <c r="U6249">
        <f>0.006165*F6249^2</f>
        <v>1.57824</v>
      </c>
      <c r="X6249" t="str">
        <v>x</v>
      </c>
      <c r="Y6249">
        <f>D6240</f>
        <v>1</v>
      </c>
      <c r="Z6249" t="str">
        <v>=</v>
      </c>
      <c r="AA6249">
        <f>IF(AA6252=0,(D6249*N6249+P6249*R6249)*U6249*Y6249,0)</f>
        <v>0</v>
      </c>
    </row>
    <row r="6250">
      <c r="A6250" t="str">
        <f>A6234</f>
        <v>Lantai 2</v>
      </c>
      <c r="B6250">
        <f>B6234</f>
        <v>13</v>
      </c>
      <c r="C6250" t="str">
        <v>Tul Bawah Lapangan</v>
      </c>
      <c r="D6250">
        <f>VLOOKUP(D6234,'Detail Balok'!$C$10:$AU$110,25,FALSE)</f>
        <v>2</v>
      </c>
      <c r="E6250" t="str">
        <v>D</v>
      </c>
      <c r="F6250">
        <f>VLOOKUP(D6234,'Detail Balok'!$C$10:$AU$110,27,FALSE)</f>
        <v>16</v>
      </c>
      <c r="I6250" t="str">
        <v>(</v>
      </c>
      <c r="J6250">
        <f>+J6242</f>
        <v>1.5</v>
      </c>
      <c r="K6250" t="str">
        <v>+</v>
      </c>
      <c r="M6250" t="str">
        <v>=</v>
      </c>
      <c r="N6250">
        <f>J6250+L6250</f>
        <v>1.5</v>
      </c>
      <c r="O6250" t="str">
        <v>+</v>
      </c>
      <c r="P6250">
        <f>MAX(D6250-D6249,D6250-D6251)</f>
        <v>0</v>
      </c>
      <c r="Q6250" t="str">
        <v>x</v>
      </c>
      <c r="R6250">
        <f>IF(P6250&gt;0,2*(1-2*$F$19-1/2)*D6237/1000,0)</f>
        <v>0</v>
      </c>
      <c r="S6250" t="str">
        <v>)</v>
      </c>
      <c r="T6250" t="str">
        <v>x</v>
      </c>
      <c r="U6250">
        <f>0.006165*F6250^2</f>
        <v>1.57824</v>
      </c>
      <c r="X6250" t="str">
        <v>x</v>
      </c>
      <c r="Y6250">
        <f>D6240</f>
        <v>1</v>
      </c>
      <c r="Z6250" t="str">
        <v>=</v>
      </c>
      <c r="AA6250">
        <f>IF(AA6252=0,(D6250*N6250+P6250*R6250)*U6250*Y6250,0)</f>
        <v>0</v>
      </c>
    </row>
    <row r="6251">
      <c r="A6251" t="str">
        <f>A6234</f>
        <v>Lantai 2</v>
      </c>
      <c r="B6251">
        <f>B6234</f>
        <v>13</v>
      </c>
      <c r="C6251" t="str">
        <v>Tul Bawah Tumpuan</v>
      </c>
      <c r="D6251">
        <f>VLOOKUP(D6234,'Detail Balok'!$C$10:$AU$110,28,FALSE)</f>
        <v>2</v>
      </c>
      <c r="E6251" t="str">
        <v>D</v>
      </c>
      <c r="F6251">
        <f>VLOOKUP(D6234,'Detail Balok'!$C$10:$AU$110,30,FALSE)</f>
        <v>16</v>
      </c>
      <c r="I6251" t="str">
        <v>(</v>
      </c>
      <c r="J6251">
        <f>+J6243</f>
        <v>0.75</v>
      </c>
      <c r="K6251" t="str">
        <v>+</v>
      </c>
      <c r="L6251">
        <f>MAX(VLOOKUP(F6251,N$6:P$15,3,FALSE)/1000,2/3*D6239/1000)+F$16*F6251/1000</f>
        <v>0.192</v>
      </c>
      <c r="M6251" t="str">
        <v>=</v>
      </c>
      <c r="N6251">
        <f>J6251+L6251</f>
        <v>0.942</v>
      </c>
      <c r="O6251" t="str">
        <v>+</v>
      </c>
      <c r="P6251">
        <f>D6251-D6250</f>
        <v>0</v>
      </c>
      <c r="Q6251" t="str">
        <v>x</v>
      </c>
      <c r="R6251">
        <f>IF(P6251&gt;0,$F$18*F6251/1000,0)</f>
        <v>0</v>
      </c>
      <c r="S6251" t="str">
        <v>)</v>
      </c>
      <c r="T6251" t="str">
        <v>x</v>
      </c>
      <c r="U6251">
        <f>0.006165*F6251^2</f>
        <v>1.57824</v>
      </c>
      <c r="X6251" t="str">
        <v>x</v>
      </c>
      <c r="Y6251">
        <f>D6240</f>
        <v>1</v>
      </c>
      <c r="Z6251" t="str">
        <v>=</v>
      </c>
      <c r="AA6251">
        <f>IF(AA6252=0,(D6251*N6251+P6251*R6251)*U6251*Y6251,0)</f>
        <v>0</v>
      </c>
    </row>
    <row r="6252">
      <c r="A6252" t="str">
        <f>A6234</f>
        <v>Lantai 2</v>
      </c>
      <c r="B6252">
        <f>B6234</f>
        <v>13</v>
      </c>
      <c r="D6252">
        <f>IF(AND(D6249=D6250,D6250=D6251,D6249=D6251),D6249,0)</f>
        <v>2</v>
      </c>
      <c r="E6252" t="str">
        <v>D</v>
      </c>
      <c r="F6252">
        <f>IF(AND(F6249=F6250,F6249=F6251,F6250=F6251),F6249,0)</f>
        <v>16</v>
      </c>
      <c r="L6252" t="str">
        <v>Total panjang per balok</v>
      </c>
      <c r="M6252" t="str">
        <v>=</v>
      </c>
      <c r="N6252">
        <f>IF(AND(D6249=D6250,D6249=D6251,D6250=D6251,F6249=F6250,F6249=F6251,F6250=F6251),SUM(N6249:N6251),0)</f>
        <v>3.3840000000000003</v>
      </c>
      <c r="O6252" t="str">
        <v>+</v>
      </c>
      <c r="P6252">
        <f>IF(N6252&gt;12,ROUNDDOWN(N6252/12,0),0)</f>
        <v>0</v>
      </c>
      <c r="Q6252" t="str">
        <v>x</v>
      </c>
      <c r="R6252">
        <f>IF(P6252&gt;0,MAX(VLOOKUP(F6252,$D$6:$G$15,3,FALSE),600),0)/1000</f>
        <v>0</v>
      </c>
      <c r="T6252" t="str">
        <v>x</v>
      </c>
      <c r="U6252">
        <f>U6251</f>
        <v>1.57824</v>
      </c>
      <c r="V6252" t="str">
        <v>x</v>
      </c>
      <c r="W6252">
        <f>D6252</f>
        <v>2</v>
      </c>
      <c r="X6252" t="str">
        <v>x</v>
      </c>
      <c r="Y6252">
        <f>Y6251</f>
        <v>1</v>
      </c>
      <c r="Z6252" t="str">
        <v>=</v>
      </c>
      <c r="AA6252">
        <f>(N6252+P6252*R6252/1000)*U6252*W6252*Y6252</f>
        <v>10.681528320000002</v>
      </c>
    </row>
    <row r="6254">
      <c r="A6254" t="str">
        <f>A6234</f>
        <v>Lantai 2</v>
      </c>
      <c r="B6254">
        <f>B6234</f>
        <v>13</v>
      </c>
      <c r="C6254" t="str">
        <v>Sengkang Tumpuan</v>
      </c>
      <c r="D6254">
        <f>VLOOKUP(D6234,'Detail Balok'!$C$10:$AU$110,31,FALSE)</f>
        <v>0</v>
      </c>
      <c r="E6254" t="str">
        <v>D</v>
      </c>
      <c r="F6254">
        <f>VLOOKUP(D6234,'Detail Balok'!$C$10:$AU$110,33,FALSE)</f>
        <v>10</v>
      </c>
      <c r="G6254" t="str">
        <v>-</v>
      </c>
      <c r="H6254">
        <f>VLOOKUP(D6234,'Detail Balok'!$C$10:$AU$110,35,FALSE)</f>
        <v>100</v>
      </c>
      <c r="J6254">
        <f>(IF(D6254=0,(2*(D6235+G6235))-(F$5*8),IF(D6254=3,(2*(D6235+G6235))-(F$5*8)+(G6235-2*F$5),IF(D6254=4,(2*(D6235+G6235))-(F$5*8)+2*(G6235-2*F$5)))))/1000</f>
        <v>1.08</v>
      </c>
      <c r="K6254" t="str">
        <v>+</v>
      </c>
      <c r="L6254">
        <f>IF(D6254=0,2*MAX(6*F6254,75),(D6254-1)*2*MAX(6*F6254,75))/1000</f>
        <v>0.15</v>
      </c>
      <c r="M6254" t="str">
        <v>=</v>
      </c>
      <c r="N6254">
        <f>J6254+L6254</f>
        <v>1.23</v>
      </c>
      <c r="T6254" t="str">
        <v>x</v>
      </c>
      <c r="U6254">
        <f>0.006165*F6254^2</f>
        <v>0.6165</v>
      </c>
      <c r="V6254" t="str">
        <v>x</v>
      </c>
      <c r="W6254">
        <f>IF(D6237&gt;4*G6235,ROUND(MAX(D6237/4,2*G6235)/H6254,0)+1,ROUND(D6237/H6254,0)+1)</f>
        <v>11</v>
      </c>
      <c r="X6254" t="str">
        <v>x</v>
      </c>
      <c r="Y6254">
        <f>D6240</f>
        <v>1</v>
      </c>
      <c r="Z6254" t="str">
        <v>=</v>
      </c>
      <c r="AA6254">
        <f>N6254*U6254*W6254*Y6254</f>
        <v>8.341245</v>
      </c>
    </row>
    <row r="6255">
      <c r="A6255" t="str">
        <f>A6234</f>
        <v>Lantai 2</v>
      </c>
      <c r="B6255">
        <f>B6234</f>
        <v>13</v>
      </c>
      <c r="C6255" t="str">
        <v>Sengkang Lapangan</v>
      </c>
      <c r="D6255">
        <f>VLOOKUP(D6234,'Detail Balok'!$C$10:$AU$110,36,FALSE)</f>
        <v>0</v>
      </c>
      <c r="E6255" t="str">
        <v>D</v>
      </c>
      <c r="F6255">
        <f>VLOOKUP(D6234,'Detail Balok'!$C$10:$AU$110,38,FALSE)</f>
        <v>10</v>
      </c>
      <c r="G6255" t="str">
        <v>-</v>
      </c>
      <c r="H6255">
        <f>VLOOKUP(D6234,'Detail Balok'!$C$10:$AU$110,40,FALSE)</f>
        <v>200</v>
      </c>
      <c r="J6255">
        <f>(IF(D6255=0,(2*(D6235+G6235))-(F$5*8),IF(D6255=3,(2*(D6235+G6235))-(F$5*8)+(G6235-2*F$5),IF(D6255=4,(2*(D6235+G6235))-(F$5*8)+2*(G6235-2*F$5)))))/1000</f>
        <v>1.08</v>
      </c>
      <c r="K6255" t="str">
        <v>+</v>
      </c>
      <c r="L6255">
        <f>IF(D6255=0,2*MAX(6*F6255,75),(D6255-1)*2*MAX(6*F6255,75))/1000</f>
        <v>0.15</v>
      </c>
      <c r="M6255" t="str">
        <v>=</v>
      </c>
      <c r="N6255">
        <f>J6255+L6255</f>
        <v>1.23</v>
      </c>
      <c r="T6255" t="str">
        <v>x</v>
      </c>
      <c r="U6255">
        <f>0.006165*F6255^2</f>
        <v>0.6165</v>
      </c>
      <c r="V6255" t="str">
        <v>x</v>
      </c>
      <c r="W6255">
        <f>IF(D6237-MAX(D6237/4,2*G6235)*2&gt;0,ROUND((D6237-MAX(D6237/4,2*G6235)*2)/H6255,0),0)</f>
        <v>5</v>
      </c>
      <c r="X6255" t="str">
        <v>x</v>
      </c>
      <c r="Y6255">
        <f>D6240</f>
        <v>1</v>
      </c>
      <c r="Z6255" t="str">
        <v>=</v>
      </c>
      <c r="AA6255">
        <f>N6255*U6255*W6255*Y6255</f>
        <v>3.791475</v>
      </c>
    </row>
    <row r="6256">
      <c r="A6256" t="str">
        <f>A6234</f>
        <v>Lantai 2</v>
      </c>
      <c r="B6256">
        <f>B6234</f>
        <v>13</v>
      </c>
      <c r="C6256" t="str">
        <v>Sengkang Tumpuan</v>
      </c>
      <c r="D6256">
        <f>VLOOKUP(D6234,'Detail Balok'!$C$10:$AU$110,41,FALSE)</f>
        <v>0</v>
      </c>
      <c r="E6256" t="str">
        <v>D</v>
      </c>
      <c r="F6256">
        <f>VLOOKUP(D6234,'Detail Balok'!$C$10:$AU$110,43,FALSE)</f>
        <v>10</v>
      </c>
      <c r="G6256" t="str">
        <v>-</v>
      </c>
      <c r="H6256">
        <f>VLOOKUP(D6234,'Detail Balok'!$C$10:$AU$110,45,FALSE)</f>
        <v>100</v>
      </c>
      <c r="J6256">
        <f>(IF(D6256=0,(2*(D6235+G6235))-(F$5*8),IF(D6256=3,(2*(D6235+G6235))-(F$5*8)+(G6235-2*F$5),IF(D6256=4,(2*(D6235+G6235))-(F$5*8)+2*(G6235-2*F$5)))))/1000</f>
        <v>1.08</v>
      </c>
      <c r="K6256" t="str">
        <v>+</v>
      </c>
      <c r="L6256">
        <f>IF(D6256=0,2*MAX(6*F6256,75),(D6256-1)*2*MAX(6*F6256,75))/1000</f>
        <v>0.15</v>
      </c>
      <c r="M6256" t="str">
        <v>=</v>
      </c>
      <c r="N6256">
        <f>J6256+L6256</f>
        <v>1.23</v>
      </c>
      <c r="T6256" t="str">
        <v>x</v>
      </c>
      <c r="U6256">
        <f>0.006165*F6256^2</f>
        <v>0.6165</v>
      </c>
      <c r="V6256" t="str">
        <v>x</v>
      </c>
      <c r="W6256">
        <f>IF(D6237&gt;4*G6235,ROUND(MAX(D6237/4,2*G6235)/H6256,0)+1,0)</f>
        <v>11</v>
      </c>
      <c r="X6256" t="str">
        <v>x</v>
      </c>
      <c r="Y6256">
        <f>D6240</f>
        <v>1</v>
      </c>
      <c r="Z6256" t="str">
        <v>=</v>
      </c>
      <c r="AA6256">
        <f>N6256*U6256*W6256*Y6256</f>
        <v>8.341245</v>
      </c>
    </row>
    <row r="6258">
      <c r="A6258" t="str">
        <f>A6234</f>
        <v>Lantai 2</v>
      </c>
      <c r="B6258">
        <f>B6234</f>
        <v>13</v>
      </c>
      <c r="C6258" t="str">
        <v>Kait Horizontal Tump.</v>
      </c>
      <c r="D6258">
        <f>VLOOKUP(D6234,'Detail Balok'!$C$10:$BJ$110,46,FALSE)</f>
        <v>0</v>
      </c>
      <c r="E6258" t="str">
        <v>D</v>
      </c>
      <c r="F6258">
        <f>VLOOKUP(D6234,'Detail Balok'!$C$10:$BJ$110,48,FALSE)</f>
        <v>0</v>
      </c>
      <c r="G6258" t="str">
        <v>-</v>
      </c>
      <c r="H6258">
        <f>VLOOKUP(D6234,'Detail Balok'!$C$10:$BJ$110,50,FALSE)</f>
        <v>100</v>
      </c>
      <c r="J6258">
        <f>(D6235-2*F$5)/1000</f>
        <v>0.12</v>
      </c>
      <c r="K6258" t="str">
        <v>+</v>
      </c>
      <c r="L6258">
        <f>IF(D6258=0,2*MAX(6*F6258,75),(D6258-1)*2*MAX(6*F6258,75))/1000</f>
        <v>0.15</v>
      </c>
      <c r="M6258" t="str">
        <v>=</v>
      </c>
      <c r="N6258">
        <f>J6258+L6258</f>
        <v>0.27</v>
      </c>
      <c r="T6258" t="str">
        <v>x</v>
      </c>
      <c r="U6258">
        <f>0.006165*F6258^2</f>
        <v>0</v>
      </c>
      <c r="V6258" t="str">
        <v>x</v>
      </c>
      <c r="W6258">
        <f>W6254</f>
        <v>11</v>
      </c>
      <c r="X6258" t="str">
        <v>x</v>
      </c>
      <c r="Y6258">
        <f>D6244</f>
        <v>2</v>
      </c>
      <c r="Z6258" t="str">
        <v>=</v>
      </c>
      <c r="AA6258">
        <f>N6258*U6258*W6258*Y6258</f>
        <v>0</v>
      </c>
    </row>
    <row r="6259">
      <c r="A6259" t="str">
        <f>A6234</f>
        <v>Lantai 2</v>
      </c>
      <c r="B6259">
        <f>B6234</f>
        <v>13</v>
      </c>
      <c r="C6259" t="str">
        <v>Kait Horizontal Lap.</v>
      </c>
      <c r="D6259">
        <f>VLOOKUP(D6234,'Detail Balok'!$C$10:$BJ$110,51,FALSE)</f>
        <v>0</v>
      </c>
      <c r="E6259" t="str">
        <v>D</v>
      </c>
      <c r="F6259">
        <f>VLOOKUP(D6234,'Detail Balok'!$C$10:$BJ$110,53,FALSE)</f>
        <v>0</v>
      </c>
      <c r="G6259" t="str">
        <v>-</v>
      </c>
      <c r="H6259">
        <f>VLOOKUP(D6234,'Detail Balok'!$C$10:$BJ$110,55,FALSE)</f>
        <v>100</v>
      </c>
      <c r="J6259">
        <f>(D6235-2*F$5)/1000</f>
        <v>0.12</v>
      </c>
      <c r="K6259" t="str">
        <v>+</v>
      </c>
      <c r="L6259">
        <f>IF(D6259=0,2*MAX(6*F6259,75),(D6259-1)*2*MAX(6*F6259,75))/1000</f>
        <v>0.15</v>
      </c>
      <c r="M6259" t="str">
        <v>=</v>
      </c>
      <c r="N6259">
        <f>J6259+L6259</f>
        <v>0.27</v>
      </c>
      <c r="T6259" t="str">
        <v>x</v>
      </c>
      <c r="U6259">
        <f>0.006165*F6259^2</f>
        <v>0</v>
      </c>
      <c r="V6259" t="str">
        <v>x</v>
      </c>
      <c r="W6259">
        <f>W6255</f>
        <v>5</v>
      </c>
      <c r="X6259" t="str">
        <v>x</v>
      </c>
      <c r="Y6259">
        <f>D6244</f>
        <v>2</v>
      </c>
      <c r="Z6259" t="str">
        <v>=</v>
      </c>
      <c r="AA6259">
        <f>N6259*U6259*W6259*Y6259</f>
        <v>0</v>
      </c>
    </row>
    <row r="6260">
      <c r="A6260" t="str">
        <f>A6234</f>
        <v>Lantai 2</v>
      </c>
      <c r="B6260">
        <f>B6234</f>
        <v>13</v>
      </c>
      <c r="C6260" t="str">
        <v>Kait Horizontal Tump.</v>
      </c>
      <c r="D6260">
        <f>VLOOKUP(D6234,'Detail Balok'!$C$10:$BJ$110,56,FALSE)</f>
        <v>0</v>
      </c>
      <c r="E6260" t="str">
        <v>D</v>
      </c>
      <c r="F6260">
        <f>VLOOKUP(D6234,'Detail Balok'!$C$10:$BJ$110,58,FALSE)</f>
        <v>0</v>
      </c>
      <c r="G6260" t="str">
        <v>-</v>
      </c>
      <c r="H6260">
        <f>VLOOKUP(D6234,'Detail Balok'!$C$10:$BJ$110,60,FALSE)</f>
        <v>100</v>
      </c>
      <c r="J6260">
        <f>(D6235-2*F$5)/1000</f>
        <v>0.12</v>
      </c>
      <c r="K6260" t="str">
        <v>+</v>
      </c>
      <c r="L6260">
        <f>IF(D6260=0,2*MAX(6*F6260,75),(D6260-1)*2*MAX(6*F6260,75))/1000</f>
        <v>0.15</v>
      </c>
      <c r="M6260" t="str">
        <v>=</v>
      </c>
      <c r="N6260">
        <f>J6260+L6260</f>
        <v>0.27</v>
      </c>
      <c r="T6260" t="str">
        <v>x</v>
      </c>
      <c r="U6260">
        <f>0.006165*F6260^2</f>
        <v>0</v>
      </c>
      <c r="V6260" t="str">
        <v>x</v>
      </c>
      <c r="W6260">
        <f>W6256</f>
        <v>11</v>
      </c>
      <c r="X6260" t="str">
        <v>x</v>
      </c>
      <c r="Y6260">
        <f>D6244</f>
        <v>2</v>
      </c>
      <c r="Z6260" t="str">
        <v>=</v>
      </c>
      <c r="AA6260">
        <f>N6260*U6260*W6260*Y6260</f>
        <v>0</v>
      </c>
    </row>
    <row r="6264">
      <c r="A6264" t="str">
        <f>A6234</f>
        <v>Lantai 2</v>
      </c>
      <c r="B6264">
        <f>B6234+1</f>
        <v>14</v>
      </c>
      <c r="C6264" t="str">
        <f>CONCATENATE(A6264," no. ",B6264)</f>
        <v>Lantai 2 no. 14</v>
      </c>
      <c r="D6264" t="str">
        <f>VLOOKUP(C6264,'Data Panjang Balok'!$C$9:$N$424,2,FALSE)</f>
        <v>B245-3</v>
      </c>
    </row>
    <row r="6265">
      <c r="C6265" t="str">
        <v>Dimensi</v>
      </c>
      <c r="D6265">
        <f>VLOOKUP(D6264,'Detail Balok'!$C$10:$AU$110,2,FALSE)</f>
        <v>200</v>
      </c>
      <c r="F6265" t="str">
        <v>x</v>
      </c>
      <c r="G6265">
        <f>VLOOKUP(D6264,'Detail Balok'!$C$10:$AU$110,3,FALSE)</f>
        <v>450</v>
      </c>
    </row>
    <row r="6266">
      <c r="C6266" t="str">
        <v>Panjang as ke as</v>
      </c>
      <c r="D6266">
        <f>VLOOKUP(C6264,'Data Panjang Balok'!$C$9:$N$424,4,FALSE)</f>
        <v>2000</v>
      </c>
    </row>
    <row r="6267">
      <c r="C6267" t="str">
        <v>Panjang netto</v>
      </c>
      <c r="D6267">
        <f>VLOOKUP(C6264,'Data Panjang Balok'!$C$9:$N$424,7,FALSE)</f>
        <v>2000</v>
      </c>
    </row>
    <row r="6268">
      <c r="C6268" t="str">
        <v>Kolom / balok kiri</v>
      </c>
      <c r="D6268">
        <f>VLOOKUP(C6264,'Data Panjang Balok'!$C$9:$N$424,9,FALSE)</f>
        <v>0</v>
      </c>
    </row>
    <row r="6269">
      <c r="C6269" t="str">
        <v>Kolom / balok kanan</v>
      </c>
      <c r="D6269">
        <f>VLOOKUP(C6264,'Data Panjang Balok'!$C$9:$N$424,10,FALSE)</f>
        <v>0</v>
      </c>
    </row>
    <row r="6270">
      <c r="C6270" t="str">
        <v>Jumlah</v>
      </c>
      <c r="D6270">
        <f>VLOOKUP(C6264,'Data Panjang Balok'!$C$9:$N$424,3,FALSE)</f>
        <v>1</v>
      </c>
    </row>
    <row r="6271">
      <c r="A6271" t="str">
        <f>A6264</f>
        <v>Lantai 2</v>
      </c>
      <c r="B6271">
        <f>B6264</f>
        <v>14</v>
      </c>
      <c r="C6271" t="str">
        <v>Tul Atas Tumpuan</v>
      </c>
      <c r="D6271">
        <f>VLOOKUP(D6264,'Detail Balok'!$C$10:$AU$110,4,FALSE)</f>
        <v>2</v>
      </c>
      <c r="E6271" t="str">
        <v>D</v>
      </c>
      <c r="F6271">
        <f>VLOOKUP(D6264,'Detail Balok'!$C$10:$AU$110,6,FALSE)</f>
        <v>16</v>
      </c>
      <c r="I6271" t="str">
        <v>(</v>
      </c>
      <c r="J6271">
        <f>+D6266/4/1000</f>
        <v>0.5</v>
      </c>
      <c r="K6271" t="str">
        <v>+</v>
      </c>
      <c r="L6271">
        <f>MAX(VLOOKUP(F6271,N$6:P$15,3,FALSE)/1000,2/3*D6268/1000)+F$16*F6271/1000</f>
        <v>0.192</v>
      </c>
      <c r="M6271" t="str">
        <v>=</v>
      </c>
      <c r="N6271">
        <f>J6271+L6271</f>
        <v>0.692</v>
      </c>
      <c r="O6271" t="str">
        <v>+</v>
      </c>
      <c r="P6271">
        <f>D6271-D6272</f>
        <v>0</v>
      </c>
      <c r="Q6271" t="str">
        <v>x</v>
      </c>
      <c r="R6271">
        <f>IF(P6271&gt;0,$F$18*F6271/1000,0)</f>
        <v>0</v>
      </c>
      <c r="S6271" t="str">
        <v>)</v>
      </c>
      <c r="T6271" t="str">
        <v>x</v>
      </c>
      <c r="U6271">
        <f>0.006165*F6271^2</f>
        <v>1.57824</v>
      </c>
      <c r="X6271" t="str">
        <v>x</v>
      </c>
      <c r="Y6271">
        <f>D6270</f>
        <v>1</v>
      </c>
      <c r="Z6271" t="str">
        <v>=</v>
      </c>
      <c r="AA6271">
        <f>IF(AA6274=0,(D6271*N6271+P6271*R6271)*U6271*Y6271,0)</f>
        <v>0</v>
      </c>
    </row>
    <row r="6272">
      <c r="A6272" t="str">
        <f>A6264</f>
        <v>Lantai 2</v>
      </c>
      <c r="B6272">
        <f>B6264</f>
        <v>14</v>
      </c>
      <c r="C6272" t="str">
        <v>Tul Atas Lapangan</v>
      </c>
      <c r="D6272">
        <f>VLOOKUP(D6264,'Detail Balok'!$C$10:$AU$110,7,FALSE)</f>
        <v>2</v>
      </c>
      <c r="E6272" t="str">
        <v>D</v>
      </c>
      <c r="F6272">
        <f>VLOOKUP(D6264,'Detail Balok'!$C$10:$AU$110,9,FALSE)</f>
        <v>16</v>
      </c>
      <c r="I6272" t="str">
        <v>(</v>
      </c>
      <c r="J6272">
        <f>+D6266/2/1000</f>
        <v>1</v>
      </c>
      <c r="K6272" t="str">
        <v>+</v>
      </c>
      <c r="M6272" t="str">
        <v>=</v>
      </c>
      <c r="N6272">
        <f>J6272+L6272</f>
        <v>1</v>
      </c>
      <c r="O6272" t="str">
        <v>+</v>
      </c>
      <c r="P6272">
        <f>MAX(D6272-D6271,D6272-D6273)</f>
        <v>0</v>
      </c>
      <c r="Q6272" t="str">
        <v>x</v>
      </c>
      <c r="R6272">
        <f>IF(P6272&gt;0,2*(1-2*$F$19-1/2)*D6267/1000,0)</f>
        <v>0</v>
      </c>
      <c r="S6272" t="str">
        <v>)</v>
      </c>
      <c r="T6272" t="str">
        <v>x</v>
      </c>
      <c r="U6272">
        <f>0.006165*F6272^2</f>
        <v>1.57824</v>
      </c>
      <c r="X6272" t="str">
        <v>x</v>
      </c>
      <c r="Y6272">
        <f>D6270</f>
        <v>1</v>
      </c>
      <c r="Z6272" t="str">
        <v>=</v>
      </c>
      <c r="AA6272">
        <f>IF(AA6274=0,(D6272*N6272+P6272*R6272)*U6272*Y6272,0)</f>
        <v>0</v>
      </c>
    </row>
    <row r="6273">
      <c r="A6273" t="str">
        <f>A6264</f>
        <v>Lantai 2</v>
      </c>
      <c r="B6273">
        <f>B6264</f>
        <v>14</v>
      </c>
      <c r="C6273" t="str">
        <v>Tul Atas Tumpuan</v>
      </c>
      <c r="D6273">
        <f>VLOOKUP(D6264,'Detail Balok'!$C$10:$AU$110,10,FALSE)</f>
        <v>2</v>
      </c>
      <c r="E6273" t="str">
        <v>D</v>
      </c>
      <c r="F6273">
        <f>VLOOKUP(D6264,'Detail Balok'!$C$10:$AU$110,12,FALSE)</f>
        <v>16</v>
      </c>
      <c r="I6273" t="str">
        <v>(</v>
      </c>
      <c r="J6273">
        <f>+D6266/4/1000</f>
        <v>0.5</v>
      </c>
      <c r="K6273" t="str">
        <v>+</v>
      </c>
      <c r="L6273">
        <f>MAX(VLOOKUP(F6273,N$6:P$15,3,FALSE)/1000,2/3*D6268/1000)+F$16*F6273/1000</f>
        <v>0.192</v>
      </c>
      <c r="M6273" t="str">
        <v>=</v>
      </c>
      <c r="N6273">
        <f>J6273+L6273</f>
        <v>0.692</v>
      </c>
      <c r="O6273" t="str">
        <v>+</v>
      </c>
      <c r="P6273">
        <f>D6273-D6272</f>
        <v>0</v>
      </c>
      <c r="Q6273" t="str">
        <v>x</v>
      </c>
      <c r="R6273">
        <f>IF(P6273&gt;0,$F$18*F6273/1000,0)</f>
        <v>0</v>
      </c>
      <c r="S6273" t="str">
        <v>)</v>
      </c>
      <c r="T6273" t="str">
        <v>x</v>
      </c>
      <c r="U6273">
        <f>0.006165*F6273^2</f>
        <v>1.57824</v>
      </c>
      <c r="X6273" t="str">
        <v>x</v>
      </c>
      <c r="Y6273">
        <f>D6270</f>
        <v>1</v>
      </c>
      <c r="Z6273" t="str">
        <v>=</v>
      </c>
      <c r="AA6273">
        <f>IF(AA6274=0,(D6273*N6273+P6273*R6273)*U6273*Y6273,0)</f>
        <v>0</v>
      </c>
    </row>
    <row r="6274">
      <c r="A6274" t="str">
        <f>A6264</f>
        <v>Lantai 2</v>
      </c>
      <c r="B6274">
        <f>B6264</f>
        <v>14</v>
      </c>
      <c r="D6274">
        <f>IF(AND(D6271=D6272,D6272=D6273,D6271=D6273),D6271,0)</f>
        <v>2</v>
      </c>
      <c r="E6274" t="str">
        <v>D</v>
      </c>
      <c r="F6274">
        <f>IF(AND(F6271=F6272,F6271=F6273,F6272=F6273),F6271,0)</f>
        <v>16</v>
      </c>
      <c r="L6274" t="str">
        <v>Total panjang per balok</v>
      </c>
      <c r="M6274" t="str">
        <v>=</v>
      </c>
      <c r="N6274">
        <f>IF(AND(D6271=D6272,D6271=D6273,D6272=D6273,F6271=F6272,F6271=F6273,F6272=F6273),SUM(N6271:N6273),0)</f>
        <v>2.384</v>
      </c>
      <c r="O6274" t="str">
        <v>+</v>
      </c>
      <c r="P6274">
        <f>IF(N6274&gt;12,ROUNDDOWN(N6274/12,0),0)</f>
        <v>0</v>
      </c>
      <c r="Q6274" t="str">
        <v>x</v>
      </c>
      <c r="R6274">
        <f>IF(P6274&gt;0,MAX(VLOOKUP(F6274,$D$6:$G$15,3,FALSE),600),0)/1000</f>
        <v>0</v>
      </c>
      <c r="T6274" t="str">
        <v>x</v>
      </c>
      <c r="U6274">
        <f>U6273</f>
        <v>1.57824</v>
      </c>
      <c r="V6274" t="str">
        <v>x</v>
      </c>
      <c r="W6274">
        <f>D6274</f>
        <v>2</v>
      </c>
      <c r="X6274" t="str">
        <v>x</v>
      </c>
      <c r="Y6274">
        <f>Y6273</f>
        <v>1</v>
      </c>
      <c r="Z6274" t="str">
        <v>=</v>
      </c>
      <c r="AA6274">
        <f>(N6274+P6274*R6274/1000)*U6274*W6274*Y6274</f>
        <v>7.52504832</v>
      </c>
    </row>
    <row r="6276">
      <c r="A6276" t="str">
        <f>A6264</f>
        <v>Lantai 2</v>
      </c>
      <c r="B6276">
        <f>B6264</f>
        <v>14</v>
      </c>
      <c r="C6276" t="str">
        <v>Tul Peminggang</v>
      </c>
      <c r="D6276">
        <f>VLOOKUP(D6264,'Detail Balok'!$C$10:$AU$110,13,FALSE)</f>
        <v>2</v>
      </c>
      <c r="E6276" t="str">
        <v>D</v>
      </c>
      <c r="F6276">
        <f>VLOOKUP(D6264,'Detail Balok'!$C$10:$AU$110,15,FALSE)</f>
        <v>10</v>
      </c>
      <c r="J6276">
        <f>+D6266/1000</f>
        <v>2</v>
      </c>
      <c r="K6276" t="str">
        <v>+</v>
      </c>
      <c r="L6276">
        <f>2*$F$16*F6276/1000</f>
        <v>0.24</v>
      </c>
      <c r="M6276" t="str">
        <v>=</v>
      </c>
      <c r="N6276">
        <f>J6276+L6276</f>
        <v>2.24</v>
      </c>
      <c r="O6276" t="str">
        <v>+</v>
      </c>
      <c r="P6276">
        <f>IF(N6276&gt;12,ROUNDDOWN(N6276/12,0),0)</f>
        <v>0</v>
      </c>
      <c r="Q6276" t="str">
        <v>x</v>
      </c>
      <c r="R6276">
        <f>IF(P6276&gt;0,MAX(VLOOKUP(F6276,$D$6:$G$15,3,FALSE),600),0)/1000</f>
        <v>0</v>
      </c>
      <c r="T6276" t="str">
        <v>x</v>
      </c>
      <c r="U6276">
        <f>0.006165*F6276^2</f>
        <v>0.6165</v>
      </c>
      <c r="V6276" t="str">
        <v>x</v>
      </c>
      <c r="W6276">
        <f>+D6276</f>
        <v>2</v>
      </c>
      <c r="X6276" t="str">
        <v>x</v>
      </c>
      <c r="Y6276">
        <f>D6270</f>
        <v>1</v>
      </c>
      <c r="Z6276" t="str">
        <v>=</v>
      </c>
      <c r="AA6276">
        <f>(N6276+P6276*R6276/1000)*U6276*W6276*Y6276</f>
        <v>2.7619200000000004</v>
      </c>
    </row>
    <row r="6279">
      <c r="A6279" t="str">
        <f>A6264</f>
        <v>Lantai 2</v>
      </c>
      <c r="B6279">
        <f>B6264</f>
        <v>14</v>
      </c>
      <c r="C6279" t="str">
        <v>Tul Bawah Tumpuan</v>
      </c>
      <c r="D6279">
        <f>VLOOKUP(D6264,'Detail Balok'!$C$10:$AU$110,22,FALSE)</f>
        <v>2</v>
      </c>
      <c r="E6279" t="str">
        <v>D</v>
      </c>
      <c r="F6279">
        <f>VLOOKUP(D6264,'Detail Balok'!$C$10:$AU$110,24,FALSE)</f>
        <v>16</v>
      </c>
      <c r="I6279" t="str">
        <v>(</v>
      </c>
      <c r="J6279">
        <f>+J6271</f>
        <v>0.5</v>
      </c>
      <c r="K6279" t="str">
        <v>+</v>
      </c>
      <c r="L6279">
        <f>MAX(VLOOKUP(F6279,N$6:P$15,3,FALSE)/1000,2/3*D6269/1000)+F$16*F6279/1000</f>
        <v>0.192</v>
      </c>
      <c r="M6279" t="str">
        <v>=</v>
      </c>
      <c r="N6279">
        <f>J6279+L6279</f>
        <v>0.692</v>
      </c>
      <c r="O6279" t="str">
        <v>+</v>
      </c>
      <c r="P6279">
        <f>D6279-D6280</f>
        <v>0</v>
      </c>
      <c r="Q6279" t="str">
        <v>x</v>
      </c>
      <c r="R6279">
        <f>IF(P6279&gt;0,$F$18*F6279/1000,0)</f>
        <v>0</v>
      </c>
      <c r="S6279" t="str">
        <v>)</v>
      </c>
      <c r="T6279" t="str">
        <v>x</v>
      </c>
      <c r="U6279">
        <f>0.006165*F6279^2</f>
        <v>1.57824</v>
      </c>
      <c r="X6279" t="str">
        <v>x</v>
      </c>
      <c r="Y6279">
        <f>D6270</f>
        <v>1</v>
      </c>
      <c r="Z6279" t="str">
        <v>=</v>
      </c>
      <c r="AA6279">
        <f>IF(AA6282=0,(D6279*N6279+P6279*R6279)*U6279*Y6279,0)</f>
        <v>0</v>
      </c>
    </row>
    <row r="6280">
      <c r="A6280" t="str">
        <f>A6264</f>
        <v>Lantai 2</v>
      </c>
      <c r="B6280">
        <f>B6264</f>
        <v>14</v>
      </c>
      <c r="C6280" t="str">
        <v>Tul Bawah Lapangan</v>
      </c>
      <c r="D6280">
        <f>VLOOKUP(D6264,'Detail Balok'!$C$10:$AU$110,25,FALSE)</f>
        <v>2</v>
      </c>
      <c r="E6280" t="str">
        <v>D</v>
      </c>
      <c r="F6280">
        <f>VLOOKUP(D6264,'Detail Balok'!$C$10:$AU$110,27,FALSE)</f>
        <v>16</v>
      </c>
      <c r="I6280" t="str">
        <v>(</v>
      </c>
      <c r="J6280">
        <f>+J6272</f>
        <v>1</v>
      </c>
      <c r="K6280" t="str">
        <v>+</v>
      </c>
      <c r="M6280" t="str">
        <v>=</v>
      </c>
      <c r="N6280">
        <f>J6280+L6280</f>
        <v>1</v>
      </c>
      <c r="O6280" t="str">
        <v>+</v>
      </c>
      <c r="P6280">
        <f>MAX(D6280-D6279,D6280-D6281)</f>
        <v>0</v>
      </c>
      <c r="Q6280" t="str">
        <v>x</v>
      </c>
      <c r="R6280">
        <f>IF(P6280&gt;0,2*(1-2*$F$19-1/2)*D6267/1000,0)</f>
        <v>0</v>
      </c>
      <c r="S6280" t="str">
        <v>)</v>
      </c>
      <c r="T6280" t="str">
        <v>x</v>
      </c>
      <c r="U6280">
        <f>0.006165*F6280^2</f>
        <v>1.57824</v>
      </c>
      <c r="X6280" t="str">
        <v>x</v>
      </c>
      <c r="Y6280">
        <f>D6270</f>
        <v>1</v>
      </c>
      <c r="Z6280" t="str">
        <v>=</v>
      </c>
      <c r="AA6280">
        <f>IF(AA6282=0,(D6280*N6280+P6280*R6280)*U6280*Y6280,0)</f>
        <v>0</v>
      </c>
    </row>
    <row r="6281">
      <c r="A6281" t="str">
        <f>A6264</f>
        <v>Lantai 2</v>
      </c>
      <c r="B6281">
        <f>B6264</f>
        <v>14</v>
      </c>
      <c r="C6281" t="str">
        <v>Tul Bawah Tumpuan</v>
      </c>
      <c r="D6281">
        <f>VLOOKUP(D6264,'Detail Balok'!$C$10:$AU$110,28,FALSE)</f>
        <v>2</v>
      </c>
      <c r="E6281" t="str">
        <v>D</v>
      </c>
      <c r="F6281">
        <f>VLOOKUP(D6264,'Detail Balok'!$C$10:$AU$110,30,FALSE)</f>
        <v>16</v>
      </c>
      <c r="I6281" t="str">
        <v>(</v>
      </c>
      <c r="J6281">
        <f>+J6273</f>
        <v>0.5</v>
      </c>
      <c r="K6281" t="str">
        <v>+</v>
      </c>
      <c r="L6281">
        <f>MAX(VLOOKUP(F6281,N$6:P$15,3,FALSE)/1000,2/3*D6269/1000)+F$16*F6281/1000</f>
        <v>0.192</v>
      </c>
      <c r="M6281" t="str">
        <v>=</v>
      </c>
      <c r="N6281">
        <f>J6281+L6281</f>
        <v>0.692</v>
      </c>
      <c r="O6281" t="str">
        <v>+</v>
      </c>
      <c r="P6281">
        <f>D6281-D6280</f>
        <v>0</v>
      </c>
      <c r="Q6281" t="str">
        <v>x</v>
      </c>
      <c r="R6281">
        <f>IF(P6281&gt;0,$F$18*F6281/1000,0)</f>
        <v>0</v>
      </c>
      <c r="S6281" t="str">
        <v>)</v>
      </c>
      <c r="T6281" t="str">
        <v>x</v>
      </c>
      <c r="U6281">
        <f>0.006165*F6281^2</f>
        <v>1.57824</v>
      </c>
      <c r="X6281" t="str">
        <v>x</v>
      </c>
      <c r="Y6281">
        <f>D6270</f>
        <v>1</v>
      </c>
      <c r="Z6281" t="str">
        <v>=</v>
      </c>
      <c r="AA6281">
        <f>IF(AA6282=0,(D6281*N6281+P6281*R6281)*U6281*Y6281,0)</f>
        <v>0</v>
      </c>
    </row>
    <row r="6282">
      <c r="A6282" t="str">
        <f>A6264</f>
        <v>Lantai 2</v>
      </c>
      <c r="B6282">
        <f>B6264</f>
        <v>14</v>
      </c>
      <c r="D6282">
        <f>IF(AND(D6279=D6280,D6280=D6281,D6279=D6281),D6279,0)</f>
        <v>2</v>
      </c>
      <c r="E6282" t="str">
        <v>D</v>
      </c>
      <c r="F6282">
        <f>IF(AND(F6279=F6280,F6279=F6281,F6280=F6281),F6279,0)</f>
        <v>16</v>
      </c>
      <c r="L6282" t="str">
        <v>Total panjang per balok</v>
      </c>
      <c r="M6282" t="str">
        <v>=</v>
      </c>
      <c r="N6282">
        <f>IF(AND(D6279=D6280,D6279=D6281,D6280=D6281,F6279=F6280,F6279=F6281,F6280=F6281),SUM(N6279:N6281),0)</f>
        <v>2.384</v>
      </c>
      <c r="O6282" t="str">
        <v>+</v>
      </c>
      <c r="P6282">
        <f>IF(N6282&gt;12,ROUNDDOWN(N6282/12,0),0)</f>
        <v>0</v>
      </c>
      <c r="Q6282" t="str">
        <v>x</v>
      </c>
      <c r="R6282">
        <f>IF(P6282&gt;0,MAX(VLOOKUP(F6282,$D$6:$G$15,3,FALSE),600),0)/1000</f>
        <v>0</v>
      </c>
      <c r="T6282" t="str">
        <v>x</v>
      </c>
      <c r="U6282">
        <f>U6281</f>
        <v>1.57824</v>
      </c>
      <c r="V6282" t="str">
        <v>x</v>
      </c>
      <c r="W6282">
        <f>D6282</f>
        <v>2</v>
      </c>
      <c r="X6282" t="str">
        <v>x</v>
      </c>
      <c r="Y6282">
        <f>Y6281</f>
        <v>1</v>
      </c>
      <c r="Z6282" t="str">
        <v>=</v>
      </c>
      <c r="AA6282">
        <f>(N6282+P6282*R6282/1000)*U6282*W6282*Y6282</f>
        <v>7.52504832</v>
      </c>
    </row>
    <row r="6284">
      <c r="A6284" t="str">
        <f>A6264</f>
        <v>Lantai 2</v>
      </c>
      <c r="B6284">
        <f>B6264</f>
        <v>14</v>
      </c>
      <c r="C6284" t="str">
        <v>Sengkang Tumpuan</v>
      </c>
      <c r="D6284">
        <f>VLOOKUP(D6264,'Detail Balok'!$C$10:$AU$110,31,FALSE)</f>
        <v>0</v>
      </c>
      <c r="E6284" t="str">
        <v>D</v>
      </c>
      <c r="F6284">
        <f>VLOOKUP(D6264,'Detail Balok'!$C$10:$AU$110,33,FALSE)</f>
        <v>10</v>
      </c>
      <c r="G6284" t="str">
        <v>-</v>
      </c>
      <c r="H6284">
        <f>VLOOKUP(D6264,'Detail Balok'!$C$10:$AU$110,35,FALSE)</f>
        <v>90</v>
      </c>
      <c r="J6284">
        <f>(IF(D6284=0,(2*(D6265+G6265))-(F$5*8),IF(D6284=3,(2*(D6265+G6265))-(F$5*8)+(G6265-2*F$5),IF(D6284=4,(2*(D6265+G6265))-(F$5*8)+2*(G6265-2*F$5)))))/1000</f>
        <v>0.98</v>
      </c>
      <c r="K6284" t="str">
        <v>+</v>
      </c>
      <c r="L6284">
        <f>IF(D6284=0,2*MAX(6*F6284,75),(D6284-1)*2*MAX(6*F6284,75))/1000</f>
        <v>0.15</v>
      </c>
      <c r="M6284" t="str">
        <v>=</v>
      </c>
      <c r="N6284">
        <f>J6284+L6284</f>
        <v>1.13</v>
      </c>
      <c r="T6284" t="str">
        <v>x</v>
      </c>
      <c r="U6284">
        <f>0.006165*F6284^2</f>
        <v>0.6165</v>
      </c>
      <c r="V6284" t="str">
        <v>x</v>
      </c>
      <c r="W6284">
        <f>IF(D6267&gt;4*G6265,ROUND(MAX(D6267/4,2*G6265)/H6284,0)+1,ROUND(D6267/H6284,0)+1)</f>
        <v>11</v>
      </c>
      <c r="X6284" t="str">
        <v>x</v>
      </c>
      <c r="Y6284">
        <f>D6270</f>
        <v>1</v>
      </c>
      <c r="Z6284" t="str">
        <v>=</v>
      </c>
      <c r="AA6284">
        <f>N6284*U6284*W6284*Y6284</f>
        <v>7.663094999999999</v>
      </c>
    </row>
    <row r="6285">
      <c r="A6285" t="str">
        <f>A6264</f>
        <v>Lantai 2</v>
      </c>
      <c r="B6285">
        <f>B6264</f>
        <v>14</v>
      </c>
      <c r="C6285" t="str">
        <v>Sengkang Lapangan</v>
      </c>
      <c r="D6285">
        <f>VLOOKUP(D6264,'Detail Balok'!$C$10:$AU$110,36,FALSE)</f>
        <v>0</v>
      </c>
      <c r="E6285" t="str">
        <v>D</v>
      </c>
      <c r="F6285">
        <f>VLOOKUP(D6264,'Detail Balok'!$C$10:$AU$110,38,FALSE)</f>
        <v>10</v>
      </c>
      <c r="G6285" t="str">
        <v>-</v>
      </c>
      <c r="H6285">
        <f>VLOOKUP(D6264,'Detail Balok'!$C$10:$AU$110,40,FALSE)</f>
        <v>175</v>
      </c>
      <c r="J6285">
        <f>(IF(D6285=0,(2*(D6265+G6265))-(F$5*8),IF(D6285=3,(2*(D6265+G6265))-(F$5*8)+(G6265-2*F$5),IF(D6285=4,(2*(D6265+G6265))-(F$5*8)+2*(G6265-2*F$5)))))/1000</f>
        <v>0.98</v>
      </c>
      <c r="K6285" t="str">
        <v>+</v>
      </c>
      <c r="L6285">
        <f>IF(D6285=0,2*MAX(6*F6285,75),(D6285-1)*2*MAX(6*F6285,75))/1000</f>
        <v>0.15</v>
      </c>
      <c r="M6285" t="str">
        <v>=</v>
      </c>
      <c r="N6285">
        <f>J6285+L6285</f>
        <v>1.13</v>
      </c>
      <c r="T6285" t="str">
        <v>x</v>
      </c>
      <c r="U6285">
        <f>0.006165*F6285^2</f>
        <v>0.6165</v>
      </c>
      <c r="V6285" t="str">
        <v>x</v>
      </c>
      <c r="W6285">
        <f>IF(D6267-MAX(D6267/4,2*G6265)*2&gt;0,ROUND((D6267-MAX(D6267/4,2*G6265)*2)/H6285,0),0)</f>
        <v>1</v>
      </c>
      <c r="X6285" t="str">
        <v>x</v>
      </c>
      <c r="Y6285">
        <f>D6270</f>
        <v>1</v>
      </c>
      <c r="Z6285" t="str">
        <v>=</v>
      </c>
      <c r="AA6285">
        <f>N6285*U6285*W6285*Y6285</f>
        <v>0.696645</v>
      </c>
    </row>
    <row r="6286">
      <c r="A6286" t="str">
        <f>A6264</f>
        <v>Lantai 2</v>
      </c>
      <c r="B6286">
        <f>B6264</f>
        <v>14</v>
      </c>
      <c r="C6286" t="str">
        <v>Sengkang Tumpuan</v>
      </c>
      <c r="D6286">
        <f>VLOOKUP(D6264,'Detail Balok'!$C$10:$AU$110,41,FALSE)</f>
        <v>0</v>
      </c>
      <c r="E6286" t="str">
        <v>D</v>
      </c>
      <c r="F6286">
        <f>VLOOKUP(D6264,'Detail Balok'!$C$10:$AU$110,43,FALSE)</f>
        <v>10</v>
      </c>
      <c r="G6286" t="str">
        <v>-</v>
      </c>
      <c r="H6286">
        <f>VLOOKUP(D6264,'Detail Balok'!$C$10:$AU$110,45,FALSE)</f>
        <v>90</v>
      </c>
      <c r="J6286">
        <f>(IF(D6286=0,(2*(D6265+G6265))-(F$5*8),IF(D6286=3,(2*(D6265+G6265))-(F$5*8)+(G6265-2*F$5),IF(D6286=4,(2*(D6265+G6265))-(F$5*8)+2*(G6265-2*F$5)))))/1000</f>
        <v>0.98</v>
      </c>
      <c r="K6286" t="str">
        <v>+</v>
      </c>
      <c r="L6286">
        <f>IF(D6286=0,2*MAX(6*F6286,75),(D6286-1)*2*MAX(6*F6286,75))/1000</f>
        <v>0.15</v>
      </c>
      <c r="M6286" t="str">
        <v>=</v>
      </c>
      <c r="N6286">
        <f>J6286+L6286</f>
        <v>1.13</v>
      </c>
      <c r="T6286" t="str">
        <v>x</v>
      </c>
      <c r="U6286">
        <f>0.006165*F6286^2</f>
        <v>0.6165</v>
      </c>
      <c r="V6286" t="str">
        <v>x</v>
      </c>
      <c r="W6286">
        <f>IF(D6267&gt;4*G6265,ROUND(MAX(D6267/4,2*G6265)/H6286,0)+1,0)</f>
        <v>11</v>
      </c>
      <c r="X6286" t="str">
        <v>x</v>
      </c>
      <c r="Y6286">
        <f>D6270</f>
        <v>1</v>
      </c>
      <c r="Z6286" t="str">
        <v>=</v>
      </c>
      <c r="AA6286">
        <f>N6286*U6286*W6286*Y6286</f>
        <v>7.663094999999999</v>
      </c>
    </row>
    <row r="6288">
      <c r="A6288" t="str">
        <f>A6264</f>
        <v>Lantai 2</v>
      </c>
      <c r="B6288">
        <f>B6264</f>
        <v>14</v>
      </c>
      <c r="C6288" t="str">
        <v>Kait Horizontal Tump.</v>
      </c>
      <c r="D6288">
        <f>VLOOKUP(D6264,'Detail Balok'!$C$10:$BJ$110,46,FALSE)</f>
        <v>0</v>
      </c>
      <c r="E6288" t="str">
        <v>D</v>
      </c>
      <c r="F6288">
        <f>VLOOKUP(D6264,'Detail Balok'!$C$10:$BJ$110,48,FALSE)</f>
        <v>0</v>
      </c>
      <c r="G6288" t="str">
        <v>-</v>
      </c>
      <c r="H6288">
        <f>VLOOKUP(D6264,'Detail Balok'!$C$10:$BJ$110,50,FALSE)</f>
        <v>100</v>
      </c>
      <c r="J6288">
        <f>(D6265-2*F$5)/1000</f>
        <v>0.12</v>
      </c>
      <c r="K6288" t="str">
        <v>+</v>
      </c>
      <c r="L6288">
        <f>IF(D6288=0,2*MAX(6*F6288,75),(D6288-1)*2*MAX(6*F6288,75))/1000</f>
        <v>0.15</v>
      </c>
      <c r="M6288" t="str">
        <v>=</v>
      </c>
      <c r="N6288">
        <f>J6288+L6288</f>
        <v>0.27</v>
      </c>
      <c r="T6288" t="str">
        <v>x</v>
      </c>
      <c r="U6288">
        <f>0.006165*F6288^2</f>
        <v>0</v>
      </c>
      <c r="V6288" t="str">
        <v>x</v>
      </c>
      <c r="W6288">
        <f>W6284</f>
        <v>11</v>
      </c>
      <c r="X6288" t="str">
        <v>x</v>
      </c>
      <c r="Y6288">
        <f>D6274</f>
        <v>2</v>
      </c>
      <c r="Z6288" t="str">
        <v>=</v>
      </c>
      <c r="AA6288">
        <f>N6288*U6288*W6288*Y6288</f>
        <v>0</v>
      </c>
    </row>
    <row r="6289">
      <c r="A6289" t="str">
        <f>A6264</f>
        <v>Lantai 2</v>
      </c>
      <c r="B6289">
        <f>B6264</f>
        <v>14</v>
      </c>
      <c r="C6289" t="str">
        <v>Kait Horizontal Lap.</v>
      </c>
      <c r="D6289">
        <f>VLOOKUP(D6264,'Detail Balok'!$C$10:$BJ$110,51,FALSE)</f>
        <v>0</v>
      </c>
      <c r="E6289" t="str">
        <v>D</v>
      </c>
      <c r="F6289">
        <f>VLOOKUP(D6264,'Detail Balok'!$C$10:$BJ$110,53,FALSE)</f>
        <v>0</v>
      </c>
      <c r="G6289" t="str">
        <v>-</v>
      </c>
      <c r="H6289">
        <f>VLOOKUP(D6264,'Detail Balok'!$C$10:$BJ$110,55,FALSE)</f>
        <v>100</v>
      </c>
      <c r="J6289">
        <f>(D6265-2*F$5)/1000</f>
        <v>0.12</v>
      </c>
      <c r="K6289" t="str">
        <v>+</v>
      </c>
      <c r="L6289">
        <f>IF(D6289=0,2*MAX(6*F6289,75),(D6289-1)*2*MAX(6*F6289,75))/1000</f>
        <v>0.15</v>
      </c>
      <c r="M6289" t="str">
        <v>=</v>
      </c>
      <c r="N6289">
        <f>J6289+L6289</f>
        <v>0.27</v>
      </c>
      <c r="T6289" t="str">
        <v>x</v>
      </c>
      <c r="U6289">
        <f>0.006165*F6289^2</f>
        <v>0</v>
      </c>
      <c r="V6289" t="str">
        <v>x</v>
      </c>
      <c r="W6289">
        <f>W6285</f>
        <v>1</v>
      </c>
      <c r="X6289" t="str">
        <v>x</v>
      </c>
      <c r="Y6289">
        <f>D6274</f>
        <v>2</v>
      </c>
      <c r="Z6289" t="str">
        <v>=</v>
      </c>
      <c r="AA6289">
        <f>N6289*U6289*W6289*Y6289</f>
        <v>0</v>
      </c>
    </row>
    <row r="6290">
      <c r="A6290" t="str">
        <f>A6264</f>
        <v>Lantai 2</v>
      </c>
      <c r="B6290">
        <f>B6264</f>
        <v>14</v>
      </c>
      <c r="C6290" t="str">
        <v>Kait Horizontal Tump.</v>
      </c>
      <c r="D6290">
        <f>VLOOKUP(D6264,'Detail Balok'!$C$10:$BJ$110,56,FALSE)</f>
        <v>0</v>
      </c>
      <c r="E6290" t="str">
        <v>D</v>
      </c>
      <c r="F6290">
        <f>VLOOKUP(D6264,'Detail Balok'!$C$10:$BJ$110,58,FALSE)</f>
        <v>0</v>
      </c>
      <c r="G6290" t="str">
        <v>-</v>
      </c>
      <c r="H6290">
        <f>VLOOKUP(D6264,'Detail Balok'!$C$10:$BJ$110,60,FALSE)</f>
        <v>100</v>
      </c>
      <c r="J6290">
        <f>(D6265-2*F$5)/1000</f>
        <v>0.12</v>
      </c>
      <c r="K6290" t="str">
        <v>+</v>
      </c>
      <c r="L6290">
        <f>IF(D6290=0,2*MAX(6*F6290,75),(D6290-1)*2*MAX(6*F6290,75))/1000</f>
        <v>0.15</v>
      </c>
      <c r="M6290" t="str">
        <v>=</v>
      </c>
      <c r="N6290">
        <f>J6290+L6290</f>
        <v>0.27</v>
      </c>
      <c r="T6290" t="str">
        <v>x</v>
      </c>
      <c r="U6290">
        <f>0.006165*F6290^2</f>
        <v>0</v>
      </c>
      <c r="V6290" t="str">
        <v>x</v>
      </c>
      <c r="W6290">
        <f>W6286</f>
        <v>11</v>
      </c>
      <c r="X6290" t="str">
        <v>x</v>
      </c>
      <c r="Y6290">
        <f>D6274</f>
        <v>2</v>
      </c>
      <c r="Z6290" t="str">
        <v>=</v>
      </c>
      <c r="AA6290">
        <f>N6290*U6290*W6290*Y6290</f>
        <v>0</v>
      </c>
    </row>
    <row r="6294">
      <c r="A6294" t="str">
        <f>A6264</f>
        <v>Lantai 2</v>
      </c>
      <c r="B6294">
        <f>B6264+1</f>
        <v>15</v>
      </c>
      <c r="C6294" t="str">
        <f>CONCATENATE(A6294," no. ",B6294)</f>
        <v>Lantai 2 no. 15</v>
      </c>
      <c r="D6294" t="str">
        <f>VLOOKUP(C6294,'Data Panjang Balok'!$C$9:$N$424,2,FALSE)</f>
        <v>B47-1</v>
      </c>
    </row>
    <row r="6295">
      <c r="C6295" t="str">
        <v>Dimensi</v>
      </c>
      <c r="D6295">
        <f>VLOOKUP(D6294,'Detail Balok'!$C$10:$AU$110,2,FALSE)</f>
        <v>400</v>
      </c>
      <c r="F6295" t="str">
        <v>x</v>
      </c>
      <c r="G6295">
        <f>VLOOKUP(D6294,'Detail Balok'!$C$10:$AU$110,3,FALSE)</f>
        <v>700</v>
      </c>
    </row>
    <row r="6296">
      <c r="C6296" t="str">
        <v>Panjang as ke as</v>
      </c>
      <c r="D6296">
        <f>VLOOKUP(C6294,'Data Panjang Balok'!$C$9:$N$424,4,FALSE)</f>
        <v>6000</v>
      </c>
    </row>
    <row r="6297">
      <c r="C6297" t="str">
        <v>Panjang netto</v>
      </c>
      <c r="D6297">
        <f>VLOOKUP(C6294,'Data Panjang Balok'!$C$9:$N$424,7,FALSE)</f>
        <v>6000</v>
      </c>
    </row>
    <row r="6298">
      <c r="C6298" t="str">
        <v>Kolom / balok kiri</v>
      </c>
      <c r="D6298">
        <f>VLOOKUP(C6294,'Data Panjang Balok'!$C$9:$N$424,9,FALSE)</f>
        <v>0</v>
      </c>
    </row>
    <row r="6299">
      <c r="C6299" t="str">
        <v>Kolom / balok kanan</v>
      </c>
      <c r="D6299">
        <f>VLOOKUP(C6294,'Data Panjang Balok'!$C$9:$N$424,10,FALSE)</f>
        <v>0</v>
      </c>
    </row>
    <row r="6300">
      <c r="C6300" t="str">
        <v>Jumlah</v>
      </c>
      <c r="D6300">
        <f>VLOOKUP(C6294,'Data Panjang Balok'!$C$9:$N$424,3,FALSE)</f>
        <v>1</v>
      </c>
    </row>
    <row r="6301">
      <c r="A6301" t="str">
        <f>A6294</f>
        <v>Lantai 2</v>
      </c>
      <c r="B6301">
        <f>B6294</f>
        <v>15</v>
      </c>
      <c r="C6301" t="str">
        <v>Tul Atas Tumpuan</v>
      </c>
      <c r="D6301">
        <f>VLOOKUP(D6294,'Detail Balok'!$C$10:$AU$110,4,FALSE)</f>
        <v>7</v>
      </c>
      <c r="E6301" t="str">
        <v>D</v>
      </c>
      <c r="F6301">
        <f>VLOOKUP(D6294,'Detail Balok'!$C$10:$AU$110,6,FALSE)</f>
        <v>16</v>
      </c>
      <c r="I6301" t="str">
        <v>(</v>
      </c>
      <c r="J6301">
        <f>+D6296/4/1000</f>
        <v>1.5</v>
      </c>
      <c r="K6301" t="str">
        <v>+</v>
      </c>
      <c r="L6301">
        <f>MAX(VLOOKUP(F6301,N$6:P$15,3,FALSE)/1000,2/3*D6298/1000)+F$16*F6301/1000</f>
        <v>0.192</v>
      </c>
      <c r="M6301" t="str">
        <v>=</v>
      </c>
      <c r="N6301">
        <f>J6301+L6301</f>
        <v>1.692</v>
      </c>
      <c r="O6301" t="str">
        <v>+</v>
      </c>
      <c r="P6301">
        <f>D6301-D6302</f>
        <v>2</v>
      </c>
      <c r="Q6301" t="str">
        <v>x</v>
      </c>
      <c r="R6301">
        <f>IF(P6301&gt;0,$F$18*F6301/1000,0)</f>
        <v>0.24</v>
      </c>
      <c r="S6301" t="str">
        <v>)</v>
      </c>
      <c r="T6301" t="str">
        <v>x</v>
      </c>
      <c r="U6301">
        <f>0.006165*F6301^2</f>
        <v>1.57824</v>
      </c>
      <c r="X6301" t="str">
        <v>x</v>
      </c>
      <c r="Y6301">
        <f>D6300</f>
        <v>1</v>
      </c>
      <c r="Z6301" t="str">
        <v>=</v>
      </c>
      <c r="AA6301">
        <f>IF(AA6304=0,(D6301*N6301+P6301*R6301)*U6301*Y6301,0)</f>
        <v>19.45022976</v>
      </c>
    </row>
    <row r="6302">
      <c r="A6302" t="str">
        <f>A6294</f>
        <v>Lantai 2</v>
      </c>
      <c r="B6302">
        <f>B6294</f>
        <v>15</v>
      </c>
      <c r="C6302" t="str">
        <v>Tul Atas Lapangan</v>
      </c>
      <c r="D6302">
        <f>VLOOKUP(D6294,'Detail Balok'!$C$10:$AU$110,7,FALSE)</f>
        <v>5</v>
      </c>
      <c r="E6302" t="str">
        <v>D</v>
      </c>
      <c r="F6302">
        <f>VLOOKUP(D6294,'Detail Balok'!$C$10:$AU$110,9,FALSE)</f>
        <v>16</v>
      </c>
      <c r="I6302" t="str">
        <v>(</v>
      </c>
      <c r="J6302">
        <f>+D6296/2/1000</f>
        <v>3</v>
      </c>
      <c r="K6302" t="str">
        <v>+</v>
      </c>
      <c r="M6302" t="str">
        <v>=</v>
      </c>
      <c r="N6302">
        <f>J6302+L6302</f>
        <v>3</v>
      </c>
      <c r="O6302" t="str">
        <v>+</v>
      </c>
      <c r="P6302">
        <f>MAX(D6302-D6301,D6302-D6303)</f>
        <v>0</v>
      </c>
      <c r="Q6302" t="str">
        <v>x</v>
      </c>
      <c r="R6302">
        <f>IF(P6302&gt;0,2*(1-2*$F$19-1/2)*D6297/1000,0)</f>
        <v>0</v>
      </c>
      <c r="S6302" t="str">
        <v>)</v>
      </c>
      <c r="T6302" t="str">
        <v>x</v>
      </c>
      <c r="U6302">
        <f>0.006165*F6302^2</f>
        <v>1.57824</v>
      </c>
      <c r="X6302" t="str">
        <v>x</v>
      </c>
      <c r="Y6302">
        <f>D6300</f>
        <v>1</v>
      </c>
      <c r="Z6302" t="str">
        <v>=</v>
      </c>
      <c r="AA6302">
        <f>IF(AA6304=0,(D6302*N6302+P6302*R6302)*U6302*Y6302,0)</f>
        <v>23.6736</v>
      </c>
    </row>
    <row r="6303">
      <c r="A6303" t="str">
        <f>A6294</f>
        <v>Lantai 2</v>
      </c>
      <c r="B6303">
        <f>B6294</f>
        <v>15</v>
      </c>
      <c r="C6303" t="str">
        <v>Tul Atas Tumpuan</v>
      </c>
      <c r="D6303">
        <f>VLOOKUP(D6294,'Detail Balok'!$C$10:$AU$110,10,FALSE)</f>
        <v>5</v>
      </c>
      <c r="E6303" t="str">
        <v>D</v>
      </c>
      <c r="F6303">
        <f>VLOOKUP(D6294,'Detail Balok'!$C$10:$AU$110,12,FALSE)</f>
        <v>16</v>
      </c>
      <c r="I6303" t="str">
        <v>(</v>
      </c>
      <c r="J6303">
        <f>+D6296/4/1000</f>
        <v>1.5</v>
      </c>
      <c r="K6303" t="str">
        <v>+</v>
      </c>
      <c r="L6303">
        <f>MAX(VLOOKUP(F6303,N$6:P$15,3,FALSE)/1000,2/3*D6298/1000)+F$16*F6303/1000</f>
        <v>0.192</v>
      </c>
      <c r="M6303" t="str">
        <v>=</v>
      </c>
      <c r="N6303">
        <f>J6303+L6303</f>
        <v>1.692</v>
      </c>
      <c r="O6303" t="str">
        <v>+</v>
      </c>
      <c r="P6303">
        <f>D6303-D6302</f>
        <v>0</v>
      </c>
      <c r="Q6303" t="str">
        <v>x</v>
      </c>
      <c r="R6303">
        <f>IF(P6303&gt;0,$F$18*F6303/1000,0)</f>
        <v>0</v>
      </c>
      <c r="S6303" t="str">
        <v>)</v>
      </c>
      <c r="T6303" t="str">
        <v>x</v>
      </c>
      <c r="U6303">
        <f>0.006165*F6303^2</f>
        <v>1.57824</v>
      </c>
      <c r="X6303" t="str">
        <v>x</v>
      </c>
      <c r="Y6303">
        <f>D6300</f>
        <v>1</v>
      </c>
      <c r="Z6303" t="str">
        <v>=</v>
      </c>
      <c r="AA6303">
        <f>IF(AA6304=0,(D6303*N6303+P6303*R6303)*U6303*Y6303,0)</f>
        <v>13.3519104</v>
      </c>
    </row>
    <row r="6304">
      <c r="A6304" t="str">
        <f>A6294</f>
        <v>Lantai 2</v>
      </c>
      <c r="B6304">
        <f>B6294</f>
        <v>15</v>
      </c>
      <c r="D6304">
        <f>IF(AND(D6301=D6302,D6302=D6303,D6301=D6303),D6301,0)</f>
        <v>0</v>
      </c>
      <c r="E6304" t="str">
        <v>D</v>
      </c>
      <c r="F6304">
        <f>IF(AND(F6301=F6302,F6301=F6303,F6302=F6303),F6301,0)</f>
        <v>16</v>
      </c>
      <c r="L6304" t="str">
        <v>Total panjang per balok</v>
      </c>
      <c r="M6304" t="str">
        <v>=</v>
      </c>
      <c r="N6304">
        <f>IF(AND(D6301=D6302,D6301=D6303,D6302=D6303,F6301=F6302,F6301=F6303,F6302=F6303),SUM(N6301:N6303),0)</f>
        <v>0</v>
      </c>
      <c r="O6304" t="str">
        <v>+</v>
      </c>
      <c r="P6304">
        <f>IF(N6304&gt;12,ROUNDDOWN(N6304/12,0),0)</f>
        <v>0</v>
      </c>
      <c r="Q6304" t="str">
        <v>x</v>
      </c>
      <c r="R6304">
        <f>IF(P6304&gt;0,MAX(VLOOKUP(F6304,$D$6:$G$15,3,FALSE),600),0)/1000</f>
        <v>0</v>
      </c>
      <c r="T6304" t="str">
        <v>x</v>
      </c>
      <c r="U6304">
        <f>U6303</f>
        <v>1.57824</v>
      </c>
      <c r="V6304" t="str">
        <v>x</v>
      </c>
      <c r="W6304">
        <f>D6304</f>
        <v>0</v>
      </c>
      <c r="X6304" t="str">
        <v>x</v>
      </c>
      <c r="Y6304">
        <f>Y6303</f>
        <v>1</v>
      </c>
      <c r="Z6304" t="str">
        <v>=</v>
      </c>
      <c r="AA6304">
        <f>(N6304+P6304*R6304/1000)*U6304*W6304*Y6304</f>
        <v>0</v>
      </c>
    </row>
    <row r="6306">
      <c r="A6306" t="str">
        <f>A6294</f>
        <v>Lantai 2</v>
      </c>
      <c r="B6306">
        <f>B6294</f>
        <v>15</v>
      </c>
      <c r="C6306" t="str">
        <v>Tul Peminggang</v>
      </c>
      <c r="D6306">
        <f>VLOOKUP(D6294,'Detail Balok'!$C$10:$AU$110,13,FALSE)</f>
        <v>2</v>
      </c>
      <c r="E6306" t="str">
        <v>D</v>
      </c>
      <c r="F6306">
        <f>VLOOKUP(D6294,'Detail Balok'!$C$10:$AU$110,15,FALSE)</f>
        <v>10</v>
      </c>
      <c r="J6306">
        <f>+D6296/1000</f>
        <v>6</v>
      </c>
      <c r="K6306" t="str">
        <v>+</v>
      </c>
      <c r="L6306">
        <f>2*$F$16*F6306/1000</f>
        <v>0.24</v>
      </c>
      <c r="M6306" t="str">
        <v>=</v>
      </c>
      <c r="N6306">
        <f>J6306+L6306</f>
        <v>6.24</v>
      </c>
      <c r="O6306" t="str">
        <v>+</v>
      </c>
      <c r="P6306">
        <f>IF(N6306&gt;12,ROUNDDOWN(N6306/12,0),0)</f>
        <v>0</v>
      </c>
      <c r="Q6306" t="str">
        <v>x</v>
      </c>
      <c r="R6306">
        <f>IF(P6306&gt;0,MAX(VLOOKUP(F6306,$D$6:$G$15,3,FALSE),600),0)/1000</f>
        <v>0</v>
      </c>
      <c r="T6306" t="str">
        <v>x</v>
      </c>
      <c r="U6306">
        <f>0.006165*F6306^2</f>
        <v>0.6165</v>
      </c>
      <c r="V6306" t="str">
        <v>x</v>
      </c>
      <c r="W6306">
        <f>+D6306</f>
        <v>2</v>
      </c>
      <c r="X6306" t="str">
        <v>x</v>
      </c>
      <c r="Y6306">
        <f>D6300</f>
        <v>1</v>
      </c>
      <c r="Z6306" t="str">
        <v>=</v>
      </c>
      <c r="AA6306">
        <f>(N6306+P6306*R6306/1000)*U6306*W6306*Y6306</f>
        <v>7.693920000000001</v>
      </c>
    </row>
    <row r="6309">
      <c r="A6309" t="str">
        <f>A6294</f>
        <v>Lantai 2</v>
      </c>
      <c r="B6309">
        <f>B6294</f>
        <v>15</v>
      </c>
      <c r="C6309" t="str">
        <v>Tul Bawah Tumpuan</v>
      </c>
      <c r="D6309">
        <f>VLOOKUP(D6294,'Detail Balok'!$C$10:$AU$110,22,FALSE)</f>
        <v>6</v>
      </c>
      <c r="E6309" t="str">
        <v>D</v>
      </c>
      <c r="F6309">
        <f>VLOOKUP(D6294,'Detail Balok'!$C$10:$AU$110,24,FALSE)</f>
        <v>16</v>
      </c>
      <c r="I6309" t="str">
        <v>(</v>
      </c>
      <c r="J6309">
        <f>+J6301</f>
        <v>1.5</v>
      </c>
      <c r="K6309" t="str">
        <v>+</v>
      </c>
      <c r="L6309">
        <f>MAX(VLOOKUP(F6309,N$6:P$15,3,FALSE)/1000,2/3*D6299/1000)+F$16*F6309/1000</f>
        <v>0.192</v>
      </c>
      <c r="M6309" t="str">
        <v>=</v>
      </c>
      <c r="N6309">
        <f>J6309+L6309</f>
        <v>1.692</v>
      </c>
      <c r="O6309" t="str">
        <v>+</v>
      </c>
      <c r="P6309">
        <f>D6309-D6310</f>
        <v>-4</v>
      </c>
      <c r="Q6309" t="str">
        <v>x</v>
      </c>
      <c r="R6309">
        <f>IF(P6309&gt;0,$F$18*F6309/1000,0)</f>
        <v>0</v>
      </c>
      <c r="S6309" t="str">
        <v>)</v>
      </c>
      <c r="T6309" t="str">
        <v>x</v>
      </c>
      <c r="U6309">
        <f>0.006165*F6309^2</f>
        <v>1.57824</v>
      </c>
      <c r="X6309" t="str">
        <v>x</v>
      </c>
      <c r="Y6309">
        <f>D6300</f>
        <v>1</v>
      </c>
      <c r="Z6309" t="str">
        <v>=</v>
      </c>
      <c r="AA6309">
        <f>IF(AA6312=0,(D6309*N6309+P6309*R6309)*U6309*Y6309,0)</f>
        <v>16.02229248</v>
      </c>
    </row>
    <row r="6310">
      <c r="A6310" t="str">
        <f>A6294</f>
        <v>Lantai 2</v>
      </c>
      <c r="B6310">
        <f>B6294</f>
        <v>15</v>
      </c>
      <c r="C6310" t="str">
        <v>Tul Bawah Lapangan</v>
      </c>
      <c r="D6310">
        <f>VLOOKUP(D6294,'Detail Balok'!$C$10:$AU$110,25,FALSE)</f>
        <v>10</v>
      </c>
      <c r="E6310" t="str">
        <v>D</v>
      </c>
      <c r="F6310">
        <f>VLOOKUP(D6294,'Detail Balok'!$C$10:$AU$110,27,FALSE)</f>
        <v>16</v>
      </c>
      <c r="I6310" t="str">
        <v>(</v>
      </c>
      <c r="J6310">
        <f>+J6302</f>
        <v>3</v>
      </c>
      <c r="K6310" t="str">
        <v>+</v>
      </c>
      <c r="M6310" t="str">
        <v>=</v>
      </c>
      <c r="N6310">
        <f>J6310+L6310</f>
        <v>3</v>
      </c>
      <c r="O6310" t="str">
        <v>+</v>
      </c>
      <c r="P6310">
        <f>MAX(D6310-D6309,D6310-D6311)</f>
        <v>4</v>
      </c>
      <c r="Q6310" t="str">
        <v>x</v>
      </c>
      <c r="R6310">
        <f>IF(P6310&gt;0,2*(1-2*$F$19-1/2)*D6297/1000,0)</f>
        <v>1.1999999999999997</v>
      </c>
      <c r="S6310" t="str">
        <v>)</v>
      </c>
      <c r="T6310" t="str">
        <v>x</v>
      </c>
      <c r="U6310">
        <f>0.006165*F6310^2</f>
        <v>1.57824</v>
      </c>
      <c r="X6310" t="str">
        <v>x</v>
      </c>
      <c r="Y6310">
        <f>D6300</f>
        <v>1</v>
      </c>
      <c r="Z6310" t="str">
        <v>=</v>
      </c>
      <c r="AA6310">
        <f>IF(AA6312=0,(D6310*N6310+P6310*R6310)*U6310*Y6310,0)</f>
        <v>54.922751999999996</v>
      </c>
    </row>
    <row r="6311">
      <c r="A6311" t="str">
        <f>A6294</f>
        <v>Lantai 2</v>
      </c>
      <c r="B6311">
        <f>B6294</f>
        <v>15</v>
      </c>
      <c r="C6311" t="str">
        <v>Tul Bawah Tumpuan</v>
      </c>
      <c r="D6311">
        <f>VLOOKUP(D6294,'Detail Balok'!$C$10:$AU$110,28,FALSE)</f>
        <v>6</v>
      </c>
      <c r="E6311" t="str">
        <v>D</v>
      </c>
      <c r="F6311">
        <f>VLOOKUP(D6294,'Detail Balok'!$C$10:$AU$110,30,FALSE)</f>
        <v>16</v>
      </c>
      <c r="I6311" t="str">
        <v>(</v>
      </c>
      <c r="J6311">
        <f>+J6303</f>
        <v>1.5</v>
      </c>
      <c r="K6311" t="str">
        <v>+</v>
      </c>
      <c r="L6311">
        <f>MAX(VLOOKUP(F6311,N$6:P$15,3,FALSE)/1000,2/3*D6299/1000)+F$16*F6311/1000</f>
        <v>0.192</v>
      </c>
      <c r="M6311" t="str">
        <v>=</v>
      </c>
      <c r="N6311">
        <f>J6311+L6311</f>
        <v>1.692</v>
      </c>
      <c r="O6311" t="str">
        <v>+</v>
      </c>
      <c r="P6311">
        <f>D6311-D6310</f>
        <v>-4</v>
      </c>
      <c r="Q6311" t="str">
        <v>x</v>
      </c>
      <c r="R6311">
        <f>IF(P6311&gt;0,$F$18*F6311/1000,0)</f>
        <v>0</v>
      </c>
      <c r="S6311" t="str">
        <v>)</v>
      </c>
      <c r="T6311" t="str">
        <v>x</v>
      </c>
      <c r="U6311">
        <f>0.006165*F6311^2</f>
        <v>1.57824</v>
      </c>
      <c r="X6311" t="str">
        <v>x</v>
      </c>
      <c r="Y6311">
        <f>D6300</f>
        <v>1</v>
      </c>
      <c r="Z6311" t="str">
        <v>=</v>
      </c>
      <c r="AA6311">
        <f>IF(AA6312=0,(D6311*N6311+P6311*R6311)*U6311*Y6311,0)</f>
        <v>16.02229248</v>
      </c>
    </row>
    <row r="6312">
      <c r="A6312" t="str">
        <f>A6294</f>
        <v>Lantai 2</v>
      </c>
      <c r="B6312">
        <f>B6294</f>
        <v>15</v>
      </c>
      <c r="D6312">
        <f>IF(AND(D6309=D6310,D6310=D6311,D6309=D6311),D6309,0)</f>
        <v>0</v>
      </c>
      <c r="E6312" t="str">
        <v>D</v>
      </c>
      <c r="F6312">
        <f>IF(AND(F6309=F6310,F6309=F6311,F6310=F6311),F6309,0)</f>
        <v>16</v>
      </c>
      <c r="L6312" t="str">
        <v>Total panjang per balok</v>
      </c>
      <c r="M6312" t="str">
        <v>=</v>
      </c>
      <c r="N6312">
        <f>IF(AND(D6309=D6310,D6309=D6311,D6310=D6311,F6309=F6310,F6309=F6311,F6310=F6311),SUM(N6309:N6311),0)</f>
        <v>0</v>
      </c>
      <c r="O6312" t="str">
        <v>+</v>
      </c>
      <c r="P6312">
        <f>IF(N6312&gt;12,ROUNDDOWN(N6312/12,0),0)</f>
        <v>0</v>
      </c>
      <c r="Q6312" t="str">
        <v>x</v>
      </c>
      <c r="R6312">
        <f>IF(P6312&gt;0,MAX(VLOOKUP(F6312,$D$6:$G$15,3,FALSE),600),0)/1000</f>
        <v>0</v>
      </c>
      <c r="T6312" t="str">
        <v>x</v>
      </c>
      <c r="U6312">
        <f>U6311</f>
        <v>1.57824</v>
      </c>
      <c r="V6312" t="str">
        <v>x</v>
      </c>
      <c r="W6312">
        <f>D6312</f>
        <v>0</v>
      </c>
      <c r="X6312" t="str">
        <v>x</v>
      </c>
      <c r="Y6312">
        <f>Y6311</f>
        <v>1</v>
      </c>
      <c r="Z6312" t="str">
        <v>=</v>
      </c>
      <c r="AA6312">
        <f>(N6312+P6312*R6312/1000)*U6312*W6312*Y6312</f>
        <v>0</v>
      </c>
    </row>
    <row r="6314">
      <c r="A6314" t="str">
        <f>A6294</f>
        <v>Lantai 2</v>
      </c>
      <c r="B6314">
        <f>B6294</f>
        <v>15</v>
      </c>
      <c r="C6314" t="str">
        <v>Sengkang Tumpuan</v>
      </c>
      <c r="D6314">
        <f>VLOOKUP(D6294,'Detail Balok'!$C$10:$AU$110,31,FALSE)</f>
        <v>0</v>
      </c>
      <c r="E6314" t="str">
        <v>D</v>
      </c>
      <c r="F6314">
        <f>VLOOKUP(D6294,'Detail Balok'!$C$10:$AU$110,33,FALSE)</f>
        <v>13</v>
      </c>
      <c r="G6314" t="str">
        <v>-</v>
      </c>
      <c r="H6314">
        <f>VLOOKUP(D6294,'Detail Balok'!$C$10:$AU$110,35,FALSE)</f>
        <v>75</v>
      </c>
      <c r="J6314">
        <f>(IF(D6314=0,(2*(D6295+G6295))-(F$5*8),IF(D6314=3,(2*(D6295+G6295))-(F$5*8)+(G6295-2*F$5),IF(D6314=4,(2*(D6295+G6295))-(F$5*8)+2*(G6295-2*F$5)))))/1000</f>
        <v>1.88</v>
      </c>
      <c r="K6314" t="str">
        <v>+</v>
      </c>
      <c r="L6314">
        <f>IF(D6314=0,2*MAX(6*F6314,75),(D6314-1)*2*MAX(6*F6314,75))/1000</f>
        <v>0.156</v>
      </c>
      <c r="M6314" t="str">
        <v>=</v>
      </c>
      <c r="N6314">
        <f>J6314+L6314</f>
        <v>2.036</v>
      </c>
      <c r="T6314" t="str">
        <v>x</v>
      </c>
      <c r="U6314">
        <f>0.006165*F6314^2</f>
        <v>1.041885</v>
      </c>
      <c r="V6314" t="str">
        <v>x</v>
      </c>
      <c r="W6314">
        <f>IF(D6297&gt;4*G6295,ROUND(MAX(D6297/4,2*G6295)/H6314,0)+1,ROUND(D6297/H6314,0)+1)</f>
        <v>21</v>
      </c>
      <c r="X6314" t="str">
        <v>x</v>
      </c>
      <c r="Y6314">
        <f>D6300</f>
        <v>1</v>
      </c>
      <c r="Z6314" t="str">
        <v>=</v>
      </c>
      <c r="AA6314">
        <f>N6314*U6314*W6314*Y6314</f>
        <v>44.54683505999999</v>
      </c>
    </row>
    <row r="6315">
      <c r="A6315" t="str">
        <f>A6294</f>
        <v>Lantai 2</v>
      </c>
      <c r="B6315">
        <f>B6294</f>
        <v>15</v>
      </c>
      <c r="C6315" t="str">
        <v>Sengkang Lapangan</v>
      </c>
      <c r="D6315">
        <f>VLOOKUP(D6294,'Detail Balok'!$C$10:$AU$110,36,FALSE)</f>
        <v>0</v>
      </c>
      <c r="E6315" t="str">
        <v>D</v>
      </c>
      <c r="F6315">
        <f>VLOOKUP(D6294,'Detail Balok'!$C$10:$AU$110,38,FALSE)</f>
        <v>13</v>
      </c>
      <c r="G6315" t="str">
        <v>-</v>
      </c>
      <c r="H6315">
        <f>VLOOKUP(D6294,'Detail Balok'!$C$10:$AU$110,40,FALSE)</f>
        <v>200</v>
      </c>
      <c r="J6315">
        <f>(IF(D6315=0,(2*(D6295+G6295))-(F$5*8),IF(D6315=3,(2*(D6295+G6295))-(F$5*8)+(G6295-2*F$5),IF(D6315=4,(2*(D6295+G6295))-(F$5*8)+2*(G6295-2*F$5)))))/1000</f>
        <v>1.88</v>
      </c>
      <c r="K6315" t="str">
        <v>+</v>
      </c>
      <c r="L6315">
        <f>IF(D6315=0,2*MAX(6*F6315,75),(D6315-1)*2*MAX(6*F6315,75))/1000</f>
        <v>0.156</v>
      </c>
      <c r="M6315" t="str">
        <v>=</v>
      </c>
      <c r="N6315">
        <f>J6315+L6315</f>
        <v>2.036</v>
      </c>
      <c r="T6315" t="str">
        <v>x</v>
      </c>
      <c r="U6315">
        <f>0.006165*F6315^2</f>
        <v>1.041885</v>
      </c>
      <c r="V6315" t="str">
        <v>x</v>
      </c>
      <c r="W6315">
        <f>IF(D6297-MAX(D6297/4,2*G6295)*2&gt;0,ROUND((D6297-MAX(D6297/4,2*G6295)*2)/H6315,0),0)</f>
        <v>15</v>
      </c>
      <c r="X6315" t="str">
        <v>x</v>
      </c>
      <c r="Y6315">
        <f>D6300</f>
        <v>1</v>
      </c>
      <c r="Z6315" t="str">
        <v>=</v>
      </c>
      <c r="AA6315">
        <f>N6315*U6315*W6315*Y6315</f>
        <v>31.819167899999997</v>
      </c>
    </row>
    <row r="6316">
      <c r="A6316" t="str">
        <f>A6294</f>
        <v>Lantai 2</v>
      </c>
      <c r="B6316">
        <f>B6294</f>
        <v>15</v>
      </c>
      <c r="C6316" t="str">
        <v>Sengkang Tumpuan</v>
      </c>
      <c r="D6316">
        <f>VLOOKUP(D6294,'Detail Balok'!$C$10:$AU$110,41,FALSE)</f>
        <v>0</v>
      </c>
      <c r="E6316" t="str">
        <v>D</v>
      </c>
      <c r="F6316">
        <f>VLOOKUP(D6294,'Detail Balok'!$C$10:$AU$110,43,FALSE)</f>
        <v>13</v>
      </c>
      <c r="G6316" t="str">
        <v>-</v>
      </c>
      <c r="H6316">
        <f>VLOOKUP(D6294,'Detail Balok'!$C$10:$AU$110,45,FALSE)</f>
        <v>75</v>
      </c>
      <c r="J6316">
        <f>(IF(D6316=0,(2*(D6295+G6295))-(F$5*8),IF(D6316=3,(2*(D6295+G6295))-(F$5*8)+(G6295-2*F$5),IF(D6316=4,(2*(D6295+G6295))-(F$5*8)+2*(G6295-2*F$5)))))/1000</f>
        <v>1.88</v>
      </c>
      <c r="K6316" t="str">
        <v>+</v>
      </c>
      <c r="L6316">
        <f>IF(D6316=0,2*MAX(6*F6316,75),(D6316-1)*2*MAX(6*F6316,75))/1000</f>
        <v>0.156</v>
      </c>
      <c r="M6316" t="str">
        <v>=</v>
      </c>
      <c r="N6316">
        <f>J6316+L6316</f>
        <v>2.036</v>
      </c>
      <c r="T6316" t="str">
        <v>x</v>
      </c>
      <c r="U6316">
        <f>0.006165*F6316^2</f>
        <v>1.041885</v>
      </c>
      <c r="V6316" t="str">
        <v>x</v>
      </c>
      <c r="W6316">
        <f>IF(D6297&gt;4*G6295,ROUND(MAX(D6297/4,2*G6295)/H6316,0)+1,0)</f>
        <v>21</v>
      </c>
      <c r="X6316" t="str">
        <v>x</v>
      </c>
      <c r="Y6316">
        <f>D6300</f>
        <v>1</v>
      </c>
      <c r="Z6316" t="str">
        <v>=</v>
      </c>
      <c r="AA6316">
        <f>N6316*U6316*W6316*Y6316</f>
        <v>44.54683505999999</v>
      </c>
    </row>
    <row r="6318">
      <c r="A6318" t="str">
        <f>A6294</f>
        <v>Lantai 2</v>
      </c>
      <c r="B6318">
        <f>B6294</f>
        <v>15</v>
      </c>
      <c r="C6318" t="str">
        <v>Kait Horizontal Tump.</v>
      </c>
      <c r="D6318">
        <f>VLOOKUP(D6294,'Detail Balok'!$C$10:$BJ$110,46,FALSE)</f>
        <v>0</v>
      </c>
      <c r="E6318" t="str">
        <v>D</v>
      </c>
      <c r="F6318">
        <f>VLOOKUP(D6294,'Detail Balok'!$C$10:$BJ$110,48,FALSE)</f>
        <v>0</v>
      </c>
      <c r="G6318" t="str">
        <v>-</v>
      </c>
      <c r="H6318">
        <f>VLOOKUP(D6294,'Detail Balok'!$C$10:$BJ$110,50,FALSE)</f>
        <v>100</v>
      </c>
      <c r="J6318">
        <f>(D6295-2*F$5)/1000</f>
        <v>0.32</v>
      </c>
      <c r="K6318" t="str">
        <v>+</v>
      </c>
      <c r="L6318">
        <f>IF(D6318=0,2*MAX(6*F6318,75),(D6318-1)*2*MAX(6*F6318,75))/1000</f>
        <v>0.15</v>
      </c>
      <c r="M6318" t="str">
        <v>=</v>
      </c>
      <c r="N6318">
        <f>J6318+L6318</f>
        <v>0.47</v>
      </c>
      <c r="T6318" t="str">
        <v>x</v>
      </c>
      <c r="U6318">
        <f>0.006165*F6318^2</f>
        <v>0</v>
      </c>
      <c r="V6318" t="str">
        <v>x</v>
      </c>
      <c r="W6318">
        <f>W6314</f>
        <v>21</v>
      </c>
      <c r="X6318" t="str">
        <v>x</v>
      </c>
      <c r="Y6318">
        <f>D6304</f>
        <v>0</v>
      </c>
      <c r="Z6318" t="str">
        <v>=</v>
      </c>
      <c r="AA6318">
        <f>N6318*U6318*W6318*Y6318</f>
        <v>0</v>
      </c>
    </row>
    <row r="6319">
      <c r="A6319" t="str">
        <f>A6294</f>
        <v>Lantai 2</v>
      </c>
      <c r="B6319">
        <f>B6294</f>
        <v>15</v>
      </c>
      <c r="C6319" t="str">
        <v>Kait Horizontal Lap.</v>
      </c>
      <c r="D6319">
        <f>VLOOKUP(D6294,'Detail Balok'!$C$10:$BJ$110,51,FALSE)</f>
        <v>0</v>
      </c>
      <c r="E6319" t="str">
        <v>D</v>
      </c>
      <c r="F6319">
        <f>VLOOKUP(D6294,'Detail Balok'!$C$10:$BJ$110,53,FALSE)</f>
        <v>0</v>
      </c>
      <c r="G6319" t="str">
        <v>-</v>
      </c>
      <c r="H6319">
        <f>VLOOKUP(D6294,'Detail Balok'!$C$10:$BJ$110,55,FALSE)</f>
        <v>100</v>
      </c>
      <c r="J6319">
        <f>(D6295-2*F$5)/1000</f>
        <v>0.32</v>
      </c>
      <c r="K6319" t="str">
        <v>+</v>
      </c>
      <c r="L6319">
        <f>IF(D6319=0,2*MAX(6*F6319,75),(D6319-1)*2*MAX(6*F6319,75))/1000</f>
        <v>0.15</v>
      </c>
      <c r="M6319" t="str">
        <v>=</v>
      </c>
      <c r="N6319">
        <f>J6319+L6319</f>
        <v>0.47</v>
      </c>
      <c r="T6319" t="str">
        <v>x</v>
      </c>
      <c r="U6319">
        <f>0.006165*F6319^2</f>
        <v>0</v>
      </c>
      <c r="V6319" t="str">
        <v>x</v>
      </c>
      <c r="W6319">
        <f>W6315</f>
        <v>15</v>
      </c>
      <c r="X6319" t="str">
        <v>x</v>
      </c>
      <c r="Y6319">
        <f>D6304</f>
        <v>0</v>
      </c>
      <c r="Z6319" t="str">
        <v>=</v>
      </c>
      <c r="AA6319">
        <f>N6319*U6319*W6319*Y6319</f>
        <v>0</v>
      </c>
    </row>
    <row r="6320">
      <c r="A6320" t="str">
        <f>A6294</f>
        <v>Lantai 2</v>
      </c>
      <c r="B6320">
        <f>B6294</f>
        <v>15</v>
      </c>
      <c r="C6320" t="str">
        <v>Kait Horizontal Tump.</v>
      </c>
      <c r="D6320">
        <f>VLOOKUP(D6294,'Detail Balok'!$C$10:$BJ$110,56,FALSE)</f>
        <v>0</v>
      </c>
      <c r="E6320" t="str">
        <v>D</v>
      </c>
      <c r="F6320">
        <f>VLOOKUP(D6294,'Detail Balok'!$C$10:$BJ$110,58,FALSE)</f>
        <v>0</v>
      </c>
      <c r="G6320" t="str">
        <v>-</v>
      </c>
      <c r="H6320">
        <f>VLOOKUP(D6294,'Detail Balok'!$C$10:$BJ$110,60,FALSE)</f>
        <v>100</v>
      </c>
      <c r="J6320">
        <f>(D6295-2*F$5)/1000</f>
        <v>0.32</v>
      </c>
      <c r="K6320" t="str">
        <v>+</v>
      </c>
      <c r="L6320">
        <f>IF(D6320=0,2*MAX(6*F6320,75),(D6320-1)*2*MAX(6*F6320,75))/1000</f>
        <v>0.15</v>
      </c>
      <c r="M6320" t="str">
        <v>=</v>
      </c>
      <c r="N6320">
        <f>J6320+L6320</f>
        <v>0.47</v>
      </c>
      <c r="T6320" t="str">
        <v>x</v>
      </c>
      <c r="U6320">
        <f>0.006165*F6320^2</f>
        <v>0</v>
      </c>
      <c r="V6320" t="str">
        <v>x</v>
      </c>
      <c r="W6320">
        <f>W6316</f>
        <v>21</v>
      </c>
      <c r="X6320" t="str">
        <v>x</v>
      </c>
      <c r="Y6320">
        <f>D6304</f>
        <v>0</v>
      </c>
      <c r="Z6320" t="str">
        <v>=</v>
      </c>
      <c r="AA6320">
        <f>N6320*U6320*W6320*Y6320</f>
        <v>0</v>
      </c>
    </row>
    <row r="6324">
      <c r="A6324" t="str">
        <f>A6294</f>
        <v>Lantai 2</v>
      </c>
      <c r="B6324">
        <f>B6294+1</f>
        <v>16</v>
      </c>
      <c r="C6324" t="str">
        <f>CONCATENATE(A6324," no. ",B6324)</f>
        <v>Lantai 2 no. 16</v>
      </c>
      <c r="D6324" t="str">
        <f>VLOOKUP(C6324,'Data Panjang Balok'!$C$9:$N$424,2,FALSE)</f>
        <v>B475-1</v>
      </c>
    </row>
    <row r="6325">
      <c r="C6325" t="str">
        <v>Dimensi</v>
      </c>
      <c r="D6325">
        <f>VLOOKUP(D6324,'Detail Balok'!$C$10:$AU$110,2,FALSE)</f>
        <v>400</v>
      </c>
      <c r="F6325" t="str">
        <v>x</v>
      </c>
      <c r="G6325">
        <f>VLOOKUP(D6324,'Detail Balok'!$C$10:$AU$110,3,FALSE)</f>
        <v>750</v>
      </c>
    </row>
    <row r="6326">
      <c r="C6326" t="str">
        <v>Panjang as ke as</v>
      </c>
      <c r="D6326">
        <f>VLOOKUP(C6324,'Data Panjang Balok'!$C$9:$N$424,4,FALSE)</f>
        <v>7000</v>
      </c>
    </row>
    <row r="6327">
      <c r="C6327" t="str">
        <v>Panjang netto</v>
      </c>
      <c r="D6327">
        <f>VLOOKUP(C6324,'Data Panjang Balok'!$C$9:$N$424,7,FALSE)</f>
        <v>7000</v>
      </c>
    </row>
    <row r="6328">
      <c r="C6328" t="str">
        <v>Kolom / balok kiri</v>
      </c>
      <c r="D6328">
        <f>VLOOKUP(C6324,'Data Panjang Balok'!$C$9:$N$424,9,FALSE)</f>
        <v>0</v>
      </c>
    </row>
    <row r="6329">
      <c r="C6329" t="str">
        <v>Kolom / balok kanan</v>
      </c>
      <c r="D6329">
        <f>VLOOKUP(C6324,'Data Panjang Balok'!$C$9:$N$424,10,FALSE)</f>
        <v>0</v>
      </c>
    </row>
    <row r="6330">
      <c r="C6330" t="str">
        <v>Jumlah</v>
      </c>
      <c r="D6330">
        <f>VLOOKUP(C6324,'Data Panjang Balok'!$C$9:$N$424,3,FALSE)</f>
        <v>1</v>
      </c>
    </row>
    <row r="6331">
      <c r="A6331" t="str">
        <f>A6324</f>
        <v>Lantai 2</v>
      </c>
      <c r="B6331">
        <f>B6324</f>
        <v>16</v>
      </c>
      <c r="C6331" t="str">
        <v>Tul Atas Tumpuan</v>
      </c>
      <c r="D6331">
        <f>VLOOKUP(D6324,'Detail Balok'!$C$10:$AU$110,4,FALSE)</f>
        <v>5</v>
      </c>
      <c r="E6331" t="str">
        <v>D</v>
      </c>
      <c r="F6331">
        <f>VLOOKUP(D6324,'Detail Balok'!$C$10:$AU$110,6,FALSE)</f>
        <v>16</v>
      </c>
      <c r="I6331" t="str">
        <v>(</v>
      </c>
      <c r="J6331">
        <f>+D6326/4/1000</f>
        <v>1.75</v>
      </c>
      <c r="K6331" t="str">
        <v>+</v>
      </c>
      <c r="L6331">
        <f>MAX(VLOOKUP(F6331,N$6:P$15,3,FALSE)/1000,2/3*D6328/1000)+F$16*F6331/1000</f>
        <v>0.192</v>
      </c>
      <c r="M6331" t="str">
        <v>=</v>
      </c>
      <c r="N6331">
        <f>J6331+L6331</f>
        <v>1.942</v>
      </c>
      <c r="O6331" t="str">
        <v>+</v>
      </c>
      <c r="P6331">
        <f>D6331-D6332</f>
        <v>0</v>
      </c>
      <c r="Q6331" t="str">
        <v>x</v>
      </c>
      <c r="R6331">
        <f>IF(P6331&gt;0,$F$18*F6331/1000,0)</f>
        <v>0</v>
      </c>
      <c r="S6331" t="str">
        <v>)</v>
      </c>
      <c r="T6331" t="str">
        <v>x</v>
      </c>
      <c r="U6331">
        <f>0.006165*F6331^2</f>
        <v>1.57824</v>
      </c>
      <c r="X6331" t="str">
        <v>x</v>
      </c>
      <c r="Y6331">
        <f>D6330</f>
        <v>1</v>
      </c>
      <c r="Z6331" t="str">
        <v>=</v>
      </c>
      <c r="AA6331">
        <f>IF(AA6334=0,(D6331*N6331+P6331*R6331)*U6331*Y6331,0)</f>
        <v>0</v>
      </c>
    </row>
    <row r="6332">
      <c r="A6332" t="str">
        <f>A6324</f>
        <v>Lantai 2</v>
      </c>
      <c r="B6332">
        <f>B6324</f>
        <v>16</v>
      </c>
      <c r="C6332" t="str">
        <v>Tul Atas Lapangan</v>
      </c>
      <c r="D6332">
        <f>VLOOKUP(D6324,'Detail Balok'!$C$10:$AU$110,7,FALSE)</f>
        <v>5</v>
      </c>
      <c r="E6332" t="str">
        <v>D</v>
      </c>
      <c r="F6332">
        <f>VLOOKUP(D6324,'Detail Balok'!$C$10:$AU$110,9,FALSE)</f>
        <v>16</v>
      </c>
      <c r="I6332" t="str">
        <v>(</v>
      </c>
      <c r="J6332">
        <f>+D6326/2/1000</f>
        <v>3.5</v>
      </c>
      <c r="K6332" t="str">
        <v>+</v>
      </c>
      <c r="M6332" t="str">
        <v>=</v>
      </c>
      <c r="N6332">
        <f>J6332+L6332</f>
        <v>3.5</v>
      </c>
      <c r="O6332" t="str">
        <v>+</v>
      </c>
      <c r="P6332">
        <f>MAX(D6332-D6331,D6332-D6333)</f>
        <v>0</v>
      </c>
      <c r="Q6332" t="str">
        <v>x</v>
      </c>
      <c r="R6332">
        <f>IF(P6332&gt;0,2*(1-2*$F$19-1/2)*D6327/1000,0)</f>
        <v>0</v>
      </c>
      <c r="S6332" t="str">
        <v>)</v>
      </c>
      <c r="T6332" t="str">
        <v>x</v>
      </c>
      <c r="U6332">
        <f>0.006165*F6332^2</f>
        <v>1.57824</v>
      </c>
      <c r="X6332" t="str">
        <v>x</v>
      </c>
      <c r="Y6332">
        <f>D6330</f>
        <v>1</v>
      </c>
      <c r="Z6332" t="str">
        <v>=</v>
      </c>
      <c r="AA6332">
        <f>IF(AA6334=0,(D6332*N6332+P6332*R6332)*U6332*Y6332,0)</f>
        <v>0</v>
      </c>
    </row>
    <row r="6333">
      <c r="A6333" t="str">
        <f>A6324</f>
        <v>Lantai 2</v>
      </c>
      <c r="B6333">
        <f>B6324</f>
        <v>16</v>
      </c>
      <c r="C6333" t="str">
        <v>Tul Atas Tumpuan</v>
      </c>
      <c r="D6333">
        <f>VLOOKUP(D6324,'Detail Balok'!$C$10:$AU$110,10,FALSE)</f>
        <v>5</v>
      </c>
      <c r="E6333" t="str">
        <v>D</v>
      </c>
      <c r="F6333">
        <f>VLOOKUP(D6324,'Detail Balok'!$C$10:$AU$110,12,FALSE)</f>
        <v>16</v>
      </c>
      <c r="I6333" t="str">
        <v>(</v>
      </c>
      <c r="J6333">
        <f>+D6326/4/1000</f>
        <v>1.75</v>
      </c>
      <c r="K6333" t="str">
        <v>+</v>
      </c>
      <c r="L6333">
        <f>MAX(VLOOKUP(F6333,N$6:P$15,3,FALSE)/1000,2/3*D6328/1000)+F$16*F6333/1000</f>
        <v>0.192</v>
      </c>
      <c r="M6333" t="str">
        <v>=</v>
      </c>
      <c r="N6333">
        <f>J6333+L6333</f>
        <v>1.942</v>
      </c>
      <c r="O6333" t="str">
        <v>+</v>
      </c>
      <c r="P6333">
        <f>D6333-D6332</f>
        <v>0</v>
      </c>
      <c r="Q6333" t="str">
        <v>x</v>
      </c>
      <c r="R6333">
        <f>IF(P6333&gt;0,$F$18*F6333/1000,0)</f>
        <v>0</v>
      </c>
      <c r="S6333" t="str">
        <v>)</v>
      </c>
      <c r="T6333" t="str">
        <v>x</v>
      </c>
      <c r="U6333">
        <f>0.006165*F6333^2</f>
        <v>1.57824</v>
      </c>
      <c r="X6333" t="str">
        <v>x</v>
      </c>
      <c r="Y6333">
        <f>D6330</f>
        <v>1</v>
      </c>
      <c r="Z6333" t="str">
        <v>=</v>
      </c>
      <c r="AA6333">
        <f>IF(AA6334=0,(D6333*N6333+P6333*R6333)*U6333*Y6333,0)</f>
        <v>0</v>
      </c>
    </row>
    <row r="6334">
      <c r="A6334" t="str">
        <f>A6324</f>
        <v>Lantai 2</v>
      </c>
      <c r="B6334">
        <f>B6324</f>
        <v>16</v>
      </c>
      <c r="D6334">
        <f>IF(AND(D6331=D6332,D6332=D6333,D6331=D6333),D6331,0)</f>
        <v>5</v>
      </c>
      <c r="E6334" t="str">
        <v>D</v>
      </c>
      <c r="F6334">
        <f>IF(AND(F6331=F6332,F6331=F6333,F6332=F6333),F6331,0)</f>
        <v>16</v>
      </c>
      <c r="L6334" t="str">
        <v>Total panjang per balok</v>
      </c>
      <c r="M6334" t="str">
        <v>=</v>
      </c>
      <c r="N6334">
        <f>IF(AND(D6331=D6332,D6331=D6333,D6332=D6333,F6331=F6332,F6331=F6333,F6332=F6333),SUM(N6331:N6333),0)</f>
        <v>7.384</v>
      </c>
      <c r="O6334" t="str">
        <v>+</v>
      </c>
      <c r="P6334">
        <f>IF(N6334&gt;12,ROUNDDOWN(N6334/12,0),0)</f>
        <v>0</v>
      </c>
      <c r="Q6334" t="str">
        <v>x</v>
      </c>
      <c r="R6334">
        <f>IF(P6334&gt;0,MAX(VLOOKUP(F6334,$D$6:$G$15,3,FALSE),600),0)/1000</f>
        <v>0</v>
      </c>
      <c r="T6334" t="str">
        <v>x</v>
      </c>
      <c r="U6334">
        <f>U6333</f>
        <v>1.57824</v>
      </c>
      <c r="V6334" t="str">
        <v>x</v>
      </c>
      <c r="W6334">
        <f>D6334</f>
        <v>5</v>
      </c>
      <c r="X6334" t="str">
        <v>x</v>
      </c>
      <c r="Y6334">
        <f>Y6333</f>
        <v>1</v>
      </c>
      <c r="Z6334" t="str">
        <v>=</v>
      </c>
      <c r="AA6334">
        <f>(N6334+P6334*R6334/1000)*U6334*W6334*Y6334</f>
        <v>58.26862080000001</v>
      </c>
    </row>
    <row r="6336">
      <c r="A6336" t="str">
        <f>A6324</f>
        <v>Lantai 2</v>
      </c>
      <c r="B6336">
        <f>B6324</f>
        <v>16</v>
      </c>
      <c r="C6336" t="str">
        <v>Tul Peminggang</v>
      </c>
      <c r="D6336">
        <f>VLOOKUP(D6324,'Detail Balok'!$C$10:$AU$110,13,FALSE)</f>
        <v>4</v>
      </c>
      <c r="E6336" t="str">
        <v>D</v>
      </c>
      <c r="F6336">
        <f>VLOOKUP(D6324,'Detail Balok'!$C$10:$AU$110,15,FALSE)</f>
        <v>10</v>
      </c>
      <c r="J6336">
        <f>+D6326/1000</f>
        <v>7</v>
      </c>
      <c r="K6336" t="str">
        <v>+</v>
      </c>
      <c r="L6336">
        <f>2*$F$16*F6336/1000</f>
        <v>0.24</v>
      </c>
      <c r="M6336" t="str">
        <v>=</v>
      </c>
      <c r="N6336">
        <f>J6336+L6336</f>
        <v>7.24</v>
      </c>
      <c r="O6336" t="str">
        <v>+</v>
      </c>
      <c r="P6336">
        <f>IF(N6336&gt;12,ROUNDDOWN(N6336/12,0),0)</f>
        <v>0</v>
      </c>
      <c r="Q6336" t="str">
        <v>x</v>
      </c>
      <c r="R6336">
        <f>IF(P6336&gt;0,MAX(VLOOKUP(F6336,$D$6:$G$15,3,FALSE),600),0)/1000</f>
        <v>0</v>
      </c>
      <c r="T6336" t="str">
        <v>x</v>
      </c>
      <c r="U6336">
        <f>0.006165*F6336^2</f>
        <v>0.6165</v>
      </c>
      <c r="V6336" t="str">
        <v>x</v>
      </c>
      <c r="W6336">
        <f>+D6336</f>
        <v>4</v>
      </c>
      <c r="X6336" t="str">
        <v>x</v>
      </c>
      <c r="Y6336">
        <f>D6330</f>
        <v>1</v>
      </c>
      <c r="Z6336" t="str">
        <v>=</v>
      </c>
      <c r="AA6336">
        <f>(N6336+P6336*R6336/1000)*U6336*W6336*Y6336</f>
        <v>17.85384</v>
      </c>
    </row>
    <row r="6339">
      <c r="A6339" t="str">
        <f>A6324</f>
        <v>Lantai 2</v>
      </c>
      <c r="B6339">
        <f>B6324</f>
        <v>16</v>
      </c>
      <c r="C6339" t="str">
        <v>Tul Bawah Tumpuan</v>
      </c>
      <c r="D6339">
        <f>VLOOKUP(D6324,'Detail Balok'!$C$10:$AU$110,22,FALSE)</f>
        <v>6</v>
      </c>
      <c r="E6339" t="str">
        <v>D</v>
      </c>
      <c r="F6339">
        <f>VLOOKUP(D6324,'Detail Balok'!$C$10:$AU$110,24,FALSE)</f>
        <v>16</v>
      </c>
      <c r="I6339" t="str">
        <v>(</v>
      </c>
      <c r="J6339">
        <f>+J6331</f>
        <v>1.75</v>
      </c>
      <c r="K6339" t="str">
        <v>+</v>
      </c>
      <c r="L6339">
        <f>MAX(VLOOKUP(F6339,N$6:P$15,3,FALSE)/1000,2/3*D6329/1000)+F$16*F6339/1000</f>
        <v>0.192</v>
      </c>
      <c r="M6339" t="str">
        <v>=</v>
      </c>
      <c r="N6339">
        <f>J6339+L6339</f>
        <v>1.942</v>
      </c>
      <c r="O6339" t="str">
        <v>+</v>
      </c>
      <c r="P6339">
        <f>D6339-D6340</f>
        <v>0</v>
      </c>
      <c r="Q6339" t="str">
        <v>x</v>
      </c>
      <c r="R6339">
        <f>IF(P6339&gt;0,$F$18*F6339/1000,0)</f>
        <v>0</v>
      </c>
      <c r="S6339" t="str">
        <v>)</v>
      </c>
      <c r="T6339" t="str">
        <v>x</v>
      </c>
      <c r="U6339">
        <f>0.006165*F6339^2</f>
        <v>1.57824</v>
      </c>
      <c r="X6339" t="str">
        <v>x</v>
      </c>
      <c r="Y6339">
        <f>D6330</f>
        <v>1</v>
      </c>
      <c r="Z6339" t="str">
        <v>=</v>
      </c>
      <c r="AA6339">
        <f>IF(AA6342=0,(D6339*N6339+P6339*R6339)*U6339*Y6339,0)</f>
        <v>0</v>
      </c>
    </row>
    <row r="6340">
      <c r="A6340" t="str">
        <f>A6324</f>
        <v>Lantai 2</v>
      </c>
      <c r="B6340">
        <f>B6324</f>
        <v>16</v>
      </c>
      <c r="C6340" t="str">
        <v>Tul Bawah Lapangan</v>
      </c>
      <c r="D6340">
        <f>VLOOKUP(D6324,'Detail Balok'!$C$10:$AU$110,25,FALSE)</f>
        <v>6</v>
      </c>
      <c r="E6340" t="str">
        <v>D</v>
      </c>
      <c r="F6340">
        <f>VLOOKUP(D6324,'Detail Balok'!$C$10:$AU$110,27,FALSE)</f>
        <v>16</v>
      </c>
      <c r="I6340" t="str">
        <v>(</v>
      </c>
      <c r="J6340">
        <f>+J6332</f>
        <v>3.5</v>
      </c>
      <c r="K6340" t="str">
        <v>+</v>
      </c>
      <c r="M6340" t="str">
        <v>=</v>
      </c>
      <c r="N6340">
        <f>J6340+L6340</f>
        <v>3.5</v>
      </c>
      <c r="O6340" t="str">
        <v>+</v>
      </c>
      <c r="P6340">
        <f>MAX(D6340-D6339,D6340-D6341)</f>
        <v>0</v>
      </c>
      <c r="Q6340" t="str">
        <v>x</v>
      </c>
      <c r="R6340">
        <f>IF(P6340&gt;0,2*(1-2*$F$19-1/2)*D6327/1000,0)</f>
        <v>0</v>
      </c>
      <c r="S6340" t="str">
        <v>)</v>
      </c>
      <c r="T6340" t="str">
        <v>x</v>
      </c>
      <c r="U6340">
        <f>0.006165*F6340^2</f>
        <v>1.57824</v>
      </c>
      <c r="X6340" t="str">
        <v>x</v>
      </c>
      <c r="Y6340">
        <f>D6330</f>
        <v>1</v>
      </c>
      <c r="Z6340" t="str">
        <v>=</v>
      </c>
      <c r="AA6340">
        <f>IF(AA6342=0,(D6340*N6340+P6340*R6340)*U6340*Y6340,0)</f>
        <v>0</v>
      </c>
    </row>
    <row r="6341">
      <c r="A6341" t="str">
        <f>A6324</f>
        <v>Lantai 2</v>
      </c>
      <c r="B6341">
        <f>B6324</f>
        <v>16</v>
      </c>
      <c r="C6341" t="str">
        <v>Tul Bawah Tumpuan</v>
      </c>
      <c r="D6341">
        <f>VLOOKUP(D6324,'Detail Balok'!$C$10:$AU$110,28,FALSE)</f>
        <v>6</v>
      </c>
      <c r="E6341" t="str">
        <v>D</v>
      </c>
      <c r="F6341">
        <f>VLOOKUP(D6324,'Detail Balok'!$C$10:$AU$110,30,FALSE)</f>
        <v>16</v>
      </c>
      <c r="I6341" t="str">
        <v>(</v>
      </c>
      <c r="J6341">
        <f>+J6333</f>
        <v>1.75</v>
      </c>
      <c r="K6341" t="str">
        <v>+</v>
      </c>
      <c r="L6341">
        <f>MAX(VLOOKUP(F6341,N$6:P$15,3,FALSE)/1000,2/3*D6329/1000)+F$16*F6341/1000</f>
        <v>0.192</v>
      </c>
      <c r="M6341" t="str">
        <v>=</v>
      </c>
      <c r="N6341">
        <f>J6341+L6341</f>
        <v>1.942</v>
      </c>
      <c r="O6341" t="str">
        <v>+</v>
      </c>
      <c r="P6341">
        <f>D6341-D6340</f>
        <v>0</v>
      </c>
      <c r="Q6341" t="str">
        <v>x</v>
      </c>
      <c r="R6341">
        <f>IF(P6341&gt;0,$F$18*F6341/1000,0)</f>
        <v>0</v>
      </c>
      <c r="S6341" t="str">
        <v>)</v>
      </c>
      <c r="T6341" t="str">
        <v>x</v>
      </c>
      <c r="U6341">
        <f>0.006165*F6341^2</f>
        <v>1.57824</v>
      </c>
      <c r="X6341" t="str">
        <v>x</v>
      </c>
      <c r="Y6341">
        <f>D6330</f>
        <v>1</v>
      </c>
      <c r="Z6341" t="str">
        <v>=</v>
      </c>
      <c r="AA6341">
        <f>IF(AA6342=0,(D6341*N6341+P6341*R6341)*U6341*Y6341,0)</f>
        <v>0</v>
      </c>
    </row>
    <row r="6342">
      <c r="A6342" t="str">
        <f>A6324</f>
        <v>Lantai 2</v>
      </c>
      <c r="B6342">
        <f>B6324</f>
        <v>16</v>
      </c>
      <c r="D6342">
        <f>IF(AND(D6339=D6340,D6340=D6341,D6339=D6341),D6339,0)</f>
        <v>6</v>
      </c>
      <c r="E6342" t="str">
        <v>D</v>
      </c>
      <c r="F6342">
        <f>IF(AND(F6339=F6340,F6339=F6341,F6340=F6341),F6339,0)</f>
        <v>16</v>
      </c>
      <c r="L6342" t="str">
        <v>Total panjang per balok</v>
      </c>
      <c r="M6342" t="str">
        <v>=</v>
      </c>
      <c r="N6342">
        <f>IF(AND(D6339=D6340,D6339=D6341,D6340=D6341,F6339=F6340,F6339=F6341,F6340=F6341),SUM(N6339:N6341),0)</f>
        <v>7.384</v>
      </c>
      <c r="O6342" t="str">
        <v>+</v>
      </c>
      <c r="P6342">
        <f>IF(N6342&gt;12,ROUNDDOWN(N6342/12,0),0)</f>
        <v>0</v>
      </c>
      <c r="Q6342" t="str">
        <v>x</v>
      </c>
      <c r="R6342">
        <f>IF(P6342&gt;0,MAX(VLOOKUP(F6342,$D$6:$G$15,3,FALSE),600),0)/1000</f>
        <v>0</v>
      </c>
      <c r="T6342" t="str">
        <v>x</v>
      </c>
      <c r="U6342">
        <f>U6341</f>
        <v>1.57824</v>
      </c>
      <c r="V6342" t="str">
        <v>x</v>
      </c>
      <c r="W6342">
        <f>D6342</f>
        <v>6</v>
      </c>
      <c r="X6342" t="str">
        <v>x</v>
      </c>
      <c r="Y6342">
        <f>Y6341</f>
        <v>1</v>
      </c>
      <c r="Z6342" t="str">
        <v>=</v>
      </c>
      <c r="AA6342">
        <f>(N6342+P6342*R6342/1000)*U6342*W6342*Y6342</f>
        <v>69.92234496</v>
      </c>
    </row>
    <row r="6344">
      <c r="A6344" t="str">
        <f>A6324</f>
        <v>Lantai 2</v>
      </c>
      <c r="B6344">
        <f>B6324</f>
        <v>16</v>
      </c>
      <c r="C6344" t="str">
        <v>Sengkang Tumpuan</v>
      </c>
      <c r="D6344">
        <f>VLOOKUP(D6324,'Detail Balok'!$C$10:$AU$110,31,FALSE)</f>
        <v>0</v>
      </c>
      <c r="E6344" t="str">
        <v>D</v>
      </c>
      <c r="F6344">
        <f>VLOOKUP(D6324,'Detail Balok'!$C$10:$AU$110,33,FALSE)</f>
        <v>13</v>
      </c>
      <c r="G6344" t="str">
        <v>-</v>
      </c>
      <c r="H6344">
        <f>VLOOKUP(D6324,'Detail Balok'!$C$10:$AU$110,35,FALSE)</f>
        <v>75</v>
      </c>
      <c r="J6344">
        <f>(IF(D6344=0,(2*(D6325+G6325))-(F$5*8),IF(D6344=3,(2*(D6325+G6325))-(F$5*8)+(G6325-2*F$5),IF(D6344=4,(2*(D6325+G6325))-(F$5*8)+2*(G6325-2*F$5)))))/1000</f>
        <v>1.98</v>
      </c>
      <c r="K6344" t="str">
        <v>+</v>
      </c>
      <c r="L6344">
        <f>IF(D6344=0,2*MAX(6*F6344,75),(D6344-1)*2*MAX(6*F6344,75))/1000</f>
        <v>0.156</v>
      </c>
      <c r="M6344" t="str">
        <v>=</v>
      </c>
      <c r="N6344">
        <f>J6344+L6344</f>
        <v>2.136</v>
      </c>
      <c r="T6344" t="str">
        <v>x</v>
      </c>
      <c r="U6344">
        <f>0.006165*F6344^2</f>
        <v>1.041885</v>
      </c>
      <c r="V6344" t="str">
        <v>x</v>
      </c>
      <c r="W6344">
        <f>IF(D6327&gt;4*G6325,ROUND(MAX(D6327/4,2*G6325)/H6344,0)+1,ROUND(D6327/H6344,0)+1)</f>
        <v>24</v>
      </c>
      <c r="X6344" t="str">
        <v>x</v>
      </c>
      <c r="Y6344">
        <f>D6330</f>
        <v>1</v>
      </c>
      <c r="Z6344" t="str">
        <v>=</v>
      </c>
      <c r="AA6344">
        <f>N6344*U6344*W6344*Y6344</f>
        <v>53.411192639999996</v>
      </c>
    </row>
    <row r="6345">
      <c r="A6345" t="str">
        <f>A6324</f>
        <v>Lantai 2</v>
      </c>
      <c r="B6345">
        <f>B6324</f>
        <v>16</v>
      </c>
      <c r="C6345" t="str">
        <v>Sengkang Lapangan</v>
      </c>
      <c r="D6345">
        <f>VLOOKUP(D6324,'Detail Balok'!$C$10:$AU$110,36,FALSE)</f>
        <v>0</v>
      </c>
      <c r="E6345" t="str">
        <v>D</v>
      </c>
      <c r="F6345">
        <f>VLOOKUP(D6324,'Detail Balok'!$C$10:$AU$110,38,FALSE)</f>
        <v>13</v>
      </c>
      <c r="G6345" t="str">
        <v>-</v>
      </c>
      <c r="H6345">
        <f>VLOOKUP(D6324,'Detail Balok'!$C$10:$AU$110,40,FALSE)</f>
        <v>200</v>
      </c>
      <c r="J6345">
        <f>(IF(D6345=0,(2*(D6325+G6325))-(F$5*8),IF(D6345=3,(2*(D6325+G6325))-(F$5*8)+(G6325-2*F$5),IF(D6345=4,(2*(D6325+G6325))-(F$5*8)+2*(G6325-2*F$5)))))/1000</f>
        <v>1.98</v>
      </c>
      <c r="K6345" t="str">
        <v>+</v>
      </c>
      <c r="L6345">
        <f>IF(D6345=0,2*MAX(6*F6345,75),(D6345-1)*2*MAX(6*F6345,75))/1000</f>
        <v>0.156</v>
      </c>
      <c r="M6345" t="str">
        <v>=</v>
      </c>
      <c r="N6345">
        <f>J6345+L6345</f>
        <v>2.136</v>
      </c>
      <c r="T6345" t="str">
        <v>x</v>
      </c>
      <c r="U6345">
        <f>0.006165*F6345^2</f>
        <v>1.041885</v>
      </c>
      <c r="V6345" t="str">
        <v>x</v>
      </c>
      <c r="W6345">
        <f>IF(D6327-MAX(D6327/4,2*G6325)*2&gt;0,ROUND((D6327-MAX(D6327/4,2*G6325)*2)/H6345,0),0)</f>
        <v>18</v>
      </c>
      <c r="X6345" t="str">
        <v>x</v>
      </c>
      <c r="Y6345">
        <f>D6330</f>
        <v>1</v>
      </c>
      <c r="Z6345" t="str">
        <v>=</v>
      </c>
      <c r="AA6345">
        <f>N6345*U6345*W6345*Y6345</f>
        <v>40.05839448</v>
      </c>
    </row>
    <row r="6346">
      <c r="A6346" t="str">
        <f>A6324</f>
        <v>Lantai 2</v>
      </c>
      <c r="B6346">
        <f>B6324</f>
        <v>16</v>
      </c>
      <c r="C6346" t="str">
        <v>Sengkang Tumpuan</v>
      </c>
      <c r="D6346">
        <f>VLOOKUP(D6324,'Detail Balok'!$C$10:$AU$110,41,FALSE)</f>
        <v>0</v>
      </c>
      <c r="E6346" t="str">
        <v>D</v>
      </c>
      <c r="F6346">
        <f>VLOOKUP(D6324,'Detail Balok'!$C$10:$AU$110,43,FALSE)</f>
        <v>13</v>
      </c>
      <c r="G6346" t="str">
        <v>-</v>
      </c>
      <c r="H6346">
        <f>VLOOKUP(D6324,'Detail Balok'!$C$10:$AU$110,45,FALSE)</f>
        <v>75</v>
      </c>
      <c r="J6346">
        <f>(IF(D6346=0,(2*(D6325+G6325))-(F$5*8),IF(D6346=3,(2*(D6325+G6325))-(F$5*8)+(G6325-2*F$5),IF(D6346=4,(2*(D6325+G6325))-(F$5*8)+2*(G6325-2*F$5)))))/1000</f>
        <v>1.98</v>
      </c>
      <c r="K6346" t="str">
        <v>+</v>
      </c>
      <c r="L6346">
        <f>IF(D6346=0,2*MAX(6*F6346,75),(D6346-1)*2*MAX(6*F6346,75))/1000</f>
        <v>0.156</v>
      </c>
      <c r="M6346" t="str">
        <v>=</v>
      </c>
      <c r="N6346">
        <f>J6346+L6346</f>
        <v>2.136</v>
      </c>
      <c r="T6346" t="str">
        <v>x</v>
      </c>
      <c r="U6346">
        <f>0.006165*F6346^2</f>
        <v>1.041885</v>
      </c>
      <c r="V6346" t="str">
        <v>x</v>
      </c>
      <c r="W6346">
        <f>IF(D6327&gt;4*G6325,ROUND(MAX(D6327/4,2*G6325)/H6346,0)+1,0)</f>
        <v>24</v>
      </c>
      <c r="X6346" t="str">
        <v>x</v>
      </c>
      <c r="Y6346">
        <f>D6330</f>
        <v>1</v>
      </c>
      <c r="Z6346" t="str">
        <v>=</v>
      </c>
      <c r="AA6346">
        <f>N6346*U6346*W6346*Y6346</f>
        <v>53.411192639999996</v>
      </c>
    </row>
    <row r="6348">
      <c r="A6348" t="str">
        <f>A6324</f>
        <v>Lantai 2</v>
      </c>
      <c r="B6348">
        <f>B6324</f>
        <v>16</v>
      </c>
      <c r="C6348" t="str">
        <v>Kait Horizontal Tump.</v>
      </c>
      <c r="D6348">
        <f>VLOOKUP(D6324,'Detail Balok'!$C$10:$BJ$110,46,FALSE)</f>
        <v>0</v>
      </c>
      <c r="E6348" t="str">
        <v>D</v>
      </c>
      <c r="F6348">
        <f>VLOOKUP(D6324,'Detail Balok'!$C$10:$BJ$110,48,FALSE)</f>
        <v>0</v>
      </c>
      <c r="G6348" t="str">
        <v>-</v>
      </c>
      <c r="H6348">
        <f>VLOOKUP(D6324,'Detail Balok'!$C$10:$BJ$110,50,FALSE)</f>
        <v>100</v>
      </c>
      <c r="J6348">
        <f>(D6325-2*F$5)/1000</f>
        <v>0.32</v>
      </c>
      <c r="K6348" t="str">
        <v>+</v>
      </c>
      <c r="L6348">
        <f>IF(D6348=0,2*MAX(6*F6348,75),(D6348-1)*2*MAX(6*F6348,75))/1000</f>
        <v>0.15</v>
      </c>
      <c r="M6348" t="str">
        <v>=</v>
      </c>
      <c r="N6348">
        <f>J6348+L6348</f>
        <v>0.47</v>
      </c>
      <c r="T6348" t="str">
        <v>x</v>
      </c>
      <c r="U6348">
        <f>0.006165*F6348^2</f>
        <v>0</v>
      </c>
      <c r="V6348" t="str">
        <v>x</v>
      </c>
      <c r="W6348">
        <f>W6344</f>
        <v>24</v>
      </c>
      <c r="X6348" t="str">
        <v>x</v>
      </c>
      <c r="Y6348">
        <f>D6334</f>
        <v>5</v>
      </c>
      <c r="Z6348" t="str">
        <v>=</v>
      </c>
      <c r="AA6348">
        <f>N6348*U6348*W6348*Y6348</f>
        <v>0</v>
      </c>
    </row>
    <row r="6349">
      <c r="A6349" t="str">
        <f>A6324</f>
        <v>Lantai 2</v>
      </c>
      <c r="B6349">
        <f>B6324</f>
        <v>16</v>
      </c>
      <c r="C6349" t="str">
        <v>Kait Horizontal Lap.</v>
      </c>
      <c r="D6349">
        <f>VLOOKUP(D6324,'Detail Balok'!$C$10:$BJ$110,51,FALSE)</f>
        <v>0</v>
      </c>
      <c r="E6349" t="str">
        <v>D</v>
      </c>
      <c r="F6349">
        <f>VLOOKUP(D6324,'Detail Balok'!$C$10:$BJ$110,53,FALSE)</f>
        <v>0</v>
      </c>
      <c r="G6349" t="str">
        <v>-</v>
      </c>
      <c r="H6349">
        <f>VLOOKUP(D6324,'Detail Balok'!$C$10:$BJ$110,55,FALSE)</f>
        <v>100</v>
      </c>
      <c r="J6349">
        <f>(D6325-2*F$5)/1000</f>
        <v>0.32</v>
      </c>
      <c r="K6349" t="str">
        <v>+</v>
      </c>
      <c r="L6349">
        <f>IF(D6349=0,2*MAX(6*F6349,75),(D6349-1)*2*MAX(6*F6349,75))/1000</f>
        <v>0.15</v>
      </c>
      <c r="M6349" t="str">
        <v>=</v>
      </c>
      <c r="N6349">
        <f>J6349+L6349</f>
        <v>0.47</v>
      </c>
      <c r="T6349" t="str">
        <v>x</v>
      </c>
      <c r="U6349">
        <f>0.006165*F6349^2</f>
        <v>0</v>
      </c>
      <c r="V6349" t="str">
        <v>x</v>
      </c>
      <c r="W6349">
        <f>W6345</f>
        <v>18</v>
      </c>
      <c r="X6349" t="str">
        <v>x</v>
      </c>
      <c r="Y6349">
        <f>D6334</f>
        <v>5</v>
      </c>
      <c r="Z6349" t="str">
        <v>=</v>
      </c>
      <c r="AA6349">
        <f>N6349*U6349*W6349*Y6349</f>
        <v>0</v>
      </c>
    </row>
    <row r="6350">
      <c r="A6350" t="str">
        <f>A6324</f>
        <v>Lantai 2</v>
      </c>
      <c r="B6350">
        <f>B6324</f>
        <v>16</v>
      </c>
      <c r="C6350" t="str">
        <v>Kait Horizontal Tump.</v>
      </c>
      <c r="D6350">
        <f>VLOOKUP(D6324,'Detail Balok'!$C$10:$BJ$110,56,FALSE)</f>
        <v>0</v>
      </c>
      <c r="E6350" t="str">
        <v>D</v>
      </c>
      <c r="F6350">
        <f>VLOOKUP(D6324,'Detail Balok'!$C$10:$BJ$110,58,FALSE)</f>
        <v>0</v>
      </c>
      <c r="G6350" t="str">
        <v>-</v>
      </c>
      <c r="H6350">
        <f>VLOOKUP(D6324,'Detail Balok'!$C$10:$BJ$110,60,FALSE)</f>
        <v>100</v>
      </c>
      <c r="J6350">
        <f>(D6325-2*F$5)/1000</f>
        <v>0.32</v>
      </c>
      <c r="K6350" t="str">
        <v>+</v>
      </c>
      <c r="L6350">
        <f>IF(D6350=0,2*MAX(6*F6350,75),(D6350-1)*2*MAX(6*F6350,75))/1000</f>
        <v>0.15</v>
      </c>
      <c r="M6350" t="str">
        <v>=</v>
      </c>
      <c r="N6350">
        <f>J6350+L6350</f>
        <v>0.47</v>
      </c>
      <c r="T6350" t="str">
        <v>x</v>
      </c>
      <c r="U6350">
        <f>0.006165*F6350^2</f>
        <v>0</v>
      </c>
      <c r="V6350" t="str">
        <v>x</v>
      </c>
      <c r="W6350">
        <f>W6346</f>
        <v>24</v>
      </c>
      <c r="X6350" t="str">
        <v>x</v>
      </c>
      <c r="Y6350">
        <f>D6334</f>
        <v>5</v>
      </c>
      <c r="Z6350" t="str">
        <v>=</v>
      </c>
      <c r="AA6350">
        <f>N6350*U6350*W6350*Y6350</f>
        <v>0</v>
      </c>
    </row>
    <row r="6354">
      <c r="A6354" t="str">
        <f>A6324</f>
        <v>Lantai 2</v>
      </c>
      <c r="B6354">
        <f>B6324+1</f>
        <v>17</v>
      </c>
      <c r="C6354" t="str">
        <f>CONCATENATE(A6354," no. ",B6354)</f>
        <v>Lantai 2 no. 17</v>
      </c>
      <c r="D6354" t="str">
        <f>VLOOKUP(C6354,'Data Panjang Balok'!$C$9:$N$424,2,FALSE)</f>
        <v>B257-1</v>
      </c>
    </row>
    <row r="6355">
      <c r="C6355" t="str">
        <v>Dimensi</v>
      </c>
      <c r="D6355">
        <f>VLOOKUP(D6354,'Detail Balok'!$C$10:$AU$110,2,FALSE)</f>
        <v>250</v>
      </c>
      <c r="F6355" t="str">
        <v>x</v>
      </c>
      <c r="G6355">
        <f>VLOOKUP(D6354,'Detail Balok'!$C$10:$AU$110,3,FALSE)</f>
        <v>700</v>
      </c>
    </row>
    <row r="6356">
      <c r="C6356" t="str">
        <v>Panjang as ke as</v>
      </c>
      <c r="D6356">
        <f>VLOOKUP(C6354,'Data Panjang Balok'!$C$9:$N$424,4,FALSE)</f>
        <v>5000</v>
      </c>
    </row>
    <row r="6357">
      <c r="C6357" t="str">
        <v>Panjang netto</v>
      </c>
      <c r="D6357">
        <f>VLOOKUP(C6354,'Data Panjang Balok'!$C$9:$N$424,7,FALSE)</f>
        <v>5000</v>
      </c>
    </row>
    <row r="6358">
      <c r="C6358" t="str">
        <v>Kolom / balok kiri</v>
      </c>
      <c r="D6358">
        <f>VLOOKUP(C6354,'Data Panjang Balok'!$C$9:$N$424,9,FALSE)</f>
        <v>0</v>
      </c>
    </row>
    <row r="6359">
      <c r="C6359" t="str">
        <v>Kolom / balok kanan</v>
      </c>
      <c r="D6359">
        <f>VLOOKUP(C6354,'Data Panjang Balok'!$C$9:$N$424,10,FALSE)</f>
        <v>0</v>
      </c>
    </row>
    <row r="6360">
      <c r="C6360" t="str">
        <v>Jumlah</v>
      </c>
      <c r="D6360">
        <f>VLOOKUP(C6354,'Data Panjang Balok'!$C$9:$N$424,3,FALSE)</f>
        <v>1</v>
      </c>
    </row>
    <row r="6361">
      <c r="A6361" t="str">
        <f>A6354</f>
        <v>Lantai 2</v>
      </c>
      <c r="B6361">
        <f>B6354</f>
        <v>17</v>
      </c>
      <c r="C6361" t="str">
        <v>Tul Atas Tumpuan</v>
      </c>
      <c r="D6361">
        <f>VLOOKUP(D6354,'Detail Balok'!$C$10:$AU$110,4,FALSE)</f>
        <v>3</v>
      </c>
      <c r="E6361" t="str">
        <v>D</v>
      </c>
      <c r="F6361">
        <f>VLOOKUP(D6354,'Detail Balok'!$C$10:$AU$110,6,FALSE)</f>
        <v>16</v>
      </c>
      <c r="I6361" t="str">
        <v>(</v>
      </c>
      <c r="J6361">
        <f>+D6356/4/1000</f>
        <v>1.25</v>
      </c>
      <c r="K6361" t="str">
        <v>+</v>
      </c>
      <c r="L6361">
        <f>MAX(VLOOKUP(F6361,N$6:P$15,3,FALSE)/1000,2/3*D6358/1000)+F$16*F6361/1000</f>
        <v>0.192</v>
      </c>
      <c r="M6361" t="str">
        <v>=</v>
      </c>
      <c r="N6361">
        <f>J6361+L6361</f>
        <v>1.442</v>
      </c>
      <c r="O6361" t="str">
        <v>+</v>
      </c>
      <c r="P6361">
        <f>D6361-D6362</f>
        <v>0</v>
      </c>
      <c r="Q6361" t="str">
        <v>x</v>
      </c>
      <c r="R6361">
        <f>IF(P6361&gt;0,$F$18*F6361/1000,0)</f>
        <v>0</v>
      </c>
      <c r="S6361" t="str">
        <v>)</v>
      </c>
      <c r="T6361" t="str">
        <v>x</v>
      </c>
      <c r="U6361">
        <f>0.006165*F6361^2</f>
        <v>1.57824</v>
      </c>
      <c r="X6361" t="str">
        <v>x</v>
      </c>
      <c r="Y6361">
        <f>D6360</f>
        <v>1</v>
      </c>
      <c r="Z6361" t="str">
        <v>=</v>
      </c>
      <c r="AA6361">
        <f>IF(AA6364=0,(D6361*N6361+P6361*R6361)*U6361*Y6361,0)</f>
        <v>0</v>
      </c>
    </row>
    <row r="6362">
      <c r="A6362" t="str">
        <f>A6354</f>
        <v>Lantai 2</v>
      </c>
      <c r="B6362">
        <f>B6354</f>
        <v>17</v>
      </c>
      <c r="C6362" t="str">
        <v>Tul Atas Lapangan</v>
      </c>
      <c r="D6362">
        <f>VLOOKUP(D6354,'Detail Balok'!$C$10:$AU$110,7,FALSE)</f>
        <v>3</v>
      </c>
      <c r="E6362" t="str">
        <v>D</v>
      </c>
      <c r="F6362">
        <f>VLOOKUP(D6354,'Detail Balok'!$C$10:$AU$110,9,FALSE)</f>
        <v>16</v>
      </c>
      <c r="I6362" t="str">
        <v>(</v>
      </c>
      <c r="J6362">
        <f>+D6356/2/1000</f>
        <v>2.5</v>
      </c>
      <c r="K6362" t="str">
        <v>+</v>
      </c>
      <c r="M6362" t="str">
        <v>=</v>
      </c>
      <c r="N6362">
        <f>J6362+L6362</f>
        <v>2.5</v>
      </c>
      <c r="O6362" t="str">
        <v>+</v>
      </c>
      <c r="P6362">
        <f>MAX(D6362-D6361,D6362-D6363)</f>
        <v>0</v>
      </c>
      <c r="Q6362" t="str">
        <v>x</v>
      </c>
      <c r="R6362">
        <f>IF(P6362&gt;0,2*(1-2*$F$19-1/2)*D6357/1000,0)</f>
        <v>0</v>
      </c>
      <c r="S6362" t="str">
        <v>)</v>
      </c>
      <c r="T6362" t="str">
        <v>x</v>
      </c>
      <c r="U6362">
        <f>0.006165*F6362^2</f>
        <v>1.57824</v>
      </c>
      <c r="X6362" t="str">
        <v>x</v>
      </c>
      <c r="Y6362">
        <f>D6360</f>
        <v>1</v>
      </c>
      <c r="Z6362" t="str">
        <v>=</v>
      </c>
      <c r="AA6362">
        <f>IF(AA6364=0,(D6362*N6362+P6362*R6362)*U6362*Y6362,0)</f>
        <v>0</v>
      </c>
    </row>
    <row r="6363">
      <c r="A6363" t="str">
        <f>A6354</f>
        <v>Lantai 2</v>
      </c>
      <c r="B6363">
        <f>B6354</f>
        <v>17</v>
      </c>
      <c r="C6363" t="str">
        <v>Tul Atas Tumpuan</v>
      </c>
      <c r="D6363">
        <f>VLOOKUP(D6354,'Detail Balok'!$C$10:$AU$110,10,FALSE)</f>
        <v>3</v>
      </c>
      <c r="E6363" t="str">
        <v>D</v>
      </c>
      <c r="F6363">
        <f>VLOOKUP(D6354,'Detail Balok'!$C$10:$AU$110,12,FALSE)</f>
        <v>16</v>
      </c>
      <c r="I6363" t="str">
        <v>(</v>
      </c>
      <c r="J6363">
        <f>+D6356/4/1000</f>
        <v>1.25</v>
      </c>
      <c r="K6363" t="str">
        <v>+</v>
      </c>
      <c r="L6363">
        <f>MAX(VLOOKUP(F6363,N$6:P$15,3,FALSE)/1000,2/3*D6358/1000)+F$16*F6363/1000</f>
        <v>0.192</v>
      </c>
      <c r="M6363" t="str">
        <v>=</v>
      </c>
      <c r="N6363">
        <f>J6363+L6363</f>
        <v>1.442</v>
      </c>
      <c r="O6363" t="str">
        <v>+</v>
      </c>
      <c r="P6363">
        <f>D6363-D6362</f>
        <v>0</v>
      </c>
      <c r="Q6363" t="str">
        <v>x</v>
      </c>
      <c r="R6363">
        <f>IF(P6363&gt;0,$F$18*F6363/1000,0)</f>
        <v>0</v>
      </c>
      <c r="S6363" t="str">
        <v>)</v>
      </c>
      <c r="T6363" t="str">
        <v>x</v>
      </c>
      <c r="U6363">
        <f>0.006165*F6363^2</f>
        <v>1.57824</v>
      </c>
      <c r="X6363" t="str">
        <v>x</v>
      </c>
      <c r="Y6363">
        <f>D6360</f>
        <v>1</v>
      </c>
      <c r="Z6363" t="str">
        <v>=</v>
      </c>
      <c r="AA6363">
        <f>IF(AA6364=0,(D6363*N6363+P6363*R6363)*U6363*Y6363,0)</f>
        <v>0</v>
      </c>
    </row>
    <row r="6364">
      <c r="A6364" t="str">
        <f>A6354</f>
        <v>Lantai 2</v>
      </c>
      <c r="B6364">
        <f>B6354</f>
        <v>17</v>
      </c>
      <c r="D6364">
        <f>IF(AND(D6361=D6362,D6362=D6363,D6361=D6363),D6361,0)</f>
        <v>3</v>
      </c>
      <c r="E6364" t="str">
        <v>D</v>
      </c>
      <c r="F6364">
        <f>IF(AND(F6361=F6362,F6361=F6363,F6362=F6363),F6361,0)</f>
        <v>16</v>
      </c>
      <c r="L6364" t="str">
        <v>Total panjang per balok</v>
      </c>
      <c r="M6364" t="str">
        <v>=</v>
      </c>
      <c r="N6364">
        <f>IF(AND(D6361=D6362,D6361=D6363,D6362=D6363,F6361=F6362,F6361=F6363,F6362=F6363),SUM(N6361:N6363),0)</f>
        <v>5.384</v>
      </c>
      <c r="O6364" t="str">
        <v>+</v>
      </c>
      <c r="P6364">
        <f>IF(N6364&gt;12,ROUNDDOWN(N6364/12,0),0)</f>
        <v>0</v>
      </c>
      <c r="Q6364" t="str">
        <v>x</v>
      </c>
      <c r="R6364">
        <f>IF(P6364&gt;0,MAX(VLOOKUP(F6364,$D$6:$G$15,3,FALSE),600),0)/1000</f>
        <v>0</v>
      </c>
      <c r="T6364" t="str">
        <v>x</v>
      </c>
      <c r="U6364">
        <f>U6363</f>
        <v>1.57824</v>
      </c>
      <c r="V6364" t="str">
        <v>x</v>
      </c>
      <c r="W6364">
        <f>D6364</f>
        <v>3</v>
      </c>
      <c r="X6364" t="str">
        <v>x</v>
      </c>
      <c r="Y6364">
        <f>Y6363</f>
        <v>1</v>
      </c>
      <c r="Z6364" t="str">
        <v>=</v>
      </c>
      <c r="AA6364">
        <f>(N6364+P6364*R6364/1000)*U6364*W6364*Y6364</f>
        <v>25.491732480000003</v>
      </c>
    </row>
    <row r="6366">
      <c r="A6366" t="str">
        <f>A6354</f>
        <v>Lantai 2</v>
      </c>
      <c r="B6366">
        <f>B6354</f>
        <v>17</v>
      </c>
      <c r="C6366" t="str">
        <v>Tul Peminggang</v>
      </c>
      <c r="D6366">
        <f>VLOOKUP(D6354,'Detail Balok'!$C$10:$AU$110,13,FALSE)</f>
        <v>2</v>
      </c>
      <c r="E6366" t="str">
        <v>D</v>
      </c>
      <c r="F6366">
        <f>VLOOKUP(D6354,'Detail Balok'!$C$10:$AU$110,15,FALSE)</f>
        <v>10</v>
      </c>
      <c r="J6366">
        <f>+D6356/1000</f>
        <v>5</v>
      </c>
      <c r="K6366" t="str">
        <v>+</v>
      </c>
      <c r="L6366">
        <f>2*$F$16*F6366/1000</f>
        <v>0.24</v>
      </c>
      <c r="M6366" t="str">
        <v>=</v>
      </c>
      <c r="N6366">
        <f>J6366+L6366</f>
        <v>5.24</v>
      </c>
      <c r="O6366" t="str">
        <v>+</v>
      </c>
      <c r="P6366">
        <f>IF(N6366&gt;12,ROUNDDOWN(N6366/12,0),0)</f>
        <v>0</v>
      </c>
      <c r="Q6366" t="str">
        <v>x</v>
      </c>
      <c r="R6366">
        <f>IF(P6366&gt;0,MAX(VLOOKUP(F6366,$D$6:$G$15,3,FALSE),600),0)/1000</f>
        <v>0</v>
      </c>
      <c r="T6366" t="str">
        <v>x</v>
      </c>
      <c r="U6366">
        <f>0.006165*F6366^2</f>
        <v>0.6165</v>
      </c>
      <c r="V6366" t="str">
        <v>x</v>
      </c>
      <c r="W6366">
        <f>+D6366</f>
        <v>2</v>
      </c>
      <c r="X6366" t="str">
        <v>x</v>
      </c>
      <c r="Y6366">
        <f>D6360</f>
        <v>1</v>
      </c>
      <c r="Z6366" t="str">
        <v>=</v>
      </c>
      <c r="AA6366">
        <f>(N6366+P6366*R6366/1000)*U6366*W6366*Y6366</f>
        <v>6.460920000000001</v>
      </c>
    </row>
    <row r="6369">
      <c r="A6369" t="str">
        <f>A6354</f>
        <v>Lantai 2</v>
      </c>
      <c r="B6369">
        <f>B6354</f>
        <v>17</v>
      </c>
      <c r="C6369" t="str">
        <v>Tul Bawah Tumpuan</v>
      </c>
      <c r="D6369">
        <f>VLOOKUP(D6354,'Detail Balok'!$C$10:$AU$110,22,FALSE)</f>
        <v>3</v>
      </c>
      <c r="E6369" t="str">
        <v>D</v>
      </c>
      <c r="F6369">
        <f>VLOOKUP(D6354,'Detail Balok'!$C$10:$AU$110,24,FALSE)</f>
        <v>16</v>
      </c>
      <c r="I6369" t="str">
        <v>(</v>
      </c>
      <c r="J6369">
        <f>+J6361</f>
        <v>1.25</v>
      </c>
      <c r="K6369" t="str">
        <v>+</v>
      </c>
      <c r="L6369">
        <f>MAX(VLOOKUP(F6369,N$6:P$15,3,FALSE)/1000,2/3*D6359/1000)+F$16*F6369/1000</f>
        <v>0.192</v>
      </c>
      <c r="M6369" t="str">
        <v>=</v>
      </c>
      <c r="N6369">
        <f>J6369+L6369</f>
        <v>1.442</v>
      </c>
      <c r="O6369" t="str">
        <v>+</v>
      </c>
      <c r="P6369">
        <f>D6369-D6370</f>
        <v>0</v>
      </c>
      <c r="Q6369" t="str">
        <v>x</v>
      </c>
      <c r="R6369">
        <f>IF(P6369&gt;0,$F$18*F6369/1000,0)</f>
        <v>0</v>
      </c>
      <c r="S6369" t="str">
        <v>)</v>
      </c>
      <c r="T6369" t="str">
        <v>x</v>
      </c>
      <c r="U6369">
        <f>0.006165*F6369^2</f>
        <v>1.57824</v>
      </c>
      <c r="X6369" t="str">
        <v>x</v>
      </c>
      <c r="Y6369">
        <f>D6360</f>
        <v>1</v>
      </c>
      <c r="Z6369" t="str">
        <v>=</v>
      </c>
      <c r="AA6369">
        <f>IF(AA6372=0,(D6369*N6369+P6369*R6369)*U6369*Y6369,0)</f>
        <v>0</v>
      </c>
    </row>
    <row r="6370">
      <c r="A6370" t="str">
        <f>A6354</f>
        <v>Lantai 2</v>
      </c>
      <c r="B6370">
        <f>B6354</f>
        <v>17</v>
      </c>
      <c r="C6370" t="str">
        <v>Tul Bawah Lapangan</v>
      </c>
      <c r="D6370">
        <f>VLOOKUP(D6354,'Detail Balok'!$C$10:$AU$110,25,FALSE)</f>
        <v>3</v>
      </c>
      <c r="E6370" t="str">
        <v>D</v>
      </c>
      <c r="F6370">
        <f>VLOOKUP(D6354,'Detail Balok'!$C$10:$AU$110,27,FALSE)</f>
        <v>16</v>
      </c>
      <c r="I6370" t="str">
        <v>(</v>
      </c>
      <c r="J6370">
        <f>+J6362</f>
        <v>2.5</v>
      </c>
      <c r="K6370" t="str">
        <v>+</v>
      </c>
      <c r="M6370" t="str">
        <v>=</v>
      </c>
      <c r="N6370">
        <f>J6370+L6370</f>
        <v>2.5</v>
      </c>
      <c r="O6370" t="str">
        <v>+</v>
      </c>
      <c r="P6370">
        <f>MAX(D6370-D6369,D6370-D6371)</f>
        <v>0</v>
      </c>
      <c r="Q6370" t="str">
        <v>x</v>
      </c>
      <c r="R6370">
        <f>IF(P6370&gt;0,2*(1-2*$F$19-1/2)*D6357/1000,0)</f>
        <v>0</v>
      </c>
      <c r="S6370" t="str">
        <v>)</v>
      </c>
      <c r="T6370" t="str">
        <v>x</v>
      </c>
      <c r="U6370">
        <f>0.006165*F6370^2</f>
        <v>1.57824</v>
      </c>
      <c r="X6370" t="str">
        <v>x</v>
      </c>
      <c r="Y6370">
        <f>D6360</f>
        <v>1</v>
      </c>
      <c r="Z6370" t="str">
        <v>=</v>
      </c>
      <c r="AA6370">
        <f>IF(AA6372=0,(D6370*N6370+P6370*R6370)*U6370*Y6370,0)</f>
        <v>0</v>
      </c>
    </row>
    <row r="6371">
      <c r="A6371" t="str">
        <f>A6354</f>
        <v>Lantai 2</v>
      </c>
      <c r="B6371">
        <f>B6354</f>
        <v>17</v>
      </c>
      <c r="C6371" t="str">
        <v>Tul Bawah Tumpuan</v>
      </c>
      <c r="D6371">
        <f>VLOOKUP(D6354,'Detail Balok'!$C$10:$AU$110,28,FALSE)</f>
        <v>3</v>
      </c>
      <c r="E6371" t="str">
        <v>D</v>
      </c>
      <c r="F6371">
        <f>VLOOKUP(D6354,'Detail Balok'!$C$10:$AU$110,30,FALSE)</f>
        <v>16</v>
      </c>
      <c r="I6371" t="str">
        <v>(</v>
      </c>
      <c r="J6371">
        <f>+J6363</f>
        <v>1.25</v>
      </c>
      <c r="K6371" t="str">
        <v>+</v>
      </c>
      <c r="L6371">
        <f>MAX(VLOOKUP(F6371,N$6:P$15,3,FALSE)/1000,2/3*D6359/1000)+F$16*F6371/1000</f>
        <v>0.192</v>
      </c>
      <c r="M6371" t="str">
        <v>=</v>
      </c>
      <c r="N6371">
        <f>J6371+L6371</f>
        <v>1.442</v>
      </c>
      <c r="O6371" t="str">
        <v>+</v>
      </c>
      <c r="P6371">
        <f>D6371-D6370</f>
        <v>0</v>
      </c>
      <c r="Q6371" t="str">
        <v>x</v>
      </c>
      <c r="R6371">
        <f>IF(P6371&gt;0,$F$18*F6371/1000,0)</f>
        <v>0</v>
      </c>
      <c r="S6371" t="str">
        <v>)</v>
      </c>
      <c r="T6371" t="str">
        <v>x</v>
      </c>
      <c r="U6371">
        <f>0.006165*F6371^2</f>
        <v>1.57824</v>
      </c>
      <c r="X6371" t="str">
        <v>x</v>
      </c>
      <c r="Y6371">
        <f>D6360</f>
        <v>1</v>
      </c>
      <c r="Z6371" t="str">
        <v>=</v>
      </c>
      <c r="AA6371">
        <f>IF(AA6372=0,(D6371*N6371+P6371*R6371)*U6371*Y6371,0)</f>
        <v>0</v>
      </c>
    </row>
    <row r="6372">
      <c r="A6372" t="str">
        <f>A6354</f>
        <v>Lantai 2</v>
      </c>
      <c r="B6372">
        <f>B6354</f>
        <v>17</v>
      </c>
      <c r="D6372">
        <f>IF(AND(D6369=D6370,D6370=D6371,D6369=D6371),D6369,0)</f>
        <v>3</v>
      </c>
      <c r="E6372" t="str">
        <v>D</v>
      </c>
      <c r="F6372">
        <f>IF(AND(F6369=F6370,F6369=F6371,F6370=F6371),F6369,0)</f>
        <v>16</v>
      </c>
      <c r="L6372" t="str">
        <v>Total panjang per balok</v>
      </c>
      <c r="M6372" t="str">
        <v>=</v>
      </c>
      <c r="N6372">
        <f>IF(AND(D6369=D6370,D6369=D6371,D6370=D6371,F6369=F6370,F6369=F6371,F6370=F6371),SUM(N6369:N6371),0)</f>
        <v>5.384</v>
      </c>
      <c r="O6372" t="str">
        <v>+</v>
      </c>
      <c r="P6372">
        <f>IF(N6372&gt;12,ROUNDDOWN(N6372/12,0),0)</f>
        <v>0</v>
      </c>
      <c r="Q6372" t="str">
        <v>x</v>
      </c>
      <c r="R6372">
        <f>IF(P6372&gt;0,MAX(VLOOKUP(F6372,$D$6:$G$15,3,FALSE),600),0)/1000</f>
        <v>0</v>
      </c>
      <c r="T6372" t="str">
        <v>x</v>
      </c>
      <c r="U6372">
        <f>U6371</f>
        <v>1.57824</v>
      </c>
      <c r="V6372" t="str">
        <v>x</v>
      </c>
      <c r="W6372">
        <f>D6372</f>
        <v>3</v>
      </c>
      <c r="X6372" t="str">
        <v>x</v>
      </c>
      <c r="Y6372">
        <f>Y6371</f>
        <v>1</v>
      </c>
      <c r="Z6372" t="str">
        <v>=</v>
      </c>
      <c r="AA6372">
        <f>(N6372+P6372*R6372/1000)*U6372*W6372*Y6372</f>
        <v>25.491732480000003</v>
      </c>
    </row>
    <row r="6374">
      <c r="A6374" t="str">
        <f>A6354</f>
        <v>Lantai 2</v>
      </c>
      <c r="B6374">
        <f>B6354</f>
        <v>17</v>
      </c>
      <c r="C6374" t="str">
        <v>Sengkang Tumpuan</v>
      </c>
      <c r="D6374">
        <f>VLOOKUP(D6354,'Detail Balok'!$C$10:$AU$110,31,FALSE)</f>
        <v>0</v>
      </c>
      <c r="E6374" t="str">
        <v>D</v>
      </c>
      <c r="F6374">
        <f>VLOOKUP(D6354,'Detail Balok'!$C$10:$AU$110,33,FALSE)</f>
        <v>10</v>
      </c>
      <c r="G6374" t="str">
        <v>-</v>
      </c>
      <c r="H6374">
        <f>VLOOKUP(D6354,'Detail Balok'!$C$10:$AU$110,35,FALSE)</f>
        <v>100</v>
      </c>
      <c r="J6374">
        <f>(IF(D6374=0,(2*(D6355+G6355))-(F$5*8),IF(D6374=3,(2*(D6355+G6355))-(F$5*8)+(G6355-2*F$5),IF(D6374=4,(2*(D6355+G6355))-(F$5*8)+2*(G6355-2*F$5)))))/1000</f>
        <v>1.58</v>
      </c>
      <c r="K6374" t="str">
        <v>+</v>
      </c>
      <c r="L6374">
        <f>IF(D6374=0,2*MAX(6*F6374,75),(D6374-1)*2*MAX(6*F6374,75))/1000</f>
        <v>0.15</v>
      </c>
      <c r="M6374" t="str">
        <v>=</v>
      </c>
      <c r="N6374">
        <f>J6374+L6374</f>
        <v>1.73</v>
      </c>
      <c r="T6374" t="str">
        <v>x</v>
      </c>
      <c r="U6374">
        <f>0.006165*F6374^2</f>
        <v>0.6165</v>
      </c>
      <c r="V6374" t="str">
        <v>x</v>
      </c>
      <c r="W6374">
        <f>IF(D6357&gt;4*G6355,ROUND(MAX(D6357/4,2*G6355)/H6374,0)+1,ROUND(D6357/H6374,0)+1)</f>
        <v>15</v>
      </c>
      <c r="X6374" t="str">
        <v>x</v>
      </c>
      <c r="Y6374">
        <f>D6360</f>
        <v>1</v>
      </c>
      <c r="Z6374" t="str">
        <v>=</v>
      </c>
      <c r="AA6374">
        <f>N6374*U6374*W6374*Y6374</f>
        <v>15.998175000000002</v>
      </c>
    </row>
    <row r="6375">
      <c r="A6375" t="str">
        <f>A6354</f>
        <v>Lantai 2</v>
      </c>
      <c r="B6375">
        <f>B6354</f>
        <v>17</v>
      </c>
      <c r="C6375" t="str">
        <v>Sengkang Lapangan</v>
      </c>
      <c r="D6375">
        <f>VLOOKUP(D6354,'Detail Balok'!$C$10:$AU$110,36,FALSE)</f>
        <v>0</v>
      </c>
      <c r="E6375" t="str">
        <v>D</v>
      </c>
      <c r="F6375">
        <f>VLOOKUP(D6354,'Detail Balok'!$C$10:$AU$110,38,FALSE)</f>
        <v>10</v>
      </c>
      <c r="G6375" t="str">
        <v>-</v>
      </c>
      <c r="H6375">
        <f>VLOOKUP(D6354,'Detail Balok'!$C$10:$AU$110,40,FALSE)</f>
        <v>200</v>
      </c>
      <c r="J6375">
        <f>(IF(D6375=0,(2*(D6355+G6355))-(F$5*8),IF(D6375=3,(2*(D6355+G6355))-(F$5*8)+(G6355-2*F$5),IF(D6375=4,(2*(D6355+G6355))-(F$5*8)+2*(G6355-2*F$5)))))/1000</f>
        <v>1.58</v>
      </c>
      <c r="K6375" t="str">
        <v>+</v>
      </c>
      <c r="L6375">
        <f>IF(D6375=0,2*MAX(6*F6375,75),(D6375-1)*2*MAX(6*F6375,75))/1000</f>
        <v>0.15</v>
      </c>
      <c r="M6375" t="str">
        <v>=</v>
      </c>
      <c r="N6375">
        <f>J6375+L6375</f>
        <v>1.73</v>
      </c>
      <c r="T6375" t="str">
        <v>x</v>
      </c>
      <c r="U6375">
        <f>0.006165*F6375^2</f>
        <v>0.6165</v>
      </c>
      <c r="V6375" t="str">
        <v>x</v>
      </c>
      <c r="W6375">
        <f>IF(D6357-MAX(D6357/4,2*G6355)*2&gt;0,ROUND((D6357-MAX(D6357/4,2*G6355)*2)/H6375,0),0)</f>
        <v>11</v>
      </c>
      <c r="X6375" t="str">
        <v>x</v>
      </c>
      <c r="Y6375">
        <f>D6360</f>
        <v>1</v>
      </c>
      <c r="Z6375" t="str">
        <v>=</v>
      </c>
      <c r="AA6375">
        <f>N6375*U6375*W6375*Y6375</f>
        <v>11.731995000000001</v>
      </c>
    </row>
    <row r="6376">
      <c r="A6376" t="str">
        <f>A6354</f>
        <v>Lantai 2</v>
      </c>
      <c r="B6376">
        <f>B6354</f>
        <v>17</v>
      </c>
      <c r="C6376" t="str">
        <v>Sengkang Tumpuan</v>
      </c>
      <c r="D6376">
        <f>VLOOKUP(D6354,'Detail Balok'!$C$10:$AU$110,41,FALSE)</f>
        <v>0</v>
      </c>
      <c r="E6376" t="str">
        <v>D</v>
      </c>
      <c r="F6376">
        <f>VLOOKUP(D6354,'Detail Balok'!$C$10:$AU$110,43,FALSE)</f>
        <v>10</v>
      </c>
      <c r="G6376" t="str">
        <v>-</v>
      </c>
      <c r="H6376">
        <f>VLOOKUP(D6354,'Detail Balok'!$C$10:$AU$110,45,FALSE)</f>
        <v>100</v>
      </c>
      <c r="J6376">
        <f>(IF(D6376=0,(2*(D6355+G6355))-(F$5*8),IF(D6376=3,(2*(D6355+G6355))-(F$5*8)+(G6355-2*F$5),IF(D6376=4,(2*(D6355+G6355))-(F$5*8)+2*(G6355-2*F$5)))))/1000</f>
        <v>1.58</v>
      </c>
      <c r="K6376" t="str">
        <v>+</v>
      </c>
      <c r="L6376">
        <f>IF(D6376=0,2*MAX(6*F6376,75),(D6376-1)*2*MAX(6*F6376,75))/1000</f>
        <v>0.15</v>
      </c>
      <c r="M6376" t="str">
        <v>=</v>
      </c>
      <c r="N6376">
        <f>J6376+L6376</f>
        <v>1.73</v>
      </c>
      <c r="T6376" t="str">
        <v>x</v>
      </c>
      <c r="U6376">
        <f>0.006165*F6376^2</f>
        <v>0.6165</v>
      </c>
      <c r="V6376" t="str">
        <v>x</v>
      </c>
      <c r="W6376">
        <f>IF(D6357&gt;4*G6355,ROUND(MAX(D6357/4,2*G6355)/H6376,0)+1,0)</f>
        <v>15</v>
      </c>
      <c r="X6376" t="str">
        <v>x</v>
      </c>
      <c r="Y6376">
        <f>D6360</f>
        <v>1</v>
      </c>
      <c r="Z6376" t="str">
        <v>=</v>
      </c>
      <c r="AA6376">
        <f>N6376*U6376*W6376*Y6376</f>
        <v>15.998175000000002</v>
      </c>
    </row>
    <row r="6378">
      <c r="A6378" t="str">
        <f>A6354</f>
        <v>Lantai 2</v>
      </c>
      <c r="B6378">
        <f>B6354</f>
        <v>17</v>
      </c>
      <c r="C6378" t="str">
        <v>Kait Horizontal Tump.</v>
      </c>
      <c r="D6378">
        <f>VLOOKUP(D6354,'Detail Balok'!$C$10:$BJ$110,46,FALSE)</f>
        <v>0</v>
      </c>
      <c r="E6378" t="str">
        <v>D</v>
      </c>
      <c r="F6378">
        <f>VLOOKUP(D6354,'Detail Balok'!$C$10:$BJ$110,48,FALSE)</f>
        <v>0</v>
      </c>
      <c r="G6378" t="str">
        <v>-</v>
      </c>
      <c r="H6378">
        <f>VLOOKUP(D6354,'Detail Balok'!$C$10:$BJ$110,50,FALSE)</f>
        <v>100</v>
      </c>
      <c r="J6378">
        <f>(D6355-2*F$5)/1000</f>
        <v>0.17</v>
      </c>
      <c r="K6378" t="str">
        <v>+</v>
      </c>
      <c r="L6378">
        <f>IF(D6378=0,2*MAX(6*F6378,75),(D6378-1)*2*MAX(6*F6378,75))/1000</f>
        <v>0.15</v>
      </c>
      <c r="M6378" t="str">
        <v>=</v>
      </c>
      <c r="N6378">
        <f>J6378+L6378</f>
        <v>0.32</v>
      </c>
      <c r="T6378" t="str">
        <v>x</v>
      </c>
      <c r="U6378">
        <f>0.006165*F6378^2</f>
        <v>0</v>
      </c>
      <c r="V6378" t="str">
        <v>x</v>
      </c>
      <c r="W6378">
        <f>W6374</f>
        <v>15</v>
      </c>
      <c r="X6378" t="str">
        <v>x</v>
      </c>
      <c r="Y6378">
        <f>D6364</f>
        <v>3</v>
      </c>
      <c r="Z6378" t="str">
        <v>=</v>
      </c>
      <c r="AA6378">
        <f>N6378*U6378*W6378*Y6378</f>
        <v>0</v>
      </c>
    </row>
    <row r="6379">
      <c r="A6379" t="str">
        <f>A6354</f>
        <v>Lantai 2</v>
      </c>
      <c r="B6379">
        <f>B6354</f>
        <v>17</v>
      </c>
      <c r="C6379" t="str">
        <v>Kait Horizontal Lap.</v>
      </c>
      <c r="D6379">
        <f>VLOOKUP(D6354,'Detail Balok'!$C$10:$BJ$110,51,FALSE)</f>
        <v>0</v>
      </c>
      <c r="E6379" t="str">
        <v>D</v>
      </c>
      <c r="F6379">
        <f>VLOOKUP(D6354,'Detail Balok'!$C$10:$BJ$110,53,FALSE)</f>
        <v>0</v>
      </c>
      <c r="G6379" t="str">
        <v>-</v>
      </c>
      <c r="H6379">
        <f>VLOOKUP(D6354,'Detail Balok'!$C$10:$BJ$110,55,FALSE)</f>
        <v>100</v>
      </c>
      <c r="J6379">
        <f>(D6355-2*F$5)/1000</f>
        <v>0.17</v>
      </c>
      <c r="K6379" t="str">
        <v>+</v>
      </c>
      <c r="L6379">
        <f>IF(D6379=0,2*MAX(6*F6379,75),(D6379-1)*2*MAX(6*F6379,75))/1000</f>
        <v>0.15</v>
      </c>
      <c r="M6379" t="str">
        <v>=</v>
      </c>
      <c r="N6379">
        <f>J6379+L6379</f>
        <v>0.32</v>
      </c>
      <c r="T6379" t="str">
        <v>x</v>
      </c>
      <c r="U6379">
        <f>0.006165*F6379^2</f>
        <v>0</v>
      </c>
      <c r="V6379" t="str">
        <v>x</v>
      </c>
      <c r="W6379">
        <f>W6375</f>
        <v>11</v>
      </c>
      <c r="X6379" t="str">
        <v>x</v>
      </c>
      <c r="Y6379">
        <f>D6364</f>
        <v>3</v>
      </c>
      <c r="Z6379" t="str">
        <v>=</v>
      </c>
      <c r="AA6379">
        <f>N6379*U6379*W6379*Y6379</f>
        <v>0</v>
      </c>
    </row>
    <row r="6380">
      <c r="A6380" t="str">
        <f>A6354</f>
        <v>Lantai 2</v>
      </c>
      <c r="B6380">
        <f>B6354</f>
        <v>17</v>
      </c>
      <c r="C6380" t="str">
        <v>Kait Horizontal Tump.</v>
      </c>
      <c r="D6380">
        <f>VLOOKUP(D6354,'Detail Balok'!$C$10:$BJ$110,56,FALSE)</f>
        <v>0</v>
      </c>
      <c r="E6380" t="str">
        <v>D</v>
      </c>
      <c r="F6380">
        <f>VLOOKUP(D6354,'Detail Balok'!$C$10:$BJ$110,58,FALSE)</f>
        <v>0</v>
      </c>
      <c r="G6380" t="str">
        <v>-</v>
      </c>
      <c r="H6380">
        <f>VLOOKUP(D6354,'Detail Balok'!$C$10:$BJ$110,60,FALSE)</f>
        <v>100</v>
      </c>
      <c r="J6380">
        <f>(D6355-2*F$5)/1000</f>
        <v>0.17</v>
      </c>
      <c r="K6380" t="str">
        <v>+</v>
      </c>
      <c r="L6380">
        <f>IF(D6380=0,2*MAX(6*F6380,75),(D6380-1)*2*MAX(6*F6380,75))/1000</f>
        <v>0.15</v>
      </c>
      <c r="M6380" t="str">
        <v>=</v>
      </c>
      <c r="N6380">
        <f>J6380+L6380</f>
        <v>0.32</v>
      </c>
      <c r="T6380" t="str">
        <v>x</v>
      </c>
      <c r="U6380">
        <f>0.006165*F6380^2</f>
        <v>0</v>
      </c>
      <c r="V6380" t="str">
        <v>x</v>
      </c>
      <c r="W6380">
        <f>W6376</f>
        <v>15</v>
      </c>
      <c r="X6380" t="str">
        <v>x</v>
      </c>
      <c r="Y6380">
        <f>D6364</f>
        <v>3</v>
      </c>
      <c r="Z6380" t="str">
        <v>=</v>
      </c>
      <c r="AA6380">
        <f>N6380*U6380*W6380*Y6380</f>
        <v>0</v>
      </c>
    </row>
    <row r="6384">
      <c r="A6384" t="str">
        <f>A6354</f>
        <v>Lantai 2</v>
      </c>
      <c r="B6384">
        <f>B6354+1</f>
        <v>18</v>
      </c>
      <c r="C6384" t="str">
        <f>CONCATENATE(A6384," no. ",B6384)</f>
        <v>Lantai 2 no. 18</v>
      </c>
      <c r="D6384" t="str">
        <f>VLOOKUP(C6384,'Data Panjang Balok'!$C$9:$N$424,2,FALSE)</f>
        <v>Potongan F</v>
      </c>
    </row>
    <row r="6385">
      <c r="C6385" t="str">
        <v>Dimensi</v>
      </c>
      <c r="D6385">
        <f>VLOOKUP(D6384,'Detail Balok'!$C$10:$AU$110,2,FALSE)</f>
        <v>200</v>
      </c>
      <c r="F6385" t="str">
        <v>x</v>
      </c>
      <c r="G6385">
        <f>VLOOKUP(D6384,'Detail Balok'!$C$10:$AU$110,3,FALSE)</f>
        <v>450</v>
      </c>
    </row>
    <row r="6386">
      <c r="C6386" t="str">
        <v>Panjang as ke as</v>
      </c>
      <c r="D6386">
        <f>VLOOKUP(C6384,'Data Panjang Balok'!$C$9:$N$424,4,FALSE)</f>
        <v>1100</v>
      </c>
    </row>
    <row r="6387">
      <c r="C6387" t="str">
        <v>Panjang netto</v>
      </c>
      <c r="D6387">
        <f>VLOOKUP(C6384,'Data Panjang Balok'!$C$9:$N$424,7,FALSE)</f>
        <v>1100</v>
      </c>
    </row>
    <row r="6388">
      <c r="C6388" t="str">
        <v>Kolom / balok kiri</v>
      </c>
      <c r="D6388">
        <f>VLOOKUP(C6384,'Data Panjang Balok'!$C$9:$N$424,9,FALSE)</f>
        <v>0</v>
      </c>
    </row>
    <row r="6389">
      <c r="C6389" t="str">
        <v>Kolom / balok kanan</v>
      </c>
      <c r="D6389">
        <f>VLOOKUP(C6384,'Data Panjang Balok'!$C$9:$N$424,10,FALSE)</f>
        <v>0</v>
      </c>
    </row>
    <row r="6390">
      <c r="C6390" t="str">
        <v>Jumlah</v>
      </c>
      <c r="D6390">
        <f>VLOOKUP(C6384,'Data Panjang Balok'!$C$9:$N$424,3,FALSE)</f>
        <v>1</v>
      </c>
    </row>
    <row r="6391">
      <c r="A6391" t="str">
        <f>A6384</f>
        <v>Lantai 2</v>
      </c>
      <c r="B6391">
        <f>B6384</f>
        <v>18</v>
      </c>
      <c r="C6391" t="str">
        <v>Tul Atas Tumpuan</v>
      </c>
      <c r="D6391">
        <f>VLOOKUP(D6384,'Detail Balok'!$C$10:$AU$110,4,FALSE)</f>
        <v>5</v>
      </c>
      <c r="E6391" t="str">
        <v>D</v>
      </c>
      <c r="F6391">
        <f>VLOOKUP(D6384,'Detail Balok'!$C$10:$AU$110,6,FALSE)</f>
        <v>16</v>
      </c>
      <c r="I6391" t="str">
        <v>(</v>
      </c>
      <c r="J6391">
        <f>+D6386/4/1000</f>
        <v>0.275</v>
      </c>
      <c r="K6391" t="str">
        <v>+</v>
      </c>
      <c r="L6391">
        <f>MAX(VLOOKUP(F6391,N$6:P$15,3,FALSE)/1000,2/3*D6388/1000)+F$16*F6391/1000</f>
        <v>0.192</v>
      </c>
      <c r="M6391" t="str">
        <v>=</v>
      </c>
      <c r="N6391">
        <f>J6391+L6391</f>
        <v>0.467</v>
      </c>
      <c r="O6391" t="str">
        <v>+</v>
      </c>
      <c r="P6391">
        <f>D6391-D6392</f>
        <v>0</v>
      </c>
      <c r="Q6391" t="str">
        <v>x</v>
      </c>
      <c r="R6391">
        <f>IF(P6391&gt;0,$F$18*F6391/1000,0)</f>
        <v>0</v>
      </c>
      <c r="S6391" t="str">
        <v>)</v>
      </c>
      <c r="T6391" t="str">
        <v>x</v>
      </c>
      <c r="U6391">
        <f>0.006165*F6391^2</f>
        <v>1.57824</v>
      </c>
      <c r="X6391" t="str">
        <v>x</v>
      </c>
      <c r="Y6391">
        <f>D6390</f>
        <v>1</v>
      </c>
      <c r="Z6391" t="str">
        <v>=</v>
      </c>
      <c r="AA6391">
        <f>IF(AA6394=0,(D6391*N6391+P6391*R6391)*U6391*Y6391,0)</f>
        <v>0</v>
      </c>
    </row>
    <row r="6392">
      <c r="A6392" t="str">
        <f>A6384</f>
        <v>Lantai 2</v>
      </c>
      <c r="B6392">
        <f>B6384</f>
        <v>18</v>
      </c>
      <c r="C6392" t="str">
        <v>Tul Atas Lapangan</v>
      </c>
      <c r="D6392">
        <f>VLOOKUP(D6384,'Detail Balok'!$C$10:$AU$110,7,FALSE)</f>
        <v>5</v>
      </c>
      <c r="E6392" t="str">
        <v>D</v>
      </c>
      <c r="F6392">
        <f>VLOOKUP(D6384,'Detail Balok'!$C$10:$AU$110,9,FALSE)</f>
        <v>16</v>
      </c>
      <c r="I6392" t="str">
        <v>(</v>
      </c>
      <c r="J6392">
        <f>+D6386/2/1000</f>
        <v>0.55</v>
      </c>
      <c r="K6392" t="str">
        <v>+</v>
      </c>
      <c r="M6392" t="str">
        <v>=</v>
      </c>
      <c r="N6392">
        <f>J6392+L6392</f>
        <v>0.55</v>
      </c>
      <c r="O6392" t="str">
        <v>+</v>
      </c>
      <c r="P6392">
        <f>MAX(D6392-D6391,D6392-D6393)</f>
        <v>0</v>
      </c>
      <c r="Q6392" t="str">
        <v>x</v>
      </c>
      <c r="R6392">
        <f>IF(P6392&gt;0,2*(1-2*$F$19-1/2)*D6387/1000,0)</f>
        <v>0</v>
      </c>
      <c r="S6392" t="str">
        <v>)</v>
      </c>
      <c r="T6392" t="str">
        <v>x</v>
      </c>
      <c r="U6392">
        <f>0.006165*F6392^2</f>
        <v>1.57824</v>
      </c>
      <c r="X6392" t="str">
        <v>x</v>
      </c>
      <c r="Y6392">
        <f>D6390</f>
        <v>1</v>
      </c>
      <c r="Z6392" t="str">
        <v>=</v>
      </c>
      <c r="AA6392">
        <f>IF(AA6394=0,(D6392*N6392+P6392*R6392)*U6392*Y6392,0)</f>
        <v>0</v>
      </c>
    </row>
    <row r="6393">
      <c r="A6393" t="str">
        <f>A6384</f>
        <v>Lantai 2</v>
      </c>
      <c r="B6393">
        <f>B6384</f>
        <v>18</v>
      </c>
      <c r="C6393" t="str">
        <v>Tul Atas Tumpuan</v>
      </c>
      <c r="D6393">
        <f>VLOOKUP(D6384,'Detail Balok'!$C$10:$AU$110,10,FALSE)</f>
        <v>5</v>
      </c>
      <c r="E6393" t="str">
        <v>D</v>
      </c>
      <c r="F6393">
        <f>VLOOKUP(D6384,'Detail Balok'!$C$10:$AU$110,12,FALSE)</f>
        <v>16</v>
      </c>
      <c r="I6393" t="str">
        <v>(</v>
      </c>
      <c r="J6393">
        <f>+D6386/4/1000</f>
        <v>0.275</v>
      </c>
      <c r="K6393" t="str">
        <v>+</v>
      </c>
      <c r="L6393">
        <f>MAX(VLOOKUP(F6393,N$6:P$15,3,FALSE)/1000,2/3*D6388/1000)+F$16*F6393/1000</f>
        <v>0.192</v>
      </c>
      <c r="M6393" t="str">
        <v>=</v>
      </c>
      <c r="N6393">
        <f>J6393+L6393</f>
        <v>0.467</v>
      </c>
      <c r="O6393" t="str">
        <v>+</v>
      </c>
      <c r="P6393">
        <f>D6393-D6392</f>
        <v>0</v>
      </c>
      <c r="Q6393" t="str">
        <v>x</v>
      </c>
      <c r="R6393">
        <f>IF(P6393&gt;0,$F$18*F6393/1000,0)</f>
        <v>0</v>
      </c>
      <c r="S6393" t="str">
        <v>)</v>
      </c>
      <c r="T6393" t="str">
        <v>x</v>
      </c>
      <c r="U6393">
        <f>0.006165*F6393^2</f>
        <v>1.57824</v>
      </c>
      <c r="X6393" t="str">
        <v>x</v>
      </c>
      <c r="Y6393">
        <f>D6390</f>
        <v>1</v>
      </c>
      <c r="Z6393" t="str">
        <v>=</v>
      </c>
      <c r="AA6393">
        <f>IF(AA6394=0,(D6393*N6393+P6393*R6393)*U6393*Y6393,0)</f>
        <v>0</v>
      </c>
    </row>
    <row r="6394">
      <c r="A6394" t="str">
        <f>A6384</f>
        <v>Lantai 2</v>
      </c>
      <c r="B6394">
        <f>B6384</f>
        <v>18</v>
      </c>
      <c r="D6394">
        <f>IF(AND(D6391=D6392,D6392=D6393,D6391=D6393),D6391,0)</f>
        <v>5</v>
      </c>
      <c r="E6394" t="str">
        <v>D</v>
      </c>
      <c r="F6394">
        <f>IF(AND(F6391=F6392,F6391=F6393,F6392=F6393),F6391,0)</f>
        <v>16</v>
      </c>
      <c r="L6394" t="str">
        <v>Total panjang per balok</v>
      </c>
      <c r="M6394" t="str">
        <v>=</v>
      </c>
      <c r="N6394">
        <f>IF(AND(D6391=D6392,D6391=D6393,D6392=D6393,F6391=F6392,F6391=F6393,F6392=F6393),SUM(N6391:N6393),0)</f>
        <v>1.4840000000000002</v>
      </c>
      <c r="O6394" t="str">
        <v>+</v>
      </c>
      <c r="P6394">
        <f>IF(N6394&gt;12,ROUNDDOWN(N6394/12,0),0)</f>
        <v>0</v>
      </c>
      <c r="Q6394" t="str">
        <v>x</v>
      </c>
      <c r="R6394">
        <f>IF(P6394&gt;0,MAX(VLOOKUP(F6394,$D$6:$G$15,3,FALSE),600),0)/1000</f>
        <v>0</v>
      </c>
      <c r="T6394" t="str">
        <v>x</v>
      </c>
      <c r="U6394">
        <f>U6393</f>
        <v>1.57824</v>
      </c>
      <c r="V6394" t="str">
        <v>x</v>
      </c>
      <c r="W6394">
        <f>D6394</f>
        <v>5</v>
      </c>
      <c r="X6394" t="str">
        <v>x</v>
      </c>
      <c r="Y6394">
        <f>Y6393</f>
        <v>1</v>
      </c>
      <c r="Z6394" t="str">
        <v>=</v>
      </c>
      <c r="AA6394">
        <f>(N6394+P6394*R6394/1000)*U6394*W6394*Y6394</f>
        <v>11.710540800000002</v>
      </c>
    </row>
    <row r="6396">
      <c r="A6396" t="str">
        <f>A6384</f>
        <v>Lantai 2</v>
      </c>
      <c r="B6396">
        <f>B6384</f>
        <v>18</v>
      </c>
      <c r="C6396" t="str">
        <v>Tul Peminggang</v>
      </c>
      <c r="D6396">
        <f>VLOOKUP(D6384,'Detail Balok'!$C$10:$AU$110,13,FALSE)</f>
        <v>2</v>
      </c>
      <c r="E6396" t="str">
        <v>D</v>
      </c>
      <c r="F6396">
        <f>VLOOKUP(D6384,'Detail Balok'!$C$10:$AU$110,15,FALSE)</f>
        <v>10</v>
      </c>
      <c r="J6396">
        <f>+D6386/1000</f>
        <v>1.1</v>
      </c>
      <c r="K6396" t="str">
        <v>+</v>
      </c>
      <c r="L6396">
        <f>2*$F$16*F6396/1000</f>
        <v>0.24</v>
      </c>
      <c r="M6396" t="str">
        <v>=</v>
      </c>
      <c r="N6396">
        <f>J6396+L6396</f>
        <v>1.34</v>
      </c>
      <c r="O6396" t="str">
        <v>+</v>
      </c>
      <c r="P6396">
        <f>IF(N6396&gt;12,ROUNDDOWN(N6396/12,0),0)</f>
        <v>0</v>
      </c>
      <c r="Q6396" t="str">
        <v>x</v>
      </c>
      <c r="R6396">
        <f>IF(P6396&gt;0,MAX(VLOOKUP(F6396,$D$6:$G$15,3,FALSE),600),0)/1000</f>
        <v>0</v>
      </c>
      <c r="T6396" t="str">
        <v>x</v>
      </c>
      <c r="U6396">
        <f>0.006165*F6396^2</f>
        <v>0.6165</v>
      </c>
      <c r="V6396" t="str">
        <v>x</v>
      </c>
      <c r="W6396">
        <f>+D6396</f>
        <v>2</v>
      </c>
      <c r="X6396" t="str">
        <v>x</v>
      </c>
      <c r="Y6396">
        <f>D6390</f>
        <v>1</v>
      </c>
      <c r="Z6396" t="str">
        <v>=</v>
      </c>
      <c r="AA6396">
        <f>(N6396+P6396*R6396/1000)*U6396*W6396*Y6396</f>
        <v>1.6522200000000002</v>
      </c>
    </row>
    <row r="6399">
      <c r="A6399" t="str">
        <f>A6384</f>
        <v>Lantai 2</v>
      </c>
      <c r="B6399">
        <f>B6384</f>
        <v>18</v>
      </c>
      <c r="C6399" t="str">
        <v>Tul Bawah Tumpuan</v>
      </c>
      <c r="D6399">
        <f>VLOOKUP(D6384,'Detail Balok'!$C$10:$AU$110,22,FALSE)</f>
        <v>3</v>
      </c>
      <c r="E6399" t="str">
        <v>D</v>
      </c>
      <c r="F6399">
        <f>VLOOKUP(D6384,'Detail Balok'!$C$10:$AU$110,24,FALSE)</f>
        <v>16</v>
      </c>
      <c r="I6399" t="str">
        <v>(</v>
      </c>
      <c r="J6399">
        <f>+J6391</f>
        <v>0.275</v>
      </c>
      <c r="K6399" t="str">
        <v>+</v>
      </c>
      <c r="L6399">
        <f>MAX(VLOOKUP(F6399,N$6:P$15,3,FALSE)/1000,2/3*D6389/1000)+F$16*F6399/1000</f>
        <v>0.192</v>
      </c>
      <c r="M6399" t="str">
        <v>=</v>
      </c>
      <c r="N6399">
        <f>J6399+L6399</f>
        <v>0.467</v>
      </c>
      <c r="O6399" t="str">
        <v>+</v>
      </c>
      <c r="P6399">
        <f>D6399-D6400</f>
        <v>0</v>
      </c>
      <c r="Q6399" t="str">
        <v>x</v>
      </c>
      <c r="R6399">
        <f>IF(P6399&gt;0,$F$18*F6399/1000,0)</f>
        <v>0</v>
      </c>
      <c r="S6399" t="str">
        <v>)</v>
      </c>
      <c r="T6399" t="str">
        <v>x</v>
      </c>
      <c r="U6399">
        <f>0.006165*F6399^2</f>
        <v>1.57824</v>
      </c>
      <c r="X6399" t="str">
        <v>x</v>
      </c>
      <c r="Y6399">
        <f>D6390</f>
        <v>1</v>
      </c>
      <c r="Z6399" t="str">
        <v>=</v>
      </c>
      <c r="AA6399">
        <f>IF(AA6402=0,(D6399*N6399+P6399*R6399)*U6399*Y6399,0)</f>
        <v>0</v>
      </c>
    </row>
    <row r="6400">
      <c r="A6400" t="str">
        <f>A6384</f>
        <v>Lantai 2</v>
      </c>
      <c r="B6400">
        <f>B6384</f>
        <v>18</v>
      </c>
      <c r="C6400" t="str">
        <v>Tul Bawah Lapangan</v>
      </c>
      <c r="D6400">
        <f>VLOOKUP(D6384,'Detail Balok'!$C$10:$AU$110,25,FALSE)</f>
        <v>3</v>
      </c>
      <c r="E6400" t="str">
        <v>D</v>
      </c>
      <c r="F6400">
        <f>VLOOKUP(D6384,'Detail Balok'!$C$10:$AU$110,27,FALSE)</f>
        <v>16</v>
      </c>
      <c r="I6400" t="str">
        <v>(</v>
      </c>
      <c r="J6400">
        <f>+J6392</f>
        <v>0.55</v>
      </c>
      <c r="K6400" t="str">
        <v>+</v>
      </c>
      <c r="M6400" t="str">
        <v>=</v>
      </c>
      <c r="N6400">
        <f>J6400+L6400</f>
        <v>0.55</v>
      </c>
      <c r="O6400" t="str">
        <v>+</v>
      </c>
      <c r="P6400">
        <f>MAX(D6400-D6399,D6400-D6401)</f>
        <v>0</v>
      </c>
      <c r="Q6400" t="str">
        <v>x</v>
      </c>
      <c r="R6400">
        <f>IF(P6400&gt;0,2*(1-2*$F$19-1/2)*D6387/1000,0)</f>
        <v>0</v>
      </c>
      <c r="S6400" t="str">
        <v>)</v>
      </c>
      <c r="T6400" t="str">
        <v>x</v>
      </c>
      <c r="U6400">
        <f>0.006165*F6400^2</f>
        <v>1.57824</v>
      </c>
      <c r="X6400" t="str">
        <v>x</v>
      </c>
      <c r="Y6400">
        <f>D6390</f>
        <v>1</v>
      </c>
      <c r="Z6400" t="str">
        <v>=</v>
      </c>
      <c r="AA6400">
        <f>IF(AA6402=0,(D6400*N6400+P6400*R6400)*U6400*Y6400,0)</f>
        <v>0</v>
      </c>
    </row>
    <row r="6401">
      <c r="A6401" t="str">
        <f>A6384</f>
        <v>Lantai 2</v>
      </c>
      <c r="B6401">
        <f>B6384</f>
        <v>18</v>
      </c>
      <c r="C6401" t="str">
        <v>Tul Bawah Tumpuan</v>
      </c>
      <c r="D6401">
        <f>VLOOKUP(D6384,'Detail Balok'!$C$10:$AU$110,28,FALSE)</f>
        <v>3</v>
      </c>
      <c r="E6401" t="str">
        <v>D</v>
      </c>
      <c r="F6401">
        <f>VLOOKUP(D6384,'Detail Balok'!$C$10:$AU$110,30,FALSE)</f>
        <v>16</v>
      </c>
      <c r="I6401" t="str">
        <v>(</v>
      </c>
      <c r="J6401">
        <f>+J6393</f>
        <v>0.275</v>
      </c>
      <c r="K6401" t="str">
        <v>+</v>
      </c>
      <c r="L6401">
        <f>MAX(VLOOKUP(F6401,N$6:P$15,3,FALSE)/1000,2/3*D6389/1000)+F$16*F6401/1000</f>
        <v>0.192</v>
      </c>
      <c r="M6401" t="str">
        <v>=</v>
      </c>
      <c r="N6401">
        <f>J6401+L6401</f>
        <v>0.467</v>
      </c>
      <c r="O6401" t="str">
        <v>+</v>
      </c>
      <c r="P6401">
        <f>D6401-D6400</f>
        <v>0</v>
      </c>
      <c r="Q6401" t="str">
        <v>x</v>
      </c>
      <c r="R6401">
        <f>IF(P6401&gt;0,$F$18*F6401/1000,0)</f>
        <v>0</v>
      </c>
      <c r="S6401" t="str">
        <v>)</v>
      </c>
      <c r="T6401" t="str">
        <v>x</v>
      </c>
      <c r="U6401">
        <f>0.006165*F6401^2</f>
        <v>1.57824</v>
      </c>
      <c r="X6401" t="str">
        <v>x</v>
      </c>
      <c r="Y6401">
        <f>D6390</f>
        <v>1</v>
      </c>
      <c r="Z6401" t="str">
        <v>=</v>
      </c>
      <c r="AA6401">
        <f>IF(AA6402=0,(D6401*N6401+P6401*R6401)*U6401*Y6401,0)</f>
        <v>0</v>
      </c>
    </row>
    <row r="6402">
      <c r="A6402" t="str">
        <f>A6384</f>
        <v>Lantai 2</v>
      </c>
      <c r="B6402">
        <f>B6384</f>
        <v>18</v>
      </c>
      <c r="D6402">
        <f>IF(AND(D6399=D6400,D6400=D6401,D6399=D6401),D6399,0)</f>
        <v>3</v>
      </c>
      <c r="E6402" t="str">
        <v>D</v>
      </c>
      <c r="F6402">
        <f>IF(AND(F6399=F6400,F6399=F6401,F6400=F6401),F6399,0)</f>
        <v>16</v>
      </c>
      <c r="L6402" t="str">
        <v>Total panjang per balok</v>
      </c>
      <c r="M6402" t="str">
        <v>=</v>
      </c>
      <c r="N6402">
        <f>IF(AND(D6399=D6400,D6399=D6401,D6400=D6401,F6399=F6400,F6399=F6401,F6400=F6401),SUM(N6399:N6401),0)</f>
        <v>1.4840000000000002</v>
      </c>
      <c r="O6402" t="str">
        <v>+</v>
      </c>
      <c r="P6402">
        <f>IF(N6402&gt;12,ROUNDDOWN(N6402/12,0),0)</f>
        <v>0</v>
      </c>
      <c r="Q6402" t="str">
        <v>x</v>
      </c>
      <c r="R6402">
        <f>IF(P6402&gt;0,MAX(VLOOKUP(F6402,$D$6:$G$15,3,FALSE),600),0)/1000</f>
        <v>0</v>
      </c>
      <c r="T6402" t="str">
        <v>x</v>
      </c>
      <c r="U6402">
        <f>U6401</f>
        <v>1.57824</v>
      </c>
      <c r="V6402" t="str">
        <v>x</v>
      </c>
      <c r="W6402">
        <f>D6402</f>
        <v>3</v>
      </c>
      <c r="X6402" t="str">
        <v>x</v>
      </c>
      <c r="Y6402">
        <f>Y6401</f>
        <v>1</v>
      </c>
      <c r="Z6402" t="str">
        <v>=</v>
      </c>
      <c r="AA6402">
        <f>(N6402+P6402*R6402/1000)*U6402*W6402*Y6402</f>
        <v>7.026324480000001</v>
      </c>
    </row>
    <row r="6404">
      <c r="A6404" t="str">
        <f>A6384</f>
        <v>Lantai 2</v>
      </c>
      <c r="B6404">
        <f>B6384</f>
        <v>18</v>
      </c>
      <c r="C6404" t="str">
        <v>Sengkang Tumpuan</v>
      </c>
      <c r="D6404">
        <f>VLOOKUP(D6384,'Detail Balok'!$C$10:$AU$110,31,FALSE)</f>
        <v>0</v>
      </c>
      <c r="E6404" t="str">
        <v>D</v>
      </c>
      <c r="F6404">
        <f>VLOOKUP(D6384,'Detail Balok'!$C$10:$AU$110,33,FALSE)</f>
        <v>10</v>
      </c>
      <c r="G6404" t="str">
        <v>-</v>
      </c>
      <c r="H6404">
        <f>VLOOKUP(D6384,'Detail Balok'!$C$10:$AU$110,35,FALSE)</f>
        <v>100</v>
      </c>
      <c r="J6404">
        <f>(IF(D6404=0,(2*(D6385+G6385))-(F$5*8),IF(D6404=3,(2*(D6385+G6385))-(F$5*8)+(G6385-2*F$5),IF(D6404=4,(2*(D6385+G6385))-(F$5*8)+2*(G6385-2*F$5)))))/1000</f>
        <v>0.98</v>
      </c>
      <c r="K6404" t="str">
        <v>+</v>
      </c>
      <c r="L6404">
        <f>IF(D6404=0,2*MAX(6*F6404,75),(D6404-1)*2*MAX(6*F6404,75))/1000</f>
        <v>0.15</v>
      </c>
      <c r="M6404" t="str">
        <v>=</v>
      </c>
      <c r="N6404">
        <f>J6404+L6404</f>
        <v>1.13</v>
      </c>
      <c r="T6404" t="str">
        <v>x</v>
      </c>
      <c r="U6404">
        <f>0.006165*F6404^2</f>
        <v>0.6165</v>
      </c>
      <c r="V6404" t="str">
        <v>x</v>
      </c>
      <c r="W6404">
        <f>IF(D6387&gt;4*G6385,ROUND(MAX(D6387/4,2*G6385)/H6404,0)+1,ROUND(D6387/H6404,0)+1)</f>
        <v>12</v>
      </c>
      <c r="X6404" t="str">
        <v>x</v>
      </c>
      <c r="Y6404">
        <f>D6390</f>
        <v>1</v>
      </c>
      <c r="Z6404" t="str">
        <v>=</v>
      </c>
      <c r="AA6404">
        <f>N6404*U6404*W6404*Y6404</f>
        <v>8.359739999999999</v>
      </c>
    </row>
    <row r="6405">
      <c r="A6405" t="str">
        <f>A6384</f>
        <v>Lantai 2</v>
      </c>
      <c r="B6405">
        <f>B6384</f>
        <v>18</v>
      </c>
      <c r="C6405" t="str">
        <v>Sengkang Lapangan</v>
      </c>
      <c r="D6405">
        <f>VLOOKUP(D6384,'Detail Balok'!$C$10:$AU$110,36,FALSE)</f>
        <v>0</v>
      </c>
      <c r="E6405" t="str">
        <v>D</v>
      </c>
      <c r="F6405">
        <f>VLOOKUP(D6384,'Detail Balok'!$C$10:$AU$110,38,FALSE)</f>
        <v>10</v>
      </c>
      <c r="G6405" t="str">
        <v>-</v>
      </c>
      <c r="H6405">
        <f>VLOOKUP(D6384,'Detail Balok'!$C$10:$AU$110,40,FALSE)</f>
        <v>100</v>
      </c>
      <c r="J6405">
        <f>(IF(D6405=0,(2*(D6385+G6385))-(F$5*8),IF(D6405=3,(2*(D6385+G6385))-(F$5*8)+(G6385-2*F$5),IF(D6405=4,(2*(D6385+G6385))-(F$5*8)+2*(G6385-2*F$5)))))/1000</f>
        <v>0.98</v>
      </c>
      <c r="K6405" t="str">
        <v>+</v>
      </c>
      <c r="L6405">
        <f>IF(D6405=0,2*MAX(6*F6405,75),(D6405-1)*2*MAX(6*F6405,75))/1000</f>
        <v>0.15</v>
      </c>
      <c r="M6405" t="str">
        <v>=</v>
      </c>
      <c r="N6405">
        <f>J6405+L6405</f>
        <v>1.13</v>
      </c>
      <c r="T6405" t="str">
        <v>x</v>
      </c>
      <c r="U6405">
        <f>0.006165*F6405^2</f>
        <v>0.6165</v>
      </c>
      <c r="V6405" t="str">
        <v>x</v>
      </c>
      <c r="W6405">
        <f>IF(D6387-MAX(D6387/4,2*G6385)*2&gt;0,ROUND((D6387-MAX(D6387/4,2*G6385)*2)/H6405,0),0)</f>
        <v>0</v>
      </c>
      <c r="X6405" t="str">
        <v>x</v>
      </c>
      <c r="Y6405">
        <f>D6390</f>
        <v>1</v>
      </c>
      <c r="Z6405" t="str">
        <v>=</v>
      </c>
      <c r="AA6405">
        <f>N6405*U6405*W6405*Y6405</f>
        <v>0</v>
      </c>
    </row>
    <row r="6406">
      <c r="A6406" t="str">
        <f>A6384</f>
        <v>Lantai 2</v>
      </c>
      <c r="B6406">
        <f>B6384</f>
        <v>18</v>
      </c>
      <c r="C6406" t="str">
        <v>Sengkang Tumpuan</v>
      </c>
      <c r="D6406">
        <f>VLOOKUP(D6384,'Detail Balok'!$C$10:$AU$110,41,FALSE)</f>
        <v>0</v>
      </c>
      <c r="E6406" t="str">
        <v>D</v>
      </c>
      <c r="F6406">
        <f>VLOOKUP(D6384,'Detail Balok'!$C$10:$AU$110,43,FALSE)</f>
        <v>10</v>
      </c>
      <c r="G6406" t="str">
        <v>-</v>
      </c>
      <c r="H6406">
        <f>VLOOKUP(D6384,'Detail Balok'!$C$10:$AU$110,45,FALSE)</f>
        <v>100</v>
      </c>
      <c r="J6406">
        <f>(IF(D6406=0,(2*(D6385+G6385))-(F$5*8),IF(D6406=3,(2*(D6385+G6385))-(F$5*8)+(G6385-2*F$5),IF(D6406=4,(2*(D6385+G6385))-(F$5*8)+2*(G6385-2*F$5)))))/1000</f>
        <v>0.98</v>
      </c>
      <c r="K6406" t="str">
        <v>+</v>
      </c>
      <c r="L6406">
        <f>IF(D6406=0,2*MAX(6*F6406,75),(D6406-1)*2*MAX(6*F6406,75))/1000</f>
        <v>0.15</v>
      </c>
      <c r="M6406" t="str">
        <v>=</v>
      </c>
      <c r="N6406">
        <f>J6406+L6406</f>
        <v>1.13</v>
      </c>
      <c r="T6406" t="str">
        <v>x</v>
      </c>
      <c r="U6406">
        <f>0.006165*F6406^2</f>
        <v>0.6165</v>
      </c>
      <c r="V6406" t="str">
        <v>x</v>
      </c>
      <c r="W6406">
        <f>IF(D6387&gt;4*G6385,ROUND(MAX(D6387/4,2*G6385)/H6406,0)+1,0)</f>
        <v>0</v>
      </c>
      <c r="X6406" t="str">
        <v>x</v>
      </c>
      <c r="Y6406">
        <f>D6390</f>
        <v>1</v>
      </c>
      <c r="Z6406" t="str">
        <v>=</v>
      </c>
      <c r="AA6406">
        <f>N6406*U6406*W6406*Y6406</f>
        <v>0</v>
      </c>
    </row>
    <row r="6408">
      <c r="A6408" t="str">
        <f>A6384</f>
        <v>Lantai 2</v>
      </c>
      <c r="B6408">
        <f>B6384</f>
        <v>18</v>
      </c>
      <c r="C6408" t="str">
        <v>Kait Horizontal Tump.</v>
      </c>
      <c r="D6408">
        <f>VLOOKUP(D6384,'Detail Balok'!$C$10:$BJ$110,46,FALSE)</f>
        <v>0</v>
      </c>
      <c r="E6408" t="str">
        <v>D</v>
      </c>
      <c r="F6408">
        <f>VLOOKUP(D6384,'Detail Balok'!$C$10:$BJ$110,48,FALSE)</f>
        <v>0</v>
      </c>
      <c r="G6408" t="str">
        <v>-</v>
      </c>
      <c r="H6408">
        <f>VLOOKUP(D6384,'Detail Balok'!$C$10:$BJ$110,50,FALSE)</f>
        <v>100</v>
      </c>
      <c r="J6408">
        <f>(D6385-2*F$5)/1000</f>
        <v>0.12</v>
      </c>
      <c r="K6408" t="str">
        <v>+</v>
      </c>
      <c r="L6408">
        <f>IF(D6408=0,2*MAX(6*F6408,75),(D6408-1)*2*MAX(6*F6408,75))/1000</f>
        <v>0.15</v>
      </c>
      <c r="M6408" t="str">
        <v>=</v>
      </c>
      <c r="N6408">
        <f>J6408+L6408</f>
        <v>0.27</v>
      </c>
      <c r="T6408" t="str">
        <v>x</v>
      </c>
      <c r="U6408">
        <f>0.006165*F6408^2</f>
        <v>0</v>
      </c>
      <c r="V6408" t="str">
        <v>x</v>
      </c>
      <c r="W6408">
        <f>W6404</f>
        <v>12</v>
      </c>
      <c r="X6408" t="str">
        <v>x</v>
      </c>
      <c r="Y6408">
        <f>D6394</f>
        <v>5</v>
      </c>
      <c r="Z6408" t="str">
        <v>=</v>
      </c>
      <c r="AA6408">
        <f>N6408*U6408*W6408*Y6408</f>
        <v>0</v>
      </c>
    </row>
    <row r="6409">
      <c r="A6409" t="str">
        <f>A6384</f>
        <v>Lantai 2</v>
      </c>
      <c r="B6409">
        <f>B6384</f>
        <v>18</v>
      </c>
      <c r="C6409" t="str">
        <v>Kait Horizontal Lap.</v>
      </c>
      <c r="D6409">
        <f>VLOOKUP(D6384,'Detail Balok'!$C$10:$BJ$110,51,FALSE)</f>
        <v>0</v>
      </c>
      <c r="E6409" t="str">
        <v>D</v>
      </c>
      <c r="F6409">
        <f>VLOOKUP(D6384,'Detail Balok'!$C$10:$BJ$110,53,FALSE)</f>
        <v>0</v>
      </c>
      <c r="G6409" t="str">
        <v>-</v>
      </c>
      <c r="H6409">
        <f>VLOOKUP(D6384,'Detail Balok'!$C$10:$BJ$110,55,FALSE)</f>
        <v>100</v>
      </c>
      <c r="J6409">
        <f>(D6385-2*F$5)/1000</f>
        <v>0.12</v>
      </c>
      <c r="K6409" t="str">
        <v>+</v>
      </c>
      <c r="L6409">
        <f>IF(D6409=0,2*MAX(6*F6409,75),(D6409-1)*2*MAX(6*F6409,75))/1000</f>
        <v>0.15</v>
      </c>
      <c r="M6409" t="str">
        <v>=</v>
      </c>
      <c r="N6409">
        <f>J6409+L6409</f>
        <v>0.27</v>
      </c>
      <c r="T6409" t="str">
        <v>x</v>
      </c>
      <c r="U6409">
        <f>0.006165*F6409^2</f>
        <v>0</v>
      </c>
      <c r="V6409" t="str">
        <v>x</v>
      </c>
      <c r="W6409">
        <f>W6405</f>
        <v>0</v>
      </c>
      <c r="X6409" t="str">
        <v>x</v>
      </c>
      <c r="Y6409">
        <f>D6394</f>
        <v>5</v>
      </c>
      <c r="Z6409" t="str">
        <v>=</v>
      </c>
      <c r="AA6409">
        <f>N6409*U6409*W6409*Y6409</f>
        <v>0</v>
      </c>
    </row>
    <row r="6410">
      <c r="A6410" t="str">
        <f>A6384</f>
        <v>Lantai 2</v>
      </c>
      <c r="B6410">
        <f>B6384</f>
        <v>18</v>
      </c>
      <c r="C6410" t="str">
        <v>Kait Horizontal Tump.</v>
      </c>
      <c r="D6410">
        <f>VLOOKUP(D6384,'Detail Balok'!$C$10:$BJ$110,56,FALSE)</f>
        <v>0</v>
      </c>
      <c r="E6410" t="str">
        <v>D</v>
      </c>
      <c r="F6410">
        <f>VLOOKUP(D6384,'Detail Balok'!$C$10:$BJ$110,58,FALSE)</f>
        <v>0</v>
      </c>
      <c r="G6410" t="str">
        <v>-</v>
      </c>
      <c r="H6410">
        <f>VLOOKUP(D6384,'Detail Balok'!$C$10:$BJ$110,60,FALSE)</f>
        <v>100</v>
      </c>
      <c r="J6410">
        <f>(D6385-2*F$5)/1000</f>
        <v>0.12</v>
      </c>
      <c r="K6410" t="str">
        <v>+</v>
      </c>
      <c r="L6410">
        <f>IF(D6410=0,2*MAX(6*F6410,75),(D6410-1)*2*MAX(6*F6410,75))/1000</f>
        <v>0.15</v>
      </c>
      <c r="M6410" t="str">
        <v>=</v>
      </c>
      <c r="N6410">
        <f>J6410+L6410</f>
        <v>0.27</v>
      </c>
      <c r="T6410" t="str">
        <v>x</v>
      </c>
      <c r="U6410">
        <f>0.006165*F6410^2</f>
        <v>0</v>
      </c>
      <c r="V6410" t="str">
        <v>x</v>
      </c>
      <c r="W6410">
        <f>W6406</f>
        <v>0</v>
      </c>
      <c r="X6410" t="str">
        <v>x</v>
      </c>
      <c r="Y6410">
        <f>D6394</f>
        <v>5</v>
      </c>
      <c r="Z6410" t="str">
        <v>=</v>
      </c>
      <c r="AA6410">
        <f>N6410*U6410*W6410*Y6410</f>
        <v>0</v>
      </c>
    </row>
    <row r="6414">
      <c r="A6414" t="str">
        <f>A6384</f>
        <v>Lantai 2</v>
      </c>
      <c r="B6414">
        <f>B6384+1</f>
        <v>19</v>
      </c>
      <c r="C6414" t="str">
        <f>CONCATENATE(A6414," no. ",B6414)</f>
        <v>Lantai 2 no. 19</v>
      </c>
      <c r="D6414" t="str">
        <f>VLOOKUP(C6414,'Data Panjang Balok'!$C$9:$N$424,2,FALSE)</f>
        <v>B257-2</v>
      </c>
    </row>
    <row r="6415">
      <c r="C6415" t="str">
        <v>Dimensi</v>
      </c>
      <c r="D6415">
        <f>VLOOKUP(D6414,'Detail Balok'!$C$10:$AU$110,2,FALSE)</f>
        <v>250</v>
      </c>
      <c r="F6415" t="str">
        <v>x</v>
      </c>
      <c r="G6415">
        <f>VLOOKUP(D6414,'Detail Balok'!$C$10:$AU$110,3,FALSE)</f>
        <v>700</v>
      </c>
    </row>
    <row r="6416">
      <c r="C6416" t="str">
        <v>Panjang as ke as</v>
      </c>
      <c r="D6416">
        <f>VLOOKUP(C6414,'Data Panjang Balok'!$C$9:$N$424,4,FALSE)</f>
        <v>11000</v>
      </c>
    </row>
    <row r="6417">
      <c r="C6417" t="str">
        <v>Panjang netto</v>
      </c>
      <c r="D6417">
        <f>VLOOKUP(C6414,'Data Panjang Balok'!$C$9:$N$424,7,FALSE)</f>
        <v>11000</v>
      </c>
    </row>
    <row r="6418">
      <c r="C6418" t="str">
        <v>Kolom / balok kiri</v>
      </c>
      <c r="D6418">
        <f>VLOOKUP(C6414,'Data Panjang Balok'!$C$9:$N$424,9,FALSE)</f>
        <v>0</v>
      </c>
    </row>
    <row r="6419">
      <c r="C6419" t="str">
        <v>Kolom / balok kanan</v>
      </c>
      <c r="D6419">
        <f>VLOOKUP(C6414,'Data Panjang Balok'!$C$9:$N$424,10,FALSE)</f>
        <v>0</v>
      </c>
    </row>
    <row r="6420">
      <c r="C6420" t="str">
        <v>Jumlah</v>
      </c>
      <c r="D6420">
        <f>VLOOKUP(C6414,'Data Panjang Balok'!$C$9:$N$424,3,FALSE)</f>
        <v>1</v>
      </c>
    </row>
    <row r="6421">
      <c r="A6421" t="str">
        <f>A6414</f>
        <v>Lantai 2</v>
      </c>
      <c r="B6421">
        <f>B6414</f>
        <v>19</v>
      </c>
      <c r="C6421" t="str">
        <v>Tul Atas Tumpuan</v>
      </c>
      <c r="D6421">
        <f>VLOOKUP(D6414,'Detail Balok'!$C$10:$AU$110,4,FALSE)</f>
        <v>6</v>
      </c>
      <c r="E6421" t="str">
        <v>D</v>
      </c>
      <c r="F6421">
        <f>VLOOKUP(D6414,'Detail Balok'!$C$10:$AU$110,6,FALSE)</f>
        <v>22</v>
      </c>
      <c r="I6421" t="str">
        <v>(</v>
      </c>
      <c r="J6421">
        <f>+D6416/4/1000</f>
        <v>2.75</v>
      </c>
      <c r="K6421" t="str">
        <v>+</v>
      </c>
      <c r="L6421">
        <f>MAX(VLOOKUP(F6421,N$6:P$15,3,FALSE)/1000,2/3*D6418/1000)+F$16*F6421/1000</f>
        <v>0.264</v>
      </c>
      <c r="M6421" t="str">
        <v>=</v>
      </c>
      <c r="N6421">
        <f>J6421+L6421</f>
        <v>3.0140000000000002</v>
      </c>
      <c r="O6421" t="str">
        <v>+</v>
      </c>
      <c r="P6421">
        <f>D6421-D6422</f>
        <v>3</v>
      </c>
      <c r="Q6421" t="str">
        <v>x</v>
      </c>
      <c r="R6421">
        <f>IF(P6421&gt;0,$F$18*F6421/1000,0)</f>
        <v>0.33</v>
      </c>
      <c r="S6421" t="str">
        <v>)</v>
      </c>
      <c r="T6421" t="str">
        <v>x</v>
      </c>
      <c r="U6421">
        <f>0.006165*F6421^2</f>
        <v>2.98386</v>
      </c>
      <c r="X6421" t="str">
        <v>x</v>
      </c>
      <c r="Y6421">
        <f>D6420</f>
        <v>1</v>
      </c>
      <c r="Z6421" t="str">
        <v>=</v>
      </c>
      <c r="AA6421">
        <f>IF(AA6424=0,(D6421*N6421+P6421*R6421)*U6421*Y6421,0)</f>
        <v>56.91414564</v>
      </c>
    </row>
    <row r="6422">
      <c r="A6422" t="str">
        <f>A6414</f>
        <v>Lantai 2</v>
      </c>
      <c r="B6422">
        <f>B6414</f>
        <v>19</v>
      </c>
      <c r="C6422" t="str">
        <v>Tul Atas Lapangan</v>
      </c>
      <c r="D6422">
        <f>VLOOKUP(D6414,'Detail Balok'!$C$10:$AU$110,7,FALSE)</f>
        <v>3</v>
      </c>
      <c r="E6422" t="str">
        <v>D</v>
      </c>
      <c r="F6422">
        <f>VLOOKUP(D6414,'Detail Balok'!$C$10:$AU$110,9,FALSE)</f>
        <v>22</v>
      </c>
      <c r="I6422" t="str">
        <v>(</v>
      </c>
      <c r="J6422">
        <f>+D6416/2/1000</f>
        <v>5.5</v>
      </c>
      <c r="K6422" t="str">
        <v>+</v>
      </c>
      <c r="M6422" t="str">
        <v>=</v>
      </c>
      <c r="N6422">
        <f>J6422+L6422</f>
        <v>5.5</v>
      </c>
      <c r="O6422" t="str">
        <v>+</v>
      </c>
      <c r="P6422">
        <f>MAX(D6422-D6421,D6422-D6423)</f>
        <v>-3</v>
      </c>
      <c r="Q6422" t="str">
        <v>x</v>
      </c>
      <c r="R6422">
        <f>IF(P6422&gt;0,2*(1-2*$F$19-1/2)*D6417/1000,0)</f>
        <v>0</v>
      </c>
      <c r="S6422" t="str">
        <v>)</v>
      </c>
      <c r="T6422" t="str">
        <v>x</v>
      </c>
      <c r="U6422">
        <f>0.006165*F6422^2</f>
        <v>2.98386</v>
      </c>
      <c r="X6422" t="str">
        <v>x</v>
      </c>
      <c r="Y6422">
        <f>D6420</f>
        <v>1</v>
      </c>
      <c r="Z6422" t="str">
        <v>=</v>
      </c>
      <c r="AA6422">
        <f>IF(AA6424=0,(D6422*N6422+P6422*R6422)*U6422*Y6422,0)</f>
        <v>49.233689999999996</v>
      </c>
    </row>
    <row r="6423">
      <c r="A6423" t="str">
        <f>A6414</f>
        <v>Lantai 2</v>
      </c>
      <c r="B6423">
        <f>B6414</f>
        <v>19</v>
      </c>
      <c r="C6423" t="str">
        <v>Tul Atas Tumpuan</v>
      </c>
      <c r="D6423">
        <f>VLOOKUP(D6414,'Detail Balok'!$C$10:$AU$110,10,FALSE)</f>
        <v>6</v>
      </c>
      <c r="E6423" t="str">
        <v>D</v>
      </c>
      <c r="F6423">
        <f>VLOOKUP(D6414,'Detail Balok'!$C$10:$AU$110,12,FALSE)</f>
        <v>22</v>
      </c>
      <c r="I6423" t="str">
        <v>(</v>
      </c>
      <c r="J6423">
        <f>+D6416/4/1000</f>
        <v>2.75</v>
      </c>
      <c r="K6423" t="str">
        <v>+</v>
      </c>
      <c r="L6423">
        <f>MAX(VLOOKUP(F6423,N$6:P$15,3,FALSE)/1000,2/3*D6418/1000)+F$16*F6423/1000</f>
        <v>0.264</v>
      </c>
      <c r="M6423" t="str">
        <v>=</v>
      </c>
      <c r="N6423">
        <f>J6423+L6423</f>
        <v>3.0140000000000002</v>
      </c>
      <c r="O6423" t="str">
        <v>+</v>
      </c>
      <c r="P6423">
        <f>D6423-D6422</f>
        <v>3</v>
      </c>
      <c r="Q6423" t="str">
        <v>x</v>
      </c>
      <c r="R6423">
        <f>IF(P6423&gt;0,$F$18*F6423/1000,0)</f>
        <v>0.33</v>
      </c>
      <c r="S6423" t="str">
        <v>)</v>
      </c>
      <c r="T6423" t="str">
        <v>x</v>
      </c>
      <c r="U6423">
        <f>0.006165*F6423^2</f>
        <v>2.98386</v>
      </c>
      <c r="X6423" t="str">
        <v>x</v>
      </c>
      <c r="Y6423">
        <f>D6420</f>
        <v>1</v>
      </c>
      <c r="Z6423" t="str">
        <v>=</v>
      </c>
      <c r="AA6423">
        <f>IF(AA6424=0,(D6423*N6423+P6423*R6423)*U6423*Y6423,0)</f>
        <v>56.91414564</v>
      </c>
    </row>
    <row r="6424">
      <c r="A6424" t="str">
        <f>A6414</f>
        <v>Lantai 2</v>
      </c>
      <c r="B6424">
        <f>B6414</f>
        <v>19</v>
      </c>
      <c r="D6424">
        <f>IF(AND(D6421=D6422,D6422=D6423,D6421=D6423),D6421,0)</f>
        <v>0</v>
      </c>
      <c r="E6424" t="str">
        <v>D</v>
      </c>
      <c r="F6424">
        <f>IF(AND(F6421=F6422,F6421=F6423,F6422=F6423),F6421,0)</f>
        <v>22</v>
      </c>
      <c r="L6424" t="str">
        <v>Total panjang per balok</v>
      </c>
      <c r="M6424" t="str">
        <v>=</v>
      </c>
      <c r="N6424">
        <f>IF(AND(D6421=D6422,D6421=D6423,D6422=D6423,F6421=F6422,F6421=F6423,F6422=F6423),SUM(N6421:N6423),0)</f>
        <v>0</v>
      </c>
      <c r="O6424" t="str">
        <v>+</v>
      </c>
      <c r="P6424">
        <f>IF(N6424&gt;12,ROUNDDOWN(N6424/12,0),0)</f>
        <v>0</v>
      </c>
      <c r="Q6424" t="str">
        <v>x</v>
      </c>
      <c r="R6424">
        <f>IF(P6424&gt;0,MAX(VLOOKUP(F6424,$D$6:$G$15,3,FALSE),600),0)/1000</f>
        <v>0</v>
      </c>
      <c r="T6424" t="str">
        <v>x</v>
      </c>
      <c r="U6424">
        <f>U6423</f>
        <v>2.98386</v>
      </c>
      <c r="V6424" t="str">
        <v>x</v>
      </c>
      <c r="W6424">
        <f>D6424</f>
        <v>0</v>
      </c>
      <c r="X6424" t="str">
        <v>x</v>
      </c>
      <c r="Y6424">
        <f>Y6423</f>
        <v>1</v>
      </c>
      <c r="Z6424" t="str">
        <v>=</v>
      </c>
      <c r="AA6424">
        <f>(N6424+P6424*R6424/1000)*U6424*W6424*Y6424</f>
        <v>0</v>
      </c>
    </row>
    <row r="6426">
      <c r="A6426" t="str">
        <f>A6414</f>
        <v>Lantai 2</v>
      </c>
      <c r="B6426">
        <f>B6414</f>
        <v>19</v>
      </c>
      <c r="C6426" t="str">
        <v>Tul Peminggang</v>
      </c>
      <c r="D6426">
        <f>VLOOKUP(D6414,'Detail Balok'!$C$10:$AU$110,13,FALSE)</f>
        <v>2</v>
      </c>
      <c r="E6426" t="str">
        <v>D</v>
      </c>
      <c r="F6426">
        <f>VLOOKUP(D6414,'Detail Balok'!$C$10:$AU$110,15,FALSE)</f>
        <v>10</v>
      </c>
      <c r="J6426">
        <f>+D6416/1000</f>
        <v>11</v>
      </c>
      <c r="K6426" t="str">
        <v>+</v>
      </c>
      <c r="L6426">
        <f>2*$F$16*F6426/1000</f>
        <v>0.24</v>
      </c>
      <c r="M6426" t="str">
        <v>=</v>
      </c>
      <c r="N6426">
        <f>J6426+L6426</f>
        <v>11.24</v>
      </c>
      <c r="O6426" t="str">
        <v>+</v>
      </c>
      <c r="P6426">
        <f>IF(N6426&gt;12,ROUNDDOWN(N6426/12,0),0)</f>
        <v>0</v>
      </c>
      <c r="Q6426" t="str">
        <v>x</v>
      </c>
      <c r="R6426">
        <f>IF(P6426&gt;0,MAX(VLOOKUP(F6426,$D$6:$G$15,3,FALSE),600),0)/1000</f>
        <v>0</v>
      </c>
      <c r="T6426" t="str">
        <v>x</v>
      </c>
      <c r="U6426">
        <f>0.006165*F6426^2</f>
        <v>0.6165</v>
      </c>
      <c r="V6426" t="str">
        <v>x</v>
      </c>
      <c r="W6426">
        <f>+D6426</f>
        <v>2</v>
      </c>
      <c r="X6426" t="str">
        <v>x</v>
      </c>
      <c r="Y6426">
        <f>D6420</f>
        <v>1</v>
      </c>
      <c r="Z6426" t="str">
        <v>=</v>
      </c>
      <c r="AA6426">
        <f>(N6426+P6426*R6426/1000)*U6426*W6426*Y6426</f>
        <v>13.858920000000001</v>
      </c>
    </row>
    <row r="6429">
      <c r="A6429" t="str">
        <f>A6414</f>
        <v>Lantai 2</v>
      </c>
      <c r="B6429">
        <f>B6414</f>
        <v>19</v>
      </c>
      <c r="C6429" t="str">
        <v>Tul Bawah Tumpuan</v>
      </c>
      <c r="D6429">
        <f>VLOOKUP(D6414,'Detail Balok'!$C$10:$AU$110,22,FALSE)</f>
        <v>3</v>
      </c>
      <c r="E6429" t="str">
        <v>D</v>
      </c>
      <c r="F6429">
        <f>VLOOKUP(D6414,'Detail Balok'!$C$10:$AU$110,24,FALSE)</f>
        <v>22</v>
      </c>
      <c r="I6429" t="str">
        <v>(</v>
      </c>
      <c r="J6429">
        <f>+J6421</f>
        <v>2.75</v>
      </c>
      <c r="K6429" t="str">
        <v>+</v>
      </c>
      <c r="L6429">
        <f>MAX(VLOOKUP(F6429,N$6:P$15,3,FALSE)/1000,2/3*D6419/1000)+F$16*F6429/1000</f>
        <v>0.264</v>
      </c>
      <c r="M6429" t="str">
        <v>=</v>
      </c>
      <c r="N6429">
        <f>J6429+L6429</f>
        <v>3.0140000000000002</v>
      </c>
      <c r="O6429" t="str">
        <v>+</v>
      </c>
      <c r="P6429">
        <f>D6429-D6430</f>
        <v>0</v>
      </c>
      <c r="Q6429" t="str">
        <v>x</v>
      </c>
      <c r="R6429">
        <f>IF(P6429&gt;0,$F$18*F6429/1000,0)</f>
        <v>0</v>
      </c>
      <c r="S6429" t="str">
        <v>)</v>
      </c>
      <c r="T6429" t="str">
        <v>x</v>
      </c>
      <c r="U6429">
        <f>0.006165*F6429^2</f>
        <v>2.98386</v>
      </c>
      <c r="X6429" t="str">
        <v>x</v>
      </c>
      <c r="Y6429">
        <f>D6420</f>
        <v>1</v>
      </c>
      <c r="Z6429" t="str">
        <v>=</v>
      </c>
      <c r="AA6429">
        <f>IF(AA6432=0,(D6429*N6429+P6429*R6429)*U6429*Y6429,0)</f>
        <v>0</v>
      </c>
    </row>
    <row r="6430">
      <c r="A6430" t="str">
        <f>A6414</f>
        <v>Lantai 2</v>
      </c>
      <c r="B6430">
        <f>B6414</f>
        <v>19</v>
      </c>
      <c r="C6430" t="str">
        <v>Tul Bawah Lapangan</v>
      </c>
      <c r="D6430">
        <f>VLOOKUP(D6414,'Detail Balok'!$C$10:$AU$110,25,FALSE)</f>
        <v>3</v>
      </c>
      <c r="E6430" t="str">
        <v>D</v>
      </c>
      <c r="F6430">
        <f>VLOOKUP(D6414,'Detail Balok'!$C$10:$AU$110,27,FALSE)</f>
        <v>22</v>
      </c>
      <c r="I6430" t="str">
        <v>(</v>
      </c>
      <c r="J6430">
        <f>+J6422</f>
        <v>5.5</v>
      </c>
      <c r="K6430" t="str">
        <v>+</v>
      </c>
      <c r="M6430" t="str">
        <v>=</v>
      </c>
      <c r="N6430">
        <f>J6430+L6430</f>
        <v>5.5</v>
      </c>
      <c r="O6430" t="str">
        <v>+</v>
      </c>
      <c r="P6430">
        <f>MAX(D6430-D6429,D6430-D6431)</f>
        <v>0</v>
      </c>
      <c r="Q6430" t="str">
        <v>x</v>
      </c>
      <c r="R6430">
        <f>IF(P6430&gt;0,2*(1-2*$F$19-1/2)*D6417/1000,0)</f>
        <v>0</v>
      </c>
      <c r="S6430" t="str">
        <v>)</v>
      </c>
      <c r="T6430" t="str">
        <v>x</v>
      </c>
      <c r="U6430">
        <f>0.006165*F6430^2</f>
        <v>2.98386</v>
      </c>
      <c r="X6430" t="str">
        <v>x</v>
      </c>
      <c r="Y6430">
        <f>D6420</f>
        <v>1</v>
      </c>
      <c r="Z6430" t="str">
        <v>=</v>
      </c>
      <c r="AA6430">
        <f>IF(AA6432=0,(D6430*N6430+P6430*R6430)*U6430*Y6430,0)</f>
        <v>0</v>
      </c>
    </row>
    <row r="6431">
      <c r="A6431" t="str">
        <f>A6414</f>
        <v>Lantai 2</v>
      </c>
      <c r="B6431">
        <f>B6414</f>
        <v>19</v>
      </c>
      <c r="C6431" t="str">
        <v>Tul Bawah Tumpuan</v>
      </c>
      <c r="D6431">
        <f>VLOOKUP(D6414,'Detail Balok'!$C$10:$AU$110,28,FALSE)</f>
        <v>3</v>
      </c>
      <c r="E6431" t="str">
        <v>D</v>
      </c>
      <c r="F6431">
        <f>VLOOKUP(D6414,'Detail Balok'!$C$10:$AU$110,30,FALSE)</f>
        <v>22</v>
      </c>
      <c r="I6431" t="str">
        <v>(</v>
      </c>
      <c r="J6431">
        <f>+J6423</f>
        <v>2.75</v>
      </c>
      <c r="K6431" t="str">
        <v>+</v>
      </c>
      <c r="L6431">
        <f>MAX(VLOOKUP(F6431,N$6:P$15,3,FALSE)/1000,2/3*D6419/1000)+F$16*F6431/1000</f>
        <v>0.264</v>
      </c>
      <c r="M6431" t="str">
        <v>=</v>
      </c>
      <c r="N6431">
        <f>J6431+L6431</f>
        <v>3.0140000000000002</v>
      </c>
      <c r="O6431" t="str">
        <v>+</v>
      </c>
      <c r="P6431">
        <f>D6431-D6430</f>
        <v>0</v>
      </c>
      <c r="Q6431" t="str">
        <v>x</v>
      </c>
      <c r="R6431">
        <f>IF(P6431&gt;0,$F$18*F6431/1000,0)</f>
        <v>0</v>
      </c>
      <c r="S6431" t="str">
        <v>)</v>
      </c>
      <c r="T6431" t="str">
        <v>x</v>
      </c>
      <c r="U6431">
        <f>0.006165*F6431^2</f>
        <v>2.98386</v>
      </c>
      <c r="X6431" t="str">
        <v>x</v>
      </c>
      <c r="Y6431">
        <f>D6420</f>
        <v>1</v>
      </c>
      <c r="Z6431" t="str">
        <v>=</v>
      </c>
      <c r="AA6431">
        <f>IF(AA6432=0,(D6431*N6431+P6431*R6431)*U6431*Y6431,0)</f>
        <v>0</v>
      </c>
    </row>
    <row r="6432">
      <c r="A6432" t="str">
        <f>A6414</f>
        <v>Lantai 2</v>
      </c>
      <c r="B6432">
        <f>B6414</f>
        <v>19</v>
      </c>
      <c r="D6432">
        <f>IF(AND(D6429=D6430,D6430=D6431,D6429=D6431),D6429,0)</f>
        <v>3</v>
      </c>
      <c r="E6432" t="str">
        <v>D</v>
      </c>
      <c r="F6432">
        <f>IF(AND(F6429=F6430,F6429=F6431,F6430=F6431),F6429,0)</f>
        <v>22</v>
      </c>
      <c r="L6432" t="str">
        <v>Total panjang per balok</v>
      </c>
      <c r="M6432" t="str">
        <v>=</v>
      </c>
      <c r="N6432">
        <f>IF(AND(D6429=D6430,D6429=D6431,D6430=D6431,F6429=F6430,F6429=F6431,F6430=F6431),SUM(N6429:N6431),0)</f>
        <v>11.527999999999999</v>
      </c>
      <c r="O6432" t="str">
        <v>+</v>
      </c>
      <c r="P6432">
        <f>IF(N6432&gt;12,ROUNDDOWN(N6432/12,0),0)</f>
        <v>0</v>
      </c>
      <c r="Q6432" t="str">
        <v>x</v>
      </c>
      <c r="R6432">
        <f>IF(P6432&gt;0,MAX(VLOOKUP(F6432,$D$6:$G$15,3,FALSE),600),0)/1000</f>
        <v>0</v>
      </c>
      <c r="T6432" t="str">
        <v>x</v>
      </c>
      <c r="U6432">
        <f>U6431</f>
        <v>2.98386</v>
      </c>
      <c r="V6432" t="str">
        <v>x</v>
      </c>
      <c r="W6432">
        <f>D6432</f>
        <v>3</v>
      </c>
      <c r="X6432" t="str">
        <v>x</v>
      </c>
      <c r="Y6432">
        <f>Y6431</f>
        <v>1</v>
      </c>
      <c r="Z6432" t="str">
        <v>=</v>
      </c>
      <c r="AA6432">
        <f>(N6432+P6432*R6432/1000)*U6432*W6432*Y6432</f>
        <v>103.19381424</v>
      </c>
    </row>
    <row r="6434">
      <c r="A6434" t="str">
        <f>A6414</f>
        <v>Lantai 2</v>
      </c>
      <c r="B6434">
        <f>B6414</f>
        <v>19</v>
      </c>
      <c r="C6434" t="str">
        <v>Sengkang Tumpuan</v>
      </c>
      <c r="D6434">
        <f>VLOOKUP(D6414,'Detail Balok'!$C$10:$AU$110,31,FALSE)</f>
        <v>0</v>
      </c>
      <c r="E6434" t="str">
        <v>D</v>
      </c>
      <c r="F6434">
        <f>VLOOKUP(D6414,'Detail Balok'!$C$10:$AU$110,33,FALSE)</f>
        <v>10</v>
      </c>
      <c r="G6434" t="str">
        <v>-</v>
      </c>
      <c r="H6434">
        <f>VLOOKUP(D6414,'Detail Balok'!$C$10:$AU$110,35,FALSE)</f>
        <v>80</v>
      </c>
      <c r="J6434">
        <f>(IF(D6434=0,(2*(D6415+G6415))-(F$5*8),IF(D6434=3,(2*(D6415+G6415))-(F$5*8)+(G6415-2*F$5),IF(D6434=4,(2*(D6415+G6415))-(F$5*8)+2*(G6415-2*F$5)))))/1000</f>
        <v>1.58</v>
      </c>
      <c r="K6434" t="str">
        <v>+</v>
      </c>
      <c r="L6434">
        <f>IF(D6434=0,2*MAX(6*F6434,75),(D6434-1)*2*MAX(6*F6434,75))/1000</f>
        <v>0.15</v>
      </c>
      <c r="M6434" t="str">
        <v>=</v>
      </c>
      <c r="N6434">
        <f>J6434+L6434</f>
        <v>1.73</v>
      </c>
      <c r="T6434" t="str">
        <v>x</v>
      </c>
      <c r="U6434">
        <f>0.006165*F6434^2</f>
        <v>0.6165</v>
      </c>
      <c r="V6434" t="str">
        <v>x</v>
      </c>
      <c r="W6434">
        <f>IF(D6417&gt;4*G6415,ROUND(MAX(D6417/4,2*G6415)/H6434,0)+1,ROUND(D6417/H6434,0)+1)</f>
        <v>35</v>
      </c>
      <c r="X6434" t="str">
        <v>x</v>
      </c>
      <c r="Y6434">
        <f>D6420</f>
        <v>1</v>
      </c>
      <c r="Z6434" t="str">
        <v>=</v>
      </c>
      <c r="AA6434">
        <f>N6434*U6434*W6434*Y6434</f>
        <v>37.329075</v>
      </c>
    </row>
    <row r="6435">
      <c r="A6435" t="str">
        <f>A6414</f>
        <v>Lantai 2</v>
      </c>
      <c r="B6435">
        <f>B6414</f>
        <v>19</v>
      </c>
      <c r="C6435" t="str">
        <v>Sengkang Lapangan</v>
      </c>
      <c r="D6435">
        <f>VLOOKUP(D6414,'Detail Balok'!$C$10:$AU$110,36,FALSE)</f>
        <v>0</v>
      </c>
      <c r="E6435" t="str">
        <v>D</v>
      </c>
      <c r="F6435">
        <f>VLOOKUP(D6414,'Detail Balok'!$C$10:$AU$110,38,FALSE)</f>
        <v>10</v>
      </c>
      <c r="G6435" t="str">
        <v>-</v>
      </c>
      <c r="H6435">
        <f>VLOOKUP(D6414,'Detail Balok'!$C$10:$AU$110,40,FALSE)</f>
        <v>200</v>
      </c>
      <c r="J6435">
        <f>(IF(D6435=0,(2*(D6415+G6415))-(F$5*8),IF(D6435=3,(2*(D6415+G6415))-(F$5*8)+(G6415-2*F$5),IF(D6435=4,(2*(D6415+G6415))-(F$5*8)+2*(G6415-2*F$5)))))/1000</f>
        <v>1.58</v>
      </c>
      <c r="K6435" t="str">
        <v>+</v>
      </c>
      <c r="L6435">
        <f>IF(D6435=0,2*MAX(6*F6435,75),(D6435-1)*2*MAX(6*F6435,75))/1000</f>
        <v>0.15</v>
      </c>
      <c r="M6435" t="str">
        <v>=</v>
      </c>
      <c r="N6435">
        <f>J6435+L6435</f>
        <v>1.73</v>
      </c>
      <c r="T6435" t="str">
        <v>x</v>
      </c>
      <c r="U6435">
        <f>0.006165*F6435^2</f>
        <v>0.6165</v>
      </c>
      <c r="V6435" t="str">
        <v>x</v>
      </c>
      <c r="W6435">
        <f>IF(D6417-MAX(D6417/4,2*G6415)*2&gt;0,ROUND((D6417-MAX(D6417/4,2*G6415)*2)/H6435,0),0)</f>
        <v>28</v>
      </c>
      <c r="X6435" t="str">
        <v>x</v>
      </c>
      <c r="Y6435">
        <f>D6420</f>
        <v>1</v>
      </c>
      <c r="Z6435" t="str">
        <v>=</v>
      </c>
      <c r="AA6435">
        <f>N6435*U6435*W6435*Y6435</f>
        <v>29.863260000000004</v>
      </c>
    </row>
    <row r="6436">
      <c r="A6436" t="str">
        <f>A6414</f>
        <v>Lantai 2</v>
      </c>
      <c r="B6436">
        <f>B6414</f>
        <v>19</v>
      </c>
      <c r="C6436" t="str">
        <v>Sengkang Tumpuan</v>
      </c>
      <c r="D6436">
        <f>VLOOKUP(D6414,'Detail Balok'!$C$10:$AU$110,41,FALSE)</f>
        <v>0</v>
      </c>
      <c r="E6436" t="str">
        <v>D</v>
      </c>
      <c r="F6436">
        <f>VLOOKUP(D6414,'Detail Balok'!$C$10:$AU$110,43,FALSE)</f>
        <v>10</v>
      </c>
      <c r="G6436" t="str">
        <v>-</v>
      </c>
      <c r="H6436">
        <f>VLOOKUP(D6414,'Detail Balok'!$C$10:$AU$110,45,FALSE)</f>
        <v>80</v>
      </c>
      <c r="J6436">
        <f>(IF(D6436=0,(2*(D6415+G6415))-(F$5*8),IF(D6436=3,(2*(D6415+G6415))-(F$5*8)+(G6415-2*F$5),IF(D6436=4,(2*(D6415+G6415))-(F$5*8)+2*(G6415-2*F$5)))))/1000</f>
        <v>1.58</v>
      </c>
      <c r="K6436" t="str">
        <v>+</v>
      </c>
      <c r="L6436">
        <f>IF(D6436=0,2*MAX(6*F6436,75),(D6436-1)*2*MAX(6*F6436,75))/1000</f>
        <v>0.15</v>
      </c>
      <c r="M6436" t="str">
        <v>=</v>
      </c>
      <c r="N6436">
        <f>J6436+L6436</f>
        <v>1.73</v>
      </c>
      <c r="T6436" t="str">
        <v>x</v>
      </c>
      <c r="U6436">
        <f>0.006165*F6436^2</f>
        <v>0.6165</v>
      </c>
      <c r="V6436" t="str">
        <v>x</v>
      </c>
      <c r="W6436">
        <f>IF(D6417&gt;4*G6415,ROUND(MAX(D6417/4,2*G6415)/H6436,0)+1,0)</f>
        <v>35</v>
      </c>
      <c r="X6436" t="str">
        <v>x</v>
      </c>
      <c r="Y6436">
        <f>D6420</f>
        <v>1</v>
      </c>
      <c r="Z6436" t="str">
        <v>=</v>
      </c>
      <c r="AA6436">
        <f>N6436*U6436*W6436*Y6436</f>
        <v>37.329075</v>
      </c>
    </row>
    <row r="6438">
      <c r="A6438" t="str">
        <f>A6414</f>
        <v>Lantai 2</v>
      </c>
      <c r="B6438">
        <f>B6414</f>
        <v>19</v>
      </c>
      <c r="C6438" t="str">
        <v>Kait Horizontal Tump.</v>
      </c>
      <c r="D6438">
        <f>VLOOKUP(D6414,'Detail Balok'!$C$10:$BJ$110,46,FALSE)</f>
        <v>0</v>
      </c>
      <c r="E6438" t="str">
        <v>D</v>
      </c>
      <c r="F6438">
        <f>VLOOKUP(D6414,'Detail Balok'!$C$10:$BJ$110,48,FALSE)</f>
        <v>0</v>
      </c>
      <c r="G6438" t="str">
        <v>-</v>
      </c>
      <c r="H6438">
        <f>VLOOKUP(D6414,'Detail Balok'!$C$10:$BJ$110,50,FALSE)</f>
        <v>100</v>
      </c>
      <c r="J6438">
        <f>(D6415-2*F$5)/1000</f>
        <v>0.17</v>
      </c>
      <c r="K6438" t="str">
        <v>+</v>
      </c>
      <c r="L6438">
        <f>IF(D6438=0,2*MAX(6*F6438,75),(D6438-1)*2*MAX(6*F6438,75))/1000</f>
        <v>0.15</v>
      </c>
      <c r="M6438" t="str">
        <v>=</v>
      </c>
      <c r="N6438">
        <f>J6438+L6438</f>
        <v>0.32</v>
      </c>
      <c r="T6438" t="str">
        <v>x</v>
      </c>
      <c r="U6438">
        <f>0.006165*F6438^2</f>
        <v>0</v>
      </c>
      <c r="V6438" t="str">
        <v>x</v>
      </c>
      <c r="W6438">
        <f>W6434</f>
        <v>35</v>
      </c>
      <c r="X6438" t="str">
        <v>x</v>
      </c>
      <c r="Y6438">
        <f>D6424</f>
        <v>0</v>
      </c>
      <c r="Z6438" t="str">
        <v>=</v>
      </c>
      <c r="AA6438">
        <f>N6438*U6438*W6438*Y6438</f>
        <v>0</v>
      </c>
    </row>
    <row r="6439">
      <c r="A6439" t="str">
        <f>A6414</f>
        <v>Lantai 2</v>
      </c>
      <c r="B6439">
        <f>B6414</f>
        <v>19</v>
      </c>
      <c r="C6439" t="str">
        <v>Kait Horizontal Lap.</v>
      </c>
      <c r="D6439">
        <f>VLOOKUP(D6414,'Detail Balok'!$C$10:$BJ$110,51,FALSE)</f>
        <v>0</v>
      </c>
      <c r="E6439" t="str">
        <v>D</v>
      </c>
      <c r="F6439">
        <f>VLOOKUP(D6414,'Detail Balok'!$C$10:$BJ$110,53,FALSE)</f>
        <v>0</v>
      </c>
      <c r="G6439" t="str">
        <v>-</v>
      </c>
      <c r="H6439">
        <f>VLOOKUP(D6414,'Detail Balok'!$C$10:$BJ$110,55,FALSE)</f>
        <v>100</v>
      </c>
      <c r="J6439">
        <f>(D6415-2*F$5)/1000</f>
        <v>0.17</v>
      </c>
      <c r="K6439" t="str">
        <v>+</v>
      </c>
      <c r="L6439">
        <f>IF(D6439=0,2*MAX(6*F6439,75),(D6439-1)*2*MAX(6*F6439,75))/1000</f>
        <v>0.15</v>
      </c>
      <c r="M6439" t="str">
        <v>=</v>
      </c>
      <c r="N6439">
        <f>J6439+L6439</f>
        <v>0.32</v>
      </c>
      <c r="T6439" t="str">
        <v>x</v>
      </c>
      <c r="U6439">
        <f>0.006165*F6439^2</f>
        <v>0</v>
      </c>
      <c r="V6439" t="str">
        <v>x</v>
      </c>
      <c r="W6439">
        <f>W6435</f>
        <v>28</v>
      </c>
      <c r="X6439" t="str">
        <v>x</v>
      </c>
      <c r="Y6439">
        <f>D6424</f>
        <v>0</v>
      </c>
      <c r="Z6439" t="str">
        <v>=</v>
      </c>
      <c r="AA6439">
        <f>N6439*U6439*W6439*Y6439</f>
        <v>0</v>
      </c>
    </row>
    <row r="6440">
      <c r="A6440" t="str">
        <f>A6414</f>
        <v>Lantai 2</v>
      </c>
      <c r="B6440">
        <f>B6414</f>
        <v>19</v>
      </c>
      <c r="C6440" t="str">
        <v>Kait Horizontal Tump.</v>
      </c>
      <c r="D6440">
        <f>VLOOKUP(D6414,'Detail Balok'!$C$10:$BJ$110,56,FALSE)</f>
        <v>0</v>
      </c>
      <c r="E6440" t="str">
        <v>D</v>
      </c>
      <c r="F6440">
        <f>VLOOKUP(D6414,'Detail Balok'!$C$10:$BJ$110,58,FALSE)</f>
        <v>0</v>
      </c>
      <c r="G6440" t="str">
        <v>-</v>
      </c>
      <c r="H6440">
        <f>VLOOKUP(D6414,'Detail Balok'!$C$10:$BJ$110,60,FALSE)</f>
        <v>100</v>
      </c>
      <c r="J6440">
        <f>(D6415-2*F$5)/1000</f>
        <v>0.17</v>
      </c>
      <c r="K6440" t="str">
        <v>+</v>
      </c>
      <c r="L6440">
        <f>IF(D6440=0,2*MAX(6*F6440,75),(D6440-1)*2*MAX(6*F6440,75))/1000</f>
        <v>0.15</v>
      </c>
      <c r="M6440" t="str">
        <v>=</v>
      </c>
      <c r="N6440">
        <f>J6440+L6440</f>
        <v>0.32</v>
      </c>
      <c r="T6440" t="str">
        <v>x</v>
      </c>
      <c r="U6440">
        <f>0.006165*F6440^2</f>
        <v>0</v>
      </c>
      <c r="V6440" t="str">
        <v>x</v>
      </c>
      <c r="W6440">
        <f>W6436</f>
        <v>35</v>
      </c>
      <c r="X6440" t="str">
        <v>x</v>
      </c>
      <c r="Y6440">
        <f>D6424</f>
        <v>0</v>
      </c>
      <c r="Z6440" t="str">
        <v>=</v>
      </c>
      <c r="AA6440">
        <f>N6440*U6440*W6440*Y6440</f>
        <v>0</v>
      </c>
    </row>
    <row r="6444">
      <c r="A6444" t="str">
        <f>A6414</f>
        <v>Lantai 2</v>
      </c>
      <c r="B6444">
        <f>B6414+1</f>
        <v>20</v>
      </c>
      <c r="C6444" t="str">
        <f>CONCATENATE(A6444," no. ",B6444)</f>
        <v>Lantai 2 no. 20</v>
      </c>
      <c r="D6444" t="str">
        <f>VLOOKUP(C6444,'Data Panjang Balok'!$C$9:$N$424,2,FALSE)</f>
        <v>B245-3</v>
      </c>
    </row>
    <row r="6445">
      <c r="C6445" t="str">
        <v>Dimensi</v>
      </c>
      <c r="D6445">
        <f>VLOOKUP(D6444,'Detail Balok'!$C$10:$AU$110,2,FALSE)</f>
        <v>200</v>
      </c>
      <c r="F6445" t="str">
        <v>x</v>
      </c>
      <c r="G6445">
        <f>VLOOKUP(D6444,'Detail Balok'!$C$10:$AU$110,3,FALSE)</f>
        <v>450</v>
      </c>
    </row>
    <row r="6446">
      <c r="C6446" t="str">
        <v>Panjang as ke as</v>
      </c>
      <c r="D6446">
        <f>VLOOKUP(C6444,'Data Panjang Balok'!$C$9:$N$424,4,FALSE)</f>
        <v>1100</v>
      </c>
    </row>
    <row r="6447">
      <c r="C6447" t="str">
        <v>Panjang netto</v>
      </c>
      <c r="D6447">
        <f>VLOOKUP(C6444,'Data Panjang Balok'!$C$9:$N$424,7,FALSE)</f>
        <v>1100</v>
      </c>
    </row>
    <row r="6448">
      <c r="C6448" t="str">
        <v>Kolom / balok kiri</v>
      </c>
      <c r="D6448">
        <f>VLOOKUP(C6444,'Data Panjang Balok'!$C$9:$N$424,9,FALSE)</f>
        <v>0</v>
      </c>
    </row>
    <row r="6449">
      <c r="C6449" t="str">
        <v>Kolom / balok kanan</v>
      </c>
      <c r="D6449">
        <f>VLOOKUP(C6444,'Data Panjang Balok'!$C$9:$N$424,10,FALSE)</f>
        <v>0</v>
      </c>
    </row>
    <row r="6450">
      <c r="C6450" t="str">
        <v>Jumlah</v>
      </c>
      <c r="D6450">
        <f>VLOOKUP(C6444,'Data Panjang Balok'!$C$9:$N$424,3,FALSE)</f>
        <v>1</v>
      </c>
    </row>
    <row r="6451">
      <c r="A6451" t="str">
        <f>A6444</f>
        <v>Lantai 2</v>
      </c>
      <c r="B6451">
        <f>B6444</f>
        <v>20</v>
      </c>
      <c r="C6451" t="str">
        <v>Tul Atas Tumpuan</v>
      </c>
      <c r="D6451">
        <f>VLOOKUP(D6444,'Detail Balok'!$C$10:$AU$110,4,FALSE)</f>
        <v>2</v>
      </c>
      <c r="E6451" t="str">
        <v>D</v>
      </c>
      <c r="F6451">
        <f>VLOOKUP(D6444,'Detail Balok'!$C$10:$AU$110,6,FALSE)</f>
        <v>16</v>
      </c>
      <c r="I6451" t="str">
        <v>(</v>
      </c>
      <c r="J6451">
        <f>+D6446/4/1000</f>
        <v>0.275</v>
      </c>
      <c r="K6451" t="str">
        <v>+</v>
      </c>
      <c r="L6451">
        <f>MAX(VLOOKUP(F6451,N$6:P$15,3,FALSE)/1000,2/3*D6448/1000)+F$16*F6451/1000</f>
        <v>0.192</v>
      </c>
      <c r="M6451" t="str">
        <v>=</v>
      </c>
      <c r="N6451">
        <f>J6451+L6451</f>
        <v>0.467</v>
      </c>
      <c r="O6451" t="str">
        <v>+</v>
      </c>
      <c r="P6451">
        <f>D6451-D6452</f>
        <v>0</v>
      </c>
      <c r="Q6451" t="str">
        <v>x</v>
      </c>
      <c r="R6451">
        <f>IF(P6451&gt;0,$F$18*F6451/1000,0)</f>
        <v>0</v>
      </c>
      <c r="S6451" t="str">
        <v>)</v>
      </c>
      <c r="T6451" t="str">
        <v>x</v>
      </c>
      <c r="U6451">
        <f>0.006165*F6451^2</f>
        <v>1.57824</v>
      </c>
      <c r="X6451" t="str">
        <v>x</v>
      </c>
      <c r="Y6451">
        <f>D6450</f>
        <v>1</v>
      </c>
      <c r="Z6451" t="str">
        <v>=</v>
      </c>
      <c r="AA6451">
        <f>IF(AA6454=0,(D6451*N6451+P6451*R6451)*U6451*Y6451,0)</f>
        <v>0</v>
      </c>
    </row>
    <row r="6452">
      <c r="A6452" t="str">
        <f>A6444</f>
        <v>Lantai 2</v>
      </c>
      <c r="B6452">
        <f>B6444</f>
        <v>20</v>
      </c>
      <c r="C6452" t="str">
        <v>Tul Atas Lapangan</v>
      </c>
      <c r="D6452">
        <f>VLOOKUP(D6444,'Detail Balok'!$C$10:$AU$110,7,FALSE)</f>
        <v>2</v>
      </c>
      <c r="E6452" t="str">
        <v>D</v>
      </c>
      <c r="F6452">
        <f>VLOOKUP(D6444,'Detail Balok'!$C$10:$AU$110,9,FALSE)</f>
        <v>16</v>
      </c>
      <c r="I6452" t="str">
        <v>(</v>
      </c>
      <c r="J6452">
        <f>+D6446/2/1000</f>
        <v>0.55</v>
      </c>
      <c r="K6452" t="str">
        <v>+</v>
      </c>
      <c r="M6452" t="str">
        <v>=</v>
      </c>
      <c r="N6452">
        <f>J6452+L6452</f>
        <v>0.55</v>
      </c>
      <c r="O6452" t="str">
        <v>+</v>
      </c>
      <c r="P6452">
        <f>MAX(D6452-D6451,D6452-D6453)</f>
        <v>0</v>
      </c>
      <c r="Q6452" t="str">
        <v>x</v>
      </c>
      <c r="R6452">
        <f>IF(P6452&gt;0,2*(1-2*$F$19-1/2)*D6447/1000,0)</f>
        <v>0</v>
      </c>
      <c r="S6452" t="str">
        <v>)</v>
      </c>
      <c r="T6452" t="str">
        <v>x</v>
      </c>
      <c r="U6452">
        <f>0.006165*F6452^2</f>
        <v>1.57824</v>
      </c>
      <c r="X6452" t="str">
        <v>x</v>
      </c>
      <c r="Y6452">
        <f>D6450</f>
        <v>1</v>
      </c>
      <c r="Z6452" t="str">
        <v>=</v>
      </c>
      <c r="AA6452">
        <f>IF(AA6454=0,(D6452*N6452+P6452*R6452)*U6452*Y6452,0)</f>
        <v>0</v>
      </c>
    </row>
    <row r="6453">
      <c r="A6453" t="str">
        <f>A6444</f>
        <v>Lantai 2</v>
      </c>
      <c r="B6453">
        <f>B6444</f>
        <v>20</v>
      </c>
      <c r="C6453" t="str">
        <v>Tul Atas Tumpuan</v>
      </c>
      <c r="D6453">
        <f>VLOOKUP(D6444,'Detail Balok'!$C$10:$AU$110,10,FALSE)</f>
        <v>2</v>
      </c>
      <c r="E6453" t="str">
        <v>D</v>
      </c>
      <c r="F6453">
        <f>VLOOKUP(D6444,'Detail Balok'!$C$10:$AU$110,12,FALSE)</f>
        <v>16</v>
      </c>
      <c r="I6453" t="str">
        <v>(</v>
      </c>
      <c r="J6453">
        <f>+D6446/4/1000</f>
        <v>0.275</v>
      </c>
      <c r="K6453" t="str">
        <v>+</v>
      </c>
      <c r="L6453">
        <f>MAX(VLOOKUP(F6453,N$6:P$15,3,FALSE)/1000,2/3*D6448/1000)+F$16*F6453/1000</f>
        <v>0.192</v>
      </c>
      <c r="M6453" t="str">
        <v>=</v>
      </c>
      <c r="N6453">
        <f>J6453+L6453</f>
        <v>0.467</v>
      </c>
      <c r="O6453" t="str">
        <v>+</v>
      </c>
      <c r="P6453">
        <f>D6453-D6452</f>
        <v>0</v>
      </c>
      <c r="Q6453" t="str">
        <v>x</v>
      </c>
      <c r="R6453">
        <f>IF(P6453&gt;0,$F$18*F6453/1000,0)</f>
        <v>0</v>
      </c>
      <c r="S6453" t="str">
        <v>)</v>
      </c>
      <c r="T6453" t="str">
        <v>x</v>
      </c>
      <c r="U6453">
        <f>0.006165*F6453^2</f>
        <v>1.57824</v>
      </c>
      <c r="X6453" t="str">
        <v>x</v>
      </c>
      <c r="Y6453">
        <f>D6450</f>
        <v>1</v>
      </c>
      <c r="Z6453" t="str">
        <v>=</v>
      </c>
      <c r="AA6453">
        <f>IF(AA6454=0,(D6453*N6453+P6453*R6453)*U6453*Y6453,0)</f>
        <v>0</v>
      </c>
    </row>
    <row r="6454">
      <c r="A6454" t="str">
        <f>A6444</f>
        <v>Lantai 2</v>
      </c>
      <c r="B6454">
        <f>B6444</f>
        <v>20</v>
      </c>
      <c r="D6454">
        <f>IF(AND(D6451=D6452,D6452=D6453,D6451=D6453),D6451,0)</f>
        <v>2</v>
      </c>
      <c r="E6454" t="str">
        <v>D</v>
      </c>
      <c r="F6454">
        <f>IF(AND(F6451=F6452,F6451=F6453,F6452=F6453),F6451,0)</f>
        <v>16</v>
      </c>
      <c r="L6454" t="str">
        <v>Total panjang per balok</v>
      </c>
      <c r="M6454" t="str">
        <v>=</v>
      </c>
      <c r="N6454">
        <f>IF(AND(D6451=D6452,D6451=D6453,D6452=D6453,F6451=F6452,F6451=F6453,F6452=F6453),SUM(N6451:N6453),0)</f>
        <v>1.4840000000000002</v>
      </c>
      <c r="O6454" t="str">
        <v>+</v>
      </c>
      <c r="P6454">
        <f>IF(N6454&gt;12,ROUNDDOWN(N6454/12,0),0)</f>
        <v>0</v>
      </c>
      <c r="Q6454" t="str">
        <v>x</v>
      </c>
      <c r="R6454">
        <f>IF(P6454&gt;0,MAX(VLOOKUP(F6454,$D$6:$G$15,3,FALSE),600),0)/1000</f>
        <v>0</v>
      </c>
      <c r="T6454" t="str">
        <v>x</v>
      </c>
      <c r="U6454">
        <f>U6453</f>
        <v>1.57824</v>
      </c>
      <c r="V6454" t="str">
        <v>x</v>
      </c>
      <c r="W6454">
        <f>D6454</f>
        <v>2</v>
      </c>
      <c r="X6454" t="str">
        <v>x</v>
      </c>
      <c r="Y6454">
        <f>Y6453</f>
        <v>1</v>
      </c>
      <c r="Z6454" t="str">
        <v>=</v>
      </c>
      <c r="AA6454">
        <f>(N6454+P6454*R6454/1000)*U6454*W6454*Y6454</f>
        <v>4.684216320000001</v>
      </c>
    </row>
    <row r="6456">
      <c r="A6456" t="str">
        <f>A6444</f>
        <v>Lantai 2</v>
      </c>
      <c r="B6456">
        <f>B6444</f>
        <v>20</v>
      </c>
      <c r="C6456" t="str">
        <v>Tul Peminggang</v>
      </c>
      <c r="D6456">
        <f>VLOOKUP(D6444,'Detail Balok'!$C$10:$AU$110,13,FALSE)</f>
        <v>2</v>
      </c>
      <c r="E6456" t="str">
        <v>D</v>
      </c>
      <c r="F6456">
        <f>VLOOKUP(D6444,'Detail Balok'!$C$10:$AU$110,15,FALSE)</f>
        <v>10</v>
      </c>
      <c r="J6456">
        <f>+D6446/1000</f>
        <v>1.1</v>
      </c>
      <c r="K6456" t="str">
        <v>+</v>
      </c>
      <c r="L6456">
        <f>2*$F$16*F6456/1000</f>
        <v>0.24</v>
      </c>
      <c r="M6456" t="str">
        <v>=</v>
      </c>
      <c r="N6456">
        <f>J6456+L6456</f>
        <v>1.34</v>
      </c>
      <c r="O6456" t="str">
        <v>+</v>
      </c>
      <c r="P6456">
        <f>IF(N6456&gt;12,ROUNDDOWN(N6456/12,0),0)</f>
        <v>0</v>
      </c>
      <c r="Q6456" t="str">
        <v>x</v>
      </c>
      <c r="R6456">
        <f>IF(P6456&gt;0,MAX(VLOOKUP(F6456,$D$6:$G$15,3,FALSE),600),0)/1000</f>
        <v>0</v>
      </c>
      <c r="T6456" t="str">
        <v>x</v>
      </c>
      <c r="U6456">
        <f>0.006165*F6456^2</f>
        <v>0.6165</v>
      </c>
      <c r="V6456" t="str">
        <v>x</v>
      </c>
      <c r="W6456">
        <f>+D6456</f>
        <v>2</v>
      </c>
      <c r="X6456" t="str">
        <v>x</v>
      </c>
      <c r="Y6456">
        <f>D6450</f>
        <v>1</v>
      </c>
      <c r="Z6456" t="str">
        <v>=</v>
      </c>
      <c r="AA6456">
        <f>(N6456+P6456*R6456/1000)*U6456*W6456*Y6456</f>
        <v>1.6522200000000002</v>
      </c>
    </row>
    <row r="6459">
      <c r="A6459" t="str">
        <f>A6444</f>
        <v>Lantai 2</v>
      </c>
      <c r="B6459">
        <f>B6444</f>
        <v>20</v>
      </c>
      <c r="C6459" t="str">
        <v>Tul Bawah Tumpuan</v>
      </c>
      <c r="D6459">
        <f>VLOOKUP(D6444,'Detail Balok'!$C$10:$AU$110,22,FALSE)</f>
        <v>2</v>
      </c>
      <c r="E6459" t="str">
        <v>D</v>
      </c>
      <c r="F6459">
        <f>VLOOKUP(D6444,'Detail Balok'!$C$10:$AU$110,24,FALSE)</f>
        <v>16</v>
      </c>
      <c r="I6459" t="str">
        <v>(</v>
      </c>
      <c r="J6459">
        <f>+J6451</f>
        <v>0.275</v>
      </c>
      <c r="K6459" t="str">
        <v>+</v>
      </c>
      <c r="L6459">
        <f>MAX(VLOOKUP(F6459,N$6:P$15,3,FALSE)/1000,2/3*D6449/1000)+F$16*F6459/1000</f>
        <v>0.192</v>
      </c>
      <c r="M6459" t="str">
        <v>=</v>
      </c>
      <c r="N6459">
        <f>J6459+L6459</f>
        <v>0.467</v>
      </c>
      <c r="O6459" t="str">
        <v>+</v>
      </c>
      <c r="P6459">
        <f>D6459-D6460</f>
        <v>0</v>
      </c>
      <c r="Q6459" t="str">
        <v>x</v>
      </c>
      <c r="R6459">
        <f>IF(P6459&gt;0,$F$18*F6459/1000,0)</f>
        <v>0</v>
      </c>
      <c r="S6459" t="str">
        <v>)</v>
      </c>
      <c r="T6459" t="str">
        <v>x</v>
      </c>
      <c r="U6459">
        <f>0.006165*F6459^2</f>
        <v>1.57824</v>
      </c>
      <c r="X6459" t="str">
        <v>x</v>
      </c>
      <c r="Y6459">
        <f>D6450</f>
        <v>1</v>
      </c>
      <c r="Z6459" t="str">
        <v>=</v>
      </c>
      <c r="AA6459">
        <f>IF(AA6462=0,(D6459*N6459+P6459*R6459)*U6459*Y6459,0)</f>
        <v>0</v>
      </c>
    </row>
    <row r="6460">
      <c r="A6460" t="str">
        <f>A6444</f>
        <v>Lantai 2</v>
      </c>
      <c r="B6460">
        <f>B6444</f>
        <v>20</v>
      </c>
      <c r="C6460" t="str">
        <v>Tul Bawah Lapangan</v>
      </c>
      <c r="D6460">
        <f>VLOOKUP(D6444,'Detail Balok'!$C$10:$AU$110,25,FALSE)</f>
        <v>2</v>
      </c>
      <c r="E6460" t="str">
        <v>D</v>
      </c>
      <c r="F6460">
        <f>VLOOKUP(D6444,'Detail Balok'!$C$10:$AU$110,27,FALSE)</f>
        <v>16</v>
      </c>
      <c r="I6460" t="str">
        <v>(</v>
      </c>
      <c r="J6460">
        <f>+J6452</f>
        <v>0.55</v>
      </c>
      <c r="K6460" t="str">
        <v>+</v>
      </c>
      <c r="M6460" t="str">
        <v>=</v>
      </c>
      <c r="N6460">
        <f>J6460+L6460</f>
        <v>0.55</v>
      </c>
      <c r="O6460" t="str">
        <v>+</v>
      </c>
      <c r="P6460">
        <f>MAX(D6460-D6459,D6460-D6461)</f>
        <v>0</v>
      </c>
      <c r="Q6460" t="str">
        <v>x</v>
      </c>
      <c r="R6460">
        <f>IF(P6460&gt;0,2*(1-2*$F$19-1/2)*D6447/1000,0)</f>
        <v>0</v>
      </c>
      <c r="S6460" t="str">
        <v>)</v>
      </c>
      <c r="T6460" t="str">
        <v>x</v>
      </c>
      <c r="U6460">
        <f>0.006165*F6460^2</f>
        <v>1.57824</v>
      </c>
      <c r="X6460" t="str">
        <v>x</v>
      </c>
      <c r="Y6460">
        <f>D6450</f>
        <v>1</v>
      </c>
      <c r="Z6460" t="str">
        <v>=</v>
      </c>
      <c r="AA6460">
        <f>IF(AA6462=0,(D6460*N6460+P6460*R6460)*U6460*Y6460,0)</f>
        <v>0</v>
      </c>
    </row>
    <row r="6461">
      <c r="A6461" t="str">
        <f>A6444</f>
        <v>Lantai 2</v>
      </c>
      <c r="B6461">
        <f>B6444</f>
        <v>20</v>
      </c>
      <c r="C6461" t="str">
        <v>Tul Bawah Tumpuan</v>
      </c>
      <c r="D6461">
        <f>VLOOKUP(D6444,'Detail Balok'!$C$10:$AU$110,28,FALSE)</f>
        <v>2</v>
      </c>
      <c r="E6461" t="str">
        <v>D</v>
      </c>
      <c r="F6461">
        <f>VLOOKUP(D6444,'Detail Balok'!$C$10:$AU$110,30,FALSE)</f>
        <v>16</v>
      </c>
      <c r="I6461" t="str">
        <v>(</v>
      </c>
      <c r="J6461">
        <f>+J6453</f>
        <v>0.275</v>
      </c>
      <c r="K6461" t="str">
        <v>+</v>
      </c>
      <c r="L6461">
        <f>MAX(VLOOKUP(F6461,N$6:P$15,3,FALSE)/1000,2/3*D6449/1000)+F$16*F6461/1000</f>
        <v>0.192</v>
      </c>
      <c r="M6461" t="str">
        <v>=</v>
      </c>
      <c r="N6461">
        <f>J6461+L6461</f>
        <v>0.467</v>
      </c>
      <c r="O6461" t="str">
        <v>+</v>
      </c>
      <c r="P6461">
        <f>D6461-D6460</f>
        <v>0</v>
      </c>
      <c r="Q6461" t="str">
        <v>x</v>
      </c>
      <c r="R6461">
        <f>IF(P6461&gt;0,$F$18*F6461/1000,0)</f>
        <v>0</v>
      </c>
      <c r="S6461" t="str">
        <v>)</v>
      </c>
      <c r="T6461" t="str">
        <v>x</v>
      </c>
      <c r="U6461">
        <f>0.006165*F6461^2</f>
        <v>1.57824</v>
      </c>
      <c r="X6461" t="str">
        <v>x</v>
      </c>
      <c r="Y6461">
        <f>D6450</f>
        <v>1</v>
      </c>
      <c r="Z6461" t="str">
        <v>=</v>
      </c>
      <c r="AA6461">
        <f>IF(AA6462=0,(D6461*N6461+P6461*R6461)*U6461*Y6461,0)</f>
        <v>0</v>
      </c>
    </row>
    <row r="6462">
      <c r="A6462" t="str">
        <f>A6444</f>
        <v>Lantai 2</v>
      </c>
      <c r="B6462">
        <f>B6444</f>
        <v>20</v>
      </c>
      <c r="D6462">
        <f>IF(AND(D6459=D6460,D6460=D6461,D6459=D6461),D6459,0)</f>
        <v>2</v>
      </c>
      <c r="E6462" t="str">
        <v>D</v>
      </c>
      <c r="F6462">
        <f>IF(AND(F6459=F6460,F6459=F6461,F6460=F6461),F6459,0)</f>
        <v>16</v>
      </c>
      <c r="L6462" t="str">
        <v>Total panjang per balok</v>
      </c>
      <c r="M6462" t="str">
        <v>=</v>
      </c>
      <c r="N6462">
        <f>IF(AND(D6459=D6460,D6459=D6461,D6460=D6461,F6459=F6460,F6459=F6461,F6460=F6461),SUM(N6459:N6461),0)</f>
        <v>1.4840000000000002</v>
      </c>
      <c r="O6462" t="str">
        <v>+</v>
      </c>
      <c r="P6462">
        <f>IF(N6462&gt;12,ROUNDDOWN(N6462/12,0),0)</f>
        <v>0</v>
      </c>
      <c r="Q6462" t="str">
        <v>x</v>
      </c>
      <c r="R6462">
        <f>IF(P6462&gt;0,MAX(VLOOKUP(F6462,$D$6:$G$15,3,FALSE),600),0)/1000</f>
        <v>0</v>
      </c>
      <c r="T6462" t="str">
        <v>x</v>
      </c>
      <c r="U6462">
        <f>U6461</f>
        <v>1.57824</v>
      </c>
      <c r="V6462" t="str">
        <v>x</v>
      </c>
      <c r="W6462">
        <f>D6462</f>
        <v>2</v>
      </c>
      <c r="X6462" t="str">
        <v>x</v>
      </c>
      <c r="Y6462">
        <f>Y6461</f>
        <v>1</v>
      </c>
      <c r="Z6462" t="str">
        <v>=</v>
      </c>
      <c r="AA6462">
        <f>(N6462+P6462*R6462/1000)*U6462*W6462*Y6462</f>
        <v>4.684216320000001</v>
      </c>
    </row>
    <row r="6464">
      <c r="A6464" t="str">
        <f>A6444</f>
        <v>Lantai 2</v>
      </c>
      <c r="B6464">
        <f>B6444</f>
        <v>20</v>
      </c>
      <c r="C6464" t="str">
        <v>Sengkang Tumpuan</v>
      </c>
      <c r="D6464">
        <f>VLOOKUP(D6444,'Detail Balok'!$C$10:$AU$110,31,FALSE)</f>
        <v>0</v>
      </c>
      <c r="E6464" t="str">
        <v>D</v>
      </c>
      <c r="F6464">
        <f>VLOOKUP(D6444,'Detail Balok'!$C$10:$AU$110,33,FALSE)</f>
        <v>10</v>
      </c>
      <c r="G6464" t="str">
        <v>-</v>
      </c>
      <c r="H6464">
        <f>VLOOKUP(D6444,'Detail Balok'!$C$10:$AU$110,35,FALSE)</f>
        <v>90</v>
      </c>
      <c r="J6464">
        <f>(IF(D6464=0,(2*(D6445+G6445))-(F$5*8),IF(D6464=3,(2*(D6445+G6445))-(F$5*8)+(G6445-2*F$5),IF(D6464=4,(2*(D6445+G6445))-(F$5*8)+2*(G6445-2*F$5)))))/1000</f>
        <v>0.98</v>
      </c>
      <c r="K6464" t="str">
        <v>+</v>
      </c>
      <c r="L6464">
        <f>IF(D6464=0,2*MAX(6*F6464,75),(D6464-1)*2*MAX(6*F6464,75))/1000</f>
        <v>0.15</v>
      </c>
      <c r="M6464" t="str">
        <v>=</v>
      </c>
      <c r="N6464">
        <f>J6464+L6464</f>
        <v>1.13</v>
      </c>
      <c r="T6464" t="str">
        <v>x</v>
      </c>
      <c r="U6464">
        <f>0.006165*F6464^2</f>
        <v>0.6165</v>
      </c>
      <c r="V6464" t="str">
        <v>x</v>
      </c>
      <c r="W6464">
        <f>IF(D6447&gt;4*G6445,ROUND(MAX(D6447/4,2*G6445)/H6464,0)+1,ROUND(D6447/H6464,0)+1)</f>
        <v>13</v>
      </c>
      <c r="X6464" t="str">
        <v>x</v>
      </c>
      <c r="Y6464">
        <f>D6450</f>
        <v>1</v>
      </c>
      <c r="Z6464" t="str">
        <v>=</v>
      </c>
      <c r="AA6464">
        <f>N6464*U6464*W6464*Y6464</f>
        <v>9.056384999999999</v>
      </c>
    </row>
    <row r="6465">
      <c r="A6465" t="str">
        <f>A6444</f>
        <v>Lantai 2</v>
      </c>
      <c r="B6465">
        <f>B6444</f>
        <v>20</v>
      </c>
      <c r="C6465" t="str">
        <v>Sengkang Lapangan</v>
      </c>
      <c r="D6465">
        <f>VLOOKUP(D6444,'Detail Balok'!$C$10:$AU$110,36,FALSE)</f>
        <v>0</v>
      </c>
      <c r="E6465" t="str">
        <v>D</v>
      </c>
      <c r="F6465">
        <f>VLOOKUP(D6444,'Detail Balok'!$C$10:$AU$110,38,FALSE)</f>
        <v>10</v>
      </c>
      <c r="G6465" t="str">
        <v>-</v>
      </c>
      <c r="H6465">
        <f>VLOOKUP(D6444,'Detail Balok'!$C$10:$AU$110,40,FALSE)</f>
        <v>175</v>
      </c>
      <c r="J6465">
        <f>(IF(D6465=0,(2*(D6445+G6445))-(F$5*8),IF(D6465=3,(2*(D6445+G6445))-(F$5*8)+(G6445-2*F$5),IF(D6465=4,(2*(D6445+G6445))-(F$5*8)+2*(G6445-2*F$5)))))/1000</f>
        <v>0.98</v>
      </c>
      <c r="K6465" t="str">
        <v>+</v>
      </c>
      <c r="L6465">
        <f>IF(D6465=0,2*MAX(6*F6465,75),(D6465-1)*2*MAX(6*F6465,75))/1000</f>
        <v>0.15</v>
      </c>
      <c r="M6465" t="str">
        <v>=</v>
      </c>
      <c r="N6465">
        <f>J6465+L6465</f>
        <v>1.13</v>
      </c>
      <c r="T6465" t="str">
        <v>x</v>
      </c>
      <c r="U6465">
        <f>0.006165*F6465^2</f>
        <v>0.6165</v>
      </c>
      <c r="V6465" t="str">
        <v>x</v>
      </c>
      <c r="W6465">
        <f>IF(D6447-MAX(D6447/4,2*G6445)*2&gt;0,ROUND((D6447-MAX(D6447/4,2*G6445)*2)/H6465,0),0)</f>
        <v>0</v>
      </c>
      <c r="X6465" t="str">
        <v>x</v>
      </c>
      <c r="Y6465">
        <f>D6450</f>
        <v>1</v>
      </c>
      <c r="Z6465" t="str">
        <v>=</v>
      </c>
      <c r="AA6465">
        <f>N6465*U6465*W6465*Y6465</f>
        <v>0</v>
      </c>
    </row>
    <row r="6466">
      <c r="A6466" t="str">
        <f>A6444</f>
        <v>Lantai 2</v>
      </c>
      <c r="B6466">
        <f>B6444</f>
        <v>20</v>
      </c>
      <c r="C6466" t="str">
        <v>Sengkang Tumpuan</v>
      </c>
      <c r="D6466">
        <f>VLOOKUP(D6444,'Detail Balok'!$C$10:$AU$110,41,FALSE)</f>
        <v>0</v>
      </c>
      <c r="E6466" t="str">
        <v>D</v>
      </c>
      <c r="F6466">
        <f>VLOOKUP(D6444,'Detail Balok'!$C$10:$AU$110,43,FALSE)</f>
        <v>10</v>
      </c>
      <c r="G6466" t="str">
        <v>-</v>
      </c>
      <c r="H6466">
        <f>VLOOKUP(D6444,'Detail Balok'!$C$10:$AU$110,45,FALSE)</f>
        <v>90</v>
      </c>
      <c r="J6466">
        <f>(IF(D6466=0,(2*(D6445+G6445))-(F$5*8),IF(D6466=3,(2*(D6445+G6445))-(F$5*8)+(G6445-2*F$5),IF(D6466=4,(2*(D6445+G6445))-(F$5*8)+2*(G6445-2*F$5)))))/1000</f>
        <v>0.98</v>
      </c>
      <c r="K6466" t="str">
        <v>+</v>
      </c>
      <c r="L6466">
        <f>IF(D6466=0,2*MAX(6*F6466,75),(D6466-1)*2*MAX(6*F6466,75))/1000</f>
        <v>0.15</v>
      </c>
      <c r="M6466" t="str">
        <v>=</v>
      </c>
      <c r="N6466">
        <f>J6466+L6466</f>
        <v>1.13</v>
      </c>
      <c r="T6466" t="str">
        <v>x</v>
      </c>
      <c r="U6466">
        <f>0.006165*F6466^2</f>
        <v>0.6165</v>
      </c>
      <c r="V6466" t="str">
        <v>x</v>
      </c>
      <c r="W6466">
        <f>IF(D6447&gt;4*G6445,ROUND(MAX(D6447/4,2*G6445)/H6466,0)+1,0)</f>
        <v>0</v>
      </c>
      <c r="X6466" t="str">
        <v>x</v>
      </c>
      <c r="Y6466">
        <f>D6450</f>
        <v>1</v>
      </c>
      <c r="Z6466" t="str">
        <v>=</v>
      </c>
      <c r="AA6466">
        <f>N6466*U6466*W6466*Y6466</f>
        <v>0</v>
      </c>
    </row>
    <row r="6468">
      <c r="A6468" t="str">
        <f>A6444</f>
        <v>Lantai 2</v>
      </c>
      <c r="B6468">
        <f>B6444</f>
        <v>20</v>
      </c>
      <c r="C6468" t="str">
        <v>Kait Horizontal Tump.</v>
      </c>
      <c r="D6468">
        <f>VLOOKUP(D6444,'Detail Balok'!$C$10:$BJ$110,46,FALSE)</f>
        <v>0</v>
      </c>
      <c r="E6468" t="str">
        <v>D</v>
      </c>
      <c r="F6468">
        <f>VLOOKUP(D6444,'Detail Balok'!$C$10:$BJ$110,48,FALSE)</f>
        <v>0</v>
      </c>
      <c r="G6468" t="str">
        <v>-</v>
      </c>
      <c r="H6468">
        <f>VLOOKUP(D6444,'Detail Balok'!$C$10:$BJ$110,50,FALSE)</f>
        <v>100</v>
      </c>
      <c r="J6468">
        <f>(D6445-2*F$5)/1000</f>
        <v>0.12</v>
      </c>
      <c r="K6468" t="str">
        <v>+</v>
      </c>
      <c r="L6468">
        <f>IF(D6468=0,2*MAX(6*F6468,75),(D6468-1)*2*MAX(6*F6468,75))/1000</f>
        <v>0.15</v>
      </c>
      <c r="M6468" t="str">
        <v>=</v>
      </c>
      <c r="N6468">
        <f>J6468+L6468</f>
        <v>0.27</v>
      </c>
      <c r="T6468" t="str">
        <v>x</v>
      </c>
      <c r="U6468">
        <f>0.006165*F6468^2</f>
        <v>0</v>
      </c>
      <c r="V6468" t="str">
        <v>x</v>
      </c>
      <c r="W6468">
        <f>W6464</f>
        <v>13</v>
      </c>
      <c r="X6468" t="str">
        <v>x</v>
      </c>
      <c r="Y6468">
        <f>D6454</f>
        <v>2</v>
      </c>
      <c r="Z6468" t="str">
        <v>=</v>
      </c>
      <c r="AA6468">
        <f>N6468*U6468*W6468*Y6468</f>
        <v>0</v>
      </c>
    </row>
    <row r="6469">
      <c r="A6469" t="str">
        <f>A6444</f>
        <v>Lantai 2</v>
      </c>
      <c r="B6469">
        <f>B6444</f>
        <v>20</v>
      </c>
      <c r="C6469" t="str">
        <v>Kait Horizontal Lap.</v>
      </c>
      <c r="D6469">
        <f>VLOOKUP(D6444,'Detail Balok'!$C$10:$BJ$110,51,FALSE)</f>
        <v>0</v>
      </c>
      <c r="E6469" t="str">
        <v>D</v>
      </c>
      <c r="F6469">
        <f>VLOOKUP(D6444,'Detail Balok'!$C$10:$BJ$110,53,FALSE)</f>
        <v>0</v>
      </c>
      <c r="G6469" t="str">
        <v>-</v>
      </c>
      <c r="H6469">
        <f>VLOOKUP(D6444,'Detail Balok'!$C$10:$BJ$110,55,FALSE)</f>
        <v>100</v>
      </c>
      <c r="J6469">
        <f>(D6445-2*F$5)/1000</f>
        <v>0.12</v>
      </c>
      <c r="K6469" t="str">
        <v>+</v>
      </c>
      <c r="L6469">
        <f>IF(D6469=0,2*MAX(6*F6469,75),(D6469-1)*2*MAX(6*F6469,75))/1000</f>
        <v>0.15</v>
      </c>
      <c r="M6469" t="str">
        <v>=</v>
      </c>
      <c r="N6469">
        <f>J6469+L6469</f>
        <v>0.27</v>
      </c>
      <c r="T6469" t="str">
        <v>x</v>
      </c>
      <c r="U6469">
        <f>0.006165*F6469^2</f>
        <v>0</v>
      </c>
      <c r="V6469" t="str">
        <v>x</v>
      </c>
      <c r="W6469">
        <f>W6465</f>
        <v>0</v>
      </c>
      <c r="X6469" t="str">
        <v>x</v>
      </c>
      <c r="Y6469">
        <f>D6454</f>
        <v>2</v>
      </c>
      <c r="Z6469" t="str">
        <v>=</v>
      </c>
      <c r="AA6469">
        <f>N6469*U6469*W6469*Y6469</f>
        <v>0</v>
      </c>
    </row>
    <row r="6470">
      <c r="A6470" t="str">
        <f>A6444</f>
        <v>Lantai 2</v>
      </c>
      <c r="B6470">
        <f>B6444</f>
        <v>20</v>
      </c>
      <c r="C6470" t="str">
        <v>Kait Horizontal Tump.</v>
      </c>
      <c r="D6470">
        <f>VLOOKUP(D6444,'Detail Balok'!$C$10:$BJ$110,56,FALSE)</f>
        <v>0</v>
      </c>
      <c r="E6470" t="str">
        <v>D</v>
      </c>
      <c r="F6470">
        <f>VLOOKUP(D6444,'Detail Balok'!$C$10:$BJ$110,58,FALSE)</f>
        <v>0</v>
      </c>
      <c r="G6470" t="str">
        <v>-</v>
      </c>
      <c r="H6470">
        <f>VLOOKUP(D6444,'Detail Balok'!$C$10:$BJ$110,60,FALSE)</f>
        <v>100</v>
      </c>
      <c r="J6470">
        <f>(D6445-2*F$5)/1000</f>
        <v>0.12</v>
      </c>
      <c r="K6470" t="str">
        <v>+</v>
      </c>
      <c r="L6470">
        <f>IF(D6470=0,2*MAX(6*F6470,75),(D6470-1)*2*MAX(6*F6470,75))/1000</f>
        <v>0.15</v>
      </c>
      <c r="M6470" t="str">
        <v>=</v>
      </c>
      <c r="N6470">
        <f>J6470+L6470</f>
        <v>0.27</v>
      </c>
      <c r="T6470" t="str">
        <v>x</v>
      </c>
      <c r="U6470">
        <f>0.006165*F6470^2</f>
        <v>0</v>
      </c>
      <c r="V6470" t="str">
        <v>x</v>
      </c>
      <c r="W6470">
        <f>W6466</f>
        <v>0</v>
      </c>
      <c r="X6470" t="str">
        <v>x</v>
      </c>
      <c r="Y6470">
        <f>D6454</f>
        <v>2</v>
      </c>
      <c r="Z6470" t="str">
        <v>=</v>
      </c>
      <c r="AA6470">
        <f>N6470*U6470*W6470*Y6470</f>
        <v>0</v>
      </c>
    </row>
    <row r="6474">
      <c r="A6474" t="str">
        <f>A6444</f>
        <v>Lantai 2</v>
      </c>
      <c r="B6474">
        <f>B6444+1</f>
        <v>21</v>
      </c>
      <c r="C6474" t="str">
        <f>CONCATENATE(A6474," no. ",B6474)</f>
        <v>Lantai 2 no. 21</v>
      </c>
      <c r="D6474" t="str">
        <f>VLOOKUP(C6474,'Data Panjang Balok'!$C$9:$N$424,2,FALSE)</f>
        <v>B245-7</v>
      </c>
    </row>
    <row r="6475">
      <c r="C6475" t="str">
        <v>Dimensi</v>
      </c>
      <c r="D6475">
        <f>VLOOKUP(D6474,'Detail Balok'!$C$10:$AU$110,2,FALSE)</f>
        <v>200</v>
      </c>
      <c r="F6475" t="str">
        <v>x</v>
      </c>
      <c r="G6475">
        <f>VLOOKUP(D6474,'Detail Balok'!$C$10:$AU$110,3,FALSE)</f>
        <v>450</v>
      </c>
    </row>
    <row r="6476">
      <c r="C6476" t="str">
        <v>Panjang as ke as</v>
      </c>
      <c r="D6476">
        <f>VLOOKUP(C6474,'Data Panjang Balok'!$C$9:$N$424,4,FALSE)</f>
        <v>6100</v>
      </c>
    </row>
    <row r="6477">
      <c r="C6477" t="str">
        <v>Panjang netto</v>
      </c>
      <c r="D6477">
        <f>VLOOKUP(C6474,'Data Panjang Balok'!$C$9:$N$424,7,FALSE)</f>
        <v>6100</v>
      </c>
    </row>
    <row r="6478">
      <c r="C6478" t="str">
        <v>Kolom / balok kiri</v>
      </c>
      <c r="D6478">
        <f>VLOOKUP(C6474,'Data Panjang Balok'!$C$9:$N$424,9,FALSE)</f>
        <v>0</v>
      </c>
    </row>
    <row r="6479">
      <c r="C6479" t="str">
        <v>Kolom / balok kanan</v>
      </c>
      <c r="D6479">
        <f>VLOOKUP(C6474,'Data Panjang Balok'!$C$9:$N$424,10,FALSE)</f>
        <v>0</v>
      </c>
    </row>
    <row r="6480">
      <c r="C6480" t="str">
        <v>Jumlah</v>
      </c>
      <c r="D6480">
        <f>VLOOKUP(C6474,'Data Panjang Balok'!$C$9:$N$424,3,FALSE)</f>
        <v>1</v>
      </c>
    </row>
    <row r="6481">
      <c r="A6481" t="str">
        <f>A6474</f>
        <v>Lantai 2</v>
      </c>
      <c r="B6481">
        <f>B6474</f>
        <v>21</v>
      </c>
      <c r="C6481" t="str">
        <v>Tul Atas Tumpuan</v>
      </c>
      <c r="D6481">
        <f>VLOOKUP(D6474,'Detail Balok'!$C$10:$AU$110,4,FALSE)</f>
        <v>4</v>
      </c>
      <c r="E6481" t="str">
        <v>D</v>
      </c>
      <c r="F6481">
        <f>VLOOKUP(D6474,'Detail Balok'!$C$10:$AU$110,6,FALSE)</f>
        <v>19</v>
      </c>
      <c r="I6481" t="str">
        <v>(</v>
      </c>
      <c r="J6481">
        <f>+D6476/4/1000</f>
        <v>1.525</v>
      </c>
      <c r="K6481" t="str">
        <v>+</v>
      </c>
      <c r="L6481">
        <f>MAX(VLOOKUP(F6481,N$6:P$15,3,FALSE)/1000,2/3*D6478/1000)+F$16*F6481/1000</f>
        <v>0.228</v>
      </c>
      <c r="M6481" t="str">
        <v>=</v>
      </c>
      <c r="N6481">
        <f>J6481+L6481</f>
        <v>1.753</v>
      </c>
      <c r="O6481" t="str">
        <v>+</v>
      </c>
      <c r="P6481">
        <f>D6481-D6482</f>
        <v>2</v>
      </c>
      <c r="Q6481" t="str">
        <v>x</v>
      </c>
      <c r="R6481">
        <f>IF(P6481&gt;0,$F$18*F6481/1000,0)</f>
        <v>0.285</v>
      </c>
      <c r="S6481" t="str">
        <v>)</v>
      </c>
      <c r="T6481" t="str">
        <v>x</v>
      </c>
      <c r="U6481">
        <f>0.006165*F6481^2</f>
        <v>2.225565</v>
      </c>
      <c r="X6481" t="str">
        <v>x</v>
      </c>
      <c r="Y6481">
        <f>D6480</f>
        <v>1</v>
      </c>
      <c r="Z6481" t="str">
        <v>=</v>
      </c>
      <c r="AA6481">
        <f>IF(AA6484=0,(D6481*N6481+P6481*R6481)*U6481*Y6481,0)</f>
        <v>16.87423383</v>
      </c>
    </row>
    <row r="6482">
      <c r="A6482" t="str">
        <f>A6474</f>
        <v>Lantai 2</v>
      </c>
      <c r="B6482">
        <f>B6474</f>
        <v>21</v>
      </c>
      <c r="C6482" t="str">
        <v>Tul Atas Lapangan</v>
      </c>
      <c r="D6482">
        <f>VLOOKUP(D6474,'Detail Balok'!$C$10:$AU$110,7,FALSE)</f>
        <v>2</v>
      </c>
      <c r="E6482" t="str">
        <v>D</v>
      </c>
      <c r="F6482">
        <f>VLOOKUP(D6474,'Detail Balok'!$C$10:$AU$110,9,FALSE)</f>
        <v>19</v>
      </c>
      <c r="I6482" t="str">
        <v>(</v>
      </c>
      <c r="J6482">
        <f>+D6476/2/1000</f>
        <v>3.05</v>
      </c>
      <c r="K6482" t="str">
        <v>+</v>
      </c>
      <c r="M6482" t="str">
        <v>=</v>
      </c>
      <c r="N6482">
        <f>J6482+L6482</f>
        <v>3.05</v>
      </c>
      <c r="O6482" t="str">
        <v>+</v>
      </c>
      <c r="P6482">
        <f>MAX(D6482-D6481,D6482-D6483)</f>
        <v>-2</v>
      </c>
      <c r="Q6482" t="str">
        <v>x</v>
      </c>
      <c r="R6482">
        <f>IF(P6482&gt;0,2*(1-2*$F$19-1/2)*D6477/1000,0)</f>
        <v>0</v>
      </c>
      <c r="S6482" t="str">
        <v>)</v>
      </c>
      <c r="T6482" t="str">
        <v>x</v>
      </c>
      <c r="U6482">
        <f>0.006165*F6482^2</f>
        <v>2.225565</v>
      </c>
      <c r="X6482" t="str">
        <v>x</v>
      </c>
      <c r="Y6482">
        <f>D6480</f>
        <v>1</v>
      </c>
      <c r="Z6482" t="str">
        <v>=</v>
      </c>
      <c r="AA6482">
        <f>IF(AA6484=0,(D6482*N6482+P6482*R6482)*U6482*Y6482,0)</f>
        <v>13.575946499999999</v>
      </c>
    </row>
    <row r="6483">
      <c r="A6483" t="str">
        <f>A6474</f>
        <v>Lantai 2</v>
      </c>
      <c r="B6483">
        <f>B6474</f>
        <v>21</v>
      </c>
      <c r="C6483" t="str">
        <v>Tul Atas Tumpuan</v>
      </c>
      <c r="D6483">
        <f>VLOOKUP(D6474,'Detail Balok'!$C$10:$AU$110,10,FALSE)</f>
        <v>4</v>
      </c>
      <c r="E6483" t="str">
        <v>D</v>
      </c>
      <c r="F6483">
        <f>VLOOKUP(D6474,'Detail Balok'!$C$10:$AU$110,12,FALSE)</f>
        <v>19</v>
      </c>
      <c r="I6483" t="str">
        <v>(</v>
      </c>
      <c r="J6483">
        <f>+D6476/4/1000</f>
        <v>1.525</v>
      </c>
      <c r="K6483" t="str">
        <v>+</v>
      </c>
      <c r="L6483">
        <f>MAX(VLOOKUP(F6483,N$6:P$15,3,FALSE)/1000,2/3*D6478/1000)+F$16*F6483/1000</f>
        <v>0.228</v>
      </c>
      <c r="M6483" t="str">
        <v>=</v>
      </c>
      <c r="N6483">
        <f>J6483+L6483</f>
        <v>1.753</v>
      </c>
      <c r="O6483" t="str">
        <v>+</v>
      </c>
      <c r="P6483">
        <f>D6483-D6482</f>
        <v>2</v>
      </c>
      <c r="Q6483" t="str">
        <v>x</v>
      </c>
      <c r="R6483">
        <f>IF(P6483&gt;0,$F$18*F6483/1000,0)</f>
        <v>0.285</v>
      </c>
      <c r="S6483" t="str">
        <v>)</v>
      </c>
      <c r="T6483" t="str">
        <v>x</v>
      </c>
      <c r="U6483">
        <f>0.006165*F6483^2</f>
        <v>2.225565</v>
      </c>
      <c r="X6483" t="str">
        <v>x</v>
      </c>
      <c r="Y6483">
        <f>D6480</f>
        <v>1</v>
      </c>
      <c r="Z6483" t="str">
        <v>=</v>
      </c>
      <c r="AA6483">
        <f>IF(AA6484=0,(D6483*N6483+P6483*R6483)*U6483*Y6483,0)</f>
        <v>16.87423383</v>
      </c>
    </row>
    <row r="6484">
      <c r="A6484" t="str">
        <f>A6474</f>
        <v>Lantai 2</v>
      </c>
      <c r="B6484">
        <f>B6474</f>
        <v>21</v>
      </c>
      <c r="D6484">
        <f>IF(AND(D6481=D6482,D6482=D6483,D6481=D6483),D6481,0)</f>
        <v>0</v>
      </c>
      <c r="E6484" t="str">
        <v>D</v>
      </c>
      <c r="F6484">
        <f>IF(AND(F6481=F6482,F6481=F6483,F6482=F6483),F6481,0)</f>
        <v>19</v>
      </c>
      <c r="L6484" t="str">
        <v>Total panjang per balok</v>
      </c>
      <c r="M6484" t="str">
        <v>=</v>
      </c>
      <c r="N6484">
        <f>IF(AND(D6481=D6482,D6481=D6483,D6482=D6483,F6481=F6482,F6481=F6483,F6482=F6483),SUM(N6481:N6483),0)</f>
        <v>0</v>
      </c>
      <c r="O6484" t="str">
        <v>+</v>
      </c>
      <c r="P6484">
        <f>IF(N6484&gt;12,ROUNDDOWN(N6484/12,0),0)</f>
        <v>0</v>
      </c>
      <c r="Q6484" t="str">
        <v>x</v>
      </c>
      <c r="R6484">
        <f>IF(P6484&gt;0,MAX(VLOOKUP(F6484,$D$6:$G$15,3,FALSE),600),0)/1000</f>
        <v>0</v>
      </c>
      <c r="T6484" t="str">
        <v>x</v>
      </c>
      <c r="U6484">
        <f>U6483</f>
        <v>2.225565</v>
      </c>
      <c r="V6484" t="str">
        <v>x</v>
      </c>
      <c r="W6484">
        <f>D6484</f>
        <v>0</v>
      </c>
      <c r="X6484" t="str">
        <v>x</v>
      </c>
      <c r="Y6484">
        <f>Y6483</f>
        <v>1</v>
      </c>
      <c r="Z6484" t="str">
        <v>=</v>
      </c>
      <c r="AA6484">
        <f>(N6484+P6484*R6484/1000)*U6484*W6484*Y6484</f>
        <v>0</v>
      </c>
    </row>
    <row r="6486">
      <c r="A6486" t="str">
        <f>A6474</f>
        <v>Lantai 2</v>
      </c>
      <c r="B6486">
        <f>B6474</f>
        <v>21</v>
      </c>
      <c r="C6486" t="str">
        <v>Tul Peminggang</v>
      </c>
      <c r="D6486">
        <f>VLOOKUP(D6474,'Detail Balok'!$C$10:$AU$110,13,FALSE)</f>
        <v>2</v>
      </c>
      <c r="E6486" t="str">
        <v>D</v>
      </c>
      <c r="F6486">
        <f>VLOOKUP(D6474,'Detail Balok'!$C$10:$AU$110,15,FALSE)</f>
        <v>8</v>
      </c>
      <c r="J6486">
        <f>+D6476/1000</f>
        <v>6.1</v>
      </c>
      <c r="K6486" t="str">
        <v>+</v>
      </c>
      <c r="L6486">
        <f>2*$F$16*F6486/1000</f>
        <v>0.192</v>
      </c>
      <c r="M6486" t="str">
        <v>=</v>
      </c>
      <c r="N6486">
        <f>J6486+L6486</f>
        <v>6.292</v>
      </c>
      <c r="O6486" t="str">
        <v>+</v>
      </c>
      <c r="P6486">
        <f>IF(N6486&gt;12,ROUNDDOWN(N6486/12,0),0)</f>
        <v>0</v>
      </c>
      <c r="Q6486" t="str">
        <v>x</v>
      </c>
      <c r="R6486">
        <f>IF(P6486&gt;0,MAX(VLOOKUP(F6486,$D$6:$G$15,3,FALSE),600),0)/1000</f>
        <v>0</v>
      </c>
      <c r="T6486" t="str">
        <v>x</v>
      </c>
      <c r="U6486">
        <f>0.006165*F6486^2</f>
        <v>0.39456</v>
      </c>
      <c r="V6486" t="str">
        <v>x</v>
      </c>
      <c r="W6486">
        <f>+D6486</f>
        <v>2</v>
      </c>
      <c r="X6486" t="str">
        <v>x</v>
      </c>
      <c r="Y6486">
        <f>D6480</f>
        <v>1</v>
      </c>
      <c r="Z6486" t="str">
        <v>=</v>
      </c>
      <c r="AA6486">
        <f>(N6486+P6486*R6486/1000)*U6486*W6486*Y6486</f>
        <v>4.96514304</v>
      </c>
    </row>
    <row r="6489">
      <c r="A6489" t="str">
        <f>A6474</f>
        <v>Lantai 2</v>
      </c>
      <c r="B6489">
        <f>B6474</f>
        <v>21</v>
      </c>
      <c r="C6489" t="str">
        <v>Tul Bawah Tumpuan</v>
      </c>
      <c r="D6489">
        <f>VLOOKUP(D6474,'Detail Balok'!$C$10:$AU$110,22,FALSE)</f>
        <v>3</v>
      </c>
      <c r="E6489" t="str">
        <v>D</v>
      </c>
      <c r="F6489">
        <f>VLOOKUP(D6474,'Detail Balok'!$C$10:$AU$110,24,FALSE)</f>
        <v>19</v>
      </c>
      <c r="I6489" t="str">
        <v>(</v>
      </c>
      <c r="J6489">
        <f>+J6481</f>
        <v>1.525</v>
      </c>
      <c r="K6489" t="str">
        <v>+</v>
      </c>
      <c r="L6489">
        <f>MAX(VLOOKUP(F6489,N$6:P$15,3,FALSE)/1000,2/3*D6479/1000)+F$16*F6489/1000</f>
        <v>0.228</v>
      </c>
      <c r="M6489" t="str">
        <v>=</v>
      </c>
      <c r="N6489">
        <f>J6489+L6489</f>
        <v>1.753</v>
      </c>
      <c r="O6489" t="str">
        <v>+</v>
      </c>
      <c r="P6489">
        <f>D6489-D6490</f>
        <v>0</v>
      </c>
      <c r="Q6489" t="str">
        <v>x</v>
      </c>
      <c r="R6489">
        <f>IF(P6489&gt;0,$F$18*F6489/1000,0)</f>
        <v>0</v>
      </c>
      <c r="S6489" t="str">
        <v>)</v>
      </c>
      <c r="T6489" t="str">
        <v>x</v>
      </c>
      <c r="U6489">
        <f>0.006165*F6489^2</f>
        <v>2.225565</v>
      </c>
      <c r="X6489" t="str">
        <v>x</v>
      </c>
      <c r="Y6489">
        <f>D6480</f>
        <v>1</v>
      </c>
      <c r="Z6489" t="str">
        <v>=</v>
      </c>
      <c r="AA6489">
        <f>IF(AA6492=0,(D6489*N6489+P6489*R6489)*U6489*Y6489,0)</f>
        <v>0</v>
      </c>
    </row>
    <row r="6490">
      <c r="A6490" t="str">
        <f>A6474</f>
        <v>Lantai 2</v>
      </c>
      <c r="B6490">
        <f>B6474</f>
        <v>21</v>
      </c>
      <c r="C6490" t="str">
        <v>Tul Bawah Lapangan</v>
      </c>
      <c r="D6490">
        <f>VLOOKUP(D6474,'Detail Balok'!$C$10:$AU$110,25,FALSE)</f>
        <v>3</v>
      </c>
      <c r="E6490" t="str">
        <v>D</v>
      </c>
      <c r="F6490">
        <f>VLOOKUP(D6474,'Detail Balok'!$C$10:$AU$110,27,FALSE)</f>
        <v>19</v>
      </c>
      <c r="I6490" t="str">
        <v>(</v>
      </c>
      <c r="J6490">
        <f>+J6482</f>
        <v>3.05</v>
      </c>
      <c r="K6490" t="str">
        <v>+</v>
      </c>
      <c r="M6490" t="str">
        <v>=</v>
      </c>
      <c r="N6490">
        <f>J6490+L6490</f>
        <v>3.05</v>
      </c>
      <c r="O6490" t="str">
        <v>+</v>
      </c>
      <c r="P6490">
        <f>MAX(D6490-D6489,D6490-D6491)</f>
        <v>0</v>
      </c>
      <c r="Q6490" t="str">
        <v>x</v>
      </c>
      <c r="R6490">
        <f>IF(P6490&gt;0,2*(1-2*$F$19-1/2)*D6477/1000,0)</f>
        <v>0</v>
      </c>
      <c r="S6490" t="str">
        <v>)</v>
      </c>
      <c r="T6490" t="str">
        <v>x</v>
      </c>
      <c r="U6490">
        <f>0.006165*F6490^2</f>
        <v>2.225565</v>
      </c>
      <c r="X6490" t="str">
        <v>x</v>
      </c>
      <c r="Y6490">
        <f>D6480</f>
        <v>1</v>
      </c>
      <c r="Z6490" t="str">
        <v>=</v>
      </c>
      <c r="AA6490">
        <f>IF(AA6492=0,(D6490*N6490+P6490*R6490)*U6490*Y6490,0)</f>
        <v>0</v>
      </c>
    </row>
    <row r="6491">
      <c r="A6491" t="str">
        <f>A6474</f>
        <v>Lantai 2</v>
      </c>
      <c r="B6491">
        <f>B6474</f>
        <v>21</v>
      </c>
      <c r="C6491" t="str">
        <v>Tul Bawah Tumpuan</v>
      </c>
      <c r="D6491">
        <f>VLOOKUP(D6474,'Detail Balok'!$C$10:$AU$110,28,FALSE)</f>
        <v>3</v>
      </c>
      <c r="E6491" t="str">
        <v>D</v>
      </c>
      <c r="F6491">
        <f>VLOOKUP(D6474,'Detail Balok'!$C$10:$AU$110,30,FALSE)</f>
        <v>19</v>
      </c>
      <c r="I6491" t="str">
        <v>(</v>
      </c>
      <c r="J6491">
        <f>+J6483</f>
        <v>1.525</v>
      </c>
      <c r="K6491" t="str">
        <v>+</v>
      </c>
      <c r="L6491">
        <f>MAX(VLOOKUP(F6491,N$6:P$15,3,FALSE)/1000,2/3*D6479/1000)+F$16*F6491/1000</f>
        <v>0.228</v>
      </c>
      <c r="M6491" t="str">
        <v>=</v>
      </c>
      <c r="N6491">
        <f>J6491+L6491</f>
        <v>1.753</v>
      </c>
      <c r="O6491" t="str">
        <v>+</v>
      </c>
      <c r="P6491">
        <f>D6491-D6490</f>
        <v>0</v>
      </c>
      <c r="Q6491" t="str">
        <v>x</v>
      </c>
      <c r="R6491">
        <f>IF(P6491&gt;0,$F$18*F6491/1000,0)</f>
        <v>0</v>
      </c>
      <c r="S6491" t="str">
        <v>)</v>
      </c>
      <c r="T6491" t="str">
        <v>x</v>
      </c>
      <c r="U6491">
        <f>0.006165*F6491^2</f>
        <v>2.225565</v>
      </c>
      <c r="X6491" t="str">
        <v>x</v>
      </c>
      <c r="Y6491">
        <f>D6480</f>
        <v>1</v>
      </c>
      <c r="Z6491" t="str">
        <v>=</v>
      </c>
      <c r="AA6491">
        <f>IF(AA6492=0,(D6491*N6491+P6491*R6491)*U6491*Y6491,0)</f>
        <v>0</v>
      </c>
    </row>
    <row r="6492">
      <c r="A6492" t="str">
        <f>A6474</f>
        <v>Lantai 2</v>
      </c>
      <c r="B6492">
        <f>B6474</f>
        <v>21</v>
      </c>
      <c r="D6492">
        <f>IF(AND(D6489=D6490,D6490=D6491,D6489=D6491),D6489,0)</f>
        <v>3</v>
      </c>
      <c r="E6492" t="str">
        <v>D</v>
      </c>
      <c r="F6492">
        <f>IF(AND(F6489=F6490,F6489=F6491,F6490=F6491),F6489,0)</f>
        <v>19</v>
      </c>
      <c r="L6492" t="str">
        <v>Total panjang per balok</v>
      </c>
      <c r="M6492" t="str">
        <v>=</v>
      </c>
      <c r="N6492">
        <f>IF(AND(D6489=D6490,D6489=D6491,D6490=D6491,F6489=F6490,F6489=F6491,F6490=F6491),SUM(N6489:N6491),0)</f>
        <v>6.556</v>
      </c>
      <c r="O6492" t="str">
        <v>+</v>
      </c>
      <c r="P6492">
        <f>IF(N6492&gt;12,ROUNDDOWN(N6492/12,0),0)</f>
        <v>0</v>
      </c>
      <c r="Q6492" t="str">
        <v>x</v>
      </c>
      <c r="R6492">
        <f>IF(P6492&gt;0,MAX(VLOOKUP(F6492,$D$6:$G$15,3,FALSE),600),0)/1000</f>
        <v>0</v>
      </c>
      <c r="T6492" t="str">
        <v>x</v>
      </c>
      <c r="U6492">
        <f>U6491</f>
        <v>2.225565</v>
      </c>
      <c r="V6492" t="str">
        <v>x</v>
      </c>
      <c r="W6492">
        <f>D6492</f>
        <v>3</v>
      </c>
      <c r="X6492" t="str">
        <v>x</v>
      </c>
      <c r="Y6492">
        <f>Y6491</f>
        <v>1</v>
      </c>
      <c r="Z6492" t="str">
        <v>=</v>
      </c>
      <c r="AA6492">
        <f>(N6492+P6492*R6492/1000)*U6492*W6492*Y6492</f>
        <v>43.772412419999995</v>
      </c>
    </row>
    <row r="6494">
      <c r="A6494" t="str">
        <f>A6474</f>
        <v>Lantai 2</v>
      </c>
      <c r="B6494">
        <f>B6474</f>
        <v>21</v>
      </c>
      <c r="C6494" t="str">
        <v>Sengkang Tumpuan</v>
      </c>
      <c r="D6494">
        <f>VLOOKUP(D6474,'Detail Balok'!$C$10:$AU$110,31,FALSE)</f>
        <v>0</v>
      </c>
      <c r="E6494" t="str">
        <v>D</v>
      </c>
      <c r="F6494">
        <f>VLOOKUP(D6474,'Detail Balok'!$C$10:$AU$110,33,FALSE)</f>
        <v>8</v>
      </c>
      <c r="G6494" t="str">
        <v>-</v>
      </c>
      <c r="H6494">
        <f>VLOOKUP(D6474,'Detail Balok'!$C$10:$AU$110,35,FALSE)</f>
        <v>150</v>
      </c>
      <c r="J6494">
        <f>(IF(D6494=0,(2*(D6475+G6475))-(F$5*8),IF(D6494=3,(2*(D6475+G6475))-(F$5*8)+(G6475-2*F$5),IF(D6494=4,(2*(D6475+G6475))-(F$5*8)+2*(G6475-2*F$5)))))/1000</f>
        <v>0.98</v>
      </c>
      <c r="K6494" t="str">
        <v>+</v>
      </c>
      <c r="L6494">
        <f>IF(D6494=0,2*MAX(6*F6494,75),(D6494-1)*2*MAX(6*F6494,75))/1000</f>
        <v>0.15</v>
      </c>
      <c r="M6494" t="str">
        <v>=</v>
      </c>
      <c r="N6494">
        <f>J6494+L6494</f>
        <v>1.13</v>
      </c>
      <c r="T6494" t="str">
        <v>x</v>
      </c>
      <c r="U6494">
        <f>0.006165*F6494^2</f>
        <v>0.39456</v>
      </c>
      <c r="V6494" t="str">
        <v>x</v>
      </c>
      <c r="W6494">
        <f>IF(D6477&gt;4*G6475,ROUND(MAX(D6477/4,2*G6475)/H6494,0)+1,ROUND(D6477/H6494,0)+1)</f>
        <v>11</v>
      </c>
      <c r="X6494" t="str">
        <v>x</v>
      </c>
      <c r="Y6494">
        <f>D6480</f>
        <v>1</v>
      </c>
      <c r="Z6494" t="str">
        <v>=</v>
      </c>
      <c r="AA6494">
        <f>N6494*U6494*W6494*Y6494</f>
        <v>4.9043808</v>
      </c>
    </row>
    <row r="6495">
      <c r="A6495" t="str">
        <f>A6474</f>
        <v>Lantai 2</v>
      </c>
      <c r="B6495">
        <f>B6474</f>
        <v>21</v>
      </c>
      <c r="C6495" t="str">
        <v>Sengkang Lapangan</v>
      </c>
      <c r="D6495">
        <f>VLOOKUP(D6474,'Detail Balok'!$C$10:$AU$110,36,FALSE)</f>
        <v>0</v>
      </c>
      <c r="E6495" t="str">
        <v>D</v>
      </c>
      <c r="F6495">
        <f>VLOOKUP(D6474,'Detail Balok'!$C$10:$AU$110,38,FALSE)</f>
        <v>8</v>
      </c>
      <c r="G6495" t="str">
        <v>-</v>
      </c>
      <c r="H6495">
        <f>VLOOKUP(D6474,'Detail Balok'!$C$10:$AU$110,40,FALSE)</f>
        <v>200</v>
      </c>
      <c r="J6495">
        <f>(IF(D6495=0,(2*(D6475+G6475))-(F$5*8),IF(D6495=3,(2*(D6475+G6475))-(F$5*8)+(G6475-2*F$5),IF(D6495=4,(2*(D6475+G6475))-(F$5*8)+2*(G6475-2*F$5)))))/1000</f>
        <v>0.98</v>
      </c>
      <c r="K6495" t="str">
        <v>+</v>
      </c>
      <c r="L6495">
        <f>IF(D6495=0,2*MAX(6*F6495,75),(D6495-1)*2*MAX(6*F6495,75))/1000</f>
        <v>0.15</v>
      </c>
      <c r="M6495" t="str">
        <v>=</v>
      </c>
      <c r="N6495">
        <f>J6495+L6495</f>
        <v>1.13</v>
      </c>
      <c r="T6495" t="str">
        <v>x</v>
      </c>
      <c r="U6495">
        <f>0.006165*F6495^2</f>
        <v>0.39456</v>
      </c>
      <c r="V6495" t="str">
        <v>x</v>
      </c>
      <c r="W6495">
        <f>IF(D6477-MAX(D6477/4,2*G6475)*2&gt;0,ROUND((D6477-MAX(D6477/4,2*G6475)*2)/H6495,0),0)</f>
        <v>15</v>
      </c>
      <c r="X6495" t="str">
        <v>x</v>
      </c>
      <c r="Y6495">
        <f>D6480</f>
        <v>1</v>
      </c>
      <c r="Z6495" t="str">
        <v>=</v>
      </c>
      <c r="AA6495">
        <f>N6495*U6495*W6495*Y6495</f>
        <v>6.687792</v>
      </c>
    </row>
    <row r="6496">
      <c r="A6496" t="str">
        <f>A6474</f>
        <v>Lantai 2</v>
      </c>
      <c r="B6496">
        <f>B6474</f>
        <v>21</v>
      </c>
      <c r="C6496" t="str">
        <v>Sengkang Tumpuan</v>
      </c>
      <c r="D6496">
        <f>VLOOKUP(D6474,'Detail Balok'!$C$10:$AU$110,41,FALSE)</f>
        <v>0</v>
      </c>
      <c r="E6496" t="str">
        <v>D</v>
      </c>
      <c r="F6496">
        <f>VLOOKUP(D6474,'Detail Balok'!$C$10:$AU$110,43,FALSE)</f>
        <v>8</v>
      </c>
      <c r="G6496" t="str">
        <v>-</v>
      </c>
      <c r="H6496">
        <f>VLOOKUP(D6474,'Detail Balok'!$C$10:$AU$110,45,FALSE)</f>
        <v>150</v>
      </c>
      <c r="J6496">
        <f>(IF(D6496=0,(2*(D6475+G6475))-(F$5*8),IF(D6496=3,(2*(D6475+G6475))-(F$5*8)+(G6475-2*F$5),IF(D6496=4,(2*(D6475+G6475))-(F$5*8)+2*(G6475-2*F$5)))))/1000</f>
        <v>0.98</v>
      </c>
      <c r="K6496" t="str">
        <v>+</v>
      </c>
      <c r="L6496">
        <f>IF(D6496=0,2*MAX(6*F6496,75),(D6496-1)*2*MAX(6*F6496,75))/1000</f>
        <v>0.15</v>
      </c>
      <c r="M6496" t="str">
        <v>=</v>
      </c>
      <c r="N6496">
        <f>J6496+L6496</f>
        <v>1.13</v>
      </c>
      <c r="T6496" t="str">
        <v>x</v>
      </c>
      <c r="U6496">
        <f>0.006165*F6496^2</f>
        <v>0.39456</v>
      </c>
      <c r="V6496" t="str">
        <v>x</v>
      </c>
      <c r="W6496">
        <f>IF(D6477&gt;4*G6475,ROUND(MAX(D6477/4,2*G6475)/H6496,0)+1,0)</f>
        <v>11</v>
      </c>
      <c r="X6496" t="str">
        <v>x</v>
      </c>
      <c r="Y6496">
        <f>D6480</f>
        <v>1</v>
      </c>
      <c r="Z6496" t="str">
        <v>=</v>
      </c>
      <c r="AA6496">
        <f>N6496*U6496*W6496*Y6496</f>
        <v>4.9043808</v>
      </c>
    </row>
    <row r="6498">
      <c r="A6498" t="str">
        <f>A6474</f>
        <v>Lantai 2</v>
      </c>
      <c r="B6498">
        <f>B6474</f>
        <v>21</v>
      </c>
      <c r="C6498" t="str">
        <v>Kait Horizontal Tump.</v>
      </c>
      <c r="D6498">
        <f>VLOOKUP(D6474,'Detail Balok'!$C$10:$BJ$110,46,FALSE)</f>
        <v>0</v>
      </c>
      <c r="E6498" t="str">
        <v>D</v>
      </c>
      <c r="F6498">
        <f>VLOOKUP(D6474,'Detail Balok'!$C$10:$BJ$110,48,FALSE)</f>
        <v>0</v>
      </c>
      <c r="G6498" t="str">
        <v>-</v>
      </c>
      <c r="H6498">
        <f>VLOOKUP(D6474,'Detail Balok'!$C$10:$BJ$110,50,FALSE)</f>
        <v>100</v>
      </c>
      <c r="J6498">
        <f>(D6475-2*F$5)/1000</f>
        <v>0.12</v>
      </c>
      <c r="K6498" t="str">
        <v>+</v>
      </c>
      <c r="L6498">
        <f>IF(D6498=0,2*MAX(6*F6498,75),(D6498-1)*2*MAX(6*F6498,75))/1000</f>
        <v>0.15</v>
      </c>
      <c r="M6498" t="str">
        <v>=</v>
      </c>
      <c r="N6498">
        <f>J6498+L6498</f>
        <v>0.27</v>
      </c>
      <c r="T6498" t="str">
        <v>x</v>
      </c>
      <c r="U6498">
        <f>0.006165*F6498^2</f>
        <v>0</v>
      </c>
      <c r="V6498" t="str">
        <v>x</v>
      </c>
      <c r="W6498">
        <f>W6494</f>
        <v>11</v>
      </c>
      <c r="X6498" t="str">
        <v>x</v>
      </c>
      <c r="Y6498">
        <f>D6484</f>
        <v>0</v>
      </c>
      <c r="Z6498" t="str">
        <v>=</v>
      </c>
      <c r="AA6498">
        <f>N6498*U6498*W6498*Y6498</f>
        <v>0</v>
      </c>
    </row>
    <row r="6499">
      <c r="A6499" t="str">
        <f>A6474</f>
        <v>Lantai 2</v>
      </c>
      <c r="B6499">
        <f>B6474</f>
        <v>21</v>
      </c>
      <c r="C6499" t="str">
        <v>Kait Horizontal Lap.</v>
      </c>
      <c r="D6499">
        <f>VLOOKUP(D6474,'Detail Balok'!$C$10:$BJ$110,51,FALSE)</f>
        <v>0</v>
      </c>
      <c r="E6499" t="str">
        <v>D</v>
      </c>
      <c r="F6499">
        <f>VLOOKUP(D6474,'Detail Balok'!$C$10:$BJ$110,53,FALSE)</f>
        <v>0</v>
      </c>
      <c r="G6499" t="str">
        <v>-</v>
      </c>
      <c r="H6499">
        <f>VLOOKUP(D6474,'Detail Balok'!$C$10:$BJ$110,55,FALSE)</f>
        <v>100</v>
      </c>
      <c r="J6499">
        <f>(D6475-2*F$5)/1000</f>
        <v>0.12</v>
      </c>
      <c r="K6499" t="str">
        <v>+</v>
      </c>
      <c r="L6499">
        <f>IF(D6499=0,2*MAX(6*F6499,75),(D6499-1)*2*MAX(6*F6499,75))/1000</f>
        <v>0.15</v>
      </c>
      <c r="M6499" t="str">
        <v>=</v>
      </c>
      <c r="N6499">
        <f>J6499+L6499</f>
        <v>0.27</v>
      </c>
      <c r="T6499" t="str">
        <v>x</v>
      </c>
      <c r="U6499">
        <f>0.006165*F6499^2</f>
        <v>0</v>
      </c>
      <c r="V6499" t="str">
        <v>x</v>
      </c>
      <c r="W6499">
        <f>W6495</f>
        <v>15</v>
      </c>
      <c r="X6499" t="str">
        <v>x</v>
      </c>
      <c r="Y6499">
        <f>D6484</f>
        <v>0</v>
      </c>
      <c r="Z6499" t="str">
        <v>=</v>
      </c>
      <c r="AA6499">
        <f>N6499*U6499*W6499*Y6499</f>
        <v>0</v>
      </c>
    </row>
    <row r="6500">
      <c r="A6500" t="str">
        <f>A6474</f>
        <v>Lantai 2</v>
      </c>
      <c r="B6500">
        <f>B6474</f>
        <v>21</v>
      </c>
      <c r="C6500" t="str">
        <v>Kait Horizontal Tump.</v>
      </c>
      <c r="D6500">
        <f>VLOOKUP(D6474,'Detail Balok'!$C$10:$BJ$110,56,FALSE)</f>
        <v>0</v>
      </c>
      <c r="E6500" t="str">
        <v>D</v>
      </c>
      <c r="F6500">
        <f>VLOOKUP(D6474,'Detail Balok'!$C$10:$BJ$110,58,FALSE)</f>
        <v>0</v>
      </c>
      <c r="G6500" t="str">
        <v>-</v>
      </c>
      <c r="H6500">
        <f>VLOOKUP(D6474,'Detail Balok'!$C$10:$BJ$110,60,FALSE)</f>
        <v>100</v>
      </c>
      <c r="J6500">
        <f>(D6475-2*F$5)/1000</f>
        <v>0.12</v>
      </c>
      <c r="K6500" t="str">
        <v>+</v>
      </c>
      <c r="L6500">
        <f>IF(D6500=0,2*MAX(6*F6500,75),(D6500-1)*2*MAX(6*F6500,75))/1000</f>
        <v>0.15</v>
      </c>
      <c r="M6500" t="str">
        <v>=</v>
      </c>
      <c r="N6500">
        <f>J6500+L6500</f>
        <v>0.27</v>
      </c>
      <c r="T6500" t="str">
        <v>x</v>
      </c>
      <c r="U6500">
        <f>0.006165*F6500^2</f>
        <v>0</v>
      </c>
      <c r="V6500" t="str">
        <v>x</v>
      </c>
      <c r="W6500">
        <f>W6496</f>
        <v>11</v>
      </c>
      <c r="X6500" t="str">
        <v>x</v>
      </c>
      <c r="Y6500">
        <f>D6484</f>
        <v>0</v>
      </c>
      <c r="Z6500" t="str">
        <v>=</v>
      </c>
      <c r="AA6500">
        <f>N6500*U6500*W6500*Y6500</f>
        <v>0</v>
      </c>
    </row>
    <row r="6504">
      <c r="A6504" t="str">
        <f>A6474</f>
        <v>Lantai 2</v>
      </c>
      <c r="B6504">
        <f>B6474+1</f>
        <v>22</v>
      </c>
      <c r="C6504" t="str">
        <f>CONCATENATE(A6504," no. ",B6504)</f>
        <v>Lantai 2 no. 22</v>
      </c>
      <c r="D6504" t="str">
        <f>VLOOKUP(C6504,'Data Panjang Balok'!$C$9:$N$424,2,FALSE)</f>
        <v>B245-1</v>
      </c>
    </row>
    <row r="6505">
      <c r="C6505" t="str">
        <v>Dimensi</v>
      </c>
      <c r="D6505">
        <f>VLOOKUP(D6504,'Detail Balok'!$C$10:$AU$110,2,FALSE)</f>
        <v>200</v>
      </c>
      <c r="F6505" t="str">
        <v>x</v>
      </c>
      <c r="G6505">
        <f>VLOOKUP(D6504,'Detail Balok'!$C$10:$AU$110,3,FALSE)</f>
        <v>450</v>
      </c>
    </row>
    <row r="6506">
      <c r="C6506" t="str">
        <v>Panjang as ke as</v>
      </c>
      <c r="D6506">
        <f>VLOOKUP(C6504,'Data Panjang Balok'!$C$9:$N$424,4,FALSE)</f>
        <v>7215</v>
      </c>
    </row>
    <row r="6507">
      <c r="C6507" t="str">
        <v>Panjang netto</v>
      </c>
      <c r="D6507">
        <f>VLOOKUP(C6504,'Data Panjang Balok'!$C$9:$N$424,7,FALSE)</f>
        <v>7215</v>
      </c>
    </row>
    <row r="6508">
      <c r="C6508" t="str">
        <v>Kolom / balok kiri</v>
      </c>
      <c r="D6508">
        <f>VLOOKUP(C6504,'Data Panjang Balok'!$C$9:$N$424,9,FALSE)</f>
        <v>0</v>
      </c>
    </row>
    <row r="6509">
      <c r="C6509" t="str">
        <v>Kolom / balok kanan</v>
      </c>
      <c r="D6509">
        <f>VLOOKUP(C6504,'Data Panjang Balok'!$C$9:$N$424,10,FALSE)</f>
        <v>0</v>
      </c>
    </row>
    <row r="6510">
      <c r="C6510" t="str">
        <v>Jumlah</v>
      </c>
      <c r="D6510">
        <f>VLOOKUP(C6504,'Data Panjang Balok'!$C$9:$N$424,3,FALSE)</f>
        <v>1</v>
      </c>
    </row>
    <row r="6511">
      <c r="A6511" t="str">
        <f>A6504</f>
        <v>Lantai 2</v>
      </c>
      <c r="B6511">
        <f>B6504</f>
        <v>22</v>
      </c>
      <c r="C6511" t="str">
        <v>Tul Atas Tumpuan</v>
      </c>
      <c r="D6511">
        <f>VLOOKUP(D6504,'Detail Balok'!$C$10:$AU$110,4,FALSE)</f>
        <v>2</v>
      </c>
      <c r="E6511" t="str">
        <v>D</v>
      </c>
      <c r="F6511">
        <f>VLOOKUP(D6504,'Detail Balok'!$C$10:$AU$110,6,FALSE)</f>
        <v>13</v>
      </c>
      <c r="I6511" t="str">
        <v>(</v>
      </c>
      <c r="J6511">
        <f>+D6506/4/1000</f>
        <v>1.80375</v>
      </c>
      <c r="K6511" t="str">
        <v>+</v>
      </c>
      <c r="L6511">
        <f>MAX(VLOOKUP(F6511,N$6:P$15,3,FALSE)/1000,2/3*D6508/1000)+F$16*F6511/1000</f>
        <v>0.156</v>
      </c>
      <c r="M6511" t="str">
        <v>=</v>
      </c>
      <c r="N6511">
        <f>J6511+L6511</f>
        <v>1.9597499999999999</v>
      </c>
      <c r="O6511" t="str">
        <v>+</v>
      </c>
      <c r="P6511">
        <f>D6511-D6512</f>
        <v>0</v>
      </c>
      <c r="Q6511" t="str">
        <v>x</v>
      </c>
      <c r="R6511">
        <f>IF(P6511&gt;0,$F$18*F6511/1000,0)</f>
        <v>0</v>
      </c>
      <c r="S6511" t="str">
        <v>)</v>
      </c>
      <c r="T6511" t="str">
        <v>x</v>
      </c>
      <c r="U6511">
        <f>0.006165*F6511^2</f>
        <v>1.041885</v>
      </c>
      <c r="X6511" t="str">
        <v>x</v>
      </c>
      <c r="Y6511">
        <f>D6510</f>
        <v>1</v>
      </c>
      <c r="Z6511" t="str">
        <v>=</v>
      </c>
      <c r="AA6511">
        <f>IF(AA6514=0,(D6511*N6511+P6511*R6511)*U6511*Y6511,0)</f>
        <v>0</v>
      </c>
    </row>
    <row r="6512">
      <c r="A6512" t="str">
        <f>A6504</f>
        <v>Lantai 2</v>
      </c>
      <c r="B6512">
        <f>B6504</f>
        <v>22</v>
      </c>
      <c r="C6512" t="str">
        <v>Tul Atas Lapangan</v>
      </c>
      <c r="D6512">
        <f>VLOOKUP(D6504,'Detail Balok'!$C$10:$AU$110,7,FALSE)</f>
        <v>2</v>
      </c>
      <c r="E6512" t="str">
        <v>D</v>
      </c>
      <c r="F6512">
        <f>VLOOKUP(D6504,'Detail Balok'!$C$10:$AU$110,9,FALSE)</f>
        <v>13</v>
      </c>
      <c r="I6512" t="str">
        <v>(</v>
      </c>
      <c r="J6512">
        <f>+D6506/2/1000</f>
        <v>3.6075</v>
      </c>
      <c r="K6512" t="str">
        <v>+</v>
      </c>
      <c r="M6512" t="str">
        <v>=</v>
      </c>
      <c r="N6512">
        <f>J6512+L6512</f>
        <v>3.6075</v>
      </c>
      <c r="O6512" t="str">
        <v>+</v>
      </c>
      <c r="P6512">
        <f>MAX(D6512-D6511,D6512-D6513)</f>
        <v>0</v>
      </c>
      <c r="Q6512" t="str">
        <v>x</v>
      </c>
      <c r="R6512">
        <f>IF(P6512&gt;0,2*(1-2*$F$19-1/2)*D6507/1000,0)</f>
        <v>0</v>
      </c>
      <c r="S6512" t="str">
        <v>)</v>
      </c>
      <c r="T6512" t="str">
        <v>x</v>
      </c>
      <c r="U6512">
        <f>0.006165*F6512^2</f>
        <v>1.041885</v>
      </c>
      <c r="X6512" t="str">
        <v>x</v>
      </c>
      <c r="Y6512">
        <f>D6510</f>
        <v>1</v>
      </c>
      <c r="Z6512" t="str">
        <v>=</v>
      </c>
      <c r="AA6512">
        <f>IF(AA6514=0,(D6512*N6512+P6512*R6512)*U6512*Y6512,0)</f>
        <v>0</v>
      </c>
    </row>
    <row r="6513">
      <c r="A6513" t="str">
        <f>A6504</f>
        <v>Lantai 2</v>
      </c>
      <c r="B6513">
        <f>B6504</f>
        <v>22</v>
      </c>
      <c r="C6513" t="str">
        <v>Tul Atas Tumpuan</v>
      </c>
      <c r="D6513">
        <f>VLOOKUP(D6504,'Detail Balok'!$C$10:$AU$110,10,FALSE)</f>
        <v>2</v>
      </c>
      <c r="E6513" t="str">
        <v>D</v>
      </c>
      <c r="F6513">
        <f>VLOOKUP(D6504,'Detail Balok'!$C$10:$AU$110,12,FALSE)</f>
        <v>13</v>
      </c>
      <c r="I6513" t="str">
        <v>(</v>
      </c>
      <c r="J6513">
        <f>+D6506/4/1000</f>
        <v>1.80375</v>
      </c>
      <c r="K6513" t="str">
        <v>+</v>
      </c>
      <c r="L6513">
        <f>MAX(VLOOKUP(F6513,N$6:P$15,3,FALSE)/1000,2/3*D6508/1000)+F$16*F6513/1000</f>
        <v>0.156</v>
      </c>
      <c r="M6513" t="str">
        <v>=</v>
      </c>
      <c r="N6513">
        <f>J6513+L6513</f>
        <v>1.9597499999999999</v>
      </c>
      <c r="O6513" t="str">
        <v>+</v>
      </c>
      <c r="P6513">
        <f>D6513-D6512</f>
        <v>0</v>
      </c>
      <c r="Q6513" t="str">
        <v>x</v>
      </c>
      <c r="R6513">
        <f>IF(P6513&gt;0,$F$18*F6513/1000,0)</f>
        <v>0</v>
      </c>
      <c r="S6513" t="str">
        <v>)</v>
      </c>
      <c r="T6513" t="str">
        <v>x</v>
      </c>
      <c r="U6513">
        <f>0.006165*F6513^2</f>
        <v>1.041885</v>
      </c>
      <c r="X6513" t="str">
        <v>x</v>
      </c>
      <c r="Y6513">
        <f>D6510</f>
        <v>1</v>
      </c>
      <c r="Z6513" t="str">
        <v>=</v>
      </c>
      <c r="AA6513">
        <f>IF(AA6514=0,(D6513*N6513+P6513*R6513)*U6513*Y6513,0)</f>
        <v>0</v>
      </c>
    </row>
    <row r="6514">
      <c r="A6514" t="str">
        <f>A6504</f>
        <v>Lantai 2</v>
      </c>
      <c r="B6514">
        <f>B6504</f>
        <v>22</v>
      </c>
      <c r="D6514">
        <f>IF(AND(D6511=D6512,D6512=D6513,D6511=D6513),D6511,0)</f>
        <v>2</v>
      </c>
      <c r="E6514" t="str">
        <v>D</v>
      </c>
      <c r="F6514">
        <f>IF(AND(F6511=F6512,F6511=F6513,F6512=F6513),F6511,0)</f>
        <v>13</v>
      </c>
      <c r="L6514" t="str">
        <v>Total panjang per balok</v>
      </c>
      <c r="M6514" t="str">
        <v>=</v>
      </c>
      <c r="N6514">
        <f>IF(AND(D6511=D6512,D6511=D6513,D6512=D6513,F6511=F6512,F6511=F6513,F6512=F6513),SUM(N6511:N6513),0)</f>
        <v>7.526999999999999</v>
      </c>
      <c r="O6514" t="str">
        <v>+</v>
      </c>
      <c r="P6514">
        <f>IF(N6514&gt;12,ROUNDDOWN(N6514/12,0),0)</f>
        <v>0</v>
      </c>
      <c r="Q6514" t="str">
        <v>x</v>
      </c>
      <c r="R6514">
        <f>IF(P6514&gt;0,MAX(VLOOKUP(F6514,$D$6:$G$15,3,FALSE),600),0)/1000</f>
        <v>0</v>
      </c>
      <c r="T6514" t="str">
        <v>x</v>
      </c>
      <c r="U6514">
        <f>U6513</f>
        <v>1.041885</v>
      </c>
      <c r="V6514" t="str">
        <v>x</v>
      </c>
      <c r="W6514">
        <f>D6514</f>
        <v>2</v>
      </c>
      <c r="X6514" t="str">
        <v>x</v>
      </c>
      <c r="Y6514">
        <f>Y6513</f>
        <v>1</v>
      </c>
      <c r="Z6514" t="str">
        <v>=</v>
      </c>
      <c r="AA6514">
        <f>(N6514+P6514*R6514/1000)*U6514*W6514*Y6514</f>
        <v>15.684536789999997</v>
      </c>
    </row>
    <row r="6516">
      <c r="A6516" t="str">
        <f>A6504</f>
        <v>Lantai 2</v>
      </c>
      <c r="B6516">
        <f>B6504</f>
        <v>22</v>
      </c>
      <c r="C6516" t="str">
        <v>Tul Peminggang</v>
      </c>
      <c r="D6516">
        <f>VLOOKUP(D6504,'Detail Balok'!$C$10:$AU$110,13,FALSE)</f>
        <v>2</v>
      </c>
      <c r="E6516" t="str">
        <v>D</v>
      </c>
      <c r="F6516">
        <f>VLOOKUP(D6504,'Detail Balok'!$C$10:$AU$110,15,FALSE)</f>
        <v>8</v>
      </c>
      <c r="J6516">
        <f>+D6506/1000</f>
        <v>7.215</v>
      </c>
      <c r="K6516" t="str">
        <v>+</v>
      </c>
      <c r="L6516">
        <f>2*$F$16*F6516/1000</f>
        <v>0.192</v>
      </c>
      <c r="M6516" t="str">
        <v>=</v>
      </c>
      <c r="N6516">
        <f>J6516+L6516</f>
        <v>7.407</v>
      </c>
      <c r="O6516" t="str">
        <v>+</v>
      </c>
      <c r="P6516">
        <f>IF(N6516&gt;12,ROUNDDOWN(N6516/12,0),0)</f>
        <v>0</v>
      </c>
      <c r="Q6516" t="str">
        <v>x</v>
      </c>
      <c r="R6516">
        <f>IF(P6516&gt;0,MAX(VLOOKUP(F6516,$D$6:$G$15,3,FALSE),600),0)/1000</f>
        <v>0</v>
      </c>
      <c r="T6516" t="str">
        <v>x</v>
      </c>
      <c r="U6516">
        <f>0.006165*F6516^2</f>
        <v>0.39456</v>
      </c>
      <c r="V6516" t="str">
        <v>x</v>
      </c>
      <c r="W6516">
        <f>+D6516</f>
        <v>2</v>
      </c>
      <c r="X6516" t="str">
        <v>x</v>
      </c>
      <c r="Y6516">
        <f>D6510</f>
        <v>1</v>
      </c>
      <c r="Z6516" t="str">
        <v>=</v>
      </c>
      <c r="AA6516">
        <f>(N6516+P6516*R6516/1000)*U6516*W6516*Y6516</f>
        <v>5.845011840000001</v>
      </c>
    </row>
    <row r="6519">
      <c r="A6519" t="str">
        <f>A6504</f>
        <v>Lantai 2</v>
      </c>
      <c r="B6519">
        <f>B6504</f>
        <v>22</v>
      </c>
      <c r="C6519" t="str">
        <v>Tul Bawah Tumpuan</v>
      </c>
      <c r="D6519">
        <f>VLOOKUP(D6504,'Detail Balok'!$C$10:$AU$110,22,FALSE)</f>
        <v>2</v>
      </c>
      <c r="E6519" t="str">
        <v>D</v>
      </c>
      <c r="F6519">
        <f>VLOOKUP(D6504,'Detail Balok'!$C$10:$AU$110,24,FALSE)</f>
        <v>13</v>
      </c>
      <c r="I6519" t="str">
        <v>(</v>
      </c>
      <c r="J6519">
        <f>+J6511</f>
        <v>1.80375</v>
      </c>
      <c r="K6519" t="str">
        <v>+</v>
      </c>
      <c r="L6519">
        <f>MAX(VLOOKUP(F6519,N$6:P$15,3,FALSE)/1000,2/3*D6509/1000)+F$16*F6519/1000</f>
        <v>0.156</v>
      </c>
      <c r="M6519" t="str">
        <v>=</v>
      </c>
      <c r="N6519">
        <f>J6519+L6519</f>
        <v>1.9597499999999999</v>
      </c>
      <c r="O6519" t="str">
        <v>+</v>
      </c>
      <c r="P6519">
        <f>D6519-D6520</f>
        <v>0</v>
      </c>
      <c r="Q6519" t="str">
        <v>x</v>
      </c>
      <c r="R6519">
        <f>IF(P6519&gt;0,$F$18*F6519/1000,0)</f>
        <v>0</v>
      </c>
      <c r="S6519" t="str">
        <v>)</v>
      </c>
      <c r="T6519" t="str">
        <v>x</v>
      </c>
      <c r="U6519">
        <f>0.006165*F6519^2</f>
        <v>1.041885</v>
      </c>
      <c r="X6519" t="str">
        <v>x</v>
      </c>
      <c r="Y6519">
        <f>D6510</f>
        <v>1</v>
      </c>
      <c r="Z6519" t="str">
        <v>=</v>
      </c>
      <c r="AA6519">
        <f>IF(AA6522=0,(D6519*N6519+P6519*R6519)*U6519*Y6519,0)</f>
        <v>0</v>
      </c>
    </row>
    <row r="6520">
      <c r="A6520" t="str">
        <f>A6504</f>
        <v>Lantai 2</v>
      </c>
      <c r="B6520">
        <f>B6504</f>
        <v>22</v>
      </c>
      <c r="C6520" t="str">
        <v>Tul Bawah Lapangan</v>
      </c>
      <c r="D6520">
        <f>VLOOKUP(D6504,'Detail Balok'!$C$10:$AU$110,25,FALSE)</f>
        <v>2</v>
      </c>
      <c r="E6520" t="str">
        <v>D</v>
      </c>
      <c r="F6520">
        <f>VLOOKUP(D6504,'Detail Balok'!$C$10:$AU$110,27,FALSE)</f>
        <v>13</v>
      </c>
      <c r="I6520" t="str">
        <v>(</v>
      </c>
      <c r="J6520">
        <f>+J6512</f>
        <v>3.6075</v>
      </c>
      <c r="K6520" t="str">
        <v>+</v>
      </c>
      <c r="M6520" t="str">
        <v>=</v>
      </c>
      <c r="N6520">
        <f>J6520+L6520</f>
        <v>3.6075</v>
      </c>
      <c r="O6520" t="str">
        <v>+</v>
      </c>
      <c r="P6520">
        <f>MAX(D6520-D6519,D6520-D6521)</f>
        <v>0</v>
      </c>
      <c r="Q6520" t="str">
        <v>x</v>
      </c>
      <c r="R6520">
        <f>IF(P6520&gt;0,2*(1-2*$F$19-1/2)*D6507/1000,0)</f>
        <v>0</v>
      </c>
      <c r="S6520" t="str">
        <v>)</v>
      </c>
      <c r="T6520" t="str">
        <v>x</v>
      </c>
      <c r="U6520">
        <f>0.006165*F6520^2</f>
        <v>1.041885</v>
      </c>
      <c r="X6520" t="str">
        <v>x</v>
      </c>
      <c r="Y6520">
        <f>D6510</f>
        <v>1</v>
      </c>
      <c r="Z6520" t="str">
        <v>=</v>
      </c>
      <c r="AA6520">
        <f>IF(AA6522=0,(D6520*N6520+P6520*R6520)*U6520*Y6520,0)</f>
        <v>0</v>
      </c>
    </row>
    <row r="6521">
      <c r="A6521" t="str">
        <f>A6504</f>
        <v>Lantai 2</v>
      </c>
      <c r="B6521">
        <f>B6504</f>
        <v>22</v>
      </c>
      <c r="C6521" t="str">
        <v>Tul Bawah Tumpuan</v>
      </c>
      <c r="D6521">
        <f>VLOOKUP(D6504,'Detail Balok'!$C$10:$AU$110,28,FALSE)</f>
        <v>2</v>
      </c>
      <c r="E6521" t="str">
        <v>D</v>
      </c>
      <c r="F6521">
        <f>VLOOKUP(D6504,'Detail Balok'!$C$10:$AU$110,30,FALSE)</f>
        <v>13</v>
      </c>
      <c r="I6521" t="str">
        <v>(</v>
      </c>
      <c r="J6521">
        <f>+J6513</f>
        <v>1.80375</v>
      </c>
      <c r="K6521" t="str">
        <v>+</v>
      </c>
      <c r="L6521">
        <f>MAX(VLOOKUP(F6521,N$6:P$15,3,FALSE)/1000,2/3*D6509/1000)+F$16*F6521/1000</f>
        <v>0.156</v>
      </c>
      <c r="M6521" t="str">
        <v>=</v>
      </c>
      <c r="N6521">
        <f>J6521+L6521</f>
        <v>1.9597499999999999</v>
      </c>
      <c r="O6521" t="str">
        <v>+</v>
      </c>
      <c r="P6521">
        <f>D6521-D6520</f>
        <v>0</v>
      </c>
      <c r="Q6521" t="str">
        <v>x</v>
      </c>
      <c r="R6521">
        <f>IF(P6521&gt;0,$F$18*F6521/1000,0)</f>
        <v>0</v>
      </c>
      <c r="S6521" t="str">
        <v>)</v>
      </c>
      <c r="T6521" t="str">
        <v>x</v>
      </c>
      <c r="U6521">
        <f>0.006165*F6521^2</f>
        <v>1.041885</v>
      </c>
      <c r="X6521" t="str">
        <v>x</v>
      </c>
      <c r="Y6521">
        <f>D6510</f>
        <v>1</v>
      </c>
      <c r="Z6521" t="str">
        <v>=</v>
      </c>
      <c r="AA6521">
        <f>IF(AA6522=0,(D6521*N6521+P6521*R6521)*U6521*Y6521,0)</f>
        <v>0</v>
      </c>
    </row>
    <row r="6522">
      <c r="A6522" t="str">
        <f>A6504</f>
        <v>Lantai 2</v>
      </c>
      <c r="B6522">
        <f>B6504</f>
        <v>22</v>
      </c>
      <c r="D6522">
        <f>IF(AND(D6519=D6520,D6520=D6521,D6519=D6521),D6519,0)</f>
        <v>2</v>
      </c>
      <c r="E6522" t="str">
        <v>D</v>
      </c>
      <c r="F6522">
        <f>IF(AND(F6519=F6520,F6519=F6521,F6520=F6521),F6519,0)</f>
        <v>13</v>
      </c>
      <c r="L6522" t="str">
        <v>Total panjang per balok</v>
      </c>
      <c r="M6522" t="str">
        <v>=</v>
      </c>
      <c r="N6522">
        <f>IF(AND(D6519=D6520,D6519=D6521,D6520=D6521,F6519=F6520,F6519=F6521,F6520=F6521),SUM(N6519:N6521),0)</f>
        <v>7.526999999999999</v>
      </c>
      <c r="O6522" t="str">
        <v>+</v>
      </c>
      <c r="P6522">
        <f>IF(N6522&gt;12,ROUNDDOWN(N6522/12,0),0)</f>
        <v>0</v>
      </c>
      <c r="Q6522" t="str">
        <v>x</v>
      </c>
      <c r="R6522">
        <f>IF(P6522&gt;0,MAX(VLOOKUP(F6522,$D$6:$G$15,3,FALSE),600),0)/1000</f>
        <v>0</v>
      </c>
      <c r="T6522" t="str">
        <v>x</v>
      </c>
      <c r="U6522">
        <f>U6521</f>
        <v>1.041885</v>
      </c>
      <c r="V6522" t="str">
        <v>x</v>
      </c>
      <c r="W6522">
        <f>D6522</f>
        <v>2</v>
      </c>
      <c r="X6522" t="str">
        <v>x</v>
      </c>
      <c r="Y6522">
        <f>Y6521</f>
        <v>1</v>
      </c>
      <c r="Z6522" t="str">
        <v>=</v>
      </c>
      <c r="AA6522">
        <f>(N6522+P6522*R6522/1000)*U6522*W6522*Y6522</f>
        <v>15.684536789999997</v>
      </c>
    </row>
    <row r="6524">
      <c r="A6524" t="str">
        <f>A6504</f>
        <v>Lantai 2</v>
      </c>
      <c r="B6524">
        <f>B6504</f>
        <v>22</v>
      </c>
      <c r="C6524" t="str">
        <v>Sengkang Tumpuan</v>
      </c>
      <c r="D6524">
        <f>VLOOKUP(D6504,'Detail Balok'!$C$10:$AU$110,31,FALSE)</f>
        <v>0</v>
      </c>
      <c r="E6524" t="str">
        <v>D</v>
      </c>
      <c r="F6524">
        <f>VLOOKUP(D6504,'Detail Balok'!$C$10:$AU$110,33,FALSE)</f>
        <v>8</v>
      </c>
      <c r="G6524" t="str">
        <v>-</v>
      </c>
      <c r="H6524">
        <f>VLOOKUP(D6504,'Detail Balok'!$C$10:$AU$110,35,FALSE)</f>
        <v>100</v>
      </c>
      <c r="J6524">
        <f>(IF(D6524=0,(2*(D6505+G6505))-(F$5*8),IF(D6524=3,(2*(D6505+G6505))-(F$5*8)+(G6505-2*F$5),IF(D6524=4,(2*(D6505+G6505))-(F$5*8)+2*(G6505-2*F$5)))))/1000</f>
        <v>0.98</v>
      </c>
      <c r="K6524" t="str">
        <v>+</v>
      </c>
      <c r="L6524">
        <f>IF(D6524=0,2*MAX(6*F6524,75),(D6524-1)*2*MAX(6*F6524,75))/1000</f>
        <v>0.15</v>
      </c>
      <c r="M6524" t="str">
        <v>=</v>
      </c>
      <c r="N6524">
        <f>J6524+L6524</f>
        <v>1.13</v>
      </c>
      <c r="T6524" t="str">
        <v>x</v>
      </c>
      <c r="U6524">
        <f>0.006165*F6524^2</f>
        <v>0.39456</v>
      </c>
      <c r="V6524" t="str">
        <v>x</v>
      </c>
      <c r="W6524">
        <f>IF(D6507&gt;4*G6505,ROUND(MAX(D6507/4,2*G6505)/H6524,0)+1,ROUND(D6507/H6524,0)+1)</f>
        <v>19</v>
      </c>
      <c r="X6524" t="str">
        <v>x</v>
      </c>
      <c r="Y6524">
        <f>D6510</f>
        <v>1</v>
      </c>
      <c r="Z6524" t="str">
        <v>=</v>
      </c>
      <c r="AA6524">
        <f>N6524*U6524*W6524*Y6524</f>
        <v>8.4712032</v>
      </c>
    </row>
    <row r="6525">
      <c r="A6525" t="str">
        <f>A6504</f>
        <v>Lantai 2</v>
      </c>
      <c r="B6525">
        <f>B6504</f>
        <v>22</v>
      </c>
      <c r="C6525" t="str">
        <v>Sengkang Lapangan</v>
      </c>
      <c r="D6525">
        <f>VLOOKUP(D6504,'Detail Balok'!$C$10:$AU$110,36,FALSE)</f>
        <v>0</v>
      </c>
      <c r="E6525" t="str">
        <v>D</v>
      </c>
      <c r="F6525">
        <f>VLOOKUP(D6504,'Detail Balok'!$C$10:$AU$110,38,FALSE)</f>
        <v>8</v>
      </c>
      <c r="G6525" t="str">
        <v>-</v>
      </c>
      <c r="H6525">
        <f>VLOOKUP(D6504,'Detail Balok'!$C$10:$AU$110,40,FALSE)</f>
        <v>200</v>
      </c>
      <c r="J6525">
        <f>(IF(D6525=0,(2*(D6505+G6505))-(F$5*8),IF(D6525=3,(2*(D6505+G6505))-(F$5*8)+(G6505-2*F$5),IF(D6525=4,(2*(D6505+G6505))-(F$5*8)+2*(G6505-2*F$5)))))/1000</f>
        <v>0.98</v>
      </c>
      <c r="K6525" t="str">
        <v>+</v>
      </c>
      <c r="L6525">
        <f>IF(D6525=0,2*MAX(6*F6525,75),(D6525-1)*2*MAX(6*F6525,75))/1000</f>
        <v>0.15</v>
      </c>
      <c r="M6525" t="str">
        <v>=</v>
      </c>
      <c r="N6525">
        <f>J6525+L6525</f>
        <v>1.13</v>
      </c>
      <c r="T6525" t="str">
        <v>x</v>
      </c>
      <c r="U6525">
        <f>0.006165*F6525^2</f>
        <v>0.39456</v>
      </c>
      <c r="V6525" t="str">
        <v>x</v>
      </c>
      <c r="W6525">
        <f>IF(D6507-MAX(D6507/4,2*G6505)*2&gt;0,ROUND((D6507-MAX(D6507/4,2*G6505)*2)/H6525,0),0)</f>
        <v>18</v>
      </c>
      <c r="X6525" t="str">
        <v>x</v>
      </c>
      <c r="Y6525">
        <f>D6510</f>
        <v>1</v>
      </c>
      <c r="Z6525" t="str">
        <v>=</v>
      </c>
      <c r="AA6525">
        <f>N6525*U6525*W6525*Y6525</f>
        <v>8.0253504</v>
      </c>
    </row>
    <row r="6526">
      <c r="A6526" t="str">
        <f>A6504</f>
        <v>Lantai 2</v>
      </c>
      <c r="B6526">
        <f>B6504</f>
        <v>22</v>
      </c>
      <c r="C6526" t="str">
        <v>Sengkang Tumpuan</v>
      </c>
      <c r="D6526">
        <f>VLOOKUP(D6504,'Detail Balok'!$C$10:$AU$110,41,FALSE)</f>
        <v>0</v>
      </c>
      <c r="E6526" t="str">
        <v>D</v>
      </c>
      <c r="F6526">
        <f>VLOOKUP(D6504,'Detail Balok'!$C$10:$AU$110,43,FALSE)</f>
        <v>8</v>
      </c>
      <c r="G6526" t="str">
        <v>-</v>
      </c>
      <c r="H6526">
        <f>VLOOKUP(D6504,'Detail Balok'!$C$10:$AU$110,45,FALSE)</f>
        <v>100</v>
      </c>
      <c r="J6526">
        <f>(IF(D6526=0,(2*(D6505+G6505))-(F$5*8),IF(D6526=3,(2*(D6505+G6505))-(F$5*8)+(G6505-2*F$5),IF(D6526=4,(2*(D6505+G6505))-(F$5*8)+2*(G6505-2*F$5)))))/1000</f>
        <v>0.98</v>
      </c>
      <c r="K6526" t="str">
        <v>+</v>
      </c>
      <c r="L6526">
        <f>IF(D6526=0,2*MAX(6*F6526,75),(D6526-1)*2*MAX(6*F6526,75))/1000</f>
        <v>0.15</v>
      </c>
      <c r="M6526" t="str">
        <v>=</v>
      </c>
      <c r="N6526">
        <f>J6526+L6526</f>
        <v>1.13</v>
      </c>
      <c r="T6526" t="str">
        <v>x</v>
      </c>
      <c r="U6526">
        <f>0.006165*F6526^2</f>
        <v>0.39456</v>
      </c>
      <c r="V6526" t="str">
        <v>x</v>
      </c>
      <c r="W6526">
        <f>IF(D6507&gt;4*G6505,ROUND(MAX(D6507/4,2*G6505)/H6526,0)+1,0)</f>
        <v>19</v>
      </c>
      <c r="X6526" t="str">
        <v>x</v>
      </c>
      <c r="Y6526">
        <f>D6510</f>
        <v>1</v>
      </c>
      <c r="Z6526" t="str">
        <v>=</v>
      </c>
      <c r="AA6526">
        <f>N6526*U6526*W6526*Y6526</f>
        <v>8.4712032</v>
      </c>
    </row>
    <row r="6528">
      <c r="A6528" t="str">
        <f>A6504</f>
        <v>Lantai 2</v>
      </c>
      <c r="B6528">
        <f>B6504</f>
        <v>22</v>
      </c>
      <c r="C6528" t="str">
        <v>Kait Horizontal Tump.</v>
      </c>
      <c r="D6528">
        <f>VLOOKUP(D6504,'Detail Balok'!$C$10:$BJ$110,46,FALSE)</f>
        <v>0</v>
      </c>
      <c r="E6528" t="str">
        <v>D</v>
      </c>
      <c r="F6528">
        <f>VLOOKUP(D6504,'Detail Balok'!$C$10:$BJ$110,48,FALSE)</f>
        <v>0</v>
      </c>
      <c r="G6528" t="str">
        <v>-</v>
      </c>
      <c r="H6528">
        <f>VLOOKUP(D6504,'Detail Balok'!$C$10:$BJ$110,50,FALSE)</f>
        <v>100</v>
      </c>
      <c r="J6528">
        <f>(D6505-2*F$5)/1000</f>
        <v>0.12</v>
      </c>
      <c r="K6528" t="str">
        <v>+</v>
      </c>
      <c r="L6528">
        <f>IF(D6528=0,2*MAX(6*F6528,75),(D6528-1)*2*MAX(6*F6528,75))/1000</f>
        <v>0.15</v>
      </c>
      <c r="M6528" t="str">
        <v>=</v>
      </c>
      <c r="N6528">
        <f>J6528+L6528</f>
        <v>0.27</v>
      </c>
      <c r="T6528" t="str">
        <v>x</v>
      </c>
      <c r="U6528">
        <f>0.006165*F6528^2</f>
        <v>0</v>
      </c>
      <c r="V6528" t="str">
        <v>x</v>
      </c>
      <c r="W6528">
        <f>W6524</f>
        <v>19</v>
      </c>
      <c r="X6528" t="str">
        <v>x</v>
      </c>
      <c r="Y6528">
        <f>D6514</f>
        <v>2</v>
      </c>
      <c r="Z6528" t="str">
        <v>=</v>
      </c>
      <c r="AA6528">
        <f>N6528*U6528*W6528*Y6528</f>
        <v>0</v>
      </c>
    </row>
    <row r="6529">
      <c r="A6529" t="str">
        <f>A6504</f>
        <v>Lantai 2</v>
      </c>
      <c r="B6529">
        <f>B6504</f>
        <v>22</v>
      </c>
      <c r="C6529" t="str">
        <v>Kait Horizontal Lap.</v>
      </c>
      <c r="D6529">
        <f>VLOOKUP(D6504,'Detail Balok'!$C$10:$BJ$110,51,FALSE)</f>
        <v>0</v>
      </c>
      <c r="E6529" t="str">
        <v>D</v>
      </c>
      <c r="F6529">
        <f>VLOOKUP(D6504,'Detail Balok'!$C$10:$BJ$110,53,FALSE)</f>
        <v>0</v>
      </c>
      <c r="G6529" t="str">
        <v>-</v>
      </c>
      <c r="H6529">
        <f>VLOOKUP(D6504,'Detail Balok'!$C$10:$BJ$110,55,FALSE)</f>
        <v>100</v>
      </c>
      <c r="J6529">
        <f>(D6505-2*F$5)/1000</f>
        <v>0.12</v>
      </c>
      <c r="K6529" t="str">
        <v>+</v>
      </c>
      <c r="L6529">
        <f>IF(D6529=0,2*MAX(6*F6529,75),(D6529-1)*2*MAX(6*F6529,75))/1000</f>
        <v>0.15</v>
      </c>
      <c r="M6529" t="str">
        <v>=</v>
      </c>
      <c r="N6529">
        <f>J6529+L6529</f>
        <v>0.27</v>
      </c>
      <c r="T6529" t="str">
        <v>x</v>
      </c>
      <c r="U6529">
        <f>0.006165*F6529^2</f>
        <v>0</v>
      </c>
      <c r="V6529" t="str">
        <v>x</v>
      </c>
      <c r="W6529">
        <f>W6525</f>
        <v>18</v>
      </c>
      <c r="X6529" t="str">
        <v>x</v>
      </c>
      <c r="Y6529">
        <f>D6514</f>
        <v>2</v>
      </c>
      <c r="Z6529" t="str">
        <v>=</v>
      </c>
      <c r="AA6529">
        <f>N6529*U6529*W6529*Y6529</f>
        <v>0</v>
      </c>
    </row>
    <row r="6530">
      <c r="A6530" t="str">
        <f>A6504</f>
        <v>Lantai 2</v>
      </c>
      <c r="B6530">
        <f>B6504</f>
        <v>22</v>
      </c>
      <c r="C6530" t="str">
        <v>Kait Horizontal Tump.</v>
      </c>
      <c r="D6530">
        <f>VLOOKUP(D6504,'Detail Balok'!$C$10:$BJ$110,56,FALSE)</f>
        <v>0</v>
      </c>
      <c r="E6530" t="str">
        <v>D</v>
      </c>
      <c r="F6530">
        <f>VLOOKUP(D6504,'Detail Balok'!$C$10:$BJ$110,58,FALSE)</f>
        <v>0</v>
      </c>
      <c r="G6530" t="str">
        <v>-</v>
      </c>
      <c r="H6530">
        <f>VLOOKUP(D6504,'Detail Balok'!$C$10:$BJ$110,60,FALSE)</f>
        <v>100</v>
      </c>
      <c r="J6530">
        <f>(D6505-2*F$5)/1000</f>
        <v>0.12</v>
      </c>
      <c r="K6530" t="str">
        <v>+</v>
      </c>
      <c r="L6530">
        <f>IF(D6530=0,2*MAX(6*F6530,75),(D6530-1)*2*MAX(6*F6530,75))/1000</f>
        <v>0.15</v>
      </c>
      <c r="M6530" t="str">
        <v>=</v>
      </c>
      <c r="N6530">
        <f>J6530+L6530</f>
        <v>0.27</v>
      </c>
      <c r="T6530" t="str">
        <v>x</v>
      </c>
      <c r="U6530">
        <f>0.006165*F6530^2</f>
        <v>0</v>
      </c>
      <c r="V6530" t="str">
        <v>x</v>
      </c>
      <c r="W6530">
        <f>W6526</f>
        <v>19</v>
      </c>
      <c r="X6530" t="str">
        <v>x</v>
      </c>
      <c r="Y6530">
        <f>D6514</f>
        <v>2</v>
      </c>
      <c r="Z6530" t="str">
        <v>=</v>
      </c>
      <c r="AA6530">
        <f>N6530*U6530*W6530*Y6530</f>
        <v>0</v>
      </c>
    </row>
    <row r="6534">
      <c r="A6534" t="str">
        <f>A6504</f>
        <v>Lantai 2</v>
      </c>
      <c r="B6534">
        <f>B6504+1</f>
        <v>23</v>
      </c>
      <c r="C6534" t="str">
        <f>CONCATENATE(A6534," no. ",B6534)</f>
        <v>Lantai 2 no. 23</v>
      </c>
      <c r="D6534" t="str">
        <f>VLOOKUP(C6534,'Data Panjang Balok'!$C$9:$N$424,2,FALSE)</f>
        <v>B245-1</v>
      </c>
    </row>
    <row r="6535">
      <c r="C6535" t="str">
        <v>Dimensi</v>
      </c>
      <c r="D6535">
        <f>VLOOKUP(D6534,'Detail Balok'!$C$10:$AU$110,2,FALSE)</f>
        <v>200</v>
      </c>
      <c r="F6535" t="str">
        <v>x</v>
      </c>
      <c r="G6535">
        <f>VLOOKUP(D6534,'Detail Balok'!$C$10:$AU$110,3,FALSE)</f>
        <v>450</v>
      </c>
    </row>
    <row r="6536">
      <c r="C6536" t="str">
        <v>Panjang as ke as</v>
      </c>
      <c r="D6536">
        <f>VLOOKUP(C6534,'Data Panjang Balok'!$C$9:$N$424,4,FALSE)</f>
        <v>9300</v>
      </c>
    </row>
    <row r="6537">
      <c r="C6537" t="str">
        <v>Panjang netto</v>
      </c>
      <c r="D6537">
        <f>VLOOKUP(C6534,'Data Panjang Balok'!$C$9:$N$424,7,FALSE)</f>
        <v>9300</v>
      </c>
    </row>
    <row r="6538">
      <c r="C6538" t="str">
        <v>Kolom / balok kiri</v>
      </c>
      <c r="D6538">
        <f>VLOOKUP(C6534,'Data Panjang Balok'!$C$9:$N$424,9,FALSE)</f>
        <v>0</v>
      </c>
    </row>
    <row r="6539">
      <c r="C6539" t="str">
        <v>Kolom / balok kanan</v>
      </c>
      <c r="D6539">
        <f>VLOOKUP(C6534,'Data Panjang Balok'!$C$9:$N$424,10,FALSE)</f>
        <v>0</v>
      </c>
    </row>
    <row r="6540">
      <c r="C6540" t="str">
        <v>Jumlah</v>
      </c>
      <c r="D6540">
        <f>VLOOKUP(C6534,'Data Panjang Balok'!$C$9:$N$424,3,FALSE)</f>
        <v>1</v>
      </c>
    </row>
    <row r="6541">
      <c r="A6541" t="str">
        <f>A6534</f>
        <v>Lantai 2</v>
      </c>
      <c r="B6541">
        <f>B6534</f>
        <v>23</v>
      </c>
      <c r="C6541" t="str">
        <v>Tul Atas Tumpuan</v>
      </c>
      <c r="D6541">
        <f>VLOOKUP(D6534,'Detail Balok'!$C$10:$AU$110,4,FALSE)</f>
        <v>2</v>
      </c>
      <c r="E6541" t="str">
        <v>D</v>
      </c>
      <c r="F6541">
        <f>VLOOKUP(D6534,'Detail Balok'!$C$10:$AU$110,6,FALSE)</f>
        <v>13</v>
      </c>
      <c r="I6541" t="str">
        <v>(</v>
      </c>
      <c r="J6541">
        <f>+D6536/4/1000</f>
        <v>2.325</v>
      </c>
      <c r="K6541" t="str">
        <v>+</v>
      </c>
      <c r="L6541">
        <f>MAX(VLOOKUP(F6541,N$6:P$15,3,FALSE)/1000,2/3*D6538/1000)+F$16*F6541/1000</f>
        <v>0.156</v>
      </c>
      <c r="M6541" t="str">
        <v>=</v>
      </c>
      <c r="N6541">
        <f>J6541+L6541</f>
        <v>2.4810000000000003</v>
      </c>
      <c r="O6541" t="str">
        <v>+</v>
      </c>
      <c r="P6541">
        <f>D6541-D6542</f>
        <v>0</v>
      </c>
      <c r="Q6541" t="str">
        <v>x</v>
      </c>
      <c r="R6541">
        <f>IF(P6541&gt;0,$F$18*F6541/1000,0)</f>
        <v>0</v>
      </c>
      <c r="S6541" t="str">
        <v>)</v>
      </c>
      <c r="T6541" t="str">
        <v>x</v>
      </c>
      <c r="U6541">
        <f>0.006165*F6541^2</f>
        <v>1.041885</v>
      </c>
      <c r="X6541" t="str">
        <v>x</v>
      </c>
      <c r="Y6541">
        <f>D6540</f>
        <v>1</v>
      </c>
      <c r="Z6541" t="str">
        <v>=</v>
      </c>
      <c r="AA6541">
        <f>IF(AA6544=0,(D6541*N6541+P6541*R6541)*U6541*Y6541,0)</f>
        <v>0</v>
      </c>
    </row>
    <row r="6542">
      <c r="A6542" t="str">
        <f>A6534</f>
        <v>Lantai 2</v>
      </c>
      <c r="B6542">
        <f>B6534</f>
        <v>23</v>
      </c>
      <c r="C6542" t="str">
        <v>Tul Atas Lapangan</v>
      </c>
      <c r="D6542">
        <f>VLOOKUP(D6534,'Detail Balok'!$C$10:$AU$110,7,FALSE)</f>
        <v>2</v>
      </c>
      <c r="E6542" t="str">
        <v>D</v>
      </c>
      <c r="F6542">
        <f>VLOOKUP(D6534,'Detail Balok'!$C$10:$AU$110,9,FALSE)</f>
        <v>13</v>
      </c>
      <c r="I6542" t="str">
        <v>(</v>
      </c>
      <c r="J6542">
        <f>+D6536/2/1000</f>
        <v>4.65</v>
      </c>
      <c r="K6542" t="str">
        <v>+</v>
      </c>
      <c r="M6542" t="str">
        <v>=</v>
      </c>
      <c r="N6542">
        <f>J6542+L6542</f>
        <v>4.65</v>
      </c>
      <c r="O6542" t="str">
        <v>+</v>
      </c>
      <c r="P6542">
        <f>MAX(D6542-D6541,D6542-D6543)</f>
        <v>0</v>
      </c>
      <c r="Q6542" t="str">
        <v>x</v>
      </c>
      <c r="R6542">
        <f>IF(P6542&gt;0,2*(1-2*$F$19-1/2)*D6537/1000,0)</f>
        <v>0</v>
      </c>
      <c r="S6542" t="str">
        <v>)</v>
      </c>
      <c r="T6542" t="str">
        <v>x</v>
      </c>
      <c r="U6542">
        <f>0.006165*F6542^2</f>
        <v>1.041885</v>
      </c>
      <c r="X6542" t="str">
        <v>x</v>
      </c>
      <c r="Y6542">
        <f>D6540</f>
        <v>1</v>
      </c>
      <c r="Z6542" t="str">
        <v>=</v>
      </c>
      <c r="AA6542">
        <f>IF(AA6544=0,(D6542*N6542+P6542*R6542)*U6542*Y6542,0)</f>
        <v>0</v>
      </c>
    </row>
    <row r="6543">
      <c r="A6543" t="str">
        <f>A6534</f>
        <v>Lantai 2</v>
      </c>
      <c r="B6543">
        <f>B6534</f>
        <v>23</v>
      </c>
      <c r="C6543" t="str">
        <v>Tul Atas Tumpuan</v>
      </c>
      <c r="D6543">
        <f>VLOOKUP(D6534,'Detail Balok'!$C$10:$AU$110,10,FALSE)</f>
        <v>2</v>
      </c>
      <c r="E6543" t="str">
        <v>D</v>
      </c>
      <c r="F6543">
        <f>VLOOKUP(D6534,'Detail Balok'!$C$10:$AU$110,12,FALSE)</f>
        <v>13</v>
      </c>
      <c r="I6543" t="str">
        <v>(</v>
      </c>
      <c r="J6543">
        <f>+D6536/4/1000</f>
        <v>2.325</v>
      </c>
      <c r="K6543" t="str">
        <v>+</v>
      </c>
      <c r="L6543">
        <f>MAX(VLOOKUP(F6543,N$6:P$15,3,FALSE)/1000,2/3*D6538/1000)+F$16*F6543/1000</f>
        <v>0.156</v>
      </c>
      <c r="M6543" t="str">
        <v>=</v>
      </c>
      <c r="N6543">
        <f>J6543+L6543</f>
        <v>2.4810000000000003</v>
      </c>
      <c r="O6543" t="str">
        <v>+</v>
      </c>
      <c r="P6543">
        <f>D6543-D6542</f>
        <v>0</v>
      </c>
      <c r="Q6543" t="str">
        <v>x</v>
      </c>
      <c r="R6543">
        <f>IF(P6543&gt;0,$F$18*F6543/1000,0)</f>
        <v>0</v>
      </c>
      <c r="S6543" t="str">
        <v>)</v>
      </c>
      <c r="T6543" t="str">
        <v>x</v>
      </c>
      <c r="U6543">
        <f>0.006165*F6543^2</f>
        <v>1.041885</v>
      </c>
      <c r="X6543" t="str">
        <v>x</v>
      </c>
      <c r="Y6543">
        <f>D6540</f>
        <v>1</v>
      </c>
      <c r="Z6543" t="str">
        <v>=</v>
      </c>
      <c r="AA6543">
        <f>IF(AA6544=0,(D6543*N6543+P6543*R6543)*U6543*Y6543,0)</f>
        <v>0</v>
      </c>
    </row>
    <row r="6544">
      <c r="A6544" t="str">
        <f>A6534</f>
        <v>Lantai 2</v>
      </c>
      <c r="B6544">
        <f>B6534</f>
        <v>23</v>
      </c>
      <c r="D6544">
        <f>IF(AND(D6541=D6542,D6542=D6543,D6541=D6543),D6541,0)</f>
        <v>2</v>
      </c>
      <c r="E6544" t="str">
        <v>D</v>
      </c>
      <c r="F6544">
        <f>IF(AND(F6541=F6542,F6541=F6543,F6542=F6543),F6541,0)</f>
        <v>13</v>
      </c>
      <c r="L6544" t="str">
        <v>Total panjang per balok</v>
      </c>
      <c r="M6544" t="str">
        <v>=</v>
      </c>
      <c r="N6544">
        <f>IF(AND(D6541=D6542,D6541=D6543,D6542=D6543,F6541=F6542,F6541=F6543,F6542=F6543),SUM(N6541:N6543),0)</f>
        <v>9.612</v>
      </c>
      <c r="O6544" t="str">
        <v>+</v>
      </c>
      <c r="P6544">
        <f>IF(N6544&gt;12,ROUNDDOWN(N6544/12,0),0)</f>
        <v>0</v>
      </c>
      <c r="Q6544" t="str">
        <v>x</v>
      </c>
      <c r="R6544">
        <f>IF(P6544&gt;0,MAX(VLOOKUP(F6544,$D$6:$G$15,3,FALSE),600),0)/1000</f>
        <v>0</v>
      </c>
      <c r="T6544" t="str">
        <v>x</v>
      </c>
      <c r="U6544">
        <f>U6543</f>
        <v>1.041885</v>
      </c>
      <c r="V6544" t="str">
        <v>x</v>
      </c>
      <c r="W6544">
        <f>D6544</f>
        <v>2</v>
      </c>
      <c r="X6544" t="str">
        <v>x</v>
      </c>
      <c r="Y6544">
        <f>Y6543</f>
        <v>1</v>
      </c>
      <c r="Z6544" t="str">
        <v>=</v>
      </c>
      <c r="AA6544">
        <f>(N6544+P6544*R6544/1000)*U6544*W6544*Y6544</f>
        <v>20.02919724</v>
      </c>
    </row>
    <row r="6546">
      <c r="A6546" t="str">
        <f>A6534</f>
        <v>Lantai 2</v>
      </c>
      <c r="B6546">
        <f>B6534</f>
        <v>23</v>
      </c>
      <c r="C6546" t="str">
        <v>Tul Peminggang</v>
      </c>
      <c r="D6546">
        <f>VLOOKUP(D6534,'Detail Balok'!$C$10:$AU$110,13,FALSE)</f>
        <v>2</v>
      </c>
      <c r="E6546" t="str">
        <v>D</v>
      </c>
      <c r="F6546">
        <f>VLOOKUP(D6534,'Detail Balok'!$C$10:$AU$110,15,FALSE)</f>
        <v>8</v>
      </c>
      <c r="J6546">
        <f>+D6536/1000</f>
        <v>9.3</v>
      </c>
      <c r="K6546" t="str">
        <v>+</v>
      </c>
      <c r="L6546">
        <f>2*$F$16*F6546/1000</f>
        <v>0.192</v>
      </c>
      <c r="M6546" t="str">
        <v>=</v>
      </c>
      <c r="N6546">
        <f>J6546+L6546</f>
        <v>9.492</v>
      </c>
      <c r="O6546" t="str">
        <v>+</v>
      </c>
      <c r="P6546">
        <f>IF(N6546&gt;12,ROUNDDOWN(N6546/12,0),0)</f>
        <v>0</v>
      </c>
      <c r="Q6546" t="str">
        <v>x</v>
      </c>
      <c r="R6546">
        <f>IF(P6546&gt;0,MAX(VLOOKUP(F6546,$D$6:$G$15,3,FALSE),600),0)/1000</f>
        <v>0</v>
      </c>
      <c r="T6546" t="str">
        <v>x</v>
      </c>
      <c r="U6546">
        <f>0.006165*F6546^2</f>
        <v>0.39456</v>
      </c>
      <c r="V6546" t="str">
        <v>x</v>
      </c>
      <c r="W6546">
        <f>+D6546</f>
        <v>2</v>
      </c>
      <c r="X6546" t="str">
        <v>x</v>
      </c>
      <c r="Y6546">
        <f>D6540</f>
        <v>1</v>
      </c>
      <c r="Z6546" t="str">
        <v>=</v>
      </c>
      <c r="AA6546">
        <f>(N6546+P6546*R6546/1000)*U6546*W6546*Y6546</f>
        <v>7.490327040000001</v>
      </c>
    </row>
    <row r="6549">
      <c r="A6549" t="str">
        <f>A6534</f>
        <v>Lantai 2</v>
      </c>
      <c r="B6549">
        <f>B6534</f>
        <v>23</v>
      </c>
      <c r="C6549" t="str">
        <v>Tul Bawah Tumpuan</v>
      </c>
      <c r="D6549">
        <f>VLOOKUP(D6534,'Detail Balok'!$C$10:$AU$110,22,FALSE)</f>
        <v>2</v>
      </c>
      <c r="E6549" t="str">
        <v>D</v>
      </c>
      <c r="F6549">
        <f>VLOOKUP(D6534,'Detail Balok'!$C$10:$AU$110,24,FALSE)</f>
        <v>13</v>
      </c>
      <c r="I6549" t="str">
        <v>(</v>
      </c>
      <c r="J6549">
        <f>+J6541</f>
        <v>2.325</v>
      </c>
      <c r="K6549" t="str">
        <v>+</v>
      </c>
      <c r="L6549">
        <f>MAX(VLOOKUP(F6549,N$6:P$15,3,FALSE)/1000,2/3*D6539/1000)+F$16*F6549/1000</f>
        <v>0.156</v>
      </c>
      <c r="M6549" t="str">
        <v>=</v>
      </c>
      <c r="N6549">
        <f>J6549+L6549</f>
        <v>2.4810000000000003</v>
      </c>
      <c r="O6549" t="str">
        <v>+</v>
      </c>
      <c r="P6549">
        <f>D6549-D6550</f>
        <v>0</v>
      </c>
      <c r="Q6549" t="str">
        <v>x</v>
      </c>
      <c r="R6549">
        <f>IF(P6549&gt;0,$F$18*F6549/1000,0)</f>
        <v>0</v>
      </c>
      <c r="S6549" t="str">
        <v>)</v>
      </c>
      <c r="T6549" t="str">
        <v>x</v>
      </c>
      <c r="U6549">
        <f>0.006165*F6549^2</f>
        <v>1.041885</v>
      </c>
      <c r="X6549" t="str">
        <v>x</v>
      </c>
      <c r="Y6549">
        <f>D6540</f>
        <v>1</v>
      </c>
      <c r="Z6549" t="str">
        <v>=</v>
      </c>
      <c r="AA6549">
        <f>IF(AA6552=0,(D6549*N6549+P6549*R6549)*U6549*Y6549,0)</f>
        <v>0</v>
      </c>
    </row>
    <row r="6550">
      <c r="A6550" t="str">
        <f>A6534</f>
        <v>Lantai 2</v>
      </c>
      <c r="B6550">
        <f>B6534</f>
        <v>23</v>
      </c>
      <c r="C6550" t="str">
        <v>Tul Bawah Lapangan</v>
      </c>
      <c r="D6550">
        <f>VLOOKUP(D6534,'Detail Balok'!$C$10:$AU$110,25,FALSE)</f>
        <v>2</v>
      </c>
      <c r="E6550" t="str">
        <v>D</v>
      </c>
      <c r="F6550">
        <f>VLOOKUP(D6534,'Detail Balok'!$C$10:$AU$110,27,FALSE)</f>
        <v>13</v>
      </c>
      <c r="I6550" t="str">
        <v>(</v>
      </c>
      <c r="J6550">
        <f>+J6542</f>
        <v>4.65</v>
      </c>
      <c r="K6550" t="str">
        <v>+</v>
      </c>
      <c r="M6550" t="str">
        <v>=</v>
      </c>
      <c r="N6550">
        <f>J6550+L6550</f>
        <v>4.65</v>
      </c>
      <c r="O6550" t="str">
        <v>+</v>
      </c>
      <c r="P6550">
        <f>MAX(D6550-D6549,D6550-D6551)</f>
        <v>0</v>
      </c>
      <c r="Q6550" t="str">
        <v>x</v>
      </c>
      <c r="R6550">
        <f>IF(P6550&gt;0,2*(1-2*$F$19-1/2)*D6537/1000,0)</f>
        <v>0</v>
      </c>
      <c r="S6550" t="str">
        <v>)</v>
      </c>
      <c r="T6550" t="str">
        <v>x</v>
      </c>
      <c r="U6550">
        <f>0.006165*F6550^2</f>
        <v>1.041885</v>
      </c>
      <c r="X6550" t="str">
        <v>x</v>
      </c>
      <c r="Y6550">
        <f>D6540</f>
        <v>1</v>
      </c>
      <c r="Z6550" t="str">
        <v>=</v>
      </c>
      <c r="AA6550">
        <f>IF(AA6552=0,(D6550*N6550+P6550*R6550)*U6550*Y6550,0)</f>
        <v>0</v>
      </c>
    </row>
    <row r="6551">
      <c r="A6551" t="str">
        <f>A6534</f>
        <v>Lantai 2</v>
      </c>
      <c r="B6551">
        <f>B6534</f>
        <v>23</v>
      </c>
      <c r="C6551" t="str">
        <v>Tul Bawah Tumpuan</v>
      </c>
      <c r="D6551">
        <f>VLOOKUP(D6534,'Detail Balok'!$C$10:$AU$110,28,FALSE)</f>
        <v>2</v>
      </c>
      <c r="E6551" t="str">
        <v>D</v>
      </c>
      <c r="F6551">
        <f>VLOOKUP(D6534,'Detail Balok'!$C$10:$AU$110,30,FALSE)</f>
        <v>13</v>
      </c>
      <c r="I6551" t="str">
        <v>(</v>
      </c>
      <c r="J6551">
        <f>+J6543</f>
        <v>2.325</v>
      </c>
      <c r="K6551" t="str">
        <v>+</v>
      </c>
      <c r="L6551">
        <f>MAX(VLOOKUP(F6551,N$6:P$15,3,FALSE)/1000,2/3*D6539/1000)+F$16*F6551/1000</f>
        <v>0.156</v>
      </c>
      <c r="M6551" t="str">
        <v>=</v>
      </c>
      <c r="N6551">
        <f>J6551+L6551</f>
        <v>2.4810000000000003</v>
      </c>
      <c r="O6551" t="str">
        <v>+</v>
      </c>
      <c r="P6551">
        <f>D6551-D6550</f>
        <v>0</v>
      </c>
      <c r="Q6551" t="str">
        <v>x</v>
      </c>
      <c r="R6551">
        <f>IF(P6551&gt;0,$F$18*F6551/1000,0)</f>
        <v>0</v>
      </c>
      <c r="S6551" t="str">
        <v>)</v>
      </c>
      <c r="T6551" t="str">
        <v>x</v>
      </c>
      <c r="U6551">
        <f>0.006165*F6551^2</f>
        <v>1.041885</v>
      </c>
      <c r="X6551" t="str">
        <v>x</v>
      </c>
      <c r="Y6551">
        <f>D6540</f>
        <v>1</v>
      </c>
      <c r="Z6551" t="str">
        <v>=</v>
      </c>
      <c r="AA6551">
        <f>IF(AA6552=0,(D6551*N6551+P6551*R6551)*U6551*Y6551,0)</f>
        <v>0</v>
      </c>
    </row>
    <row r="6552">
      <c r="A6552" t="str">
        <f>A6534</f>
        <v>Lantai 2</v>
      </c>
      <c r="B6552">
        <f>B6534</f>
        <v>23</v>
      </c>
      <c r="D6552">
        <f>IF(AND(D6549=D6550,D6550=D6551,D6549=D6551),D6549,0)</f>
        <v>2</v>
      </c>
      <c r="E6552" t="str">
        <v>D</v>
      </c>
      <c r="F6552">
        <f>IF(AND(F6549=F6550,F6549=F6551,F6550=F6551),F6549,0)</f>
        <v>13</v>
      </c>
      <c r="L6552" t="str">
        <v>Total panjang per balok</v>
      </c>
      <c r="M6552" t="str">
        <v>=</v>
      </c>
      <c r="N6552">
        <f>IF(AND(D6549=D6550,D6549=D6551,D6550=D6551,F6549=F6550,F6549=F6551,F6550=F6551),SUM(N6549:N6551),0)</f>
        <v>9.612</v>
      </c>
      <c r="O6552" t="str">
        <v>+</v>
      </c>
      <c r="P6552">
        <f>IF(N6552&gt;12,ROUNDDOWN(N6552/12,0),0)</f>
        <v>0</v>
      </c>
      <c r="Q6552" t="str">
        <v>x</v>
      </c>
      <c r="R6552">
        <f>IF(P6552&gt;0,MAX(VLOOKUP(F6552,$D$6:$G$15,3,FALSE),600),0)/1000</f>
        <v>0</v>
      </c>
      <c r="T6552" t="str">
        <v>x</v>
      </c>
      <c r="U6552">
        <f>U6551</f>
        <v>1.041885</v>
      </c>
      <c r="V6552" t="str">
        <v>x</v>
      </c>
      <c r="W6552">
        <f>D6552</f>
        <v>2</v>
      </c>
      <c r="X6552" t="str">
        <v>x</v>
      </c>
      <c r="Y6552">
        <f>Y6551</f>
        <v>1</v>
      </c>
      <c r="Z6552" t="str">
        <v>=</v>
      </c>
      <c r="AA6552">
        <f>(N6552+P6552*R6552/1000)*U6552*W6552*Y6552</f>
        <v>20.02919724</v>
      </c>
    </row>
    <row r="6554">
      <c r="A6554" t="str">
        <f>A6534</f>
        <v>Lantai 2</v>
      </c>
      <c r="B6554">
        <f>B6534</f>
        <v>23</v>
      </c>
      <c r="C6554" t="str">
        <v>Sengkang Tumpuan</v>
      </c>
      <c r="D6554">
        <f>VLOOKUP(D6534,'Detail Balok'!$C$10:$AU$110,31,FALSE)</f>
        <v>0</v>
      </c>
      <c r="E6554" t="str">
        <v>D</v>
      </c>
      <c r="F6554">
        <f>VLOOKUP(D6534,'Detail Balok'!$C$10:$AU$110,33,FALSE)</f>
        <v>8</v>
      </c>
      <c r="G6554" t="str">
        <v>-</v>
      </c>
      <c r="H6554">
        <f>VLOOKUP(D6534,'Detail Balok'!$C$10:$AU$110,35,FALSE)</f>
        <v>100</v>
      </c>
      <c r="J6554">
        <f>(IF(D6554=0,(2*(D6535+G6535))-(F$5*8),IF(D6554=3,(2*(D6535+G6535))-(F$5*8)+(G6535-2*F$5),IF(D6554=4,(2*(D6535+G6535))-(F$5*8)+2*(G6535-2*F$5)))))/1000</f>
        <v>0.98</v>
      </c>
      <c r="K6554" t="str">
        <v>+</v>
      </c>
      <c r="L6554">
        <f>IF(D6554=0,2*MAX(6*F6554,75),(D6554-1)*2*MAX(6*F6554,75))/1000</f>
        <v>0.15</v>
      </c>
      <c r="M6554" t="str">
        <v>=</v>
      </c>
      <c r="N6554">
        <f>J6554+L6554</f>
        <v>1.13</v>
      </c>
      <c r="T6554" t="str">
        <v>x</v>
      </c>
      <c r="U6554">
        <f>0.006165*F6554^2</f>
        <v>0.39456</v>
      </c>
      <c r="V6554" t="str">
        <v>x</v>
      </c>
      <c r="W6554">
        <f>IF(D6537&gt;4*G6535,ROUND(MAX(D6537/4,2*G6535)/H6554,0)+1,ROUND(D6537/H6554,0)+1)</f>
        <v>24</v>
      </c>
      <c r="X6554" t="str">
        <v>x</v>
      </c>
      <c r="Y6554">
        <f>D6540</f>
        <v>1</v>
      </c>
      <c r="Z6554" t="str">
        <v>=</v>
      </c>
      <c r="AA6554">
        <f>N6554*U6554*W6554*Y6554</f>
        <v>10.7004672</v>
      </c>
    </row>
    <row r="6555">
      <c r="A6555" t="str">
        <f>A6534</f>
        <v>Lantai 2</v>
      </c>
      <c r="B6555">
        <f>B6534</f>
        <v>23</v>
      </c>
      <c r="C6555" t="str">
        <v>Sengkang Lapangan</v>
      </c>
      <c r="D6555">
        <f>VLOOKUP(D6534,'Detail Balok'!$C$10:$AU$110,36,FALSE)</f>
        <v>0</v>
      </c>
      <c r="E6555" t="str">
        <v>D</v>
      </c>
      <c r="F6555">
        <f>VLOOKUP(D6534,'Detail Balok'!$C$10:$AU$110,38,FALSE)</f>
        <v>8</v>
      </c>
      <c r="G6555" t="str">
        <v>-</v>
      </c>
      <c r="H6555">
        <f>VLOOKUP(D6534,'Detail Balok'!$C$10:$AU$110,40,FALSE)</f>
        <v>200</v>
      </c>
      <c r="J6555">
        <f>(IF(D6555=0,(2*(D6535+G6535))-(F$5*8),IF(D6555=3,(2*(D6535+G6535))-(F$5*8)+(G6535-2*F$5),IF(D6555=4,(2*(D6535+G6535))-(F$5*8)+2*(G6535-2*F$5)))))/1000</f>
        <v>0.98</v>
      </c>
      <c r="K6555" t="str">
        <v>+</v>
      </c>
      <c r="L6555">
        <f>IF(D6555=0,2*MAX(6*F6555,75),(D6555-1)*2*MAX(6*F6555,75))/1000</f>
        <v>0.15</v>
      </c>
      <c r="M6555" t="str">
        <v>=</v>
      </c>
      <c r="N6555">
        <f>J6555+L6555</f>
        <v>1.13</v>
      </c>
      <c r="T6555" t="str">
        <v>x</v>
      </c>
      <c r="U6555">
        <f>0.006165*F6555^2</f>
        <v>0.39456</v>
      </c>
      <c r="V6555" t="str">
        <v>x</v>
      </c>
      <c r="W6555">
        <f>IF(D6537-MAX(D6537/4,2*G6535)*2&gt;0,ROUND((D6537-MAX(D6537/4,2*G6535)*2)/H6555,0),0)</f>
        <v>23</v>
      </c>
      <c r="X6555" t="str">
        <v>x</v>
      </c>
      <c r="Y6555">
        <f>D6540</f>
        <v>1</v>
      </c>
      <c r="Z6555" t="str">
        <v>=</v>
      </c>
      <c r="AA6555">
        <f>N6555*U6555*W6555*Y6555</f>
        <v>10.2546144</v>
      </c>
    </row>
    <row r="6556">
      <c r="A6556" t="str">
        <f>A6534</f>
        <v>Lantai 2</v>
      </c>
      <c r="B6556">
        <f>B6534</f>
        <v>23</v>
      </c>
      <c r="C6556" t="str">
        <v>Sengkang Tumpuan</v>
      </c>
      <c r="D6556">
        <f>VLOOKUP(D6534,'Detail Balok'!$C$10:$AU$110,41,FALSE)</f>
        <v>0</v>
      </c>
      <c r="E6556" t="str">
        <v>D</v>
      </c>
      <c r="F6556">
        <f>VLOOKUP(D6534,'Detail Balok'!$C$10:$AU$110,43,FALSE)</f>
        <v>8</v>
      </c>
      <c r="G6556" t="str">
        <v>-</v>
      </c>
      <c r="H6556">
        <f>VLOOKUP(D6534,'Detail Balok'!$C$10:$AU$110,45,FALSE)</f>
        <v>100</v>
      </c>
      <c r="J6556">
        <f>(IF(D6556=0,(2*(D6535+G6535))-(F$5*8),IF(D6556=3,(2*(D6535+G6535))-(F$5*8)+(G6535-2*F$5),IF(D6556=4,(2*(D6535+G6535))-(F$5*8)+2*(G6535-2*F$5)))))/1000</f>
        <v>0.98</v>
      </c>
      <c r="K6556" t="str">
        <v>+</v>
      </c>
      <c r="L6556">
        <f>IF(D6556=0,2*MAX(6*F6556,75),(D6556-1)*2*MAX(6*F6556,75))/1000</f>
        <v>0.15</v>
      </c>
      <c r="M6556" t="str">
        <v>=</v>
      </c>
      <c r="N6556">
        <f>J6556+L6556</f>
        <v>1.13</v>
      </c>
      <c r="T6556" t="str">
        <v>x</v>
      </c>
      <c r="U6556">
        <f>0.006165*F6556^2</f>
        <v>0.39456</v>
      </c>
      <c r="V6556" t="str">
        <v>x</v>
      </c>
      <c r="W6556">
        <f>IF(D6537&gt;4*G6535,ROUND(MAX(D6537/4,2*G6535)/H6556,0)+1,0)</f>
        <v>24</v>
      </c>
      <c r="X6556" t="str">
        <v>x</v>
      </c>
      <c r="Y6556">
        <f>D6540</f>
        <v>1</v>
      </c>
      <c r="Z6556" t="str">
        <v>=</v>
      </c>
      <c r="AA6556">
        <f>N6556*U6556*W6556*Y6556</f>
        <v>10.7004672</v>
      </c>
    </row>
    <row r="6558">
      <c r="A6558" t="str">
        <f>A6534</f>
        <v>Lantai 2</v>
      </c>
      <c r="B6558">
        <f>B6534</f>
        <v>23</v>
      </c>
      <c r="C6558" t="str">
        <v>Kait Horizontal Tump.</v>
      </c>
      <c r="D6558">
        <f>VLOOKUP(D6534,'Detail Balok'!$C$10:$BJ$110,46,FALSE)</f>
        <v>0</v>
      </c>
      <c r="E6558" t="str">
        <v>D</v>
      </c>
      <c r="F6558">
        <f>VLOOKUP(D6534,'Detail Balok'!$C$10:$BJ$110,48,FALSE)</f>
        <v>0</v>
      </c>
      <c r="G6558" t="str">
        <v>-</v>
      </c>
      <c r="H6558">
        <f>VLOOKUP(D6534,'Detail Balok'!$C$10:$BJ$110,50,FALSE)</f>
        <v>100</v>
      </c>
      <c r="J6558">
        <f>(D6535-2*F$5)/1000</f>
        <v>0.12</v>
      </c>
      <c r="K6558" t="str">
        <v>+</v>
      </c>
      <c r="L6558">
        <f>IF(D6558=0,2*MAX(6*F6558,75),(D6558-1)*2*MAX(6*F6558,75))/1000</f>
        <v>0.15</v>
      </c>
      <c r="M6558" t="str">
        <v>=</v>
      </c>
      <c r="N6558">
        <f>J6558+L6558</f>
        <v>0.27</v>
      </c>
      <c r="T6558" t="str">
        <v>x</v>
      </c>
      <c r="U6558">
        <f>0.006165*F6558^2</f>
        <v>0</v>
      </c>
      <c r="V6558" t="str">
        <v>x</v>
      </c>
      <c r="W6558">
        <f>W6554</f>
        <v>24</v>
      </c>
      <c r="X6558" t="str">
        <v>x</v>
      </c>
      <c r="Y6558">
        <f>D6544</f>
        <v>2</v>
      </c>
      <c r="Z6558" t="str">
        <v>=</v>
      </c>
      <c r="AA6558">
        <f>N6558*U6558*W6558*Y6558</f>
        <v>0</v>
      </c>
    </row>
    <row r="6559">
      <c r="A6559" t="str">
        <f>A6534</f>
        <v>Lantai 2</v>
      </c>
      <c r="B6559">
        <f>B6534</f>
        <v>23</v>
      </c>
      <c r="C6559" t="str">
        <v>Kait Horizontal Lap.</v>
      </c>
      <c r="D6559">
        <f>VLOOKUP(D6534,'Detail Balok'!$C$10:$BJ$110,51,FALSE)</f>
        <v>0</v>
      </c>
      <c r="E6559" t="str">
        <v>D</v>
      </c>
      <c r="F6559">
        <f>VLOOKUP(D6534,'Detail Balok'!$C$10:$BJ$110,53,FALSE)</f>
        <v>0</v>
      </c>
      <c r="G6559" t="str">
        <v>-</v>
      </c>
      <c r="H6559">
        <f>VLOOKUP(D6534,'Detail Balok'!$C$10:$BJ$110,55,FALSE)</f>
        <v>100</v>
      </c>
      <c r="J6559">
        <f>(D6535-2*F$5)/1000</f>
        <v>0.12</v>
      </c>
      <c r="K6559" t="str">
        <v>+</v>
      </c>
      <c r="L6559">
        <f>IF(D6559=0,2*MAX(6*F6559,75),(D6559-1)*2*MAX(6*F6559,75))/1000</f>
        <v>0.15</v>
      </c>
      <c r="M6559" t="str">
        <v>=</v>
      </c>
      <c r="N6559">
        <f>J6559+L6559</f>
        <v>0.27</v>
      </c>
      <c r="T6559" t="str">
        <v>x</v>
      </c>
      <c r="U6559">
        <f>0.006165*F6559^2</f>
        <v>0</v>
      </c>
      <c r="V6559" t="str">
        <v>x</v>
      </c>
      <c r="W6559">
        <f>W6555</f>
        <v>23</v>
      </c>
      <c r="X6559" t="str">
        <v>x</v>
      </c>
      <c r="Y6559">
        <f>D6544</f>
        <v>2</v>
      </c>
      <c r="Z6559" t="str">
        <v>=</v>
      </c>
      <c r="AA6559">
        <f>N6559*U6559*W6559*Y6559</f>
        <v>0</v>
      </c>
    </row>
    <row r="6560">
      <c r="A6560" t="str">
        <f>A6534</f>
        <v>Lantai 2</v>
      </c>
      <c r="B6560">
        <f>B6534</f>
        <v>23</v>
      </c>
      <c r="C6560" t="str">
        <v>Kait Horizontal Tump.</v>
      </c>
      <c r="D6560">
        <f>VLOOKUP(D6534,'Detail Balok'!$C$10:$BJ$110,56,FALSE)</f>
        <v>0</v>
      </c>
      <c r="E6560" t="str">
        <v>D</v>
      </c>
      <c r="F6560">
        <f>VLOOKUP(D6534,'Detail Balok'!$C$10:$BJ$110,58,FALSE)</f>
        <v>0</v>
      </c>
      <c r="G6560" t="str">
        <v>-</v>
      </c>
      <c r="H6560">
        <f>VLOOKUP(D6534,'Detail Balok'!$C$10:$BJ$110,60,FALSE)</f>
        <v>100</v>
      </c>
      <c r="J6560">
        <f>(D6535-2*F$5)/1000</f>
        <v>0.12</v>
      </c>
      <c r="K6560" t="str">
        <v>+</v>
      </c>
      <c r="L6560">
        <f>IF(D6560=0,2*MAX(6*F6560,75),(D6560-1)*2*MAX(6*F6560,75))/1000</f>
        <v>0.15</v>
      </c>
      <c r="M6560" t="str">
        <v>=</v>
      </c>
      <c r="N6560">
        <f>J6560+L6560</f>
        <v>0.27</v>
      </c>
      <c r="T6560" t="str">
        <v>x</v>
      </c>
      <c r="U6560">
        <f>0.006165*F6560^2</f>
        <v>0</v>
      </c>
      <c r="V6560" t="str">
        <v>x</v>
      </c>
      <c r="W6560">
        <f>W6556</f>
        <v>24</v>
      </c>
      <c r="X6560" t="str">
        <v>x</v>
      </c>
      <c r="Y6560">
        <f>D6544</f>
        <v>2</v>
      </c>
      <c r="Z6560" t="str">
        <v>=</v>
      </c>
      <c r="AA6560">
        <f>N6560*U6560*W6560*Y6560</f>
        <v>0</v>
      </c>
    </row>
    <row r="6564">
      <c r="A6564" t="str">
        <f>A6534</f>
        <v>Lantai 2</v>
      </c>
      <c r="B6564">
        <f>B6534+1</f>
        <v>24</v>
      </c>
      <c r="C6564" t="str">
        <f>CONCATENATE(A6564," no. ",B6564)</f>
        <v>Lantai 2 no. 24</v>
      </c>
      <c r="D6564" t="str">
        <f>VLOOKUP(C6564,'Data Panjang Balok'!$C$9:$N$424,2,FALSE)</f>
        <v>B245-1</v>
      </c>
    </row>
    <row r="6565">
      <c r="C6565" t="str">
        <v>Dimensi</v>
      </c>
      <c r="D6565">
        <f>VLOOKUP(D6564,'Detail Balok'!$C$10:$AU$110,2,FALSE)</f>
        <v>200</v>
      </c>
      <c r="F6565" t="str">
        <v>x</v>
      </c>
      <c r="G6565">
        <f>VLOOKUP(D6564,'Detail Balok'!$C$10:$AU$110,3,FALSE)</f>
        <v>450</v>
      </c>
    </row>
    <row r="6566">
      <c r="C6566" t="str">
        <v>Panjang as ke as</v>
      </c>
      <c r="D6566">
        <f>VLOOKUP(C6564,'Data Panjang Balok'!$C$9:$N$424,4,FALSE)</f>
        <v>5800</v>
      </c>
    </row>
    <row r="6567">
      <c r="C6567" t="str">
        <v>Panjang netto</v>
      </c>
      <c r="D6567">
        <f>VLOOKUP(C6564,'Data Panjang Balok'!$C$9:$N$424,7,FALSE)</f>
        <v>5800</v>
      </c>
    </row>
    <row r="6568">
      <c r="C6568" t="str">
        <v>Kolom / balok kiri</v>
      </c>
      <c r="D6568">
        <f>VLOOKUP(C6564,'Data Panjang Balok'!$C$9:$N$424,9,FALSE)</f>
        <v>0</v>
      </c>
    </row>
    <row r="6569">
      <c r="C6569" t="str">
        <v>Kolom / balok kanan</v>
      </c>
      <c r="D6569">
        <f>VLOOKUP(C6564,'Data Panjang Balok'!$C$9:$N$424,10,FALSE)</f>
        <v>0</v>
      </c>
    </row>
    <row r="6570">
      <c r="C6570" t="str">
        <v>Jumlah</v>
      </c>
      <c r="D6570">
        <f>VLOOKUP(C6564,'Data Panjang Balok'!$C$9:$N$424,3,FALSE)</f>
        <v>1</v>
      </c>
    </row>
    <row r="6571">
      <c r="A6571" t="str">
        <f>A6564</f>
        <v>Lantai 2</v>
      </c>
      <c r="B6571">
        <f>B6564</f>
        <v>24</v>
      </c>
      <c r="C6571" t="str">
        <v>Tul Atas Tumpuan</v>
      </c>
      <c r="D6571">
        <f>VLOOKUP(D6564,'Detail Balok'!$C$10:$AU$110,4,FALSE)</f>
        <v>2</v>
      </c>
      <c r="E6571" t="str">
        <v>D</v>
      </c>
      <c r="F6571">
        <f>VLOOKUP(D6564,'Detail Balok'!$C$10:$AU$110,6,FALSE)</f>
        <v>13</v>
      </c>
      <c r="I6571" t="str">
        <v>(</v>
      </c>
      <c r="J6571">
        <f>+D6566/4/1000</f>
        <v>1.45</v>
      </c>
      <c r="K6571" t="str">
        <v>+</v>
      </c>
      <c r="L6571">
        <f>MAX(VLOOKUP(F6571,N$6:P$15,3,FALSE)/1000,2/3*D6568/1000)+F$16*F6571/1000</f>
        <v>0.156</v>
      </c>
      <c r="M6571" t="str">
        <v>=</v>
      </c>
      <c r="N6571">
        <f>J6571+L6571</f>
        <v>1.6059999999999999</v>
      </c>
      <c r="O6571" t="str">
        <v>+</v>
      </c>
      <c r="P6571">
        <f>D6571-D6572</f>
        <v>0</v>
      </c>
      <c r="Q6571" t="str">
        <v>x</v>
      </c>
      <c r="R6571">
        <f>IF(P6571&gt;0,$F$18*F6571/1000,0)</f>
        <v>0</v>
      </c>
      <c r="S6571" t="str">
        <v>)</v>
      </c>
      <c r="T6571" t="str">
        <v>x</v>
      </c>
      <c r="U6571">
        <f>0.006165*F6571^2</f>
        <v>1.041885</v>
      </c>
      <c r="X6571" t="str">
        <v>x</v>
      </c>
      <c r="Y6571">
        <f>D6570</f>
        <v>1</v>
      </c>
      <c r="Z6571" t="str">
        <v>=</v>
      </c>
      <c r="AA6571">
        <f>IF(AA6574=0,(D6571*N6571+P6571*R6571)*U6571*Y6571,0)</f>
        <v>0</v>
      </c>
    </row>
    <row r="6572">
      <c r="A6572" t="str">
        <f>A6564</f>
        <v>Lantai 2</v>
      </c>
      <c r="B6572">
        <f>B6564</f>
        <v>24</v>
      </c>
      <c r="C6572" t="str">
        <v>Tul Atas Lapangan</v>
      </c>
      <c r="D6572">
        <f>VLOOKUP(D6564,'Detail Balok'!$C$10:$AU$110,7,FALSE)</f>
        <v>2</v>
      </c>
      <c r="E6572" t="str">
        <v>D</v>
      </c>
      <c r="F6572">
        <f>VLOOKUP(D6564,'Detail Balok'!$C$10:$AU$110,9,FALSE)</f>
        <v>13</v>
      </c>
      <c r="I6572" t="str">
        <v>(</v>
      </c>
      <c r="J6572">
        <f>+D6566/2/1000</f>
        <v>2.9</v>
      </c>
      <c r="K6572" t="str">
        <v>+</v>
      </c>
      <c r="M6572" t="str">
        <v>=</v>
      </c>
      <c r="N6572">
        <f>J6572+L6572</f>
        <v>2.9</v>
      </c>
      <c r="O6572" t="str">
        <v>+</v>
      </c>
      <c r="P6572">
        <f>MAX(D6572-D6571,D6572-D6573)</f>
        <v>0</v>
      </c>
      <c r="Q6572" t="str">
        <v>x</v>
      </c>
      <c r="R6572">
        <f>IF(P6572&gt;0,2*(1-2*$F$19-1/2)*D6567/1000,0)</f>
        <v>0</v>
      </c>
      <c r="S6572" t="str">
        <v>)</v>
      </c>
      <c r="T6572" t="str">
        <v>x</v>
      </c>
      <c r="U6572">
        <f>0.006165*F6572^2</f>
        <v>1.041885</v>
      </c>
      <c r="X6572" t="str">
        <v>x</v>
      </c>
      <c r="Y6572">
        <f>D6570</f>
        <v>1</v>
      </c>
      <c r="Z6572" t="str">
        <v>=</v>
      </c>
      <c r="AA6572">
        <f>IF(AA6574=0,(D6572*N6572+P6572*R6572)*U6572*Y6572,0)</f>
        <v>0</v>
      </c>
    </row>
    <row r="6573">
      <c r="A6573" t="str">
        <f>A6564</f>
        <v>Lantai 2</v>
      </c>
      <c r="B6573">
        <f>B6564</f>
        <v>24</v>
      </c>
      <c r="C6573" t="str">
        <v>Tul Atas Tumpuan</v>
      </c>
      <c r="D6573">
        <f>VLOOKUP(D6564,'Detail Balok'!$C$10:$AU$110,10,FALSE)</f>
        <v>2</v>
      </c>
      <c r="E6573" t="str">
        <v>D</v>
      </c>
      <c r="F6573">
        <f>VLOOKUP(D6564,'Detail Balok'!$C$10:$AU$110,12,FALSE)</f>
        <v>13</v>
      </c>
      <c r="I6573" t="str">
        <v>(</v>
      </c>
      <c r="J6573">
        <f>+D6566/4/1000</f>
        <v>1.45</v>
      </c>
      <c r="K6573" t="str">
        <v>+</v>
      </c>
      <c r="L6573">
        <f>MAX(VLOOKUP(F6573,N$6:P$15,3,FALSE)/1000,2/3*D6568/1000)+F$16*F6573/1000</f>
        <v>0.156</v>
      </c>
      <c r="M6573" t="str">
        <v>=</v>
      </c>
      <c r="N6573">
        <f>J6573+L6573</f>
        <v>1.6059999999999999</v>
      </c>
      <c r="O6573" t="str">
        <v>+</v>
      </c>
      <c r="P6573">
        <f>D6573-D6572</f>
        <v>0</v>
      </c>
      <c r="Q6573" t="str">
        <v>x</v>
      </c>
      <c r="R6573">
        <f>IF(P6573&gt;0,$F$18*F6573/1000,0)</f>
        <v>0</v>
      </c>
      <c r="S6573" t="str">
        <v>)</v>
      </c>
      <c r="T6573" t="str">
        <v>x</v>
      </c>
      <c r="U6573">
        <f>0.006165*F6573^2</f>
        <v>1.041885</v>
      </c>
      <c r="X6573" t="str">
        <v>x</v>
      </c>
      <c r="Y6573">
        <f>D6570</f>
        <v>1</v>
      </c>
      <c r="Z6573" t="str">
        <v>=</v>
      </c>
      <c r="AA6573">
        <f>IF(AA6574=0,(D6573*N6573+P6573*R6573)*U6573*Y6573,0)</f>
        <v>0</v>
      </c>
    </row>
    <row r="6574">
      <c r="A6574" t="str">
        <f>A6564</f>
        <v>Lantai 2</v>
      </c>
      <c r="B6574">
        <f>B6564</f>
        <v>24</v>
      </c>
      <c r="D6574">
        <f>IF(AND(D6571=D6572,D6572=D6573,D6571=D6573),D6571,0)</f>
        <v>2</v>
      </c>
      <c r="E6574" t="str">
        <v>D</v>
      </c>
      <c r="F6574">
        <f>IF(AND(F6571=F6572,F6571=F6573,F6572=F6573),F6571,0)</f>
        <v>13</v>
      </c>
      <c r="L6574" t="str">
        <v>Total panjang per balok</v>
      </c>
      <c r="M6574" t="str">
        <v>=</v>
      </c>
      <c r="N6574">
        <f>IF(AND(D6571=D6572,D6571=D6573,D6572=D6573,F6571=F6572,F6571=F6573,F6572=F6573),SUM(N6571:N6573),0)</f>
        <v>6.112</v>
      </c>
      <c r="O6574" t="str">
        <v>+</v>
      </c>
      <c r="P6574">
        <f>IF(N6574&gt;12,ROUNDDOWN(N6574/12,0),0)</f>
        <v>0</v>
      </c>
      <c r="Q6574" t="str">
        <v>x</v>
      </c>
      <c r="R6574">
        <f>IF(P6574&gt;0,MAX(VLOOKUP(F6574,$D$6:$G$15,3,FALSE),600),0)/1000</f>
        <v>0</v>
      </c>
      <c r="T6574" t="str">
        <v>x</v>
      </c>
      <c r="U6574">
        <f>U6573</f>
        <v>1.041885</v>
      </c>
      <c r="V6574" t="str">
        <v>x</v>
      </c>
      <c r="W6574">
        <f>D6574</f>
        <v>2</v>
      </c>
      <c r="X6574" t="str">
        <v>x</v>
      </c>
      <c r="Y6574">
        <f>Y6573</f>
        <v>1</v>
      </c>
      <c r="Z6574" t="str">
        <v>=</v>
      </c>
      <c r="AA6574">
        <f>(N6574+P6574*R6574/1000)*U6574*W6574*Y6574</f>
        <v>12.73600224</v>
      </c>
    </row>
    <row r="6576">
      <c r="A6576" t="str">
        <f>A6564</f>
        <v>Lantai 2</v>
      </c>
      <c r="B6576">
        <f>B6564</f>
        <v>24</v>
      </c>
      <c r="C6576" t="str">
        <v>Tul Peminggang</v>
      </c>
      <c r="D6576">
        <f>VLOOKUP(D6564,'Detail Balok'!$C$10:$AU$110,13,FALSE)</f>
        <v>2</v>
      </c>
      <c r="E6576" t="str">
        <v>D</v>
      </c>
      <c r="F6576">
        <f>VLOOKUP(D6564,'Detail Balok'!$C$10:$AU$110,15,FALSE)</f>
        <v>8</v>
      </c>
      <c r="J6576">
        <f>+D6566/1000</f>
        <v>5.8</v>
      </c>
      <c r="K6576" t="str">
        <v>+</v>
      </c>
      <c r="L6576">
        <f>2*$F$16*F6576/1000</f>
        <v>0.192</v>
      </c>
      <c r="M6576" t="str">
        <v>=</v>
      </c>
      <c r="N6576">
        <f>J6576+L6576</f>
        <v>5.992</v>
      </c>
      <c r="O6576" t="str">
        <v>+</v>
      </c>
      <c r="P6576">
        <f>IF(N6576&gt;12,ROUNDDOWN(N6576/12,0),0)</f>
        <v>0</v>
      </c>
      <c r="Q6576" t="str">
        <v>x</v>
      </c>
      <c r="R6576">
        <f>IF(P6576&gt;0,MAX(VLOOKUP(F6576,$D$6:$G$15,3,FALSE),600),0)/1000</f>
        <v>0</v>
      </c>
      <c r="T6576" t="str">
        <v>x</v>
      </c>
      <c r="U6576">
        <f>0.006165*F6576^2</f>
        <v>0.39456</v>
      </c>
      <c r="V6576" t="str">
        <v>x</v>
      </c>
      <c r="W6576">
        <f>+D6576</f>
        <v>2</v>
      </c>
      <c r="X6576" t="str">
        <v>x</v>
      </c>
      <c r="Y6576">
        <f>D6570</f>
        <v>1</v>
      </c>
      <c r="Z6576" t="str">
        <v>=</v>
      </c>
      <c r="AA6576">
        <f>(N6576+P6576*R6576/1000)*U6576*W6576*Y6576</f>
        <v>4.7284070400000004</v>
      </c>
    </row>
    <row r="6579">
      <c r="A6579" t="str">
        <f>A6564</f>
        <v>Lantai 2</v>
      </c>
      <c r="B6579">
        <f>B6564</f>
        <v>24</v>
      </c>
      <c r="C6579" t="str">
        <v>Tul Bawah Tumpuan</v>
      </c>
      <c r="D6579">
        <f>VLOOKUP(D6564,'Detail Balok'!$C$10:$AU$110,22,FALSE)</f>
        <v>2</v>
      </c>
      <c r="E6579" t="str">
        <v>D</v>
      </c>
      <c r="F6579">
        <f>VLOOKUP(D6564,'Detail Balok'!$C$10:$AU$110,24,FALSE)</f>
        <v>13</v>
      </c>
      <c r="I6579" t="str">
        <v>(</v>
      </c>
      <c r="J6579">
        <f>+J6571</f>
        <v>1.45</v>
      </c>
      <c r="K6579" t="str">
        <v>+</v>
      </c>
      <c r="L6579">
        <f>MAX(VLOOKUP(F6579,N$6:P$15,3,FALSE)/1000,2/3*D6569/1000)+F$16*F6579/1000</f>
        <v>0.156</v>
      </c>
      <c r="M6579" t="str">
        <v>=</v>
      </c>
      <c r="N6579">
        <f>J6579+L6579</f>
        <v>1.6059999999999999</v>
      </c>
      <c r="O6579" t="str">
        <v>+</v>
      </c>
      <c r="P6579">
        <f>D6579-D6580</f>
        <v>0</v>
      </c>
      <c r="Q6579" t="str">
        <v>x</v>
      </c>
      <c r="R6579">
        <f>IF(P6579&gt;0,$F$18*F6579/1000,0)</f>
        <v>0</v>
      </c>
      <c r="S6579" t="str">
        <v>)</v>
      </c>
      <c r="T6579" t="str">
        <v>x</v>
      </c>
      <c r="U6579">
        <f>0.006165*F6579^2</f>
        <v>1.041885</v>
      </c>
      <c r="X6579" t="str">
        <v>x</v>
      </c>
      <c r="Y6579">
        <f>D6570</f>
        <v>1</v>
      </c>
      <c r="Z6579" t="str">
        <v>=</v>
      </c>
      <c r="AA6579">
        <f>IF(AA6582=0,(D6579*N6579+P6579*R6579)*U6579*Y6579,0)</f>
        <v>0</v>
      </c>
    </row>
    <row r="6580">
      <c r="A6580" t="str">
        <f>A6564</f>
        <v>Lantai 2</v>
      </c>
      <c r="B6580">
        <f>B6564</f>
        <v>24</v>
      </c>
      <c r="C6580" t="str">
        <v>Tul Bawah Lapangan</v>
      </c>
      <c r="D6580">
        <f>VLOOKUP(D6564,'Detail Balok'!$C$10:$AU$110,25,FALSE)</f>
        <v>2</v>
      </c>
      <c r="E6580" t="str">
        <v>D</v>
      </c>
      <c r="F6580">
        <f>VLOOKUP(D6564,'Detail Balok'!$C$10:$AU$110,27,FALSE)</f>
        <v>13</v>
      </c>
      <c r="I6580" t="str">
        <v>(</v>
      </c>
      <c r="J6580">
        <f>+J6572</f>
        <v>2.9</v>
      </c>
      <c r="K6580" t="str">
        <v>+</v>
      </c>
      <c r="M6580" t="str">
        <v>=</v>
      </c>
      <c r="N6580">
        <f>J6580+L6580</f>
        <v>2.9</v>
      </c>
      <c r="O6580" t="str">
        <v>+</v>
      </c>
      <c r="P6580">
        <f>MAX(D6580-D6579,D6580-D6581)</f>
        <v>0</v>
      </c>
      <c r="Q6580" t="str">
        <v>x</v>
      </c>
      <c r="R6580">
        <f>IF(P6580&gt;0,2*(1-2*$F$19-1/2)*D6567/1000,0)</f>
        <v>0</v>
      </c>
      <c r="S6580" t="str">
        <v>)</v>
      </c>
      <c r="T6580" t="str">
        <v>x</v>
      </c>
      <c r="U6580">
        <f>0.006165*F6580^2</f>
        <v>1.041885</v>
      </c>
      <c r="X6580" t="str">
        <v>x</v>
      </c>
      <c r="Y6580">
        <f>D6570</f>
        <v>1</v>
      </c>
      <c r="Z6580" t="str">
        <v>=</v>
      </c>
      <c r="AA6580">
        <f>IF(AA6582=0,(D6580*N6580+P6580*R6580)*U6580*Y6580,0)</f>
        <v>0</v>
      </c>
    </row>
    <row r="6581">
      <c r="A6581" t="str">
        <f>A6564</f>
        <v>Lantai 2</v>
      </c>
      <c r="B6581">
        <f>B6564</f>
        <v>24</v>
      </c>
      <c r="C6581" t="str">
        <v>Tul Bawah Tumpuan</v>
      </c>
      <c r="D6581">
        <f>VLOOKUP(D6564,'Detail Balok'!$C$10:$AU$110,28,FALSE)</f>
        <v>2</v>
      </c>
      <c r="E6581" t="str">
        <v>D</v>
      </c>
      <c r="F6581">
        <f>VLOOKUP(D6564,'Detail Balok'!$C$10:$AU$110,30,FALSE)</f>
        <v>13</v>
      </c>
      <c r="I6581" t="str">
        <v>(</v>
      </c>
      <c r="J6581">
        <f>+J6573</f>
        <v>1.45</v>
      </c>
      <c r="K6581" t="str">
        <v>+</v>
      </c>
      <c r="L6581">
        <f>MAX(VLOOKUP(F6581,N$6:P$15,3,FALSE)/1000,2/3*D6569/1000)+F$16*F6581/1000</f>
        <v>0.156</v>
      </c>
      <c r="M6581" t="str">
        <v>=</v>
      </c>
      <c r="N6581">
        <f>J6581+L6581</f>
        <v>1.6059999999999999</v>
      </c>
      <c r="O6581" t="str">
        <v>+</v>
      </c>
      <c r="P6581">
        <f>D6581-D6580</f>
        <v>0</v>
      </c>
      <c r="Q6581" t="str">
        <v>x</v>
      </c>
      <c r="R6581">
        <f>IF(P6581&gt;0,$F$18*F6581/1000,0)</f>
        <v>0</v>
      </c>
      <c r="S6581" t="str">
        <v>)</v>
      </c>
      <c r="T6581" t="str">
        <v>x</v>
      </c>
      <c r="U6581">
        <f>0.006165*F6581^2</f>
        <v>1.041885</v>
      </c>
      <c r="X6581" t="str">
        <v>x</v>
      </c>
      <c r="Y6581">
        <f>D6570</f>
        <v>1</v>
      </c>
      <c r="Z6581" t="str">
        <v>=</v>
      </c>
      <c r="AA6581">
        <f>IF(AA6582=0,(D6581*N6581+P6581*R6581)*U6581*Y6581,0)</f>
        <v>0</v>
      </c>
    </row>
    <row r="6582">
      <c r="A6582" t="str">
        <f>A6564</f>
        <v>Lantai 2</v>
      </c>
      <c r="B6582">
        <f>B6564</f>
        <v>24</v>
      </c>
      <c r="D6582">
        <f>IF(AND(D6579=D6580,D6580=D6581,D6579=D6581),D6579,0)</f>
        <v>2</v>
      </c>
      <c r="E6582" t="str">
        <v>D</v>
      </c>
      <c r="F6582">
        <f>IF(AND(F6579=F6580,F6579=F6581,F6580=F6581),F6579,0)</f>
        <v>13</v>
      </c>
      <c r="L6582" t="str">
        <v>Total panjang per balok</v>
      </c>
      <c r="M6582" t="str">
        <v>=</v>
      </c>
      <c r="N6582">
        <f>IF(AND(D6579=D6580,D6579=D6581,D6580=D6581,F6579=F6580,F6579=F6581,F6580=F6581),SUM(N6579:N6581),0)</f>
        <v>6.112</v>
      </c>
      <c r="O6582" t="str">
        <v>+</v>
      </c>
      <c r="P6582">
        <f>IF(N6582&gt;12,ROUNDDOWN(N6582/12,0),0)</f>
        <v>0</v>
      </c>
      <c r="Q6582" t="str">
        <v>x</v>
      </c>
      <c r="R6582">
        <f>IF(P6582&gt;0,MAX(VLOOKUP(F6582,$D$6:$G$15,3,FALSE),600),0)/1000</f>
        <v>0</v>
      </c>
      <c r="T6582" t="str">
        <v>x</v>
      </c>
      <c r="U6582">
        <f>U6581</f>
        <v>1.041885</v>
      </c>
      <c r="V6582" t="str">
        <v>x</v>
      </c>
      <c r="W6582">
        <f>D6582</f>
        <v>2</v>
      </c>
      <c r="X6582" t="str">
        <v>x</v>
      </c>
      <c r="Y6582">
        <f>Y6581</f>
        <v>1</v>
      </c>
      <c r="Z6582" t="str">
        <v>=</v>
      </c>
      <c r="AA6582">
        <f>(N6582+P6582*R6582/1000)*U6582*W6582*Y6582</f>
        <v>12.73600224</v>
      </c>
    </row>
    <row r="6584">
      <c r="A6584" t="str">
        <f>A6564</f>
        <v>Lantai 2</v>
      </c>
      <c r="B6584">
        <f>B6564</f>
        <v>24</v>
      </c>
      <c r="C6584" t="str">
        <v>Sengkang Tumpuan</v>
      </c>
      <c r="D6584">
        <f>VLOOKUP(D6564,'Detail Balok'!$C$10:$AU$110,31,FALSE)</f>
        <v>0</v>
      </c>
      <c r="E6584" t="str">
        <v>D</v>
      </c>
      <c r="F6584">
        <f>VLOOKUP(D6564,'Detail Balok'!$C$10:$AU$110,33,FALSE)</f>
        <v>8</v>
      </c>
      <c r="G6584" t="str">
        <v>-</v>
      </c>
      <c r="H6584">
        <f>VLOOKUP(D6564,'Detail Balok'!$C$10:$AU$110,35,FALSE)</f>
        <v>100</v>
      </c>
      <c r="J6584">
        <f>(IF(D6584=0,(2*(D6565+G6565))-(F$5*8),IF(D6584=3,(2*(D6565+G6565))-(F$5*8)+(G6565-2*F$5),IF(D6584=4,(2*(D6565+G6565))-(F$5*8)+2*(G6565-2*F$5)))))/1000</f>
        <v>0.98</v>
      </c>
      <c r="K6584" t="str">
        <v>+</v>
      </c>
      <c r="L6584">
        <f>IF(D6584=0,2*MAX(6*F6584,75),(D6584-1)*2*MAX(6*F6584,75))/1000</f>
        <v>0.15</v>
      </c>
      <c r="M6584" t="str">
        <v>=</v>
      </c>
      <c r="N6584">
        <f>J6584+L6584</f>
        <v>1.13</v>
      </c>
      <c r="T6584" t="str">
        <v>x</v>
      </c>
      <c r="U6584">
        <f>0.006165*F6584^2</f>
        <v>0.39456</v>
      </c>
      <c r="V6584" t="str">
        <v>x</v>
      </c>
      <c r="W6584">
        <f>IF(D6567&gt;4*G6565,ROUND(MAX(D6567/4,2*G6565)/H6584,0)+1,ROUND(D6567/H6584,0)+1)</f>
        <v>16</v>
      </c>
      <c r="X6584" t="str">
        <v>x</v>
      </c>
      <c r="Y6584">
        <f>D6570</f>
        <v>1</v>
      </c>
      <c r="Z6584" t="str">
        <v>=</v>
      </c>
      <c r="AA6584">
        <f>N6584*U6584*W6584*Y6584</f>
        <v>7.1336448</v>
      </c>
    </row>
    <row r="6585">
      <c r="A6585" t="str">
        <f>A6564</f>
        <v>Lantai 2</v>
      </c>
      <c r="B6585">
        <f>B6564</f>
        <v>24</v>
      </c>
      <c r="C6585" t="str">
        <v>Sengkang Lapangan</v>
      </c>
      <c r="D6585">
        <f>VLOOKUP(D6564,'Detail Balok'!$C$10:$AU$110,36,FALSE)</f>
        <v>0</v>
      </c>
      <c r="E6585" t="str">
        <v>D</v>
      </c>
      <c r="F6585">
        <f>VLOOKUP(D6564,'Detail Balok'!$C$10:$AU$110,38,FALSE)</f>
        <v>8</v>
      </c>
      <c r="G6585" t="str">
        <v>-</v>
      </c>
      <c r="H6585">
        <f>VLOOKUP(D6564,'Detail Balok'!$C$10:$AU$110,40,FALSE)</f>
        <v>200</v>
      </c>
      <c r="J6585">
        <f>(IF(D6585=0,(2*(D6565+G6565))-(F$5*8),IF(D6585=3,(2*(D6565+G6565))-(F$5*8)+(G6565-2*F$5),IF(D6585=4,(2*(D6565+G6565))-(F$5*8)+2*(G6565-2*F$5)))))/1000</f>
        <v>0.98</v>
      </c>
      <c r="K6585" t="str">
        <v>+</v>
      </c>
      <c r="L6585">
        <f>IF(D6585=0,2*MAX(6*F6585,75),(D6585-1)*2*MAX(6*F6585,75))/1000</f>
        <v>0.15</v>
      </c>
      <c r="M6585" t="str">
        <v>=</v>
      </c>
      <c r="N6585">
        <f>J6585+L6585</f>
        <v>1.13</v>
      </c>
      <c r="T6585" t="str">
        <v>x</v>
      </c>
      <c r="U6585">
        <f>0.006165*F6585^2</f>
        <v>0.39456</v>
      </c>
      <c r="V6585" t="str">
        <v>x</v>
      </c>
      <c r="W6585">
        <f>IF(D6567-MAX(D6567/4,2*G6565)*2&gt;0,ROUND((D6567-MAX(D6567/4,2*G6565)*2)/H6585,0),0)</f>
        <v>15</v>
      </c>
      <c r="X6585" t="str">
        <v>x</v>
      </c>
      <c r="Y6585">
        <f>D6570</f>
        <v>1</v>
      </c>
      <c r="Z6585" t="str">
        <v>=</v>
      </c>
      <c r="AA6585">
        <f>N6585*U6585*W6585*Y6585</f>
        <v>6.687792</v>
      </c>
    </row>
    <row r="6586">
      <c r="A6586" t="str">
        <f>A6564</f>
        <v>Lantai 2</v>
      </c>
      <c r="B6586">
        <f>B6564</f>
        <v>24</v>
      </c>
      <c r="C6586" t="str">
        <v>Sengkang Tumpuan</v>
      </c>
      <c r="D6586">
        <f>VLOOKUP(D6564,'Detail Balok'!$C$10:$AU$110,41,FALSE)</f>
        <v>0</v>
      </c>
      <c r="E6586" t="str">
        <v>D</v>
      </c>
      <c r="F6586">
        <f>VLOOKUP(D6564,'Detail Balok'!$C$10:$AU$110,43,FALSE)</f>
        <v>8</v>
      </c>
      <c r="G6586" t="str">
        <v>-</v>
      </c>
      <c r="H6586">
        <f>VLOOKUP(D6564,'Detail Balok'!$C$10:$AU$110,45,FALSE)</f>
        <v>100</v>
      </c>
      <c r="J6586">
        <f>(IF(D6586=0,(2*(D6565+G6565))-(F$5*8),IF(D6586=3,(2*(D6565+G6565))-(F$5*8)+(G6565-2*F$5),IF(D6586=4,(2*(D6565+G6565))-(F$5*8)+2*(G6565-2*F$5)))))/1000</f>
        <v>0.98</v>
      </c>
      <c r="K6586" t="str">
        <v>+</v>
      </c>
      <c r="L6586">
        <f>IF(D6586=0,2*MAX(6*F6586,75),(D6586-1)*2*MAX(6*F6586,75))/1000</f>
        <v>0.15</v>
      </c>
      <c r="M6586" t="str">
        <v>=</v>
      </c>
      <c r="N6586">
        <f>J6586+L6586</f>
        <v>1.13</v>
      </c>
      <c r="T6586" t="str">
        <v>x</v>
      </c>
      <c r="U6586">
        <f>0.006165*F6586^2</f>
        <v>0.39456</v>
      </c>
      <c r="V6586" t="str">
        <v>x</v>
      </c>
      <c r="W6586">
        <f>IF(D6567&gt;4*G6565,ROUND(MAX(D6567/4,2*G6565)/H6586,0)+1,0)</f>
        <v>16</v>
      </c>
      <c r="X6586" t="str">
        <v>x</v>
      </c>
      <c r="Y6586">
        <f>D6570</f>
        <v>1</v>
      </c>
      <c r="Z6586" t="str">
        <v>=</v>
      </c>
      <c r="AA6586">
        <f>N6586*U6586*W6586*Y6586</f>
        <v>7.1336448</v>
      </c>
    </row>
    <row r="6588">
      <c r="A6588" t="str">
        <f>A6564</f>
        <v>Lantai 2</v>
      </c>
      <c r="B6588">
        <f>B6564</f>
        <v>24</v>
      </c>
      <c r="C6588" t="str">
        <v>Kait Horizontal Tump.</v>
      </c>
      <c r="D6588">
        <f>VLOOKUP(D6564,'Detail Balok'!$C$10:$BJ$110,46,FALSE)</f>
        <v>0</v>
      </c>
      <c r="E6588" t="str">
        <v>D</v>
      </c>
      <c r="F6588">
        <f>VLOOKUP(D6564,'Detail Balok'!$C$10:$BJ$110,48,FALSE)</f>
        <v>0</v>
      </c>
      <c r="G6588" t="str">
        <v>-</v>
      </c>
      <c r="H6588">
        <f>VLOOKUP(D6564,'Detail Balok'!$C$10:$BJ$110,50,FALSE)</f>
        <v>100</v>
      </c>
      <c r="J6588">
        <f>(D6565-2*F$5)/1000</f>
        <v>0.12</v>
      </c>
      <c r="K6588" t="str">
        <v>+</v>
      </c>
      <c r="L6588">
        <f>IF(D6588=0,2*MAX(6*F6588,75),(D6588-1)*2*MAX(6*F6588,75))/1000</f>
        <v>0.15</v>
      </c>
      <c r="M6588" t="str">
        <v>=</v>
      </c>
      <c r="N6588">
        <f>J6588+L6588</f>
        <v>0.27</v>
      </c>
      <c r="T6588" t="str">
        <v>x</v>
      </c>
      <c r="U6588">
        <f>0.006165*F6588^2</f>
        <v>0</v>
      </c>
      <c r="V6588" t="str">
        <v>x</v>
      </c>
      <c r="W6588">
        <f>W6584</f>
        <v>16</v>
      </c>
      <c r="X6588" t="str">
        <v>x</v>
      </c>
      <c r="Y6588">
        <f>D6574</f>
        <v>2</v>
      </c>
      <c r="Z6588" t="str">
        <v>=</v>
      </c>
      <c r="AA6588">
        <f>N6588*U6588*W6588*Y6588</f>
        <v>0</v>
      </c>
    </row>
    <row r="6589">
      <c r="A6589" t="str">
        <f>A6564</f>
        <v>Lantai 2</v>
      </c>
      <c r="B6589">
        <f>B6564</f>
        <v>24</v>
      </c>
      <c r="C6589" t="str">
        <v>Kait Horizontal Lap.</v>
      </c>
      <c r="D6589">
        <f>VLOOKUP(D6564,'Detail Balok'!$C$10:$BJ$110,51,FALSE)</f>
        <v>0</v>
      </c>
      <c r="E6589" t="str">
        <v>D</v>
      </c>
      <c r="F6589">
        <f>VLOOKUP(D6564,'Detail Balok'!$C$10:$BJ$110,53,FALSE)</f>
        <v>0</v>
      </c>
      <c r="G6589" t="str">
        <v>-</v>
      </c>
      <c r="H6589">
        <f>VLOOKUP(D6564,'Detail Balok'!$C$10:$BJ$110,55,FALSE)</f>
        <v>100</v>
      </c>
      <c r="J6589">
        <f>(D6565-2*F$5)/1000</f>
        <v>0.12</v>
      </c>
      <c r="K6589" t="str">
        <v>+</v>
      </c>
      <c r="L6589">
        <f>IF(D6589=0,2*MAX(6*F6589,75),(D6589-1)*2*MAX(6*F6589,75))/1000</f>
        <v>0.15</v>
      </c>
      <c r="M6589" t="str">
        <v>=</v>
      </c>
      <c r="N6589">
        <f>J6589+L6589</f>
        <v>0.27</v>
      </c>
      <c r="T6589" t="str">
        <v>x</v>
      </c>
      <c r="U6589">
        <f>0.006165*F6589^2</f>
        <v>0</v>
      </c>
      <c r="V6589" t="str">
        <v>x</v>
      </c>
      <c r="W6589">
        <f>W6585</f>
        <v>15</v>
      </c>
      <c r="X6589" t="str">
        <v>x</v>
      </c>
      <c r="Y6589">
        <f>D6574</f>
        <v>2</v>
      </c>
      <c r="Z6589" t="str">
        <v>=</v>
      </c>
      <c r="AA6589">
        <f>N6589*U6589*W6589*Y6589</f>
        <v>0</v>
      </c>
    </row>
    <row r="6590">
      <c r="A6590" t="str">
        <f>A6564</f>
        <v>Lantai 2</v>
      </c>
      <c r="B6590">
        <f>B6564</f>
        <v>24</v>
      </c>
      <c r="C6590" t="str">
        <v>Kait Horizontal Tump.</v>
      </c>
      <c r="D6590">
        <f>VLOOKUP(D6564,'Detail Balok'!$C$10:$BJ$110,56,FALSE)</f>
        <v>0</v>
      </c>
      <c r="E6590" t="str">
        <v>D</v>
      </c>
      <c r="F6590">
        <f>VLOOKUP(D6564,'Detail Balok'!$C$10:$BJ$110,58,FALSE)</f>
        <v>0</v>
      </c>
      <c r="G6590" t="str">
        <v>-</v>
      </c>
      <c r="H6590">
        <f>VLOOKUP(D6564,'Detail Balok'!$C$10:$BJ$110,60,FALSE)</f>
        <v>100</v>
      </c>
      <c r="J6590">
        <f>(D6565-2*F$5)/1000</f>
        <v>0.12</v>
      </c>
      <c r="K6590" t="str">
        <v>+</v>
      </c>
      <c r="L6590">
        <f>IF(D6590=0,2*MAX(6*F6590,75),(D6590-1)*2*MAX(6*F6590,75))/1000</f>
        <v>0.15</v>
      </c>
      <c r="M6590" t="str">
        <v>=</v>
      </c>
      <c r="N6590">
        <f>J6590+L6590</f>
        <v>0.27</v>
      </c>
      <c r="T6590" t="str">
        <v>x</v>
      </c>
      <c r="U6590">
        <f>0.006165*F6590^2</f>
        <v>0</v>
      </c>
      <c r="V6590" t="str">
        <v>x</v>
      </c>
      <c r="W6590">
        <f>W6586</f>
        <v>16</v>
      </c>
      <c r="X6590" t="str">
        <v>x</v>
      </c>
      <c r="Y6590">
        <f>D6574</f>
        <v>2</v>
      </c>
      <c r="Z6590" t="str">
        <v>=</v>
      </c>
      <c r="AA6590">
        <f>N6590*U6590*W6590*Y6590</f>
        <v>0</v>
      </c>
    </row>
    <row r="6594">
      <c r="A6594" t="str">
        <f>A6564</f>
        <v>Lantai 2</v>
      </c>
      <c r="B6594">
        <f>B6564+1</f>
        <v>25</v>
      </c>
      <c r="C6594" t="str">
        <f>CONCATENATE(A6594," no. ",B6594)</f>
        <v>Lantai 2 no. 25</v>
      </c>
      <c r="D6594" t="str">
        <f>VLOOKUP(C6594,'Data Panjang Balok'!$C$9:$N$424,2,FALSE)</f>
        <v>B245-4</v>
      </c>
    </row>
    <row r="6595">
      <c r="C6595" t="str">
        <v>Dimensi</v>
      </c>
      <c r="D6595">
        <f>VLOOKUP(D6594,'Detail Balok'!$C$10:$AU$110,2,FALSE)</f>
        <v>200</v>
      </c>
      <c r="F6595" t="str">
        <v>x</v>
      </c>
      <c r="G6595">
        <f>VLOOKUP(D6594,'Detail Balok'!$C$10:$AU$110,3,FALSE)</f>
        <v>450</v>
      </c>
    </row>
    <row r="6596">
      <c r="C6596" t="str">
        <v>Panjang as ke as</v>
      </c>
      <c r="D6596">
        <f>VLOOKUP(C6594,'Data Panjang Balok'!$C$9:$N$424,4,FALSE)</f>
        <v>2310</v>
      </c>
    </row>
    <row r="6597">
      <c r="C6597" t="str">
        <v>Panjang netto</v>
      </c>
      <c r="D6597">
        <f>VLOOKUP(C6594,'Data Panjang Balok'!$C$9:$N$424,7,FALSE)</f>
        <v>2310</v>
      </c>
    </row>
    <row r="6598">
      <c r="C6598" t="str">
        <v>Kolom / balok kiri</v>
      </c>
      <c r="D6598">
        <f>VLOOKUP(C6594,'Data Panjang Balok'!$C$9:$N$424,9,FALSE)</f>
        <v>0</v>
      </c>
    </row>
    <row r="6599">
      <c r="C6599" t="str">
        <v>Kolom / balok kanan</v>
      </c>
      <c r="D6599">
        <f>VLOOKUP(C6594,'Data Panjang Balok'!$C$9:$N$424,10,FALSE)</f>
        <v>0</v>
      </c>
    </row>
    <row r="6600">
      <c r="C6600" t="str">
        <v>Jumlah</v>
      </c>
      <c r="D6600">
        <f>VLOOKUP(C6594,'Data Panjang Balok'!$C$9:$N$424,3,FALSE)</f>
        <v>1</v>
      </c>
    </row>
    <row r="6601">
      <c r="A6601" t="str">
        <f>A6594</f>
        <v>Lantai 2</v>
      </c>
      <c r="B6601">
        <f>B6594</f>
        <v>25</v>
      </c>
      <c r="C6601" t="str">
        <v>Tul Atas Tumpuan</v>
      </c>
      <c r="D6601">
        <f>VLOOKUP(D6594,'Detail Balok'!$C$10:$AU$110,4,FALSE)</f>
        <v>3</v>
      </c>
      <c r="E6601" t="str">
        <v>D</v>
      </c>
      <c r="F6601">
        <f>VLOOKUP(D6594,'Detail Balok'!$C$10:$AU$110,6,FALSE)</f>
        <v>16</v>
      </c>
      <c r="I6601" t="str">
        <v>(</v>
      </c>
      <c r="J6601">
        <f>+D6596/4/1000</f>
        <v>0.5775</v>
      </c>
      <c r="K6601" t="str">
        <v>+</v>
      </c>
      <c r="L6601">
        <f>MAX(VLOOKUP(F6601,N$6:P$15,3,FALSE)/1000,2/3*D6598/1000)+F$16*F6601/1000</f>
        <v>0.192</v>
      </c>
      <c r="M6601" t="str">
        <v>=</v>
      </c>
      <c r="N6601">
        <f>J6601+L6601</f>
        <v>0.7695000000000001</v>
      </c>
      <c r="O6601" t="str">
        <v>+</v>
      </c>
      <c r="P6601">
        <f>D6601-D6602</f>
        <v>0</v>
      </c>
      <c r="Q6601" t="str">
        <v>x</v>
      </c>
      <c r="R6601">
        <f>IF(P6601&gt;0,$F$18*F6601/1000,0)</f>
        <v>0</v>
      </c>
      <c r="S6601" t="str">
        <v>)</v>
      </c>
      <c r="T6601" t="str">
        <v>x</v>
      </c>
      <c r="U6601">
        <f>0.006165*F6601^2</f>
        <v>1.57824</v>
      </c>
      <c r="X6601" t="str">
        <v>x</v>
      </c>
      <c r="Y6601">
        <f>D6600</f>
        <v>1</v>
      </c>
      <c r="Z6601" t="str">
        <v>=</v>
      </c>
      <c r="AA6601">
        <f>IF(AA6604=0,(D6601*N6601+P6601*R6601)*U6601*Y6601,0)</f>
        <v>0</v>
      </c>
    </row>
    <row r="6602">
      <c r="A6602" t="str">
        <f>A6594</f>
        <v>Lantai 2</v>
      </c>
      <c r="B6602">
        <f>B6594</f>
        <v>25</v>
      </c>
      <c r="C6602" t="str">
        <v>Tul Atas Lapangan</v>
      </c>
      <c r="D6602">
        <f>VLOOKUP(D6594,'Detail Balok'!$C$10:$AU$110,7,FALSE)</f>
        <v>3</v>
      </c>
      <c r="E6602" t="str">
        <v>D</v>
      </c>
      <c r="F6602">
        <f>VLOOKUP(D6594,'Detail Balok'!$C$10:$AU$110,9,FALSE)</f>
        <v>16</v>
      </c>
      <c r="I6602" t="str">
        <v>(</v>
      </c>
      <c r="J6602">
        <f>+D6596/2/1000</f>
        <v>1.155</v>
      </c>
      <c r="K6602" t="str">
        <v>+</v>
      </c>
      <c r="M6602" t="str">
        <v>=</v>
      </c>
      <c r="N6602">
        <f>J6602+L6602</f>
        <v>1.155</v>
      </c>
      <c r="O6602" t="str">
        <v>+</v>
      </c>
      <c r="P6602">
        <f>MAX(D6602-D6601,D6602-D6603)</f>
        <v>0</v>
      </c>
      <c r="Q6602" t="str">
        <v>x</v>
      </c>
      <c r="R6602">
        <f>IF(P6602&gt;0,2*(1-2*$F$19-1/2)*D6597/1000,0)</f>
        <v>0</v>
      </c>
      <c r="S6602" t="str">
        <v>)</v>
      </c>
      <c r="T6602" t="str">
        <v>x</v>
      </c>
      <c r="U6602">
        <f>0.006165*F6602^2</f>
        <v>1.57824</v>
      </c>
      <c r="X6602" t="str">
        <v>x</v>
      </c>
      <c r="Y6602">
        <f>D6600</f>
        <v>1</v>
      </c>
      <c r="Z6602" t="str">
        <v>=</v>
      </c>
      <c r="AA6602">
        <f>IF(AA6604=0,(D6602*N6602+P6602*R6602)*U6602*Y6602,0)</f>
        <v>0</v>
      </c>
    </row>
    <row r="6603">
      <c r="A6603" t="str">
        <f>A6594</f>
        <v>Lantai 2</v>
      </c>
      <c r="B6603">
        <f>B6594</f>
        <v>25</v>
      </c>
      <c r="C6603" t="str">
        <v>Tul Atas Tumpuan</v>
      </c>
      <c r="D6603">
        <f>VLOOKUP(D6594,'Detail Balok'!$C$10:$AU$110,10,FALSE)</f>
        <v>3</v>
      </c>
      <c r="E6603" t="str">
        <v>D</v>
      </c>
      <c r="F6603">
        <f>VLOOKUP(D6594,'Detail Balok'!$C$10:$AU$110,12,FALSE)</f>
        <v>16</v>
      </c>
      <c r="I6603" t="str">
        <v>(</v>
      </c>
      <c r="J6603">
        <f>+D6596/4/1000</f>
        <v>0.5775</v>
      </c>
      <c r="K6603" t="str">
        <v>+</v>
      </c>
      <c r="L6603">
        <f>MAX(VLOOKUP(F6603,N$6:P$15,3,FALSE)/1000,2/3*D6598/1000)+F$16*F6603/1000</f>
        <v>0.192</v>
      </c>
      <c r="M6603" t="str">
        <v>=</v>
      </c>
      <c r="N6603">
        <f>J6603+L6603</f>
        <v>0.7695000000000001</v>
      </c>
      <c r="O6603" t="str">
        <v>+</v>
      </c>
      <c r="P6603">
        <f>D6603-D6602</f>
        <v>0</v>
      </c>
      <c r="Q6603" t="str">
        <v>x</v>
      </c>
      <c r="R6603">
        <f>IF(P6603&gt;0,$F$18*F6603/1000,0)</f>
        <v>0</v>
      </c>
      <c r="S6603" t="str">
        <v>)</v>
      </c>
      <c r="T6603" t="str">
        <v>x</v>
      </c>
      <c r="U6603">
        <f>0.006165*F6603^2</f>
        <v>1.57824</v>
      </c>
      <c r="X6603" t="str">
        <v>x</v>
      </c>
      <c r="Y6603">
        <f>D6600</f>
        <v>1</v>
      </c>
      <c r="Z6603" t="str">
        <v>=</v>
      </c>
      <c r="AA6603">
        <f>IF(AA6604=0,(D6603*N6603+P6603*R6603)*U6603*Y6603,0)</f>
        <v>0</v>
      </c>
    </row>
    <row r="6604">
      <c r="A6604" t="str">
        <f>A6594</f>
        <v>Lantai 2</v>
      </c>
      <c r="B6604">
        <f>B6594</f>
        <v>25</v>
      </c>
      <c r="D6604">
        <f>IF(AND(D6601=D6602,D6602=D6603,D6601=D6603),D6601,0)</f>
        <v>3</v>
      </c>
      <c r="E6604" t="str">
        <v>D</v>
      </c>
      <c r="F6604">
        <f>IF(AND(F6601=F6602,F6601=F6603,F6602=F6603),F6601,0)</f>
        <v>16</v>
      </c>
      <c r="L6604" t="str">
        <v>Total panjang per balok</v>
      </c>
      <c r="M6604" t="str">
        <v>=</v>
      </c>
      <c r="N6604">
        <f>IF(AND(D6601=D6602,D6601=D6603,D6602=D6603,F6601=F6602,F6601=F6603,F6602=F6603),SUM(N6601:N6603),0)</f>
        <v>2.694</v>
      </c>
      <c r="O6604" t="str">
        <v>+</v>
      </c>
      <c r="P6604">
        <f>IF(N6604&gt;12,ROUNDDOWN(N6604/12,0),0)</f>
        <v>0</v>
      </c>
      <c r="Q6604" t="str">
        <v>x</v>
      </c>
      <c r="R6604">
        <f>IF(P6604&gt;0,MAX(VLOOKUP(F6604,$D$6:$G$15,3,FALSE),600),0)/1000</f>
        <v>0</v>
      </c>
      <c r="T6604" t="str">
        <v>x</v>
      </c>
      <c r="U6604">
        <f>U6603</f>
        <v>1.57824</v>
      </c>
      <c r="V6604" t="str">
        <v>x</v>
      </c>
      <c r="W6604">
        <f>D6604</f>
        <v>3</v>
      </c>
      <c r="X6604" t="str">
        <v>x</v>
      </c>
      <c r="Y6604">
        <f>Y6603</f>
        <v>1</v>
      </c>
      <c r="Z6604" t="str">
        <v>=</v>
      </c>
      <c r="AA6604">
        <f>(N6604+P6604*R6604/1000)*U6604*W6604*Y6604</f>
        <v>12.75533568</v>
      </c>
    </row>
    <row r="6606">
      <c r="A6606" t="str">
        <f>A6594</f>
        <v>Lantai 2</v>
      </c>
      <c r="B6606">
        <f>B6594</f>
        <v>25</v>
      </c>
      <c r="C6606" t="str">
        <v>Tul Peminggang</v>
      </c>
      <c r="D6606">
        <f>VLOOKUP(D6594,'Detail Balok'!$C$10:$AU$110,13,FALSE)</f>
        <v>2</v>
      </c>
      <c r="E6606" t="str">
        <v>D</v>
      </c>
      <c r="F6606">
        <f>VLOOKUP(D6594,'Detail Balok'!$C$10:$AU$110,15,FALSE)</f>
        <v>8</v>
      </c>
      <c r="J6606">
        <f>+D6596/1000</f>
        <v>2.31</v>
      </c>
      <c r="K6606" t="str">
        <v>+</v>
      </c>
      <c r="L6606">
        <f>2*$F$16*F6606/1000</f>
        <v>0.192</v>
      </c>
      <c r="M6606" t="str">
        <v>=</v>
      </c>
      <c r="N6606">
        <f>J6606+L6606</f>
        <v>2.5020000000000002</v>
      </c>
      <c r="O6606" t="str">
        <v>+</v>
      </c>
      <c r="P6606">
        <f>IF(N6606&gt;12,ROUNDDOWN(N6606/12,0),0)</f>
        <v>0</v>
      </c>
      <c r="Q6606" t="str">
        <v>x</v>
      </c>
      <c r="R6606">
        <f>IF(P6606&gt;0,MAX(VLOOKUP(F6606,$D$6:$G$15,3,FALSE),600),0)/1000</f>
        <v>0</v>
      </c>
      <c r="T6606" t="str">
        <v>x</v>
      </c>
      <c r="U6606">
        <f>0.006165*F6606^2</f>
        <v>0.39456</v>
      </c>
      <c r="V6606" t="str">
        <v>x</v>
      </c>
      <c r="W6606">
        <f>+D6606</f>
        <v>2</v>
      </c>
      <c r="X6606" t="str">
        <v>x</v>
      </c>
      <c r="Y6606">
        <f>D6600</f>
        <v>1</v>
      </c>
      <c r="Z6606" t="str">
        <v>=</v>
      </c>
      <c r="AA6606">
        <f>(N6606+P6606*R6606/1000)*U6606*W6606*Y6606</f>
        <v>1.9743782400000003</v>
      </c>
    </row>
    <row r="6609">
      <c r="A6609" t="str">
        <f>A6594</f>
        <v>Lantai 2</v>
      </c>
      <c r="B6609">
        <f>B6594</f>
        <v>25</v>
      </c>
      <c r="C6609" t="str">
        <v>Tul Bawah Tumpuan</v>
      </c>
      <c r="D6609">
        <f>VLOOKUP(D6594,'Detail Balok'!$C$10:$AU$110,22,FALSE)</f>
        <v>3</v>
      </c>
      <c r="E6609" t="str">
        <v>D</v>
      </c>
      <c r="F6609">
        <f>VLOOKUP(D6594,'Detail Balok'!$C$10:$AU$110,24,FALSE)</f>
        <v>16</v>
      </c>
      <c r="I6609" t="str">
        <v>(</v>
      </c>
      <c r="J6609">
        <f>+J6601</f>
        <v>0.5775</v>
      </c>
      <c r="K6609" t="str">
        <v>+</v>
      </c>
      <c r="L6609">
        <f>MAX(VLOOKUP(F6609,N$6:P$15,3,FALSE)/1000,2/3*D6599/1000)+F$16*F6609/1000</f>
        <v>0.192</v>
      </c>
      <c r="M6609" t="str">
        <v>=</v>
      </c>
      <c r="N6609">
        <f>J6609+L6609</f>
        <v>0.7695000000000001</v>
      </c>
      <c r="O6609" t="str">
        <v>+</v>
      </c>
      <c r="P6609">
        <f>D6609-D6610</f>
        <v>0</v>
      </c>
      <c r="Q6609" t="str">
        <v>x</v>
      </c>
      <c r="R6609">
        <f>IF(P6609&gt;0,$F$18*F6609/1000,0)</f>
        <v>0</v>
      </c>
      <c r="S6609" t="str">
        <v>)</v>
      </c>
      <c r="T6609" t="str">
        <v>x</v>
      </c>
      <c r="U6609">
        <f>0.006165*F6609^2</f>
        <v>1.57824</v>
      </c>
      <c r="X6609" t="str">
        <v>x</v>
      </c>
      <c r="Y6609">
        <f>D6600</f>
        <v>1</v>
      </c>
      <c r="Z6609" t="str">
        <v>=</v>
      </c>
      <c r="AA6609">
        <f>IF(AA6612=0,(D6609*N6609+P6609*R6609)*U6609*Y6609,0)</f>
        <v>0</v>
      </c>
    </row>
    <row r="6610">
      <c r="A6610" t="str">
        <f>A6594</f>
        <v>Lantai 2</v>
      </c>
      <c r="B6610">
        <f>B6594</f>
        <v>25</v>
      </c>
      <c r="C6610" t="str">
        <v>Tul Bawah Lapangan</v>
      </c>
      <c r="D6610">
        <f>VLOOKUP(D6594,'Detail Balok'!$C$10:$AU$110,25,FALSE)</f>
        <v>3</v>
      </c>
      <c r="E6610" t="str">
        <v>D</v>
      </c>
      <c r="F6610">
        <f>VLOOKUP(D6594,'Detail Balok'!$C$10:$AU$110,27,FALSE)</f>
        <v>16</v>
      </c>
      <c r="I6610" t="str">
        <v>(</v>
      </c>
      <c r="J6610">
        <f>+J6602</f>
        <v>1.155</v>
      </c>
      <c r="K6610" t="str">
        <v>+</v>
      </c>
      <c r="M6610" t="str">
        <v>=</v>
      </c>
      <c r="N6610">
        <f>J6610+L6610</f>
        <v>1.155</v>
      </c>
      <c r="O6610" t="str">
        <v>+</v>
      </c>
      <c r="P6610">
        <f>MAX(D6610-D6609,D6610-D6611)</f>
        <v>0</v>
      </c>
      <c r="Q6610" t="str">
        <v>x</v>
      </c>
      <c r="R6610">
        <f>IF(P6610&gt;0,2*(1-2*$F$19-1/2)*D6597/1000,0)</f>
        <v>0</v>
      </c>
      <c r="S6610" t="str">
        <v>)</v>
      </c>
      <c r="T6610" t="str">
        <v>x</v>
      </c>
      <c r="U6610">
        <f>0.006165*F6610^2</f>
        <v>1.57824</v>
      </c>
      <c r="X6610" t="str">
        <v>x</v>
      </c>
      <c r="Y6610">
        <f>D6600</f>
        <v>1</v>
      </c>
      <c r="Z6610" t="str">
        <v>=</v>
      </c>
      <c r="AA6610">
        <f>IF(AA6612=0,(D6610*N6610+P6610*R6610)*U6610*Y6610,0)</f>
        <v>0</v>
      </c>
    </row>
    <row r="6611">
      <c r="A6611" t="str">
        <f>A6594</f>
        <v>Lantai 2</v>
      </c>
      <c r="B6611">
        <f>B6594</f>
        <v>25</v>
      </c>
      <c r="C6611" t="str">
        <v>Tul Bawah Tumpuan</v>
      </c>
      <c r="D6611">
        <f>VLOOKUP(D6594,'Detail Balok'!$C$10:$AU$110,28,FALSE)</f>
        <v>3</v>
      </c>
      <c r="E6611" t="str">
        <v>D</v>
      </c>
      <c r="F6611">
        <f>VLOOKUP(D6594,'Detail Balok'!$C$10:$AU$110,30,FALSE)</f>
        <v>16</v>
      </c>
      <c r="I6611" t="str">
        <v>(</v>
      </c>
      <c r="J6611">
        <f>+J6603</f>
        <v>0.5775</v>
      </c>
      <c r="K6611" t="str">
        <v>+</v>
      </c>
      <c r="L6611">
        <f>MAX(VLOOKUP(F6611,N$6:P$15,3,FALSE)/1000,2/3*D6599/1000)+F$16*F6611/1000</f>
        <v>0.192</v>
      </c>
      <c r="M6611" t="str">
        <v>=</v>
      </c>
      <c r="N6611">
        <f>J6611+L6611</f>
        <v>0.7695000000000001</v>
      </c>
      <c r="O6611" t="str">
        <v>+</v>
      </c>
      <c r="P6611">
        <f>D6611-D6610</f>
        <v>0</v>
      </c>
      <c r="Q6611" t="str">
        <v>x</v>
      </c>
      <c r="R6611">
        <f>IF(P6611&gt;0,$F$18*F6611/1000,0)</f>
        <v>0</v>
      </c>
      <c r="S6611" t="str">
        <v>)</v>
      </c>
      <c r="T6611" t="str">
        <v>x</v>
      </c>
      <c r="U6611">
        <f>0.006165*F6611^2</f>
        <v>1.57824</v>
      </c>
      <c r="X6611" t="str">
        <v>x</v>
      </c>
      <c r="Y6611">
        <f>D6600</f>
        <v>1</v>
      </c>
      <c r="Z6611" t="str">
        <v>=</v>
      </c>
      <c r="AA6611">
        <f>IF(AA6612=0,(D6611*N6611+P6611*R6611)*U6611*Y6611,0)</f>
        <v>0</v>
      </c>
    </row>
    <row r="6612">
      <c r="A6612" t="str">
        <f>A6594</f>
        <v>Lantai 2</v>
      </c>
      <c r="B6612">
        <f>B6594</f>
        <v>25</v>
      </c>
      <c r="D6612">
        <f>IF(AND(D6609=D6610,D6610=D6611,D6609=D6611),D6609,0)</f>
        <v>3</v>
      </c>
      <c r="E6612" t="str">
        <v>D</v>
      </c>
      <c r="F6612">
        <f>IF(AND(F6609=F6610,F6609=F6611,F6610=F6611),F6609,0)</f>
        <v>16</v>
      </c>
      <c r="L6612" t="str">
        <v>Total panjang per balok</v>
      </c>
      <c r="M6612" t="str">
        <v>=</v>
      </c>
      <c r="N6612">
        <f>IF(AND(D6609=D6610,D6609=D6611,D6610=D6611,F6609=F6610,F6609=F6611,F6610=F6611),SUM(N6609:N6611),0)</f>
        <v>2.694</v>
      </c>
      <c r="O6612" t="str">
        <v>+</v>
      </c>
      <c r="P6612">
        <f>IF(N6612&gt;12,ROUNDDOWN(N6612/12,0),0)</f>
        <v>0</v>
      </c>
      <c r="Q6612" t="str">
        <v>x</v>
      </c>
      <c r="R6612">
        <f>IF(P6612&gt;0,MAX(VLOOKUP(F6612,$D$6:$G$15,3,FALSE),600),0)/1000</f>
        <v>0</v>
      </c>
      <c r="T6612" t="str">
        <v>x</v>
      </c>
      <c r="U6612">
        <f>U6611</f>
        <v>1.57824</v>
      </c>
      <c r="V6612" t="str">
        <v>x</v>
      </c>
      <c r="W6612">
        <f>D6612</f>
        <v>3</v>
      </c>
      <c r="X6612" t="str">
        <v>x</v>
      </c>
      <c r="Y6612">
        <f>Y6611</f>
        <v>1</v>
      </c>
      <c r="Z6612" t="str">
        <v>=</v>
      </c>
      <c r="AA6612">
        <f>(N6612+P6612*R6612/1000)*U6612*W6612*Y6612</f>
        <v>12.75533568</v>
      </c>
    </row>
    <row r="6614">
      <c r="A6614" t="str">
        <f>A6594</f>
        <v>Lantai 2</v>
      </c>
      <c r="B6614">
        <f>B6594</f>
        <v>25</v>
      </c>
      <c r="C6614" t="str">
        <v>Sengkang Tumpuan</v>
      </c>
      <c r="D6614">
        <f>VLOOKUP(D6594,'Detail Balok'!$C$10:$AU$110,31,FALSE)</f>
        <v>0</v>
      </c>
      <c r="E6614" t="str">
        <v>D</v>
      </c>
      <c r="F6614">
        <f>VLOOKUP(D6594,'Detail Balok'!$C$10:$AU$110,33,FALSE)</f>
        <v>8</v>
      </c>
      <c r="G6614" t="str">
        <v>-</v>
      </c>
      <c r="H6614">
        <f>VLOOKUP(D6594,'Detail Balok'!$C$10:$AU$110,35,FALSE)</f>
        <v>100</v>
      </c>
      <c r="J6614">
        <f>(IF(D6614=0,(2*(D6595+G6595))-(F$5*8),IF(D6614=3,(2*(D6595+G6595))-(F$5*8)+(G6595-2*F$5),IF(D6614=4,(2*(D6595+G6595))-(F$5*8)+2*(G6595-2*F$5)))))/1000</f>
        <v>0.98</v>
      </c>
      <c r="K6614" t="str">
        <v>+</v>
      </c>
      <c r="L6614">
        <f>IF(D6614=0,2*MAX(6*F6614,75),(D6614-1)*2*MAX(6*F6614,75))/1000</f>
        <v>0.15</v>
      </c>
      <c r="M6614" t="str">
        <v>=</v>
      </c>
      <c r="N6614">
        <f>J6614+L6614</f>
        <v>1.13</v>
      </c>
      <c r="T6614" t="str">
        <v>x</v>
      </c>
      <c r="U6614">
        <f>0.006165*F6614^2</f>
        <v>0.39456</v>
      </c>
      <c r="V6614" t="str">
        <v>x</v>
      </c>
      <c r="W6614">
        <f>IF(D6597&gt;4*G6595,ROUND(MAX(D6597/4,2*G6595)/H6614,0)+1,ROUND(D6597/H6614,0)+1)</f>
        <v>10</v>
      </c>
      <c r="X6614" t="str">
        <v>x</v>
      </c>
      <c r="Y6614">
        <f>D6600</f>
        <v>1</v>
      </c>
      <c r="Z6614" t="str">
        <v>=</v>
      </c>
      <c r="AA6614">
        <f>N6614*U6614*W6614*Y6614</f>
        <v>4.458528</v>
      </c>
    </row>
    <row r="6615">
      <c r="A6615" t="str">
        <f>A6594</f>
        <v>Lantai 2</v>
      </c>
      <c r="B6615">
        <f>B6594</f>
        <v>25</v>
      </c>
      <c r="C6615" t="str">
        <v>Sengkang Lapangan</v>
      </c>
      <c r="D6615">
        <f>VLOOKUP(D6594,'Detail Balok'!$C$10:$AU$110,36,FALSE)</f>
        <v>0</v>
      </c>
      <c r="E6615" t="str">
        <v>D</v>
      </c>
      <c r="F6615">
        <f>VLOOKUP(D6594,'Detail Balok'!$C$10:$AU$110,38,FALSE)</f>
        <v>8</v>
      </c>
      <c r="G6615" t="str">
        <v>-</v>
      </c>
      <c r="H6615">
        <f>VLOOKUP(D6594,'Detail Balok'!$C$10:$AU$110,40,FALSE)</f>
        <v>200</v>
      </c>
      <c r="J6615">
        <f>(IF(D6615=0,(2*(D6595+G6595))-(F$5*8),IF(D6615=3,(2*(D6595+G6595))-(F$5*8)+(G6595-2*F$5),IF(D6615=4,(2*(D6595+G6595))-(F$5*8)+2*(G6595-2*F$5)))))/1000</f>
        <v>0.98</v>
      </c>
      <c r="K6615" t="str">
        <v>+</v>
      </c>
      <c r="L6615">
        <f>IF(D6615=0,2*MAX(6*F6615,75),(D6615-1)*2*MAX(6*F6615,75))/1000</f>
        <v>0.15</v>
      </c>
      <c r="M6615" t="str">
        <v>=</v>
      </c>
      <c r="N6615">
        <f>J6615+L6615</f>
        <v>1.13</v>
      </c>
      <c r="T6615" t="str">
        <v>x</v>
      </c>
      <c r="U6615">
        <f>0.006165*F6615^2</f>
        <v>0.39456</v>
      </c>
      <c r="V6615" t="str">
        <v>x</v>
      </c>
      <c r="W6615">
        <f>IF(D6597-MAX(D6597/4,2*G6595)*2&gt;0,ROUND((D6597-MAX(D6597/4,2*G6595)*2)/H6615,0),0)</f>
        <v>3</v>
      </c>
      <c r="X6615" t="str">
        <v>x</v>
      </c>
      <c r="Y6615">
        <f>D6600</f>
        <v>1</v>
      </c>
      <c r="Z6615" t="str">
        <v>=</v>
      </c>
      <c r="AA6615">
        <f>N6615*U6615*W6615*Y6615</f>
        <v>1.3375584</v>
      </c>
    </row>
    <row r="6616">
      <c r="A6616" t="str">
        <f>A6594</f>
        <v>Lantai 2</v>
      </c>
      <c r="B6616">
        <f>B6594</f>
        <v>25</v>
      </c>
      <c r="C6616" t="str">
        <v>Sengkang Tumpuan</v>
      </c>
      <c r="D6616">
        <f>VLOOKUP(D6594,'Detail Balok'!$C$10:$AU$110,41,FALSE)</f>
        <v>0</v>
      </c>
      <c r="E6616" t="str">
        <v>D</v>
      </c>
      <c r="F6616">
        <f>VLOOKUP(D6594,'Detail Balok'!$C$10:$AU$110,43,FALSE)</f>
        <v>8</v>
      </c>
      <c r="G6616" t="str">
        <v>-</v>
      </c>
      <c r="H6616">
        <f>VLOOKUP(D6594,'Detail Balok'!$C$10:$AU$110,45,FALSE)</f>
        <v>100</v>
      </c>
      <c r="J6616">
        <f>(IF(D6616=0,(2*(D6595+G6595))-(F$5*8),IF(D6616=3,(2*(D6595+G6595))-(F$5*8)+(G6595-2*F$5),IF(D6616=4,(2*(D6595+G6595))-(F$5*8)+2*(G6595-2*F$5)))))/1000</f>
        <v>0.98</v>
      </c>
      <c r="K6616" t="str">
        <v>+</v>
      </c>
      <c r="L6616">
        <f>IF(D6616=0,2*MAX(6*F6616,75),(D6616-1)*2*MAX(6*F6616,75))/1000</f>
        <v>0.15</v>
      </c>
      <c r="M6616" t="str">
        <v>=</v>
      </c>
      <c r="N6616">
        <f>J6616+L6616</f>
        <v>1.13</v>
      </c>
      <c r="T6616" t="str">
        <v>x</v>
      </c>
      <c r="U6616">
        <f>0.006165*F6616^2</f>
        <v>0.39456</v>
      </c>
      <c r="V6616" t="str">
        <v>x</v>
      </c>
      <c r="W6616">
        <f>IF(D6597&gt;4*G6595,ROUND(MAX(D6597/4,2*G6595)/H6616,0)+1,0)</f>
        <v>10</v>
      </c>
      <c r="X6616" t="str">
        <v>x</v>
      </c>
      <c r="Y6616">
        <f>D6600</f>
        <v>1</v>
      </c>
      <c r="Z6616" t="str">
        <v>=</v>
      </c>
      <c r="AA6616">
        <f>N6616*U6616*W6616*Y6616</f>
        <v>4.458528</v>
      </c>
    </row>
    <row r="6618">
      <c r="A6618" t="str">
        <f>A6594</f>
        <v>Lantai 2</v>
      </c>
      <c r="B6618">
        <f>B6594</f>
        <v>25</v>
      </c>
      <c r="C6618" t="str">
        <v>Kait Horizontal Tump.</v>
      </c>
      <c r="D6618">
        <f>VLOOKUP(D6594,'Detail Balok'!$C$10:$BJ$110,46,FALSE)</f>
        <v>0</v>
      </c>
      <c r="E6618" t="str">
        <v>D</v>
      </c>
      <c r="F6618">
        <f>VLOOKUP(D6594,'Detail Balok'!$C$10:$BJ$110,48,FALSE)</f>
        <v>0</v>
      </c>
      <c r="G6618" t="str">
        <v>-</v>
      </c>
      <c r="H6618">
        <f>VLOOKUP(D6594,'Detail Balok'!$C$10:$BJ$110,50,FALSE)</f>
        <v>100</v>
      </c>
      <c r="J6618">
        <f>(D6595-2*F$5)/1000</f>
        <v>0.12</v>
      </c>
      <c r="K6618" t="str">
        <v>+</v>
      </c>
      <c r="L6618">
        <f>IF(D6618=0,2*MAX(6*F6618,75),(D6618-1)*2*MAX(6*F6618,75))/1000</f>
        <v>0.15</v>
      </c>
      <c r="M6618" t="str">
        <v>=</v>
      </c>
      <c r="N6618">
        <f>J6618+L6618</f>
        <v>0.27</v>
      </c>
      <c r="T6618" t="str">
        <v>x</v>
      </c>
      <c r="U6618">
        <f>0.006165*F6618^2</f>
        <v>0</v>
      </c>
      <c r="V6618" t="str">
        <v>x</v>
      </c>
      <c r="W6618">
        <f>W6614</f>
        <v>10</v>
      </c>
      <c r="X6618" t="str">
        <v>x</v>
      </c>
      <c r="Y6618">
        <f>D6604</f>
        <v>3</v>
      </c>
      <c r="Z6618" t="str">
        <v>=</v>
      </c>
      <c r="AA6618">
        <f>N6618*U6618*W6618*Y6618</f>
        <v>0</v>
      </c>
    </row>
    <row r="6619">
      <c r="A6619" t="str">
        <f>A6594</f>
        <v>Lantai 2</v>
      </c>
      <c r="B6619">
        <f>B6594</f>
        <v>25</v>
      </c>
      <c r="C6619" t="str">
        <v>Kait Horizontal Lap.</v>
      </c>
      <c r="D6619">
        <f>VLOOKUP(D6594,'Detail Balok'!$C$10:$BJ$110,51,FALSE)</f>
        <v>0</v>
      </c>
      <c r="E6619" t="str">
        <v>D</v>
      </c>
      <c r="F6619">
        <f>VLOOKUP(D6594,'Detail Balok'!$C$10:$BJ$110,53,FALSE)</f>
        <v>0</v>
      </c>
      <c r="G6619" t="str">
        <v>-</v>
      </c>
      <c r="H6619">
        <f>VLOOKUP(D6594,'Detail Balok'!$C$10:$BJ$110,55,FALSE)</f>
        <v>100</v>
      </c>
      <c r="J6619">
        <f>(D6595-2*F$5)/1000</f>
        <v>0.12</v>
      </c>
      <c r="K6619" t="str">
        <v>+</v>
      </c>
      <c r="L6619">
        <f>IF(D6619=0,2*MAX(6*F6619,75),(D6619-1)*2*MAX(6*F6619,75))/1000</f>
        <v>0.15</v>
      </c>
      <c r="M6619" t="str">
        <v>=</v>
      </c>
      <c r="N6619">
        <f>J6619+L6619</f>
        <v>0.27</v>
      </c>
      <c r="T6619" t="str">
        <v>x</v>
      </c>
      <c r="U6619">
        <f>0.006165*F6619^2</f>
        <v>0</v>
      </c>
      <c r="V6619" t="str">
        <v>x</v>
      </c>
      <c r="W6619">
        <f>W6615</f>
        <v>3</v>
      </c>
      <c r="X6619" t="str">
        <v>x</v>
      </c>
      <c r="Y6619">
        <f>D6604</f>
        <v>3</v>
      </c>
      <c r="Z6619" t="str">
        <v>=</v>
      </c>
      <c r="AA6619">
        <f>N6619*U6619*W6619*Y6619</f>
        <v>0</v>
      </c>
    </row>
    <row r="6620">
      <c r="A6620" t="str">
        <f>A6594</f>
        <v>Lantai 2</v>
      </c>
      <c r="B6620">
        <f>B6594</f>
        <v>25</v>
      </c>
      <c r="C6620" t="str">
        <v>Kait Horizontal Tump.</v>
      </c>
      <c r="D6620">
        <f>VLOOKUP(D6594,'Detail Balok'!$C$10:$BJ$110,56,FALSE)</f>
        <v>0</v>
      </c>
      <c r="E6620" t="str">
        <v>D</v>
      </c>
      <c r="F6620">
        <f>VLOOKUP(D6594,'Detail Balok'!$C$10:$BJ$110,58,FALSE)</f>
        <v>0</v>
      </c>
      <c r="G6620" t="str">
        <v>-</v>
      </c>
      <c r="H6620">
        <f>VLOOKUP(D6594,'Detail Balok'!$C$10:$BJ$110,60,FALSE)</f>
        <v>100</v>
      </c>
      <c r="J6620">
        <f>(D6595-2*F$5)/1000</f>
        <v>0.12</v>
      </c>
      <c r="K6620" t="str">
        <v>+</v>
      </c>
      <c r="L6620">
        <f>IF(D6620=0,2*MAX(6*F6620,75),(D6620-1)*2*MAX(6*F6620,75))/1000</f>
        <v>0.15</v>
      </c>
      <c r="M6620" t="str">
        <v>=</v>
      </c>
      <c r="N6620">
        <f>J6620+L6620</f>
        <v>0.27</v>
      </c>
      <c r="T6620" t="str">
        <v>x</v>
      </c>
      <c r="U6620">
        <f>0.006165*F6620^2</f>
        <v>0</v>
      </c>
      <c r="V6620" t="str">
        <v>x</v>
      </c>
      <c r="W6620">
        <f>W6616</f>
        <v>10</v>
      </c>
      <c r="X6620" t="str">
        <v>x</v>
      </c>
      <c r="Y6620">
        <f>D6604</f>
        <v>3</v>
      </c>
      <c r="Z6620" t="str">
        <v>=</v>
      </c>
      <c r="AA6620">
        <f>N6620*U6620*W6620*Y6620</f>
        <v>0</v>
      </c>
    </row>
    <row r="6624">
      <c r="A6624" t="str">
        <f>A6594</f>
        <v>Lantai 2</v>
      </c>
      <c r="B6624">
        <f>B6594+1</f>
        <v>26</v>
      </c>
      <c r="C6624" t="str">
        <f>CONCATENATE(A6624," no. ",B6624)</f>
        <v>Lantai 2 no. 26</v>
      </c>
      <c r="D6624" t="str">
        <f>VLOOKUP(C6624,'Data Panjang Balok'!$C$9:$N$424,2,FALSE)</f>
        <v>B36-3</v>
      </c>
    </row>
    <row r="6625">
      <c r="C6625" t="str">
        <v>Dimensi</v>
      </c>
      <c r="D6625">
        <f>VLOOKUP(D6624,'Detail Balok'!$C$10:$AU$110,2,FALSE)</f>
        <v>300</v>
      </c>
      <c r="F6625" t="str">
        <v>x</v>
      </c>
      <c r="G6625">
        <f>VLOOKUP(D6624,'Detail Balok'!$C$10:$AU$110,3,FALSE)</f>
        <v>600</v>
      </c>
    </row>
    <row r="6626">
      <c r="C6626" t="str">
        <v>Panjang as ke as</v>
      </c>
      <c r="D6626">
        <f>VLOOKUP(C6624,'Data Panjang Balok'!$C$9:$N$424,4,FALSE)</f>
        <v>8100</v>
      </c>
    </row>
    <row r="6627">
      <c r="C6627" t="str">
        <v>Panjang netto</v>
      </c>
      <c r="D6627">
        <f>VLOOKUP(C6624,'Data Panjang Balok'!$C$9:$N$424,7,FALSE)</f>
        <v>8100</v>
      </c>
    </row>
    <row r="6628">
      <c r="C6628" t="str">
        <v>Kolom / balok kiri</v>
      </c>
      <c r="D6628">
        <f>VLOOKUP(C6624,'Data Panjang Balok'!$C$9:$N$424,9,FALSE)</f>
        <v>0</v>
      </c>
    </row>
    <row r="6629">
      <c r="C6629" t="str">
        <v>Kolom / balok kanan</v>
      </c>
      <c r="D6629">
        <f>VLOOKUP(C6624,'Data Panjang Balok'!$C$9:$N$424,10,FALSE)</f>
        <v>0</v>
      </c>
    </row>
    <row r="6630">
      <c r="C6630" t="str">
        <v>Jumlah</v>
      </c>
      <c r="D6630">
        <f>VLOOKUP(C6624,'Data Panjang Balok'!$C$9:$N$424,3,FALSE)</f>
        <v>1</v>
      </c>
    </row>
    <row r="6631">
      <c r="A6631" t="str">
        <f>A6624</f>
        <v>Lantai 2</v>
      </c>
      <c r="B6631">
        <f>B6624</f>
        <v>26</v>
      </c>
      <c r="C6631" t="str">
        <v>Tul Atas Tumpuan</v>
      </c>
      <c r="D6631">
        <f>VLOOKUP(D6624,'Detail Balok'!$C$10:$AU$110,4,FALSE)</f>
        <v>8</v>
      </c>
      <c r="E6631" t="str">
        <v>D</v>
      </c>
      <c r="F6631">
        <f>VLOOKUP(D6624,'Detail Balok'!$C$10:$AU$110,6,FALSE)</f>
        <v>19</v>
      </c>
      <c r="I6631" t="str">
        <v>(</v>
      </c>
      <c r="J6631">
        <f>+D6626/4/1000</f>
        <v>2.025</v>
      </c>
      <c r="K6631" t="str">
        <v>+</v>
      </c>
      <c r="L6631">
        <f>MAX(VLOOKUP(F6631,N$6:P$15,3,FALSE)/1000,2/3*D6628/1000)+F$16*F6631/1000</f>
        <v>0.228</v>
      </c>
      <c r="M6631" t="str">
        <v>=</v>
      </c>
      <c r="N6631">
        <f>J6631+L6631</f>
        <v>2.253</v>
      </c>
      <c r="O6631" t="str">
        <v>+</v>
      </c>
      <c r="P6631">
        <f>D6631-D6632</f>
        <v>5</v>
      </c>
      <c r="Q6631" t="str">
        <v>x</v>
      </c>
      <c r="R6631">
        <f>IF(P6631&gt;0,$F$18*F6631/1000,0)</f>
        <v>0.285</v>
      </c>
      <c r="S6631" t="str">
        <v>)</v>
      </c>
      <c r="T6631" t="str">
        <v>x</v>
      </c>
      <c r="U6631">
        <f>0.006165*F6631^2</f>
        <v>2.225565</v>
      </c>
      <c r="X6631" t="str">
        <v>x</v>
      </c>
      <c r="Y6631">
        <f>D6630</f>
        <v>1</v>
      </c>
      <c r="Z6631" t="str">
        <v>=</v>
      </c>
      <c r="AA6631">
        <f>IF(AA6634=0,(D6631*N6631+P6631*R6631)*U6631*Y6631,0)</f>
        <v>43.285013685</v>
      </c>
    </row>
    <row r="6632">
      <c r="A6632" t="str">
        <f>A6624</f>
        <v>Lantai 2</v>
      </c>
      <c r="B6632">
        <f>B6624</f>
        <v>26</v>
      </c>
      <c r="C6632" t="str">
        <v>Tul Atas Lapangan</v>
      </c>
      <c r="D6632">
        <f>VLOOKUP(D6624,'Detail Balok'!$C$10:$AU$110,7,FALSE)</f>
        <v>3</v>
      </c>
      <c r="E6632" t="str">
        <v>D</v>
      </c>
      <c r="F6632">
        <f>VLOOKUP(D6624,'Detail Balok'!$C$10:$AU$110,9,FALSE)</f>
        <v>19</v>
      </c>
      <c r="I6632" t="str">
        <v>(</v>
      </c>
      <c r="J6632">
        <f>+D6626/2/1000</f>
        <v>4.05</v>
      </c>
      <c r="K6632" t="str">
        <v>+</v>
      </c>
      <c r="M6632" t="str">
        <v>=</v>
      </c>
      <c r="N6632">
        <f>J6632+L6632</f>
        <v>4.05</v>
      </c>
      <c r="O6632" t="str">
        <v>+</v>
      </c>
      <c r="P6632">
        <f>MAX(D6632-D6631,D6632-D6633)</f>
        <v>0</v>
      </c>
      <c r="Q6632" t="str">
        <v>x</v>
      </c>
      <c r="R6632">
        <f>IF(P6632&gt;0,2*(1-2*$F$19-1/2)*D6627/1000,0)</f>
        <v>0</v>
      </c>
      <c r="S6632" t="str">
        <v>)</v>
      </c>
      <c r="T6632" t="str">
        <v>x</v>
      </c>
      <c r="U6632">
        <f>0.006165*F6632^2</f>
        <v>2.225565</v>
      </c>
      <c r="X6632" t="str">
        <v>x</v>
      </c>
      <c r="Y6632">
        <f>D6630</f>
        <v>1</v>
      </c>
      <c r="Z6632" t="str">
        <v>=</v>
      </c>
      <c r="AA6632">
        <f>IF(AA6634=0,(D6632*N6632+P6632*R6632)*U6632*Y6632,0)</f>
        <v>27.040614749999996</v>
      </c>
    </row>
    <row r="6633">
      <c r="A6633" t="str">
        <f>A6624</f>
        <v>Lantai 2</v>
      </c>
      <c r="B6633">
        <f>B6624</f>
        <v>26</v>
      </c>
      <c r="C6633" t="str">
        <v>Tul Atas Tumpuan</v>
      </c>
      <c r="D6633">
        <f>VLOOKUP(D6624,'Detail Balok'!$C$10:$AU$110,10,FALSE)</f>
        <v>3</v>
      </c>
      <c r="E6633" t="str">
        <v>D</v>
      </c>
      <c r="F6633">
        <f>VLOOKUP(D6624,'Detail Balok'!$C$10:$AU$110,12,FALSE)</f>
        <v>19</v>
      </c>
      <c r="I6633" t="str">
        <v>(</v>
      </c>
      <c r="J6633">
        <f>+D6626/4/1000</f>
        <v>2.025</v>
      </c>
      <c r="K6633" t="str">
        <v>+</v>
      </c>
      <c r="L6633">
        <f>MAX(VLOOKUP(F6633,N$6:P$15,3,FALSE)/1000,2/3*D6628/1000)+F$16*F6633/1000</f>
        <v>0.228</v>
      </c>
      <c r="M6633" t="str">
        <v>=</v>
      </c>
      <c r="N6633">
        <f>J6633+L6633</f>
        <v>2.253</v>
      </c>
      <c r="O6633" t="str">
        <v>+</v>
      </c>
      <c r="P6633">
        <f>D6633-D6632</f>
        <v>0</v>
      </c>
      <c r="Q6633" t="str">
        <v>x</v>
      </c>
      <c r="R6633">
        <f>IF(P6633&gt;0,$F$18*F6633/1000,0)</f>
        <v>0</v>
      </c>
      <c r="S6633" t="str">
        <v>)</v>
      </c>
      <c r="T6633" t="str">
        <v>x</v>
      </c>
      <c r="U6633">
        <f>0.006165*F6633^2</f>
        <v>2.225565</v>
      </c>
      <c r="X6633" t="str">
        <v>x</v>
      </c>
      <c r="Y6633">
        <f>D6630</f>
        <v>1</v>
      </c>
      <c r="Z6633" t="str">
        <v>=</v>
      </c>
      <c r="AA6633">
        <f>IF(AA6634=0,(D6633*N6633+P6633*R6633)*U6633*Y6633,0)</f>
        <v>15.042593835000002</v>
      </c>
    </row>
    <row r="6634">
      <c r="A6634" t="str">
        <f>A6624</f>
        <v>Lantai 2</v>
      </c>
      <c r="B6634">
        <f>B6624</f>
        <v>26</v>
      </c>
      <c r="D6634">
        <f>IF(AND(D6631=D6632,D6632=D6633,D6631=D6633),D6631,0)</f>
        <v>0</v>
      </c>
      <c r="E6634" t="str">
        <v>D</v>
      </c>
      <c r="F6634">
        <f>IF(AND(F6631=F6632,F6631=F6633,F6632=F6633),F6631,0)</f>
        <v>19</v>
      </c>
      <c r="L6634" t="str">
        <v>Total panjang per balok</v>
      </c>
      <c r="M6634" t="str">
        <v>=</v>
      </c>
      <c r="N6634">
        <f>IF(AND(D6631=D6632,D6631=D6633,D6632=D6633,F6631=F6632,F6631=F6633,F6632=F6633),SUM(N6631:N6633),0)</f>
        <v>0</v>
      </c>
      <c r="O6634" t="str">
        <v>+</v>
      </c>
      <c r="P6634">
        <f>IF(N6634&gt;12,ROUNDDOWN(N6634/12,0),0)</f>
        <v>0</v>
      </c>
      <c r="Q6634" t="str">
        <v>x</v>
      </c>
      <c r="R6634">
        <f>IF(P6634&gt;0,MAX(VLOOKUP(F6634,$D$6:$G$15,3,FALSE),600),0)/1000</f>
        <v>0</v>
      </c>
      <c r="T6634" t="str">
        <v>x</v>
      </c>
      <c r="U6634">
        <f>U6633</f>
        <v>2.225565</v>
      </c>
      <c r="V6634" t="str">
        <v>x</v>
      </c>
      <c r="W6634">
        <f>D6634</f>
        <v>0</v>
      </c>
      <c r="X6634" t="str">
        <v>x</v>
      </c>
      <c r="Y6634">
        <f>Y6633</f>
        <v>1</v>
      </c>
      <c r="Z6634" t="str">
        <v>=</v>
      </c>
      <c r="AA6634">
        <f>(N6634+P6634*R6634/1000)*U6634*W6634*Y6634</f>
        <v>0</v>
      </c>
    </row>
    <row r="6636">
      <c r="A6636" t="str">
        <f>A6624</f>
        <v>Lantai 2</v>
      </c>
      <c r="B6636">
        <f>B6624</f>
        <v>26</v>
      </c>
      <c r="C6636" t="str">
        <v>Tul Peminggang</v>
      </c>
      <c r="D6636">
        <f>VLOOKUP(D6624,'Detail Balok'!$C$10:$AU$110,13,FALSE)</f>
        <v>2</v>
      </c>
      <c r="E6636" t="str">
        <v>D</v>
      </c>
      <c r="F6636">
        <f>VLOOKUP(D6624,'Detail Balok'!$C$10:$AU$110,15,FALSE)</f>
        <v>10</v>
      </c>
      <c r="J6636">
        <f>+D6626/1000</f>
        <v>8.1</v>
      </c>
      <c r="K6636" t="str">
        <v>+</v>
      </c>
      <c r="L6636">
        <f>2*$F$16*F6636/1000</f>
        <v>0.24</v>
      </c>
      <c r="M6636" t="str">
        <v>=</v>
      </c>
      <c r="N6636">
        <f>J6636+L6636</f>
        <v>8.34</v>
      </c>
      <c r="O6636" t="str">
        <v>+</v>
      </c>
      <c r="P6636">
        <f>IF(N6636&gt;12,ROUNDDOWN(N6636/12,0),0)</f>
        <v>0</v>
      </c>
      <c r="Q6636" t="str">
        <v>x</v>
      </c>
      <c r="R6636">
        <f>IF(P6636&gt;0,MAX(VLOOKUP(F6636,$D$6:$G$15,3,FALSE),600),0)/1000</f>
        <v>0</v>
      </c>
      <c r="T6636" t="str">
        <v>x</v>
      </c>
      <c r="U6636">
        <f>0.006165*F6636^2</f>
        <v>0.6165</v>
      </c>
      <c r="V6636" t="str">
        <v>x</v>
      </c>
      <c r="W6636">
        <f>+D6636</f>
        <v>2</v>
      </c>
      <c r="X6636" t="str">
        <v>x</v>
      </c>
      <c r="Y6636">
        <f>D6630</f>
        <v>1</v>
      </c>
      <c r="Z6636" t="str">
        <v>=</v>
      </c>
      <c r="AA6636">
        <f>(N6636+P6636*R6636/1000)*U6636*W6636*Y6636</f>
        <v>10.28322</v>
      </c>
    </row>
    <row r="6639">
      <c r="A6639" t="str">
        <f>A6624</f>
        <v>Lantai 2</v>
      </c>
      <c r="B6639">
        <f>B6624</f>
        <v>26</v>
      </c>
      <c r="C6639" t="str">
        <v>Tul Bawah Tumpuan</v>
      </c>
      <c r="D6639">
        <f>VLOOKUP(D6624,'Detail Balok'!$C$10:$AU$110,22,FALSE)</f>
        <v>4</v>
      </c>
      <c r="E6639" t="str">
        <v>D</v>
      </c>
      <c r="F6639">
        <f>VLOOKUP(D6624,'Detail Balok'!$C$10:$AU$110,24,FALSE)</f>
        <v>19</v>
      </c>
      <c r="I6639" t="str">
        <v>(</v>
      </c>
      <c r="J6639">
        <f>+J6631</f>
        <v>2.025</v>
      </c>
      <c r="K6639" t="str">
        <v>+</v>
      </c>
      <c r="L6639">
        <f>MAX(VLOOKUP(F6639,N$6:P$15,3,FALSE)/1000,2/3*D6629/1000)+F$16*F6639/1000</f>
        <v>0.228</v>
      </c>
      <c r="M6639" t="str">
        <v>=</v>
      </c>
      <c r="N6639">
        <f>J6639+L6639</f>
        <v>2.253</v>
      </c>
      <c r="O6639" t="str">
        <v>+</v>
      </c>
      <c r="P6639">
        <f>D6639-D6640</f>
        <v>-4</v>
      </c>
      <c r="Q6639" t="str">
        <v>x</v>
      </c>
      <c r="R6639">
        <f>IF(P6639&gt;0,$F$18*F6639/1000,0)</f>
        <v>0</v>
      </c>
      <c r="S6639" t="str">
        <v>)</v>
      </c>
      <c r="T6639" t="str">
        <v>x</v>
      </c>
      <c r="U6639">
        <f>0.006165*F6639^2</f>
        <v>2.225565</v>
      </c>
      <c r="X6639" t="str">
        <v>x</v>
      </c>
      <c r="Y6639">
        <f>D6630</f>
        <v>1</v>
      </c>
      <c r="Z6639" t="str">
        <v>=</v>
      </c>
      <c r="AA6639">
        <f>IF(AA6642=0,(D6639*N6639+P6639*R6639)*U6639*Y6639,0)</f>
        <v>20.05679178</v>
      </c>
    </row>
    <row r="6640">
      <c r="A6640" t="str">
        <f>A6624</f>
        <v>Lantai 2</v>
      </c>
      <c r="B6640">
        <f>B6624</f>
        <v>26</v>
      </c>
      <c r="C6640" t="str">
        <v>Tul Bawah Lapangan</v>
      </c>
      <c r="D6640">
        <f>VLOOKUP(D6624,'Detail Balok'!$C$10:$AU$110,25,FALSE)</f>
        <v>8</v>
      </c>
      <c r="E6640" t="str">
        <v>D</v>
      </c>
      <c r="F6640">
        <f>VLOOKUP(D6624,'Detail Balok'!$C$10:$AU$110,27,FALSE)</f>
        <v>19</v>
      </c>
      <c r="I6640" t="str">
        <v>(</v>
      </c>
      <c r="J6640">
        <f>+J6632</f>
        <v>4.05</v>
      </c>
      <c r="K6640" t="str">
        <v>+</v>
      </c>
      <c r="M6640" t="str">
        <v>=</v>
      </c>
      <c r="N6640">
        <f>J6640+L6640</f>
        <v>4.05</v>
      </c>
      <c r="O6640" t="str">
        <v>+</v>
      </c>
      <c r="P6640">
        <f>MAX(D6640-D6639,D6640-D6641)</f>
        <v>4</v>
      </c>
      <c r="Q6640" t="str">
        <v>x</v>
      </c>
      <c r="R6640">
        <f>IF(P6640&gt;0,2*(1-2*$F$19-1/2)*D6627/1000,0)</f>
        <v>1.6199999999999994</v>
      </c>
      <c r="S6640" t="str">
        <v>)</v>
      </c>
      <c r="T6640" t="str">
        <v>x</v>
      </c>
      <c r="U6640">
        <f>0.006165*F6640^2</f>
        <v>2.225565</v>
      </c>
      <c r="X6640" t="str">
        <v>x</v>
      </c>
      <c r="Y6640">
        <f>D6630</f>
        <v>1</v>
      </c>
      <c r="Z6640" t="str">
        <v>=</v>
      </c>
      <c r="AA6640">
        <f>IF(AA6642=0,(D6640*N6640+P6640*R6640)*U6640*Y6640,0)</f>
        <v>86.52996719999999</v>
      </c>
    </row>
    <row r="6641">
      <c r="A6641" t="str">
        <f>A6624</f>
        <v>Lantai 2</v>
      </c>
      <c r="B6641">
        <f>B6624</f>
        <v>26</v>
      </c>
      <c r="C6641" t="str">
        <v>Tul Bawah Tumpuan</v>
      </c>
      <c r="D6641">
        <f>VLOOKUP(D6624,'Detail Balok'!$C$10:$AU$110,28,FALSE)</f>
        <v>8</v>
      </c>
      <c r="E6641" t="str">
        <v>D</v>
      </c>
      <c r="F6641">
        <f>VLOOKUP(D6624,'Detail Balok'!$C$10:$AU$110,30,FALSE)</f>
        <v>19</v>
      </c>
      <c r="I6641" t="str">
        <v>(</v>
      </c>
      <c r="J6641">
        <f>+J6633</f>
        <v>2.025</v>
      </c>
      <c r="K6641" t="str">
        <v>+</v>
      </c>
      <c r="L6641">
        <f>MAX(VLOOKUP(F6641,N$6:P$15,3,FALSE)/1000,2/3*D6629/1000)+F$16*F6641/1000</f>
        <v>0.228</v>
      </c>
      <c r="M6641" t="str">
        <v>=</v>
      </c>
      <c r="N6641">
        <f>J6641+L6641</f>
        <v>2.253</v>
      </c>
      <c r="O6641" t="str">
        <v>+</v>
      </c>
      <c r="P6641">
        <f>D6641-D6640</f>
        <v>0</v>
      </c>
      <c r="Q6641" t="str">
        <v>x</v>
      </c>
      <c r="R6641">
        <f>IF(P6641&gt;0,$F$18*F6641/1000,0)</f>
        <v>0</v>
      </c>
      <c r="S6641" t="str">
        <v>)</v>
      </c>
      <c r="T6641" t="str">
        <v>x</v>
      </c>
      <c r="U6641">
        <f>0.006165*F6641^2</f>
        <v>2.225565</v>
      </c>
      <c r="X6641" t="str">
        <v>x</v>
      </c>
      <c r="Y6641">
        <f>D6630</f>
        <v>1</v>
      </c>
      <c r="Z6641" t="str">
        <v>=</v>
      </c>
      <c r="AA6641">
        <f>IF(AA6642=0,(D6641*N6641+P6641*R6641)*U6641*Y6641,0)</f>
        <v>40.11358356</v>
      </c>
    </row>
    <row r="6642">
      <c r="A6642" t="str">
        <f>A6624</f>
        <v>Lantai 2</v>
      </c>
      <c r="B6642">
        <f>B6624</f>
        <v>26</v>
      </c>
      <c r="D6642">
        <f>IF(AND(D6639=D6640,D6640=D6641,D6639=D6641),D6639,0)</f>
        <v>0</v>
      </c>
      <c r="E6642" t="str">
        <v>D</v>
      </c>
      <c r="F6642">
        <f>IF(AND(F6639=F6640,F6639=F6641,F6640=F6641),F6639,0)</f>
        <v>19</v>
      </c>
      <c r="L6642" t="str">
        <v>Total panjang per balok</v>
      </c>
      <c r="M6642" t="str">
        <v>=</v>
      </c>
      <c r="N6642">
        <f>IF(AND(D6639=D6640,D6639=D6641,D6640=D6641,F6639=F6640,F6639=F6641,F6640=F6641),SUM(N6639:N6641),0)</f>
        <v>0</v>
      </c>
      <c r="O6642" t="str">
        <v>+</v>
      </c>
      <c r="P6642">
        <f>IF(N6642&gt;12,ROUNDDOWN(N6642/12,0),0)</f>
        <v>0</v>
      </c>
      <c r="Q6642" t="str">
        <v>x</v>
      </c>
      <c r="R6642">
        <f>IF(P6642&gt;0,MAX(VLOOKUP(F6642,$D$6:$G$15,3,FALSE),600),0)/1000</f>
        <v>0</v>
      </c>
      <c r="T6642" t="str">
        <v>x</v>
      </c>
      <c r="U6642">
        <f>U6641</f>
        <v>2.225565</v>
      </c>
      <c r="V6642" t="str">
        <v>x</v>
      </c>
      <c r="W6642">
        <f>D6642</f>
        <v>0</v>
      </c>
      <c r="X6642" t="str">
        <v>x</v>
      </c>
      <c r="Y6642">
        <f>Y6641</f>
        <v>1</v>
      </c>
      <c r="Z6642" t="str">
        <v>=</v>
      </c>
      <c r="AA6642">
        <f>(N6642+P6642*R6642/1000)*U6642*W6642*Y6642</f>
        <v>0</v>
      </c>
    </row>
    <row r="6644">
      <c r="A6644" t="str">
        <f>A6624</f>
        <v>Lantai 2</v>
      </c>
      <c r="B6644">
        <f>B6624</f>
        <v>26</v>
      </c>
      <c r="C6644" t="str">
        <v>Sengkang Tumpuan</v>
      </c>
      <c r="D6644">
        <f>VLOOKUP(D6624,'Detail Balok'!$C$10:$AU$110,31,FALSE)</f>
        <v>3</v>
      </c>
      <c r="E6644" t="str">
        <v>D</v>
      </c>
      <c r="F6644">
        <f>VLOOKUP(D6624,'Detail Balok'!$C$10:$AU$110,33,FALSE)</f>
        <v>10</v>
      </c>
      <c r="G6644" t="str">
        <v>-</v>
      </c>
      <c r="H6644">
        <f>VLOOKUP(D6624,'Detail Balok'!$C$10:$AU$110,35,FALSE)</f>
        <v>100</v>
      </c>
      <c r="J6644">
        <f>(IF(D6644=0,(2*(D6625+G6625))-(F$5*8),IF(D6644=3,(2*(D6625+G6625))-(F$5*8)+(G6625-2*F$5),IF(D6644=4,(2*(D6625+G6625))-(F$5*8)+2*(G6625-2*F$5)))))/1000</f>
        <v>2</v>
      </c>
      <c r="K6644" t="str">
        <v>+</v>
      </c>
      <c r="L6644">
        <f>IF(D6644=0,2*MAX(6*F6644,75),(D6644-1)*2*MAX(6*F6644,75))/1000</f>
        <v>0.3</v>
      </c>
      <c r="M6644" t="str">
        <v>=</v>
      </c>
      <c r="N6644">
        <f>J6644+L6644</f>
        <v>2.3</v>
      </c>
      <c r="T6644" t="str">
        <v>x</v>
      </c>
      <c r="U6644">
        <f>0.006165*F6644^2</f>
        <v>0.6165</v>
      </c>
      <c r="V6644" t="str">
        <v>x</v>
      </c>
      <c r="W6644">
        <f>IF(D6627&gt;4*G6625,ROUND(MAX(D6627/4,2*G6625)/H6644,0)+1,ROUND(D6627/H6644,0)+1)</f>
        <v>21</v>
      </c>
      <c r="X6644" t="str">
        <v>x</v>
      </c>
      <c r="Y6644">
        <f>D6630</f>
        <v>1</v>
      </c>
      <c r="Z6644" t="str">
        <v>=</v>
      </c>
      <c r="AA6644">
        <f>N6644*U6644*W6644*Y6644</f>
        <v>29.77695</v>
      </c>
    </row>
    <row r="6645">
      <c r="A6645" t="str">
        <f>A6624</f>
        <v>Lantai 2</v>
      </c>
      <c r="B6645">
        <f>B6624</f>
        <v>26</v>
      </c>
      <c r="C6645" t="str">
        <v>Sengkang Lapangan</v>
      </c>
      <c r="D6645">
        <f>VLOOKUP(D6624,'Detail Balok'!$C$10:$AU$110,36,FALSE)</f>
        <v>0</v>
      </c>
      <c r="E6645" t="str">
        <v>D</v>
      </c>
      <c r="F6645">
        <f>VLOOKUP(D6624,'Detail Balok'!$C$10:$AU$110,38,FALSE)</f>
        <v>10</v>
      </c>
      <c r="G6645" t="str">
        <v>-</v>
      </c>
      <c r="H6645">
        <f>VLOOKUP(D6624,'Detail Balok'!$C$10:$AU$110,40,FALSE)</f>
        <v>150</v>
      </c>
      <c r="J6645">
        <f>(IF(D6645=0,(2*(D6625+G6625))-(F$5*8),IF(D6645=3,(2*(D6625+G6625))-(F$5*8)+(G6625-2*F$5),IF(D6645=4,(2*(D6625+G6625))-(F$5*8)+2*(G6625-2*F$5)))))/1000</f>
        <v>1.48</v>
      </c>
      <c r="K6645" t="str">
        <v>+</v>
      </c>
      <c r="L6645">
        <f>IF(D6645=0,2*MAX(6*F6645,75),(D6645-1)*2*MAX(6*F6645,75))/1000</f>
        <v>0.15</v>
      </c>
      <c r="M6645" t="str">
        <v>=</v>
      </c>
      <c r="N6645">
        <f>J6645+L6645</f>
        <v>1.63</v>
      </c>
      <c r="T6645" t="str">
        <v>x</v>
      </c>
      <c r="U6645">
        <f>0.006165*F6645^2</f>
        <v>0.6165</v>
      </c>
      <c r="V6645" t="str">
        <v>x</v>
      </c>
      <c r="W6645">
        <f>IF(D6627-MAX(D6627/4,2*G6625)*2&gt;0,ROUND((D6627-MAX(D6627/4,2*G6625)*2)/H6645,0),0)</f>
        <v>27</v>
      </c>
      <c r="X6645" t="str">
        <v>x</v>
      </c>
      <c r="Y6645">
        <f>D6630</f>
        <v>1</v>
      </c>
      <c r="Z6645" t="str">
        <v>=</v>
      </c>
      <c r="AA6645">
        <f>N6645*U6645*W6645*Y6645</f>
        <v>27.132165000000004</v>
      </c>
    </row>
    <row r="6646">
      <c r="A6646" t="str">
        <f>A6624</f>
        <v>Lantai 2</v>
      </c>
      <c r="B6646">
        <f>B6624</f>
        <v>26</v>
      </c>
      <c r="C6646" t="str">
        <v>Sengkang Tumpuan</v>
      </c>
      <c r="D6646">
        <f>VLOOKUP(D6624,'Detail Balok'!$C$10:$AU$110,41,FALSE)</f>
        <v>3</v>
      </c>
      <c r="E6646" t="str">
        <v>D</v>
      </c>
      <c r="F6646">
        <f>VLOOKUP(D6624,'Detail Balok'!$C$10:$AU$110,43,FALSE)</f>
        <v>10</v>
      </c>
      <c r="G6646" t="str">
        <v>-</v>
      </c>
      <c r="H6646">
        <f>VLOOKUP(D6624,'Detail Balok'!$C$10:$AU$110,45,FALSE)</f>
        <v>100</v>
      </c>
      <c r="J6646">
        <f>(IF(D6646=0,(2*(D6625+G6625))-(F$5*8),IF(D6646=3,(2*(D6625+G6625))-(F$5*8)+(G6625-2*F$5),IF(D6646=4,(2*(D6625+G6625))-(F$5*8)+2*(G6625-2*F$5)))))/1000</f>
        <v>2</v>
      </c>
      <c r="K6646" t="str">
        <v>+</v>
      </c>
      <c r="L6646">
        <f>IF(D6646=0,2*MAX(6*F6646,75),(D6646-1)*2*MAX(6*F6646,75))/1000</f>
        <v>0.3</v>
      </c>
      <c r="M6646" t="str">
        <v>=</v>
      </c>
      <c r="N6646">
        <f>J6646+L6646</f>
        <v>2.3</v>
      </c>
      <c r="T6646" t="str">
        <v>x</v>
      </c>
      <c r="U6646">
        <f>0.006165*F6646^2</f>
        <v>0.6165</v>
      </c>
      <c r="V6646" t="str">
        <v>x</v>
      </c>
      <c r="W6646">
        <f>IF(D6627&gt;4*G6625,ROUND(MAX(D6627/4,2*G6625)/H6646,0)+1,0)</f>
        <v>21</v>
      </c>
      <c r="X6646" t="str">
        <v>x</v>
      </c>
      <c r="Y6646">
        <f>D6630</f>
        <v>1</v>
      </c>
      <c r="Z6646" t="str">
        <v>=</v>
      </c>
      <c r="AA6646">
        <f>N6646*U6646*W6646*Y6646</f>
        <v>29.77695</v>
      </c>
    </row>
    <row r="6648">
      <c r="A6648" t="str">
        <f>A6624</f>
        <v>Lantai 2</v>
      </c>
      <c r="B6648">
        <f>B6624</f>
        <v>26</v>
      </c>
      <c r="C6648" t="str">
        <v>Kait Horizontal Tump.</v>
      </c>
      <c r="D6648">
        <f>VLOOKUP(D6624,'Detail Balok'!$C$10:$BJ$110,46,FALSE)</f>
        <v>0</v>
      </c>
      <c r="E6648" t="str">
        <v>D</v>
      </c>
      <c r="F6648">
        <f>VLOOKUP(D6624,'Detail Balok'!$C$10:$BJ$110,48,FALSE)</f>
        <v>0</v>
      </c>
      <c r="G6648" t="str">
        <v>-</v>
      </c>
      <c r="H6648">
        <f>VLOOKUP(D6624,'Detail Balok'!$C$10:$BJ$110,50,FALSE)</f>
        <v>100</v>
      </c>
      <c r="J6648">
        <f>(D6625-2*F$5)/1000</f>
        <v>0.22</v>
      </c>
      <c r="K6648" t="str">
        <v>+</v>
      </c>
      <c r="L6648">
        <f>IF(D6648=0,2*MAX(6*F6648,75),(D6648-1)*2*MAX(6*F6648,75))/1000</f>
        <v>0.15</v>
      </c>
      <c r="M6648" t="str">
        <v>=</v>
      </c>
      <c r="N6648">
        <f>J6648+L6648</f>
        <v>0.37</v>
      </c>
      <c r="T6648" t="str">
        <v>x</v>
      </c>
      <c r="U6648">
        <f>0.006165*F6648^2</f>
        <v>0</v>
      </c>
      <c r="V6648" t="str">
        <v>x</v>
      </c>
      <c r="W6648">
        <f>W6644</f>
        <v>21</v>
      </c>
      <c r="X6648" t="str">
        <v>x</v>
      </c>
      <c r="Y6648">
        <f>D6634</f>
        <v>0</v>
      </c>
      <c r="Z6648" t="str">
        <v>=</v>
      </c>
      <c r="AA6648">
        <f>N6648*U6648*W6648*Y6648</f>
        <v>0</v>
      </c>
    </row>
    <row r="6649">
      <c r="A6649" t="str">
        <f>A6624</f>
        <v>Lantai 2</v>
      </c>
      <c r="B6649">
        <f>B6624</f>
        <v>26</v>
      </c>
      <c r="C6649" t="str">
        <v>Kait Horizontal Lap.</v>
      </c>
      <c r="D6649">
        <f>VLOOKUP(D6624,'Detail Balok'!$C$10:$BJ$110,51,FALSE)</f>
        <v>0</v>
      </c>
      <c r="E6649" t="str">
        <v>D</v>
      </c>
      <c r="F6649">
        <f>VLOOKUP(D6624,'Detail Balok'!$C$10:$BJ$110,53,FALSE)</f>
        <v>0</v>
      </c>
      <c r="G6649" t="str">
        <v>-</v>
      </c>
      <c r="H6649">
        <f>VLOOKUP(D6624,'Detail Balok'!$C$10:$BJ$110,55,FALSE)</f>
        <v>100</v>
      </c>
      <c r="J6649">
        <f>(D6625-2*F$5)/1000</f>
        <v>0.22</v>
      </c>
      <c r="K6649" t="str">
        <v>+</v>
      </c>
      <c r="L6649">
        <f>IF(D6649=0,2*MAX(6*F6649,75),(D6649-1)*2*MAX(6*F6649,75))/1000</f>
        <v>0.15</v>
      </c>
      <c r="M6649" t="str">
        <v>=</v>
      </c>
      <c r="N6649">
        <f>J6649+L6649</f>
        <v>0.37</v>
      </c>
      <c r="T6649" t="str">
        <v>x</v>
      </c>
      <c r="U6649">
        <f>0.006165*F6649^2</f>
        <v>0</v>
      </c>
      <c r="V6649" t="str">
        <v>x</v>
      </c>
      <c r="W6649">
        <f>W6645</f>
        <v>27</v>
      </c>
      <c r="X6649" t="str">
        <v>x</v>
      </c>
      <c r="Y6649">
        <f>D6634</f>
        <v>0</v>
      </c>
      <c r="Z6649" t="str">
        <v>=</v>
      </c>
      <c r="AA6649">
        <f>N6649*U6649*W6649*Y6649</f>
        <v>0</v>
      </c>
    </row>
    <row r="6650">
      <c r="A6650" t="str">
        <f>A6624</f>
        <v>Lantai 2</v>
      </c>
      <c r="B6650">
        <f>B6624</f>
        <v>26</v>
      </c>
      <c r="C6650" t="str">
        <v>Kait Horizontal Tump.</v>
      </c>
      <c r="D6650">
        <f>VLOOKUP(D6624,'Detail Balok'!$C$10:$BJ$110,56,FALSE)</f>
        <v>0</v>
      </c>
      <c r="E6650" t="str">
        <v>D</v>
      </c>
      <c r="F6650">
        <f>VLOOKUP(D6624,'Detail Balok'!$C$10:$BJ$110,58,FALSE)</f>
        <v>0</v>
      </c>
      <c r="G6650" t="str">
        <v>-</v>
      </c>
      <c r="H6650">
        <f>VLOOKUP(D6624,'Detail Balok'!$C$10:$BJ$110,60,FALSE)</f>
        <v>100</v>
      </c>
      <c r="J6650">
        <f>(D6625-2*F$5)/1000</f>
        <v>0.22</v>
      </c>
      <c r="K6650" t="str">
        <v>+</v>
      </c>
      <c r="L6650">
        <f>IF(D6650=0,2*MAX(6*F6650,75),(D6650-1)*2*MAX(6*F6650,75))/1000</f>
        <v>0.15</v>
      </c>
      <c r="M6650" t="str">
        <v>=</v>
      </c>
      <c r="N6650">
        <f>J6650+L6650</f>
        <v>0.37</v>
      </c>
      <c r="T6650" t="str">
        <v>x</v>
      </c>
      <c r="U6650">
        <f>0.006165*F6650^2</f>
        <v>0</v>
      </c>
      <c r="V6650" t="str">
        <v>x</v>
      </c>
      <c r="W6650">
        <f>W6646</f>
        <v>21</v>
      </c>
      <c r="X6650" t="str">
        <v>x</v>
      </c>
      <c r="Y6650">
        <f>D6634</f>
        <v>0</v>
      </c>
      <c r="Z6650" t="str">
        <v>=</v>
      </c>
      <c r="AA6650">
        <f>N6650*U6650*W6650*Y6650</f>
        <v>0</v>
      </c>
    </row>
    <row r="6654">
      <c r="A6654" t="str">
        <f>A6624</f>
        <v>Lantai 2</v>
      </c>
      <c r="B6654">
        <f>B6624+1</f>
        <v>27</v>
      </c>
      <c r="C6654" t="str">
        <f>CONCATENATE(A6654," no. ",B6654)</f>
        <v>Lantai 2 no. 27</v>
      </c>
      <c r="D6654" t="str">
        <f>VLOOKUP(C6654,'Data Panjang Balok'!$C$9:$N$424,2,FALSE)</f>
        <v>B24-1</v>
      </c>
    </row>
    <row r="6655">
      <c r="C6655" t="str">
        <v>Dimensi</v>
      </c>
      <c r="D6655">
        <f>VLOOKUP(D6654,'Detail Balok'!$C$10:$AU$110,2,FALSE)</f>
        <v>200</v>
      </c>
      <c r="F6655" t="str">
        <v>x</v>
      </c>
      <c r="G6655">
        <f>VLOOKUP(D6654,'Detail Balok'!$C$10:$AU$110,3,FALSE)</f>
        <v>400</v>
      </c>
    </row>
    <row r="6656">
      <c r="C6656" t="str">
        <v>Panjang as ke as</v>
      </c>
      <c r="D6656">
        <f>VLOOKUP(C6654,'Data Panjang Balok'!$C$9:$N$424,4,FALSE)</f>
        <v>2100</v>
      </c>
    </row>
    <row r="6657">
      <c r="C6657" t="str">
        <v>Panjang netto</v>
      </c>
      <c r="D6657">
        <f>VLOOKUP(C6654,'Data Panjang Balok'!$C$9:$N$424,7,FALSE)</f>
        <v>2100</v>
      </c>
    </row>
    <row r="6658">
      <c r="C6658" t="str">
        <v>Kolom / balok kiri</v>
      </c>
      <c r="D6658">
        <f>VLOOKUP(C6654,'Data Panjang Balok'!$C$9:$N$424,9,FALSE)</f>
        <v>0</v>
      </c>
    </row>
    <row r="6659">
      <c r="C6659" t="str">
        <v>Kolom / balok kanan</v>
      </c>
      <c r="D6659">
        <f>VLOOKUP(C6654,'Data Panjang Balok'!$C$9:$N$424,10,FALSE)</f>
        <v>0</v>
      </c>
    </row>
    <row r="6660">
      <c r="C6660" t="str">
        <v>Jumlah</v>
      </c>
      <c r="D6660">
        <f>VLOOKUP(C6654,'Data Panjang Balok'!$C$9:$N$424,3,FALSE)</f>
        <v>1</v>
      </c>
    </row>
    <row r="6661">
      <c r="A6661" t="str">
        <f>A6654</f>
        <v>Lantai 2</v>
      </c>
      <c r="B6661">
        <f>B6654</f>
        <v>27</v>
      </c>
      <c r="C6661" t="str">
        <v>Tul Atas Tumpuan</v>
      </c>
      <c r="D6661">
        <f>VLOOKUP(D6654,'Detail Balok'!$C$10:$AU$110,4,FALSE)</f>
        <v>2</v>
      </c>
      <c r="E6661" t="str">
        <v>D</v>
      </c>
      <c r="F6661">
        <f>VLOOKUP(D6654,'Detail Balok'!$C$10:$AU$110,6,FALSE)</f>
        <v>13</v>
      </c>
      <c r="I6661" t="str">
        <v>(</v>
      </c>
      <c r="J6661">
        <f>+D6656/4/1000</f>
        <v>0.525</v>
      </c>
      <c r="K6661" t="str">
        <v>+</v>
      </c>
      <c r="L6661">
        <f>MAX(VLOOKUP(F6661,N$6:P$15,3,FALSE)/1000,2/3*D6658/1000)+F$16*F6661/1000</f>
        <v>0.156</v>
      </c>
      <c r="M6661" t="str">
        <v>=</v>
      </c>
      <c r="N6661">
        <f>J6661+L6661</f>
        <v>0.681</v>
      </c>
      <c r="O6661" t="str">
        <v>+</v>
      </c>
      <c r="P6661">
        <f>D6661-D6662</f>
        <v>0</v>
      </c>
      <c r="Q6661" t="str">
        <v>x</v>
      </c>
      <c r="R6661">
        <f>IF(P6661&gt;0,$F$18*F6661/1000,0)</f>
        <v>0</v>
      </c>
      <c r="S6661" t="str">
        <v>)</v>
      </c>
      <c r="T6661" t="str">
        <v>x</v>
      </c>
      <c r="U6661">
        <f>0.006165*F6661^2</f>
        <v>1.041885</v>
      </c>
      <c r="X6661" t="str">
        <v>x</v>
      </c>
      <c r="Y6661">
        <f>D6660</f>
        <v>1</v>
      </c>
      <c r="Z6661" t="str">
        <v>=</v>
      </c>
      <c r="AA6661">
        <f>IF(AA6664=0,(D6661*N6661+P6661*R6661)*U6661*Y6661,0)</f>
        <v>0</v>
      </c>
    </row>
    <row r="6662">
      <c r="A6662" t="str">
        <f>A6654</f>
        <v>Lantai 2</v>
      </c>
      <c r="B6662">
        <f>B6654</f>
        <v>27</v>
      </c>
      <c r="C6662" t="str">
        <v>Tul Atas Lapangan</v>
      </c>
      <c r="D6662">
        <f>VLOOKUP(D6654,'Detail Balok'!$C$10:$AU$110,7,FALSE)</f>
        <v>2</v>
      </c>
      <c r="E6662" t="str">
        <v>D</v>
      </c>
      <c r="F6662">
        <f>VLOOKUP(D6654,'Detail Balok'!$C$10:$AU$110,9,FALSE)</f>
        <v>13</v>
      </c>
      <c r="I6662" t="str">
        <v>(</v>
      </c>
      <c r="J6662">
        <f>+D6656/2/1000</f>
        <v>1.05</v>
      </c>
      <c r="K6662" t="str">
        <v>+</v>
      </c>
      <c r="M6662" t="str">
        <v>=</v>
      </c>
      <c r="N6662">
        <f>J6662+L6662</f>
        <v>1.05</v>
      </c>
      <c r="O6662" t="str">
        <v>+</v>
      </c>
      <c r="P6662">
        <f>MAX(D6662-D6661,D6662-D6663)</f>
        <v>0</v>
      </c>
      <c r="Q6662" t="str">
        <v>x</v>
      </c>
      <c r="R6662">
        <f>IF(P6662&gt;0,2*(1-2*$F$19-1/2)*D6657/1000,0)</f>
        <v>0</v>
      </c>
      <c r="S6662" t="str">
        <v>)</v>
      </c>
      <c r="T6662" t="str">
        <v>x</v>
      </c>
      <c r="U6662">
        <f>0.006165*F6662^2</f>
        <v>1.041885</v>
      </c>
      <c r="X6662" t="str">
        <v>x</v>
      </c>
      <c r="Y6662">
        <f>D6660</f>
        <v>1</v>
      </c>
      <c r="Z6662" t="str">
        <v>=</v>
      </c>
      <c r="AA6662">
        <f>IF(AA6664=0,(D6662*N6662+P6662*R6662)*U6662*Y6662,0)</f>
        <v>0</v>
      </c>
    </row>
    <row r="6663">
      <c r="A6663" t="str">
        <f>A6654</f>
        <v>Lantai 2</v>
      </c>
      <c r="B6663">
        <f>B6654</f>
        <v>27</v>
      </c>
      <c r="C6663" t="str">
        <v>Tul Atas Tumpuan</v>
      </c>
      <c r="D6663">
        <f>VLOOKUP(D6654,'Detail Balok'!$C$10:$AU$110,10,FALSE)</f>
        <v>2</v>
      </c>
      <c r="E6663" t="str">
        <v>D</v>
      </c>
      <c r="F6663">
        <f>VLOOKUP(D6654,'Detail Balok'!$C$10:$AU$110,12,FALSE)</f>
        <v>13</v>
      </c>
      <c r="I6663" t="str">
        <v>(</v>
      </c>
      <c r="J6663">
        <f>+D6656/4/1000</f>
        <v>0.525</v>
      </c>
      <c r="K6663" t="str">
        <v>+</v>
      </c>
      <c r="L6663">
        <f>MAX(VLOOKUP(F6663,N$6:P$15,3,FALSE)/1000,2/3*D6658/1000)+F$16*F6663/1000</f>
        <v>0.156</v>
      </c>
      <c r="M6663" t="str">
        <v>=</v>
      </c>
      <c r="N6663">
        <f>J6663+L6663</f>
        <v>0.681</v>
      </c>
      <c r="O6663" t="str">
        <v>+</v>
      </c>
      <c r="P6663">
        <f>D6663-D6662</f>
        <v>0</v>
      </c>
      <c r="Q6663" t="str">
        <v>x</v>
      </c>
      <c r="R6663">
        <f>IF(P6663&gt;0,$F$18*F6663/1000,0)</f>
        <v>0</v>
      </c>
      <c r="S6663" t="str">
        <v>)</v>
      </c>
      <c r="T6663" t="str">
        <v>x</v>
      </c>
      <c r="U6663">
        <f>0.006165*F6663^2</f>
        <v>1.041885</v>
      </c>
      <c r="X6663" t="str">
        <v>x</v>
      </c>
      <c r="Y6663">
        <f>D6660</f>
        <v>1</v>
      </c>
      <c r="Z6663" t="str">
        <v>=</v>
      </c>
      <c r="AA6663">
        <f>IF(AA6664=0,(D6663*N6663+P6663*R6663)*U6663*Y6663,0)</f>
        <v>0</v>
      </c>
    </row>
    <row r="6664">
      <c r="A6664" t="str">
        <f>A6654</f>
        <v>Lantai 2</v>
      </c>
      <c r="B6664">
        <f>B6654</f>
        <v>27</v>
      </c>
      <c r="D6664">
        <f>IF(AND(D6661=D6662,D6662=D6663,D6661=D6663),D6661,0)</f>
        <v>2</v>
      </c>
      <c r="E6664" t="str">
        <v>D</v>
      </c>
      <c r="F6664">
        <f>IF(AND(F6661=F6662,F6661=F6663,F6662=F6663),F6661,0)</f>
        <v>13</v>
      </c>
      <c r="L6664" t="str">
        <v>Total panjang per balok</v>
      </c>
      <c r="M6664" t="str">
        <v>=</v>
      </c>
      <c r="N6664">
        <f>IF(AND(D6661=D6662,D6661=D6663,D6662=D6663,F6661=F6662,F6661=F6663,F6662=F6663),SUM(N6661:N6663),0)</f>
        <v>2.412</v>
      </c>
      <c r="O6664" t="str">
        <v>+</v>
      </c>
      <c r="P6664">
        <f>IF(N6664&gt;12,ROUNDDOWN(N6664/12,0),0)</f>
        <v>0</v>
      </c>
      <c r="Q6664" t="str">
        <v>x</v>
      </c>
      <c r="R6664">
        <f>IF(P6664&gt;0,MAX(VLOOKUP(F6664,$D$6:$G$15,3,FALSE),600),0)/1000</f>
        <v>0</v>
      </c>
      <c r="T6664" t="str">
        <v>x</v>
      </c>
      <c r="U6664">
        <f>U6663</f>
        <v>1.041885</v>
      </c>
      <c r="V6664" t="str">
        <v>x</v>
      </c>
      <c r="W6664">
        <f>D6664</f>
        <v>2</v>
      </c>
      <c r="X6664" t="str">
        <v>x</v>
      </c>
      <c r="Y6664">
        <f>Y6663</f>
        <v>1</v>
      </c>
      <c r="Z6664" t="str">
        <v>=</v>
      </c>
      <c r="AA6664">
        <f>(N6664+P6664*R6664/1000)*U6664*W6664*Y6664</f>
        <v>5.0260532399999995</v>
      </c>
    </row>
    <row r="6666">
      <c r="A6666" t="str">
        <f>A6654</f>
        <v>Lantai 2</v>
      </c>
      <c r="B6666">
        <f>B6654</f>
        <v>27</v>
      </c>
      <c r="C6666" t="str">
        <v>Tul Peminggang</v>
      </c>
      <c r="D6666">
        <f>VLOOKUP(D6654,'Detail Balok'!$C$10:$AU$110,13,FALSE)</f>
        <v>0</v>
      </c>
      <c r="E6666" t="str">
        <v>D</v>
      </c>
      <c r="F6666">
        <f>VLOOKUP(D6654,'Detail Balok'!$C$10:$AU$110,15,FALSE)</f>
        <v>6</v>
      </c>
      <c r="J6666">
        <f>+D6656/1000</f>
        <v>2.1</v>
      </c>
      <c r="K6666" t="str">
        <v>+</v>
      </c>
      <c r="L6666">
        <f>2*$F$16*F6666/1000</f>
        <v>0.144</v>
      </c>
      <c r="M6666" t="str">
        <v>=</v>
      </c>
      <c r="N6666">
        <f>J6666+L6666</f>
        <v>2.244</v>
      </c>
      <c r="O6666" t="str">
        <v>+</v>
      </c>
      <c r="P6666">
        <f>IF(N6666&gt;12,ROUNDDOWN(N6666/12,0),0)</f>
        <v>0</v>
      </c>
      <c r="Q6666" t="str">
        <v>x</v>
      </c>
      <c r="R6666">
        <f>IF(P6666&gt;0,MAX(VLOOKUP(F6666,$D$6:$G$15,3,FALSE),600),0)/1000</f>
        <v>0</v>
      </c>
      <c r="T6666" t="str">
        <v>x</v>
      </c>
      <c r="U6666">
        <f>0.006165*F6666^2</f>
        <v>0.22194000000000003</v>
      </c>
      <c r="V6666" t="str">
        <v>x</v>
      </c>
      <c r="W6666">
        <f>+D6666</f>
        <v>0</v>
      </c>
      <c r="X6666" t="str">
        <v>x</v>
      </c>
      <c r="Y6666">
        <f>D6660</f>
        <v>1</v>
      </c>
      <c r="Z6666" t="str">
        <v>=</v>
      </c>
      <c r="AA6666">
        <f>(N6666+P6666*R6666/1000)*U6666*W6666*Y6666</f>
        <v>0</v>
      </c>
    </row>
    <row r="6669">
      <c r="A6669" t="str">
        <f>A6654</f>
        <v>Lantai 2</v>
      </c>
      <c r="B6669">
        <f>B6654</f>
        <v>27</v>
      </c>
      <c r="C6669" t="str">
        <v>Tul Bawah Tumpuan</v>
      </c>
      <c r="D6669">
        <f>VLOOKUP(D6654,'Detail Balok'!$C$10:$AU$110,22,FALSE)</f>
        <v>2</v>
      </c>
      <c r="E6669" t="str">
        <v>D</v>
      </c>
      <c r="F6669">
        <f>VLOOKUP(D6654,'Detail Balok'!$C$10:$AU$110,24,FALSE)</f>
        <v>13</v>
      </c>
      <c r="I6669" t="str">
        <v>(</v>
      </c>
      <c r="J6669">
        <f>+J6661</f>
        <v>0.525</v>
      </c>
      <c r="K6669" t="str">
        <v>+</v>
      </c>
      <c r="L6669">
        <f>MAX(VLOOKUP(F6669,N$6:P$15,3,FALSE)/1000,2/3*D6659/1000)+F$16*F6669/1000</f>
        <v>0.156</v>
      </c>
      <c r="M6669" t="str">
        <v>=</v>
      </c>
      <c r="N6669">
        <f>J6669+L6669</f>
        <v>0.681</v>
      </c>
      <c r="O6669" t="str">
        <v>+</v>
      </c>
      <c r="P6669">
        <f>D6669-D6670</f>
        <v>0</v>
      </c>
      <c r="Q6669" t="str">
        <v>x</v>
      </c>
      <c r="R6669">
        <f>IF(P6669&gt;0,$F$18*F6669/1000,0)</f>
        <v>0</v>
      </c>
      <c r="S6669" t="str">
        <v>)</v>
      </c>
      <c r="T6669" t="str">
        <v>x</v>
      </c>
      <c r="U6669">
        <f>0.006165*F6669^2</f>
        <v>1.041885</v>
      </c>
      <c r="X6669" t="str">
        <v>x</v>
      </c>
      <c r="Y6669">
        <f>D6660</f>
        <v>1</v>
      </c>
      <c r="Z6669" t="str">
        <v>=</v>
      </c>
      <c r="AA6669">
        <f>IF(AA6672=0,(D6669*N6669+P6669*R6669)*U6669*Y6669,0)</f>
        <v>0</v>
      </c>
    </row>
    <row r="6670">
      <c r="A6670" t="str">
        <f>A6654</f>
        <v>Lantai 2</v>
      </c>
      <c r="B6670">
        <f>B6654</f>
        <v>27</v>
      </c>
      <c r="C6670" t="str">
        <v>Tul Bawah Lapangan</v>
      </c>
      <c r="D6670">
        <f>VLOOKUP(D6654,'Detail Balok'!$C$10:$AU$110,25,FALSE)</f>
        <v>2</v>
      </c>
      <c r="E6670" t="str">
        <v>D</v>
      </c>
      <c r="F6670">
        <f>VLOOKUP(D6654,'Detail Balok'!$C$10:$AU$110,27,FALSE)</f>
        <v>13</v>
      </c>
      <c r="I6670" t="str">
        <v>(</v>
      </c>
      <c r="J6670">
        <f>+J6662</f>
        <v>1.05</v>
      </c>
      <c r="K6670" t="str">
        <v>+</v>
      </c>
      <c r="M6670" t="str">
        <v>=</v>
      </c>
      <c r="N6670">
        <f>J6670+L6670</f>
        <v>1.05</v>
      </c>
      <c r="O6670" t="str">
        <v>+</v>
      </c>
      <c r="P6670">
        <f>MAX(D6670-D6669,D6670-D6671)</f>
        <v>0</v>
      </c>
      <c r="Q6670" t="str">
        <v>x</v>
      </c>
      <c r="R6670">
        <f>IF(P6670&gt;0,2*(1-2*$F$19-1/2)*D6657/1000,0)</f>
        <v>0</v>
      </c>
      <c r="S6670" t="str">
        <v>)</v>
      </c>
      <c r="T6670" t="str">
        <v>x</v>
      </c>
      <c r="U6670">
        <f>0.006165*F6670^2</f>
        <v>1.041885</v>
      </c>
      <c r="X6670" t="str">
        <v>x</v>
      </c>
      <c r="Y6670">
        <f>D6660</f>
        <v>1</v>
      </c>
      <c r="Z6670" t="str">
        <v>=</v>
      </c>
      <c r="AA6670">
        <f>IF(AA6672=0,(D6670*N6670+P6670*R6670)*U6670*Y6670,0)</f>
        <v>0</v>
      </c>
    </row>
    <row r="6671">
      <c r="A6671" t="str">
        <f>A6654</f>
        <v>Lantai 2</v>
      </c>
      <c r="B6671">
        <f>B6654</f>
        <v>27</v>
      </c>
      <c r="C6671" t="str">
        <v>Tul Bawah Tumpuan</v>
      </c>
      <c r="D6671">
        <f>VLOOKUP(D6654,'Detail Balok'!$C$10:$AU$110,28,FALSE)</f>
        <v>2</v>
      </c>
      <c r="E6671" t="str">
        <v>D</v>
      </c>
      <c r="F6671">
        <f>VLOOKUP(D6654,'Detail Balok'!$C$10:$AU$110,30,FALSE)</f>
        <v>13</v>
      </c>
      <c r="I6671" t="str">
        <v>(</v>
      </c>
      <c r="J6671">
        <f>+J6663</f>
        <v>0.525</v>
      </c>
      <c r="K6671" t="str">
        <v>+</v>
      </c>
      <c r="L6671">
        <f>MAX(VLOOKUP(F6671,N$6:P$15,3,FALSE)/1000,2/3*D6659/1000)+F$16*F6671/1000</f>
        <v>0.156</v>
      </c>
      <c r="M6671" t="str">
        <v>=</v>
      </c>
      <c r="N6671">
        <f>J6671+L6671</f>
        <v>0.681</v>
      </c>
      <c r="O6671" t="str">
        <v>+</v>
      </c>
      <c r="P6671">
        <f>D6671-D6670</f>
        <v>0</v>
      </c>
      <c r="Q6671" t="str">
        <v>x</v>
      </c>
      <c r="R6671">
        <f>IF(P6671&gt;0,$F$18*F6671/1000,0)</f>
        <v>0</v>
      </c>
      <c r="S6671" t="str">
        <v>)</v>
      </c>
      <c r="T6671" t="str">
        <v>x</v>
      </c>
      <c r="U6671">
        <f>0.006165*F6671^2</f>
        <v>1.041885</v>
      </c>
      <c r="X6671" t="str">
        <v>x</v>
      </c>
      <c r="Y6671">
        <f>D6660</f>
        <v>1</v>
      </c>
      <c r="Z6671" t="str">
        <v>=</v>
      </c>
      <c r="AA6671">
        <f>IF(AA6672=0,(D6671*N6671+P6671*R6671)*U6671*Y6671,0)</f>
        <v>0</v>
      </c>
    </row>
    <row r="6672">
      <c r="A6672" t="str">
        <f>A6654</f>
        <v>Lantai 2</v>
      </c>
      <c r="B6672">
        <f>B6654</f>
        <v>27</v>
      </c>
      <c r="D6672">
        <f>IF(AND(D6669=D6670,D6670=D6671,D6669=D6671),D6669,0)</f>
        <v>2</v>
      </c>
      <c r="E6672" t="str">
        <v>D</v>
      </c>
      <c r="F6672">
        <f>IF(AND(F6669=F6670,F6669=F6671,F6670=F6671),F6669,0)</f>
        <v>13</v>
      </c>
      <c r="L6672" t="str">
        <v>Total panjang per balok</v>
      </c>
      <c r="M6672" t="str">
        <v>=</v>
      </c>
      <c r="N6672">
        <f>IF(AND(D6669=D6670,D6669=D6671,D6670=D6671,F6669=F6670,F6669=F6671,F6670=F6671),SUM(N6669:N6671),0)</f>
        <v>2.412</v>
      </c>
      <c r="O6672" t="str">
        <v>+</v>
      </c>
      <c r="P6672">
        <f>IF(N6672&gt;12,ROUNDDOWN(N6672/12,0),0)</f>
        <v>0</v>
      </c>
      <c r="Q6672" t="str">
        <v>x</v>
      </c>
      <c r="R6672">
        <f>IF(P6672&gt;0,MAX(VLOOKUP(F6672,$D$6:$G$15,3,FALSE),600),0)/1000</f>
        <v>0</v>
      </c>
      <c r="T6672" t="str">
        <v>x</v>
      </c>
      <c r="U6672">
        <f>U6671</f>
        <v>1.041885</v>
      </c>
      <c r="V6672" t="str">
        <v>x</v>
      </c>
      <c r="W6672">
        <f>D6672</f>
        <v>2</v>
      </c>
      <c r="X6672" t="str">
        <v>x</v>
      </c>
      <c r="Y6672">
        <f>Y6671</f>
        <v>1</v>
      </c>
      <c r="Z6672" t="str">
        <v>=</v>
      </c>
      <c r="AA6672">
        <f>(N6672+P6672*R6672/1000)*U6672*W6672*Y6672</f>
        <v>5.0260532399999995</v>
      </c>
    </row>
    <row r="6674">
      <c r="A6674" t="str">
        <f>A6654</f>
        <v>Lantai 2</v>
      </c>
      <c r="B6674">
        <f>B6654</f>
        <v>27</v>
      </c>
      <c r="C6674" t="str">
        <v>Sengkang Tumpuan</v>
      </c>
      <c r="D6674">
        <f>VLOOKUP(D6654,'Detail Balok'!$C$10:$AU$110,31,FALSE)</f>
        <v>0</v>
      </c>
      <c r="E6674" t="str">
        <v>D</v>
      </c>
      <c r="F6674">
        <f>VLOOKUP(D6654,'Detail Balok'!$C$10:$AU$110,33,FALSE)</f>
        <v>8</v>
      </c>
      <c r="G6674" t="str">
        <v>-</v>
      </c>
      <c r="H6674">
        <f>VLOOKUP(D6654,'Detail Balok'!$C$10:$AU$110,35,FALSE)</f>
        <v>100</v>
      </c>
      <c r="J6674">
        <f>(IF(D6674=0,(2*(D6655+G6655))-(F$5*8),IF(D6674=3,(2*(D6655+G6655))-(F$5*8)+(G6655-2*F$5),IF(D6674=4,(2*(D6655+G6655))-(F$5*8)+2*(G6655-2*F$5)))))/1000</f>
        <v>0.88</v>
      </c>
      <c r="K6674" t="str">
        <v>+</v>
      </c>
      <c r="L6674">
        <f>IF(D6674=0,2*MAX(6*F6674,75),(D6674-1)*2*MAX(6*F6674,75))/1000</f>
        <v>0.15</v>
      </c>
      <c r="M6674" t="str">
        <v>=</v>
      </c>
      <c r="N6674">
        <f>J6674+L6674</f>
        <v>1.03</v>
      </c>
      <c r="T6674" t="str">
        <v>x</v>
      </c>
      <c r="U6674">
        <f>0.006165*F6674^2</f>
        <v>0.39456</v>
      </c>
      <c r="V6674" t="str">
        <v>x</v>
      </c>
      <c r="W6674">
        <f>IF(D6657&gt;4*G6655,ROUND(MAX(D6657/4,2*G6655)/H6674,0)+1,ROUND(D6657/H6674,0)+1)</f>
        <v>9</v>
      </c>
      <c r="X6674" t="str">
        <v>x</v>
      </c>
      <c r="Y6674">
        <f>D6660</f>
        <v>1</v>
      </c>
      <c r="Z6674" t="str">
        <v>=</v>
      </c>
      <c r="AA6674">
        <f>N6674*U6674*W6674*Y6674</f>
        <v>3.6575712000000005</v>
      </c>
    </row>
    <row r="6675">
      <c r="A6675" t="str">
        <f>A6654</f>
        <v>Lantai 2</v>
      </c>
      <c r="B6675">
        <f>B6654</f>
        <v>27</v>
      </c>
      <c r="C6675" t="str">
        <v>Sengkang Lapangan</v>
      </c>
      <c r="D6675">
        <f>VLOOKUP(D6654,'Detail Balok'!$C$10:$AU$110,36,FALSE)</f>
        <v>0</v>
      </c>
      <c r="E6675" t="str">
        <v>D</v>
      </c>
      <c r="F6675">
        <f>VLOOKUP(D6654,'Detail Balok'!$C$10:$AU$110,38,FALSE)</f>
        <v>8</v>
      </c>
      <c r="G6675" t="str">
        <v>-</v>
      </c>
      <c r="H6675">
        <f>VLOOKUP(D6654,'Detail Balok'!$C$10:$AU$110,40,FALSE)</f>
        <v>200</v>
      </c>
      <c r="J6675">
        <f>(IF(D6675=0,(2*(D6655+G6655))-(F$5*8),IF(D6675=3,(2*(D6655+G6655))-(F$5*8)+(G6655-2*F$5),IF(D6675=4,(2*(D6655+G6655))-(F$5*8)+2*(G6655-2*F$5)))))/1000</f>
        <v>0.88</v>
      </c>
      <c r="K6675" t="str">
        <v>+</v>
      </c>
      <c r="L6675">
        <f>IF(D6675=0,2*MAX(6*F6675,75),(D6675-1)*2*MAX(6*F6675,75))/1000</f>
        <v>0.15</v>
      </c>
      <c r="M6675" t="str">
        <v>=</v>
      </c>
      <c r="N6675">
        <f>J6675+L6675</f>
        <v>1.03</v>
      </c>
      <c r="T6675" t="str">
        <v>x</v>
      </c>
      <c r="U6675">
        <f>0.006165*F6675^2</f>
        <v>0.39456</v>
      </c>
      <c r="V6675" t="str">
        <v>x</v>
      </c>
      <c r="W6675">
        <f>IF(D6657-MAX(D6657/4,2*G6655)*2&gt;0,ROUND((D6657-MAX(D6657/4,2*G6655)*2)/H6675,0),0)</f>
        <v>3</v>
      </c>
      <c r="X6675" t="str">
        <v>x</v>
      </c>
      <c r="Y6675">
        <f>D6660</f>
        <v>1</v>
      </c>
      <c r="Z6675" t="str">
        <v>=</v>
      </c>
      <c r="AA6675">
        <f>N6675*U6675*W6675*Y6675</f>
        <v>1.2191904000000002</v>
      </c>
    </row>
    <row r="6676">
      <c r="A6676" t="str">
        <f>A6654</f>
        <v>Lantai 2</v>
      </c>
      <c r="B6676">
        <f>B6654</f>
        <v>27</v>
      </c>
      <c r="C6676" t="str">
        <v>Sengkang Tumpuan</v>
      </c>
      <c r="D6676">
        <f>VLOOKUP(D6654,'Detail Balok'!$C$10:$AU$110,41,FALSE)</f>
        <v>0</v>
      </c>
      <c r="E6676" t="str">
        <v>D</v>
      </c>
      <c r="F6676">
        <f>VLOOKUP(D6654,'Detail Balok'!$C$10:$AU$110,43,FALSE)</f>
        <v>8</v>
      </c>
      <c r="G6676" t="str">
        <v>-</v>
      </c>
      <c r="H6676">
        <f>VLOOKUP(D6654,'Detail Balok'!$C$10:$AU$110,45,FALSE)</f>
        <v>100</v>
      </c>
      <c r="J6676">
        <f>(IF(D6676=0,(2*(D6655+G6655))-(F$5*8),IF(D6676=3,(2*(D6655+G6655))-(F$5*8)+(G6655-2*F$5),IF(D6676=4,(2*(D6655+G6655))-(F$5*8)+2*(G6655-2*F$5)))))/1000</f>
        <v>0.88</v>
      </c>
      <c r="K6676" t="str">
        <v>+</v>
      </c>
      <c r="L6676">
        <f>IF(D6676=0,2*MAX(6*F6676,75),(D6676-1)*2*MAX(6*F6676,75))/1000</f>
        <v>0.15</v>
      </c>
      <c r="M6676" t="str">
        <v>=</v>
      </c>
      <c r="N6676">
        <f>J6676+L6676</f>
        <v>1.03</v>
      </c>
      <c r="T6676" t="str">
        <v>x</v>
      </c>
      <c r="U6676">
        <f>0.006165*F6676^2</f>
        <v>0.39456</v>
      </c>
      <c r="V6676" t="str">
        <v>x</v>
      </c>
      <c r="W6676">
        <f>IF(D6657&gt;4*G6655,ROUND(MAX(D6657/4,2*G6655)/H6676,0)+1,0)</f>
        <v>9</v>
      </c>
      <c r="X6676" t="str">
        <v>x</v>
      </c>
      <c r="Y6676">
        <f>D6660</f>
        <v>1</v>
      </c>
      <c r="Z6676" t="str">
        <v>=</v>
      </c>
      <c r="AA6676">
        <f>N6676*U6676*W6676*Y6676</f>
        <v>3.6575712000000005</v>
      </c>
    </row>
    <row r="6678">
      <c r="A6678" t="str">
        <f>A6654</f>
        <v>Lantai 2</v>
      </c>
      <c r="B6678">
        <f>B6654</f>
        <v>27</v>
      </c>
      <c r="C6678" t="str">
        <v>Kait Horizontal Tump.</v>
      </c>
      <c r="D6678">
        <f>VLOOKUP(D6654,'Detail Balok'!$C$10:$BJ$110,46,FALSE)</f>
        <v>0</v>
      </c>
      <c r="E6678" t="str">
        <v>D</v>
      </c>
      <c r="F6678">
        <f>VLOOKUP(D6654,'Detail Balok'!$C$10:$BJ$110,48,FALSE)</f>
        <v>0</v>
      </c>
      <c r="G6678" t="str">
        <v>-</v>
      </c>
      <c r="H6678">
        <f>VLOOKUP(D6654,'Detail Balok'!$C$10:$BJ$110,50,FALSE)</f>
        <v>100</v>
      </c>
      <c r="J6678">
        <f>(D6655-2*F$5)/1000</f>
        <v>0.12</v>
      </c>
      <c r="K6678" t="str">
        <v>+</v>
      </c>
      <c r="L6678">
        <f>IF(D6678=0,2*MAX(6*F6678,75),(D6678-1)*2*MAX(6*F6678,75))/1000</f>
        <v>0.15</v>
      </c>
      <c r="M6678" t="str">
        <v>=</v>
      </c>
      <c r="N6678">
        <f>J6678+L6678</f>
        <v>0.27</v>
      </c>
      <c r="T6678" t="str">
        <v>x</v>
      </c>
      <c r="U6678">
        <f>0.006165*F6678^2</f>
        <v>0</v>
      </c>
      <c r="V6678" t="str">
        <v>x</v>
      </c>
      <c r="W6678">
        <f>W6674</f>
        <v>9</v>
      </c>
      <c r="X6678" t="str">
        <v>x</v>
      </c>
      <c r="Y6678">
        <f>D6664</f>
        <v>2</v>
      </c>
      <c r="Z6678" t="str">
        <v>=</v>
      </c>
      <c r="AA6678">
        <f>N6678*U6678*W6678*Y6678</f>
        <v>0</v>
      </c>
    </row>
    <row r="6679">
      <c r="A6679" t="str">
        <f>A6654</f>
        <v>Lantai 2</v>
      </c>
      <c r="B6679">
        <f>B6654</f>
        <v>27</v>
      </c>
      <c r="C6679" t="str">
        <v>Kait Horizontal Lap.</v>
      </c>
      <c r="D6679">
        <f>VLOOKUP(D6654,'Detail Balok'!$C$10:$BJ$110,51,FALSE)</f>
        <v>0</v>
      </c>
      <c r="E6679" t="str">
        <v>D</v>
      </c>
      <c r="F6679">
        <f>VLOOKUP(D6654,'Detail Balok'!$C$10:$BJ$110,53,FALSE)</f>
        <v>0</v>
      </c>
      <c r="G6679" t="str">
        <v>-</v>
      </c>
      <c r="H6679">
        <f>VLOOKUP(D6654,'Detail Balok'!$C$10:$BJ$110,55,FALSE)</f>
        <v>100</v>
      </c>
      <c r="J6679">
        <f>(D6655-2*F$5)/1000</f>
        <v>0.12</v>
      </c>
      <c r="K6679" t="str">
        <v>+</v>
      </c>
      <c r="L6679">
        <f>IF(D6679=0,2*MAX(6*F6679,75),(D6679-1)*2*MAX(6*F6679,75))/1000</f>
        <v>0.15</v>
      </c>
      <c r="M6679" t="str">
        <v>=</v>
      </c>
      <c r="N6679">
        <f>J6679+L6679</f>
        <v>0.27</v>
      </c>
      <c r="T6679" t="str">
        <v>x</v>
      </c>
      <c r="U6679">
        <f>0.006165*F6679^2</f>
        <v>0</v>
      </c>
      <c r="V6679" t="str">
        <v>x</v>
      </c>
      <c r="W6679">
        <f>W6675</f>
        <v>3</v>
      </c>
      <c r="X6679" t="str">
        <v>x</v>
      </c>
      <c r="Y6679">
        <f>D6664</f>
        <v>2</v>
      </c>
      <c r="Z6679" t="str">
        <v>=</v>
      </c>
      <c r="AA6679">
        <f>N6679*U6679*W6679*Y6679</f>
        <v>0</v>
      </c>
    </row>
    <row r="6680">
      <c r="A6680" t="str">
        <f>A6654</f>
        <v>Lantai 2</v>
      </c>
      <c r="B6680">
        <f>B6654</f>
        <v>27</v>
      </c>
      <c r="C6680" t="str">
        <v>Kait Horizontal Tump.</v>
      </c>
      <c r="D6680">
        <f>VLOOKUP(D6654,'Detail Balok'!$C$10:$BJ$110,56,FALSE)</f>
        <v>0</v>
      </c>
      <c r="E6680" t="str">
        <v>D</v>
      </c>
      <c r="F6680">
        <f>VLOOKUP(D6654,'Detail Balok'!$C$10:$BJ$110,58,FALSE)</f>
        <v>0</v>
      </c>
      <c r="G6680" t="str">
        <v>-</v>
      </c>
      <c r="H6680">
        <f>VLOOKUP(D6654,'Detail Balok'!$C$10:$BJ$110,60,FALSE)</f>
        <v>100</v>
      </c>
      <c r="J6680">
        <f>(D6655-2*F$5)/1000</f>
        <v>0.12</v>
      </c>
      <c r="K6680" t="str">
        <v>+</v>
      </c>
      <c r="L6680">
        <f>IF(D6680=0,2*MAX(6*F6680,75),(D6680-1)*2*MAX(6*F6680,75))/1000</f>
        <v>0.15</v>
      </c>
      <c r="M6680" t="str">
        <v>=</v>
      </c>
      <c r="N6680">
        <f>J6680+L6680</f>
        <v>0.27</v>
      </c>
      <c r="T6680" t="str">
        <v>x</v>
      </c>
      <c r="U6680">
        <f>0.006165*F6680^2</f>
        <v>0</v>
      </c>
      <c r="V6680" t="str">
        <v>x</v>
      </c>
      <c r="W6680">
        <f>W6676</f>
        <v>9</v>
      </c>
      <c r="X6680" t="str">
        <v>x</v>
      </c>
      <c r="Y6680">
        <f>D6664</f>
        <v>2</v>
      </c>
      <c r="Z6680" t="str">
        <v>=</v>
      </c>
      <c r="AA6680">
        <f>N6680*U6680*W6680*Y6680</f>
        <v>0</v>
      </c>
    </row>
    <row r="6684">
      <c r="A6684" t="str">
        <f>A6654</f>
        <v>Lantai 2</v>
      </c>
      <c r="B6684">
        <f>B6654+1</f>
        <v>28</v>
      </c>
      <c r="C6684" t="str">
        <f>CONCATENATE(A6684," no. ",B6684)</f>
        <v>Lantai 2 no. 28</v>
      </c>
      <c r="D6684" t="str">
        <f>VLOOKUP(C6684,'Data Panjang Balok'!$C$9:$N$424,2,FALSE)</f>
        <v>B26-5</v>
      </c>
    </row>
    <row r="6685">
      <c r="C6685" t="str">
        <v>Dimensi</v>
      </c>
      <c r="D6685">
        <f>VLOOKUP(D6684,'Detail Balok'!$C$10:$AU$110,2,FALSE)</f>
        <v>200</v>
      </c>
      <c r="F6685" t="str">
        <v>x</v>
      </c>
      <c r="G6685">
        <f>VLOOKUP(D6684,'Detail Balok'!$C$10:$AU$110,3,FALSE)</f>
        <v>600</v>
      </c>
    </row>
    <row r="6686">
      <c r="C6686" t="str">
        <v>Panjang as ke as</v>
      </c>
      <c r="D6686">
        <f>VLOOKUP(C6684,'Data Panjang Balok'!$C$9:$N$424,4,FALSE)</f>
        <v>4000</v>
      </c>
    </row>
    <row r="6687">
      <c r="C6687" t="str">
        <v>Panjang netto</v>
      </c>
      <c r="D6687">
        <f>VLOOKUP(C6684,'Data Panjang Balok'!$C$9:$N$424,7,FALSE)</f>
        <v>4000</v>
      </c>
    </row>
    <row r="6688">
      <c r="C6688" t="str">
        <v>Kolom / balok kiri</v>
      </c>
      <c r="D6688">
        <f>VLOOKUP(C6684,'Data Panjang Balok'!$C$9:$N$424,9,FALSE)</f>
        <v>0</v>
      </c>
    </row>
    <row r="6689">
      <c r="C6689" t="str">
        <v>Kolom / balok kanan</v>
      </c>
      <c r="D6689">
        <f>VLOOKUP(C6684,'Data Panjang Balok'!$C$9:$N$424,10,FALSE)</f>
        <v>0</v>
      </c>
    </row>
    <row r="6690">
      <c r="C6690" t="str">
        <v>Jumlah</v>
      </c>
      <c r="D6690">
        <f>VLOOKUP(C6684,'Data Panjang Balok'!$C$9:$N$424,3,FALSE)</f>
        <v>1</v>
      </c>
    </row>
    <row r="6691">
      <c r="A6691" t="str">
        <f>A6684</f>
        <v>Lantai 2</v>
      </c>
      <c r="B6691">
        <f>B6684</f>
        <v>28</v>
      </c>
      <c r="C6691" t="str">
        <v>Tul Atas Tumpuan</v>
      </c>
      <c r="D6691">
        <f>VLOOKUP(D6684,'Detail Balok'!$C$10:$AU$110,4,FALSE)</f>
        <v>7</v>
      </c>
      <c r="E6691" t="str">
        <v>D</v>
      </c>
      <c r="F6691">
        <f>VLOOKUP(D6684,'Detail Balok'!$C$10:$AU$110,6,FALSE)</f>
        <v>19</v>
      </c>
      <c r="I6691" t="str">
        <v>(</v>
      </c>
      <c r="J6691">
        <f>+D6686/4/1000</f>
        <v>1</v>
      </c>
      <c r="K6691" t="str">
        <v>+</v>
      </c>
      <c r="L6691">
        <f>MAX(VLOOKUP(F6691,N$6:P$15,3,FALSE)/1000,2/3*D6688/1000)+F$16*F6691/1000</f>
        <v>0.228</v>
      </c>
      <c r="M6691" t="str">
        <v>=</v>
      </c>
      <c r="N6691">
        <f>J6691+L6691</f>
        <v>1.228</v>
      </c>
      <c r="O6691" t="str">
        <v>+</v>
      </c>
      <c r="P6691">
        <f>D6691-D6692</f>
        <v>4</v>
      </c>
      <c r="Q6691" t="str">
        <v>x</v>
      </c>
      <c r="R6691">
        <f>IF(P6691&gt;0,$F$18*F6691/1000,0)</f>
        <v>0.285</v>
      </c>
      <c r="S6691" t="str">
        <v>)</v>
      </c>
      <c r="T6691" t="str">
        <v>x</v>
      </c>
      <c r="U6691">
        <f>0.006165*F6691^2</f>
        <v>2.225565</v>
      </c>
      <c r="X6691" t="str">
        <v>x</v>
      </c>
      <c r="Y6691">
        <f>D6690</f>
        <v>1</v>
      </c>
      <c r="Z6691" t="str">
        <v>=</v>
      </c>
      <c r="AA6691">
        <f>IF(AA6694=0,(D6691*N6691+P6691*R6691)*U6691*Y6691,0)</f>
        <v>21.66810084</v>
      </c>
    </row>
    <row r="6692">
      <c r="A6692" t="str">
        <f>A6684</f>
        <v>Lantai 2</v>
      </c>
      <c r="B6692">
        <f>B6684</f>
        <v>28</v>
      </c>
      <c r="C6692" t="str">
        <v>Tul Atas Lapangan</v>
      </c>
      <c r="D6692">
        <f>VLOOKUP(D6684,'Detail Balok'!$C$10:$AU$110,7,FALSE)</f>
        <v>3</v>
      </c>
      <c r="E6692" t="str">
        <v>D</v>
      </c>
      <c r="F6692">
        <f>VLOOKUP(D6684,'Detail Balok'!$C$10:$AU$110,9,FALSE)</f>
        <v>19</v>
      </c>
      <c r="I6692" t="str">
        <v>(</v>
      </c>
      <c r="J6692">
        <f>+D6686/2/1000</f>
        <v>2</v>
      </c>
      <c r="K6692" t="str">
        <v>+</v>
      </c>
      <c r="M6692" t="str">
        <v>=</v>
      </c>
      <c r="N6692">
        <f>J6692+L6692</f>
        <v>2</v>
      </c>
      <c r="O6692" t="str">
        <v>+</v>
      </c>
      <c r="P6692">
        <f>MAX(D6692-D6691,D6692-D6693)</f>
        <v>0</v>
      </c>
      <c r="Q6692" t="str">
        <v>x</v>
      </c>
      <c r="R6692">
        <f>IF(P6692&gt;0,2*(1-2*$F$19-1/2)*D6687/1000,0)</f>
        <v>0</v>
      </c>
      <c r="S6692" t="str">
        <v>)</v>
      </c>
      <c r="T6692" t="str">
        <v>x</v>
      </c>
      <c r="U6692">
        <f>0.006165*F6692^2</f>
        <v>2.225565</v>
      </c>
      <c r="X6692" t="str">
        <v>x</v>
      </c>
      <c r="Y6692">
        <f>D6690</f>
        <v>1</v>
      </c>
      <c r="Z6692" t="str">
        <v>=</v>
      </c>
      <c r="AA6692">
        <f>IF(AA6694=0,(D6692*N6692+P6692*R6692)*U6692*Y6692,0)</f>
        <v>13.353390000000001</v>
      </c>
    </row>
    <row r="6693">
      <c r="A6693" t="str">
        <f>A6684</f>
        <v>Lantai 2</v>
      </c>
      <c r="B6693">
        <f>B6684</f>
        <v>28</v>
      </c>
      <c r="C6693" t="str">
        <v>Tul Atas Tumpuan</v>
      </c>
      <c r="D6693">
        <f>VLOOKUP(D6684,'Detail Balok'!$C$10:$AU$110,10,FALSE)</f>
        <v>3</v>
      </c>
      <c r="E6693" t="str">
        <v>D</v>
      </c>
      <c r="F6693">
        <f>VLOOKUP(D6684,'Detail Balok'!$C$10:$AU$110,12,FALSE)</f>
        <v>19</v>
      </c>
      <c r="I6693" t="str">
        <v>(</v>
      </c>
      <c r="J6693">
        <f>+D6686/4/1000</f>
        <v>1</v>
      </c>
      <c r="K6693" t="str">
        <v>+</v>
      </c>
      <c r="L6693">
        <f>MAX(VLOOKUP(F6693,N$6:P$15,3,FALSE)/1000,2/3*D6688/1000)+F$16*F6693/1000</f>
        <v>0.228</v>
      </c>
      <c r="M6693" t="str">
        <v>=</v>
      </c>
      <c r="N6693">
        <f>J6693+L6693</f>
        <v>1.228</v>
      </c>
      <c r="O6693" t="str">
        <v>+</v>
      </c>
      <c r="P6693">
        <f>D6693-D6692</f>
        <v>0</v>
      </c>
      <c r="Q6693" t="str">
        <v>x</v>
      </c>
      <c r="R6693">
        <f>IF(P6693&gt;0,$F$18*F6693/1000,0)</f>
        <v>0</v>
      </c>
      <c r="S6693" t="str">
        <v>)</v>
      </c>
      <c r="T6693" t="str">
        <v>x</v>
      </c>
      <c r="U6693">
        <f>0.006165*F6693^2</f>
        <v>2.225565</v>
      </c>
      <c r="X6693" t="str">
        <v>x</v>
      </c>
      <c r="Y6693">
        <f>D6690</f>
        <v>1</v>
      </c>
      <c r="Z6693" t="str">
        <v>=</v>
      </c>
      <c r="AA6693">
        <f>IF(AA6694=0,(D6693*N6693+P6693*R6693)*U6693*Y6693,0)</f>
        <v>8.19898146</v>
      </c>
    </row>
    <row r="6694">
      <c r="A6694" t="str">
        <f>A6684</f>
        <v>Lantai 2</v>
      </c>
      <c r="B6694">
        <f>B6684</f>
        <v>28</v>
      </c>
      <c r="D6694">
        <f>IF(AND(D6691=D6692,D6692=D6693,D6691=D6693),D6691,0)</f>
        <v>0</v>
      </c>
      <c r="E6694" t="str">
        <v>D</v>
      </c>
      <c r="F6694">
        <f>IF(AND(F6691=F6692,F6691=F6693,F6692=F6693),F6691,0)</f>
        <v>19</v>
      </c>
      <c r="L6694" t="str">
        <v>Total panjang per balok</v>
      </c>
      <c r="M6694" t="str">
        <v>=</v>
      </c>
      <c r="N6694">
        <f>IF(AND(D6691=D6692,D6691=D6693,D6692=D6693,F6691=F6692,F6691=F6693,F6692=F6693),SUM(N6691:N6693),0)</f>
        <v>0</v>
      </c>
      <c r="O6694" t="str">
        <v>+</v>
      </c>
      <c r="P6694">
        <f>IF(N6694&gt;12,ROUNDDOWN(N6694/12,0),0)</f>
        <v>0</v>
      </c>
      <c r="Q6694" t="str">
        <v>x</v>
      </c>
      <c r="R6694">
        <f>IF(P6694&gt;0,MAX(VLOOKUP(F6694,$D$6:$G$15,3,FALSE),600),0)/1000</f>
        <v>0</v>
      </c>
      <c r="T6694" t="str">
        <v>x</v>
      </c>
      <c r="U6694">
        <f>U6693</f>
        <v>2.225565</v>
      </c>
      <c r="V6694" t="str">
        <v>x</v>
      </c>
      <c r="W6694">
        <f>D6694</f>
        <v>0</v>
      </c>
      <c r="X6694" t="str">
        <v>x</v>
      </c>
      <c r="Y6694">
        <f>Y6693</f>
        <v>1</v>
      </c>
      <c r="Z6694" t="str">
        <v>=</v>
      </c>
      <c r="AA6694">
        <f>(N6694+P6694*R6694/1000)*U6694*W6694*Y6694</f>
        <v>0</v>
      </c>
    </row>
    <row r="6696">
      <c r="A6696" t="str">
        <f>A6684</f>
        <v>Lantai 2</v>
      </c>
      <c r="B6696">
        <f>B6684</f>
        <v>28</v>
      </c>
      <c r="C6696" t="str">
        <v>Tul Peminggang</v>
      </c>
      <c r="D6696">
        <f>VLOOKUP(D6684,'Detail Balok'!$C$10:$AU$110,13,FALSE)</f>
        <v>2</v>
      </c>
      <c r="E6696" t="str">
        <v>D</v>
      </c>
      <c r="F6696">
        <f>VLOOKUP(D6684,'Detail Balok'!$C$10:$AU$110,15,FALSE)</f>
        <v>10</v>
      </c>
      <c r="J6696">
        <f>+D6686/1000</f>
        <v>4</v>
      </c>
      <c r="K6696" t="str">
        <v>+</v>
      </c>
      <c r="L6696">
        <f>2*$F$16*F6696/1000</f>
        <v>0.24</v>
      </c>
      <c r="M6696" t="str">
        <v>=</v>
      </c>
      <c r="N6696">
        <f>J6696+L6696</f>
        <v>4.24</v>
      </c>
      <c r="O6696" t="str">
        <v>+</v>
      </c>
      <c r="P6696">
        <f>IF(N6696&gt;12,ROUNDDOWN(N6696/12,0),0)</f>
        <v>0</v>
      </c>
      <c r="Q6696" t="str">
        <v>x</v>
      </c>
      <c r="R6696">
        <f>IF(P6696&gt;0,MAX(VLOOKUP(F6696,$D$6:$G$15,3,FALSE),600),0)/1000</f>
        <v>0</v>
      </c>
      <c r="T6696" t="str">
        <v>x</v>
      </c>
      <c r="U6696">
        <f>0.006165*F6696^2</f>
        <v>0.6165</v>
      </c>
      <c r="V6696" t="str">
        <v>x</v>
      </c>
      <c r="W6696">
        <f>+D6696</f>
        <v>2</v>
      </c>
      <c r="X6696" t="str">
        <v>x</v>
      </c>
      <c r="Y6696">
        <f>D6690</f>
        <v>1</v>
      </c>
      <c r="Z6696" t="str">
        <v>=</v>
      </c>
      <c r="AA6696">
        <f>(N6696+P6696*R6696/1000)*U6696*W6696*Y6696</f>
        <v>5.227920000000001</v>
      </c>
    </row>
    <row r="6699">
      <c r="A6699" t="str">
        <f>A6684</f>
        <v>Lantai 2</v>
      </c>
      <c r="B6699">
        <f>B6684</f>
        <v>28</v>
      </c>
      <c r="C6699" t="str">
        <v>Tul Bawah Tumpuan</v>
      </c>
      <c r="D6699">
        <f>VLOOKUP(D6684,'Detail Balok'!$C$10:$AU$110,22,FALSE)</f>
        <v>4</v>
      </c>
      <c r="E6699" t="str">
        <v>D</v>
      </c>
      <c r="F6699">
        <f>VLOOKUP(D6684,'Detail Balok'!$C$10:$AU$110,24,FALSE)</f>
        <v>19</v>
      </c>
      <c r="I6699" t="str">
        <v>(</v>
      </c>
      <c r="J6699">
        <f>+J6691</f>
        <v>1</v>
      </c>
      <c r="K6699" t="str">
        <v>+</v>
      </c>
      <c r="L6699">
        <f>MAX(VLOOKUP(F6699,N$6:P$15,3,FALSE)/1000,2/3*D6689/1000)+F$16*F6699/1000</f>
        <v>0.228</v>
      </c>
      <c r="M6699" t="str">
        <v>=</v>
      </c>
      <c r="N6699">
        <f>J6699+L6699</f>
        <v>1.228</v>
      </c>
      <c r="O6699" t="str">
        <v>+</v>
      </c>
      <c r="P6699">
        <f>D6699-D6700</f>
        <v>-3</v>
      </c>
      <c r="Q6699" t="str">
        <v>x</v>
      </c>
      <c r="R6699">
        <f>IF(P6699&gt;0,$F$18*F6699/1000,0)</f>
        <v>0</v>
      </c>
      <c r="S6699" t="str">
        <v>)</v>
      </c>
      <c r="T6699" t="str">
        <v>x</v>
      </c>
      <c r="U6699">
        <f>0.006165*F6699^2</f>
        <v>2.225565</v>
      </c>
      <c r="X6699" t="str">
        <v>x</v>
      </c>
      <c r="Y6699">
        <f>D6690</f>
        <v>1</v>
      </c>
      <c r="Z6699" t="str">
        <v>=</v>
      </c>
      <c r="AA6699">
        <f>IF(AA6702=0,(D6699*N6699+P6699*R6699)*U6699*Y6699,0)</f>
        <v>10.93197528</v>
      </c>
    </row>
    <row r="6700">
      <c r="A6700" t="str">
        <f>A6684</f>
        <v>Lantai 2</v>
      </c>
      <c r="B6700">
        <f>B6684</f>
        <v>28</v>
      </c>
      <c r="C6700" t="str">
        <v>Tul Bawah Lapangan</v>
      </c>
      <c r="D6700">
        <f>VLOOKUP(D6684,'Detail Balok'!$C$10:$AU$110,25,FALSE)</f>
        <v>7</v>
      </c>
      <c r="E6700" t="str">
        <v>D</v>
      </c>
      <c r="F6700">
        <f>VLOOKUP(D6684,'Detail Balok'!$C$10:$AU$110,27,FALSE)</f>
        <v>19</v>
      </c>
      <c r="I6700" t="str">
        <v>(</v>
      </c>
      <c r="J6700">
        <f>+J6692</f>
        <v>2</v>
      </c>
      <c r="K6700" t="str">
        <v>+</v>
      </c>
      <c r="M6700" t="str">
        <v>=</v>
      </c>
      <c r="N6700">
        <f>J6700+L6700</f>
        <v>2</v>
      </c>
      <c r="O6700" t="str">
        <v>+</v>
      </c>
      <c r="P6700">
        <f>MAX(D6700-D6699,D6700-D6701)</f>
        <v>3</v>
      </c>
      <c r="Q6700" t="str">
        <v>x</v>
      </c>
      <c r="R6700">
        <f>IF(P6700&gt;0,2*(1-2*$F$19-1/2)*D6687/1000,0)</f>
        <v>0.7999999999999998</v>
      </c>
      <c r="S6700" t="str">
        <v>)</v>
      </c>
      <c r="T6700" t="str">
        <v>x</v>
      </c>
      <c r="U6700">
        <f>0.006165*F6700^2</f>
        <v>2.225565</v>
      </c>
      <c r="X6700" t="str">
        <v>x</v>
      </c>
      <c r="Y6700">
        <f>D6690</f>
        <v>1</v>
      </c>
      <c r="Z6700" t="str">
        <v>=</v>
      </c>
      <c r="AA6700">
        <f>IF(AA6702=0,(D6700*N6700+P6700*R6700)*U6700*Y6700,0)</f>
        <v>36.499266</v>
      </c>
    </row>
    <row r="6701">
      <c r="A6701" t="str">
        <f>A6684</f>
        <v>Lantai 2</v>
      </c>
      <c r="B6701">
        <f>B6684</f>
        <v>28</v>
      </c>
      <c r="C6701" t="str">
        <v>Tul Bawah Tumpuan</v>
      </c>
      <c r="D6701">
        <f>VLOOKUP(D6684,'Detail Balok'!$C$10:$AU$110,28,FALSE)</f>
        <v>4</v>
      </c>
      <c r="E6701" t="str">
        <v>D</v>
      </c>
      <c r="F6701">
        <f>VLOOKUP(D6684,'Detail Balok'!$C$10:$AU$110,30,FALSE)</f>
        <v>19</v>
      </c>
      <c r="I6701" t="str">
        <v>(</v>
      </c>
      <c r="J6701">
        <f>+J6693</f>
        <v>1</v>
      </c>
      <c r="K6701" t="str">
        <v>+</v>
      </c>
      <c r="L6701">
        <f>MAX(VLOOKUP(F6701,N$6:P$15,3,FALSE)/1000,2/3*D6689/1000)+F$16*F6701/1000</f>
        <v>0.228</v>
      </c>
      <c r="M6701" t="str">
        <v>=</v>
      </c>
      <c r="N6701">
        <f>J6701+L6701</f>
        <v>1.228</v>
      </c>
      <c r="O6701" t="str">
        <v>+</v>
      </c>
      <c r="P6701">
        <f>D6701-D6700</f>
        <v>-3</v>
      </c>
      <c r="Q6701" t="str">
        <v>x</v>
      </c>
      <c r="R6701">
        <f>IF(P6701&gt;0,$F$18*F6701/1000,0)</f>
        <v>0</v>
      </c>
      <c r="S6701" t="str">
        <v>)</v>
      </c>
      <c r="T6701" t="str">
        <v>x</v>
      </c>
      <c r="U6701">
        <f>0.006165*F6701^2</f>
        <v>2.225565</v>
      </c>
      <c r="X6701" t="str">
        <v>x</v>
      </c>
      <c r="Y6701">
        <f>D6690</f>
        <v>1</v>
      </c>
      <c r="Z6701" t="str">
        <v>=</v>
      </c>
      <c r="AA6701">
        <f>IF(AA6702=0,(D6701*N6701+P6701*R6701)*U6701*Y6701,0)</f>
        <v>10.93197528</v>
      </c>
    </row>
    <row r="6702">
      <c r="A6702" t="str">
        <f>A6684</f>
        <v>Lantai 2</v>
      </c>
      <c r="B6702">
        <f>B6684</f>
        <v>28</v>
      </c>
      <c r="D6702">
        <f>IF(AND(D6699=D6700,D6700=D6701,D6699=D6701),D6699,0)</f>
        <v>0</v>
      </c>
      <c r="E6702" t="str">
        <v>D</v>
      </c>
      <c r="F6702">
        <f>IF(AND(F6699=F6700,F6699=F6701,F6700=F6701),F6699,0)</f>
        <v>19</v>
      </c>
      <c r="L6702" t="str">
        <v>Total panjang per balok</v>
      </c>
      <c r="M6702" t="str">
        <v>=</v>
      </c>
      <c r="N6702">
        <f>IF(AND(D6699=D6700,D6699=D6701,D6700=D6701,F6699=F6700,F6699=F6701,F6700=F6701),SUM(N6699:N6701),0)</f>
        <v>0</v>
      </c>
      <c r="O6702" t="str">
        <v>+</v>
      </c>
      <c r="P6702">
        <f>IF(N6702&gt;12,ROUNDDOWN(N6702/12,0),0)</f>
        <v>0</v>
      </c>
      <c r="Q6702" t="str">
        <v>x</v>
      </c>
      <c r="R6702">
        <f>IF(P6702&gt;0,MAX(VLOOKUP(F6702,$D$6:$G$15,3,FALSE),600),0)/1000</f>
        <v>0</v>
      </c>
      <c r="T6702" t="str">
        <v>x</v>
      </c>
      <c r="U6702">
        <f>U6701</f>
        <v>2.225565</v>
      </c>
      <c r="V6702" t="str">
        <v>x</v>
      </c>
      <c r="W6702">
        <f>D6702</f>
        <v>0</v>
      </c>
      <c r="X6702" t="str">
        <v>x</v>
      </c>
      <c r="Y6702">
        <f>Y6701</f>
        <v>1</v>
      </c>
      <c r="Z6702" t="str">
        <v>=</v>
      </c>
      <c r="AA6702">
        <f>(N6702+P6702*R6702/1000)*U6702*W6702*Y6702</f>
        <v>0</v>
      </c>
    </row>
    <row r="6704">
      <c r="A6704" t="str">
        <f>A6684</f>
        <v>Lantai 2</v>
      </c>
      <c r="B6704">
        <f>B6684</f>
        <v>28</v>
      </c>
      <c r="C6704" t="str">
        <v>Sengkang Tumpuan</v>
      </c>
      <c r="D6704">
        <f>VLOOKUP(D6684,'Detail Balok'!$C$10:$AU$110,31,FALSE)</f>
        <v>0</v>
      </c>
      <c r="E6704" t="str">
        <v>D</v>
      </c>
      <c r="F6704">
        <f>VLOOKUP(D6684,'Detail Balok'!$C$10:$AU$110,33,FALSE)</f>
        <v>10</v>
      </c>
      <c r="G6704" t="str">
        <v>-</v>
      </c>
      <c r="H6704">
        <f>VLOOKUP(D6684,'Detail Balok'!$C$10:$AU$110,35,FALSE)</f>
        <v>80</v>
      </c>
      <c r="J6704">
        <f>(IF(D6704=0,(2*(D6685+G6685))-(F$5*8),IF(D6704=3,(2*(D6685+G6685))-(F$5*8)+(G6685-2*F$5),IF(D6704=4,(2*(D6685+G6685))-(F$5*8)+2*(G6685-2*F$5)))))/1000</f>
        <v>1.28</v>
      </c>
      <c r="K6704" t="str">
        <v>+</v>
      </c>
      <c r="L6704">
        <f>IF(D6704=0,2*MAX(6*F6704,75),(D6704-1)*2*MAX(6*F6704,75))/1000</f>
        <v>0.15</v>
      </c>
      <c r="M6704" t="str">
        <v>=</v>
      </c>
      <c r="N6704">
        <f>J6704+L6704</f>
        <v>1.43</v>
      </c>
      <c r="T6704" t="str">
        <v>x</v>
      </c>
      <c r="U6704">
        <f>0.006165*F6704^2</f>
        <v>0.6165</v>
      </c>
      <c r="V6704" t="str">
        <v>x</v>
      </c>
      <c r="W6704">
        <f>IF(D6687&gt;4*G6685,ROUND(MAX(D6687/4,2*G6685)/H6704,0)+1,ROUND(D6687/H6704,0)+1)</f>
        <v>16</v>
      </c>
      <c r="X6704" t="str">
        <v>x</v>
      </c>
      <c r="Y6704">
        <f>D6690</f>
        <v>1</v>
      </c>
      <c r="Z6704" t="str">
        <v>=</v>
      </c>
      <c r="AA6704">
        <f>N6704*U6704*W6704*Y6704</f>
        <v>14.10552</v>
      </c>
    </row>
    <row r="6705">
      <c r="A6705" t="str">
        <f>A6684</f>
        <v>Lantai 2</v>
      </c>
      <c r="B6705">
        <f>B6684</f>
        <v>28</v>
      </c>
      <c r="C6705" t="str">
        <v>Sengkang Lapangan</v>
      </c>
      <c r="D6705">
        <f>VLOOKUP(D6684,'Detail Balok'!$C$10:$AU$110,36,FALSE)</f>
        <v>0</v>
      </c>
      <c r="E6705" t="str">
        <v>D</v>
      </c>
      <c r="F6705">
        <f>VLOOKUP(D6684,'Detail Balok'!$C$10:$AU$110,38,FALSE)</f>
        <v>10</v>
      </c>
      <c r="G6705" t="str">
        <v>-</v>
      </c>
      <c r="H6705">
        <f>VLOOKUP(D6684,'Detail Balok'!$C$10:$AU$110,40,FALSE)</f>
        <v>200</v>
      </c>
      <c r="J6705">
        <f>(IF(D6705=0,(2*(D6685+G6685))-(F$5*8),IF(D6705=3,(2*(D6685+G6685))-(F$5*8)+(G6685-2*F$5),IF(D6705=4,(2*(D6685+G6685))-(F$5*8)+2*(G6685-2*F$5)))))/1000</f>
        <v>1.28</v>
      </c>
      <c r="K6705" t="str">
        <v>+</v>
      </c>
      <c r="L6705">
        <f>IF(D6705=0,2*MAX(6*F6705,75),(D6705-1)*2*MAX(6*F6705,75))/1000</f>
        <v>0.15</v>
      </c>
      <c r="M6705" t="str">
        <v>=</v>
      </c>
      <c r="N6705">
        <f>J6705+L6705</f>
        <v>1.43</v>
      </c>
      <c r="T6705" t="str">
        <v>x</v>
      </c>
      <c r="U6705">
        <f>0.006165*F6705^2</f>
        <v>0.6165</v>
      </c>
      <c r="V6705" t="str">
        <v>x</v>
      </c>
      <c r="W6705">
        <f>IF(D6687-MAX(D6687/4,2*G6685)*2&gt;0,ROUND((D6687-MAX(D6687/4,2*G6685)*2)/H6705,0),0)</f>
        <v>8</v>
      </c>
      <c r="X6705" t="str">
        <v>x</v>
      </c>
      <c r="Y6705">
        <f>D6690</f>
        <v>1</v>
      </c>
      <c r="Z6705" t="str">
        <v>=</v>
      </c>
      <c r="AA6705">
        <f>N6705*U6705*W6705*Y6705</f>
        <v>7.05276</v>
      </c>
    </row>
    <row r="6706">
      <c r="A6706" t="str">
        <f>A6684</f>
        <v>Lantai 2</v>
      </c>
      <c r="B6706">
        <f>B6684</f>
        <v>28</v>
      </c>
      <c r="C6706" t="str">
        <v>Sengkang Tumpuan</v>
      </c>
      <c r="D6706">
        <f>VLOOKUP(D6684,'Detail Balok'!$C$10:$AU$110,41,FALSE)</f>
        <v>0</v>
      </c>
      <c r="E6706" t="str">
        <v>D</v>
      </c>
      <c r="F6706">
        <f>VLOOKUP(D6684,'Detail Balok'!$C$10:$AU$110,43,FALSE)</f>
        <v>10</v>
      </c>
      <c r="G6706" t="str">
        <v>-</v>
      </c>
      <c r="H6706">
        <f>VLOOKUP(D6684,'Detail Balok'!$C$10:$AU$110,45,FALSE)</f>
        <v>80</v>
      </c>
      <c r="J6706">
        <f>(IF(D6706=0,(2*(D6685+G6685))-(F$5*8),IF(D6706=3,(2*(D6685+G6685))-(F$5*8)+(G6685-2*F$5),IF(D6706=4,(2*(D6685+G6685))-(F$5*8)+2*(G6685-2*F$5)))))/1000</f>
        <v>1.28</v>
      </c>
      <c r="K6706" t="str">
        <v>+</v>
      </c>
      <c r="L6706">
        <f>IF(D6706=0,2*MAX(6*F6706,75),(D6706-1)*2*MAX(6*F6706,75))/1000</f>
        <v>0.15</v>
      </c>
      <c r="M6706" t="str">
        <v>=</v>
      </c>
      <c r="N6706">
        <f>J6706+L6706</f>
        <v>1.43</v>
      </c>
      <c r="T6706" t="str">
        <v>x</v>
      </c>
      <c r="U6706">
        <f>0.006165*F6706^2</f>
        <v>0.6165</v>
      </c>
      <c r="V6706" t="str">
        <v>x</v>
      </c>
      <c r="W6706">
        <f>IF(D6687&gt;4*G6685,ROUND(MAX(D6687/4,2*G6685)/H6706,0)+1,0)</f>
        <v>16</v>
      </c>
      <c r="X6706" t="str">
        <v>x</v>
      </c>
      <c r="Y6706">
        <f>D6690</f>
        <v>1</v>
      </c>
      <c r="Z6706" t="str">
        <v>=</v>
      </c>
      <c r="AA6706">
        <f>N6706*U6706*W6706*Y6706</f>
        <v>14.10552</v>
      </c>
    </row>
    <row r="6708">
      <c r="A6708" t="str">
        <f>A6684</f>
        <v>Lantai 2</v>
      </c>
      <c r="B6708">
        <f>B6684</f>
        <v>28</v>
      </c>
      <c r="C6708" t="str">
        <v>Kait Horizontal Tump.</v>
      </c>
      <c r="D6708">
        <f>VLOOKUP(D6684,'Detail Balok'!$C$10:$BJ$110,46,FALSE)</f>
        <v>0</v>
      </c>
      <c r="E6708" t="str">
        <v>D</v>
      </c>
      <c r="F6708">
        <f>VLOOKUP(D6684,'Detail Balok'!$C$10:$BJ$110,48,FALSE)</f>
        <v>0</v>
      </c>
      <c r="G6708" t="str">
        <v>-</v>
      </c>
      <c r="H6708">
        <f>VLOOKUP(D6684,'Detail Balok'!$C$10:$BJ$110,50,FALSE)</f>
        <v>100</v>
      </c>
      <c r="J6708">
        <f>(D6685-2*F$5)/1000</f>
        <v>0.12</v>
      </c>
      <c r="K6708" t="str">
        <v>+</v>
      </c>
      <c r="L6708">
        <f>IF(D6708=0,2*MAX(6*F6708,75),(D6708-1)*2*MAX(6*F6708,75))/1000</f>
        <v>0.15</v>
      </c>
      <c r="M6708" t="str">
        <v>=</v>
      </c>
      <c r="N6708">
        <f>J6708+L6708</f>
        <v>0.27</v>
      </c>
      <c r="T6708" t="str">
        <v>x</v>
      </c>
      <c r="U6708">
        <f>0.006165*F6708^2</f>
        <v>0</v>
      </c>
      <c r="V6708" t="str">
        <v>x</v>
      </c>
      <c r="W6708">
        <f>W6704</f>
        <v>16</v>
      </c>
      <c r="X6708" t="str">
        <v>x</v>
      </c>
      <c r="Y6708">
        <f>D6694</f>
        <v>0</v>
      </c>
      <c r="Z6708" t="str">
        <v>=</v>
      </c>
      <c r="AA6708">
        <f>N6708*U6708*W6708*Y6708</f>
        <v>0</v>
      </c>
    </row>
    <row r="6709">
      <c r="A6709" t="str">
        <f>A6684</f>
        <v>Lantai 2</v>
      </c>
      <c r="B6709">
        <f>B6684</f>
        <v>28</v>
      </c>
      <c r="C6709" t="str">
        <v>Kait Horizontal Lap.</v>
      </c>
      <c r="D6709">
        <f>VLOOKUP(D6684,'Detail Balok'!$C$10:$BJ$110,51,FALSE)</f>
        <v>0</v>
      </c>
      <c r="E6709" t="str">
        <v>D</v>
      </c>
      <c r="F6709">
        <f>VLOOKUP(D6684,'Detail Balok'!$C$10:$BJ$110,53,FALSE)</f>
        <v>0</v>
      </c>
      <c r="G6709" t="str">
        <v>-</v>
      </c>
      <c r="H6709">
        <f>VLOOKUP(D6684,'Detail Balok'!$C$10:$BJ$110,55,FALSE)</f>
        <v>100</v>
      </c>
      <c r="J6709">
        <f>(D6685-2*F$5)/1000</f>
        <v>0.12</v>
      </c>
      <c r="K6709" t="str">
        <v>+</v>
      </c>
      <c r="L6709">
        <f>IF(D6709=0,2*MAX(6*F6709,75),(D6709-1)*2*MAX(6*F6709,75))/1000</f>
        <v>0.15</v>
      </c>
      <c r="M6709" t="str">
        <v>=</v>
      </c>
      <c r="N6709">
        <f>J6709+L6709</f>
        <v>0.27</v>
      </c>
      <c r="T6709" t="str">
        <v>x</v>
      </c>
      <c r="U6709">
        <f>0.006165*F6709^2</f>
        <v>0</v>
      </c>
      <c r="V6709" t="str">
        <v>x</v>
      </c>
      <c r="W6709">
        <f>W6705</f>
        <v>8</v>
      </c>
      <c r="X6709" t="str">
        <v>x</v>
      </c>
      <c r="Y6709">
        <f>D6694</f>
        <v>0</v>
      </c>
      <c r="Z6709" t="str">
        <v>=</v>
      </c>
      <c r="AA6709">
        <f>N6709*U6709*W6709*Y6709</f>
        <v>0</v>
      </c>
    </row>
    <row r="6710">
      <c r="A6710" t="str">
        <f>A6684</f>
        <v>Lantai 2</v>
      </c>
      <c r="B6710">
        <f>B6684</f>
        <v>28</v>
      </c>
      <c r="C6710" t="str">
        <v>Kait Horizontal Tump.</v>
      </c>
      <c r="D6710">
        <f>VLOOKUP(D6684,'Detail Balok'!$C$10:$BJ$110,56,FALSE)</f>
        <v>0</v>
      </c>
      <c r="E6710" t="str">
        <v>D</v>
      </c>
      <c r="F6710">
        <f>VLOOKUP(D6684,'Detail Balok'!$C$10:$BJ$110,58,FALSE)</f>
        <v>0</v>
      </c>
      <c r="G6710" t="str">
        <v>-</v>
      </c>
      <c r="H6710">
        <f>VLOOKUP(D6684,'Detail Balok'!$C$10:$BJ$110,60,FALSE)</f>
        <v>100</v>
      </c>
      <c r="J6710">
        <f>(D6685-2*F$5)/1000</f>
        <v>0.12</v>
      </c>
      <c r="K6710" t="str">
        <v>+</v>
      </c>
      <c r="L6710">
        <f>IF(D6710=0,2*MAX(6*F6710,75),(D6710-1)*2*MAX(6*F6710,75))/1000</f>
        <v>0.15</v>
      </c>
      <c r="M6710" t="str">
        <v>=</v>
      </c>
      <c r="N6710">
        <f>J6710+L6710</f>
        <v>0.27</v>
      </c>
      <c r="T6710" t="str">
        <v>x</v>
      </c>
      <c r="U6710">
        <f>0.006165*F6710^2</f>
        <v>0</v>
      </c>
      <c r="V6710" t="str">
        <v>x</v>
      </c>
      <c r="W6710">
        <f>W6706</f>
        <v>16</v>
      </c>
      <c r="X6710" t="str">
        <v>x</v>
      </c>
      <c r="Y6710">
        <f>D6694</f>
        <v>0</v>
      </c>
      <c r="Z6710" t="str">
        <v>=</v>
      </c>
      <c r="AA6710">
        <f>N6710*U6710*W6710*Y6710</f>
        <v>0</v>
      </c>
    </row>
    <row r="6714">
      <c r="A6714" t="str">
        <f>A6684</f>
        <v>Lantai 2</v>
      </c>
      <c r="B6714">
        <f>B6684+1</f>
        <v>29</v>
      </c>
      <c r="C6714" t="str">
        <f>CONCATENATE(A6714," no. ",B6714)</f>
        <v>Lantai 2 no. 29</v>
      </c>
      <c r="D6714" t="str">
        <f>VLOOKUP(C6714,'Data Panjang Balok'!$C$9:$N$424,2,FALSE)</f>
        <v>B26-3</v>
      </c>
    </row>
    <row r="6715">
      <c r="C6715" t="str">
        <v>Dimensi</v>
      </c>
      <c r="D6715">
        <f>VLOOKUP(D6714,'Detail Balok'!$C$10:$AU$110,2,FALSE)</f>
        <v>200</v>
      </c>
      <c r="F6715" t="str">
        <v>x</v>
      </c>
      <c r="G6715">
        <f>VLOOKUP(D6714,'Detail Balok'!$C$10:$AU$110,3,FALSE)</f>
        <v>600</v>
      </c>
    </row>
    <row r="6716">
      <c r="C6716" t="str">
        <v>Panjang as ke as</v>
      </c>
      <c r="D6716">
        <f>VLOOKUP(C6714,'Data Panjang Balok'!$C$9:$N$424,4,FALSE)</f>
        <v>4275</v>
      </c>
    </row>
    <row r="6717">
      <c r="C6717" t="str">
        <v>Panjang netto</v>
      </c>
      <c r="D6717">
        <f>VLOOKUP(C6714,'Data Panjang Balok'!$C$9:$N$424,7,FALSE)</f>
        <v>4275</v>
      </c>
    </row>
    <row r="6718">
      <c r="C6718" t="str">
        <v>Kolom / balok kiri</v>
      </c>
      <c r="D6718">
        <f>VLOOKUP(C6714,'Data Panjang Balok'!$C$9:$N$424,9,FALSE)</f>
        <v>0</v>
      </c>
    </row>
    <row r="6719">
      <c r="C6719" t="str">
        <v>Kolom / balok kanan</v>
      </c>
      <c r="D6719">
        <f>VLOOKUP(C6714,'Data Panjang Balok'!$C$9:$N$424,10,FALSE)</f>
        <v>0</v>
      </c>
    </row>
    <row r="6720">
      <c r="C6720" t="str">
        <v>Jumlah</v>
      </c>
      <c r="D6720">
        <f>VLOOKUP(C6714,'Data Panjang Balok'!$C$9:$N$424,3,FALSE)</f>
        <v>1</v>
      </c>
    </row>
    <row r="6721">
      <c r="A6721" t="str">
        <f>A6714</f>
        <v>Lantai 2</v>
      </c>
      <c r="B6721">
        <f>B6714</f>
        <v>29</v>
      </c>
      <c r="C6721" t="str">
        <v>Tul Atas Tumpuan</v>
      </c>
      <c r="D6721">
        <f>VLOOKUP(D6714,'Detail Balok'!$C$10:$AU$110,4,FALSE)</f>
        <v>3</v>
      </c>
      <c r="E6721" t="str">
        <v>D</v>
      </c>
      <c r="F6721">
        <f>VLOOKUP(D6714,'Detail Balok'!$C$10:$AU$110,6,FALSE)</f>
        <v>19</v>
      </c>
      <c r="I6721" t="str">
        <v>(</v>
      </c>
      <c r="J6721">
        <f>+D6716/4/1000</f>
        <v>1.06875</v>
      </c>
      <c r="K6721" t="str">
        <v>+</v>
      </c>
      <c r="L6721">
        <f>MAX(VLOOKUP(F6721,N$6:P$15,3,FALSE)/1000,2/3*D6718/1000)+F$16*F6721/1000</f>
        <v>0.228</v>
      </c>
      <c r="M6721" t="str">
        <v>=</v>
      </c>
      <c r="N6721">
        <f>J6721+L6721</f>
        <v>1.29675</v>
      </c>
      <c r="O6721" t="str">
        <v>+</v>
      </c>
      <c r="P6721">
        <f>D6721-D6722</f>
        <v>0</v>
      </c>
      <c r="Q6721" t="str">
        <v>x</v>
      </c>
      <c r="R6721">
        <f>IF(P6721&gt;0,$F$18*F6721/1000,0)</f>
        <v>0</v>
      </c>
      <c r="S6721" t="str">
        <v>)</v>
      </c>
      <c r="T6721" t="str">
        <v>x</v>
      </c>
      <c r="U6721">
        <f>0.006165*F6721^2</f>
        <v>2.225565</v>
      </c>
      <c r="X6721" t="str">
        <v>x</v>
      </c>
      <c r="Y6721">
        <f>D6720</f>
        <v>1</v>
      </c>
      <c r="Z6721" t="str">
        <v>=</v>
      </c>
      <c r="AA6721">
        <f>IF(AA6724=0,(D6721*N6721+P6721*R6721)*U6721*Y6721,0)</f>
        <v>0</v>
      </c>
    </row>
    <row r="6722">
      <c r="A6722" t="str">
        <f>A6714</f>
        <v>Lantai 2</v>
      </c>
      <c r="B6722">
        <f>B6714</f>
        <v>29</v>
      </c>
      <c r="C6722" t="str">
        <v>Tul Atas Lapangan</v>
      </c>
      <c r="D6722">
        <f>VLOOKUP(D6714,'Detail Balok'!$C$10:$AU$110,7,FALSE)</f>
        <v>3</v>
      </c>
      <c r="E6722" t="str">
        <v>D</v>
      </c>
      <c r="F6722">
        <f>VLOOKUP(D6714,'Detail Balok'!$C$10:$AU$110,9,FALSE)</f>
        <v>19</v>
      </c>
      <c r="I6722" t="str">
        <v>(</v>
      </c>
      <c r="J6722">
        <f>+D6716/2/1000</f>
        <v>2.1375</v>
      </c>
      <c r="K6722" t="str">
        <v>+</v>
      </c>
      <c r="M6722" t="str">
        <v>=</v>
      </c>
      <c r="N6722">
        <f>J6722+L6722</f>
        <v>2.1375</v>
      </c>
      <c r="O6722" t="str">
        <v>+</v>
      </c>
      <c r="P6722">
        <f>MAX(D6722-D6721,D6722-D6723)</f>
        <v>0</v>
      </c>
      <c r="Q6722" t="str">
        <v>x</v>
      </c>
      <c r="R6722">
        <f>IF(P6722&gt;0,2*(1-2*$F$19-1/2)*D6717/1000,0)</f>
        <v>0</v>
      </c>
      <c r="S6722" t="str">
        <v>)</v>
      </c>
      <c r="T6722" t="str">
        <v>x</v>
      </c>
      <c r="U6722">
        <f>0.006165*F6722^2</f>
        <v>2.225565</v>
      </c>
      <c r="X6722" t="str">
        <v>x</v>
      </c>
      <c r="Y6722">
        <f>D6720</f>
        <v>1</v>
      </c>
      <c r="Z6722" t="str">
        <v>=</v>
      </c>
      <c r="AA6722">
        <f>IF(AA6724=0,(D6722*N6722+P6722*R6722)*U6722*Y6722,0)</f>
        <v>0</v>
      </c>
    </row>
    <row r="6723">
      <c r="A6723" t="str">
        <f>A6714</f>
        <v>Lantai 2</v>
      </c>
      <c r="B6723">
        <f>B6714</f>
        <v>29</v>
      </c>
      <c r="C6723" t="str">
        <v>Tul Atas Tumpuan</v>
      </c>
      <c r="D6723">
        <f>VLOOKUP(D6714,'Detail Balok'!$C$10:$AU$110,10,FALSE)</f>
        <v>3</v>
      </c>
      <c r="E6723" t="str">
        <v>D</v>
      </c>
      <c r="F6723">
        <f>VLOOKUP(D6714,'Detail Balok'!$C$10:$AU$110,12,FALSE)</f>
        <v>19</v>
      </c>
      <c r="I6723" t="str">
        <v>(</v>
      </c>
      <c r="J6723">
        <f>+D6716/4/1000</f>
        <v>1.06875</v>
      </c>
      <c r="K6723" t="str">
        <v>+</v>
      </c>
      <c r="L6723">
        <f>MAX(VLOOKUP(F6723,N$6:P$15,3,FALSE)/1000,2/3*D6718/1000)+F$16*F6723/1000</f>
        <v>0.228</v>
      </c>
      <c r="M6723" t="str">
        <v>=</v>
      </c>
      <c r="N6723">
        <f>J6723+L6723</f>
        <v>1.29675</v>
      </c>
      <c r="O6723" t="str">
        <v>+</v>
      </c>
      <c r="P6723">
        <f>D6723-D6722</f>
        <v>0</v>
      </c>
      <c r="Q6723" t="str">
        <v>x</v>
      </c>
      <c r="R6723">
        <f>IF(P6723&gt;0,$F$18*F6723/1000,0)</f>
        <v>0</v>
      </c>
      <c r="S6723" t="str">
        <v>)</v>
      </c>
      <c r="T6723" t="str">
        <v>x</v>
      </c>
      <c r="U6723">
        <f>0.006165*F6723^2</f>
        <v>2.225565</v>
      </c>
      <c r="X6723" t="str">
        <v>x</v>
      </c>
      <c r="Y6723">
        <f>D6720</f>
        <v>1</v>
      </c>
      <c r="Z6723" t="str">
        <v>=</v>
      </c>
      <c r="AA6723">
        <f>IF(AA6724=0,(D6723*N6723+P6723*R6723)*U6723*Y6723,0)</f>
        <v>0</v>
      </c>
    </row>
    <row r="6724">
      <c r="A6724" t="str">
        <f>A6714</f>
        <v>Lantai 2</v>
      </c>
      <c r="B6724">
        <f>B6714</f>
        <v>29</v>
      </c>
      <c r="D6724">
        <f>IF(AND(D6721=D6722,D6722=D6723,D6721=D6723),D6721,0)</f>
        <v>3</v>
      </c>
      <c r="E6724" t="str">
        <v>D</v>
      </c>
      <c r="F6724">
        <f>IF(AND(F6721=F6722,F6721=F6723,F6722=F6723),F6721,0)</f>
        <v>19</v>
      </c>
      <c r="L6724" t="str">
        <v>Total panjang per balok</v>
      </c>
      <c r="M6724" t="str">
        <v>=</v>
      </c>
      <c r="N6724">
        <f>IF(AND(D6721=D6722,D6721=D6723,D6722=D6723,F6721=F6722,F6721=F6723,F6722=F6723),SUM(N6721:N6723),0)</f>
        <v>4.731000000000001</v>
      </c>
      <c r="O6724" t="str">
        <v>+</v>
      </c>
      <c r="P6724">
        <f>IF(N6724&gt;12,ROUNDDOWN(N6724/12,0),0)</f>
        <v>0</v>
      </c>
      <c r="Q6724" t="str">
        <v>x</v>
      </c>
      <c r="R6724">
        <f>IF(P6724&gt;0,MAX(VLOOKUP(F6724,$D$6:$G$15,3,FALSE),600),0)/1000</f>
        <v>0</v>
      </c>
      <c r="T6724" t="str">
        <v>x</v>
      </c>
      <c r="U6724">
        <f>U6723</f>
        <v>2.225565</v>
      </c>
      <c r="V6724" t="str">
        <v>x</v>
      </c>
      <c r="W6724">
        <f>D6724</f>
        <v>3</v>
      </c>
      <c r="X6724" t="str">
        <v>x</v>
      </c>
      <c r="Y6724">
        <f>Y6723</f>
        <v>1</v>
      </c>
      <c r="Z6724" t="str">
        <v>=</v>
      </c>
      <c r="AA6724">
        <f>(N6724+P6724*R6724/1000)*U6724*W6724*Y6724</f>
        <v>31.587444045000005</v>
      </c>
    </row>
    <row r="6726">
      <c r="A6726" t="str">
        <f>A6714</f>
        <v>Lantai 2</v>
      </c>
      <c r="B6726">
        <f>B6714</f>
        <v>29</v>
      </c>
      <c r="C6726" t="str">
        <v>Tul Peminggang</v>
      </c>
      <c r="D6726">
        <f>VLOOKUP(D6714,'Detail Balok'!$C$10:$AU$110,13,FALSE)</f>
        <v>2</v>
      </c>
      <c r="E6726" t="str">
        <v>D</v>
      </c>
      <c r="F6726">
        <f>VLOOKUP(D6714,'Detail Balok'!$C$10:$AU$110,15,FALSE)</f>
        <v>10</v>
      </c>
      <c r="J6726">
        <f>+D6716/1000</f>
        <v>4.275</v>
      </c>
      <c r="K6726" t="str">
        <v>+</v>
      </c>
      <c r="L6726">
        <f>2*$F$16*F6726/1000</f>
        <v>0.24</v>
      </c>
      <c r="M6726" t="str">
        <v>=</v>
      </c>
      <c r="N6726">
        <f>J6726+L6726</f>
        <v>4.515000000000001</v>
      </c>
      <c r="O6726" t="str">
        <v>+</v>
      </c>
      <c r="P6726">
        <f>IF(N6726&gt;12,ROUNDDOWN(N6726/12,0),0)</f>
        <v>0</v>
      </c>
      <c r="Q6726" t="str">
        <v>x</v>
      </c>
      <c r="R6726">
        <f>IF(P6726&gt;0,MAX(VLOOKUP(F6726,$D$6:$G$15,3,FALSE),600),0)/1000</f>
        <v>0</v>
      </c>
      <c r="T6726" t="str">
        <v>x</v>
      </c>
      <c r="U6726">
        <f>0.006165*F6726^2</f>
        <v>0.6165</v>
      </c>
      <c r="V6726" t="str">
        <v>x</v>
      </c>
      <c r="W6726">
        <f>+D6726</f>
        <v>2</v>
      </c>
      <c r="X6726" t="str">
        <v>x</v>
      </c>
      <c r="Y6726">
        <f>D6720</f>
        <v>1</v>
      </c>
      <c r="Z6726" t="str">
        <v>=</v>
      </c>
      <c r="AA6726">
        <f>(N6726+P6726*R6726/1000)*U6726*W6726*Y6726</f>
        <v>5.566995000000001</v>
      </c>
    </row>
    <row r="6729">
      <c r="A6729" t="str">
        <f>A6714</f>
        <v>Lantai 2</v>
      </c>
      <c r="B6729">
        <f>B6714</f>
        <v>29</v>
      </c>
      <c r="C6729" t="str">
        <v>Tul Bawah Tumpuan</v>
      </c>
      <c r="D6729">
        <f>VLOOKUP(D6714,'Detail Balok'!$C$10:$AU$110,22,FALSE)</f>
        <v>3</v>
      </c>
      <c r="E6729" t="str">
        <v>D</v>
      </c>
      <c r="F6729">
        <f>VLOOKUP(D6714,'Detail Balok'!$C$10:$AU$110,24,FALSE)</f>
        <v>19</v>
      </c>
      <c r="I6729" t="str">
        <v>(</v>
      </c>
      <c r="J6729">
        <f>+J6721</f>
        <v>1.06875</v>
      </c>
      <c r="K6729" t="str">
        <v>+</v>
      </c>
      <c r="L6729">
        <f>MAX(VLOOKUP(F6729,N$6:P$15,3,FALSE)/1000,2/3*D6719/1000)+F$16*F6729/1000</f>
        <v>0.228</v>
      </c>
      <c r="M6729" t="str">
        <v>=</v>
      </c>
      <c r="N6729">
        <f>J6729+L6729</f>
        <v>1.29675</v>
      </c>
      <c r="O6729" t="str">
        <v>+</v>
      </c>
      <c r="P6729">
        <f>D6729-D6730</f>
        <v>0</v>
      </c>
      <c r="Q6729" t="str">
        <v>x</v>
      </c>
      <c r="R6729">
        <f>IF(P6729&gt;0,$F$18*F6729/1000,0)</f>
        <v>0</v>
      </c>
      <c r="S6729" t="str">
        <v>)</v>
      </c>
      <c r="T6729" t="str">
        <v>x</v>
      </c>
      <c r="U6729">
        <f>0.006165*F6729^2</f>
        <v>2.225565</v>
      </c>
      <c r="X6729" t="str">
        <v>x</v>
      </c>
      <c r="Y6729">
        <f>D6720</f>
        <v>1</v>
      </c>
      <c r="Z6729" t="str">
        <v>=</v>
      </c>
      <c r="AA6729">
        <f>IF(AA6732=0,(D6729*N6729+P6729*R6729)*U6729*Y6729,0)</f>
        <v>0</v>
      </c>
    </row>
    <row r="6730">
      <c r="A6730" t="str">
        <f>A6714</f>
        <v>Lantai 2</v>
      </c>
      <c r="B6730">
        <f>B6714</f>
        <v>29</v>
      </c>
      <c r="C6730" t="str">
        <v>Tul Bawah Lapangan</v>
      </c>
      <c r="D6730">
        <f>VLOOKUP(D6714,'Detail Balok'!$C$10:$AU$110,25,FALSE)</f>
        <v>3</v>
      </c>
      <c r="E6730" t="str">
        <v>D</v>
      </c>
      <c r="F6730">
        <f>VLOOKUP(D6714,'Detail Balok'!$C$10:$AU$110,27,FALSE)</f>
        <v>19</v>
      </c>
      <c r="I6730" t="str">
        <v>(</v>
      </c>
      <c r="J6730">
        <f>+J6722</f>
        <v>2.1375</v>
      </c>
      <c r="K6730" t="str">
        <v>+</v>
      </c>
      <c r="M6730" t="str">
        <v>=</v>
      </c>
      <c r="N6730">
        <f>J6730+L6730</f>
        <v>2.1375</v>
      </c>
      <c r="O6730" t="str">
        <v>+</v>
      </c>
      <c r="P6730">
        <f>MAX(D6730-D6729,D6730-D6731)</f>
        <v>0</v>
      </c>
      <c r="Q6730" t="str">
        <v>x</v>
      </c>
      <c r="R6730">
        <f>IF(P6730&gt;0,2*(1-2*$F$19-1/2)*D6717/1000,0)</f>
        <v>0</v>
      </c>
      <c r="S6730" t="str">
        <v>)</v>
      </c>
      <c r="T6730" t="str">
        <v>x</v>
      </c>
      <c r="U6730">
        <f>0.006165*F6730^2</f>
        <v>2.225565</v>
      </c>
      <c r="X6730" t="str">
        <v>x</v>
      </c>
      <c r="Y6730">
        <f>D6720</f>
        <v>1</v>
      </c>
      <c r="Z6730" t="str">
        <v>=</v>
      </c>
      <c r="AA6730">
        <f>IF(AA6732=0,(D6730*N6730+P6730*R6730)*U6730*Y6730,0)</f>
        <v>0</v>
      </c>
    </row>
    <row r="6731">
      <c r="A6731" t="str">
        <f>A6714</f>
        <v>Lantai 2</v>
      </c>
      <c r="B6731">
        <f>B6714</f>
        <v>29</v>
      </c>
      <c r="C6731" t="str">
        <v>Tul Bawah Tumpuan</v>
      </c>
      <c r="D6731">
        <f>VLOOKUP(D6714,'Detail Balok'!$C$10:$AU$110,28,FALSE)</f>
        <v>3</v>
      </c>
      <c r="E6731" t="str">
        <v>D</v>
      </c>
      <c r="F6731">
        <f>VLOOKUP(D6714,'Detail Balok'!$C$10:$AU$110,30,FALSE)</f>
        <v>19</v>
      </c>
      <c r="I6731" t="str">
        <v>(</v>
      </c>
      <c r="J6731">
        <f>+J6723</f>
        <v>1.06875</v>
      </c>
      <c r="K6731" t="str">
        <v>+</v>
      </c>
      <c r="L6731">
        <f>MAX(VLOOKUP(F6731,N$6:P$15,3,FALSE)/1000,2/3*D6719/1000)+F$16*F6731/1000</f>
        <v>0.228</v>
      </c>
      <c r="M6731" t="str">
        <v>=</v>
      </c>
      <c r="N6731">
        <f>J6731+L6731</f>
        <v>1.29675</v>
      </c>
      <c r="O6731" t="str">
        <v>+</v>
      </c>
      <c r="P6731">
        <f>D6731-D6730</f>
        <v>0</v>
      </c>
      <c r="Q6731" t="str">
        <v>x</v>
      </c>
      <c r="R6731">
        <f>IF(P6731&gt;0,$F$18*F6731/1000,0)</f>
        <v>0</v>
      </c>
      <c r="S6731" t="str">
        <v>)</v>
      </c>
      <c r="T6731" t="str">
        <v>x</v>
      </c>
      <c r="U6731">
        <f>0.006165*F6731^2</f>
        <v>2.225565</v>
      </c>
      <c r="X6731" t="str">
        <v>x</v>
      </c>
      <c r="Y6731">
        <f>D6720</f>
        <v>1</v>
      </c>
      <c r="Z6731" t="str">
        <v>=</v>
      </c>
      <c r="AA6731">
        <f>IF(AA6732=0,(D6731*N6731+P6731*R6731)*U6731*Y6731,0)</f>
        <v>0</v>
      </c>
    </row>
    <row r="6732">
      <c r="A6732" t="str">
        <f>A6714</f>
        <v>Lantai 2</v>
      </c>
      <c r="B6732">
        <f>B6714</f>
        <v>29</v>
      </c>
      <c r="D6732">
        <f>IF(AND(D6729=D6730,D6730=D6731,D6729=D6731),D6729,0)</f>
        <v>3</v>
      </c>
      <c r="E6732" t="str">
        <v>D</v>
      </c>
      <c r="F6732">
        <f>IF(AND(F6729=F6730,F6729=F6731,F6730=F6731),F6729,0)</f>
        <v>19</v>
      </c>
      <c r="L6732" t="str">
        <v>Total panjang per balok</v>
      </c>
      <c r="M6732" t="str">
        <v>=</v>
      </c>
      <c r="N6732">
        <f>IF(AND(D6729=D6730,D6729=D6731,D6730=D6731,F6729=F6730,F6729=F6731,F6730=F6731),SUM(N6729:N6731),0)</f>
        <v>4.731000000000001</v>
      </c>
      <c r="O6732" t="str">
        <v>+</v>
      </c>
      <c r="P6732">
        <f>IF(N6732&gt;12,ROUNDDOWN(N6732/12,0),0)</f>
        <v>0</v>
      </c>
      <c r="Q6732" t="str">
        <v>x</v>
      </c>
      <c r="R6732">
        <f>IF(P6732&gt;0,MAX(VLOOKUP(F6732,$D$6:$G$15,3,FALSE),600),0)/1000</f>
        <v>0</v>
      </c>
      <c r="T6732" t="str">
        <v>x</v>
      </c>
      <c r="U6732">
        <f>U6731</f>
        <v>2.225565</v>
      </c>
      <c r="V6732" t="str">
        <v>x</v>
      </c>
      <c r="W6732">
        <f>D6732</f>
        <v>3</v>
      </c>
      <c r="X6732" t="str">
        <v>x</v>
      </c>
      <c r="Y6732">
        <f>Y6731</f>
        <v>1</v>
      </c>
      <c r="Z6732" t="str">
        <v>=</v>
      </c>
      <c r="AA6732">
        <f>(N6732+P6732*R6732/1000)*U6732*W6732*Y6732</f>
        <v>31.587444045000005</v>
      </c>
    </row>
    <row r="6734">
      <c r="A6734" t="str">
        <f>A6714</f>
        <v>Lantai 2</v>
      </c>
      <c r="B6734">
        <f>B6714</f>
        <v>29</v>
      </c>
      <c r="C6734" t="str">
        <v>Sengkang Tumpuan</v>
      </c>
      <c r="D6734">
        <f>VLOOKUP(D6714,'Detail Balok'!$C$10:$AU$110,31,FALSE)</f>
        <v>0</v>
      </c>
      <c r="E6734" t="str">
        <v>D</v>
      </c>
      <c r="F6734">
        <f>VLOOKUP(D6714,'Detail Balok'!$C$10:$AU$110,33,FALSE)</f>
        <v>10</v>
      </c>
      <c r="G6734" t="str">
        <v>-</v>
      </c>
      <c r="H6734">
        <f>VLOOKUP(D6714,'Detail Balok'!$C$10:$AU$110,35,FALSE)</f>
        <v>100</v>
      </c>
      <c r="J6734">
        <f>(IF(D6734=0,(2*(D6715+G6715))-(F$5*8),IF(D6734=3,(2*(D6715+G6715))-(F$5*8)+(G6715-2*F$5),IF(D6734=4,(2*(D6715+G6715))-(F$5*8)+2*(G6715-2*F$5)))))/1000</f>
        <v>1.28</v>
      </c>
      <c r="K6734" t="str">
        <v>+</v>
      </c>
      <c r="L6734">
        <f>IF(D6734=0,2*MAX(6*F6734,75),(D6734-1)*2*MAX(6*F6734,75))/1000</f>
        <v>0.15</v>
      </c>
      <c r="M6734" t="str">
        <v>=</v>
      </c>
      <c r="N6734">
        <f>J6734+L6734</f>
        <v>1.43</v>
      </c>
      <c r="T6734" t="str">
        <v>x</v>
      </c>
      <c r="U6734">
        <f>0.006165*F6734^2</f>
        <v>0.6165</v>
      </c>
      <c r="V6734" t="str">
        <v>x</v>
      </c>
      <c r="W6734">
        <f>IF(D6717&gt;4*G6715,ROUND(MAX(D6717/4,2*G6715)/H6734,0)+1,ROUND(D6717/H6734,0)+1)</f>
        <v>13</v>
      </c>
      <c r="X6734" t="str">
        <v>x</v>
      </c>
      <c r="Y6734">
        <f>D6720</f>
        <v>1</v>
      </c>
      <c r="Z6734" t="str">
        <v>=</v>
      </c>
      <c r="AA6734">
        <f>N6734*U6734*W6734*Y6734</f>
        <v>11.460735</v>
      </c>
    </row>
    <row r="6735">
      <c r="A6735" t="str">
        <f>A6714</f>
        <v>Lantai 2</v>
      </c>
      <c r="B6735">
        <f>B6714</f>
        <v>29</v>
      </c>
      <c r="C6735" t="str">
        <v>Sengkang Lapangan</v>
      </c>
      <c r="D6735">
        <f>VLOOKUP(D6714,'Detail Balok'!$C$10:$AU$110,36,FALSE)</f>
        <v>0</v>
      </c>
      <c r="E6735" t="str">
        <v>D</v>
      </c>
      <c r="F6735">
        <f>VLOOKUP(D6714,'Detail Balok'!$C$10:$AU$110,38,FALSE)</f>
        <v>10</v>
      </c>
      <c r="G6735" t="str">
        <v>-</v>
      </c>
      <c r="H6735">
        <f>VLOOKUP(D6714,'Detail Balok'!$C$10:$AU$110,40,FALSE)</f>
        <v>200</v>
      </c>
      <c r="J6735">
        <f>(IF(D6735=0,(2*(D6715+G6715))-(F$5*8),IF(D6735=3,(2*(D6715+G6715))-(F$5*8)+(G6715-2*F$5),IF(D6735=4,(2*(D6715+G6715))-(F$5*8)+2*(G6715-2*F$5)))))/1000</f>
        <v>1.28</v>
      </c>
      <c r="K6735" t="str">
        <v>+</v>
      </c>
      <c r="L6735">
        <f>IF(D6735=0,2*MAX(6*F6735,75),(D6735-1)*2*MAX(6*F6735,75))/1000</f>
        <v>0.15</v>
      </c>
      <c r="M6735" t="str">
        <v>=</v>
      </c>
      <c r="N6735">
        <f>J6735+L6735</f>
        <v>1.43</v>
      </c>
      <c r="T6735" t="str">
        <v>x</v>
      </c>
      <c r="U6735">
        <f>0.006165*F6735^2</f>
        <v>0.6165</v>
      </c>
      <c r="V6735" t="str">
        <v>x</v>
      </c>
      <c r="W6735">
        <f>IF(D6717-MAX(D6717/4,2*G6715)*2&gt;0,ROUND((D6717-MAX(D6717/4,2*G6715)*2)/H6735,0),0)</f>
        <v>9</v>
      </c>
      <c r="X6735" t="str">
        <v>x</v>
      </c>
      <c r="Y6735">
        <f>D6720</f>
        <v>1</v>
      </c>
      <c r="Z6735" t="str">
        <v>=</v>
      </c>
      <c r="AA6735">
        <f>N6735*U6735*W6735*Y6735</f>
        <v>7.934355</v>
      </c>
    </row>
    <row r="6736">
      <c r="A6736" t="str">
        <f>A6714</f>
        <v>Lantai 2</v>
      </c>
      <c r="B6736">
        <f>B6714</f>
        <v>29</v>
      </c>
      <c r="C6736" t="str">
        <v>Sengkang Tumpuan</v>
      </c>
      <c r="D6736">
        <f>VLOOKUP(D6714,'Detail Balok'!$C$10:$AU$110,41,FALSE)</f>
        <v>0</v>
      </c>
      <c r="E6736" t="str">
        <v>D</v>
      </c>
      <c r="F6736">
        <f>VLOOKUP(D6714,'Detail Balok'!$C$10:$AU$110,43,FALSE)</f>
        <v>10</v>
      </c>
      <c r="G6736" t="str">
        <v>-</v>
      </c>
      <c r="H6736">
        <f>VLOOKUP(D6714,'Detail Balok'!$C$10:$AU$110,45,FALSE)</f>
        <v>100</v>
      </c>
      <c r="J6736">
        <f>(IF(D6736=0,(2*(D6715+G6715))-(F$5*8),IF(D6736=3,(2*(D6715+G6715))-(F$5*8)+(G6715-2*F$5),IF(D6736=4,(2*(D6715+G6715))-(F$5*8)+2*(G6715-2*F$5)))))/1000</f>
        <v>1.28</v>
      </c>
      <c r="K6736" t="str">
        <v>+</v>
      </c>
      <c r="L6736">
        <f>IF(D6736=0,2*MAX(6*F6736,75),(D6736-1)*2*MAX(6*F6736,75))/1000</f>
        <v>0.15</v>
      </c>
      <c r="M6736" t="str">
        <v>=</v>
      </c>
      <c r="N6736">
        <f>J6736+L6736</f>
        <v>1.43</v>
      </c>
      <c r="T6736" t="str">
        <v>x</v>
      </c>
      <c r="U6736">
        <f>0.006165*F6736^2</f>
        <v>0.6165</v>
      </c>
      <c r="V6736" t="str">
        <v>x</v>
      </c>
      <c r="W6736">
        <f>IF(D6717&gt;4*G6715,ROUND(MAX(D6717/4,2*G6715)/H6736,0)+1,0)</f>
        <v>13</v>
      </c>
      <c r="X6736" t="str">
        <v>x</v>
      </c>
      <c r="Y6736">
        <f>D6720</f>
        <v>1</v>
      </c>
      <c r="Z6736" t="str">
        <v>=</v>
      </c>
      <c r="AA6736">
        <f>N6736*U6736*W6736*Y6736</f>
        <v>11.460735</v>
      </c>
    </row>
    <row r="6738">
      <c r="A6738" t="str">
        <f>A6714</f>
        <v>Lantai 2</v>
      </c>
      <c r="B6738">
        <f>B6714</f>
        <v>29</v>
      </c>
      <c r="C6738" t="str">
        <v>Kait Horizontal Tump.</v>
      </c>
      <c r="D6738">
        <f>VLOOKUP(D6714,'Detail Balok'!$C$10:$BJ$110,46,FALSE)</f>
        <v>0</v>
      </c>
      <c r="E6738" t="str">
        <v>D</v>
      </c>
      <c r="F6738">
        <f>VLOOKUP(D6714,'Detail Balok'!$C$10:$BJ$110,48,FALSE)</f>
        <v>0</v>
      </c>
      <c r="G6738" t="str">
        <v>-</v>
      </c>
      <c r="H6738">
        <f>VLOOKUP(D6714,'Detail Balok'!$C$10:$BJ$110,50,FALSE)</f>
        <v>100</v>
      </c>
      <c r="J6738">
        <f>(D6715-2*F$5)/1000</f>
        <v>0.12</v>
      </c>
      <c r="K6738" t="str">
        <v>+</v>
      </c>
      <c r="L6738">
        <f>IF(D6738=0,2*MAX(6*F6738,75),(D6738-1)*2*MAX(6*F6738,75))/1000</f>
        <v>0.15</v>
      </c>
      <c r="M6738" t="str">
        <v>=</v>
      </c>
      <c r="N6738">
        <f>J6738+L6738</f>
        <v>0.27</v>
      </c>
      <c r="T6738" t="str">
        <v>x</v>
      </c>
      <c r="U6738">
        <f>0.006165*F6738^2</f>
        <v>0</v>
      </c>
      <c r="V6738" t="str">
        <v>x</v>
      </c>
      <c r="W6738">
        <f>W6734</f>
        <v>13</v>
      </c>
      <c r="X6738" t="str">
        <v>x</v>
      </c>
      <c r="Y6738">
        <f>D6724</f>
        <v>3</v>
      </c>
      <c r="Z6738" t="str">
        <v>=</v>
      </c>
      <c r="AA6738">
        <f>N6738*U6738*W6738*Y6738</f>
        <v>0</v>
      </c>
    </row>
    <row r="6739">
      <c r="A6739" t="str">
        <f>A6714</f>
        <v>Lantai 2</v>
      </c>
      <c r="B6739">
        <f>B6714</f>
        <v>29</v>
      </c>
      <c r="C6739" t="str">
        <v>Kait Horizontal Lap.</v>
      </c>
      <c r="D6739">
        <f>VLOOKUP(D6714,'Detail Balok'!$C$10:$BJ$110,51,FALSE)</f>
        <v>0</v>
      </c>
      <c r="E6739" t="str">
        <v>D</v>
      </c>
      <c r="F6739">
        <f>VLOOKUP(D6714,'Detail Balok'!$C$10:$BJ$110,53,FALSE)</f>
        <v>0</v>
      </c>
      <c r="G6739" t="str">
        <v>-</v>
      </c>
      <c r="H6739">
        <f>VLOOKUP(D6714,'Detail Balok'!$C$10:$BJ$110,55,FALSE)</f>
        <v>100</v>
      </c>
      <c r="J6739">
        <f>(D6715-2*F$5)/1000</f>
        <v>0.12</v>
      </c>
      <c r="K6739" t="str">
        <v>+</v>
      </c>
      <c r="L6739">
        <f>IF(D6739=0,2*MAX(6*F6739,75),(D6739-1)*2*MAX(6*F6739,75))/1000</f>
        <v>0.15</v>
      </c>
      <c r="M6739" t="str">
        <v>=</v>
      </c>
      <c r="N6739">
        <f>J6739+L6739</f>
        <v>0.27</v>
      </c>
      <c r="T6739" t="str">
        <v>x</v>
      </c>
      <c r="U6739">
        <f>0.006165*F6739^2</f>
        <v>0</v>
      </c>
      <c r="V6739" t="str">
        <v>x</v>
      </c>
      <c r="W6739">
        <f>W6735</f>
        <v>9</v>
      </c>
      <c r="X6739" t="str">
        <v>x</v>
      </c>
      <c r="Y6739">
        <f>D6724</f>
        <v>3</v>
      </c>
      <c r="Z6739" t="str">
        <v>=</v>
      </c>
      <c r="AA6739">
        <f>N6739*U6739*W6739*Y6739</f>
        <v>0</v>
      </c>
    </row>
    <row r="6740">
      <c r="A6740" t="str">
        <f>A6714</f>
        <v>Lantai 2</v>
      </c>
      <c r="B6740">
        <f>B6714</f>
        <v>29</v>
      </c>
      <c r="C6740" t="str">
        <v>Kait Horizontal Tump.</v>
      </c>
      <c r="D6740">
        <f>VLOOKUP(D6714,'Detail Balok'!$C$10:$BJ$110,56,FALSE)</f>
        <v>0</v>
      </c>
      <c r="E6740" t="str">
        <v>D</v>
      </c>
      <c r="F6740">
        <f>VLOOKUP(D6714,'Detail Balok'!$C$10:$BJ$110,58,FALSE)</f>
        <v>0</v>
      </c>
      <c r="G6740" t="str">
        <v>-</v>
      </c>
      <c r="H6740">
        <f>VLOOKUP(D6714,'Detail Balok'!$C$10:$BJ$110,60,FALSE)</f>
        <v>100</v>
      </c>
      <c r="J6740">
        <f>(D6715-2*F$5)/1000</f>
        <v>0.12</v>
      </c>
      <c r="K6740" t="str">
        <v>+</v>
      </c>
      <c r="L6740">
        <f>IF(D6740=0,2*MAX(6*F6740,75),(D6740-1)*2*MAX(6*F6740,75))/1000</f>
        <v>0.15</v>
      </c>
      <c r="M6740" t="str">
        <v>=</v>
      </c>
      <c r="N6740">
        <f>J6740+L6740</f>
        <v>0.27</v>
      </c>
      <c r="T6740" t="str">
        <v>x</v>
      </c>
      <c r="U6740">
        <f>0.006165*F6740^2</f>
        <v>0</v>
      </c>
      <c r="V6740" t="str">
        <v>x</v>
      </c>
      <c r="W6740">
        <f>W6736</f>
        <v>13</v>
      </c>
      <c r="X6740" t="str">
        <v>x</v>
      </c>
      <c r="Y6740">
        <f>D6724</f>
        <v>3</v>
      </c>
      <c r="Z6740" t="str">
        <v>=</v>
      </c>
      <c r="AA6740">
        <f>N6740*U6740*W6740*Y6740</f>
        <v>0</v>
      </c>
    </row>
    <row r="6744">
      <c r="A6744" t="str">
        <f>A6714</f>
        <v>Lantai 2</v>
      </c>
      <c r="B6744">
        <f>B6714+1</f>
        <v>30</v>
      </c>
      <c r="C6744" t="str">
        <f>CONCATENATE(A6744," no. ",B6744)</f>
        <v>Lantai 2 no. 30</v>
      </c>
      <c r="D6744" t="str">
        <f>VLOOKUP(C6744,'Data Panjang Balok'!$C$9:$N$424,2,FALSE)</f>
        <v>B26-4</v>
      </c>
    </row>
    <row r="6745">
      <c r="C6745" t="str">
        <v>Dimensi</v>
      </c>
      <c r="D6745">
        <f>VLOOKUP(D6744,'Detail Balok'!$C$10:$AU$110,2,FALSE)</f>
        <v>200</v>
      </c>
      <c r="F6745" t="str">
        <v>x</v>
      </c>
      <c r="G6745">
        <f>VLOOKUP(D6744,'Detail Balok'!$C$10:$AU$110,3,FALSE)</f>
        <v>600</v>
      </c>
    </row>
    <row r="6746">
      <c r="C6746" t="str">
        <v>Panjang as ke as</v>
      </c>
      <c r="D6746">
        <f>VLOOKUP(C6744,'Data Panjang Balok'!$C$9:$N$424,4,FALSE)</f>
        <v>2725</v>
      </c>
    </row>
    <row r="6747">
      <c r="C6747" t="str">
        <v>Panjang netto</v>
      </c>
      <c r="D6747">
        <f>VLOOKUP(C6744,'Data Panjang Balok'!$C$9:$N$424,7,FALSE)</f>
        <v>2725</v>
      </c>
    </row>
    <row r="6748">
      <c r="C6748" t="str">
        <v>Kolom / balok kiri</v>
      </c>
      <c r="D6748">
        <f>VLOOKUP(C6744,'Data Panjang Balok'!$C$9:$N$424,9,FALSE)</f>
        <v>0</v>
      </c>
    </row>
    <row r="6749">
      <c r="C6749" t="str">
        <v>Kolom / balok kanan</v>
      </c>
      <c r="D6749">
        <f>VLOOKUP(C6744,'Data Panjang Balok'!$C$9:$N$424,10,FALSE)</f>
        <v>0</v>
      </c>
    </row>
    <row r="6750">
      <c r="C6750" t="str">
        <v>Jumlah</v>
      </c>
      <c r="D6750">
        <f>VLOOKUP(C6744,'Data Panjang Balok'!$C$9:$N$424,3,FALSE)</f>
        <v>1</v>
      </c>
    </row>
    <row r="6751">
      <c r="A6751" t="str">
        <f>A6744</f>
        <v>Lantai 2</v>
      </c>
      <c r="B6751">
        <f>B6744</f>
        <v>30</v>
      </c>
      <c r="C6751" t="str">
        <v>Tul Atas Tumpuan</v>
      </c>
      <c r="D6751">
        <f>VLOOKUP(D6744,'Detail Balok'!$C$10:$AU$110,4,FALSE)</f>
        <v>3</v>
      </c>
      <c r="E6751" t="str">
        <v>D</v>
      </c>
      <c r="F6751">
        <f>VLOOKUP(D6744,'Detail Balok'!$C$10:$AU$110,6,FALSE)</f>
        <v>19</v>
      </c>
      <c r="I6751" t="str">
        <v>(</v>
      </c>
      <c r="J6751">
        <f>+D6746/4/1000</f>
        <v>0.68125</v>
      </c>
      <c r="K6751" t="str">
        <v>+</v>
      </c>
      <c r="L6751">
        <f>MAX(VLOOKUP(F6751,N$6:P$15,3,FALSE)/1000,2/3*D6748/1000)+F$16*F6751/1000</f>
        <v>0.228</v>
      </c>
      <c r="M6751" t="str">
        <v>=</v>
      </c>
      <c r="N6751">
        <f>J6751+L6751</f>
        <v>0.90925</v>
      </c>
      <c r="O6751" t="str">
        <v>+</v>
      </c>
      <c r="P6751">
        <f>D6751-D6752</f>
        <v>0</v>
      </c>
      <c r="Q6751" t="str">
        <v>x</v>
      </c>
      <c r="R6751">
        <f>IF(P6751&gt;0,$F$18*F6751/1000,0)</f>
        <v>0</v>
      </c>
      <c r="S6751" t="str">
        <v>)</v>
      </c>
      <c r="T6751" t="str">
        <v>x</v>
      </c>
      <c r="U6751">
        <f>0.006165*F6751^2</f>
        <v>2.225565</v>
      </c>
      <c r="X6751" t="str">
        <v>x</v>
      </c>
      <c r="Y6751">
        <f>D6750</f>
        <v>1</v>
      </c>
      <c r="Z6751" t="str">
        <v>=</v>
      </c>
      <c r="AA6751">
        <f>IF(AA6754=0,(D6751*N6751+P6751*R6751)*U6751*Y6751,0)</f>
        <v>0</v>
      </c>
    </row>
    <row r="6752">
      <c r="A6752" t="str">
        <f>A6744</f>
        <v>Lantai 2</v>
      </c>
      <c r="B6752">
        <f>B6744</f>
        <v>30</v>
      </c>
      <c r="C6752" t="str">
        <v>Tul Atas Lapangan</v>
      </c>
      <c r="D6752">
        <f>VLOOKUP(D6744,'Detail Balok'!$C$10:$AU$110,7,FALSE)</f>
        <v>3</v>
      </c>
      <c r="E6752" t="str">
        <v>D</v>
      </c>
      <c r="F6752">
        <f>VLOOKUP(D6744,'Detail Balok'!$C$10:$AU$110,9,FALSE)</f>
        <v>19</v>
      </c>
      <c r="I6752" t="str">
        <v>(</v>
      </c>
      <c r="J6752">
        <f>+D6746/2/1000</f>
        <v>1.3625</v>
      </c>
      <c r="K6752" t="str">
        <v>+</v>
      </c>
      <c r="M6752" t="str">
        <v>=</v>
      </c>
      <c r="N6752">
        <f>J6752+L6752</f>
        <v>1.3625</v>
      </c>
      <c r="O6752" t="str">
        <v>+</v>
      </c>
      <c r="P6752">
        <f>MAX(D6752-D6751,D6752-D6753)</f>
        <v>0</v>
      </c>
      <c r="Q6752" t="str">
        <v>x</v>
      </c>
      <c r="R6752">
        <f>IF(P6752&gt;0,2*(1-2*$F$19-1/2)*D6747/1000,0)</f>
        <v>0</v>
      </c>
      <c r="S6752" t="str">
        <v>)</v>
      </c>
      <c r="T6752" t="str">
        <v>x</v>
      </c>
      <c r="U6752">
        <f>0.006165*F6752^2</f>
        <v>2.225565</v>
      </c>
      <c r="X6752" t="str">
        <v>x</v>
      </c>
      <c r="Y6752">
        <f>D6750</f>
        <v>1</v>
      </c>
      <c r="Z6752" t="str">
        <v>=</v>
      </c>
      <c r="AA6752">
        <f>IF(AA6754=0,(D6752*N6752+P6752*R6752)*U6752*Y6752,0)</f>
        <v>0</v>
      </c>
    </row>
    <row r="6753">
      <c r="A6753" t="str">
        <f>A6744</f>
        <v>Lantai 2</v>
      </c>
      <c r="B6753">
        <f>B6744</f>
        <v>30</v>
      </c>
      <c r="C6753" t="str">
        <v>Tul Atas Tumpuan</v>
      </c>
      <c r="D6753">
        <f>VLOOKUP(D6744,'Detail Balok'!$C$10:$AU$110,10,FALSE)</f>
        <v>3</v>
      </c>
      <c r="E6753" t="str">
        <v>D</v>
      </c>
      <c r="F6753">
        <f>VLOOKUP(D6744,'Detail Balok'!$C$10:$AU$110,12,FALSE)</f>
        <v>19</v>
      </c>
      <c r="I6753" t="str">
        <v>(</v>
      </c>
      <c r="J6753">
        <f>+D6746/4/1000</f>
        <v>0.68125</v>
      </c>
      <c r="K6753" t="str">
        <v>+</v>
      </c>
      <c r="L6753">
        <f>MAX(VLOOKUP(F6753,N$6:P$15,3,FALSE)/1000,2/3*D6748/1000)+F$16*F6753/1000</f>
        <v>0.228</v>
      </c>
      <c r="M6753" t="str">
        <v>=</v>
      </c>
      <c r="N6753">
        <f>J6753+L6753</f>
        <v>0.90925</v>
      </c>
      <c r="O6753" t="str">
        <v>+</v>
      </c>
      <c r="P6753">
        <f>D6753-D6752</f>
        <v>0</v>
      </c>
      <c r="Q6753" t="str">
        <v>x</v>
      </c>
      <c r="R6753">
        <f>IF(P6753&gt;0,$F$18*F6753/1000,0)</f>
        <v>0</v>
      </c>
      <c r="S6753" t="str">
        <v>)</v>
      </c>
      <c r="T6753" t="str">
        <v>x</v>
      </c>
      <c r="U6753">
        <f>0.006165*F6753^2</f>
        <v>2.225565</v>
      </c>
      <c r="X6753" t="str">
        <v>x</v>
      </c>
      <c r="Y6753">
        <f>D6750</f>
        <v>1</v>
      </c>
      <c r="Z6753" t="str">
        <v>=</v>
      </c>
      <c r="AA6753">
        <f>IF(AA6754=0,(D6753*N6753+P6753*R6753)*U6753*Y6753,0)</f>
        <v>0</v>
      </c>
    </row>
    <row r="6754">
      <c r="A6754" t="str">
        <f>A6744</f>
        <v>Lantai 2</v>
      </c>
      <c r="B6754">
        <f>B6744</f>
        <v>30</v>
      </c>
      <c r="D6754">
        <f>IF(AND(D6751=D6752,D6752=D6753,D6751=D6753),D6751,0)</f>
        <v>3</v>
      </c>
      <c r="E6754" t="str">
        <v>D</v>
      </c>
      <c r="F6754">
        <f>IF(AND(F6751=F6752,F6751=F6753,F6752=F6753),F6751,0)</f>
        <v>19</v>
      </c>
      <c r="L6754" t="str">
        <v>Total panjang per balok</v>
      </c>
      <c r="M6754" t="str">
        <v>=</v>
      </c>
      <c r="N6754">
        <f>IF(AND(D6751=D6752,D6751=D6753,D6752=D6753,F6751=F6752,F6751=F6753,F6752=F6753),SUM(N6751:N6753),0)</f>
        <v>3.181</v>
      </c>
      <c r="O6754" t="str">
        <v>+</v>
      </c>
      <c r="P6754">
        <f>IF(N6754&gt;12,ROUNDDOWN(N6754/12,0),0)</f>
        <v>0</v>
      </c>
      <c r="Q6754" t="str">
        <v>x</v>
      </c>
      <c r="R6754">
        <f>IF(P6754&gt;0,MAX(VLOOKUP(F6754,$D$6:$G$15,3,FALSE),600),0)/1000</f>
        <v>0</v>
      </c>
      <c r="T6754" t="str">
        <v>x</v>
      </c>
      <c r="U6754">
        <f>U6753</f>
        <v>2.225565</v>
      </c>
      <c r="V6754" t="str">
        <v>x</v>
      </c>
      <c r="W6754">
        <f>D6754</f>
        <v>3</v>
      </c>
      <c r="X6754" t="str">
        <v>x</v>
      </c>
      <c r="Y6754">
        <f>Y6753</f>
        <v>1</v>
      </c>
      <c r="Z6754" t="str">
        <v>=</v>
      </c>
      <c r="AA6754">
        <f>(N6754+P6754*R6754/1000)*U6754*W6754*Y6754</f>
        <v>21.238566795</v>
      </c>
    </row>
    <row r="6756">
      <c r="A6756" t="str">
        <f>A6744</f>
        <v>Lantai 2</v>
      </c>
      <c r="B6756">
        <f>B6744</f>
        <v>30</v>
      </c>
      <c r="C6756" t="str">
        <v>Tul Peminggang</v>
      </c>
      <c r="D6756">
        <f>VLOOKUP(D6744,'Detail Balok'!$C$10:$AU$110,13,FALSE)</f>
        <v>2</v>
      </c>
      <c r="E6756" t="str">
        <v>D</v>
      </c>
      <c r="F6756">
        <f>VLOOKUP(D6744,'Detail Balok'!$C$10:$AU$110,15,FALSE)</f>
        <v>10</v>
      </c>
      <c r="J6756">
        <f>+D6746/1000</f>
        <v>2.725</v>
      </c>
      <c r="K6756" t="str">
        <v>+</v>
      </c>
      <c r="L6756">
        <f>2*$F$16*F6756/1000</f>
        <v>0.24</v>
      </c>
      <c r="M6756" t="str">
        <v>=</v>
      </c>
      <c r="N6756">
        <f>J6756+L6756</f>
        <v>2.965</v>
      </c>
      <c r="O6756" t="str">
        <v>+</v>
      </c>
      <c r="P6756">
        <f>IF(N6756&gt;12,ROUNDDOWN(N6756/12,0),0)</f>
        <v>0</v>
      </c>
      <c r="Q6756" t="str">
        <v>x</v>
      </c>
      <c r="R6756">
        <f>IF(P6756&gt;0,MAX(VLOOKUP(F6756,$D$6:$G$15,3,FALSE),600),0)/1000</f>
        <v>0</v>
      </c>
      <c r="T6756" t="str">
        <v>x</v>
      </c>
      <c r="U6756">
        <f>0.006165*F6756^2</f>
        <v>0.6165</v>
      </c>
      <c r="V6756" t="str">
        <v>x</v>
      </c>
      <c r="W6756">
        <f>+D6756</f>
        <v>2</v>
      </c>
      <c r="X6756" t="str">
        <v>x</v>
      </c>
      <c r="Y6756">
        <f>D6750</f>
        <v>1</v>
      </c>
      <c r="Z6756" t="str">
        <v>=</v>
      </c>
      <c r="AA6756">
        <f>(N6756+P6756*R6756/1000)*U6756*W6756*Y6756</f>
        <v>3.6558450000000002</v>
      </c>
    </row>
    <row r="6759">
      <c r="A6759" t="str">
        <f>A6744</f>
        <v>Lantai 2</v>
      </c>
      <c r="B6759">
        <f>B6744</f>
        <v>30</v>
      </c>
      <c r="C6759" t="str">
        <v>Tul Bawah Tumpuan</v>
      </c>
      <c r="D6759">
        <f>VLOOKUP(D6744,'Detail Balok'!$C$10:$AU$110,22,FALSE)</f>
        <v>6</v>
      </c>
      <c r="E6759" t="str">
        <v>D</v>
      </c>
      <c r="F6759">
        <f>VLOOKUP(D6744,'Detail Balok'!$C$10:$AU$110,24,FALSE)</f>
        <v>19</v>
      </c>
      <c r="I6759" t="str">
        <v>(</v>
      </c>
      <c r="J6759">
        <f>+J6751</f>
        <v>0.68125</v>
      </c>
      <c r="K6759" t="str">
        <v>+</v>
      </c>
      <c r="L6759">
        <f>MAX(VLOOKUP(F6759,N$6:P$15,3,FALSE)/1000,2/3*D6749/1000)+F$16*F6759/1000</f>
        <v>0.228</v>
      </c>
      <c r="M6759" t="str">
        <v>=</v>
      </c>
      <c r="N6759">
        <f>J6759+L6759</f>
        <v>0.90925</v>
      </c>
      <c r="O6759" t="str">
        <v>+</v>
      </c>
      <c r="P6759">
        <f>D6759-D6760</f>
        <v>0</v>
      </c>
      <c r="Q6759" t="str">
        <v>x</v>
      </c>
      <c r="R6759">
        <f>IF(P6759&gt;0,$F$18*F6759/1000,0)</f>
        <v>0</v>
      </c>
      <c r="S6759" t="str">
        <v>)</v>
      </c>
      <c r="T6759" t="str">
        <v>x</v>
      </c>
      <c r="U6759">
        <f>0.006165*F6759^2</f>
        <v>2.225565</v>
      </c>
      <c r="X6759" t="str">
        <v>x</v>
      </c>
      <c r="Y6759">
        <f>D6750</f>
        <v>1</v>
      </c>
      <c r="Z6759" t="str">
        <v>=</v>
      </c>
      <c r="AA6759">
        <f>IF(AA6762=0,(D6759*N6759+P6759*R6759)*U6759*Y6759,0)</f>
        <v>0</v>
      </c>
    </row>
    <row r="6760">
      <c r="A6760" t="str">
        <f>A6744</f>
        <v>Lantai 2</v>
      </c>
      <c r="B6760">
        <f>B6744</f>
        <v>30</v>
      </c>
      <c r="C6760" t="str">
        <v>Tul Bawah Lapangan</v>
      </c>
      <c r="D6760">
        <f>VLOOKUP(D6744,'Detail Balok'!$C$10:$AU$110,25,FALSE)</f>
        <v>6</v>
      </c>
      <c r="E6760" t="str">
        <v>D</v>
      </c>
      <c r="F6760">
        <f>VLOOKUP(D6744,'Detail Balok'!$C$10:$AU$110,27,FALSE)</f>
        <v>19</v>
      </c>
      <c r="I6760" t="str">
        <v>(</v>
      </c>
      <c r="J6760">
        <f>+J6752</f>
        <v>1.3625</v>
      </c>
      <c r="K6760" t="str">
        <v>+</v>
      </c>
      <c r="M6760" t="str">
        <v>=</v>
      </c>
      <c r="N6760">
        <f>J6760+L6760</f>
        <v>1.3625</v>
      </c>
      <c r="O6760" t="str">
        <v>+</v>
      </c>
      <c r="P6760">
        <f>MAX(D6760-D6759,D6760-D6761)</f>
        <v>0</v>
      </c>
      <c r="Q6760" t="str">
        <v>x</v>
      </c>
      <c r="R6760">
        <f>IF(P6760&gt;0,2*(1-2*$F$19-1/2)*D6747/1000,0)</f>
        <v>0</v>
      </c>
      <c r="S6760" t="str">
        <v>)</v>
      </c>
      <c r="T6760" t="str">
        <v>x</v>
      </c>
      <c r="U6760">
        <f>0.006165*F6760^2</f>
        <v>2.225565</v>
      </c>
      <c r="X6760" t="str">
        <v>x</v>
      </c>
      <c r="Y6760">
        <f>D6750</f>
        <v>1</v>
      </c>
      <c r="Z6760" t="str">
        <v>=</v>
      </c>
      <c r="AA6760">
        <f>IF(AA6762=0,(D6760*N6760+P6760*R6760)*U6760*Y6760,0)</f>
        <v>0</v>
      </c>
    </row>
    <row r="6761">
      <c r="A6761" t="str">
        <f>A6744</f>
        <v>Lantai 2</v>
      </c>
      <c r="B6761">
        <f>B6744</f>
        <v>30</v>
      </c>
      <c r="C6761" t="str">
        <v>Tul Bawah Tumpuan</v>
      </c>
      <c r="D6761">
        <f>VLOOKUP(D6744,'Detail Balok'!$C$10:$AU$110,28,FALSE)</f>
        <v>6</v>
      </c>
      <c r="E6761" t="str">
        <v>D</v>
      </c>
      <c r="F6761">
        <f>VLOOKUP(D6744,'Detail Balok'!$C$10:$AU$110,30,FALSE)</f>
        <v>19</v>
      </c>
      <c r="I6761" t="str">
        <v>(</v>
      </c>
      <c r="J6761">
        <f>+J6753</f>
        <v>0.68125</v>
      </c>
      <c r="K6761" t="str">
        <v>+</v>
      </c>
      <c r="L6761">
        <f>MAX(VLOOKUP(F6761,N$6:P$15,3,FALSE)/1000,2/3*D6749/1000)+F$16*F6761/1000</f>
        <v>0.228</v>
      </c>
      <c r="M6761" t="str">
        <v>=</v>
      </c>
      <c r="N6761">
        <f>J6761+L6761</f>
        <v>0.90925</v>
      </c>
      <c r="O6761" t="str">
        <v>+</v>
      </c>
      <c r="P6761">
        <f>D6761-D6760</f>
        <v>0</v>
      </c>
      <c r="Q6761" t="str">
        <v>x</v>
      </c>
      <c r="R6761">
        <f>IF(P6761&gt;0,$F$18*F6761/1000,0)</f>
        <v>0</v>
      </c>
      <c r="S6761" t="str">
        <v>)</v>
      </c>
      <c r="T6761" t="str">
        <v>x</v>
      </c>
      <c r="U6761">
        <f>0.006165*F6761^2</f>
        <v>2.225565</v>
      </c>
      <c r="X6761" t="str">
        <v>x</v>
      </c>
      <c r="Y6761">
        <f>D6750</f>
        <v>1</v>
      </c>
      <c r="Z6761" t="str">
        <v>=</v>
      </c>
      <c r="AA6761">
        <f>IF(AA6762=0,(D6761*N6761+P6761*R6761)*U6761*Y6761,0)</f>
        <v>0</v>
      </c>
    </row>
    <row r="6762">
      <c r="A6762" t="str">
        <f>A6744</f>
        <v>Lantai 2</v>
      </c>
      <c r="B6762">
        <f>B6744</f>
        <v>30</v>
      </c>
      <c r="D6762">
        <f>IF(AND(D6759=D6760,D6760=D6761,D6759=D6761),D6759,0)</f>
        <v>6</v>
      </c>
      <c r="E6762" t="str">
        <v>D</v>
      </c>
      <c r="F6762">
        <f>IF(AND(F6759=F6760,F6759=F6761,F6760=F6761),F6759,0)</f>
        <v>19</v>
      </c>
      <c r="L6762" t="str">
        <v>Total panjang per balok</v>
      </c>
      <c r="M6762" t="str">
        <v>=</v>
      </c>
      <c r="N6762">
        <f>IF(AND(D6759=D6760,D6759=D6761,D6760=D6761,F6759=F6760,F6759=F6761,F6760=F6761),SUM(N6759:N6761),0)</f>
        <v>3.181</v>
      </c>
      <c r="O6762" t="str">
        <v>+</v>
      </c>
      <c r="P6762">
        <f>IF(N6762&gt;12,ROUNDDOWN(N6762/12,0),0)</f>
        <v>0</v>
      </c>
      <c r="Q6762" t="str">
        <v>x</v>
      </c>
      <c r="R6762">
        <f>IF(P6762&gt;0,MAX(VLOOKUP(F6762,$D$6:$G$15,3,FALSE),600),0)/1000</f>
        <v>0</v>
      </c>
      <c r="T6762" t="str">
        <v>x</v>
      </c>
      <c r="U6762">
        <f>U6761</f>
        <v>2.225565</v>
      </c>
      <c r="V6762" t="str">
        <v>x</v>
      </c>
      <c r="W6762">
        <f>D6762</f>
        <v>6</v>
      </c>
      <c r="X6762" t="str">
        <v>x</v>
      </c>
      <c r="Y6762">
        <f>Y6761</f>
        <v>1</v>
      </c>
      <c r="Z6762" t="str">
        <v>=</v>
      </c>
      <c r="AA6762">
        <f>(N6762+P6762*R6762/1000)*U6762*W6762*Y6762</f>
        <v>42.47713359</v>
      </c>
    </row>
    <row r="6764">
      <c r="A6764" t="str">
        <f>A6744</f>
        <v>Lantai 2</v>
      </c>
      <c r="B6764">
        <f>B6744</f>
        <v>30</v>
      </c>
      <c r="C6764" t="str">
        <v>Sengkang Tumpuan</v>
      </c>
      <c r="D6764">
        <f>VLOOKUP(D6744,'Detail Balok'!$C$10:$AU$110,31,FALSE)</f>
        <v>3</v>
      </c>
      <c r="E6764" t="str">
        <v>D</v>
      </c>
      <c r="F6764">
        <f>VLOOKUP(D6744,'Detail Balok'!$C$10:$AU$110,33,FALSE)</f>
        <v>10</v>
      </c>
      <c r="G6764" t="str">
        <v>-</v>
      </c>
      <c r="H6764">
        <f>VLOOKUP(D6744,'Detail Balok'!$C$10:$AU$110,35,FALSE)</f>
        <v>80</v>
      </c>
      <c r="J6764">
        <f>(IF(D6764=0,(2*(D6745+G6745))-(F$5*8),IF(D6764=3,(2*(D6745+G6745))-(F$5*8)+(G6745-2*F$5),IF(D6764=4,(2*(D6745+G6745))-(F$5*8)+2*(G6745-2*F$5)))))/1000</f>
        <v>1.8</v>
      </c>
      <c r="K6764" t="str">
        <v>+</v>
      </c>
      <c r="L6764">
        <f>IF(D6764=0,2*MAX(6*F6764,75),(D6764-1)*2*MAX(6*F6764,75))/1000</f>
        <v>0.3</v>
      </c>
      <c r="M6764" t="str">
        <v>=</v>
      </c>
      <c r="N6764">
        <f>J6764+L6764</f>
        <v>2.1</v>
      </c>
      <c r="T6764" t="str">
        <v>x</v>
      </c>
      <c r="U6764">
        <f>0.006165*F6764^2</f>
        <v>0.6165</v>
      </c>
      <c r="V6764" t="str">
        <v>x</v>
      </c>
      <c r="W6764">
        <f>IF(D6747&gt;4*G6745,ROUND(MAX(D6747/4,2*G6745)/H6764,0)+1,ROUND(D6747/H6764,0)+1)</f>
        <v>16</v>
      </c>
      <c r="X6764" t="str">
        <v>x</v>
      </c>
      <c r="Y6764">
        <f>D6750</f>
        <v>1</v>
      </c>
      <c r="Z6764" t="str">
        <v>=</v>
      </c>
      <c r="AA6764">
        <f>N6764*U6764*W6764*Y6764</f>
        <v>20.7144</v>
      </c>
    </row>
    <row r="6765">
      <c r="A6765" t="str">
        <f>A6744</f>
        <v>Lantai 2</v>
      </c>
      <c r="B6765">
        <f>B6744</f>
        <v>30</v>
      </c>
      <c r="C6765" t="str">
        <v>Sengkang Lapangan</v>
      </c>
      <c r="D6765">
        <f>VLOOKUP(D6744,'Detail Balok'!$C$10:$AU$110,36,FALSE)</f>
        <v>0</v>
      </c>
      <c r="E6765" t="str">
        <v>D</v>
      </c>
      <c r="F6765">
        <f>VLOOKUP(D6744,'Detail Balok'!$C$10:$AU$110,38,FALSE)</f>
        <v>10</v>
      </c>
      <c r="G6765" t="str">
        <v>-</v>
      </c>
      <c r="H6765">
        <f>VLOOKUP(D6744,'Detail Balok'!$C$10:$AU$110,40,FALSE)</f>
        <v>150</v>
      </c>
      <c r="J6765">
        <f>(IF(D6765=0,(2*(D6745+G6745))-(F$5*8),IF(D6765=3,(2*(D6745+G6745))-(F$5*8)+(G6745-2*F$5),IF(D6765=4,(2*(D6745+G6745))-(F$5*8)+2*(G6745-2*F$5)))))/1000</f>
        <v>1.28</v>
      </c>
      <c r="K6765" t="str">
        <v>+</v>
      </c>
      <c r="L6765">
        <f>IF(D6765=0,2*MAX(6*F6765,75),(D6765-1)*2*MAX(6*F6765,75))/1000</f>
        <v>0.15</v>
      </c>
      <c r="M6765" t="str">
        <v>=</v>
      </c>
      <c r="N6765">
        <f>J6765+L6765</f>
        <v>1.43</v>
      </c>
      <c r="T6765" t="str">
        <v>x</v>
      </c>
      <c r="U6765">
        <f>0.006165*F6765^2</f>
        <v>0.6165</v>
      </c>
      <c r="V6765" t="str">
        <v>x</v>
      </c>
      <c r="W6765">
        <f>IF(D6747-MAX(D6747/4,2*G6745)*2&gt;0,ROUND((D6747-MAX(D6747/4,2*G6745)*2)/H6765,0),0)</f>
        <v>2</v>
      </c>
      <c r="X6765" t="str">
        <v>x</v>
      </c>
      <c r="Y6765">
        <f>D6750</f>
        <v>1</v>
      </c>
      <c r="Z6765" t="str">
        <v>=</v>
      </c>
      <c r="AA6765">
        <f>N6765*U6765*W6765*Y6765</f>
        <v>1.76319</v>
      </c>
    </row>
    <row r="6766">
      <c r="A6766" t="str">
        <f>A6744</f>
        <v>Lantai 2</v>
      </c>
      <c r="B6766">
        <f>B6744</f>
        <v>30</v>
      </c>
      <c r="C6766" t="str">
        <v>Sengkang Tumpuan</v>
      </c>
      <c r="D6766">
        <f>VLOOKUP(D6744,'Detail Balok'!$C$10:$AU$110,41,FALSE)</f>
        <v>3</v>
      </c>
      <c r="E6766" t="str">
        <v>D</v>
      </c>
      <c r="F6766">
        <f>VLOOKUP(D6744,'Detail Balok'!$C$10:$AU$110,43,FALSE)</f>
        <v>10</v>
      </c>
      <c r="G6766" t="str">
        <v>-</v>
      </c>
      <c r="H6766">
        <f>VLOOKUP(D6744,'Detail Balok'!$C$10:$AU$110,45,FALSE)</f>
        <v>80</v>
      </c>
      <c r="J6766">
        <f>(IF(D6766=0,(2*(D6745+G6745))-(F$5*8),IF(D6766=3,(2*(D6745+G6745))-(F$5*8)+(G6745-2*F$5),IF(D6766=4,(2*(D6745+G6745))-(F$5*8)+2*(G6745-2*F$5)))))/1000</f>
        <v>1.8</v>
      </c>
      <c r="K6766" t="str">
        <v>+</v>
      </c>
      <c r="L6766">
        <f>IF(D6766=0,2*MAX(6*F6766,75),(D6766-1)*2*MAX(6*F6766,75))/1000</f>
        <v>0.3</v>
      </c>
      <c r="M6766" t="str">
        <v>=</v>
      </c>
      <c r="N6766">
        <f>J6766+L6766</f>
        <v>2.1</v>
      </c>
      <c r="T6766" t="str">
        <v>x</v>
      </c>
      <c r="U6766">
        <f>0.006165*F6766^2</f>
        <v>0.6165</v>
      </c>
      <c r="V6766" t="str">
        <v>x</v>
      </c>
      <c r="W6766">
        <f>IF(D6747&gt;4*G6745,ROUND(MAX(D6747/4,2*G6745)/H6766,0)+1,0)</f>
        <v>16</v>
      </c>
      <c r="X6766" t="str">
        <v>x</v>
      </c>
      <c r="Y6766">
        <f>D6750</f>
        <v>1</v>
      </c>
      <c r="Z6766" t="str">
        <v>=</v>
      </c>
      <c r="AA6766">
        <f>N6766*U6766*W6766*Y6766</f>
        <v>20.7144</v>
      </c>
    </row>
    <row r="6768">
      <c r="A6768" t="str">
        <f>A6744</f>
        <v>Lantai 2</v>
      </c>
      <c r="B6768">
        <f>B6744</f>
        <v>30</v>
      </c>
      <c r="C6768" t="str">
        <v>Kait Horizontal Tump.</v>
      </c>
      <c r="D6768">
        <f>VLOOKUP(D6744,'Detail Balok'!$C$10:$BJ$110,46,FALSE)</f>
        <v>0</v>
      </c>
      <c r="E6768" t="str">
        <v>D</v>
      </c>
      <c r="F6768">
        <f>VLOOKUP(D6744,'Detail Balok'!$C$10:$BJ$110,48,FALSE)</f>
        <v>0</v>
      </c>
      <c r="G6768" t="str">
        <v>-</v>
      </c>
      <c r="H6768">
        <f>VLOOKUP(D6744,'Detail Balok'!$C$10:$BJ$110,50,FALSE)</f>
        <v>100</v>
      </c>
      <c r="J6768">
        <f>(D6745-2*F$5)/1000</f>
        <v>0.12</v>
      </c>
      <c r="K6768" t="str">
        <v>+</v>
      </c>
      <c r="L6768">
        <f>IF(D6768=0,2*MAX(6*F6768,75),(D6768-1)*2*MAX(6*F6768,75))/1000</f>
        <v>0.15</v>
      </c>
      <c r="M6768" t="str">
        <v>=</v>
      </c>
      <c r="N6768">
        <f>J6768+L6768</f>
        <v>0.27</v>
      </c>
      <c r="T6768" t="str">
        <v>x</v>
      </c>
      <c r="U6768">
        <f>0.006165*F6768^2</f>
        <v>0</v>
      </c>
      <c r="V6768" t="str">
        <v>x</v>
      </c>
      <c r="W6768">
        <f>W6764</f>
        <v>16</v>
      </c>
      <c r="X6768" t="str">
        <v>x</v>
      </c>
      <c r="Y6768">
        <f>D6754</f>
        <v>3</v>
      </c>
      <c r="Z6768" t="str">
        <v>=</v>
      </c>
      <c r="AA6768">
        <f>N6768*U6768*W6768*Y6768</f>
        <v>0</v>
      </c>
    </row>
    <row r="6769">
      <c r="A6769" t="str">
        <f>A6744</f>
        <v>Lantai 2</v>
      </c>
      <c r="B6769">
        <f>B6744</f>
        <v>30</v>
      </c>
      <c r="C6769" t="str">
        <v>Kait Horizontal Lap.</v>
      </c>
      <c r="D6769">
        <f>VLOOKUP(D6744,'Detail Balok'!$C$10:$BJ$110,51,FALSE)</f>
        <v>0</v>
      </c>
      <c r="E6769" t="str">
        <v>D</v>
      </c>
      <c r="F6769">
        <f>VLOOKUP(D6744,'Detail Balok'!$C$10:$BJ$110,53,FALSE)</f>
        <v>0</v>
      </c>
      <c r="G6769" t="str">
        <v>-</v>
      </c>
      <c r="H6769">
        <f>VLOOKUP(D6744,'Detail Balok'!$C$10:$BJ$110,55,FALSE)</f>
        <v>100</v>
      </c>
      <c r="J6769">
        <f>(D6745-2*F$5)/1000</f>
        <v>0.12</v>
      </c>
      <c r="K6769" t="str">
        <v>+</v>
      </c>
      <c r="L6769">
        <f>IF(D6769=0,2*MAX(6*F6769,75),(D6769-1)*2*MAX(6*F6769,75))/1000</f>
        <v>0.15</v>
      </c>
      <c r="M6769" t="str">
        <v>=</v>
      </c>
      <c r="N6769">
        <f>J6769+L6769</f>
        <v>0.27</v>
      </c>
      <c r="T6769" t="str">
        <v>x</v>
      </c>
      <c r="U6769">
        <f>0.006165*F6769^2</f>
        <v>0</v>
      </c>
      <c r="V6769" t="str">
        <v>x</v>
      </c>
      <c r="W6769">
        <f>W6765</f>
        <v>2</v>
      </c>
      <c r="X6769" t="str">
        <v>x</v>
      </c>
      <c r="Y6769">
        <f>D6754</f>
        <v>3</v>
      </c>
      <c r="Z6769" t="str">
        <v>=</v>
      </c>
      <c r="AA6769">
        <f>N6769*U6769*W6769*Y6769</f>
        <v>0</v>
      </c>
    </row>
    <row r="6770">
      <c r="A6770" t="str">
        <f>A6744</f>
        <v>Lantai 2</v>
      </c>
      <c r="B6770">
        <f>B6744</f>
        <v>30</v>
      </c>
      <c r="C6770" t="str">
        <v>Kait Horizontal Tump.</v>
      </c>
      <c r="D6770">
        <f>VLOOKUP(D6744,'Detail Balok'!$C$10:$BJ$110,56,FALSE)</f>
        <v>0</v>
      </c>
      <c r="E6770" t="str">
        <v>D</v>
      </c>
      <c r="F6770">
        <f>VLOOKUP(D6744,'Detail Balok'!$C$10:$BJ$110,58,FALSE)</f>
        <v>0</v>
      </c>
      <c r="G6770" t="str">
        <v>-</v>
      </c>
      <c r="H6770">
        <f>VLOOKUP(D6744,'Detail Balok'!$C$10:$BJ$110,60,FALSE)</f>
        <v>100</v>
      </c>
      <c r="J6770">
        <f>(D6745-2*F$5)/1000</f>
        <v>0.12</v>
      </c>
      <c r="K6770" t="str">
        <v>+</v>
      </c>
      <c r="L6770">
        <f>IF(D6770=0,2*MAX(6*F6770,75),(D6770-1)*2*MAX(6*F6770,75))/1000</f>
        <v>0.15</v>
      </c>
      <c r="M6770" t="str">
        <v>=</v>
      </c>
      <c r="N6770">
        <f>J6770+L6770</f>
        <v>0.27</v>
      </c>
      <c r="T6770" t="str">
        <v>x</v>
      </c>
      <c r="U6770">
        <f>0.006165*F6770^2</f>
        <v>0</v>
      </c>
      <c r="V6770" t="str">
        <v>x</v>
      </c>
      <c r="W6770">
        <f>W6766</f>
        <v>16</v>
      </c>
      <c r="X6770" t="str">
        <v>x</v>
      </c>
      <c r="Y6770">
        <f>D6754</f>
        <v>3</v>
      </c>
      <c r="Z6770" t="str">
        <v>=</v>
      </c>
      <c r="AA6770">
        <f>N6770*U6770*W6770*Y6770</f>
        <v>0</v>
      </c>
    </row>
    <row r="6774">
      <c r="A6774" t="str">
        <f>A6744</f>
        <v>Lantai 2</v>
      </c>
      <c r="B6774">
        <f>B6744+1</f>
        <v>31</v>
      </c>
      <c r="C6774" t="str">
        <f>CONCATENATE(A6774," no. ",B6774)</f>
        <v>Lantai 2 no. 31</v>
      </c>
      <c r="D6774" t="str">
        <f>VLOOKUP(C6774,'Data Panjang Balok'!$C$9:$N$424,2,FALSE)</f>
        <v>CL24-1</v>
      </c>
    </row>
    <row r="6775">
      <c r="C6775" t="str">
        <v>Dimensi</v>
      </c>
      <c r="D6775">
        <f>VLOOKUP(D6774,'Detail Balok'!$C$10:$AU$110,2,FALSE)</f>
        <v>200</v>
      </c>
      <c r="F6775" t="str">
        <v>x</v>
      </c>
      <c r="G6775">
        <f>VLOOKUP(D6774,'Detail Balok'!$C$10:$AU$110,3,FALSE)</f>
        <v>400</v>
      </c>
    </row>
    <row r="6776">
      <c r="C6776" t="str">
        <v>Panjang as ke as</v>
      </c>
      <c r="D6776">
        <f>VLOOKUP(C6774,'Data Panjang Balok'!$C$9:$N$424,4,FALSE)</f>
        <v>2700</v>
      </c>
    </row>
    <row r="6777">
      <c r="C6777" t="str">
        <v>Panjang netto</v>
      </c>
      <c r="D6777">
        <f>VLOOKUP(C6774,'Data Panjang Balok'!$C$9:$N$424,7,FALSE)</f>
        <v>2700</v>
      </c>
    </row>
    <row r="6778">
      <c r="C6778" t="str">
        <v>Kolom / balok kiri</v>
      </c>
      <c r="D6778">
        <f>VLOOKUP(C6774,'Data Panjang Balok'!$C$9:$N$424,9,FALSE)</f>
        <v>0</v>
      </c>
    </row>
    <row r="6779">
      <c r="C6779" t="str">
        <v>Kolom / balok kanan</v>
      </c>
      <c r="D6779">
        <f>VLOOKUP(C6774,'Data Panjang Balok'!$C$9:$N$424,10,FALSE)</f>
        <v>0</v>
      </c>
    </row>
    <row r="6780">
      <c r="C6780" t="str">
        <v>Jumlah</v>
      </c>
      <c r="D6780">
        <f>VLOOKUP(C6774,'Data Panjang Balok'!$C$9:$N$424,3,FALSE)</f>
        <v>1</v>
      </c>
    </row>
    <row r="6781">
      <c r="A6781" t="str">
        <f>A6774</f>
        <v>Lantai 2</v>
      </c>
      <c r="B6781">
        <f>B6774</f>
        <v>31</v>
      </c>
      <c r="C6781" t="str">
        <v>Tul Atas Tumpuan</v>
      </c>
      <c r="D6781">
        <f>VLOOKUP(D6774,'Detail Balok'!$C$10:$AU$110,4,FALSE)</f>
        <v>3</v>
      </c>
      <c r="E6781" t="str">
        <v>D</v>
      </c>
      <c r="F6781">
        <f>VLOOKUP(D6774,'Detail Balok'!$C$10:$AU$110,6,FALSE)</f>
        <v>16</v>
      </c>
      <c r="I6781" t="str">
        <v>(</v>
      </c>
      <c r="J6781">
        <f>+D6776/4/1000</f>
        <v>0.675</v>
      </c>
      <c r="K6781" t="str">
        <v>+</v>
      </c>
      <c r="L6781">
        <f>MAX(VLOOKUP(F6781,N$6:P$15,3,FALSE)/1000,2/3*D6778/1000)+F$16*F6781/1000</f>
        <v>0.192</v>
      </c>
      <c r="M6781" t="str">
        <v>=</v>
      </c>
      <c r="N6781">
        <f>J6781+L6781</f>
        <v>0.867</v>
      </c>
      <c r="O6781" t="str">
        <v>+</v>
      </c>
      <c r="P6781">
        <f>D6781-D6782</f>
        <v>0</v>
      </c>
      <c r="Q6781" t="str">
        <v>x</v>
      </c>
      <c r="R6781">
        <f>IF(P6781&gt;0,$F$18*F6781/1000,0)</f>
        <v>0</v>
      </c>
      <c r="S6781" t="str">
        <v>)</v>
      </c>
      <c r="T6781" t="str">
        <v>x</v>
      </c>
      <c r="U6781">
        <f>0.006165*F6781^2</f>
        <v>1.57824</v>
      </c>
      <c r="X6781" t="str">
        <v>x</v>
      </c>
      <c r="Y6781">
        <f>D6780</f>
        <v>1</v>
      </c>
      <c r="Z6781" t="str">
        <v>=</v>
      </c>
      <c r="AA6781">
        <f>IF(AA6784=0,(D6781*N6781+P6781*R6781)*U6781*Y6781,0)</f>
        <v>0</v>
      </c>
    </row>
    <row r="6782">
      <c r="A6782" t="str">
        <f>A6774</f>
        <v>Lantai 2</v>
      </c>
      <c r="B6782">
        <f>B6774</f>
        <v>31</v>
      </c>
      <c r="C6782" t="str">
        <v>Tul Atas Lapangan</v>
      </c>
      <c r="D6782">
        <f>VLOOKUP(D6774,'Detail Balok'!$C$10:$AU$110,7,FALSE)</f>
        <v>3</v>
      </c>
      <c r="E6782" t="str">
        <v>D</v>
      </c>
      <c r="F6782">
        <f>VLOOKUP(D6774,'Detail Balok'!$C$10:$AU$110,9,FALSE)</f>
        <v>16</v>
      </c>
      <c r="I6782" t="str">
        <v>(</v>
      </c>
      <c r="J6782">
        <f>+D6776/2/1000</f>
        <v>1.35</v>
      </c>
      <c r="K6782" t="str">
        <v>+</v>
      </c>
      <c r="M6782" t="str">
        <v>=</v>
      </c>
      <c r="N6782">
        <f>J6782+L6782</f>
        <v>1.35</v>
      </c>
      <c r="O6782" t="str">
        <v>+</v>
      </c>
      <c r="P6782">
        <f>MAX(D6782-D6781,D6782-D6783)</f>
        <v>0</v>
      </c>
      <c r="Q6782" t="str">
        <v>x</v>
      </c>
      <c r="R6782">
        <f>IF(P6782&gt;0,2*(1-2*$F$19-1/2)*D6777/1000,0)</f>
        <v>0</v>
      </c>
      <c r="S6782" t="str">
        <v>)</v>
      </c>
      <c r="T6782" t="str">
        <v>x</v>
      </c>
      <c r="U6782">
        <f>0.006165*F6782^2</f>
        <v>1.57824</v>
      </c>
      <c r="X6782" t="str">
        <v>x</v>
      </c>
      <c r="Y6782">
        <f>D6780</f>
        <v>1</v>
      </c>
      <c r="Z6782" t="str">
        <v>=</v>
      </c>
      <c r="AA6782">
        <f>IF(AA6784=0,(D6782*N6782+P6782*R6782)*U6782*Y6782,0)</f>
        <v>0</v>
      </c>
    </row>
    <row r="6783">
      <c r="A6783" t="str">
        <f>A6774</f>
        <v>Lantai 2</v>
      </c>
      <c r="B6783">
        <f>B6774</f>
        <v>31</v>
      </c>
      <c r="C6783" t="str">
        <v>Tul Atas Tumpuan</v>
      </c>
      <c r="D6783">
        <f>VLOOKUP(D6774,'Detail Balok'!$C$10:$AU$110,10,FALSE)</f>
        <v>3</v>
      </c>
      <c r="E6783" t="str">
        <v>D</v>
      </c>
      <c r="F6783">
        <f>VLOOKUP(D6774,'Detail Balok'!$C$10:$AU$110,12,FALSE)</f>
        <v>16</v>
      </c>
      <c r="I6783" t="str">
        <v>(</v>
      </c>
      <c r="J6783">
        <f>+D6776/4/1000</f>
        <v>0.675</v>
      </c>
      <c r="K6783" t="str">
        <v>+</v>
      </c>
      <c r="L6783">
        <f>MAX(VLOOKUP(F6783,N$6:P$15,3,FALSE)/1000,2/3*D6778/1000)+F$16*F6783/1000</f>
        <v>0.192</v>
      </c>
      <c r="M6783" t="str">
        <v>=</v>
      </c>
      <c r="N6783">
        <f>J6783+L6783</f>
        <v>0.867</v>
      </c>
      <c r="O6783" t="str">
        <v>+</v>
      </c>
      <c r="P6783">
        <f>D6783-D6782</f>
        <v>0</v>
      </c>
      <c r="Q6783" t="str">
        <v>x</v>
      </c>
      <c r="R6783">
        <f>IF(P6783&gt;0,$F$18*F6783/1000,0)</f>
        <v>0</v>
      </c>
      <c r="S6783" t="str">
        <v>)</v>
      </c>
      <c r="T6783" t="str">
        <v>x</v>
      </c>
      <c r="U6783">
        <f>0.006165*F6783^2</f>
        <v>1.57824</v>
      </c>
      <c r="X6783" t="str">
        <v>x</v>
      </c>
      <c r="Y6783">
        <f>D6780</f>
        <v>1</v>
      </c>
      <c r="Z6783" t="str">
        <v>=</v>
      </c>
      <c r="AA6783">
        <f>IF(AA6784=0,(D6783*N6783+P6783*R6783)*U6783*Y6783,0)</f>
        <v>0</v>
      </c>
    </row>
    <row r="6784">
      <c r="A6784" t="str">
        <f>A6774</f>
        <v>Lantai 2</v>
      </c>
      <c r="B6784">
        <f>B6774</f>
        <v>31</v>
      </c>
      <c r="D6784">
        <f>IF(AND(D6781=D6782,D6782=D6783,D6781=D6783),D6781,0)</f>
        <v>3</v>
      </c>
      <c r="E6784" t="str">
        <v>D</v>
      </c>
      <c r="F6784">
        <f>IF(AND(F6781=F6782,F6781=F6783,F6782=F6783),F6781,0)</f>
        <v>16</v>
      </c>
      <c r="L6784" t="str">
        <v>Total panjang per balok</v>
      </c>
      <c r="M6784" t="str">
        <v>=</v>
      </c>
      <c r="N6784">
        <f>IF(AND(D6781=D6782,D6781=D6783,D6782=D6783,F6781=F6782,F6781=F6783,F6782=F6783),SUM(N6781:N6783),0)</f>
        <v>3.084</v>
      </c>
      <c r="O6784" t="str">
        <v>+</v>
      </c>
      <c r="P6784">
        <f>IF(N6784&gt;12,ROUNDDOWN(N6784/12,0),0)</f>
        <v>0</v>
      </c>
      <c r="Q6784" t="str">
        <v>x</v>
      </c>
      <c r="R6784">
        <f>IF(P6784&gt;0,MAX(VLOOKUP(F6784,$D$6:$G$15,3,FALSE),600),0)/1000</f>
        <v>0</v>
      </c>
      <c r="T6784" t="str">
        <v>x</v>
      </c>
      <c r="U6784">
        <f>U6783</f>
        <v>1.57824</v>
      </c>
      <c r="V6784" t="str">
        <v>x</v>
      </c>
      <c r="W6784">
        <f>D6784</f>
        <v>3</v>
      </c>
      <c r="X6784" t="str">
        <v>x</v>
      </c>
      <c r="Y6784">
        <f>Y6783</f>
        <v>1</v>
      </c>
      <c r="Z6784" t="str">
        <v>=</v>
      </c>
      <c r="AA6784">
        <f>(N6784+P6784*R6784/1000)*U6784*W6784*Y6784</f>
        <v>14.601876480000001</v>
      </c>
    </row>
    <row r="6786">
      <c r="A6786" t="str">
        <f>A6774</f>
        <v>Lantai 2</v>
      </c>
      <c r="B6786">
        <f>B6774</f>
        <v>31</v>
      </c>
      <c r="C6786" t="str">
        <v>Tul Peminggang</v>
      </c>
      <c r="D6786">
        <f>VLOOKUP(D6774,'Detail Balok'!$C$10:$AU$110,13,FALSE)</f>
        <v>0</v>
      </c>
      <c r="E6786" t="str">
        <v>D</v>
      </c>
      <c r="F6786">
        <f>VLOOKUP(D6774,'Detail Balok'!$C$10:$AU$110,15,FALSE)</f>
        <v>6</v>
      </c>
      <c r="J6786">
        <f>+D6776/1000</f>
        <v>2.7</v>
      </c>
      <c r="K6786" t="str">
        <v>+</v>
      </c>
      <c r="L6786">
        <f>2*$F$16*F6786/1000</f>
        <v>0.144</v>
      </c>
      <c r="M6786" t="str">
        <v>=</v>
      </c>
      <c r="N6786">
        <f>J6786+L6786</f>
        <v>2.8440000000000003</v>
      </c>
      <c r="O6786" t="str">
        <v>+</v>
      </c>
      <c r="P6786">
        <f>IF(N6786&gt;12,ROUNDDOWN(N6786/12,0),0)</f>
        <v>0</v>
      </c>
      <c r="Q6786" t="str">
        <v>x</v>
      </c>
      <c r="R6786">
        <f>IF(P6786&gt;0,MAX(VLOOKUP(F6786,$D$6:$G$15,3,FALSE),600),0)/1000</f>
        <v>0</v>
      </c>
      <c r="T6786" t="str">
        <v>x</v>
      </c>
      <c r="U6786">
        <f>0.006165*F6786^2</f>
        <v>0.22194000000000003</v>
      </c>
      <c r="V6786" t="str">
        <v>x</v>
      </c>
      <c r="W6786">
        <f>+D6786</f>
        <v>0</v>
      </c>
      <c r="X6786" t="str">
        <v>x</v>
      </c>
      <c r="Y6786">
        <f>D6780</f>
        <v>1</v>
      </c>
      <c r="Z6786" t="str">
        <v>=</v>
      </c>
      <c r="AA6786">
        <f>(N6786+P6786*R6786/1000)*U6786*W6786*Y6786</f>
        <v>0</v>
      </c>
    </row>
    <row r="6789">
      <c r="A6789" t="str">
        <f>A6774</f>
        <v>Lantai 2</v>
      </c>
      <c r="B6789">
        <f>B6774</f>
        <v>31</v>
      </c>
      <c r="C6789" t="str">
        <v>Tul Bawah Tumpuan</v>
      </c>
      <c r="D6789">
        <f>VLOOKUP(D6774,'Detail Balok'!$C$10:$AU$110,22,FALSE)</f>
        <v>2</v>
      </c>
      <c r="E6789" t="str">
        <v>D</v>
      </c>
      <c r="F6789">
        <f>VLOOKUP(D6774,'Detail Balok'!$C$10:$AU$110,24,FALSE)</f>
        <v>16</v>
      </c>
      <c r="I6789" t="str">
        <v>(</v>
      </c>
      <c r="J6789">
        <f>+J6781</f>
        <v>0.675</v>
      </c>
      <c r="K6789" t="str">
        <v>+</v>
      </c>
      <c r="L6789">
        <f>MAX(VLOOKUP(F6789,N$6:P$15,3,FALSE)/1000,2/3*D6779/1000)+F$16*F6789/1000</f>
        <v>0.192</v>
      </c>
      <c r="M6789" t="str">
        <v>=</v>
      </c>
      <c r="N6789">
        <f>J6789+L6789</f>
        <v>0.867</v>
      </c>
      <c r="O6789" t="str">
        <v>+</v>
      </c>
      <c r="P6789">
        <f>D6789-D6790</f>
        <v>0</v>
      </c>
      <c r="Q6789" t="str">
        <v>x</v>
      </c>
      <c r="R6789">
        <f>IF(P6789&gt;0,$F$18*F6789/1000,0)</f>
        <v>0</v>
      </c>
      <c r="S6789" t="str">
        <v>)</v>
      </c>
      <c r="T6789" t="str">
        <v>x</v>
      </c>
      <c r="U6789">
        <f>0.006165*F6789^2</f>
        <v>1.57824</v>
      </c>
      <c r="X6789" t="str">
        <v>x</v>
      </c>
      <c r="Y6789">
        <f>D6780</f>
        <v>1</v>
      </c>
      <c r="Z6789" t="str">
        <v>=</v>
      </c>
      <c r="AA6789">
        <f>IF(AA6792=0,(D6789*N6789+P6789*R6789)*U6789*Y6789,0)</f>
        <v>0</v>
      </c>
    </row>
    <row r="6790">
      <c r="A6790" t="str">
        <f>A6774</f>
        <v>Lantai 2</v>
      </c>
      <c r="B6790">
        <f>B6774</f>
        <v>31</v>
      </c>
      <c r="C6790" t="str">
        <v>Tul Bawah Lapangan</v>
      </c>
      <c r="D6790">
        <f>VLOOKUP(D6774,'Detail Balok'!$C$10:$AU$110,25,FALSE)</f>
        <v>2</v>
      </c>
      <c r="E6790" t="str">
        <v>D</v>
      </c>
      <c r="F6790">
        <f>VLOOKUP(D6774,'Detail Balok'!$C$10:$AU$110,27,FALSE)</f>
        <v>16</v>
      </c>
      <c r="I6790" t="str">
        <v>(</v>
      </c>
      <c r="J6790">
        <f>+J6782</f>
        <v>1.35</v>
      </c>
      <c r="K6790" t="str">
        <v>+</v>
      </c>
      <c r="M6790" t="str">
        <v>=</v>
      </c>
      <c r="N6790">
        <f>J6790+L6790</f>
        <v>1.35</v>
      </c>
      <c r="O6790" t="str">
        <v>+</v>
      </c>
      <c r="P6790">
        <f>MAX(D6790-D6789,D6790-D6791)</f>
        <v>0</v>
      </c>
      <c r="Q6790" t="str">
        <v>x</v>
      </c>
      <c r="R6790">
        <f>IF(P6790&gt;0,2*(1-2*$F$19-1/2)*D6777/1000,0)</f>
        <v>0</v>
      </c>
      <c r="S6790" t="str">
        <v>)</v>
      </c>
      <c r="T6790" t="str">
        <v>x</v>
      </c>
      <c r="U6790">
        <f>0.006165*F6790^2</f>
        <v>1.57824</v>
      </c>
      <c r="X6790" t="str">
        <v>x</v>
      </c>
      <c r="Y6790">
        <f>D6780</f>
        <v>1</v>
      </c>
      <c r="Z6790" t="str">
        <v>=</v>
      </c>
      <c r="AA6790">
        <f>IF(AA6792=0,(D6790*N6790+P6790*R6790)*U6790*Y6790,0)</f>
        <v>0</v>
      </c>
    </row>
    <row r="6791">
      <c r="A6791" t="str">
        <f>A6774</f>
        <v>Lantai 2</v>
      </c>
      <c r="B6791">
        <f>B6774</f>
        <v>31</v>
      </c>
      <c r="C6791" t="str">
        <v>Tul Bawah Tumpuan</v>
      </c>
      <c r="D6791">
        <f>VLOOKUP(D6774,'Detail Balok'!$C$10:$AU$110,28,FALSE)</f>
        <v>2</v>
      </c>
      <c r="E6791" t="str">
        <v>D</v>
      </c>
      <c r="F6791">
        <f>VLOOKUP(D6774,'Detail Balok'!$C$10:$AU$110,30,FALSE)</f>
        <v>16</v>
      </c>
      <c r="I6791" t="str">
        <v>(</v>
      </c>
      <c r="J6791">
        <f>+J6783</f>
        <v>0.675</v>
      </c>
      <c r="K6791" t="str">
        <v>+</v>
      </c>
      <c r="L6791">
        <f>MAX(VLOOKUP(F6791,N$6:P$15,3,FALSE)/1000,2/3*D6779/1000)+F$16*F6791/1000</f>
        <v>0.192</v>
      </c>
      <c r="M6791" t="str">
        <v>=</v>
      </c>
      <c r="N6791">
        <f>J6791+L6791</f>
        <v>0.867</v>
      </c>
      <c r="O6791" t="str">
        <v>+</v>
      </c>
      <c r="P6791">
        <f>D6791-D6790</f>
        <v>0</v>
      </c>
      <c r="Q6791" t="str">
        <v>x</v>
      </c>
      <c r="R6791">
        <f>IF(P6791&gt;0,$F$18*F6791/1000,0)</f>
        <v>0</v>
      </c>
      <c r="S6791" t="str">
        <v>)</v>
      </c>
      <c r="T6791" t="str">
        <v>x</v>
      </c>
      <c r="U6791">
        <f>0.006165*F6791^2</f>
        <v>1.57824</v>
      </c>
      <c r="X6791" t="str">
        <v>x</v>
      </c>
      <c r="Y6791">
        <f>D6780</f>
        <v>1</v>
      </c>
      <c r="Z6791" t="str">
        <v>=</v>
      </c>
      <c r="AA6791">
        <f>IF(AA6792=0,(D6791*N6791+P6791*R6791)*U6791*Y6791,0)</f>
        <v>0</v>
      </c>
    </row>
    <row r="6792">
      <c r="A6792" t="str">
        <f>A6774</f>
        <v>Lantai 2</v>
      </c>
      <c r="B6792">
        <f>B6774</f>
        <v>31</v>
      </c>
      <c r="D6792">
        <f>IF(AND(D6789=D6790,D6790=D6791,D6789=D6791),D6789,0)</f>
        <v>2</v>
      </c>
      <c r="E6792" t="str">
        <v>D</v>
      </c>
      <c r="F6792">
        <f>IF(AND(F6789=F6790,F6789=F6791,F6790=F6791),F6789,0)</f>
        <v>16</v>
      </c>
      <c r="L6792" t="str">
        <v>Total panjang per balok</v>
      </c>
      <c r="M6792" t="str">
        <v>=</v>
      </c>
      <c r="N6792">
        <f>IF(AND(D6789=D6790,D6789=D6791,D6790=D6791,F6789=F6790,F6789=F6791,F6790=F6791),SUM(N6789:N6791),0)</f>
        <v>3.084</v>
      </c>
      <c r="O6792" t="str">
        <v>+</v>
      </c>
      <c r="P6792">
        <f>IF(N6792&gt;12,ROUNDDOWN(N6792/12,0),0)</f>
        <v>0</v>
      </c>
      <c r="Q6792" t="str">
        <v>x</v>
      </c>
      <c r="R6792">
        <f>IF(P6792&gt;0,MAX(VLOOKUP(F6792,$D$6:$G$15,3,FALSE),600),0)/1000</f>
        <v>0</v>
      </c>
      <c r="T6792" t="str">
        <v>x</v>
      </c>
      <c r="U6792">
        <f>U6791</f>
        <v>1.57824</v>
      </c>
      <c r="V6792" t="str">
        <v>x</v>
      </c>
      <c r="W6792">
        <f>D6792</f>
        <v>2</v>
      </c>
      <c r="X6792" t="str">
        <v>x</v>
      </c>
      <c r="Y6792">
        <f>Y6791</f>
        <v>1</v>
      </c>
      <c r="Z6792" t="str">
        <v>=</v>
      </c>
      <c r="AA6792">
        <f>(N6792+P6792*R6792/1000)*U6792*W6792*Y6792</f>
        <v>9.734584320000002</v>
      </c>
    </row>
    <row r="6794">
      <c r="A6794" t="str">
        <f>A6774</f>
        <v>Lantai 2</v>
      </c>
      <c r="B6794">
        <f>B6774</f>
        <v>31</v>
      </c>
      <c r="C6794" t="str">
        <v>Sengkang Tumpuan</v>
      </c>
      <c r="D6794">
        <f>VLOOKUP(D6774,'Detail Balok'!$C$10:$AU$110,31,FALSE)</f>
        <v>0</v>
      </c>
      <c r="E6794" t="str">
        <v>D</v>
      </c>
      <c r="F6794">
        <f>VLOOKUP(D6774,'Detail Balok'!$C$10:$AU$110,33,FALSE)</f>
        <v>8</v>
      </c>
      <c r="G6794" t="str">
        <v>-</v>
      </c>
      <c r="H6794">
        <f>VLOOKUP(D6774,'Detail Balok'!$C$10:$AU$110,35,FALSE)</f>
        <v>200</v>
      </c>
      <c r="J6794">
        <f>(IF(D6794=0,(2*(D6775+G6775))-(F$5*8),IF(D6794=3,(2*(D6775+G6775))-(F$5*8)+(G6775-2*F$5),IF(D6794=4,(2*(D6775+G6775))-(F$5*8)+2*(G6775-2*F$5)))))/1000</f>
        <v>0.88</v>
      </c>
      <c r="K6794" t="str">
        <v>+</v>
      </c>
      <c r="L6794">
        <f>IF(D6794=0,2*MAX(6*F6794,75),(D6794-1)*2*MAX(6*F6794,75))/1000</f>
        <v>0.15</v>
      </c>
      <c r="M6794" t="str">
        <v>=</v>
      </c>
      <c r="N6794">
        <f>J6794+L6794</f>
        <v>1.03</v>
      </c>
      <c r="T6794" t="str">
        <v>x</v>
      </c>
      <c r="U6794">
        <f>0.006165*F6794^2</f>
        <v>0.39456</v>
      </c>
      <c r="V6794" t="str">
        <v>x</v>
      </c>
      <c r="W6794">
        <f>IF(D6777&gt;4*G6775,ROUND(MAX(D6777/4,2*G6775)/H6794,0)+1,ROUND(D6777/H6794,0)+1)</f>
        <v>5</v>
      </c>
      <c r="X6794" t="str">
        <v>x</v>
      </c>
      <c r="Y6794">
        <f>D6780</f>
        <v>1</v>
      </c>
      <c r="Z6794" t="str">
        <v>=</v>
      </c>
      <c r="AA6794">
        <f>N6794*U6794*W6794*Y6794</f>
        <v>2.0319840000000005</v>
      </c>
    </row>
    <row r="6795">
      <c r="A6795" t="str">
        <f>A6774</f>
        <v>Lantai 2</v>
      </c>
      <c r="B6795">
        <f>B6774</f>
        <v>31</v>
      </c>
      <c r="C6795" t="str">
        <v>Sengkang Lapangan</v>
      </c>
      <c r="D6795">
        <f>VLOOKUP(D6774,'Detail Balok'!$C$10:$AU$110,36,FALSE)</f>
        <v>0</v>
      </c>
      <c r="E6795" t="str">
        <v>D</v>
      </c>
      <c r="F6795">
        <f>VLOOKUP(D6774,'Detail Balok'!$C$10:$AU$110,38,FALSE)</f>
        <v>8</v>
      </c>
      <c r="G6795" t="str">
        <v>-</v>
      </c>
      <c r="H6795">
        <f>VLOOKUP(D6774,'Detail Balok'!$C$10:$AU$110,40,FALSE)</f>
        <v>200</v>
      </c>
      <c r="J6795">
        <f>(IF(D6795=0,(2*(D6775+G6775))-(F$5*8),IF(D6795=3,(2*(D6775+G6775))-(F$5*8)+(G6775-2*F$5),IF(D6795=4,(2*(D6775+G6775))-(F$5*8)+2*(G6775-2*F$5)))))/1000</f>
        <v>0.88</v>
      </c>
      <c r="K6795" t="str">
        <v>+</v>
      </c>
      <c r="L6795">
        <f>IF(D6795=0,2*MAX(6*F6795,75),(D6795-1)*2*MAX(6*F6795,75))/1000</f>
        <v>0.15</v>
      </c>
      <c r="M6795" t="str">
        <v>=</v>
      </c>
      <c r="N6795">
        <f>J6795+L6795</f>
        <v>1.03</v>
      </c>
      <c r="T6795" t="str">
        <v>x</v>
      </c>
      <c r="U6795">
        <f>0.006165*F6795^2</f>
        <v>0.39456</v>
      </c>
      <c r="V6795" t="str">
        <v>x</v>
      </c>
      <c r="W6795">
        <f>IF(D6777-MAX(D6777/4,2*G6775)*2&gt;0,ROUND((D6777-MAX(D6777/4,2*G6775)*2)/H6795,0),0)</f>
        <v>6</v>
      </c>
      <c r="X6795" t="str">
        <v>x</v>
      </c>
      <c r="Y6795">
        <f>D6780</f>
        <v>1</v>
      </c>
      <c r="Z6795" t="str">
        <v>=</v>
      </c>
      <c r="AA6795">
        <f>N6795*U6795*W6795*Y6795</f>
        <v>2.4383808000000005</v>
      </c>
    </row>
    <row r="6796">
      <c r="A6796" t="str">
        <f>A6774</f>
        <v>Lantai 2</v>
      </c>
      <c r="B6796">
        <f>B6774</f>
        <v>31</v>
      </c>
      <c r="C6796" t="str">
        <v>Sengkang Tumpuan</v>
      </c>
      <c r="D6796">
        <f>VLOOKUP(D6774,'Detail Balok'!$C$10:$AU$110,41,FALSE)</f>
        <v>0</v>
      </c>
      <c r="E6796" t="str">
        <v>D</v>
      </c>
      <c r="F6796">
        <f>VLOOKUP(D6774,'Detail Balok'!$C$10:$AU$110,43,FALSE)</f>
        <v>8</v>
      </c>
      <c r="G6796" t="str">
        <v>-</v>
      </c>
      <c r="H6796">
        <f>VLOOKUP(D6774,'Detail Balok'!$C$10:$AU$110,45,FALSE)</f>
        <v>200</v>
      </c>
      <c r="J6796">
        <f>(IF(D6796=0,(2*(D6775+G6775))-(F$5*8),IF(D6796=3,(2*(D6775+G6775))-(F$5*8)+(G6775-2*F$5),IF(D6796=4,(2*(D6775+G6775))-(F$5*8)+2*(G6775-2*F$5)))))/1000</f>
        <v>0.88</v>
      </c>
      <c r="K6796" t="str">
        <v>+</v>
      </c>
      <c r="L6796">
        <f>IF(D6796=0,2*MAX(6*F6796,75),(D6796-1)*2*MAX(6*F6796,75))/1000</f>
        <v>0.15</v>
      </c>
      <c r="M6796" t="str">
        <v>=</v>
      </c>
      <c r="N6796">
        <f>J6796+L6796</f>
        <v>1.03</v>
      </c>
      <c r="T6796" t="str">
        <v>x</v>
      </c>
      <c r="U6796">
        <f>0.006165*F6796^2</f>
        <v>0.39456</v>
      </c>
      <c r="V6796" t="str">
        <v>x</v>
      </c>
      <c r="W6796">
        <f>IF(D6777&gt;4*G6775,ROUND(MAX(D6777/4,2*G6775)/H6796,0)+1,0)</f>
        <v>5</v>
      </c>
      <c r="X6796" t="str">
        <v>x</v>
      </c>
      <c r="Y6796">
        <f>D6780</f>
        <v>1</v>
      </c>
      <c r="Z6796" t="str">
        <v>=</v>
      </c>
      <c r="AA6796">
        <f>N6796*U6796*W6796*Y6796</f>
        <v>2.0319840000000005</v>
      </c>
    </row>
    <row r="6798">
      <c r="A6798" t="str">
        <f>A6774</f>
        <v>Lantai 2</v>
      </c>
      <c r="B6798">
        <f>B6774</f>
        <v>31</v>
      </c>
      <c r="C6798" t="str">
        <v>Kait Horizontal Tump.</v>
      </c>
      <c r="D6798">
        <f>VLOOKUP(D6774,'Detail Balok'!$C$10:$BJ$110,46,FALSE)</f>
        <v>0</v>
      </c>
      <c r="E6798" t="str">
        <v>D</v>
      </c>
      <c r="F6798">
        <f>VLOOKUP(D6774,'Detail Balok'!$C$10:$BJ$110,48,FALSE)</f>
        <v>0</v>
      </c>
      <c r="G6798" t="str">
        <v>-</v>
      </c>
      <c r="H6798">
        <f>VLOOKUP(D6774,'Detail Balok'!$C$10:$BJ$110,50,FALSE)</f>
        <v>100</v>
      </c>
      <c r="J6798">
        <f>(D6775-2*F$5)/1000</f>
        <v>0.12</v>
      </c>
      <c r="K6798" t="str">
        <v>+</v>
      </c>
      <c r="L6798">
        <f>IF(D6798=0,2*MAX(6*F6798,75),(D6798-1)*2*MAX(6*F6798,75))/1000</f>
        <v>0.15</v>
      </c>
      <c r="M6798" t="str">
        <v>=</v>
      </c>
      <c r="N6798">
        <f>J6798+L6798</f>
        <v>0.27</v>
      </c>
      <c r="T6798" t="str">
        <v>x</v>
      </c>
      <c r="U6798">
        <f>0.006165*F6798^2</f>
        <v>0</v>
      </c>
      <c r="V6798" t="str">
        <v>x</v>
      </c>
      <c r="W6798">
        <f>W6794</f>
        <v>5</v>
      </c>
      <c r="X6798" t="str">
        <v>x</v>
      </c>
      <c r="Y6798">
        <f>D6784</f>
        <v>3</v>
      </c>
      <c r="Z6798" t="str">
        <v>=</v>
      </c>
      <c r="AA6798">
        <f>N6798*U6798*W6798*Y6798</f>
        <v>0</v>
      </c>
    </row>
    <row r="6799">
      <c r="A6799" t="str">
        <f>A6774</f>
        <v>Lantai 2</v>
      </c>
      <c r="B6799">
        <f>B6774</f>
        <v>31</v>
      </c>
      <c r="C6799" t="str">
        <v>Kait Horizontal Lap.</v>
      </c>
      <c r="D6799">
        <f>VLOOKUP(D6774,'Detail Balok'!$C$10:$BJ$110,51,FALSE)</f>
        <v>0</v>
      </c>
      <c r="E6799" t="str">
        <v>D</v>
      </c>
      <c r="F6799">
        <f>VLOOKUP(D6774,'Detail Balok'!$C$10:$BJ$110,53,FALSE)</f>
        <v>0</v>
      </c>
      <c r="G6799" t="str">
        <v>-</v>
      </c>
      <c r="H6799">
        <f>VLOOKUP(D6774,'Detail Balok'!$C$10:$BJ$110,55,FALSE)</f>
        <v>100</v>
      </c>
      <c r="J6799">
        <f>(D6775-2*F$5)/1000</f>
        <v>0.12</v>
      </c>
      <c r="K6799" t="str">
        <v>+</v>
      </c>
      <c r="L6799">
        <f>IF(D6799=0,2*MAX(6*F6799,75),(D6799-1)*2*MAX(6*F6799,75))/1000</f>
        <v>0.15</v>
      </c>
      <c r="M6799" t="str">
        <v>=</v>
      </c>
      <c r="N6799">
        <f>J6799+L6799</f>
        <v>0.27</v>
      </c>
      <c r="T6799" t="str">
        <v>x</v>
      </c>
      <c r="U6799">
        <f>0.006165*F6799^2</f>
        <v>0</v>
      </c>
      <c r="V6799" t="str">
        <v>x</v>
      </c>
      <c r="W6799">
        <f>W6795</f>
        <v>6</v>
      </c>
      <c r="X6799" t="str">
        <v>x</v>
      </c>
      <c r="Y6799">
        <f>D6784</f>
        <v>3</v>
      </c>
      <c r="Z6799" t="str">
        <v>=</v>
      </c>
      <c r="AA6799">
        <f>N6799*U6799*W6799*Y6799</f>
        <v>0</v>
      </c>
    </row>
    <row r="6800">
      <c r="A6800" t="str">
        <f>A6774</f>
        <v>Lantai 2</v>
      </c>
      <c r="B6800">
        <f>B6774</f>
        <v>31</v>
      </c>
      <c r="C6800" t="str">
        <v>Kait Horizontal Tump.</v>
      </c>
      <c r="D6800">
        <f>VLOOKUP(D6774,'Detail Balok'!$C$10:$BJ$110,56,FALSE)</f>
        <v>0</v>
      </c>
      <c r="E6800" t="str">
        <v>D</v>
      </c>
      <c r="F6800">
        <f>VLOOKUP(D6774,'Detail Balok'!$C$10:$BJ$110,58,FALSE)</f>
        <v>0</v>
      </c>
      <c r="G6800" t="str">
        <v>-</v>
      </c>
      <c r="H6800">
        <f>VLOOKUP(D6774,'Detail Balok'!$C$10:$BJ$110,60,FALSE)</f>
        <v>100</v>
      </c>
      <c r="J6800">
        <f>(D6775-2*F$5)/1000</f>
        <v>0.12</v>
      </c>
      <c r="K6800" t="str">
        <v>+</v>
      </c>
      <c r="L6800">
        <f>IF(D6800=0,2*MAX(6*F6800,75),(D6800-1)*2*MAX(6*F6800,75))/1000</f>
        <v>0.15</v>
      </c>
      <c r="M6800" t="str">
        <v>=</v>
      </c>
      <c r="N6800">
        <f>J6800+L6800</f>
        <v>0.27</v>
      </c>
      <c r="T6800" t="str">
        <v>x</v>
      </c>
      <c r="U6800">
        <f>0.006165*F6800^2</f>
        <v>0</v>
      </c>
      <c r="V6800" t="str">
        <v>x</v>
      </c>
      <c r="W6800">
        <f>W6796</f>
        <v>5</v>
      </c>
      <c r="X6800" t="str">
        <v>x</v>
      </c>
      <c r="Y6800">
        <f>D6784</f>
        <v>3</v>
      </c>
      <c r="Z6800" t="str">
        <v>=</v>
      </c>
      <c r="AA6800">
        <f>N6800*U6800*W6800*Y6800</f>
        <v>0</v>
      </c>
    </row>
    <row r="6804">
      <c r="A6804" t="str">
        <f>A6774</f>
        <v>Lantai 2</v>
      </c>
      <c r="B6804">
        <f>B6774+1</f>
        <v>32</v>
      </c>
      <c r="C6804" t="str">
        <f>CONCATENATE(A6804," no. ",B6804)</f>
        <v>Lantai 2 no. 32</v>
      </c>
      <c r="D6804" t="str">
        <f>VLOOKUP(C6804,'Data Panjang Balok'!$C$9:$N$424,2,FALSE)</f>
        <v>B23-1</v>
      </c>
    </row>
    <row r="6805">
      <c r="C6805" t="str">
        <v>Dimensi</v>
      </c>
      <c r="D6805">
        <f>VLOOKUP(D6804,'Detail Balok'!$C$10:$AU$110,2,FALSE)</f>
        <v>200</v>
      </c>
      <c r="F6805" t="str">
        <v>x</v>
      </c>
      <c r="G6805">
        <f>VLOOKUP(D6804,'Detail Balok'!$C$10:$AU$110,3,FALSE)</f>
        <v>300</v>
      </c>
    </row>
    <row r="6806">
      <c r="C6806" t="str">
        <v>Panjang as ke as</v>
      </c>
      <c r="D6806">
        <f>VLOOKUP(C6804,'Data Panjang Balok'!$C$9:$N$424,4,FALSE)</f>
        <v>3100</v>
      </c>
    </row>
    <row r="6807">
      <c r="C6807" t="str">
        <v>Panjang netto</v>
      </c>
      <c r="D6807">
        <f>VLOOKUP(C6804,'Data Panjang Balok'!$C$9:$N$424,7,FALSE)</f>
        <v>3100</v>
      </c>
    </row>
    <row r="6808">
      <c r="C6808" t="str">
        <v>Kolom / balok kiri</v>
      </c>
      <c r="D6808">
        <f>VLOOKUP(C6804,'Data Panjang Balok'!$C$9:$N$424,9,FALSE)</f>
        <v>0</v>
      </c>
    </row>
    <row r="6809">
      <c r="C6809" t="str">
        <v>Kolom / balok kanan</v>
      </c>
      <c r="D6809">
        <f>VLOOKUP(C6804,'Data Panjang Balok'!$C$9:$N$424,10,FALSE)</f>
        <v>0</v>
      </c>
    </row>
    <row r="6810">
      <c r="C6810" t="str">
        <v>Jumlah</v>
      </c>
      <c r="D6810">
        <f>VLOOKUP(C6804,'Data Panjang Balok'!$C$9:$N$424,3,FALSE)</f>
        <v>1</v>
      </c>
    </row>
    <row r="6811">
      <c r="A6811" t="str">
        <f>A6804</f>
        <v>Lantai 2</v>
      </c>
      <c r="B6811">
        <f>B6804</f>
        <v>32</v>
      </c>
      <c r="C6811" t="str">
        <v>Tul Atas Tumpuan</v>
      </c>
      <c r="D6811">
        <f>VLOOKUP(D6804,'Detail Balok'!$C$10:$AU$110,4,FALSE)</f>
        <v>2</v>
      </c>
      <c r="E6811" t="str">
        <v>D</v>
      </c>
      <c r="F6811">
        <f>VLOOKUP(D6804,'Detail Balok'!$C$10:$AU$110,6,FALSE)</f>
        <v>13</v>
      </c>
      <c r="I6811" t="str">
        <v>(</v>
      </c>
      <c r="J6811">
        <f>+D6806/4/1000</f>
        <v>0.775</v>
      </c>
      <c r="K6811" t="str">
        <v>+</v>
      </c>
      <c r="L6811">
        <f>MAX(VLOOKUP(F6811,N$6:P$15,3,FALSE)/1000,2/3*D6808/1000)+F$16*F6811/1000</f>
        <v>0.156</v>
      </c>
      <c r="M6811" t="str">
        <v>=</v>
      </c>
      <c r="N6811">
        <f>J6811+L6811</f>
        <v>0.931</v>
      </c>
      <c r="O6811" t="str">
        <v>+</v>
      </c>
      <c r="P6811">
        <f>D6811-D6812</f>
        <v>0</v>
      </c>
      <c r="Q6811" t="str">
        <v>x</v>
      </c>
      <c r="R6811">
        <f>IF(P6811&gt;0,$F$18*F6811/1000,0)</f>
        <v>0</v>
      </c>
      <c r="S6811" t="str">
        <v>)</v>
      </c>
      <c r="T6811" t="str">
        <v>x</v>
      </c>
      <c r="U6811">
        <f>0.006165*F6811^2</f>
        <v>1.041885</v>
      </c>
      <c r="X6811" t="str">
        <v>x</v>
      </c>
      <c r="Y6811">
        <f>D6810</f>
        <v>1</v>
      </c>
      <c r="Z6811" t="str">
        <v>=</v>
      </c>
      <c r="AA6811">
        <f>IF(AA6814=0,(D6811*N6811+P6811*R6811)*U6811*Y6811,0)</f>
        <v>0</v>
      </c>
    </row>
    <row r="6812">
      <c r="A6812" t="str">
        <f>A6804</f>
        <v>Lantai 2</v>
      </c>
      <c r="B6812">
        <f>B6804</f>
        <v>32</v>
      </c>
      <c r="C6812" t="str">
        <v>Tul Atas Lapangan</v>
      </c>
      <c r="D6812">
        <f>VLOOKUP(D6804,'Detail Balok'!$C$10:$AU$110,7,FALSE)</f>
        <v>2</v>
      </c>
      <c r="E6812" t="str">
        <v>D</v>
      </c>
      <c r="F6812">
        <f>VLOOKUP(D6804,'Detail Balok'!$C$10:$AU$110,9,FALSE)</f>
        <v>13</v>
      </c>
      <c r="I6812" t="str">
        <v>(</v>
      </c>
      <c r="J6812">
        <f>+D6806/2/1000</f>
        <v>1.55</v>
      </c>
      <c r="K6812" t="str">
        <v>+</v>
      </c>
      <c r="M6812" t="str">
        <v>=</v>
      </c>
      <c r="N6812">
        <f>J6812+L6812</f>
        <v>1.55</v>
      </c>
      <c r="O6812" t="str">
        <v>+</v>
      </c>
      <c r="P6812">
        <f>MAX(D6812-D6811,D6812-D6813)</f>
        <v>0</v>
      </c>
      <c r="Q6812" t="str">
        <v>x</v>
      </c>
      <c r="R6812">
        <f>IF(P6812&gt;0,2*(1-2*$F$19-1/2)*D6807/1000,0)</f>
        <v>0</v>
      </c>
      <c r="S6812" t="str">
        <v>)</v>
      </c>
      <c r="T6812" t="str">
        <v>x</v>
      </c>
      <c r="U6812">
        <f>0.006165*F6812^2</f>
        <v>1.041885</v>
      </c>
      <c r="X6812" t="str">
        <v>x</v>
      </c>
      <c r="Y6812">
        <f>D6810</f>
        <v>1</v>
      </c>
      <c r="Z6812" t="str">
        <v>=</v>
      </c>
      <c r="AA6812">
        <f>IF(AA6814=0,(D6812*N6812+P6812*R6812)*U6812*Y6812,0)</f>
        <v>0</v>
      </c>
    </row>
    <row r="6813">
      <c r="A6813" t="str">
        <f>A6804</f>
        <v>Lantai 2</v>
      </c>
      <c r="B6813">
        <f>B6804</f>
        <v>32</v>
      </c>
      <c r="C6813" t="str">
        <v>Tul Atas Tumpuan</v>
      </c>
      <c r="D6813">
        <f>VLOOKUP(D6804,'Detail Balok'!$C$10:$AU$110,10,FALSE)</f>
        <v>2</v>
      </c>
      <c r="E6813" t="str">
        <v>D</v>
      </c>
      <c r="F6813">
        <f>VLOOKUP(D6804,'Detail Balok'!$C$10:$AU$110,12,FALSE)</f>
        <v>13</v>
      </c>
      <c r="I6813" t="str">
        <v>(</v>
      </c>
      <c r="J6813">
        <f>+D6806/4/1000</f>
        <v>0.775</v>
      </c>
      <c r="K6813" t="str">
        <v>+</v>
      </c>
      <c r="L6813">
        <f>MAX(VLOOKUP(F6813,N$6:P$15,3,FALSE)/1000,2/3*D6808/1000)+F$16*F6813/1000</f>
        <v>0.156</v>
      </c>
      <c r="M6813" t="str">
        <v>=</v>
      </c>
      <c r="N6813">
        <f>J6813+L6813</f>
        <v>0.931</v>
      </c>
      <c r="O6813" t="str">
        <v>+</v>
      </c>
      <c r="P6813">
        <f>D6813-D6812</f>
        <v>0</v>
      </c>
      <c r="Q6813" t="str">
        <v>x</v>
      </c>
      <c r="R6813">
        <f>IF(P6813&gt;0,$F$18*F6813/1000,0)</f>
        <v>0</v>
      </c>
      <c r="S6813" t="str">
        <v>)</v>
      </c>
      <c r="T6813" t="str">
        <v>x</v>
      </c>
      <c r="U6813">
        <f>0.006165*F6813^2</f>
        <v>1.041885</v>
      </c>
      <c r="X6813" t="str">
        <v>x</v>
      </c>
      <c r="Y6813">
        <f>D6810</f>
        <v>1</v>
      </c>
      <c r="Z6813" t="str">
        <v>=</v>
      </c>
      <c r="AA6813">
        <f>IF(AA6814=0,(D6813*N6813+P6813*R6813)*U6813*Y6813,0)</f>
        <v>0</v>
      </c>
    </row>
    <row r="6814">
      <c r="A6814" t="str">
        <f>A6804</f>
        <v>Lantai 2</v>
      </c>
      <c r="B6814">
        <f>B6804</f>
        <v>32</v>
      </c>
      <c r="D6814">
        <f>IF(AND(D6811=D6812,D6812=D6813,D6811=D6813),D6811,0)</f>
        <v>2</v>
      </c>
      <c r="E6814" t="str">
        <v>D</v>
      </c>
      <c r="F6814">
        <f>IF(AND(F6811=F6812,F6811=F6813,F6812=F6813),F6811,0)</f>
        <v>13</v>
      </c>
      <c r="L6814" t="str">
        <v>Total panjang per balok</v>
      </c>
      <c r="M6814" t="str">
        <v>=</v>
      </c>
      <c r="N6814">
        <f>IF(AND(D6811=D6812,D6811=D6813,D6812=D6813,F6811=F6812,F6811=F6813,F6812=F6813),SUM(N6811:N6813),0)</f>
        <v>3.412</v>
      </c>
      <c r="O6814" t="str">
        <v>+</v>
      </c>
      <c r="P6814">
        <f>IF(N6814&gt;12,ROUNDDOWN(N6814/12,0),0)</f>
        <v>0</v>
      </c>
      <c r="Q6814" t="str">
        <v>x</v>
      </c>
      <c r="R6814">
        <f>IF(P6814&gt;0,MAX(VLOOKUP(F6814,$D$6:$G$15,3,FALSE),600),0)/1000</f>
        <v>0</v>
      </c>
      <c r="T6814" t="str">
        <v>x</v>
      </c>
      <c r="U6814">
        <f>U6813</f>
        <v>1.041885</v>
      </c>
      <c r="V6814" t="str">
        <v>x</v>
      </c>
      <c r="W6814">
        <f>D6814</f>
        <v>2</v>
      </c>
      <c r="X6814" t="str">
        <v>x</v>
      </c>
      <c r="Y6814">
        <f>Y6813</f>
        <v>1</v>
      </c>
      <c r="Z6814" t="str">
        <v>=</v>
      </c>
      <c r="AA6814">
        <f>(N6814+P6814*R6814/1000)*U6814*W6814*Y6814</f>
        <v>7.10982324</v>
      </c>
    </row>
    <row r="6816">
      <c r="A6816" t="str">
        <f>A6804</f>
        <v>Lantai 2</v>
      </c>
      <c r="B6816">
        <f>B6804</f>
        <v>32</v>
      </c>
      <c r="C6816" t="str">
        <v>Tul Peminggang</v>
      </c>
      <c r="D6816">
        <f>VLOOKUP(D6804,'Detail Balok'!$C$10:$AU$110,13,FALSE)</f>
        <v>0</v>
      </c>
      <c r="E6816" t="str">
        <v>D</v>
      </c>
      <c r="F6816">
        <f>VLOOKUP(D6804,'Detail Balok'!$C$10:$AU$110,15,FALSE)</f>
        <v>6</v>
      </c>
      <c r="J6816">
        <f>+D6806/1000</f>
        <v>3.1</v>
      </c>
      <c r="K6816" t="str">
        <v>+</v>
      </c>
      <c r="L6816">
        <f>2*$F$16*F6816/1000</f>
        <v>0.144</v>
      </c>
      <c r="M6816" t="str">
        <v>=</v>
      </c>
      <c r="N6816">
        <f>J6816+L6816</f>
        <v>3.244</v>
      </c>
      <c r="O6816" t="str">
        <v>+</v>
      </c>
      <c r="P6816">
        <f>IF(N6816&gt;12,ROUNDDOWN(N6816/12,0),0)</f>
        <v>0</v>
      </c>
      <c r="Q6816" t="str">
        <v>x</v>
      </c>
      <c r="R6816">
        <f>IF(P6816&gt;0,MAX(VLOOKUP(F6816,$D$6:$G$15,3,FALSE),600),0)/1000</f>
        <v>0</v>
      </c>
      <c r="T6816" t="str">
        <v>x</v>
      </c>
      <c r="U6816">
        <f>0.006165*F6816^2</f>
        <v>0.22194000000000003</v>
      </c>
      <c r="V6816" t="str">
        <v>x</v>
      </c>
      <c r="W6816">
        <f>+D6816</f>
        <v>0</v>
      </c>
      <c r="X6816" t="str">
        <v>x</v>
      </c>
      <c r="Y6816">
        <f>D6810</f>
        <v>1</v>
      </c>
      <c r="Z6816" t="str">
        <v>=</v>
      </c>
      <c r="AA6816">
        <f>(N6816+P6816*R6816/1000)*U6816*W6816*Y6816</f>
        <v>0</v>
      </c>
    </row>
    <row r="6819">
      <c r="A6819" t="str">
        <f>A6804</f>
        <v>Lantai 2</v>
      </c>
      <c r="B6819">
        <f>B6804</f>
        <v>32</v>
      </c>
      <c r="C6819" t="str">
        <v>Tul Bawah Tumpuan</v>
      </c>
      <c r="D6819">
        <f>VLOOKUP(D6804,'Detail Balok'!$C$10:$AU$110,22,FALSE)</f>
        <v>2</v>
      </c>
      <c r="E6819" t="str">
        <v>D</v>
      </c>
      <c r="F6819">
        <f>VLOOKUP(D6804,'Detail Balok'!$C$10:$AU$110,24,FALSE)</f>
        <v>13</v>
      </c>
      <c r="I6819" t="str">
        <v>(</v>
      </c>
      <c r="J6819">
        <f>+J6811</f>
        <v>0.775</v>
      </c>
      <c r="K6819" t="str">
        <v>+</v>
      </c>
      <c r="L6819">
        <f>MAX(VLOOKUP(F6819,N$6:P$15,3,FALSE)/1000,2/3*D6809/1000)+F$16*F6819/1000</f>
        <v>0.156</v>
      </c>
      <c r="M6819" t="str">
        <v>=</v>
      </c>
      <c r="N6819">
        <f>J6819+L6819</f>
        <v>0.931</v>
      </c>
      <c r="O6819" t="str">
        <v>+</v>
      </c>
      <c r="P6819">
        <f>D6819-D6820</f>
        <v>0</v>
      </c>
      <c r="Q6819" t="str">
        <v>x</v>
      </c>
      <c r="R6819">
        <f>IF(P6819&gt;0,$F$18*F6819/1000,0)</f>
        <v>0</v>
      </c>
      <c r="S6819" t="str">
        <v>)</v>
      </c>
      <c r="T6819" t="str">
        <v>x</v>
      </c>
      <c r="U6819">
        <f>0.006165*F6819^2</f>
        <v>1.041885</v>
      </c>
      <c r="X6819" t="str">
        <v>x</v>
      </c>
      <c r="Y6819">
        <f>D6810</f>
        <v>1</v>
      </c>
      <c r="Z6819" t="str">
        <v>=</v>
      </c>
      <c r="AA6819">
        <f>IF(AA6822=0,(D6819*N6819+P6819*R6819)*U6819*Y6819,0)</f>
        <v>0</v>
      </c>
    </row>
    <row r="6820">
      <c r="A6820" t="str">
        <f>A6804</f>
        <v>Lantai 2</v>
      </c>
      <c r="B6820">
        <f>B6804</f>
        <v>32</v>
      </c>
      <c r="C6820" t="str">
        <v>Tul Bawah Lapangan</v>
      </c>
      <c r="D6820">
        <f>VLOOKUP(D6804,'Detail Balok'!$C$10:$AU$110,25,FALSE)</f>
        <v>2</v>
      </c>
      <c r="E6820" t="str">
        <v>D</v>
      </c>
      <c r="F6820">
        <f>VLOOKUP(D6804,'Detail Balok'!$C$10:$AU$110,27,FALSE)</f>
        <v>13</v>
      </c>
      <c r="I6820" t="str">
        <v>(</v>
      </c>
      <c r="J6820">
        <f>+J6812</f>
        <v>1.55</v>
      </c>
      <c r="K6820" t="str">
        <v>+</v>
      </c>
      <c r="M6820" t="str">
        <v>=</v>
      </c>
      <c r="N6820">
        <f>J6820+L6820</f>
        <v>1.55</v>
      </c>
      <c r="O6820" t="str">
        <v>+</v>
      </c>
      <c r="P6820">
        <f>MAX(D6820-D6819,D6820-D6821)</f>
        <v>0</v>
      </c>
      <c r="Q6820" t="str">
        <v>x</v>
      </c>
      <c r="R6820">
        <f>IF(P6820&gt;0,2*(1-2*$F$19-1/2)*D6807/1000,0)</f>
        <v>0</v>
      </c>
      <c r="S6820" t="str">
        <v>)</v>
      </c>
      <c r="T6820" t="str">
        <v>x</v>
      </c>
      <c r="U6820">
        <f>0.006165*F6820^2</f>
        <v>1.041885</v>
      </c>
      <c r="X6820" t="str">
        <v>x</v>
      </c>
      <c r="Y6820">
        <f>D6810</f>
        <v>1</v>
      </c>
      <c r="Z6820" t="str">
        <v>=</v>
      </c>
      <c r="AA6820">
        <f>IF(AA6822=0,(D6820*N6820+P6820*R6820)*U6820*Y6820,0)</f>
        <v>0</v>
      </c>
    </row>
    <row r="6821">
      <c r="A6821" t="str">
        <f>A6804</f>
        <v>Lantai 2</v>
      </c>
      <c r="B6821">
        <f>B6804</f>
        <v>32</v>
      </c>
      <c r="C6821" t="str">
        <v>Tul Bawah Tumpuan</v>
      </c>
      <c r="D6821">
        <f>VLOOKUP(D6804,'Detail Balok'!$C$10:$AU$110,28,FALSE)</f>
        <v>2</v>
      </c>
      <c r="E6821" t="str">
        <v>D</v>
      </c>
      <c r="F6821">
        <f>VLOOKUP(D6804,'Detail Balok'!$C$10:$AU$110,30,FALSE)</f>
        <v>13</v>
      </c>
      <c r="I6821" t="str">
        <v>(</v>
      </c>
      <c r="J6821">
        <f>+J6813</f>
        <v>0.775</v>
      </c>
      <c r="K6821" t="str">
        <v>+</v>
      </c>
      <c r="L6821">
        <f>MAX(VLOOKUP(F6821,N$6:P$15,3,FALSE)/1000,2/3*D6809/1000)+F$16*F6821/1000</f>
        <v>0.156</v>
      </c>
      <c r="M6821" t="str">
        <v>=</v>
      </c>
      <c r="N6821">
        <f>J6821+L6821</f>
        <v>0.931</v>
      </c>
      <c r="O6821" t="str">
        <v>+</v>
      </c>
      <c r="P6821">
        <f>D6821-D6820</f>
        <v>0</v>
      </c>
      <c r="Q6821" t="str">
        <v>x</v>
      </c>
      <c r="R6821">
        <f>IF(P6821&gt;0,$F$18*F6821/1000,0)</f>
        <v>0</v>
      </c>
      <c r="S6821" t="str">
        <v>)</v>
      </c>
      <c r="T6821" t="str">
        <v>x</v>
      </c>
      <c r="U6821">
        <f>0.006165*F6821^2</f>
        <v>1.041885</v>
      </c>
      <c r="X6821" t="str">
        <v>x</v>
      </c>
      <c r="Y6821">
        <f>D6810</f>
        <v>1</v>
      </c>
      <c r="Z6821" t="str">
        <v>=</v>
      </c>
      <c r="AA6821">
        <f>IF(AA6822=0,(D6821*N6821+P6821*R6821)*U6821*Y6821,0)</f>
        <v>0</v>
      </c>
    </row>
    <row r="6822">
      <c r="A6822" t="str">
        <f>A6804</f>
        <v>Lantai 2</v>
      </c>
      <c r="B6822">
        <f>B6804</f>
        <v>32</v>
      </c>
      <c r="D6822">
        <f>IF(AND(D6819=D6820,D6820=D6821,D6819=D6821),D6819,0)</f>
        <v>2</v>
      </c>
      <c r="E6822" t="str">
        <v>D</v>
      </c>
      <c r="F6822">
        <f>IF(AND(F6819=F6820,F6819=F6821,F6820=F6821),F6819,0)</f>
        <v>13</v>
      </c>
      <c r="L6822" t="str">
        <v>Total panjang per balok</v>
      </c>
      <c r="M6822" t="str">
        <v>=</v>
      </c>
      <c r="N6822">
        <f>IF(AND(D6819=D6820,D6819=D6821,D6820=D6821,F6819=F6820,F6819=F6821,F6820=F6821),SUM(N6819:N6821),0)</f>
        <v>3.412</v>
      </c>
      <c r="O6822" t="str">
        <v>+</v>
      </c>
      <c r="P6822">
        <f>IF(N6822&gt;12,ROUNDDOWN(N6822/12,0),0)</f>
        <v>0</v>
      </c>
      <c r="Q6822" t="str">
        <v>x</v>
      </c>
      <c r="R6822">
        <f>IF(P6822&gt;0,MAX(VLOOKUP(F6822,$D$6:$G$15,3,FALSE),600),0)/1000</f>
        <v>0</v>
      </c>
      <c r="T6822" t="str">
        <v>x</v>
      </c>
      <c r="U6822">
        <f>U6821</f>
        <v>1.041885</v>
      </c>
      <c r="V6822" t="str">
        <v>x</v>
      </c>
      <c r="W6822">
        <f>D6822</f>
        <v>2</v>
      </c>
      <c r="X6822" t="str">
        <v>x</v>
      </c>
      <c r="Y6822">
        <f>Y6821</f>
        <v>1</v>
      </c>
      <c r="Z6822" t="str">
        <v>=</v>
      </c>
      <c r="AA6822">
        <f>(N6822+P6822*R6822/1000)*U6822*W6822*Y6822</f>
        <v>7.10982324</v>
      </c>
    </row>
    <row r="6824">
      <c r="A6824" t="str">
        <f>A6804</f>
        <v>Lantai 2</v>
      </c>
      <c r="B6824">
        <f>B6804</f>
        <v>32</v>
      </c>
      <c r="C6824" t="str">
        <v>Sengkang Tumpuan</v>
      </c>
      <c r="D6824">
        <f>VLOOKUP(D6804,'Detail Balok'!$C$10:$AU$110,31,FALSE)</f>
        <v>0</v>
      </c>
      <c r="E6824" t="str">
        <v>D</v>
      </c>
      <c r="F6824">
        <f>VLOOKUP(D6804,'Detail Balok'!$C$10:$AU$110,33,FALSE)</f>
        <v>8</v>
      </c>
      <c r="G6824" t="str">
        <v>-</v>
      </c>
      <c r="H6824">
        <f>VLOOKUP(D6804,'Detail Balok'!$C$10:$AU$110,35,FALSE)</f>
        <v>100</v>
      </c>
      <c r="J6824">
        <f>(IF(D6824=0,(2*(D6805+G6805))-(F$5*8),IF(D6824=3,(2*(D6805+G6805))-(F$5*8)+(G6805-2*F$5),IF(D6824=4,(2*(D6805+G6805))-(F$5*8)+2*(G6805-2*F$5)))))/1000</f>
        <v>0.68</v>
      </c>
      <c r="K6824" t="str">
        <v>+</v>
      </c>
      <c r="L6824">
        <f>IF(D6824=0,2*MAX(6*F6824,75),(D6824-1)*2*MAX(6*F6824,75))/1000</f>
        <v>0.15</v>
      </c>
      <c r="M6824" t="str">
        <v>=</v>
      </c>
      <c r="N6824">
        <f>J6824+L6824</f>
        <v>0.8300000000000001</v>
      </c>
      <c r="T6824" t="str">
        <v>x</v>
      </c>
      <c r="U6824">
        <f>0.006165*F6824^2</f>
        <v>0.39456</v>
      </c>
      <c r="V6824" t="str">
        <v>x</v>
      </c>
      <c r="W6824">
        <f>IF(D6807&gt;4*G6805,ROUND(MAX(D6807/4,2*G6805)/H6824,0)+1,ROUND(D6807/H6824,0)+1)</f>
        <v>9</v>
      </c>
      <c r="X6824" t="str">
        <v>x</v>
      </c>
      <c r="Y6824">
        <f>D6810</f>
        <v>1</v>
      </c>
      <c r="Z6824" t="str">
        <v>=</v>
      </c>
      <c r="AA6824">
        <f>N6824*U6824*W6824*Y6824</f>
        <v>2.9473632000000003</v>
      </c>
    </row>
    <row r="6825">
      <c r="A6825" t="str">
        <f>A6804</f>
        <v>Lantai 2</v>
      </c>
      <c r="B6825">
        <f>B6804</f>
        <v>32</v>
      </c>
      <c r="C6825" t="str">
        <v>Sengkang Lapangan</v>
      </c>
      <c r="D6825">
        <f>VLOOKUP(D6804,'Detail Balok'!$C$10:$AU$110,36,FALSE)</f>
        <v>0</v>
      </c>
      <c r="E6825" t="str">
        <v>D</v>
      </c>
      <c r="F6825">
        <f>VLOOKUP(D6804,'Detail Balok'!$C$10:$AU$110,38,FALSE)</f>
        <v>8</v>
      </c>
      <c r="G6825" t="str">
        <v>-</v>
      </c>
      <c r="H6825">
        <f>VLOOKUP(D6804,'Detail Balok'!$C$10:$AU$110,40,FALSE)</f>
        <v>150</v>
      </c>
      <c r="J6825">
        <f>(IF(D6825=0,(2*(D6805+G6805))-(F$5*8),IF(D6825=3,(2*(D6805+G6805))-(F$5*8)+(G6805-2*F$5),IF(D6825=4,(2*(D6805+G6805))-(F$5*8)+2*(G6805-2*F$5)))))/1000</f>
        <v>0.68</v>
      </c>
      <c r="K6825" t="str">
        <v>+</v>
      </c>
      <c r="L6825">
        <f>IF(D6825=0,2*MAX(6*F6825,75),(D6825-1)*2*MAX(6*F6825,75))/1000</f>
        <v>0.15</v>
      </c>
      <c r="M6825" t="str">
        <v>=</v>
      </c>
      <c r="N6825">
        <f>J6825+L6825</f>
        <v>0.8300000000000001</v>
      </c>
      <c r="T6825" t="str">
        <v>x</v>
      </c>
      <c r="U6825">
        <f>0.006165*F6825^2</f>
        <v>0.39456</v>
      </c>
      <c r="V6825" t="str">
        <v>x</v>
      </c>
      <c r="W6825">
        <f>IF(D6807-MAX(D6807/4,2*G6805)*2&gt;0,ROUND((D6807-MAX(D6807/4,2*G6805)*2)/H6825,0),0)</f>
        <v>10</v>
      </c>
      <c r="X6825" t="str">
        <v>x</v>
      </c>
      <c r="Y6825">
        <f>D6810</f>
        <v>1</v>
      </c>
      <c r="Z6825" t="str">
        <v>=</v>
      </c>
      <c r="AA6825">
        <f>N6825*U6825*W6825*Y6825</f>
        <v>3.2748480000000004</v>
      </c>
    </row>
    <row r="6826">
      <c r="A6826" t="str">
        <f>A6804</f>
        <v>Lantai 2</v>
      </c>
      <c r="B6826">
        <f>B6804</f>
        <v>32</v>
      </c>
      <c r="C6826" t="str">
        <v>Sengkang Tumpuan</v>
      </c>
      <c r="D6826">
        <f>VLOOKUP(D6804,'Detail Balok'!$C$10:$AU$110,41,FALSE)</f>
        <v>0</v>
      </c>
      <c r="E6826" t="str">
        <v>D</v>
      </c>
      <c r="F6826">
        <f>VLOOKUP(D6804,'Detail Balok'!$C$10:$AU$110,43,FALSE)</f>
        <v>8</v>
      </c>
      <c r="G6826" t="str">
        <v>-</v>
      </c>
      <c r="H6826">
        <f>VLOOKUP(D6804,'Detail Balok'!$C$10:$AU$110,45,FALSE)</f>
        <v>100</v>
      </c>
      <c r="J6826">
        <f>(IF(D6826=0,(2*(D6805+G6805))-(F$5*8),IF(D6826=3,(2*(D6805+G6805))-(F$5*8)+(G6805-2*F$5),IF(D6826=4,(2*(D6805+G6805))-(F$5*8)+2*(G6805-2*F$5)))))/1000</f>
        <v>0.68</v>
      </c>
      <c r="K6826" t="str">
        <v>+</v>
      </c>
      <c r="L6826">
        <f>IF(D6826=0,2*MAX(6*F6826,75),(D6826-1)*2*MAX(6*F6826,75))/1000</f>
        <v>0.15</v>
      </c>
      <c r="M6826" t="str">
        <v>=</v>
      </c>
      <c r="N6826">
        <f>J6826+L6826</f>
        <v>0.8300000000000001</v>
      </c>
      <c r="T6826" t="str">
        <v>x</v>
      </c>
      <c r="U6826">
        <f>0.006165*F6826^2</f>
        <v>0.39456</v>
      </c>
      <c r="V6826" t="str">
        <v>x</v>
      </c>
      <c r="W6826">
        <f>IF(D6807&gt;4*G6805,ROUND(MAX(D6807/4,2*G6805)/H6826,0)+1,0)</f>
        <v>9</v>
      </c>
      <c r="X6826" t="str">
        <v>x</v>
      </c>
      <c r="Y6826">
        <f>D6810</f>
        <v>1</v>
      </c>
      <c r="Z6826" t="str">
        <v>=</v>
      </c>
      <c r="AA6826">
        <f>N6826*U6826*W6826*Y6826</f>
        <v>2.9473632000000003</v>
      </c>
    </row>
    <row r="6828">
      <c r="A6828" t="str">
        <f>A6804</f>
        <v>Lantai 2</v>
      </c>
      <c r="B6828">
        <f>B6804</f>
        <v>32</v>
      </c>
      <c r="C6828" t="str">
        <v>Kait Horizontal Tump.</v>
      </c>
      <c r="D6828">
        <f>VLOOKUP(D6804,'Detail Balok'!$C$10:$BJ$110,46,FALSE)</f>
        <v>0</v>
      </c>
      <c r="E6828" t="str">
        <v>D</v>
      </c>
      <c r="F6828">
        <f>VLOOKUP(D6804,'Detail Balok'!$C$10:$BJ$110,48,FALSE)</f>
        <v>0</v>
      </c>
      <c r="G6828" t="str">
        <v>-</v>
      </c>
      <c r="H6828">
        <f>VLOOKUP(D6804,'Detail Balok'!$C$10:$BJ$110,50,FALSE)</f>
        <v>100</v>
      </c>
      <c r="J6828">
        <f>(D6805-2*F$5)/1000</f>
        <v>0.12</v>
      </c>
      <c r="K6828" t="str">
        <v>+</v>
      </c>
      <c r="L6828">
        <f>IF(D6828=0,2*MAX(6*F6828,75),(D6828-1)*2*MAX(6*F6828,75))/1000</f>
        <v>0.15</v>
      </c>
      <c r="M6828" t="str">
        <v>=</v>
      </c>
      <c r="N6828">
        <f>J6828+L6828</f>
        <v>0.27</v>
      </c>
      <c r="T6828" t="str">
        <v>x</v>
      </c>
      <c r="U6828">
        <f>0.006165*F6828^2</f>
        <v>0</v>
      </c>
      <c r="V6828" t="str">
        <v>x</v>
      </c>
      <c r="W6828">
        <f>W6824</f>
        <v>9</v>
      </c>
      <c r="X6828" t="str">
        <v>x</v>
      </c>
      <c r="Y6828">
        <f>D6814</f>
        <v>2</v>
      </c>
      <c r="Z6828" t="str">
        <v>=</v>
      </c>
      <c r="AA6828">
        <f>N6828*U6828*W6828*Y6828</f>
        <v>0</v>
      </c>
    </row>
    <row r="6829">
      <c r="A6829" t="str">
        <f>A6804</f>
        <v>Lantai 2</v>
      </c>
      <c r="B6829">
        <f>B6804</f>
        <v>32</v>
      </c>
      <c r="C6829" t="str">
        <v>Kait Horizontal Lap.</v>
      </c>
      <c r="D6829">
        <f>VLOOKUP(D6804,'Detail Balok'!$C$10:$BJ$110,51,FALSE)</f>
        <v>0</v>
      </c>
      <c r="E6829" t="str">
        <v>D</v>
      </c>
      <c r="F6829">
        <f>VLOOKUP(D6804,'Detail Balok'!$C$10:$BJ$110,53,FALSE)</f>
        <v>0</v>
      </c>
      <c r="G6829" t="str">
        <v>-</v>
      </c>
      <c r="H6829">
        <f>VLOOKUP(D6804,'Detail Balok'!$C$10:$BJ$110,55,FALSE)</f>
        <v>100</v>
      </c>
      <c r="J6829">
        <f>(D6805-2*F$5)/1000</f>
        <v>0.12</v>
      </c>
      <c r="K6829" t="str">
        <v>+</v>
      </c>
      <c r="L6829">
        <f>IF(D6829=0,2*MAX(6*F6829,75),(D6829-1)*2*MAX(6*F6829,75))/1000</f>
        <v>0.15</v>
      </c>
      <c r="M6829" t="str">
        <v>=</v>
      </c>
      <c r="N6829">
        <f>J6829+L6829</f>
        <v>0.27</v>
      </c>
      <c r="T6829" t="str">
        <v>x</v>
      </c>
      <c r="U6829">
        <f>0.006165*F6829^2</f>
        <v>0</v>
      </c>
      <c r="V6829" t="str">
        <v>x</v>
      </c>
      <c r="W6829">
        <f>W6825</f>
        <v>10</v>
      </c>
      <c r="X6829" t="str">
        <v>x</v>
      </c>
      <c r="Y6829">
        <f>D6814</f>
        <v>2</v>
      </c>
      <c r="Z6829" t="str">
        <v>=</v>
      </c>
      <c r="AA6829">
        <f>N6829*U6829*W6829*Y6829</f>
        <v>0</v>
      </c>
    </row>
    <row r="6830">
      <c r="A6830" t="str">
        <f>A6804</f>
        <v>Lantai 2</v>
      </c>
      <c r="B6830">
        <f>B6804</f>
        <v>32</v>
      </c>
      <c r="C6830" t="str">
        <v>Kait Horizontal Tump.</v>
      </c>
      <c r="D6830">
        <f>VLOOKUP(D6804,'Detail Balok'!$C$10:$BJ$110,56,FALSE)</f>
        <v>0</v>
      </c>
      <c r="E6830" t="str">
        <v>D</v>
      </c>
      <c r="F6830">
        <f>VLOOKUP(D6804,'Detail Balok'!$C$10:$BJ$110,58,FALSE)</f>
        <v>0</v>
      </c>
      <c r="G6830" t="str">
        <v>-</v>
      </c>
      <c r="H6830">
        <f>VLOOKUP(D6804,'Detail Balok'!$C$10:$BJ$110,60,FALSE)</f>
        <v>100</v>
      </c>
      <c r="J6830">
        <f>(D6805-2*F$5)/1000</f>
        <v>0.12</v>
      </c>
      <c r="K6830" t="str">
        <v>+</v>
      </c>
      <c r="L6830">
        <f>IF(D6830=0,2*MAX(6*F6830,75),(D6830-1)*2*MAX(6*F6830,75))/1000</f>
        <v>0.15</v>
      </c>
      <c r="M6830" t="str">
        <v>=</v>
      </c>
      <c r="N6830">
        <f>J6830+L6830</f>
        <v>0.27</v>
      </c>
      <c r="T6830" t="str">
        <v>x</v>
      </c>
      <c r="U6830">
        <f>0.006165*F6830^2</f>
        <v>0</v>
      </c>
      <c r="V6830" t="str">
        <v>x</v>
      </c>
      <c r="W6830">
        <f>W6826</f>
        <v>9</v>
      </c>
      <c r="X6830" t="str">
        <v>x</v>
      </c>
      <c r="Y6830">
        <f>D6814</f>
        <v>2</v>
      </c>
      <c r="Z6830" t="str">
        <v>=</v>
      </c>
      <c r="AA6830">
        <f>N6830*U6830*W6830*Y6830</f>
        <v>0</v>
      </c>
    </row>
    <row r="6834">
      <c r="A6834" t="str">
        <f>A6804</f>
        <v>Lantai 2</v>
      </c>
      <c r="B6834">
        <f>B6804+1</f>
        <v>33</v>
      </c>
      <c r="C6834" t="str">
        <f>CONCATENATE(A6834," no. ",B6834)</f>
        <v>Lantai 2 no. 33</v>
      </c>
      <c r="D6834" t="str">
        <f>VLOOKUP(C6834,'Data Panjang Balok'!$C$9:$N$424,2,FALSE)</f>
        <v>B245-4</v>
      </c>
    </row>
    <row r="6835">
      <c r="C6835" t="str">
        <v>Dimensi</v>
      </c>
      <c r="D6835">
        <f>VLOOKUP(D6834,'Detail Balok'!$C$10:$AU$110,2,FALSE)</f>
        <v>200</v>
      </c>
      <c r="F6835" t="str">
        <v>x</v>
      </c>
      <c r="G6835">
        <f>VLOOKUP(D6834,'Detail Balok'!$C$10:$AU$110,3,FALSE)</f>
        <v>450</v>
      </c>
    </row>
    <row r="6836">
      <c r="C6836" t="str">
        <v>Panjang as ke as</v>
      </c>
      <c r="D6836">
        <f>VLOOKUP(C6834,'Data Panjang Balok'!$C$9:$N$424,4,FALSE)</f>
        <v>4600</v>
      </c>
    </row>
    <row r="6837">
      <c r="C6837" t="str">
        <v>Panjang netto</v>
      </c>
      <c r="D6837">
        <f>VLOOKUP(C6834,'Data Panjang Balok'!$C$9:$N$424,7,FALSE)</f>
        <v>4600</v>
      </c>
    </row>
    <row r="6838">
      <c r="C6838" t="str">
        <v>Kolom / balok kiri</v>
      </c>
      <c r="D6838">
        <f>VLOOKUP(C6834,'Data Panjang Balok'!$C$9:$N$424,9,FALSE)</f>
        <v>0</v>
      </c>
    </row>
    <row r="6839">
      <c r="C6839" t="str">
        <v>Kolom / balok kanan</v>
      </c>
      <c r="D6839">
        <f>VLOOKUP(C6834,'Data Panjang Balok'!$C$9:$N$424,10,FALSE)</f>
        <v>0</v>
      </c>
    </row>
    <row r="6840">
      <c r="C6840" t="str">
        <v>Jumlah</v>
      </c>
      <c r="D6840">
        <f>VLOOKUP(C6834,'Data Panjang Balok'!$C$9:$N$424,3,FALSE)</f>
        <v>1</v>
      </c>
    </row>
    <row r="6841">
      <c r="A6841" t="str">
        <f>A6834</f>
        <v>Lantai 2</v>
      </c>
      <c r="B6841">
        <f>B6834</f>
        <v>33</v>
      </c>
      <c r="C6841" t="str">
        <v>Tul Atas Tumpuan</v>
      </c>
      <c r="D6841">
        <f>VLOOKUP(D6834,'Detail Balok'!$C$10:$AU$110,4,FALSE)</f>
        <v>3</v>
      </c>
      <c r="E6841" t="str">
        <v>D</v>
      </c>
      <c r="F6841">
        <f>VLOOKUP(D6834,'Detail Balok'!$C$10:$AU$110,6,FALSE)</f>
        <v>16</v>
      </c>
      <c r="I6841" t="str">
        <v>(</v>
      </c>
      <c r="J6841">
        <f>+D6836/4/1000</f>
        <v>1.15</v>
      </c>
      <c r="K6841" t="str">
        <v>+</v>
      </c>
      <c r="L6841">
        <f>MAX(VLOOKUP(F6841,N$6:P$15,3,FALSE)/1000,2/3*D6838/1000)+F$16*F6841/1000</f>
        <v>0.192</v>
      </c>
      <c r="M6841" t="str">
        <v>=</v>
      </c>
      <c r="N6841">
        <f>J6841+L6841</f>
        <v>1.3419999999999999</v>
      </c>
      <c r="O6841" t="str">
        <v>+</v>
      </c>
      <c r="P6841">
        <f>D6841-D6842</f>
        <v>0</v>
      </c>
      <c r="Q6841" t="str">
        <v>x</v>
      </c>
      <c r="R6841">
        <f>IF(P6841&gt;0,$F$18*F6841/1000,0)</f>
        <v>0</v>
      </c>
      <c r="S6841" t="str">
        <v>)</v>
      </c>
      <c r="T6841" t="str">
        <v>x</v>
      </c>
      <c r="U6841">
        <f>0.006165*F6841^2</f>
        <v>1.57824</v>
      </c>
      <c r="X6841" t="str">
        <v>x</v>
      </c>
      <c r="Y6841">
        <f>D6840</f>
        <v>1</v>
      </c>
      <c r="Z6841" t="str">
        <v>=</v>
      </c>
      <c r="AA6841">
        <f>IF(AA6844=0,(D6841*N6841+P6841*R6841)*U6841*Y6841,0)</f>
        <v>0</v>
      </c>
    </row>
    <row r="6842">
      <c r="A6842" t="str">
        <f>A6834</f>
        <v>Lantai 2</v>
      </c>
      <c r="B6842">
        <f>B6834</f>
        <v>33</v>
      </c>
      <c r="C6842" t="str">
        <v>Tul Atas Lapangan</v>
      </c>
      <c r="D6842">
        <f>VLOOKUP(D6834,'Detail Balok'!$C$10:$AU$110,7,FALSE)</f>
        <v>3</v>
      </c>
      <c r="E6842" t="str">
        <v>D</v>
      </c>
      <c r="F6842">
        <f>VLOOKUP(D6834,'Detail Balok'!$C$10:$AU$110,9,FALSE)</f>
        <v>16</v>
      </c>
      <c r="I6842" t="str">
        <v>(</v>
      </c>
      <c r="J6842">
        <f>+D6836/2/1000</f>
        <v>2.3</v>
      </c>
      <c r="K6842" t="str">
        <v>+</v>
      </c>
      <c r="M6842" t="str">
        <v>=</v>
      </c>
      <c r="N6842">
        <f>J6842+L6842</f>
        <v>2.3</v>
      </c>
      <c r="O6842" t="str">
        <v>+</v>
      </c>
      <c r="P6842">
        <f>MAX(D6842-D6841,D6842-D6843)</f>
        <v>0</v>
      </c>
      <c r="Q6842" t="str">
        <v>x</v>
      </c>
      <c r="R6842">
        <f>IF(P6842&gt;0,2*(1-2*$F$19-1/2)*D6837/1000,0)</f>
        <v>0</v>
      </c>
      <c r="S6842" t="str">
        <v>)</v>
      </c>
      <c r="T6842" t="str">
        <v>x</v>
      </c>
      <c r="U6842">
        <f>0.006165*F6842^2</f>
        <v>1.57824</v>
      </c>
      <c r="X6842" t="str">
        <v>x</v>
      </c>
      <c r="Y6842">
        <f>D6840</f>
        <v>1</v>
      </c>
      <c r="Z6842" t="str">
        <v>=</v>
      </c>
      <c r="AA6842">
        <f>IF(AA6844=0,(D6842*N6842+P6842*R6842)*U6842*Y6842,0)</f>
        <v>0</v>
      </c>
    </row>
    <row r="6843">
      <c r="A6843" t="str">
        <f>A6834</f>
        <v>Lantai 2</v>
      </c>
      <c r="B6843">
        <f>B6834</f>
        <v>33</v>
      </c>
      <c r="C6843" t="str">
        <v>Tul Atas Tumpuan</v>
      </c>
      <c r="D6843">
        <f>VLOOKUP(D6834,'Detail Balok'!$C$10:$AU$110,10,FALSE)</f>
        <v>3</v>
      </c>
      <c r="E6843" t="str">
        <v>D</v>
      </c>
      <c r="F6843">
        <f>VLOOKUP(D6834,'Detail Balok'!$C$10:$AU$110,12,FALSE)</f>
        <v>16</v>
      </c>
      <c r="I6843" t="str">
        <v>(</v>
      </c>
      <c r="J6843">
        <f>+D6836/4/1000</f>
        <v>1.15</v>
      </c>
      <c r="K6843" t="str">
        <v>+</v>
      </c>
      <c r="L6843">
        <f>MAX(VLOOKUP(F6843,N$6:P$15,3,FALSE)/1000,2/3*D6838/1000)+F$16*F6843/1000</f>
        <v>0.192</v>
      </c>
      <c r="M6843" t="str">
        <v>=</v>
      </c>
      <c r="N6843">
        <f>J6843+L6843</f>
        <v>1.3419999999999999</v>
      </c>
      <c r="O6843" t="str">
        <v>+</v>
      </c>
      <c r="P6843">
        <f>D6843-D6842</f>
        <v>0</v>
      </c>
      <c r="Q6843" t="str">
        <v>x</v>
      </c>
      <c r="R6843">
        <f>IF(P6843&gt;0,$F$18*F6843/1000,0)</f>
        <v>0</v>
      </c>
      <c r="S6843" t="str">
        <v>)</v>
      </c>
      <c r="T6843" t="str">
        <v>x</v>
      </c>
      <c r="U6843">
        <f>0.006165*F6843^2</f>
        <v>1.57824</v>
      </c>
      <c r="X6843" t="str">
        <v>x</v>
      </c>
      <c r="Y6843">
        <f>D6840</f>
        <v>1</v>
      </c>
      <c r="Z6843" t="str">
        <v>=</v>
      </c>
      <c r="AA6843">
        <f>IF(AA6844=0,(D6843*N6843+P6843*R6843)*U6843*Y6843,0)</f>
        <v>0</v>
      </c>
    </row>
    <row r="6844">
      <c r="A6844" t="str">
        <f>A6834</f>
        <v>Lantai 2</v>
      </c>
      <c r="B6844">
        <f>B6834</f>
        <v>33</v>
      </c>
      <c r="D6844">
        <f>IF(AND(D6841=D6842,D6842=D6843,D6841=D6843),D6841,0)</f>
        <v>3</v>
      </c>
      <c r="E6844" t="str">
        <v>D</v>
      </c>
      <c r="F6844">
        <f>IF(AND(F6841=F6842,F6841=F6843,F6842=F6843),F6841,0)</f>
        <v>16</v>
      </c>
      <c r="L6844" t="str">
        <v>Total panjang per balok</v>
      </c>
      <c r="M6844" t="str">
        <v>=</v>
      </c>
      <c r="N6844">
        <f>IF(AND(D6841=D6842,D6841=D6843,D6842=D6843,F6841=F6842,F6841=F6843,F6842=F6843),SUM(N6841:N6843),0)</f>
        <v>4.983999999999999</v>
      </c>
      <c r="O6844" t="str">
        <v>+</v>
      </c>
      <c r="P6844">
        <f>IF(N6844&gt;12,ROUNDDOWN(N6844/12,0),0)</f>
        <v>0</v>
      </c>
      <c r="Q6844" t="str">
        <v>x</v>
      </c>
      <c r="R6844">
        <f>IF(P6844&gt;0,MAX(VLOOKUP(F6844,$D$6:$G$15,3,FALSE),600),0)/1000</f>
        <v>0</v>
      </c>
      <c r="T6844" t="str">
        <v>x</v>
      </c>
      <c r="U6844">
        <f>U6843</f>
        <v>1.57824</v>
      </c>
      <c r="V6844" t="str">
        <v>x</v>
      </c>
      <c r="W6844">
        <f>D6844</f>
        <v>3</v>
      </c>
      <c r="X6844" t="str">
        <v>x</v>
      </c>
      <c r="Y6844">
        <f>Y6843</f>
        <v>1</v>
      </c>
      <c r="Z6844" t="str">
        <v>=</v>
      </c>
      <c r="AA6844">
        <f>(N6844+P6844*R6844/1000)*U6844*W6844*Y6844</f>
        <v>23.59784448</v>
      </c>
    </row>
    <row r="6846">
      <c r="A6846" t="str">
        <f>A6834</f>
        <v>Lantai 2</v>
      </c>
      <c r="B6846">
        <f>B6834</f>
        <v>33</v>
      </c>
      <c r="C6846" t="str">
        <v>Tul Peminggang</v>
      </c>
      <c r="D6846">
        <f>VLOOKUP(D6834,'Detail Balok'!$C$10:$AU$110,13,FALSE)</f>
        <v>2</v>
      </c>
      <c r="E6846" t="str">
        <v>D</v>
      </c>
      <c r="F6846">
        <f>VLOOKUP(D6834,'Detail Balok'!$C$10:$AU$110,15,FALSE)</f>
        <v>8</v>
      </c>
      <c r="J6846">
        <f>+D6836/1000</f>
        <v>4.6</v>
      </c>
      <c r="K6846" t="str">
        <v>+</v>
      </c>
      <c r="L6846">
        <f>2*$F$16*F6846/1000</f>
        <v>0.192</v>
      </c>
      <c r="M6846" t="str">
        <v>=</v>
      </c>
      <c r="N6846">
        <f>J6846+L6846</f>
        <v>4.792</v>
      </c>
      <c r="O6846" t="str">
        <v>+</v>
      </c>
      <c r="P6846">
        <f>IF(N6846&gt;12,ROUNDDOWN(N6846/12,0),0)</f>
        <v>0</v>
      </c>
      <c r="Q6846" t="str">
        <v>x</v>
      </c>
      <c r="R6846">
        <f>IF(P6846&gt;0,MAX(VLOOKUP(F6846,$D$6:$G$15,3,FALSE),600),0)/1000</f>
        <v>0</v>
      </c>
      <c r="T6846" t="str">
        <v>x</v>
      </c>
      <c r="U6846">
        <f>0.006165*F6846^2</f>
        <v>0.39456</v>
      </c>
      <c r="V6846" t="str">
        <v>x</v>
      </c>
      <c r="W6846">
        <f>+D6846</f>
        <v>2</v>
      </c>
      <c r="X6846" t="str">
        <v>x</v>
      </c>
      <c r="Y6846">
        <f>D6840</f>
        <v>1</v>
      </c>
      <c r="Z6846" t="str">
        <v>=</v>
      </c>
      <c r="AA6846">
        <f>(N6846+P6846*R6846/1000)*U6846*W6846*Y6846</f>
        <v>3.78146304</v>
      </c>
    </row>
    <row r="6849">
      <c r="A6849" t="str">
        <f>A6834</f>
        <v>Lantai 2</v>
      </c>
      <c r="B6849">
        <f>B6834</f>
        <v>33</v>
      </c>
      <c r="C6849" t="str">
        <v>Tul Bawah Tumpuan</v>
      </c>
      <c r="D6849">
        <f>VLOOKUP(D6834,'Detail Balok'!$C$10:$AU$110,22,FALSE)</f>
        <v>3</v>
      </c>
      <c r="E6849" t="str">
        <v>D</v>
      </c>
      <c r="F6849">
        <f>VLOOKUP(D6834,'Detail Balok'!$C$10:$AU$110,24,FALSE)</f>
        <v>16</v>
      </c>
      <c r="I6849" t="str">
        <v>(</v>
      </c>
      <c r="J6849">
        <f>+J6841</f>
        <v>1.15</v>
      </c>
      <c r="K6849" t="str">
        <v>+</v>
      </c>
      <c r="L6849">
        <f>MAX(VLOOKUP(F6849,N$6:P$15,3,FALSE)/1000,2/3*D6839/1000)+F$16*F6849/1000</f>
        <v>0.192</v>
      </c>
      <c r="M6849" t="str">
        <v>=</v>
      </c>
      <c r="N6849">
        <f>J6849+L6849</f>
        <v>1.3419999999999999</v>
      </c>
      <c r="O6849" t="str">
        <v>+</v>
      </c>
      <c r="P6849">
        <f>D6849-D6850</f>
        <v>0</v>
      </c>
      <c r="Q6849" t="str">
        <v>x</v>
      </c>
      <c r="R6849">
        <f>IF(P6849&gt;0,$F$18*F6849/1000,0)</f>
        <v>0</v>
      </c>
      <c r="S6849" t="str">
        <v>)</v>
      </c>
      <c r="T6849" t="str">
        <v>x</v>
      </c>
      <c r="U6849">
        <f>0.006165*F6849^2</f>
        <v>1.57824</v>
      </c>
      <c r="X6849" t="str">
        <v>x</v>
      </c>
      <c r="Y6849">
        <f>D6840</f>
        <v>1</v>
      </c>
      <c r="Z6849" t="str">
        <v>=</v>
      </c>
      <c r="AA6849">
        <f>IF(AA6852=0,(D6849*N6849+P6849*R6849)*U6849*Y6849,0)</f>
        <v>0</v>
      </c>
    </row>
    <row r="6850">
      <c r="A6850" t="str">
        <f>A6834</f>
        <v>Lantai 2</v>
      </c>
      <c r="B6850">
        <f>B6834</f>
        <v>33</v>
      </c>
      <c r="C6850" t="str">
        <v>Tul Bawah Lapangan</v>
      </c>
      <c r="D6850">
        <f>VLOOKUP(D6834,'Detail Balok'!$C$10:$AU$110,25,FALSE)</f>
        <v>3</v>
      </c>
      <c r="E6850" t="str">
        <v>D</v>
      </c>
      <c r="F6850">
        <f>VLOOKUP(D6834,'Detail Balok'!$C$10:$AU$110,27,FALSE)</f>
        <v>16</v>
      </c>
      <c r="I6850" t="str">
        <v>(</v>
      </c>
      <c r="J6850">
        <f>+J6842</f>
        <v>2.3</v>
      </c>
      <c r="K6850" t="str">
        <v>+</v>
      </c>
      <c r="M6850" t="str">
        <v>=</v>
      </c>
      <c r="N6850">
        <f>J6850+L6850</f>
        <v>2.3</v>
      </c>
      <c r="O6850" t="str">
        <v>+</v>
      </c>
      <c r="P6850">
        <f>MAX(D6850-D6849,D6850-D6851)</f>
        <v>0</v>
      </c>
      <c r="Q6850" t="str">
        <v>x</v>
      </c>
      <c r="R6850">
        <f>IF(P6850&gt;0,2*(1-2*$F$19-1/2)*D6837/1000,0)</f>
        <v>0</v>
      </c>
      <c r="S6850" t="str">
        <v>)</v>
      </c>
      <c r="T6850" t="str">
        <v>x</v>
      </c>
      <c r="U6850">
        <f>0.006165*F6850^2</f>
        <v>1.57824</v>
      </c>
      <c r="X6850" t="str">
        <v>x</v>
      </c>
      <c r="Y6850">
        <f>D6840</f>
        <v>1</v>
      </c>
      <c r="Z6850" t="str">
        <v>=</v>
      </c>
      <c r="AA6850">
        <f>IF(AA6852=0,(D6850*N6850+P6850*R6850)*U6850*Y6850,0)</f>
        <v>0</v>
      </c>
    </row>
    <row r="6851">
      <c r="A6851" t="str">
        <f>A6834</f>
        <v>Lantai 2</v>
      </c>
      <c r="B6851">
        <f>B6834</f>
        <v>33</v>
      </c>
      <c r="C6851" t="str">
        <v>Tul Bawah Tumpuan</v>
      </c>
      <c r="D6851">
        <f>VLOOKUP(D6834,'Detail Balok'!$C$10:$AU$110,28,FALSE)</f>
        <v>3</v>
      </c>
      <c r="E6851" t="str">
        <v>D</v>
      </c>
      <c r="F6851">
        <f>VLOOKUP(D6834,'Detail Balok'!$C$10:$AU$110,30,FALSE)</f>
        <v>16</v>
      </c>
      <c r="I6851" t="str">
        <v>(</v>
      </c>
      <c r="J6851">
        <f>+J6843</f>
        <v>1.15</v>
      </c>
      <c r="K6851" t="str">
        <v>+</v>
      </c>
      <c r="L6851">
        <f>MAX(VLOOKUP(F6851,N$6:P$15,3,FALSE)/1000,2/3*D6839/1000)+F$16*F6851/1000</f>
        <v>0.192</v>
      </c>
      <c r="M6851" t="str">
        <v>=</v>
      </c>
      <c r="N6851">
        <f>J6851+L6851</f>
        <v>1.3419999999999999</v>
      </c>
      <c r="O6851" t="str">
        <v>+</v>
      </c>
      <c r="P6851">
        <f>D6851-D6850</f>
        <v>0</v>
      </c>
      <c r="Q6851" t="str">
        <v>x</v>
      </c>
      <c r="R6851">
        <f>IF(P6851&gt;0,$F$18*F6851/1000,0)</f>
        <v>0</v>
      </c>
      <c r="S6851" t="str">
        <v>)</v>
      </c>
      <c r="T6851" t="str">
        <v>x</v>
      </c>
      <c r="U6851">
        <f>0.006165*F6851^2</f>
        <v>1.57824</v>
      </c>
      <c r="X6851" t="str">
        <v>x</v>
      </c>
      <c r="Y6851">
        <f>D6840</f>
        <v>1</v>
      </c>
      <c r="Z6851" t="str">
        <v>=</v>
      </c>
      <c r="AA6851">
        <f>IF(AA6852=0,(D6851*N6851+P6851*R6851)*U6851*Y6851,0)</f>
        <v>0</v>
      </c>
    </row>
    <row r="6852">
      <c r="A6852" t="str">
        <f>A6834</f>
        <v>Lantai 2</v>
      </c>
      <c r="B6852">
        <f>B6834</f>
        <v>33</v>
      </c>
      <c r="D6852">
        <f>IF(AND(D6849=D6850,D6850=D6851,D6849=D6851),D6849,0)</f>
        <v>3</v>
      </c>
      <c r="E6852" t="str">
        <v>D</v>
      </c>
      <c r="F6852">
        <f>IF(AND(F6849=F6850,F6849=F6851,F6850=F6851),F6849,0)</f>
        <v>16</v>
      </c>
      <c r="L6852" t="str">
        <v>Total panjang per balok</v>
      </c>
      <c r="M6852" t="str">
        <v>=</v>
      </c>
      <c r="N6852">
        <f>IF(AND(D6849=D6850,D6849=D6851,D6850=D6851,F6849=F6850,F6849=F6851,F6850=F6851),SUM(N6849:N6851),0)</f>
        <v>4.983999999999999</v>
      </c>
      <c r="O6852" t="str">
        <v>+</v>
      </c>
      <c r="P6852">
        <f>IF(N6852&gt;12,ROUNDDOWN(N6852/12,0),0)</f>
        <v>0</v>
      </c>
      <c r="Q6852" t="str">
        <v>x</v>
      </c>
      <c r="R6852">
        <f>IF(P6852&gt;0,MAX(VLOOKUP(F6852,$D$6:$G$15,3,FALSE),600),0)/1000</f>
        <v>0</v>
      </c>
      <c r="T6852" t="str">
        <v>x</v>
      </c>
      <c r="U6852">
        <f>U6851</f>
        <v>1.57824</v>
      </c>
      <c r="V6852" t="str">
        <v>x</v>
      </c>
      <c r="W6852">
        <f>D6852</f>
        <v>3</v>
      </c>
      <c r="X6852" t="str">
        <v>x</v>
      </c>
      <c r="Y6852">
        <f>Y6851</f>
        <v>1</v>
      </c>
      <c r="Z6852" t="str">
        <v>=</v>
      </c>
      <c r="AA6852">
        <f>(N6852+P6852*R6852/1000)*U6852*W6852*Y6852</f>
        <v>23.59784448</v>
      </c>
    </row>
    <row r="6854">
      <c r="A6854" t="str">
        <f>A6834</f>
        <v>Lantai 2</v>
      </c>
      <c r="B6854">
        <f>B6834</f>
        <v>33</v>
      </c>
      <c r="C6854" t="str">
        <v>Sengkang Tumpuan</v>
      </c>
      <c r="D6854">
        <f>VLOOKUP(D6834,'Detail Balok'!$C$10:$AU$110,31,FALSE)</f>
        <v>0</v>
      </c>
      <c r="E6854" t="str">
        <v>D</v>
      </c>
      <c r="F6854">
        <f>VLOOKUP(D6834,'Detail Balok'!$C$10:$AU$110,33,FALSE)</f>
        <v>8</v>
      </c>
      <c r="G6854" t="str">
        <v>-</v>
      </c>
      <c r="H6854">
        <f>VLOOKUP(D6834,'Detail Balok'!$C$10:$AU$110,35,FALSE)</f>
        <v>100</v>
      </c>
      <c r="J6854">
        <f>(IF(D6854=0,(2*(D6835+G6835))-(F$5*8),IF(D6854=3,(2*(D6835+G6835))-(F$5*8)+(G6835-2*F$5),IF(D6854=4,(2*(D6835+G6835))-(F$5*8)+2*(G6835-2*F$5)))))/1000</f>
        <v>0.98</v>
      </c>
      <c r="K6854" t="str">
        <v>+</v>
      </c>
      <c r="L6854">
        <f>IF(D6854=0,2*MAX(6*F6854,75),(D6854-1)*2*MAX(6*F6854,75))/1000</f>
        <v>0.15</v>
      </c>
      <c r="M6854" t="str">
        <v>=</v>
      </c>
      <c r="N6854">
        <f>J6854+L6854</f>
        <v>1.13</v>
      </c>
      <c r="T6854" t="str">
        <v>x</v>
      </c>
      <c r="U6854">
        <f>0.006165*F6854^2</f>
        <v>0.39456</v>
      </c>
      <c r="V6854" t="str">
        <v>x</v>
      </c>
      <c r="W6854">
        <f>IF(D6837&gt;4*G6835,ROUND(MAX(D6837/4,2*G6835)/H6854,0)+1,ROUND(D6837/H6854,0)+1)</f>
        <v>13</v>
      </c>
      <c r="X6854" t="str">
        <v>x</v>
      </c>
      <c r="Y6854">
        <f>D6840</f>
        <v>1</v>
      </c>
      <c r="Z6854" t="str">
        <v>=</v>
      </c>
      <c r="AA6854">
        <f>N6854*U6854*W6854*Y6854</f>
        <v>5.7960864</v>
      </c>
    </row>
    <row r="6855">
      <c r="A6855" t="str">
        <f>A6834</f>
        <v>Lantai 2</v>
      </c>
      <c r="B6855">
        <f>B6834</f>
        <v>33</v>
      </c>
      <c r="C6855" t="str">
        <v>Sengkang Lapangan</v>
      </c>
      <c r="D6855">
        <f>VLOOKUP(D6834,'Detail Balok'!$C$10:$AU$110,36,FALSE)</f>
        <v>0</v>
      </c>
      <c r="E6855" t="str">
        <v>D</v>
      </c>
      <c r="F6855">
        <f>VLOOKUP(D6834,'Detail Balok'!$C$10:$AU$110,38,FALSE)</f>
        <v>8</v>
      </c>
      <c r="G6855" t="str">
        <v>-</v>
      </c>
      <c r="H6855">
        <f>VLOOKUP(D6834,'Detail Balok'!$C$10:$AU$110,40,FALSE)</f>
        <v>200</v>
      </c>
      <c r="J6855">
        <f>(IF(D6855=0,(2*(D6835+G6835))-(F$5*8),IF(D6855=3,(2*(D6835+G6835))-(F$5*8)+(G6835-2*F$5),IF(D6855=4,(2*(D6835+G6835))-(F$5*8)+2*(G6835-2*F$5)))))/1000</f>
        <v>0.98</v>
      </c>
      <c r="K6855" t="str">
        <v>+</v>
      </c>
      <c r="L6855">
        <f>IF(D6855=0,2*MAX(6*F6855,75),(D6855-1)*2*MAX(6*F6855,75))/1000</f>
        <v>0.15</v>
      </c>
      <c r="M6855" t="str">
        <v>=</v>
      </c>
      <c r="N6855">
        <f>J6855+L6855</f>
        <v>1.13</v>
      </c>
      <c r="T6855" t="str">
        <v>x</v>
      </c>
      <c r="U6855">
        <f>0.006165*F6855^2</f>
        <v>0.39456</v>
      </c>
      <c r="V6855" t="str">
        <v>x</v>
      </c>
      <c r="W6855">
        <f>IF(D6837-MAX(D6837/4,2*G6835)*2&gt;0,ROUND((D6837-MAX(D6837/4,2*G6835)*2)/H6855,0),0)</f>
        <v>12</v>
      </c>
      <c r="X6855" t="str">
        <v>x</v>
      </c>
      <c r="Y6855">
        <f>D6840</f>
        <v>1</v>
      </c>
      <c r="Z6855" t="str">
        <v>=</v>
      </c>
      <c r="AA6855">
        <f>N6855*U6855*W6855*Y6855</f>
        <v>5.3502336</v>
      </c>
    </row>
    <row r="6856">
      <c r="A6856" t="str">
        <f>A6834</f>
        <v>Lantai 2</v>
      </c>
      <c r="B6856">
        <f>B6834</f>
        <v>33</v>
      </c>
      <c r="C6856" t="str">
        <v>Sengkang Tumpuan</v>
      </c>
      <c r="D6856">
        <f>VLOOKUP(D6834,'Detail Balok'!$C$10:$AU$110,41,FALSE)</f>
        <v>0</v>
      </c>
      <c r="E6856" t="str">
        <v>D</v>
      </c>
      <c r="F6856">
        <f>VLOOKUP(D6834,'Detail Balok'!$C$10:$AU$110,43,FALSE)</f>
        <v>8</v>
      </c>
      <c r="G6856" t="str">
        <v>-</v>
      </c>
      <c r="H6856">
        <f>VLOOKUP(D6834,'Detail Balok'!$C$10:$AU$110,45,FALSE)</f>
        <v>100</v>
      </c>
      <c r="J6856">
        <f>(IF(D6856=0,(2*(D6835+G6835))-(F$5*8),IF(D6856=3,(2*(D6835+G6835))-(F$5*8)+(G6835-2*F$5),IF(D6856=4,(2*(D6835+G6835))-(F$5*8)+2*(G6835-2*F$5)))))/1000</f>
        <v>0.98</v>
      </c>
      <c r="K6856" t="str">
        <v>+</v>
      </c>
      <c r="L6856">
        <f>IF(D6856=0,2*MAX(6*F6856,75),(D6856-1)*2*MAX(6*F6856,75))/1000</f>
        <v>0.15</v>
      </c>
      <c r="M6856" t="str">
        <v>=</v>
      </c>
      <c r="N6856">
        <f>J6856+L6856</f>
        <v>1.13</v>
      </c>
      <c r="T6856" t="str">
        <v>x</v>
      </c>
      <c r="U6856">
        <f>0.006165*F6856^2</f>
        <v>0.39456</v>
      </c>
      <c r="V6856" t="str">
        <v>x</v>
      </c>
      <c r="W6856">
        <f>IF(D6837&gt;4*G6835,ROUND(MAX(D6837/4,2*G6835)/H6856,0)+1,0)</f>
        <v>13</v>
      </c>
      <c r="X6856" t="str">
        <v>x</v>
      </c>
      <c r="Y6856">
        <f>D6840</f>
        <v>1</v>
      </c>
      <c r="Z6856" t="str">
        <v>=</v>
      </c>
      <c r="AA6856">
        <f>N6856*U6856*W6856*Y6856</f>
        <v>5.7960864</v>
      </c>
    </row>
    <row r="6858">
      <c r="A6858" t="str">
        <f>A6834</f>
        <v>Lantai 2</v>
      </c>
      <c r="B6858">
        <f>B6834</f>
        <v>33</v>
      </c>
      <c r="C6858" t="str">
        <v>Kait Horizontal Tump.</v>
      </c>
      <c r="D6858">
        <f>VLOOKUP(D6834,'Detail Balok'!$C$10:$BJ$110,46,FALSE)</f>
        <v>0</v>
      </c>
      <c r="E6858" t="str">
        <v>D</v>
      </c>
      <c r="F6858">
        <f>VLOOKUP(D6834,'Detail Balok'!$C$10:$BJ$110,48,FALSE)</f>
        <v>0</v>
      </c>
      <c r="G6858" t="str">
        <v>-</v>
      </c>
      <c r="H6858">
        <f>VLOOKUP(D6834,'Detail Balok'!$C$10:$BJ$110,50,FALSE)</f>
        <v>100</v>
      </c>
      <c r="J6858">
        <f>(D6835-2*F$5)/1000</f>
        <v>0.12</v>
      </c>
      <c r="K6858" t="str">
        <v>+</v>
      </c>
      <c r="L6858">
        <f>IF(D6858=0,2*MAX(6*F6858,75),(D6858-1)*2*MAX(6*F6858,75))/1000</f>
        <v>0.15</v>
      </c>
      <c r="M6858" t="str">
        <v>=</v>
      </c>
      <c r="N6858">
        <f>J6858+L6858</f>
        <v>0.27</v>
      </c>
      <c r="T6858" t="str">
        <v>x</v>
      </c>
      <c r="U6858">
        <f>0.006165*F6858^2</f>
        <v>0</v>
      </c>
      <c r="V6858" t="str">
        <v>x</v>
      </c>
      <c r="W6858">
        <f>W6854</f>
        <v>13</v>
      </c>
      <c r="X6858" t="str">
        <v>x</v>
      </c>
      <c r="Y6858">
        <f>D6844</f>
        <v>3</v>
      </c>
      <c r="Z6858" t="str">
        <v>=</v>
      </c>
      <c r="AA6858">
        <f>N6858*U6858*W6858*Y6858</f>
        <v>0</v>
      </c>
    </row>
    <row r="6859">
      <c r="A6859" t="str">
        <f>A6834</f>
        <v>Lantai 2</v>
      </c>
      <c r="B6859">
        <f>B6834</f>
        <v>33</v>
      </c>
      <c r="C6859" t="str">
        <v>Kait Horizontal Lap.</v>
      </c>
      <c r="D6859">
        <f>VLOOKUP(D6834,'Detail Balok'!$C$10:$BJ$110,51,FALSE)</f>
        <v>0</v>
      </c>
      <c r="E6859" t="str">
        <v>D</v>
      </c>
      <c r="F6859">
        <f>VLOOKUP(D6834,'Detail Balok'!$C$10:$BJ$110,53,FALSE)</f>
        <v>0</v>
      </c>
      <c r="G6859" t="str">
        <v>-</v>
      </c>
      <c r="H6859">
        <f>VLOOKUP(D6834,'Detail Balok'!$C$10:$BJ$110,55,FALSE)</f>
        <v>100</v>
      </c>
      <c r="J6859">
        <f>(D6835-2*F$5)/1000</f>
        <v>0.12</v>
      </c>
      <c r="K6859" t="str">
        <v>+</v>
      </c>
      <c r="L6859">
        <f>IF(D6859=0,2*MAX(6*F6859,75),(D6859-1)*2*MAX(6*F6859,75))/1000</f>
        <v>0.15</v>
      </c>
      <c r="M6859" t="str">
        <v>=</v>
      </c>
      <c r="N6859">
        <f>J6859+L6859</f>
        <v>0.27</v>
      </c>
      <c r="T6859" t="str">
        <v>x</v>
      </c>
      <c r="U6859">
        <f>0.006165*F6859^2</f>
        <v>0</v>
      </c>
      <c r="V6859" t="str">
        <v>x</v>
      </c>
      <c r="W6859">
        <f>W6855</f>
        <v>12</v>
      </c>
      <c r="X6859" t="str">
        <v>x</v>
      </c>
      <c r="Y6859">
        <f>D6844</f>
        <v>3</v>
      </c>
      <c r="Z6859" t="str">
        <v>=</v>
      </c>
      <c r="AA6859">
        <f>N6859*U6859*W6859*Y6859</f>
        <v>0</v>
      </c>
    </row>
    <row r="6860">
      <c r="A6860" t="str">
        <f>A6834</f>
        <v>Lantai 2</v>
      </c>
      <c r="B6860">
        <f>B6834</f>
        <v>33</v>
      </c>
      <c r="C6860" t="str">
        <v>Kait Horizontal Tump.</v>
      </c>
      <c r="D6860">
        <f>VLOOKUP(D6834,'Detail Balok'!$C$10:$BJ$110,56,FALSE)</f>
        <v>0</v>
      </c>
      <c r="E6860" t="str">
        <v>D</v>
      </c>
      <c r="F6860">
        <f>VLOOKUP(D6834,'Detail Balok'!$C$10:$BJ$110,58,FALSE)</f>
        <v>0</v>
      </c>
      <c r="G6860" t="str">
        <v>-</v>
      </c>
      <c r="H6860">
        <f>VLOOKUP(D6834,'Detail Balok'!$C$10:$BJ$110,60,FALSE)</f>
        <v>100</v>
      </c>
      <c r="J6860">
        <f>(D6835-2*F$5)/1000</f>
        <v>0.12</v>
      </c>
      <c r="K6860" t="str">
        <v>+</v>
      </c>
      <c r="L6860">
        <f>IF(D6860=0,2*MAX(6*F6860,75),(D6860-1)*2*MAX(6*F6860,75))/1000</f>
        <v>0.15</v>
      </c>
      <c r="M6860" t="str">
        <v>=</v>
      </c>
      <c r="N6860">
        <f>J6860+L6860</f>
        <v>0.27</v>
      </c>
      <c r="T6860" t="str">
        <v>x</v>
      </c>
      <c r="U6860">
        <f>0.006165*F6860^2</f>
        <v>0</v>
      </c>
      <c r="V6860" t="str">
        <v>x</v>
      </c>
      <c r="W6860">
        <f>W6856</f>
        <v>13</v>
      </c>
      <c r="X6860" t="str">
        <v>x</v>
      </c>
      <c r="Y6860">
        <f>D6844</f>
        <v>3</v>
      </c>
      <c r="Z6860" t="str">
        <v>=</v>
      </c>
      <c r="AA6860">
        <f>N6860*U6860*W6860*Y6860</f>
        <v>0</v>
      </c>
    </row>
    <row r="6864">
      <c r="A6864" t="str">
        <f>A6834</f>
        <v>Lantai 2</v>
      </c>
      <c r="B6864">
        <f>B6834+1</f>
        <v>34</v>
      </c>
      <c r="C6864" t="str">
        <f>CONCATENATE(A6864," no. ",B6864)</f>
        <v>Lantai 2 no. 34</v>
      </c>
      <c r="D6864" t="str">
        <f>VLOOKUP(C6864,'Data Panjang Balok'!$C$9:$N$424,2,FALSE)</f>
        <v>B23-1</v>
      </c>
    </row>
    <row r="6865">
      <c r="C6865" t="str">
        <v>Dimensi</v>
      </c>
      <c r="D6865">
        <f>VLOOKUP(D6864,'Detail Balok'!$C$10:$AU$110,2,FALSE)</f>
        <v>200</v>
      </c>
      <c r="F6865" t="str">
        <v>x</v>
      </c>
      <c r="G6865">
        <f>VLOOKUP(D6864,'Detail Balok'!$C$10:$AU$110,3,FALSE)</f>
        <v>300</v>
      </c>
    </row>
    <row r="6866">
      <c r="C6866" t="str">
        <v>Panjang as ke as</v>
      </c>
      <c r="D6866">
        <f>VLOOKUP(C6864,'Data Panjang Balok'!$C$9:$N$424,4,FALSE)</f>
        <v>3600</v>
      </c>
    </row>
    <row r="6867">
      <c r="C6867" t="str">
        <v>Panjang netto</v>
      </c>
      <c r="D6867">
        <f>VLOOKUP(C6864,'Data Panjang Balok'!$C$9:$N$424,7,FALSE)</f>
        <v>3600</v>
      </c>
    </row>
    <row r="6868">
      <c r="C6868" t="str">
        <v>Kolom / balok kiri</v>
      </c>
      <c r="D6868">
        <f>VLOOKUP(C6864,'Data Panjang Balok'!$C$9:$N$424,9,FALSE)</f>
        <v>0</v>
      </c>
    </row>
    <row r="6869">
      <c r="C6869" t="str">
        <v>Kolom / balok kanan</v>
      </c>
      <c r="D6869">
        <f>VLOOKUP(C6864,'Data Panjang Balok'!$C$9:$N$424,10,FALSE)</f>
        <v>0</v>
      </c>
    </row>
    <row r="6870">
      <c r="C6870" t="str">
        <v>Jumlah</v>
      </c>
      <c r="D6870">
        <f>VLOOKUP(C6864,'Data Panjang Balok'!$C$9:$N$424,3,FALSE)</f>
        <v>1</v>
      </c>
    </row>
    <row r="6871">
      <c r="A6871" t="str">
        <f>A6864</f>
        <v>Lantai 2</v>
      </c>
      <c r="B6871">
        <f>B6864</f>
        <v>34</v>
      </c>
      <c r="C6871" t="str">
        <v>Tul Atas Tumpuan</v>
      </c>
      <c r="D6871">
        <f>VLOOKUP(D6864,'Detail Balok'!$C$10:$AU$110,4,FALSE)</f>
        <v>2</v>
      </c>
      <c r="E6871" t="str">
        <v>D</v>
      </c>
      <c r="F6871">
        <f>VLOOKUP(D6864,'Detail Balok'!$C$10:$AU$110,6,FALSE)</f>
        <v>13</v>
      </c>
      <c r="I6871" t="str">
        <v>(</v>
      </c>
      <c r="J6871">
        <f>+D6866/4/1000</f>
        <v>0.9</v>
      </c>
      <c r="K6871" t="str">
        <v>+</v>
      </c>
      <c r="L6871">
        <f>MAX(VLOOKUP(F6871,N$6:P$15,3,FALSE)/1000,2/3*D6868/1000)+F$16*F6871/1000</f>
        <v>0.156</v>
      </c>
      <c r="M6871" t="str">
        <v>=</v>
      </c>
      <c r="N6871">
        <f>J6871+L6871</f>
        <v>1.056</v>
      </c>
      <c r="O6871" t="str">
        <v>+</v>
      </c>
      <c r="P6871">
        <f>D6871-D6872</f>
        <v>0</v>
      </c>
      <c r="Q6871" t="str">
        <v>x</v>
      </c>
      <c r="R6871">
        <f>IF(P6871&gt;0,$F$18*F6871/1000,0)</f>
        <v>0</v>
      </c>
      <c r="S6871" t="str">
        <v>)</v>
      </c>
      <c r="T6871" t="str">
        <v>x</v>
      </c>
      <c r="U6871">
        <f>0.006165*F6871^2</f>
        <v>1.041885</v>
      </c>
      <c r="X6871" t="str">
        <v>x</v>
      </c>
      <c r="Y6871">
        <f>D6870</f>
        <v>1</v>
      </c>
      <c r="Z6871" t="str">
        <v>=</v>
      </c>
      <c r="AA6871">
        <f>IF(AA6874=0,(D6871*N6871+P6871*R6871)*U6871*Y6871,0)</f>
        <v>0</v>
      </c>
    </row>
    <row r="6872">
      <c r="A6872" t="str">
        <f>A6864</f>
        <v>Lantai 2</v>
      </c>
      <c r="B6872">
        <f>B6864</f>
        <v>34</v>
      </c>
      <c r="C6872" t="str">
        <v>Tul Atas Lapangan</v>
      </c>
      <c r="D6872">
        <f>VLOOKUP(D6864,'Detail Balok'!$C$10:$AU$110,7,FALSE)</f>
        <v>2</v>
      </c>
      <c r="E6872" t="str">
        <v>D</v>
      </c>
      <c r="F6872">
        <f>VLOOKUP(D6864,'Detail Balok'!$C$10:$AU$110,9,FALSE)</f>
        <v>13</v>
      </c>
      <c r="I6872" t="str">
        <v>(</v>
      </c>
      <c r="J6872">
        <f>+D6866/2/1000</f>
        <v>1.8</v>
      </c>
      <c r="K6872" t="str">
        <v>+</v>
      </c>
      <c r="M6872" t="str">
        <v>=</v>
      </c>
      <c r="N6872">
        <f>J6872+L6872</f>
        <v>1.8</v>
      </c>
      <c r="O6872" t="str">
        <v>+</v>
      </c>
      <c r="P6872">
        <f>MAX(D6872-D6871,D6872-D6873)</f>
        <v>0</v>
      </c>
      <c r="Q6872" t="str">
        <v>x</v>
      </c>
      <c r="R6872">
        <f>IF(P6872&gt;0,2*(1-2*$F$19-1/2)*D6867/1000,0)</f>
        <v>0</v>
      </c>
      <c r="S6872" t="str">
        <v>)</v>
      </c>
      <c r="T6872" t="str">
        <v>x</v>
      </c>
      <c r="U6872">
        <f>0.006165*F6872^2</f>
        <v>1.041885</v>
      </c>
      <c r="X6872" t="str">
        <v>x</v>
      </c>
      <c r="Y6872">
        <f>D6870</f>
        <v>1</v>
      </c>
      <c r="Z6872" t="str">
        <v>=</v>
      </c>
      <c r="AA6872">
        <f>IF(AA6874=0,(D6872*N6872+P6872*R6872)*U6872*Y6872,0)</f>
        <v>0</v>
      </c>
    </row>
    <row r="6873">
      <c r="A6873" t="str">
        <f>A6864</f>
        <v>Lantai 2</v>
      </c>
      <c r="B6873">
        <f>B6864</f>
        <v>34</v>
      </c>
      <c r="C6873" t="str">
        <v>Tul Atas Tumpuan</v>
      </c>
      <c r="D6873">
        <f>VLOOKUP(D6864,'Detail Balok'!$C$10:$AU$110,10,FALSE)</f>
        <v>2</v>
      </c>
      <c r="E6873" t="str">
        <v>D</v>
      </c>
      <c r="F6873">
        <f>VLOOKUP(D6864,'Detail Balok'!$C$10:$AU$110,12,FALSE)</f>
        <v>13</v>
      </c>
      <c r="I6873" t="str">
        <v>(</v>
      </c>
      <c r="J6873">
        <f>+D6866/4/1000</f>
        <v>0.9</v>
      </c>
      <c r="K6873" t="str">
        <v>+</v>
      </c>
      <c r="L6873">
        <f>MAX(VLOOKUP(F6873,N$6:P$15,3,FALSE)/1000,2/3*D6868/1000)+F$16*F6873/1000</f>
        <v>0.156</v>
      </c>
      <c r="M6873" t="str">
        <v>=</v>
      </c>
      <c r="N6873">
        <f>J6873+L6873</f>
        <v>1.056</v>
      </c>
      <c r="O6873" t="str">
        <v>+</v>
      </c>
      <c r="P6873">
        <f>D6873-D6872</f>
        <v>0</v>
      </c>
      <c r="Q6873" t="str">
        <v>x</v>
      </c>
      <c r="R6873">
        <f>IF(P6873&gt;0,$F$18*F6873/1000,0)</f>
        <v>0</v>
      </c>
      <c r="S6873" t="str">
        <v>)</v>
      </c>
      <c r="T6873" t="str">
        <v>x</v>
      </c>
      <c r="U6873">
        <f>0.006165*F6873^2</f>
        <v>1.041885</v>
      </c>
      <c r="X6873" t="str">
        <v>x</v>
      </c>
      <c r="Y6873">
        <f>D6870</f>
        <v>1</v>
      </c>
      <c r="Z6873" t="str">
        <v>=</v>
      </c>
      <c r="AA6873">
        <f>IF(AA6874=0,(D6873*N6873+P6873*R6873)*U6873*Y6873,0)</f>
        <v>0</v>
      </c>
    </row>
    <row r="6874">
      <c r="A6874" t="str">
        <f>A6864</f>
        <v>Lantai 2</v>
      </c>
      <c r="B6874">
        <f>B6864</f>
        <v>34</v>
      </c>
      <c r="D6874">
        <f>IF(AND(D6871=D6872,D6872=D6873,D6871=D6873),D6871,0)</f>
        <v>2</v>
      </c>
      <c r="E6874" t="str">
        <v>D</v>
      </c>
      <c r="F6874">
        <f>IF(AND(F6871=F6872,F6871=F6873,F6872=F6873),F6871,0)</f>
        <v>13</v>
      </c>
      <c r="L6874" t="str">
        <v>Total panjang per balok</v>
      </c>
      <c r="M6874" t="str">
        <v>=</v>
      </c>
      <c r="N6874">
        <f>IF(AND(D6871=D6872,D6871=D6873,D6872=D6873,F6871=F6872,F6871=F6873,F6872=F6873),SUM(N6871:N6873),0)</f>
        <v>3.912</v>
      </c>
      <c r="O6874" t="str">
        <v>+</v>
      </c>
      <c r="P6874">
        <f>IF(N6874&gt;12,ROUNDDOWN(N6874/12,0),0)</f>
        <v>0</v>
      </c>
      <c r="Q6874" t="str">
        <v>x</v>
      </c>
      <c r="R6874">
        <f>IF(P6874&gt;0,MAX(VLOOKUP(F6874,$D$6:$G$15,3,FALSE),600),0)/1000</f>
        <v>0</v>
      </c>
      <c r="T6874" t="str">
        <v>x</v>
      </c>
      <c r="U6874">
        <f>U6873</f>
        <v>1.041885</v>
      </c>
      <c r="V6874" t="str">
        <v>x</v>
      </c>
      <c r="W6874">
        <f>D6874</f>
        <v>2</v>
      </c>
      <c r="X6874" t="str">
        <v>x</v>
      </c>
      <c r="Y6874">
        <f>Y6873</f>
        <v>1</v>
      </c>
      <c r="Z6874" t="str">
        <v>=</v>
      </c>
      <c r="AA6874">
        <f>(N6874+P6874*R6874/1000)*U6874*W6874*Y6874</f>
        <v>8.15170824</v>
      </c>
    </row>
    <row r="6876">
      <c r="A6876" t="str">
        <f>A6864</f>
        <v>Lantai 2</v>
      </c>
      <c r="B6876">
        <f>B6864</f>
        <v>34</v>
      </c>
      <c r="C6876" t="str">
        <v>Tul Peminggang</v>
      </c>
      <c r="D6876">
        <f>VLOOKUP(D6864,'Detail Balok'!$C$10:$AU$110,13,FALSE)</f>
        <v>0</v>
      </c>
      <c r="E6876" t="str">
        <v>D</v>
      </c>
      <c r="F6876">
        <f>VLOOKUP(D6864,'Detail Balok'!$C$10:$AU$110,15,FALSE)</f>
        <v>6</v>
      </c>
      <c r="J6876">
        <f>+D6866/1000</f>
        <v>3.6</v>
      </c>
      <c r="K6876" t="str">
        <v>+</v>
      </c>
      <c r="L6876">
        <f>2*$F$16*F6876/1000</f>
        <v>0.144</v>
      </c>
      <c r="M6876" t="str">
        <v>=</v>
      </c>
      <c r="N6876">
        <f>J6876+L6876</f>
        <v>3.744</v>
      </c>
      <c r="O6876" t="str">
        <v>+</v>
      </c>
      <c r="P6876">
        <f>IF(N6876&gt;12,ROUNDDOWN(N6876/12,0),0)</f>
        <v>0</v>
      </c>
      <c r="Q6876" t="str">
        <v>x</v>
      </c>
      <c r="R6876">
        <f>IF(P6876&gt;0,MAX(VLOOKUP(F6876,$D$6:$G$15,3,FALSE),600),0)/1000</f>
        <v>0</v>
      </c>
      <c r="T6876" t="str">
        <v>x</v>
      </c>
      <c r="U6876">
        <f>0.006165*F6876^2</f>
        <v>0.22194000000000003</v>
      </c>
      <c r="V6876" t="str">
        <v>x</v>
      </c>
      <c r="W6876">
        <f>+D6876</f>
        <v>0</v>
      </c>
      <c r="X6876" t="str">
        <v>x</v>
      </c>
      <c r="Y6876">
        <f>D6870</f>
        <v>1</v>
      </c>
      <c r="Z6876" t="str">
        <v>=</v>
      </c>
      <c r="AA6876">
        <f>(N6876+P6876*R6876/1000)*U6876*W6876*Y6876</f>
        <v>0</v>
      </c>
    </row>
    <row r="6879">
      <c r="A6879" t="str">
        <f>A6864</f>
        <v>Lantai 2</v>
      </c>
      <c r="B6879">
        <f>B6864</f>
        <v>34</v>
      </c>
      <c r="C6879" t="str">
        <v>Tul Bawah Tumpuan</v>
      </c>
      <c r="D6879">
        <f>VLOOKUP(D6864,'Detail Balok'!$C$10:$AU$110,22,FALSE)</f>
        <v>2</v>
      </c>
      <c r="E6879" t="str">
        <v>D</v>
      </c>
      <c r="F6879">
        <f>VLOOKUP(D6864,'Detail Balok'!$C$10:$AU$110,24,FALSE)</f>
        <v>13</v>
      </c>
      <c r="I6879" t="str">
        <v>(</v>
      </c>
      <c r="J6879">
        <f>+J6871</f>
        <v>0.9</v>
      </c>
      <c r="K6879" t="str">
        <v>+</v>
      </c>
      <c r="L6879">
        <f>MAX(VLOOKUP(F6879,N$6:P$15,3,FALSE)/1000,2/3*D6869/1000)+F$16*F6879/1000</f>
        <v>0.156</v>
      </c>
      <c r="M6879" t="str">
        <v>=</v>
      </c>
      <c r="N6879">
        <f>J6879+L6879</f>
        <v>1.056</v>
      </c>
      <c r="O6879" t="str">
        <v>+</v>
      </c>
      <c r="P6879">
        <f>D6879-D6880</f>
        <v>0</v>
      </c>
      <c r="Q6879" t="str">
        <v>x</v>
      </c>
      <c r="R6879">
        <f>IF(P6879&gt;0,$F$18*F6879/1000,0)</f>
        <v>0</v>
      </c>
      <c r="S6879" t="str">
        <v>)</v>
      </c>
      <c r="T6879" t="str">
        <v>x</v>
      </c>
      <c r="U6879">
        <f>0.006165*F6879^2</f>
        <v>1.041885</v>
      </c>
      <c r="X6879" t="str">
        <v>x</v>
      </c>
      <c r="Y6879">
        <f>D6870</f>
        <v>1</v>
      </c>
      <c r="Z6879" t="str">
        <v>=</v>
      </c>
      <c r="AA6879">
        <f>IF(AA6882=0,(D6879*N6879+P6879*R6879)*U6879*Y6879,0)</f>
        <v>0</v>
      </c>
    </row>
    <row r="6880">
      <c r="A6880" t="str">
        <f>A6864</f>
        <v>Lantai 2</v>
      </c>
      <c r="B6880">
        <f>B6864</f>
        <v>34</v>
      </c>
      <c r="C6880" t="str">
        <v>Tul Bawah Lapangan</v>
      </c>
      <c r="D6880">
        <f>VLOOKUP(D6864,'Detail Balok'!$C$10:$AU$110,25,FALSE)</f>
        <v>2</v>
      </c>
      <c r="E6880" t="str">
        <v>D</v>
      </c>
      <c r="F6880">
        <f>VLOOKUP(D6864,'Detail Balok'!$C$10:$AU$110,27,FALSE)</f>
        <v>13</v>
      </c>
      <c r="I6880" t="str">
        <v>(</v>
      </c>
      <c r="J6880">
        <f>+J6872</f>
        <v>1.8</v>
      </c>
      <c r="K6880" t="str">
        <v>+</v>
      </c>
      <c r="M6880" t="str">
        <v>=</v>
      </c>
      <c r="N6880">
        <f>J6880+L6880</f>
        <v>1.8</v>
      </c>
      <c r="O6880" t="str">
        <v>+</v>
      </c>
      <c r="P6880">
        <f>MAX(D6880-D6879,D6880-D6881)</f>
        <v>0</v>
      </c>
      <c r="Q6880" t="str">
        <v>x</v>
      </c>
      <c r="R6880">
        <f>IF(P6880&gt;0,2*(1-2*$F$19-1/2)*D6867/1000,0)</f>
        <v>0</v>
      </c>
      <c r="S6880" t="str">
        <v>)</v>
      </c>
      <c r="T6880" t="str">
        <v>x</v>
      </c>
      <c r="U6880">
        <f>0.006165*F6880^2</f>
        <v>1.041885</v>
      </c>
      <c r="X6880" t="str">
        <v>x</v>
      </c>
      <c r="Y6880">
        <f>D6870</f>
        <v>1</v>
      </c>
      <c r="Z6880" t="str">
        <v>=</v>
      </c>
      <c r="AA6880">
        <f>IF(AA6882=0,(D6880*N6880+P6880*R6880)*U6880*Y6880,0)</f>
        <v>0</v>
      </c>
    </row>
    <row r="6881">
      <c r="A6881" t="str">
        <f>A6864</f>
        <v>Lantai 2</v>
      </c>
      <c r="B6881">
        <f>B6864</f>
        <v>34</v>
      </c>
      <c r="C6881" t="str">
        <v>Tul Bawah Tumpuan</v>
      </c>
      <c r="D6881">
        <f>VLOOKUP(D6864,'Detail Balok'!$C$10:$AU$110,28,FALSE)</f>
        <v>2</v>
      </c>
      <c r="E6881" t="str">
        <v>D</v>
      </c>
      <c r="F6881">
        <f>VLOOKUP(D6864,'Detail Balok'!$C$10:$AU$110,30,FALSE)</f>
        <v>13</v>
      </c>
      <c r="I6881" t="str">
        <v>(</v>
      </c>
      <c r="J6881">
        <f>+J6873</f>
        <v>0.9</v>
      </c>
      <c r="K6881" t="str">
        <v>+</v>
      </c>
      <c r="L6881">
        <f>MAX(VLOOKUP(F6881,N$6:P$15,3,FALSE)/1000,2/3*D6869/1000)+F$16*F6881/1000</f>
        <v>0.156</v>
      </c>
      <c r="M6881" t="str">
        <v>=</v>
      </c>
      <c r="N6881">
        <f>J6881+L6881</f>
        <v>1.056</v>
      </c>
      <c r="O6881" t="str">
        <v>+</v>
      </c>
      <c r="P6881">
        <f>D6881-D6880</f>
        <v>0</v>
      </c>
      <c r="Q6881" t="str">
        <v>x</v>
      </c>
      <c r="R6881">
        <f>IF(P6881&gt;0,$F$18*F6881/1000,0)</f>
        <v>0</v>
      </c>
      <c r="S6881" t="str">
        <v>)</v>
      </c>
      <c r="T6881" t="str">
        <v>x</v>
      </c>
      <c r="U6881">
        <f>0.006165*F6881^2</f>
        <v>1.041885</v>
      </c>
      <c r="X6881" t="str">
        <v>x</v>
      </c>
      <c r="Y6881">
        <f>D6870</f>
        <v>1</v>
      </c>
      <c r="Z6881" t="str">
        <v>=</v>
      </c>
      <c r="AA6881">
        <f>IF(AA6882=0,(D6881*N6881+P6881*R6881)*U6881*Y6881,0)</f>
        <v>0</v>
      </c>
    </row>
    <row r="6882">
      <c r="A6882" t="str">
        <f>A6864</f>
        <v>Lantai 2</v>
      </c>
      <c r="B6882">
        <f>B6864</f>
        <v>34</v>
      </c>
      <c r="D6882">
        <f>IF(AND(D6879=D6880,D6880=D6881,D6879=D6881),D6879,0)</f>
        <v>2</v>
      </c>
      <c r="E6882" t="str">
        <v>D</v>
      </c>
      <c r="F6882">
        <f>IF(AND(F6879=F6880,F6879=F6881,F6880=F6881),F6879,0)</f>
        <v>13</v>
      </c>
      <c r="L6882" t="str">
        <v>Total panjang per balok</v>
      </c>
      <c r="M6882" t="str">
        <v>=</v>
      </c>
      <c r="N6882">
        <f>IF(AND(D6879=D6880,D6879=D6881,D6880=D6881,F6879=F6880,F6879=F6881,F6880=F6881),SUM(N6879:N6881),0)</f>
        <v>3.912</v>
      </c>
      <c r="O6882" t="str">
        <v>+</v>
      </c>
      <c r="P6882">
        <f>IF(N6882&gt;12,ROUNDDOWN(N6882/12,0),0)</f>
        <v>0</v>
      </c>
      <c r="Q6882" t="str">
        <v>x</v>
      </c>
      <c r="R6882">
        <f>IF(P6882&gt;0,MAX(VLOOKUP(F6882,$D$6:$G$15,3,FALSE),600),0)/1000</f>
        <v>0</v>
      </c>
      <c r="T6882" t="str">
        <v>x</v>
      </c>
      <c r="U6882">
        <f>U6881</f>
        <v>1.041885</v>
      </c>
      <c r="V6882" t="str">
        <v>x</v>
      </c>
      <c r="W6882">
        <f>D6882</f>
        <v>2</v>
      </c>
      <c r="X6882" t="str">
        <v>x</v>
      </c>
      <c r="Y6882">
        <f>Y6881</f>
        <v>1</v>
      </c>
      <c r="Z6882" t="str">
        <v>=</v>
      </c>
      <c r="AA6882">
        <f>(N6882+P6882*R6882/1000)*U6882*W6882*Y6882</f>
        <v>8.15170824</v>
      </c>
    </row>
    <row r="6884">
      <c r="A6884" t="str">
        <f>A6864</f>
        <v>Lantai 2</v>
      </c>
      <c r="B6884">
        <f>B6864</f>
        <v>34</v>
      </c>
      <c r="C6884" t="str">
        <v>Sengkang Tumpuan</v>
      </c>
      <c r="D6884">
        <f>VLOOKUP(D6864,'Detail Balok'!$C$10:$AU$110,31,FALSE)</f>
        <v>0</v>
      </c>
      <c r="E6884" t="str">
        <v>D</v>
      </c>
      <c r="F6884">
        <f>VLOOKUP(D6864,'Detail Balok'!$C$10:$AU$110,33,FALSE)</f>
        <v>8</v>
      </c>
      <c r="G6884" t="str">
        <v>-</v>
      </c>
      <c r="H6884">
        <f>VLOOKUP(D6864,'Detail Balok'!$C$10:$AU$110,35,FALSE)</f>
        <v>100</v>
      </c>
      <c r="J6884">
        <f>(IF(D6884=0,(2*(D6865+G6865))-(F$5*8),IF(D6884=3,(2*(D6865+G6865))-(F$5*8)+(G6865-2*F$5),IF(D6884=4,(2*(D6865+G6865))-(F$5*8)+2*(G6865-2*F$5)))))/1000</f>
        <v>0.68</v>
      </c>
      <c r="K6884" t="str">
        <v>+</v>
      </c>
      <c r="L6884">
        <f>IF(D6884=0,2*MAX(6*F6884,75),(D6884-1)*2*MAX(6*F6884,75))/1000</f>
        <v>0.15</v>
      </c>
      <c r="M6884" t="str">
        <v>=</v>
      </c>
      <c r="N6884">
        <f>J6884+L6884</f>
        <v>0.8300000000000001</v>
      </c>
      <c r="T6884" t="str">
        <v>x</v>
      </c>
      <c r="U6884">
        <f>0.006165*F6884^2</f>
        <v>0.39456</v>
      </c>
      <c r="V6884" t="str">
        <v>x</v>
      </c>
      <c r="W6884">
        <f>IF(D6867&gt;4*G6865,ROUND(MAX(D6867/4,2*G6865)/H6884,0)+1,ROUND(D6867/H6884,0)+1)</f>
        <v>10</v>
      </c>
      <c r="X6884" t="str">
        <v>x</v>
      </c>
      <c r="Y6884">
        <f>D6870</f>
        <v>1</v>
      </c>
      <c r="Z6884" t="str">
        <v>=</v>
      </c>
      <c r="AA6884">
        <f>N6884*U6884*W6884*Y6884</f>
        <v>3.2748480000000004</v>
      </c>
    </row>
    <row r="6885">
      <c r="A6885" t="str">
        <f>A6864</f>
        <v>Lantai 2</v>
      </c>
      <c r="B6885">
        <f>B6864</f>
        <v>34</v>
      </c>
      <c r="C6885" t="str">
        <v>Sengkang Lapangan</v>
      </c>
      <c r="D6885">
        <f>VLOOKUP(D6864,'Detail Balok'!$C$10:$AU$110,36,FALSE)</f>
        <v>0</v>
      </c>
      <c r="E6885" t="str">
        <v>D</v>
      </c>
      <c r="F6885">
        <f>VLOOKUP(D6864,'Detail Balok'!$C$10:$AU$110,38,FALSE)</f>
        <v>8</v>
      </c>
      <c r="G6885" t="str">
        <v>-</v>
      </c>
      <c r="H6885">
        <f>VLOOKUP(D6864,'Detail Balok'!$C$10:$AU$110,40,FALSE)</f>
        <v>150</v>
      </c>
      <c r="J6885">
        <f>(IF(D6885=0,(2*(D6865+G6865))-(F$5*8),IF(D6885=3,(2*(D6865+G6865))-(F$5*8)+(G6865-2*F$5),IF(D6885=4,(2*(D6865+G6865))-(F$5*8)+2*(G6865-2*F$5)))))/1000</f>
        <v>0.68</v>
      </c>
      <c r="K6885" t="str">
        <v>+</v>
      </c>
      <c r="L6885">
        <f>IF(D6885=0,2*MAX(6*F6885,75),(D6885-1)*2*MAX(6*F6885,75))/1000</f>
        <v>0.15</v>
      </c>
      <c r="M6885" t="str">
        <v>=</v>
      </c>
      <c r="N6885">
        <f>J6885+L6885</f>
        <v>0.8300000000000001</v>
      </c>
      <c r="T6885" t="str">
        <v>x</v>
      </c>
      <c r="U6885">
        <f>0.006165*F6885^2</f>
        <v>0.39456</v>
      </c>
      <c r="V6885" t="str">
        <v>x</v>
      </c>
      <c r="W6885">
        <f>IF(D6867-MAX(D6867/4,2*G6865)*2&gt;0,ROUND((D6867-MAX(D6867/4,2*G6865)*2)/H6885,0),0)</f>
        <v>12</v>
      </c>
      <c r="X6885" t="str">
        <v>x</v>
      </c>
      <c r="Y6885">
        <f>D6870</f>
        <v>1</v>
      </c>
      <c r="Z6885" t="str">
        <v>=</v>
      </c>
      <c r="AA6885">
        <f>N6885*U6885*W6885*Y6885</f>
        <v>3.9298176000000002</v>
      </c>
    </row>
    <row r="6886">
      <c r="A6886" t="str">
        <f>A6864</f>
        <v>Lantai 2</v>
      </c>
      <c r="B6886">
        <f>B6864</f>
        <v>34</v>
      </c>
      <c r="C6886" t="str">
        <v>Sengkang Tumpuan</v>
      </c>
      <c r="D6886">
        <f>VLOOKUP(D6864,'Detail Balok'!$C$10:$AU$110,41,FALSE)</f>
        <v>0</v>
      </c>
      <c r="E6886" t="str">
        <v>D</v>
      </c>
      <c r="F6886">
        <f>VLOOKUP(D6864,'Detail Balok'!$C$10:$AU$110,43,FALSE)</f>
        <v>8</v>
      </c>
      <c r="G6886" t="str">
        <v>-</v>
      </c>
      <c r="H6886">
        <f>VLOOKUP(D6864,'Detail Balok'!$C$10:$AU$110,45,FALSE)</f>
        <v>100</v>
      </c>
      <c r="J6886">
        <f>(IF(D6886=0,(2*(D6865+G6865))-(F$5*8),IF(D6886=3,(2*(D6865+G6865))-(F$5*8)+(G6865-2*F$5),IF(D6886=4,(2*(D6865+G6865))-(F$5*8)+2*(G6865-2*F$5)))))/1000</f>
        <v>0.68</v>
      </c>
      <c r="K6886" t="str">
        <v>+</v>
      </c>
      <c r="L6886">
        <f>IF(D6886=0,2*MAX(6*F6886,75),(D6886-1)*2*MAX(6*F6886,75))/1000</f>
        <v>0.15</v>
      </c>
      <c r="M6886" t="str">
        <v>=</v>
      </c>
      <c r="N6886">
        <f>J6886+L6886</f>
        <v>0.8300000000000001</v>
      </c>
      <c r="T6886" t="str">
        <v>x</v>
      </c>
      <c r="U6886">
        <f>0.006165*F6886^2</f>
        <v>0.39456</v>
      </c>
      <c r="V6886" t="str">
        <v>x</v>
      </c>
      <c r="W6886">
        <f>IF(D6867&gt;4*G6865,ROUND(MAX(D6867/4,2*G6865)/H6886,0)+1,0)</f>
        <v>10</v>
      </c>
      <c r="X6886" t="str">
        <v>x</v>
      </c>
      <c r="Y6886">
        <f>D6870</f>
        <v>1</v>
      </c>
      <c r="Z6886" t="str">
        <v>=</v>
      </c>
      <c r="AA6886">
        <f>N6886*U6886*W6886*Y6886</f>
        <v>3.2748480000000004</v>
      </c>
    </row>
    <row r="6888">
      <c r="A6888" t="str">
        <f>A6864</f>
        <v>Lantai 2</v>
      </c>
      <c r="B6888">
        <f>B6864</f>
        <v>34</v>
      </c>
      <c r="C6888" t="str">
        <v>Kait Horizontal Tump.</v>
      </c>
      <c r="D6888">
        <f>VLOOKUP(D6864,'Detail Balok'!$C$10:$BJ$110,46,FALSE)</f>
        <v>0</v>
      </c>
      <c r="E6888" t="str">
        <v>D</v>
      </c>
      <c r="F6888">
        <f>VLOOKUP(D6864,'Detail Balok'!$C$10:$BJ$110,48,FALSE)</f>
        <v>0</v>
      </c>
      <c r="G6888" t="str">
        <v>-</v>
      </c>
      <c r="H6888">
        <f>VLOOKUP(D6864,'Detail Balok'!$C$10:$BJ$110,50,FALSE)</f>
        <v>100</v>
      </c>
      <c r="J6888">
        <f>(D6865-2*F$5)/1000</f>
        <v>0.12</v>
      </c>
      <c r="K6888" t="str">
        <v>+</v>
      </c>
      <c r="L6888">
        <f>IF(D6888=0,2*MAX(6*F6888,75),(D6888-1)*2*MAX(6*F6888,75))/1000</f>
        <v>0.15</v>
      </c>
      <c r="M6888" t="str">
        <v>=</v>
      </c>
      <c r="N6888">
        <f>J6888+L6888</f>
        <v>0.27</v>
      </c>
      <c r="T6888" t="str">
        <v>x</v>
      </c>
      <c r="U6888">
        <f>0.006165*F6888^2</f>
        <v>0</v>
      </c>
      <c r="V6888" t="str">
        <v>x</v>
      </c>
      <c r="W6888">
        <f>W6884</f>
        <v>10</v>
      </c>
      <c r="X6888" t="str">
        <v>x</v>
      </c>
      <c r="Y6888">
        <f>D6874</f>
        <v>2</v>
      </c>
      <c r="Z6888" t="str">
        <v>=</v>
      </c>
      <c r="AA6888">
        <f>N6888*U6888*W6888*Y6888</f>
        <v>0</v>
      </c>
    </row>
    <row r="6889">
      <c r="A6889" t="str">
        <f>A6864</f>
        <v>Lantai 2</v>
      </c>
      <c r="B6889">
        <f>B6864</f>
        <v>34</v>
      </c>
      <c r="C6889" t="str">
        <v>Kait Horizontal Lap.</v>
      </c>
      <c r="D6889">
        <f>VLOOKUP(D6864,'Detail Balok'!$C$10:$BJ$110,51,FALSE)</f>
        <v>0</v>
      </c>
      <c r="E6889" t="str">
        <v>D</v>
      </c>
      <c r="F6889">
        <f>VLOOKUP(D6864,'Detail Balok'!$C$10:$BJ$110,53,FALSE)</f>
        <v>0</v>
      </c>
      <c r="G6889" t="str">
        <v>-</v>
      </c>
      <c r="H6889">
        <f>VLOOKUP(D6864,'Detail Balok'!$C$10:$BJ$110,55,FALSE)</f>
        <v>100</v>
      </c>
      <c r="J6889">
        <f>(D6865-2*F$5)/1000</f>
        <v>0.12</v>
      </c>
      <c r="K6889" t="str">
        <v>+</v>
      </c>
      <c r="L6889">
        <f>IF(D6889=0,2*MAX(6*F6889,75),(D6889-1)*2*MAX(6*F6889,75))/1000</f>
        <v>0.15</v>
      </c>
      <c r="M6889" t="str">
        <v>=</v>
      </c>
      <c r="N6889">
        <f>J6889+L6889</f>
        <v>0.27</v>
      </c>
      <c r="T6889" t="str">
        <v>x</v>
      </c>
      <c r="U6889">
        <f>0.006165*F6889^2</f>
        <v>0</v>
      </c>
      <c r="V6889" t="str">
        <v>x</v>
      </c>
      <c r="W6889">
        <f>W6885</f>
        <v>12</v>
      </c>
      <c r="X6889" t="str">
        <v>x</v>
      </c>
      <c r="Y6889">
        <f>D6874</f>
        <v>2</v>
      </c>
      <c r="Z6889" t="str">
        <v>=</v>
      </c>
      <c r="AA6889">
        <f>N6889*U6889*W6889*Y6889</f>
        <v>0</v>
      </c>
    </row>
    <row r="6890">
      <c r="A6890" t="str">
        <f>A6864</f>
        <v>Lantai 2</v>
      </c>
      <c r="B6890">
        <f>B6864</f>
        <v>34</v>
      </c>
      <c r="C6890" t="str">
        <v>Kait Horizontal Tump.</v>
      </c>
      <c r="D6890">
        <f>VLOOKUP(D6864,'Detail Balok'!$C$10:$BJ$110,56,FALSE)</f>
        <v>0</v>
      </c>
      <c r="E6890" t="str">
        <v>D</v>
      </c>
      <c r="F6890">
        <f>VLOOKUP(D6864,'Detail Balok'!$C$10:$BJ$110,58,FALSE)</f>
        <v>0</v>
      </c>
      <c r="G6890" t="str">
        <v>-</v>
      </c>
      <c r="H6890">
        <f>VLOOKUP(D6864,'Detail Balok'!$C$10:$BJ$110,60,FALSE)</f>
        <v>100</v>
      </c>
      <c r="J6890">
        <f>(D6865-2*F$5)/1000</f>
        <v>0.12</v>
      </c>
      <c r="K6890" t="str">
        <v>+</v>
      </c>
      <c r="L6890">
        <f>IF(D6890=0,2*MAX(6*F6890,75),(D6890-1)*2*MAX(6*F6890,75))/1000</f>
        <v>0.15</v>
      </c>
      <c r="M6890" t="str">
        <v>=</v>
      </c>
      <c r="N6890">
        <f>J6890+L6890</f>
        <v>0.27</v>
      </c>
      <c r="T6890" t="str">
        <v>x</v>
      </c>
      <c r="U6890">
        <f>0.006165*F6890^2</f>
        <v>0</v>
      </c>
      <c r="V6890" t="str">
        <v>x</v>
      </c>
      <c r="W6890">
        <f>W6886</f>
        <v>10</v>
      </c>
      <c r="X6890" t="str">
        <v>x</v>
      </c>
      <c r="Y6890">
        <f>D6874</f>
        <v>2</v>
      </c>
      <c r="Z6890" t="str">
        <v>=</v>
      </c>
      <c r="AA6890">
        <f>N6890*U6890*W6890*Y6890</f>
        <v>0</v>
      </c>
    </row>
    <row r="6894">
      <c r="A6894" t="str">
        <f>A6864</f>
        <v>Lantai 2</v>
      </c>
      <c r="B6894">
        <f>B6864+1</f>
        <v>35</v>
      </c>
      <c r="C6894" t="str">
        <f>CONCATENATE(A6894," no. ",B6894)</f>
        <v>Lantai 2 no. 35</v>
      </c>
      <c r="D6894" t="str">
        <f>VLOOKUP(C6894,'Data Panjang Balok'!$C$9:$N$424,2,FALSE)</f>
        <v>B173-1</v>
      </c>
    </row>
    <row r="6895">
      <c r="C6895" t="str">
        <v>Dimensi</v>
      </c>
      <c r="D6895">
        <f>VLOOKUP(D6894,'Detail Balok'!$C$10:$AU$110,2,FALSE)</f>
        <v>170</v>
      </c>
      <c r="F6895" t="str">
        <v>x</v>
      </c>
      <c r="G6895">
        <f>VLOOKUP(D6894,'Detail Balok'!$C$10:$AU$110,3,FALSE)</f>
        <v>300</v>
      </c>
    </row>
    <row r="6896">
      <c r="C6896" t="str">
        <v>Panjang as ke as</v>
      </c>
      <c r="D6896">
        <f>VLOOKUP(C6894,'Data Panjang Balok'!$C$9:$N$424,4,FALSE)</f>
        <v>2485</v>
      </c>
    </row>
    <row r="6897">
      <c r="C6897" t="str">
        <v>Panjang netto</v>
      </c>
      <c r="D6897">
        <f>VLOOKUP(C6894,'Data Panjang Balok'!$C$9:$N$424,7,FALSE)</f>
        <v>2485</v>
      </c>
    </row>
    <row r="6898">
      <c r="C6898" t="str">
        <v>Kolom / balok kiri</v>
      </c>
      <c r="D6898">
        <f>VLOOKUP(C6894,'Data Panjang Balok'!$C$9:$N$424,9,FALSE)</f>
        <v>0</v>
      </c>
    </row>
    <row r="6899">
      <c r="C6899" t="str">
        <v>Kolom / balok kanan</v>
      </c>
      <c r="D6899">
        <f>VLOOKUP(C6894,'Data Panjang Balok'!$C$9:$N$424,10,FALSE)</f>
        <v>0</v>
      </c>
    </row>
    <row r="6900">
      <c r="C6900" t="str">
        <v>Jumlah</v>
      </c>
      <c r="D6900">
        <f>VLOOKUP(C6894,'Data Panjang Balok'!$C$9:$N$424,3,FALSE)</f>
        <v>1</v>
      </c>
    </row>
    <row r="6901">
      <c r="A6901" t="str">
        <f>A6894</f>
        <v>Lantai 2</v>
      </c>
      <c r="B6901">
        <f>B6894</f>
        <v>35</v>
      </c>
      <c r="C6901" t="str">
        <v>Tul Atas Tumpuan</v>
      </c>
      <c r="D6901">
        <f>VLOOKUP(D6894,'Detail Balok'!$C$10:$AU$110,4,FALSE)</f>
        <v>2</v>
      </c>
      <c r="E6901" t="str">
        <v>D</v>
      </c>
      <c r="F6901">
        <f>VLOOKUP(D6894,'Detail Balok'!$C$10:$AU$110,6,FALSE)</f>
        <v>13</v>
      </c>
      <c r="I6901" t="str">
        <v>(</v>
      </c>
      <c r="J6901">
        <f>+D6896/4/1000</f>
        <v>0.62125</v>
      </c>
      <c r="K6901" t="str">
        <v>+</v>
      </c>
      <c r="L6901">
        <f>MAX(VLOOKUP(F6901,N$6:P$15,3,FALSE)/1000,2/3*D6898/1000)+F$16*F6901/1000</f>
        <v>0.156</v>
      </c>
      <c r="M6901" t="str">
        <v>=</v>
      </c>
      <c r="N6901">
        <f>J6901+L6901</f>
        <v>0.77725</v>
      </c>
      <c r="O6901" t="str">
        <v>+</v>
      </c>
      <c r="P6901">
        <f>D6901-D6902</f>
        <v>0</v>
      </c>
      <c r="Q6901" t="str">
        <v>x</v>
      </c>
      <c r="R6901">
        <f>IF(P6901&gt;0,$F$18*F6901/1000,0)</f>
        <v>0</v>
      </c>
      <c r="S6901" t="str">
        <v>)</v>
      </c>
      <c r="T6901" t="str">
        <v>x</v>
      </c>
      <c r="U6901">
        <f>0.006165*F6901^2</f>
        <v>1.041885</v>
      </c>
      <c r="X6901" t="str">
        <v>x</v>
      </c>
      <c r="Y6901">
        <f>D6900</f>
        <v>1</v>
      </c>
      <c r="Z6901" t="str">
        <v>=</v>
      </c>
      <c r="AA6901">
        <f>IF(AA6904=0,(D6901*N6901+P6901*R6901)*U6901*Y6901,0)</f>
        <v>0</v>
      </c>
    </row>
    <row r="6902">
      <c r="A6902" t="str">
        <f>A6894</f>
        <v>Lantai 2</v>
      </c>
      <c r="B6902">
        <f>B6894</f>
        <v>35</v>
      </c>
      <c r="C6902" t="str">
        <v>Tul Atas Lapangan</v>
      </c>
      <c r="D6902">
        <f>VLOOKUP(D6894,'Detail Balok'!$C$10:$AU$110,7,FALSE)</f>
        <v>2</v>
      </c>
      <c r="E6902" t="str">
        <v>D</v>
      </c>
      <c r="F6902">
        <f>VLOOKUP(D6894,'Detail Balok'!$C$10:$AU$110,9,FALSE)</f>
        <v>13</v>
      </c>
      <c r="I6902" t="str">
        <v>(</v>
      </c>
      <c r="J6902">
        <f>+D6896/2/1000</f>
        <v>1.2425</v>
      </c>
      <c r="K6902" t="str">
        <v>+</v>
      </c>
      <c r="M6902" t="str">
        <v>=</v>
      </c>
      <c r="N6902">
        <f>J6902+L6902</f>
        <v>1.2425</v>
      </c>
      <c r="O6902" t="str">
        <v>+</v>
      </c>
      <c r="P6902">
        <f>MAX(D6902-D6901,D6902-D6903)</f>
        <v>0</v>
      </c>
      <c r="Q6902" t="str">
        <v>x</v>
      </c>
      <c r="R6902">
        <f>IF(P6902&gt;0,2*(1-2*$F$19-1/2)*D6897/1000,0)</f>
        <v>0</v>
      </c>
      <c r="S6902" t="str">
        <v>)</v>
      </c>
      <c r="T6902" t="str">
        <v>x</v>
      </c>
      <c r="U6902">
        <f>0.006165*F6902^2</f>
        <v>1.041885</v>
      </c>
      <c r="X6902" t="str">
        <v>x</v>
      </c>
      <c r="Y6902">
        <f>D6900</f>
        <v>1</v>
      </c>
      <c r="Z6902" t="str">
        <v>=</v>
      </c>
      <c r="AA6902">
        <f>IF(AA6904=0,(D6902*N6902+P6902*R6902)*U6902*Y6902,0)</f>
        <v>0</v>
      </c>
    </row>
    <row r="6903">
      <c r="A6903" t="str">
        <f>A6894</f>
        <v>Lantai 2</v>
      </c>
      <c r="B6903">
        <f>B6894</f>
        <v>35</v>
      </c>
      <c r="C6903" t="str">
        <v>Tul Atas Tumpuan</v>
      </c>
      <c r="D6903">
        <f>VLOOKUP(D6894,'Detail Balok'!$C$10:$AU$110,10,FALSE)</f>
        <v>2</v>
      </c>
      <c r="E6903" t="str">
        <v>D</v>
      </c>
      <c r="F6903">
        <f>VLOOKUP(D6894,'Detail Balok'!$C$10:$AU$110,12,FALSE)</f>
        <v>13</v>
      </c>
      <c r="I6903" t="str">
        <v>(</v>
      </c>
      <c r="J6903">
        <f>+D6896/4/1000</f>
        <v>0.62125</v>
      </c>
      <c r="K6903" t="str">
        <v>+</v>
      </c>
      <c r="L6903">
        <f>MAX(VLOOKUP(F6903,N$6:P$15,3,FALSE)/1000,2/3*D6898/1000)+F$16*F6903/1000</f>
        <v>0.156</v>
      </c>
      <c r="M6903" t="str">
        <v>=</v>
      </c>
      <c r="N6903">
        <f>J6903+L6903</f>
        <v>0.77725</v>
      </c>
      <c r="O6903" t="str">
        <v>+</v>
      </c>
      <c r="P6903">
        <f>D6903-D6902</f>
        <v>0</v>
      </c>
      <c r="Q6903" t="str">
        <v>x</v>
      </c>
      <c r="R6903">
        <f>IF(P6903&gt;0,$F$18*F6903/1000,0)</f>
        <v>0</v>
      </c>
      <c r="S6903" t="str">
        <v>)</v>
      </c>
      <c r="T6903" t="str">
        <v>x</v>
      </c>
      <c r="U6903">
        <f>0.006165*F6903^2</f>
        <v>1.041885</v>
      </c>
      <c r="X6903" t="str">
        <v>x</v>
      </c>
      <c r="Y6903">
        <f>D6900</f>
        <v>1</v>
      </c>
      <c r="Z6903" t="str">
        <v>=</v>
      </c>
      <c r="AA6903">
        <f>IF(AA6904=0,(D6903*N6903+P6903*R6903)*U6903*Y6903,0)</f>
        <v>0</v>
      </c>
    </row>
    <row r="6904">
      <c r="A6904" t="str">
        <f>A6894</f>
        <v>Lantai 2</v>
      </c>
      <c r="B6904">
        <f>B6894</f>
        <v>35</v>
      </c>
      <c r="D6904">
        <f>IF(AND(D6901=D6902,D6902=D6903,D6901=D6903),D6901,0)</f>
        <v>2</v>
      </c>
      <c r="E6904" t="str">
        <v>D</v>
      </c>
      <c r="F6904">
        <f>IF(AND(F6901=F6902,F6901=F6903,F6902=F6903),F6901,0)</f>
        <v>13</v>
      </c>
      <c r="L6904" t="str">
        <v>Total panjang per balok</v>
      </c>
      <c r="M6904" t="str">
        <v>=</v>
      </c>
      <c r="N6904">
        <f>IF(AND(D6901=D6902,D6901=D6903,D6902=D6903,F6901=F6902,F6901=F6903,F6902=F6903),SUM(N6901:N6903),0)</f>
        <v>2.797</v>
      </c>
      <c r="O6904" t="str">
        <v>+</v>
      </c>
      <c r="P6904">
        <f>IF(N6904&gt;12,ROUNDDOWN(N6904/12,0),0)</f>
        <v>0</v>
      </c>
      <c r="Q6904" t="str">
        <v>x</v>
      </c>
      <c r="R6904">
        <f>IF(P6904&gt;0,MAX(VLOOKUP(F6904,$D$6:$G$15,3,FALSE),600),0)/1000</f>
        <v>0</v>
      </c>
      <c r="T6904" t="str">
        <v>x</v>
      </c>
      <c r="U6904">
        <f>U6903</f>
        <v>1.041885</v>
      </c>
      <c r="V6904" t="str">
        <v>x</v>
      </c>
      <c r="W6904">
        <f>D6904</f>
        <v>2</v>
      </c>
      <c r="X6904" t="str">
        <v>x</v>
      </c>
      <c r="Y6904">
        <f>Y6903</f>
        <v>1</v>
      </c>
      <c r="Z6904" t="str">
        <v>=</v>
      </c>
      <c r="AA6904">
        <f>(N6904+P6904*R6904/1000)*U6904*W6904*Y6904</f>
        <v>5.82830469</v>
      </c>
    </row>
    <row r="6906">
      <c r="A6906" t="str">
        <f>A6894</f>
        <v>Lantai 2</v>
      </c>
      <c r="B6906">
        <f>B6894</f>
        <v>35</v>
      </c>
      <c r="C6906" t="str">
        <v>Tul Peminggang</v>
      </c>
      <c r="D6906">
        <f>VLOOKUP(D6894,'Detail Balok'!$C$10:$AU$110,13,FALSE)</f>
        <v>0</v>
      </c>
      <c r="E6906" t="str">
        <v>D</v>
      </c>
      <c r="F6906">
        <f>VLOOKUP(D6894,'Detail Balok'!$C$10:$AU$110,15,FALSE)</f>
        <v>6</v>
      </c>
      <c r="J6906">
        <f>+D6896/1000</f>
        <v>2.485</v>
      </c>
      <c r="K6906" t="str">
        <v>+</v>
      </c>
      <c r="L6906">
        <f>2*$F$16*F6906/1000</f>
        <v>0.144</v>
      </c>
      <c r="M6906" t="str">
        <v>=</v>
      </c>
      <c r="N6906">
        <f>J6906+L6906</f>
        <v>2.629</v>
      </c>
      <c r="O6906" t="str">
        <v>+</v>
      </c>
      <c r="P6906">
        <f>IF(N6906&gt;12,ROUNDDOWN(N6906/12,0),0)</f>
        <v>0</v>
      </c>
      <c r="Q6906" t="str">
        <v>x</v>
      </c>
      <c r="R6906">
        <f>IF(P6906&gt;0,MAX(VLOOKUP(F6906,$D$6:$G$15,3,FALSE),600),0)/1000</f>
        <v>0</v>
      </c>
      <c r="T6906" t="str">
        <v>x</v>
      </c>
      <c r="U6906">
        <f>0.006165*F6906^2</f>
        <v>0.22194000000000003</v>
      </c>
      <c r="V6906" t="str">
        <v>x</v>
      </c>
      <c r="W6906">
        <f>+D6906</f>
        <v>0</v>
      </c>
      <c r="X6906" t="str">
        <v>x</v>
      </c>
      <c r="Y6906">
        <f>D6900</f>
        <v>1</v>
      </c>
      <c r="Z6906" t="str">
        <v>=</v>
      </c>
      <c r="AA6906">
        <f>(N6906+P6906*R6906/1000)*U6906*W6906*Y6906</f>
        <v>0</v>
      </c>
    </row>
    <row r="6909">
      <c r="A6909" t="str">
        <f>A6894</f>
        <v>Lantai 2</v>
      </c>
      <c r="B6909">
        <f>B6894</f>
        <v>35</v>
      </c>
      <c r="C6909" t="str">
        <v>Tul Bawah Tumpuan</v>
      </c>
      <c r="D6909">
        <f>VLOOKUP(D6894,'Detail Balok'!$C$10:$AU$110,22,FALSE)</f>
        <v>2</v>
      </c>
      <c r="E6909" t="str">
        <v>D</v>
      </c>
      <c r="F6909">
        <f>VLOOKUP(D6894,'Detail Balok'!$C$10:$AU$110,24,FALSE)</f>
        <v>13</v>
      </c>
      <c r="I6909" t="str">
        <v>(</v>
      </c>
      <c r="J6909">
        <f>+J6901</f>
        <v>0.62125</v>
      </c>
      <c r="K6909" t="str">
        <v>+</v>
      </c>
      <c r="L6909">
        <f>MAX(VLOOKUP(F6909,N$6:P$15,3,FALSE)/1000,2/3*D6899/1000)+F$16*F6909/1000</f>
        <v>0.156</v>
      </c>
      <c r="M6909" t="str">
        <v>=</v>
      </c>
      <c r="N6909">
        <f>J6909+L6909</f>
        <v>0.77725</v>
      </c>
      <c r="O6909" t="str">
        <v>+</v>
      </c>
      <c r="P6909">
        <f>D6909-D6910</f>
        <v>0</v>
      </c>
      <c r="Q6909" t="str">
        <v>x</v>
      </c>
      <c r="R6909">
        <f>IF(P6909&gt;0,$F$18*F6909/1000,0)</f>
        <v>0</v>
      </c>
      <c r="S6909" t="str">
        <v>)</v>
      </c>
      <c r="T6909" t="str">
        <v>x</v>
      </c>
      <c r="U6909">
        <f>0.006165*F6909^2</f>
        <v>1.041885</v>
      </c>
      <c r="X6909" t="str">
        <v>x</v>
      </c>
      <c r="Y6909">
        <f>D6900</f>
        <v>1</v>
      </c>
      <c r="Z6909" t="str">
        <v>=</v>
      </c>
      <c r="AA6909">
        <f>IF(AA6912=0,(D6909*N6909+P6909*R6909)*U6909*Y6909,0)</f>
        <v>0</v>
      </c>
    </row>
    <row r="6910">
      <c r="A6910" t="str">
        <f>A6894</f>
        <v>Lantai 2</v>
      </c>
      <c r="B6910">
        <f>B6894</f>
        <v>35</v>
      </c>
      <c r="C6910" t="str">
        <v>Tul Bawah Lapangan</v>
      </c>
      <c r="D6910">
        <f>VLOOKUP(D6894,'Detail Balok'!$C$10:$AU$110,25,FALSE)</f>
        <v>2</v>
      </c>
      <c r="E6910" t="str">
        <v>D</v>
      </c>
      <c r="F6910">
        <f>VLOOKUP(D6894,'Detail Balok'!$C$10:$AU$110,27,FALSE)</f>
        <v>13</v>
      </c>
      <c r="I6910" t="str">
        <v>(</v>
      </c>
      <c r="J6910">
        <f>+J6902</f>
        <v>1.2425</v>
      </c>
      <c r="K6910" t="str">
        <v>+</v>
      </c>
      <c r="M6910" t="str">
        <v>=</v>
      </c>
      <c r="N6910">
        <f>J6910+L6910</f>
        <v>1.2425</v>
      </c>
      <c r="O6910" t="str">
        <v>+</v>
      </c>
      <c r="P6910">
        <f>MAX(D6910-D6909,D6910-D6911)</f>
        <v>0</v>
      </c>
      <c r="Q6910" t="str">
        <v>x</v>
      </c>
      <c r="R6910">
        <f>IF(P6910&gt;0,2*(1-2*$F$19-1/2)*D6897/1000,0)</f>
        <v>0</v>
      </c>
      <c r="S6910" t="str">
        <v>)</v>
      </c>
      <c r="T6910" t="str">
        <v>x</v>
      </c>
      <c r="U6910">
        <f>0.006165*F6910^2</f>
        <v>1.041885</v>
      </c>
      <c r="X6910" t="str">
        <v>x</v>
      </c>
      <c r="Y6910">
        <f>D6900</f>
        <v>1</v>
      </c>
      <c r="Z6910" t="str">
        <v>=</v>
      </c>
      <c r="AA6910">
        <f>IF(AA6912=0,(D6910*N6910+P6910*R6910)*U6910*Y6910,0)</f>
        <v>0</v>
      </c>
    </row>
    <row r="6911">
      <c r="A6911" t="str">
        <f>A6894</f>
        <v>Lantai 2</v>
      </c>
      <c r="B6911">
        <f>B6894</f>
        <v>35</v>
      </c>
      <c r="C6911" t="str">
        <v>Tul Bawah Tumpuan</v>
      </c>
      <c r="D6911">
        <f>VLOOKUP(D6894,'Detail Balok'!$C$10:$AU$110,28,FALSE)</f>
        <v>2</v>
      </c>
      <c r="E6911" t="str">
        <v>D</v>
      </c>
      <c r="F6911">
        <f>VLOOKUP(D6894,'Detail Balok'!$C$10:$AU$110,30,FALSE)</f>
        <v>13</v>
      </c>
      <c r="I6911" t="str">
        <v>(</v>
      </c>
      <c r="J6911">
        <f>+J6903</f>
        <v>0.62125</v>
      </c>
      <c r="K6911" t="str">
        <v>+</v>
      </c>
      <c r="L6911">
        <f>MAX(VLOOKUP(F6911,N$6:P$15,3,FALSE)/1000,2/3*D6899/1000)+F$16*F6911/1000</f>
        <v>0.156</v>
      </c>
      <c r="M6911" t="str">
        <v>=</v>
      </c>
      <c r="N6911">
        <f>J6911+L6911</f>
        <v>0.77725</v>
      </c>
      <c r="O6911" t="str">
        <v>+</v>
      </c>
      <c r="P6911">
        <f>D6911-D6910</f>
        <v>0</v>
      </c>
      <c r="Q6911" t="str">
        <v>x</v>
      </c>
      <c r="R6911">
        <f>IF(P6911&gt;0,$F$18*F6911/1000,0)</f>
        <v>0</v>
      </c>
      <c r="S6911" t="str">
        <v>)</v>
      </c>
      <c r="T6911" t="str">
        <v>x</v>
      </c>
      <c r="U6911">
        <f>0.006165*F6911^2</f>
        <v>1.041885</v>
      </c>
      <c r="X6911" t="str">
        <v>x</v>
      </c>
      <c r="Y6911">
        <f>D6900</f>
        <v>1</v>
      </c>
      <c r="Z6911" t="str">
        <v>=</v>
      </c>
      <c r="AA6911">
        <f>IF(AA6912=0,(D6911*N6911+P6911*R6911)*U6911*Y6911,0)</f>
        <v>0</v>
      </c>
    </row>
    <row r="6912">
      <c r="A6912" t="str">
        <f>A6894</f>
        <v>Lantai 2</v>
      </c>
      <c r="B6912">
        <f>B6894</f>
        <v>35</v>
      </c>
      <c r="D6912">
        <f>IF(AND(D6909=D6910,D6910=D6911,D6909=D6911),D6909,0)</f>
        <v>2</v>
      </c>
      <c r="E6912" t="str">
        <v>D</v>
      </c>
      <c r="F6912">
        <f>IF(AND(F6909=F6910,F6909=F6911,F6910=F6911),F6909,0)</f>
        <v>13</v>
      </c>
      <c r="L6912" t="str">
        <v>Total panjang per balok</v>
      </c>
      <c r="M6912" t="str">
        <v>=</v>
      </c>
      <c r="N6912">
        <f>IF(AND(D6909=D6910,D6909=D6911,D6910=D6911,F6909=F6910,F6909=F6911,F6910=F6911),SUM(N6909:N6911),0)</f>
        <v>2.797</v>
      </c>
      <c r="O6912" t="str">
        <v>+</v>
      </c>
      <c r="P6912">
        <f>IF(N6912&gt;12,ROUNDDOWN(N6912/12,0),0)</f>
        <v>0</v>
      </c>
      <c r="Q6912" t="str">
        <v>x</v>
      </c>
      <c r="R6912">
        <f>IF(P6912&gt;0,MAX(VLOOKUP(F6912,$D$6:$G$15,3,FALSE),600),0)/1000</f>
        <v>0</v>
      </c>
      <c r="T6912" t="str">
        <v>x</v>
      </c>
      <c r="U6912">
        <f>U6911</f>
        <v>1.041885</v>
      </c>
      <c r="V6912" t="str">
        <v>x</v>
      </c>
      <c r="W6912">
        <f>D6912</f>
        <v>2</v>
      </c>
      <c r="X6912" t="str">
        <v>x</v>
      </c>
      <c r="Y6912">
        <f>Y6911</f>
        <v>1</v>
      </c>
      <c r="Z6912" t="str">
        <v>=</v>
      </c>
      <c r="AA6912">
        <f>(N6912+P6912*R6912/1000)*U6912*W6912*Y6912</f>
        <v>5.82830469</v>
      </c>
    </row>
    <row r="6914">
      <c r="A6914" t="str">
        <f>A6894</f>
        <v>Lantai 2</v>
      </c>
      <c r="B6914">
        <f>B6894</f>
        <v>35</v>
      </c>
      <c r="C6914" t="str">
        <v>Sengkang Tumpuan</v>
      </c>
      <c r="D6914">
        <f>VLOOKUP(D6894,'Detail Balok'!$C$10:$AU$110,31,FALSE)</f>
        <v>0</v>
      </c>
      <c r="E6914" t="str">
        <v>D</v>
      </c>
      <c r="F6914">
        <f>VLOOKUP(D6894,'Detail Balok'!$C$10:$AU$110,33,FALSE)</f>
        <v>8</v>
      </c>
      <c r="G6914" t="str">
        <v>-</v>
      </c>
      <c r="H6914">
        <f>VLOOKUP(D6894,'Detail Balok'!$C$10:$AU$110,35,FALSE)</f>
        <v>100</v>
      </c>
      <c r="J6914">
        <f>(IF(D6914=0,(2*(D6895+G6895))-(F$5*8),IF(D6914=3,(2*(D6895+G6895))-(F$5*8)+(G6895-2*F$5),IF(D6914=4,(2*(D6895+G6895))-(F$5*8)+2*(G6895-2*F$5)))))/1000</f>
        <v>0.62</v>
      </c>
      <c r="K6914" t="str">
        <v>+</v>
      </c>
      <c r="L6914">
        <f>IF(D6914=0,2*MAX(6*F6914,75),(D6914-1)*2*MAX(6*F6914,75))/1000</f>
        <v>0.15</v>
      </c>
      <c r="M6914" t="str">
        <v>=</v>
      </c>
      <c r="N6914">
        <f>J6914+L6914</f>
        <v>0.77</v>
      </c>
      <c r="T6914" t="str">
        <v>x</v>
      </c>
      <c r="U6914">
        <f>0.006165*F6914^2</f>
        <v>0.39456</v>
      </c>
      <c r="V6914" t="str">
        <v>x</v>
      </c>
      <c r="W6914">
        <f>IF(D6897&gt;4*G6895,ROUND(MAX(D6897/4,2*G6895)/H6914,0)+1,ROUND(D6897/H6914,0)+1)</f>
        <v>7</v>
      </c>
      <c r="X6914" t="str">
        <v>x</v>
      </c>
      <c r="Y6914">
        <f>D6900</f>
        <v>1</v>
      </c>
      <c r="Z6914" t="str">
        <v>=</v>
      </c>
      <c r="AA6914">
        <f>N6914*U6914*W6914*Y6914</f>
        <v>2.1266784</v>
      </c>
    </row>
    <row r="6915">
      <c r="A6915" t="str">
        <f>A6894</f>
        <v>Lantai 2</v>
      </c>
      <c r="B6915">
        <f>B6894</f>
        <v>35</v>
      </c>
      <c r="C6915" t="str">
        <v>Sengkang Lapangan</v>
      </c>
      <c r="D6915">
        <f>VLOOKUP(D6894,'Detail Balok'!$C$10:$AU$110,36,FALSE)</f>
        <v>0</v>
      </c>
      <c r="E6915" t="str">
        <v>D</v>
      </c>
      <c r="F6915">
        <f>VLOOKUP(D6894,'Detail Balok'!$C$10:$AU$110,38,FALSE)</f>
        <v>8</v>
      </c>
      <c r="G6915" t="str">
        <v>-</v>
      </c>
      <c r="H6915">
        <f>VLOOKUP(D6894,'Detail Balok'!$C$10:$AU$110,40,FALSE)</f>
        <v>150</v>
      </c>
      <c r="J6915">
        <f>(IF(D6915=0,(2*(D6895+G6895))-(F$5*8),IF(D6915=3,(2*(D6895+G6895))-(F$5*8)+(G6895-2*F$5),IF(D6915=4,(2*(D6895+G6895))-(F$5*8)+2*(G6895-2*F$5)))))/1000</f>
        <v>0.62</v>
      </c>
      <c r="K6915" t="str">
        <v>+</v>
      </c>
      <c r="L6915">
        <f>IF(D6915=0,2*MAX(6*F6915,75),(D6915-1)*2*MAX(6*F6915,75))/1000</f>
        <v>0.15</v>
      </c>
      <c r="M6915" t="str">
        <v>=</v>
      </c>
      <c r="N6915">
        <f>J6915+L6915</f>
        <v>0.77</v>
      </c>
      <c r="T6915" t="str">
        <v>x</v>
      </c>
      <c r="U6915">
        <f>0.006165*F6915^2</f>
        <v>0.39456</v>
      </c>
      <c r="V6915" t="str">
        <v>x</v>
      </c>
      <c r="W6915">
        <f>IF(D6897-MAX(D6897/4,2*G6895)*2&gt;0,ROUND((D6897-MAX(D6897/4,2*G6895)*2)/H6915,0),0)</f>
        <v>8</v>
      </c>
      <c r="X6915" t="str">
        <v>x</v>
      </c>
      <c r="Y6915">
        <f>D6900</f>
        <v>1</v>
      </c>
      <c r="Z6915" t="str">
        <v>=</v>
      </c>
      <c r="AA6915">
        <f>N6915*U6915*W6915*Y6915</f>
        <v>2.4304896</v>
      </c>
    </row>
    <row r="6916">
      <c r="A6916" t="str">
        <f>A6894</f>
        <v>Lantai 2</v>
      </c>
      <c r="B6916">
        <f>B6894</f>
        <v>35</v>
      </c>
      <c r="C6916" t="str">
        <v>Sengkang Tumpuan</v>
      </c>
      <c r="D6916">
        <f>VLOOKUP(D6894,'Detail Balok'!$C$10:$AU$110,41,FALSE)</f>
        <v>0</v>
      </c>
      <c r="E6916" t="str">
        <v>D</v>
      </c>
      <c r="F6916">
        <f>VLOOKUP(D6894,'Detail Balok'!$C$10:$AU$110,43,FALSE)</f>
        <v>8</v>
      </c>
      <c r="G6916" t="str">
        <v>-</v>
      </c>
      <c r="H6916">
        <f>VLOOKUP(D6894,'Detail Balok'!$C$10:$AU$110,45,FALSE)</f>
        <v>100</v>
      </c>
      <c r="J6916">
        <f>(IF(D6916=0,(2*(D6895+G6895))-(F$5*8),IF(D6916=3,(2*(D6895+G6895))-(F$5*8)+(G6895-2*F$5),IF(D6916=4,(2*(D6895+G6895))-(F$5*8)+2*(G6895-2*F$5)))))/1000</f>
        <v>0.62</v>
      </c>
      <c r="K6916" t="str">
        <v>+</v>
      </c>
      <c r="L6916">
        <f>IF(D6916=0,2*MAX(6*F6916,75),(D6916-1)*2*MAX(6*F6916,75))/1000</f>
        <v>0.15</v>
      </c>
      <c r="M6916" t="str">
        <v>=</v>
      </c>
      <c r="N6916">
        <f>J6916+L6916</f>
        <v>0.77</v>
      </c>
      <c r="T6916" t="str">
        <v>x</v>
      </c>
      <c r="U6916">
        <f>0.006165*F6916^2</f>
        <v>0.39456</v>
      </c>
      <c r="V6916" t="str">
        <v>x</v>
      </c>
      <c r="W6916">
        <f>IF(D6897&gt;4*G6895,ROUND(MAX(D6897/4,2*G6895)/H6916,0)+1,0)</f>
        <v>7</v>
      </c>
      <c r="X6916" t="str">
        <v>x</v>
      </c>
      <c r="Y6916">
        <f>D6900</f>
        <v>1</v>
      </c>
      <c r="Z6916" t="str">
        <v>=</v>
      </c>
      <c r="AA6916">
        <f>N6916*U6916*W6916*Y6916</f>
        <v>2.1266784</v>
      </c>
    </row>
    <row r="6918">
      <c r="A6918" t="str">
        <f>A6894</f>
        <v>Lantai 2</v>
      </c>
      <c r="B6918">
        <f>B6894</f>
        <v>35</v>
      </c>
      <c r="C6918" t="str">
        <v>Kait Horizontal Tump.</v>
      </c>
      <c r="D6918">
        <f>VLOOKUP(D6894,'Detail Balok'!$C$10:$BJ$110,46,FALSE)</f>
        <v>0</v>
      </c>
      <c r="E6918" t="str">
        <v>D</v>
      </c>
      <c r="F6918">
        <f>VLOOKUP(D6894,'Detail Balok'!$C$10:$BJ$110,48,FALSE)</f>
        <v>0</v>
      </c>
      <c r="G6918" t="str">
        <v>-</v>
      </c>
      <c r="H6918">
        <f>VLOOKUP(D6894,'Detail Balok'!$C$10:$BJ$110,50,FALSE)</f>
        <v>100</v>
      </c>
      <c r="J6918">
        <f>(D6895-2*F$5)/1000</f>
        <v>0.09</v>
      </c>
      <c r="K6918" t="str">
        <v>+</v>
      </c>
      <c r="L6918">
        <f>IF(D6918=0,2*MAX(6*F6918,75),(D6918-1)*2*MAX(6*F6918,75))/1000</f>
        <v>0.15</v>
      </c>
      <c r="M6918" t="str">
        <v>=</v>
      </c>
      <c r="N6918">
        <f>J6918+L6918</f>
        <v>0.24</v>
      </c>
      <c r="T6918" t="str">
        <v>x</v>
      </c>
      <c r="U6918">
        <f>0.006165*F6918^2</f>
        <v>0</v>
      </c>
      <c r="V6918" t="str">
        <v>x</v>
      </c>
      <c r="W6918">
        <f>W6914</f>
        <v>7</v>
      </c>
      <c r="X6918" t="str">
        <v>x</v>
      </c>
      <c r="Y6918">
        <f>D6904</f>
        <v>2</v>
      </c>
      <c r="Z6918" t="str">
        <v>=</v>
      </c>
      <c r="AA6918">
        <f>N6918*U6918*W6918*Y6918</f>
        <v>0</v>
      </c>
    </row>
    <row r="6919">
      <c r="A6919" t="str">
        <f>A6894</f>
        <v>Lantai 2</v>
      </c>
      <c r="B6919">
        <f>B6894</f>
        <v>35</v>
      </c>
      <c r="C6919" t="str">
        <v>Kait Horizontal Lap.</v>
      </c>
      <c r="D6919">
        <f>VLOOKUP(D6894,'Detail Balok'!$C$10:$BJ$110,51,FALSE)</f>
        <v>0</v>
      </c>
      <c r="E6919" t="str">
        <v>D</v>
      </c>
      <c r="F6919">
        <f>VLOOKUP(D6894,'Detail Balok'!$C$10:$BJ$110,53,FALSE)</f>
        <v>0</v>
      </c>
      <c r="G6919" t="str">
        <v>-</v>
      </c>
      <c r="H6919">
        <f>VLOOKUP(D6894,'Detail Balok'!$C$10:$BJ$110,55,FALSE)</f>
        <v>100</v>
      </c>
      <c r="J6919">
        <f>(D6895-2*F$5)/1000</f>
        <v>0.09</v>
      </c>
      <c r="K6919" t="str">
        <v>+</v>
      </c>
      <c r="L6919">
        <f>IF(D6919=0,2*MAX(6*F6919,75),(D6919-1)*2*MAX(6*F6919,75))/1000</f>
        <v>0.15</v>
      </c>
      <c r="M6919" t="str">
        <v>=</v>
      </c>
      <c r="N6919">
        <f>J6919+L6919</f>
        <v>0.24</v>
      </c>
      <c r="T6919" t="str">
        <v>x</v>
      </c>
      <c r="U6919">
        <f>0.006165*F6919^2</f>
        <v>0</v>
      </c>
      <c r="V6919" t="str">
        <v>x</v>
      </c>
      <c r="W6919">
        <f>W6915</f>
        <v>8</v>
      </c>
      <c r="X6919" t="str">
        <v>x</v>
      </c>
      <c r="Y6919">
        <f>D6904</f>
        <v>2</v>
      </c>
      <c r="Z6919" t="str">
        <v>=</v>
      </c>
      <c r="AA6919">
        <f>N6919*U6919*W6919*Y6919</f>
        <v>0</v>
      </c>
    </row>
    <row r="6920">
      <c r="A6920" t="str">
        <f>A6894</f>
        <v>Lantai 2</v>
      </c>
      <c r="B6920">
        <f>B6894</f>
        <v>35</v>
      </c>
      <c r="C6920" t="str">
        <v>Kait Horizontal Tump.</v>
      </c>
      <c r="D6920">
        <f>VLOOKUP(D6894,'Detail Balok'!$C$10:$BJ$110,56,FALSE)</f>
        <v>0</v>
      </c>
      <c r="E6920" t="str">
        <v>D</v>
      </c>
      <c r="F6920">
        <f>VLOOKUP(D6894,'Detail Balok'!$C$10:$BJ$110,58,FALSE)</f>
        <v>0</v>
      </c>
      <c r="G6920" t="str">
        <v>-</v>
      </c>
      <c r="H6920">
        <f>VLOOKUP(D6894,'Detail Balok'!$C$10:$BJ$110,60,FALSE)</f>
        <v>100</v>
      </c>
      <c r="J6920">
        <f>(D6895-2*F$5)/1000</f>
        <v>0.09</v>
      </c>
      <c r="K6920" t="str">
        <v>+</v>
      </c>
      <c r="L6920">
        <f>IF(D6920=0,2*MAX(6*F6920,75),(D6920-1)*2*MAX(6*F6920,75))/1000</f>
        <v>0.15</v>
      </c>
      <c r="M6920" t="str">
        <v>=</v>
      </c>
      <c r="N6920">
        <f>J6920+L6920</f>
        <v>0.24</v>
      </c>
      <c r="T6920" t="str">
        <v>x</v>
      </c>
      <c r="U6920">
        <f>0.006165*F6920^2</f>
        <v>0</v>
      </c>
      <c r="V6920" t="str">
        <v>x</v>
      </c>
      <c r="W6920">
        <f>W6916</f>
        <v>7</v>
      </c>
      <c r="X6920" t="str">
        <v>x</v>
      </c>
      <c r="Y6920">
        <f>D6904</f>
        <v>2</v>
      </c>
      <c r="Z6920" t="str">
        <v>=</v>
      </c>
      <c r="AA6920">
        <f>N6920*U6920*W6920*Y6920</f>
        <v>0</v>
      </c>
    </row>
    <row r="6924">
      <c r="A6924" t="str">
        <f>A6894</f>
        <v>Lantai 2</v>
      </c>
      <c r="B6924">
        <f>B6894+1</f>
        <v>36</v>
      </c>
      <c r="C6924" t="str">
        <f>CONCATENATE(A6924," no. ",B6924)</f>
        <v>Lantai 2 no. 36</v>
      </c>
      <c r="D6924" t="str">
        <f>VLOOKUP(C6924,'Data Panjang Balok'!$C$9:$N$424,2,FALSE)</f>
        <v>B25-1</v>
      </c>
    </row>
    <row r="6925">
      <c r="C6925" t="str">
        <v>Dimensi</v>
      </c>
      <c r="D6925">
        <f>VLOOKUP(D6924,'Detail Balok'!$C$10:$AU$110,2,FALSE)</f>
        <v>200</v>
      </c>
      <c r="F6925" t="str">
        <v>x</v>
      </c>
      <c r="G6925">
        <f>VLOOKUP(D6924,'Detail Balok'!$C$10:$AU$110,3,FALSE)</f>
        <v>500</v>
      </c>
    </row>
    <row r="6926">
      <c r="C6926" t="str">
        <v>Panjang as ke as</v>
      </c>
      <c r="D6926">
        <f>VLOOKUP(C6924,'Data Panjang Balok'!$C$9:$N$424,4,FALSE)</f>
        <v>5100</v>
      </c>
    </row>
    <row r="6927">
      <c r="C6927" t="str">
        <v>Panjang netto</v>
      </c>
      <c r="D6927">
        <f>VLOOKUP(C6924,'Data Panjang Balok'!$C$9:$N$424,7,FALSE)</f>
        <v>5100</v>
      </c>
    </row>
    <row r="6928">
      <c r="C6928" t="str">
        <v>Kolom / balok kiri</v>
      </c>
      <c r="D6928">
        <f>VLOOKUP(C6924,'Data Panjang Balok'!$C$9:$N$424,9,FALSE)</f>
        <v>0</v>
      </c>
    </row>
    <row r="6929">
      <c r="C6929" t="str">
        <v>Kolom / balok kanan</v>
      </c>
      <c r="D6929">
        <f>VLOOKUP(C6924,'Data Panjang Balok'!$C$9:$N$424,10,FALSE)</f>
        <v>0</v>
      </c>
    </row>
    <row r="6930">
      <c r="C6930" t="str">
        <v>Jumlah</v>
      </c>
      <c r="D6930">
        <f>VLOOKUP(C6924,'Data Panjang Balok'!$C$9:$N$424,3,FALSE)</f>
        <v>1</v>
      </c>
    </row>
    <row r="6931">
      <c r="A6931" t="str">
        <f>A6924</f>
        <v>Lantai 2</v>
      </c>
      <c r="B6931">
        <f>B6924</f>
        <v>36</v>
      </c>
      <c r="C6931" t="str">
        <v>Tul Atas Tumpuan</v>
      </c>
      <c r="D6931">
        <f>VLOOKUP(D6924,'Detail Balok'!$C$10:$AU$110,4,FALSE)</f>
        <v>2</v>
      </c>
      <c r="E6931" t="str">
        <v>D</v>
      </c>
      <c r="F6931">
        <f>VLOOKUP(D6924,'Detail Balok'!$C$10:$AU$110,6,FALSE)</f>
        <v>16</v>
      </c>
      <c r="I6931" t="str">
        <v>(</v>
      </c>
      <c r="J6931">
        <f>+D6926/4/1000</f>
        <v>1.275</v>
      </c>
      <c r="K6931" t="str">
        <v>+</v>
      </c>
      <c r="L6931">
        <f>MAX(VLOOKUP(F6931,N$6:P$15,3,FALSE)/1000,2/3*D6928/1000)+F$16*F6931/1000</f>
        <v>0.192</v>
      </c>
      <c r="M6931" t="str">
        <v>=</v>
      </c>
      <c r="N6931">
        <f>J6931+L6931</f>
        <v>1.4669999999999999</v>
      </c>
      <c r="O6931" t="str">
        <v>+</v>
      </c>
      <c r="P6931">
        <f>D6931-D6932</f>
        <v>0</v>
      </c>
      <c r="Q6931" t="str">
        <v>x</v>
      </c>
      <c r="R6931">
        <f>IF(P6931&gt;0,$F$18*F6931/1000,0)</f>
        <v>0</v>
      </c>
      <c r="S6931" t="str">
        <v>)</v>
      </c>
      <c r="T6931" t="str">
        <v>x</v>
      </c>
      <c r="U6931">
        <f>0.006165*F6931^2</f>
        <v>1.57824</v>
      </c>
      <c r="X6931" t="str">
        <v>x</v>
      </c>
      <c r="Y6931">
        <f>D6930</f>
        <v>1</v>
      </c>
      <c r="Z6931" t="str">
        <v>=</v>
      </c>
      <c r="AA6931">
        <f>IF(AA6934=0,(D6931*N6931+P6931*R6931)*U6931*Y6931,0)</f>
        <v>0</v>
      </c>
    </row>
    <row r="6932">
      <c r="A6932" t="str">
        <f>A6924</f>
        <v>Lantai 2</v>
      </c>
      <c r="B6932">
        <f>B6924</f>
        <v>36</v>
      </c>
      <c r="C6932" t="str">
        <v>Tul Atas Lapangan</v>
      </c>
      <c r="D6932">
        <f>VLOOKUP(D6924,'Detail Balok'!$C$10:$AU$110,7,FALSE)</f>
        <v>2</v>
      </c>
      <c r="E6932" t="str">
        <v>D</v>
      </c>
      <c r="F6932">
        <f>VLOOKUP(D6924,'Detail Balok'!$C$10:$AU$110,9,FALSE)</f>
        <v>16</v>
      </c>
      <c r="I6932" t="str">
        <v>(</v>
      </c>
      <c r="J6932">
        <f>+D6926/2/1000</f>
        <v>2.55</v>
      </c>
      <c r="K6932" t="str">
        <v>+</v>
      </c>
      <c r="M6932" t="str">
        <v>=</v>
      </c>
      <c r="N6932">
        <f>J6932+L6932</f>
        <v>2.55</v>
      </c>
      <c r="O6932" t="str">
        <v>+</v>
      </c>
      <c r="P6932">
        <f>MAX(D6932-D6931,D6932-D6933)</f>
        <v>0</v>
      </c>
      <c r="Q6932" t="str">
        <v>x</v>
      </c>
      <c r="R6932">
        <f>IF(P6932&gt;0,2*(1-2*$F$19-1/2)*D6927/1000,0)</f>
        <v>0</v>
      </c>
      <c r="S6932" t="str">
        <v>)</v>
      </c>
      <c r="T6932" t="str">
        <v>x</v>
      </c>
      <c r="U6932">
        <f>0.006165*F6932^2</f>
        <v>1.57824</v>
      </c>
      <c r="X6932" t="str">
        <v>x</v>
      </c>
      <c r="Y6932">
        <f>D6930</f>
        <v>1</v>
      </c>
      <c r="Z6932" t="str">
        <v>=</v>
      </c>
      <c r="AA6932">
        <f>IF(AA6934=0,(D6932*N6932+P6932*R6932)*U6932*Y6932,0)</f>
        <v>0</v>
      </c>
    </row>
    <row r="6933">
      <c r="A6933" t="str">
        <f>A6924</f>
        <v>Lantai 2</v>
      </c>
      <c r="B6933">
        <f>B6924</f>
        <v>36</v>
      </c>
      <c r="C6933" t="str">
        <v>Tul Atas Tumpuan</v>
      </c>
      <c r="D6933">
        <f>VLOOKUP(D6924,'Detail Balok'!$C$10:$AU$110,10,FALSE)</f>
        <v>2</v>
      </c>
      <c r="E6933" t="str">
        <v>D</v>
      </c>
      <c r="F6933">
        <f>VLOOKUP(D6924,'Detail Balok'!$C$10:$AU$110,12,FALSE)</f>
        <v>16</v>
      </c>
      <c r="I6933" t="str">
        <v>(</v>
      </c>
      <c r="J6933">
        <f>+D6926/4/1000</f>
        <v>1.275</v>
      </c>
      <c r="K6933" t="str">
        <v>+</v>
      </c>
      <c r="L6933">
        <f>MAX(VLOOKUP(F6933,N$6:P$15,3,FALSE)/1000,2/3*D6928/1000)+F$16*F6933/1000</f>
        <v>0.192</v>
      </c>
      <c r="M6933" t="str">
        <v>=</v>
      </c>
      <c r="N6933">
        <f>J6933+L6933</f>
        <v>1.4669999999999999</v>
      </c>
      <c r="O6933" t="str">
        <v>+</v>
      </c>
      <c r="P6933">
        <f>D6933-D6932</f>
        <v>0</v>
      </c>
      <c r="Q6933" t="str">
        <v>x</v>
      </c>
      <c r="R6933">
        <f>IF(P6933&gt;0,$F$18*F6933/1000,0)</f>
        <v>0</v>
      </c>
      <c r="S6933" t="str">
        <v>)</v>
      </c>
      <c r="T6933" t="str">
        <v>x</v>
      </c>
      <c r="U6933">
        <f>0.006165*F6933^2</f>
        <v>1.57824</v>
      </c>
      <c r="X6933" t="str">
        <v>x</v>
      </c>
      <c r="Y6933">
        <f>D6930</f>
        <v>1</v>
      </c>
      <c r="Z6933" t="str">
        <v>=</v>
      </c>
      <c r="AA6933">
        <f>IF(AA6934=0,(D6933*N6933+P6933*R6933)*U6933*Y6933,0)</f>
        <v>0</v>
      </c>
    </row>
    <row r="6934">
      <c r="A6934" t="str">
        <f>A6924</f>
        <v>Lantai 2</v>
      </c>
      <c r="B6934">
        <f>B6924</f>
        <v>36</v>
      </c>
      <c r="D6934">
        <f>IF(AND(D6931=D6932,D6932=D6933,D6931=D6933),D6931,0)</f>
        <v>2</v>
      </c>
      <c r="E6934" t="str">
        <v>D</v>
      </c>
      <c r="F6934">
        <f>IF(AND(F6931=F6932,F6931=F6933,F6932=F6933),F6931,0)</f>
        <v>16</v>
      </c>
      <c r="L6934" t="str">
        <v>Total panjang per balok</v>
      </c>
      <c r="M6934" t="str">
        <v>=</v>
      </c>
      <c r="N6934">
        <f>IF(AND(D6931=D6932,D6931=D6933,D6932=D6933,F6931=F6932,F6931=F6933,F6932=F6933),SUM(N6931:N6933),0)</f>
        <v>5.483999999999999</v>
      </c>
      <c r="O6934" t="str">
        <v>+</v>
      </c>
      <c r="P6934">
        <f>IF(N6934&gt;12,ROUNDDOWN(N6934/12,0),0)</f>
        <v>0</v>
      </c>
      <c r="Q6934" t="str">
        <v>x</v>
      </c>
      <c r="R6934">
        <f>IF(P6934&gt;0,MAX(VLOOKUP(F6934,$D$6:$G$15,3,FALSE),600),0)/1000</f>
        <v>0</v>
      </c>
      <c r="T6934" t="str">
        <v>x</v>
      </c>
      <c r="U6934">
        <f>U6933</f>
        <v>1.57824</v>
      </c>
      <c r="V6934" t="str">
        <v>x</v>
      </c>
      <c r="W6934">
        <f>D6934</f>
        <v>2</v>
      </c>
      <c r="X6934" t="str">
        <v>x</v>
      </c>
      <c r="Y6934">
        <f>Y6933</f>
        <v>1</v>
      </c>
      <c r="Z6934" t="str">
        <v>=</v>
      </c>
      <c r="AA6934">
        <f>(N6934+P6934*R6934/1000)*U6934*W6934*Y6934</f>
        <v>17.310136319999998</v>
      </c>
    </row>
    <row r="6936">
      <c r="A6936" t="str">
        <f>A6924</f>
        <v>Lantai 2</v>
      </c>
      <c r="B6936">
        <f>B6924</f>
        <v>36</v>
      </c>
      <c r="C6936" t="str">
        <v>Tul Peminggang</v>
      </c>
      <c r="D6936">
        <f>VLOOKUP(D6924,'Detail Balok'!$C$10:$AU$110,13,FALSE)</f>
        <v>2</v>
      </c>
      <c r="E6936" t="str">
        <v>D</v>
      </c>
      <c r="F6936">
        <f>VLOOKUP(D6924,'Detail Balok'!$C$10:$AU$110,15,FALSE)</f>
        <v>10</v>
      </c>
      <c r="J6936">
        <f>+D6926/1000</f>
        <v>5.1</v>
      </c>
      <c r="K6936" t="str">
        <v>+</v>
      </c>
      <c r="L6936">
        <f>2*$F$16*F6936/1000</f>
        <v>0.24</v>
      </c>
      <c r="M6936" t="str">
        <v>=</v>
      </c>
      <c r="N6936">
        <f>J6936+L6936</f>
        <v>5.34</v>
      </c>
      <c r="O6936" t="str">
        <v>+</v>
      </c>
      <c r="P6936">
        <f>IF(N6936&gt;12,ROUNDDOWN(N6936/12,0),0)</f>
        <v>0</v>
      </c>
      <c r="Q6936" t="str">
        <v>x</v>
      </c>
      <c r="R6936">
        <f>IF(P6936&gt;0,MAX(VLOOKUP(F6936,$D$6:$G$15,3,FALSE),600),0)/1000</f>
        <v>0</v>
      </c>
      <c r="T6936" t="str">
        <v>x</v>
      </c>
      <c r="U6936">
        <f>0.006165*F6936^2</f>
        <v>0.6165</v>
      </c>
      <c r="V6936" t="str">
        <v>x</v>
      </c>
      <c r="W6936">
        <f>+D6936</f>
        <v>2</v>
      </c>
      <c r="X6936" t="str">
        <v>x</v>
      </c>
      <c r="Y6936">
        <f>D6930</f>
        <v>1</v>
      </c>
      <c r="Z6936" t="str">
        <v>=</v>
      </c>
      <c r="AA6936">
        <f>(N6936+P6936*R6936/1000)*U6936*W6936*Y6936</f>
        <v>6.58422</v>
      </c>
    </row>
    <row r="6939">
      <c r="A6939" t="str">
        <f>A6924</f>
        <v>Lantai 2</v>
      </c>
      <c r="B6939">
        <f>B6924</f>
        <v>36</v>
      </c>
      <c r="C6939" t="str">
        <v>Tul Bawah Tumpuan</v>
      </c>
      <c r="D6939">
        <f>VLOOKUP(D6924,'Detail Balok'!$C$10:$AU$110,22,FALSE)</f>
        <v>2</v>
      </c>
      <c r="E6939" t="str">
        <v>D</v>
      </c>
      <c r="F6939">
        <f>VLOOKUP(D6924,'Detail Balok'!$C$10:$AU$110,24,FALSE)</f>
        <v>16</v>
      </c>
      <c r="I6939" t="str">
        <v>(</v>
      </c>
      <c r="J6939">
        <f>+J6931</f>
        <v>1.275</v>
      </c>
      <c r="K6939" t="str">
        <v>+</v>
      </c>
      <c r="L6939">
        <f>MAX(VLOOKUP(F6939,N$6:P$15,3,FALSE)/1000,2/3*D6929/1000)+F$16*F6939/1000</f>
        <v>0.192</v>
      </c>
      <c r="M6939" t="str">
        <v>=</v>
      </c>
      <c r="N6939">
        <f>J6939+L6939</f>
        <v>1.4669999999999999</v>
      </c>
      <c r="O6939" t="str">
        <v>+</v>
      </c>
      <c r="P6939">
        <f>D6939-D6940</f>
        <v>0</v>
      </c>
      <c r="Q6939" t="str">
        <v>x</v>
      </c>
      <c r="R6939">
        <f>IF(P6939&gt;0,$F$18*F6939/1000,0)</f>
        <v>0</v>
      </c>
      <c r="S6939" t="str">
        <v>)</v>
      </c>
      <c r="T6939" t="str">
        <v>x</v>
      </c>
      <c r="U6939">
        <f>0.006165*F6939^2</f>
        <v>1.57824</v>
      </c>
      <c r="X6939" t="str">
        <v>x</v>
      </c>
      <c r="Y6939">
        <f>D6930</f>
        <v>1</v>
      </c>
      <c r="Z6939" t="str">
        <v>=</v>
      </c>
      <c r="AA6939">
        <f>IF(AA6942=0,(D6939*N6939+P6939*R6939)*U6939*Y6939,0)</f>
        <v>0</v>
      </c>
    </row>
    <row r="6940">
      <c r="A6940" t="str">
        <f>A6924</f>
        <v>Lantai 2</v>
      </c>
      <c r="B6940">
        <f>B6924</f>
        <v>36</v>
      </c>
      <c r="C6940" t="str">
        <v>Tul Bawah Lapangan</v>
      </c>
      <c r="D6940">
        <f>VLOOKUP(D6924,'Detail Balok'!$C$10:$AU$110,25,FALSE)</f>
        <v>2</v>
      </c>
      <c r="E6940" t="str">
        <v>D</v>
      </c>
      <c r="F6940">
        <f>VLOOKUP(D6924,'Detail Balok'!$C$10:$AU$110,27,FALSE)</f>
        <v>16</v>
      </c>
      <c r="I6940" t="str">
        <v>(</v>
      </c>
      <c r="J6940">
        <f>+J6932</f>
        <v>2.55</v>
      </c>
      <c r="K6940" t="str">
        <v>+</v>
      </c>
      <c r="M6940" t="str">
        <v>=</v>
      </c>
      <c r="N6940">
        <f>J6940+L6940</f>
        <v>2.55</v>
      </c>
      <c r="O6940" t="str">
        <v>+</v>
      </c>
      <c r="P6940">
        <f>MAX(D6940-D6939,D6940-D6941)</f>
        <v>0</v>
      </c>
      <c r="Q6940" t="str">
        <v>x</v>
      </c>
      <c r="R6940">
        <f>IF(P6940&gt;0,2*(1-2*$F$19-1/2)*D6927/1000,0)</f>
        <v>0</v>
      </c>
      <c r="S6940" t="str">
        <v>)</v>
      </c>
      <c r="T6940" t="str">
        <v>x</v>
      </c>
      <c r="U6940">
        <f>0.006165*F6940^2</f>
        <v>1.57824</v>
      </c>
      <c r="X6940" t="str">
        <v>x</v>
      </c>
      <c r="Y6940">
        <f>D6930</f>
        <v>1</v>
      </c>
      <c r="Z6940" t="str">
        <v>=</v>
      </c>
      <c r="AA6940">
        <f>IF(AA6942=0,(D6940*N6940+P6940*R6940)*U6940*Y6940,0)</f>
        <v>0</v>
      </c>
    </row>
    <row r="6941">
      <c r="A6941" t="str">
        <f>A6924</f>
        <v>Lantai 2</v>
      </c>
      <c r="B6941">
        <f>B6924</f>
        <v>36</v>
      </c>
      <c r="C6941" t="str">
        <v>Tul Bawah Tumpuan</v>
      </c>
      <c r="D6941">
        <f>VLOOKUP(D6924,'Detail Balok'!$C$10:$AU$110,28,FALSE)</f>
        <v>2</v>
      </c>
      <c r="E6941" t="str">
        <v>D</v>
      </c>
      <c r="F6941">
        <f>VLOOKUP(D6924,'Detail Balok'!$C$10:$AU$110,30,FALSE)</f>
        <v>16</v>
      </c>
      <c r="I6941" t="str">
        <v>(</v>
      </c>
      <c r="J6941">
        <f>+J6933</f>
        <v>1.275</v>
      </c>
      <c r="K6941" t="str">
        <v>+</v>
      </c>
      <c r="L6941">
        <f>MAX(VLOOKUP(F6941,N$6:P$15,3,FALSE)/1000,2/3*D6929/1000)+F$16*F6941/1000</f>
        <v>0.192</v>
      </c>
      <c r="M6941" t="str">
        <v>=</v>
      </c>
      <c r="N6941">
        <f>J6941+L6941</f>
        <v>1.4669999999999999</v>
      </c>
      <c r="O6941" t="str">
        <v>+</v>
      </c>
      <c r="P6941">
        <f>D6941-D6940</f>
        <v>0</v>
      </c>
      <c r="Q6941" t="str">
        <v>x</v>
      </c>
      <c r="R6941">
        <f>IF(P6941&gt;0,$F$18*F6941/1000,0)</f>
        <v>0</v>
      </c>
      <c r="S6941" t="str">
        <v>)</v>
      </c>
      <c r="T6941" t="str">
        <v>x</v>
      </c>
      <c r="U6941">
        <f>0.006165*F6941^2</f>
        <v>1.57824</v>
      </c>
      <c r="X6941" t="str">
        <v>x</v>
      </c>
      <c r="Y6941">
        <f>D6930</f>
        <v>1</v>
      </c>
      <c r="Z6941" t="str">
        <v>=</v>
      </c>
      <c r="AA6941">
        <f>IF(AA6942=0,(D6941*N6941+P6941*R6941)*U6941*Y6941,0)</f>
        <v>0</v>
      </c>
    </row>
    <row r="6942">
      <c r="A6942" t="str">
        <f>A6924</f>
        <v>Lantai 2</v>
      </c>
      <c r="B6942">
        <f>B6924</f>
        <v>36</v>
      </c>
      <c r="D6942">
        <f>IF(AND(D6939=D6940,D6940=D6941,D6939=D6941),D6939,0)</f>
        <v>2</v>
      </c>
      <c r="E6942" t="str">
        <v>D</v>
      </c>
      <c r="F6942">
        <f>IF(AND(F6939=F6940,F6939=F6941,F6940=F6941),F6939,0)</f>
        <v>16</v>
      </c>
      <c r="L6942" t="str">
        <v>Total panjang per balok</v>
      </c>
      <c r="M6942" t="str">
        <v>=</v>
      </c>
      <c r="N6942">
        <f>IF(AND(D6939=D6940,D6939=D6941,D6940=D6941,F6939=F6940,F6939=F6941,F6940=F6941),SUM(N6939:N6941),0)</f>
        <v>5.483999999999999</v>
      </c>
      <c r="O6942" t="str">
        <v>+</v>
      </c>
      <c r="P6942">
        <f>IF(N6942&gt;12,ROUNDDOWN(N6942/12,0),0)</f>
        <v>0</v>
      </c>
      <c r="Q6942" t="str">
        <v>x</v>
      </c>
      <c r="R6942">
        <f>IF(P6942&gt;0,MAX(VLOOKUP(F6942,$D$6:$G$15,3,FALSE),600),0)/1000</f>
        <v>0</v>
      </c>
      <c r="T6942" t="str">
        <v>x</v>
      </c>
      <c r="U6942">
        <f>U6941</f>
        <v>1.57824</v>
      </c>
      <c r="V6942" t="str">
        <v>x</v>
      </c>
      <c r="W6942">
        <f>D6942</f>
        <v>2</v>
      </c>
      <c r="X6942" t="str">
        <v>x</v>
      </c>
      <c r="Y6942">
        <f>Y6941</f>
        <v>1</v>
      </c>
      <c r="Z6942" t="str">
        <v>=</v>
      </c>
      <c r="AA6942">
        <f>(N6942+P6942*R6942/1000)*U6942*W6942*Y6942</f>
        <v>17.310136319999998</v>
      </c>
    </row>
    <row r="6944">
      <c r="A6944" t="str">
        <f>A6924</f>
        <v>Lantai 2</v>
      </c>
      <c r="B6944">
        <f>B6924</f>
        <v>36</v>
      </c>
      <c r="C6944" t="str">
        <v>Sengkang Tumpuan</v>
      </c>
      <c r="D6944">
        <f>VLOOKUP(D6924,'Detail Balok'!$C$10:$AU$110,31,FALSE)</f>
        <v>0</v>
      </c>
      <c r="E6944" t="str">
        <v>D</v>
      </c>
      <c r="F6944">
        <f>VLOOKUP(D6924,'Detail Balok'!$C$10:$AU$110,33,FALSE)</f>
        <v>10</v>
      </c>
      <c r="G6944" t="str">
        <v>-</v>
      </c>
      <c r="H6944">
        <f>VLOOKUP(D6924,'Detail Balok'!$C$10:$AU$110,35,FALSE)</f>
        <v>100</v>
      </c>
      <c r="J6944">
        <f>(IF(D6944=0,(2*(D6925+G6925))-(F$5*8),IF(D6944=3,(2*(D6925+G6925))-(F$5*8)+(G6925-2*F$5),IF(D6944=4,(2*(D6925+G6925))-(F$5*8)+2*(G6925-2*F$5)))))/1000</f>
        <v>1.08</v>
      </c>
      <c r="K6944" t="str">
        <v>+</v>
      </c>
      <c r="L6944">
        <f>IF(D6944=0,2*MAX(6*F6944,75),(D6944-1)*2*MAX(6*F6944,75))/1000</f>
        <v>0.15</v>
      </c>
      <c r="M6944" t="str">
        <v>=</v>
      </c>
      <c r="N6944">
        <f>J6944+L6944</f>
        <v>1.23</v>
      </c>
      <c r="T6944" t="str">
        <v>x</v>
      </c>
      <c r="U6944">
        <f>0.006165*F6944^2</f>
        <v>0.6165</v>
      </c>
      <c r="V6944" t="str">
        <v>x</v>
      </c>
      <c r="W6944">
        <f>IF(D6927&gt;4*G6925,ROUND(MAX(D6927/4,2*G6925)/H6944,0)+1,ROUND(D6927/H6944,0)+1)</f>
        <v>14</v>
      </c>
      <c r="X6944" t="str">
        <v>x</v>
      </c>
      <c r="Y6944">
        <f>D6930</f>
        <v>1</v>
      </c>
      <c r="Z6944" t="str">
        <v>=</v>
      </c>
      <c r="AA6944">
        <f>N6944*U6944*W6944*Y6944</f>
        <v>10.61613</v>
      </c>
    </row>
    <row r="6945">
      <c r="A6945" t="str">
        <f>A6924</f>
        <v>Lantai 2</v>
      </c>
      <c r="B6945">
        <f>B6924</f>
        <v>36</v>
      </c>
      <c r="C6945" t="str">
        <v>Sengkang Lapangan</v>
      </c>
      <c r="D6945">
        <f>VLOOKUP(D6924,'Detail Balok'!$C$10:$AU$110,36,FALSE)</f>
        <v>0</v>
      </c>
      <c r="E6945" t="str">
        <v>D</v>
      </c>
      <c r="F6945">
        <f>VLOOKUP(D6924,'Detail Balok'!$C$10:$AU$110,38,FALSE)</f>
        <v>10</v>
      </c>
      <c r="G6945" t="str">
        <v>-</v>
      </c>
      <c r="H6945">
        <f>VLOOKUP(D6924,'Detail Balok'!$C$10:$AU$110,40,FALSE)</f>
        <v>200</v>
      </c>
      <c r="J6945">
        <f>(IF(D6945=0,(2*(D6925+G6925))-(F$5*8),IF(D6945=3,(2*(D6925+G6925))-(F$5*8)+(G6925-2*F$5),IF(D6945=4,(2*(D6925+G6925))-(F$5*8)+2*(G6925-2*F$5)))))/1000</f>
        <v>1.08</v>
      </c>
      <c r="K6945" t="str">
        <v>+</v>
      </c>
      <c r="L6945">
        <f>IF(D6945=0,2*MAX(6*F6945,75),(D6945-1)*2*MAX(6*F6945,75))/1000</f>
        <v>0.15</v>
      </c>
      <c r="M6945" t="str">
        <v>=</v>
      </c>
      <c r="N6945">
        <f>J6945+L6945</f>
        <v>1.23</v>
      </c>
      <c r="T6945" t="str">
        <v>x</v>
      </c>
      <c r="U6945">
        <f>0.006165*F6945^2</f>
        <v>0.6165</v>
      </c>
      <c r="V6945" t="str">
        <v>x</v>
      </c>
      <c r="W6945">
        <f>IF(D6927-MAX(D6927/4,2*G6925)*2&gt;0,ROUND((D6927-MAX(D6927/4,2*G6925)*2)/H6945,0),0)</f>
        <v>13</v>
      </c>
      <c r="X6945" t="str">
        <v>x</v>
      </c>
      <c r="Y6945">
        <f>D6930</f>
        <v>1</v>
      </c>
      <c r="Z6945" t="str">
        <v>=</v>
      </c>
      <c r="AA6945">
        <f>N6945*U6945*W6945*Y6945</f>
        <v>9.857835000000001</v>
      </c>
    </row>
    <row r="6946">
      <c r="A6946" t="str">
        <f>A6924</f>
        <v>Lantai 2</v>
      </c>
      <c r="B6946">
        <f>B6924</f>
        <v>36</v>
      </c>
      <c r="C6946" t="str">
        <v>Sengkang Tumpuan</v>
      </c>
      <c r="D6946">
        <f>VLOOKUP(D6924,'Detail Balok'!$C$10:$AU$110,41,FALSE)</f>
        <v>0</v>
      </c>
      <c r="E6946" t="str">
        <v>D</v>
      </c>
      <c r="F6946">
        <f>VLOOKUP(D6924,'Detail Balok'!$C$10:$AU$110,43,FALSE)</f>
        <v>10</v>
      </c>
      <c r="G6946" t="str">
        <v>-</v>
      </c>
      <c r="H6946">
        <f>VLOOKUP(D6924,'Detail Balok'!$C$10:$AU$110,45,FALSE)</f>
        <v>100</v>
      </c>
      <c r="J6946">
        <f>(IF(D6946=0,(2*(D6925+G6925))-(F$5*8),IF(D6946=3,(2*(D6925+G6925))-(F$5*8)+(G6925-2*F$5),IF(D6946=4,(2*(D6925+G6925))-(F$5*8)+2*(G6925-2*F$5)))))/1000</f>
        <v>1.08</v>
      </c>
      <c r="K6946" t="str">
        <v>+</v>
      </c>
      <c r="L6946">
        <f>IF(D6946=0,2*MAX(6*F6946,75),(D6946-1)*2*MAX(6*F6946,75))/1000</f>
        <v>0.15</v>
      </c>
      <c r="M6946" t="str">
        <v>=</v>
      </c>
      <c r="N6946">
        <f>J6946+L6946</f>
        <v>1.23</v>
      </c>
      <c r="T6946" t="str">
        <v>x</v>
      </c>
      <c r="U6946">
        <f>0.006165*F6946^2</f>
        <v>0.6165</v>
      </c>
      <c r="V6946" t="str">
        <v>x</v>
      </c>
      <c r="W6946">
        <f>IF(D6927&gt;4*G6925,ROUND(MAX(D6927/4,2*G6925)/H6946,0)+1,0)</f>
        <v>14</v>
      </c>
      <c r="X6946" t="str">
        <v>x</v>
      </c>
      <c r="Y6946">
        <f>D6930</f>
        <v>1</v>
      </c>
      <c r="Z6946" t="str">
        <v>=</v>
      </c>
      <c r="AA6946">
        <f>N6946*U6946*W6946*Y6946</f>
        <v>10.61613</v>
      </c>
    </row>
    <row r="6948">
      <c r="A6948" t="str">
        <f>A6924</f>
        <v>Lantai 2</v>
      </c>
      <c r="B6948">
        <f>B6924</f>
        <v>36</v>
      </c>
      <c r="C6948" t="str">
        <v>Kait Horizontal Tump.</v>
      </c>
      <c r="D6948">
        <f>VLOOKUP(D6924,'Detail Balok'!$C$10:$BJ$110,46,FALSE)</f>
        <v>0</v>
      </c>
      <c r="E6948" t="str">
        <v>D</v>
      </c>
      <c r="F6948">
        <f>VLOOKUP(D6924,'Detail Balok'!$C$10:$BJ$110,48,FALSE)</f>
        <v>0</v>
      </c>
      <c r="G6948" t="str">
        <v>-</v>
      </c>
      <c r="H6948">
        <f>VLOOKUP(D6924,'Detail Balok'!$C$10:$BJ$110,50,FALSE)</f>
        <v>100</v>
      </c>
      <c r="J6948">
        <f>(D6925-2*F$5)/1000</f>
        <v>0.12</v>
      </c>
      <c r="K6948" t="str">
        <v>+</v>
      </c>
      <c r="L6948">
        <f>IF(D6948=0,2*MAX(6*F6948,75),(D6948-1)*2*MAX(6*F6948,75))/1000</f>
        <v>0.15</v>
      </c>
      <c r="M6948" t="str">
        <v>=</v>
      </c>
      <c r="N6948">
        <f>J6948+L6948</f>
        <v>0.27</v>
      </c>
      <c r="T6948" t="str">
        <v>x</v>
      </c>
      <c r="U6948">
        <f>0.006165*F6948^2</f>
        <v>0</v>
      </c>
      <c r="V6948" t="str">
        <v>x</v>
      </c>
      <c r="W6948">
        <f>W6944</f>
        <v>14</v>
      </c>
      <c r="X6948" t="str">
        <v>x</v>
      </c>
      <c r="Y6948">
        <f>D6934</f>
        <v>2</v>
      </c>
      <c r="Z6948" t="str">
        <v>=</v>
      </c>
      <c r="AA6948">
        <f>N6948*U6948*W6948*Y6948</f>
        <v>0</v>
      </c>
    </row>
    <row r="6949">
      <c r="A6949" t="str">
        <f>A6924</f>
        <v>Lantai 2</v>
      </c>
      <c r="B6949">
        <f>B6924</f>
        <v>36</v>
      </c>
      <c r="C6949" t="str">
        <v>Kait Horizontal Lap.</v>
      </c>
      <c r="D6949">
        <f>VLOOKUP(D6924,'Detail Balok'!$C$10:$BJ$110,51,FALSE)</f>
        <v>0</v>
      </c>
      <c r="E6949" t="str">
        <v>D</v>
      </c>
      <c r="F6949">
        <f>VLOOKUP(D6924,'Detail Balok'!$C$10:$BJ$110,53,FALSE)</f>
        <v>0</v>
      </c>
      <c r="G6949" t="str">
        <v>-</v>
      </c>
      <c r="H6949">
        <f>VLOOKUP(D6924,'Detail Balok'!$C$10:$BJ$110,55,FALSE)</f>
        <v>100</v>
      </c>
      <c r="J6949">
        <f>(D6925-2*F$5)/1000</f>
        <v>0.12</v>
      </c>
      <c r="K6949" t="str">
        <v>+</v>
      </c>
      <c r="L6949">
        <f>IF(D6949=0,2*MAX(6*F6949,75),(D6949-1)*2*MAX(6*F6949,75))/1000</f>
        <v>0.15</v>
      </c>
      <c r="M6949" t="str">
        <v>=</v>
      </c>
      <c r="N6949">
        <f>J6949+L6949</f>
        <v>0.27</v>
      </c>
      <c r="T6949" t="str">
        <v>x</v>
      </c>
      <c r="U6949">
        <f>0.006165*F6949^2</f>
        <v>0</v>
      </c>
      <c r="V6949" t="str">
        <v>x</v>
      </c>
      <c r="W6949">
        <f>W6945</f>
        <v>13</v>
      </c>
      <c r="X6949" t="str">
        <v>x</v>
      </c>
      <c r="Y6949">
        <f>D6934</f>
        <v>2</v>
      </c>
      <c r="Z6949" t="str">
        <v>=</v>
      </c>
      <c r="AA6949">
        <f>N6949*U6949*W6949*Y6949</f>
        <v>0</v>
      </c>
    </row>
    <row r="6950">
      <c r="A6950" t="str">
        <f>A6924</f>
        <v>Lantai 2</v>
      </c>
      <c r="B6950">
        <f>B6924</f>
        <v>36</v>
      </c>
      <c r="C6950" t="str">
        <v>Kait Horizontal Tump.</v>
      </c>
      <c r="D6950">
        <f>VLOOKUP(D6924,'Detail Balok'!$C$10:$BJ$110,56,FALSE)</f>
        <v>0</v>
      </c>
      <c r="E6950" t="str">
        <v>D</v>
      </c>
      <c r="F6950">
        <f>VLOOKUP(D6924,'Detail Balok'!$C$10:$BJ$110,58,FALSE)</f>
        <v>0</v>
      </c>
      <c r="G6950" t="str">
        <v>-</v>
      </c>
      <c r="H6950">
        <f>VLOOKUP(D6924,'Detail Balok'!$C$10:$BJ$110,60,FALSE)</f>
        <v>100</v>
      </c>
      <c r="J6950">
        <f>(D6925-2*F$5)/1000</f>
        <v>0.12</v>
      </c>
      <c r="K6950" t="str">
        <v>+</v>
      </c>
      <c r="L6950">
        <f>IF(D6950=0,2*MAX(6*F6950,75),(D6950-1)*2*MAX(6*F6950,75))/1000</f>
        <v>0.15</v>
      </c>
      <c r="M6950" t="str">
        <v>=</v>
      </c>
      <c r="N6950">
        <f>J6950+L6950</f>
        <v>0.27</v>
      </c>
      <c r="T6950" t="str">
        <v>x</v>
      </c>
      <c r="U6950">
        <f>0.006165*F6950^2</f>
        <v>0</v>
      </c>
      <c r="V6950" t="str">
        <v>x</v>
      </c>
      <c r="W6950">
        <f>W6946</f>
        <v>14</v>
      </c>
      <c r="X6950" t="str">
        <v>x</v>
      </c>
      <c r="Y6950">
        <f>D6934</f>
        <v>2</v>
      </c>
      <c r="Z6950" t="str">
        <v>=</v>
      </c>
      <c r="AA6950">
        <f>N6950*U6950*W6950*Y6950</f>
        <v>0</v>
      </c>
    </row>
    <row r="6954">
      <c r="A6954" t="str">
        <f>A6924</f>
        <v>Lantai 2</v>
      </c>
      <c r="B6954">
        <f>B6924+1</f>
        <v>37</v>
      </c>
      <c r="C6954" t="str">
        <f>CONCATENATE(A6954," no. ",B6954)</f>
        <v>Lantai 2 no. 37</v>
      </c>
      <c r="D6954" t="str">
        <f>VLOOKUP(C6954,'Data Panjang Balok'!$C$9:$N$424,2,FALSE)</f>
        <v>B26-6</v>
      </c>
    </row>
    <row r="6955">
      <c r="C6955" t="str">
        <v>Dimensi</v>
      </c>
      <c r="D6955">
        <f>VLOOKUP(D6954,'Detail Balok'!$C$10:$AU$110,2,FALSE)</f>
        <v>200</v>
      </c>
      <c r="F6955" t="str">
        <v>x</v>
      </c>
      <c r="G6955">
        <f>VLOOKUP(D6954,'Detail Balok'!$C$10:$AU$110,3,FALSE)</f>
        <v>600</v>
      </c>
    </row>
    <row r="6956">
      <c r="C6956" t="str">
        <v>Panjang as ke as</v>
      </c>
      <c r="D6956">
        <f>VLOOKUP(C6954,'Data Panjang Balok'!$C$9:$N$424,4,FALSE)</f>
        <v>2900</v>
      </c>
    </row>
    <row r="6957">
      <c r="C6957" t="str">
        <v>Panjang netto</v>
      </c>
      <c r="D6957">
        <f>VLOOKUP(C6954,'Data Panjang Balok'!$C$9:$N$424,7,FALSE)</f>
        <v>2900</v>
      </c>
    </row>
    <row r="6958">
      <c r="C6958" t="str">
        <v>Kolom / balok kiri</v>
      </c>
      <c r="D6958">
        <f>VLOOKUP(C6954,'Data Panjang Balok'!$C$9:$N$424,9,FALSE)</f>
        <v>0</v>
      </c>
    </row>
    <row r="6959">
      <c r="C6959" t="str">
        <v>Kolom / balok kanan</v>
      </c>
      <c r="D6959">
        <f>VLOOKUP(C6954,'Data Panjang Balok'!$C$9:$N$424,10,FALSE)</f>
        <v>0</v>
      </c>
    </row>
    <row r="6960">
      <c r="C6960" t="str">
        <v>Jumlah</v>
      </c>
      <c r="D6960">
        <f>VLOOKUP(C6954,'Data Panjang Balok'!$C$9:$N$424,3,FALSE)</f>
        <v>1</v>
      </c>
    </row>
    <row r="6961">
      <c r="A6961" t="str">
        <f>A6954</f>
        <v>Lantai 2</v>
      </c>
      <c r="B6961">
        <f>B6954</f>
        <v>37</v>
      </c>
      <c r="C6961" t="str">
        <v>Tul Atas Tumpuan</v>
      </c>
      <c r="D6961">
        <f>VLOOKUP(D6954,'Detail Balok'!$C$10:$AU$110,4,FALSE)</f>
        <v>2</v>
      </c>
      <c r="E6961" t="str">
        <v>D</v>
      </c>
      <c r="F6961">
        <f>VLOOKUP(D6954,'Detail Balok'!$C$10:$AU$110,6,FALSE)</f>
        <v>16</v>
      </c>
      <c r="I6961" t="str">
        <v>(</v>
      </c>
      <c r="J6961">
        <f>+D6956/4/1000</f>
        <v>0.725</v>
      </c>
      <c r="K6961" t="str">
        <v>+</v>
      </c>
      <c r="L6961">
        <f>MAX(VLOOKUP(F6961,N$6:P$15,3,FALSE)/1000,2/3*D6958/1000)+F$16*F6961/1000</f>
        <v>0.192</v>
      </c>
      <c r="M6961" t="str">
        <v>=</v>
      </c>
      <c r="N6961">
        <f>J6961+L6961</f>
        <v>0.917</v>
      </c>
      <c r="O6961" t="str">
        <v>+</v>
      </c>
      <c r="P6961">
        <f>D6961-D6962</f>
        <v>0</v>
      </c>
      <c r="Q6961" t="str">
        <v>x</v>
      </c>
      <c r="R6961">
        <f>IF(P6961&gt;0,$F$18*F6961/1000,0)</f>
        <v>0</v>
      </c>
      <c r="S6961" t="str">
        <v>)</v>
      </c>
      <c r="T6961" t="str">
        <v>x</v>
      </c>
      <c r="U6961">
        <f>0.006165*F6961^2</f>
        <v>1.57824</v>
      </c>
      <c r="X6961" t="str">
        <v>x</v>
      </c>
      <c r="Y6961">
        <f>D6960</f>
        <v>1</v>
      </c>
      <c r="Z6961" t="str">
        <v>=</v>
      </c>
      <c r="AA6961">
        <f>IF(AA6964=0,(D6961*N6961+P6961*R6961)*U6961*Y6961,0)</f>
        <v>0</v>
      </c>
    </row>
    <row r="6962">
      <c r="A6962" t="str">
        <f>A6954</f>
        <v>Lantai 2</v>
      </c>
      <c r="B6962">
        <f>B6954</f>
        <v>37</v>
      </c>
      <c r="C6962" t="str">
        <v>Tul Atas Lapangan</v>
      </c>
      <c r="D6962">
        <f>VLOOKUP(D6954,'Detail Balok'!$C$10:$AU$110,7,FALSE)</f>
        <v>2</v>
      </c>
      <c r="E6962" t="str">
        <v>D</v>
      </c>
      <c r="F6962">
        <f>VLOOKUP(D6954,'Detail Balok'!$C$10:$AU$110,9,FALSE)</f>
        <v>16</v>
      </c>
      <c r="I6962" t="str">
        <v>(</v>
      </c>
      <c r="J6962">
        <f>+D6956/2/1000</f>
        <v>1.45</v>
      </c>
      <c r="K6962" t="str">
        <v>+</v>
      </c>
      <c r="M6962" t="str">
        <v>=</v>
      </c>
      <c r="N6962">
        <f>J6962+L6962</f>
        <v>1.45</v>
      </c>
      <c r="O6962" t="str">
        <v>+</v>
      </c>
      <c r="P6962">
        <f>MAX(D6962-D6961,D6962-D6963)</f>
        <v>0</v>
      </c>
      <c r="Q6962" t="str">
        <v>x</v>
      </c>
      <c r="R6962">
        <f>IF(P6962&gt;0,2*(1-2*$F$19-1/2)*D6957/1000,0)</f>
        <v>0</v>
      </c>
      <c r="S6962" t="str">
        <v>)</v>
      </c>
      <c r="T6962" t="str">
        <v>x</v>
      </c>
      <c r="U6962">
        <f>0.006165*F6962^2</f>
        <v>1.57824</v>
      </c>
      <c r="X6962" t="str">
        <v>x</v>
      </c>
      <c r="Y6962">
        <f>D6960</f>
        <v>1</v>
      </c>
      <c r="Z6962" t="str">
        <v>=</v>
      </c>
      <c r="AA6962">
        <f>IF(AA6964=0,(D6962*N6962+P6962*R6962)*U6962*Y6962,0)</f>
        <v>0</v>
      </c>
    </row>
    <row r="6963">
      <c r="A6963" t="str">
        <f>A6954</f>
        <v>Lantai 2</v>
      </c>
      <c r="B6963">
        <f>B6954</f>
        <v>37</v>
      </c>
      <c r="C6963" t="str">
        <v>Tul Atas Tumpuan</v>
      </c>
      <c r="D6963">
        <f>VLOOKUP(D6954,'Detail Balok'!$C$10:$AU$110,10,FALSE)</f>
        <v>2</v>
      </c>
      <c r="E6963" t="str">
        <v>D</v>
      </c>
      <c r="F6963">
        <f>VLOOKUP(D6954,'Detail Balok'!$C$10:$AU$110,12,FALSE)</f>
        <v>16</v>
      </c>
      <c r="I6963" t="str">
        <v>(</v>
      </c>
      <c r="J6963">
        <f>+D6956/4/1000</f>
        <v>0.725</v>
      </c>
      <c r="K6963" t="str">
        <v>+</v>
      </c>
      <c r="L6963">
        <f>MAX(VLOOKUP(F6963,N$6:P$15,3,FALSE)/1000,2/3*D6958/1000)+F$16*F6963/1000</f>
        <v>0.192</v>
      </c>
      <c r="M6963" t="str">
        <v>=</v>
      </c>
      <c r="N6963">
        <f>J6963+L6963</f>
        <v>0.917</v>
      </c>
      <c r="O6963" t="str">
        <v>+</v>
      </c>
      <c r="P6963">
        <f>D6963-D6962</f>
        <v>0</v>
      </c>
      <c r="Q6963" t="str">
        <v>x</v>
      </c>
      <c r="R6963">
        <f>IF(P6963&gt;0,$F$18*F6963/1000,0)</f>
        <v>0</v>
      </c>
      <c r="S6963" t="str">
        <v>)</v>
      </c>
      <c r="T6963" t="str">
        <v>x</v>
      </c>
      <c r="U6963">
        <f>0.006165*F6963^2</f>
        <v>1.57824</v>
      </c>
      <c r="X6963" t="str">
        <v>x</v>
      </c>
      <c r="Y6963">
        <f>D6960</f>
        <v>1</v>
      </c>
      <c r="Z6963" t="str">
        <v>=</v>
      </c>
      <c r="AA6963">
        <f>IF(AA6964=0,(D6963*N6963+P6963*R6963)*U6963*Y6963,0)</f>
        <v>0</v>
      </c>
    </row>
    <row r="6964">
      <c r="A6964" t="str">
        <f>A6954</f>
        <v>Lantai 2</v>
      </c>
      <c r="B6964">
        <f>B6954</f>
        <v>37</v>
      </c>
      <c r="D6964">
        <f>IF(AND(D6961=D6962,D6962=D6963,D6961=D6963),D6961,0)</f>
        <v>2</v>
      </c>
      <c r="E6964" t="str">
        <v>D</v>
      </c>
      <c r="F6964">
        <f>IF(AND(F6961=F6962,F6961=F6963,F6962=F6963),F6961,0)</f>
        <v>16</v>
      </c>
      <c r="L6964" t="str">
        <v>Total panjang per balok</v>
      </c>
      <c r="M6964" t="str">
        <v>=</v>
      </c>
      <c r="N6964">
        <f>IF(AND(D6961=D6962,D6961=D6963,D6962=D6963,F6961=F6962,F6961=F6963,F6962=F6963),SUM(N6961:N6963),0)</f>
        <v>3.284</v>
      </c>
      <c r="O6964" t="str">
        <v>+</v>
      </c>
      <c r="P6964">
        <f>IF(N6964&gt;12,ROUNDDOWN(N6964/12,0),0)</f>
        <v>0</v>
      </c>
      <c r="Q6964" t="str">
        <v>x</v>
      </c>
      <c r="R6964">
        <f>IF(P6964&gt;0,MAX(VLOOKUP(F6964,$D$6:$G$15,3,FALSE),600),0)/1000</f>
        <v>0</v>
      </c>
      <c r="T6964" t="str">
        <v>x</v>
      </c>
      <c r="U6964">
        <f>U6963</f>
        <v>1.57824</v>
      </c>
      <c r="V6964" t="str">
        <v>x</v>
      </c>
      <c r="W6964">
        <f>D6964</f>
        <v>2</v>
      </c>
      <c r="X6964" t="str">
        <v>x</v>
      </c>
      <c r="Y6964">
        <f>Y6963</f>
        <v>1</v>
      </c>
      <c r="Z6964" t="str">
        <v>=</v>
      </c>
      <c r="AA6964">
        <f>(N6964+P6964*R6964/1000)*U6964*W6964*Y6964</f>
        <v>10.36588032</v>
      </c>
    </row>
    <row r="6966">
      <c r="A6966" t="str">
        <f>A6954</f>
        <v>Lantai 2</v>
      </c>
      <c r="B6966">
        <f>B6954</f>
        <v>37</v>
      </c>
      <c r="C6966" t="str">
        <v>Tul Peminggang</v>
      </c>
      <c r="D6966">
        <f>VLOOKUP(D6954,'Detail Balok'!$C$10:$AU$110,13,FALSE)</f>
        <v>2</v>
      </c>
      <c r="E6966" t="str">
        <v>D</v>
      </c>
      <c r="F6966">
        <f>VLOOKUP(D6954,'Detail Balok'!$C$10:$AU$110,15,FALSE)</f>
        <v>10</v>
      </c>
      <c r="J6966">
        <f>+D6956/1000</f>
        <v>2.9</v>
      </c>
      <c r="K6966" t="str">
        <v>+</v>
      </c>
      <c r="L6966">
        <f>2*$F$16*F6966/1000</f>
        <v>0.24</v>
      </c>
      <c r="M6966" t="str">
        <v>=</v>
      </c>
      <c r="N6966">
        <f>J6966+L6966</f>
        <v>3.1399999999999997</v>
      </c>
      <c r="O6966" t="str">
        <v>+</v>
      </c>
      <c r="P6966">
        <f>IF(N6966&gt;12,ROUNDDOWN(N6966/12,0),0)</f>
        <v>0</v>
      </c>
      <c r="Q6966" t="str">
        <v>x</v>
      </c>
      <c r="R6966">
        <f>IF(P6966&gt;0,MAX(VLOOKUP(F6966,$D$6:$G$15,3,FALSE),600),0)/1000</f>
        <v>0</v>
      </c>
      <c r="T6966" t="str">
        <v>x</v>
      </c>
      <c r="U6966">
        <f>0.006165*F6966^2</f>
        <v>0.6165</v>
      </c>
      <c r="V6966" t="str">
        <v>x</v>
      </c>
      <c r="W6966">
        <f>+D6966</f>
        <v>2</v>
      </c>
      <c r="X6966" t="str">
        <v>x</v>
      </c>
      <c r="Y6966">
        <f>D6960</f>
        <v>1</v>
      </c>
      <c r="Z6966" t="str">
        <v>=</v>
      </c>
      <c r="AA6966">
        <f>(N6966+P6966*R6966/1000)*U6966*W6966*Y6966</f>
        <v>3.87162</v>
      </c>
    </row>
    <row r="6969">
      <c r="A6969" t="str">
        <f>A6954</f>
        <v>Lantai 2</v>
      </c>
      <c r="B6969">
        <f>B6954</f>
        <v>37</v>
      </c>
      <c r="C6969" t="str">
        <v>Tul Bawah Tumpuan</v>
      </c>
      <c r="D6969">
        <f>VLOOKUP(D6954,'Detail Balok'!$C$10:$AU$110,22,FALSE)</f>
        <v>2</v>
      </c>
      <c r="E6969" t="str">
        <v>D</v>
      </c>
      <c r="F6969">
        <f>VLOOKUP(D6954,'Detail Balok'!$C$10:$AU$110,24,FALSE)</f>
        <v>16</v>
      </c>
      <c r="I6969" t="str">
        <v>(</v>
      </c>
      <c r="J6969">
        <f>+J6961</f>
        <v>0.725</v>
      </c>
      <c r="K6969" t="str">
        <v>+</v>
      </c>
      <c r="L6969">
        <f>MAX(VLOOKUP(F6969,N$6:P$15,3,FALSE)/1000,2/3*D6959/1000)+F$16*F6969/1000</f>
        <v>0.192</v>
      </c>
      <c r="M6969" t="str">
        <v>=</v>
      </c>
      <c r="N6969">
        <f>J6969+L6969</f>
        <v>0.917</v>
      </c>
      <c r="O6969" t="str">
        <v>+</v>
      </c>
      <c r="P6969">
        <f>D6969-D6970</f>
        <v>0</v>
      </c>
      <c r="Q6969" t="str">
        <v>x</v>
      </c>
      <c r="R6969">
        <f>IF(P6969&gt;0,$F$18*F6969/1000,0)</f>
        <v>0</v>
      </c>
      <c r="S6969" t="str">
        <v>)</v>
      </c>
      <c r="T6969" t="str">
        <v>x</v>
      </c>
      <c r="U6969">
        <f>0.006165*F6969^2</f>
        <v>1.57824</v>
      </c>
      <c r="X6969" t="str">
        <v>x</v>
      </c>
      <c r="Y6969">
        <f>D6960</f>
        <v>1</v>
      </c>
      <c r="Z6969" t="str">
        <v>=</v>
      </c>
      <c r="AA6969">
        <f>IF(AA6972=0,(D6969*N6969+P6969*R6969)*U6969*Y6969,0)</f>
        <v>0</v>
      </c>
    </row>
    <row r="6970">
      <c r="A6970" t="str">
        <f>A6954</f>
        <v>Lantai 2</v>
      </c>
      <c r="B6970">
        <f>B6954</f>
        <v>37</v>
      </c>
      <c r="C6970" t="str">
        <v>Tul Bawah Lapangan</v>
      </c>
      <c r="D6970">
        <f>VLOOKUP(D6954,'Detail Balok'!$C$10:$AU$110,25,FALSE)</f>
        <v>2</v>
      </c>
      <c r="E6970" t="str">
        <v>D</v>
      </c>
      <c r="F6970">
        <f>VLOOKUP(D6954,'Detail Balok'!$C$10:$AU$110,27,FALSE)</f>
        <v>16</v>
      </c>
      <c r="I6970" t="str">
        <v>(</v>
      </c>
      <c r="J6970">
        <f>+J6962</f>
        <v>1.45</v>
      </c>
      <c r="K6970" t="str">
        <v>+</v>
      </c>
      <c r="M6970" t="str">
        <v>=</v>
      </c>
      <c r="N6970">
        <f>J6970+L6970</f>
        <v>1.45</v>
      </c>
      <c r="O6970" t="str">
        <v>+</v>
      </c>
      <c r="P6970">
        <f>MAX(D6970-D6969,D6970-D6971)</f>
        <v>0</v>
      </c>
      <c r="Q6970" t="str">
        <v>x</v>
      </c>
      <c r="R6970">
        <f>IF(P6970&gt;0,2*(1-2*$F$19-1/2)*D6957/1000,0)</f>
        <v>0</v>
      </c>
      <c r="S6970" t="str">
        <v>)</v>
      </c>
      <c r="T6970" t="str">
        <v>x</v>
      </c>
      <c r="U6970">
        <f>0.006165*F6970^2</f>
        <v>1.57824</v>
      </c>
      <c r="X6970" t="str">
        <v>x</v>
      </c>
      <c r="Y6970">
        <f>D6960</f>
        <v>1</v>
      </c>
      <c r="Z6970" t="str">
        <v>=</v>
      </c>
      <c r="AA6970">
        <f>IF(AA6972=0,(D6970*N6970+P6970*R6970)*U6970*Y6970,0)</f>
        <v>0</v>
      </c>
    </row>
    <row r="6971">
      <c r="A6971" t="str">
        <f>A6954</f>
        <v>Lantai 2</v>
      </c>
      <c r="B6971">
        <f>B6954</f>
        <v>37</v>
      </c>
      <c r="C6971" t="str">
        <v>Tul Bawah Tumpuan</v>
      </c>
      <c r="D6971">
        <f>VLOOKUP(D6954,'Detail Balok'!$C$10:$AU$110,28,FALSE)</f>
        <v>2</v>
      </c>
      <c r="E6971" t="str">
        <v>D</v>
      </c>
      <c r="F6971">
        <f>VLOOKUP(D6954,'Detail Balok'!$C$10:$AU$110,30,FALSE)</f>
        <v>16</v>
      </c>
      <c r="I6971" t="str">
        <v>(</v>
      </c>
      <c r="J6971">
        <f>+J6963</f>
        <v>0.725</v>
      </c>
      <c r="K6971" t="str">
        <v>+</v>
      </c>
      <c r="L6971">
        <f>MAX(VLOOKUP(F6971,N$6:P$15,3,FALSE)/1000,2/3*D6959/1000)+F$16*F6971/1000</f>
        <v>0.192</v>
      </c>
      <c r="M6971" t="str">
        <v>=</v>
      </c>
      <c r="N6971">
        <f>J6971+L6971</f>
        <v>0.917</v>
      </c>
      <c r="O6971" t="str">
        <v>+</v>
      </c>
      <c r="P6971">
        <f>D6971-D6970</f>
        <v>0</v>
      </c>
      <c r="Q6971" t="str">
        <v>x</v>
      </c>
      <c r="R6971">
        <f>IF(P6971&gt;0,$F$18*F6971/1000,0)</f>
        <v>0</v>
      </c>
      <c r="S6971" t="str">
        <v>)</v>
      </c>
      <c r="T6971" t="str">
        <v>x</v>
      </c>
      <c r="U6971">
        <f>0.006165*F6971^2</f>
        <v>1.57824</v>
      </c>
      <c r="X6971" t="str">
        <v>x</v>
      </c>
      <c r="Y6971">
        <f>D6960</f>
        <v>1</v>
      </c>
      <c r="Z6971" t="str">
        <v>=</v>
      </c>
      <c r="AA6971">
        <f>IF(AA6972=0,(D6971*N6971+P6971*R6971)*U6971*Y6971,0)</f>
        <v>0</v>
      </c>
    </row>
    <row r="6972">
      <c r="A6972" t="str">
        <f>A6954</f>
        <v>Lantai 2</v>
      </c>
      <c r="B6972">
        <f>B6954</f>
        <v>37</v>
      </c>
      <c r="D6972">
        <f>IF(AND(D6969=D6970,D6970=D6971,D6969=D6971),D6969,0)</f>
        <v>2</v>
      </c>
      <c r="E6972" t="str">
        <v>D</v>
      </c>
      <c r="F6972">
        <f>IF(AND(F6969=F6970,F6969=F6971,F6970=F6971),F6969,0)</f>
        <v>16</v>
      </c>
      <c r="L6972" t="str">
        <v>Total panjang per balok</v>
      </c>
      <c r="M6972" t="str">
        <v>=</v>
      </c>
      <c r="N6972">
        <f>IF(AND(D6969=D6970,D6969=D6971,D6970=D6971,F6969=F6970,F6969=F6971,F6970=F6971),SUM(N6969:N6971),0)</f>
        <v>3.284</v>
      </c>
      <c r="O6972" t="str">
        <v>+</v>
      </c>
      <c r="P6972">
        <f>IF(N6972&gt;12,ROUNDDOWN(N6972/12,0),0)</f>
        <v>0</v>
      </c>
      <c r="Q6972" t="str">
        <v>x</v>
      </c>
      <c r="R6972">
        <f>IF(P6972&gt;0,MAX(VLOOKUP(F6972,$D$6:$G$15,3,FALSE),600),0)/1000</f>
        <v>0</v>
      </c>
      <c r="T6972" t="str">
        <v>x</v>
      </c>
      <c r="U6972">
        <f>U6971</f>
        <v>1.57824</v>
      </c>
      <c r="V6972" t="str">
        <v>x</v>
      </c>
      <c r="W6972">
        <f>D6972</f>
        <v>2</v>
      </c>
      <c r="X6972" t="str">
        <v>x</v>
      </c>
      <c r="Y6972">
        <f>Y6971</f>
        <v>1</v>
      </c>
      <c r="Z6972" t="str">
        <v>=</v>
      </c>
      <c r="AA6972">
        <f>(N6972+P6972*R6972/1000)*U6972*W6972*Y6972</f>
        <v>10.36588032</v>
      </c>
    </row>
    <row r="6974">
      <c r="A6974" t="str">
        <f>A6954</f>
        <v>Lantai 2</v>
      </c>
      <c r="B6974">
        <f>B6954</f>
        <v>37</v>
      </c>
      <c r="C6974" t="str">
        <v>Sengkang Tumpuan</v>
      </c>
      <c r="D6974">
        <f>VLOOKUP(D6954,'Detail Balok'!$C$10:$AU$110,31,FALSE)</f>
        <v>0</v>
      </c>
      <c r="E6974" t="str">
        <v>D</v>
      </c>
      <c r="F6974">
        <f>VLOOKUP(D6954,'Detail Balok'!$C$10:$AU$110,33,FALSE)</f>
        <v>10</v>
      </c>
      <c r="G6974" t="str">
        <v>-</v>
      </c>
      <c r="H6974">
        <f>VLOOKUP(D6954,'Detail Balok'!$C$10:$AU$110,35,FALSE)</f>
        <v>100</v>
      </c>
      <c r="J6974">
        <f>(IF(D6974=0,(2*(D6955+G6955))-(F$5*8),IF(D6974=3,(2*(D6955+G6955))-(F$5*8)+(G6955-2*F$5),IF(D6974=4,(2*(D6955+G6955))-(F$5*8)+2*(G6955-2*F$5)))))/1000</f>
        <v>1.28</v>
      </c>
      <c r="K6974" t="str">
        <v>+</v>
      </c>
      <c r="L6974">
        <f>IF(D6974=0,2*MAX(6*F6974,75),(D6974-1)*2*MAX(6*F6974,75))/1000</f>
        <v>0.15</v>
      </c>
      <c r="M6974" t="str">
        <v>=</v>
      </c>
      <c r="N6974">
        <f>J6974+L6974</f>
        <v>1.43</v>
      </c>
      <c r="T6974" t="str">
        <v>x</v>
      </c>
      <c r="U6974">
        <f>0.006165*F6974^2</f>
        <v>0.6165</v>
      </c>
      <c r="V6974" t="str">
        <v>x</v>
      </c>
      <c r="W6974">
        <f>IF(D6957&gt;4*G6955,ROUND(MAX(D6957/4,2*G6955)/H6974,0)+1,ROUND(D6957/H6974,0)+1)</f>
        <v>13</v>
      </c>
      <c r="X6974" t="str">
        <v>x</v>
      </c>
      <c r="Y6974">
        <f>D6960</f>
        <v>1</v>
      </c>
      <c r="Z6974" t="str">
        <v>=</v>
      </c>
      <c r="AA6974">
        <f>N6974*U6974*W6974*Y6974</f>
        <v>11.460735</v>
      </c>
    </row>
    <row r="6975">
      <c r="A6975" t="str">
        <f>A6954</f>
        <v>Lantai 2</v>
      </c>
      <c r="B6975">
        <f>B6954</f>
        <v>37</v>
      </c>
      <c r="C6975" t="str">
        <v>Sengkang Lapangan</v>
      </c>
      <c r="D6975">
        <f>VLOOKUP(D6954,'Detail Balok'!$C$10:$AU$110,36,FALSE)</f>
        <v>0</v>
      </c>
      <c r="E6975" t="str">
        <v>D</v>
      </c>
      <c r="F6975">
        <f>VLOOKUP(D6954,'Detail Balok'!$C$10:$AU$110,38,FALSE)</f>
        <v>10</v>
      </c>
      <c r="G6975" t="str">
        <v>-</v>
      </c>
      <c r="H6975">
        <f>VLOOKUP(D6954,'Detail Balok'!$C$10:$AU$110,40,FALSE)</f>
        <v>200</v>
      </c>
      <c r="J6975">
        <f>(IF(D6975=0,(2*(D6955+G6955))-(F$5*8),IF(D6975=3,(2*(D6955+G6955))-(F$5*8)+(G6955-2*F$5),IF(D6975=4,(2*(D6955+G6955))-(F$5*8)+2*(G6955-2*F$5)))))/1000</f>
        <v>1.28</v>
      </c>
      <c r="K6975" t="str">
        <v>+</v>
      </c>
      <c r="L6975">
        <f>IF(D6975=0,2*MAX(6*F6975,75),(D6975-1)*2*MAX(6*F6975,75))/1000</f>
        <v>0.15</v>
      </c>
      <c r="M6975" t="str">
        <v>=</v>
      </c>
      <c r="N6975">
        <f>J6975+L6975</f>
        <v>1.43</v>
      </c>
      <c r="T6975" t="str">
        <v>x</v>
      </c>
      <c r="U6975">
        <f>0.006165*F6975^2</f>
        <v>0.6165</v>
      </c>
      <c r="V6975" t="str">
        <v>x</v>
      </c>
      <c r="W6975">
        <f>IF(D6957-MAX(D6957/4,2*G6955)*2&gt;0,ROUND((D6957-MAX(D6957/4,2*G6955)*2)/H6975,0),0)</f>
        <v>3</v>
      </c>
      <c r="X6975" t="str">
        <v>x</v>
      </c>
      <c r="Y6975">
        <f>D6960</f>
        <v>1</v>
      </c>
      <c r="Z6975" t="str">
        <v>=</v>
      </c>
      <c r="AA6975">
        <f>N6975*U6975*W6975*Y6975</f>
        <v>2.644785</v>
      </c>
    </row>
    <row r="6976">
      <c r="A6976" t="str">
        <f>A6954</f>
        <v>Lantai 2</v>
      </c>
      <c r="B6976">
        <f>B6954</f>
        <v>37</v>
      </c>
      <c r="C6976" t="str">
        <v>Sengkang Tumpuan</v>
      </c>
      <c r="D6976">
        <f>VLOOKUP(D6954,'Detail Balok'!$C$10:$AU$110,41,FALSE)</f>
        <v>0</v>
      </c>
      <c r="E6976" t="str">
        <v>D</v>
      </c>
      <c r="F6976">
        <f>VLOOKUP(D6954,'Detail Balok'!$C$10:$AU$110,43,FALSE)</f>
        <v>10</v>
      </c>
      <c r="G6976" t="str">
        <v>-</v>
      </c>
      <c r="H6976">
        <f>VLOOKUP(D6954,'Detail Balok'!$C$10:$AU$110,45,FALSE)</f>
        <v>100</v>
      </c>
      <c r="J6976">
        <f>(IF(D6976=0,(2*(D6955+G6955))-(F$5*8),IF(D6976=3,(2*(D6955+G6955))-(F$5*8)+(G6955-2*F$5),IF(D6976=4,(2*(D6955+G6955))-(F$5*8)+2*(G6955-2*F$5)))))/1000</f>
        <v>1.28</v>
      </c>
      <c r="K6976" t="str">
        <v>+</v>
      </c>
      <c r="L6976">
        <f>IF(D6976=0,2*MAX(6*F6976,75),(D6976-1)*2*MAX(6*F6976,75))/1000</f>
        <v>0.15</v>
      </c>
      <c r="M6976" t="str">
        <v>=</v>
      </c>
      <c r="N6976">
        <f>J6976+L6976</f>
        <v>1.43</v>
      </c>
      <c r="T6976" t="str">
        <v>x</v>
      </c>
      <c r="U6976">
        <f>0.006165*F6976^2</f>
        <v>0.6165</v>
      </c>
      <c r="V6976" t="str">
        <v>x</v>
      </c>
      <c r="W6976">
        <f>IF(D6957&gt;4*G6955,ROUND(MAX(D6957/4,2*G6955)/H6976,0)+1,0)</f>
        <v>13</v>
      </c>
      <c r="X6976" t="str">
        <v>x</v>
      </c>
      <c r="Y6976">
        <f>D6960</f>
        <v>1</v>
      </c>
      <c r="Z6976" t="str">
        <v>=</v>
      </c>
      <c r="AA6976">
        <f>N6976*U6976*W6976*Y6976</f>
        <v>11.460735</v>
      </c>
    </row>
    <row r="6978">
      <c r="A6978" t="str">
        <f>A6954</f>
        <v>Lantai 2</v>
      </c>
      <c r="B6978">
        <f>B6954</f>
        <v>37</v>
      </c>
      <c r="C6978" t="str">
        <v>Kait Horizontal Tump.</v>
      </c>
      <c r="D6978">
        <f>VLOOKUP(D6954,'Detail Balok'!$C$10:$BJ$110,46,FALSE)</f>
        <v>0</v>
      </c>
      <c r="E6978" t="str">
        <v>D</v>
      </c>
      <c r="F6978">
        <f>VLOOKUP(D6954,'Detail Balok'!$C$10:$BJ$110,48,FALSE)</f>
        <v>0</v>
      </c>
      <c r="G6978" t="str">
        <v>-</v>
      </c>
      <c r="H6978">
        <f>VLOOKUP(D6954,'Detail Balok'!$C$10:$BJ$110,50,FALSE)</f>
        <v>100</v>
      </c>
      <c r="J6978">
        <f>(D6955-2*F$5)/1000</f>
        <v>0.12</v>
      </c>
      <c r="K6978" t="str">
        <v>+</v>
      </c>
      <c r="L6978">
        <f>IF(D6978=0,2*MAX(6*F6978,75),(D6978-1)*2*MAX(6*F6978,75))/1000</f>
        <v>0.15</v>
      </c>
      <c r="M6978" t="str">
        <v>=</v>
      </c>
      <c r="N6978">
        <f>J6978+L6978</f>
        <v>0.27</v>
      </c>
      <c r="T6978" t="str">
        <v>x</v>
      </c>
      <c r="U6978">
        <f>0.006165*F6978^2</f>
        <v>0</v>
      </c>
      <c r="V6978" t="str">
        <v>x</v>
      </c>
      <c r="W6978">
        <f>W6974</f>
        <v>13</v>
      </c>
      <c r="X6978" t="str">
        <v>x</v>
      </c>
      <c r="Y6978">
        <f>D6964</f>
        <v>2</v>
      </c>
      <c r="Z6978" t="str">
        <v>=</v>
      </c>
      <c r="AA6978">
        <f>N6978*U6978*W6978*Y6978</f>
        <v>0</v>
      </c>
    </row>
    <row r="6979">
      <c r="A6979" t="str">
        <f>A6954</f>
        <v>Lantai 2</v>
      </c>
      <c r="B6979">
        <f>B6954</f>
        <v>37</v>
      </c>
      <c r="C6979" t="str">
        <v>Kait Horizontal Lap.</v>
      </c>
      <c r="D6979">
        <f>VLOOKUP(D6954,'Detail Balok'!$C$10:$BJ$110,51,FALSE)</f>
        <v>0</v>
      </c>
      <c r="E6979" t="str">
        <v>D</v>
      </c>
      <c r="F6979">
        <f>VLOOKUP(D6954,'Detail Balok'!$C$10:$BJ$110,53,FALSE)</f>
        <v>0</v>
      </c>
      <c r="G6979" t="str">
        <v>-</v>
      </c>
      <c r="H6979">
        <f>VLOOKUP(D6954,'Detail Balok'!$C$10:$BJ$110,55,FALSE)</f>
        <v>100</v>
      </c>
      <c r="J6979">
        <f>(D6955-2*F$5)/1000</f>
        <v>0.12</v>
      </c>
      <c r="K6979" t="str">
        <v>+</v>
      </c>
      <c r="L6979">
        <f>IF(D6979=0,2*MAX(6*F6979,75),(D6979-1)*2*MAX(6*F6979,75))/1000</f>
        <v>0.15</v>
      </c>
      <c r="M6979" t="str">
        <v>=</v>
      </c>
      <c r="N6979">
        <f>J6979+L6979</f>
        <v>0.27</v>
      </c>
      <c r="T6979" t="str">
        <v>x</v>
      </c>
      <c r="U6979">
        <f>0.006165*F6979^2</f>
        <v>0</v>
      </c>
      <c r="V6979" t="str">
        <v>x</v>
      </c>
      <c r="W6979">
        <f>W6975</f>
        <v>3</v>
      </c>
      <c r="X6979" t="str">
        <v>x</v>
      </c>
      <c r="Y6979">
        <f>D6964</f>
        <v>2</v>
      </c>
      <c r="Z6979" t="str">
        <v>=</v>
      </c>
      <c r="AA6979">
        <f>N6979*U6979*W6979*Y6979</f>
        <v>0</v>
      </c>
    </row>
    <row r="6980">
      <c r="A6980" t="str">
        <f>A6954</f>
        <v>Lantai 2</v>
      </c>
      <c r="B6980">
        <f>B6954</f>
        <v>37</v>
      </c>
      <c r="C6980" t="str">
        <v>Kait Horizontal Tump.</v>
      </c>
      <c r="D6980">
        <f>VLOOKUP(D6954,'Detail Balok'!$C$10:$BJ$110,56,FALSE)</f>
        <v>0</v>
      </c>
      <c r="E6980" t="str">
        <v>D</v>
      </c>
      <c r="F6980">
        <f>VLOOKUP(D6954,'Detail Balok'!$C$10:$BJ$110,58,FALSE)</f>
        <v>0</v>
      </c>
      <c r="G6980" t="str">
        <v>-</v>
      </c>
      <c r="H6980">
        <f>VLOOKUP(D6954,'Detail Balok'!$C$10:$BJ$110,60,FALSE)</f>
        <v>100</v>
      </c>
      <c r="J6980">
        <f>(D6955-2*F$5)/1000</f>
        <v>0.12</v>
      </c>
      <c r="K6980" t="str">
        <v>+</v>
      </c>
      <c r="L6980">
        <f>IF(D6980=0,2*MAX(6*F6980,75),(D6980-1)*2*MAX(6*F6980,75))/1000</f>
        <v>0.15</v>
      </c>
      <c r="M6980" t="str">
        <v>=</v>
      </c>
      <c r="N6980">
        <f>J6980+L6980</f>
        <v>0.27</v>
      </c>
      <c r="T6980" t="str">
        <v>x</v>
      </c>
      <c r="U6980">
        <f>0.006165*F6980^2</f>
        <v>0</v>
      </c>
      <c r="V6980" t="str">
        <v>x</v>
      </c>
      <c r="W6980">
        <f>W6976</f>
        <v>13</v>
      </c>
      <c r="X6980" t="str">
        <v>x</v>
      </c>
      <c r="Y6980">
        <f>D6964</f>
        <v>2</v>
      </c>
      <c r="Z6980" t="str">
        <v>=</v>
      </c>
      <c r="AA6980">
        <f>N6980*U6980*W6980*Y6980</f>
        <v>0</v>
      </c>
    </row>
    <row r="6984">
      <c r="A6984" t="str">
        <f>A6954</f>
        <v>Lantai 2</v>
      </c>
      <c r="B6984">
        <f>B6954+1</f>
        <v>38</v>
      </c>
      <c r="C6984" t="str">
        <f>CONCATENATE(A6984," no. ",B6984)</f>
        <v>Lantai 2 no. 38</v>
      </c>
      <c r="D6984" t="str">
        <f>VLOOKUP(C6984,'Data Panjang Balok'!$C$9:$N$424,2,FALSE)</f>
        <v>B26-1</v>
      </c>
    </row>
    <row r="6985">
      <c r="C6985" t="str">
        <v>Dimensi</v>
      </c>
      <c r="D6985">
        <f>VLOOKUP(D6984,'Detail Balok'!$C$10:$AU$110,2,FALSE)</f>
        <v>200</v>
      </c>
      <c r="F6985" t="str">
        <v>x</v>
      </c>
      <c r="G6985">
        <f>VLOOKUP(D6984,'Detail Balok'!$C$10:$AU$110,3,FALSE)</f>
        <v>600</v>
      </c>
    </row>
    <row r="6986">
      <c r="C6986" t="str">
        <v>Panjang as ke as</v>
      </c>
      <c r="D6986">
        <f>VLOOKUP(C6984,'Data Panjang Balok'!$C$9:$N$424,4,FALSE)</f>
        <v>8100</v>
      </c>
    </row>
    <row r="6987">
      <c r="C6987" t="str">
        <v>Panjang netto</v>
      </c>
      <c r="D6987">
        <f>VLOOKUP(C6984,'Data Panjang Balok'!$C$9:$N$424,7,FALSE)</f>
        <v>8100</v>
      </c>
    </row>
    <row r="6988">
      <c r="C6988" t="str">
        <v>Kolom / balok kiri</v>
      </c>
      <c r="D6988">
        <f>VLOOKUP(C6984,'Data Panjang Balok'!$C$9:$N$424,9,FALSE)</f>
        <v>0</v>
      </c>
    </row>
    <row r="6989">
      <c r="C6989" t="str">
        <v>Kolom / balok kanan</v>
      </c>
      <c r="D6989">
        <f>VLOOKUP(C6984,'Data Panjang Balok'!$C$9:$N$424,10,FALSE)</f>
        <v>0</v>
      </c>
    </row>
    <row r="6990">
      <c r="C6990" t="str">
        <v>Jumlah</v>
      </c>
      <c r="D6990">
        <f>VLOOKUP(C6984,'Data Panjang Balok'!$C$9:$N$424,3,FALSE)</f>
        <v>1</v>
      </c>
    </row>
    <row r="6991">
      <c r="A6991" t="str">
        <f>A6984</f>
        <v>Lantai 2</v>
      </c>
      <c r="B6991">
        <f>B6984</f>
        <v>38</v>
      </c>
      <c r="C6991" t="str">
        <v>Tul Atas Tumpuan</v>
      </c>
      <c r="D6991">
        <f>VLOOKUP(D6984,'Detail Balok'!$C$10:$AU$110,4,FALSE)</f>
        <v>2</v>
      </c>
      <c r="E6991" t="str">
        <v>D</v>
      </c>
      <c r="F6991">
        <f>VLOOKUP(D6984,'Detail Balok'!$C$10:$AU$110,6,FALSE)</f>
        <v>16</v>
      </c>
      <c r="I6991" t="str">
        <v>(</v>
      </c>
      <c r="J6991">
        <f>+D6986/4/1000</f>
        <v>2.025</v>
      </c>
      <c r="K6991" t="str">
        <v>+</v>
      </c>
      <c r="L6991">
        <f>MAX(VLOOKUP(F6991,N$6:P$15,3,FALSE)/1000,2/3*D6988/1000)+F$16*F6991/1000</f>
        <v>0.192</v>
      </c>
      <c r="M6991" t="str">
        <v>=</v>
      </c>
      <c r="N6991">
        <f>J6991+L6991</f>
        <v>2.217</v>
      </c>
      <c r="O6991" t="str">
        <v>+</v>
      </c>
      <c r="P6991">
        <f>D6991-D6992</f>
        <v>0</v>
      </c>
      <c r="Q6991" t="str">
        <v>x</v>
      </c>
      <c r="R6991">
        <f>IF(P6991&gt;0,$F$18*F6991/1000,0)</f>
        <v>0</v>
      </c>
      <c r="S6991" t="str">
        <v>)</v>
      </c>
      <c r="T6991" t="str">
        <v>x</v>
      </c>
      <c r="U6991">
        <f>0.006165*F6991^2</f>
        <v>1.57824</v>
      </c>
      <c r="X6991" t="str">
        <v>x</v>
      </c>
      <c r="Y6991">
        <f>D6990</f>
        <v>1</v>
      </c>
      <c r="Z6991" t="str">
        <v>=</v>
      </c>
      <c r="AA6991">
        <f>IF(AA6994=0,(D6991*N6991+P6991*R6991)*U6991*Y6991,0)</f>
        <v>6.997916160000001</v>
      </c>
    </row>
    <row r="6992">
      <c r="A6992" t="str">
        <f>A6984</f>
        <v>Lantai 2</v>
      </c>
      <c r="B6992">
        <f>B6984</f>
        <v>38</v>
      </c>
      <c r="C6992" t="str">
        <v>Tul Atas Lapangan</v>
      </c>
      <c r="D6992">
        <f>VLOOKUP(D6984,'Detail Balok'!$C$10:$AU$110,7,FALSE)</f>
        <v>2</v>
      </c>
      <c r="E6992" t="str">
        <v>D</v>
      </c>
      <c r="F6992">
        <f>VLOOKUP(D6984,'Detail Balok'!$C$10:$AU$110,9,FALSE)</f>
        <v>16</v>
      </c>
      <c r="I6992" t="str">
        <v>(</v>
      </c>
      <c r="J6992">
        <f>+D6986/2/1000</f>
        <v>4.05</v>
      </c>
      <c r="K6992" t="str">
        <v>+</v>
      </c>
      <c r="M6992" t="str">
        <v>=</v>
      </c>
      <c r="N6992">
        <f>J6992+L6992</f>
        <v>4.05</v>
      </c>
      <c r="O6992" t="str">
        <v>+</v>
      </c>
      <c r="P6992">
        <f>MAX(D6992-D6991,D6992-D6993)</f>
        <v>0</v>
      </c>
      <c r="Q6992" t="str">
        <v>x</v>
      </c>
      <c r="R6992">
        <f>IF(P6992&gt;0,2*(1-2*$F$19-1/2)*D6987/1000,0)</f>
        <v>0</v>
      </c>
      <c r="S6992" t="str">
        <v>)</v>
      </c>
      <c r="T6992" t="str">
        <v>x</v>
      </c>
      <c r="U6992">
        <f>0.006165*F6992^2</f>
        <v>1.57824</v>
      </c>
      <c r="X6992" t="str">
        <v>x</v>
      </c>
      <c r="Y6992">
        <f>D6990</f>
        <v>1</v>
      </c>
      <c r="Z6992" t="str">
        <v>=</v>
      </c>
      <c r="AA6992">
        <f>IF(AA6994=0,(D6992*N6992+P6992*R6992)*U6992*Y6992,0)</f>
        <v>12.783744</v>
      </c>
    </row>
    <row r="6993">
      <c r="A6993" t="str">
        <f>A6984</f>
        <v>Lantai 2</v>
      </c>
      <c r="B6993">
        <f>B6984</f>
        <v>38</v>
      </c>
      <c r="C6993" t="str">
        <v>Tul Atas Tumpuan</v>
      </c>
      <c r="D6993">
        <f>VLOOKUP(D6984,'Detail Balok'!$C$10:$AU$110,10,FALSE)</f>
        <v>5</v>
      </c>
      <c r="E6993" t="str">
        <v>D</v>
      </c>
      <c r="F6993">
        <f>VLOOKUP(D6984,'Detail Balok'!$C$10:$AU$110,12,FALSE)</f>
        <v>16</v>
      </c>
      <c r="I6993" t="str">
        <v>(</v>
      </c>
      <c r="J6993">
        <f>+D6986/4/1000</f>
        <v>2.025</v>
      </c>
      <c r="K6993" t="str">
        <v>+</v>
      </c>
      <c r="L6993">
        <f>MAX(VLOOKUP(F6993,N$6:P$15,3,FALSE)/1000,2/3*D6988/1000)+F$16*F6993/1000</f>
        <v>0.192</v>
      </c>
      <c r="M6993" t="str">
        <v>=</v>
      </c>
      <c r="N6993">
        <f>J6993+L6993</f>
        <v>2.217</v>
      </c>
      <c r="O6993" t="str">
        <v>+</v>
      </c>
      <c r="P6993">
        <f>D6993-D6992</f>
        <v>3</v>
      </c>
      <c r="Q6993" t="str">
        <v>x</v>
      </c>
      <c r="R6993">
        <f>IF(P6993&gt;0,$F$18*F6993/1000,0)</f>
        <v>0.24</v>
      </c>
      <c r="S6993" t="str">
        <v>)</v>
      </c>
      <c r="T6993" t="str">
        <v>x</v>
      </c>
      <c r="U6993">
        <f>0.006165*F6993^2</f>
        <v>1.57824</v>
      </c>
      <c r="X6993" t="str">
        <v>x</v>
      </c>
      <c r="Y6993">
        <f>D6990</f>
        <v>1</v>
      </c>
      <c r="Z6993" t="str">
        <v>=</v>
      </c>
      <c r="AA6993">
        <f>IF(AA6994=0,(D6993*N6993+P6993*R6993)*U6993*Y6993,0)</f>
        <v>18.631123200000005</v>
      </c>
    </row>
    <row r="6994">
      <c r="A6994" t="str">
        <f>A6984</f>
        <v>Lantai 2</v>
      </c>
      <c r="B6994">
        <f>B6984</f>
        <v>38</v>
      </c>
      <c r="D6994">
        <f>IF(AND(D6991=D6992,D6992=D6993,D6991=D6993),D6991,0)</f>
        <v>0</v>
      </c>
      <c r="E6994" t="str">
        <v>D</v>
      </c>
      <c r="F6994">
        <f>IF(AND(F6991=F6992,F6991=F6993,F6992=F6993),F6991,0)</f>
        <v>16</v>
      </c>
      <c r="L6994" t="str">
        <v>Total panjang per balok</v>
      </c>
      <c r="M6994" t="str">
        <v>=</v>
      </c>
      <c r="N6994">
        <f>IF(AND(D6991=D6992,D6991=D6993,D6992=D6993,F6991=F6992,F6991=F6993,F6992=F6993),SUM(N6991:N6993),0)</f>
        <v>0</v>
      </c>
      <c r="O6994" t="str">
        <v>+</v>
      </c>
      <c r="P6994">
        <f>IF(N6994&gt;12,ROUNDDOWN(N6994/12,0),0)</f>
        <v>0</v>
      </c>
      <c r="Q6994" t="str">
        <v>x</v>
      </c>
      <c r="R6994">
        <f>IF(P6994&gt;0,MAX(VLOOKUP(F6994,$D$6:$G$15,3,FALSE),600),0)/1000</f>
        <v>0</v>
      </c>
      <c r="T6994" t="str">
        <v>x</v>
      </c>
      <c r="U6994">
        <f>U6993</f>
        <v>1.57824</v>
      </c>
      <c r="V6994" t="str">
        <v>x</v>
      </c>
      <c r="W6994">
        <f>D6994</f>
        <v>0</v>
      </c>
      <c r="X6994" t="str">
        <v>x</v>
      </c>
      <c r="Y6994">
        <f>Y6993</f>
        <v>1</v>
      </c>
      <c r="Z6994" t="str">
        <v>=</v>
      </c>
      <c r="AA6994">
        <f>(N6994+P6994*R6994/1000)*U6994*W6994*Y6994</f>
        <v>0</v>
      </c>
    </row>
    <row r="6996">
      <c r="A6996" t="str">
        <f>A6984</f>
        <v>Lantai 2</v>
      </c>
      <c r="B6996">
        <f>B6984</f>
        <v>38</v>
      </c>
      <c r="C6996" t="str">
        <v>Tul Peminggang</v>
      </c>
      <c r="D6996">
        <f>VLOOKUP(D6984,'Detail Balok'!$C$10:$AU$110,13,FALSE)</f>
        <v>2</v>
      </c>
      <c r="E6996" t="str">
        <v>D</v>
      </c>
      <c r="F6996">
        <f>VLOOKUP(D6984,'Detail Balok'!$C$10:$AU$110,15,FALSE)</f>
        <v>10</v>
      </c>
      <c r="J6996">
        <f>+D6986/1000</f>
        <v>8.1</v>
      </c>
      <c r="K6996" t="str">
        <v>+</v>
      </c>
      <c r="L6996">
        <f>2*$F$16*F6996/1000</f>
        <v>0.24</v>
      </c>
      <c r="M6996" t="str">
        <v>=</v>
      </c>
      <c r="N6996">
        <f>J6996+L6996</f>
        <v>8.34</v>
      </c>
      <c r="O6996" t="str">
        <v>+</v>
      </c>
      <c r="P6996">
        <f>IF(N6996&gt;12,ROUNDDOWN(N6996/12,0),0)</f>
        <v>0</v>
      </c>
      <c r="Q6996" t="str">
        <v>x</v>
      </c>
      <c r="R6996">
        <f>IF(P6996&gt;0,MAX(VLOOKUP(F6996,$D$6:$G$15,3,FALSE),600),0)/1000</f>
        <v>0</v>
      </c>
      <c r="T6996" t="str">
        <v>x</v>
      </c>
      <c r="U6996">
        <f>0.006165*F6996^2</f>
        <v>0.6165</v>
      </c>
      <c r="V6996" t="str">
        <v>x</v>
      </c>
      <c r="W6996">
        <f>+D6996</f>
        <v>2</v>
      </c>
      <c r="X6996" t="str">
        <v>x</v>
      </c>
      <c r="Y6996">
        <f>D6990</f>
        <v>1</v>
      </c>
      <c r="Z6996" t="str">
        <v>=</v>
      </c>
      <c r="AA6996">
        <f>(N6996+P6996*R6996/1000)*U6996*W6996*Y6996</f>
        <v>10.28322</v>
      </c>
    </row>
    <row r="6999">
      <c r="A6999" t="str">
        <f>A6984</f>
        <v>Lantai 2</v>
      </c>
      <c r="B6999">
        <f>B6984</f>
        <v>38</v>
      </c>
      <c r="C6999" t="str">
        <v>Tul Bawah Tumpuan</v>
      </c>
      <c r="D6999">
        <f>VLOOKUP(D6984,'Detail Balok'!$C$10:$AU$110,22,FALSE)</f>
        <v>3</v>
      </c>
      <c r="E6999" t="str">
        <v>D</v>
      </c>
      <c r="F6999">
        <f>VLOOKUP(D6984,'Detail Balok'!$C$10:$AU$110,24,FALSE)</f>
        <v>16</v>
      </c>
      <c r="I6999" t="str">
        <v>(</v>
      </c>
      <c r="J6999">
        <f>+J6991</f>
        <v>2.025</v>
      </c>
      <c r="K6999" t="str">
        <v>+</v>
      </c>
      <c r="L6999">
        <f>MAX(VLOOKUP(F6999,N$6:P$15,3,FALSE)/1000,2/3*D6989/1000)+F$16*F6999/1000</f>
        <v>0.192</v>
      </c>
      <c r="M6999" t="str">
        <v>=</v>
      </c>
      <c r="N6999">
        <f>J6999+L6999</f>
        <v>2.217</v>
      </c>
      <c r="O6999" t="str">
        <v>+</v>
      </c>
      <c r="P6999">
        <f>D6999-D7000</f>
        <v>-2</v>
      </c>
      <c r="Q6999" t="str">
        <v>x</v>
      </c>
      <c r="R6999">
        <f>IF(P6999&gt;0,$F$18*F6999/1000,0)</f>
        <v>0</v>
      </c>
      <c r="S6999" t="str">
        <v>)</v>
      </c>
      <c r="T6999" t="str">
        <v>x</v>
      </c>
      <c r="U6999">
        <f>0.006165*F6999^2</f>
        <v>1.57824</v>
      </c>
      <c r="X6999" t="str">
        <v>x</v>
      </c>
      <c r="Y6999">
        <f>D6990</f>
        <v>1</v>
      </c>
      <c r="Z6999" t="str">
        <v>=</v>
      </c>
      <c r="AA6999">
        <f>IF(AA7002=0,(D6999*N6999+P6999*R6999)*U6999*Y6999,0)</f>
        <v>10.49687424</v>
      </c>
    </row>
    <row r="7000">
      <c r="A7000" t="str">
        <f>A6984</f>
        <v>Lantai 2</v>
      </c>
      <c r="B7000">
        <f>B6984</f>
        <v>38</v>
      </c>
      <c r="C7000" t="str">
        <v>Tul Bawah Lapangan</v>
      </c>
      <c r="D7000">
        <f>VLOOKUP(D6984,'Detail Balok'!$C$10:$AU$110,25,FALSE)</f>
        <v>5</v>
      </c>
      <c r="E7000" t="str">
        <v>D</v>
      </c>
      <c r="F7000">
        <f>VLOOKUP(D6984,'Detail Balok'!$C$10:$AU$110,27,FALSE)</f>
        <v>16</v>
      </c>
      <c r="I7000" t="str">
        <v>(</v>
      </c>
      <c r="J7000">
        <f>+J6992</f>
        <v>4.05</v>
      </c>
      <c r="K7000" t="str">
        <v>+</v>
      </c>
      <c r="M7000" t="str">
        <v>=</v>
      </c>
      <c r="N7000">
        <f>J7000+L7000</f>
        <v>4.05</v>
      </c>
      <c r="O7000" t="str">
        <v>+</v>
      </c>
      <c r="P7000">
        <f>MAX(D7000-D6999,D7000-D7001)</f>
        <v>2</v>
      </c>
      <c r="Q7000" t="str">
        <v>x</v>
      </c>
      <c r="R7000">
        <f>IF(P7000&gt;0,2*(1-2*$F$19-1/2)*D6987/1000,0)</f>
        <v>1.6199999999999994</v>
      </c>
      <c r="S7000" t="str">
        <v>)</v>
      </c>
      <c r="T7000" t="str">
        <v>x</v>
      </c>
      <c r="U7000">
        <f>0.006165*F7000^2</f>
        <v>1.57824</v>
      </c>
      <c r="X7000" t="str">
        <v>x</v>
      </c>
      <c r="Y7000">
        <f>D6990</f>
        <v>1</v>
      </c>
      <c r="Z7000" t="str">
        <v>=</v>
      </c>
      <c r="AA7000">
        <f>IF(AA7002=0,(D7000*N7000+P7000*R7000)*U7000*Y7000,0)</f>
        <v>37.0728576</v>
      </c>
    </row>
    <row r="7001">
      <c r="A7001" t="str">
        <f>A6984</f>
        <v>Lantai 2</v>
      </c>
      <c r="B7001">
        <f>B6984</f>
        <v>38</v>
      </c>
      <c r="C7001" t="str">
        <v>Tul Bawah Tumpuan</v>
      </c>
      <c r="D7001">
        <f>VLOOKUP(D6984,'Detail Balok'!$C$10:$AU$110,28,FALSE)</f>
        <v>3</v>
      </c>
      <c r="E7001" t="str">
        <v>D</v>
      </c>
      <c r="F7001">
        <f>VLOOKUP(D6984,'Detail Balok'!$C$10:$AU$110,30,FALSE)</f>
        <v>16</v>
      </c>
      <c r="I7001" t="str">
        <v>(</v>
      </c>
      <c r="J7001">
        <f>+J6993</f>
        <v>2.025</v>
      </c>
      <c r="K7001" t="str">
        <v>+</v>
      </c>
      <c r="L7001">
        <f>MAX(VLOOKUP(F7001,N$6:P$15,3,FALSE)/1000,2/3*D6989/1000)+F$16*F7001/1000</f>
        <v>0.192</v>
      </c>
      <c r="M7001" t="str">
        <v>=</v>
      </c>
      <c r="N7001">
        <f>J7001+L7001</f>
        <v>2.217</v>
      </c>
      <c r="O7001" t="str">
        <v>+</v>
      </c>
      <c r="P7001">
        <f>D7001-D7000</f>
        <v>-2</v>
      </c>
      <c r="Q7001" t="str">
        <v>x</v>
      </c>
      <c r="R7001">
        <f>IF(P7001&gt;0,$F$18*F7001/1000,0)</f>
        <v>0</v>
      </c>
      <c r="S7001" t="str">
        <v>)</v>
      </c>
      <c r="T7001" t="str">
        <v>x</v>
      </c>
      <c r="U7001">
        <f>0.006165*F7001^2</f>
        <v>1.57824</v>
      </c>
      <c r="X7001" t="str">
        <v>x</v>
      </c>
      <c r="Y7001">
        <f>D6990</f>
        <v>1</v>
      </c>
      <c r="Z7001" t="str">
        <v>=</v>
      </c>
      <c r="AA7001">
        <f>IF(AA7002=0,(D7001*N7001+P7001*R7001)*U7001*Y7001,0)</f>
        <v>10.49687424</v>
      </c>
    </row>
    <row r="7002">
      <c r="A7002" t="str">
        <f>A6984</f>
        <v>Lantai 2</v>
      </c>
      <c r="B7002">
        <f>B6984</f>
        <v>38</v>
      </c>
      <c r="D7002">
        <f>IF(AND(D6999=D7000,D7000=D7001,D6999=D7001),D6999,0)</f>
        <v>0</v>
      </c>
      <c r="E7002" t="str">
        <v>D</v>
      </c>
      <c r="F7002">
        <f>IF(AND(F6999=F7000,F6999=F7001,F7000=F7001),F6999,0)</f>
        <v>16</v>
      </c>
      <c r="L7002" t="str">
        <v>Total panjang per balok</v>
      </c>
      <c r="M7002" t="str">
        <v>=</v>
      </c>
      <c r="N7002">
        <f>IF(AND(D6999=D7000,D6999=D7001,D7000=D7001,F6999=F7000,F6999=F7001,F7000=F7001),SUM(N6999:N7001),0)</f>
        <v>0</v>
      </c>
      <c r="O7002" t="str">
        <v>+</v>
      </c>
      <c r="P7002">
        <f>IF(N7002&gt;12,ROUNDDOWN(N7002/12,0),0)</f>
        <v>0</v>
      </c>
      <c r="Q7002" t="str">
        <v>x</v>
      </c>
      <c r="R7002">
        <f>IF(P7002&gt;0,MAX(VLOOKUP(F7002,$D$6:$G$15,3,FALSE),600),0)/1000</f>
        <v>0</v>
      </c>
      <c r="T7002" t="str">
        <v>x</v>
      </c>
      <c r="U7002">
        <f>U7001</f>
        <v>1.57824</v>
      </c>
      <c r="V7002" t="str">
        <v>x</v>
      </c>
      <c r="W7002">
        <f>D7002</f>
        <v>0</v>
      </c>
      <c r="X7002" t="str">
        <v>x</v>
      </c>
      <c r="Y7002">
        <f>Y7001</f>
        <v>1</v>
      </c>
      <c r="Z7002" t="str">
        <v>=</v>
      </c>
      <c r="AA7002">
        <f>(N7002+P7002*R7002/1000)*U7002*W7002*Y7002</f>
        <v>0</v>
      </c>
    </row>
    <row r="7004">
      <c r="A7004" t="str">
        <f>A6984</f>
        <v>Lantai 2</v>
      </c>
      <c r="B7004">
        <f>B6984</f>
        <v>38</v>
      </c>
      <c r="C7004" t="str">
        <v>Sengkang Tumpuan</v>
      </c>
      <c r="D7004">
        <f>VLOOKUP(D6984,'Detail Balok'!$C$10:$AU$110,31,FALSE)</f>
        <v>0</v>
      </c>
      <c r="E7004" t="str">
        <v>D</v>
      </c>
      <c r="F7004">
        <f>VLOOKUP(D6984,'Detail Balok'!$C$10:$AU$110,33,FALSE)</f>
        <v>10</v>
      </c>
      <c r="G7004" t="str">
        <v>-</v>
      </c>
      <c r="H7004">
        <f>VLOOKUP(D6984,'Detail Balok'!$C$10:$AU$110,35,FALSE)</f>
        <v>100</v>
      </c>
      <c r="J7004">
        <f>(IF(D7004=0,(2*(D6985+G6985))-(F$5*8),IF(D7004=3,(2*(D6985+G6985))-(F$5*8)+(G6985-2*F$5),IF(D7004=4,(2*(D6985+G6985))-(F$5*8)+2*(G6985-2*F$5)))))/1000</f>
        <v>1.28</v>
      </c>
      <c r="K7004" t="str">
        <v>+</v>
      </c>
      <c r="L7004">
        <f>IF(D7004=0,2*MAX(6*F7004,75),(D7004-1)*2*MAX(6*F7004,75))/1000</f>
        <v>0.15</v>
      </c>
      <c r="M7004" t="str">
        <v>=</v>
      </c>
      <c r="N7004">
        <f>J7004+L7004</f>
        <v>1.43</v>
      </c>
      <c r="T7004" t="str">
        <v>x</v>
      </c>
      <c r="U7004">
        <f>0.006165*F7004^2</f>
        <v>0.6165</v>
      </c>
      <c r="V7004" t="str">
        <v>x</v>
      </c>
      <c r="W7004">
        <f>IF(D6987&gt;4*G6985,ROUND(MAX(D6987/4,2*G6985)/H7004,0)+1,ROUND(D6987/H7004,0)+1)</f>
        <v>21</v>
      </c>
      <c r="X7004" t="str">
        <v>x</v>
      </c>
      <c r="Y7004">
        <f>D6990</f>
        <v>1</v>
      </c>
      <c r="Z7004" t="str">
        <v>=</v>
      </c>
      <c r="AA7004">
        <f>N7004*U7004*W7004*Y7004</f>
        <v>18.513495</v>
      </c>
    </row>
    <row r="7005">
      <c r="A7005" t="str">
        <f>A6984</f>
        <v>Lantai 2</v>
      </c>
      <c r="B7005">
        <f>B6984</f>
        <v>38</v>
      </c>
      <c r="C7005" t="str">
        <v>Sengkang Lapangan</v>
      </c>
      <c r="D7005">
        <f>VLOOKUP(D6984,'Detail Balok'!$C$10:$AU$110,36,FALSE)</f>
        <v>0</v>
      </c>
      <c r="E7005" t="str">
        <v>D</v>
      </c>
      <c r="F7005">
        <f>VLOOKUP(D6984,'Detail Balok'!$C$10:$AU$110,38,FALSE)</f>
        <v>10</v>
      </c>
      <c r="G7005" t="str">
        <v>-</v>
      </c>
      <c r="H7005">
        <f>VLOOKUP(D6984,'Detail Balok'!$C$10:$AU$110,40,FALSE)</f>
        <v>200</v>
      </c>
      <c r="J7005">
        <f>(IF(D7005=0,(2*(D6985+G6985))-(F$5*8),IF(D7005=3,(2*(D6985+G6985))-(F$5*8)+(G6985-2*F$5),IF(D7005=4,(2*(D6985+G6985))-(F$5*8)+2*(G6985-2*F$5)))))/1000</f>
        <v>1.28</v>
      </c>
      <c r="K7005" t="str">
        <v>+</v>
      </c>
      <c r="L7005">
        <f>IF(D7005=0,2*MAX(6*F7005,75),(D7005-1)*2*MAX(6*F7005,75))/1000</f>
        <v>0.15</v>
      </c>
      <c r="M7005" t="str">
        <v>=</v>
      </c>
      <c r="N7005">
        <f>J7005+L7005</f>
        <v>1.43</v>
      </c>
      <c r="T7005" t="str">
        <v>x</v>
      </c>
      <c r="U7005">
        <f>0.006165*F7005^2</f>
        <v>0.6165</v>
      </c>
      <c r="V7005" t="str">
        <v>x</v>
      </c>
      <c r="W7005">
        <f>IF(D6987-MAX(D6987/4,2*G6985)*2&gt;0,ROUND((D6987-MAX(D6987/4,2*G6985)*2)/H7005,0),0)</f>
        <v>20</v>
      </c>
      <c r="X7005" t="str">
        <v>x</v>
      </c>
      <c r="Y7005">
        <f>D6990</f>
        <v>1</v>
      </c>
      <c r="Z7005" t="str">
        <v>=</v>
      </c>
      <c r="AA7005">
        <f>N7005*U7005*W7005*Y7005</f>
        <v>17.6319</v>
      </c>
    </row>
    <row r="7006">
      <c r="A7006" t="str">
        <f>A6984</f>
        <v>Lantai 2</v>
      </c>
      <c r="B7006">
        <f>B6984</f>
        <v>38</v>
      </c>
      <c r="C7006" t="str">
        <v>Sengkang Tumpuan</v>
      </c>
      <c r="D7006">
        <f>VLOOKUP(D6984,'Detail Balok'!$C$10:$AU$110,41,FALSE)</f>
        <v>0</v>
      </c>
      <c r="E7006" t="str">
        <v>D</v>
      </c>
      <c r="F7006">
        <f>VLOOKUP(D6984,'Detail Balok'!$C$10:$AU$110,43,FALSE)</f>
        <v>10</v>
      </c>
      <c r="G7006" t="str">
        <v>-</v>
      </c>
      <c r="H7006">
        <f>VLOOKUP(D6984,'Detail Balok'!$C$10:$AU$110,45,FALSE)</f>
        <v>100</v>
      </c>
      <c r="J7006">
        <f>(IF(D7006=0,(2*(D6985+G6985))-(F$5*8),IF(D7006=3,(2*(D6985+G6985))-(F$5*8)+(G6985-2*F$5),IF(D7006=4,(2*(D6985+G6985))-(F$5*8)+2*(G6985-2*F$5)))))/1000</f>
        <v>1.28</v>
      </c>
      <c r="K7006" t="str">
        <v>+</v>
      </c>
      <c r="L7006">
        <f>IF(D7006=0,2*MAX(6*F7006,75),(D7006-1)*2*MAX(6*F7006,75))/1000</f>
        <v>0.15</v>
      </c>
      <c r="M7006" t="str">
        <v>=</v>
      </c>
      <c r="N7006">
        <f>J7006+L7006</f>
        <v>1.43</v>
      </c>
      <c r="T7006" t="str">
        <v>x</v>
      </c>
      <c r="U7006">
        <f>0.006165*F7006^2</f>
        <v>0.6165</v>
      </c>
      <c r="V7006" t="str">
        <v>x</v>
      </c>
      <c r="W7006">
        <f>IF(D6987&gt;4*G6985,ROUND(MAX(D6987/4,2*G6985)/H7006,0)+1,0)</f>
        <v>21</v>
      </c>
      <c r="X7006" t="str">
        <v>x</v>
      </c>
      <c r="Y7006">
        <f>D6990</f>
        <v>1</v>
      </c>
      <c r="Z7006" t="str">
        <v>=</v>
      </c>
      <c r="AA7006">
        <f>N7006*U7006*W7006*Y7006</f>
        <v>18.513495</v>
      </c>
    </row>
    <row r="7008">
      <c r="A7008" t="str">
        <f>A6984</f>
        <v>Lantai 2</v>
      </c>
      <c r="B7008">
        <f>B6984</f>
        <v>38</v>
      </c>
      <c r="C7008" t="str">
        <v>Kait Horizontal Tump.</v>
      </c>
      <c r="D7008">
        <f>VLOOKUP(D6984,'Detail Balok'!$C$10:$BJ$110,46,FALSE)</f>
        <v>0</v>
      </c>
      <c r="E7008" t="str">
        <v>D</v>
      </c>
      <c r="F7008">
        <f>VLOOKUP(D6984,'Detail Balok'!$C$10:$BJ$110,48,FALSE)</f>
        <v>0</v>
      </c>
      <c r="G7008" t="str">
        <v>-</v>
      </c>
      <c r="H7008">
        <f>VLOOKUP(D6984,'Detail Balok'!$C$10:$BJ$110,50,FALSE)</f>
        <v>100</v>
      </c>
      <c r="J7008">
        <f>(D6985-2*F$5)/1000</f>
        <v>0.12</v>
      </c>
      <c r="K7008" t="str">
        <v>+</v>
      </c>
      <c r="L7008">
        <f>IF(D7008=0,2*MAX(6*F7008,75),(D7008-1)*2*MAX(6*F7008,75))/1000</f>
        <v>0.15</v>
      </c>
      <c r="M7008" t="str">
        <v>=</v>
      </c>
      <c r="N7008">
        <f>J7008+L7008</f>
        <v>0.27</v>
      </c>
      <c r="T7008" t="str">
        <v>x</v>
      </c>
      <c r="U7008">
        <f>0.006165*F7008^2</f>
        <v>0</v>
      </c>
      <c r="V7008" t="str">
        <v>x</v>
      </c>
      <c r="W7008">
        <f>W7004</f>
        <v>21</v>
      </c>
      <c r="X7008" t="str">
        <v>x</v>
      </c>
      <c r="Y7008">
        <f>D6994</f>
        <v>0</v>
      </c>
      <c r="Z7008" t="str">
        <v>=</v>
      </c>
      <c r="AA7008">
        <f>N7008*U7008*W7008*Y7008</f>
        <v>0</v>
      </c>
    </row>
    <row r="7009">
      <c r="A7009" t="str">
        <f>A6984</f>
        <v>Lantai 2</v>
      </c>
      <c r="B7009">
        <f>B6984</f>
        <v>38</v>
      </c>
      <c r="C7009" t="str">
        <v>Kait Horizontal Lap.</v>
      </c>
      <c r="D7009">
        <f>VLOOKUP(D6984,'Detail Balok'!$C$10:$BJ$110,51,FALSE)</f>
        <v>0</v>
      </c>
      <c r="E7009" t="str">
        <v>D</v>
      </c>
      <c r="F7009">
        <f>VLOOKUP(D6984,'Detail Balok'!$C$10:$BJ$110,53,FALSE)</f>
        <v>0</v>
      </c>
      <c r="G7009" t="str">
        <v>-</v>
      </c>
      <c r="H7009">
        <f>VLOOKUP(D6984,'Detail Balok'!$C$10:$BJ$110,55,FALSE)</f>
        <v>100</v>
      </c>
      <c r="J7009">
        <f>(D6985-2*F$5)/1000</f>
        <v>0.12</v>
      </c>
      <c r="K7009" t="str">
        <v>+</v>
      </c>
      <c r="L7009">
        <f>IF(D7009=0,2*MAX(6*F7009,75),(D7009-1)*2*MAX(6*F7009,75))/1000</f>
        <v>0.15</v>
      </c>
      <c r="M7009" t="str">
        <v>=</v>
      </c>
      <c r="N7009">
        <f>J7009+L7009</f>
        <v>0.27</v>
      </c>
      <c r="T7009" t="str">
        <v>x</v>
      </c>
      <c r="U7009">
        <f>0.006165*F7009^2</f>
        <v>0</v>
      </c>
      <c r="V7009" t="str">
        <v>x</v>
      </c>
      <c r="W7009">
        <f>W7005</f>
        <v>20</v>
      </c>
      <c r="X7009" t="str">
        <v>x</v>
      </c>
      <c r="Y7009">
        <f>D6994</f>
        <v>0</v>
      </c>
      <c r="Z7009" t="str">
        <v>=</v>
      </c>
      <c r="AA7009">
        <f>N7009*U7009*W7009*Y7009</f>
        <v>0</v>
      </c>
    </row>
    <row r="7010">
      <c r="A7010" t="str">
        <f>A6984</f>
        <v>Lantai 2</v>
      </c>
      <c r="B7010">
        <f>B6984</f>
        <v>38</v>
      </c>
      <c r="C7010" t="str">
        <v>Kait Horizontal Tump.</v>
      </c>
      <c r="D7010">
        <f>VLOOKUP(D6984,'Detail Balok'!$C$10:$BJ$110,56,FALSE)</f>
        <v>0</v>
      </c>
      <c r="E7010" t="str">
        <v>D</v>
      </c>
      <c r="F7010">
        <f>VLOOKUP(D6984,'Detail Balok'!$C$10:$BJ$110,58,FALSE)</f>
        <v>0</v>
      </c>
      <c r="G7010" t="str">
        <v>-</v>
      </c>
      <c r="H7010">
        <f>VLOOKUP(D6984,'Detail Balok'!$C$10:$BJ$110,60,FALSE)</f>
        <v>100</v>
      </c>
      <c r="J7010">
        <f>(D6985-2*F$5)/1000</f>
        <v>0.12</v>
      </c>
      <c r="K7010" t="str">
        <v>+</v>
      </c>
      <c r="L7010">
        <f>IF(D7010=0,2*MAX(6*F7010,75),(D7010-1)*2*MAX(6*F7010,75))/1000</f>
        <v>0.15</v>
      </c>
      <c r="M7010" t="str">
        <v>=</v>
      </c>
      <c r="N7010">
        <f>J7010+L7010</f>
        <v>0.27</v>
      </c>
      <c r="T7010" t="str">
        <v>x</v>
      </c>
      <c r="U7010">
        <f>0.006165*F7010^2</f>
        <v>0</v>
      </c>
      <c r="V7010" t="str">
        <v>x</v>
      </c>
      <c r="W7010">
        <f>W7006</f>
        <v>21</v>
      </c>
      <c r="X7010" t="str">
        <v>x</v>
      </c>
      <c r="Y7010">
        <f>D6994</f>
        <v>0</v>
      </c>
      <c r="Z7010" t="str">
        <v>=</v>
      </c>
      <c r="AA7010">
        <f>N7010*U7010*W7010*Y7010</f>
        <v>0</v>
      </c>
    </row>
    <row r="7014">
      <c r="A7014" t="str">
        <f>A6984</f>
        <v>Lantai 2</v>
      </c>
      <c r="B7014">
        <f>B6984+1</f>
        <v>39</v>
      </c>
      <c r="C7014" t="str">
        <f>CONCATENATE(A7014," no. ",B7014)</f>
        <v>Lantai 2 no. 39</v>
      </c>
      <c r="D7014" t="str">
        <f>VLOOKUP(C7014,'Data Panjang Balok'!$C$9:$N$424,2,FALSE)</f>
        <v>B245-7</v>
      </c>
    </row>
    <row r="7015">
      <c r="C7015" t="str">
        <v>Dimensi</v>
      </c>
      <c r="D7015">
        <f>VLOOKUP(D7014,'Detail Balok'!$C$10:$AU$110,2,FALSE)</f>
        <v>200</v>
      </c>
      <c r="F7015" t="str">
        <v>x</v>
      </c>
      <c r="G7015">
        <f>VLOOKUP(D7014,'Detail Balok'!$C$10:$AU$110,3,FALSE)</f>
        <v>450</v>
      </c>
    </row>
    <row r="7016">
      <c r="C7016" t="str">
        <v>Panjang as ke as</v>
      </c>
      <c r="D7016">
        <f>VLOOKUP(C7014,'Data Panjang Balok'!$C$9:$N$424,4,FALSE)</f>
        <v>4100</v>
      </c>
    </row>
    <row r="7017">
      <c r="C7017" t="str">
        <v>Panjang netto</v>
      </c>
      <c r="D7017">
        <f>VLOOKUP(C7014,'Data Panjang Balok'!$C$9:$N$424,7,FALSE)</f>
        <v>4100</v>
      </c>
    </row>
    <row r="7018">
      <c r="C7018" t="str">
        <v>Kolom / balok kiri</v>
      </c>
      <c r="D7018">
        <f>VLOOKUP(C7014,'Data Panjang Balok'!$C$9:$N$424,9,FALSE)</f>
        <v>0</v>
      </c>
    </row>
    <row r="7019">
      <c r="C7019" t="str">
        <v>Kolom / balok kanan</v>
      </c>
      <c r="D7019">
        <f>VLOOKUP(C7014,'Data Panjang Balok'!$C$9:$N$424,10,FALSE)</f>
        <v>0</v>
      </c>
    </row>
    <row r="7020">
      <c r="C7020" t="str">
        <v>Jumlah</v>
      </c>
      <c r="D7020">
        <f>VLOOKUP(C7014,'Data Panjang Balok'!$C$9:$N$424,3,FALSE)</f>
        <v>1</v>
      </c>
    </row>
    <row r="7021">
      <c r="A7021" t="str">
        <f>A7014</f>
        <v>Lantai 2</v>
      </c>
      <c r="B7021">
        <f>B7014</f>
        <v>39</v>
      </c>
      <c r="C7021" t="str">
        <v>Tul Atas Tumpuan</v>
      </c>
      <c r="D7021">
        <f>VLOOKUP(D7014,'Detail Balok'!$C$10:$AU$110,4,FALSE)</f>
        <v>4</v>
      </c>
      <c r="E7021" t="str">
        <v>D</v>
      </c>
      <c r="F7021">
        <f>VLOOKUP(D7014,'Detail Balok'!$C$10:$AU$110,6,FALSE)</f>
        <v>19</v>
      </c>
      <c r="I7021" t="str">
        <v>(</v>
      </c>
      <c r="J7021">
        <f>+D7016/4/1000</f>
        <v>1.025</v>
      </c>
      <c r="K7021" t="str">
        <v>+</v>
      </c>
      <c r="L7021">
        <f>MAX(VLOOKUP(F7021,N$6:P$15,3,FALSE)/1000,2/3*D7018/1000)+F$16*F7021/1000</f>
        <v>0.228</v>
      </c>
      <c r="M7021" t="str">
        <v>=</v>
      </c>
      <c r="N7021">
        <f>J7021+L7021</f>
        <v>1.253</v>
      </c>
      <c r="O7021" t="str">
        <v>+</v>
      </c>
      <c r="P7021">
        <f>D7021-D7022</f>
        <v>2</v>
      </c>
      <c r="Q7021" t="str">
        <v>x</v>
      </c>
      <c r="R7021">
        <f>IF(P7021&gt;0,$F$18*F7021/1000,0)</f>
        <v>0.285</v>
      </c>
      <c r="S7021" t="str">
        <v>)</v>
      </c>
      <c r="T7021" t="str">
        <v>x</v>
      </c>
      <c r="U7021">
        <f>0.006165*F7021^2</f>
        <v>2.225565</v>
      </c>
      <c r="X7021" t="str">
        <v>x</v>
      </c>
      <c r="Y7021">
        <f>D7020</f>
        <v>1</v>
      </c>
      <c r="Z7021" t="str">
        <v>=</v>
      </c>
      <c r="AA7021">
        <f>IF(AA7024=0,(D7021*N7021+P7021*R7021)*U7021*Y7021,0)</f>
        <v>12.42310383</v>
      </c>
    </row>
    <row r="7022">
      <c r="A7022" t="str">
        <f>A7014</f>
        <v>Lantai 2</v>
      </c>
      <c r="B7022">
        <f>B7014</f>
        <v>39</v>
      </c>
      <c r="C7022" t="str">
        <v>Tul Atas Lapangan</v>
      </c>
      <c r="D7022">
        <f>VLOOKUP(D7014,'Detail Balok'!$C$10:$AU$110,7,FALSE)</f>
        <v>2</v>
      </c>
      <c r="E7022" t="str">
        <v>D</v>
      </c>
      <c r="F7022">
        <f>VLOOKUP(D7014,'Detail Balok'!$C$10:$AU$110,9,FALSE)</f>
        <v>19</v>
      </c>
      <c r="I7022" t="str">
        <v>(</v>
      </c>
      <c r="J7022">
        <f>+D7016/2/1000</f>
        <v>2.05</v>
      </c>
      <c r="K7022" t="str">
        <v>+</v>
      </c>
      <c r="M7022" t="str">
        <v>=</v>
      </c>
      <c r="N7022">
        <f>J7022+L7022</f>
        <v>2.05</v>
      </c>
      <c r="O7022" t="str">
        <v>+</v>
      </c>
      <c r="P7022">
        <f>MAX(D7022-D7021,D7022-D7023)</f>
        <v>-2</v>
      </c>
      <c r="Q7022" t="str">
        <v>x</v>
      </c>
      <c r="R7022">
        <f>IF(P7022&gt;0,2*(1-2*$F$19-1/2)*D7017/1000,0)</f>
        <v>0</v>
      </c>
      <c r="S7022" t="str">
        <v>)</v>
      </c>
      <c r="T7022" t="str">
        <v>x</v>
      </c>
      <c r="U7022">
        <f>0.006165*F7022^2</f>
        <v>2.225565</v>
      </c>
      <c r="X7022" t="str">
        <v>x</v>
      </c>
      <c r="Y7022">
        <f>D7020</f>
        <v>1</v>
      </c>
      <c r="Z7022" t="str">
        <v>=</v>
      </c>
      <c r="AA7022">
        <f>IF(AA7024=0,(D7022*N7022+P7022*R7022)*U7022*Y7022,0)</f>
        <v>9.1248165</v>
      </c>
    </row>
    <row r="7023">
      <c r="A7023" t="str">
        <f>A7014</f>
        <v>Lantai 2</v>
      </c>
      <c r="B7023">
        <f>B7014</f>
        <v>39</v>
      </c>
      <c r="C7023" t="str">
        <v>Tul Atas Tumpuan</v>
      </c>
      <c r="D7023">
        <f>VLOOKUP(D7014,'Detail Balok'!$C$10:$AU$110,10,FALSE)</f>
        <v>4</v>
      </c>
      <c r="E7023" t="str">
        <v>D</v>
      </c>
      <c r="F7023">
        <f>VLOOKUP(D7014,'Detail Balok'!$C$10:$AU$110,12,FALSE)</f>
        <v>19</v>
      </c>
      <c r="I7023" t="str">
        <v>(</v>
      </c>
      <c r="J7023">
        <f>+D7016/4/1000</f>
        <v>1.025</v>
      </c>
      <c r="K7023" t="str">
        <v>+</v>
      </c>
      <c r="L7023">
        <f>MAX(VLOOKUP(F7023,N$6:P$15,3,FALSE)/1000,2/3*D7018/1000)+F$16*F7023/1000</f>
        <v>0.228</v>
      </c>
      <c r="M7023" t="str">
        <v>=</v>
      </c>
      <c r="N7023">
        <f>J7023+L7023</f>
        <v>1.253</v>
      </c>
      <c r="O7023" t="str">
        <v>+</v>
      </c>
      <c r="P7023">
        <f>D7023-D7022</f>
        <v>2</v>
      </c>
      <c r="Q7023" t="str">
        <v>x</v>
      </c>
      <c r="R7023">
        <f>IF(P7023&gt;0,$F$18*F7023/1000,0)</f>
        <v>0.285</v>
      </c>
      <c r="S7023" t="str">
        <v>)</v>
      </c>
      <c r="T7023" t="str">
        <v>x</v>
      </c>
      <c r="U7023">
        <f>0.006165*F7023^2</f>
        <v>2.225565</v>
      </c>
      <c r="X7023" t="str">
        <v>x</v>
      </c>
      <c r="Y7023">
        <f>D7020</f>
        <v>1</v>
      </c>
      <c r="Z7023" t="str">
        <v>=</v>
      </c>
      <c r="AA7023">
        <f>IF(AA7024=0,(D7023*N7023+P7023*R7023)*U7023*Y7023,0)</f>
        <v>12.42310383</v>
      </c>
    </row>
    <row r="7024">
      <c r="A7024" t="str">
        <f>A7014</f>
        <v>Lantai 2</v>
      </c>
      <c r="B7024">
        <f>B7014</f>
        <v>39</v>
      </c>
      <c r="D7024">
        <f>IF(AND(D7021=D7022,D7022=D7023,D7021=D7023),D7021,0)</f>
        <v>0</v>
      </c>
      <c r="E7024" t="str">
        <v>D</v>
      </c>
      <c r="F7024">
        <f>IF(AND(F7021=F7022,F7021=F7023,F7022=F7023),F7021,0)</f>
        <v>19</v>
      </c>
      <c r="L7024" t="str">
        <v>Total panjang per balok</v>
      </c>
      <c r="M7024" t="str">
        <v>=</v>
      </c>
      <c r="N7024">
        <f>IF(AND(D7021=D7022,D7021=D7023,D7022=D7023,F7021=F7022,F7021=F7023,F7022=F7023),SUM(N7021:N7023),0)</f>
        <v>0</v>
      </c>
      <c r="O7024" t="str">
        <v>+</v>
      </c>
      <c r="P7024">
        <f>IF(N7024&gt;12,ROUNDDOWN(N7024/12,0),0)</f>
        <v>0</v>
      </c>
      <c r="Q7024" t="str">
        <v>x</v>
      </c>
      <c r="R7024">
        <f>IF(P7024&gt;0,MAX(VLOOKUP(F7024,$D$6:$G$15,3,FALSE),600),0)/1000</f>
        <v>0</v>
      </c>
      <c r="T7024" t="str">
        <v>x</v>
      </c>
      <c r="U7024">
        <f>U7023</f>
        <v>2.225565</v>
      </c>
      <c r="V7024" t="str">
        <v>x</v>
      </c>
      <c r="W7024">
        <f>D7024</f>
        <v>0</v>
      </c>
      <c r="X7024" t="str">
        <v>x</v>
      </c>
      <c r="Y7024">
        <f>Y7023</f>
        <v>1</v>
      </c>
      <c r="Z7024" t="str">
        <v>=</v>
      </c>
      <c r="AA7024">
        <f>(N7024+P7024*R7024/1000)*U7024*W7024*Y7024</f>
        <v>0</v>
      </c>
    </row>
    <row r="7026">
      <c r="A7026" t="str">
        <f>A7014</f>
        <v>Lantai 2</v>
      </c>
      <c r="B7026">
        <f>B7014</f>
        <v>39</v>
      </c>
      <c r="C7026" t="str">
        <v>Tul Peminggang</v>
      </c>
      <c r="D7026">
        <f>VLOOKUP(D7014,'Detail Balok'!$C$10:$AU$110,13,FALSE)</f>
        <v>2</v>
      </c>
      <c r="E7026" t="str">
        <v>D</v>
      </c>
      <c r="F7026">
        <f>VLOOKUP(D7014,'Detail Balok'!$C$10:$AU$110,15,FALSE)</f>
        <v>8</v>
      </c>
      <c r="J7026">
        <f>+D7016/1000</f>
        <v>4.1</v>
      </c>
      <c r="K7026" t="str">
        <v>+</v>
      </c>
      <c r="L7026">
        <f>2*$F$16*F7026/1000</f>
        <v>0.192</v>
      </c>
      <c r="M7026" t="str">
        <v>=</v>
      </c>
      <c r="N7026">
        <f>J7026+L7026</f>
        <v>4.292</v>
      </c>
      <c r="O7026" t="str">
        <v>+</v>
      </c>
      <c r="P7026">
        <f>IF(N7026&gt;12,ROUNDDOWN(N7026/12,0),0)</f>
        <v>0</v>
      </c>
      <c r="Q7026" t="str">
        <v>x</v>
      </c>
      <c r="R7026">
        <f>IF(P7026&gt;0,MAX(VLOOKUP(F7026,$D$6:$G$15,3,FALSE),600),0)/1000</f>
        <v>0</v>
      </c>
      <c r="T7026" t="str">
        <v>x</v>
      </c>
      <c r="U7026">
        <f>0.006165*F7026^2</f>
        <v>0.39456</v>
      </c>
      <c r="V7026" t="str">
        <v>x</v>
      </c>
      <c r="W7026">
        <f>+D7026</f>
        <v>2</v>
      </c>
      <c r="X7026" t="str">
        <v>x</v>
      </c>
      <c r="Y7026">
        <f>D7020</f>
        <v>1</v>
      </c>
      <c r="Z7026" t="str">
        <v>=</v>
      </c>
      <c r="AA7026">
        <f>(N7026+P7026*R7026/1000)*U7026*W7026*Y7026</f>
        <v>3.38690304</v>
      </c>
    </row>
    <row r="7029">
      <c r="A7029" t="str">
        <f>A7014</f>
        <v>Lantai 2</v>
      </c>
      <c r="B7029">
        <f>B7014</f>
        <v>39</v>
      </c>
      <c r="C7029" t="str">
        <v>Tul Bawah Tumpuan</v>
      </c>
      <c r="D7029">
        <f>VLOOKUP(D7014,'Detail Balok'!$C$10:$AU$110,22,FALSE)</f>
        <v>3</v>
      </c>
      <c r="E7029" t="str">
        <v>D</v>
      </c>
      <c r="F7029">
        <f>VLOOKUP(D7014,'Detail Balok'!$C$10:$AU$110,24,FALSE)</f>
        <v>19</v>
      </c>
      <c r="I7029" t="str">
        <v>(</v>
      </c>
      <c r="J7029">
        <f>+J7021</f>
        <v>1.025</v>
      </c>
      <c r="K7029" t="str">
        <v>+</v>
      </c>
      <c r="L7029">
        <f>MAX(VLOOKUP(F7029,N$6:P$15,3,FALSE)/1000,2/3*D7019/1000)+F$16*F7029/1000</f>
        <v>0.228</v>
      </c>
      <c r="M7029" t="str">
        <v>=</v>
      </c>
      <c r="N7029">
        <f>J7029+L7029</f>
        <v>1.253</v>
      </c>
      <c r="O7029" t="str">
        <v>+</v>
      </c>
      <c r="P7029">
        <f>D7029-D7030</f>
        <v>0</v>
      </c>
      <c r="Q7029" t="str">
        <v>x</v>
      </c>
      <c r="R7029">
        <f>IF(P7029&gt;0,$F$18*F7029/1000,0)</f>
        <v>0</v>
      </c>
      <c r="S7029" t="str">
        <v>)</v>
      </c>
      <c r="T7029" t="str">
        <v>x</v>
      </c>
      <c r="U7029">
        <f>0.006165*F7029^2</f>
        <v>2.225565</v>
      </c>
      <c r="X7029" t="str">
        <v>x</v>
      </c>
      <c r="Y7029">
        <f>D7020</f>
        <v>1</v>
      </c>
      <c r="Z7029" t="str">
        <v>=</v>
      </c>
      <c r="AA7029">
        <f>IF(AA7032=0,(D7029*N7029+P7029*R7029)*U7029*Y7029,0)</f>
        <v>0</v>
      </c>
    </row>
    <row r="7030">
      <c r="A7030" t="str">
        <f>A7014</f>
        <v>Lantai 2</v>
      </c>
      <c r="B7030">
        <f>B7014</f>
        <v>39</v>
      </c>
      <c r="C7030" t="str">
        <v>Tul Bawah Lapangan</v>
      </c>
      <c r="D7030">
        <f>VLOOKUP(D7014,'Detail Balok'!$C$10:$AU$110,25,FALSE)</f>
        <v>3</v>
      </c>
      <c r="E7030" t="str">
        <v>D</v>
      </c>
      <c r="F7030">
        <f>VLOOKUP(D7014,'Detail Balok'!$C$10:$AU$110,27,FALSE)</f>
        <v>19</v>
      </c>
      <c r="I7030" t="str">
        <v>(</v>
      </c>
      <c r="J7030">
        <f>+J7022</f>
        <v>2.05</v>
      </c>
      <c r="K7030" t="str">
        <v>+</v>
      </c>
      <c r="M7030" t="str">
        <v>=</v>
      </c>
      <c r="N7030">
        <f>J7030+L7030</f>
        <v>2.05</v>
      </c>
      <c r="O7030" t="str">
        <v>+</v>
      </c>
      <c r="P7030">
        <f>MAX(D7030-D7029,D7030-D7031)</f>
        <v>0</v>
      </c>
      <c r="Q7030" t="str">
        <v>x</v>
      </c>
      <c r="R7030">
        <f>IF(P7030&gt;0,2*(1-2*$F$19-1/2)*D7017/1000,0)</f>
        <v>0</v>
      </c>
      <c r="S7030" t="str">
        <v>)</v>
      </c>
      <c r="T7030" t="str">
        <v>x</v>
      </c>
      <c r="U7030">
        <f>0.006165*F7030^2</f>
        <v>2.225565</v>
      </c>
      <c r="X7030" t="str">
        <v>x</v>
      </c>
      <c r="Y7030">
        <f>D7020</f>
        <v>1</v>
      </c>
      <c r="Z7030" t="str">
        <v>=</v>
      </c>
      <c r="AA7030">
        <f>IF(AA7032=0,(D7030*N7030+P7030*R7030)*U7030*Y7030,0)</f>
        <v>0</v>
      </c>
    </row>
    <row r="7031">
      <c r="A7031" t="str">
        <f>A7014</f>
        <v>Lantai 2</v>
      </c>
      <c r="B7031">
        <f>B7014</f>
        <v>39</v>
      </c>
      <c r="C7031" t="str">
        <v>Tul Bawah Tumpuan</v>
      </c>
      <c r="D7031">
        <f>VLOOKUP(D7014,'Detail Balok'!$C$10:$AU$110,28,FALSE)</f>
        <v>3</v>
      </c>
      <c r="E7031" t="str">
        <v>D</v>
      </c>
      <c r="F7031">
        <f>VLOOKUP(D7014,'Detail Balok'!$C$10:$AU$110,30,FALSE)</f>
        <v>19</v>
      </c>
      <c r="I7031" t="str">
        <v>(</v>
      </c>
      <c r="J7031">
        <f>+J7023</f>
        <v>1.025</v>
      </c>
      <c r="K7031" t="str">
        <v>+</v>
      </c>
      <c r="L7031">
        <f>MAX(VLOOKUP(F7031,N$6:P$15,3,FALSE)/1000,2/3*D7019/1000)+F$16*F7031/1000</f>
        <v>0.228</v>
      </c>
      <c r="M7031" t="str">
        <v>=</v>
      </c>
      <c r="N7031">
        <f>J7031+L7031</f>
        <v>1.253</v>
      </c>
      <c r="O7031" t="str">
        <v>+</v>
      </c>
      <c r="P7031">
        <f>D7031-D7030</f>
        <v>0</v>
      </c>
      <c r="Q7031" t="str">
        <v>x</v>
      </c>
      <c r="R7031">
        <f>IF(P7031&gt;0,$F$18*F7031/1000,0)</f>
        <v>0</v>
      </c>
      <c r="S7031" t="str">
        <v>)</v>
      </c>
      <c r="T7031" t="str">
        <v>x</v>
      </c>
      <c r="U7031">
        <f>0.006165*F7031^2</f>
        <v>2.225565</v>
      </c>
      <c r="X7031" t="str">
        <v>x</v>
      </c>
      <c r="Y7031">
        <f>D7020</f>
        <v>1</v>
      </c>
      <c r="Z7031" t="str">
        <v>=</v>
      </c>
      <c r="AA7031">
        <f>IF(AA7032=0,(D7031*N7031+P7031*R7031)*U7031*Y7031,0)</f>
        <v>0</v>
      </c>
    </row>
    <row r="7032">
      <c r="A7032" t="str">
        <f>A7014</f>
        <v>Lantai 2</v>
      </c>
      <c r="B7032">
        <f>B7014</f>
        <v>39</v>
      </c>
      <c r="D7032">
        <f>IF(AND(D7029=D7030,D7030=D7031,D7029=D7031),D7029,0)</f>
        <v>3</v>
      </c>
      <c r="E7032" t="str">
        <v>D</v>
      </c>
      <c r="F7032">
        <f>IF(AND(F7029=F7030,F7029=F7031,F7030=F7031),F7029,0)</f>
        <v>19</v>
      </c>
      <c r="L7032" t="str">
        <v>Total panjang per balok</v>
      </c>
      <c r="M7032" t="str">
        <v>=</v>
      </c>
      <c r="N7032">
        <f>IF(AND(D7029=D7030,D7029=D7031,D7030=D7031,F7029=F7030,F7029=F7031,F7030=F7031),SUM(N7029:N7031),0)</f>
        <v>4.556</v>
      </c>
      <c r="O7032" t="str">
        <v>+</v>
      </c>
      <c r="P7032">
        <f>IF(N7032&gt;12,ROUNDDOWN(N7032/12,0),0)</f>
        <v>0</v>
      </c>
      <c r="Q7032" t="str">
        <v>x</v>
      </c>
      <c r="R7032">
        <f>IF(P7032&gt;0,MAX(VLOOKUP(F7032,$D$6:$G$15,3,FALSE),600),0)/1000</f>
        <v>0</v>
      </c>
      <c r="T7032" t="str">
        <v>x</v>
      </c>
      <c r="U7032">
        <f>U7031</f>
        <v>2.225565</v>
      </c>
      <c r="V7032" t="str">
        <v>x</v>
      </c>
      <c r="W7032">
        <f>D7032</f>
        <v>3</v>
      </c>
      <c r="X7032" t="str">
        <v>x</v>
      </c>
      <c r="Y7032">
        <f>Y7031</f>
        <v>1</v>
      </c>
      <c r="Z7032" t="str">
        <v>=</v>
      </c>
      <c r="AA7032">
        <f>(N7032+P7032*R7032/1000)*U7032*W7032*Y7032</f>
        <v>30.41902242</v>
      </c>
    </row>
    <row r="7034">
      <c r="A7034" t="str">
        <f>A7014</f>
        <v>Lantai 2</v>
      </c>
      <c r="B7034">
        <f>B7014</f>
        <v>39</v>
      </c>
      <c r="C7034" t="str">
        <v>Sengkang Tumpuan</v>
      </c>
      <c r="D7034">
        <f>VLOOKUP(D7014,'Detail Balok'!$C$10:$AU$110,31,FALSE)</f>
        <v>0</v>
      </c>
      <c r="E7034" t="str">
        <v>D</v>
      </c>
      <c r="F7034">
        <f>VLOOKUP(D7014,'Detail Balok'!$C$10:$AU$110,33,FALSE)</f>
        <v>8</v>
      </c>
      <c r="G7034" t="str">
        <v>-</v>
      </c>
      <c r="H7034">
        <f>VLOOKUP(D7014,'Detail Balok'!$C$10:$AU$110,35,FALSE)</f>
        <v>150</v>
      </c>
      <c r="J7034">
        <f>(IF(D7034=0,(2*(D7015+G7015))-(F$5*8),IF(D7034=3,(2*(D7015+G7015))-(F$5*8)+(G7015-2*F$5),IF(D7034=4,(2*(D7015+G7015))-(F$5*8)+2*(G7015-2*F$5)))))/1000</f>
        <v>0.98</v>
      </c>
      <c r="K7034" t="str">
        <v>+</v>
      </c>
      <c r="L7034">
        <f>IF(D7034=0,2*MAX(6*F7034,75),(D7034-1)*2*MAX(6*F7034,75))/1000</f>
        <v>0.15</v>
      </c>
      <c r="M7034" t="str">
        <v>=</v>
      </c>
      <c r="N7034">
        <f>J7034+L7034</f>
        <v>1.13</v>
      </c>
      <c r="T7034" t="str">
        <v>x</v>
      </c>
      <c r="U7034">
        <f>0.006165*F7034^2</f>
        <v>0.39456</v>
      </c>
      <c r="V7034" t="str">
        <v>x</v>
      </c>
      <c r="W7034">
        <f>IF(D7017&gt;4*G7015,ROUND(MAX(D7017/4,2*G7015)/H7034,0)+1,ROUND(D7017/H7034,0)+1)</f>
        <v>8</v>
      </c>
      <c r="X7034" t="str">
        <v>x</v>
      </c>
      <c r="Y7034">
        <f>D7020</f>
        <v>1</v>
      </c>
      <c r="Z7034" t="str">
        <v>=</v>
      </c>
      <c r="AA7034">
        <f>N7034*U7034*W7034*Y7034</f>
        <v>3.5668224</v>
      </c>
    </row>
    <row r="7035">
      <c r="A7035" t="str">
        <f>A7014</f>
        <v>Lantai 2</v>
      </c>
      <c r="B7035">
        <f>B7014</f>
        <v>39</v>
      </c>
      <c r="C7035" t="str">
        <v>Sengkang Lapangan</v>
      </c>
      <c r="D7035">
        <f>VLOOKUP(D7014,'Detail Balok'!$C$10:$AU$110,36,FALSE)</f>
        <v>0</v>
      </c>
      <c r="E7035" t="str">
        <v>D</v>
      </c>
      <c r="F7035">
        <f>VLOOKUP(D7014,'Detail Balok'!$C$10:$AU$110,38,FALSE)</f>
        <v>8</v>
      </c>
      <c r="G7035" t="str">
        <v>-</v>
      </c>
      <c r="H7035">
        <f>VLOOKUP(D7014,'Detail Balok'!$C$10:$AU$110,40,FALSE)</f>
        <v>200</v>
      </c>
      <c r="J7035">
        <f>(IF(D7035=0,(2*(D7015+G7015))-(F$5*8),IF(D7035=3,(2*(D7015+G7015))-(F$5*8)+(G7015-2*F$5),IF(D7035=4,(2*(D7015+G7015))-(F$5*8)+2*(G7015-2*F$5)))))/1000</f>
        <v>0.98</v>
      </c>
      <c r="K7035" t="str">
        <v>+</v>
      </c>
      <c r="L7035">
        <f>IF(D7035=0,2*MAX(6*F7035,75),(D7035-1)*2*MAX(6*F7035,75))/1000</f>
        <v>0.15</v>
      </c>
      <c r="M7035" t="str">
        <v>=</v>
      </c>
      <c r="N7035">
        <f>J7035+L7035</f>
        <v>1.13</v>
      </c>
      <c r="T7035" t="str">
        <v>x</v>
      </c>
      <c r="U7035">
        <f>0.006165*F7035^2</f>
        <v>0.39456</v>
      </c>
      <c r="V7035" t="str">
        <v>x</v>
      </c>
      <c r="W7035">
        <f>IF(D7017-MAX(D7017/4,2*G7015)*2&gt;0,ROUND((D7017-MAX(D7017/4,2*G7015)*2)/H7035,0),0)</f>
        <v>10</v>
      </c>
      <c r="X7035" t="str">
        <v>x</v>
      </c>
      <c r="Y7035">
        <f>D7020</f>
        <v>1</v>
      </c>
      <c r="Z7035" t="str">
        <v>=</v>
      </c>
      <c r="AA7035">
        <f>N7035*U7035*W7035*Y7035</f>
        <v>4.458528</v>
      </c>
    </row>
    <row r="7036">
      <c r="A7036" t="str">
        <f>A7014</f>
        <v>Lantai 2</v>
      </c>
      <c r="B7036">
        <f>B7014</f>
        <v>39</v>
      </c>
      <c r="C7036" t="str">
        <v>Sengkang Tumpuan</v>
      </c>
      <c r="D7036">
        <f>VLOOKUP(D7014,'Detail Balok'!$C$10:$AU$110,41,FALSE)</f>
        <v>0</v>
      </c>
      <c r="E7036" t="str">
        <v>D</v>
      </c>
      <c r="F7036">
        <f>VLOOKUP(D7014,'Detail Balok'!$C$10:$AU$110,43,FALSE)</f>
        <v>8</v>
      </c>
      <c r="G7036" t="str">
        <v>-</v>
      </c>
      <c r="H7036">
        <f>VLOOKUP(D7014,'Detail Balok'!$C$10:$AU$110,45,FALSE)</f>
        <v>150</v>
      </c>
      <c r="J7036">
        <f>(IF(D7036=0,(2*(D7015+G7015))-(F$5*8),IF(D7036=3,(2*(D7015+G7015))-(F$5*8)+(G7015-2*F$5),IF(D7036=4,(2*(D7015+G7015))-(F$5*8)+2*(G7015-2*F$5)))))/1000</f>
        <v>0.98</v>
      </c>
      <c r="K7036" t="str">
        <v>+</v>
      </c>
      <c r="L7036">
        <f>IF(D7036=0,2*MAX(6*F7036,75),(D7036-1)*2*MAX(6*F7036,75))/1000</f>
        <v>0.15</v>
      </c>
      <c r="M7036" t="str">
        <v>=</v>
      </c>
      <c r="N7036">
        <f>J7036+L7036</f>
        <v>1.13</v>
      </c>
      <c r="T7036" t="str">
        <v>x</v>
      </c>
      <c r="U7036">
        <f>0.006165*F7036^2</f>
        <v>0.39456</v>
      </c>
      <c r="V7036" t="str">
        <v>x</v>
      </c>
      <c r="W7036">
        <f>IF(D7017&gt;4*G7015,ROUND(MAX(D7017/4,2*G7015)/H7036,0)+1,0)</f>
        <v>8</v>
      </c>
      <c r="X7036" t="str">
        <v>x</v>
      </c>
      <c r="Y7036">
        <f>D7020</f>
        <v>1</v>
      </c>
      <c r="Z7036" t="str">
        <v>=</v>
      </c>
      <c r="AA7036">
        <f>N7036*U7036*W7036*Y7036</f>
        <v>3.5668224</v>
      </c>
    </row>
    <row r="7038">
      <c r="A7038" t="str">
        <f>A7014</f>
        <v>Lantai 2</v>
      </c>
      <c r="B7038">
        <f>B7014</f>
        <v>39</v>
      </c>
      <c r="C7038" t="str">
        <v>Kait Horizontal Tump.</v>
      </c>
      <c r="D7038">
        <f>VLOOKUP(D7014,'Detail Balok'!$C$10:$BJ$110,46,FALSE)</f>
        <v>0</v>
      </c>
      <c r="E7038" t="str">
        <v>D</v>
      </c>
      <c r="F7038">
        <f>VLOOKUP(D7014,'Detail Balok'!$C$10:$BJ$110,48,FALSE)</f>
        <v>0</v>
      </c>
      <c r="G7038" t="str">
        <v>-</v>
      </c>
      <c r="H7038">
        <f>VLOOKUP(D7014,'Detail Balok'!$C$10:$BJ$110,50,FALSE)</f>
        <v>100</v>
      </c>
      <c r="J7038">
        <f>(D7015-2*F$5)/1000</f>
        <v>0.12</v>
      </c>
      <c r="K7038" t="str">
        <v>+</v>
      </c>
      <c r="L7038">
        <f>IF(D7038=0,2*MAX(6*F7038,75),(D7038-1)*2*MAX(6*F7038,75))/1000</f>
        <v>0.15</v>
      </c>
      <c r="M7038" t="str">
        <v>=</v>
      </c>
      <c r="N7038">
        <f>J7038+L7038</f>
        <v>0.27</v>
      </c>
      <c r="T7038" t="str">
        <v>x</v>
      </c>
      <c r="U7038">
        <f>0.006165*F7038^2</f>
        <v>0</v>
      </c>
      <c r="V7038" t="str">
        <v>x</v>
      </c>
      <c r="W7038">
        <f>W7034</f>
        <v>8</v>
      </c>
      <c r="X7038" t="str">
        <v>x</v>
      </c>
      <c r="Y7038">
        <f>D7024</f>
        <v>0</v>
      </c>
      <c r="Z7038" t="str">
        <v>=</v>
      </c>
      <c r="AA7038">
        <f>N7038*U7038*W7038*Y7038</f>
        <v>0</v>
      </c>
    </row>
    <row r="7039">
      <c r="A7039" t="str">
        <f>A7014</f>
        <v>Lantai 2</v>
      </c>
      <c r="B7039">
        <f>B7014</f>
        <v>39</v>
      </c>
      <c r="C7039" t="str">
        <v>Kait Horizontal Lap.</v>
      </c>
      <c r="D7039">
        <f>VLOOKUP(D7014,'Detail Balok'!$C$10:$BJ$110,51,FALSE)</f>
        <v>0</v>
      </c>
      <c r="E7039" t="str">
        <v>D</v>
      </c>
      <c r="F7039">
        <f>VLOOKUP(D7014,'Detail Balok'!$C$10:$BJ$110,53,FALSE)</f>
        <v>0</v>
      </c>
      <c r="G7039" t="str">
        <v>-</v>
      </c>
      <c r="H7039">
        <f>VLOOKUP(D7014,'Detail Balok'!$C$10:$BJ$110,55,FALSE)</f>
        <v>100</v>
      </c>
      <c r="J7039">
        <f>(D7015-2*F$5)/1000</f>
        <v>0.12</v>
      </c>
      <c r="K7039" t="str">
        <v>+</v>
      </c>
      <c r="L7039">
        <f>IF(D7039=0,2*MAX(6*F7039,75),(D7039-1)*2*MAX(6*F7039,75))/1000</f>
        <v>0.15</v>
      </c>
      <c r="M7039" t="str">
        <v>=</v>
      </c>
      <c r="N7039">
        <f>J7039+L7039</f>
        <v>0.27</v>
      </c>
      <c r="T7039" t="str">
        <v>x</v>
      </c>
      <c r="U7039">
        <f>0.006165*F7039^2</f>
        <v>0</v>
      </c>
      <c r="V7039" t="str">
        <v>x</v>
      </c>
      <c r="W7039">
        <f>W7035</f>
        <v>10</v>
      </c>
      <c r="X7039" t="str">
        <v>x</v>
      </c>
      <c r="Y7039">
        <f>D7024</f>
        <v>0</v>
      </c>
      <c r="Z7039" t="str">
        <v>=</v>
      </c>
      <c r="AA7039">
        <f>N7039*U7039*W7039*Y7039</f>
        <v>0</v>
      </c>
    </row>
    <row r="7040">
      <c r="A7040" t="str">
        <f>A7014</f>
        <v>Lantai 2</v>
      </c>
      <c r="B7040">
        <f>B7014</f>
        <v>39</v>
      </c>
      <c r="C7040" t="str">
        <v>Kait Horizontal Tump.</v>
      </c>
      <c r="D7040">
        <f>VLOOKUP(D7014,'Detail Balok'!$C$10:$BJ$110,56,FALSE)</f>
        <v>0</v>
      </c>
      <c r="E7040" t="str">
        <v>D</v>
      </c>
      <c r="F7040">
        <f>VLOOKUP(D7014,'Detail Balok'!$C$10:$BJ$110,58,FALSE)</f>
        <v>0</v>
      </c>
      <c r="G7040" t="str">
        <v>-</v>
      </c>
      <c r="H7040">
        <f>VLOOKUP(D7014,'Detail Balok'!$C$10:$BJ$110,60,FALSE)</f>
        <v>100</v>
      </c>
      <c r="J7040">
        <f>(D7015-2*F$5)/1000</f>
        <v>0.12</v>
      </c>
      <c r="K7040" t="str">
        <v>+</v>
      </c>
      <c r="L7040">
        <f>IF(D7040=0,2*MAX(6*F7040,75),(D7040-1)*2*MAX(6*F7040,75))/1000</f>
        <v>0.15</v>
      </c>
      <c r="M7040" t="str">
        <v>=</v>
      </c>
      <c r="N7040">
        <f>J7040+L7040</f>
        <v>0.27</v>
      </c>
      <c r="T7040" t="str">
        <v>x</v>
      </c>
      <c r="U7040">
        <f>0.006165*F7040^2</f>
        <v>0</v>
      </c>
      <c r="V7040" t="str">
        <v>x</v>
      </c>
      <c r="W7040">
        <f>W7036</f>
        <v>8</v>
      </c>
      <c r="X7040" t="str">
        <v>x</v>
      </c>
      <c r="Y7040">
        <f>D7024</f>
        <v>0</v>
      </c>
      <c r="Z7040" t="str">
        <v>=</v>
      </c>
      <c r="AA7040">
        <f>N7040*U7040*W7040*Y7040</f>
        <v>0</v>
      </c>
    </row>
    <row r="7044">
      <c r="A7044" t="str">
        <f>A7014</f>
        <v>Lantai 2</v>
      </c>
      <c r="B7044">
        <f>B7014+1</f>
        <v>40</v>
      </c>
      <c r="C7044" t="str">
        <f>CONCATENATE(A7044," no. ",B7044)</f>
        <v>Lantai 2 no. 40</v>
      </c>
      <c r="D7044" t="str">
        <f>VLOOKUP(C7044,'Data Panjang Balok'!$C$9:$N$424,2,FALSE)</f>
        <v>B36-3</v>
      </c>
    </row>
    <row r="7045">
      <c r="C7045" t="str">
        <v>Dimensi</v>
      </c>
      <c r="D7045">
        <f>VLOOKUP(D7044,'Detail Balok'!$C$10:$AU$110,2,FALSE)</f>
        <v>300</v>
      </c>
      <c r="F7045" t="str">
        <v>x</v>
      </c>
      <c r="G7045">
        <f>VLOOKUP(D7044,'Detail Balok'!$C$10:$AU$110,3,FALSE)</f>
        <v>600</v>
      </c>
    </row>
    <row r="7046">
      <c r="C7046" t="str">
        <v>Panjang as ke as</v>
      </c>
      <c r="D7046">
        <f>VLOOKUP(C7044,'Data Panjang Balok'!$C$9:$N$424,4,FALSE)</f>
        <v>6000</v>
      </c>
    </row>
    <row r="7047">
      <c r="C7047" t="str">
        <v>Panjang netto</v>
      </c>
      <c r="D7047">
        <f>VLOOKUP(C7044,'Data Panjang Balok'!$C$9:$N$424,7,FALSE)</f>
        <v>6000</v>
      </c>
    </row>
    <row r="7048">
      <c r="C7048" t="str">
        <v>Kolom / balok kiri</v>
      </c>
      <c r="D7048">
        <f>VLOOKUP(C7044,'Data Panjang Balok'!$C$9:$N$424,9,FALSE)</f>
        <v>0</v>
      </c>
    </row>
    <row r="7049">
      <c r="C7049" t="str">
        <v>Kolom / balok kanan</v>
      </c>
      <c r="D7049">
        <f>VLOOKUP(C7044,'Data Panjang Balok'!$C$9:$N$424,10,FALSE)</f>
        <v>0</v>
      </c>
    </row>
    <row r="7050">
      <c r="C7050" t="str">
        <v>Jumlah</v>
      </c>
      <c r="D7050">
        <f>VLOOKUP(C7044,'Data Panjang Balok'!$C$9:$N$424,3,FALSE)</f>
        <v>1</v>
      </c>
    </row>
    <row r="7051">
      <c r="A7051" t="str">
        <f>A7044</f>
        <v>Lantai 2</v>
      </c>
      <c r="B7051">
        <f>B7044</f>
        <v>40</v>
      </c>
      <c r="C7051" t="str">
        <v>Tul Atas Tumpuan</v>
      </c>
      <c r="D7051">
        <f>VLOOKUP(D7044,'Detail Balok'!$C$10:$AU$110,4,FALSE)</f>
        <v>8</v>
      </c>
      <c r="E7051" t="str">
        <v>D</v>
      </c>
      <c r="F7051">
        <f>VLOOKUP(D7044,'Detail Balok'!$C$10:$AU$110,6,FALSE)</f>
        <v>19</v>
      </c>
      <c r="I7051" t="str">
        <v>(</v>
      </c>
      <c r="J7051">
        <f>+D7046/4/1000</f>
        <v>1.5</v>
      </c>
      <c r="K7051" t="str">
        <v>+</v>
      </c>
      <c r="L7051">
        <f>MAX(VLOOKUP(F7051,N$6:P$15,3,FALSE)/1000,2/3*D7048/1000)+F$16*F7051/1000</f>
        <v>0.228</v>
      </c>
      <c r="M7051" t="str">
        <v>=</v>
      </c>
      <c r="N7051">
        <f>J7051+L7051</f>
        <v>1.728</v>
      </c>
      <c r="O7051" t="str">
        <v>+</v>
      </c>
      <c r="P7051">
        <f>D7051-D7052</f>
        <v>5</v>
      </c>
      <c r="Q7051" t="str">
        <v>x</v>
      </c>
      <c r="R7051">
        <f>IF(P7051&gt;0,$F$18*F7051/1000,0)</f>
        <v>0.285</v>
      </c>
      <c r="S7051" t="str">
        <v>)</v>
      </c>
      <c r="T7051" t="str">
        <v>x</v>
      </c>
      <c r="U7051">
        <f>0.006165*F7051^2</f>
        <v>2.225565</v>
      </c>
      <c r="X7051" t="str">
        <v>x</v>
      </c>
      <c r="Y7051">
        <f>D7050</f>
        <v>1</v>
      </c>
      <c r="Z7051" t="str">
        <v>=</v>
      </c>
      <c r="AA7051">
        <f>IF(AA7054=0,(D7051*N7051+P7051*R7051)*U7051*Y7051,0)</f>
        <v>33.937640685</v>
      </c>
    </row>
    <row r="7052">
      <c r="A7052" t="str">
        <f>A7044</f>
        <v>Lantai 2</v>
      </c>
      <c r="B7052">
        <f>B7044</f>
        <v>40</v>
      </c>
      <c r="C7052" t="str">
        <v>Tul Atas Lapangan</v>
      </c>
      <c r="D7052">
        <f>VLOOKUP(D7044,'Detail Balok'!$C$10:$AU$110,7,FALSE)</f>
        <v>3</v>
      </c>
      <c r="E7052" t="str">
        <v>D</v>
      </c>
      <c r="F7052">
        <f>VLOOKUP(D7044,'Detail Balok'!$C$10:$AU$110,9,FALSE)</f>
        <v>19</v>
      </c>
      <c r="I7052" t="str">
        <v>(</v>
      </c>
      <c r="J7052">
        <f>+D7046/2/1000</f>
        <v>3</v>
      </c>
      <c r="K7052" t="str">
        <v>+</v>
      </c>
      <c r="M7052" t="str">
        <v>=</v>
      </c>
      <c r="N7052">
        <f>J7052+L7052</f>
        <v>3</v>
      </c>
      <c r="O7052" t="str">
        <v>+</v>
      </c>
      <c r="P7052">
        <f>MAX(D7052-D7051,D7052-D7053)</f>
        <v>0</v>
      </c>
      <c r="Q7052" t="str">
        <v>x</v>
      </c>
      <c r="R7052">
        <f>IF(P7052&gt;0,2*(1-2*$F$19-1/2)*D7047/1000,0)</f>
        <v>0</v>
      </c>
      <c r="S7052" t="str">
        <v>)</v>
      </c>
      <c r="T7052" t="str">
        <v>x</v>
      </c>
      <c r="U7052">
        <f>0.006165*F7052^2</f>
        <v>2.225565</v>
      </c>
      <c r="X7052" t="str">
        <v>x</v>
      </c>
      <c r="Y7052">
        <f>D7050</f>
        <v>1</v>
      </c>
      <c r="Z7052" t="str">
        <v>=</v>
      </c>
      <c r="AA7052">
        <f>IF(AA7054=0,(D7052*N7052+P7052*R7052)*U7052*Y7052,0)</f>
        <v>20.030085</v>
      </c>
    </row>
    <row r="7053">
      <c r="A7053" t="str">
        <f>A7044</f>
        <v>Lantai 2</v>
      </c>
      <c r="B7053">
        <f>B7044</f>
        <v>40</v>
      </c>
      <c r="C7053" t="str">
        <v>Tul Atas Tumpuan</v>
      </c>
      <c r="D7053">
        <f>VLOOKUP(D7044,'Detail Balok'!$C$10:$AU$110,10,FALSE)</f>
        <v>3</v>
      </c>
      <c r="E7053" t="str">
        <v>D</v>
      </c>
      <c r="F7053">
        <f>VLOOKUP(D7044,'Detail Balok'!$C$10:$AU$110,12,FALSE)</f>
        <v>19</v>
      </c>
      <c r="I7053" t="str">
        <v>(</v>
      </c>
      <c r="J7053">
        <f>+D7046/4/1000</f>
        <v>1.5</v>
      </c>
      <c r="K7053" t="str">
        <v>+</v>
      </c>
      <c r="L7053">
        <f>MAX(VLOOKUP(F7053,N$6:P$15,3,FALSE)/1000,2/3*D7048/1000)+F$16*F7053/1000</f>
        <v>0.228</v>
      </c>
      <c r="M7053" t="str">
        <v>=</v>
      </c>
      <c r="N7053">
        <f>J7053+L7053</f>
        <v>1.728</v>
      </c>
      <c r="O7053" t="str">
        <v>+</v>
      </c>
      <c r="P7053">
        <f>D7053-D7052</f>
        <v>0</v>
      </c>
      <c r="Q7053" t="str">
        <v>x</v>
      </c>
      <c r="R7053">
        <f>IF(P7053&gt;0,$F$18*F7053/1000,0)</f>
        <v>0</v>
      </c>
      <c r="S7053" t="str">
        <v>)</v>
      </c>
      <c r="T7053" t="str">
        <v>x</v>
      </c>
      <c r="U7053">
        <f>0.006165*F7053^2</f>
        <v>2.225565</v>
      </c>
      <c r="X7053" t="str">
        <v>x</v>
      </c>
      <c r="Y7053">
        <f>D7050</f>
        <v>1</v>
      </c>
      <c r="Z7053" t="str">
        <v>=</v>
      </c>
      <c r="AA7053">
        <f>IF(AA7054=0,(D7053*N7053+P7053*R7053)*U7053*Y7053,0)</f>
        <v>11.53732896</v>
      </c>
    </row>
    <row r="7054">
      <c r="A7054" t="str">
        <f>A7044</f>
        <v>Lantai 2</v>
      </c>
      <c r="B7054">
        <f>B7044</f>
        <v>40</v>
      </c>
      <c r="D7054">
        <f>IF(AND(D7051=D7052,D7052=D7053,D7051=D7053),D7051,0)</f>
        <v>0</v>
      </c>
      <c r="E7054" t="str">
        <v>D</v>
      </c>
      <c r="F7054">
        <f>IF(AND(F7051=F7052,F7051=F7053,F7052=F7053),F7051,0)</f>
        <v>19</v>
      </c>
      <c r="L7054" t="str">
        <v>Total panjang per balok</v>
      </c>
      <c r="M7054" t="str">
        <v>=</v>
      </c>
      <c r="N7054">
        <f>IF(AND(D7051=D7052,D7051=D7053,D7052=D7053,F7051=F7052,F7051=F7053,F7052=F7053),SUM(N7051:N7053),0)</f>
        <v>0</v>
      </c>
      <c r="O7054" t="str">
        <v>+</v>
      </c>
      <c r="P7054">
        <f>IF(N7054&gt;12,ROUNDDOWN(N7054/12,0),0)</f>
        <v>0</v>
      </c>
      <c r="Q7054" t="str">
        <v>x</v>
      </c>
      <c r="R7054">
        <f>IF(P7054&gt;0,MAX(VLOOKUP(F7054,$D$6:$G$15,3,FALSE),600),0)/1000</f>
        <v>0</v>
      </c>
      <c r="T7054" t="str">
        <v>x</v>
      </c>
      <c r="U7054">
        <f>U7053</f>
        <v>2.225565</v>
      </c>
      <c r="V7054" t="str">
        <v>x</v>
      </c>
      <c r="W7054">
        <f>D7054</f>
        <v>0</v>
      </c>
      <c r="X7054" t="str">
        <v>x</v>
      </c>
      <c r="Y7054">
        <f>Y7053</f>
        <v>1</v>
      </c>
      <c r="Z7054" t="str">
        <v>=</v>
      </c>
      <c r="AA7054">
        <f>(N7054+P7054*R7054/1000)*U7054*W7054*Y7054</f>
        <v>0</v>
      </c>
    </row>
    <row r="7056">
      <c r="A7056" t="str">
        <f>A7044</f>
        <v>Lantai 2</v>
      </c>
      <c r="B7056">
        <f>B7044</f>
        <v>40</v>
      </c>
      <c r="C7056" t="str">
        <v>Tul Peminggang</v>
      </c>
      <c r="D7056">
        <f>VLOOKUP(D7044,'Detail Balok'!$C$10:$AU$110,13,FALSE)</f>
        <v>2</v>
      </c>
      <c r="E7056" t="str">
        <v>D</v>
      </c>
      <c r="F7056">
        <f>VLOOKUP(D7044,'Detail Balok'!$C$10:$AU$110,15,FALSE)</f>
        <v>10</v>
      </c>
      <c r="J7056">
        <f>+D7046/1000</f>
        <v>6</v>
      </c>
      <c r="K7056" t="str">
        <v>+</v>
      </c>
      <c r="L7056">
        <f>2*$F$16*F7056/1000</f>
        <v>0.24</v>
      </c>
      <c r="M7056" t="str">
        <v>=</v>
      </c>
      <c r="N7056">
        <f>J7056+L7056</f>
        <v>6.24</v>
      </c>
      <c r="O7056" t="str">
        <v>+</v>
      </c>
      <c r="P7056">
        <f>IF(N7056&gt;12,ROUNDDOWN(N7056/12,0),0)</f>
        <v>0</v>
      </c>
      <c r="Q7056" t="str">
        <v>x</v>
      </c>
      <c r="R7056">
        <f>IF(P7056&gt;0,MAX(VLOOKUP(F7056,$D$6:$G$15,3,FALSE),600),0)/1000</f>
        <v>0</v>
      </c>
      <c r="T7056" t="str">
        <v>x</v>
      </c>
      <c r="U7056">
        <f>0.006165*F7056^2</f>
        <v>0.6165</v>
      </c>
      <c r="V7056" t="str">
        <v>x</v>
      </c>
      <c r="W7056">
        <f>+D7056</f>
        <v>2</v>
      </c>
      <c r="X7056" t="str">
        <v>x</v>
      </c>
      <c r="Y7056">
        <f>D7050</f>
        <v>1</v>
      </c>
      <c r="Z7056" t="str">
        <v>=</v>
      </c>
      <c r="AA7056">
        <f>(N7056+P7056*R7056/1000)*U7056*W7056*Y7056</f>
        <v>7.693920000000001</v>
      </c>
    </row>
    <row r="7059">
      <c r="A7059" t="str">
        <f>A7044</f>
        <v>Lantai 2</v>
      </c>
      <c r="B7059">
        <f>B7044</f>
        <v>40</v>
      </c>
      <c r="C7059" t="str">
        <v>Tul Bawah Tumpuan</v>
      </c>
      <c r="D7059">
        <f>VLOOKUP(D7044,'Detail Balok'!$C$10:$AU$110,22,FALSE)</f>
        <v>4</v>
      </c>
      <c r="E7059" t="str">
        <v>D</v>
      </c>
      <c r="F7059">
        <f>VLOOKUP(D7044,'Detail Balok'!$C$10:$AU$110,24,FALSE)</f>
        <v>19</v>
      </c>
      <c r="I7059" t="str">
        <v>(</v>
      </c>
      <c r="J7059">
        <f>+J7051</f>
        <v>1.5</v>
      </c>
      <c r="K7059" t="str">
        <v>+</v>
      </c>
      <c r="L7059">
        <f>MAX(VLOOKUP(F7059,N$6:P$15,3,FALSE)/1000,2/3*D7049/1000)+F$16*F7059/1000</f>
        <v>0.228</v>
      </c>
      <c r="M7059" t="str">
        <v>=</v>
      </c>
      <c r="N7059">
        <f>J7059+L7059</f>
        <v>1.728</v>
      </c>
      <c r="O7059" t="str">
        <v>+</v>
      </c>
      <c r="P7059">
        <f>D7059-D7060</f>
        <v>-4</v>
      </c>
      <c r="Q7059" t="str">
        <v>x</v>
      </c>
      <c r="R7059">
        <f>IF(P7059&gt;0,$F$18*F7059/1000,0)</f>
        <v>0</v>
      </c>
      <c r="S7059" t="str">
        <v>)</v>
      </c>
      <c r="T7059" t="str">
        <v>x</v>
      </c>
      <c r="U7059">
        <f>0.006165*F7059^2</f>
        <v>2.225565</v>
      </c>
      <c r="X7059" t="str">
        <v>x</v>
      </c>
      <c r="Y7059">
        <f>D7050</f>
        <v>1</v>
      </c>
      <c r="Z7059" t="str">
        <v>=</v>
      </c>
      <c r="AA7059">
        <f>IF(AA7062=0,(D7059*N7059+P7059*R7059)*U7059*Y7059,0)</f>
        <v>15.38310528</v>
      </c>
    </row>
    <row r="7060">
      <c r="A7060" t="str">
        <f>A7044</f>
        <v>Lantai 2</v>
      </c>
      <c r="B7060">
        <f>B7044</f>
        <v>40</v>
      </c>
      <c r="C7060" t="str">
        <v>Tul Bawah Lapangan</v>
      </c>
      <c r="D7060">
        <f>VLOOKUP(D7044,'Detail Balok'!$C$10:$AU$110,25,FALSE)</f>
        <v>8</v>
      </c>
      <c r="E7060" t="str">
        <v>D</v>
      </c>
      <c r="F7060">
        <f>VLOOKUP(D7044,'Detail Balok'!$C$10:$AU$110,27,FALSE)</f>
        <v>19</v>
      </c>
      <c r="I7060" t="str">
        <v>(</v>
      </c>
      <c r="J7060">
        <f>+J7052</f>
        <v>3</v>
      </c>
      <c r="K7060" t="str">
        <v>+</v>
      </c>
      <c r="M7060" t="str">
        <v>=</v>
      </c>
      <c r="N7060">
        <f>J7060+L7060</f>
        <v>3</v>
      </c>
      <c r="O7060" t="str">
        <v>+</v>
      </c>
      <c r="P7060">
        <f>MAX(D7060-D7059,D7060-D7061)</f>
        <v>4</v>
      </c>
      <c r="Q7060" t="str">
        <v>x</v>
      </c>
      <c r="R7060">
        <f>IF(P7060&gt;0,2*(1-2*$F$19-1/2)*D7047/1000,0)</f>
        <v>1.1999999999999997</v>
      </c>
      <c r="S7060" t="str">
        <v>)</v>
      </c>
      <c r="T7060" t="str">
        <v>x</v>
      </c>
      <c r="U7060">
        <f>0.006165*F7060^2</f>
        <v>2.225565</v>
      </c>
      <c r="X7060" t="str">
        <v>x</v>
      </c>
      <c r="Y7060">
        <f>D7050</f>
        <v>1</v>
      </c>
      <c r="Z7060" t="str">
        <v>=</v>
      </c>
      <c r="AA7060">
        <f>IF(AA7062=0,(D7060*N7060+P7060*R7060)*U7060*Y7060,0)</f>
        <v>64.096272</v>
      </c>
    </row>
    <row r="7061">
      <c r="A7061" t="str">
        <f>A7044</f>
        <v>Lantai 2</v>
      </c>
      <c r="B7061">
        <f>B7044</f>
        <v>40</v>
      </c>
      <c r="C7061" t="str">
        <v>Tul Bawah Tumpuan</v>
      </c>
      <c r="D7061">
        <f>VLOOKUP(D7044,'Detail Balok'!$C$10:$AU$110,28,FALSE)</f>
        <v>8</v>
      </c>
      <c r="E7061" t="str">
        <v>D</v>
      </c>
      <c r="F7061">
        <f>VLOOKUP(D7044,'Detail Balok'!$C$10:$AU$110,30,FALSE)</f>
        <v>19</v>
      </c>
      <c r="I7061" t="str">
        <v>(</v>
      </c>
      <c r="J7061">
        <f>+J7053</f>
        <v>1.5</v>
      </c>
      <c r="K7061" t="str">
        <v>+</v>
      </c>
      <c r="L7061">
        <f>MAX(VLOOKUP(F7061,N$6:P$15,3,FALSE)/1000,2/3*D7049/1000)+F$16*F7061/1000</f>
        <v>0.228</v>
      </c>
      <c r="M7061" t="str">
        <v>=</v>
      </c>
      <c r="N7061">
        <f>J7061+L7061</f>
        <v>1.728</v>
      </c>
      <c r="O7061" t="str">
        <v>+</v>
      </c>
      <c r="P7061">
        <f>D7061-D7060</f>
        <v>0</v>
      </c>
      <c r="Q7061" t="str">
        <v>x</v>
      </c>
      <c r="R7061">
        <f>IF(P7061&gt;0,$F$18*F7061/1000,0)</f>
        <v>0</v>
      </c>
      <c r="S7061" t="str">
        <v>)</v>
      </c>
      <c r="T7061" t="str">
        <v>x</v>
      </c>
      <c r="U7061">
        <f>0.006165*F7061^2</f>
        <v>2.225565</v>
      </c>
      <c r="X7061" t="str">
        <v>x</v>
      </c>
      <c r="Y7061">
        <f>D7050</f>
        <v>1</v>
      </c>
      <c r="Z7061" t="str">
        <v>=</v>
      </c>
      <c r="AA7061">
        <f>IF(AA7062=0,(D7061*N7061+P7061*R7061)*U7061*Y7061,0)</f>
        <v>30.76621056</v>
      </c>
    </row>
    <row r="7062">
      <c r="A7062" t="str">
        <f>A7044</f>
        <v>Lantai 2</v>
      </c>
      <c r="B7062">
        <f>B7044</f>
        <v>40</v>
      </c>
      <c r="D7062">
        <f>IF(AND(D7059=D7060,D7060=D7061,D7059=D7061),D7059,0)</f>
        <v>0</v>
      </c>
      <c r="E7062" t="str">
        <v>D</v>
      </c>
      <c r="F7062">
        <f>IF(AND(F7059=F7060,F7059=F7061,F7060=F7061),F7059,0)</f>
        <v>19</v>
      </c>
      <c r="L7062" t="str">
        <v>Total panjang per balok</v>
      </c>
      <c r="M7062" t="str">
        <v>=</v>
      </c>
      <c r="N7062">
        <f>IF(AND(D7059=D7060,D7059=D7061,D7060=D7061,F7059=F7060,F7059=F7061,F7060=F7061),SUM(N7059:N7061),0)</f>
        <v>0</v>
      </c>
      <c r="O7062" t="str">
        <v>+</v>
      </c>
      <c r="P7062">
        <f>IF(N7062&gt;12,ROUNDDOWN(N7062/12,0),0)</f>
        <v>0</v>
      </c>
      <c r="Q7062" t="str">
        <v>x</v>
      </c>
      <c r="R7062">
        <f>IF(P7062&gt;0,MAX(VLOOKUP(F7062,$D$6:$G$15,3,FALSE),600),0)/1000</f>
        <v>0</v>
      </c>
      <c r="T7062" t="str">
        <v>x</v>
      </c>
      <c r="U7062">
        <f>U7061</f>
        <v>2.225565</v>
      </c>
      <c r="V7062" t="str">
        <v>x</v>
      </c>
      <c r="W7062">
        <f>D7062</f>
        <v>0</v>
      </c>
      <c r="X7062" t="str">
        <v>x</v>
      </c>
      <c r="Y7062">
        <f>Y7061</f>
        <v>1</v>
      </c>
      <c r="Z7062" t="str">
        <v>=</v>
      </c>
      <c r="AA7062">
        <f>(N7062+P7062*R7062/1000)*U7062*W7062*Y7062</f>
        <v>0</v>
      </c>
    </row>
    <row r="7064">
      <c r="A7064" t="str">
        <f>A7044</f>
        <v>Lantai 2</v>
      </c>
      <c r="B7064">
        <f>B7044</f>
        <v>40</v>
      </c>
      <c r="C7064" t="str">
        <v>Sengkang Tumpuan</v>
      </c>
      <c r="D7064">
        <f>VLOOKUP(D7044,'Detail Balok'!$C$10:$AU$110,31,FALSE)</f>
        <v>3</v>
      </c>
      <c r="E7064" t="str">
        <v>D</v>
      </c>
      <c r="F7064">
        <f>VLOOKUP(D7044,'Detail Balok'!$C$10:$AU$110,33,FALSE)</f>
        <v>10</v>
      </c>
      <c r="G7064" t="str">
        <v>-</v>
      </c>
      <c r="H7064">
        <f>VLOOKUP(D7044,'Detail Balok'!$C$10:$AU$110,35,FALSE)</f>
        <v>100</v>
      </c>
      <c r="J7064">
        <f>(IF(D7064=0,(2*(D7045+G7045))-(F$5*8),IF(D7064=3,(2*(D7045+G7045))-(F$5*8)+(G7045-2*F$5),IF(D7064=4,(2*(D7045+G7045))-(F$5*8)+2*(G7045-2*F$5)))))/1000</f>
        <v>2</v>
      </c>
      <c r="K7064" t="str">
        <v>+</v>
      </c>
      <c r="L7064">
        <f>IF(D7064=0,2*MAX(6*F7064,75),(D7064-1)*2*MAX(6*F7064,75))/1000</f>
        <v>0.3</v>
      </c>
      <c r="M7064" t="str">
        <v>=</v>
      </c>
      <c r="N7064">
        <f>J7064+L7064</f>
        <v>2.3</v>
      </c>
      <c r="T7064" t="str">
        <v>x</v>
      </c>
      <c r="U7064">
        <f>0.006165*F7064^2</f>
        <v>0.6165</v>
      </c>
      <c r="V7064" t="str">
        <v>x</v>
      </c>
      <c r="W7064">
        <f>IF(D7047&gt;4*G7045,ROUND(MAX(D7047/4,2*G7045)/H7064,0)+1,ROUND(D7047/H7064,0)+1)</f>
        <v>16</v>
      </c>
      <c r="X7064" t="str">
        <v>x</v>
      </c>
      <c r="Y7064">
        <f>D7050</f>
        <v>1</v>
      </c>
      <c r="Z7064" t="str">
        <v>=</v>
      </c>
      <c r="AA7064">
        <f>N7064*U7064*W7064*Y7064</f>
        <v>22.6872</v>
      </c>
    </row>
    <row r="7065">
      <c r="A7065" t="str">
        <f>A7044</f>
        <v>Lantai 2</v>
      </c>
      <c r="B7065">
        <f>B7044</f>
        <v>40</v>
      </c>
      <c r="C7065" t="str">
        <v>Sengkang Lapangan</v>
      </c>
      <c r="D7065">
        <f>VLOOKUP(D7044,'Detail Balok'!$C$10:$AU$110,36,FALSE)</f>
        <v>0</v>
      </c>
      <c r="E7065" t="str">
        <v>D</v>
      </c>
      <c r="F7065">
        <f>VLOOKUP(D7044,'Detail Balok'!$C$10:$AU$110,38,FALSE)</f>
        <v>10</v>
      </c>
      <c r="G7065" t="str">
        <v>-</v>
      </c>
      <c r="H7065">
        <f>VLOOKUP(D7044,'Detail Balok'!$C$10:$AU$110,40,FALSE)</f>
        <v>150</v>
      </c>
      <c r="J7065">
        <f>(IF(D7065=0,(2*(D7045+G7045))-(F$5*8),IF(D7065=3,(2*(D7045+G7045))-(F$5*8)+(G7045-2*F$5),IF(D7065=4,(2*(D7045+G7045))-(F$5*8)+2*(G7045-2*F$5)))))/1000</f>
        <v>1.48</v>
      </c>
      <c r="K7065" t="str">
        <v>+</v>
      </c>
      <c r="L7065">
        <f>IF(D7065=0,2*MAX(6*F7065,75),(D7065-1)*2*MAX(6*F7065,75))/1000</f>
        <v>0.15</v>
      </c>
      <c r="M7065" t="str">
        <v>=</v>
      </c>
      <c r="N7065">
        <f>J7065+L7065</f>
        <v>1.63</v>
      </c>
      <c r="T7065" t="str">
        <v>x</v>
      </c>
      <c r="U7065">
        <f>0.006165*F7065^2</f>
        <v>0.6165</v>
      </c>
      <c r="V7065" t="str">
        <v>x</v>
      </c>
      <c r="W7065">
        <f>IF(D7047-MAX(D7047/4,2*G7045)*2&gt;0,ROUND((D7047-MAX(D7047/4,2*G7045)*2)/H7065,0),0)</f>
        <v>20</v>
      </c>
      <c r="X7065" t="str">
        <v>x</v>
      </c>
      <c r="Y7065">
        <f>D7050</f>
        <v>1</v>
      </c>
      <c r="Z7065" t="str">
        <v>=</v>
      </c>
      <c r="AA7065">
        <f>N7065*U7065*W7065*Y7065</f>
        <v>20.097900000000003</v>
      </c>
    </row>
    <row r="7066">
      <c r="A7066" t="str">
        <f>A7044</f>
        <v>Lantai 2</v>
      </c>
      <c r="B7066">
        <f>B7044</f>
        <v>40</v>
      </c>
      <c r="C7066" t="str">
        <v>Sengkang Tumpuan</v>
      </c>
      <c r="D7066">
        <f>VLOOKUP(D7044,'Detail Balok'!$C$10:$AU$110,41,FALSE)</f>
        <v>3</v>
      </c>
      <c r="E7066" t="str">
        <v>D</v>
      </c>
      <c r="F7066">
        <f>VLOOKUP(D7044,'Detail Balok'!$C$10:$AU$110,43,FALSE)</f>
        <v>10</v>
      </c>
      <c r="G7066" t="str">
        <v>-</v>
      </c>
      <c r="H7066">
        <f>VLOOKUP(D7044,'Detail Balok'!$C$10:$AU$110,45,FALSE)</f>
        <v>100</v>
      </c>
      <c r="J7066">
        <f>(IF(D7066=0,(2*(D7045+G7045))-(F$5*8),IF(D7066=3,(2*(D7045+G7045))-(F$5*8)+(G7045-2*F$5),IF(D7066=4,(2*(D7045+G7045))-(F$5*8)+2*(G7045-2*F$5)))))/1000</f>
        <v>2</v>
      </c>
      <c r="K7066" t="str">
        <v>+</v>
      </c>
      <c r="L7066">
        <f>IF(D7066=0,2*MAX(6*F7066,75),(D7066-1)*2*MAX(6*F7066,75))/1000</f>
        <v>0.3</v>
      </c>
      <c r="M7066" t="str">
        <v>=</v>
      </c>
      <c r="N7066">
        <f>J7066+L7066</f>
        <v>2.3</v>
      </c>
      <c r="T7066" t="str">
        <v>x</v>
      </c>
      <c r="U7066">
        <f>0.006165*F7066^2</f>
        <v>0.6165</v>
      </c>
      <c r="V7066" t="str">
        <v>x</v>
      </c>
      <c r="W7066">
        <f>IF(D7047&gt;4*G7045,ROUND(MAX(D7047/4,2*G7045)/H7066,0)+1,0)</f>
        <v>16</v>
      </c>
      <c r="X7066" t="str">
        <v>x</v>
      </c>
      <c r="Y7066">
        <f>D7050</f>
        <v>1</v>
      </c>
      <c r="Z7066" t="str">
        <v>=</v>
      </c>
      <c r="AA7066">
        <f>N7066*U7066*W7066*Y7066</f>
        <v>22.6872</v>
      </c>
    </row>
    <row r="7068">
      <c r="A7068" t="str">
        <f>A7044</f>
        <v>Lantai 2</v>
      </c>
      <c r="B7068">
        <f>B7044</f>
        <v>40</v>
      </c>
      <c r="C7068" t="str">
        <v>Kait Horizontal Tump.</v>
      </c>
      <c r="D7068">
        <f>VLOOKUP(D7044,'Detail Balok'!$C$10:$BJ$110,46,FALSE)</f>
        <v>0</v>
      </c>
      <c r="E7068" t="str">
        <v>D</v>
      </c>
      <c r="F7068">
        <f>VLOOKUP(D7044,'Detail Balok'!$C$10:$BJ$110,48,FALSE)</f>
        <v>0</v>
      </c>
      <c r="G7068" t="str">
        <v>-</v>
      </c>
      <c r="H7068">
        <f>VLOOKUP(D7044,'Detail Balok'!$C$10:$BJ$110,50,FALSE)</f>
        <v>100</v>
      </c>
      <c r="J7068">
        <f>(D7045-2*F$5)/1000</f>
        <v>0.22</v>
      </c>
      <c r="K7068" t="str">
        <v>+</v>
      </c>
      <c r="L7068">
        <f>IF(D7068=0,2*MAX(6*F7068,75),(D7068-1)*2*MAX(6*F7068,75))/1000</f>
        <v>0.15</v>
      </c>
      <c r="M7068" t="str">
        <v>=</v>
      </c>
      <c r="N7068">
        <f>J7068+L7068</f>
        <v>0.37</v>
      </c>
      <c r="T7068" t="str">
        <v>x</v>
      </c>
      <c r="U7068">
        <f>0.006165*F7068^2</f>
        <v>0</v>
      </c>
      <c r="V7068" t="str">
        <v>x</v>
      </c>
      <c r="W7068">
        <f>W7064</f>
        <v>16</v>
      </c>
      <c r="X7068" t="str">
        <v>x</v>
      </c>
      <c r="Y7068">
        <f>D7054</f>
        <v>0</v>
      </c>
      <c r="Z7068" t="str">
        <v>=</v>
      </c>
      <c r="AA7068">
        <f>N7068*U7068*W7068*Y7068</f>
        <v>0</v>
      </c>
    </row>
    <row r="7069">
      <c r="A7069" t="str">
        <f>A7044</f>
        <v>Lantai 2</v>
      </c>
      <c r="B7069">
        <f>B7044</f>
        <v>40</v>
      </c>
      <c r="C7069" t="str">
        <v>Kait Horizontal Lap.</v>
      </c>
      <c r="D7069">
        <f>VLOOKUP(D7044,'Detail Balok'!$C$10:$BJ$110,51,FALSE)</f>
        <v>0</v>
      </c>
      <c r="E7069" t="str">
        <v>D</v>
      </c>
      <c r="F7069">
        <f>VLOOKUP(D7044,'Detail Balok'!$C$10:$BJ$110,53,FALSE)</f>
        <v>0</v>
      </c>
      <c r="G7069" t="str">
        <v>-</v>
      </c>
      <c r="H7069">
        <f>VLOOKUP(D7044,'Detail Balok'!$C$10:$BJ$110,55,FALSE)</f>
        <v>100</v>
      </c>
      <c r="J7069">
        <f>(D7045-2*F$5)/1000</f>
        <v>0.22</v>
      </c>
      <c r="K7069" t="str">
        <v>+</v>
      </c>
      <c r="L7069">
        <f>IF(D7069=0,2*MAX(6*F7069,75),(D7069-1)*2*MAX(6*F7069,75))/1000</f>
        <v>0.15</v>
      </c>
      <c r="M7069" t="str">
        <v>=</v>
      </c>
      <c r="N7069">
        <f>J7069+L7069</f>
        <v>0.37</v>
      </c>
      <c r="T7069" t="str">
        <v>x</v>
      </c>
      <c r="U7069">
        <f>0.006165*F7069^2</f>
        <v>0</v>
      </c>
      <c r="V7069" t="str">
        <v>x</v>
      </c>
      <c r="W7069">
        <f>W7065</f>
        <v>20</v>
      </c>
      <c r="X7069" t="str">
        <v>x</v>
      </c>
      <c r="Y7069">
        <f>D7054</f>
        <v>0</v>
      </c>
      <c r="Z7069" t="str">
        <v>=</v>
      </c>
      <c r="AA7069">
        <f>N7069*U7069*W7069*Y7069</f>
        <v>0</v>
      </c>
    </row>
    <row r="7070">
      <c r="A7070" t="str">
        <f>A7044</f>
        <v>Lantai 2</v>
      </c>
      <c r="B7070">
        <f>B7044</f>
        <v>40</v>
      </c>
      <c r="C7070" t="str">
        <v>Kait Horizontal Tump.</v>
      </c>
      <c r="D7070">
        <f>VLOOKUP(D7044,'Detail Balok'!$C$10:$BJ$110,56,FALSE)</f>
        <v>0</v>
      </c>
      <c r="E7070" t="str">
        <v>D</v>
      </c>
      <c r="F7070">
        <f>VLOOKUP(D7044,'Detail Balok'!$C$10:$BJ$110,58,FALSE)</f>
        <v>0</v>
      </c>
      <c r="G7070" t="str">
        <v>-</v>
      </c>
      <c r="H7070">
        <f>VLOOKUP(D7044,'Detail Balok'!$C$10:$BJ$110,60,FALSE)</f>
        <v>100</v>
      </c>
      <c r="J7070">
        <f>(D7045-2*F$5)/1000</f>
        <v>0.22</v>
      </c>
      <c r="K7070" t="str">
        <v>+</v>
      </c>
      <c r="L7070">
        <f>IF(D7070=0,2*MAX(6*F7070,75),(D7070-1)*2*MAX(6*F7070,75))/1000</f>
        <v>0.15</v>
      </c>
      <c r="M7070" t="str">
        <v>=</v>
      </c>
      <c r="N7070">
        <f>J7070+L7070</f>
        <v>0.37</v>
      </c>
      <c r="T7070" t="str">
        <v>x</v>
      </c>
      <c r="U7070">
        <f>0.006165*F7070^2</f>
        <v>0</v>
      </c>
      <c r="V7070" t="str">
        <v>x</v>
      </c>
      <c r="W7070">
        <f>W7066</f>
        <v>16</v>
      </c>
      <c r="X7070" t="str">
        <v>x</v>
      </c>
      <c r="Y7070">
        <f>D7054</f>
        <v>0</v>
      </c>
      <c r="Z7070" t="str">
        <v>=</v>
      </c>
      <c r="AA7070">
        <f>N7070*U7070*W7070*Y7070</f>
        <v>0</v>
      </c>
    </row>
    <row r="7074">
      <c r="A7074" t="str">
        <f>A7044</f>
        <v>Lantai 2</v>
      </c>
      <c r="B7074">
        <f>B7044+1</f>
        <v>41</v>
      </c>
      <c r="C7074" t="str">
        <f>CONCATENATE(A7074," no. ",B7074)</f>
        <v>Lantai 2 no. 41</v>
      </c>
      <c r="D7074" t="str">
        <f>VLOOKUP(C7074,'Data Panjang Balok'!$C$9:$N$424,2,FALSE)</f>
        <v>Potongan N</v>
      </c>
    </row>
    <row r="7075">
      <c r="C7075" t="str">
        <v>Dimensi</v>
      </c>
      <c r="D7075">
        <f>VLOOKUP(D7074,'Detail Balok'!$C$10:$AU$110,2,FALSE)</f>
        <v>200</v>
      </c>
      <c r="F7075" t="str">
        <v>x</v>
      </c>
      <c r="G7075">
        <f>VLOOKUP(D7074,'Detail Balok'!$C$10:$AU$110,3,FALSE)</f>
        <v>600</v>
      </c>
    </row>
    <row r="7076">
      <c r="C7076" t="str">
        <v>Panjang as ke as</v>
      </c>
      <c r="D7076">
        <f>VLOOKUP(C7074,'Data Panjang Balok'!$C$9:$N$424,4,FALSE)</f>
        <v>2000</v>
      </c>
    </row>
    <row r="7077">
      <c r="C7077" t="str">
        <v>Panjang netto</v>
      </c>
      <c r="D7077">
        <f>VLOOKUP(C7074,'Data Panjang Balok'!$C$9:$N$424,7,FALSE)</f>
        <v>2000</v>
      </c>
    </row>
    <row r="7078">
      <c r="C7078" t="str">
        <v>Kolom / balok kiri</v>
      </c>
      <c r="D7078">
        <f>VLOOKUP(C7074,'Data Panjang Balok'!$C$9:$N$424,9,FALSE)</f>
        <v>0</v>
      </c>
    </row>
    <row r="7079">
      <c r="C7079" t="str">
        <v>Kolom / balok kanan</v>
      </c>
      <c r="D7079">
        <f>VLOOKUP(C7074,'Data Panjang Balok'!$C$9:$N$424,10,FALSE)</f>
        <v>0</v>
      </c>
    </row>
    <row r="7080">
      <c r="C7080" t="str">
        <v>Jumlah</v>
      </c>
      <c r="D7080">
        <f>VLOOKUP(C7074,'Data Panjang Balok'!$C$9:$N$424,3,FALSE)</f>
        <v>1</v>
      </c>
    </row>
    <row r="7081">
      <c r="A7081" t="str">
        <f>A7074</f>
        <v>Lantai 2</v>
      </c>
      <c r="B7081">
        <f>B7074</f>
        <v>41</v>
      </c>
      <c r="C7081" t="str">
        <v>Tul Atas Tumpuan</v>
      </c>
      <c r="D7081">
        <f>VLOOKUP(D7074,'Detail Balok'!$C$10:$AU$110,4,FALSE)</f>
        <v>5</v>
      </c>
      <c r="E7081" t="str">
        <v>D</v>
      </c>
      <c r="F7081">
        <f>VLOOKUP(D7074,'Detail Balok'!$C$10:$AU$110,6,FALSE)</f>
        <v>19</v>
      </c>
      <c r="I7081" t="str">
        <v>(</v>
      </c>
      <c r="J7081">
        <f>+D7076/4/1000</f>
        <v>0.5</v>
      </c>
      <c r="K7081" t="str">
        <v>+</v>
      </c>
      <c r="L7081">
        <f>MAX(VLOOKUP(F7081,N$6:P$15,3,FALSE)/1000,2/3*D7078/1000)+F$16*F7081/1000</f>
        <v>0.228</v>
      </c>
      <c r="M7081" t="str">
        <v>=</v>
      </c>
      <c r="N7081">
        <f>J7081+L7081</f>
        <v>0.728</v>
      </c>
      <c r="O7081" t="str">
        <v>+</v>
      </c>
      <c r="P7081">
        <f>D7081-D7082</f>
        <v>0</v>
      </c>
      <c r="Q7081" t="str">
        <v>x</v>
      </c>
      <c r="R7081">
        <f>IF(P7081&gt;0,$F$18*F7081/1000,0)</f>
        <v>0</v>
      </c>
      <c r="S7081" t="str">
        <v>)</v>
      </c>
      <c r="T7081" t="str">
        <v>x</v>
      </c>
      <c r="U7081">
        <f>0.006165*F7081^2</f>
        <v>2.225565</v>
      </c>
      <c r="X7081" t="str">
        <v>x</v>
      </c>
      <c r="Y7081">
        <f>D7080</f>
        <v>1</v>
      </c>
      <c r="Z7081" t="str">
        <v>=</v>
      </c>
      <c r="AA7081">
        <f>IF(AA7084=0,(D7081*N7081+P7081*R7081)*U7081*Y7081,0)</f>
        <v>0</v>
      </c>
    </row>
    <row r="7082">
      <c r="A7082" t="str">
        <f>A7074</f>
        <v>Lantai 2</v>
      </c>
      <c r="B7082">
        <f>B7074</f>
        <v>41</v>
      </c>
      <c r="C7082" t="str">
        <v>Tul Atas Lapangan</v>
      </c>
      <c r="D7082">
        <f>VLOOKUP(D7074,'Detail Balok'!$C$10:$AU$110,7,FALSE)</f>
        <v>5</v>
      </c>
      <c r="E7082" t="str">
        <v>D</v>
      </c>
      <c r="F7082">
        <f>VLOOKUP(D7074,'Detail Balok'!$C$10:$AU$110,9,FALSE)</f>
        <v>19</v>
      </c>
      <c r="I7082" t="str">
        <v>(</v>
      </c>
      <c r="J7082">
        <f>+D7076/2/1000</f>
        <v>1</v>
      </c>
      <c r="K7082" t="str">
        <v>+</v>
      </c>
      <c r="M7082" t="str">
        <v>=</v>
      </c>
      <c r="N7082">
        <f>J7082+L7082</f>
        <v>1</v>
      </c>
      <c r="O7082" t="str">
        <v>+</v>
      </c>
      <c r="P7082">
        <f>MAX(D7082-D7081,D7082-D7083)</f>
        <v>0</v>
      </c>
      <c r="Q7082" t="str">
        <v>x</v>
      </c>
      <c r="R7082">
        <f>IF(P7082&gt;0,2*(1-2*$F$19-1/2)*D7077/1000,0)</f>
        <v>0</v>
      </c>
      <c r="S7082" t="str">
        <v>)</v>
      </c>
      <c r="T7082" t="str">
        <v>x</v>
      </c>
      <c r="U7082">
        <f>0.006165*F7082^2</f>
        <v>2.225565</v>
      </c>
      <c r="X7082" t="str">
        <v>x</v>
      </c>
      <c r="Y7082">
        <f>D7080</f>
        <v>1</v>
      </c>
      <c r="Z7082" t="str">
        <v>=</v>
      </c>
      <c r="AA7082">
        <f>IF(AA7084=0,(D7082*N7082+P7082*R7082)*U7082*Y7082,0)</f>
        <v>0</v>
      </c>
    </row>
    <row r="7083">
      <c r="A7083" t="str">
        <f>A7074</f>
        <v>Lantai 2</v>
      </c>
      <c r="B7083">
        <f>B7074</f>
        <v>41</v>
      </c>
      <c r="C7083" t="str">
        <v>Tul Atas Tumpuan</v>
      </c>
      <c r="D7083">
        <f>VLOOKUP(D7074,'Detail Balok'!$C$10:$AU$110,10,FALSE)</f>
        <v>5</v>
      </c>
      <c r="E7083" t="str">
        <v>D</v>
      </c>
      <c r="F7083">
        <f>VLOOKUP(D7074,'Detail Balok'!$C$10:$AU$110,12,FALSE)</f>
        <v>19</v>
      </c>
      <c r="I7083" t="str">
        <v>(</v>
      </c>
      <c r="J7083">
        <f>+D7076/4/1000</f>
        <v>0.5</v>
      </c>
      <c r="K7083" t="str">
        <v>+</v>
      </c>
      <c r="L7083">
        <f>MAX(VLOOKUP(F7083,N$6:P$15,3,FALSE)/1000,2/3*D7078/1000)+F$16*F7083/1000</f>
        <v>0.228</v>
      </c>
      <c r="M7083" t="str">
        <v>=</v>
      </c>
      <c r="N7083">
        <f>J7083+L7083</f>
        <v>0.728</v>
      </c>
      <c r="O7083" t="str">
        <v>+</v>
      </c>
      <c r="P7083">
        <f>D7083-D7082</f>
        <v>0</v>
      </c>
      <c r="Q7083" t="str">
        <v>x</v>
      </c>
      <c r="R7083">
        <f>IF(P7083&gt;0,$F$18*F7083/1000,0)</f>
        <v>0</v>
      </c>
      <c r="S7083" t="str">
        <v>)</v>
      </c>
      <c r="T7083" t="str">
        <v>x</v>
      </c>
      <c r="U7083">
        <f>0.006165*F7083^2</f>
        <v>2.225565</v>
      </c>
      <c r="X7083" t="str">
        <v>x</v>
      </c>
      <c r="Y7083">
        <f>D7080</f>
        <v>1</v>
      </c>
      <c r="Z7083" t="str">
        <v>=</v>
      </c>
      <c r="AA7083">
        <f>IF(AA7084=0,(D7083*N7083+P7083*R7083)*U7083*Y7083,0)</f>
        <v>0</v>
      </c>
    </row>
    <row r="7084">
      <c r="A7084" t="str">
        <f>A7074</f>
        <v>Lantai 2</v>
      </c>
      <c r="B7084">
        <f>B7074</f>
        <v>41</v>
      </c>
      <c r="D7084">
        <f>IF(AND(D7081=D7082,D7082=D7083,D7081=D7083),D7081,0)</f>
        <v>5</v>
      </c>
      <c r="E7084" t="str">
        <v>D</v>
      </c>
      <c r="F7084">
        <f>IF(AND(F7081=F7082,F7081=F7083,F7082=F7083),F7081,0)</f>
        <v>19</v>
      </c>
      <c r="L7084" t="str">
        <v>Total panjang per balok</v>
      </c>
      <c r="M7084" t="str">
        <v>=</v>
      </c>
      <c r="N7084">
        <f>IF(AND(D7081=D7082,D7081=D7083,D7082=D7083,F7081=F7082,F7081=F7083,F7082=F7083),SUM(N7081:N7083),0)</f>
        <v>2.456</v>
      </c>
      <c r="O7084" t="str">
        <v>+</v>
      </c>
      <c r="P7084">
        <f>IF(N7084&gt;12,ROUNDDOWN(N7084/12,0),0)</f>
        <v>0</v>
      </c>
      <c r="Q7084" t="str">
        <v>x</v>
      </c>
      <c r="R7084">
        <f>IF(P7084&gt;0,MAX(VLOOKUP(F7084,$D$6:$G$15,3,FALSE),600),0)/1000</f>
        <v>0</v>
      </c>
      <c r="T7084" t="str">
        <v>x</v>
      </c>
      <c r="U7084">
        <f>U7083</f>
        <v>2.225565</v>
      </c>
      <c r="V7084" t="str">
        <v>x</v>
      </c>
      <c r="W7084">
        <f>D7084</f>
        <v>5</v>
      </c>
      <c r="X7084" t="str">
        <v>x</v>
      </c>
      <c r="Y7084">
        <f>Y7083</f>
        <v>1</v>
      </c>
      <c r="Z7084" t="str">
        <v>=</v>
      </c>
      <c r="AA7084">
        <f>(N7084+P7084*R7084/1000)*U7084*W7084*Y7084</f>
        <v>27.3299382</v>
      </c>
    </row>
    <row r="7086">
      <c r="A7086" t="str">
        <f>A7074</f>
        <v>Lantai 2</v>
      </c>
      <c r="B7086">
        <f>B7074</f>
        <v>41</v>
      </c>
      <c r="C7086" t="str">
        <v>Tul Peminggang</v>
      </c>
      <c r="D7086">
        <f>VLOOKUP(D7074,'Detail Balok'!$C$10:$AU$110,13,FALSE)</f>
        <v>2</v>
      </c>
      <c r="E7086" t="str">
        <v>D</v>
      </c>
      <c r="F7086">
        <f>VLOOKUP(D7074,'Detail Balok'!$C$10:$AU$110,15,FALSE)</f>
        <v>10</v>
      </c>
      <c r="J7086">
        <f>+D7076/1000</f>
        <v>2</v>
      </c>
      <c r="K7086" t="str">
        <v>+</v>
      </c>
      <c r="L7086">
        <f>2*$F$16*F7086/1000</f>
        <v>0.24</v>
      </c>
      <c r="M7086" t="str">
        <v>=</v>
      </c>
      <c r="N7086">
        <f>J7086+L7086</f>
        <v>2.24</v>
      </c>
      <c r="O7086" t="str">
        <v>+</v>
      </c>
      <c r="P7086">
        <f>IF(N7086&gt;12,ROUNDDOWN(N7086/12,0),0)</f>
        <v>0</v>
      </c>
      <c r="Q7086" t="str">
        <v>x</v>
      </c>
      <c r="R7086">
        <f>IF(P7086&gt;0,MAX(VLOOKUP(F7086,$D$6:$G$15,3,FALSE),600),0)/1000</f>
        <v>0</v>
      </c>
      <c r="T7086" t="str">
        <v>x</v>
      </c>
      <c r="U7086">
        <f>0.006165*F7086^2</f>
        <v>0.6165</v>
      </c>
      <c r="V7086" t="str">
        <v>x</v>
      </c>
      <c r="W7086">
        <f>+D7086</f>
        <v>2</v>
      </c>
      <c r="X7086" t="str">
        <v>x</v>
      </c>
      <c r="Y7086">
        <f>D7080</f>
        <v>1</v>
      </c>
      <c r="Z7086" t="str">
        <v>=</v>
      </c>
      <c r="AA7086">
        <f>(N7086+P7086*R7086/1000)*U7086*W7086*Y7086</f>
        <v>2.7619200000000004</v>
      </c>
    </row>
    <row r="7089">
      <c r="A7089" t="str">
        <f>A7074</f>
        <v>Lantai 2</v>
      </c>
      <c r="B7089">
        <f>B7074</f>
        <v>41</v>
      </c>
      <c r="C7089" t="str">
        <v>Tul Bawah Tumpuan</v>
      </c>
      <c r="D7089">
        <f>VLOOKUP(D7074,'Detail Balok'!$C$10:$AU$110,22,FALSE)</f>
        <v>2</v>
      </c>
      <c r="E7089" t="str">
        <v>D</v>
      </c>
      <c r="F7089">
        <f>VLOOKUP(D7074,'Detail Balok'!$C$10:$AU$110,24,FALSE)</f>
        <v>19</v>
      </c>
      <c r="I7089" t="str">
        <v>(</v>
      </c>
      <c r="J7089">
        <f>+J7081</f>
        <v>0.5</v>
      </c>
      <c r="K7089" t="str">
        <v>+</v>
      </c>
      <c r="L7089">
        <f>MAX(VLOOKUP(F7089,N$6:P$15,3,FALSE)/1000,2/3*D7079/1000)+F$16*F7089/1000</f>
        <v>0.228</v>
      </c>
      <c r="M7089" t="str">
        <v>=</v>
      </c>
      <c r="N7089">
        <f>J7089+L7089</f>
        <v>0.728</v>
      </c>
      <c r="O7089" t="str">
        <v>+</v>
      </c>
      <c r="P7089">
        <f>D7089-D7090</f>
        <v>0</v>
      </c>
      <c r="Q7089" t="str">
        <v>x</v>
      </c>
      <c r="R7089">
        <f>IF(P7089&gt;0,$F$18*F7089/1000,0)</f>
        <v>0</v>
      </c>
      <c r="S7089" t="str">
        <v>)</v>
      </c>
      <c r="T7089" t="str">
        <v>x</v>
      </c>
      <c r="U7089">
        <f>0.006165*F7089^2</f>
        <v>2.225565</v>
      </c>
      <c r="X7089" t="str">
        <v>x</v>
      </c>
      <c r="Y7089">
        <f>D7080</f>
        <v>1</v>
      </c>
      <c r="Z7089" t="str">
        <v>=</v>
      </c>
      <c r="AA7089">
        <f>IF(AA7092=0,(D7089*N7089+P7089*R7089)*U7089*Y7089,0)</f>
        <v>0</v>
      </c>
    </row>
    <row r="7090">
      <c r="A7090" t="str">
        <f>A7074</f>
        <v>Lantai 2</v>
      </c>
      <c r="B7090">
        <f>B7074</f>
        <v>41</v>
      </c>
      <c r="C7090" t="str">
        <v>Tul Bawah Lapangan</v>
      </c>
      <c r="D7090">
        <f>VLOOKUP(D7074,'Detail Balok'!$C$10:$AU$110,25,FALSE)</f>
        <v>2</v>
      </c>
      <c r="E7090" t="str">
        <v>D</v>
      </c>
      <c r="F7090">
        <f>VLOOKUP(D7074,'Detail Balok'!$C$10:$AU$110,27,FALSE)</f>
        <v>19</v>
      </c>
      <c r="I7090" t="str">
        <v>(</v>
      </c>
      <c r="J7090">
        <f>+J7082</f>
        <v>1</v>
      </c>
      <c r="K7090" t="str">
        <v>+</v>
      </c>
      <c r="M7090" t="str">
        <v>=</v>
      </c>
      <c r="N7090">
        <f>J7090+L7090</f>
        <v>1</v>
      </c>
      <c r="O7090" t="str">
        <v>+</v>
      </c>
      <c r="P7090">
        <f>MAX(D7090-D7089,D7090-D7091)</f>
        <v>0</v>
      </c>
      <c r="Q7090" t="str">
        <v>x</v>
      </c>
      <c r="R7090">
        <f>IF(P7090&gt;0,2*(1-2*$F$19-1/2)*D7077/1000,0)</f>
        <v>0</v>
      </c>
      <c r="S7090" t="str">
        <v>)</v>
      </c>
      <c r="T7090" t="str">
        <v>x</v>
      </c>
      <c r="U7090">
        <f>0.006165*F7090^2</f>
        <v>2.225565</v>
      </c>
      <c r="X7090" t="str">
        <v>x</v>
      </c>
      <c r="Y7090">
        <f>D7080</f>
        <v>1</v>
      </c>
      <c r="Z7090" t="str">
        <v>=</v>
      </c>
      <c r="AA7090">
        <f>IF(AA7092=0,(D7090*N7090+P7090*R7090)*U7090*Y7090,0)</f>
        <v>0</v>
      </c>
    </row>
    <row r="7091">
      <c r="A7091" t="str">
        <f>A7074</f>
        <v>Lantai 2</v>
      </c>
      <c r="B7091">
        <f>B7074</f>
        <v>41</v>
      </c>
      <c r="C7091" t="str">
        <v>Tul Bawah Tumpuan</v>
      </c>
      <c r="D7091">
        <f>VLOOKUP(D7074,'Detail Balok'!$C$10:$AU$110,28,FALSE)</f>
        <v>2</v>
      </c>
      <c r="E7091" t="str">
        <v>D</v>
      </c>
      <c r="F7091">
        <f>VLOOKUP(D7074,'Detail Balok'!$C$10:$AU$110,30,FALSE)</f>
        <v>19</v>
      </c>
      <c r="I7091" t="str">
        <v>(</v>
      </c>
      <c r="J7091">
        <f>+J7083</f>
        <v>0.5</v>
      </c>
      <c r="K7091" t="str">
        <v>+</v>
      </c>
      <c r="L7091">
        <f>MAX(VLOOKUP(F7091,N$6:P$15,3,FALSE)/1000,2/3*D7079/1000)+F$16*F7091/1000</f>
        <v>0.228</v>
      </c>
      <c r="M7091" t="str">
        <v>=</v>
      </c>
      <c r="N7091">
        <f>J7091+L7091</f>
        <v>0.728</v>
      </c>
      <c r="O7091" t="str">
        <v>+</v>
      </c>
      <c r="P7091">
        <f>D7091-D7090</f>
        <v>0</v>
      </c>
      <c r="Q7091" t="str">
        <v>x</v>
      </c>
      <c r="R7091">
        <f>IF(P7091&gt;0,$F$18*F7091/1000,0)</f>
        <v>0</v>
      </c>
      <c r="S7091" t="str">
        <v>)</v>
      </c>
      <c r="T7091" t="str">
        <v>x</v>
      </c>
      <c r="U7091">
        <f>0.006165*F7091^2</f>
        <v>2.225565</v>
      </c>
      <c r="X7091" t="str">
        <v>x</v>
      </c>
      <c r="Y7091">
        <f>D7080</f>
        <v>1</v>
      </c>
      <c r="Z7091" t="str">
        <v>=</v>
      </c>
      <c r="AA7091">
        <f>IF(AA7092=0,(D7091*N7091+P7091*R7091)*U7091*Y7091,0)</f>
        <v>0</v>
      </c>
    </row>
    <row r="7092">
      <c r="A7092" t="str">
        <f>A7074</f>
        <v>Lantai 2</v>
      </c>
      <c r="B7092">
        <f>B7074</f>
        <v>41</v>
      </c>
      <c r="D7092">
        <f>IF(AND(D7089=D7090,D7090=D7091,D7089=D7091),D7089,0)</f>
        <v>2</v>
      </c>
      <c r="E7092" t="str">
        <v>D</v>
      </c>
      <c r="F7092">
        <f>IF(AND(F7089=F7090,F7089=F7091,F7090=F7091),F7089,0)</f>
        <v>19</v>
      </c>
      <c r="L7092" t="str">
        <v>Total panjang per balok</v>
      </c>
      <c r="M7092" t="str">
        <v>=</v>
      </c>
      <c r="N7092">
        <f>IF(AND(D7089=D7090,D7089=D7091,D7090=D7091,F7089=F7090,F7089=F7091,F7090=F7091),SUM(N7089:N7091),0)</f>
        <v>2.456</v>
      </c>
      <c r="O7092" t="str">
        <v>+</v>
      </c>
      <c r="P7092">
        <f>IF(N7092&gt;12,ROUNDDOWN(N7092/12,0),0)</f>
        <v>0</v>
      </c>
      <c r="Q7092" t="str">
        <v>x</v>
      </c>
      <c r="R7092">
        <f>IF(P7092&gt;0,MAX(VLOOKUP(F7092,$D$6:$G$15,3,FALSE),600),0)/1000</f>
        <v>0</v>
      </c>
      <c r="T7092" t="str">
        <v>x</v>
      </c>
      <c r="U7092">
        <f>U7091</f>
        <v>2.225565</v>
      </c>
      <c r="V7092" t="str">
        <v>x</v>
      </c>
      <c r="W7092">
        <f>D7092</f>
        <v>2</v>
      </c>
      <c r="X7092" t="str">
        <v>x</v>
      </c>
      <c r="Y7092">
        <f>Y7091</f>
        <v>1</v>
      </c>
      <c r="Z7092" t="str">
        <v>=</v>
      </c>
      <c r="AA7092">
        <f>(N7092+P7092*R7092/1000)*U7092*W7092*Y7092</f>
        <v>10.93197528</v>
      </c>
    </row>
    <row r="7094">
      <c r="A7094" t="str">
        <f>A7074</f>
        <v>Lantai 2</v>
      </c>
      <c r="B7094">
        <f>B7074</f>
        <v>41</v>
      </c>
      <c r="C7094" t="str">
        <v>Sengkang Tumpuan</v>
      </c>
      <c r="D7094">
        <f>VLOOKUP(D7074,'Detail Balok'!$C$10:$AU$110,31,FALSE)</f>
        <v>0</v>
      </c>
      <c r="E7094" t="str">
        <v>D</v>
      </c>
      <c r="F7094">
        <f>VLOOKUP(D7074,'Detail Balok'!$C$10:$AU$110,33,FALSE)</f>
        <v>10</v>
      </c>
      <c r="G7094" t="str">
        <v>-</v>
      </c>
      <c r="H7094">
        <f>VLOOKUP(D7074,'Detail Balok'!$C$10:$AU$110,35,FALSE)</f>
        <v>200</v>
      </c>
      <c r="J7094">
        <f>(IF(D7094=0,(2*(D7075+G7075))-(F$5*8),IF(D7094=3,(2*(D7075+G7075))-(F$5*8)+(G7075-2*F$5),IF(D7094=4,(2*(D7075+G7075))-(F$5*8)+2*(G7075-2*F$5)))))/1000</f>
        <v>1.28</v>
      </c>
      <c r="K7094" t="str">
        <v>+</v>
      </c>
      <c r="L7094">
        <f>IF(D7094=0,2*MAX(6*F7094,75),(D7094-1)*2*MAX(6*F7094,75))/1000</f>
        <v>0.15</v>
      </c>
      <c r="M7094" t="str">
        <v>=</v>
      </c>
      <c r="N7094">
        <f>J7094+L7094</f>
        <v>1.43</v>
      </c>
      <c r="T7094" t="str">
        <v>x</v>
      </c>
      <c r="U7094">
        <f>0.006165*F7094^2</f>
        <v>0.6165</v>
      </c>
      <c r="V7094" t="str">
        <v>x</v>
      </c>
      <c r="W7094">
        <f>IF(D7077&gt;4*G7075,ROUND(MAX(D7077/4,2*G7075)/H7094,0)+1,ROUND(D7077/H7094,0)+1)</f>
        <v>11</v>
      </c>
      <c r="X7094" t="str">
        <v>x</v>
      </c>
      <c r="Y7094">
        <f>D7080</f>
        <v>1</v>
      </c>
      <c r="Z7094" t="str">
        <v>=</v>
      </c>
      <c r="AA7094">
        <f>N7094*U7094*W7094*Y7094</f>
        <v>9.697545</v>
      </c>
    </row>
    <row r="7095">
      <c r="A7095" t="str">
        <f>A7074</f>
        <v>Lantai 2</v>
      </c>
      <c r="B7095">
        <f>B7074</f>
        <v>41</v>
      </c>
      <c r="C7095" t="str">
        <v>Sengkang Lapangan</v>
      </c>
      <c r="D7095">
        <f>VLOOKUP(D7074,'Detail Balok'!$C$10:$AU$110,36,FALSE)</f>
        <v>0</v>
      </c>
      <c r="E7095" t="str">
        <v>D</v>
      </c>
      <c r="F7095">
        <f>VLOOKUP(D7074,'Detail Balok'!$C$10:$AU$110,38,FALSE)</f>
        <v>10</v>
      </c>
      <c r="G7095" t="str">
        <v>-</v>
      </c>
      <c r="H7095">
        <f>VLOOKUP(D7074,'Detail Balok'!$C$10:$AU$110,40,FALSE)</f>
        <v>200</v>
      </c>
      <c r="J7095">
        <f>(IF(D7095=0,(2*(D7075+G7075))-(F$5*8),IF(D7095=3,(2*(D7075+G7075))-(F$5*8)+(G7075-2*F$5),IF(D7095=4,(2*(D7075+G7075))-(F$5*8)+2*(G7075-2*F$5)))))/1000</f>
        <v>1.28</v>
      </c>
      <c r="K7095" t="str">
        <v>+</v>
      </c>
      <c r="L7095">
        <f>IF(D7095=0,2*MAX(6*F7095,75),(D7095-1)*2*MAX(6*F7095,75))/1000</f>
        <v>0.15</v>
      </c>
      <c r="M7095" t="str">
        <v>=</v>
      </c>
      <c r="N7095">
        <f>J7095+L7095</f>
        <v>1.43</v>
      </c>
      <c r="T7095" t="str">
        <v>x</v>
      </c>
      <c r="U7095">
        <f>0.006165*F7095^2</f>
        <v>0.6165</v>
      </c>
      <c r="V7095" t="str">
        <v>x</v>
      </c>
      <c r="W7095">
        <f>IF(D7077-MAX(D7077/4,2*G7075)*2&gt;0,ROUND((D7077-MAX(D7077/4,2*G7075)*2)/H7095,0),0)</f>
        <v>0</v>
      </c>
      <c r="X7095" t="str">
        <v>x</v>
      </c>
      <c r="Y7095">
        <f>D7080</f>
        <v>1</v>
      </c>
      <c r="Z7095" t="str">
        <v>=</v>
      </c>
      <c r="AA7095">
        <f>N7095*U7095*W7095*Y7095</f>
        <v>0</v>
      </c>
    </row>
    <row r="7096">
      <c r="A7096" t="str">
        <f>A7074</f>
        <v>Lantai 2</v>
      </c>
      <c r="B7096">
        <f>B7074</f>
        <v>41</v>
      </c>
      <c r="C7096" t="str">
        <v>Sengkang Tumpuan</v>
      </c>
      <c r="D7096">
        <f>VLOOKUP(D7074,'Detail Balok'!$C$10:$AU$110,41,FALSE)</f>
        <v>0</v>
      </c>
      <c r="E7096" t="str">
        <v>D</v>
      </c>
      <c r="F7096">
        <f>VLOOKUP(D7074,'Detail Balok'!$C$10:$AU$110,43,FALSE)</f>
        <v>10</v>
      </c>
      <c r="G7096" t="str">
        <v>-</v>
      </c>
      <c r="H7096">
        <f>VLOOKUP(D7074,'Detail Balok'!$C$10:$AU$110,45,FALSE)</f>
        <v>200</v>
      </c>
      <c r="J7096">
        <f>(IF(D7096=0,(2*(D7075+G7075))-(F$5*8),IF(D7096=3,(2*(D7075+G7075))-(F$5*8)+(G7075-2*F$5),IF(D7096=4,(2*(D7075+G7075))-(F$5*8)+2*(G7075-2*F$5)))))/1000</f>
        <v>1.28</v>
      </c>
      <c r="K7096" t="str">
        <v>+</v>
      </c>
      <c r="L7096">
        <f>IF(D7096=0,2*MAX(6*F7096,75),(D7096-1)*2*MAX(6*F7096,75))/1000</f>
        <v>0.15</v>
      </c>
      <c r="M7096" t="str">
        <v>=</v>
      </c>
      <c r="N7096">
        <f>J7096+L7096</f>
        <v>1.43</v>
      </c>
      <c r="T7096" t="str">
        <v>x</v>
      </c>
      <c r="U7096">
        <f>0.006165*F7096^2</f>
        <v>0.6165</v>
      </c>
      <c r="V7096" t="str">
        <v>x</v>
      </c>
      <c r="W7096">
        <f>IF(D7077&gt;4*G7075,ROUND(MAX(D7077/4,2*G7075)/H7096,0)+1,0)</f>
        <v>0</v>
      </c>
      <c r="X7096" t="str">
        <v>x</v>
      </c>
      <c r="Y7096">
        <f>D7080</f>
        <v>1</v>
      </c>
      <c r="Z7096" t="str">
        <v>=</v>
      </c>
      <c r="AA7096">
        <f>N7096*U7096*W7096*Y7096</f>
        <v>0</v>
      </c>
    </row>
    <row r="7098">
      <c r="A7098" t="str">
        <f>A7074</f>
        <v>Lantai 2</v>
      </c>
      <c r="B7098">
        <f>B7074</f>
        <v>41</v>
      </c>
      <c r="C7098" t="str">
        <v>Kait Horizontal Tump.</v>
      </c>
      <c r="D7098">
        <f>VLOOKUP(D7074,'Detail Balok'!$C$10:$BJ$110,46,FALSE)</f>
        <v>0</v>
      </c>
      <c r="E7098" t="str">
        <v>D</v>
      </c>
      <c r="F7098">
        <f>VLOOKUP(D7074,'Detail Balok'!$C$10:$BJ$110,48,FALSE)</f>
        <v>0</v>
      </c>
      <c r="G7098" t="str">
        <v>-</v>
      </c>
      <c r="H7098">
        <f>VLOOKUP(D7074,'Detail Balok'!$C$10:$BJ$110,50,FALSE)</f>
        <v>100</v>
      </c>
      <c r="J7098">
        <f>(D7075-2*F$5)/1000</f>
        <v>0.12</v>
      </c>
      <c r="K7098" t="str">
        <v>+</v>
      </c>
      <c r="L7098">
        <f>IF(D7098=0,2*MAX(6*F7098,75),(D7098-1)*2*MAX(6*F7098,75))/1000</f>
        <v>0.15</v>
      </c>
      <c r="M7098" t="str">
        <v>=</v>
      </c>
      <c r="N7098">
        <f>J7098+L7098</f>
        <v>0.27</v>
      </c>
      <c r="T7098" t="str">
        <v>x</v>
      </c>
      <c r="U7098">
        <f>0.006165*F7098^2</f>
        <v>0</v>
      </c>
      <c r="V7098" t="str">
        <v>x</v>
      </c>
      <c r="W7098">
        <f>W7094</f>
        <v>11</v>
      </c>
      <c r="X7098" t="str">
        <v>x</v>
      </c>
      <c r="Y7098">
        <f>D7084</f>
        <v>5</v>
      </c>
      <c r="Z7098" t="str">
        <v>=</v>
      </c>
      <c r="AA7098">
        <f>N7098*U7098*W7098*Y7098</f>
        <v>0</v>
      </c>
    </row>
    <row r="7099">
      <c r="A7099" t="str">
        <f>A7074</f>
        <v>Lantai 2</v>
      </c>
      <c r="B7099">
        <f>B7074</f>
        <v>41</v>
      </c>
      <c r="C7099" t="str">
        <v>Kait Horizontal Lap.</v>
      </c>
      <c r="D7099">
        <f>VLOOKUP(D7074,'Detail Balok'!$C$10:$BJ$110,51,FALSE)</f>
        <v>0</v>
      </c>
      <c r="E7099" t="str">
        <v>D</v>
      </c>
      <c r="F7099">
        <f>VLOOKUP(D7074,'Detail Balok'!$C$10:$BJ$110,53,FALSE)</f>
        <v>0</v>
      </c>
      <c r="G7099" t="str">
        <v>-</v>
      </c>
      <c r="H7099">
        <f>VLOOKUP(D7074,'Detail Balok'!$C$10:$BJ$110,55,FALSE)</f>
        <v>100</v>
      </c>
      <c r="J7099">
        <f>(D7075-2*F$5)/1000</f>
        <v>0.12</v>
      </c>
      <c r="K7099" t="str">
        <v>+</v>
      </c>
      <c r="L7099">
        <f>IF(D7099=0,2*MAX(6*F7099,75),(D7099-1)*2*MAX(6*F7099,75))/1000</f>
        <v>0.15</v>
      </c>
      <c r="M7099" t="str">
        <v>=</v>
      </c>
      <c r="N7099">
        <f>J7099+L7099</f>
        <v>0.27</v>
      </c>
      <c r="T7099" t="str">
        <v>x</v>
      </c>
      <c r="U7099">
        <f>0.006165*F7099^2</f>
        <v>0</v>
      </c>
      <c r="V7099" t="str">
        <v>x</v>
      </c>
      <c r="W7099">
        <f>W7095</f>
        <v>0</v>
      </c>
      <c r="X7099" t="str">
        <v>x</v>
      </c>
      <c r="Y7099">
        <f>D7084</f>
        <v>5</v>
      </c>
      <c r="Z7099" t="str">
        <v>=</v>
      </c>
      <c r="AA7099">
        <f>N7099*U7099*W7099*Y7099</f>
        <v>0</v>
      </c>
    </row>
    <row r="7100">
      <c r="A7100" t="str">
        <f>A7074</f>
        <v>Lantai 2</v>
      </c>
      <c r="B7100">
        <f>B7074</f>
        <v>41</v>
      </c>
      <c r="C7100" t="str">
        <v>Kait Horizontal Tump.</v>
      </c>
      <c r="D7100">
        <f>VLOOKUP(D7074,'Detail Balok'!$C$10:$BJ$110,56,FALSE)</f>
        <v>0</v>
      </c>
      <c r="E7100" t="str">
        <v>D</v>
      </c>
      <c r="F7100">
        <f>VLOOKUP(D7074,'Detail Balok'!$C$10:$BJ$110,58,FALSE)</f>
        <v>0</v>
      </c>
      <c r="G7100" t="str">
        <v>-</v>
      </c>
      <c r="H7100">
        <f>VLOOKUP(D7074,'Detail Balok'!$C$10:$BJ$110,60,FALSE)</f>
        <v>100</v>
      </c>
      <c r="J7100">
        <f>(D7075-2*F$5)/1000</f>
        <v>0.12</v>
      </c>
      <c r="K7100" t="str">
        <v>+</v>
      </c>
      <c r="L7100">
        <f>IF(D7100=0,2*MAX(6*F7100,75),(D7100-1)*2*MAX(6*F7100,75))/1000</f>
        <v>0.15</v>
      </c>
      <c r="M7100" t="str">
        <v>=</v>
      </c>
      <c r="N7100">
        <f>J7100+L7100</f>
        <v>0.27</v>
      </c>
      <c r="T7100" t="str">
        <v>x</v>
      </c>
      <c r="U7100">
        <f>0.006165*F7100^2</f>
        <v>0</v>
      </c>
      <c r="V7100" t="str">
        <v>x</v>
      </c>
      <c r="W7100">
        <f>W7096</f>
        <v>0</v>
      </c>
      <c r="X7100" t="str">
        <v>x</v>
      </c>
      <c r="Y7100">
        <f>D7084</f>
        <v>5</v>
      </c>
      <c r="Z7100" t="str">
        <v>=</v>
      </c>
      <c r="AA7100">
        <f>N7100*U7100*W7100*Y7100</f>
        <v>0</v>
      </c>
    </row>
    <row r="7104">
      <c r="A7104" t="str">
        <f>A7074</f>
        <v>Lantai 2</v>
      </c>
      <c r="B7104">
        <f>B7074+1</f>
        <v>42</v>
      </c>
      <c r="C7104" t="str">
        <f>CONCATENATE(A7104," no. ",B7104)</f>
        <v>Lantai 2 no. 42</v>
      </c>
      <c r="D7104" t="str">
        <f>VLOOKUP(C7104,'Data Panjang Balok'!$C$9:$N$424,2,FALSE)</f>
        <v>B25-1</v>
      </c>
    </row>
    <row r="7105">
      <c r="C7105" t="str">
        <v>Dimensi</v>
      </c>
      <c r="D7105">
        <f>VLOOKUP(D7104,'Detail Balok'!$C$10:$AU$110,2,FALSE)</f>
        <v>200</v>
      </c>
      <c r="F7105" t="str">
        <v>x</v>
      </c>
      <c r="G7105">
        <f>VLOOKUP(D7104,'Detail Balok'!$C$10:$AU$110,3,FALSE)</f>
        <v>500</v>
      </c>
    </row>
    <row r="7106">
      <c r="C7106" t="str">
        <v>Panjang as ke as</v>
      </c>
      <c r="D7106">
        <f>VLOOKUP(C7104,'Data Panjang Balok'!$C$9:$N$424,4,FALSE)</f>
        <v>2700</v>
      </c>
    </row>
    <row r="7107">
      <c r="C7107" t="str">
        <v>Panjang netto</v>
      </c>
      <c r="D7107">
        <f>VLOOKUP(C7104,'Data Panjang Balok'!$C$9:$N$424,7,FALSE)</f>
        <v>2700</v>
      </c>
    </row>
    <row r="7108">
      <c r="C7108" t="str">
        <v>Kolom / balok kiri</v>
      </c>
      <c r="D7108">
        <f>VLOOKUP(C7104,'Data Panjang Balok'!$C$9:$N$424,9,FALSE)</f>
        <v>0</v>
      </c>
    </row>
    <row r="7109">
      <c r="C7109" t="str">
        <v>Kolom / balok kanan</v>
      </c>
      <c r="D7109">
        <f>VLOOKUP(C7104,'Data Panjang Balok'!$C$9:$N$424,10,FALSE)</f>
        <v>0</v>
      </c>
    </row>
    <row r="7110">
      <c r="C7110" t="str">
        <v>Jumlah</v>
      </c>
      <c r="D7110">
        <f>VLOOKUP(C7104,'Data Panjang Balok'!$C$9:$N$424,3,FALSE)</f>
        <v>1</v>
      </c>
    </row>
    <row r="7111">
      <c r="A7111" t="str">
        <f>A7104</f>
        <v>Lantai 2</v>
      </c>
      <c r="B7111">
        <f>B7104</f>
        <v>42</v>
      </c>
      <c r="C7111" t="str">
        <v>Tul Atas Tumpuan</v>
      </c>
      <c r="D7111">
        <f>VLOOKUP(D7104,'Detail Balok'!$C$10:$AU$110,4,FALSE)</f>
        <v>2</v>
      </c>
      <c r="E7111" t="str">
        <v>D</v>
      </c>
      <c r="F7111">
        <f>VLOOKUP(D7104,'Detail Balok'!$C$10:$AU$110,6,FALSE)</f>
        <v>16</v>
      </c>
      <c r="I7111" t="str">
        <v>(</v>
      </c>
      <c r="J7111">
        <f>+D7106/4/1000</f>
        <v>0.675</v>
      </c>
      <c r="K7111" t="str">
        <v>+</v>
      </c>
      <c r="L7111">
        <f>MAX(VLOOKUP(F7111,N$6:P$15,3,FALSE)/1000,2/3*D7108/1000)+F$16*F7111/1000</f>
        <v>0.192</v>
      </c>
      <c r="M7111" t="str">
        <v>=</v>
      </c>
      <c r="N7111">
        <f>J7111+L7111</f>
        <v>0.867</v>
      </c>
      <c r="O7111" t="str">
        <v>+</v>
      </c>
      <c r="P7111">
        <f>D7111-D7112</f>
        <v>0</v>
      </c>
      <c r="Q7111" t="str">
        <v>x</v>
      </c>
      <c r="R7111">
        <f>IF(P7111&gt;0,$F$18*F7111/1000,0)</f>
        <v>0</v>
      </c>
      <c r="S7111" t="str">
        <v>)</v>
      </c>
      <c r="T7111" t="str">
        <v>x</v>
      </c>
      <c r="U7111">
        <f>0.006165*F7111^2</f>
        <v>1.57824</v>
      </c>
      <c r="X7111" t="str">
        <v>x</v>
      </c>
      <c r="Y7111">
        <f>D7110</f>
        <v>1</v>
      </c>
      <c r="Z7111" t="str">
        <v>=</v>
      </c>
      <c r="AA7111">
        <f>IF(AA7114=0,(D7111*N7111+P7111*R7111)*U7111*Y7111,0)</f>
        <v>0</v>
      </c>
    </row>
    <row r="7112">
      <c r="A7112" t="str">
        <f>A7104</f>
        <v>Lantai 2</v>
      </c>
      <c r="B7112">
        <f>B7104</f>
        <v>42</v>
      </c>
      <c r="C7112" t="str">
        <v>Tul Atas Lapangan</v>
      </c>
      <c r="D7112">
        <f>VLOOKUP(D7104,'Detail Balok'!$C$10:$AU$110,7,FALSE)</f>
        <v>2</v>
      </c>
      <c r="E7112" t="str">
        <v>D</v>
      </c>
      <c r="F7112">
        <f>VLOOKUP(D7104,'Detail Balok'!$C$10:$AU$110,9,FALSE)</f>
        <v>16</v>
      </c>
      <c r="I7112" t="str">
        <v>(</v>
      </c>
      <c r="J7112">
        <f>+D7106/2/1000</f>
        <v>1.35</v>
      </c>
      <c r="K7112" t="str">
        <v>+</v>
      </c>
      <c r="M7112" t="str">
        <v>=</v>
      </c>
      <c r="N7112">
        <f>J7112+L7112</f>
        <v>1.35</v>
      </c>
      <c r="O7112" t="str">
        <v>+</v>
      </c>
      <c r="P7112">
        <f>MAX(D7112-D7111,D7112-D7113)</f>
        <v>0</v>
      </c>
      <c r="Q7112" t="str">
        <v>x</v>
      </c>
      <c r="R7112">
        <f>IF(P7112&gt;0,2*(1-2*$F$19-1/2)*D7107/1000,0)</f>
        <v>0</v>
      </c>
      <c r="S7112" t="str">
        <v>)</v>
      </c>
      <c r="T7112" t="str">
        <v>x</v>
      </c>
      <c r="U7112">
        <f>0.006165*F7112^2</f>
        <v>1.57824</v>
      </c>
      <c r="X7112" t="str">
        <v>x</v>
      </c>
      <c r="Y7112">
        <f>D7110</f>
        <v>1</v>
      </c>
      <c r="Z7112" t="str">
        <v>=</v>
      </c>
      <c r="AA7112">
        <f>IF(AA7114=0,(D7112*N7112+P7112*R7112)*U7112*Y7112,0)</f>
        <v>0</v>
      </c>
    </row>
    <row r="7113">
      <c r="A7113" t="str">
        <f>A7104</f>
        <v>Lantai 2</v>
      </c>
      <c r="B7113">
        <f>B7104</f>
        <v>42</v>
      </c>
      <c r="C7113" t="str">
        <v>Tul Atas Tumpuan</v>
      </c>
      <c r="D7113">
        <f>VLOOKUP(D7104,'Detail Balok'!$C$10:$AU$110,10,FALSE)</f>
        <v>2</v>
      </c>
      <c r="E7113" t="str">
        <v>D</v>
      </c>
      <c r="F7113">
        <f>VLOOKUP(D7104,'Detail Balok'!$C$10:$AU$110,12,FALSE)</f>
        <v>16</v>
      </c>
      <c r="I7113" t="str">
        <v>(</v>
      </c>
      <c r="J7113">
        <f>+D7106/4/1000</f>
        <v>0.675</v>
      </c>
      <c r="K7113" t="str">
        <v>+</v>
      </c>
      <c r="L7113">
        <f>MAX(VLOOKUP(F7113,N$6:P$15,3,FALSE)/1000,2/3*D7108/1000)+F$16*F7113/1000</f>
        <v>0.192</v>
      </c>
      <c r="M7113" t="str">
        <v>=</v>
      </c>
      <c r="N7113">
        <f>J7113+L7113</f>
        <v>0.867</v>
      </c>
      <c r="O7113" t="str">
        <v>+</v>
      </c>
      <c r="P7113">
        <f>D7113-D7112</f>
        <v>0</v>
      </c>
      <c r="Q7113" t="str">
        <v>x</v>
      </c>
      <c r="R7113">
        <f>IF(P7113&gt;0,$F$18*F7113/1000,0)</f>
        <v>0</v>
      </c>
      <c r="S7113" t="str">
        <v>)</v>
      </c>
      <c r="T7113" t="str">
        <v>x</v>
      </c>
      <c r="U7113">
        <f>0.006165*F7113^2</f>
        <v>1.57824</v>
      </c>
      <c r="X7113" t="str">
        <v>x</v>
      </c>
      <c r="Y7113">
        <f>D7110</f>
        <v>1</v>
      </c>
      <c r="Z7113" t="str">
        <v>=</v>
      </c>
      <c r="AA7113">
        <f>IF(AA7114=0,(D7113*N7113+P7113*R7113)*U7113*Y7113,0)</f>
        <v>0</v>
      </c>
    </row>
    <row r="7114">
      <c r="A7114" t="str">
        <f>A7104</f>
        <v>Lantai 2</v>
      </c>
      <c r="B7114">
        <f>B7104</f>
        <v>42</v>
      </c>
      <c r="D7114">
        <f>IF(AND(D7111=D7112,D7112=D7113,D7111=D7113),D7111,0)</f>
        <v>2</v>
      </c>
      <c r="E7114" t="str">
        <v>D</v>
      </c>
      <c r="F7114">
        <f>IF(AND(F7111=F7112,F7111=F7113,F7112=F7113),F7111,0)</f>
        <v>16</v>
      </c>
      <c r="L7114" t="str">
        <v>Total panjang per balok</v>
      </c>
      <c r="M7114" t="str">
        <v>=</v>
      </c>
      <c r="N7114">
        <f>IF(AND(D7111=D7112,D7111=D7113,D7112=D7113,F7111=F7112,F7111=F7113,F7112=F7113),SUM(N7111:N7113),0)</f>
        <v>3.084</v>
      </c>
      <c r="O7114" t="str">
        <v>+</v>
      </c>
      <c r="P7114">
        <f>IF(N7114&gt;12,ROUNDDOWN(N7114/12,0),0)</f>
        <v>0</v>
      </c>
      <c r="Q7114" t="str">
        <v>x</v>
      </c>
      <c r="R7114">
        <f>IF(P7114&gt;0,MAX(VLOOKUP(F7114,$D$6:$G$15,3,FALSE),600),0)/1000</f>
        <v>0</v>
      </c>
      <c r="T7114" t="str">
        <v>x</v>
      </c>
      <c r="U7114">
        <f>U7113</f>
        <v>1.57824</v>
      </c>
      <c r="V7114" t="str">
        <v>x</v>
      </c>
      <c r="W7114">
        <f>D7114</f>
        <v>2</v>
      </c>
      <c r="X7114" t="str">
        <v>x</v>
      </c>
      <c r="Y7114">
        <f>Y7113</f>
        <v>1</v>
      </c>
      <c r="Z7114" t="str">
        <v>=</v>
      </c>
      <c r="AA7114">
        <f>(N7114+P7114*R7114/1000)*U7114*W7114*Y7114</f>
        <v>9.734584320000002</v>
      </c>
    </row>
    <row r="7116">
      <c r="A7116" t="str">
        <f>A7104</f>
        <v>Lantai 2</v>
      </c>
      <c r="B7116">
        <f>B7104</f>
        <v>42</v>
      </c>
      <c r="C7116" t="str">
        <v>Tul Peminggang</v>
      </c>
      <c r="D7116">
        <f>VLOOKUP(D7104,'Detail Balok'!$C$10:$AU$110,13,FALSE)</f>
        <v>2</v>
      </c>
      <c r="E7116" t="str">
        <v>D</v>
      </c>
      <c r="F7116">
        <f>VLOOKUP(D7104,'Detail Balok'!$C$10:$AU$110,15,FALSE)</f>
        <v>10</v>
      </c>
      <c r="J7116">
        <f>+D7106/1000</f>
        <v>2.7</v>
      </c>
      <c r="K7116" t="str">
        <v>+</v>
      </c>
      <c r="L7116">
        <f>2*$F$16*F7116/1000</f>
        <v>0.24</v>
      </c>
      <c r="M7116" t="str">
        <v>=</v>
      </c>
      <c r="N7116">
        <f>J7116+L7116</f>
        <v>2.9400000000000004</v>
      </c>
      <c r="O7116" t="str">
        <v>+</v>
      </c>
      <c r="P7116">
        <f>IF(N7116&gt;12,ROUNDDOWN(N7116/12,0),0)</f>
        <v>0</v>
      </c>
      <c r="Q7116" t="str">
        <v>x</v>
      </c>
      <c r="R7116">
        <f>IF(P7116&gt;0,MAX(VLOOKUP(F7116,$D$6:$G$15,3,FALSE),600),0)/1000</f>
        <v>0</v>
      </c>
      <c r="T7116" t="str">
        <v>x</v>
      </c>
      <c r="U7116">
        <f>0.006165*F7116^2</f>
        <v>0.6165</v>
      </c>
      <c r="V7116" t="str">
        <v>x</v>
      </c>
      <c r="W7116">
        <f>+D7116</f>
        <v>2</v>
      </c>
      <c r="X7116" t="str">
        <v>x</v>
      </c>
      <c r="Y7116">
        <f>D7110</f>
        <v>1</v>
      </c>
      <c r="Z7116" t="str">
        <v>=</v>
      </c>
      <c r="AA7116">
        <f>(N7116+P7116*R7116/1000)*U7116*W7116*Y7116</f>
        <v>3.6250200000000006</v>
      </c>
    </row>
    <row r="7119">
      <c r="A7119" t="str">
        <f>A7104</f>
        <v>Lantai 2</v>
      </c>
      <c r="B7119">
        <f>B7104</f>
        <v>42</v>
      </c>
      <c r="C7119" t="str">
        <v>Tul Bawah Tumpuan</v>
      </c>
      <c r="D7119">
        <f>VLOOKUP(D7104,'Detail Balok'!$C$10:$AU$110,22,FALSE)</f>
        <v>2</v>
      </c>
      <c r="E7119" t="str">
        <v>D</v>
      </c>
      <c r="F7119">
        <f>VLOOKUP(D7104,'Detail Balok'!$C$10:$AU$110,24,FALSE)</f>
        <v>16</v>
      </c>
      <c r="I7119" t="str">
        <v>(</v>
      </c>
      <c r="J7119">
        <f>+J7111</f>
        <v>0.675</v>
      </c>
      <c r="K7119" t="str">
        <v>+</v>
      </c>
      <c r="L7119">
        <f>MAX(VLOOKUP(F7119,N$6:P$15,3,FALSE)/1000,2/3*D7109/1000)+F$16*F7119/1000</f>
        <v>0.192</v>
      </c>
      <c r="M7119" t="str">
        <v>=</v>
      </c>
      <c r="N7119">
        <f>J7119+L7119</f>
        <v>0.867</v>
      </c>
      <c r="O7119" t="str">
        <v>+</v>
      </c>
      <c r="P7119">
        <f>D7119-D7120</f>
        <v>0</v>
      </c>
      <c r="Q7119" t="str">
        <v>x</v>
      </c>
      <c r="R7119">
        <f>IF(P7119&gt;0,$F$18*F7119/1000,0)</f>
        <v>0</v>
      </c>
      <c r="S7119" t="str">
        <v>)</v>
      </c>
      <c r="T7119" t="str">
        <v>x</v>
      </c>
      <c r="U7119">
        <f>0.006165*F7119^2</f>
        <v>1.57824</v>
      </c>
      <c r="X7119" t="str">
        <v>x</v>
      </c>
      <c r="Y7119">
        <f>D7110</f>
        <v>1</v>
      </c>
      <c r="Z7119" t="str">
        <v>=</v>
      </c>
      <c r="AA7119">
        <f>IF(AA7122=0,(D7119*N7119+P7119*R7119)*U7119*Y7119,0)</f>
        <v>0</v>
      </c>
    </row>
    <row r="7120">
      <c r="A7120" t="str">
        <f>A7104</f>
        <v>Lantai 2</v>
      </c>
      <c r="B7120">
        <f>B7104</f>
        <v>42</v>
      </c>
      <c r="C7120" t="str">
        <v>Tul Bawah Lapangan</v>
      </c>
      <c r="D7120">
        <f>VLOOKUP(D7104,'Detail Balok'!$C$10:$AU$110,25,FALSE)</f>
        <v>2</v>
      </c>
      <c r="E7120" t="str">
        <v>D</v>
      </c>
      <c r="F7120">
        <f>VLOOKUP(D7104,'Detail Balok'!$C$10:$AU$110,27,FALSE)</f>
        <v>16</v>
      </c>
      <c r="I7120" t="str">
        <v>(</v>
      </c>
      <c r="J7120">
        <f>+J7112</f>
        <v>1.35</v>
      </c>
      <c r="K7120" t="str">
        <v>+</v>
      </c>
      <c r="M7120" t="str">
        <v>=</v>
      </c>
      <c r="N7120">
        <f>J7120+L7120</f>
        <v>1.35</v>
      </c>
      <c r="O7120" t="str">
        <v>+</v>
      </c>
      <c r="P7120">
        <f>MAX(D7120-D7119,D7120-D7121)</f>
        <v>0</v>
      </c>
      <c r="Q7120" t="str">
        <v>x</v>
      </c>
      <c r="R7120">
        <f>IF(P7120&gt;0,2*(1-2*$F$19-1/2)*D7107/1000,0)</f>
        <v>0</v>
      </c>
      <c r="S7120" t="str">
        <v>)</v>
      </c>
      <c r="T7120" t="str">
        <v>x</v>
      </c>
      <c r="U7120">
        <f>0.006165*F7120^2</f>
        <v>1.57824</v>
      </c>
      <c r="X7120" t="str">
        <v>x</v>
      </c>
      <c r="Y7120">
        <f>D7110</f>
        <v>1</v>
      </c>
      <c r="Z7120" t="str">
        <v>=</v>
      </c>
      <c r="AA7120">
        <f>IF(AA7122=0,(D7120*N7120+P7120*R7120)*U7120*Y7120,0)</f>
        <v>0</v>
      </c>
    </row>
    <row r="7121">
      <c r="A7121" t="str">
        <f>A7104</f>
        <v>Lantai 2</v>
      </c>
      <c r="B7121">
        <f>B7104</f>
        <v>42</v>
      </c>
      <c r="C7121" t="str">
        <v>Tul Bawah Tumpuan</v>
      </c>
      <c r="D7121">
        <f>VLOOKUP(D7104,'Detail Balok'!$C$10:$AU$110,28,FALSE)</f>
        <v>2</v>
      </c>
      <c r="E7121" t="str">
        <v>D</v>
      </c>
      <c r="F7121">
        <f>VLOOKUP(D7104,'Detail Balok'!$C$10:$AU$110,30,FALSE)</f>
        <v>16</v>
      </c>
      <c r="I7121" t="str">
        <v>(</v>
      </c>
      <c r="J7121">
        <f>+J7113</f>
        <v>0.675</v>
      </c>
      <c r="K7121" t="str">
        <v>+</v>
      </c>
      <c r="L7121">
        <f>MAX(VLOOKUP(F7121,N$6:P$15,3,FALSE)/1000,2/3*D7109/1000)+F$16*F7121/1000</f>
        <v>0.192</v>
      </c>
      <c r="M7121" t="str">
        <v>=</v>
      </c>
      <c r="N7121">
        <f>J7121+L7121</f>
        <v>0.867</v>
      </c>
      <c r="O7121" t="str">
        <v>+</v>
      </c>
      <c r="P7121">
        <f>D7121-D7120</f>
        <v>0</v>
      </c>
      <c r="Q7121" t="str">
        <v>x</v>
      </c>
      <c r="R7121">
        <f>IF(P7121&gt;0,$F$18*F7121/1000,0)</f>
        <v>0</v>
      </c>
      <c r="S7121" t="str">
        <v>)</v>
      </c>
      <c r="T7121" t="str">
        <v>x</v>
      </c>
      <c r="U7121">
        <f>0.006165*F7121^2</f>
        <v>1.57824</v>
      </c>
      <c r="X7121" t="str">
        <v>x</v>
      </c>
      <c r="Y7121">
        <f>D7110</f>
        <v>1</v>
      </c>
      <c r="Z7121" t="str">
        <v>=</v>
      </c>
      <c r="AA7121">
        <f>IF(AA7122=0,(D7121*N7121+P7121*R7121)*U7121*Y7121,0)</f>
        <v>0</v>
      </c>
    </row>
    <row r="7122">
      <c r="A7122" t="str">
        <f>A7104</f>
        <v>Lantai 2</v>
      </c>
      <c r="B7122">
        <f>B7104</f>
        <v>42</v>
      </c>
      <c r="D7122">
        <f>IF(AND(D7119=D7120,D7120=D7121,D7119=D7121),D7119,0)</f>
        <v>2</v>
      </c>
      <c r="E7122" t="str">
        <v>D</v>
      </c>
      <c r="F7122">
        <f>IF(AND(F7119=F7120,F7119=F7121,F7120=F7121),F7119,0)</f>
        <v>16</v>
      </c>
      <c r="L7122" t="str">
        <v>Total panjang per balok</v>
      </c>
      <c r="M7122" t="str">
        <v>=</v>
      </c>
      <c r="N7122">
        <f>IF(AND(D7119=D7120,D7119=D7121,D7120=D7121,F7119=F7120,F7119=F7121,F7120=F7121),SUM(N7119:N7121),0)</f>
        <v>3.084</v>
      </c>
      <c r="O7122" t="str">
        <v>+</v>
      </c>
      <c r="P7122">
        <f>IF(N7122&gt;12,ROUNDDOWN(N7122/12,0),0)</f>
        <v>0</v>
      </c>
      <c r="Q7122" t="str">
        <v>x</v>
      </c>
      <c r="R7122">
        <f>IF(P7122&gt;0,MAX(VLOOKUP(F7122,$D$6:$G$15,3,FALSE),600),0)/1000</f>
        <v>0</v>
      </c>
      <c r="T7122" t="str">
        <v>x</v>
      </c>
      <c r="U7122">
        <f>U7121</f>
        <v>1.57824</v>
      </c>
      <c r="V7122" t="str">
        <v>x</v>
      </c>
      <c r="W7122">
        <f>D7122</f>
        <v>2</v>
      </c>
      <c r="X7122" t="str">
        <v>x</v>
      </c>
      <c r="Y7122">
        <f>Y7121</f>
        <v>1</v>
      </c>
      <c r="Z7122" t="str">
        <v>=</v>
      </c>
      <c r="AA7122">
        <f>(N7122+P7122*R7122/1000)*U7122*W7122*Y7122</f>
        <v>9.734584320000002</v>
      </c>
    </row>
    <row r="7124">
      <c r="A7124" t="str">
        <f>A7104</f>
        <v>Lantai 2</v>
      </c>
      <c r="B7124">
        <f>B7104</f>
        <v>42</v>
      </c>
      <c r="C7124" t="str">
        <v>Sengkang Tumpuan</v>
      </c>
      <c r="D7124">
        <f>VLOOKUP(D7104,'Detail Balok'!$C$10:$AU$110,31,FALSE)</f>
        <v>0</v>
      </c>
      <c r="E7124" t="str">
        <v>D</v>
      </c>
      <c r="F7124">
        <f>VLOOKUP(D7104,'Detail Balok'!$C$10:$AU$110,33,FALSE)</f>
        <v>10</v>
      </c>
      <c r="G7124" t="str">
        <v>-</v>
      </c>
      <c r="H7124">
        <f>VLOOKUP(D7104,'Detail Balok'!$C$10:$AU$110,35,FALSE)</f>
        <v>100</v>
      </c>
      <c r="J7124">
        <f>(IF(D7124=0,(2*(D7105+G7105))-(F$5*8),IF(D7124=3,(2*(D7105+G7105))-(F$5*8)+(G7105-2*F$5),IF(D7124=4,(2*(D7105+G7105))-(F$5*8)+2*(G7105-2*F$5)))))/1000</f>
        <v>1.08</v>
      </c>
      <c r="K7124" t="str">
        <v>+</v>
      </c>
      <c r="L7124">
        <f>IF(D7124=0,2*MAX(6*F7124,75),(D7124-1)*2*MAX(6*F7124,75))/1000</f>
        <v>0.15</v>
      </c>
      <c r="M7124" t="str">
        <v>=</v>
      </c>
      <c r="N7124">
        <f>J7124+L7124</f>
        <v>1.23</v>
      </c>
      <c r="T7124" t="str">
        <v>x</v>
      </c>
      <c r="U7124">
        <f>0.006165*F7124^2</f>
        <v>0.6165</v>
      </c>
      <c r="V7124" t="str">
        <v>x</v>
      </c>
      <c r="W7124">
        <f>IF(D7107&gt;4*G7105,ROUND(MAX(D7107/4,2*G7105)/H7124,0)+1,ROUND(D7107/H7124,0)+1)</f>
        <v>11</v>
      </c>
      <c r="X7124" t="str">
        <v>x</v>
      </c>
      <c r="Y7124">
        <f>D7110</f>
        <v>1</v>
      </c>
      <c r="Z7124" t="str">
        <v>=</v>
      </c>
      <c r="AA7124">
        <f>N7124*U7124*W7124*Y7124</f>
        <v>8.341245</v>
      </c>
    </row>
    <row r="7125">
      <c r="A7125" t="str">
        <f>A7104</f>
        <v>Lantai 2</v>
      </c>
      <c r="B7125">
        <f>B7104</f>
        <v>42</v>
      </c>
      <c r="C7125" t="str">
        <v>Sengkang Lapangan</v>
      </c>
      <c r="D7125">
        <f>VLOOKUP(D7104,'Detail Balok'!$C$10:$AU$110,36,FALSE)</f>
        <v>0</v>
      </c>
      <c r="E7125" t="str">
        <v>D</v>
      </c>
      <c r="F7125">
        <f>VLOOKUP(D7104,'Detail Balok'!$C$10:$AU$110,38,FALSE)</f>
        <v>10</v>
      </c>
      <c r="G7125" t="str">
        <v>-</v>
      </c>
      <c r="H7125">
        <f>VLOOKUP(D7104,'Detail Balok'!$C$10:$AU$110,40,FALSE)</f>
        <v>200</v>
      </c>
      <c r="J7125">
        <f>(IF(D7125=0,(2*(D7105+G7105))-(F$5*8),IF(D7125=3,(2*(D7105+G7105))-(F$5*8)+(G7105-2*F$5),IF(D7125=4,(2*(D7105+G7105))-(F$5*8)+2*(G7105-2*F$5)))))/1000</f>
        <v>1.08</v>
      </c>
      <c r="K7125" t="str">
        <v>+</v>
      </c>
      <c r="L7125">
        <f>IF(D7125=0,2*MAX(6*F7125,75),(D7125-1)*2*MAX(6*F7125,75))/1000</f>
        <v>0.15</v>
      </c>
      <c r="M7125" t="str">
        <v>=</v>
      </c>
      <c r="N7125">
        <f>J7125+L7125</f>
        <v>1.23</v>
      </c>
      <c r="T7125" t="str">
        <v>x</v>
      </c>
      <c r="U7125">
        <f>0.006165*F7125^2</f>
        <v>0.6165</v>
      </c>
      <c r="V7125" t="str">
        <v>x</v>
      </c>
      <c r="W7125">
        <f>IF(D7107-MAX(D7107/4,2*G7105)*2&gt;0,ROUND((D7107-MAX(D7107/4,2*G7105)*2)/H7125,0),0)</f>
        <v>4</v>
      </c>
      <c r="X7125" t="str">
        <v>x</v>
      </c>
      <c r="Y7125">
        <f>D7110</f>
        <v>1</v>
      </c>
      <c r="Z7125" t="str">
        <v>=</v>
      </c>
      <c r="AA7125">
        <f>N7125*U7125*W7125*Y7125</f>
        <v>3.03318</v>
      </c>
    </row>
    <row r="7126">
      <c r="A7126" t="str">
        <f>A7104</f>
        <v>Lantai 2</v>
      </c>
      <c r="B7126">
        <f>B7104</f>
        <v>42</v>
      </c>
      <c r="C7126" t="str">
        <v>Sengkang Tumpuan</v>
      </c>
      <c r="D7126">
        <f>VLOOKUP(D7104,'Detail Balok'!$C$10:$AU$110,41,FALSE)</f>
        <v>0</v>
      </c>
      <c r="E7126" t="str">
        <v>D</v>
      </c>
      <c r="F7126">
        <f>VLOOKUP(D7104,'Detail Balok'!$C$10:$AU$110,43,FALSE)</f>
        <v>10</v>
      </c>
      <c r="G7126" t="str">
        <v>-</v>
      </c>
      <c r="H7126">
        <f>VLOOKUP(D7104,'Detail Balok'!$C$10:$AU$110,45,FALSE)</f>
        <v>100</v>
      </c>
      <c r="J7126">
        <f>(IF(D7126=0,(2*(D7105+G7105))-(F$5*8),IF(D7126=3,(2*(D7105+G7105))-(F$5*8)+(G7105-2*F$5),IF(D7126=4,(2*(D7105+G7105))-(F$5*8)+2*(G7105-2*F$5)))))/1000</f>
        <v>1.08</v>
      </c>
      <c r="K7126" t="str">
        <v>+</v>
      </c>
      <c r="L7126">
        <f>IF(D7126=0,2*MAX(6*F7126,75),(D7126-1)*2*MAX(6*F7126,75))/1000</f>
        <v>0.15</v>
      </c>
      <c r="M7126" t="str">
        <v>=</v>
      </c>
      <c r="N7126">
        <f>J7126+L7126</f>
        <v>1.23</v>
      </c>
      <c r="T7126" t="str">
        <v>x</v>
      </c>
      <c r="U7126">
        <f>0.006165*F7126^2</f>
        <v>0.6165</v>
      </c>
      <c r="V7126" t="str">
        <v>x</v>
      </c>
      <c r="W7126">
        <f>IF(D7107&gt;4*G7105,ROUND(MAX(D7107/4,2*G7105)/H7126,0)+1,0)</f>
        <v>11</v>
      </c>
      <c r="X7126" t="str">
        <v>x</v>
      </c>
      <c r="Y7126">
        <f>D7110</f>
        <v>1</v>
      </c>
      <c r="Z7126" t="str">
        <v>=</v>
      </c>
      <c r="AA7126">
        <f>N7126*U7126*W7126*Y7126</f>
        <v>8.341245</v>
      </c>
    </row>
    <row r="7128">
      <c r="A7128" t="str">
        <f>A7104</f>
        <v>Lantai 2</v>
      </c>
      <c r="B7128">
        <f>B7104</f>
        <v>42</v>
      </c>
      <c r="C7128" t="str">
        <v>Kait Horizontal Tump.</v>
      </c>
      <c r="D7128">
        <f>VLOOKUP(D7104,'Detail Balok'!$C$10:$BJ$110,46,FALSE)</f>
        <v>0</v>
      </c>
      <c r="E7128" t="str">
        <v>D</v>
      </c>
      <c r="F7128">
        <f>VLOOKUP(D7104,'Detail Balok'!$C$10:$BJ$110,48,FALSE)</f>
        <v>0</v>
      </c>
      <c r="G7128" t="str">
        <v>-</v>
      </c>
      <c r="H7128">
        <f>VLOOKUP(D7104,'Detail Balok'!$C$10:$BJ$110,50,FALSE)</f>
        <v>100</v>
      </c>
      <c r="J7128">
        <f>(D7105-2*F$5)/1000</f>
        <v>0.12</v>
      </c>
      <c r="K7128" t="str">
        <v>+</v>
      </c>
      <c r="L7128">
        <f>IF(D7128=0,2*MAX(6*F7128,75),(D7128-1)*2*MAX(6*F7128,75))/1000</f>
        <v>0.15</v>
      </c>
      <c r="M7128" t="str">
        <v>=</v>
      </c>
      <c r="N7128">
        <f>J7128+L7128</f>
        <v>0.27</v>
      </c>
      <c r="T7128" t="str">
        <v>x</v>
      </c>
      <c r="U7128">
        <f>0.006165*F7128^2</f>
        <v>0</v>
      </c>
      <c r="V7128" t="str">
        <v>x</v>
      </c>
      <c r="W7128">
        <f>W7124</f>
        <v>11</v>
      </c>
      <c r="X7128" t="str">
        <v>x</v>
      </c>
      <c r="Y7128">
        <f>D7114</f>
        <v>2</v>
      </c>
      <c r="Z7128" t="str">
        <v>=</v>
      </c>
      <c r="AA7128">
        <f>N7128*U7128*W7128*Y7128</f>
        <v>0</v>
      </c>
    </row>
    <row r="7129">
      <c r="A7129" t="str">
        <f>A7104</f>
        <v>Lantai 2</v>
      </c>
      <c r="B7129">
        <f>B7104</f>
        <v>42</v>
      </c>
      <c r="C7129" t="str">
        <v>Kait Horizontal Lap.</v>
      </c>
      <c r="D7129">
        <f>VLOOKUP(D7104,'Detail Balok'!$C$10:$BJ$110,51,FALSE)</f>
        <v>0</v>
      </c>
      <c r="E7129" t="str">
        <v>D</v>
      </c>
      <c r="F7129">
        <f>VLOOKUP(D7104,'Detail Balok'!$C$10:$BJ$110,53,FALSE)</f>
        <v>0</v>
      </c>
      <c r="G7129" t="str">
        <v>-</v>
      </c>
      <c r="H7129">
        <f>VLOOKUP(D7104,'Detail Balok'!$C$10:$BJ$110,55,FALSE)</f>
        <v>100</v>
      </c>
      <c r="J7129">
        <f>(D7105-2*F$5)/1000</f>
        <v>0.12</v>
      </c>
      <c r="K7129" t="str">
        <v>+</v>
      </c>
      <c r="L7129">
        <f>IF(D7129=0,2*MAX(6*F7129,75),(D7129-1)*2*MAX(6*F7129,75))/1000</f>
        <v>0.15</v>
      </c>
      <c r="M7129" t="str">
        <v>=</v>
      </c>
      <c r="N7129">
        <f>J7129+L7129</f>
        <v>0.27</v>
      </c>
      <c r="T7129" t="str">
        <v>x</v>
      </c>
      <c r="U7129">
        <f>0.006165*F7129^2</f>
        <v>0</v>
      </c>
      <c r="V7129" t="str">
        <v>x</v>
      </c>
      <c r="W7129">
        <f>W7125</f>
        <v>4</v>
      </c>
      <c r="X7129" t="str">
        <v>x</v>
      </c>
      <c r="Y7129">
        <f>D7114</f>
        <v>2</v>
      </c>
      <c r="Z7129" t="str">
        <v>=</v>
      </c>
      <c r="AA7129">
        <f>N7129*U7129*W7129*Y7129</f>
        <v>0</v>
      </c>
    </row>
    <row r="7130">
      <c r="A7130" t="str">
        <f>A7104</f>
        <v>Lantai 2</v>
      </c>
      <c r="B7130">
        <f>B7104</f>
        <v>42</v>
      </c>
      <c r="C7130" t="str">
        <v>Kait Horizontal Tump.</v>
      </c>
      <c r="D7130">
        <f>VLOOKUP(D7104,'Detail Balok'!$C$10:$BJ$110,56,FALSE)</f>
        <v>0</v>
      </c>
      <c r="E7130" t="str">
        <v>D</v>
      </c>
      <c r="F7130">
        <f>VLOOKUP(D7104,'Detail Balok'!$C$10:$BJ$110,58,FALSE)</f>
        <v>0</v>
      </c>
      <c r="G7130" t="str">
        <v>-</v>
      </c>
      <c r="H7130">
        <f>VLOOKUP(D7104,'Detail Balok'!$C$10:$BJ$110,60,FALSE)</f>
        <v>100</v>
      </c>
      <c r="J7130">
        <f>(D7105-2*F$5)/1000</f>
        <v>0.12</v>
      </c>
      <c r="K7130" t="str">
        <v>+</v>
      </c>
      <c r="L7130">
        <f>IF(D7130=0,2*MAX(6*F7130,75),(D7130-1)*2*MAX(6*F7130,75))/1000</f>
        <v>0.15</v>
      </c>
      <c r="M7130" t="str">
        <v>=</v>
      </c>
      <c r="N7130">
        <f>J7130+L7130</f>
        <v>0.27</v>
      </c>
      <c r="T7130" t="str">
        <v>x</v>
      </c>
      <c r="U7130">
        <f>0.006165*F7130^2</f>
        <v>0</v>
      </c>
      <c r="V7130" t="str">
        <v>x</v>
      </c>
      <c r="W7130">
        <f>W7126</f>
        <v>11</v>
      </c>
      <c r="X7130" t="str">
        <v>x</v>
      </c>
      <c r="Y7130">
        <f>D7114</f>
        <v>2</v>
      </c>
      <c r="Z7130" t="str">
        <v>=</v>
      </c>
      <c r="AA7130">
        <f>N7130*U7130*W7130*Y7130</f>
        <v>0</v>
      </c>
    </row>
    <row r="7134">
      <c r="A7134" t="str">
        <f>A7104</f>
        <v>Lantai 2</v>
      </c>
      <c r="B7134">
        <f>B7104+1</f>
        <v>43</v>
      </c>
      <c r="C7134" t="str">
        <f>CONCATENATE(A7134," no. ",B7134)</f>
        <v>Lantai 2 no. 43</v>
      </c>
      <c r="D7134" t="str">
        <f>VLOOKUP(C7134,'Data Panjang Balok'!$C$9:$N$424,2,FALSE)</f>
        <v>B24-1</v>
      </c>
    </row>
    <row r="7135">
      <c r="C7135" t="str">
        <v>Dimensi</v>
      </c>
      <c r="D7135">
        <f>VLOOKUP(D7134,'Detail Balok'!$C$10:$AU$110,2,FALSE)</f>
        <v>200</v>
      </c>
      <c r="F7135" t="str">
        <v>x</v>
      </c>
      <c r="G7135">
        <f>VLOOKUP(D7134,'Detail Balok'!$C$10:$AU$110,3,FALSE)</f>
        <v>400</v>
      </c>
    </row>
    <row r="7136">
      <c r="C7136" t="str">
        <v>Panjang as ke as</v>
      </c>
      <c r="D7136">
        <f>VLOOKUP(C7134,'Data Panjang Balok'!$C$9:$N$424,4,FALSE)</f>
        <v>3200</v>
      </c>
    </row>
    <row r="7137">
      <c r="C7137" t="str">
        <v>Panjang netto</v>
      </c>
      <c r="D7137">
        <f>VLOOKUP(C7134,'Data Panjang Balok'!$C$9:$N$424,7,FALSE)</f>
        <v>3200</v>
      </c>
    </row>
    <row r="7138">
      <c r="C7138" t="str">
        <v>Kolom / balok kiri</v>
      </c>
      <c r="D7138">
        <f>VLOOKUP(C7134,'Data Panjang Balok'!$C$9:$N$424,9,FALSE)</f>
        <v>0</v>
      </c>
    </row>
    <row r="7139">
      <c r="C7139" t="str">
        <v>Kolom / balok kanan</v>
      </c>
      <c r="D7139">
        <f>VLOOKUP(C7134,'Data Panjang Balok'!$C$9:$N$424,10,FALSE)</f>
        <v>0</v>
      </c>
    </row>
    <row r="7140">
      <c r="C7140" t="str">
        <v>Jumlah</v>
      </c>
      <c r="D7140">
        <f>VLOOKUP(C7134,'Data Panjang Balok'!$C$9:$N$424,3,FALSE)</f>
        <v>1</v>
      </c>
    </row>
    <row r="7141">
      <c r="A7141" t="str">
        <f>A7134</f>
        <v>Lantai 2</v>
      </c>
      <c r="B7141">
        <f>B7134</f>
        <v>43</v>
      </c>
      <c r="C7141" t="str">
        <v>Tul Atas Tumpuan</v>
      </c>
      <c r="D7141">
        <f>VLOOKUP(D7134,'Detail Balok'!$C$10:$AU$110,4,FALSE)</f>
        <v>2</v>
      </c>
      <c r="E7141" t="str">
        <v>D</v>
      </c>
      <c r="F7141">
        <f>VLOOKUP(D7134,'Detail Balok'!$C$10:$AU$110,6,FALSE)</f>
        <v>13</v>
      </c>
      <c r="I7141" t="str">
        <v>(</v>
      </c>
      <c r="J7141">
        <f>+D7136/4/1000</f>
        <v>0.8</v>
      </c>
      <c r="K7141" t="str">
        <v>+</v>
      </c>
      <c r="L7141">
        <f>MAX(VLOOKUP(F7141,N$6:P$15,3,FALSE)/1000,2/3*D7138/1000)+F$16*F7141/1000</f>
        <v>0.156</v>
      </c>
      <c r="M7141" t="str">
        <v>=</v>
      </c>
      <c r="N7141">
        <f>J7141+L7141</f>
        <v>0.9560000000000001</v>
      </c>
      <c r="O7141" t="str">
        <v>+</v>
      </c>
      <c r="P7141">
        <f>D7141-D7142</f>
        <v>0</v>
      </c>
      <c r="Q7141" t="str">
        <v>x</v>
      </c>
      <c r="R7141">
        <f>IF(P7141&gt;0,$F$18*F7141/1000,0)</f>
        <v>0</v>
      </c>
      <c r="S7141" t="str">
        <v>)</v>
      </c>
      <c r="T7141" t="str">
        <v>x</v>
      </c>
      <c r="U7141">
        <f>0.006165*F7141^2</f>
        <v>1.041885</v>
      </c>
      <c r="X7141" t="str">
        <v>x</v>
      </c>
      <c r="Y7141">
        <f>D7140</f>
        <v>1</v>
      </c>
      <c r="Z7141" t="str">
        <v>=</v>
      </c>
      <c r="AA7141">
        <f>IF(AA7144=0,(D7141*N7141+P7141*R7141)*U7141*Y7141,0)</f>
        <v>0</v>
      </c>
    </row>
    <row r="7142">
      <c r="A7142" t="str">
        <f>A7134</f>
        <v>Lantai 2</v>
      </c>
      <c r="B7142">
        <f>B7134</f>
        <v>43</v>
      </c>
      <c r="C7142" t="str">
        <v>Tul Atas Lapangan</v>
      </c>
      <c r="D7142">
        <f>VLOOKUP(D7134,'Detail Balok'!$C$10:$AU$110,7,FALSE)</f>
        <v>2</v>
      </c>
      <c r="E7142" t="str">
        <v>D</v>
      </c>
      <c r="F7142">
        <f>VLOOKUP(D7134,'Detail Balok'!$C$10:$AU$110,9,FALSE)</f>
        <v>13</v>
      </c>
      <c r="I7142" t="str">
        <v>(</v>
      </c>
      <c r="J7142">
        <f>+D7136/2/1000</f>
        <v>1.6</v>
      </c>
      <c r="K7142" t="str">
        <v>+</v>
      </c>
      <c r="M7142" t="str">
        <v>=</v>
      </c>
      <c r="N7142">
        <f>J7142+L7142</f>
        <v>1.6</v>
      </c>
      <c r="O7142" t="str">
        <v>+</v>
      </c>
      <c r="P7142">
        <f>MAX(D7142-D7141,D7142-D7143)</f>
        <v>0</v>
      </c>
      <c r="Q7142" t="str">
        <v>x</v>
      </c>
      <c r="R7142">
        <f>IF(P7142&gt;0,2*(1-2*$F$19-1/2)*D7137/1000,0)</f>
        <v>0</v>
      </c>
      <c r="S7142" t="str">
        <v>)</v>
      </c>
      <c r="T7142" t="str">
        <v>x</v>
      </c>
      <c r="U7142">
        <f>0.006165*F7142^2</f>
        <v>1.041885</v>
      </c>
      <c r="X7142" t="str">
        <v>x</v>
      </c>
      <c r="Y7142">
        <f>D7140</f>
        <v>1</v>
      </c>
      <c r="Z7142" t="str">
        <v>=</v>
      </c>
      <c r="AA7142">
        <f>IF(AA7144=0,(D7142*N7142+P7142*R7142)*U7142*Y7142,0)</f>
        <v>0</v>
      </c>
    </row>
    <row r="7143">
      <c r="A7143" t="str">
        <f>A7134</f>
        <v>Lantai 2</v>
      </c>
      <c r="B7143">
        <f>B7134</f>
        <v>43</v>
      </c>
      <c r="C7143" t="str">
        <v>Tul Atas Tumpuan</v>
      </c>
      <c r="D7143">
        <f>VLOOKUP(D7134,'Detail Balok'!$C$10:$AU$110,10,FALSE)</f>
        <v>2</v>
      </c>
      <c r="E7143" t="str">
        <v>D</v>
      </c>
      <c r="F7143">
        <f>VLOOKUP(D7134,'Detail Balok'!$C$10:$AU$110,12,FALSE)</f>
        <v>13</v>
      </c>
      <c r="I7143" t="str">
        <v>(</v>
      </c>
      <c r="J7143">
        <f>+D7136/4/1000</f>
        <v>0.8</v>
      </c>
      <c r="K7143" t="str">
        <v>+</v>
      </c>
      <c r="L7143">
        <f>MAX(VLOOKUP(F7143,N$6:P$15,3,FALSE)/1000,2/3*D7138/1000)+F$16*F7143/1000</f>
        <v>0.156</v>
      </c>
      <c r="M7143" t="str">
        <v>=</v>
      </c>
      <c r="N7143">
        <f>J7143+L7143</f>
        <v>0.9560000000000001</v>
      </c>
      <c r="O7143" t="str">
        <v>+</v>
      </c>
      <c r="P7143">
        <f>D7143-D7142</f>
        <v>0</v>
      </c>
      <c r="Q7143" t="str">
        <v>x</v>
      </c>
      <c r="R7143">
        <f>IF(P7143&gt;0,$F$18*F7143/1000,0)</f>
        <v>0</v>
      </c>
      <c r="S7143" t="str">
        <v>)</v>
      </c>
      <c r="T7143" t="str">
        <v>x</v>
      </c>
      <c r="U7143">
        <f>0.006165*F7143^2</f>
        <v>1.041885</v>
      </c>
      <c r="X7143" t="str">
        <v>x</v>
      </c>
      <c r="Y7143">
        <f>D7140</f>
        <v>1</v>
      </c>
      <c r="Z7143" t="str">
        <v>=</v>
      </c>
      <c r="AA7143">
        <f>IF(AA7144=0,(D7143*N7143+P7143*R7143)*U7143*Y7143,0)</f>
        <v>0</v>
      </c>
    </row>
    <row r="7144">
      <c r="A7144" t="str">
        <f>A7134</f>
        <v>Lantai 2</v>
      </c>
      <c r="B7144">
        <f>B7134</f>
        <v>43</v>
      </c>
      <c r="D7144">
        <f>IF(AND(D7141=D7142,D7142=D7143,D7141=D7143),D7141,0)</f>
        <v>2</v>
      </c>
      <c r="E7144" t="str">
        <v>D</v>
      </c>
      <c r="F7144">
        <f>IF(AND(F7141=F7142,F7141=F7143,F7142=F7143),F7141,0)</f>
        <v>13</v>
      </c>
      <c r="L7144" t="str">
        <v>Total panjang per balok</v>
      </c>
      <c r="M7144" t="str">
        <v>=</v>
      </c>
      <c r="N7144">
        <f>IF(AND(D7141=D7142,D7141=D7143,D7142=D7143,F7141=F7142,F7141=F7143,F7142=F7143),SUM(N7141:N7143),0)</f>
        <v>3.512</v>
      </c>
      <c r="O7144" t="str">
        <v>+</v>
      </c>
      <c r="P7144">
        <f>IF(N7144&gt;12,ROUNDDOWN(N7144/12,0),0)</f>
        <v>0</v>
      </c>
      <c r="Q7144" t="str">
        <v>x</v>
      </c>
      <c r="R7144">
        <f>IF(P7144&gt;0,MAX(VLOOKUP(F7144,$D$6:$G$15,3,FALSE),600),0)/1000</f>
        <v>0</v>
      </c>
      <c r="T7144" t="str">
        <v>x</v>
      </c>
      <c r="U7144">
        <f>U7143</f>
        <v>1.041885</v>
      </c>
      <c r="V7144" t="str">
        <v>x</v>
      </c>
      <c r="W7144">
        <f>D7144</f>
        <v>2</v>
      </c>
      <c r="X7144" t="str">
        <v>x</v>
      </c>
      <c r="Y7144">
        <f>Y7143</f>
        <v>1</v>
      </c>
      <c r="Z7144" t="str">
        <v>=</v>
      </c>
      <c r="AA7144">
        <f>(N7144+P7144*R7144/1000)*U7144*W7144*Y7144</f>
        <v>7.3182002399999995</v>
      </c>
    </row>
    <row r="7146">
      <c r="A7146" t="str">
        <f>A7134</f>
        <v>Lantai 2</v>
      </c>
      <c r="B7146">
        <f>B7134</f>
        <v>43</v>
      </c>
      <c r="C7146" t="str">
        <v>Tul Peminggang</v>
      </c>
      <c r="D7146">
        <f>VLOOKUP(D7134,'Detail Balok'!$C$10:$AU$110,13,FALSE)</f>
        <v>0</v>
      </c>
      <c r="E7146" t="str">
        <v>D</v>
      </c>
      <c r="F7146">
        <f>VLOOKUP(D7134,'Detail Balok'!$C$10:$AU$110,15,FALSE)</f>
        <v>6</v>
      </c>
      <c r="J7146">
        <f>+D7136/1000</f>
        <v>3.2</v>
      </c>
      <c r="K7146" t="str">
        <v>+</v>
      </c>
      <c r="L7146">
        <f>2*$F$16*F7146/1000</f>
        <v>0.144</v>
      </c>
      <c r="M7146" t="str">
        <v>=</v>
      </c>
      <c r="N7146">
        <f>J7146+L7146</f>
        <v>3.3440000000000003</v>
      </c>
      <c r="O7146" t="str">
        <v>+</v>
      </c>
      <c r="P7146">
        <f>IF(N7146&gt;12,ROUNDDOWN(N7146/12,0),0)</f>
        <v>0</v>
      </c>
      <c r="Q7146" t="str">
        <v>x</v>
      </c>
      <c r="R7146">
        <f>IF(P7146&gt;0,MAX(VLOOKUP(F7146,$D$6:$G$15,3,FALSE),600),0)/1000</f>
        <v>0</v>
      </c>
      <c r="T7146" t="str">
        <v>x</v>
      </c>
      <c r="U7146">
        <f>0.006165*F7146^2</f>
        <v>0.22194000000000003</v>
      </c>
      <c r="V7146" t="str">
        <v>x</v>
      </c>
      <c r="W7146">
        <f>+D7146</f>
        <v>0</v>
      </c>
      <c r="X7146" t="str">
        <v>x</v>
      </c>
      <c r="Y7146">
        <f>D7140</f>
        <v>1</v>
      </c>
      <c r="Z7146" t="str">
        <v>=</v>
      </c>
      <c r="AA7146">
        <f>(N7146+P7146*R7146/1000)*U7146*W7146*Y7146</f>
        <v>0</v>
      </c>
    </row>
    <row r="7149">
      <c r="A7149" t="str">
        <f>A7134</f>
        <v>Lantai 2</v>
      </c>
      <c r="B7149">
        <f>B7134</f>
        <v>43</v>
      </c>
      <c r="C7149" t="str">
        <v>Tul Bawah Tumpuan</v>
      </c>
      <c r="D7149">
        <f>VLOOKUP(D7134,'Detail Balok'!$C$10:$AU$110,22,FALSE)</f>
        <v>2</v>
      </c>
      <c r="E7149" t="str">
        <v>D</v>
      </c>
      <c r="F7149">
        <f>VLOOKUP(D7134,'Detail Balok'!$C$10:$AU$110,24,FALSE)</f>
        <v>13</v>
      </c>
      <c r="I7149" t="str">
        <v>(</v>
      </c>
      <c r="J7149">
        <f>+J7141</f>
        <v>0.8</v>
      </c>
      <c r="K7149" t="str">
        <v>+</v>
      </c>
      <c r="L7149">
        <f>MAX(VLOOKUP(F7149,N$6:P$15,3,FALSE)/1000,2/3*D7139/1000)+F$16*F7149/1000</f>
        <v>0.156</v>
      </c>
      <c r="M7149" t="str">
        <v>=</v>
      </c>
      <c r="N7149">
        <f>J7149+L7149</f>
        <v>0.9560000000000001</v>
      </c>
      <c r="O7149" t="str">
        <v>+</v>
      </c>
      <c r="P7149">
        <f>D7149-D7150</f>
        <v>0</v>
      </c>
      <c r="Q7149" t="str">
        <v>x</v>
      </c>
      <c r="R7149">
        <f>IF(P7149&gt;0,$F$18*F7149/1000,0)</f>
        <v>0</v>
      </c>
      <c r="S7149" t="str">
        <v>)</v>
      </c>
      <c r="T7149" t="str">
        <v>x</v>
      </c>
      <c r="U7149">
        <f>0.006165*F7149^2</f>
        <v>1.041885</v>
      </c>
      <c r="X7149" t="str">
        <v>x</v>
      </c>
      <c r="Y7149">
        <f>D7140</f>
        <v>1</v>
      </c>
      <c r="Z7149" t="str">
        <v>=</v>
      </c>
      <c r="AA7149">
        <f>IF(AA7152=0,(D7149*N7149+P7149*R7149)*U7149*Y7149,0)</f>
        <v>0</v>
      </c>
    </row>
    <row r="7150">
      <c r="A7150" t="str">
        <f>A7134</f>
        <v>Lantai 2</v>
      </c>
      <c r="B7150">
        <f>B7134</f>
        <v>43</v>
      </c>
      <c r="C7150" t="str">
        <v>Tul Bawah Lapangan</v>
      </c>
      <c r="D7150">
        <f>VLOOKUP(D7134,'Detail Balok'!$C$10:$AU$110,25,FALSE)</f>
        <v>2</v>
      </c>
      <c r="E7150" t="str">
        <v>D</v>
      </c>
      <c r="F7150">
        <f>VLOOKUP(D7134,'Detail Balok'!$C$10:$AU$110,27,FALSE)</f>
        <v>13</v>
      </c>
      <c r="I7150" t="str">
        <v>(</v>
      </c>
      <c r="J7150">
        <f>+J7142</f>
        <v>1.6</v>
      </c>
      <c r="K7150" t="str">
        <v>+</v>
      </c>
      <c r="M7150" t="str">
        <v>=</v>
      </c>
      <c r="N7150">
        <f>J7150+L7150</f>
        <v>1.6</v>
      </c>
      <c r="O7150" t="str">
        <v>+</v>
      </c>
      <c r="P7150">
        <f>MAX(D7150-D7149,D7150-D7151)</f>
        <v>0</v>
      </c>
      <c r="Q7150" t="str">
        <v>x</v>
      </c>
      <c r="R7150">
        <f>IF(P7150&gt;0,2*(1-2*$F$19-1/2)*D7137/1000,0)</f>
        <v>0</v>
      </c>
      <c r="S7150" t="str">
        <v>)</v>
      </c>
      <c r="T7150" t="str">
        <v>x</v>
      </c>
      <c r="U7150">
        <f>0.006165*F7150^2</f>
        <v>1.041885</v>
      </c>
      <c r="X7150" t="str">
        <v>x</v>
      </c>
      <c r="Y7150">
        <f>D7140</f>
        <v>1</v>
      </c>
      <c r="Z7150" t="str">
        <v>=</v>
      </c>
      <c r="AA7150">
        <f>IF(AA7152=0,(D7150*N7150+P7150*R7150)*U7150*Y7150,0)</f>
        <v>0</v>
      </c>
    </row>
    <row r="7151">
      <c r="A7151" t="str">
        <f>A7134</f>
        <v>Lantai 2</v>
      </c>
      <c r="B7151">
        <f>B7134</f>
        <v>43</v>
      </c>
      <c r="C7151" t="str">
        <v>Tul Bawah Tumpuan</v>
      </c>
      <c r="D7151">
        <f>VLOOKUP(D7134,'Detail Balok'!$C$10:$AU$110,28,FALSE)</f>
        <v>2</v>
      </c>
      <c r="E7151" t="str">
        <v>D</v>
      </c>
      <c r="F7151">
        <f>VLOOKUP(D7134,'Detail Balok'!$C$10:$AU$110,30,FALSE)</f>
        <v>13</v>
      </c>
      <c r="I7151" t="str">
        <v>(</v>
      </c>
      <c r="J7151">
        <f>+J7143</f>
        <v>0.8</v>
      </c>
      <c r="K7151" t="str">
        <v>+</v>
      </c>
      <c r="L7151">
        <f>MAX(VLOOKUP(F7151,N$6:P$15,3,FALSE)/1000,2/3*D7139/1000)+F$16*F7151/1000</f>
        <v>0.156</v>
      </c>
      <c r="M7151" t="str">
        <v>=</v>
      </c>
      <c r="N7151">
        <f>J7151+L7151</f>
        <v>0.9560000000000001</v>
      </c>
      <c r="O7151" t="str">
        <v>+</v>
      </c>
      <c r="P7151">
        <f>D7151-D7150</f>
        <v>0</v>
      </c>
      <c r="Q7151" t="str">
        <v>x</v>
      </c>
      <c r="R7151">
        <f>IF(P7151&gt;0,$F$18*F7151/1000,0)</f>
        <v>0</v>
      </c>
      <c r="S7151" t="str">
        <v>)</v>
      </c>
      <c r="T7151" t="str">
        <v>x</v>
      </c>
      <c r="U7151">
        <f>0.006165*F7151^2</f>
        <v>1.041885</v>
      </c>
      <c r="X7151" t="str">
        <v>x</v>
      </c>
      <c r="Y7151">
        <f>D7140</f>
        <v>1</v>
      </c>
      <c r="Z7151" t="str">
        <v>=</v>
      </c>
      <c r="AA7151">
        <f>IF(AA7152=0,(D7151*N7151+P7151*R7151)*U7151*Y7151,0)</f>
        <v>0</v>
      </c>
    </row>
    <row r="7152">
      <c r="A7152" t="str">
        <f>A7134</f>
        <v>Lantai 2</v>
      </c>
      <c r="B7152">
        <f>B7134</f>
        <v>43</v>
      </c>
      <c r="D7152">
        <f>IF(AND(D7149=D7150,D7150=D7151,D7149=D7151),D7149,0)</f>
        <v>2</v>
      </c>
      <c r="E7152" t="str">
        <v>D</v>
      </c>
      <c r="F7152">
        <f>IF(AND(F7149=F7150,F7149=F7151,F7150=F7151),F7149,0)</f>
        <v>13</v>
      </c>
      <c r="L7152" t="str">
        <v>Total panjang per balok</v>
      </c>
      <c r="M7152" t="str">
        <v>=</v>
      </c>
      <c r="N7152">
        <f>IF(AND(D7149=D7150,D7149=D7151,D7150=D7151,F7149=F7150,F7149=F7151,F7150=F7151),SUM(N7149:N7151),0)</f>
        <v>3.512</v>
      </c>
      <c r="O7152" t="str">
        <v>+</v>
      </c>
      <c r="P7152">
        <f>IF(N7152&gt;12,ROUNDDOWN(N7152/12,0),0)</f>
        <v>0</v>
      </c>
      <c r="Q7152" t="str">
        <v>x</v>
      </c>
      <c r="R7152">
        <f>IF(P7152&gt;0,MAX(VLOOKUP(F7152,$D$6:$G$15,3,FALSE),600),0)/1000</f>
        <v>0</v>
      </c>
      <c r="T7152" t="str">
        <v>x</v>
      </c>
      <c r="U7152">
        <f>U7151</f>
        <v>1.041885</v>
      </c>
      <c r="V7152" t="str">
        <v>x</v>
      </c>
      <c r="W7152">
        <f>D7152</f>
        <v>2</v>
      </c>
      <c r="X7152" t="str">
        <v>x</v>
      </c>
      <c r="Y7152">
        <f>Y7151</f>
        <v>1</v>
      </c>
      <c r="Z7152" t="str">
        <v>=</v>
      </c>
      <c r="AA7152">
        <f>(N7152+P7152*R7152/1000)*U7152*W7152*Y7152</f>
        <v>7.3182002399999995</v>
      </c>
    </row>
    <row r="7154">
      <c r="A7154" t="str">
        <f>A7134</f>
        <v>Lantai 2</v>
      </c>
      <c r="B7154">
        <f>B7134</f>
        <v>43</v>
      </c>
      <c r="C7154" t="str">
        <v>Sengkang Tumpuan</v>
      </c>
      <c r="D7154">
        <f>VLOOKUP(D7134,'Detail Balok'!$C$10:$AU$110,31,FALSE)</f>
        <v>0</v>
      </c>
      <c r="E7154" t="str">
        <v>D</v>
      </c>
      <c r="F7154">
        <f>VLOOKUP(D7134,'Detail Balok'!$C$10:$AU$110,33,FALSE)</f>
        <v>8</v>
      </c>
      <c r="G7154" t="str">
        <v>-</v>
      </c>
      <c r="H7154">
        <f>VLOOKUP(D7134,'Detail Balok'!$C$10:$AU$110,35,FALSE)</f>
        <v>100</v>
      </c>
      <c r="J7154">
        <f>(IF(D7154=0,(2*(D7135+G7135))-(F$5*8),IF(D7154=3,(2*(D7135+G7135))-(F$5*8)+(G7135-2*F$5),IF(D7154=4,(2*(D7135+G7135))-(F$5*8)+2*(G7135-2*F$5)))))/1000</f>
        <v>0.88</v>
      </c>
      <c r="K7154" t="str">
        <v>+</v>
      </c>
      <c r="L7154">
        <f>IF(D7154=0,2*MAX(6*F7154,75),(D7154-1)*2*MAX(6*F7154,75))/1000</f>
        <v>0.15</v>
      </c>
      <c r="M7154" t="str">
        <v>=</v>
      </c>
      <c r="N7154">
        <f>J7154+L7154</f>
        <v>1.03</v>
      </c>
      <c r="T7154" t="str">
        <v>x</v>
      </c>
      <c r="U7154">
        <f>0.006165*F7154^2</f>
        <v>0.39456</v>
      </c>
      <c r="V7154" t="str">
        <v>x</v>
      </c>
      <c r="W7154">
        <f>IF(D7137&gt;4*G7135,ROUND(MAX(D7137/4,2*G7135)/H7154,0)+1,ROUND(D7137/H7154,0)+1)</f>
        <v>9</v>
      </c>
      <c r="X7154" t="str">
        <v>x</v>
      </c>
      <c r="Y7154">
        <f>D7140</f>
        <v>1</v>
      </c>
      <c r="Z7154" t="str">
        <v>=</v>
      </c>
      <c r="AA7154">
        <f>N7154*U7154*W7154*Y7154</f>
        <v>3.6575712000000005</v>
      </c>
    </row>
    <row r="7155">
      <c r="A7155" t="str">
        <f>A7134</f>
        <v>Lantai 2</v>
      </c>
      <c r="B7155">
        <f>B7134</f>
        <v>43</v>
      </c>
      <c r="C7155" t="str">
        <v>Sengkang Lapangan</v>
      </c>
      <c r="D7155">
        <f>VLOOKUP(D7134,'Detail Balok'!$C$10:$AU$110,36,FALSE)</f>
        <v>0</v>
      </c>
      <c r="E7155" t="str">
        <v>D</v>
      </c>
      <c r="F7155">
        <f>VLOOKUP(D7134,'Detail Balok'!$C$10:$AU$110,38,FALSE)</f>
        <v>8</v>
      </c>
      <c r="G7155" t="str">
        <v>-</v>
      </c>
      <c r="H7155">
        <f>VLOOKUP(D7134,'Detail Balok'!$C$10:$AU$110,40,FALSE)</f>
        <v>200</v>
      </c>
      <c r="J7155">
        <f>(IF(D7155=0,(2*(D7135+G7135))-(F$5*8),IF(D7155=3,(2*(D7135+G7135))-(F$5*8)+(G7135-2*F$5),IF(D7155=4,(2*(D7135+G7135))-(F$5*8)+2*(G7135-2*F$5)))))/1000</f>
        <v>0.88</v>
      </c>
      <c r="K7155" t="str">
        <v>+</v>
      </c>
      <c r="L7155">
        <f>IF(D7155=0,2*MAX(6*F7155,75),(D7155-1)*2*MAX(6*F7155,75))/1000</f>
        <v>0.15</v>
      </c>
      <c r="M7155" t="str">
        <v>=</v>
      </c>
      <c r="N7155">
        <f>J7155+L7155</f>
        <v>1.03</v>
      </c>
      <c r="T7155" t="str">
        <v>x</v>
      </c>
      <c r="U7155">
        <f>0.006165*F7155^2</f>
        <v>0.39456</v>
      </c>
      <c r="V7155" t="str">
        <v>x</v>
      </c>
      <c r="W7155">
        <f>IF(D7137-MAX(D7137/4,2*G7135)*2&gt;0,ROUND((D7137-MAX(D7137/4,2*G7135)*2)/H7155,0),0)</f>
        <v>8</v>
      </c>
      <c r="X7155" t="str">
        <v>x</v>
      </c>
      <c r="Y7155">
        <f>D7140</f>
        <v>1</v>
      </c>
      <c r="Z7155" t="str">
        <v>=</v>
      </c>
      <c r="AA7155">
        <f>N7155*U7155*W7155*Y7155</f>
        <v>3.2511744000000005</v>
      </c>
    </row>
    <row r="7156">
      <c r="A7156" t="str">
        <f>A7134</f>
        <v>Lantai 2</v>
      </c>
      <c r="B7156">
        <f>B7134</f>
        <v>43</v>
      </c>
      <c r="C7156" t="str">
        <v>Sengkang Tumpuan</v>
      </c>
      <c r="D7156">
        <f>VLOOKUP(D7134,'Detail Balok'!$C$10:$AU$110,41,FALSE)</f>
        <v>0</v>
      </c>
      <c r="E7156" t="str">
        <v>D</v>
      </c>
      <c r="F7156">
        <f>VLOOKUP(D7134,'Detail Balok'!$C$10:$AU$110,43,FALSE)</f>
        <v>8</v>
      </c>
      <c r="G7156" t="str">
        <v>-</v>
      </c>
      <c r="H7156">
        <f>VLOOKUP(D7134,'Detail Balok'!$C$10:$AU$110,45,FALSE)</f>
        <v>100</v>
      </c>
      <c r="J7156">
        <f>(IF(D7156=0,(2*(D7135+G7135))-(F$5*8),IF(D7156=3,(2*(D7135+G7135))-(F$5*8)+(G7135-2*F$5),IF(D7156=4,(2*(D7135+G7135))-(F$5*8)+2*(G7135-2*F$5)))))/1000</f>
        <v>0.88</v>
      </c>
      <c r="K7156" t="str">
        <v>+</v>
      </c>
      <c r="L7156">
        <f>IF(D7156=0,2*MAX(6*F7156,75),(D7156-1)*2*MAX(6*F7156,75))/1000</f>
        <v>0.15</v>
      </c>
      <c r="M7156" t="str">
        <v>=</v>
      </c>
      <c r="N7156">
        <f>J7156+L7156</f>
        <v>1.03</v>
      </c>
      <c r="T7156" t="str">
        <v>x</v>
      </c>
      <c r="U7156">
        <f>0.006165*F7156^2</f>
        <v>0.39456</v>
      </c>
      <c r="V7156" t="str">
        <v>x</v>
      </c>
      <c r="W7156">
        <f>IF(D7137&gt;4*G7135,ROUND(MAX(D7137/4,2*G7135)/H7156,0)+1,0)</f>
        <v>9</v>
      </c>
      <c r="X7156" t="str">
        <v>x</v>
      </c>
      <c r="Y7156">
        <f>D7140</f>
        <v>1</v>
      </c>
      <c r="Z7156" t="str">
        <v>=</v>
      </c>
      <c r="AA7156">
        <f>N7156*U7156*W7156*Y7156</f>
        <v>3.6575712000000005</v>
      </c>
    </row>
    <row r="7158">
      <c r="A7158" t="str">
        <f>A7134</f>
        <v>Lantai 2</v>
      </c>
      <c r="B7158">
        <f>B7134</f>
        <v>43</v>
      </c>
      <c r="C7158" t="str">
        <v>Kait Horizontal Tump.</v>
      </c>
      <c r="D7158">
        <f>VLOOKUP(D7134,'Detail Balok'!$C$10:$BJ$110,46,FALSE)</f>
        <v>0</v>
      </c>
      <c r="E7158" t="str">
        <v>D</v>
      </c>
      <c r="F7158">
        <f>VLOOKUP(D7134,'Detail Balok'!$C$10:$BJ$110,48,FALSE)</f>
        <v>0</v>
      </c>
      <c r="G7158" t="str">
        <v>-</v>
      </c>
      <c r="H7158">
        <f>VLOOKUP(D7134,'Detail Balok'!$C$10:$BJ$110,50,FALSE)</f>
        <v>100</v>
      </c>
      <c r="J7158">
        <f>(D7135-2*F$5)/1000</f>
        <v>0.12</v>
      </c>
      <c r="K7158" t="str">
        <v>+</v>
      </c>
      <c r="L7158">
        <f>IF(D7158=0,2*MAX(6*F7158,75),(D7158-1)*2*MAX(6*F7158,75))/1000</f>
        <v>0.15</v>
      </c>
      <c r="M7158" t="str">
        <v>=</v>
      </c>
      <c r="N7158">
        <f>J7158+L7158</f>
        <v>0.27</v>
      </c>
      <c r="T7158" t="str">
        <v>x</v>
      </c>
      <c r="U7158">
        <f>0.006165*F7158^2</f>
        <v>0</v>
      </c>
      <c r="V7158" t="str">
        <v>x</v>
      </c>
      <c r="W7158">
        <f>W7154</f>
        <v>9</v>
      </c>
      <c r="X7158" t="str">
        <v>x</v>
      </c>
      <c r="Y7158">
        <f>D7144</f>
        <v>2</v>
      </c>
      <c r="Z7158" t="str">
        <v>=</v>
      </c>
      <c r="AA7158">
        <f>N7158*U7158*W7158*Y7158</f>
        <v>0</v>
      </c>
    </row>
    <row r="7159">
      <c r="A7159" t="str">
        <f>A7134</f>
        <v>Lantai 2</v>
      </c>
      <c r="B7159">
        <f>B7134</f>
        <v>43</v>
      </c>
      <c r="C7159" t="str">
        <v>Kait Horizontal Lap.</v>
      </c>
      <c r="D7159">
        <f>VLOOKUP(D7134,'Detail Balok'!$C$10:$BJ$110,51,FALSE)</f>
        <v>0</v>
      </c>
      <c r="E7159" t="str">
        <v>D</v>
      </c>
      <c r="F7159">
        <f>VLOOKUP(D7134,'Detail Balok'!$C$10:$BJ$110,53,FALSE)</f>
        <v>0</v>
      </c>
      <c r="G7159" t="str">
        <v>-</v>
      </c>
      <c r="H7159">
        <f>VLOOKUP(D7134,'Detail Balok'!$C$10:$BJ$110,55,FALSE)</f>
        <v>100</v>
      </c>
      <c r="J7159">
        <f>(D7135-2*F$5)/1000</f>
        <v>0.12</v>
      </c>
      <c r="K7159" t="str">
        <v>+</v>
      </c>
      <c r="L7159">
        <f>IF(D7159=0,2*MAX(6*F7159,75),(D7159-1)*2*MAX(6*F7159,75))/1000</f>
        <v>0.15</v>
      </c>
      <c r="M7159" t="str">
        <v>=</v>
      </c>
      <c r="N7159">
        <f>J7159+L7159</f>
        <v>0.27</v>
      </c>
      <c r="T7159" t="str">
        <v>x</v>
      </c>
      <c r="U7159">
        <f>0.006165*F7159^2</f>
        <v>0</v>
      </c>
      <c r="V7159" t="str">
        <v>x</v>
      </c>
      <c r="W7159">
        <f>W7155</f>
        <v>8</v>
      </c>
      <c r="X7159" t="str">
        <v>x</v>
      </c>
      <c r="Y7159">
        <f>D7144</f>
        <v>2</v>
      </c>
      <c r="Z7159" t="str">
        <v>=</v>
      </c>
      <c r="AA7159">
        <f>N7159*U7159*W7159*Y7159</f>
        <v>0</v>
      </c>
    </row>
    <row r="7160">
      <c r="A7160" t="str">
        <f>A7134</f>
        <v>Lantai 2</v>
      </c>
      <c r="B7160">
        <f>B7134</f>
        <v>43</v>
      </c>
      <c r="C7160" t="str">
        <v>Kait Horizontal Tump.</v>
      </c>
      <c r="D7160">
        <f>VLOOKUP(D7134,'Detail Balok'!$C$10:$BJ$110,56,FALSE)</f>
        <v>0</v>
      </c>
      <c r="E7160" t="str">
        <v>D</v>
      </c>
      <c r="F7160">
        <f>VLOOKUP(D7134,'Detail Balok'!$C$10:$BJ$110,58,FALSE)</f>
        <v>0</v>
      </c>
      <c r="G7160" t="str">
        <v>-</v>
      </c>
      <c r="H7160">
        <f>VLOOKUP(D7134,'Detail Balok'!$C$10:$BJ$110,60,FALSE)</f>
        <v>100</v>
      </c>
      <c r="J7160">
        <f>(D7135-2*F$5)/1000</f>
        <v>0.12</v>
      </c>
      <c r="K7160" t="str">
        <v>+</v>
      </c>
      <c r="L7160">
        <f>IF(D7160=0,2*MAX(6*F7160,75),(D7160-1)*2*MAX(6*F7160,75))/1000</f>
        <v>0.15</v>
      </c>
      <c r="M7160" t="str">
        <v>=</v>
      </c>
      <c r="N7160">
        <f>J7160+L7160</f>
        <v>0.27</v>
      </c>
      <c r="T7160" t="str">
        <v>x</v>
      </c>
      <c r="U7160">
        <f>0.006165*F7160^2</f>
        <v>0</v>
      </c>
      <c r="V7160" t="str">
        <v>x</v>
      </c>
      <c r="W7160">
        <f>W7156</f>
        <v>9</v>
      </c>
      <c r="X7160" t="str">
        <v>x</v>
      </c>
      <c r="Y7160">
        <f>D7144</f>
        <v>2</v>
      </c>
      <c r="Z7160" t="str">
        <v>=</v>
      </c>
      <c r="AA7160">
        <f>N7160*U7160*W7160*Y7160</f>
        <v>0</v>
      </c>
    </row>
    <row r="7164">
      <c r="A7164" t="str">
        <f>A7134</f>
        <v>Lantai 2</v>
      </c>
      <c r="B7164">
        <f>B7134+1</f>
        <v>44</v>
      </c>
      <c r="C7164" t="str">
        <f>CONCATENATE(A7164," no. ",B7164)</f>
        <v>Lantai 2 no. 44</v>
      </c>
      <c r="D7164" t="str">
        <f>VLOOKUP(C7164,'Data Panjang Balok'!$C$9:$N$424,2,FALSE)</f>
        <v>B24-1</v>
      </c>
    </row>
    <row r="7165">
      <c r="C7165" t="str">
        <v>Dimensi</v>
      </c>
      <c r="D7165">
        <f>VLOOKUP(D7164,'Detail Balok'!$C$10:$AU$110,2,FALSE)</f>
        <v>200</v>
      </c>
      <c r="F7165" t="str">
        <v>x</v>
      </c>
      <c r="G7165">
        <f>VLOOKUP(D7164,'Detail Balok'!$C$10:$AU$110,3,FALSE)</f>
        <v>400</v>
      </c>
    </row>
    <row r="7166">
      <c r="C7166" t="str">
        <v>Panjang as ke as</v>
      </c>
      <c r="D7166">
        <f>VLOOKUP(C7164,'Data Panjang Balok'!$C$9:$N$424,4,FALSE)</f>
        <v>2600</v>
      </c>
    </row>
    <row r="7167">
      <c r="C7167" t="str">
        <v>Panjang netto</v>
      </c>
      <c r="D7167">
        <f>VLOOKUP(C7164,'Data Panjang Balok'!$C$9:$N$424,7,FALSE)</f>
        <v>2600</v>
      </c>
    </row>
    <row r="7168">
      <c r="C7168" t="str">
        <v>Kolom / balok kiri</v>
      </c>
      <c r="D7168">
        <f>VLOOKUP(C7164,'Data Panjang Balok'!$C$9:$N$424,9,FALSE)</f>
        <v>0</v>
      </c>
    </row>
    <row r="7169">
      <c r="C7169" t="str">
        <v>Kolom / balok kanan</v>
      </c>
      <c r="D7169">
        <f>VLOOKUP(C7164,'Data Panjang Balok'!$C$9:$N$424,10,FALSE)</f>
        <v>0</v>
      </c>
    </row>
    <row r="7170">
      <c r="C7170" t="str">
        <v>Jumlah</v>
      </c>
      <c r="D7170">
        <f>VLOOKUP(C7164,'Data Panjang Balok'!$C$9:$N$424,3,FALSE)</f>
        <v>1</v>
      </c>
    </row>
    <row r="7171">
      <c r="A7171" t="str">
        <f>A7164</f>
        <v>Lantai 2</v>
      </c>
      <c r="B7171">
        <f>B7164</f>
        <v>44</v>
      </c>
      <c r="C7171" t="str">
        <v>Tul Atas Tumpuan</v>
      </c>
      <c r="D7171">
        <f>VLOOKUP(D7164,'Detail Balok'!$C$10:$AU$110,4,FALSE)</f>
        <v>2</v>
      </c>
      <c r="E7171" t="str">
        <v>D</v>
      </c>
      <c r="F7171">
        <f>VLOOKUP(D7164,'Detail Balok'!$C$10:$AU$110,6,FALSE)</f>
        <v>13</v>
      </c>
      <c r="I7171" t="str">
        <v>(</v>
      </c>
      <c r="J7171">
        <f>+D7166/4/1000</f>
        <v>0.65</v>
      </c>
      <c r="K7171" t="str">
        <v>+</v>
      </c>
      <c r="L7171">
        <f>MAX(VLOOKUP(F7171,N$6:P$15,3,FALSE)/1000,2/3*D7168/1000)+F$16*F7171/1000</f>
        <v>0.156</v>
      </c>
      <c r="M7171" t="str">
        <v>=</v>
      </c>
      <c r="N7171">
        <f>J7171+L7171</f>
        <v>0.806</v>
      </c>
      <c r="O7171" t="str">
        <v>+</v>
      </c>
      <c r="P7171">
        <f>D7171-D7172</f>
        <v>0</v>
      </c>
      <c r="Q7171" t="str">
        <v>x</v>
      </c>
      <c r="R7171">
        <f>IF(P7171&gt;0,$F$18*F7171/1000,0)</f>
        <v>0</v>
      </c>
      <c r="S7171" t="str">
        <v>)</v>
      </c>
      <c r="T7171" t="str">
        <v>x</v>
      </c>
      <c r="U7171">
        <f>0.006165*F7171^2</f>
        <v>1.041885</v>
      </c>
      <c r="X7171" t="str">
        <v>x</v>
      </c>
      <c r="Y7171">
        <f>D7170</f>
        <v>1</v>
      </c>
      <c r="Z7171" t="str">
        <v>=</v>
      </c>
      <c r="AA7171">
        <f>IF(AA7174=0,(D7171*N7171+P7171*R7171)*U7171*Y7171,0)</f>
        <v>0</v>
      </c>
    </row>
    <row r="7172">
      <c r="A7172" t="str">
        <f>A7164</f>
        <v>Lantai 2</v>
      </c>
      <c r="B7172">
        <f>B7164</f>
        <v>44</v>
      </c>
      <c r="C7172" t="str">
        <v>Tul Atas Lapangan</v>
      </c>
      <c r="D7172">
        <f>VLOOKUP(D7164,'Detail Balok'!$C$10:$AU$110,7,FALSE)</f>
        <v>2</v>
      </c>
      <c r="E7172" t="str">
        <v>D</v>
      </c>
      <c r="F7172">
        <f>VLOOKUP(D7164,'Detail Balok'!$C$10:$AU$110,9,FALSE)</f>
        <v>13</v>
      </c>
      <c r="I7172" t="str">
        <v>(</v>
      </c>
      <c r="J7172">
        <f>+D7166/2/1000</f>
        <v>1.3</v>
      </c>
      <c r="K7172" t="str">
        <v>+</v>
      </c>
      <c r="M7172" t="str">
        <v>=</v>
      </c>
      <c r="N7172">
        <f>J7172+L7172</f>
        <v>1.3</v>
      </c>
      <c r="O7172" t="str">
        <v>+</v>
      </c>
      <c r="P7172">
        <f>MAX(D7172-D7171,D7172-D7173)</f>
        <v>0</v>
      </c>
      <c r="Q7172" t="str">
        <v>x</v>
      </c>
      <c r="R7172">
        <f>IF(P7172&gt;0,2*(1-2*$F$19-1/2)*D7167/1000,0)</f>
        <v>0</v>
      </c>
      <c r="S7172" t="str">
        <v>)</v>
      </c>
      <c r="T7172" t="str">
        <v>x</v>
      </c>
      <c r="U7172">
        <f>0.006165*F7172^2</f>
        <v>1.041885</v>
      </c>
      <c r="X7172" t="str">
        <v>x</v>
      </c>
      <c r="Y7172">
        <f>D7170</f>
        <v>1</v>
      </c>
      <c r="Z7172" t="str">
        <v>=</v>
      </c>
      <c r="AA7172">
        <f>IF(AA7174=0,(D7172*N7172+P7172*R7172)*U7172*Y7172,0)</f>
        <v>0</v>
      </c>
    </row>
    <row r="7173">
      <c r="A7173" t="str">
        <f>A7164</f>
        <v>Lantai 2</v>
      </c>
      <c r="B7173">
        <f>B7164</f>
        <v>44</v>
      </c>
      <c r="C7173" t="str">
        <v>Tul Atas Tumpuan</v>
      </c>
      <c r="D7173">
        <f>VLOOKUP(D7164,'Detail Balok'!$C$10:$AU$110,10,FALSE)</f>
        <v>2</v>
      </c>
      <c r="E7173" t="str">
        <v>D</v>
      </c>
      <c r="F7173">
        <f>VLOOKUP(D7164,'Detail Balok'!$C$10:$AU$110,12,FALSE)</f>
        <v>13</v>
      </c>
      <c r="I7173" t="str">
        <v>(</v>
      </c>
      <c r="J7173">
        <f>+D7166/4/1000</f>
        <v>0.65</v>
      </c>
      <c r="K7173" t="str">
        <v>+</v>
      </c>
      <c r="L7173">
        <f>MAX(VLOOKUP(F7173,N$6:P$15,3,FALSE)/1000,2/3*D7168/1000)+F$16*F7173/1000</f>
        <v>0.156</v>
      </c>
      <c r="M7173" t="str">
        <v>=</v>
      </c>
      <c r="N7173">
        <f>J7173+L7173</f>
        <v>0.806</v>
      </c>
      <c r="O7173" t="str">
        <v>+</v>
      </c>
      <c r="P7173">
        <f>D7173-D7172</f>
        <v>0</v>
      </c>
      <c r="Q7173" t="str">
        <v>x</v>
      </c>
      <c r="R7173">
        <f>IF(P7173&gt;0,$F$18*F7173/1000,0)</f>
        <v>0</v>
      </c>
      <c r="S7173" t="str">
        <v>)</v>
      </c>
      <c r="T7173" t="str">
        <v>x</v>
      </c>
      <c r="U7173">
        <f>0.006165*F7173^2</f>
        <v>1.041885</v>
      </c>
      <c r="X7173" t="str">
        <v>x</v>
      </c>
      <c r="Y7173">
        <f>D7170</f>
        <v>1</v>
      </c>
      <c r="Z7173" t="str">
        <v>=</v>
      </c>
      <c r="AA7173">
        <f>IF(AA7174=0,(D7173*N7173+P7173*R7173)*U7173*Y7173,0)</f>
        <v>0</v>
      </c>
    </row>
    <row r="7174">
      <c r="A7174" t="str">
        <f>A7164</f>
        <v>Lantai 2</v>
      </c>
      <c r="B7174">
        <f>B7164</f>
        <v>44</v>
      </c>
      <c r="D7174">
        <f>IF(AND(D7171=D7172,D7172=D7173,D7171=D7173),D7171,0)</f>
        <v>2</v>
      </c>
      <c r="E7174" t="str">
        <v>D</v>
      </c>
      <c r="F7174">
        <f>IF(AND(F7171=F7172,F7171=F7173,F7172=F7173),F7171,0)</f>
        <v>13</v>
      </c>
      <c r="L7174" t="str">
        <v>Total panjang per balok</v>
      </c>
      <c r="M7174" t="str">
        <v>=</v>
      </c>
      <c r="N7174">
        <f>IF(AND(D7171=D7172,D7171=D7173,D7172=D7173,F7171=F7172,F7171=F7173,F7172=F7173),SUM(N7171:N7173),0)</f>
        <v>2.912</v>
      </c>
      <c r="O7174" t="str">
        <v>+</v>
      </c>
      <c r="P7174">
        <f>IF(N7174&gt;12,ROUNDDOWN(N7174/12,0),0)</f>
        <v>0</v>
      </c>
      <c r="Q7174" t="str">
        <v>x</v>
      </c>
      <c r="R7174">
        <f>IF(P7174&gt;0,MAX(VLOOKUP(F7174,$D$6:$G$15,3,FALSE),600),0)/1000</f>
        <v>0</v>
      </c>
      <c r="T7174" t="str">
        <v>x</v>
      </c>
      <c r="U7174">
        <f>U7173</f>
        <v>1.041885</v>
      </c>
      <c r="V7174" t="str">
        <v>x</v>
      </c>
      <c r="W7174">
        <f>D7174</f>
        <v>2</v>
      </c>
      <c r="X7174" t="str">
        <v>x</v>
      </c>
      <c r="Y7174">
        <f>Y7173</f>
        <v>1</v>
      </c>
      <c r="Z7174" t="str">
        <v>=</v>
      </c>
      <c r="AA7174">
        <f>(N7174+P7174*R7174/1000)*U7174*W7174*Y7174</f>
        <v>6.067938239999999</v>
      </c>
    </row>
    <row r="7176">
      <c r="A7176" t="str">
        <f>A7164</f>
        <v>Lantai 2</v>
      </c>
      <c r="B7176">
        <f>B7164</f>
        <v>44</v>
      </c>
      <c r="C7176" t="str">
        <v>Tul Peminggang</v>
      </c>
      <c r="D7176">
        <f>VLOOKUP(D7164,'Detail Balok'!$C$10:$AU$110,13,FALSE)</f>
        <v>0</v>
      </c>
      <c r="E7176" t="str">
        <v>D</v>
      </c>
      <c r="F7176">
        <f>VLOOKUP(D7164,'Detail Balok'!$C$10:$AU$110,15,FALSE)</f>
        <v>6</v>
      </c>
      <c r="J7176">
        <f>+D7166/1000</f>
        <v>2.6</v>
      </c>
      <c r="K7176" t="str">
        <v>+</v>
      </c>
      <c r="L7176">
        <f>2*$F$16*F7176/1000</f>
        <v>0.144</v>
      </c>
      <c r="M7176" t="str">
        <v>=</v>
      </c>
      <c r="N7176">
        <f>J7176+L7176</f>
        <v>2.744</v>
      </c>
      <c r="O7176" t="str">
        <v>+</v>
      </c>
      <c r="P7176">
        <f>IF(N7176&gt;12,ROUNDDOWN(N7176/12,0),0)</f>
        <v>0</v>
      </c>
      <c r="Q7176" t="str">
        <v>x</v>
      </c>
      <c r="R7176">
        <f>IF(P7176&gt;0,MAX(VLOOKUP(F7176,$D$6:$G$15,3,FALSE),600),0)/1000</f>
        <v>0</v>
      </c>
      <c r="T7176" t="str">
        <v>x</v>
      </c>
      <c r="U7176">
        <f>0.006165*F7176^2</f>
        <v>0.22194000000000003</v>
      </c>
      <c r="V7176" t="str">
        <v>x</v>
      </c>
      <c r="W7176">
        <f>+D7176</f>
        <v>0</v>
      </c>
      <c r="X7176" t="str">
        <v>x</v>
      </c>
      <c r="Y7176">
        <f>D7170</f>
        <v>1</v>
      </c>
      <c r="Z7176" t="str">
        <v>=</v>
      </c>
      <c r="AA7176">
        <f>(N7176+P7176*R7176/1000)*U7176*W7176*Y7176</f>
        <v>0</v>
      </c>
    </row>
    <row r="7179">
      <c r="A7179" t="str">
        <f>A7164</f>
        <v>Lantai 2</v>
      </c>
      <c r="B7179">
        <f>B7164</f>
        <v>44</v>
      </c>
      <c r="C7179" t="str">
        <v>Tul Bawah Tumpuan</v>
      </c>
      <c r="D7179">
        <f>VLOOKUP(D7164,'Detail Balok'!$C$10:$AU$110,22,FALSE)</f>
        <v>2</v>
      </c>
      <c r="E7179" t="str">
        <v>D</v>
      </c>
      <c r="F7179">
        <f>VLOOKUP(D7164,'Detail Balok'!$C$10:$AU$110,24,FALSE)</f>
        <v>13</v>
      </c>
      <c r="I7179" t="str">
        <v>(</v>
      </c>
      <c r="J7179">
        <f>+J7171</f>
        <v>0.65</v>
      </c>
      <c r="K7179" t="str">
        <v>+</v>
      </c>
      <c r="L7179">
        <f>MAX(VLOOKUP(F7179,N$6:P$15,3,FALSE)/1000,2/3*D7169/1000)+F$16*F7179/1000</f>
        <v>0.156</v>
      </c>
      <c r="M7179" t="str">
        <v>=</v>
      </c>
      <c r="N7179">
        <f>J7179+L7179</f>
        <v>0.806</v>
      </c>
      <c r="O7179" t="str">
        <v>+</v>
      </c>
      <c r="P7179">
        <f>D7179-D7180</f>
        <v>0</v>
      </c>
      <c r="Q7179" t="str">
        <v>x</v>
      </c>
      <c r="R7179">
        <f>IF(P7179&gt;0,$F$18*F7179/1000,0)</f>
        <v>0</v>
      </c>
      <c r="S7179" t="str">
        <v>)</v>
      </c>
      <c r="T7179" t="str">
        <v>x</v>
      </c>
      <c r="U7179">
        <f>0.006165*F7179^2</f>
        <v>1.041885</v>
      </c>
      <c r="X7179" t="str">
        <v>x</v>
      </c>
      <c r="Y7179">
        <f>D7170</f>
        <v>1</v>
      </c>
      <c r="Z7179" t="str">
        <v>=</v>
      </c>
      <c r="AA7179">
        <f>IF(AA7182=0,(D7179*N7179+P7179*R7179)*U7179*Y7179,0)</f>
        <v>0</v>
      </c>
    </row>
    <row r="7180">
      <c r="A7180" t="str">
        <f>A7164</f>
        <v>Lantai 2</v>
      </c>
      <c r="B7180">
        <f>B7164</f>
        <v>44</v>
      </c>
      <c r="C7180" t="str">
        <v>Tul Bawah Lapangan</v>
      </c>
      <c r="D7180">
        <f>VLOOKUP(D7164,'Detail Balok'!$C$10:$AU$110,25,FALSE)</f>
        <v>2</v>
      </c>
      <c r="E7180" t="str">
        <v>D</v>
      </c>
      <c r="F7180">
        <f>VLOOKUP(D7164,'Detail Balok'!$C$10:$AU$110,27,FALSE)</f>
        <v>13</v>
      </c>
      <c r="I7180" t="str">
        <v>(</v>
      </c>
      <c r="J7180">
        <f>+J7172</f>
        <v>1.3</v>
      </c>
      <c r="K7180" t="str">
        <v>+</v>
      </c>
      <c r="M7180" t="str">
        <v>=</v>
      </c>
      <c r="N7180">
        <f>J7180+L7180</f>
        <v>1.3</v>
      </c>
      <c r="O7180" t="str">
        <v>+</v>
      </c>
      <c r="P7180">
        <f>MAX(D7180-D7179,D7180-D7181)</f>
        <v>0</v>
      </c>
      <c r="Q7180" t="str">
        <v>x</v>
      </c>
      <c r="R7180">
        <f>IF(P7180&gt;0,2*(1-2*$F$19-1/2)*D7167/1000,0)</f>
        <v>0</v>
      </c>
      <c r="S7180" t="str">
        <v>)</v>
      </c>
      <c r="T7180" t="str">
        <v>x</v>
      </c>
      <c r="U7180">
        <f>0.006165*F7180^2</f>
        <v>1.041885</v>
      </c>
      <c r="X7180" t="str">
        <v>x</v>
      </c>
      <c r="Y7180">
        <f>D7170</f>
        <v>1</v>
      </c>
      <c r="Z7180" t="str">
        <v>=</v>
      </c>
      <c r="AA7180">
        <f>IF(AA7182=0,(D7180*N7180+P7180*R7180)*U7180*Y7180,0)</f>
        <v>0</v>
      </c>
    </row>
    <row r="7181">
      <c r="A7181" t="str">
        <f>A7164</f>
        <v>Lantai 2</v>
      </c>
      <c r="B7181">
        <f>B7164</f>
        <v>44</v>
      </c>
      <c r="C7181" t="str">
        <v>Tul Bawah Tumpuan</v>
      </c>
      <c r="D7181">
        <f>VLOOKUP(D7164,'Detail Balok'!$C$10:$AU$110,28,FALSE)</f>
        <v>2</v>
      </c>
      <c r="E7181" t="str">
        <v>D</v>
      </c>
      <c r="F7181">
        <f>VLOOKUP(D7164,'Detail Balok'!$C$10:$AU$110,30,FALSE)</f>
        <v>13</v>
      </c>
      <c r="I7181" t="str">
        <v>(</v>
      </c>
      <c r="J7181">
        <f>+J7173</f>
        <v>0.65</v>
      </c>
      <c r="K7181" t="str">
        <v>+</v>
      </c>
      <c r="L7181">
        <f>MAX(VLOOKUP(F7181,N$6:P$15,3,FALSE)/1000,2/3*D7169/1000)+F$16*F7181/1000</f>
        <v>0.156</v>
      </c>
      <c r="M7181" t="str">
        <v>=</v>
      </c>
      <c r="N7181">
        <f>J7181+L7181</f>
        <v>0.806</v>
      </c>
      <c r="O7181" t="str">
        <v>+</v>
      </c>
      <c r="P7181">
        <f>D7181-D7180</f>
        <v>0</v>
      </c>
      <c r="Q7181" t="str">
        <v>x</v>
      </c>
      <c r="R7181">
        <f>IF(P7181&gt;0,$F$18*F7181/1000,0)</f>
        <v>0</v>
      </c>
      <c r="S7181" t="str">
        <v>)</v>
      </c>
      <c r="T7181" t="str">
        <v>x</v>
      </c>
      <c r="U7181">
        <f>0.006165*F7181^2</f>
        <v>1.041885</v>
      </c>
      <c r="X7181" t="str">
        <v>x</v>
      </c>
      <c r="Y7181">
        <f>D7170</f>
        <v>1</v>
      </c>
      <c r="Z7181" t="str">
        <v>=</v>
      </c>
      <c r="AA7181">
        <f>IF(AA7182=0,(D7181*N7181+P7181*R7181)*U7181*Y7181,0)</f>
        <v>0</v>
      </c>
    </row>
    <row r="7182">
      <c r="A7182" t="str">
        <f>A7164</f>
        <v>Lantai 2</v>
      </c>
      <c r="B7182">
        <f>B7164</f>
        <v>44</v>
      </c>
      <c r="D7182">
        <f>IF(AND(D7179=D7180,D7180=D7181,D7179=D7181),D7179,0)</f>
        <v>2</v>
      </c>
      <c r="E7182" t="str">
        <v>D</v>
      </c>
      <c r="F7182">
        <f>IF(AND(F7179=F7180,F7179=F7181,F7180=F7181),F7179,0)</f>
        <v>13</v>
      </c>
      <c r="L7182" t="str">
        <v>Total panjang per balok</v>
      </c>
      <c r="M7182" t="str">
        <v>=</v>
      </c>
      <c r="N7182">
        <f>IF(AND(D7179=D7180,D7179=D7181,D7180=D7181,F7179=F7180,F7179=F7181,F7180=F7181),SUM(N7179:N7181),0)</f>
        <v>2.912</v>
      </c>
      <c r="O7182" t="str">
        <v>+</v>
      </c>
      <c r="P7182">
        <f>IF(N7182&gt;12,ROUNDDOWN(N7182/12,0),0)</f>
        <v>0</v>
      </c>
      <c r="Q7182" t="str">
        <v>x</v>
      </c>
      <c r="R7182">
        <f>IF(P7182&gt;0,MAX(VLOOKUP(F7182,$D$6:$G$15,3,FALSE),600),0)/1000</f>
        <v>0</v>
      </c>
      <c r="T7182" t="str">
        <v>x</v>
      </c>
      <c r="U7182">
        <f>U7181</f>
        <v>1.041885</v>
      </c>
      <c r="V7182" t="str">
        <v>x</v>
      </c>
      <c r="W7182">
        <f>D7182</f>
        <v>2</v>
      </c>
      <c r="X7182" t="str">
        <v>x</v>
      </c>
      <c r="Y7182">
        <f>Y7181</f>
        <v>1</v>
      </c>
      <c r="Z7182" t="str">
        <v>=</v>
      </c>
      <c r="AA7182">
        <f>(N7182+P7182*R7182/1000)*U7182*W7182*Y7182</f>
        <v>6.067938239999999</v>
      </c>
    </row>
    <row r="7184">
      <c r="A7184" t="str">
        <f>A7164</f>
        <v>Lantai 2</v>
      </c>
      <c r="B7184">
        <f>B7164</f>
        <v>44</v>
      </c>
      <c r="C7184" t="str">
        <v>Sengkang Tumpuan</v>
      </c>
      <c r="D7184">
        <f>VLOOKUP(D7164,'Detail Balok'!$C$10:$AU$110,31,FALSE)</f>
        <v>0</v>
      </c>
      <c r="E7184" t="str">
        <v>D</v>
      </c>
      <c r="F7184">
        <f>VLOOKUP(D7164,'Detail Balok'!$C$10:$AU$110,33,FALSE)</f>
        <v>8</v>
      </c>
      <c r="G7184" t="str">
        <v>-</v>
      </c>
      <c r="H7184">
        <f>VLOOKUP(D7164,'Detail Balok'!$C$10:$AU$110,35,FALSE)</f>
        <v>100</v>
      </c>
      <c r="J7184">
        <f>(IF(D7184=0,(2*(D7165+G7165))-(F$5*8),IF(D7184=3,(2*(D7165+G7165))-(F$5*8)+(G7165-2*F$5),IF(D7184=4,(2*(D7165+G7165))-(F$5*8)+2*(G7165-2*F$5)))))/1000</f>
        <v>0.88</v>
      </c>
      <c r="K7184" t="str">
        <v>+</v>
      </c>
      <c r="L7184">
        <f>IF(D7184=0,2*MAX(6*F7184,75),(D7184-1)*2*MAX(6*F7184,75))/1000</f>
        <v>0.15</v>
      </c>
      <c r="M7184" t="str">
        <v>=</v>
      </c>
      <c r="N7184">
        <f>J7184+L7184</f>
        <v>1.03</v>
      </c>
      <c r="T7184" t="str">
        <v>x</v>
      </c>
      <c r="U7184">
        <f>0.006165*F7184^2</f>
        <v>0.39456</v>
      </c>
      <c r="V7184" t="str">
        <v>x</v>
      </c>
      <c r="W7184">
        <f>IF(D7167&gt;4*G7165,ROUND(MAX(D7167/4,2*G7165)/H7184,0)+1,ROUND(D7167/H7184,0)+1)</f>
        <v>9</v>
      </c>
      <c r="X7184" t="str">
        <v>x</v>
      </c>
      <c r="Y7184">
        <f>D7170</f>
        <v>1</v>
      </c>
      <c r="Z7184" t="str">
        <v>=</v>
      </c>
      <c r="AA7184">
        <f>N7184*U7184*W7184*Y7184</f>
        <v>3.6575712000000005</v>
      </c>
    </row>
    <row r="7185">
      <c r="A7185" t="str">
        <f>A7164</f>
        <v>Lantai 2</v>
      </c>
      <c r="B7185">
        <f>B7164</f>
        <v>44</v>
      </c>
      <c r="C7185" t="str">
        <v>Sengkang Lapangan</v>
      </c>
      <c r="D7185">
        <f>VLOOKUP(D7164,'Detail Balok'!$C$10:$AU$110,36,FALSE)</f>
        <v>0</v>
      </c>
      <c r="E7185" t="str">
        <v>D</v>
      </c>
      <c r="F7185">
        <f>VLOOKUP(D7164,'Detail Balok'!$C$10:$AU$110,38,FALSE)</f>
        <v>8</v>
      </c>
      <c r="G7185" t="str">
        <v>-</v>
      </c>
      <c r="H7185">
        <f>VLOOKUP(D7164,'Detail Balok'!$C$10:$AU$110,40,FALSE)</f>
        <v>200</v>
      </c>
      <c r="J7185">
        <f>(IF(D7185=0,(2*(D7165+G7165))-(F$5*8),IF(D7185=3,(2*(D7165+G7165))-(F$5*8)+(G7165-2*F$5),IF(D7185=4,(2*(D7165+G7165))-(F$5*8)+2*(G7165-2*F$5)))))/1000</f>
        <v>0.88</v>
      </c>
      <c r="K7185" t="str">
        <v>+</v>
      </c>
      <c r="L7185">
        <f>IF(D7185=0,2*MAX(6*F7185,75),(D7185-1)*2*MAX(6*F7185,75))/1000</f>
        <v>0.15</v>
      </c>
      <c r="M7185" t="str">
        <v>=</v>
      </c>
      <c r="N7185">
        <f>J7185+L7185</f>
        <v>1.03</v>
      </c>
      <c r="T7185" t="str">
        <v>x</v>
      </c>
      <c r="U7185">
        <f>0.006165*F7185^2</f>
        <v>0.39456</v>
      </c>
      <c r="V7185" t="str">
        <v>x</v>
      </c>
      <c r="W7185">
        <f>IF(D7167-MAX(D7167/4,2*G7165)*2&gt;0,ROUND((D7167-MAX(D7167/4,2*G7165)*2)/H7185,0),0)</f>
        <v>5</v>
      </c>
      <c r="X7185" t="str">
        <v>x</v>
      </c>
      <c r="Y7185">
        <f>D7170</f>
        <v>1</v>
      </c>
      <c r="Z7185" t="str">
        <v>=</v>
      </c>
      <c r="AA7185">
        <f>N7185*U7185*W7185*Y7185</f>
        <v>2.0319840000000005</v>
      </c>
    </row>
    <row r="7186">
      <c r="A7186" t="str">
        <f>A7164</f>
        <v>Lantai 2</v>
      </c>
      <c r="B7186">
        <f>B7164</f>
        <v>44</v>
      </c>
      <c r="C7186" t="str">
        <v>Sengkang Tumpuan</v>
      </c>
      <c r="D7186">
        <f>VLOOKUP(D7164,'Detail Balok'!$C$10:$AU$110,41,FALSE)</f>
        <v>0</v>
      </c>
      <c r="E7186" t="str">
        <v>D</v>
      </c>
      <c r="F7186">
        <f>VLOOKUP(D7164,'Detail Balok'!$C$10:$AU$110,43,FALSE)</f>
        <v>8</v>
      </c>
      <c r="G7186" t="str">
        <v>-</v>
      </c>
      <c r="H7186">
        <f>VLOOKUP(D7164,'Detail Balok'!$C$10:$AU$110,45,FALSE)</f>
        <v>100</v>
      </c>
      <c r="J7186">
        <f>(IF(D7186=0,(2*(D7165+G7165))-(F$5*8),IF(D7186=3,(2*(D7165+G7165))-(F$5*8)+(G7165-2*F$5),IF(D7186=4,(2*(D7165+G7165))-(F$5*8)+2*(G7165-2*F$5)))))/1000</f>
        <v>0.88</v>
      </c>
      <c r="K7186" t="str">
        <v>+</v>
      </c>
      <c r="L7186">
        <f>IF(D7186=0,2*MAX(6*F7186,75),(D7186-1)*2*MAX(6*F7186,75))/1000</f>
        <v>0.15</v>
      </c>
      <c r="M7186" t="str">
        <v>=</v>
      </c>
      <c r="N7186">
        <f>J7186+L7186</f>
        <v>1.03</v>
      </c>
      <c r="T7186" t="str">
        <v>x</v>
      </c>
      <c r="U7186">
        <f>0.006165*F7186^2</f>
        <v>0.39456</v>
      </c>
      <c r="V7186" t="str">
        <v>x</v>
      </c>
      <c r="W7186">
        <f>IF(D7167&gt;4*G7165,ROUND(MAX(D7167/4,2*G7165)/H7186,0)+1,0)</f>
        <v>9</v>
      </c>
      <c r="X7186" t="str">
        <v>x</v>
      </c>
      <c r="Y7186">
        <f>D7170</f>
        <v>1</v>
      </c>
      <c r="Z7186" t="str">
        <v>=</v>
      </c>
      <c r="AA7186">
        <f>N7186*U7186*W7186*Y7186</f>
        <v>3.6575712000000005</v>
      </c>
    </row>
    <row r="7188">
      <c r="A7188" t="str">
        <f>A7164</f>
        <v>Lantai 2</v>
      </c>
      <c r="B7188">
        <f>B7164</f>
        <v>44</v>
      </c>
      <c r="C7188" t="str">
        <v>Kait Horizontal Tump.</v>
      </c>
      <c r="D7188">
        <f>VLOOKUP(D7164,'Detail Balok'!$C$10:$BJ$110,46,FALSE)</f>
        <v>0</v>
      </c>
      <c r="E7188" t="str">
        <v>D</v>
      </c>
      <c r="F7188">
        <f>VLOOKUP(D7164,'Detail Balok'!$C$10:$BJ$110,48,FALSE)</f>
        <v>0</v>
      </c>
      <c r="G7188" t="str">
        <v>-</v>
      </c>
      <c r="H7188">
        <f>VLOOKUP(D7164,'Detail Balok'!$C$10:$BJ$110,50,FALSE)</f>
        <v>100</v>
      </c>
      <c r="J7188">
        <f>(D7165-2*F$5)/1000</f>
        <v>0.12</v>
      </c>
      <c r="K7188" t="str">
        <v>+</v>
      </c>
      <c r="L7188">
        <f>IF(D7188=0,2*MAX(6*F7188,75),(D7188-1)*2*MAX(6*F7188,75))/1000</f>
        <v>0.15</v>
      </c>
      <c r="M7188" t="str">
        <v>=</v>
      </c>
      <c r="N7188">
        <f>J7188+L7188</f>
        <v>0.27</v>
      </c>
      <c r="T7188" t="str">
        <v>x</v>
      </c>
      <c r="U7188">
        <f>0.006165*F7188^2</f>
        <v>0</v>
      </c>
      <c r="V7188" t="str">
        <v>x</v>
      </c>
      <c r="W7188">
        <f>W7184</f>
        <v>9</v>
      </c>
      <c r="X7188" t="str">
        <v>x</v>
      </c>
      <c r="Y7188">
        <f>D7174</f>
        <v>2</v>
      </c>
      <c r="Z7188" t="str">
        <v>=</v>
      </c>
      <c r="AA7188">
        <f>N7188*U7188*W7188*Y7188</f>
        <v>0</v>
      </c>
    </row>
    <row r="7189">
      <c r="A7189" t="str">
        <f>A7164</f>
        <v>Lantai 2</v>
      </c>
      <c r="B7189">
        <f>B7164</f>
        <v>44</v>
      </c>
      <c r="C7189" t="str">
        <v>Kait Horizontal Lap.</v>
      </c>
      <c r="D7189">
        <f>VLOOKUP(D7164,'Detail Balok'!$C$10:$BJ$110,51,FALSE)</f>
        <v>0</v>
      </c>
      <c r="E7189" t="str">
        <v>D</v>
      </c>
      <c r="F7189">
        <f>VLOOKUP(D7164,'Detail Balok'!$C$10:$BJ$110,53,FALSE)</f>
        <v>0</v>
      </c>
      <c r="G7189" t="str">
        <v>-</v>
      </c>
      <c r="H7189">
        <f>VLOOKUP(D7164,'Detail Balok'!$C$10:$BJ$110,55,FALSE)</f>
        <v>100</v>
      </c>
      <c r="J7189">
        <f>(D7165-2*F$5)/1000</f>
        <v>0.12</v>
      </c>
      <c r="K7189" t="str">
        <v>+</v>
      </c>
      <c r="L7189">
        <f>IF(D7189=0,2*MAX(6*F7189,75),(D7189-1)*2*MAX(6*F7189,75))/1000</f>
        <v>0.15</v>
      </c>
      <c r="M7189" t="str">
        <v>=</v>
      </c>
      <c r="N7189">
        <f>J7189+L7189</f>
        <v>0.27</v>
      </c>
      <c r="T7189" t="str">
        <v>x</v>
      </c>
      <c r="U7189">
        <f>0.006165*F7189^2</f>
        <v>0</v>
      </c>
      <c r="V7189" t="str">
        <v>x</v>
      </c>
      <c r="W7189">
        <f>W7185</f>
        <v>5</v>
      </c>
      <c r="X7189" t="str">
        <v>x</v>
      </c>
      <c r="Y7189">
        <f>D7174</f>
        <v>2</v>
      </c>
      <c r="Z7189" t="str">
        <v>=</v>
      </c>
      <c r="AA7189">
        <f>N7189*U7189*W7189*Y7189</f>
        <v>0</v>
      </c>
    </row>
    <row r="7190">
      <c r="A7190" t="str">
        <f>A7164</f>
        <v>Lantai 2</v>
      </c>
      <c r="B7190">
        <f>B7164</f>
        <v>44</v>
      </c>
      <c r="C7190" t="str">
        <v>Kait Horizontal Tump.</v>
      </c>
      <c r="D7190">
        <f>VLOOKUP(D7164,'Detail Balok'!$C$10:$BJ$110,56,FALSE)</f>
        <v>0</v>
      </c>
      <c r="E7190" t="str">
        <v>D</v>
      </c>
      <c r="F7190">
        <f>VLOOKUP(D7164,'Detail Balok'!$C$10:$BJ$110,58,FALSE)</f>
        <v>0</v>
      </c>
      <c r="G7190" t="str">
        <v>-</v>
      </c>
      <c r="H7190">
        <f>VLOOKUP(D7164,'Detail Balok'!$C$10:$BJ$110,60,FALSE)</f>
        <v>100</v>
      </c>
      <c r="J7190">
        <f>(D7165-2*F$5)/1000</f>
        <v>0.12</v>
      </c>
      <c r="K7190" t="str">
        <v>+</v>
      </c>
      <c r="L7190">
        <f>IF(D7190=0,2*MAX(6*F7190,75),(D7190-1)*2*MAX(6*F7190,75))/1000</f>
        <v>0.15</v>
      </c>
      <c r="M7190" t="str">
        <v>=</v>
      </c>
      <c r="N7190">
        <f>J7190+L7190</f>
        <v>0.27</v>
      </c>
      <c r="T7190" t="str">
        <v>x</v>
      </c>
      <c r="U7190">
        <f>0.006165*F7190^2</f>
        <v>0</v>
      </c>
      <c r="V7190" t="str">
        <v>x</v>
      </c>
      <c r="W7190">
        <f>W7186</f>
        <v>9</v>
      </c>
      <c r="X7190" t="str">
        <v>x</v>
      </c>
      <c r="Y7190">
        <f>D7174</f>
        <v>2</v>
      </c>
      <c r="Z7190" t="str">
        <v>=</v>
      </c>
      <c r="AA7190">
        <f>N7190*U7190*W7190*Y7190</f>
        <v>0</v>
      </c>
    </row>
    <row r="7194">
      <c r="A7194" t="str">
        <f>A7164</f>
        <v>Lantai 2</v>
      </c>
      <c r="B7194">
        <f>B7164+1</f>
        <v>45</v>
      </c>
      <c r="C7194" t="str">
        <f>CONCATENATE(A7194," no. ",B7194)</f>
        <v>Lantai 2 no. 45</v>
      </c>
      <c r="D7194" t="str">
        <f>VLOOKUP(C7194,'Data Panjang Balok'!$C$9:$N$424,2,FALSE)</f>
        <v>B78-1</v>
      </c>
    </row>
    <row r="7195">
      <c r="C7195" t="str">
        <v>Dimensi</v>
      </c>
      <c r="D7195">
        <f>VLOOKUP(D7194,'Detail Balok'!$C$10:$AU$110,2,FALSE)</f>
        <v>700</v>
      </c>
      <c r="F7195" t="str">
        <v>x</v>
      </c>
      <c r="G7195">
        <f>VLOOKUP(D7194,'Detail Balok'!$C$10:$AU$110,3,FALSE)</f>
        <v>800</v>
      </c>
    </row>
    <row r="7196">
      <c r="C7196" t="str">
        <v>Panjang as ke as</v>
      </c>
      <c r="D7196">
        <f>VLOOKUP(C7194,'Data Panjang Balok'!$C$9:$N$424,4,FALSE)</f>
        <v>8800</v>
      </c>
    </row>
    <row r="7197">
      <c r="C7197" t="str">
        <v>Panjang netto</v>
      </c>
      <c r="D7197">
        <f>VLOOKUP(C7194,'Data Panjang Balok'!$C$9:$N$424,7,FALSE)</f>
        <v>8800</v>
      </c>
    </row>
    <row r="7198">
      <c r="C7198" t="str">
        <v>Kolom / balok kiri</v>
      </c>
      <c r="D7198">
        <f>VLOOKUP(C7194,'Data Panjang Balok'!$C$9:$N$424,9,FALSE)</f>
        <v>0</v>
      </c>
    </row>
    <row r="7199">
      <c r="C7199" t="str">
        <v>Kolom / balok kanan</v>
      </c>
      <c r="D7199">
        <f>VLOOKUP(C7194,'Data Panjang Balok'!$C$9:$N$424,10,FALSE)</f>
        <v>0</v>
      </c>
    </row>
    <row r="7200">
      <c r="C7200" t="str">
        <v>Jumlah</v>
      </c>
      <c r="D7200">
        <f>VLOOKUP(C7194,'Data Panjang Balok'!$C$9:$N$424,3,FALSE)</f>
        <v>1</v>
      </c>
    </row>
    <row r="7201">
      <c r="A7201" t="str">
        <f>A7194</f>
        <v>Lantai 2</v>
      </c>
      <c r="B7201">
        <f>B7194</f>
        <v>45</v>
      </c>
      <c r="C7201" t="str">
        <v>Tul Atas Tumpuan</v>
      </c>
      <c r="D7201">
        <f>VLOOKUP(D7194,'Detail Balok'!$C$10:$AU$110,4,FALSE)</f>
        <v>5</v>
      </c>
      <c r="E7201" t="str">
        <v>D</v>
      </c>
      <c r="F7201">
        <f>VLOOKUP(D7194,'Detail Balok'!$C$10:$AU$110,6,FALSE)</f>
        <v>22</v>
      </c>
      <c r="I7201" t="str">
        <v>(</v>
      </c>
      <c r="J7201">
        <f>+D7196/4/1000</f>
        <v>2.2</v>
      </c>
      <c r="K7201" t="str">
        <v>+</v>
      </c>
      <c r="L7201">
        <f>MAX(VLOOKUP(F7201,N$6:P$15,3,FALSE)/1000,2/3*D7198/1000)+F$16*F7201/1000</f>
        <v>0.264</v>
      </c>
      <c r="M7201" t="str">
        <v>=</v>
      </c>
      <c r="N7201">
        <f>J7201+L7201</f>
        <v>2.4640000000000004</v>
      </c>
      <c r="O7201" t="str">
        <v>+</v>
      </c>
      <c r="P7201">
        <f>D7201-D7202</f>
        <v>0</v>
      </c>
      <c r="Q7201" t="str">
        <v>x</v>
      </c>
      <c r="R7201">
        <f>IF(P7201&gt;0,$F$18*F7201/1000,0)</f>
        <v>0</v>
      </c>
      <c r="S7201" t="str">
        <v>)</v>
      </c>
      <c r="T7201" t="str">
        <v>x</v>
      </c>
      <c r="U7201">
        <f>0.006165*F7201^2</f>
        <v>2.98386</v>
      </c>
      <c r="X7201" t="str">
        <v>x</v>
      </c>
      <c r="Y7201">
        <f>D7200</f>
        <v>1</v>
      </c>
      <c r="Z7201" t="str">
        <v>=</v>
      </c>
      <c r="AA7201">
        <f>IF(AA7204=0,(D7201*N7201+P7201*R7201)*U7201*Y7201,0)</f>
        <v>36.761155200000005</v>
      </c>
    </row>
    <row r="7202">
      <c r="A7202" t="str">
        <f>A7194</f>
        <v>Lantai 2</v>
      </c>
      <c r="B7202">
        <f>B7194</f>
        <v>45</v>
      </c>
      <c r="C7202" t="str">
        <v>Tul Atas Lapangan</v>
      </c>
      <c r="D7202">
        <f>VLOOKUP(D7194,'Detail Balok'!$C$10:$AU$110,7,FALSE)</f>
        <v>5</v>
      </c>
      <c r="E7202" t="str">
        <v>D</v>
      </c>
      <c r="F7202">
        <f>VLOOKUP(D7194,'Detail Balok'!$C$10:$AU$110,9,FALSE)</f>
        <v>22</v>
      </c>
      <c r="I7202" t="str">
        <v>(</v>
      </c>
      <c r="J7202">
        <f>+D7196/2/1000</f>
        <v>4.4</v>
      </c>
      <c r="K7202" t="str">
        <v>+</v>
      </c>
      <c r="M7202" t="str">
        <v>=</v>
      </c>
      <c r="N7202">
        <f>J7202+L7202</f>
        <v>4.4</v>
      </c>
      <c r="O7202" t="str">
        <v>+</v>
      </c>
      <c r="P7202">
        <f>MAX(D7202-D7201,D7202-D7203)</f>
        <v>0</v>
      </c>
      <c r="Q7202" t="str">
        <v>x</v>
      </c>
      <c r="R7202">
        <f>IF(P7202&gt;0,2*(1-2*$F$19-1/2)*D7197/1000,0)</f>
        <v>0</v>
      </c>
      <c r="S7202" t="str">
        <v>)</v>
      </c>
      <c r="T7202" t="str">
        <v>x</v>
      </c>
      <c r="U7202">
        <f>0.006165*F7202^2</f>
        <v>2.98386</v>
      </c>
      <c r="X7202" t="str">
        <v>x</v>
      </c>
      <c r="Y7202">
        <f>D7200</f>
        <v>1</v>
      </c>
      <c r="Z7202" t="str">
        <v>=</v>
      </c>
      <c r="AA7202">
        <f>IF(AA7204=0,(D7202*N7202+P7202*R7202)*U7202*Y7202,0)</f>
        <v>65.64492</v>
      </c>
    </row>
    <row r="7203">
      <c r="A7203" t="str">
        <f>A7194</f>
        <v>Lantai 2</v>
      </c>
      <c r="B7203">
        <f>B7194</f>
        <v>45</v>
      </c>
      <c r="C7203" t="str">
        <v>Tul Atas Tumpuan</v>
      </c>
      <c r="D7203">
        <f>VLOOKUP(D7194,'Detail Balok'!$C$10:$AU$110,10,FALSE)</f>
        <v>11</v>
      </c>
      <c r="E7203" t="str">
        <v>D</v>
      </c>
      <c r="F7203">
        <f>VLOOKUP(D7194,'Detail Balok'!$C$10:$AU$110,12,FALSE)</f>
        <v>22</v>
      </c>
      <c r="I7203" t="str">
        <v>(</v>
      </c>
      <c r="J7203">
        <f>+D7196/4/1000</f>
        <v>2.2</v>
      </c>
      <c r="K7203" t="str">
        <v>+</v>
      </c>
      <c r="L7203">
        <f>MAX(VLOOKUP(F7203,N$6:P$15,3,FALSE)/1000,2/3*D7198/1000)+F$16*F7203/1000</f>
        <v>0.264</v>
      </c>
      <c r="M7203" t="str">
        <v>=</v>
      </c>
      <c r="N7203">
        <f>J7203+L7203</f>
        <v>2.4640000000000004</v>
      </c>
      <c r="O7203" t="str">
        <v>+</v>
      </c>
      <c r="P7203">
        <f>D7203-D7202</f>
        <v>6</v>
      </c>
      <c r="Q7203" t="str">
        <v>x</v>
      </c>
      <c r="R7203">
        <f>IF(P7203&gt;0,$F$18*F7203/1000,0)</f>
        <v>0.33</v>
      </c>
      <c r="S7203" t="str">
        <v>)</v>
      </c>
      <c r="T7203" t="str">
        <v>x</v>
      </c>
      <c r="U7203">
        <f>0.006165*F7203^2</f>
        <v>2.98386</v>
      </c>
      <c r="X7203" t="str">
        <v>x</v>
      </c>
      <c r="Y7203">
        <f>D7200</f>
        <v>1</v>
      </c>
      <c r="Z7203" t="str">
        <v>=</v>
      </c>
      <c r="AA7203">
        <f>IF(AA7204=0,(D7203*N7203+P7203*R7203)*U7203*Y7203,0)</f>
        <v>86.78258424000002</v>
      </c>
    </row>
    <row r="7204">
      <c r="A7204" t="str">
        <f>A7194</f>
        <v>Lantai 2</v>
      </c>
      <c r="B7204">
        <f>B7194</f>
        <v>45</v>
      </c>
      <c r="D7204">
        <f>IF(AND(D7201=D7202,D7202=D7203,D7201=D7203),D7201,0)</f>
        <v>0</v>
      </c>
      <c r="E7204" t="str">
        <v>D</v>
      </c>
      <c r="F7204">
        <f>IF(AND(F7201=F7202,F7201=F7203,F7202=F7203),F7201,0)</f>
        <v>22</v>
      </c>
      <c r="L7204" t="str">
        <v>Total panjang per balok</v>
      </c>
      <c r="M7204" t="str">
        <v>=</v>
      </c>
      <c r="N7204">
        <f>IF(AND(D7201=D7202,D7201=D7203,D7202=D7203,F7201=F7202,F7201=F7203,F7202=F7203),SUM(N7201:N7203),0)</f>
        <v>0</v>
      </c>
      <c r="O7204" t="str">
        <v>+</v>
      </c>
      <c r="P7204">
        <f>IF(N7204&gt;12,ROUNDDOWN(N7204/12,0),0)</f>
        <v>0</v>
      </c>
      <c r="Q7204" t="str">
        <v>x</v>
      </c>
      <c r="R7204">
        <f>IF(P7204&gt;0,MAX(VLOOKUP(F7204,$D$6:$G$15,3,FALSE),600),0)/1000</f>
        <v>0</v>
      </c>
      <c r="T7204" t="str">
        <v>x</v>
      </c>
      <c r="U7204">
        <f>U7203</f>
        <v>2.98386</v>
      </c>
      <c r="V7204" t="str">
        <v>x</v>
      </c>
      <c r="W7204">
        <f>D7204</f>
        <v>0</v>
      </c>
      <c r="X7204" t="str">
        <v>x</v>
      </c>
      <c r="Y7204">
        <f>Y7203</f>
        <v>1</v>
      </c>
      <c r="Z7204" t="str">
        <v>=</v>
      </c>
      <c r="AA7204">
        <f>(N7204+P7204*R7204/1000)*U7204*W7204*Y7204</f>
        <v>0</v>
      </c>
    </row>
    <row r="7206">
      <c r="A7206" t="str">
        <f>A7194</f>
        <v>Lantai 2</v>
      </c>
      <c r="B7206">
        <f>B7194</f>
        <v>45</v>
      </c>
      <c r="C7206" t="str">
        <v>Tul Peminggang</v>
      </c>
      <c r="D7206">
        <f>VLOOKUP(D7194,'Detail Balok'!$C$10:$AU$110,13,FALSE)</f>
        <v>4</v>
      </c>
      <c r="E7206" t="str">
        <v>D</v>
      </c>
      <c r="F7206">
        <f>VLOOKUP(D7194,'Detail Balok'!$C$10:$AU$110,15,FALSE)</f>
        <v>10</v>
      </c>
      <c r="J7206">
        <f>+D7196/1000</f>
        <v>8.8</v>
      </c>
      <c r="K7206" t="str">
        <v>+</v>
      </c>
      <c r="L7206">
        <f>2*$F$16*F7206/1000</f>
        <v>0.24</v>
      </c>
      <c r="M7206" t="str">
        <v>=</v>
      </c>
      <c r="N7206">
        <f>J7206+L7206</f>
        <v>9.040000000000001</v>
      </c>
      <c r="O7206" t="str">
        <v>+</v>
      </c>
      <c r="P7206">
        <f>IF(N7206&gt;12,ROUNDDOWN(N7206/12,0),0)</f>
        <v>0</v>
      </c>
      <c r="Q7206" t="str">
        <v>x</v>
      </c>
      <c r="R7206">
        <f>IF(P7206&gt;0,MAX(VLOOKUP(F7206,$D$6:$G$15,3,FALSE),600),0)/1000</f>
        <v>0</v>
      </c>
      <c r="T7206" t="str">
        <v>x</v>
      </c>
      <c r="U7206">
        <f>0.006165*F7206^2</f>
        <v>0.6165</v>
      </c>
      <c r="V7206" t="str">
        <v>x</v>
      </c>
      <c r="W7206">
        <f>+D7206</f>
        <v>4</v>
      </c>
      <c r="X7206" t="str">
        <v>x</v>
      </c>
      <c r="Y7206">
        <f>D7200</f>
        <v>1</v>
      </c>
      <c r="Z7206" t="str">
        <v>=</v>
      </c>
      <c r="AA7206">
        <f>(N7206+P7206*R7206/1000)*U7206*W7206*Y7206</f>
        <v>22.292640000000006</v>
      </c>
    </row>
    <row r="7209">
      <c r="A7209" t="str">
        <f>A7194</f>
        <v>Lantai 2</v>
      </c>
      <c r="B7209">
        <f>B7194</f>
        <v>45</v>
      </c>
      <c r="C7209" t="str">
        <v>Tul Bawah Tumpuan</v>
      </c>
      <c r="D7209">
        <f>VLOOKUP(D7194,'Detail Balok'!$C$10:$AU$110,22,FALSE)</f>
        <v>6</v>
      </c>
      <c r="E7209" t="str">
        <v>D</v>
      </c>
      <c r="F7209">
        <f>VLOOKUP(D7194,'Detail Balok'!$C$10:$AU$110,24,FALSE)</f>
        <v>22</v>
      </c>
      <c r="I7209" t="str">
        <v>(</v>
      </c>
      <c r="J7209">
        <f>+J7201</f>
        <v>2.2</v>
      </c>
      <c r="K7209" t="str">
        <v>+</v>
      </c>
      <c r="L7209">
        <f>MAX(VLOOKUP(F7209,N$6:P$15,3,FALSE)/1000,2/3*D7199/1000)+F$16*F7209/1000</f>
        <v>0.264</v>
      </c>
      <c r="M7209" t="str">
        <v>=</v>
      </c>
      <c r="N7209">
        <f>J7209+L7209</f>
        <v>2.4640000000000004</v>
      </c>
      <c r="O7209" t="str">
        <v>+</v>
      </c>
      <c r="P7209">
        <f>D7209-D7210</f>
        <v>0</v>
      </c>
      <c r="Q7209" t="str">
        <v>x</v>
      </c>
      <c r="R7209">
        <f>IF(P7209&gt;0,$F$18*F7209/1000,0)</f>
        <v>0</v>
      </c>
      <c r="S7209" t="str">
        <v>)</v>
      </c>
      <c r="T7209" t="str">
        <v>x</v>
      </c>
      <c r="U7209">
        <f>0.006165*F7209^2</f>
        <v>2.98386</v>
      </c>
      <c r="X7209" t="str">
        <v>x</v>
      </c>
      <c r="Y7209">
        <f>D7200</f>
        <v>1</v>
      </c>
      <c r="Z7209" t="str">
        <v>=</v>
      </c>
      <c r="AA7209">
        <f>IF(AA7212=0,(D7209*N7209+P7209*R7209)*U7209*Y7209,0)</f>
        <v>0</v>
      </c>
    </row>
    <row r="7210">
      <c r="A7210" t="str">
        <f>A7194</f>
        <v>Lantai 2</v>
      </c>
      <c r="B7210">
        <f>B7194</f>
        <v>45</v>
      </c>
      <c r="C7210" t="str">
        <v>Tul Bawah Lapangan</v>
      </c>
      <c r="D7210">
        <f>VLOOKUP(D7194,'Detail Balok'!$C$10:$AU$110,25,FALSE)</f>
        <v>6</v>
      </c>
      <c r="E7210" t="str">
        <v>D</v>
      </c>
      <c r="F7210">
        <f>VLOOKUP(D7194,'Detail Balok'!$C$10:$AU$110,27,FALSE)</f>
        <v>22</v>
      </c>
      <c r="I7210" t="str">
        <v>(</v>
      </c>
      <c r="J7210">
        <f>+J7202</f>
        <v>4.4</v>
      </c>
      <c r="K7210" t="str">
        <v>+</v>
      </c>
      <c r="M7210" t="str">
        <v>=</v>
      </c>
      <c r="N7210">
        <f>J7210+L7210</f>
        <v>4.4</v>
      </c>
      <c r="O7210" t="str">
        <v>+</v>
      </c>
      <c r="P7210">
        <f>MAX(D7210-D7209,D7210-D7211)</f>
        <v>0</v>
      </c>
      <c r="Q7210" t="str">
        <v>x</v>
      </c>
      <c r="R7210">
        <f>IF(P7210&gt;0,2*(1-2*$F$19-1/2)*D7197/1000,0)</f>
        <v>0</v>
      </c>
      <c r="S7210" t="str">
        <v>)</v>
      </c>
      <c r="T7210" t="str">
        <v>x</v>
      </c>
      <c r="U7210">
        <f>0.006165*F7210^2</f>
        <v>2.98386</v>
      </c>
      <c r="X7210" t="str">
        <v>x</v>
      </c>
      <c r="Y7210">
        <f>D7200</f>
        <v>1</v>
      </c>
      <c r="Z7210" t="str">
        <v>=</v>
      </c>
      <c r="AA7210">
        <f>IF(AA7212=0,(D7210*N7210+P7210*R7210)*U7210*Y7210,0)</f>
        <v>0</v>
      </c>
    </row>
    <row r="7211">
      <c r="A7211" t="str">
        <f>A7194</f>
        <v>Lantai 2</v>
      </c>
      <c r="B7211">
        <f>B7194</f>
        <v>45</v>
      </c>
      <c r="C7211" t="str">
        <v>Tul Bawah Tumpuan</v>
      </c>
      <c r="D7211">
        <f>VLOOKUP(D7194,'Detail Balok'!$C$10:$AU$110,28,FALSE)</f>
        <v>6</v>
      </c>
      <c r="E7211" t="str">
        <v>D</v>
      </c>
      <c r="F7211">
        <f>VLOOKUP(D7194,'Detail Balok'!$C$10:$AU$110,30,FALSE)</f>
        <v>22</v>
      </c>
      <c r="I7211" t="str">
        <v>(</v>
      </c>
      <c r="J7211">
        <f>+J7203</f>
        <v>2.2</v>
      </c>
      <c r="K7211" t="str">
        <v>+</v>
      </c>
      <c r="L7211">
        <f>MAX(VLOOKUP(F7211,N$6:P$15,3,FALSE)/1000,2/3*D7199/1000)+F$16*F7211/1000</f>
        <v>0.264</v>
      </c>
      <c r="M7211" t="str">
        <v>=</v>
      </c>
      <c r="N7211">
        <f>J7211+L7211</f>
        <v>2.4640000000000004</v>
      </c>
      <c r="O7211" t="str">
        <v>+</v>
      </c>
      <c r="P7211">
        <f>D7211-D7210</f>
        <v>0</v>
      </c>
      <c r="Q7211" t="str">
        <v>x</v>
      </c>
      <c r="R7211">
        <f>IF(P7211&gt;0,$F$18*F7211/1000,0)</f>
        <v>0</v>
      </c>
      <c r="S7211" t="str">
        <v>)</v>
      </c>
      <c r="T7211" t="str">
        <v>x</v>
      </c>
      <c r="U7211">
        <f>0.006165*F7211^2</f>
        <v>2.98386</v>
      </c>
      <c r="X7211" t="str">
        <v>x</v>
      </c>
      <c r="Y7211">
        <f>D7200</f>
        <v>1</v>
      </c>
      <c r="Z7211" t="str">
        <v>=</v>
      </c>
      <c r="AA7211">
        <f>IF(AA7212=0,(D7211*N7211+P7211*R7211)*U7211*Y7211,0)</f>
        <v>0</v>
      </c>
    </row>
    <row r="7212">
      <c r="A7212" t="str">
        <f>A7194</f>
        <v>Lantai 2</v>
      </c>
      <c r="B7212">
        <f>B7194</f>
        <v>45</v>
      </c>
      <c r="D7212">
        <f>IF(AND(D7209=D7210,D7210=D7211,D7209=D7211),D7209,0)</f>
        <v>6</v>
      </c>
      <c r="E7212" t="str">
        <v>D</v>
      </c>
      <c r="F7212">
        <f>IF(AND(F7209=F7210,F7209=F7211,F7210=F7211),F7209,0)</f>
        <v>22</v>
      </c>
      <c r="L7212" t="str">
        <v>Total panjang per balok</v>
      </c>
      <c r="M7212" t="str">
        <v>=</v>
      </c>
      <c r="N7212">
        <f>IF(AND(D7209=D7210,D7209=D7211,D7210=D7211,F7209=F7210,F7209=F7211,F7210=F7211),SUM(N7209:N7211),0)</f>
        <v>9.328000000000001</v>
      </c>
      <c r="O7212" t="str">
        <v>+</v>
      </c>
      <c r="P7212">
        <f>IF(N7212&gt;12,ROUNDDOWN(N7212/12,0),0)</f>
        <v>0</v>
      </c>
      <c r="Q7212" t="str">
        <v>x</v>
      </c>
      <c r="R7212">
        <f>IF(P7212&gt;0,MAX(VLOOKUP(F7212,$D$6:$G$15,3,FALSE),600),0)/1000</f>
        <v>0</v>
      </c>
      <c r="T7212" t="str">
        <v>x</v>
      </c>
      <c r="U7212">
        <f>U7211</f>
        <v>2.98386</v>
      </c>
      <c r="V7212" t="str">
        <v>x</v>
      </c>
      <c r="W7212">
        <f>D7212</f>
        <v>6</v>
      </c>
      <c r="X7212" t="str">
        <v>x</v>
      </c>
      <c r="Y7212">
        <f>Y7211</f>
        <v>1</v>
      </c>
      <c r="Z7212" t="str">
        <v>=</v>
      </c>
      <c r="AA7212">
        <f>(N7212+P7212*R7212/1000)*U7212*W7212*Y7212</f>
        <v>167.00067648</v>
      </c>
    </row>
    <row r="7214">
      <c r="A7214" t="str">
        <f>A7194</f>
        <v>Lantai 2</v>
      </c>
      <c r="B7214">
        <f>B7194</f>
        <v>45</v>
      </c>
      <c r="C7214" t="str">
        <v>Sengkang Tumpuan</v>
      </c>
      <c r="D7214">
        <f>VLOOKUP(D7194,'Detail Balok'!$C$10:$AU$110,31,FALSE)</f>
        <v>3</v>
      </c>
      <c r="E7214" t="str">
        <v>D</v>
      </c>
      <c r="F7214">
        <f>VLOOKUP(D7194,'Detail Balok'!$C$10:$AU$110,33,FALSE)</f>
        <v>13</v>
      </c>
      <c r="G7214" t="str">
        <v>-</v>
      </c>
      <c r="H7214">
        <f>VLOOKUP(D7194,'Detail Balok'!$C$10:$AU$110,35,FALSE)</f>
        <v>125</v>
      </c>
      <c r="J7214">
        <f>(IF(D7214=0,(2*(D7195+G7195))-(F$5*8),IF(D7214=3,(2*(D7195+G7195))-(F$5*8)+(G7195-2*F$5),IF(D7214=4,(2*(D7195+G7195))-(F$5*8)+2*(G7195-2*F$5)))))/1000</f>
        <v>3.4</v>
      </c>
      <c r="K7214" t="str">
        <v>+</v>
      </c>
      <c r="L7214">
        <f>IF(D7214=0,2*MAX(6*F7214,75),(D7214-1)*2*MAX(6*F7214,75))/1000</f>
        <v>0.312</v>
      </c>
      <c r="M7214" t="str">
        <v>=</v>
      </c>
      <c r="N7214">
        <f>J7214+L7214</f>
        <v>3.7119999999999997</v>
      </c>
      <c r="T7214" t="str">
        <v>x</v>
      </c>
      <c r="U7214">
        <f>0.006165*F7214^2</f>
        <v>1.041885</v>
      </c>
      <c r="V7214" t="str">
        <v>x</v>
      </c>
      <c r="W7214">
        <f>IF(D7197&gt;4*G7195,ROUND(MAX(D7197/4,2*G7195)/H7214,0)+1,ROUND(D7197/H7214,0)+1)</f>
        <v>19</v>
      </c>
      <c r="X7214" t="str">
        <v>x</v>
      </c>
      <c r="Y7214">
        <f>D7200</f>
        <v>1</v>
      </c>
      <c r="Z7214" t="str">
        <v>=</v>
      </c>
      <c r="AA7214">
        <f>N7214*U7214*W7214*Y7214</f>
        <v>73.48206528</v>
      </c>
    </row>
    <row r="7215">
      <c r="A7215" t="str">
        <f>A7194</f>
        <v>Lantai 2</v>
      </c>
      <c r="B7215">
        <f>B7194</f>
        <v>45</v>
      </c>
      <c r="C7215" t="str">
        <v>Sengkang Lapangan</v>
      </c>
      <c r="D7215">
        <f>VLOOKUP(D7194,'Detail Balok'!$C$10:$AU$110,36,FALSE)</f>
        <v>0</v>
      </c>
      <c r="E7215" t="str">
        <v>D</v>
      </c>
      <c r="F7215">
        <f>VLOOKUP(D7194,'Detail Balok'!$C$10:$AU$110,38,FALSE)</f>
        <v>13</v>
      </c>
      <c r="G7215" t="str">
        <v>-</v>
      </c>
      <c r="H7215">
        <f>VLOOKUP(D7194,'Detail Balok'!$C$10:$AU$110,40,FALSE)</f>
        <v>150</v>
      </c>
      <c r="J7215">
        <f>(IF(D7215=0,(2*(D7195+G7195))-(F$5*8),IF(D7215=3,(2*(D7195+G7195))-(F$5*8)+(G7195-2*F$5),IF(D7215=4,(2*(D7195+G7195))-(F$5*8)+2*(G7195-2*F$5)))))/1000</f>
        <v>2.68</v>
      </c>
      <c r="K7215" t="str">
        <v>+</v>
      </c>
      <c r="L7215">
        <f>IF(D7215=0,2*MAX(6*F7215,75),(D7215-1)*2*MAX(6*F7215,75))/1000</f>
        <v>0.156</v>
      </c>
      <c r="M7215" t="str">
        <v>=</v>
      </c>
      <c r="N7215">
        <f>J7215+L7215</f>
        <v>2.8360000000000003</v>
      </c>
      <c r="T7215" t="str">
        <v>x</v>
      </c>
      <c r="U7215">
        <f>0.006165*F7215^2</f>
        <v>1.041885</v>
      </c>
      <c r="V7215" t="str">
        <v>x</v>
      </c>
      <c r="W7215">
        <f>IF(D7197-MAX(D7197/4,2*G7195)*2&gt;0,ROUND((D7197-MAX(D7197/4,2*G7195)*2)/H7215,0),0)</f>
        <v>29</v>
      </c>
      <c r="X7215" t="str">
        <v>x</v>
      </c>
      <c r="Y7215">
        <f>D7200</f>
        <v>1</v>
      </c>
      <c r="Z7215" t="str">
        <v>=</v>
      </c>
      <c r="AA7215">
        <f>N7215*U7215*W7215*Y7215</f>
        <v>85.68878994</v>
      </c>
    </row>
    <row r="7216">
      <c r="A7216" t="str">
        <f>A7194</f>
        <v>Lantai 2</v>
      </c>
      <c r="B7216">
        <f>B7194</f>
        <v>45</v>
      </c>
      <c r="C7216" t="str">
        <v>Sengkang Tumpuan</v>
      </c>
      <c r="D7216">
        <f>VLOOKUP(D7194,'Detail Balok'!$C$10:$AU$110,41,FALSE)</f>
        <v>4</v>
      </c>
      <c r="E7216" t="str">
        <v>D</v>
      </c>
      <c r="F7216">
        <f>VLOOKUP(D7194,'Detail Balok'!$C$10:$AU$110,43,FALSE)</f>
        <v>13</v>
      </c>
      <c r="G7216" t="str">
        <v>-</v>
      </c>
      <c r="H7216">
        <f>VLOOKUP(D7194,'Detail Balok'!$C$10:$AU$110,45,FALSE)</f>
        <v>100</v>
      </c>
      <c r="J7216">
        <f>(IF(D7216=0,(2*(D7195+G7195))-(F$5*8),IF(D7216=3,(2*(D7195+G7195))-(F$5*8)+(G7195-2*F$5),IF(D7216=4,(2*(D7195+G7195))-(F$5*8)+2*(G7195-2*F$5)))))/1000</f>
        <v>4.12</v>
      </c>
      <c r="K7216" t="str">
        <v>+</v>
      </c>
      <c r="L7216">
        <f>IF(D7216=0,2*MAX(6*F7216,75),(D7216-1)*2*MAX(6*F7216,75))/1000</f>
        <v>0.468</v>
      </c>
      <c r="M7216" t="str">
        <v>=</v>
      </c>
      <c r="N7216">
        <f>J7216+L7216</f>
        <v>4.588</v>
      </c>
      <c r="T7216" t="str">
        <v>x</v>
      </c>
      <c r="U7216">
        <f>0.006165*F7216^2</f>
        <v>1.041885</v>
      </c>
      <c r="V7216" t="str">
        <v>x</v>
      </c>
      <c r="W7216">
        <f>IF(D7197&gt;4*G7195,ROUND(MAX(D7197/4,2*G7195)/H7216,0)+1,0)</f>
        <v>23</v>
      </c>
      <c r="X7216" t="str">
        <v>x</v>
      </c>
      <c r="Y7216">
        <f>D7200</f>
        <v>1</v>
      </c>
      <c r="Z7216" t="str">
        <v>=</v>
      </c>
      <c r="AA7216">
        <f>N7216*U7216*W7216*Y7216</f>
        <v>109.94387274</v>
      </c>
    </row>
    <row r="7218">
      <c r="A7218" t="str">
        <f>A7194</f>
        <v>Lantai 2</v>
      </c>
      <c r="B7218">
        <f>B7194</f>
        <v>45</v>
      </c>
      <c r="C7218" t="str">
        <v>Kait Horizontal Tump.</v>
      </c>
      <c r="D7218">
        <f>VLOOKUP(D7194,'Detail Balok'!$C$10:$BJ$110,46,FALSE)</f>
        <v>0</v>
      </c>
      <c r="E7218" t="str">
        <v>D</v>
      </c>
      <c r="F7218">
        <f>VLOOKUP(D7194,'Detail Balok'!$C$10:$BJ$110,48,FALSE)</f>
        <v>0</v>
      </c>
      <c r="G7218" t="str">
        <v>-</v>
      </c>
      <c r="H7218">
        <f>VLOOKUP(D7194,'Detail Balok'!$C$10:$BJ$110,50,FALSE)</f>
        <v>100</v>
      </c>
      <c r="J7218">
        <f>(D7195-2*F$5)/1000</f>
        <v>0.62</v>
      </c>
      <c r="K7218" t="str">
        <v>+</v>
      </c>
      <c r="L7218">
        <f>IF(D7218=0,2*MAX(6*F7218,75),(D7218-1)*2*MAX(6*F7218,75))/1000</f>
        <v>0.15</v>
      </c>
      <c r="M7218" t="str">
        <v>=</v>
      </c>
      <c r="N7218">
        <f>J7218+L7218</f>
        <v>0.77</v>
      </c>
      <c r="T7218" t="str">
        <v>x</v>
      </c>
      <c r="U7218">
        <f>0.006165*F7218^2</f>
        <v>0</v>
      </c>
      <c r="V7218" t="str">
        <v>x</v>
      </c>
      <c r="W7218">
        <f>W7214</f>
        <v>19</v>
      </c>
      <c r="X7218" t="str">
        <v>x</v>
      </c>
      <c r="Y7218">
        <f>D7204</f>
        <v>0</v>
      </c>
      <c r="Z7218" t="str">
        <v>=</v>
      </c>
      <c r="AA7218">
        <f>N7218*U7218*W7218*Y7218</f>
        <v>0</v>
      </c>
    </row>
    <row r="7219">
      <c r="A7219" t="str">
        <f>A7194</f>
        <v>Lantai 2</v>
      </c>
      <c r="B7219">
        <f>B7194</f>
        <v>45</v>
      </c>
      <c r="C7219" t="str">
        <v>Kait Horizontal Lap.</v>
      </c>
      <c r="D7219">
        <f>VLOOKUP(D7194,'Detail Balok'!$C$10:$BJ$110,51,FALSE)</f>
        <v>0</v>
      </c>
      <c r="E7219" t="str">
        <v>D</v>
      </c>
      <c r="F7219">
        <f>VLOOKUP(D7194,'Detail Balok'!$C$10:$BJ$110,53,FALSE)</f>
        <v>0</v>
      </c>
      <c r="G7219" t="str">
        <v>-</v>
      </c>
      <c r="H7219">
        <f>VLOOKUP(D7194,'Detail Balok'!$C$10:$BJ$110,55,FALSE)</f>
        <v>100</v>
      </c>
      <c r="J7219">
        <f>(D7195-2*F$5)/1000</f>
        <v>0.62</v>
      </c>
      <c r="K7219" t="str">
        <v>+</v>
      </c>
      <c r="L7219">
        <f>IF(D7219=0,2*MAX(6*F7219,75),(D7219-1)*2*MAX(6*F7219,75))/1000</f>
        <v>0.15</v>
      </c>
      <c r="M7219" t="str">
        <v>=</v>
      </c>
      <c r="N7219">
        <f>J7219+L7219</f>
        <v>0.77</v>
      </c>
      <c r="T7219" t="str">
        <v>x</v>
      </c>
      <c r="U7219">
        <f>0.006165*F7219^2</f>
        <v>0</v>
      </c>
      <c r="V7219" t="str">
        <v>x</v>
      </c>
      <c r="W7219">
        <f>W7215</f>
        <v>29</v>
      </c>
      <c r="X7219" t="str">
        <v>x</v>
      </c>
      <c r="Y7219">
        <f>D7204</f>
        <v>0</v>
      </c>
      <c r="Z7219" t="str">
        <v>=</v>
      </c>
      <c r="AA7219">
        <f>N7219*U7219*W7219*Y7219</f>
        <v>0</v>
      </c>
    </row>
    <row r="7220">
      <c r="A7220" t="str">
        <f>A7194</f>
        <v>Lantai 2</v>
      </c>
      <c r="B7220">
        <f>B7194</f>
        <v>45</v>
      </c>
      <c r="C7220" t="str">
        <v>Kait Horizontal Tump.</v>
      </c>
      <c r="D7220">
        <f>VLOOKUP(D7194,'Detail Balok'!$C$10:$BJ$110,56,FALSE)</f>
        <v>0</v>
      </c>
      <c r="E7220" t="str">
        <v>D</v>
      </c>
      <c r="F7220">
        <f>VLOOKUP(D7194,'Detail Balok'!$C$10:$BJ$110,58,FALSE)</f>
        <v>0</v>
      </c>
      <c r="G7220" t="str">
        <v>-</v>
      </c>
      <c r="H7220">
        <f>VLOOKUP(D7194,'Detail Balok'!$C$10:$BJ$110,60,FALSE)</f>
        <v>100</v>
      </c>
      <c r="J7220">
        <f>(D7195-2*F$5)/1000</f>
        <v>0.62</v>
      </c>
      <c r="K7220" t="str">
        <v>+</v>
      </c>
      <c r="L7220">
        <f>IF(D7220=0,2*MAX(6*F7220,75),(D7220-1)*2*MAX(6*F7220,75))/1000</f>
        <v>0.15</v>
      </c>
      <c r="M7220" t="str">
        <v>=</v>
      </c>
      <c r="N7220">
        <f>J7220+L7220</f>
        <v>0.77</v>
      </c>
      <c r="T7220" t="str">
        <v>x</v>
      </c>
      <c r="U7220">
        <f>0.006165*F7220^2</f>
        <v>0</v>
      </c>
      <c r="V7220" t="str">
        <v>x</v>
      </c>
      <c r="W7220">
        <f>W7216</f>
        <v>23</v>
      </c>
      <c r="X7220" t="str">
        <v>x</v>
      </c>
      <c r="Y7220">
        <f>D7204</f>
        <v>0</v>
      </c>
      <c r="Z7220" t="str">
        <v>=</v>
      </c>
      <c r="AA7220">
        <f>N7220*U7220*W7220*Y7220</f>
        <v>0</v>
      </c>
    </row>
    <row r="7224">
      <c r="A7224" t="str">
        <f>A7194</f>
        <v>Lantai 2</v>
      </c>
      <c r="B7224">
        <f>B7194+1</f>
        <v>46</v>
      </c>
      <c r="C7224" t="str">
        <f>CONCATENATE(A7224," no. ",B7224)</f>
        <v>Lantai 2 no. 46</v>
      </c>
      <c r="D7224" t="str">
        <f>VLOOKUP(C7224,'Data Panjang Balok'!$C$9:$N$424,2,FALSE)</f>
        <v>B23-1</v>
      </c>
    </row>
    <row r="7225">
      <c r="C7225" t="str">
        <v>Dimensi</v>
      </c>
      <c r="D7225">
        <f>VLOOKUP(D7224,'Detail Balok'!$C$10:$AU$110,2,FALSE)</f>
        <v>200</v>
      </c>
      <c r="F7225" t="str">
        <v>x</v>
      </c>
      <c r="G7225">
        <f>VLOOKUP(D7224,'Detail Balok'!$C$10:$AU$110,3,FALSE)</f>
        <v>300</v>
      </c>
    </row>
    <row r="7226">
      <c r="C7226" t="str">
        <v>Panjang as ke as</v>
      </c>
      <c r="D7226">
        <f>VLOOKUP(C7224,'Data Panjang Balok'!$C$9:$N$424,4,FALSE)</f>
        <v>2200</v>
      </c>
    </row>
    <row r="7227">
      <c r="C7227" t="str">
        <v>Panjang netto</v>
      </c>
      <c r="D7227">
        <f>VLOOKUP(C7224,'Data Panjang Balok'!$C$9:$N$424,7,FALSE)</f>
        <v>2200</v>
      </c>
    </row>
    <row r="7228">
      <c r="C7228" t="str">
        <v>Kolom / balok kiri</v>
      </c>
      <c r="D7228">
        <f>VLOOKUP(C7224,'Data Panjang Balok'!$C$9:$N$424,9,FALSE)</f>
        <v>0</v>
      </c>
    </row>
    <row r="7229">
      <c r="C7229" t="str">
        <v>Kolom / balok kanan</v>
      </c>
      <c r="D7229">
        <f>VLOOKUP(C7224,'Data Panjang Balok'!$C$9:$N$424,10,FALSE)</f>
        <v>0</v>
      </c>
    </row>
    <row r="7230">
      <c r="C7230" t="str">
        <v>Jumlah</v>
      </c>
      <c r="D7230">
        <f>VLOOKUP(C7224,'Data Panjang Balok'!$C$9:$N$424,3,FALSE)</f>
        <v>1</v>
      </c>
    </row>
    <row r="7231">
      <c r="A7231" t="str">
        <f>A7224</f>
        <v>Lantai 2</v>
      </c>
      <c r="B7231">
        <f>B7224</f>
        <v>46</v>
      </c>
      <c r="C7231" t="str">
        <v>Tul Atas Tumpuan</v>
      </c>
      <c r="D7231">
        <f>VLOOKUP(D7224,'Detail Balok'!$C$10:$AU$110,4,FALSE)</f>
        <v>2</v>
      </c>
      <c r="E7231" t="str">
        <v>D</v>
      </c>
      <c r="F7231">
        <f>VLOOKUP(D7224,'Detail Balok'!$C$10:$AU$110,6,FALSE)</f>
        <v>13</v>
      </c>
      <c r="I7231" t="str">
        <v>(</v>
      </c>
      <c r="J7231">
        <f>+D7226/4/1000</f>
        <v>0.55</v>
      </c>
      <c r="K7231" t="str">
        <v>+</v>
      </c>
      <c r="L7231">
        <f>MAX(VLOOKUP(F7231,N$6:P$15,3,FALSE)/1000,2/3*D7228/1000)+F$16*F7231/1000</f>
        <v>0.156</v>
      </c>
      <c r="M7231" t="str">
        <v>=</v>
      </c>
      <c r="N7231">
        <f>J7231+L7231</f>
        <v>0.7060000000000001</v>
      </c>
      <c r="O7231" t="str">
        <v>+</v>
      </c>
      <c r="P7231">
        <f>D7231-D7232</f>
        <v>0</v>
      </c>
      <c r="Q7231" t="str">
        <v>x</v>
      </c>
      <c r="R7231">
        <f>IF(P7231&gt;0,$F$18*F7231/1000,0)</f>
        <v>0</v>
      </c>
      <c r="S7231" t="str">
        <v>)</v>
      </c>
      <c r="T7231" t="str">
        <v>x</v>
      </c>
      <c r="U7231">
        <f>0.006165*F7231^2</f>
        <v>1.041885</v>
      </c>
      <c r="X7231" t="str">
        <v>x</v>
      </c>
      <c r="Y7231">
        <f>D7230</f>
        <v>1</v>
      </c>
      <c r="Z7231" t="str">
        <v>=</v>
      </c>
      <c r="AA7231">
        <f>IF(AA7234=0,(D7231*N7231+P7231*R7231)*U7231*Y7231,0)</f>
        <v>0</v>
      </c>
    </row>
    <row r="7232">
      <c r="A7232" t="str">
        <f>A7224</f>
        <v>Lantai 2</v>
      </c>
      <c r="B7232">
        <f>B7224</f>
        <v>46</v>
      </c>
      <c r="C7232" t="str">
        <v>Tul Atas Lapangan</v>
      </c>
      <c r="D7232">
        <f>VLOOKUP(D7224,'Detail Balok'!$C$10:$AU$110,7,FALSE)</f>
        <v>2</v>
      </c>
      <c r="E7232" t="str">
        <v>D</v>
      </c>
      <c r="F7232">
        <f>VLOOKUP(D7224,'Detail Balok'!$C$10:$AU$110,9,FALSE)</f>
        <v>13</v>
      </c>
      <c r="I7232" t="str">
        <v>(</v>
      </c>
      <c r="J7232">
        <f>+D7226/2/1000</f>
        <v>1.1</v>
      </c>
      <c r="K7232" t="str">
        <v>+</v>
      </c>
      <c r="M7232" t="str">
        <v>=</v>
      </c>
      <c r="N7232">
        <f>J7232+L7232</f>
        <v>1.1</v>
      </c>
      <c r="O7232" t="str">
        <v>+</v>
      </c>
      <c r="P7232">
        <f>MAX(D7232-D7231,D7232-D7233)</f>
        <v>0</v>
      </c>
      <c r="Q7232" t="str">
        <v>x</v>
      </c>
      <c r="R7232">
        <f>IF(P7232&gt;0,2*(1-2*$F$19-1/2)*D7227/1000,0)</f>
        <v>0</v>
      </c>
      <c r="S7232" t="str">
        <v>)</v>
      </c>
      <c r="T7232" t="str">
        <v>x</v>
      </c>
      <c r="U7232">
        <f>0.006165*F7232^2</f>
        <v>1.041885</v>
      </c>
      <c r="X7232" t="str">
        <v>x</v>
      </c>
      <c r="Y7232">
        <f>D7230</f>
        <v>1</v>
      </c>
      <c r="Z7232" t="str">
        <v>=</v>
      </c>
      <c r="AA7232">
        <f>IF(AA7234=0,(D7232*N7232+P7232*R7232)*U7232*Y7232,0)</f>
        <v>0</v>
      </c>
    </row>
    <row r="7233">
      <c r="A7233" t="str">
        <f>A7224</f>
        <v>Lantai 2</v>
      </c>
      <c r="B7233">
        <f>B7224</f>
        <v>46</v>
      </c>
      <c r="C7233" t="str">
        <v>Tul Atas Tumpuan</v>
      </c>
      <c r="D7233">
        <f>VLOOKUP(D7224,'Detail Balok'!$C$10:$AU$110,10,FALSE)</f>
        <v>2</v>
      </c>
      <c r="E7233" t="str">
        <v>D</v>
      </c>
      <c r="F7233">
        <f>VLOOKUP(D7224,'Detail Balok'!$C$10:$AU$110,12,FALSE)</f>
        <v>13</v>
      </c>
      <c r="I7233" t="str">
        <v>(</v>
      </c>
      <c r="J7233">
        <f>+D7226/4/1000</f>
        <v>0.55</v>
      </c>
      <c r="K7233" t="str">
        <v>+</v>
      </c>
      <c r="L7233">
        <f>MAX(VLOOKUP(F7233,N$6:P$15,3,FALSE)/1000,2/3*D7228/1000)+F$16*F7233/1000</f>
        <v>0.156</v>
      </c>
      <c r="M7233" t="str">
        <v>=</v>
      </c>
      <c r="N7233">
        <f>J7233+L7233</f>
        <v>0.7060000000000001</v>
      </c>
      <c r="O7233" t="str">
        <v>+</v>
      </c>
      <c r="P7233">
        <f>D7233-D7232</f>
        <v>0</v>
      </c>
      <c r="Q7233" t="str">
        <v>x</v>
      </c>
      <c r="R7233">
        <f>IF(P7233&gt;0,$F$18*F7233/1000,0)</f>
        <v>0</v>
      </c>
      <c r="S7233" t="str">
        <v>)</v>
      </c>
      <c r="T7233" t="str">
        <v>x</v>
      </c>
      <c r="U7233">
        <f>0.006165*F7233^2</f>
        <v>1.041885</v>
      </c>
      <c r="X7233" t="str">
        <v>x</v>
      </c>
      <c r="Y7233">
        <f>D7230</f>
        <v>1</v>
      </c>
      <c r="Z7233" t="str">
        <v>=</v>
      </c>
      <c r="AA7233">
        <f>IF(AA7234=0,(D7233*N7233+P7233*R7233)*U7233*Y7233,0)</f>
        <v>0</v>
      </c>
    </row>
    <row r="7234">
      <c r="A7234" t="str">
        <f>A7224</f>
        <v>Lantai 2</v>
      </c>
      <c r="B7234">
        <f>B7224</f>
        <v>46</v>
      </c>
      <c r="D7234">
        <f>IF(AND(D7231=D7232,D7232=D7233,D7231=D7233),D7231,0)</f>
        <v>2</v>
      </c>
      <c r="E7234" t="str">
        <v>D</v>
      </c>
      <c r="F7234">
        <f>IF(AND(F7231=F7232,F7231=F7233,F7232=F7233),F7231,0)</f>
        <v>13</v>
      </c>
      <c r="L7234" t="str">
        <v>Total panjang per balok</v>
      </c>
      <c r="M7234" t="str">
        <v>=</v>
      </c>
      <c r="N7234">
        <f>IF(AND(D7231=D7232,D7231=D7233,D7232=D7233,F7231=F7232,F7231=F7233,F7232=F7233),SUM(N7231:N7233),0)</f>
        <v>2.512</v>
      </c>
      <c r="O7234" t="str">
        <v>+</v>
      </c>
      <c r="P7234">
        <f>IF(N7234&gt;12,ROUNDDOWN(N7234/12,0),0)</f>
        <v>0</v>
      </c>
      <c r="Q7234" t="str">
        <v>x</v>
      </c>
      <c r="R7234">
        <f>IF(P7234&gt;0,MAX(VLOOKUP(F7234,$D$6:$G$15,3,FALSE),600),0)/1000</f>
        <v>0</v>
      </c>
      <c r="T7234" t="str">
        <v>x</v>
      </c>
      <c r="U7234">
        <f>U7233</f>
        <v>1.041885</v>
      </c>
      <c r="V7234" t="str">
        <v>x</v>
      </c>
      <c r="W7234">
        <f>D7234</f>
        <v>2</v>
      </c>
      <c r="X7234" t="str">
        <v>x</v>
      </c>
      <c r="Y7234">
        <f>Y7233</f>
        <v>1</v>
      </c>
      <c r="Z7234" t="str">
        <v>=</v>
      </c>
      <c r="AA7234">
        <f>(N7234+P7234*R7234/1000)*U7234*W7234*Y7234</f>
        <v>5.23443024</v>
      </c>
    </row>
    <row r="7236">
      <c r="A7236" t="str">
        <f>A7224</f>
        <v>Lantai 2</v>
      </c>
      <c r="B7236">
        <f>B7224</f>
        <v>46</v>
      </c>
      <c r="C7236" t="str">
        <v>Tul Peminggang</v>
      </c>
      <c r="D7236">
        <f>VLOOKUP(D7224,'Detail Balok'!$C$10:$AU$110,13,FALSE)</f>
        <v>0</v>
      </c>
      <c r="E7236" t="str">
        <v>D</v>
      </c>
      <c r="F7236">
        <f>VLOOKUP(D7224,'Detail Balok'!$C$10:$AU$110,15,FALSE)</f>
        <v>6</v>
      </c>
      <c r="J7236">
        <f>+D7226/1000</f>
        <v>2.2</v>
      </c>
      <c r="K7236" t="str">
        <v>+</v>
      </c>
      <c r="L7236">
        <f>2*$F$16*F7236/1000</f>
        <v>0.144</v>
      </c>
      <c r="M7236" t="str">
        <v>=</v>
      </c>
      <c r="N7236">
        <f>J7236+L7236</f>
        <v>2.3440000000000003</v>
      </c>
      <c r="O7236" t="str">
        <v>+</v>
      </c>
      <c r="P7236">
        <f>IF(N7236&gt;12,ROUNDDOWN(N7236/12,0),0)</f>
        <v>0</v>
      </c>
      <c r="Q7236" t="str">
        <v>x</v>
      </c>
      <c r="R7236">
        <f>IF(P7236&gt;0,MAX(VLOOKUP(F7236,$D$6:$G$15,3,FALSE),600),0)/1000</f>
        <v>0</v>
      </c>
      <c r="T7236" t="str">
        <v>x</v>
      </c>
      <c r="U7236">
        <f>0.006165*F7236^2</f>
        <v>0.22194000000000003</v>
      </c>
      <c r="V7236" t="str">
        <v>x</v>
      </c>
      <c r="W7236">
        <f>+D7236</f>
        <v>0</v>
      </c>
      <c r="X7236" t="str">
        <v>x</v>
      </c>
      <c r="Y7236">
        <f>D7230</f>
        <v>1</v>
      </c>
      <c r="Z7236" t="str">
        <v>=</v>
      </c>
      <c r="AA7236">
        <f>(N7236+P7236*R7236/1000)*U7236*W7236*Y7236</f>
        <v>0</v>
      </c>
    </row>
    <row r="7239">
      <c r="A7239" t="str">
        <f>A7224</f>
        <v>Lantai 2</v>
      </c>
      <c r="B7239">
        <f>B7224</f>
        <v>46</v>
      </c>
      <c r="C7239" t="str">
        <v>Tul Bawah Tumpuan</v>
      </c>
      <c r="D7239">
        <f>VLOOKUP(D7224,'Detail Balok'!$C$10:$AU$110,22,FALSE)</f>
        <v>2</v>
      </c>
      <c r="E7239" t="str">
        <v>D</v>
      </c>
      <c r="F7239">
        <f>VLOOKUP(D7224,'Detail Balok'!$C$10:$AU$110,24,FALSE)</f>
        <v>13</v>
      </c>
      <c r="I7239" t="str">
        <v>(</v>
      </c>
      <c r="J7239">
        <f>+J7231</f>
        <v>0.55</v>
      </c>
      <c r="K7239" t="str">
        <v>+</v>
      </c>
      <c r="L7239">
        <f>MAX(VLOOKUP(F7239,N$6:P$15,3,FALSE)/1000,2/3*D7229/1000)+F$16*F7239/1000</f>
        <v>0.156</v>
      </c>
      <c r="M7239" t="str">
        <v>=</v>
      </c>
      <c r="N7239">
        <f>J7239+L7239</f>
        <v>0.7060000000000001</v>
      </c>
      <c r="O7239" t="str">
        <v>+</v>
      </c>
      <c r="P7239">
        <f>D7239-D7240</f>
        <v>0</v>
      </c>
      <c r="Q7239" t="str">
        <v>x</v>
      </c>
      <c r="R7239">
        <f>IF(P7239&gt;0,$F$18*F7239/1000,0)</f>
        <v>0</v>
      </c>
      <c r="S7239" t="str">
        <v>)</v>
      </c>
      <c r="T7239" t="str">
        <v>x</v>
      </c>
      <c r="U7239">
        <f>0.006165*F7239^2</f>
        <v>1.041885</v>
      </c>
      <c r="X7239" t="str">
        <v>x</v>
      </c>
      <c r="Y7239">
        <f>D7230</f>
        <v>1</v>
      </c>
      <c r="Z7239" t="str">
        <v>=</v>
      </c>
      <c r="AA7239">
        <f>IF(AA7242=0,(D7239*N7239+P7239*R7239)*U7239*Y7239,0)</f>
        <v>0</v>
      </c>
    </row>
    <row r="7240">
      <c r="A7240" t="str">
        <f>A7224</f>
        <v>Lantai 2</v>
      </c>
      <c r="B7240">
        <f>B7224</f>
        <v>46</v>
      </c>
      <c r="C7240" t="str">
        <v>Tul Bawah Lapangan</v>
      </c>
      <c r="D7240">
        <f>VLOOKUP(D7224,'Detail Balok'!$C$10:$AU$110,25,FALSE)</f>
        <v>2</v>
      </c>
      <c r="E7240" t="str">
        <v>D</v>
      </c>
      <c r="F7240">
        <f>VLOOKUP(D7224,'Detail Balok'!$C$10:$AU$110,27,FALSE)</f>
        <v>13</v>
      </c>
      <c r="I7240" t="str">
        <v>(</v>
      </c>
      <c r="J7240">
        <f>+J7232</f>
        <v>1.1</v>
      </c>
      <c r="K7240" t="str">
        <v>+</v>
      </c>
      <c r="M7240" t="str">
        <v>=</v>
      </c>
      <c r="N7240">
        <f>J7240+L7240</f>
        <v>1.1</v>
      </c>
      <c r="O7240" t="str">
        <v>+</v>
      </c>
      <c r="P7240">
        <f>MAX(D7240-D7239,D7240-D7241)</f>
        <v>0</v>
      </c>
      <c r="Q7240" t="str">
        <v>x</v>
      </c>
      <c r="R7240">
        <f>IF(P7240&gt;0,2*(1-2*$F$19-1/2)*D7227/1000,0)</f>
        <v>0</v>
      </c>
      <c r="S7240" t="str">
        <v>)</v>
      </c>
      <c r="T7240" t="str">
        <v>x</v>
      </c>
      <c r="U7240">
        <f>0.006165*F7240^2</f>
        <v>1.041885</v>
      </c>
      <c r="X7240" t="str">
        <v>x</v>
      </c>
      <c r="Y7240">
        <f>D7230</f>
        <v>1</v>
      </c>
      <c r="Z7240" t="str">
        <v>=</v>
      </c>
      <c r="AA7240">
        <f>IF(AA7242=0,(D7240*N7240+P7240*R7240)*U7240*Y7240,0)</f>
        <v>0</v>
      </c>
    </row>
    <row r="7241">
      <c r="A7241" t="str">
        <f>A7224</f>
        <v>Lantai 2</v>
      </c>
      <c r="B7241">
        <f>B7224</f>
        <v>46</v>
      </c>
      <c r="C7241" t="str">
        <v>Tul Bawah Tumpuan</v>
      </c>
      <c r="D7241">
        <f>VLOOKUP(D7224,'Detail Balok'!$C$10:$AU$110,28,FALSE)</f>
        <v>2</v>
      </c>
      <c r="E7241" t="str">
        <v>D</v>
      </c>
      <c r="F7241">
        <f>VLOOKUP(D7224,'Detail Balok'!$C$10:$AU$110,30,FALSE)</f>
        <v>13</v>
      </c>
      <c r="I7241" t="str">
        <v>(</v>
      </c>
      <c r="J7241">
        <f>+J7233</f>
        <v>0.55</v>
      </c>
      <c r="K7241" t="str">
        <v>+</v>
      </c>
      <c r="L7241">
        <f>MAX(VLOOKUP(F7241,N$6:P$15,3,FALSE)/1000,2/3*D7229/1000)+F$16*F7241/1000</f>
        <v>0.156</v>
      </c>
      <c r="M7241" t="str">
        <v>=</v>
      </c>
      <c r="N7241">
        <f>J7241+L7241</f>
        <v>0.7060000000000001</v>
      </c>
      <c r="O7241" t="str">
        <v>+</v>
      </c>
      <c r="P7241">
        <f>D7241-D7240</f>
        <v>0</v>
      </c>
      <c r="Q7241" t="str">
        <v>x</v>
      </c>
      <c r="R7241">
        <f>IF(P7241&gt;0,$F$18*F7241/1000,0)</f>
        <v>0</v>
      </c>
      <c r="S7241" t="str">
        <v>)</v>
      </c>
      <c r="T7241" t="str">
        <v>x</v>
      </c>
      <c r="U7241">
        <f>0.006165*F7241^2</f>
        <v>1.041885</v>
      </c>
      <c r="X7241" t="str">
        <v>x</v>
      </c>
      <c r="Y7241">
        <f>D7230</f>
        <v>1</v>
      </c>
      <c r="Z7241" t="str">
        <v>=</v>
      </c>
      <c r="AA7241">
        <f>IF(AA7242=0,(D7241*N7241+P7241*R7241)*U7241*Y7241,0)</f>
        <v>0</v>
      </c>
    </row>
    <row r="7242">
      <c r="A7242" t="str">
        <f>A7224</f>
        <v>Lantai 2</v>
      </c>
      <c r="B7242">
        <f>B7224</f>
        <v>46</v>
      </c>
      <c r="D7242">
        <f>IF(AND(D7239=D7240,D7240=D7241,D7239=D7241),D7239,0)</f>
        <v>2</v>
      </c>
      <c r="E7242" t="str">
        <v>D</v>
      </c>
      <c r="F7242">
        <f>IF(AND(F7239=F7240,F7239=F7241,F7240=F7241),F7239,0)</f>
        <v>13</v>
      </c>
      <c r="L7242" t="str">
        <v>Total panjang per balok</v>
      </c>
      <c r="M7242" t="str">
        <v>=</v>
      </c>
      <c r="N7242">
        <f>IF(AND(D7239=D7240,D7239=D7241,D7240=D7241,F7239=F7240,F7239=F7241,F7240=F7241),SUM(N7239:N7241),0)</f>
        <v>2.512</v>
      </c>
      <c r="O7242" t="str">
        <v>+</v>
      </c>
      <c r="P7242">
        <f>IF(N7242&gt;12,ROUNDDOWN(N7242/12,0),0)</f>
        <v>0</v>
      </c>
      <c r="Q7242" t="str">
        <v>x</v>
      </c>
      <c r="R7242">
        <f>IF(P7242&gt;0,MAX(VLOOKUP(F7242,$D$6:$G$15,3,FALSE),600),0)/1000</f>
        <v>0</v>
      </c>
      <c r="T7242" t="str">
        <v>x</v>
      </c>
      <c r="U7242">
        <f>U7241</f>
        <v>1.041885</v>
      </c>
      <c r="V7242" t="str">
        <v>x</v>
      </c>
      <c r="W7242">
        <f>D7242</f>
        <v>2</v>
      </c>
      <c r="X7242" t="str">
        <v>x</v>
      </c>
      <c r="Y7242">
        <f>Y7241</f>
        <v>1</v>
      </c>
      <c r="Z7242" t="str">
        <v>=</v>
      </c>
      <c r="AA7242">
        <f>(N7242+P7242*R7242/1000)*U7242*W7242*Y7242</f>
        <v>5.23443024</v>
      </c>
    </row>
    <row r="7244">
      <c r="A7244" t="str">
        <f>A7224</f>
        <v>Lantai 2</v>
      </c>
      <c r="B7244">
        <f>B7224</f>
        <v>46</v>
      </c>
      <c r="C7244" t="str">
        <v>Sengkang Tumpuan</v>
      </c>
      <c r="D7244">
        <f>VLOOKUP(D7224,'Detail Balok'!$C$10:$AU$110,31,FALSE)</f>
        <v>0</v>
      </c>
      <c r="E7244" t="str">
        <v>D</v>
      </c>
      <c r="F7244">
        <f>VLOOKUP(D7224,'Detail Balok'!$C$10:$AU$110,33,FALSE)</f>
        <v>8</v>
      </c>
      <c r="G7244" t="str">
        <v>-</v>
      </c>
      <c r="H7244">
        <f>VLOOKUP(D7224,'Detail Balok'!$C$10:$AU$110,35,FALSE)</f>
        <v>100</v>
      </c>
      <c r="J7244">
        <f>(IF(D7244=0,(2*(D7225+G7225))-(F$5*8),IF(D7244=3,(2*(D7225+G7225))-(F$5*8)+(G7225-2*F$5),IF(D7244=4,(2*(D7225+G7225))-(F$5*8)+2*(G7225-2*F$5)))))/1000</f>
        <v>0.68</v>
      </c>
      <c r="K7244" t="str">
        <v>+</v>
      </c>
      <c r="L7244">
        <f>IF(D7244=0,2*MAX(6*F7244,75),(D7244-1)*2*MAX(6*F7244,75))/1000</f>
        <v>0.15</v>
      </c>
      <c r="M7244" t="str">
        <v>=</v>
      </c>
      <c r="N7244">
        <f>J7244+L7244</f>
        <v>0.8300000000000001</v>
      </c>
      <c r="T7244" t="str">
        <v>x</v>
      </c>
      <c r="U7244">
        <f>0.006165*F7244^2</f>
        <v>0.39456</v>
      </c>
      <c r="V7244" t="str">
        <v>x</v>
      </c>
      <c r="W7244">
        <f>IF(D7227&gt;4*G7225,ROUND(MAX(D7227/4,2*G7225)/H7244,0)+1,ROUND(D7227/H7244,0)+1)</f>
        <v>7</v>
      </c>
      <c r="X7244" t="str">
        <v>x</v>
      </c>
      <c r="Y7244">
        <f>D7230</f>
        <v>1</v>
      </c>
      <c r="Z7244" t="str">
        <v>=</v>
      </c>
      <c r="AA7244">
        <f>N7244*U7244*W7244*Y7244</f>
        <v>2.2923936</v>
      </c>
    </row>
    <row r="7245">
      <c r="A7245" t="str">
        <f>A7224</f>
        <v>Lantai 2</v>
      </c>
      <c r="B7245">
        <f>B7224</f>
        <v>46</v>
      </c>
      <c r="C7245" t="str">
        <v>Sengkang Lapangan</v>
      </c>
      <c r="D7245">
        <f>VLOOKUP(D7224,'Detail Balok'!$C$10:$AU$110,36,FALSE)</f>
        <v>0</v>
      </c>
      <c r="E7245" t="str">
        <v>D</v>
      </c>
      <c r="F7245">
        <f>VLOOKUP(D7224,'Detail Balok'!$C$10:$AU$110,38,FALSE)</f>
        <v>8</v>
      </c>
      <c r="G7245" t="str">
        <v>-</v>
      </c>
      <c r="H7245">
        <f>VLOOKUP(D7224,'Detail Balok'!$C$10:$AU$110,40,FALSE)</f>
        <v>150</v>
      </c>
      <c r="J7245">
        <f>(IF(D7245=0,(2*(D7225+G7225))-(F$5*8),IF(D7245=3,(2*(D7225+G7225))-(F$5*8)+(G7225-2*F$5),IF(D7245=4,(2*(D7225+G7225))-(F$5*8)+2*(G7225-2*F$5)))))/1000</f>
        <v>0.68</v>
      </c>
      <c r="K7245" t="str">
        <v>+</v>
      </c>
      <c r="L7245">
        <f>IF(D7245=0,2*MAX(6*F7245,75),(D7245-1)*2*MAX(6*F7245,75))/1000</f>
        <v>0.15</v>
      </c>
      <c r="M7245" t="str">
        <v>=</v>
      </c>
      <c r="N7245">
        <f>J7245+L7245</f>
        <v>0.8300000000000001</v>
      </c>
      <c r="T7245" t="str">
        <v>x</v>
      </c>
      <c r="U7245">
        <f>0.006165*F7245^2</f>
        <v>0.39456</v>
      </c>
      <c r="V7245" t="str">
        <v>x</v>
      </c>
      <c r="W7245">
        <f>IF(D7227-MAX(D7227/4,2*G7225)*2&gt;0,ROUND((D7227-MAX(D7227/4,2*G7225)*2)/H7245,0),0)</f>
        <v>7</v>
      </c>
      <c r="X7245" t="str">
        <v>x</v>
      </c>
      <c r="Y7245">
        <f>D7230</f>
        <v>1</v>
      </c>
      <c r="Z7245" t="str">
        <v>=</v>
      </c>
      <c r="AA7245">
        <f>N7245*U7245*W7245*Y7245</f>
        <v>2.2923936</v>
      </c>
    </row>
    <row r="7246">
      <c r="A7246" t="str">
        <f>A7224</f>
        <v>Lantai 2</v>
      </c>
      <c r="B7246">
        <f>B7224</f>
        <v>46</v>
      </c>
      <c r="C7246" t="str">
        <v>Sengkang Tumpuan</v>
      </c>
      <c r="D7246">
        <f>VLOOKUP(D7224,'Detail Balok'!$C$10:$AU$110,41,FALSE)</f>
        <v>0</v>
      </c>
      <c r="E7246" t="str">
        <v>D</v>
      </c>
      <c r="F7246">
        <f>VLOOKUP(D7224,'Detail Balok'!$C$10:$AU$110,43,FALSE)</f>
        <v>8</v>
      </c>
      <c r="G7246" t="str">
        <v>-</v>
      </c>
      <c r="H7246">
        <f>VLOOKUP(D7224,'Detail Balok'!$C$10:$AU$110,45,FALSE)</f>
        <v>100</v>
      </c>
      <c r="J7246">
        <f>(IF(D7246=0,(2*(D7225+G7225))-(F$5*8),IF(D7246=3,(2*(D7225+G7225))-(F$5*8)+(G7225-2*F$5),IF(D7246=4,(2*(D7225+G7225))-(F$5*8)+2*(G7225-2*F$5)))))/1000</f>
        <v>0.68</v>
      </c>
      <c r="K7246" t="str">
        <v>+</v>
      </c>
      <c r="L7246">
        <f>IF(D7246=0,2*MAX(6*F7246,75),(D7246-1)*2*MAX(6*F7246,75))/1000</f>
        <v>0.15</v>
      </c>
      <c r="M7246" t="str">
        <v>=</v>
      </c>
      <c r="N7246">
        <f>J7246+L7246</f>
        <v>0.8300000000000001</v>
      </c>
      <c r="T7246" t="str">
        <v>x</v>
      </c>
      <c r="U7246">
        <f>0.006165*F7246^2</f>
        <v>0.39456</v>
      </c>
      <c r="V7246" t="str">
        <v>x</v>
      </c>
      <c r="W7246">
        <f>IF(D7227&gt;4*G7225,ROUND(MAX(D7227/4,2*G7225)/H7246,0)+1,0)</f>
        <v>7</v>
      </c>
      <c r="X7246" t="str">
        <v>x</v>
      </c>
      <c r="Y7246">
        <f>D7230</f>
        <v>1</v>
      </c>
      <c r="Z7246" t="str">
        <v>=</v>
      </c>
      <c r="AA7246">
        <f>N7246*U7246*W7246*Y7246</f>
        <v>2.2923936</v>
      </c>
    </row>
    <row r="7248">
      <c r="A7248" t="str">
        <f>A7224</f>
        <v>Lantai 2</v>
      </c>
      <c r="B7248">
        <f>B7224</f>
        <v>46</v>
      </c>
      <c r="C7248" t="str">
        <v>Kait Horizontal Tump.</v>
      </c>
      <c r="D7248">
        <f>VLOOKUP(D7224,'Detail Balok'!$C$10:$BJ$110,46,FALSE)</f>
        <v>0</v>
      </c>
      <c r="E7248" t="str">
        <v>D</v>
      </c>
      <c r="F7248">
        <f>VLOOKUP(D7224,'Detail Balok'!$C$10:$BJ$110,48,FALSE)</f>
        <v>0</v>
      </c>
      <c r="G7248" t="str">
        <v>-</v>
      </c>
      <c r="H7248">
        <f>VLOOKUP(D7224,'Detail Balok'!$C$10:$BJ$110,50,FALSE)</f>
        <v>100</v>
      </c>
      <c r="J7248">
        <f>(D7225-2*F$5)/1000</f>
        <v>0.12</v>
      </c>
      <c r="K7248" t="str">
        <v>+</v>
      </c>
      <c r="L7248">
        <f>IF(D7248=0,2*MAX(6*F7248,75),(D7248-1)*2*MAX(6*F7248,75))/1000</f>
        <v>0.15</v>
      </c>
      <c r="M7248" t="str">
        <v>=</v>
      </c>
      <c r="N7248">
        <f>J7248+L7248</f>
        <v>0.27</v>
      </c>
      <c r="T7248" t="str">
        <v>x</v>
      </c>
      <c r="U7248">
        <f>0.006165*F7248^2</f>
        <v>0</v>
      </c>
      <c r="V7248" t="str">
        <v>x</v>
      </c>
      <c r="W7248">
        <f>W7244</f>
        <v>7</v>
      </c>
      <c r="X7248" t="str">
        <v>x</v>
      </c>
      <c r="Y7248">
        <f>D7234</f>
        <v>2</v>
      </c>
      <c r="Z7248" t="str">
        <v>=</v>
      </c>
      <c r="AA7248">
        <f>N7248*U7248*W7248*Y7248</f>
        <v>0</v>
      </c>
    </row>
    <row r="7249">
      <c r="A7249" t="str">
        <f>A7224</f>
        <v>Lantai 2</v>
      </c>
      <c r="B7249">
        <f>B7224</f>
        <v>46</v>
      </c>
      <c r="C7249" t="str">
        <v>Kait Horizontal Lap.</v>
      </c>
      <c r="D7249">
        <f>VLOOKUP(D7224,'Detail Balok'!$C$10:$BJ$110,51,FALSE)</f>
        <v>0</v>
      </c>
      <c r="E7249" t="str">
        <v>D</v>
      </c>
      <c r="F7249">
        <f>VLOOKUP(D7224,'Detail Balok'!$C$10:$BJ$110,53,FALSE)</f>
        <v>0</v>
      </c>
      <c r="G7249" t="str">
        <v>-</v>
      </c>
      <c r="H7249">
        <f>VLOOKUP(D7224,'Detail Balok'!$C$10:$BJ$110,55,FALSE)</f>
        <v>100</v>
      </c>
      <c r="J7249">
        <f>(D7225-2*F$5)/1000</f>
        <v>0.12</v>
      </c>
      <c r="K7249" t="str">
        <v>+</v>
      </c>
      <c r="L7249">
        <f>IF(D7249=0,2*MAX(6*F7249,75),(D7249-1)*2*MAX(6*F7249,75))/1000</f>
        <v>0.15</v>
      </c>
      <c r="M7249" t="str">
        <v>=</v>
      </c>
      <c r="N7249">
        <f>J7249+L7249</f>
        <v>0.27</v>
      </c>
      <c r="T7249" t="str">
        <v>x</v>
      </c>
      <c r="U7249">
        <f>0.006165*F7249^2</f>
        <v>0</v>
      </c>
      <c r="V7249" t="str">
        <v>x</v>
      </c>
      <c r="W7249">
        <f>W7245</f>
        <v>7</v>
      </c>
      <c r="X7249" t="str">
        <v>x</v>
      </c>
      <c r="Y7249">
        <f>D7234</f>
        <v>2</v>
      </c>
      <c r="Z7249" t="str">
        <v>=</v>
      </c>
      <c r="AA7249">
        <f>N7249*U7249*W7249*Y7249</f>
        <v>0</v>
      </c>
    </row>
    <row r="7250">
      <c r="A7250" t="str">
        <f>A7224</f>
        <v>Lantai 2</v>
      </c>
      <c r="B7250">
        <f>B7224</f>
        <v>46</v>
      </c>
      <c r="C7250" t="str">
        <v>Kait Horizontal Tump.</v>
      </c>
      <c r="D7250">
        <f>VLOOKUP(D7224,'Detail Balok'!$C$10:$BJ$110,56,FALSE)</f>
        <v>0</v>
      </c>
      <c r="E7250" t="str">
        <v>D</v>
      </c>
      <c r="F7250">
        <f>VLOOKUP(D7224,'Detail Balok'!$C$10:$BJ$110,58,FALSE)</f>
        <v>0</v>
      </c>
      <c r="G7250" t="str">
        <v>-</v>
      </c>
      <c r="H7250">
        <f>VLOOKUP(D7224,'Detail Balok'!$C$10:$BJ$110,60,FALSE)</f>
        <v>100</v>
      </c>
      <c r="J7250">
        <f>(D7225-2*F$5)/1000</f>
        <v>0.12</v>
      </c>
      <c r="K7250" t="str">
        <v>+</v>
      </c>
      <c r="L7250">
        <f>IF(D7250=0,2*MAX(6*F7250,75),(D7250-1)*2*MAX(6*F7250,75))/1000</f>
        <v>0.15</v>
      </c>
      <c r="M7250" t="str">
        <v>=</v>
      </c>
      <c r="N7250">
        <f>J7250+L7250</f>
        <v>0.27</v>
      </c>
      <c r="T7250" t="str">
        <v>x</v>
      </c>
      <c r="U7250">
        <f>0.006165*F7250^2</f>
        <v>0</v>
      </c>
      <c r="V7250" t="str">
        <v>x</v>
      </c>
      <c r="W7250">
        <f>W7246</f>
        <v>7</v>
      </c>
      <c r="X7250" t="str">
        <v>x</v>
      </c>
      <c r="Y7250">
        <f>D7234</f>
        <v>2</v>
      </c>
      <c r="Z7250" t="str">
        <v>=</v>
      </c>
      <c r="AA7250">
        <f>N7250*U7250*W7250*Y7250</f>
        <v>0</v>
      </c>
    </row>
    <row r="7254">
      <c r="A7254" t="str">
        <f>A7224</f>
        <v>Lantai 2</v>
      </c>
      <c r="B7254">
        <f>B7224+1</f>
        <v>47</v>
      </c>
      <c r="C7254" t="str">
        <f>CONCATENATE(A7254," no. ",B7254)</f>
        <v>Lantai 2 no. 47</v>
      </c>
      <c r="D7254" t="str">
        <f>VLOOKUP(C7254,'Data Panjang Balok'!$C$9:$N$424,2,FALSE)</f>
        <v>B245-4</v>
      </c>
    </row>
    <row r="7255">
      <c r="C7255" t="str">
        <v>Dimensi</v>
      </c>
      <c r="D7255">
        <f>VLOOKUP(D7254,'Detail Balok'!$C$10:$AU$110,2,FALSE)</f>
        <v>200</v>
      </c>
      <c r="F7255" t="str">
        <v>x</v>
      </c>
      <c r="G7255">
        <f>VLOOKUP(D7254,'Detail Balok'!$C$10:$AU$110,3,FALSE)</f>
        <v>450</v>
      </c>
    </row>
    <row r="7256">
      <c r="C7256" t="str">
        <v>Panjang as ke as</v>
      </c>
      <c r="D7256">
        <f>VLOOKUP(C7254,'Data Panjang Balok'!$C$9:$N$424,4,FALSE)</f>
        <v>5100</v>
      </c>
    </row>
    <row r="7257">
      <c r="C7257" t="str">
        <v>Panjang netto</v>
      </c>
      <c r="D7257">
        <f>VLOOKUP(C7254,'Data Panjang Balok'!$C$9:$N$424,7,FALSE)</f>
        <v>5100</v>
      </c>
    </row>
    <row r="7258">
      <c r="C7258" t="str">
        <v>Kolom / balok kiri</v>
      </c>
      <c r="D7258">
        <f>VLOOKUP(C7254,'Data Panjang Balok'!$C$9:$N$424,9,FALSE)</f>
        <v>0</v>
      </c>
    </row>
    <row r="7259">
      <c r="C7259" t="str">
        <v>Kolom / balok kanan</v>
      </c>
      <c r="D7259">
        <f>VLOOKUP(C7254,'Data Panjang Balok'!$C$9:$N$424,10,FALSE)</f>
        <v>0</v>
      </c>
    </row>
    <row r="7260">
      <c r="C7260" t="str">
        <v>Jumlah</v>
      </c>
      <c r="D7260">
        <f>VLOOKUP(C7254,'Data Panjang Balok'!$C$9:$N$424,3,FALSE)</f>
        <v>1</v>
      </c>
    </row>
    <row r="7261">
      <c r="A7261" t="str">
        <f>A7254</f>
        <v>Lantai 2</v>
      </c>
      <c r="B7261">
        <f>B7254</f>
        <v>47</v>
      </c>
      <c r="C7261" t="str">
        <v>Tul Atas Tumpuan</v>
      </c>
      <c r="D7261">
        <f>VLOOKUP(D7254,'Detail Balok'!$C$10:$AU$110,4,FALSE)</f>
        <v>3</v>
      </c>
      <c r="E7261" t="str">
        <v>D</v>
      </c>
      <c r="F7261">
        <f>VLOOKUP(D7254,'Detail Balok'!$C$10:$AU$110,6,FALSE)</f>
        <v>16</v>
      </c>
      <c r="I7261" t="str">
        <v>(</v>
      </c>
      <c r="J7261">
        <f>+D7256/4/1000</f>
        <v>1.275</v>
      </c>
      <c r="K7261" t="str">
        <v>+</v>
      </c>
      <c r="L7261">
        <f>MAX(VLOOKUP(F7261,N$6:P$15,3,FALSE)/1000,2/3*D7258/1000)+F$16*F7261/1000</f>
        <v>0.192</v>
      </c>
      <c r="M7261" t="str">
        <v>=</v>
      </c>
      <c r="N7261">
        <f>J7261+L7261</f>
        <v>1.4669999999999999</v>
      </c>
      <c r="O7261" t="str">
        <v>+</v>
      </c>
      <c r="P7261">
        <f>D7261-D7262</f>
        <v>0</v>
      </c>
      <c r="Q7261" t="str">
        <v>x</v>
      </c>
      <c r="R7261">
        <f>IF(P7261&gt;0,$F$18*F7261/1000,0)</f>
        <v>0</v>
      </c>
      <c r="S7261" t="str">
        <v>)</v>
      </c>
      <c r="T7261" t="str">
        <v>x</v>
      </c>
      <c r="U7261">
        <f>0.006165*F7261^2</f>
        <v>1.57824</v>
      </c>
      <c r="X7261" t="str">
        <v>x</v>
      </c>
      <c r="Y7261">
        <f>D7260</f>
        <v>1</v>
      </c>
      <c r="Z7261" t="str">
        <v>=</v>
      </c>
      <c r="AA7261">
        <f>IF(AA7264=0,(D7261*N7261+P7261*R7261)*U7261*Y7261,0)</f>
        <v>0</v>
      </c>
    </row>
    <row r="7262">
      <c r="A7262" t="str">
        <f>A7254</f>
        <v>Lantai 2</v>
      </c>
      <c r="B7262">
        <f>B7254</f>
        <v>47</v>
      </c>
      <c r="C7262" t="str">
        <v>Tul Atas Lapangan</v>
      </c>
      <c r="D7262">
        <f>VLOOKUP(D7254,'Detail Balok'!$C$10:$AU$110,7,FALSE)</f>
        <v>3</v>
      </c>
      <c r="E7262" t="str">
        <v>D</v>
      </c>
      <c r="F7262">
        <f>VLOOKUP(D7254,'Detail Balok'!$C$10:$AU$110,9,FALSE)</f>
        <v>16</v>
      </c>
      <c r="I7262" t="str">
        <v>(</v>
      </c>
      <c r="J7262">
        <f>+D7256/2/1000</f>
        <v>2.55</v>
      </c>
      <c r="K7262" t="str">
        <v>+</v>
      </c>
      <c r="M7262" t="str">
        <v>=</v>
      </c>
      <c r="N7262">
        <f>J7262+L7262</f>
        <v>2.55</v>
      </c>
      <c r="O7262" t="str">
        <v>+</v>
      </c>
      <c r="P7262">
        <f>MAX(D7262-D7261,D7262-D7263)</f>
        <v>0</v>
      </c>
      <c r="Q7262" t="str">
        <v>x</v>
      </c>
      <c r="R7262">
        <f>IF(P7262&gt;0,2*(1-2*$F$19-1/2)*D7257/1000,0)</f>
        <v>0</v>
      </c>
      <c r="S7262" t="str">
        <v>)</v>
      </c>
      <c r="T7262" t="str">
        <v>x</v>
      </c>
      <c r="U7262">
        <f>0.006165*F7262^2</f>
        <v>1.57824</v>
      </c>
      <c r="X7262" t="str">
        <v>x</v>
      </c>
      <c r="Y7262">
        <f>D7260</f>
        <v>1</v>
      </c>
      <c r="Z7262" t="str">
        <v>=</v>
      </c>
      <c r="AA7262">
        <f>IF(AA7264=0,(D7262*N7262+P7262*R7262)*U7262*Y7262,0)</f>
        <v>0</v>
      </c>
    </row>
    <row r="7263">
      <c r="A7263" t="str">
        <f>A7254</f>
        <v>Lantai 2</v>
      </c>
      <c r="B7263">
        <f>B7254</f>
        <v>47</v>
      </c>
      <c r="C7263" t="str">
        <v>Tul Atas Tumpuan</v>
      </c>
      <c r="D7263">
        <f>VLOOKUP(D7254,'Detail Balok'!$C$10:$AU$110,10,FALSE)</f>
        <v>3</v>
      </c>
      <c r="E7263" t="str">
        <v>D</v>
      </c>
      <c r="F7263">
        <f>VLOOKUP(D7254,'Detail Balok'!$C$10:$AU$110,12,FALSE)</f>
        <v>16</v>
      </c>
      <c r="I7263" t="str">
        <v>(</v>
      </c>
      <c r="J7263">
        <f>+D7256/4/1000</f>
        <v>1.275</v>
      </c>
      <c r="K7263" t="str">
        <v>+</v>
      </c>
      <c r="L7263">
        <f>MAX(VLOOKUP(F7263,N$6:P$15,3,FALSE)/1000,2/3*D7258/1000)+F$16*F7263/1000</f>
        <v>0.192</v>
      </c>
      <c r="M7263" t="str">
        <v>=</v>
      </c>
      <c r="N7263">
        <f>J7263+L7263</f>
        <v>1.4669999999999999</v>
      </c>
      <c r="O7263" t="str">
        <v>+</v>
      </c>
      <c r="P7263">
        <f>D7263-D7262</f>
        <v>0</v>
      </c>
      <c r="Q7263" t="str">
        <v>x</v>
      </c>
      <c r="R7263">
        <f>IF(P7263&gt;0,$F$18*F7263/1000,0)</f>
        <v>0</v>
      </c>
      <c r="S7263" t="str">
        <v>)</v>
      </c>
      <c r="T7263" t="str">
        <v>x</v>
      </c>
      <c r="U7263">
        <f>0.006165*F7263^2</f>
        <v>1.57824</v>
      </c>
      <c r="X7263" t="str">
        <v>x</v>
      </c>
      <c r="Y7263">
        <f>D7260</f>
        <v>1</v>
      </c>
      <c r="Z7263" t="str">
        <v>=</v>
      </c>
      <c r="AA7263">
        <f>IF(AA7264=0,(D7263*N7263+P7263*R7263)*U7263*Y7263,0)</f>
        <v>0</v>
      </c>
    </row>
    <row r="7264">
      <c r="A7264" t="str">
        <f>A7254</f>
        <v>Lantai 2</v>
      </c>
      <c r="B7264">
        <f>B7254</f>
        <v>47</v>
      </c>
      <c r="D7264">
        <f>IF(AND(D7261=D7262,D7262=D7263,D7261=D7263),D7261,0)</f>
        <v>3</v>
      </c>
      <c r="E7264" t="str">
        <v>D</v>
      </c>
      <c r="F7264">
        <f>IF(AND(F7261=F7262,F7261=F7263,F7262=F7263),F7261,0)</f>
        <v>16</v>
      </c>
      <c r="L7264" t="str">
        <v>Total panjang per balok</v>
      </c>
      <c r="M7264" t="str">
        <v>=</v>
      </c>
      <c r="N7264">
        <f>IF(AND(D7261=D7262,D7261=D7263,D7262=D7263,F7261=F7262,F7261=F7263,F7262=F7263),SUM(N7261:N7263),0)</f>
        <v>5.483999999999999</v>
      </c>
      <c r="O7264" t="str">
        <v>+</v>
      </c>
      <c r="P7264">
        <f>IF(N7264&gt;12,ROUNDDOWN(N7264/12,0),0)</f>
        <v>0</v>
      </c>
      <c r="Q7264" t="str">
        <v>x</v>
      </c>
      <c r="R7264">
        <f>IF(P7264&gt;0,MAX(VLOOKUP(F7264,$D$6:$G$15,3,FALSE),600),0)/1000</f>
        <v>0</v>
      </c>
      <c r="T7264" t="str">
        <v>x</v>
      </c>
      <c r="U7264">
        <f>U7263</f>
        <v>1.57824</v>
      </c>
      <c r="V7264" t="str">
        <v>x</v>
      </c>
      <c r="W7264">
        <f>D7264</f>
        <v>3</v>
      </c>
      <c r="X7264" t="str">
        <v>x</v>
      </c>
      <c r="Y7264">
        <f>Y7263</f>
        <v>1</v>
      </c>
      <c r="Z7264" t="str">
        <v>=</v>
      </c>
      <c r="AA7264">
        <f>(N7264+P7264*R7264/1000)*U7264*W7264*Y7264</f>
        <v>25.965204479999997</v>
      </c>
    </row>
    <row r="7266">
      <c r="A7266" t="str">
        <f>A7254</f>
        <v>Lantai 2</v>
      </c>
      <c r="B7266">
        <f>B7254</f>
        <v>47</v>
      </c>
      <c r="C7266" t="str">
        <v>Tul Peminggang</v>
      </c>
      <c r="D7266">
        <f>VLOOKUP(D7254,'Detail Balok'!$C$10:$AU$110,13,FALSE)</f>
        <v>2</v>
      </c>
      <c r="E7266" t="str">
        <v>D</v>
      </c>
      <c r="F7266">
        <f>VLOOKUP(D7254,'Detail Balok'!$C$10:$AU$110,15,FALSE)</f>
        <v>8</v>
      </c>
      <c r="J7266">
        <f>+D7256/1000</f>
        <v>5.1</v>
      </c>
      <c r="K7266" t="str">
        <v>+</v>
      </c>
      <c r="L7266">
        <f>2*$F$16*F7266/1000</f>
        <v>0.192</v>
      </c>
      <c r="M7266" t="str">
        <v>=</v>
      </c>
      <c r="N7266">
        <f>J7266+L7266</f>
        <v>5.292</v>
      </c>
      <c r="O7266" t="str">
        <v>+</v>
      </c>
      <c r="P7266">
        <f>IF(N7266&gt;12,ROUNDDOWN(N7266/12,0),0)</f>
        <v>0</v>
      </c>
      <c r="Q7266" t="str">
        <v>x</v>
      </c>
      <c r="R7266">
        <f>IF(P7266&gt;0,MAX(VLOOKUP(F7266,$D$6:$G$15,3,FALSE),600),0)/1000</f>
        <v>0</v>
      </c>
      <c r="T7266" t="str">
        <v>x</v>
      </c>
      <c r="U7266">
        <f>0.006165*F7266^2</f>
        <v>0.39456</v>
      </c>
      <c r="V7266" t="str">
        <v>x</v>
      </c>
      <c r="W7266">
        <f>+D7266</f>
        <v>2</v>
      </c>
      <c r="X7266" t="str">
        <v>x</v>
      </c>
      <c r="Y7266">
        <f>D7260</f>
        <v>1</v>
      </c>
      <c r="Z7266" t="str">
        <v>=</v>
      </c>
      <c r="AA7266">
        <f>(N7266+P7266*R7266/1000)*U7266*W7266*Y7266</f>
        <v>4.1760230400000005</v>
      </c>
    </row>
    <row r="7269">
      <c r="A7269" t="str">
        <f>A7254</f>
        <v>Lantai 2</v>
      </c>
      <c r="B7269">
        <f>B7254</f>
        <v>47</v>
      </c>
      <c r="C7269" t="str">
        <v>Tul Bawah Tumpuan</v>
      </c>
      <c r="D7269">
        <f>VLOOKUP(D7254,'Detail Balok'!$C$10:$AU$110,22,FALSE)</f>
        <v>3</v>
      </c>
      <c r="E7269" t="str">
        <v>D</v>
      </c>
      <c r="F7269">
        <f>VLOOKUP(D7254,'Detail Balok'!$C$10:$AU$110,24,FALSE)</f>
        <v>16</v>
      </c>
      <c r="I7269" t="str">
        <v>(</v>
      </c>
      <c r="J7269">
        <f>+J7261</f>
        <v>1.275</v>
      </c>
      <c r="K7269" t="str">
        <v>+</v>
      </c>
      <c r="L7269">
        <f>MAX(VLOOKUP(F7269,N$6:P$15,3,FALSE)/1000,2/3*D7259/1000)+F$16*F7269/1000</f>
        <v>0.192</v>
      </c>
      <c r="M7269" t="str">
        <v>=</v>
      </c>
      <c r="N7269">
        <f>J7269+L7269</f>
        <v>1.4669999999999999</v>
      </c>
      <c r="O7269" t="str">
        <v>+</v>
      </c>
      <c r="P7269">
        <f>D7269-D7270</f>
        <v>0</v>
      </c>
      <c r="Q7269" t="str">
        <v>x</v>
      </c>
      <c r="R7269">
        <f>IF(P7269&gt;0,$F$18*F7269/1000,0)</f>
        <v>0</v>
      </c>
      <c r="S7269" t="str">
        <v>)</v>
      </c>
      <c r="T7269" t="str">
        <v>x</v>
      </c>
      <c r="U7269">
        <f>0.006165*F7269^2</f>
        <v>1.57824</v>
      </c>
      <c r="X7269" t="str">
        <v>x</v>
      </c>
      <c r="Y7269">
        <f>D7260</f>
        <v>1</v>
      </c>
      <c r="Z7269" t="str">
        <v>=</v>
      </c>
      <c r="AA7269">
        <f>IF(AA7272=0,(D7269*N7269+P7269*R7269)*U7269*Y7269,0)</f>
        <v>0</v>
      </c>
    </row>
    <row r="7270">
      <c r="A7270" t="str">
        <f>A7254</f>
        <v>Lantai 2</v>
      </c>
      <c r="B7270">
        <f>B7254</f>
        <v>47</v>
      </c>
      <c r="C7270" t="str">
        <v>Tul Bawah Lapangan</v>
      </c>
      <c r="D7270">
        <f>VLOOKUP(D7254,'Detail Balok'!$C$10:$AU$110,25,FALSE)</f>
        <v>3</v>
      </c>
      <c r="E7270" t="str">
        <v>D</v>
      </c>
      <c r="F7270">
        <f>VLOOKUP(D7254,'Detail Balok'!$C$10:$AU$110,27,FALSE)</f>
        <v>16</v>
      </c>
      <c r="I7270" t="str">
        <v>(</v>
      </c>
      <c r="J7270">
        <f>+J7262</f>
        <v>2.55</v>
      </c>
      <c r="K7270" t="str">
        <v>+</v>
      </c>
      <c r="M7270" t="str">
        <v>=</v>
      </c>
      <c r="N7270">
        <f>J7270+L7270</f>
        <v>2.55</v>
      </c>
      <c r="O7270" t="str">
        <v>+</v>
      </c>
      <c r="P7270">
        <f>MAX(D7270-D7269,D7270-D7271)</f>
        <v>0</v>
      </c>
      <c r="Q7270" t="str">
        <v>x</v>
      </c>
      <c r="R7270">
        <f>IF(P7270&gt;0,2*(1-2*$F$19-1/2)*D7257/1000,0)</f>
        <v>0</v>
      </c>
      <c r="S7270" t="str">
        <v>)</v>
      </c>
      <c r="T7270" t="str">
        <v>x</v>
      </c>
      <c r="U7270">
        <f>0.006165*F7270^2</f>
        <v>1.57824</v>
      </c>
      <c r="X7270" t="str">
        <v>x</v>
      </c>
      <c r="Y7270">
        <f>D7260</f>
        <v>1</v>
      </c>
      <c r="Z7270" t="str">
        <v>=</v>
      </c>
      <c r="AA7270">
        <f>IF(AA7272=0,(D7270*N7270+P7270*R7270)*U7270*Y7270,0)</f>
        <v>0</v>
      </c>
    </row>
    <row r="7271">
      <c r="A7271" t="str">
        <f>A7254</f>
        <v>Lantai 2</v>
      </c>
      <c r="B7271">
        <f>B7254</f>
        <v>47</v>
      </c>
      <c r="C7271" t="str">
        <v>Tul Bawah Tumpuan</v>
      </c>
      <c r="D7271">
        <f>VLOOKUP(D7254,'Detail Balok'!$C$10:$AU$110,28,FALSE)</f>
        <v>3</v>
      </c>
      <c r="E7271" t="str">
        <v>D</v>
      </c>
      <c r="F7271">
        <f>VLOOKUP(D7254,'Detail Balok'!$C$10:$AU$110,30,FALSE)</f>
        <v>16</v>
      </c>
      <c r="I7271" t="str">
        <v>(</v>
      </c>
      <c r="J7271">
        <f>+J7263</f>
        <v>1.275</v>
      </c>
      <c r="K7271" t="str">
        <v>+</v>
      </c>
      <c r="L7271">
        <f>MAX(VLOOKUP(F7271,N$6:P$15,3,FALSE)/1000,2/3*D7259/1000)+F$16*F7271/1000</f>
        <v>0.192</v>
      </c>
      <c r="M7271" t="str">
        <v>=</v>
      </c>
      <c r="N7271">
        <f>J7271+L7271</f>
        <v>1.4669999999999999</v>
      </c>
      <c r="O7271" t="str">
        <v>+</v>
      </c>
      <c r="P7271">
        <f>D7271-D7270</f>
        <v>0</v>
      </c>
      <c r="Q7271" t="str">
        <v>x</v>
      </c>
      <c r="R7271">
        <f>IF(P7271&gt;0,$F$18*F7271/1000,0)</f>
        <v>0</v>
      </c>
      <c r="S7271" t="str">
        <v>)</v>
      </c>
      <c r="T7271" t="str">
        <v>x</v>
      </c>
      <c r="U7271">
        <f>0.006165*F7271^2</f>
        <v>1.57824</v>
      </c>
      <c r="X7271" t="str">
        <v>x</v>
      </c>
      <c r="Y7271">
        <f>D7260</f>
        <v>1</v>
      </c>
      <c r="Z7271" t="str">
        <v>=</v>
      </c>
      <c r="AA7271">
        <f>IF(AA7272=0,(D7271*N7271+P7271*R7271)*U7271*Y7271,0)</f>
        <v>0</v>
      </c>
    </row>
    <row r="7272">
      <c r="A7272" t="str">
        <f>A7254</f>
        <v>Lantai 2</v>
      </c>
      <c r="B7272">
        <f>B7254</f>
        <v>47</v>
      </c>
      <c r="D7272">
        <f>IF(AND(D7269=D7270,D7270=D7271,D7269=D7271),D7269,0)</f>
        <v>3</v>
      </c>
      <c r="E7272" t="str">
        <v>D</v>
      </c>
      <c r="F7272">
        <f>IF(AND(F7269=F7270,F7269=F7271,F7270=F7271),F7269,0)</f>
        <v>16</v>
      </c>
      <c r="L7272" t="str">
        <v>Total panjang per balok</v>
      </c>
      <c r="M7272" t="str">
        <v>=</v>
      </c>
      <c r="N7272">
        <f>IF(AND(D7269=D7270,D7269=D7271,D7270=D7271,F7269=F7270,F7269=F7271,F7270=F7271),SUM(N7269:N7271),0)</f>
        <v>5.483999999999999</v>
      </c>
      <c r="O7272" t="str">
        <v>+</v>
      </c>
      <c r="P7272">
        <f>IF(N7272&gt;12,ROUNDDOWN(N7272/12,0),0)</f>
        <v>0</v>
      </c>
      <c r="Q7272" t="str">
        <v>x</v>
      </c>
      <c r="R7272">
        <f>IF(P7272&gt;0,MAX(VLOOKUP(F7272,$D$6:$G$15,3,FALSE),600),0)/1000</f>
        <v>0</v>
      </c>
      <c r="T7272" t="str">
        <v>x</v>
      </c>
      <c r="U7272">
        <f>U7271</f>
        <v>1.57824</v>
      </c>
      <c r="V7272" t="str">
        <v>x</v>
      </c>
      <c r="W7272">
        <f>D7272</f>
        <v>3</v>
      </c>
      <c r="X7272" t="str">
        <v>x</v>
      </c>
      <c r="Y7272">
        <f>Y7271</f>
        <v>1</v>
      </c>
      <c r="Z7272" t="str">
        <v>=</v>
      </c>
      <c r="AA7272">
        <f>(N7272+P7272*R7272/1000)*U7272*W7272*Y7272</f>
        <v>25.965204479999997</v>
      </c>
    </row>
    <row r="7274">
      <c r="A7274" t="str">
        <f>A7254</f>
        <v>Lantai 2</v>
      </c>
      <c r="B7274">
        <f>B7254</f>
        <v>47</v>
      </c>
      <c r="C7274" t="str">
        <v>Sengkang Tumpuan</v>
      </c>
      <c r="D7274">
        <f>VLOOKUP(D7254,'Detail Balok'!$C$10:$AU$110,31,FALSE)</f>
        <v>0</v>
      </c>
      <c r="E7274" t="str">
        <v>D</v>
      </c>
      <c r="F7274">
        <f>VLOOKUP(D7254,'Detail Balok'!$C$10:$AU$110,33,FALSE)</f>
        <v>8</v>
      </c>
      <c r="G7274" t="str">
        <v>-</v>
      </c>
      <c r="H7274">
        <f>VLOOKUP(D7254,'Detail Balok'!$C$10:$AU$110,35,FALSE)</f>
        <v>100</v>
      </c>
      <c r="J7274">
        <f>(IF(D7274=0,(2*(D7255+G7255))-(F$5*8),IF(D7274=3,(2*(D7255+G7255))-(F$5*8)+(G7255-2*F$5),IF(D7274=4,(2*(D7255+G7255))-(F$5*8)+2*(G7255-2*F$5)))))/1000</f>
        <v>0.98</v>
      </c>
      <c r="K7274" t="str">
        <v>+</v>
      </c>
      <c r="L7274">
        <f>IF(D7274=0,2*MAX(6*F7274,75),(D7274-1)*2*MAX(6*F7274,75))/1000</f>
        <v>0.15</v>
      </c>
      <c r="M7274" t="str">
        <v>=</v>
      </c>
      <c r="N7274">
        <f>J7274+L7274</f>
        <v>1.13</v>
      </c>
      <c r="T7274" t="str">
        <v>x</v>
      </c>
      <c r="U7274">
        <f>0.006165*F7274^2</f>
        <v>0.39456</v>
      </c>
      <c r="V7274" t="str">
        <v>x</v>
      </c>
      <c r="W7274">
        <f>IF(D7257&gt;4*G7255,ROUND(MAX(D7257/4,2*G7255)/H7274,0)+1,ROUND(D7257/H7274,0)+1)</f>
        <v>14</v>
      </c>
      <c r="X7274" t="str">
        <v>x</v>
      </c>
      <c r="Y7274">
        <f>D7260</f>
        <v>1</v>
      </c>
      <c r="Z7274" t="str">
        <v>=</v>
      </c>
      <c r="AA7274">
        <f>N7274*U7274*W7274*Y7274</f>
        <v>6.2419392</v>
      </c>
    </row>
    <row r="7275">
      <c r="A7275" t="str">
        <f>A7254</f>
        <v>Lantai 2</v>
      </c>
      <c r="B7275">
        <f>B7254</f>
        <v>47</v>
      </c>
      <c r="C7275" t="str">
        <v>Sengkang Lapangan</v>
      </c>
      <c r="D7275">
        <f>VLOOKUP(D7254,'Detail Balok'!$C$10:$AU$110,36,FALSE)</f>
        <v>0</v>
      </c>
      <c r="E7275" t="str">
        <v>D</v>
      </c>
      <c r="F7275">
        <f>VLOOKUP(D7254,'Detail Balok'!$C$10:$AU$110,38,FALSE)</f>
        <v>8</v>
      </c>
      <c r="G7275" t="str">
        <v>-</v>
      </c>
      <c r="H7275">
        <f>VLOOKUP(D7254,'Detail Balok'!$C$10:$AU$110,40,FALSE)</f>
        <v>200</v>
      </c>
      <c r="J7275">
        <f>(IF(D7275=0,(2*(D7255+G7255))-(F$5*8),IF(D7275=3,(2*(D7255+G7255))-(F$5*8)+(G7255-2*F$5),IF(D7275=4,(2*(D7255+G7255))-(F$5*8)+2*(G7255-2*F$5)))))/1000</f>
        <v>0.98</v>
      </c>
      <c r="K7275" t="str">
        <v>+</v>
      </c>
      <c r="L7275">
        <f>IF(D7275=0,2*MAX(6*F7275,75),(D7275-1)*2*MAX(6*F7275,75))/1000</f>
        <v>0.15</v>
      </c>
      <c r="M7275" t="str">
        <v>=</v>
      </c>
      <c r="N7275">
        <f>J7275+L7275</f>
        <v>1.13</v>
      </c>
      <c r="T7275" t="str">
        <v>x</v>
      </c>
      <c r="U7275">
        <f>0.006165*F7275^2</f>
        <v>0.39456</v>
      </c>
      <c r="V7275" t="str">
        <v>x</v>
      </c>
      <c r="W7275">
        <f>IF(D7257-MAX(D7257/4,2*G7255)*2&gt;0,ROUND((D7257-MAX(D7257/4,2*G7255)*2)/H7275,0),0)</f>
        <v>13</v>
      </c>
      <c r="X7275" t="str">
        <v>x</v>
      </c>
      <c r="Y7275">
        <f>D7260</f>
        <v>1</v>
      </c>
      <c r="Z7275" t="str">
        <v>=</v>
      </c>
      <c r="AA7275">
        <f>N7275*U7275*W7275*Y7275</f>
        <v>5.7960864</v>
      </c>
    </row>
    <row r="7276">
      <c r="A7276" t="str">
        <f>A7254</f>
        <v>Lantai 2</v>
      </c>
      <c r="B7276">
        <f>B7254</f>
        <v>47</v>
      </c>
      <c r="C7276" t="str">
        <v>Sengkang Tumpuan</v>
      </c>
      <c r="D7276">
        <f>VLOOKUP(D7254,'Detail Balok'!$C$10:$AU$110,41,FALSE)</f>
        <v>0</v>
      </c>
      <c r="E7276" t="str">
        <v>D</v>
      </c>
      <c r="F7276">
        <f>VLOOKUP(D7254,'Detail Balok'!$C$10:$AU$110,43,FALSE)</f>
        <v>8</v>
      </c>
      <c r="G7276" t="str">
        <v>-</v>
      </c>
      <c r="H7276">
        <f>VLOOKUP(D7254,'Detail Balok'!$C$10:$AU$110,45,FALSE)</f>
        <v>100</v>
      </c>
      <c r="J7276">
        <f>(IF(D7276=0,(2*(D7255+G7255))-(F$5*8),IF(D7276=3,(2*(D7255+G7255))-(F$5*8)+(G7255-2*F$5),IF(D7276=4,(2*(D7255+G7255))-(F$5*8)+2*(G7255-2*F$5)))))/1000</f>
        <v>0.98</v>
      </c>
      <c r="K7276" t="str">
        <v>+</v>
      </c>
      <c r="L7276">
        <f>IF(D7276=0,2*MAX(6*F7276,75),(D7276-1)*2*MAX(6*F7276,75))/1000</f>
        <v>0.15</v>
      </c>
      <c r="M7276" t="str">
        <v>=</v>
      </c>
      <c r="N7276">
        <f>J7276+L7276</f>
        <v>1.13</v>
      </c>
      <c r="T7276" t="str">
        <v>x</v>
      </c>
      <c r="U7276">
        <f>0.006165*F7276^2</f>
        <v>0.39456</v>
      </c>
      <c r="V7276" t="str">
        <v>x</v>
      </c>
      <c r="W7276">
        <f>IF(D7257&gt;4*G7255,ROUND(MAX(D7257/4,2*G7255)/H7276,0)+1,0)</f>
        <v>14</v>
      </c>
      <c r="X7276" t="str">
        <v>x</v>
      </c>
      <c r="Y7276">
        <f>D7260</f>
        <v>1</v>
      </c>
      <c r="Z7276" t="str">
        <v>=</v>
      </c>
      <c r="AA7276">
        <f>N7276*U7276*W7276*Y7276</f>
        <v>6.2419392</v>
      </c>
    </row>
    <row r="7278">
      <c r="A7278" t="str">
        <f>A7254</f>
        <v>Lantai 2</v>
      </c>
      <c r="B7278">
        <f>B7254</f>
        <v>47</v>
      </c>
      <c r="C7278" t="str">
        <v>Kait Horizontal Tump.</v>
      </c>
      <c r="D7278">
        <f>VLOOKUP(D7254,'Detail Balok'!$C$10:$BJ$110,46,FALSE)</f>
        <v>0</v>
      </c>
      <c r="E7278" t="str">
        <v>D</v>
      </c>
      <c r="F7278">
        <f>VLOOKUP(D7254,'Detail Balok'!$C$10:$BJ$110,48,FALSE)</f>
        <v>0</v>
      </c>
      <c r="G7278" t="str">
        <v>-</v>
      </c>
      <c r="H7278">
        <f>VLOOKUP(D7254,'Detail Balok'!$C$10:$BJ$110,50,FALSE)</f>
        <v>100</v>
      </c>
      <c r="J7278">
        <f>(D7255-2*F$5)/1000</f>
        <v>0.12</v>
      </c>
      <c r="K7278" t="str">
        <v>+</v>
      </c>
      <c r="L7278">
        <f>IF(D7278=0,2*MAX(6*F7278,75),(D7278-1)*2*MAX(6*F7278,75))/1000</f>
        <v>0.15</v>
      </c>
      <c r="M7278" t="str">
        <v>=</v>
      </c>
      <c r="N7278">
        <f>J7278+L7278</f>
        <v>0.27</v>
      </c>
      <c r="T7278" t="str">
        <v>x</v>
      </c>
      <c r="U7278">
        <f>0.006165*F7278^2</f>
        <v>0</v>
      </c>
      <c r="V7278" t="str">
        <v>x</v>
      </c>
      <c r="W7278">
        <f>W7274</f>
        <v>14</v>
      </c>
      <c r="X7278" t="str">
        <v>x</v>
      </c>
      <c r="Y7278">
        <f>D7264</f>
        <v>3</v>
      </c>
      <c r="Z7278" t="str">
        <v>=</v>
      </c>
      <c r="AA7278">
        <f>N7278*U7278*W7278*Y7278</f>
        <v>0</v>
      </c>
    </row>
    <row r="7279">
      <c r="A7279" t="str">
        <f>A7254</f>
        <v>Lantai 2</v>
      </c>
      <c r="B7279">
        <f>B7254</f>
        <v>47</v>
      </c>
      <c r="C7279" t="str">
        <v>Kait Horizontal Lap.</v>
      </c>
      <c r="D7279">
        <f>VLOOKUP(D7254,'Detail Balok'!$C$10:$BJ$110,51,FALSE)</f>
        <v>0</v>
      </c>
      <c r="E7279" t="str">
        <v>D</v>
      </c>
      <c r="F7279">
        <f>VLOOKUP(D7254,'Detail Balok'!$C$10:$BJ$110,53,FALSE)</f>
        <v>0</v>
      </c>
      <c r="G7279" t="str">
        <v>-</v>
      </c>
      <c r="H7279">
        <f>VLOOKUP(D7254,'Detail Balok'!$C$10:$BJ$110,55,FALSE)</f>
        <v>100</v>
      </c>
      <c r="J7279">
        <f>(D7255-2*F$5)/1000</f>
        <v>0.12</v>
      </c>
      <c r="K7279" t="str">
        <v>+</v>
      </c>
      <c r="L7279">
        <f>IF(D7279=0,2*MAX(6*F7279,75),(D7279-1)*2*MAX(6*F7279,75))/1000</f>
        <v>0.15</v>
      </c>
      <c r="M7279" t="str">
        <v>=</v>
      </c>
      <c r="N7279">
        <f>J7279+L7279</f>
        <v>0.27</v>
      </c>
      <c r="T7279" t="str">
        <v>x</v>
      </c>
      <c r="U7279">
        <f>0.006165*F7279^2</f>
        <v>0</v>
      </c>
      <c r="V7279" t="str">
        <v>x</v>
      </c>
      <c r="W7279">
        <f>W7275</f>
        <v>13</v>
      </c>
      <c r="X7279" t="str">
        <v>x</v>
      </c>
      <c r="Y7279">
        <f>D7264</f>
        <v>3</v>
      </c>
      <c r="Z7279" t="str">
        <v>=</v>
      </c>
      <c r="AA7279">
        <f>N7279*U7279*W7279*Y7279</f>
        <v>0</v>
      </c>
    </row>
    <row r="7280">
      <c r="A7280" t="str">
        <f>A7254</f>
        <v>Lantai 2</v>
      </c>
      <c r="B7280">
        <f>B7254</f>
        <v>47</v>
      </c>
      <c r="C7280" t="str">
        <v>Kait Horizontal Tump.</v>
      </c>
      <c r="D7280">
        <f>VLOOKUP(D7254,'Detail Balok'!$C$10:$BJ$110,56,FALSE)</f>
        <v>0</v>
      </c>
      <c r="E7280" t="str">
        <v>D</v>
      </c>
      <c r="F7280">
        <f>VLOOKUP(D7254,'Detail Balok'!$C$10:$BJ$110,58,FALSE)</f>
        <v>0</v>
      </c>
      <c r="G7280" t="str">
        <v>-</v>
      </c>
      <c r="H7280">
        <f>VLOOKUP(D7254,'Detail Balok'!$C$10:$BJ$110,60,FALSE)</f>
        <v>100</v>
      </c>
      <c r="J7280">
        <f>(D7255-2*F$5)/1000</f>
        <v>0.12</v>
      </c>
      <c r="K7280" t="str">
        <v>+</v>
      </c>
      <c r="L7280">
        <f>IF(D7280=0,2*MAX(6*F7280,75),(D7280-1)*2*MAX(6*F7280,75))/1000</f>
        <v>0.15</v>
      </c>
      <c r="M7280" t="str">
        <v>=</v>
      </c>
      <c r="N7280">
        <f>J7280+L7280</f>
        <v>0.27</v>
      </c>
      <c r="T7280" t="str">
        <v>x</v>
      </c>
      <c r="U7280">
        <f>0.006165*F7280^2</f>
        <v>0</v>
      </c>
      <c r="V7280" t="str">
        <v>x</v>
      </c>
      <c r="W7280">
        <f>W7276</f>
        <v>14</v>
      </c>
      <c r="X7280" t="str">
        <v>x</v>
      </c>
      <c r="Y7280">
        <f>D7264</f>
        <v>3</v>
      </c>
      <c r="Z7280" t="str">
        <v>=</v>
      </c>
      <c r="AA7280">
        <f>N7280*U7280*W7280*Y7280</f>
        <v>0</v>
      </c>
    </row>
    <row r="7284">
      <c r="A7284" t="str">
        <f>A7254</f>
        <v>Lantai 2</v>
      </c>
      <c r="B7284">
        <f>B7254+1</f>
        <v>48</v>
      </c>
      <c r="C7284" t="str">
        <f>CONCATENATE(A7284," no. ",B7284)</f>
        <v>Lantai 2 no. 48</v>
      </c>
      <c r="D7284" t="str">
        <f>VLOOKUP(C7284,'Data Panjang Balok'!$C$9:$N$424,2,FALSE)</f>
        <v>B26-1</v>
      </c>
    </row>
    <row r="7285">
      <c r="C7285" t="str">
        <v>Dimensi</v>
      </c>
      <c r="D7285">
        <f>VLOOKUP(D7284,'Detail Balok'!$C$10:$AU$110,2,FALSE)</f>
        <v>200</v>
      </c>
      <c r="F7285" t="str">
        <v>x</v>
      </c>
      <c r="G7285">
        <f>VLOOKUP(D7284,'Detail Balok'!$C$10:$AU$110,3,FALSE)</f>
        <v>600</v>
      </c>
    </row>
    <row r="7286">
      <c r="C7286" t="str">
        <v>Panjang as ke as</v>
      </c>
      <c r="D7286">
        <f>VLOOKUP(C7284,'Data Panjang Balok'!$C$9:$N$424,4,FALSE)</f>
        <v>8000</v>
      </c>
    </row>
    <row r="7287">
      <c r="C7287" t="str">
        <v>Panjang netto</v>
      </c>
      <c r="D7287">
        <f>VLOOKUP(C7284,'Data Panjang Balok'!$C$9:$N$424,7,FALSE)</f>
        <v>8000</v>
      </c>
    </row>
    <row r="7288">
      <c r="C7288" t="str">
        <v>Kolom / balok kiri</v>
      </c>
      <c r="D7288">
        <f>VLOOKUP(C7284,'Data Panjang Balok'!$C$9:$N$424,9,FALSE)</f>
        <v>0</v>
      </c>
    </row>
    <row r="7289">
      <c r="C7289" t="str">
        <v>Kolom / balok kanan</v>
      </c>
      <c r="D7289">
        <f>VLOOKUP(C7284,'Data Panjang Balok'!$C$9:$N$424,10,FALSE)</f>
        <v>0</v>
      </c>
    </row>
    <row r="7290">
      <c r="C7290" t="str">
        <v>Jumlah</v>
      </c>
      <c r="D7290">
        <f>VLOOKUP(C7284,'Data Panjang Balok'!$C$9:$N$424,3,FALSE)</f>
        <v>1</v>
      </c>
    </row>
    <row r="7291">
      <c r="A7291" t="str">
        <f>A7284</f>
        <v>Lantai 2</v>
      </c>
      <c r="B7291">
        <f>B7284</f>
        <v>48</v>
      </c>
      <c r="C7291" t="str">
        <v>Tul Atas Tumpuan</v>
      </c>
      <c r="D7291">
        <f>VLOOKUP(D7284,'Detail Balok'!$C$10:$AU$110,4,FALSE)</f>
        <v>2</v>
      </c>
      <c r="E7291" t="str">
        <v>D</v>
      </c>
      <c r="F7291">
        <f>VLOOKUP(D7284,'Detail Balok'!$C$10:$AU$110,6,FALSE)</f>
        <v>16</v>
      </c>
      <c r="I7291" t="str">
        <v>(</v>
      </c>
      <c r="J7291">
        <f>+D7286/4/1000</f>
        <v>2</v>
      </c>
      <c r="K7291" t="str">
        <v>+</v>
      </c>
      <c r="L7291">
        <f>MAX(VLOOKUP(F7291,N$6:P$15,3,FALSE)/1000,2/3*D7288/1000)+F$16*F7291/1000</f>
        <v>0.192</v>
      </c>
      <c r="M7291" t="str">
        <v>=</v>
      </c>
      <c r="N7291">
        <f>J7291+L7291</f>
        <v>2.192</v>
      </c>
      <c r="O7291" t="str">
        <v>+</v>
      </c>
      <c r="P7291">
        <f>D7291-D7292</f>
        <v>0</v>
      </c>
      <c r="Q7291" t="str">
        <v>x</v>
      </c>
      <c r="R7291">
        <f>IF(P7291&gt;0,$F$18*F7291/1000,0)</f>
        <v>0</v>
      </c>
      <c r="S7291" t="str">
        <v>)</v>
      </c>
      <c r="T7291" t="str">
        <v>x</v>
      </c>
      <c r="U7291">
        <f>0.006165*F7291^2</f>
        <v>1.57824</v>
      </c>
      <c r="X7291" t="str">
        <v>x</v>
      </c>
      <c r="Y7291">
        <f>D7290</f>
        <v>1</v>
      </c>
      <c r="Z7291" t="str">
        <v>=</v>
      </c>
      <c r="AA7291">
        <f>IF(AA7294=0,(D7291*N7291+P7291*R7291)*U7291*Y7291,0)</f>
        <v>6.919004160000001</v>
      </c>
    </row>
    <row r="7292">
      <c r="A7292" t="str">
        <f>A7284</f>
        <v>Lantai 2</v>
      </c>
      <c r="B7292">
        <f>B7284</f>
        <v>48</v>
      </c>
      <c r="C7292" t="str">
        <v>Tul Atas Lapangan</v>
      </c>
      <c r="D7292">
        <f>VLOOKUP(D7284,'Detail Balok'!$C$10:$AU$110,7,FALSE)</f>
        <v>2</v>
      </c>
      <c r="E7292" t="str">
        <v>D</v>
      </c>
      <c r="F7292">
        <f>VLOOKUP(D7284,'Detail Balok'!$C$10:$AU$110,9,FALSE)</f>
        <v>16</v>
      </c>
      <c r="I7292" t="str">
        <v>(</v>
      </c>
      <c r="J7292">
        <f>+D7286/2/1000</f>
        <v>4</v>
      </c>
      <c r="K7292" t="str">
        <v>+</v>
      </c>
      <c r="M7292" t="str">
        <v>=</v>
      </c>
      <c r="N7292">
        <f>J7292+L7292</f>
        <v>4</v>
      </c>
      <c r="O7292" t="str">
        <v>+</v>
      </c>
      <c r="P7292">
        <f>MAX(D7292-D7291,D7292-D7293)</f>
        <v>0</v>
      </c>
      <c r="Q7292" t="str">
        <v>x</v>
      </c>
      <c r="R7292">
        <f>IF(P7292&gt;0,2*(1-2*$F$19-1/2)*D7287/1000,0)</f>
        <v>0</v>
      </c>
      <c r="S7292" t="str">
        <v>)</v>
      </c>
      <c r="T7292" t="str">
        <v>x</v>
      </c>
      <c r="U7292">
        <f>0.006165*F7292^2</f>
        <v>1.57824</v>
      </c>
      <c r="X7292" t="str">
        <v>x</v>
      </c>
      <c r="Y7292">
        <f>D7290</f>
        <v>1</v>
      </c>
      <c r="Z7292" t="str">
        <v>=</v>
      </c>
      <c r="AA7292">
        <f>IF(AA7294=0,(D7292*N7292+P7292*R7292)*U7292*Y7292,0)</f>
        <v>12.62592</v>
      </c>
    </row>
    <row r="7293">
      <c r="A7293" t="str">
        <f>A7284</f>
        <v>Lantai 2</v>
      </c>
      <c r="B7293">
        <f>B7284</f>
        <v>48</v>
      </c>
      <c r="C7293" t="str">
        <v>Tul Atas Tumpuan</v>
      </c>
      <c r="D7293">
        <f>VLOOKUP(D7284,'Detail Balok'!$C$10:$AU$110,10,FALSE)</f>
        <v>5</v>
      </c>
      <c r="E7293" t="str">
        <v>D</v>
      </c>
      <c r="F7293">
        <f>VLOOKUP(D7284,'Detail Balok'!$C$10:$AU$110,12,FALSE)</f>
        <v>16</v>
      </c>
      <c r="I7293" t="str">
        <v>(</v>
      </c>
      <c r="J7293">
        <f>+D7286/4/1000</f>
        <v>2</v>
      </c>
      <c r="K7293" t="str">
        <v>+</v>
      </c>
      <c r="L7293">
        <f>MAX(VLOOKUP(F7293,N$6:P$15,3,FALSE)/1000,2/3*D7288/1000)+F$16*F7293/1000</f>
        <v>0.192</v>
      </c>
      <c r="M7293" t="str">
        <v>=</v>
      </c>
      <c r="N7293">
        <f>J7293+L7293</f>
        <v>2.192</v>
      </c>
      <c r="O7293" t="str">
        <v>+</v>
      </c>
      <c r="P7293">
        <f>D7293-D7292</f>
        <v>3</v>
      </c>
      <c r="Q7293" t="str">
        <v>x</v>
      </c>
      <c r="R7293">
        <f>IF(P7293&gt;0,$F$18*F7293/1000,0)</f>
        <v>0.24</v>
      </c>
      <c r="S7293" t="str">
        <v>)</v>
      </c>
      <c r="T7293" t="str">
        <v>x</v>
      </c>
      <c r="U7293">
        <f>0.006165*F7293^2</f>
        <v>1.57824</v>
      </c>
      <c r="X7293" t="str">
        <v>x</v>
      </c>
      <c r="Y7293">
        <f>D7290</f>
        <v>1</v>
      </c>
      <c r="Z7293" t="str">
        <v>=</v>
      </c>
      <c r="AA7293">
        <f>IF(AA7294=0,(D7293*N7293+P7293*R7293)*U7293*Y7293,0)</f>
        <v>18.433843200000002</v>
      </c>
    </row>
    <row r="7294">
      <c r="A7294" t="str">
        <f>A7284</f>
        <v>Lantai 2</v>
      </c>
      <c r="B7294">
        <f>B7284</f>
        <v>48</v>
      </c>
      <c r="D7294">
        <f>IF(AND(D7291=D7292,D7292=D7293,D7291=D7293),D7291,0)</f>
        <v>0</v>
      </c>
      <c r="E7294" t="str">
        <v>D</v>
      </c>
      <c r="F7294">
        <f>IF(AND(F7291=F7292,F7291=F7293,F7292=F7293),F7291,0)</f>
        <v>16</v>
      </c>
      <c r="L7294" t="str">
        <v>Total panjang per balok</v>
      </c>
      <c r="M7294" t="str">
        <v>=</v>
      </c>
      <c r="N7294">
        <f>IF(AND(D7291=D7292,D7291=D7293,D7292=D7293,F7291=F7292,F7291=F7293,F7292=F7293),SUM(N7291:N7293),0)</f>
        <v>0</v>
      </c>
      <c r="O7294" t="str">
        <v>+</v>
      </c>
      <c r="P7294">
        <f>IF(N7294&gt;12,ROUNDDOWN(N7294/12,0),0)</f>
        <v>0</v>
      </c>
      <c r="Q7294" t="str">
        <v>x</v>
      </c>
      <c r="R7294">
        <f>IF(P7294&gt;0,MAX(VLOOKUP(F7294,$D$6:$G$15,3,FALSE),600),0)/1000</f>
        <v>0</v>
      </c>
      <c r="T7294" t="str">
        <v>x</v>
      </c>
      <c r="U7294">
        <f>U7293</f>
        <v>1.57824</v>
      </c>
      <c r="V7294" t="str">
        <v>x</v>
      </c>
      <c r="W7294">
        <f>D7294</f>
        <v>0</v>
      </c>
      <c r="X7294" t="str">
        <v>x</v>
      </c>
      <c r="Y7294">
        <f>Y7293</f>
        <v>1</v>
      </c>
      <c r="Z7294" t="str">
        <v>=</v>
      </c>
      <c r="AA7294">
        <f>(N7294+P7294*R7294/1000)*U7294*W7294*Y7294</f>
        <v>0</v>
      </c>
    </row>
    <row r="7296">
      <c r="A7296" t="str">
        <f>A7284</f>
        <v>Lantai 2</v>
      </c>
      <c r="B7296">
        <f>B7284</f>
        <v>48</v>
      </c>
      <c r="C7296" t="str">
        <v>Tul Peminggang</v>
      </c>
      <c r="D7296">
        <f>VLOOKUP(D7284,'Detail Balok'!$C$10:$AU$110,13,FALSE)</f>
        <v>2</v>
      </c>
      <c r="E7296" t="str">
        <v>D</v>
      </c>
      <c r="F7296">
        <f>VLOOKUP(D7284,'Detail Balok'!$C$10:$AU$110,15,FALSE)</f>
        <v>10</v>
      </c>
      <c r="J7296">
        <f>+D7286/1000</f>
        <v>8</v>
      </c>
      <c r="K7296" t="str">
        <v>+</v>
      </c>
      <c r="L7296">
        <f>2*$F$16*F7296/1000</f>
        <v>0.24</v>
      </c>
      <c r="M7296" t="str">
        <v>=</v>
      </c>
      <c r="N7296">
        <f>J7296+L7296</f>
        <v>8.24</v>
      </c>
      <c r="O7296" t="str">
        <v>+</v>
      </c>
      <c r="P7296">
        <f>IF(N7296&gt;12,ROUNDDOWN(N7296/12,0),0)</f>
        <v>0</v>
      </c>
      <c r="Q7296" t="str">
        <v>x</v>
      </c>
      <c r="R7296">
        <f>IF(P7296&gt;0,MAX(VLOOKUP(F7296,$D$6:$G$15,3,FALSE),600),0)/1000</f>
        <v>0</v>
      </c>
      <c r="T7296" t="str">
        <v>x</v>
      </c>
      <c r="U7296">
        <f>0.006165*F7296^2</f>
        <v>0.6165</v>
      </c>
      <c r="V7296" t="str">
        <v>x</v>
      </c>
      <c r="W7296">
        <f>+D7296</f>
        <v>2</v>
      </c>
      <c r="X7296" t="str">
        <v>x</v>
      </c>
      <c r="Y7296">
        <f>D7290</f>
        <v>1</v>
      </c>
      <c r="Z7296" t="str">
        <v>=</v>
      </c>
      <c r="AA7296">
        <f>(N7296+P7296*R7296/1000)*U7296*W7296*Y7296</f>
        <v>10.159920000000001</v>
      </c>
    </row>
    <row r="7299">
      <c r="A7299" t="str">
        <f>A7284</f>
        <v>Lantai 2</v>
      </c>
      <c r="B7299">
        <f>B7284</f>
        <v>48</v>
      </c>
      <c r="C7299" t="str">
        <v>Tul Bawah Tumpuan</v>
      </c>
      <c r="D7299">
        <f>VLOOKUP(D7284,'Detail Balok'!$C$10:$AU$110,22,FALSE)</f>
        <v>3</v>
      </c>
      <c r="E7299" t="str">
        <v>D</v>
      </c>
      <c r="F7299">
        <f>VLOOKUP(D7284,'Detail Balok'!$C$10:$AU$110,24,FALSE)</f>
        <v>16</v>
      </c>
      <c r="I7299" t="str">
        <v>(</v>
      </c>
      <c r="J7299">
        <f>+J7291</f>
        <v>2</v>
      </c>
      <c r="K7299" t="str">
        <v>+</v>
      </c>
      <c r="L7299">
        <f>MAX(VLOOKUP(F7299,N$6:P$15,3,FALSE)/1000,2/3*D7289/1000)+F$16*F7299/1000</f>
        <v>0.192</v>
      </c>
      <c r="M7299" t="str">
        <v>=</v>
      </c>
      <c r="N7299">
        <f>J7299+L7299</f>
        <v>2.192</v>
      </c>
      <c r="O7299" t="str">
        <v>+</v>
      </c>
      <c r="P7299">
        <f>D7299-D7300</f>
        <v>-2</v>
      </c>
      <c r="Q7299" t="str">
        <v>x</v>
      </c>
      <c r="R7299">
        <f>IF(P7299&gt;0,$F$18*F7299/1000,0)</f>
        <v>0</v>
      </c>
      <c r="S7299" t="str">
        <v>)</v>
      </c>
      <c r="T7299" t="str">
        <v>x</v>
      </c>
      <c r="U7299">
        <f>0.006165*F7299^2</f>
        <v>1.57824</v>
      </c>
      <c r="X7299" t="str">
        <v>x</v>
      </c>
      <c r="Y7299">
        <f>D7290</f>
        <v>1</v>
      </c>
      <c r="Z7299" t="str">
        <v>=</v>
      </c>
      <c r="AA7299">
        <f>IF(AA7302=0,(D7299*N7299+P7299*R7299)*U7299*Y7299,0)</f>
        <v>10.378506240000002</v>
      </c>
    </row>
    <row r="7300">
      <c r="A7300" t="str">
        <f>A7284</f>
        <v>Lantai 2</v>
      </c>
      <c r="B7300">
        <f>B7284</f>
        <v>48</v>
      </c>
      <c r="C7300" t="str">
        <v>Tul Bawah Lapangan</v>
      </c>
      <c r="D7300">
        <f>VLOOKUP(D7284,'Detail Balok'!$C$10:$AU$110,25,FALSE)</f>
        <v>5</v>
      </c>
      <c r="E7300" t="str">
        <v>D</v>
      </c>
      <c r="F7300">
        <f>VLOOKUP(D7284,'Detail Balok'!$C$10:$AU$110,27,FALSE)</f>
        <v>16</v>
      </c>
      <c r="I7300" t="str">
        <v>(</v>
      </c>
      <c r="J7300">
        <f>+J7292</f>
        <v>4</v>
      </c>
      <c r="K7300" t="str">
        <v>+</v>
      </c>
      <c r="M7300" t="str">
        <v>=</v>
      </c>
      <c r="N7300">
        <f>J7300+L7300</f>
        <v>4</v>
      </c>
      <c r="O7300" t="str">
        <v>+</v>
      </c>
      <c r="P7300">
        <f>MAX(D7300-D7299,D7300-D7301)</f>
        <v>2</v>
      </c>
      <c r="Q7300" t="str">
        <v>x</v>
      </c>
      <c r="R7300">
        <f>IF(P7300&gt;0,2*(1-2*$F$19-1/2)*D7287/1000,0)</f>
        <v>1.5999999999999996</v>
      </c>
      <c r="S7300" t="str">
        <v>)</v>
      </c>
      <c r="T7300" t="str">
        <v>x</v>
      </c>
      <c r="U7300">
        <f>0.006165*F7300^2</f>
        <v>1.57824</v>
      </c>
      <c r="X7300" t="str">
        <v>x</v>
      </c>
      <c r="Y7300">
        <f>D7290</f>
        <v>1</v>
      </c>
      <c r="Z7300" t="str">
        <v>=</v>
      </c>
      <c r="AA7300">
        <f>IF(AA7302=0,(D7300*N7300+P7300*R7300)*U7300*Y7300,0)</f>
        <v>36.615168000000004</v>
      </c>
    </row>
    <row r="7301">
      <c r="A7301" t="str">
        <f>A7284</f>
        <v>Lantai 2</v>
      </c>
      <c r="B7301">
        <f>B7284</f>
        <v>48</v>
      </c>
      <c r="C7301" t="str">
        <v>Tul Bawah Tumpuan</v>
      </c>
      <c r="D7301">
        <f>VLOOKUP(D7284,'Detail Balok'!$C$10:$AU$110,28,FALSE)</f>
        <v>3</v>
      </c>
      <c r="E7301" t="str">
        <v>D</v>
      </c>
      <c r="F7301">
        <f>VLOOKUP(D7284,'Detail Balok'!$C$10:$AU$110,30,FALSE)</f>
        <v>16</v>
      </c>
      <c r="I7301" t="str">
        <v>(</v>
      </c>
      <c r="J7301">
        <f>+J7293</f>
        <v>2</v>
      </c>
      <c r="K7301" t="str">
        <v>+</v>
      </c>
      <c r="L7301">
        <f>MAX(VLOOKUP(F7301,N$6:P$15,3,FALSE)/1000,2/3*D7289/1000)+F$16*F7301/1000</f>
        <v>0.192</v>
      </c>
      <c r="M7301" t="str">
        <v>=</v>
      </c>
      <c r="N7301">
        <f>J7301+L7301</f>
        <v>2.192</v>
      </c>
      <c r="O7301" t="str">
        <v>+</v>
      </c>
      <c r="P7301">
        <f>D7301-D7300</f>
        <v>-2</v>
      </c>
      <c r="Q7301" t="str">
        <v>x</v>
      </c>
      <c r="R7301">
        <f>IF(P7301&gt;0,$F$18*F7301/1000,0)</f>
        <v>0</v>
      </c>
      <c r="S7301" t="str">
        <v>)</v>
      </c>
      <c r="T7301" t="str">
        <v>x</v>
      </c>
      <c r="U7301">
        <f>0.006165*F7301^2</f>
        <v>1.57824</v>
      </c>
      <c r="X7301" t="str">
        <v>x</v>
      </c>
      <c r="Y7301">
        <f>D7290</f>
        <v>1</v>
      </c>
      <c r="Z7301" t="str">
        <v>=</v>
      </c>
      <c r="AA7301">
        <f>IF(AA7302=0,(D7301*N7301+P7301*R7301)*U7301*Y7301,0)</f>
        <v>10.378506240000002</v>
      </c>
    </row>
    <row r="7302">
      <c r="A7302" t="str">
        <f>A7284</f>
        <v>Lantai 2</v>
      </c>
      <c r="B7302">
        <f>B7284</f>
        <v>48</v>
      </c>
      <c r="D7302">
        <f>IF(AND(D7299=D7300,D7300=D7301,D7299=D7301),D7299,0)</f>
        <v>0</v>
      </c>
      <c r="E7302" t="str">
        <v>D</v>
      </c>
      <c r="F7302">
        <f>IF(AND(F7299=F7300,F7299=F7301,F7300=F7301),F7299,0)</f>
        <v>16</v>
      </c>
      <c r="L7302" t="str">
        <v>Total panjang per balok</v>
      </c>
      <c r="M7302" t="str">
        <v>=</v>
      </c>
      <c r="N7302">
        <f>IF(AND(D7299=D7300,D7299=D7301,D7300=D7301,F7299=F7300,F7299=F7301,F7300=F7301),SUM(N7299:N7301),0)</f>
        <v>0</v>
      </c>
      <c r="O7302" t="str">
        <v>+</v>
      </c>
      <c r="P7302">
        <f>IF(N7302&gt;12,ROUNDDOWN(N7302/12,0),0)</f>
        <v>0</v>
      </c>
      <c r="Q7302" t="str">
        <v>x</v>
      </c>
      <c r="R7302">
        <f>IF(P7302&gt;0,MAX(VLOOKUP(F7302,$D$6:$G$15,3,FALSE),600),0)/1000</f>
        <v>0</v>
      </c>
      <c r="T7302" t="str">
        <v>x</v>
      </c>
      <c r="U7302">
        <f>U7301</f>
        <v>1.57824</v>
      </c>
      <c r="V7302" t="str">
        <v>x</v>
      </c>
      <c r="W7302">
        <f>D7302</f>
        <v>0</v>
      </c>
      <c r="X7302" t="str">
        <v>x</v>
      </c>
      <c r="Y7302">
        <f>Y7301</f>
        <v>1</v>
      </c>
      <c r="Z7302" t="str">
        <v>=</v>
      </c>
      <c r="AA7302">
        <f>(N7302+P7302*R7302/1000)*U7302*W7302*Y7302</f>
        <v>0</v>
      </c>
    </row>
    <row r="7304">
      <c r="A7304" t="str">
        <f>A7284</f>
        <v>Lantai 2</v>
      </c>
      <c r="B7304">
        <f>B7284</f>
        <v>48</v>
      </c>
      <c r="C7304" t="str">
        <v>Sengkang Tumpuan</v>
      </c>
      <c r="D7304">
        <f>VLOOKUP(D7284,'Detail Balok'!$C$10:$AU$110,31,FALSE)</f>
        <v>0</v>
      </c>
      <c r="E7304" t="str">
        <v>D</v>
      </c>
      <c r="F7304">
        <f>VLOOKUP(D7284,'Detail Balok'!$C$10:$AU$110,33,FALSE)</f>
        <v>10</v>
      </c>
      <c r="G7304" t="str">
        <v>-</v>
      </c>
      <c r="H7304">
        <f>VLOOKUP(D7284,'Detail Balok'!$C$10:$AU$110,35,FALSE)</f>
        <v>100</v>
      </c>
      <c r="J7304">
        <f>(IF(D7304=0,(2*(D7285+G7285))-(F$5*8),IF(D7304=3,(2*(D7285+G7285))-(F$5*8)+(G7285-2*F$5),IF(D7304=4,(2*(D7285+G7285))-(F$5*8)+2*(G7285-2*F$5)))))/1000</f>
        <v>1.28</v>
      </c>
      <c r="K7304" t="str">
        <v>+</v>
      </c>
      <c r="L7304">
        <f>IF(D7304=0,2*MAX(6*F7304,75),(D7304-1)*2*MAX(6*F7304,75))/1000</f>
        <v>0.15</v>
      </c>
      <c r="M7304" t="str">
        <v>=</v>
      </c>
      <c r="N7304">
        <f>J7304+L7304</f>
        <v>1.43</v>
      </c>
      <c r="T7304" t="str">
        <v>x</v>
      </c>
      <c r="U7304">
        <f>0.006165*F7304^2</f>
        <v>0.6165</v>
      </c>
      <c r="V7304" t="str">
        <v>x</v>
      </c>
      <c r="W7304">
        <f>IF(D7287&gt;4*G7285,ROUND(MAX(D7287/4,2*G7285)/H7304,0)+1,ROUND(D7287/H7304,0)+1)</f>
        <v>21</v>
      </c>
      <c r="X7304" t="str">
        <v>x</v>
      </c>
      <c r="Y7304">
        <f>D7290</f>
        <v>1</v>
      </c>
      <c r="Z7304" t="str">
        <v>=</v>
      </c>
      <c r="AA7304">
        <f>N7304*U7304*W7304*Y7304</f>
        <v>18.513495</v>
      </c>
    </row>
    <row r="7305">
      <c r="A7305" t="str">
        <f>A7284</f>
        <v>Lantai 2</v>
      </c>
      <c r="B7305">
        <f>B7284</f>
        <v>48</v>
      </c>
      <c r="C7305" t="str">
        <v>Sengkang Lapangan</v>
      </c>
      <c r="D7305">
        <f>VLOOKUP(D7284,'Detail Balok'!$C$10:$AU$110,36,FALSE)</f>
        <v>0</v>
      </c>
      <c r="E7305" t="str">
        <v>D</v>
      </c>
      <c r="F7305">
        <f>VLOOKUP(D7284,'Detail Balok'!$C$10:$AU$110,38,FALSE)</f>
        <v>10</v>
      </c>
      <c r="G7305" t="str">
        <v>-</v>
      </c>
      <c r="H7305">
        <f>VLOOKUP(D7284,'Detail Balok'!$C$10:$AU$110,40,FALSE)</f>
        <v>200</v>
      </c>
      <c r="J7305">
        <f>(IF(D7305=0,(2*(D7285+G7285))-(F$5*8),IF(D7305=3,(2*(D7285+G7285))-(F$5*8)+(G7285-2*F$5),IF(D7305=4,(2*(D7285+G7285))-(F$5*8)+2*(G7285-2*F$5)))))/1000</f>
        <v>1.28</v>
      </c>
      <c r="K7305" t="str">
        <v>+</v>
      </c>
      <c r="L7305">
        <f>IF(D7305=0,2*MAX(6*F7305,75),(D7305-1)*2*MAX(6*F7305,75))/1000</f>
        <v>0.15</v>
      </c>
      <c r="M7305" t="str">
        <v>=</v>
      </c>
      <c r="N7305">
        <f>J7305+L7305</f>
        <v>1.43</v>
      </c>
      <c r="T7305" t="str">
        <v>x</v>
      </c>
      <c r="U7305">
        <f>0.006165*F7305^2</f>
        <v>0.6165</v>
      </c>
      <c r="V7305" t="str">
        <v>x</v>
      </c>
      <c r="W7305">
        <f>IF(D7287-MAX(D7287/4,2*G7285)*2&gt;0,ROUND((D7287-MAX(D7287/4,2*G7285)*2)/H7305,0),0)</f>
        <v>20</v>
      </c>
      <c r="X7305" t="str">
        <v>x</v>
      </c>
      <c r="Y7305">
        <f>D7290</f>
        <v>1</v>
      </c>
      <c r="Z7305" t="str">
        <v>=</v>
      </c>
      <c r="AA7305">
        <f>N7305*U7305*W7305*Y7305</f>
        <v>17.6319</v>
      </c>
    </row>
    <row r="7306">
      <c r="A7306" t="str">
        <f>A7284</f>
        <v>Lantai 2</v>
      </c>
      <c r="B7306">
        <f>B7284</f>
        <v>48</v>
      </c>
      <c r="C7306" t="str">
        <v>Sengkang Tumpuan</v>
      </c>
      <c r="D7306">
        <f>VLOOKUP(D7284,'Detail Balok'!$C$10:$AU$110,41,FALSE)</f>
        <v>0</v>
      </c>
      <c r="E7306" t="str">
        <v>D</v>
      </c>
      <c r="F7306">
        <f>VLOOKUP(D7284,'Detail Balok'!$C$10:$AU$110,43,FALSE)</f>
        <v>10</v>
      </c>
      <c r="G7306" t="str">
        <v>-</v>
      </c>
      <c r="H7306">
        <f>VLOOKUP(D7284,'Detail Balok'!$C$10:$AU$110,45,FALSE)</f>
        <v>100</v>
      </c>
      <c r="J7306">
        <f>(IF(D7306=0,(2*(D7285+G7285))-(F$5*8),IF(D7306=3,(2*(D7285+G7285))-(F$5*8)+(G7285-2*F$5),IF(D7306=4,(2*(D7285+G7285))-(F$5*8)+2*(G7285-2*F$5)))))/1000</f>
        <v>1.28</v>
      </c>
      <c r="K7306" t="str">
        <v>+</v>
      </c>
      <c r="L7306">
        <f>IF(D7306=0,2*MAX(6*F7306,75),(D7306-1)*2*MAX(6*F7306,75))/1000</f>
        <v>0.15</v>
      </c>
      <c r="M7306" t="str">
        <v>=</v>
      </c>
      <c r="N7306">
        <f>J7306+L7306</f>
        <v>1.43</v>
      </c>
      <c r="T7306" t="str">
        <v>x</v>
      </c>
      <c r="U7306">
        <f>0.006165*F7306^2</f>
        <v>0.6165</v>
      </c>
      <c r="V7306" t="str">
        <v>x</v>
      </c>
      <c r="W7306">
        <f>IF(D7287&gt;4*G7285,ROUND(MAX(D7287/4,2*G7285)/H7306,0)+1,0)</f>
        <v>21</v>
      </c>
      <c r="X7306" t="str">
        <v>x</v>
      </c>
      <c r="Y7306">
        <f>D7290</f>
        <v>1</v>
      </c>
      <c r="Z7306" t="str">
        <v>=</v>
      </c>
      <c r="AA7306">
        <f>N7306*U7306*W7306*Y7306</f>
        <v>18.513495</v>
      </c>
    </row>
    <row r="7308">
      <c r="A7308" t="str">
        <f>A7284</f>
        <v>Lantai 2</v>
      </c>
      <c r="B7308">
        <f>B7284</f>
        <v>48</v>
      </c>
      <c r="C7308" t="str">
        <v>Kait Horizontal Tump.</v>
      </c>
      <c r="D7308">
        <f>VLOOKUP(D7284,'Detail Balok'!$C$10:$BJ$110,46,FALSE)</f>
        <v>0</v>
      </c>
      <c r="E7308" t="str">
        <v>D</v>
      </c>
      <c r="F7308">
        <f>VLOOKUP(D7284,'Detail Balok'!$C$10:$BJ$110,48,FALSE)</f>
        <v>0</v>
      </c>
      <c r="G7308" t="str">
        <v>-</v>
      </c>
      <c r="H7308">
        <f>VLOOKUP(D7284,'Detail Balok'!$C$10:$BJ$110,50,FALSE)</f>
        <v>100</v>
      </c>
      <c r="J7308">
        <f>(D7285-2*F$5)/1000</f>
        <v>0.12</v>
      </c>
      <c r="K7308" t="str">
        <v>+</v>
      </c>
      <c r="L7308">
        <f>IF(D7308=0,2*MAX(6*F7308,75),(D7308-1)*2*MAX(6*F7308,75))/1000</f>
        <v>0.15</v>
      </c>
      <c r="M7308" t="str">
        <v>=</v>
      </c>
      <c r="N7308">
        <f>J7308+L7308</f>
        <v>0.27</v>
      </c>
      <c r="T7308" t="str">
        <v>x</v>
      </c>
      <c r="U7308">
        <f>0.006165*F7308^2</f>
        <v>0</v>
      </c>
      <c r="V7308" t="str">
        <v>x</v>
      </c>
      <c r="W7308">
        <f>W7304</f>
        <v>21</v>
      </c>
      <c r="X7308" t="str">
        <v>x</v>
      </c>
      <c r="Y7308">
        <f>D7294</f>
        <v>0</v>
      </c>
      <c r="Z7308" t="str">
        <v>=</v>
      </c>
      <c r="AA7308">
        <f>N7308*U7308*W7308*Y7308</f>
        <v>0</v>
      </c>
    </row>
    <row r="7309">
      <c r="A7309" t="str">
        <f>A7284</f>
        <v>Lantai 2</v>
      </c>
      <c r="B7309">
        <f>B7284</f>
        <v>48</v>
      </c>
      <c r="C7309" t="str">
        <v>Kait Horizontal Lap.</v>
      </c>
      <c r="D7309">
        <f>VLOOKUP(D7284,'Detail Balok'!$C$10:$BJ$110,51,FALSE)</f>
        <v>0</v>
      </c>
      <c r="E7309" t="str">
        <v>D</v>
      </c>
      <c r="F7309">
        <f>VLOOKUP(D7284,'Detail Balok'!$C$10:$BJ$110,53,FALSE)</f>
        <v>0</v>
      </c>
      <c r="G7309" t="str">
        <v>-</v>
      </c>
      <c r="H7309">
        <f>VLOOKUP(D7284,'Detail Balok'!$C$10:$BJ$110,55,FALSE)</f>
        <v>100</v>
      </c>
      <c r="J7309">
        <f>(D7285-2*F$5)/1000</f>
        <v>0.12</v>
      </c>
      <c r="K7309" t="str">
        <v>+</v>
      </c>
      <c r="L7309">
        <f>IF(D7309=0,2*MAX(6*F7309,75),(D7309-1)*2*MAX(6*F7309,75))/1000</f>
        <v>0.15</v>
      </c>
      <c r="M7309" t="str">
        <v>=</v>
      </c>
      <c r="N7309">
        <f>J7309+L7309</f>
        <v>0.27</v>
      </c>
      <c r="T7309" t="str">
        <v>x</v>
      </c>
      <c r="U7309">
        <f>0.006165*F7309^2</f>
        <v>0</v>
      </c>
      <c r="V7309" t="str">
        <v>x</v>
      </c>
      <c r="W7309">
        <f>W7305</f>
        <v>20</v>
      </c>
      <c r="X7309" t="str">
        <v>x</v>
      </c>
      <c r="Y7309">
        <f>D7294</f>
        <v>0</v>
      </c>
      <c r="Z7309" t="str">
        <v>=</v>
      </c>
      <c r="AA7309">
        <f>N7309*U7309*W7309*Y7309</f>
        <v>0</v>
      </c>
    </row>
    <row r="7310">
      <c r="A7310" t="str">
        <f>A7284</f>
        <v>Lantai 2</v>
      </c>
      <c r="B7310">
        <f>B7284</f>
        <v>48</v>
      </c>
      <c r="C7310" t="str">
        <v>Kait Horizontal Tump.</v>
      </c>
      <c r="D7310">
        <f>VLOOKUP(D7284,'Detail Balok'!$C$10:$BJ$110,56,FALSE)</f>
        <v>0</v>
      </c>
      <c r="E7310" t="str">
        <v>D</v>
      </c>
      <c r="F7310">
        <f>VLOOKUP(D7284,'Detail Balok'!$C$10:$BJ$110,58,FALSE)</f>
        <v>0</v>
      </c>
      <c r="G7310" t="str">
        <v>-</v>
      </c>
      <c r="H7310">
        <f>VLOOKUP(D7284,'Detail Balok'!$C$10:$BJ$110,60,FALSE)</f>
        <v>100</v>
      </c>
      <c r="J7310">
        <f>(D7285-2*F$5)/1000</f>
        <v>0.12</v>
      </c>
      <c r="K7310" t="str">
        <v>+</v>
      </c>
      <c r="L7310">
        <f>IF(D7310=0,2*MAX(6*F7310,75),(D7310-1)*2*MAX(6*F7310,75))/1000</f>
        <v>0.15</v>
      </c>
      <c r="M7310" t="str">
        <v>=</v>
      </c>
      <c r="N7310">
        <f>J7310+L7310</f>
        <v>0.27</v>
      </c>
      <c r="T7310" t="str">
        <v>x</v>
      </c>
      <c r="U7310">
        <f>0.006165*F7310^2</f>
        <v>0</v>
      </c>
      <c r="V7310" t="str">
        <v>x</v>
      </c>
      <c r="W7310">
        <f>W7306</f>
        <v>21</v>
      </c>
      <c r="X7310" t="str">
        <v>x</v>
      </c>
      <c r="Y7310">
        <f>D7294</f>
        <v>0</v>
      </c>
      <c r="Z7310" t="str">
        <v>=</v>
      </c>
      <c r="AA7310">
        <f>N7310*U7310*W7310*Y7310</f>
        <v>0</v>
      </c>
    </row>
    <row r="7314">
      <c r="A7314" t="str">
        <f>A7284</f>
        <v>Lantai 2</v>
      </c>
      <c r="B7314">
        <f>B7284+1</f>
        <v>49</v>
      </c>
      <c r="C7314" t="str">
        <f>CONCATENATE(A7314," no. ",B7314)</f>
        <v>Lantai 2 no. 49</v>
      </c>
      <c r="D7314" t="str">
        <f>VLOOKUP(C7314,'Data Panjang Balok'!$C$9:$N$424,2,FALSE)</f>
        <v>CL26-1</v>
      </c>
    </row>
    <row r="7315">
      <c r="C7315" t="str">
        <v>Dimensi</v>
      </c>
      <c r="D7315">
        <f>VLOOKUP(D7314,'Detail Balok'!$C$10:$AU$110,2,FALSE)</f>
        <v>200</v>
      </c>
      <c r="F7315" t="str">
        <v>x</v>
      </c>
      <c r="G7315">
        <f>VLOOKUP(D7314,'Detail Balok'!$C$10:$AU$110,3,FALSE)</f>
        <v>600</v>
      </c>
    </row>
    <row r="7316">
      <c r="C7316" t="str">
        <v>Panjang as ke as</v>
      </c>
      <c r="D7316">
        <f>VLOOKUP(C7314,'Data Panjang Balok'!$C$9:$N$424,4,FALSE)</f>
        <v>3300</v>
      </c>
    </row>
    <row r="7317">
      <c r="C7317" t="str">
        <v>Panjang netto</v>
      </c>
      <c r="D7317">
        <f>VLOOKUP(C7314,'Data Panjang Balok'!$C$9:$N$424,7,FALSE)</f>
        <v>3300</v>
      </c>
    </row>
    <row r="7318">
      <c r="C7318" t="str">
        <v>Kolom / balok kiri</v>
      </c>
      <c r="D7318">
        <f>VLOOKUP(C7314,'Data Panjang Balok'!$C$9:$N$424,9,FALSE)</f>
        <v>0</v>
      </c>
    </row>
    <row r="7319">
      <c r="C7319" t="str">
        <v>Kolom / balok kanan</v>
      </c>
      <c r="D7319">
        <f>VLOOKUP(C7314,'Data Panjang Balok'!$C$9:$N$424,10,FALSE)</f>
        <v>0</v>
      </c>
    </row>
    <row r="7320">
      <c r="C7320" t="str">
        <v>Jumlah</v>
      </c>
      <c r="D7320">
        <f>VLOOKUP(C7314,'Data Panjang Balok'!$C$9:$N$424,3,FALSE)</f>
        <v>1</v>
      </c>
    </row>
    <row r="7321">
      <c r="A7321" t="str">
        <f>A7314</f>
        <v>Lantai 2</v>
      </c>
      <c r="B7321">
        <f>B7314</f>
        <v>49</v>
      </c>
      <c r="C7321" t="str">
        <v>Tul Atas Tumpuan</v>
      </c>
      <c r="D7321">
        <f>VLOOKUP(D7314,'Detail Balok'!$C$10:$AU$110,4,FALSE)</f>
        <v>5</v>
      </c>
      <c r="E7321" t="str">
        <v>D</v>
      </c>
      <c r="F7321">
        <f>VLOOKUP(D7314,'Detail Balok'!$C$10:$AU$110,6,FALSE)</f>
        <v>16</v>
      </c>
      <c r="I7321" t="str">
        <v>(</v>
      </c>
      <c r="J7321">
        <f>+D7316/4/1000</f>
        <v>0.825</v>
      </c>
      <c r="K7321" t="str">
        <v>+</v>
      </c>
      <c r="L7321">
        <f>MAX(VLOOKUP(F7321,N$6:P$15,3,FALSE)/1000,2/3*D7318/1000)+F$16*F7321/1000</f>
        <v>0.192</v>
      </c>
      <c r="M7321" t="str">
        <v>=</v>
      </c>
      <c r="N7321">
        <f>J7321+L7321</f>
        <v>1.017</v>
      </c>
      <c r="O7321" t="str">
        <v>+</v>
      </c>
      <c r="P7321">
        <f>D7321-D7322</f>
        <v>2</v>
      </c>
      <c r="Q7321" t="str">
        <v>x</v>
      </c>
      <c r="R7321">
        <f>IF(P7321&gt;0,$F$18*F7321/1000,0)</f>
        <v>0.24</v>
      </c>
      <c r="S7321" t="str">
        <v>)</v>
      </c>
      <c r="T7321" t="str">
        <v>x</v>
      </c>
      <c r="U7321">
        <f>0.006165*F7321^2</f>
        <v>1.57824</v>
      </c>
      <c r="X7321" t="str">
        <v>x</v>
      </c>
      <c r="Y7321">
        <f>D7320</f>
        <v>1</v>
      </c>
      <c r="Z7321" t="str">
        <v>=</v>
      </c>
      <c r="AA7321">
        <f>IF(AA7324=0,(D7321*N7321+P7321*R7321)*U7321*Y7321,0)</f>
        <v>8.7829056</v>
      </c>
    </row>
    <row r="7322">
      <c r="A7322" t="str">
        <f>A7314</f>
        <v>Lantai 2</v>
      </c>
      <c r="B7322">
        <f>B7314</f>
        <v>49</v>
      </c>
      <c r="C7322" t="str">
        <v>Tul Atas Lapangan</v>
      </c>
      <c r="D7322">
        <f>VLOOKUP(D7314,'Detail Balok'!$C$10:$AU$110,7,FALSE)</f>
        <v>3</v>
      </c>
      <c r="E7322" t="str">
        <v>D</v>
      </c>
      <c r="F7322">
        <f>VLOOKUP(D7314,'Detail Balok'!$C$10:$AU$110,9,FALSE)</f>
        <v>16</v>
      </c>
      <c r="I7322" t="str">
        <v>(</v>
      </c>
      <c r="J7322">
        <f>+D7316/2/1000</f>
        <v>1.65</v>
      </c>
      <c r="K7322" t="str">
        <v>+</v>
      </c>
      <c r="M7322" t="str">
        <v>=</v>
      </c>
      <c r="N7322">
        <f>J7322+L7322</f>
        <v>1.65</v>
      </c>
      <c r="O7322" t="str">
        <v>+</v>
      </c>
      <c r="P7322">
        <f>MAX(D7322-D7321,D7322-D7323)</f>
        <v>-2</v>
      </c>
      <c r="Q7322" t="str">
        <v>x</v>
      </c>
      <c r="R7322">
        <f>IF(P7322&gt;0,2*(1-2*$F$19-1/2)*D7317/1000,0)</f>
        <v>0</v>
      </c>
      <c r="S7322" t="str">
        <v>)</v>
      </c>
      <c r="T7322" t="str">
        <v>x</v>
      </c>
      <c r="U7322">
        <f>0.006165*F7322^2</f>
        <v>1.57824</v>
      </c>
      <c r="X7322" t="str">
        <v>x</v>
      </c>
      <c r="Y7322">
        <f>D7320</f>
        <v>1</v>
      </c>
      <c r="Z7322" t="str">
        <v>=</v>
      </c>
      <c r="AA7322">
        <f>IF(AA7324=0,(D7322*N7322+P7322*R7322)*U7322*Y7322,0)</f>
        <v>7.812288</v>
      </c>
    </row>
    <row r="7323">
      <c r="A7323" t="str">
        <f>A7314</f>
        <v>Lantai 2</v>
      </c>
      <c r="B7323">
        <f>B7314</f>
        <v>49</v>
      </c>
      <c r="C7323" t="str">
        <v>Tul Atas Tumpuan</v>
      </c>
      <c r="D7323">
        <f>VLOOKUP(D7314,'Detail Balok'!$C$10:$AU$110,10,FALSE)</f>
        <v>5</v>
      </c>
      <c r="E7323" t="str">
        <v>D</v>
      </c>
      <c r="F7323">
        <f>VLOOKUP(D7314,'Detail Balok'!$C$10:$AU$110,12,FALSE)</f>
        <v>16</v>
      </c>
      <c r="I7323" t="str">
        <v>(</v>
      </c>
      <c r="J7323">
        <f>+D7316/4/1000</f>
        <v>0.825</v>
      </c>
      <c r="K7323" t="str">
        <v>+</v>
      </c>
      <c r="L7323">
        <f>MAX(VLOOKUP(F7323,N$6:P$15,3,FALSE)/1000,2/3*D7318/1000)+F$16*F7323/1000</f>
        <v>0.192</v>
      </c>
      <c r="M7323" t="str">
        <v>=</v>
      </c>
      <c r="N7323">
        <f>J7323+L7323</f>
        <v>1.017</v>
      </c>
      <c r="O7323" t="str">
        <v>+</v>
      </c>
      <c r="P7323">
        <f>D7323-D7322</f>
        <v>2</v>
      </c>
      <c r="Q7323" t="str">
        <v>x</v>
      </c>
      <c r="R7323">
        <f>IF(P7323&gt;0,$F$18*F7323/1000,0)</f>
        <v>0.24</v>
      </c>
      <c r="S7323" t="str">
        <v>)</v>
      </c>
      <c r="T7323" t="str">
        <v>x</v>
      </c>
      <c r="U7323">
        <f>0.006165*F7323^2</f>
        <v>1.57824</v>
      </c>
      <c r="X7323" t="str">
        <v>x</v>
      </c>
      <c r="Y7323">
        <f>D7320</f>
        <v>1</v>
      </c>
      <c r="Z7323" t="str">
        <v>=</v>
      </c>
      <c r="AA7323">
        <f>IF(AA7324=0,(D7323*N7323+P7323*R7323)*U7323*Y7323,0)</f>
        <v>8.7829056</v>
      </c>
    </row>
    <row r="7324">
      <c r="A7324" t="str">
        <f>A7314</f>
        <v>Lantai 2</v>
      </c>
      <c r="B7324">
        <f>B7314</f>
        <v>49</v>
      </c>
      <c r="D7324">
        <f>IF(AND(D7321=D7322,D7322=D7323,D7321=D7323),D7321,0)</f>
        <v>0</v>
      </c>
      <c r="E7324" t="str">
        <v>D</v>
      </c>
      <c r="F7324">
        <f>IF(AND(F7321=F7322,F7321=F7323,F7322=F7323),F7321,0)</f>
        <v>16</v>
      </c>
      <c r="L7324" t="str">
        <v>Total panjang per balok</v>
      </c>
      <c r="M7324" t="str">
        <v>=</v>
      </c>
      <c r="N7324">
        <f>IF(AND(D7321=D7322,D7321=D7323,D7322=D7323,F7321=F7322,F7321=F7323,F7322=F7323),SUM(N7321:N7323),0)</f>
        <v>0</v>
      </c>
      <c r="O7324" t="str">
        <v>+</v>
      </c>
      <c r="P7324">
        <f>IF(N7324&gt;12,ROUNDDOWN(N7324/12,0),0)</f>
        <v>0</v>
      </c>
      <c r="Q7324" t="str">
        <v>x</v>
      </c>
      <c r="R7324">
        <f>IF(P7324&gt;0,MAX(VLOOKUP(F7324,$D$6:$G$15,3,FALSE),600),0)/1000</f>
        <v>0</v>
      </c>
      <c r="T7324" t="str">
        <v>x</v>
      </c>
      <c r="U7324">
        <f>U7323</f>
        <v>1.57824</v>
      </c>
      <c r="V7324" t="str">
        <v>x</v>
      </c>
      <c r="W7324">
        <f>D7324</f>
        <v>0</v>
      </c>
      <c r="X7324" t="str">
        <v>x</v>
      </c>
      <c r="Y7324">
        <f>Y7323</f>
        <v>1</v>
      </c>
      <c r="Z7324" t="str">
        <v>=</v>
      </c>
      <c r="AA7324">
        <f>(N7324+P7324*R7324/1000)*U7324*W7324*Y7324</f>
        <v>0</v>
      </c>
    </row>
    <row r="7326">
      <c r="A7326" t="str">
        <f>A7314</f>
        <v>Lantai 2</v>
      </c>
      <c r="B7326">
        <f>B7314</f>
        <v>49</v>
      </c>
      <c r="C7326" t="str">
        <v>Tul Peminggang</v>
      </c>
      <c r="D7326">
        <f>VLOOKUP(D7314,'Detail Balok'!$C$10:$AU$110,13,FALSE)</f>
        <v>2</v>
      </c>
      <c r="E7326" t="str">
        <v>D</v>
      </c>
      <c r="F7326">
        <f>VLOOKUP(D7314,'Detail Balok'!$C$10:$AU$110,15,FALSE)</f>
        <v>10</v>
      </c>
      <c r="J7326">
        <f>+D7316/1000</f>
        <v>3.3</v>
      </c>
      <c r="K7326" t="str">
        <v>+</v>
      </c>
      <c r="L7326">
        <f>2*$F$16*F7326/1000</f>
        <v>0.24</v>
      </c>
      <c r="M7326" t="str">
        <v>=</v>
      </c>
      <c r="N7326">
        <f>J7326+L7326</f>
        <v>3.54</v>
      </c>
      <c r="O7326" t="str">
        <v>+</v>
      </c>
      <c r="P7326">
        <f>IF(N7326&gt;12,ROUNDDOWN(N7326/12,0),0)</f>
        <v>0</v>
      </c>
      <c r="Q7326" t="str">
        <v>x</v>
      </c>
      <c r="R7326">
        <f>IF(P7326&gt;0,MAX(VLOOKUP(F7326,$D$6:$G$15,3,FALSE),600),0)/1000</f>
        <v>0</v>
      </c>
      <c r="T7326" t="str">
        <v>x</v>
      </c>
      <c r="U7326">
        <f>0.006165*F7326^2</f>
        <v>0.6165</v>
      </c>
      <c r="V7326" t="str">
        <v>x</v>
      </c>
      <c r="W7326">
        <f>+D7326</f>
        <v>2</v>
      </c>
      <c r="X7326" t="str">
        <v>x</v>
      </c>
      <c r="Y7326">
        <f>D7320</f>
        <v>1</v>
      </c>
      <c r="Z7326" t="str">
        <v>=</v>
      </c>
      <c r="AA7326">
        <f>(N7326+P7326*R7326/1000)*U7326*W7326*Y7326</f>
        <v>4.364820000000001</v>
      </c>
    </row>
    <row r="7329">
      <c r="A7329" t="str">
        <f>A7314</f>
        <v>Lantai 2</v>
      </c>
      <c r="B7329">
        <f>B7314</f>
        <v>49</v>
      </c>
      <c r="C7329" t="str">
        <v>Tul Bawah Tumpuan</v>
      </c>
      <c r="D7329">
        <f>VLOOKUP(D7314,'Detail Balok'!$C$10:$AU$110,22,FALSE)</f>
        <v>3</v>
      </c>
      <c r="E7329" t="str">
        <v>D</v>
      </c>
      <c r="F7329">
        <f>VLOOKUP(D7314,'Detail Balok'!$C$10:$AU$110,24,FALSE)</f>
        <v>16</v>
      </c>
      <c r="I7329" t="str">
        <v>(</v>
      </c>
      <c r="J7329">
        <f>+J7321</f>
        <v>0.825</v>
      </c>
      <c r="K7329" t="str">
        <v>+</v>
      </c>
      <c r="L7329">
        <f>MAX(VLOOKUP(F7329,N$6:P$15,3,FALSE)/1000,2/3*D7319/1000)+F$16*F7329/1000</f>
        <v>0.192</v>
      </c>
      <c r="M7329" t="str">
        <v>=</v>
      </c>
      <c r="N7329">
        <f>J7329+L7329</f>
        <v>1.017</v>
      </c>
      <c r="O7329" t="str">
        <v>+</v>
      </c>
      <c r="P7329">
        <f>D7329-D7330</f>
        <v>0</v>
      </c>
      <c r="Q7329" t="str">
        <v>x</v>
      </c>
      <c r="R7329">
        <f>IF(P7329&gt;0,$F$18*F7329/1000,0)</f>
        <v>0</v>
      </c>
      <c r="S7329" t="str">
        <v>)</v>
      </c>
      <c r="T7329" t="str">
        <v>x</v>
      </c>
      <c r="U7329">
        <f>0.006165*F7329^2</f>
        <v>1.57824</v>
      </c>
      <c r="X7329" t="str">
        <v>x</v>
      </c>
      <c r="Y7329">
        <f>D7320</f>
        <v>1</v>
      </c>
      <c r="Z7329" t="str">
        <v>=</v>
      </c>
      <c r="AA7329">
        <f>IF(AA7332=0,(D7329*N7329+P7329*R7329)*U7329*Y7329,0)</f>
        <v>0</v>
      </c>
    </row>
    <row r="7330">
      <c r="A7330" t="str">
        <f>A7314</f>
        <v>Lantai 2</v>
      </c>
      <c r="B7330">
        <f>B7314</f>
        <v>49</v>
      </c>
      <c r="C7330" t="str">
        <v>Tul Bawah Lapangan</v>
      </c>
      <c r="D7330">
        <f>VLOOKUP(D7314,'Detail Balok'!$C$10:$AU$110,25,FALSE)</f>
        <v>3</v>
      </c>
      <c r="E7330" t="str">
        <v>D</v>
      </c>
      <c r="F7330">
        <f>VLOOKUP(D7314,'Detail Balok'!$C$10:$AU$110,27,FALSE)</f>
        <v>16</v>
      </c>
      <c r="I7330" t="str">
        <v>(</v>
      </c>
      <c r="J7330">
        <f>+J7322</f>
        <v>1.65</v>
      </c>
      <c r="K7330" t="str">
        <v>+</v>
      </c>
      <c r="M7330" t="str">
        <v>=</v>
      </c>
      <c r="N7330">
        <f>J7330+L7330</f>
        <v>1.65</v>
      </c>
      <c r="O7330" t="str">
        <v>+</v>
      </c>
      <c r="P7330">
        <f>MAX(D7330-D7329,D7330-D7331)</f>
        <v>0</v>
      </c>
      <c r="Q7330" t="str">
        <v>x</v>
      </c>
      <c r="R7330">
        <f>IF(P7330&gt;0,2*(1-2*$F$19-1/2)*D7317/1000,0)</f>
        <v>0</v>
      </c>
      <c r="S7330" t="str">
        <v>)</v>
      </c>
      <c r="T7330" t="str">
        <v>x</v>
      </c>
      <c r="U7330">
        <f>0.006165*F7330^2</f>
        <v>1.57824</v>
      </c>
      <c r="X7330" t="str">
        <v>x</v>
      </c>
      <c r="Y7330">
        <f>D7320</f>
        <v>1</v>
      </c>
      <c r="Z7330" t="str">
        <v>=</v>
      </c>
      <c r="AA7330">
        <f>IF(AA7332=0,(D7330*N7330+P7330*R7330)*U7330*Y7330,0)</f>
        <v>0</v>
      </c>
    </row>
    <row r="7331">
      <c r="A7331" t="str">
        <f>A7314</f>
        <v>Lantai 2</v>
      </c>
      <c r="B7331">
        <f>B7314</f>
        <v>49</v>
      </c>
      <c r="C7331" t="str">
        <v>Tul Bawah Tumpuan</v>
      </c>
      <c r="D7331">
        <f>VLOOKUP(D7314,'Detail Balok'!$C$10:$AU$110,28,FALSE)</f>
        <v>3</v>
      </c>
      <c r="E7331" t="str">
        <v>D</v>
      </c>
      <c r="F7331">
        <f>VLOOKUP(D7314,'Detail Balok'!$C$10:$AU$110,30,FALSE)</f>
        <v>16</v>
      </c>
      <c r="I7331" t="str">
        <v>(</v>
      </c>
      <c r="J7331">
        <f>+J7323</f>
        <v>0.825</v>
      </c>
      <c r="K7331" t="str">
        <v>+</v>
      </c>
      <c r="L7331">
        <f>MAX(VLOOKUP(F7331,N$6:P$15,3,FALSE)/1000,2/3*D7319/1000)+F$16*F7331/1000</f>
        <v>0.192</v>
      </c>
      <c r="M7331" t="str">
        <v>=</v>
      </c>
      <c r="N7331">
        <f>J7331+L7331</f>
        <v>1.017</v>
      </c>
      <c r="O7331" t="str">
        <v>+</v>
      </c>
      <c r="P7331">
        <f>D7331-D7330</f>
        <v>0</v>
      </c>
      <c r="Q7331" t="str">
        <v>x</v>
      </c>
      <c r="R7331">
        <f>IF(P7331&gt;0,$F$18*F7331/1000,0)</f>
        <v>0</v>
      </c>
      <c r="S7331" t="str">
        <v>)</v>
      </c>
      <c r="T7331" t="str">
        <v>x</v>
      </c>
      <c r="U7331">
        <f>0.006165*F7331^2</f>
        <v>1.57824</v>
      </c>
      <c r="X7331" t="str">
        <v>x</v>
      </c>
      <c r="Y7331">
        <f>D7320</f>
        <v>1</v>
      </c>
      <c r="Z7331" t="str">
        <v>=</v>
      </c>
      <c r="AA7331">
        <f>IF(AA7332=0,(D7331*N7331+P7331*R7331)*U7331*Y7331,0)</f>
        <v>0</v>
      </c>
    </row>
    <row r="7332">
      <c r="A7332" t="str">
        <f>A7314</f>
        <v>Lantai 2</v>
      </c>
      <c r="B7332">
        <f>B7314</f>
        <v>49</v>
      </c>
      <c r="D7332">
        <f>IF(AND(D7329=D7330,D7330=D7331,D7329=D7331),D7329,0)</f>
        <v>3</v>
      </c>
      <c r="E7332" t="str">
        <v>D</v>
      </c>
      <c r="F7332">
        <f>IF(AND(F7329=F7330,F7329=F7331,F7330=F7331),F7329,0)</f>
        <v>16</v>
      </c>
      <c r="L7332" t="str">
        <v>Total panjang per balok</v>
      </c>
      <c r="M7332" t="str">
        <v>=</v>
      </c>
      <c r="N7332">
        <f>IF(AND(D7329=D7330,D7329=D7331,D7330=D7331,F7329=F7330,F7329=F7331,F7330=F7331),SUM(N7329:N7331),0)</f>
        <v>3.6839999999999997</v>
      </c>
      <c r="O7332" t="str">
        <v>+</v>
      </c>
      <c r="P7332">
        <f>IF(N7332&gt;12,ROUNDDOWN(N7332/12,0),0)</f>
        <v>0</v>
      </c>
      <c r="Q7332" t="str">
        <v>x</v>
      </c>
      <c r="R7332">
        <f>IF(P7332&gt;0,MAX(VLOOKUP(F7332,$D$6:$G$15,3,FALSE),600),0)/1000</f>
        <v>0</v>
      </c>
      <c r="T7332" t="str">
        <v>x</v>
      </c>
      <c r="U7332">
        <f>U7331</f>
        <v>1.57824</v>
      </c>
      <c r="V7332" t="str">
        <v>x</v>
      </c>
      <c r="W7332">
        <f>D7332</f>
        <v>3</v>
      </c>
      <c r="X7332" t="str">
        <v>x</v>
      </c>
      <c r="Y7332">
        <f>Y7331</f>
        <v>1</v>
      </c>
      <c r="Z7332" t="str">
        <v>=</v>
      </c>
      <c r="AA7332">
        <f>(N7332+P7332*R7332/1000)*U7332*W7332*Y7332</f>
        <v>17.44270848</v>
      </c>
    </row>
    <row r="7334">
      <c r="A7334" t="str">
        <f>A7314</f>
        <v>Lantai 2</v>
      </c>
      <c r="B7334">
        <f>B7314</f>
        <v>49</v>
      </c>
      <c r="C7334" t="str">
        <v>Sengkang Tumpuan</v>
      </c>
      <c r="D7334">
        <f>VLOOKUP(D7314,'Detail Balok'!$C$10:$AU$110,31,FALSE)</f>
        <v>0</v>
      </c>
      <c r="E7334" t="str">
        <v>D</v>
      </c>
      <c r="F7334">
        <f>VLOOKUP(D7314,'Detail Balok'!$C$10:$AU$110,33,FALSE)</f>
        <v>10</v>
      </c>
      <c r="G7334" t="str">
        <v>-</v>
      </c>
      <c r="H7334">
        <f>VLOOKUP(D7314,'Detail Balok'!$C$10:$AU$110,35,FALSE)</f>
        <v>150</v>
      </c>
      <c r="J7334">
        <f>(IF(D7334=0,(2*(D7315+G7315))-(F$5*8),IF(D7334=3,(2*(D7315+G7315))-(F$5*8)+(G7315-2*F$5),IF(D7334=4,(2*(D7315+G7315))-(F$5*8)+2*(G7315-2*F$5)))))/1000</f>
        <v>1.28</v>
      </c>
      <c r="K7334" t="str">
        <v>+</v>
      </c>
      <c r="L7334">
        <f>IF(D7334=0,2*MAX(6*F7334,75),(D7334-1)*2*MAX(6*F7334,75))/1000</f>
        <v>0.15</v>
      </c>
      <c r="M7334" t="str">
        <v>=</v>
      </c>
      <c r="N7334">
        <f>J7334+L7334</f>
        <v>1.43</v>
      </c>
      <c r="T7334" t="str">
        <v>x</v>
      </c>
      <c r="U7334">
        <f>0.006165*F7334^2</f>
        <v>0.6165</v>
      </c>
      <c r="V7334" t="str">
        <v>x</v>
      </c>
      <c r="W7334">
        <f>IF(D7317&gt;4*G7315,ROUND(MAX(D7317/4,2*G7315)/H7334,0)+1,ROUND(D7317/H7334,0)+1)</f>
        <v>9</v>
      </c>
      <c r="X7334" t="str">
        <v>x</v>
      </c>
      <c r="Y7334">
        <f>D7320</f>
        <v>1</v>
      </c>
      <c r="Z7334" t="str">
        <v>=</v>
      </c>
      <c r="AA7334">
        <f>N7334*U7334*W7334*Y7334</f>
        <v>7.934355</v>
      </c>
    </row>
    <row r="7335">
      <c r="A7335" t="str">
        <f>A7314</f>
        <v>Lantai 2</v>
      </c>
      <c r="B7335">
        <f>B7314</f>
        <v>49</v>
      </c>
      <c r="C7335" t="str">
        <v>Sengkang Lapangan</v>
      </c>
      <c r="D7335">
        <f>VLOOKUP(D7314,'Detail Balok'!$C$10:$AU$110,36,FALSE)</f>
        <v>0</v>
      </c>
      <c r="E7335" t="str">
        <v>D</v>
      </c>
      <c r="F7335">
        <f>VLOOKUP(D7314,'Detail Balok'!$C$10:$AU$110,38,FALSE)</f>
        <v>10</v>
      </c>
      <c r="G7335" t="str">
        <v>-</v>
      </c>
      <c r="H7335">
        <f>VLOOKUP(D7314,'Detail Balok'!$C$10:$AU$110,40,FALSE)</f>
        <v>150</v>
      </c>
      <c r="J7335">
        <f>(IF(D7335=0,(2*(D7315+G7315))-(F$5*8),IF(D7335=3,(2*(D7315+G7315))-(F$5*8)+(G7315-2*F$5),IF(D7335=4,(2*(D7315+G7315))-(F$5*8)+2*(G7315-2*F$5)))))/1000</f>
        <v>1.28</v>
      </c>
      <c r="K7335" t="str">
        <v>+</v>
      </c>
      <c r="L7335">
        <f>IF(D7335=0,2*MAX(6*F7335,75),(D7335-1)*2*MAX(6*F7335,75))/1000</f>
        <v>0.15</v>
      </c>
      <c r="M7335" t="str">
        <v>=</v>
      </c>
      <c r="N7335">
        <f>J7335+L7335</f>
        <v>1.43</v>
      </c>
      <c r="T7335" t="str">
        <v>x</v>
      </c>
      <c r="U7335">
        <f>0.006165*F7335^2</f>
        <v>0.6165</v>
      </c>
      <c r="V7335" t="str">
        <v>x</v>
      </c>
      <c r="W7335">
        <f>IF(D7317-MAX(D7317/4,2*G7315)*2&gt;0,ROUND((D7317-MAX(D7317/4,2*G7315)*2)/H7335,0),0)</f>
        <v>6</v>
      </c>
      <c r="X7335" t="str">
        <v>x</v>
      </c>
      <c r="Y7335">
        <f>D7320</f>
        <v>1</v>
      </c>
      <c r="Z7335" t="str">
        <v>=</v>
      </c>
      <c r="AA7335">
        <f>N7335*U7335*W7335*Y7335</f>
        <v>5.28957</v>
      </c>
    </row>
    <row r="7336">
      <c r="A7336" t="str">
        <f>A7314</f>
        <v>Lantai 2</v>
      </c>
      <c r="B7336">
        <f>B7314</f>
        <v>49</v>
      </c>
      <c r="C7336" t="str">
        <v>Sengkang Tumpuan</v>
      </c>
      <c r="D7336">
        <f>VLOOKUP(D7314,'Detail Balok'!$C$10:$AU$110,41,FALSE)</f>
        <v>0</v>
      </c>
      <c r="E7336" t="str">
        <v>D</v>
      </c>
      <c r="F7336">
        <f>VLOOKUP(D7314,'Detail Balok'!$C$10:$AU$110,43,FALSE)</f>
        <v>10</v>
      </c>
      <c r="G7336" t="str">
        <v>-</v>
      </c>
      <c r="H7336">
        <f>VLOOKUP(D7314,'Detail Balok'!$C$10:$AU$110,45,FALSE)</f>
        <v>150</v>
      </c>
      <c r="J7336">
        <f>(IF(D7336=0,(2*(D7315+G7315))-(F$5*8),IF(D7336=3,(2*(D7315+G7315))-(F$5*8)+(G7315-2*F$5),IF(D7336=4,(2*(D7315+G7315))-(F$5*8)+2*(G7315-2*F$5)))))/1000</f>
        <v>1.28</v>
      </c>
      <c r="K7336" t="str">
        <v>+</v>
      </c>
      <c r="L7336">
        <f>IF(D7336=0,2*MAX(6*F7336,75),(D7336-1)*2*MAX(6*F7336,75))/1000</f>
        <v>0.15</v>
      </c>
      <c r="M7336" t="str">
        <v>=</v>
      </c>
      <c r="N7336">
        <f>J7336+L7336</f>
        <v>1.43</v>
      </c>
      <c r="T7336" t="str">
        <v>x</v>
      </c>
      <c r="U7336">
        <f>0.006165*F7336^2</f>
        <v>0.6165</v>
      </c>
      <c r="V7336" t="str">
        <v>x</v>
      </c>
      <c r="W7336">
        <f>IF(D7317&gt;4*G7315,ROUND(MAX(D7317/4,2*G7315)/H7336,0)+1,0)</f>
        <v>9</v>
      </c>
      <c r="X7336" t="str">
        <v>x</v>
      </c>
      <c r="Y7336">
        <f>D7320</f>
        <v>1</v>
      </c>
      <c r="Z7336" t="str">
        <v>=</v>
      </c>
      <c r="AA7336">
        <f>N7336*U7336*W7336*Y7336</f>
        <v>7.934355</v>
      </c>
    </row>
    <row r="7338">
      <c r="A7338" t="str">
        <f>A7314</f>
        <v>Lantai 2</v>
      </c>
      <c r="B7338">
        <f>B7314</f>
        <v>49</v>
      </c>
      <c r="C7338" t="str">
        <v>Kait Horizontal Tump.</v>
      </c>
      <c r="D7338">
        <f>VLOOKUP(D7314,'Detail Balok'!$C$10:$BJ$110,46,FALSE)</f>
        <v>0</v>
      </c>
      <c r="E7338" t="str">
        <v>D</v>
      </c>
      <c r="F7338">
        <f>VLOOKUP(D7314,'Detail Balok'!$C$10:$BJ$110,48,FALSE)</f>
        <v>0</v>
      </c>
      <c r="G7338" t="str">
        <v>-</v>
      </c>
      <c r="H7338">
        <f>VLOOKUP(D7314,'Detail Balok'!$C$10:$BJ$110,50,FALSE)</f>
        <v>100</v>
      </c>
      <c r="J7338">
        <f>(D7315-2*F$5)/1000</f>
        <v>0.12</v>
      </c>
      <c r="K7338" t="str">
        <v>+</v>
      </c>
      <c r="L7338">
        <f>IF(D7338=0,2*MAX(6*F7338,75),(D7338-1)*2*MAX(6*F7338,75))/1000</f>
        <v>0.15</v>
      </c>
      <c r="M7338" t="str">
        <v>=</v>
      </c>
      <c r="N7338">
        <f>J7338+L7338</f>
        <v>0.27</v>
      </c>
      <c r="T7338" t="str">
        <v>x</v>
      </c>
      <c r="U7338">
        <f>0.006165*F7338^2</f>
        <v>0</v>
      </c>
      <c r="V7338" t="str">
        <v>x</v>
      </c>
      <c r="W7338">
        <f>W7334</f>
        <v>9</v>
      </c>
      <c r="X7338" t="str">
        <v>x</v>
      </c>
      <c r="Y7338">
        <f>D7324</f>
        <v>0</v>
      </c>
      <c r="Z7338" t="str">
        <v>=</v>
      </c>
      <c r="AA7338">
        <f>N7338*U7338*W7338*Y7338</f>
        <v>0</v>
      </c>
    </row>
    <row r="7339">
      <c r="A7339" t="str">
        <f>A7314</f>
        <v>Lantai 2</v>
      </c>
      <c r="B7339">
        <f>B7314</f>
        <v>49</v>
      </c>
      <c r="C7339" t="str">
        <v>Kait Horizontal Lap.</v>
      </c>
      <c r="D7339">
        <f>VLOOKUP(D7314,'Detail Balok'!$C$10:$BJ$110,51,FALSE)</f>
        <v>0</v>
      </c>
      <c r="E7339" t="str">
        <v>D</v>
      </c>
      <c r="F7339">
        <f>VLOOKUP(D7314,'Detail Balok'!$C$10:$BJ$110,53,FALSE)</f>
        <v>0</v>
      </c>
      <c r="G7339" t="str">
        <v>-</v>
      </c>
      <c r="H7339">
        <f>VLOOKUP(D7314,'Detail Balok'!$C$10:$BJ$110,55,FALSE)</f>
        <v>100</v>
      </c>
      <c r="J7339">
        <f>(D7315-2*F$5)/1000</f>
        <v>0.12</v>
      </c>
      <c r="K7339" t="str">
        <v>+</v>
      </c>
      <c r="L7339">
        <f>IF(D7339=0,2*MAX(6*F7339,75),(D7339-1)*2*MAX(6*F7339,75))/1000</f>
        <v>0.15</v>
      </c>
      <c r="M7339" t="str">
        <v>=</v>
      </c>
      <c r="N7339">
        <f>J7339+L7339</f>
        <v>0.27</v>
      </c>
      <c r="T7339" t="str">
        <v>x</v>
      </c>
      <c r="U7339">
        <f>0.006165*F7339^2</f>
        <v>0</v>
      </c>
      <c r="V7339" t="str">
        <v>x</v>
      </c>
      <c r="W7339">
        <f>W7335</f>
        <v>6</v>
      </c>
      <c r="X7339" t="str">
        <v>x</v>
      </c>
      <c r="Y7339">
        <f>D7324</f>
        <v>0</v>
      </c>
      <c r="Z7339" t="str">
        <v>=</v>
      </c>
      <c r="AA7339">
        <f>N7339*U7339*W7339*Y7339</f>
        <v>0</v>
      </c>
    </row>
    <row r="7340">
      <c r="A7340" t="str">
        <f>A7314</f>
        <v>Lantai 2</v>
      </c>
      <c r="B7340">
        <f>B7314</f>
        <v>49</v>
      </c>
      <c r="C7340" t="str">
        <v>Kait Horizontal Tump.</v>
      </c>
      <c r="D7340">
        <f>VLOOKUP(D7314,'Detail Balok'!$C$10:$BJ$110,56,FALSE)</f>
        <v>0</v>
      </c>
      <c r="E7340" t="str">
        <v>D</v>
      </c>
      <c r="F7340">
        <f>VLOOKUP(D7314,'Detail Balok'!$C$10:$BJ$110,58,FALSE)</f>
        <v>0</v>
      </c>
      <c r="G7340" t="str">
        <v>-</v>
      </c>
      <c r="H7340">
        <f>VLOOKUP(D7314,'Detail Balok'!$C$10:$BJ$110,60,FALSE)</f>
        <v>100</v>
      </c>
      <c r="J7340">
        <f>(D7315-2*F$5)/1000</f>
        <v>0.12</v>
      </c>
      <c r="K7340" t="str">
        <v>+</v>
      </c>
      <c r="L7340">
        <f>IF(D7340=0,2*MAX(6*F7340,75),(D7340-1)*2*MAX(6*F7340,75))/1000</f>
        <v>0.15</v>
      </c>
      <c r="M7340" t="str">
        <v>=</v>
      </c>
      <c r="N7340">
        <f>J7340+L7340</f>
        <v>0.27</v>
      </c>
      <c r="T7340" t="str">
        <v>x</v>
      </c>
      <c r="U7340">
        <f>0.006165*F7340^2</f>
        <v>0</v>
      </c>
      <c r="V7340" t="str">
        <v>x</v>
      </c>
      <c r="W7340">
        <f>W7336</f>
        <v>9</v>
      </c>
      <c r="X7340" t="str">
        <v>x</v>
      </c>
      <c r="Y7340">
        <f>D7324</f>
        <v>0</v>
      </c>
      <c r="Z7340" t="str">
        <v>=</v>
      </c>
      <c r="AA7340">
        <f>N7340*U7340*W7340*Y7340</f>
        <v>0</v>
      </c>
    </row>
    <row r="7344">
      <c r="A7344" t="str">
        <f>A7314</f>
        <v>Lantai 2</v>
      </c>
      <c r="B7344">
        <f>B7314+1</f>
        <v>50</v>
      </c>
      <c r="C7344" t="str">
        <f>CONCATENATE(A7344," no. ",B7344)</f>
        <v>Lantai 2 no. 50</v>
      </c>
      <c r="D7344" t="str">
        <f>VLOOKUP(C7344,'Data Panjang Balok'!$C$9:$N$424,2,FALSE)</f>
        <v>B26-5</v>
      </c>
    </row>
    <row r="7345">
      <c r="C7345" t="str">
        <v>Dimensi</v>
      </c>
      <c r="D7345">
        <f>VLOOKUP(D7344,'Detail Balok'!$C$10:$AU$110,2,FALSE)</f>
        <v>200</v>
      </c>
      <c r="F7345" t="str">
        <v>x</v>
      </c>
      <c r="G7345">
        <f>VLOOKUP(D7344,'Detail Balok'!$C$10:$AU$110,3,FALSE)</f>
        <v>600</v>
      </c>
    </row>
    <row r="7346">
      <c r="C7346" t="str">
        <v>Panjang as ke as</v>
      </c>
      <c r="D7346">
        <f>VLOOKUP(C7344,'Data Panjang Balok'!$C$9:$N$424,4,FALSE)</f>
        <v>6100</v>
      </c>
    </row>
    <row r="7347">
      <c r="C7347" t="str">
        <v>Panjang netto</v>
      </c>
      <c r="D7347">
        <f>VLOOKUP(C7344,'Data Panjang Balok'!$C$9:$N$424,7,FALSE)</f>
        <v>6100</v>
      </c>
    </row>
    <row r="7348">
      <c r="C7348" t="str">
        <v>Kolom / balok kiri</v>
      </c>
      <c r="D7348">
        <f>VLOOKUP(C7344,'Data Panjang Balok'!$C$9:$N$424,9,FALSE)</f>
        <v>0</v>
      </c>
    </row>
    <row r="7349">
      <c r="C7349" t="str">
        <v>Kolom / balok kanan</v>
      </c>
      <c r="D7349">
        <f>VLOOKUP(C7344,'Data Panjang Balok'!$C$9:$N$424,10,FALSE)</f>
        <v>0</v>
      </c>
    </row>
    <row r="7350">
      <c r="C7350" t="str">
        <v>Jumlah</v>
      </c>
      <c r="D7350">
        <f>VLOOKUP(C7344,'Data Panjang Balok'!$C$9:$N$424,3,FALSE)</f>
        <v>1</v>
      </c>
    </row>
    <row r="7351">
      <c r="A7351" t="str">
        <f>A7344</f>
        <v>Lantai 2</v>
      </c>
      <c r="B7351">
        <f>B7344</f>
        <v>50</v>
      </c>
      <c r="C7351" t="str">
        <v>Tul Atas Tumpuan</v>
      </c>
      <c r="D7351">
        <f>VLOOKUP(D7344,'Detail Balok'!$C$10:$AU$110,4,FALSE)</f>
        <v>7</v>
      </c>
      <c r="E7351" t="str">
        <v>D</v>
      </c>
      <c r="F7351">
        <f>VLOOKUP(D7344,'Detail Balok'!$C$10:$AU$110,6,FALSE)</f>
        <v>19</v>
      </c>
      <c r="I7351" t="str">
        <v>(</v>
      </c>
      <c r="J7351">
        <f>+D7346/4/1000</f>
        <v>1.525</v>
      </c>
      <c r="K7351" t="str">
        <v>+</v>
      </c>
      <c r="L7351">
        <f>MAX(VLOOKUP(F7351,N$6:P$15,3,FALSE)/1000,2/3*D7348/1000)+F$16*F7351/1000</f>
        <v>0.228</v>
      </c>
      <c r="M7351" t="str">
        <v>=</v>
      </c>
      <c r="N7351">
        <f>J7351+L7351</f>
        <v>1.753</v>
      </c>
      <c r="O7351" t="str">
        <v>+</v>
      </c>
      <c r="P7351">
        <f>D7351-D7352</f>
        <v>4</v>
      </c>
      <c r="Q7351" t="str">
        <v>x</v>
      </c>
      <c r="R7351">
        <f>IF(P7351&gt;0,$F$18*F7351/1000,0)</f>
        <v>0.285</v>
      </c>
      <c r="S7351" t="str">
        <v>)</v>
      </c>
      <c r="T7351" t="str">
        <v>x</v>
      </c>
      <c r="U7351">
        <f>0.006165*F7351^2</f>
        <v>2.225565</v>
      </c>
      <c r="X7351" t="str">
        <v>x</v>
      </c>
      <c r="Y7351">
        <f>D7350</f>
        <v>1</v>
      </c>
      <c r="Z7351" t="str">
        <v>=</v>
      </c>
      <c r="AA7351">
        <f>IF(AA7354=0,(D7351*N7351+P7351*R7351)*U7351*Y7351,0)</f>
        <v>29.847052214999998</v>
      </c>
    </row>
    <row r="7352">
      <c r="A7352" t="str">
        <f>A7344</f>
        <v>Lantai 2</v>
      </c>
      <c r="B7352">
        <f>B7344</f>
        <v>50</v>
      </c>
      <c r="C7352" t="str">
        <v>Tul Atas Lapangan</v>
      </c>
      <c r="D7352">
        <f>VLOOKUP(D7344,'Detail Balok'!$C$10:$AU$110,7,FALSE)</f>
        <v>3</v>
      </c>
      <c r="E7352" t="str">
        <v>D</v>
      </c>
      <c r="F7352">
        <f>VLOOKUP(D7344,'Detail Balok'!$C$10:$AU$110,9,FALSE)</f>
        <v>19</v>
      </c>
      <c r="I7352" t="str">
        <v>(</v>
      </c>
      <c r="J7352">
        <f>+D7346/2/1000</f>
        <v>3.05</v>
      </c>
      <c r="K7352" t="str">
        <v>+</v>
      </c>
      <c r="M7352" t="str">
        <v>=</v>
      </c>
      <c r="N7352">
        <f>J7352+L7352</f>
        <v>3.05</v>
      </c>
      <c r="O7352" t="str">
        <v>+</v>
      </c>
      <c r="P7352">
        <f>MAX(D7352-D7351,D7352-D7353)</f>
        <v>0</v>
      </c>
      <c r="Q7352" t="str">
        <v>x</v>
      </c>
      <c r="R7352">
        <f>IF(P7352&gt;0,2*(1-2*$F$19-1/2)*D7347/1000,0)</f>
        <v>0</v>
      </c>
      <c r="S7352" t="str">
        <v>)</v>
      </c>
      <c r="T7352" t="str">
        <v>x</v>
      </c>
      <c r="U7352">
        <f>0.006165*F7352^2</f>
        <v>2.225565</v>
      </c>
      <c r="X7352" t="str">
        <v>x</v>
      </c>
      <c r="Y7352">
        <f>D7350</f>
        <v>1</v>
      </c>
      <c r="Z7352" t="str">
        <v>=</v>
      </c>
      <c r="AA7352">
        <f>IF(AA7354=0,(D7352*N7352+P7352*R7352)*U7352*Y7352,0)</f>
        <v>20.363919749999997</v>
      </c>
    </row>
    <row r="7353">
      <c r="A7353" t="str">
        <f>A7344</f>
        <v>Lantai 2</v>
      </c>
      <c r="B7353">
        <f>B7344</f>
        <v>50</v>
      </c>
      <c r="C7353" t="str">
        <v>Tul Atas Tumpuan</v>
      </c>
      <c r="D7353">
        <f>VLOOKUP(D7344,'Detail Balok'!$C$10:$AU$110,10,FALSE)</f>
        <v>3</v>
      </c>
      <c r="E7353" t="str">
        <v>D</v>
      </c>
      <c r="F7353">
        <f>VLOOKUP(D7344,'Detail Balok'!$C$10:$AU$110,12,FALSE)</f>
        <v>19</v>
      </c>
      <c r="I7353" t="str">
        <v>(</v>
      </c>
      <c r="J7353">
        <f>+D7346/4/1000</f>
        <v>1.525</v>
      </c>
      <c r="K7353" t="str">
        <v>+</v>
      </c>
      <c r="L7353">
        <f>MAX(VLOOKUP(F7353,N$6:P$15,3,FALSE)/1000,2/3*D7348/1000)+F$16*F7353/1000</f>
        <v>0.228</v>
      </c>
      <c r="M7353" t="str">
        <v>=</v>
      </c>
      <c r="N7353">
        <f>J7353+L7353</f>
        <v>1.753</v>
      </c>
      <c r="O7353" t="str">
        <v>+</v>
      </c>
      <c r="P7353">
        <f>D7353-D7352</f>
        <v>0</v>
      </c>
      <c r="Q7353" t="str">
        <v>x</v>
      </c>
      <c r="R7353">
        <f>IF(P7353&gt;0,$F$18*F7353/1000,0)</f>
        <v>0</v>
      </c>
      <c r="S7353" t="str">
        <v>)</v>
      </c>
      <c r="T7353" t="str">
        <v>x</v>
      </c>
      <c r="U7353">
        <f>0.006165*F7353^2</f>
        <v>2.225565</v>
      </c>
      <c r="X7353" t="str">
        <v>x</v>
      </c>
      <c r="Y7353">
        <f>D7350</f>
        <v>1</v>
      </c>
      <c r="Z7353" t="str">
        <v>=</v>
      </c>
      <c r="AA7353">
        <f>IF(AA7354=0,(D7353*N7353+P7353*R7353)*U7353*Y7353,0)</f>
        <v>11.704246334999999</v>
      </c>
    </row>
    <row r="7354">
      <c r="A7354" t="str">
        <f>A7344</f>
        <v>Lantai 2</v>
      </c>
      <c r="B7354">
        <f>B7344</f>
        <v>50</v>
      </c>
      <c r="D7354">
        <f>IF(AND(D7351=D7352,D7352=D7353,D7351=D7353),D7351,0)</f>
        <v>0</v>
      </c>
      <c r="E7354" t="str">
        <v>D</v>
      </c>
      <c r="F7354">
        <f>IF(AND(F7351=F7352,F7351=F7353,F7352=F7353),F7351,0)</f>
        <v>19</v>
      </c>
      <c r="L7354" t="str">
        <v>Total panjang per balok</v>
      </c>
      <c r="M7354" t="str">
        <v>=</v>
      </c>
      <c r="N7354">
        <f>IF(AND(D7351=D7352,D7351=D7353,D7352=D7353,F7351=F7352,F7351=F7353,F7352=F7353),SUM(N7351:N7353),0)</f>
        <v>0</v>
      </c>
      <c r="O7354" t="str">
        <v>+</v>
      </c>
      <c r="P7354">
        <f>IF(N7354&gt;12,ROUNDDOWN(N7354/12,0),0)</f>
        <v>0</v>
      </c>
      <c r="Q7354" t="str">
        <v>x</v>
      </c>
      <c r="R7354">
        <f>IF(P7354&gt;0,MAX(VLOOKUP(F7354,$D$6:$G$15,3,FALSE),600),0)/1000</f>
        <v>0</v>
      </c>
      <c r="T7354" t="str">
        <v>x</v>
      </c>
      <c r="U7354">
        <f>U7353</f>
        <v>2.225565</v>
      </c>
      <c r="V7354" t="str">
        <v>x</v>
      </c>
      <c r="W7354">
        <f>D7354</f>
        <v>0</v>
      </c>
      <c r="X7354" t="str">
        <v>x</v>
      </c>
      <c r="Y7354">
        <f>Y7353</f>
        <v>1</v>
      </c>
      <c r="Z7354" t="str">
        <v>=</v>
      </c>
      <c r="AA7354">
        <f>(N7354+P7354*R7354/1000)*U7354*W7354*Y7354</f>
        <v>0</v>
      </c>
    </row>
    <row r="7356">
      <c r="A7356" t="str">
        <f>A7344</f>
        <v>Lantai 2</v>
      </c>
      <c r="B7356">
        <f>B7344</f>
        <v>50</v>
      </c>
      <c r="C7356" t="str">
        <v>Tul Peminggang</v>
      </c>
      <c r="D7356">
        <f>VLOOKUP(D7344,'Detail Balok'!$C$10:$AU$110,13,FALSE)</f>
        <v>2</v>
      </c>
      <c r="E7356" t="str">
        <v>D</v>
      </c>
      <c r="F7356">
        <f>VLOOKUP(D7344,'Detail Balok'!$C$10:$AU$110,15,FALSE)</f>
        <v>10</v>
      </c>
      <c r="J7356">
        <f>+D7346/1000</f>
        <v>6.1</v>
      </c>
      <c r="K7356" t="str">
        <v>+</v>
      </c>
      <c r="L7356">
        <f>2*$F$16*F7356/1000</f>
        <v>0.24</v>
      </c>
      <c r="M7356" t="str">
        <v>=</v>
      </c>
      <c r="N7356">
        <f>J7356+L7356</f>
        <v>6.34</v>
      </c>
      <c r="O7356" t="str">
        <v>+</v>
      </c>
      <c r="P7356">
        <f>IF(N7356&gt;12,ROUNDDOWN(N7356/12,0),0)</f>
        <v>0</v>
      </c>
      <c r="Q7356" t="str">
        <v>x</v>
      </c>
      <c r="R7356">
        <f>IF(P7356&gt;0,MAX(VLOOKUP(F7356,$D$6:$G$15,3,FALSE),600),0)/1000</f>
        <v>0</v>
      </c>
      <c r="T7356" t="str">
        <v>x</v>
      </c>
      <c r="U7356">
        <f>0.006165*F7356^2</f>
        <v>0.6165</v>
      </c>
      <c r="V7356" t="str">
        <v>x</v>
      </c>
      <c r="W7356">
        <f>+D7356</f>
        <v>2</v>
      </c>
      <c r="X7356" t="str">
        <v>x</v>
      </c>
      <c r="Y7356">
        <f>D7350</f>
        <v>1</v>
      </c>
      <c r="Z7356" t="str">
        <v>=</v>
      </c>
      <c r="AA7356">
        <f>(N7356+P7356*R7356/1000)*U7356*W7356*Y7356</f>
        <v>7.817220000000001</v>
      </c>
    </row>
    <row r="7359">
      <c r="A7359" t="str">
        <f>A7344</f>
        <v>Lantai 2</v>
      </c>
      <c r="B7359">
        <f>B7344</f>
        <v>50</v>
      </c>
      <c r="C7359" t="str">
        <v>Tul Bawah Tumpuan</v>
      </c>
      <c r="D7359">
        <f>VLOOKUP(D7344,'Detail Balok'!$C$10:$AU$110,22,FALSE)</f>
        <v>4</v>
      </c>
      <c r="E7359" t="str">
        <v>D</v>
      </c>
      <c r="F7359">
        <f>VLOOKUP(D7344,'Detail Balok'!$C$10:$AU$110,24,FALSE)</f>
        <v>19</v>
      </c>
      <c r="I7359" t="str">
        <v>(</v>
      </c>
      <c r="J7359">
        <f>+J7351</f>
        <v>1.525</v>
      </c>
      <c r="K7359" t="str">
        <v>+</v>
      </c>
      <c r="L7359">
        <f>MAX(VLOOKUP(F7359,N$6:P$15,3,FALSE)/1000,2/3*D7349/1000)+F$16*F7359/1000</f>
        <v>0.228</v>
      </c>
      <c r="M7359" t="str">
        <v>=</v>
      </c>
      <c r="N7359">
        <f>J7359+L7359</f>
        <v>1.753</v>
      </c>
      <c r="O7359" t="str">
        <v>+</v>
      </c>
      <c r="P7359">
        <f>D7359-D7360</f>
        <v>-3</v>
      </c>
      <c r="Q7359" t="str">
        <v>x</v>
      </c>
      <c r="R7359">
        <f>IF(P7359&gt;0,$F$18*F7359/1000,0)</f>
        <v>0</v>
      </c>
      <c r="S7359" t="str">
        <v>)</v>
      </c>
      <c r="T7359" t="str">
        <v>x</v>
      </c>
      <c r="U7359">
        <f>0.006165*F7359^2</f>
        <v>2.225565</v>
      </c>
      <c r="X7359" t="str">
        <v>x</v>
      </c>
      <c r="Y7359">
        <f>D7350</f>
        <v>1</v>
      </c>
      <c r="Z7359" t="str">
        <v>=</v>
      </c>
      <c r="AA7359">
        <f>IF(AA7362=0,(D7359*N7359+P7359*R7359)*U7359*Y7359,0)</f>
        <v>15.605661779999998</v>
      </c>
    </row>
    <row r="7360">
      <c r="A7360" t="str">
        <f>A7344</f>
        <v>Lantai 2</v>
      </c>
      <c r="B7360">
        <f>B7344</f>
        <v>50</v>
      </c>
      <c r="C7360" t="str">
        <v>Tul Bawah Lapangan</v>
      </c>
      <c r="D7360">
        <f>VLOOKUP(D7344,'Detail Balok'!$C$10:$AU$110,25,FALSE)</f>
        <v>7</v>
      </c>
      <c r="E7360" t="str">
        <v>D</v>
      </c>
      <c r="F7360">
        <f>VLOOKUP(D7344,'Detail Balok'!$C$10:$AU$110,27,FALSE)</f>
        <v>19</v>
      </c>
      <c r="I7360" t="str">
        <v>(</v>
      </c>
      <c r="J7360">
        <f>+J7352</f>
        <v>3.05</v>
      </c>
      <c r="K7360" t="str">
        <v>+</v>
      </c>
      <c r="M7360" t="str">
        <v>=</v>
      </c>
      <c r="N7360">
        <f>J7360+L7360</f>
        <v>3.05</v>
      </c>
      <c r="O7360" t="str">
        <v>+</v>
      </c>
      <c r="P7360">
        <f>MAX(D7360-D7359,D7360-D7361)</f>
        <v>3</v>
      </c>
      <c r="Q7360" t="str">
        <v>x</v>
      </c>
      <c r="R7360">
        <f>IF(P7360&gt;0,2*(1-2*$F$19-1/2)*D7347/1000,0)</f>
        <v>1.2199999999999998</v>
      </c>
      <c r="S7360" t="str">
        <v>)</v>
      </c>
      <c r="T7360" t="str">
        <v>x</v>
      </c>
      <c r="U7360">
        <f>0.006165*F7360^2</f>
        <v>2.225565</v>
      </c>
      <c r="X7360" t="str">
        <v>x</v>
      </c>
      <c r="Y7360">
        <f>D7350</f>
        <v>1</v>
      </c>
      <c r="Z7360" t="str">
        <v>=</v>
      </c>
      <c r="AA7360">
        <f>IF(AA7362=0,(D7360*N7360+P7360*R7360)*U7360*Y7360,0)</f>
        <v>55.66138065</v>
      </c>
    </row>
    <row r="7361">
      <c r="A7361" t="str">
        <f>A7344</f>
        <v>Lantai 2</v>
      </c>
      <c r="B7361">
        <f>B7344</f>
        <v>50</v>
      </c>
      <c r="C7361" t="str">
        <v>Tul Bawah Tumpuan</v>
      </c>
      <c r="D7361">
        <f>VLOOKUP(D7344,'Detail Balok'!$C$10:$AU$110,28,FALSE)</f>
        <v>4</v>
      </c>
      <c r="E7361" t="str">
        <v>D</v>
      </c>
      <c r="F7361">
        <f>VLOOKUP(D7344,'Detail Balok'!$C$10:$AU$110,30,FALSE)</f>
        <v>19</v>
      </c>
      <c r="I7361" t="str">
        <v>(</v>
      </c>
      <c r="J7361">
        <f>+J7353</f>
        <v>1.525</v>
      </c>
      <c r="K7361" t="str">
        <v>+</v>
      </c>
      <c r="L7361">
        <f>MAX(VLOOKUP(F7361,N$6:P$15,3,FALSE)/1000,2/3*D7349/1000)+F$16*F7361/1000</f>
        <v>0.228</v>
      </c>
      <c r="M7361" t="str">
        <v>=</v>
      </c>
      <c r="N7361">
        <f>J7361+L7361</f>
        <v>1.753</v>
      </c>
      <c r="O7361" t="str">
        <v>+</v>
      </c>
      <c r="P7361">
        <f>D7361-D7360</f>
        <v>-3</v>
      </c>
      <c r="Q7361" t="str">
        <v>x</v>
      </c>
      <c r="R7361">
        <f>IF(P7361&gt;0,$F$18*F7361/1000,0)</f>
        <v>0</v>
      </c>
      <c r="S7361" t="str">
        <v>)</v>
      </c>
      <c r="T7361" t="str">
        <v>x</v>
      </c>
      <c r="U7361">
        <f>0.006165*F7361^2</f>
        <v>2.225565</v>
      </c>
      <c r="X7361" t="str">
        <v>x</v>
      </c>
      <c r="Y7361">
        <f>D7350</f>
        <v>1</v>
      </c>
      <c r="Z7361" t="str">
        <v>=</v>
      </c>
      <c r="AA7361">
        <f>IF(AA7362=0,(D7361*N7361+P7361*R7361)*U7361*Y7361,0)</f>
        <v>15.605661779999998</v>
      </c>
    </row>
    <row r="7362">
      <c r="A7362" t="str">
        <f>A7344</f>
        <v>Lantai 2</v>
      </c>
      <c r="B7362">
        <f>B7344</f>
        <v>50</v>
      </c>
      <c r="D7362">
        <f>IF(AND(D7359=D7360,D7360=D7361,D7359=D7361),D7359,0)</f>
        <v>0</v>
      </c>
      <c r="E7362" t="str">
        <v>D</v>
      </c>
      <c r="F7362">
        <f>IF(AND(F7359=F7360,F7359=F7361,F7360=F7361),F7359,0)</f>
        <v>19</v>
      </c>
      <c r="L7362" t="str">
        <v>Total panjang per balok</v>
      </c>
      <c r="M7362" t="str">
        <v>=</v>
      </c>
      <c r="N7362">
        <f>IF(AND(D7359=D7360,D7359=D7361,D7360=D7361,F7359=F7360,F7359=F7361,F7360=F7361),SUM(N7359:N7361),0)</f>
        <v>0</v>
      </c>
      <c r="O7362" t="str">
        <v>+</v>
      </c>
      <c r="P7362">
        <f>IF(N7362&gt;12,ROUNDDOWN(N7362/12,0),0)</f>
        <v>0</v>
      </c>
      <c r="Q7362" t="str">
        <v>x</v>
      </c>
      <c r="R7362">
        <f>IF(P7362&gt;0,MAX(VLOOKUP(F7362,$D$6:$G$15,3,FALSE),600),0)/1000</f>
        <v>0</v>
      </c>
      <c r="T7362" t="str">
        <v>x</v>
      </c>
      <c r="U7362">
        <f>U7361</f>
        <v>2.225565</v>
      </c>
      <c r="V7362" t="str">
        <v>x</v>
      </c>
      <c r="W7362">
        <f>D7362</f>
        <v>0</v>
      </c>
      <c r="X7362" t="str">
        <v>x</v>
      </c>
      <c r="Y7362">
        <f>Y7361</f>
        <v>1</v>
      </c>
      <c r="Z7362" t="str">
        <v>=</v>
      </c>
      <c r="AA7362">
        <f>(N7362+P7362*R7362/1000)*U7362*W7362*Y7362</f>
        <v>0</v>
      </c>
    </row>
    <row r="7364">
      <c r="A7364" t="str">
        <f>A7344</f>
        <v>Lantai 2</v>
      </c>
      <c r="B7364">
        <f>B7344</f>
        <v>50</v>
      </c>
      <c r="C7364" t="str">
        <v>Sengkang Tumpuan</v>
      </c>
      <c r="D7364">
        <f>VLOOKUP(D7344,'Detail Balok'!$C$10:$AU$110,31,FALSE)</f>
        <v>0</v>
      </c>
      <c r="E7364" t="str">
        <v>D</v>
      </c>
      <c r="F7364">
        <f>VLOOKUP(D7344,'Detail Balok'!$C$10:$AU$110,33,FALSE)</f>
        <v>10</v>
      </c>
      <c r="G7364" t="str">
        <v>-</v>
      </c>
      <c r="H7364">
        <f>VLOOKUP(D7344,'Detail Balok'!$C$10:$AU$110,35,FALSE)</f>
        <v>80</v>
      </c>
      <c r="J7364">
        <f>(IF(D7364=0,(2*(D7345+G7345))-(F$5*8),IF(D7364=3,(2*(D7345+G7345))-(F$5*8)+(G7345-2*F$5),IF(D7364=4,(2*(D7345+G7345))-(F$5*8)+2*(G7345-2*F$5)))))/1000</f>
        <v>1.28</v>
      </c>
      <c r="K7364" t="str">
        <v>+</v>
      </c>
      <c r="L7364">
        <f>IF(D7364=0,2*MAX(6*F7364,75),(D7364-1)*2*MAX(6*F7364,75))/1000</f>
        <v>0.15</v>
      </c>
      <c r="M7364" t="str">
        <v>=</v>
      </c>
      <c r="N7364">
        <f>J7364+L7364</f>
        <v>1.43</v>
      </c>
      <c r="T7364" t="str">
        <v>x</v>
      </c>
      <c r="U7364">
        <f>0.006165*F7364^2</f>
        <v>0.6165</v>
      </c>
      <c r="V7364" t="str">
        <v>x</v>
      </c>
      <c r="W7364">
        <f>IF(D7347&gt;4*G7345,ROUND(MAX(D7347/4,2*G7345)/H7364,0)+1,ROUND(D7347/H7364,0)+1)</f>
        <v>20</v>
      </c>
      <c r="X7364" t="str">
        <v>x</v>
      </c>
      <c r="Y7364">
        <f>D7350</f>
        <v>1</v>
      </c>
      <c r="Z7364" t="str">
        <v>=</v>
      </c>
      <c r="AA7364">
        <f>N7364*U7364*W7364*Y7364</f>
        <v>17.6319</v>
      </c>
    </row>
    <row r="7365">
      <c r="A7365" t="str">
        <f>A7344</f>
        <v>Lantai 2</v>
      </c>
      <c r="B7365">
        <f>B7344</f>
        <v>50</v>
      </c>
      <c r="C7365" t="str">
        <v>Sengkang Lapangan</v>
      </c>
      <c r="D7365">
        <f>VLOOKUP(D7344,'Detail Balok'!$C$10:$AU$110,36,FALSE)</f>
        <v>0</v>
      </c>
      <c r="E7365" t="str">
        <v>D</v>
      </c>
      <c r="F7365">
        <f>VLOOKUP(D7344,'Detail Balok'!$C$10:$AU$110,38,FALSE)</f>
        <v>10</v>
      </c>
      <c r="G7365" t="str">
        <v>-</v>
      </c>
      <c r="H7365">
        <f>VLOOKUP(D7344,'Detail Balok'!$C$10:$AU$110,40,FALSE)</f>
        <v>200</v>
      </c>
      <c r="J7365">
        <f>(IF(D7365=0,(2*(D7345+G7345))-(F$5*8),IF(D7365=3,(2*(D7345+G7345))-(F$5*8)+(G7345-2*F$5),IF(D7365=4,(2*(D7345+G7345))-(F$5*8)+2*(G7345-2*F$5)))))/1000</f>
        <v>1.28</v>
      </c>
      <c r="K7365" t="str">
        <v>+</v>
      </c>
      <c r="L7365">
        <f>IF(D7365=0,2*MAX(6*F7365,75),(D7365-1)*2*MAX(6*F7365,75))/1000</f>
        <v>0.15</v>
      </c>
      <c r="M7365" t="str">
        <v>=</v>
      </c>
      <c r="N7365">
        <f>J7365+L7365</f>
        <v>1.43</v>
      </c>
      <c r="T7365" t="str">
        <v>x</v>
      </c>
      <c r="U7365">
        <f>0.006165*F7365^2</f>
        <v>0.6165</v>
      </c>
      <c r="V7365" t="str">
        <v>x</v>
      </c>
      <c r="W7365">
        <f>IF(D7347-MAX(D7347/4,2*G7345)*2&gt;0,ROUND((D7347-MAX(D7347/4,2*G7345)*2)/H7365,0),0)</f>
        <v>15</v>
      </c>
      <c r="X7365" t="str">
        <v>x</v>
      </c>
      <c r="Y7365">
        <f>D7350</f>
        <v>1</v>
      </c>
      <c r="Z7365" t="str">
        <v>=</v>
      </c>
      <c r="AA7365">
        <f>N7365*U7365*W7365*Y7365</f>
        <v>13.223925</v>
      </c>
    </row>
    <row r="7366">
      <c r="A7366" t="str">
        <f>A7344</f>
        <v>Lantai 2</v>
      </c>
      <c r="B7366">
        <f>B7344</f>
        <v>50</v>
      </c>
      <c r="C7366" t="str">
        <v>Sengkang Tumpuan</v>
      </c>
      <c r="D7366">
        <f>VLOOKUP(D7344,'Detail Balok'!$C$10:$AU$110,41,FALSE)</f>
        <v>0</v>
      </c>
      <c r="E7366" t="str">
        <v>D</v>
      </c>
      <c r="F7366">
        <f>VLOOKUP(D7344,'Detail Balok'!$C$10:$AU$110,43,FALSE)</f>
        <v>10</v>
      </c>
      <c r="G7366" t="str">
        <v>-</v>
      </c>
      <c r="H7366">
        <f>VLOOKUP(D7344,'Detail Balok'!$C$10:$AU$110,45,FALSE)</f>
        <v>80</v>
      </c>
      <c r="J7366">
        <f>(IF(D7366=0,(2*(D7345+G7345))-(F$5*8),IF(D7366=3,(2*(D7345+G7345))-(F$5*8)+(G7345-2*F$5),IF(D7366=4,(2*(D7345+G7345))-(F$5*8)+2*(G7345-2*F$5)))))/1000</f>
        <v>1.28</v>
      </c>
      <c r="K7366" t="str">
        <v>+</v>
      </c>
      <c r="L7366">
        <f>IF(D7366=0,2*MAX(6*F7366,75),(D7366-1)*2*MAX(6*F7366,75))/1000</f>
        <v>0.15</v>
      </c>
      <c r="M7366" t="str">
        <v>=</v>
      </c>
      <c r="N7366">
        <f>J7366+L7366</f>
        <v>1.43</v>
      </c>
      <c r="T7366" t="str">
        <v>x</v>
      </c>
      <c r="U7366">
        <f>0.006165*F7366^2</f>
        <v>0.6165</v>
      </c>
      <c r="V7366" t="str">
        <v>x</v>
      </c>
      <c r="W7366">
        <f>IF(D7347&gt;4*G7345,ROUND(MAX(D7347/4,2*G7345)/H7366,0)+1,0)</f>
        <v>20</v>
      </c>
      <c r="X7366" t="str">
        <v>x</v>
      </c>
      <c r="Y7366">
        <f>D7350</f>
        <v>1</v>
      </c>
      <c r="Z7366" t="str">
        <v>=</v>
      </c>
      <c r="AA7366">
        <f>N7366*U7366*W7366*Y7366</f>
        <v>17.6319</v>
      </c>
    </row>
    <row r="7368">
      <c r="A7368" t="str">
        <f>A7344</f>
        <v>Lantai 2</v>
      </c>
      <c r="B7368">
        <f>B7344</f>
        <v>50</v>
      </c>
      <c r="C7368" t="str">
        <v>Kait Horizontal Tump.</v>
      </c>
      <c r="D7368">
        <f>VLOOKUP(D7344,'Detail Balok'!$C$10:$BJ$110,46,FALSE)</f>
        <v>0</v>
      </c>
      <c r="E7368" t="str">
        <v>D</v>
      </c>
      <c r="F7368">
        <f>VLOOKUP(D7344,'Detail Balok'!$C$10:$BJ$110,48,FALSE)</f>
        <v>0</v>
      </c>
      <c r="G7368" t="str">
        <v>-</v>
      </c>
      <c r="H7368">
        <f>VLOOKUP(D7344,'Detail Balok'!$C$10:$BJ$110,50,FALSE)</f>
        <v>100</v>
      </c>
      <c r="J7368">
        <f>(D7345-2*F$5)/1000</f>
        <v>0.12</v>
      </c>
      <c r="K7368" t="str">
        <v>+</v>
      </c>
      <c r="L7368">
        <f>IF(D7368=0,2*MAX(6*F7368,75),(D7368-1)*2*MAX(6*F7368,75))/1000</f>
        <v>0.15</v>
      </c>
      <c r="M7368" t="str">
        <v>=</v>
      </c>
      <c r="N7368">
        <f>J7368+L7368</f>
        <v>0.27</v>
      </c>
      <c r="T7368" t="str">
        <v>x</v>
      </c>
      <c r="U7368">
        <f>0.006165*F7368^2</f>
        <v>0</v>
      </c>
      <c r="V7368" t="str">
        <v>x</v>
      </c>
      <c r="W7368">
        <f>W7364</f>
        <v>20</v>
      </c>
      <c r="X7368" t="str">
        <v>x</v>
      </c>
      <c r="Y7368">
        <f>D7354</f>
        <v>0</v>
      </c>
      <c r="Z7368" t="str">
        <v>=</v>
      </c>
      <c r="AA7368">
        <f>N7368*U7368*W7368*Y7368</f>
        <v>0</v>
      </c>
    </row>
    <row r="7369">
      <c r="A7369" t="str">
        <f>A7344</f>
        <v>Lantai 2</v>
      </c>
      <c r="B7369">
        <f>B7344</f>
        <v>50</v>
      </c>
      <c r="C7369" t="str">
        <v>Kait Horizontal Lap.</v>
      </c>
      <c r="D7369">
        <f>VLOOKUP(D7344,'Detail Balok'!$C$10:$BJ$110,51,FALSE)</f>
        <v>0</v>
      </c>
      <c r="E7369" t="str">
        <v>D</v>
      </c>
      <c r="F7369">
        <f>VLOOKUP(D7344,'Detail Balok'!$C$10:$BJ$110,53,FALSE)</f>
        <v>0</v>
      </c>
      <c r="G7369" t="str">
        <v>-</v>
      </c>
      <c r="H7369">
        <f>VLOOKUP(D7344,'Detail Balok'!$C$10:$BJ$110,55,FALSE)</f>
        <v>100</v>
      </c>
      <c r="J7369">
        <f>(D7345-2*F$5)/1000</f>
        <v>0.12</v>
      </c>
      <c r="K7369" t="str">
        <v>+</v>
      </c>
      <c r="L7369">
        <f>IF(D7369=0,2*MAX(6*F7369,75),(D7369-1)*2*MAX(6*F7369,75))/1000</f>
        <v>0.15</v>
      </c>
      <c r="M7369" t="str">
        <v>=</v>
      </c>
      <c r="N7369">
        <f>J7369+L7369</f>
        <v>0.27</v>
      </c>
      <c r="T7369" t="str">
        <v>x</v>
      </c>
      <c r="U7369">
        <f>0.006165*F7369^2</f>
        <v>0</v>
      </c>
      <c r="V7369" t="str">
        <v>x</v>
      </c>
      <c r="W7369">
        <f>W7365</f>
        <v>15</v>
      </c>
      <c r="X7369" t="str">
        <v>x</v>
      </c>
      <c r="Y7369">
        <f>D7354</f>
        <v>0</v>
      </c>
      <c r="Z7369" t="str">
        <v>=</v>
      </c>
      <c r="AA7369">
        <f>N7369*U7369*W7369*Y7369</f>
        <v>0</v>
      </c>
    </row>
    <row r="7370">
      <c r="A7370" t="str">
        <f>A7344</f>
        <v>Lantai 2</v>
      </c>
      <c r="B7370">
        <f>B7344</f>
        <v>50</v>
      </c>
      <c r="C7370" t="str">
        <v>Kait Horizontal Tump.</v>
      </c>
      <c r="D7370">
        <f>VLOOKUP(D7344,'Detail Balok'!$C$10:$BJ$110,56,FALSE)</f>
        <v>0</v>
      </c>
      <c r="E7370" t="str">
        <v>D</v>
      </c>
      <c r="F7370">
        <f>VLOOKUP(D7344,'Detail Balok'!$C$10:$BJ$110,58,FALSE)</f>
        <v>0</v>
      </c>
      <c r="G7370" t="str">
        <v>-</v>
      </c>
      <c r="H7370">
        <f>VLOOKUP(D7344,'Detail Balok'!$C$10:$BJ$110,60,FALSE)</f>
        <v>100</v>
      </c>
      <c r="J7370">
        <f>(D7345-2*F$5)/1000</f>
        <v>0.12</v>
      </c>
      <c r="K7370" t="str">
        <v>+</v>
      </c>
      <c r="L7370">
        <f>IF(D7370=0,2*MAX(6*F7370,75),(D7370-1)*2*MAX(6*F7370,75))/1000</f>
        <v>0.15</v>
      </c>
      <c r="M7370" t="str">
        <v>=</v>
      </c>
      <c r="N7370">
        <f>J7370+L7370</f>
        <v>0.27</v>
      </c>
      <c r="T7370" t="str">
        <v>x</v>
      </c>
      <c r="U7370">
        <f>0.006165*F7370^2</f>
        <v>0</v>
      </c>
      <c r="V7370" t="str">
        <v>x</v>
      </c>
      <c r="W7370">
        <f>W7366</f>
        <v>20</v>
      </c>
      <c r="X7370" t="str">
        <v>x</v>
      </c>
      <c r="Y7370">
        <f>D7354</f>
        <v>0</v>
      </c>
      <c r="Z7370" t="str">
        <v>=</v>
      </c>
      <c r="AA7370">
        <f>N7370*U7370*W7370*Y7370</f>
        <v>0</v>
      </c>
    </row>
    <row r="7374">
      <c r="A7374" t="str">
        <f>A7344</f>
        <v>Lantai 2</v>
      </c>
      <c r="B7374">
        <f>B7344+1</f>
        <v>51</v>
      </c>
      <c r="C7374" t="str">
        <f>CONCATENATE(A7374," no. ",B7374)</f>
        <v>Lantai 2 no. 51</v>
      </c>
      <c r="D7374" t="str">
        <f>VLOOKUP(C7374,'Data Panjang Balok'!$C$9:$N$424,2,FALSE)</f>
        <v>Potongan N</v>
      </c>
    </row>
    <row r="7375">
      <c r="C7375" t="str">
        <v>Dimensi</v>
      </c>
      <c r="D7375">
        <f>VLOOKUP(D7374,'Detail Balok'!$C$10:$AU$110,2,FALSE)</f>
        <v>200</v>
      </c>
      <c r="F7375" t="str">
        <v>x</v>
      </c>
      <c r="G7375">
        <f>VLOOKUP(D7374,'Detail Balok'!$C$10:$AU$110,3,FALSE)</f>
        <v>600</v>
      </c>
    </row>
    <row r="7376">
      <c r="C7376" t="str">
        <v>Panjang as ke as</v>
      </c>
      <c r="D7376">
        <f>VLOOKUP(C7374,'Data Panjang Balok'!$C$9:$N$424,4,FALSE)</f>
        <v>2000</v>
      </c>
    </row>
    <row r="7377">
      <c r="C7377" t="str">
        <v>Panjang netto</v>
      </c>
      <c r="D7377">
        <f>VLOOKUP(C7374,'Data Panjang Balok'!$C$9:$N$424,7,FALSE)</f>
        <v>2000</v>
      </c>
    </row>
    <row r="7378">
      <c r="C7378" t="str">
        <v>Kolom / balok kiri</v>
      </c>
      <c r="D7378">
        <f>VLOOKUP(C7374,'Data Panjang Balok'!$C$9:$N$424,9,FALSE)</f>
        <v>0</v>
      </c>
    </row>
    <row r="7379">
      <c r="C7379" t="str">
        <v>Kolom / balok kanan</v>
      </c>
      <c r="D7379">
        <f>VLOOKUP(C7374,'Data Panjang Balok'!$C$9:$N$424,10,FALSE)</f>
        <v>0</v>
      </c>
    </row>
    <row r="7380">
      <c r="C7380" t="str">
        <v>Jumlah</v>
      </c>
      <c r="D7380">
        <f>VLOOKUP(C7374,'Data Panjang Balok'!$C$9:$N$424,3,FALSE)</f>
        <v>1</v>
      </c>
    </row>
    <row r="7381">
      <c r="A7381" t="str">
        <f>A7374</f>
        <v>Lantai 2</v>
      </c>
      <c r="B7381">
        <f>B7374</f>
        <v>51</v>
      </c>
      <c r="C7381" t="str">
        <v>Tul Atas Tumpuan</v>
      </c>
      <c r="D7381">
        <f>VLOOKUP(D7374,'Detail Balok'!$C$10:$AU$110,4,FALSE)</f>
        <v>5</v>
      </c>
      <c r="E7381" t="str">
        <v>D</v>
      </c>
      <c r="F7381">
        <f>VLOOKUP(D7374,'Detail Balok'!$C$10:$AU$110,6,FALSE)</f>
        <v>19</v>
      </c>
      <c r="I7381" t="str">
        <v>(</v>
      </c>
      <c r="J7381">
        <f>+D7376/4/1000</f>
        <v>0.5</v>
      </c>
      <c r="K7381" t="str">
        <v>+</v>
      </c>
      <c r="L7381">
        <f>MAX(VLOOKUP(F7381,N$6:P$15,3,FALSE)/1000,2/3*D7378/1000)+F$16*F7381/1000</f>
        <v>0.228</v>
      </c>
      <c r="M7381" t="str">
        <v>=</v>
      </c>
      <c r="N7381">
        <f>J7381+L7381</f>
        <v>0.728</v>
      </c>
      <c r="O7381" t="str">
        <v>+</v>
      </c>
      <c r="P7381">
        <f>D7381-D7382</f>
        <v>0</v>
      </c>
      <c r="Q7381" t="str">
        <v>x</v>
      </c>
      <c r="R7381">
        <f>IF(P7381&gt;0,$F$18*F7381/1000,0)</f>
        <v>0</v>
      </c>
      <c r="S7381" t="str">
        <v>)</v>
      </c>
      <c r="T7381" t="str">
        <v>x</v>
      </c>
      <c r="U7381">
        <f>0.006165*F7381^2</f>
        <v>2.225565</v>
      </c>
      <c r="X7381" t="str">
        <v>x</v>
      </c>
      <c r="Y7381">
        <f>D7380</f>
        <v>1</v>
      </c>
      <c r="Z7381" t="str">
        <v>=</v>
      </c>
      <c r="AA7381">
        <f>IF(AA7384=0,(D7381*N7381+P7381*R7381)*U7381*Y7381,0)</f>
        <v>0</v>
      </c>
    </row>
    <row r="7382">
      <c r="A7382" t="str">
        <f>A7374</f>
        <v>Lantai 2</v>
      </c>
      <c r="B7382">
        <f>B7374</f>
        <v>51</v>
      </c>
      <c r="C7382" t="str">
        <v>Tul Atas Lapangan</v>
      </c>
      <c r="D7382">
        <f>VLOOKUP(D7374,'Detail Balok'!$C$10:$AU$110,7,FALSE)</f>
        <v>5</v>
      </c>
      <c r="E7382" t="str">
        <v>D</v>
      </c>
      <c r="F7382">
        <f>VLOOKUP(D7374,'Detail Balok'!$C$10:$AU$110,9,FALSE)</f>
        <v>19</v>
      </c>
      <c r="I7382" t="str">
        <v>(</v>
      </c>
      <c r="J7382">
        <f>+D7376/2/1000</f>
        <v>1</v>
      </c>
      <c r="K7382" t="str">
        <v>+</v>
      </c>
      <c r="M7382" t="str">
        <v>=</v>
      </c>
      <c r="N7382">
        <f>J7382+L7382</f>
        <v>1</v>
      </c>
      <c r="O7382" t="str">
        <v>+</v>
      </c>
      <c r="P7382">
        <f>MAX(D7382-D7381,D7382-D7383)</f>
        <v>0</v>
      </c>
      <c r="Q7382" t="str">
        <v>x</v>
      </c>
      <c r="R7382">
        <f>IF(P7382&gt;0,2*(1-2*$F$19-1/2)*D7377/1000,0)</f>
        <v>0</v>
      </c>
      <c r="S7382" t="str">
        <v>)</v>
      </c>
      <c r="T7382" t="str">
        <v>x</v>
      </c>
      <c r="U7382">
        <f>0.006165*F7382^2</f>
        <v>2.225565</v>
      </c>
      <c r="X7382" t="str">
        <v>x</v>
      </c>
      <c r="Y7382">
        <f>D7380</f>
        <v>1</v>
      </c>
      <c r="Z7382" t="str">
        <v>=</v>
      </c>
      <c r="AA7382">
        <f>IF(AA7384=0,(D7382*N7382+P7382*R7382)*U7382*Y7382,0)</f>
        <v>0</v>
      </c>
    </row>
    <row r="7383">
      <c r="A7383" t="str">
        <f>A7374</f>
        <v>Lantai 2</v>
      </c>
      <c r="B7383">
        <f>B7374</f>
        <v>51</v>
      </c>
      <c r="C7383" t="str">
        <v>Tul Atas Tumpuan</v>
      </c>
      <c r="D7383">
        <f>VLOOKUP(D7374,'Detail Balok'!$C$10:$AU$110,10,FALSE)</f>
        <v>5</v>
      </c>
      <c r="E7383" t="str">
        <v>D</v>
      </c>
      <c r="F7383">
        <f>VLOOKUP(D7374,'Detail Balok'!$C$10:$AU$110,12,FALSE)</f>
        <v>19</v>
      </c>
      <c r="I7383" t="str">
        <v>(</v>
      </c>
      <c r="J7383">
        <f>+D7376/4/1000</f>
        <v>0.5</v>
      </c>
      <c r="K7383" t="str">
        <v>+</v>
      </c>
      <c r="L7383">
        <f>MAX(VLOOKUP(F7383,N$6:P$15,3,FALSE)/1000,2/3*D7378/1000)+F$16*F7383/1000</f>
        <v>0.228</v>
      </c>
      <c r="M7383" t="str">
        <v>=</v>
      </c>
      <c r="N7383">
        <f>J7383+L7383</f>
        <v>0.728</v>
      </c>
      <c r="O7383" t="str">
        <v>+</v>
      </c>
      <c r="P7383">
        <f>D7383-D7382</f>
        <v>0</v>
      </c>
      <c r="Q7383" t="str">
        <v>x</v>
      </c>
      <c r="R7383">
        <f>IF(P7383&gt;0,$F$18*F7383/1000,0)</f>
        <v>0</v>
      </c>
      <c r="S7383" t="str">
        <v>)</v>
      </c>
      <c r="T7383" t="str">
        <v>x</v>
      </c>
      <c r="U7383">
        <f>0.006165*F7383^2</f>
        <v>2.225565</v>
      </c>
      <c r="X7383" t="str">
        <v>x</v>
      </c>
      <c r="Y7383">
        <f>D7380</f>
        <v>1</v>
      </c>
      <c r="Z7383" t="str">
        <v>=</v>
      </c>
      <c r="AA7383">
        <f>IF(AA7384=0,(D7383*N7383+P7383*R7383)*U7383*Y7383,0)</f>
        <v>0</v>
      </c>
    </row>
    <row r="7384">
      <c r="A7384" t="str">
        <f>A7374</f>
        <v>Lantai 2</v>
      </c>
      <c r="B7384">
        <f>B7374</f>
        <v>51</v>
      </c>
      <c r="D7384">
        <f>IF(AND(D7381=D7382,D7382=D7383,D7381=D7383),D7381,0)</f>
        <v>5</v>
      </c>
      <c r="E7384" t="str">
        <v>D</v>
      </c>
      <c r="F7384">
        <f>IF(AND(F7381=F7382,F7381=F7383,F7382=F7383),F7381,0)</f>
        <v>19</v>
      </c>
      <c r="L7384" t="str">
        <v>Total panjang per balok</v>
      </c>
      <c r="M7384" t="str">
        <v>=</v>
      </c>
      <c r="N7384">
        <f>IF(AND(D7381=D7382,D7381=D7383,D7382=D7383,F7381=F7382,F7381=F7383,F7382=F7383),SUM(N7381:N7383),0)</f>
        <v>2.456</v>
      </c>
      <c r="O7384" t="str">
        <v>+</v>
      </c>
      <c r="P7384">
        <f>IF(N7384&gt;12,ROUNDDOWN(N7384/12,0),0)</f>
        <v>0</v>
      </c>
      <c r="Q7384" t="str">
        <v>x</v>
      </c>
      <c r="R7384">
        <f>IF(P7384&gt;0,MAX(VLOOKUP(F7384,$D$6:$G$15,3,FALSE),600),0)/1000</f>
        <v>0</v>
      </c>
      <c r="T7384" t="str">
        <v>x</v>
      </c>
      <c r="U7384">
        <f>U7383</f>
        <v>2.225565</v>
      </c>
      <c r="V7384" t="str">
        <v>x</v>
      </c>
      <c r="W7384">
        <f>D7384</f>
        <v>5</v>
      </c>
      <c r="X7384" t="str">
        <v>x</v>
      </c>
      <c r="Y7384">
        <f>Y7383</f>
        <v>1</v>
      </c>
      <c r="Z7384" t="str">
        <v>=</v>
      </c>
      <c r="AA7384">
        <f>(N7384+P7384*R7384/1000)*U7384*W7384*Y7384</f>
        <v>27.3299382</v>
      </c>
    </row>
    <row r="7386">
      <c r="A7386" t="str">
        <f>A7374</f>
        <v>Lantai 2</v>
      </c>
      <c r="B7386">
        <f>B7374</f>
        <v>51</v>
      </c>
      <c r="C7386" t="str">
        <v>Tul Peminggang</v>
      </c>
      <c r="D7386">
        <f>VLOOKUP(D7374,'Detail Balok'!$C$10:$AU$110,13,FALSE)</f>
        <v>2</v>
      </c>
      <c r="E7386" t="str">
        <v>D</v>
      </c>
      <c r="F7386">
        <f>VLOOKUP(D7374,'Detail Balok'!$C$10:$AU$110,15,FALSE)</f>
        <v>10</v>
      </c>
      <c r="J7386">
        <f>+D7376/1000</f>
        <v>2</v>
      </c>
      <c r="K7386" t="str">
        <v>+</v>
      </c>
      <c r="L7386">
        <f>2*$F$16*F7386/1000</f>
        <v>0.24</v>
      </c>
      <c r="M7386" t="str">
        <v>=</v>
      </c>
      <c r="N7386">
        <f>J7386+L7386</f>
        <v>2.24</v>
      </c>
      <c r="O7386" t="str">
        <v>+</v>
      </c>
      <c r="P7386">
        <f>IF(N7386&gt;12,ROUNDDOWN(N7386/12,0),0)</f>
        <v>0</v>
      </c>
      <c r="Q7386" t="str">
        <v>x</v>
      </c>
      <c r="R7386">
        <f>IF(P7386&gt;0,MAX(VLOOKUP(F7386,$D$6:$G$15,3,FALSE),600),0)/1000</f>
        <v>0</v>
      </c>
      <c r="T7386" t="str">
        <v>x</v>
      </c>
      <c r="U7386">
        <f>0.006165*F7386^2</f>
        <v>0.6165</v>
      </c>
      <c r="V7386" t="str">
        <v>x</v>
      </c>
      <c r="W7386">
        <f>+D7386</f>
        <v>2</v>
      </c>
      <c r="X7386" t="str">
        <v>x</v>
      </c>
      <c r="Y7386">
        <f>D7380</f>
        <v>1</v>
      </c>
      <c r="Z7386" t="str">
        <v>=</v>
      </c>
      <c r="AA7386">
        <f>(N7386+P7386*R7386/1000)*U7386*W7386*Y7386</f>
        <v>2.7619200000000004</v>
      </c>
    </row>
    <row r="7389">
      <c r="A7389" t="str">
        <f>A7374</f>
        <v>Lantai 2</v>
      </c>
      <c r="B7389">
        <f>B7374</f>
        <v>51</v>
      </c>
      <c r="C7389" t="str">
        <v>Tul Bawah Tumpuan</v>
      </c>
      <c r="D7389">
        <f>VLOOKUP(D7374,'Detail Balok'!$C$10:$AU$110,22,FALSE)</f>
        <v>2</v>
      </c>
      <c r="E7389" t="str">
        <v>D</v>
      </c>
      <c r="F7389">
        <f>VLOOKUP(D7374,'Detail Balok'!$C$10:$AU$110,24,FALSE)</f>
        <v>19</v>
      </c>
      <c r="I7389" t="str">
        <v>(</v>
      </c>
      <c r="J7389">
        <f>+J7381</f>
        <v>0.5</v>
      </c>
      <c r="K7389" t="str">
        <v>+</v>
      </c>
      <c r="L7389">
        <f>MAX(VLOOKUP(F7389,N$6:P$15,3,FALSE)/1000,2/3*D7379/1000)+F$16*F7389/1000</f>
        <v>0.228</v>
      </c>
      <c r="M7389" t="str">
        <v>=</v>
      </c>
      <c r="N7389">
        <f>J7389+L7389</f>
        <v>0.728</v>
      </c>
      <c r="O7389" t="str">
        <v>+</v>
      </c>
      <c r="P7389">
        <f>D7389-D7390</f>
        <v>0</v>
      </c>
      <c r="Q7389" t="str">
        <v>x</v>
      </c>
      <c r="R7389">
        <f>IF(P7389&gt;0,$F$18*F7389/1000,0)</f>
        <v>0</v>
      </c>
      <c r="S7389" t="str">
        <v>)</v>
      </c>
      <c r="T7389" t="str">
        <v>x</v>
      </c>
      <c r="U7389">
        <f>0.006165*F7389^2</f>
        <v>2.225565</v>
      </c>
      <c r="X7389" t="str">
        <v>x</v>
      </c>
      <c r="Y7389">
        <f>D7380</f>
        <v>1</v>
      </c>
      <c r="Z7389" t="str">
        <v>=</v>
      </c>
      <c r="AA7389">
        <f>IF(AA7392=0,(D7389*N7389+P7389*R7389)*U7389*Y7389,0)</f>
        <v>0</v>
      </c>
    </row>
    <row r="7390">
      <c r="A7390" t="str">
        <f>A7374</f>
        <v>Lantai 2</v>
      </c>
      <c r="B7390">
        <f>B7374</f>
        <v>51</v>
      </c>
      <c r="C7390" t="str">
        <v>Tul Bawah Lapangan</v>
      </c>
      <c r="D7390">
        <f>VLOOKUP(D7374,'Detail Balok'!$C$10:$AU$110,25,FALSE)</f>
        <v>2</v>
      </c>
      <c r="E7390" t="str">
        <v>D</v>
      </c>
      <c r="F7390">
        <f>VLOOKUP(D7374,'Detail Balok'!$C$10:$AU$110,27,FALSE)</f>
        <v>19</v>
      </c>
      <c r="I7390" t="str">
        <v>(</v>
      </c>
      <c r="J7390">
        <f>+J7382</f>
        <v>1</v>
      </c>
      <c r="K7390" t="str">
        <v>+</v>
      </c>
      <c r="M7390" t="str">
        <v>=</v>
      </c>
      <c r="N7390">
        <f>J7390+L7390</f>
        <v>1</v>
      </c>
      <c r="O7390" t="str">
        <v>+</v>
      </c>
      <c r="P7390">
        <f>MAX(D7390-D7389,D7390-D7391)</f>
        <v>0</v>
      </c>
      <c r="Q7390" t="str">
        <v>x</v>
      </c>
      <c r="R7390">
        <f>IF(P7390&gt;0,2*(1-2*$F$19-1/2)*D7377/1000,0)</f>
        <v>0</v>
      </c>
      <c r="S7390" t="str">
        <v>)</v>
      </c>
      <c r="T7390" t="str">
        <v>x</v>
      </c>
      <c r="U7390">
        <f>0.006165*F7390^2</f>
        <v>2.225565</v>
      </c>
      <c r="X7390" t="str">
        <v>x</v>
      </c>
      <c r="Y7390">
        <f>D7380</f>
        <v>1</v>
      </c>
      <c r="Z7390" t="str">
        <v>=</v>
      </c>
      <c r="AA7390">
        <f>IF(AA7392=0,(D7390*N7390+P7390*R7390)*U7390*Y7390,0)</f>
        <v>0</v>
      </c>
    </row>
    <row r="7391">
      <c r="A7391" t="str">
        <f>A7374</f>
        <v>Lantai 2</v>
      </c>
      <c r="B7391">
        <f>B7374</f>
        <v>51</v>
      </c>
      <c r="C7391" t="str">
        <v>Tul Bawah Tumpuan</v>
      </c>
      <c r="D7391">
        <f>VLOOKUP(D7374,'Detail Balok'!$C$10:$AU$110,28,FALSE)</f>
        <v>2</v>
      </c>
      <c r="E7391" t="str">
        <v>D</v>
      </c>
      <c r="F7391">
        <f>VLOOKUP(D7374,'Detail Balok'!$C$10:$AU$110,30,FALSE)</f>
        <v>19</v>
      </c>
      <c r="I7391" t="str">
        <v>(</v>
      </c>
      <c r="J7391">
        <f>+J7383</f>
        <v>0.5</v>
      </c>
      <c r="K7391" t="str">
        <v>+</v>
      </c>
      <c r="L7391">
        <f>MAX(VLOOKUP(F7391,N$6:P$15,3,FALSE)/1000,2/3*D7379/1000)+F$16*F7391/1000</f>
        <v>0.228</v>
      </c>
      <c r="M7391" t="str">
        <v>=</v>
      </c>
      <c r="N7391">
        <f>J7391+L7391</f>
        <v>0.728</v>
      </c>
      <c r="O7391" t="str">
        <v>+</v>
      </c>
      <c r="P7391">
        <f>D7391-D7390</f>
        <v>0</v>
      </c>
      <c r="Q7391" t="str">
        <v>x</v>
      </c>
      <c r="R7391">
        <f>IF(P7391&gt;0,$F$18*F7391/1000,0)</f>
        <v>0</v>
      </c>
      <c r="S7391" t="str">
        <v>)</v>
      </c>
      <c r="T7391" t="str">
        <v>x</v>
      </c>
      <c r="U7391">
        <f>0.006165*F7391^2</f>
        <v>2.225565</v>
      </c>
      <c r="X7391" t="str">
        <v>x</v>
      </c>
      <c r="Y7391">
        <f>D7380</f>
        <v>1</v>
      </c>
      <c r="Z7391" t="str">
        <v>=</v>
      </c>
      <c r="AA7391">
        <f>IF(AA7392=0,(D7391*N7391+P7391*R7391)*U7391*Y7391,0)</f>
        <v>0</v>
      </c>
    </row>
    <row r="7392">
      <c r="A7392" t="str">
        <f>A7374</f>
        <v>Lantai 2</v>
      </c>
      <c r="B7392">
        <f>B7374</f>
        <v>51</v>
      </c>
      <c r="D7392">
        <f>IF(AND(D7389=D7390,D7390=D7391,D7389=D7391),D7389,0)</f>
        <v>2</v>
      </c>
      <c r="E7392" t="str">
        <v>D</v>
      </c>
      <c r="F7392">
        <f>IF(AND(F7389=F7390,F7389=F7391,F7390=F7391),F7389,0)</f>
        <v>19</v>
      </c>
      <c r="L7392" t="str">
        <v>Total panjang per balok</v>
      </c>
      <c r="M7392" t="str">
        <v>=</v>
      </c>
      <c r="N7392">
        <f>IF(AND(D7389=D7390,D7389=D7391,D7390=D7391,F7389=F7390,F7389=F7391,F7390=F7391),SUM(N7389:N7391),0)</f>
        <v>2.456</v>
      </c>
      <c r="O7392" t="str">
        <v>+</v>
      </c>
      <c r="P7392">
        <f>IF(N7392&gt;12,ROUNDDOWN(N7392/12,0),0)</f>
        <v>0</v>
      </c>
      <c r="Q7392" t="str">
        <v>x</v>
      </c>
      <c r="R7392">
        <f>IF(P7392&gt;0,MAX(VLOOKUP(F7392,$D$6:$G$15,3,FALSE),600),0)/1000</f>
        <v>0</v>
      </c>
      <c r="T7392" t="str">
        <v>x</v>
      </c>
      <c r="U7392">
        <f>U7391</f>
        <v>2.225565</v>
      </c>
      <c r="V7392" t="str">
        <v>x</v>
      </c>
      <c r="W7392">
        <f>D7392</f>
        <v>2</v>
      </c>
      <c r="X7392" t="str">
        <v>x</v>
      </c>
      <c r="Y7392">
        <f>Y7391</f>
        <v>1</v>
      </c>
      <c r="Z7392" t="str">
        <v>=</v>
      </c>
      <c r="AA7392">
        <f>(N7392+P7392*R7392/1000)*U7392*W7392*Y7392</f>
        <v>10.93197528</v>
      </c>
    </row>
    <row r="7394">
      <c r="A7394" t="str">
        <f>A7374</f>
        <v>Lantai 2</v>
      </c>
      <c r="B7394">
        <f>B7374</f>
        <v>51</v>
      </c>
      <c r="C7394" t="str">
        <v>Sengkang Tumpuan</v>
      </c>
      <c r="D7394">
        <f>VLOOKUP(D7374,'Detail Balok'!$C$10:$AU$110,31,FALSE)</f>
        <v>0</v>
      </c>
      <c r="E7394" t="str">
        <v>D</v>
      </c>
      <c r="F7394">
        <f>VLOOKUP(D7374,'Detail Balok'!$C$10:$AU$110,33,FALSE)</f>
        <v>10</v>
      </c>
      <c r="G7394" t="str">
        <v>-</v>
      </c>
      <c r="H7394">
        <f>VLOOKUP(D7374,'Detail Balok'!$C$10:$AU$110,35,FALSE)</f>
        <v>200</v>
      </c>
      <c r="J7394">
        <f>(IF(D7394=0,(2*(D7375+G7375))-(F$5*8),IF(D7394=3,(2*(D7375+G7375))-(F$5*8)+(G7375-2*F$5),IF(D7394=4,(2*(D7375+G7375))-(F$5*8)+2*(G7375-2*F$5)))))/1000</f>
        <v>1.28</v>
      </c>
      <c r="K7394" t="str">
        <v>+</v>
      </c>
      <c r="L7394">
        <f>IF(D7394=0,2*MAX(6*F7394,75),(D7394-1)*2*MAX(6*F7394,75))/1000</f>
        <v>0.15</v>
      </c>
      <c r="M7394" t="str">
        <v>=</v>
      </c>
      <c r="N7394">
        <f>J7394+L7394</f>
        <v>1.43</v>
      </c>
      <c r="T7394" t="str">
        <v>x</v>
      </c>
      <c r="U7394">
        <f>0.006165*F7394^2</f>
        <v>0.6165</v>
      </c>
      <c r="V7394" t="str">
        <v>x</v>
      </c>
      <c r="W7394">
        <f>IF(D7377&gt;4*G7375,ROUND(MAX(D7377/4,2*G7375)/H7394,0)+1,ROUND(D7377/H7394,0)+1)</f>
        <v>11</v>
      </c>
      <c r="X7394" t="str">
        <v>x</v>
      </c>
      <c r="Y7394">
        <f>D7380</f>
        <v>1</v>
      </c>
      <c r="Z7394" t="str">
        <v>=</v>
      </c>
      <c r="AA7394">
        <f>N7394*U7394*W7394*Y7394</f>
        <v>9.697545</v>
      </c>
    </row>
    <row r="7395">
      <c r="A7395" t="str">
        <f>A7374</f>
        <v>Lantai 2</v>
      </c>
      <c r="B7395">
        <f>B7374</f>
        <v>51</v>
      </c>
      <c r="C7395" t="str">
        <v>Sengkang Lapangan</v>
      </c>
      <c r="D7395">
        <f>VLOOKUP(D7374,'Detail Balok'!$C$10:$AU$110,36,FALSE)</f>
        <v>0</v>
      </c>
      <c r="E7395" t="str">
        <v>D</v>
      </c>
      <c r="F7395">
        <f>VLOOKUP(D7374,'Detail Balok'!$C$10:$AU$110,38,FALSE)</f>
        <v>10</v>
      </c>
      <c r="G7395" t="str">
        <v>-</v>
      </c>
      <c r="H7395">
        <f>VLOOKUP(D7374,'Detail Balok'!$C$10:$AU$110,40,FALSE)</f>
        <v>200</v>
      </c>
      <c r="J7395">
        <f>(IF(D7395=0,(2*(D7375+G7375))-(F$5*8),IF(D7395=3,(2*(D7375+G7375))-(F$5*8)+(G7375-2*F$5),IF(D7395=4,(2*(D7375+G7375))-(F$5*8)+2*(G7375-2*F$5)))))/1000</f>
        <v>1.28</v>
      </c>
      <c r="K7395" t="str">
        <v>+</v>
      </c>
      <c r="L7395">
        <f>IF(D7395=0,2*MAX(6*F7395,75),(D7395-1)*2*MAX(6*F7395,75))/1000</f>
        <v>0.15</v>
      </c>
      <c r="M7395" t="str">
        <v>=</v>
      </c>
      <c r="N7395">
        <f>J7395+L7395</f>
        <v>1.43</v>
      </c>
      <c r="T7395" t="str">
        <v>x</v>
      </c>
      <c r="U7395">
        <f>0.006165*F7395^2</f>
        <v>0.6165</v>
      </c>
      <c r="V7395" t="str">
        <v>x</v>
      </c>
      <c r="W7395">
        <f>IF(D7377-MAX(D7377/4,2*G7375)*2&gt;0,ROUND((D7377-MAX(D7377/4,2*G7375)*2)/H7395,0),0)</f>
        <v>0</v>
      </c>
      <c r="X7395" t="str">
        <v>x</v>
      </c>
      <c r="Y7395">
        <f>D7380</f>
        <v>1</v>
      </c>
      <c r="Z7395" t="str">
        <v>=</v>
      </c>
      <c r="AA7395">
        <f>N7395*U7395*W7395*Y7395</f>
        <v>0</v>
      </c>
    </row>
    <row r="7396">
      <c r="A7396" t="str">
        <f>A7374</f>
        <v>Lantai 2</v>
      </c>
      <c r="B7396">
        <f>B7374</f>
        <v>51</v>
      </c>
      <c r="C7396" t="str">
        <v>Sengkang Tumpuan</v>
      </c>
      <c r="D7396">
        <f>VLOOKUP(D7374,'Detail Balok'!$C$10:$AU$110,41,FALSE)</f>
        <v>0</v>
      </c>
      <c r="E7396" t="str">
        <v>D</v>
      </c>
      <c r="F7396">
        <f>VLOOKUP(D7374,'Detail Balok'!$C$10:$AU$110,43,FALSE)</f>
        <v>10</v>
      </c>
      <c r="G7396" t="str">
        <v>-</v>
      </c>
      <c r="H7396">
        <f>VLOOKUP(D7374,'Detail Balok'!$C$10:$AU$110,45,FALSE)</f>
        <v>200</v>
      </c>
      <c r="J7396">
        <f>(IF(D7396=0,(2*(D7375+G7375))-(F$5*8),IF(D7396=3,(2*(D7375+G7375))-(F$5*8)+(G7375-2*F$5),IF(D7396=4,(2*(D7375+G7375))-(F$5*8)+2*(G7375-2*F$5)))))/1000</f>
        <v>1.28</v>
      </c>
      <c r="K7396" t="str">
        <v>+</v>
      </c>
      <c r="L7396">
        <f>IF(D7396=0,2*MAX(6*F7396,75),(D7396-1)*2*MAX(6*F7396,75))/1000</f>
        <v>0.15</v>
      </c>
      <c r="M7396" t="str">
        <v>=</v>
      </c>
      <c r="N7396">
        <f>J7396+L7396</f>
        <v>1.43</v>
      </c>
      <c r="T7396" t="str">
        <v>x</v>
      </c>
      <c r="U7396">
        <f>0.006165*F7396^2</f>
        <v>0.6165</v>
      </c>
      <c r="V7396" t="str">
        <v>x</v>
      </c>
      <c r="W7396">
        <f>IF(D7377&gt;4*G7375,ROUND(MAX(D7377/4,2*G7375)/H7396,0)+1,0)</f>
        <v>0</v>
      </c>
      <c r="X7396" t="str">
        <v>x</v>
      </c>
      <c r="Y7396">
        <f>D7380</f>
        <v>1</v>
      </c>
      <c r="Z7396" t="str">
        <v>=</v>
      </c>
      <c r="AA7396">
        <f>N7396*U7396*W7396*Y7396</f>
        <v>0</v>
      </c>
    </row>
    <row r="7398">
      <c r="A7398" t="str">
        <f>A7374</f>
        <v>Lantai 2</v>
      </c>
      <c r="B7398">
        <f>B7374</f>
        <v>51</v>
      </c>
      <c r="C7398" t="str">
        <v>Kait Horizontal Tump.</v>
      </c>
      <c r="D7398">
        <f>VLOOKUP(D7374,'Detail Balok'!$C$10:$BJ$110,46,FALSE)</f>
        <v>0</v>
      </c>
      <c r="E7398" t="str">
        <v>D</v>
      </c>
      <c r="F7398">
        <f>VLOOKUP(D7374,'Detail Balok'!$C$10:$BJ$110,48,FALSE)</f>
        <v>0</v>
      </c>
      <c r="G7398" t="str">
        <v>-</v>
      </c>
      <c r="H7398">
        <f>VLOOKUP(D7374,'Detail Balok'!$C$10:$BJ$110,50,FALSE)</f>
        <v>100</v>
      </c>
      <c r="J7398">
        <f>(D7375-2*F$5)/1000</f>
        <v>0.12</v>
      </c>
      <c r="K7398" t="str">
        <v>+</v>
      </c>
      <c r="L7398">
        <f>IF(D7398=0,2*MAX(6*F7398,75),(D7398-1)*2*MAX(6*F7398,75))/1000</f>
        <v>0.15</v>
      </c>
      <c r="M7398" t="str">
        <v>=</v>
      </c>
      <c r="N7398">
        <f>J7398+L7398</f>
        <v>0.27</v>
      </c>
      <c r="T7398" t="str">
        <v>x</v>
      </c>
      <c r="U7398">
        <f>0.006165*F7398^2</f>
        <v>0</v>
      </c>
      <c r="V7398" t="str">
        <v>x</v>
      </c>
      <c r="W7398">
        <f>W7394</f>
        <v>11</v>
      </c>
      <c r="X7398" t="str">
        <v>x</v>
      </c>
      <c r="Y7398">
        <f>D7384</f>
        <v>5</v>
      </c>
      <c r="Z7398" t="str">
        <v>=</v>
      </c>
      <c r="AA7398">
        <f>N7398*U7398*W7398*Y7398</f>
        <v>0</v>
      </c>
    </row>
    <row r="7399">
      <c r="A7399" t="str">
        <f>A7374</f>
        <v>Lantai 2</v>
      </c>
      <c r="B7399">
        <f>B7374</f>
        <v>51</v>
      </c>
      <c r="C7399" t="str">
        <v>Kait Horizontal Lap.</v>
      </c>
      <c r="D7399">
        <f>VLOOKUP(D7374,'Detail Balok'!$C$10:$BJ$110,51,FALSE)</f>
        <v>0</v>
      </c>
      <c r="E7399" t="str">
        <v>D</v>
      </c>
      <c r="F7399">
        <f>VLOOKUP(D7374,'Detail Balok'!$C$10:$BJ$110,53,FALSE)</f>
        <v>0</v>
      </c>
      <c r="G7399" t="str">
        <v>-</v>
      </c>
      <c r="H7399">
        <f>VLOOKUP(D7374,'Detail Balok'!$C$10:$BJ$110,55,FALSE)</f>
        <v>100</v>
      </c>
      <c r="J7399">
        <f>(D7375-2*F$5)/1000</f>
        <v>0.12</v>
      </c>
      <c r="K7399" t="str">
        <v>+</v>
      </c>
      <c r="L7399">
        <f>IF(D7399=0,2*MAX(6*F7399,75),(D7399-1)*2*MAX(6*F7399,75))/1000</f>
        <v>0.15</v>
      </c>
      <c r="M7399" t="str">
        <v>=</v>
      </c>
      <c r="N7399">
        <f>J7399+L7399</f>
        <v>0.27</v>
      </c>
      <c r="T7399" t="str">
        <v>x</v>
      </c>
      <c r="U7399">
        <f>0.006165*F7399^2</f>
        <v>0</v>
      </c>
      <c r="V7399" t="str">
        <v>x</v>
      </c>
      <c r="W7399">
        <f>W7395</f>
        <v>0</v>
      </c>
      <c r="X7399" t="str">
        <v>x</v>
      </c>
      <c r="Y7399">
        <f>D7384</f>
        <v>5</v>
      </c>
      <c r="Z7399" t="str">
        <v>=</v>
      </c>
      <c r="AA7399">
        <f>N7399*U7399*W7399*Y7399</f>
        <v>0</v>
      </c>
    </row>
    <row r="7400">
      <c r="A7400" t="str">
        <f>A7374</f>
        <v>Lantai 2</v>
      </c>
      <c r="B7400">
        <f>B7374</f>
        <v>51</v>
      </c>
      <c r="C7400" t="str">
        <v>Kait Horizontal Tump.</v>
      </c>
      <c r="D7400">
        <f>VLOOKUP(D7374,'Detail Balok'!$C$10:$BJ$110,56,FALSE)</f>
        <v>0</v>
      </c>
      <c r="E7400" t="str">
        <v>D</v>
      </c>
      <c r="F7400">
        <f>VLOOKUP(D7374,'Detail Balok'!$C$10:$BJ$110,58,FALSE)</f>
        <v>0</v>
      </c>
      <c r="G7400" t="str">
        <v>-</v>
      </c>
      <c r="H7400">
        <f>VLOOKUP(D7374,'Detail Balok'!$C$10:$BJ$110,60,FALSE)</f>
        <v>100</v>
      </c>
      <c r="J7400">
        <f>(D7375-2*F$5)/1000</f>
        <v>0.12</v>
      </c>
      <c r="K7400" t="str">
        <v>+</v>
      </c>
      <c r="L7400">
        <f>IF(D7400=0,2*MAX(6*F7400,75),(D7400-1)*2*MAX(6*F7400,75))/1000</f>
        <v>0.15</v>
      </c>
      <c r="M7400" t="str">
        <v>=</v>
      </c>
      <c r="N7400">
        <f>J7400+L7400</f>
        <v>0.27</v>
      </c>
      <c r="T7400" t="str">
        <v>x</v>
      </c>
      <c r="U7400">
        <f>0.006165*F7400^2</f>
        <v>0</v>
      </c>
      <c r="V7400" t="str">
        <v>x</v>
      </c>
      <c r="W7400">
        <f>W7396</f>
        <v>0</v>
      </c>
      <c r="X7400" t="str">
        <v>x</v>
      </c>
      <c r="Y7400">
        <f>D7384</f>
        <v>5</v>
      </c>
      <c r="Z7400" t="str">
        <v>=</v>
      </c>
      <c r="AA7400">
        <f>N7400*U7400*W7400*Y7400</f>
        <v>0</v>
      </c>
    </row>
    <row r="7404">
      <c r="A7404" t="str">
        <f>A7374</f>
        <v>Lantai 2</v>
      </c>
      <c r="B7404">
        <f>B7374+1</f>
        <v>52</v>
      </c>
      <c r="C7404" t="str">
        <f>CONCATENATE(A7404," no. ",B7404)</f>
        <v>Lantai 2 no. 52</v>
      </c>
      <c r="D7404" t="str">
        <f>VLOOKUP(C7404,'Data Panjang Balok'!$C$9:$N$424,2,FALSE)</f>
        <v>B245-6</v>
      </c>
    </row>
    <row r="7405">
      <c r="C7405" t="str">
        <v>Dimensi</v>
      </c>
      <c r="D7405">
        <f>VLOOKUP(D7404,'Detail Balok'!$C$10:$AU$110,2,FALSE)</f>
        <v>200</v>
      </c>
      <c r="F7405" t="str">
        <v>x</v>
      </c>
      <c r="G7405">
        <f>VLOOKUP(D7404,'Detail Balok'!$C$10:$AU$110,3,FALSE)</f>
        <v>450</v>
      </c>
    </row>
    <row r="7406">
      <c r="C7406" t="str">
        <v>Panjang as ke as</v>
      </c>
      <c r="D7406">
        <f>VLOOKUP(C7404,'Data Panjang Balok'!$C$9:$N$424,4,FALSE)</f>
        <v>5200</v>
      </c>
    </row>
    <row r="7407">
      <c r="C7407" t="str">
        <v>Panjang netto</v>
      </c>
      <c r="D7407">
        <f>VLOOKUP(C7404,'Data Panjang Balok'!$C$9:$N$424,7,FALSE)</f>
        <v>5200</v>
      </c>
    </row>
    <row r="7408">
      <c r="C7408" t="str">
        <v>Kolom / balok kiri</v>
      </c>
      <c r="D7408">
        <f>VLOOKUP(C7404,'Data Panjang Balok'!$C$9:$N$424,9,FALSE)</f>
        <v>0</v>
      </c>
    </row>
    <row r="7409">
      <c r="C7409" t="str">
        <v>Kolom / balok kanan</v>
      </c>
      <c r="D7409">
        <f>VLOOKUP(C7404,'Data Panjang Balok'!$C$9:$N$424,10,FALSE)</f>
        <v>0</v>
      </c>
    </row>
    <row r="7410">
      <c r="C7410" t="str">
        <v>Jumlah</v>
      </c>
      <c r="D7410">
        <f>VLOOKUP(C7404,'Data Panjang Balok'!$C$9:$N$424,3,FALSE)</f>
        <v>1</v>
      </c>
    </row>
    <row r="7411">
      <c r="A7411" t="str">
        <f>A7404</f>
        <v>Lantai 2</v>
      </c>
      <c r="B7411">
        <f>B7404</f>
        <v>52</v>
      </c>
      <c r="C7411" t="str">
        <v>Tul Atas Tumpuan</v>
      </c>
      <c r="D7411">
        <f>VLOOKUP(D7404,'Detail Balok'!$C$10:$AU$110,4,FALSE)</f>
        <v>4</v>
      </c>
      <c r="E7411" t="str">
        <v>D</v>
      </c>
      <c r="F7411">
        <f>VLOOKUP(D7404,'Detail Balok'!$C$10:$AU$110,6,FALSE)</f>
        <v>16</v>
      </c>
      <c r="I7411" t="str">
        <v>(</v>
      </c>
      <c r="J7411">
        <f>+D7406/4/1000</f>
        <v>1.3</v>
      </c>
      <c r="K7411" t="str">
        <v>+</v>
      </c>
      <c r="L7411">
        <f>MAX(VLOOKUP(F7411,N$6:P$15,3,FALSE)/1000,2/3*D7408/1000)+F$16*F7411/1000</f>
        <v>0.192</v>
      </c>
      <c r="M7411" t="str">
        <v>=</v>
      </c>
      <c r="N7411">
        <f>J7411+L7411</f>
        <v>1.492</v>
      </c>
      <c r="O7411" t="str">
        <v>+</v>
      </c>
      <c r="P7411">
        <f>D7411-D7412</f>
        <v>2</v>
      </c>
      <c r="Q7411" t="str">
        <v>x</v>
      </c>
      <c r="R7411">
        <f>IF(P7411&gt;0,$F$18*F7411/1000,0)</f>
        <v>0.24</v>
      </c>
      <c r="S7411" t="str">
        <v>)</v>
      </c>
      <c r="T7411" t="str">
        <v>x</v>
      </c>
      <c r="U7411">
        <f>0.006165*F7411^2</f>
        <v>1.57824</v>
      </c>
      <c r="X7411" t="str">
        <v>x</v>
      </c>
      <c r="Y7411">
        <f>D7410</f>
        <v>1</v>
      </c>
      <c r="Z7411" t="str">
        <v>=</v>
      </c>
      <c r="AA7411">
        <f>IF(AA7414=0,(D7411*N7411+P7411*R7411)*U7411*Y7411,0)</f>
        <v>10.17649152</v>
      </c>
    </row>
    <row r="7412">
      <c r="A7412" t="str">
        <f>A7404</f>
        <v>Lantai 2</v>
      </c>
      <c r="B7412">
        <f>B7404</f>
        <v>52</v>
      </c>
      <c r="C7412" t="str">
        <v>Tul Atas Lapangan</v>
      </c>
      <c r="D7412">
        <f>VLOOKUP(D7404,'Detail Balok'!$C$10:$AU$110,7,FALSE)</f>
        <v>2</v>
      </c>
      <c r="E7412" t="str">
        <v>D</v>
      </c>
      <c r="F7412">
        <f>VLOOKUP(D7404,'Detail Balok'!$C$10:$AU$110,9,FALSE)</f>
        <v>16</v>
      </c>
      <c r="I7412" t="str">
        <v>(</v>
      </c>
      <c r="J7412">
        <f>+D7406/2/1000</f>
        <v>2.6</v>
      </c>
      <c r="K7412" t="str">
        <v>+</v>
      </c>
      <c r="M7412" t="str">
        <v>=</v>
      </c>
      <c r="N7412">
        <f>J7412+L7412</f>
        <v>2.6</v>
      </c>
      <c r="O7412" t="str">
        <v>+</v>
      </c>
      <c r="P7412">
        <f>MAX(D7412-D7411,D7412-D7413)</f>
        <v>-2</v>
      </c>
      <c r="Q7412" t="str">
        <v>x</v>
      </c>
      <c r="R7412">
        <f>IF(P7412&gt;0,2*(1-2*$F$19-1/2)*D7407/1000,0)</f>
        <v>0</v>
      </c>
      <c r="S7412" t="str">
        <v>)</v>
      </c>
      <c r="T7412" t="str">
        <v>x</v>
      </c>
      <c r="U7412">
        <f>0.006165*F7412^2</f>
        <v>1.57824</v>
      </c>
      <c r="X7412" t="str">
        <v>x</v>
      </c>
      <c r="Y7412">
        <f>D7410</f>
        <v>1</v>
      </c>
      <c r="Z7412" t="str">
        <v>=</v>
      </c>
      <c r="AA7412">
        <f>IF(AA7414=0,(D7412*N7412+P7412*R7412)*U7412*Y7412,0)</f>
        <v>8.206848</v>
      </c>
    </row>
    <row r="7413">
      <c r="A7413" t="str">
        <f>A7404</f>
        <v>Lantai 2</v>
      </c>
      <c r="B7413">
        <f>B7404</f>
        <v>52</v>
      </c>
      <c r="C7413" t="str">
        <v>Tul Atas Tumpuan</v>
      </c>
      <c r="D7413">
        <f>VLOOKUP(D7404,'Detail Balok'!$C$10:$AU$110,10,FALSE)</f>
        <v>4</v>
      </c>
      <c r="E7413" t="str">
        <v>D</v>
      </c>
      <c r="F7413">
        <f>VLOOKUP(D7404,'Detail Balok'!$C$10:$AU$110,12,FALSE)</f>
        <v>16</v>
      </c>
      <c r="I7413" t="str">
        <v>(</v>
      </c>
      <c r="J7413">
        <f>+D7406/4/1000</f>
        <v>1.3</v>
      </c>
      <c r="K7413" t="str">
        <v>+</v>
      </c>
      <c r="L7413">
        <f>MAX(VLOOKUP(F7413,N$6:P$15,3,FALSE)/1000,2/3*D7408/1000)+F$16*F7413/1000</f>
        <v>0.192</v>
      </c>
      <c r="M7413" t="str">
        <v>=</v>
      </c>
      <c r="N7413">
        <f>J7413+L7413</f>
        <v>1.492</v>
      </c>
      <c r="O7413" t="str">
        <v>+</v>
      </c>
      <c r="P7413">
        <f>D7413-D7412</f>
        <v>2</v>
      </c>
      <c r="Q7413" t="str">
        <v>x</v>
      </c>
      <c r="R7413">
        <f>IF(P7413&gt;0,$F$18*F7413/1000,0)</f>
        <v>0.24</v>
      </c>
      <c r="S7413" t="str">
        <v>)</v>
      </c>
      <c r="T7413" t="str">
        <v>x</v>
      </c>
      <c r="U7413">
        <f>0.006165*F7413^2</f>
        <v>1.57824</v>
      </c>
      <c r="X7413" t="str">
        <v>x</v>
      </c>
      <c r="Y7413">
        <f>D7410</f>
        <v>1</v>
      </c>
      <c r="Z7413" t="str">
        <v>=</v>
      </c>
      <c r="AA7413">
        <f>IF(AA7414=0,(D7413*N7413+P7413*R7413)*U7413*Y7413,0)</f>
        <v>10.17649152</v>
      </c>
    </row>
    <row r="7414">
      <c r="A7414" t="str">
        <f>A7404</f>
        <v>Lantai 2</v>
      </c>
      <c r="B7414">
        <f>B7404</f>
        <v>52</v>
      </c>
      <c r="D7414">
        <f>IF(AND(D7411=D7412,D7412=D7413,D7411=D7413),D7411,0)</f>
        <v>0</v>
      </c>
      <c r="E7414" t="str">
        <v>D</v>
      </c>
      <c r="F7414">
        <f>IF(AND(F7411=F7412,F7411=F7413,F7412=F7413),F7411,0)</f>
        <v>16</v>
      </c>
      <c r="L7414" t="str">
        <v>Total panjang per balok</v>
      </c>
      <c r="M7414" t="str">
        <v>=</v>
      </c>
      <c r="N7414">
        <f>IF(AND(D7411=D7412,D7411=D7413,D7412=D7413,F7411=F7412,F7411=F7413,F7412=F7413),SUM(N7411:N7413),0)</f>
        <v>0</v>
      </c>
      <c r="O7414" t="str">
        <v>+</v>
      </c>
      <c r="P7414">
        <f>IF(N7414&gt;12,ROUNDDOWN(N7414/12,0),0)</f>
        <v>0</v>
      </c>
      <c r="Q7414" t="str">
        <v>x</v>
      </c>
      <c r="R7414">
        <f>IF(P7414&gt;0,MAX(VLOOKUP(F7414,$D$6:$G$15,3,FALSE),600),0)/1000</f>
        <v>0</v>
      </c>
      <c r="T7414" t="str">
        <v>x</v>
      </c>
      <c r="U7414">
        <f>U7413</f>
        <v>1.57824</v>
      </c>
      <c r="V7414" t="str">
        <v>x</v>
      </c>
      <c r="W7414">
        <f>D7414</f>
        <v>0</v>
      </c>
      <c r="X7414" t="str">
        <v>x</v>
      </c>
      <c r="Y7414">
        <f>Y7413</f>
        <v>1</v>
      </c>
      <c r="Z7414" t="str">
        <v>=</v>
      </c>
      <c r="AA7414">
        <f>(N7414+P7414*R7414/1000)*U7414*W7414*Y7414</f>
        <v>0</v>
      </c>
    </row>
    <row r="7416">
      <c r="A7416" t="str">
        <f>A7404</f>
        <v>Lantai 2</v>
      </c>
      <c r="B7416">
        <f>B7404</f>
        <v>52</v>
      </c>
      <c r="C7416" t="str">
        <v>Tul Peminggang</v>
      </c>
      <c r="D7416">
        <f>VLOOKUP(D7404,'Detail Balok'!$C$10:$AU$110,13,FALSE)</f>
        <v>2</v>
      </c>
      <c r="E7416" t="str">
        <v>D</v>
      </c>
      <c r="F7416">
        <f>VLOOKUP(D7404,'Detail Balok'!$C$10:$AU$110,15,FALSE)</f>
        <v>8</v>
      </c>
      <c r="J7416">
        <f>+D7406/1000</f>
        <v>5.2</v>
      </c>
      <c r="K7416" t="str">
        <v>+</v>
      </c>
      <c r="L7416">
        <f>2*$F$16*F7416/1000</f>
        <v>0.192</v>
      </c>
      <c r="M7416" t="str">
        <v>=</v>
      </c>
      <c r="N7416">
        <f>J7416+L7416</f>
        <v>5.392</v>
      </c>
      <c r="O7416" t="str">
        <v>+</v>
      </c>
      <c r="P7416">
        <f>IF(N7416&gt;12,ROUNDDOWN(N7416/12,0),0)</f>
        <v>0</v>
      </c>
      <c r="Q7416" t="str">
        <v>x</v>
      </c>
      <c r="R7416">
        <f>IF(P7416&gt;0,MAX(VLOOKUP(F7416,$D$6:$G$15,3,FALSE),600),0)/1000</f>
        <v>0</v>
      </c>
      <c r="T7416" t="str">
        <v>x</v>
      </c>
      <c r="U7416">
        <f>0.006165*F7416^2</f>
        <v>0.39456</v>
      </c>
      <c r="V7416" t="str">
        <v>x</v>
      </c>
      <c r="W7416">
        <f>+D7416</f>
        <v>2</v>
      </c>
      <c r="X7416" t="str">
        <v>x</v>
      </c>
      <c r="Y7416">
        <f>D7410</f>
        <v>1</v>
      </c>
      <c r="Z7416" t="str">
        <v>=</v>
      </c>
      <c r="AA7416">
        <f>(N7416+P7416*R7416/1000)*U7416*W7416*Y7416</f>
        <v>4.25493504</v>
      </c>
    </row>
    <row r="7419">
      <c r="A7419" t="str">
        <f>A7404</f>
        <v>Lantai 2</v>
      </c>
      <c r="B7419">
        <f>B7404</f>
        <v>52</v>
      </c>
      <c r="C7419" t="str">
        <v>Tul Bawah Tumpuan</v>
      </c>
      <c r="D7419">
        <f>VLOOKUP(D7404,'Detail Balok'!$C$10:$AU$110,22,FALSE)</f>
        <v>3</v>
      </c>
      <c r="E7419" t="str">
        <v>D</v>
      </c>
      <c r="F7419">
        <f>VLOOKUP(D7404,'Detail Balok'!$C$10:$AU$110,24,FALSE)</f>
        <v>16</v>
      </c>
      <c r="I7419" t="str">
        <v>(</v>
      </c>
      <c r="J7419">
        <f>+J7411</f>
        <v>1.3</v>
      </c>
      <c r="K7419" t="str">
        <v>+</v>
      </c>
      <c r="L7419">
        <f>MAX(VLOOKUP(F7419,N$6:P$15,3,FALSE)/1000,2/3*D7409/1000)+F$16*F7419/1000</f>
        <v>0.192</v>
      </c>
      <c r="M7419" t="str">
        <v>=</v>
      </c>
      <c r="N7419">
        <f>J7419+L7419</f>
        <v>1.492</v>
      </c>
      <c r="O7419" t="str">
        <v>+</v>
      </c>
      <c r="P7419">
        <f>D7419-D7420</f>
        <v>0</v>
      </c>
      <c r="Q7419" t="str">
        <v>x</v>
      </c>
      <c r="R7419">
        <f>IF(P7419&gt;0,$F$18*F7419/1000,0)</f>
        <v>0</v>
      </c>
      <c r="S7419" t="str">
        <v>)</v>
      </c>
      <c r="T7419" t="str">
        <v>x</v>
      </c>
      <c r="U7419">
        <f>0.006165*F7419^2</f>
        <v>1.57824</v>
      </c>
      <c r="X7419" t="str">
        <v>x</v>
      </c>
      <c r="Y7419">
        <f>D7410</f>
        <v>1</v>
      </c>
      <c r="Z7419" t="str">
        <v>=</v>
      </c>
      <c r="AA7419">
        <f>IF(AA7422=0,(D7419*N7419+P7419*R7419)*U7419*Y7419,0)</f>
        <v>0</v>
      </c>
    </row>
    <row r="7420">
      <c r="A7420" t="str">
        <f>A7404</f>
        <v>Lantai 2</v>
      </c>
      <c r="B7420">
        <f>B7404</f>
        <v>52</v>
      </c>
      <c r="C7420" t="str">
        <v>Tul Bawah Lapangan</v>
      </c>
      <c r="D7420">
        <f>VLOOKUP(D7404,'Detail Balok'!$C$10:$AU$110,25,FALSE)</f>
        <v>3</v>
      </c>
      <c r="E7420" t="str">
        <v>D</v>
      </c>
      <c r="F7420">
        <f>VLOOKUP(D7404,'Detail Balok'!$C$10:$AU$110,27,FALSE)</f>
        <v>16</v>
      </c>
      <c r="I7420" t="str">
        <v>(</v>
      </c>
      <c r="J7420">
        <f>+J7412</f>
        <v>2.6</v>
      </c>
      <c r="K7420" t="str">
        <v>+</v>
      </c>
      <c r="M7420" t="str">
        <v>=</v>
      </c>
      <c r="N7420">
        <f>J7420+L7420</f>
        <v>2.6</v>
      </c>
      <c r="O7420" t="str">
        <v>+</v>
      </c>
      <c r="P7420">
        <f>MAX(D7420-D7419,D7420-D7421)</f>
        <v>0</v>
      </c>
      <c r="Q7420" t="str">
        <v>x</v>
      </c>
      <c r="R7420">
        <f>IF(P7420&gt;0,2*(1-2*$F$19-1/2)*D7407/1000,0)</f>
        <v>0</v>
      </c>
      <c r="S7420" t="str">
        <v>)</v>
      </c>
      <c r="T7420" t="str">
        <v>x</v>
      </c>
      <c r="U7420">
        <f>0.006165*F7420^2</f>
        <v>1.57824</v>
      </c>
      <c r="X7420" t="str">
        <v>x</v>
      </c>
      <c r="Y7420">
        <f>D7410</f>
        <v>1</v>
      </c>
      <c r="Z7420" t="str">
        <v>=</v>
      </c>
      <c r="AA7420">
        <f>IF(AA7422=0,(D7420*N7420+P7420*R7420)*U7420*Y7420,0)</f>
        <v>0</v>
      </c>
    </row>
    <row r="7421">
      <c r="A7421" t="str">
        <f>A7404</f>
        <v>Lantai 2</v>
      </c>
      <c r="B7421">
        <f>B7404</f>
        <v>52</v>
      </c>
      <c r="C7421" t="str">
        <v>Tul Bawah Tumpuan</v>
      </c>
      <c r="D7421">
        <f>VLOOKUP(D7404,'Detail Balok'!$C$10:$AU$110,28,FALSE)</f>
        <v>3</v>
      </c>
      <c r="E7421" t="str">
        <v>D</v>
      </c>
      <c r="F7421">
        <f>VLOOKUP(D7404,'Detail Balok'!$C$10:$AU$110,30,FALSE)</f>
        <v>16</v>
      </c>
      <c r="I7421" t="str">
        <v>(</v>
      </c>
      <c r="J7421">
        <f>+J7413</f>
        <v>1.3</v>
      </c>
      <c r="K7421" t="str">
        <v>+</v>
      </c>
      <c r="L7421">
        <f>MAX(VLOOKUP(F7421,N$6:P$15,3,FALSE)/1000,2/3*D7409/1000)+F$16*F7421/1000</f>
        <v>0.192</v>
      </c>
      <c r="M7421" t="str">
        <v>=</v>
      </c>
      <c r="N7421">
        <f>J7421+L7421</f>
        <v>1.492</v>
      </c>
      <c r="O7421" t="str">
        <v>+</v>
      </c>
      <c r="P7421">
        <f>D7421-D7420</f>
        <v>0</v>
      </c>
      <c r="Q7421" t="str">
        <v>x</v>
      </c>
      <c r="R7421">
        <f>IF(P7421&gt;0,$F$18*F7421/1000,0)</f>
        <v>0</v>
      </c>
      <c r="S7421" t="str">
        <v>)</v>
      </c>
      <c r="T7421" t="str">
        <v>x</v>
      </c>
      <c r="U7421">
        <f>0.006165*F7421^2</f>
        <v>1.57824</v>
      </c>
      <c r="X7421" t="str">
        <v>x</v>
      </c>
      <c r="Y7421">
        <f>D7410</f>
        <v>1</v>
      </c>
      <c r="Z7421" t="str">
        <v>=</v>
      </c>
      <c r="AA7421">
        <f>IF(AA7422=0,(D7421*N7421+P7421*R7421)*U7421*Y7421,0)</f>
        <v>0</v>
      </c>
    </row>
    <row r="7422">
      <c r="A7422" t="str">
        <f>A7404</f>
        <v>Lantai 2</v>
      </c>
      <c r="B7422">
        <f>B7404</f>
        <v>52</v>
      </c>
      <c r="D7422">
        <f>IF(AND(D7419=D7420,D7420=D7421,D7419=D7421),D7419,0)</f>
        <v>3</v>
      </c>
      <c r="E7422" t="str">
        <v>D</v>
      </c>
      <c r="F7422">
        <f>IF(AND(F7419=F7420,F7419=F7421,F7420=F7421),F7419,0)</f>
        <v>16</v>
      </c>
      <c r="L7422" t="str">
        <v>Total panjang per balok</v>
      </c>
      <c r="M7422" t="str">
        <v>=</v>
      </c>
      <c r="N7422">
        <f>IF(AND(D7419=D7420,D7419=D7421,D7420=D7421,F7419=F7420,F7419=F7421,F7420=F7421),SUM(N7419:N7421),0)</f>
        <v>5.5840000000000005</v>
      </c>
      <c r="O7422" t="str">
        <v>+</v>
      </c>
      <c r="P7422">
        <f>IF(N7422&gt;12,ROUNDDOWN(N7422/12,0),0)</f>
        <v>0</v>
      </c>
      <c r="Q7422" t="str">
        <v>x</v>
      </c>
      <c r="R7422">
        <f>IF(P7422&gt;0,MAX(VLOOKUP(F7422,$D$6:$G$15,3,FALSE),600),0)/1000</f>
        <v>0</v>
      </c>
      <c r="T7422" t="str">
        <v>x</v>
      </c>
      <c r="U7422">
        <f>U7421</f>
        <v>1.57824</v>
      </c>
      <c r="V7422" t="str">
        <v>x</v>
      </c>
      <c r="W7422">
        <f>D7422</f>
        <v>3</v>
      </c>
      <c r="X7422" t="str">
        <v>x</v>
      </c>
      <c r="Y7422">
        <f>Y7421</f>
        <v>1</v>
      </c>
      <c r="Z7422" t="str">
        <v>=</v>
      </c>
      <c r="AA7422">
        <f>(N7422+P7422*R7422/1000)*U7422*W7422*Y7422</f>
        <v>26.43867648</v>
      </c>
    </row>
    <row r="7424">
      <c r="A7424" t="str">
        <f>A7404</f>
        <v>Lantai 2</v>
      </c>
      <c r="B7424">
        <f>B7404</f>
        <v>52</v>
      </c>
      <c r="C7424" t="str">
        <v>Sengkang Tumpuan</v>
      </c>
      <c r="D7424">
        <f>VLOOKUP(D7404,'Detail Balok'!$C$10:$AU$110,31,FALSE)</f>
        <v>0</v>
      </c>
      <c r="E7424" t="str">
        <v>D</v>
      </c>
      <c r="F7424">
        <f>VLOOKUP(D7404,'Detail Balok'!$C$10:$AU$110,33,FALSE)</f>
        <v>8</v>
      </c>
      <c r="G7424" t="str">
        <v>-</v>
      </c>
      <c r="H7424">
        <f>VLOOKUP(D7404,'Detail Balok'!$C$10:$AU$110,35,FALSE)</f>
        <v>75</v>
      </c>
      <c r="J7424">
        <f>(IF(D7424=0,(2*(D7405+G7405))-(F$5*8),IF(D7424=3,(2*(D7405+G7405))-(F$5*8)+(G7405-2*F$5),IF(D7424=4,(2*(D7405+G7405))-(F$5*8)+2*(G7405-2*F$5)))))/1000</f>
        <v>0.98</v>
      </c>
      <c r="K7424" t="str">
        <v>+</v>
      </c>
      <c r="L7424">
        <f>IF(D7424=0,2*MAX(6*F7424,75),(D7424-1)*2*MAX(6*F7424,75))/1000</f>
        <v>0.15</v>
      </c>
      <c r="M7424" t="str">
        <v>=</v>
      </c>
      <c r="N7424">
        <f>J7424+L7424</f>
        <v>1.13</v>
      </c>
      <c r="T7424" t="str">
        <v>x</v>
      </c>
      <c r="U7424">
        <f>0.006165*F7424^2</f>
        <v>0.39456</v>
      </c>
      <c r="V7424" t="str">
        <v>x</v>
      </c>
      <c r="W7424">
        <f>IF(D7407&gt;4*G7405,ROUND(MAX(D7407/4,2*G7405)/H7424,0)+1,ROUND(D7407/H7424,0)+1)</f>
        <v>18</v>
      </c>
      <c r="X7424" t="str">
        <v>x</v>
      </c>
      <c r="Y7424">
        <f>D7410</f>
        <v>1</v>
      </c>
      <c r="Z7424" t="str">
        <v>=</v>
      </c>
      <c r="AA7424">
        <f>N7424*U7424*W7424*Y7424</f>
        <v>8.0253504</v>
      </c>
    </row>
    <row r="7425">
      <c r="A7425" t="str">
        <f>A7404</f>
        <v>Lantai 2</v>
      </c>
      <c r="B7425">
        <f>B7404</f>
        <v>52</v>
      </c>
      <c r="C7425" t="str">
        <v>Sengkang Lapangan</v>
      </c>
      <c r="D7425">
        <f>VLOOKUP(D7404,'Detail Balok'!$C$10:$AU$110,36,FALSE)</f>
        <v>0</v>
      </c>
      <c r="E7425" t="str">
        <v>D</v>
      </c>
      <c r="F7425">
        <f>VLOOKUP(D7404,'Detail Balok'!$C$10:$AU$110,38,FALSE)</f>
        <v>8</v>
      </c>
      <c r="G7425" t="str">
        <v>-</v>
      </c>
      <c r="H7425">
        <f>VLOOKUP(D7404,'Detail Balok'!$C$10:$AU$110,40,FALSE)</f>
        <v>200</v>
      </c>
      <c r="J7425">
        <f>(IF(D7425=0,(2*(D7405+G7405))-(F$5*8),IF(D7425=3,(2*(D7405+G7405))-(F$5*8)+(G7405-2*F$5),IF(D7425=4,(2*(D7405+G7405))-(F$5*8)+2*(G7405-2*F$5)))))/1000</f>
        <v>0.98</v>
      </c>
      <c r="K7425" t="str">
        <v>+</v>
      </c>
      <c r="L7425">
        <f>IF(D7425=0,2*MAX(6*F7425,75),(D7425-1)*2*MAX(6*F7425,75))/1000</f>
        <v>0.15</v>
      </c>
      <c r="M7425" t="str">
        <v>=</v>
      </c>
      <c r="N7425">
        <f>J7425+L7425</f>
        <v>1.13</v>
      </c>
      <c r="T7425" t="str">
        <v>x</v>
      </c>
      <c r="U7425">
        <f>0.006165*F7425^2</f>
        <v>0.39456</v>
      </c>
      <c r="V7425" t="str">
        <v>x</v>
      </c>
      <c r="W7425">
        <f>IF(D7407-MAX(D7407/4,2*G7405)*2&gt;0,ROUND((D7407-MAX(D7407/4,2*G7405)*2)/H7425,0),0)</f>
        <v>13</v>
      </c>
      <c r="X7425" t="str">
        <v>x</v>
      </c>
      <c r="Y7425">
        <f>D7410</f>
        <v>1</v>
      </c>
      <c r="Z7425" t="str">
        <v>=</v>
      </c>
      <c r="AA7425">
        <f>N7425*U7425*W7425*Y7425</f>
        <v>5.7960864</v>
      </c>
    </row>
    <row r="7426">
      <c r="A7426" t="str">
        <f>A7404</f>
        <v>Lantai 2</v>
      </c>
      <c r="B7426">
        <f>B7404</f>
        <v>52</v>
      </c>
      <c r="C7426" t="str">
        <v>Sengkang Tumpuan</v>
      </c>
      <c r="D7426">
        <f>VLOOKUP(D7404,'Detail Balok'!$C$10:$AU$110,41,FALSE)</f>
        <v>0</v>
      </c>
      <c r="E7426" t="str">
        <v>D</v>
      </c>
      <c r="F7426">
        <f>VLOOKUP(D7404,'Detail Balok'!$C$10:$AU$110,43,FALSE)</f>
        <v>8</v>
      </c>
      <c r="G7426" t="str">
        <v>-</v>
      </c>
      <c r="H7426">
        <f>VLOOKUP(D7404,'Detail Balok'!$C$10:$AU$110,45,FALSE)</f>
        <v>75</v>
      </c>
      <c r="J7426">
        <f>(IF(D7426=0,(2*(D7405+G7405))-(F$5*8),IF(D7426=3,(2*(D7405+G7405))-(F$5*8)+(G7405-2*F$5),IF(D7426=4,(2*(D7405+G7405))-(F$5*8)+2*(G7405-2*F$5)))))/1000</f>
        <v>0.98</v>
      </c>
      <c r="K7426" t="str">
        <v>+</v>
      </c>
      <c r="L7426">
        <f>IF(D7426=0,2*MAX(6*F7426,75),(D7426-1)*2*MAX(6*F7426,75))/1000</f>
        <v>0.15</v>
      </c>
      <c r="M7426" t="str">
        <v>=</v>
      </c>
      <c r="N7426">
        <f>J7426+L7426</f>
        <v>1.13</v>
      </c>
      <c r="T7426" t="str">
        <v>x</v>
      </c>
      <c r="U7426">
        <f>0.006165*F7426^2</f>
        <v>0.39456</v>
      </c>
      <c r="V7426" t="str">
        <v>x</v>
      </c>
      <c r="W7426">
        <f>IF(D7407&gt;4*G7405,ROUND(MAX(D7407/4,2*G7405)/H7426,0)+1,0)</f>
        <v>18</v>
      </c>
      <c r="X7426" t="str">
        <v>x</v>
      </c>
      <c r="Y7426">
        <f>D7410</f>
        <v>1</v>
      </c>
      <c r="Z7426" t="str">
        <v>=</v>
      </c>
      <c r="AA7426">
        <f>N7426*U7426*W7426*Y7426</f>
        <v>8.0253504</v>
      </c>
    </row>
    <row r="7428">
      <c r="A7428" t="str">
        <f>A7404</f>
        <v>Lantai 2</v>
      </c>
      <c r="B7428">
        <f>B7404</f>
        <v>52</v>
      </c>
      <c r="C7428" t="str">
        <v>Kait Horizontal Tump.</v>
      </c>
      <c r="D7428">
        <f>VLOOKUP(D7404,'Detail Balok'!$C$10:$BJ$110,46,FALSE)</f>
        <v>0</v>
      </c>
      <c r="E7428" t="str">
        <v>D</v>
      </c>
      <c r="F7428">
        <f>VLOOKUP(D7404,'Detail Balok'!$C$10:$BJ$110,48,FALSE)</f>
        <v>0</v>
      </c>
      <c r="G7428" t="str">
        <v>-</v>
      </c>
      <c r="H7428">
        <f>VLOOKUP(D7404,'Detail Balok'!$C$10:$BJ$110,50,FALSE)</f>
        <v>100</v>
      </c>
      <c r="J7428">
        <f>(D7405-2*F$5)/1000</f>
        <v>0.12</v>
      </c>
      <c r="K7428" t="str">
        <v>+</v>
      </c>
      <c r="L7428">
        <f>IF(D7428=0,2*MAX(6*F7428,75),(D7428-1)*2*MAX(6*F7428,75))/1000</f>
        <v>0.15</v>
      </c>
      <c r="M7428" t="str">
        <v>=</v>
      </c>
      <c r="N7428">
        <f>J7428+L7428</f>
        <v>0.27</v>
      </c>
      <c r="T7428" t="str">
        <v>x</v>
      </c>
      <c r="U7428">
        <f>0.006165*F7428^2</f>
        <v>0</v>
      </c>
      <c r="V7428" t="str">
        <v>x</v>
      </c>
      <c r="W7428">
        <f>W7424</f>
        <v>18</v>
      </c>
      <c r="X7428" t="str">
        <v>x</v>
      </c>
      <c r="Y7428">
        <f>D7414</f>
        <v>0</v>
      </c>
      <c r="Z7428" t="str">
        <v>=</v>
      </c>
      <c r="AA7428">
        <f>N7428*U7428*W7428*Y7428</f>
        <v>0</v>
      </c>
    </row>
    <row r="7429">
      <c r="A7429" t="str">
        <f>A7404</f>
        <v>Lantai 2</v>
      </c>
      <c r="B7429">
        <f>B7404</f>
        <v>52</v>
      </c>
      <c r="C7429" t="str">
        <v>Kait Horizontal Lap.</v>
      </c>
      <c r="D7429">
        <f>VLOOKUP(D7404,'Detail Balok'!$C$10:$BJ$110,51,FALSE)</f>
        <v>0</v>
      </c>
      <c r="E7429" t="str">
        <v>D</v>
      </c>
      <c r="F7429">
        <f>VLOOKUP(D7404,'Detail Balok'!$C$10:$BJ$110,53,FALSE)</f>
        <v>0</v>
      </c>
      <c r="G7429" t="str">
        <v>-</v>
      </c>
      <c r="H7429">
        <f>VLOOKUP(D7404,'Detail Balok'!$C$10:$BJ$110,55,FALSE)</f>
        <v>100</v>
      </c>
      <c r="J7429">
        <f>(D7405-2*F$5)/1000</f>
        <v>0.12</v>
      </c>
      <c r="K7429" t="str">
        <v>+</v>
      </c>
      <c r="L7429">
        <f>IF(D7429=0,2*MAX(6*F7429,75),(D7429-1)*2*MAX(6*F7429,75))/1000</f>
        <v>0.15</v>
      </c>
      <c r="M7429" t="str">
        <v>=</v>
      </c>
      <c r="N7429">
        <f>J7429+L7429</f>
        <v>0.27</v>
      </c>
      <c r="T7429" t="str">
        <v>x</v>
      </c>
      <c r="U7429">
        <f>0.006165*F7429^2</f>
        <v>0</v>
      </c>
      <c r="V7429" t="str">
        <v>x</v>
      </c>
      <c r="W7429">
        <f>W7425</f>
        <v>13</v>
      </c>
      <c r="X7429" t="str">
        <v>x</v>
      </c>
      <c r="Y7429">
        <f>D7414</f>
        <v>0</v>
      </c>
      <c r="Z7429" t="str">
        <v>=</v>
      </c>
      <c r="AA7429">
        <f>N7429*U7429*W7429*Y7429</f>
        <v>0</v>
      </c>
    </row>
    <row r="7430">
      <c r="A7430" t="str">
        <f>A7404</f>
        <v>Lantai 2</v>
      </c>
      <c r="B7430">
        <f>B7404</f>
        <v>52</v>
      </c>
      <c r="C7430" t="str">
        <v>Kait Horizontal Tump.</v>
      </c>
      <c r="D7430">
        <f>VLOOKUP(D7404,'Detail Balok'!$C$10:$BJ$110,56,FALSE)</f>
        <v>0</v>
      </c>
      <c r="E7430" t="str">
        <v>D</v>
      </c>
      <c r="F7430">
        <f>VLOOKUP(D7404,'Detail Balok'!$C$10:$BJ$110,58,FALSE)</f>
        <v>0</v>
      </c>
      <c r="G7430" t="str">
        <v>-</v>
      </c>
      <c r="H7430">
        <f>VLOOKUP(D7404,'Detail Balok'!$C$10:$BJ$110,60,FALSE)</f>
        <v>100</v>
      </c>
      <c r="J7430">
        <f>(D7405-2*F$5)/1000</f>
        <v>0.12</v>
      </c>
      <c r="K7430" t="str">
        <v>+</v>
      </c>
      <c r="L7430">
        <f>IF(D7430=0,2*MAX(6*F7430,75),(D7430-1)*2*MAX(6*F7430,75))/1000</f>
        <v>0.15</v>
      </c>
      <c r="M7430" t="str">
        <v>=</v>
      </c>
      <c r="N7430">
        <f>J7430+L7430</f>
        <v>0.27</v>
      </c>
      <c r="T7430" t="str">
        <v>x</v>
      </c>
      <c r="U7430">
        <f>0.006165*F7430^2</f>
        <v>0</v>
      </c>
      <c r="V7430" t="str">
        <v>x</v>
      </c>
      <c r="W7430">
        <f>W7426</f>
        <v>18</v>
      </c>
      <c r="X7430" t="str">
        <v>x</v>
      </c>
      <c r="Y7430">
        <f>D7414</f>
        <v>0</v>
      </c>
      <c r="Z7430" t="str">
        <v>=</v>
      </c>
      <c r="AA7430">
        <f>N7430*U7430*W7430*Y7430</f>
        <v>0</v>
      </c>
    </row>
    <row r="7434">
      <c r="A7434" t="str">
        <f>A7404</f>
        <v>Lantai 2</v>
      </c>
      <c r="B7434">
        <f>B7404+1</f>
        <v>53</v>
      </c>
      <c r="C7434" t="str">
        <f>CONCATENATE(A7434," no. ",B7434)</f>
        <v>Lantai 2 no. 53</v>
      </c>
      <c r="D7434" t="str">
        <f>VLOOKUP(C7434,'Data Panjang Balok'!$C$9:$N$424,2,FALSE)</f>
        <v>B26-1</v>
      </c>
    </row>
    <row r="7435">
      <c r="C7435" t="str">
        <v>Dimensi</v>
      </c>
      <c r="D7435">
        <f>VLOOKUP(D7434,'Detail Balok'!$C$10:$AU$110,2,FALSE)</f>
        <v>200</v>
      </c>
      <c r="F7435" t="str">
        <v>x</v>
      </c>
      <c r="G7435">
        <f>VLOOKUP(D7434,'Detail Balok'!$C$10:$AU$110,3,FALSE)</f>
        <v>600</v>
      </c>
    </row>
    <row r="7436">
      <c r="C7436" t="str">
        <v>Panjang as ke as</v>
      </c>
      <c r="D7436">
        <f>VLOOKUP(C7434,'Data Panjang Balok'!$C$9:$N$424,4,FALSE)</f>
        <v>8100</v>
      </c>
    </row>
    <row r="7437">
      <c r="C7437" t="str">
        <v>Panjang netto</v>
      </c>
      <c r="D7437">
        <f>VLOOKUP(C7434,'Data Panjang Balok'!$C$9:$N$424,7,FALSE)</f>
        <v>8100</v>
      </c>
    </row>
    <row r="7438">
      <c r="C7438" t="str">
        <v>Kolom / balok kiri</v>
      </c>
      <c r="D7438">
        <f>VLOOKUP(C7434,'Data Panjang Balok'!$C$9:$N$424,9,FALSE)</f>
        <v>0</v>
      </c>
    </row>
    <row r="7439">
      <c r="C7439" t="str">
        <v>Kolom / balok kanan</v>
      </c>
      <c r="D7439">
        <f>VLOOKUP(C7434,'Data Panjang Balok'!$C$9:$N$424,10,FALSE)</f>
        <v>0</v>
      </c>
    </row>
    <row r="7440">
      <c r="C7440" t="str">
        <v>Jumlah</v>
      </c>
      <c r="D7440">
        <f>VLOOKUP(C7434,'Data Panjang Balok'!$C$9:$N$424,3,FALSE)</f>
        <v>1</v>
      </c>
    </row>
    <row r="7441">
      <c r="A7441" t="str">
        <f>A7434</f>
        <v>Lantai 2</v>
      </c>
      <c r="B7441">
        <f>B7434</f>
        <v>53</v>
      </c>
      <c r="C7441" t="str">
        <v>Tul Atas Tumpuan</v>
      </c>
      <c r="D7441">
        <f>VLOOKUP(D7434,'Detail Balok'!$C$10:$AU$110,4,FALSE)</f>
        <v>2</v>
      </c>
      <c r="E7441" t="str">
        <v>D</v>
      </c>
      <c r="F7441">
        <f>VLOOKUP(D7434,'Detail Balok'!$C$10:$AU$110,6,FALSE)</f>
        <v>16</v>
      </c>
      <c r="I7441" t="str">
        <v>(</v>
      </c>
      <c r="J7441">
        <f>+D7436/4/1000</f>
        <v>2.025</v>
      </c>
      <c r="K7441" t="str">
        <v>+</v>
      </c>
      <c r="L7441">
        <f>MAX(VLOOKUP(F7441,N$6:P$15,3,FALSE)/1000,2/3*D7438/1000)+F$16*F7441/1000</f>
        <v>0.192</v>
      </c>
      <c r="M7441" t="str">
        <v>=</v>
      </c>
      <c r="N7441">
        <f>J7441+L7441</f>
        <v>2.217</v>
      </c>
      <c r="O7441" t="str">
        <v>+</v>
      </c>
      <c r="P7441">
        <f>D7441-D7442</f>
        <v>0</v>
      </c>
      <c r="Q7441" t="str">
        <v>x</v>
      </c>
      <c r="R7441">
        <f>IF(P7441&gt;0,$F$18*F7441/1000,0)</f>
        <v>0</v>
      </c>
      <c r="S7441" t="str">
        <v>)</v>
      </c>
      <c r="T7441" t="str">
        <v>x</v>
      </c>
      <c r="U7441">
        <f>0.006165*F7441^2</f>
        <v>1.57824</v>
      </c>
      <c r="X7441" t="str">
        <v>x</v>
      </c>
      <c r="Y7441">
        <f>D7440</f>
        <v>1</v>
      </c>
      <c r="Z7441" t="str">
        <v>=</v>
      </c>
      <c r="AA7441">
        <f>IF(AA7444=0,(D7441*N7441+P7441*R7441)*U7441*Y7441,0)</f>
        <v>6.997916160000001</v>
      </c>
    </row>
    <row r="7442">
      <c r="A7442" t="str">
        <f>A7434</f>
        <v>Lantai 2</v>
      </c>
      <c r="B7442">
        <f>B7434</f>
        <v>53</v>
      </c>
      <c r="C7442" t="str">
        <v>Tul Atas Lapangan</v>
      </c>
      <c r="D7442">
        <f>VLOOKUP(D7434,'Detail Balok'!$C$10:$AU$110,7,FALSE)</f>
        <v>2</v>
      </c>
      <c r="E7442" t="str">
        <v>D</v>
      </c>
      <c r="F7442">
        <f>VLOOKUP(D7434,'Detail Balok'!$C$10:$AU$110,9,FALSE)</f>
        <v>16</v>
      </c>
      <c r="I7442" t="str">
        <v>(</v>
      </c>
      <c r="J7442">
        <f>+D7436/2/1000</f>
        <v>4.05</v>
      </c>
      <c r="K7442" t="str">
        <v>+</v>
      </c>
      <c r="M7442" t="str">
        <v>=</v>
      </c>
      <c r="N7442">
        <f>J7442+L7442</f>
        <v>4.05</v>
      </c>
      <c r="O7442" t="str">
        <v>+</v>
      </c>
      <c r="P7442">
        <f>MAX(D7442-D7441,D7442-D7443)</f>
        <v>0</v>
      </c>
      <c r="Q7442" t="str">
        <v>x</v>
      </c>
      <c r="R7442">
        <f>IF(P7442&gt;0,2*(1-2*$F$19-1/2)*D7437/1000,0)</f>
        <v>0</v>
      </c>
      <c r="S7442" t="str">
        <v>)</v>
      </c>
      <c r="T7442" t="str">
        <v>x</v>
      </c>
      <c r="U7442">
        <f>0.006165*F7442^2</f>
        <v>1.57824</v>
      </c>
      <c r="X7442" t="str">
        <v>x</v>
      </c>
      <c r="Y7442">
        <f>D7440</f>
        <v>1</v>
      </c>
      <c r="Z7442" t="str">
        <v>=</v>
      </c>
      <c r="AA7442">
        <f>IF(AA7444=0,(D7442*N7442+P7442*R7442)*U7442*Y7442,0)</f>
        <v>12.783744</v>
      </c>
    </row>
    <row r="7443">
      <c r="A7443" t="str">
        <f>A7434</f>
        <v>Lantai 2</v>
      </c>
      <c r="B7443">
        <f>B7434</f>
        <v>53</v>
      </c>
      <c r="C7443" t="str">
        <v>Tul Atas Tumpuan</v>
      </c>
      <c r="D7443">
        <f>VLOOKUP(D7434,'Detail Balok'!$C$10:$AU$110,10,FALSE)</f>
        <v>5</v>
      </c>
      <c r="E7443" t="str">
        <v>D</v>
      </c>
      <c r="F7443">
        <f>VLOOKUP(D7434,'Detail Balok'!$C$10:$AU$110,12,FALSE)</f>
        <v>16</v>
      </c>
      <c r="I7443" t="str">
        <v>(</v>
      </c>
      <c r="J7443">
        <f>+D7436/4/1000</f>
        <v>2.025</v>
      </c>
      <c r="K7443" t="str">
        <v>+</v>
      </c>
      <c r="L7443">
        <f>MAX(VLOOKUP(F7443,N$6:P$15,3,FALSE)/1000,2/3*D7438/1000)+F$16*F7443/1000</f>
        <v>0.192</v>
      </c>
      <c r="M7443" t="str">
        <v>=</v>
      </c>
      <c r="N7443">
        <f>J7443+L7443</f>
        <v>2.217</v>
      </c>
      <c r="O7443" t="str">
        <v>+</v>
      </c>
      <c r="P7443">
        <f>D7443-D7442</f>
        <v>3</v>
      </c>
      <c r="Q7443" t="str">
        <v>x</v>
      </c>
      <c r="R7443">
        <f>IF(P7443&gt;0,$F$18*F7443/1000,0)</f>
        <v>0.24</v>
      </c>
      <c r="S7443" t="str">
        <v>)</v>
      </c>
      <c r="T7443" t="str">
        <v>x</v>
      </c>
      <c r="U7443">
        <f>0.006165*F7443^2</f>
        <v>1.57824</v>
      </c>
      <c r="X7443" t="str">
        <v>x</v>
      </c>
      <c r="Y7443">
        <f>D7440</f>
        <v>1</v>
      </c>
      <c r="Z7443" t="str">
        <v>=</v>
      </c>
      <c r="AA7443">
        <f>IF(AA7444=0,(D7443*N7443+P7443*R7443)*U7443*Y7443,0)</f>
        <v>18.631123200000005</v>
      </c>
    </row>
    <row r="7444">
      <c r="A7444" t="str">
        <f>A7434</f>
        <v>Lantai 2</v>
      </c>
      <c r="B7444">
        <f>B7434</f>
        <v>53</v>
      </c>
      <c r="D7444">
        <f>IF(AND(D7441=D7442,D7442=D7443,D7441=D7443),D7441,0)</f>
        <v>0</v>
      </c>
      <c r="E7444" t="str">
        <v>D</v>
      </c>
      <c r="F7444">
        <f>IF(AND(F7441=F7442,F7441=F7443,F7442=F7443),F7441,0)</f>
        <v>16</v>
      </c>
      <c r="L7444" t="str">
        <v>Total panjang per balok</v>
      </c>
      <c r="M7444" t="str">
        <v>=</v>
      </c>
      <c r="N7444">
        <f>IF(AND(D7441=D7442,D7441=D7443,D7442=D7443,F7441=F7442,F7441=F7443,F7442=F7443),SUM(N7441:N7443),0)</f>
        <v>0</v>
      </c>
      <c r="O7444" t="str">
        <v>+</v>
      </c>
      <c r="P7444">
        <f>IF(N7444&gt;12,ROUNDDOWN(N7444/12,0),0)</f>
        <v>0</v>
      </c>
      <c r="Q7444" t="str">
        <v>x</v>
      </c>
      <c r="R7444">
        <f>IF(P7444&gt;0,MAX(VLOOKUP(F7444,$D$6:$G$15,3,FALSE),600),0)/1000</f>
        <v>0</v>
      </c>
      <c r="T7444" t="str">
        <v>x</v>
      </c>
      <c r="U7444">
        <f>U7443</f>
        <v>1.57824</v>
      </c>
      <c r="V7444" t="str">
        <v>x</v>
      </c>
      <c r="W7444">
        <f>D7444</f>
        <v>0</v>
      </c>
      <c r="X7444" t="str">
        <v>x</v>
      </c>
      <c r="Y7444">
        <f>Y7443</f>
        <v>1</v>
      </c>
      <c r="Z7444" t="str">
        <v>=</v>
      </c>
      <c r="AA7444">
        <f>(N7444+P7444*R7444/1000)*U7444*W7444*Y7444</f>
        <v>0</v>
      </c>
    </row>
    <row r="7446">
      <c r="A7446" t="str">
        <f>A7434</f>
        <v>Lantai 2</v>
      </c>
      <c r="B7446">
        <f>B7434</f>
        <v>53</v>
      </c>
      <c r="C7446" t="str">
        <v>Tul Peminggang</v>
      </c>
      <c r="D7446">
        <f>VLOOKUP(D7434,'Detail Balok'!$C$10:$AU$110,13,FALSE)</f>
        <v>2</v>
      </c>
      <c r="E7446" t="str">
        <v>D</v>
      </c>
      <c r="F7446">
        <f>VLOOKUP(D7434,'Detail Balok'!$C$10:$AU$110,15,FALSE)</f>
        <v>10</v>
      </c>
      <c r="J7446">
        <f>+D7436/1000</f>
        <v>8.1</v>
      </c>
      <c r="K7446" t="str">
        <v>+</v>
      </c>
      <c r="L7446">
        <f>2*$F$16*F7446/1000</f>
        <v>0.24</v>
      </c>
      <c r="M7446" t="str">
        <v>=</v>
      </c>
      <c r="N7446">
        <f>J7446+L7446</f>
        <v>8.34</v>
      </c>
      <c r="O7446" t="str">
        <v>+</v>
      </c>
      <c r="P7446">
        <f>IF(N7446&gt;12,ROUNDDOWN(N7446/12,0),0)</f>
        <v>0</v>
      </c>
      <c r="Q7446" t="str">
        <v>x</v>
      </c>
      <c r="R7446">
        <f>IF(P7446&gt;0,MAX(VLOOKUP(F7446,$D$6:$G$15,3,FALSE),600),0)/1000</f>
        <v>0</v>
      </c>
      <c r="T7446" t="str">
        <v>x</v>
      </c>
      <c r="U7446">
        <f>0.006165*F7446^2</f>
        <v>0.6165</v>
      </c>
      <c r="V7446" t="str">
        <v>x</v>
      </c>
      <c r="W7446">
        <f>+D7446</f>
        <v>2</v>
      </c>
      <c r="X7446" t="str">
        <v>x</v>
      </c>
      <c r="Y7446">
        <f>D7440</f>
        <v>1</v>
      </c>
      <c r="Z7446" t="str">
        <v>=</v>
      </c>
      <c r="AA7446">
        <f>(N7446+P7446*R7446/1000)*U7446*W7446*Y7446</f>
        <v>10.28322</v>
      </c>
    </row>
    <row r="7449">
      <c r="A7449" t="str">
        <f>A7434</f>
        <v>Lantai 2</v>
      </c>
      <c r="B7449">
        <f>B7434</f>
        <v>53</v>
      </c>
      <c r="C7449" t="str">
        <v>Tul Bawah Tumpuan</v>
      </c>
      <c r="D7449">
        <f>VLOOKUP(D7434,'Detail Balok'!$C$10:$AU$110,22,FALSE)</f>
        <v>3</v>
      </c>
      <c r="E7449" t="str">
        <v>D</v>
      </c>
      <c r="F7449">
        <f>VLOOKUP(D7434,'Detail Balok'!$C$10:$AU$110,24,FALSE)</f>
        <v>16</v>
      </c>
      <c r="I7449" t="str">
        <v>(</v>
      </c>
      <c r="J7449">
        <f>+J7441</f>
        <v>2.025</v>
      </c>
      <c r="K7449" t="str">
        <v>+</v>
      </c>
      <c r="L7449">
        <f>MAX(VLOOKUP(F7449,N$6:P$15,3,FALSE)/1000,2/3*D7439/1000)+F$16*F7449/1000</f>
        <v>0.192</v>
      </c>
      <c r="M7449" t="str">
        <v>=</v>
      </c>
      <c r="N7449">
        <f>J7449+L7449</f>
        <v>2.217</v>
      </c>
      <c r="O7449" t="str">
        <v>+</v>
      </c>
      <c r="P7449">
        <f>D7449-D7450</f>
        <v>-2</v>
      </c>
      <c r="Q7449" t="str">
        <v>x</v>
      </c>
      <c r="R7449">
        <f>IF(P7449&gt;0,$F$18*F7449/1000,0)</f>
        <v>0</v>
      </c>
      <c r="S7449" t="str">
        <v>)</v>
      </c>
      <c r="T7449" t="str">
        <v>x</v>
      </c>
      <c r="U7449">
        <f>0.006165*F7449^2</f>
        <v>1.57824</v>
      </c>
      <c r="X7449" t="str">
        <v>x</v>
      </c>
      <c r="Y7449">
        <f>D7440</f>
        <v>1</v>
      </c>
      <c r="Z7449" t="str">
        <v>=</v>
      </c>
      <c r="AA7449">
        <f>IF(AA7452=0,(D7449*N7449+P7449*R7449)*U7449*Y7449,0)</f>
        <v>10.49687424</v>
      </c>
    </row>
    <row r="7450">
      <c r="A7450" t="str">
        <f>A7434</f>
        <v>Lantai 2</v>
      </c>
      <c r="B7450">
        <f>B7434</f>
        <v>53</v>
      </c>
      <c r="C7450" t="str">
        <v>Tul Bawah Lapangan</v>
      </c>
      <c r="D7450">
        <f>VLOOKUP(D7434,'Detail Balok'!$C$10:$AU$110,25,FALSE)</f>
        <v>5</v>
      </c>
      <c r="E7450" t="str">
        <v>D</v>
      </c>
      <c r="F7450">
        <f>VLOOKUP(D7434,'Detail Balok'!$C$10:$AU$110,27,FALSE)</f>
        <v>16</v>
      </c>
      <c r="I7450" t="str">
        <v>(</v>
      </c>
      <c r="J7450">
        <f>+J7442</f>
        <v>4.05</v>
      </c>
      <c r="K7450" t="str">
        <v>+</v>
      </c>
      <c r="M7450" t="str">
        <v>=</v>
      </c>
      <c r="N7450">
        <f>J7450+L7450</f>
        <v>4.05</v>
      </c>
      <c r="O7450" t="str">
        <v>+</v>
      </c>
      <c r="P7450">
        <f>MAX(D7450-D7449,D7450-D7451)</f>
        <v>2</v>
      </c>
      <c r="Q7450" t="str">
        <v>x</v>
      </c>
      <c r="R7450">
        <f>IF(P7450&gt;0,2*(1-2*$F$19-1/2)*D7437/1000,0)</f>
        <v>1.6199999999999994</v>
      </c>
      <c r="S7450" t="str">
        <v>)</v>
      </c>
      <c r="T7450" t="str">
        <v>x</v>
      </c>
      <c r="U7450">
        <f>0.006165*F7450^2</f>
        <v>1.57824</v>
      </c>
      <c r="X7450" t="str">
        <v>x</v>
      </c>
      <c r="Y7450">
        <f>D7440</f>
        <v>1</v>
      </c>
      <c r="Z7450" t="str">
        <v>=</v>
      </c>
      <c r="AA7450">
        <f>IF(AA7452=0,(D7450*N7450+P7450*R7450)*U7450*Y7450,0)</f>
        <v>37.0728576</v>
      </c>
    </row>
    <row r="7451">
      <c r="A7451" t="str">
        <f>A7434</f>
        <v>Lantai 2</v>
      </c>
      <c r="B7451">
        <f>B7434</f>
        <v>53</v>
      </c>
      <c r="C7451" t="str">
        <v>Tul Bawah Tumpuan</v>
      </c>
      <c r="D7451">
        <f>VLOOKUP(D7434,'Detail Balok'!$C$10:$AU$110,28,FALSE)</f>
        <v>3</v>
      </c>
      <c r="E7451" t="str">
        <v>D</v>
      </c>
      <c r="F7451">
        <f>VLOOKUP(D7434,'Detail Balok'!$C$10:$AU$110,30,FALSE)</f>
        <v>16</v>
      </c>
      <c r="I7451" t="str">
        <v>(</v>
      </c>
      <c r="J7451">
        <f>+J7443</f>
        <v>2.025</v>
      </c>
      <c r="K7451" t="str">
        <v>+</v>
      </c>
      <c r="L7451">
        <f>MAX(VLOOKUP(F7451,N$6:P$15,3,FALSE)/1000,2/3*D7439/1000)+F$16*F7451/1000</f>
        <v>0.192</v>
      </c>
      <c r="M7451" t="str">
        <v>=</v>
      </c>
      <c r="N7451">
        <f>J7451+L7451</f>
        <v>2.217</v>
      </c>
      <c r="O7451" t="str">
        <v>+</v>
      </c>
      <c r="P7451">
        <f>D7451-D7450</f>
        <v>-2</v>
      </c>
      <c r="Q7451" t="str">
        <v>x</v>
      </c>
      <c r="R7451">
        <f>IF(P7451&gt;0,$F$18*F7451/1000,0)</f>
        <v>0</v>
      </c>
      <c r="S7451" t="str">
        <v>)</v>
      </c>
      <c r="T7451" t="str">
        <v>x</v>
      </c>
      <c r="U7451">
        <f>0.006165*F7451^2</f>
        <v>1.57824</v>
      </c>
      <c r="X7451" t="str">
        <v>x</v>
      </c>
      <c r="Y7451">
        <f>D7440</f>
        <v>1</v>
      </c>
      <c r="Z7451" t="str">
        <v>=</v>
      </c>
      <c r="AA7451">
        <f>IF(AA7452=0,(D7451*N7451+P7451*R7451)*U7451*Y7451,0)</f>
        <v>10.49687424</v>
      </c>
    </row>
    <row r="7452">
      <c r="A7452" t="str">
        <f>A7434</f>
        <v>Lantai 2</v>
      </c>
      <c r="B7452">
        <f>B7434</f>
        <v>53</v>
      </c>
      <c r="D7452">
        <f>IF(AND(D7449=D7450,D7450=D7451,D7449=D7451),D7449,0)</f>
        <v>0</v>
      </c>
      <c r="E7452" t="str">
        <v>D</v>
      </c>
      <c r="F7452">
        <f>IF(AND(F7449=F7450,F7449=F7451,F7450=F7451),F7449,0)</f>
        <v>16</v>
      </c>
      <c r="L7452" t="str">
        <v>Total panjang per balok</v>
      </c>
      <c r="M7452" t="str">
        <v>=</v>
      </c>
      <c r="N7452">
        <f>IF(AND(D7449=D7450,D7449=D7451,D7450=D7451,F7449=F7450,F7449=F7451,F7450=F7451),SUM(N7449:N7451),0)</f>
        <v>0</v>
      </c>
      <c r="O7452" t="str">
        <v>+</v>
      </c>
      <c r="P7452">
        <f>IF(N7452&gt;12,ROUNDDOWN(N7452/12,0),0)</f>
        <v>0</v>
      </c>
      <c r="Q7452" t="str">
        <v>x</v>
      </c>
      <c r="R7452">
        <f>IF(P7452&gt;0,MAX(VLOOKUP(F7452,$D$6:$G$15,3,FALSE),600),0)/1000</f>
        <v>0</v>
      </c>
      <c r="T7452" t="str">
        <v>x</v>
      </c>
      <c r="U7452">
        <f>U7451</f>
        <v>1.57824</v>
      </c>
      <c r="V7452" t="str">
        <v>x</v>
      </c>
      <c r="W7452">
        <f>D7452</f>
        <v>0</v>
      </c>
      <c r="X7452" t="str">
        <v>x</v>
      </c>
      <c r="Y7452">
        <f>Y7451</f>
        <v>1</v>
      </c>
      <c r="Z7452" t="str">
        <v>=</v>
      </c>
      <c r="AA7452">
        <f>(N7452+P7452*R7452/1000)*U7452*W7452*Y7452</f>
        <v>0</v>
      </c>
    </row>
    <row r="7454">
      <c r="A7454" t="str">
        <f>A7434</f>
        <v>Lantai 2</v>
      </c>
      <c r="B7454">
        <f>B7434</f>
        <v>53</v>
      </c>
      <c r="C7454" t="str">
        <v>Sengkang Tumpuan</v>
      </c>
      <c r="D7454">
        <f>VLOOKUP(D7434,'Detail Balok'!$C$10:$AU$110,31,FALSE)</f>
        <v>0</v>
      </c>
      <c r="E7454" t="str">
        <v>D</v>
      </c>
      <c r="F7454">
        <f>VLOOKUP(D7434,'Detail Balok'!$C$10:$AU$110,33,FALSE)</f>
        <v>10</v>
      </c>
      <c r="G7454" t="str">
        <v>-</v>
      </c>
      <c r="H7454">
        <f>VLOOKUP(D7434,'Detail Balok'!$C$10:$AU$110,35,FALSE)</f>
        <v>100</v>
      </c>
      <c r="J7454">
        <f>(IF(D7454=0,(2*(D7435+G7435))-(F$5*8),IF(D7454=3,(2*(D7435+G7435))-(F$5*8)+(G7435-2*F$5),IF(D7454=4,(2*(D7435+G7435))-(F$5*8)+2*(G7435-2*F$5)))))/1000</f>
        <v>1.28</v>
      </c>
      <c r="K7454" t="str">
        <v>+</v>
      </c>
      <c r="L7454">
        <f>IF(D7454=0,2*MAX(6*F7454,75),(D7454-1)*2*MAX(6*F7454,75))/1000</f>
        <v>0.15</v>
      </c>
      <c r="M7454" t="str">
        <v>=</v>
      </c>
      <c r="N7454">
        <f>J7454+L7454</f>
        <v>1.43</v>
      </c>
      <c r="T7454" t="str">
        <v>x</v>
      </c>
      <c r="U7454">
        <f>0.006165*F7454^2</f>
        <v>0.6165</v>
      </c>
      <c r="V7454" t="str">
        <v>x</v>
      </c>
      <c r="W7454">
        <f>IF(D7437&gt;4*G7435,ROUND(MAX(D7437/4,2*G7435)/H7454,0)+1,ROUND(D7437/H7454,0)+1)</f>
        <v>21</v>
      </c>
      <c r="X7454" t="str">
        <v>x</v>
      </c>
      <c r="Y7454">
        <f>D7440</f>
        <v>1</v>
      </c>
      <c r="Z7454" t="str">
        <v>=</v>
      </c>
      <c r="AA7454">
        <f>N7454*U7454*W7454*Y7454</f>
        <v>18.513495</v>
      </c>
    </row>
    <row r="7455">
      <c r="A7455" t="str">
        <f>A7434</f>
        <v>Lantai 2</v>
      </c>
      <c r="B7455">
        <f>B7434</f>
        <v>53</v>
      </c>
      <c r="C7455" t="str">
        <v>Sengkang Lapangan</v>
      </c>
      <c r="D7455">
        <f>VLOOKUP(D7434,'Detail Balok'!$C$10:$AU$110,36,FALSE)</f>
        <v>0</v>
      </c>
      <c r="E7455" t="str">
        <v>D</v>
      </c>
      <c r="F7455">
        <f>VLOOKUP(D7434,'Detail Balok'!$C$10:$AU$110,38,FALSE)</f>
        <v>10</v>
      </c>
      <c r="G7455" t="str">
        <v>-</v>
      </c>
      <c r="H7455">
        <f>VLOOKUP(D7434,'Detail Balok'!$C$10:$AU$110,40,FALSE)</f>
        <v>200</v>
      </c>
      <c r="J7455">
        <f>(IF(D7455=0,(2*(D7435+G7435))-(F$5*8),IF(D7455=3,(2*(D7435+G7435))-(F$5*8)+(G7435-2*F$5),IF(D7455=4,(2*(D7435+G7435))-(F$5*8)+2*(G7435-2*F$5)))))/1000</f>
        <v>1.28</v>
      </c>
      <c r="K7455" t="str">
        <v>+</v>
      </c>
      <c r="L7455">
        <f>IF(D7455=0,2*MAX(6*F7455,75),(D7455-1)*2*MAX(6*F7455,75))/1000</f>
        <v>0.15</v>
      </c>
      <c r="M7455" t="str">
        <v>=</v>
      </c>
      <c r="N7455">
        <f>J7455+L7455</f>
        <v>1.43</v>
      </c>
      <c r="T7455" t="str">
        <v>x</v>
      </c>
      <c r="U7455">
        <f>0.006165*F7455^2</f>
        <v>0.6165</v>
      </c>
      <c r="V7455" t="str">
        <v>x</v>
      </c>
      <c r="W7455">
        <f>IF(D7437-MAX(D7437/4,2*G7435)*2&gt;0,ROUND((D7437-MAX(D7437/4,2*G7435)*2)/H7455,0),0)</f>
        <v>20</v>
      </c>
      <c r="X7455" t="str">
        <v>x</v>
      </c>
      <c r="Y7455">
        <f>D7440</f>
        <v>1</v>
      </c>
      <c r="Z7455" t="str">
        <v>=</v>
      </c>
      <c r="AA7455">
        <f>N7455*U7455*W7455*Y7455</f>
        <v>17.6319</v>
      </c>
    </row>
    <row r="7456">
      <c r="A7456" t="str">
        <f>A7434</f>
        <v>Lantai 2</v>
      </c>
      <c r="B7456">
        <f>B7434</f>
        <v>53</v>
      </c>
      <c r="C7456" t="str">
        <v>Sengkang Tumpuan</v>
      </c>
      <c r="D7456">
        <f>VLOOKUP(D7434,'Detail Balok'!$C$10:$AU$110,41,FALSE)</f>
        <v>0</v>
      </c>
      <c r="E7456" t="str">
        <v>D</v>
      </c>
      <c r="F7456">
        <f>VLOOKUP(D7434,'Detail Balok'!$C$10:$AU$110,43,FALSE)</f>
        <v>10</v>
      </c>
      <c r="G7456" t="str">
        <v>-</v>
      </c>
      <c r="H7456">
        <f>VLOOKUP(D7434,'Detail Balok'!$C$10:$AU$110,45,FALSE)</f>
        <v>100</v>
      </c>
      <c r="J7456">
        <f>(IF(D7456=0,(2*(D7435+G7435))-(F$5*8),IF(D7456=3,(2*(D7435+G7435))-(F$5*8)+(G7435-2*F$5),IF(D7456=4,(2*(D7435+G7435))-(F$5*8)+2*(G7435-2*F$5)))))/1000</f>
        <v>1.28</v>
      </c>
      <c r="K7456" t="str">
        <v>+</v>
      </c>
      <c r="L7456">
        <f>IF(D7456=0,2*MAX(6*F7456,75),(D7456-1)*2*MAX(6*F7456,75))/1000</f>
        <v>0.15</v>
      </c>
      <c r="M7456" t="str">
        <v>=</v>
      </c>
      <c r="N7456">
        <f>J7456+L7456</f>
        <v>1.43</v>
      </c>
      <c r="T7456" t="str">
        <v>x</v>
      </c>
      <c r="U7456">
        <f>0.006165*F7456^2</f>
        <v>0.6165</v>
      </c>
      <c r="V7456" t="str">
        <v>x</v>
      </c>
      <c r="W7456">
        <f>IF(D7437&gt;4*G7435,ROUND(MAX(D7437/4,2*G7435)/H7456,0)+1,0)</f>
        <v>21</v>
      </c>
      <c r="X7456" t="str">
        <v>x</v>
      </c>
      <c r="Y7456">
        <f>D7440</f>
        <v>1</v>
      </c>
      <c r="Z7456" t="str">
        <v>=</v>
      </c>
      <c r="AA7456">
        <f>N7456*U7456*W7456*Y7456</f>
        <v>18.513495</v>
      </c>
    </row>
    <row r="7458">
      <c r="A7458" t="str">
        <f>A7434</f>
        <v>Lantai 2</v>
      </c>
      <c r="B7458">
        <f>B7434</f>
        <v>53</v>
      </c>
      <c r="C7458" t="str">
        <v>Kait Horizontal Tump.</v>
      </c>
      <c r="D7458">
        <f>VLOOKUP(D7434,'Detail Balok'!$C$10:$BJ$110,46,FALSE)</f>
        <v>0</v>
      </c>
      <c r="E7458" t="str">
        <v>D</v>
      </c>
      <c r="F7458">
        <f>VLOOKUP(D7434,'Detail Balok'!$C$10:$BJ$110,48,FALSE)</f>
        <v>0</v>
      </c>
      <c r="G7458" t="str">
        <v>-</v>
      </c>
      <c r="H7458">
        <f>VLOOKUP(D7434,'Detail Balok'!$C$10:$BJ$110,50,FALSE)</f>
        <v>100</v>
      </c>
      <c r="J7458">
        <f>(D7435-2*F$5)/1000</f>
        <v>0.12</v>
      </c>
      <c r="K7458" t="str">
        <v>+</v>
      </c>
      <c r="L7458">
        <f>IF(D7458=0,2*MAX(6*F7458,75),(D7458-1)*2*MAX(6*F7458,75))/1000</f>
        <v>0.15</v>
      </c>
      <c r="M7458" t="str">
        <v>=</v>
      </c>
      <c r="N7458">
        <f>J7458+L7458</f>
        <v>0.27</v>
      </c>
      <c r="T7458" t="str">
        <v>x</v>
      </c>
      <c r="U7458">
        <f>0.006165*F7458^2</f>
        <v>0</v>
      </c>
      <c r="V7458" t="str">
        <v>x</v>
      </c>
      <c r="W7458">
        <f>W7454</f>
        <v>21</v>
      </c>
      <c r="X7458" t="str">
        <v>x</v>
      </c>
      <c r="Y7458">
        <f>D7444</f>
        <v>0</v>
      </c>
      <c r="Z7458" t="str">
        <v>=</v>
      </c>
      <c r="AA7458">
        <f>N7458*U7458*W7458*Y7458</f>
        <v>0</v>
      </c>
    </row>
    <row r="7459">
      <c r="A7459" t="str">
        <f>A7434</f>
        <v>Lantai 2</v>
      </c>
      <c r="B7459">
        <f>B7434</f>
        <v>53</v>
      </c>
      <c r="C7459" t="str">
        <v>Kait Horizontal Lap.</v>
      </c>
      <c r="D7459">
        <f>VLOOKUP(D7434,'Detail Balok'!$C$10:$BJ$110,51,FALSE)</f>
        <v>0</v>
      </c>
      <c r="E7459" t="str">
        <v>D</v>
      </c>
      <c r="F7459">
        <f>VLOOKUP(D7434,'Detail Balok'!$C$10:$BJ$110,53,FALSE)</f>
        <v>0</v>
      </c>
      <c r="G7459" t="str">
        <v>-</v>
      </c>
      <c r="H7459">
        <f>VLOOKUP(D7434,'Detail Balok'!$C$10:$BJ$110,55,FALSE)</f>
        <v>100</v>
      </c>
      <c r="J7459">
        <f>(D7435-2*F$5)/1000</f>
        <v>0.12</v>
      </c>
      <c r="K7459" t="str">
        <v>+</v>
      </c>
      <c r="L7459">
        <f>IF(D7459=0,2*MAX(6*F7459,75),(D7459-1)*2*MAX(6*F7459,75))/1000</f>
        <v>0.15</v>
      </c>
      <c r="M7459" t="str">
        <v>=</v>
      </c>
      <c r="N7459">
        <f>J7459+L7459</f>
        <v>0.27</v>
      </c>
      <c r="T7459" t="str">
        <v>x</v>
      </c>
      <c r="U7459">
        <f>0.006165*F7459^2</f>
        <v>0</v>
      </c>
      <c r="V7459" t="str">
        <v>x</v>
      </c>
      <c r="W7459">
        <f>W7455</f>
        <v>20</v>
      </c>
      <c r="X7459" t="str">
        <v>x</v>
      </c>
      <c r="Y7459">
        <f>D7444</f>
        <v>0</v>
      </c>
      <c r="Z7459" t="str">
        <v>=</v>
      </c>
      <c r="AA7459">
        <f>N7459*U7459*W7459*Y7459</f>
        <v>0</v>
      </c>
    </row>
    <row r="7460">
      <c r="A7460" t="str">
        <f>A7434</f>
        <v>Lantai 2</v>
      </c>
      <c r="B7460">
        <f>B7434</f>
        <v>53</v>
      </c>
      <c r="C7460" t="str">
        <v>Kait Horizontal Tump.</v>
      </c>
      <c r="D7460">
        <f>VLOOKUP(D7434,'Detail Balok'!$C$10:$BJ$110,56,FALSE)</f>
        <v>0</v>
      </c>
      <c r="E7460" t="str">
        <v>D</v>
      </c>
      <c r="F7460">
        <f>VLOOKUP(D7434,'Detail Balok'!$C$10:$BJ$110,58,FALSE)</f>
        <v>0</v>
      </c>
      <c r="G7460" t="str">
        <v>-</v>
      </c>
      <c r="H7460">
        <f>VLOOKUP(D7434,'Detail Balok'!$C$10:$BJ$110,60,FALSE)</f>
        <v>100</v>
      </c>
      <c r="J7460">
        <f>(D7435-2*F$5)/1000</f>
        <v>0.12</v>
      </c>
      <c r="K7460" t="str">
        <v>+</v>
      </c>
      <c r="L7460">
        <f>IF(D7460=0,2*MAX(6*F7460,75),(D7460-1)*2*MAX(6*F7460,75))/1000</f>
        <v>0.15</v>
      </c>
      <c r="M7460" t="str">
        <v>=</v>
      </c>
      <c r="N7460">
        <f>J7460+L7460</f>
        <v>0.27</v>
      </c>
      <c r="T7460" t="str">
        <v>x</v>
      </c>
      <c r="U7460">
        <f>0.006165*F7460^2</f>
        <v>0</v>
      </c>
      <c r="V7460" t="str">
        <v>x</v>
      </c>
      <c r="W7460">
        <f>W7456</f>
        <v>21</v>
      </c>
      <c r="X7460" t="str">
        <v>x</v>
      </c>
      <c r="Y7460">
        <f>D7444</f>
        <v>0</v>
      </c>
      <c r="Z7460" t="str">
        <v>=</v>
      </c>
      <c r="AA7460">
        <f>N7460*U7460*W7460*Y7460</f>
        <v>0</v>
      </c>
    </row>
    <row r="7464">
      <c r="A7464" t="str">
        <f>A7434</f>
        <v>Lantai 2</v>
      </c>
      <c r="B7464">
        <f>B7434+1</f>
        <v>54</v>
      </c>
      <c r="C7464" t="str">
        <f>CONCATENATE(A7464," no. ",B7464)</f>
        <v>Lantai 2 no. 54</v>
      </c>
      <c r="D7464" t="str">
        <f>VLOOKUP(C7464,'Data Panjang Balok'!$C$9:$N$424,2,FALSE)</f>
        <v>Potongan G</v>
      </c>
    </row>
    <row r="7465">
      <c r="C7465" t="str">
        <v>Dimensi</v>
      </c>
      <c r="D7465">
        <f>VLOOKUP(D7464,'Detail Balok'!$C$10:$AU$110,2,FALSE)</f>
        <v>200</v>
      </c>
      <c r="F7465" t="str">
        <v>x</v>
      </c>
      <c r="G7465">
        <f>VLOOKUP(D7464,'Detail Balok'!$C$10:$AU$110,3,FALSE)</f>
        <v>600</v>
      </c>
    </row>
    <row r="7466">
      <c r="C7466" t="str">
        <v>Panjang as ke as</v>
      </c>
      <c r="D7466">
        <f>VLOOKUP(C7464,'Data Panjang Balok'!$C$9:$N$424,4,FALSE)</f>
        <v>3000</v>
      </c>
    </row>
    <row r="7467">
      <c r="C7467" t="str">
        <v>Panjang netto</v>
      </c>
      <c r="D7467">
        <f>VLOOKUP(C7464,'Data Panjang Balok'!$C$9:$N$424,7,FALSE)</f>
        <v>3000</v>
      </c>
    </row>
    <row r="7468">
      <c r="C7468" t="str">
        <v>Kolom / balok kiri</v>
      </c>
      <c r="D7468">
        <f>VLOOKUP(C7464,'Data Panjang Balok'!$C$9:$N$424,9,FALSE)</f>
        <v>0</v>
      </c>
    </row>
    <row r="7469">
      <c r="C7469" t="str">
        <v>Kolom / balok kanan</v>
      </c>
      <c r="D7469">
        <f>VLOOKUP(C7464,'Data Panjang Balok'!$C$9:$N$424,10,FALSE)</f>
        <v>0</v>
      </c>
    </row>
    <row r="7470">
      <c r="C7470" t="str">
        <v>Jumlah</v>
      </c>
      <c r="D7470">
        <f>VLOOKUP(C7464,'Data Panjang Balok'!$C$9:$N$424,3,FALSE)</f>
        <v>1</v>
      </c>
    </row>
    <row r="7471">
      <c r="A7471" t="str">
        <f>A7464</f>
        <v>Lantai 2</v>
      </c>
      <c r="B7471">
        <f>B7464</f>
        <v>54</v>
      </c>
      <c r="C7471" t="str">
        <v>Tul Atas Tumpuan</v>
      </c>
      <c r="D7471">
        <f>VLOOKUP(D7464,'Detail Balok'!$C$10:$AU$110,4,FALSE)</f>
        <v>6</v>
      </c>
      <c r="E7471" t="str">
        <v>D</v>
      </c>
      <c r="F7471">
        <f>VLOOKUP(D7464,'Detail Balok'!$C$10:$AU$110,6,FALSE)</f>
        <v>16</v>
      </c>
      <c r="I7471" t="str">
        <v>(</v>
      </c>
      <c r="J7471">
        <f>+D7466/4/1000</f>
        <v>0.75</v>
      </c>
      <c r="K7471" t="str">
        <v>+</v>
      </c>
      <c r="L7471">
        <f>MAX(VLOOKUP(F7471,N$6:P$15,3,FALSE)/1000,2/3*D7468/1000)+F$16*F7471/1000</f>
        <v>0.192</v>
      </c>
      <c r="M7471" t="str">
        <v>=</v>
      </c>
      <c r="N7471">
        <f>J7471+L7471</f>
        <v>0.942</v>
      </c>
      <c r="O7471" t="str">
        <v>+</v>
      </c>
      <c r="P7471">
        <f>D7471-D7472</f>
        <v>0</v>
      </c>
      <c r="Q7471" t="str">
        <v>x</v>
      </c>
      <c r="R7471">
        <f>IF(P7471&gt;0,$F$18*F7471/1000,0)</f>
        <v>0</v>
      </c>
      <c r="S7471" t="str">
        <v>)</v>
      </c>
      <c r="T7471" t="str">
        <v>x</v>
      </c>
      <c r="U7471">
        <f>0.006165*F7471^2</f>
        <v>1.57824</v>
      </c>
      <c r="X7471" t="str">
        <v>x</v>
      </c>
      <c r="Y7471">
        <f>D7470</f>
        <v>1</v>
      </c>
      <c r="Z7471" t="str">
        <v>=</v>
      </c>
      <c r="AA7471">
        <f>IF(AA7474=0,(D7471*N7471+P7471*R7471)*U7471*Y7471,0)</f>
        <v>0</v>
      </c>
    </row>
    <row r="7472">
      <c r="A7472" t="str">
        <f>A7464</f>
        <v>Lantai 2</v>
      </c>
      <c r="B7472">
        <f>B7464</f>
        <v>54</v>
      </c>
      <c r="C7472" t="str">
        <v>Tul Atas Lapangan</v>
      </c>
      <c r="D7472">
        <f>VLOOKUP(D7464,'Detail Balok'!$C$10:$AU$110,7,FALSE)</f>
        <v>6</v>
      </c>
      <c r="E7472" t="str">
        <v>D</v>
      </c>
      <c r="F7472">
        <f>VLOOKUP(D7464,'Detail Balok'!$C$10:$AU$110,9,FALSE)</f>
        <v>16</v>
      </c>
      <c r="I7472" t="str">
        <v>(</v>
      </c>
      <c r="J7472">
        <f>+D7466/2/1000</f>
        <v>1.5</v>
      </c>
      <c r="K7472" t="str">
        <v>+</v>
      </c>
      <c r="M7472" t="str">
        <v>=</v>
      </c>
      <c r="N7472">
        <f>J7472+L7472</f>
        <v>1.5</v>
      </c>
      <c r="O7472" t="str">
        <v>+</v>
      </c>
      <c r="P7472">
        <f>MAX(D7472-D7471,D7472-D7473)</f>
        <v>0</v>
      </c>
      <c r="Q7472" t="str">
        <v>x</v>
      </c>
      <c r="R7472">
        <f>IF(P7472&gt;0,2*(1-2*$F$19-1/2)*D7467/1000,0)</f>
        <v>0</v>
      </c>
      <c r="S7472" t="str">
        <v>)</v>
      </c>
      <c r="T7472" t="str">
        <v>x</v>
      </c>
      <c r="U7472">
        <f>0.006165*F7472^2</f>
        <v>1.57824</v>
      </c>
      <c r="X7472" t="str">
        <v>x</v>
      </c>
      <c r="Y7472">
        <f>D7470</f>
        <v>1</v>
      </c>
      <c r="Z7472" t="str">
        <v>=</v>
      </c>
      <c r="AA7472">
        <f>IF(AA7474=0,(D7472*N7472+P7472*R7472)*U7472*Y7472,0)</f>
        <v>0</v>
      </c>
    </row>
    <row r="7473">
      <c r="A7473" t="str">
        <f>A7464</f>
        <v>Lantai 2</v>
      </c>
      <c r="B7473">
        <f>B7464</f>
        <v>54</v>
      </c>
      <c r="C7473" t="str">
        <v>Tul Atas Tumpuan</v>
      </c>
      <c r="D7473">
        <f>VLOOKUP(D7464,'Detail Balok'!$C$10:$AU$110,10,FALSE)</f>
        <v>6</v>
      </c>
      <c r="E7473" t="str">
        <v>D</v>
      </c>
      <c r="F7473">
        <f>VLOOKUP(D7464,'Detail Balok'!$C$10:$AU$110,12,FALSE)</f>
        <v>16</v>
      </c>
      <c r="I7473" t="str">
        <v>(</v>
      </c>
      <c r="J7473">
        <f>+D7466/4/1000</f>
        <v>0.75</v>
      </c>
      <c r="K7473" t="str">
        <v>+</v>
      </c>
      <c r="L7473">
        <f>MAX(VLOOKUP(F7473,N$6:P$15,3,FALSE)/1000,2/3*D7468/1000)+F$16*F7473/1000</f>
        <v>0.192</v>
      </c>
      <c r="M7473" t="str">
        <v>=</v>
      </c>
      <c r="N7473">
        <f>J7473+L7473</f>
        <v>0.942</v>
      </c>
      <c r="O7473" t="str">
        <v>+</v>
      </c>
      <c r="P7473">
        <f>D7473-D7472</f>
        <v>0</v>
      </c>
      <c r="Q7473" t="str">
        <v>x</v>
      </c>
      <c r="R7473">
        <f>IF(P7473&gt;0,$F$18*F7473/1000,0)</f>
        <v>0</v>
      </c>
      <c r="S7473" t="str">
        <v>)</v>
      </c>
      <c r="T7473" t="str">
        <v>x</v>
      </c>
      <c r="U7473">
        <f>0.006165*F7473^2</f>
        <v>1.57824</v>
      </c>
      <c r="X7473" t="str">
        <v>x</v>
      </c>
      <c r="Y7473">
        <f>D7470</f>
        <v>1</v>
      </c>
      <c r="Z7473" t="str">
        <v>=</v>
      </c>
      <c r="AA7473">
        <f>IF(AA7474=0,(D7473*N7473+P7473*R7473)*U7473*Y7473,0)</f>
        <v>0</v>
      </c>
    </row>
    <row r="7474">
      <c r="A7474" t="str">
        <f>A7464</f>
        <v>Lantai 2</v>
      </c>
      <c r="B7474">
        <f>B7464</f>
        <v>54</v>
      </c>
      <c r="D7474">
        <f>IF(AND(D7471=D7472,D7472=D7473,D7471=D7473),D7471,0)</f>
        <v>6</v>
      </c>
      <c r="E7474" t="str">
        <v>D</v>
      </c>
      <c r="F7474">
        <f>IF(AND(F7471=F7472,F7471=F7473,F7472=F7473),F7471,0)</f>
        <v>16</v>
      </c>
      <c r="L7474" t="str">
        <v>Total panjang per balok</v>
      </c>
      <c r="M7474" t="str">
        <v>=</v>
      </c>
      <c r="N7474">
        <f>IF(AND(D7471=D7472,D7471=D7473,D7472=D7473,F7471=F7472,F7471=F7473,F7472=F7473),SUM(N7471:N7473),0)</f>
        <v>3.3840000000000003</v>
      </c>
      <c r="O7474" t="str">
        <v>+</v>
      </c>
      <c r="P7474">
        <f>IF(N7474&gt;12,ROUNDDOWN(N7474/12,0),0)</f>
        <v>0</v>
      </c>
      <c r="Q7474" t="str">
        <v>x</v>
      </c>
      <c r="R7474">
        <f>IF(P7474&gt;0,MAX(VLOOKUP(F7474,$D$6:$G$15,3,FALSE),600),0)/1000</f>
        <v>0</v>
      </c>
      <c r="T7474" t="str">
        <v>x</v>
      </c>
      <c r="U7474">
        <f>U7473</f>
        <v>1.57824</v>
      </c>
      <c r="V7474" t="str">
        <v>x</v>
      </c>
      <c r="W7474">
        <f>D7474</f>
        <v>6</v>
      </c>
      <c r="X7474" t="str">
        <v>x</v>
      </c>
      <c r="Y7474">
        <f>Y7473</f>
        <v>1</v>
      </c>
      <c r="Z7474" t="str">
        <v>=</v>
      </c>
      <c r="AA7474">
        <f>(N7474+P7474*R7474/1000)*U7474*W7474*Y7474</f>
        <v>32.04458496000001</v>
      </c>
    </row>
    <row r="7476">
      <c r="A7476" t="str">
        <f>A7464</f>
        <v>Lantai 2</v>
      </c>
      <c r="B7476">
        <f>B7464</f>
        <v>54</v>
      </c>
      <c r="C7476" t="str">
        <v>Tul Peminggang</v>
      </c>
      <c r="D7476">
        <f>VLOOKUP(D7464,'Detail Balok'!$C$10:$AU$110,13,FALSE)</f>
        <v>2</v>
      </c>
      <c r="E7476" t="str">
        <v>D</v>
      </c>
      <c r="F7476">
        <f>VLOOKUP(D7464,'Detail Balok'!$C$10:$AU$110,15,FALSE)</f>
        <v>10</v>
      </c>
      <c r="J7476">
        <f>+D7466/1000</f>
        <v>3</v>
      </c>
      <c r="K7476" t="str">
        <v>+</v>
      </c>
      <c r="L7476">
        <f>2*$F$16*F7476/1000</f>
        <v>0.24</v>
      </c>
      <c r="M7476" t="str">
        <v>=</v>
      </c>
      <c r="N7476">
        <f>J7476+L7476</f>
        <v>3.24</v>
      </c>
      <c r="O7476" t="str">
        <v>+</v>
      </c>
      <c r="P7476">
        <f>IF(N7476&gt;12,ROUNDDOWN(N7476/12,0),0)</f>
        <v>0</v>
      </c>
      <c r="Q7476" t="str">
        <v>x</v>
      </c>
      <c r="R7476">
        <f>IF(P7476&gt;0,MAX(VLOOKUP(F7476,$D$6:$G$15,3,FALSE),600),0)/1000</f>
        <v>0</v>
      </c>
      <c r="T7476" t="str">
        <v>x</v>
      </c>
      <c r="U7476">
        <f>0.006165*F7476^2</f>
        <v>0.6165</v>
      </c>
      <c r="V7476" t="str">
        <v>x</v>
      </c>
      <c r="W7476">
        <f>+D7476</f>
        <v>2</v>
      </c>
      <c r="X7476" t="str">
        <v>x</v>
      </c>
      <c r="Y7476">
        <f>D7470</f>
        <v>1</v>
      </c>
      <c r="Z7476" t="str">
        <v>=</v>
      </c>
      <c r="AA7476">
        <f>(N7476+P7476*R7476/1000)*U7476*W7476*Y7476</f>
        <v>3.9949200000000005</v>
      </c>
    </row>
    <row r="7479">
      <c r="A7479" t="str">
        <f>A7464</f>
        <v>Lantai 2</v>
      </c>
      <c r="B7479">
        <f>B7464</f>
        <v>54</v>
      </c>
      <c r="C7479" t="str">
        <v>Tul Bawah Tumpuan</v>
      </c>
      <c r="D7479">
        <f>VLOOKUP(D7464,'Detail Balok'!$C$10:$AU$110,22,FALSE)</f>
        <v>3</v>
      </c>
      <c r="E7479" t="str">
        <v>D</v>
      </c>
      <c r="F7479">
        <f>VLOOKUP(D7464,'Detail Balok'!$C$10:$AU$110,24,FALSE)</f>
        <v>16</v>
      </c>
      <c r="I7479" t="str">
        <v>(</v>
      </c>
      <c r="J7479">
        <f>+J7471</f>
        <v>0.75</v>
      </c>
      <c r="K7479" t="str">
        <v>+</v>
      </c>
      <c r="L7479">
        <f>MAX(VLOOKUP(F7479,N$6:P$15,3,FALSE)/1000,2/3*D7469/1000)+F$16*F7479/1000</f>
        <v>0.192</v>
      </c>
      <c r="M7479" t="str">
        <v>=</v>
      </c>
      <c r="N7479">
        <f>J7479+L7479</f>
        <v>0.942</v>
      </c>
      <c r="O7479" t="str">
        <v>+</v>
      </c>
      <c r="P7479">
        <f>D7479-D7480</f>
        <v>0</v>
      </c>
      <c r="Q7479" t="str">
        <v>x</v>
      </c>
      <c r="R7479">
        <f>IF(P7479&gt;0,$F$18*F7479/1000,0)</f>
        <v>0</v>
      </c>
      <c r="S7479" t="str">
        <v>)</v>
      </c>
      <c r="T7479" t="str">
        <v>x</v>
      </c>
      <c r="U7479">
        <f>0.006165*F7479^2</f>
        <v>1.57824</v>
      </c>
      <c r="X7479" t="str">
        <v>x</v>
      </c>
      <c r="Y7479">
        <f>D7470</f>
        <v>1</v>
      </c>
      <c r="Z7479" t="str">
        <v>=</v>
      </c>
      <c r="AA7479">
        <f>IF(AA7482=0,(D7479*N7479+P7479*R7479)*U7479*Y7479,0)</f>
        <v>0</v>
      </c>
    </row>
    <row r="7480">
      <c r="A7480" t="str">
        <f>A7464</f>
        <v>Lantai 2</v>
      </c>
      <c r="B7480">
        <f>B7464</f>
        <v>54</v>
      </c>
      <c r="C7480" t="str">
        <v>Tul Bawah Lapangan</v>
      </c>
      <c r="D7480">
        <f>VLOOKUP(D7464,'Detail Balok'!$C$10:$AU$110,25,FALSE)</f>
        <v>3</v>
      </c>
      <c r="E7480" t="str">
        <v>D</v>
      </c>
      <c r="F7480">
        <f>VLOOKUP(D7464,'Detail Balok'!$C$10:$AU$110,27,FALSE)</f>
        <v>16</v>
      </c>
      <c r="I7480" t="str">
        <v>(</v>
      </c>
      <c r="J7480">
        <f>+J7472</f>
        <v>1.5</v>
      </c>
      <c r="K7480" t="str">
        <v>+</v>
      </c>
      <c r="M7480" t="str">
        <v>=</v>
      </c>
      <c r="N7480">
        <f>J7480+L7480</f>
        <v>1.5</v>
      </c>
      <c r="O7480" t="str">
        <v>+</v>
      </c>
      <c r="P7480">
        <f>MAX(D7480-D7479,D7480-D7481)</f>
        <v>0</v>
      </c>
      <c r="Q7480" t="str">
        <v>x</v>
      </c>
      <c r="R7480">
        <f>IF(P7480&gt;0,2*(1-2*$F$19-1/2)*D7467/1000,0)</f>
        <v>0</v>
      </c>
      <c r="S7480" t="str">
        <v>)</v>
      </c>
      <c r="T7480" t="str">
        <v>x</v>
      </c>
      <c r="U7480">
        <f>0.006165*F7480^2</f>
        <v>1.57824</v>
      </c>
      <c r="X7480" t="str">
        <v>x</v>
      </c>
      <c r="Y7480">
        <f>D7470</f>
        <v>1</v>
      </c>
      <c r="Z7480" t="str">
        <v>=</v>
      </c>
      <c r="AA7480">
        <f>IF(AA7482=0,(D7480*N7480+P7480*R7480)*U7480*Y7480,0)</f>
        <v>0</v>
      </c>
    </row>
    <row r="7481">
      <c r="A7481" t="str">
        <f>A7464</f>
        <v>Lantai 2</v>
      </c>
      <c r="B7481">
        <f>B7464</f>
        <v>54</v>
      </c>
      <c r="C7481" t="str">
        <v>Tul Bawah Tumpuan</v>
      </c>
      <c r="D7481">
        <f>VLOOKUP(D7464,'Detail Balok'!$C$10:$AU$110,28,FALSE)</f>
        <v>3</v>
      </c>
      <c r="E7481" t="str">
        <v>D</v>
      </c>
      <c r="F7481">
        <f>VLOOKUP(D7464,'Detail Balok'!$C$10:$AU$110,30,FALSE)</f>
        <v>16</v>
      </c>
      <c r="I7481" t="str">
        <v>(</v>
      </c>
      <c r="J7481">
        <f>+J7473</f>
        <v>0.75</v>
      </c>
      <c r="K7481" t="str">
        <v>+</v>
      </c>
      <c r="L7481">
        <f>MAX(VLOOKUP(F7481,N$6:P$15,3,FALSE)/1000,2/3*D7469/1000)+F$16*F7481/1000</f>
        <v>0.192</v>
      </c>
      <c r="M7481" t="str">
        <v>=</v>
      </c>
      <c r="N7481">
        <f>J7481+L7481</f>
        <v>0.942</v>
      </c>
      <c r="O7481" t="str">
        <v>+</v>
      </c>
      <c r="P7481">
        <f>D7481-D7480</f>
        <v>0</v>
      </c>
      <c r="Q7481" t="str">
        <v>x</v>
      </c>
      <c r="R7481">
        <f>IF(P7481&gt;0,$F$18*F7481/1000,0)</f>
        <v>0</v>
      </c>
      <c r="S7481" t="str">
        <v>)</v>
      </c>
      <c r="T7481" t="str">
        <v>x</v>
      </c>
      <c r="U7481">
        <f>0.006165*F7481^2</f>
        <v>1.57824</v>
      </c>
      <c r="X7481" t="str">
        <v>x</v>
      </c>
      <c r="Y7481">
        <f>D7470</f>
        <v>1</v>
      </c>
      <c r="Z7481" t="str">
        <v>=</v>
      </c>
      <c r="AA7481">
        <f>IF(AA7482=0,(D7481*N7481+P7481*R7481)*U7481*Y7481,0)</f>
        <v>0</v>
      </c>
    </row>
    <row r="7482">
      <c r="A7482" t="str">
        <f>A7464</f>
        <v>Lantai 2</v>
      </c>
      <c r="B7482">
        <f>B7464</f>
        <v>54</v>
      </c>
      <c r="D7482">
        <f>IF(AND(D7479=D7480,D7480=D7481,D7479=D7481),D7479,0)</f>
        <v>3</v>
      </c>
      <c r="E7482" t="str">
        <v>D</v>
      </c>
      <c r="F7482">
        <f>IF(AND(F7479=F7480,F7479=F7481,F7480=F7481),F7479,0)</f>
        <v>16</v>
      </c>
      <c r="L7482" t="str">
        <v>Total panjang per balok</v>
      </c>
      <c r="M7482" t="str">
        <v>=</v>
      </c>
      <c r="N7482">
        <f>IF(AND(D7479=D7480,D7479=D7481,D7480=D7481,F7479=F7480,F7479=F7481,F7480=F7481),SUM(N7479:N7481),0)</f>
        <v>3.3840000000000003</v>
      </c>
      <c r="O7482" t="str">
        <v>+</v>
      </c>
      <c r="P7482">
        <f>IF(N7482&gt;12,ROUNDDOWN(N7482/12,0),0)</f>
        <v>0</v>
      </c>
      <c r="Q7482" t="str">
        <v>x</v>
      </c>
      <c r="R7482">
        <f>IF(P7482&gt;0,MAX(VLOOKUP(F7482,$D$6:$G$15,3,FALSE),600),0)/1000</f>
        <v>0</v>
      </c>
      <c r="T7482" t="str">
        <v>x</v>
      </c>
      <c r="U7482">
        <f>U7481</f>
        <v>1.57824</v>
      </c>
      <c r="V7482" t="str">
        <v>x</v>
      </c>
      <c r="W7482">
        <f>D7482</f>
        <v>3</v>
      </c>
      <c r="X7482" t="str">
        <v>x</v>
      </c>
      <c r="Y7482">
        <f>Y7481</f>
        <v>1</v>
      </c>
      <c r="Z7482" t="str">
        <v>=</v>
      </c>
      <c r="AA7482">
        <f>(N7482+P7482*R7482/1000)*U7482*W7482*Y7482</f>
        <v>16.022292480000004</v>
      </c>
    </row>
    <row r="7484">
      <c r="A7484" t="str">
        <f>A7464</f>
        <v>Lantai 2</v>
      </c>
      <c r="B7484">
        <f>B7464</f>
        <v>54</v>
      </c>
      <c r="C7484" t="str">
        <v>Sengkang Tumpuan</v>
      </c>
      <c r="D7484">
        <f>VLOOKUP(D7464,'Detail Balok'!$C$10:$AU$110,31,FALSE)</f>
        <v>0</v>
      </c>
      <c r="E7484" t="str">
        <v>D</v>
      </c>
      <c r="F7484">
        <f>VLOOKUP(D7464,'Detail Balok'!$C$10:$AU$110,33,FALSE)</f>
        <v>10</v>
      </c>
      <c r="G7484" t="str">
        <v>-</v>
      </c>
      <c r="H7484">
        <f>VLOOKUP(D7464,'Detail Balok'!$C$10:$AU$110,35,FALSE)</f>
        <v>80</v>
      </c>
      <c r="J7484">
        <f>(IF(D7484=0,(2*(D7465+G7465))-(F$5*8),IF(D7484=3,(2*(D7465+G7465))-(F$5*8)+(G7465-2*F$5),IF(D7484=4,(2*(D7465+G7465))-(F$5*8)+2*(G7465-2*F$5)))))/1000</f>
        <v>1.28</v>
      </c>
      <c r="K7484" t="str">
        <v>+</v>
      </c>
      <c r="L7484">
        <f>IF(D7484=0,2*MAX(6*F7484,75),(D7484-1)*2*MAX(6*F7484,75))/1000</f>
        <v>0.15</v>
      </c>
      <c r="M7484" t="str">
        <v>=</v>
      </c>
      <c r="N7484">
        <f>J7484+L7484</f>
        <v>1.43</v>
      </c>
      <c r="T7484" t="str">
        <v>x</v>
      </c>
      <c r="U7484">
        <f>0.006165*F7484^2</f>
        <v>0.6165</v>
      </c>
      <c r="V7484" t="str">
        <v>x</v>
      </c>
      <c r="W7484">
        <f>IF(D7467&gt;4*G7465,ROUND(MAX(D7467/4,2*G7465)/H7484,0)+1,ROUND(D7467/H7484,0)+1)</f>
        <v>16</v>
      </c>
      <c r="X7484" t="str">
        <v>x</v>
      </c>
      <c r="Y7484">
        <f>D7470</f>
        <v>1</v>
      </c>
      <c r="Z7484" t="str">
        <v>=</v>
      </c>
      <c r="AA7484">
        <f>N7484*U7484*W7484*Y7484</f>
        <v>14.10552</v>
      </c>
    </row>
    <row r="7485">
      <c r="A7485" t="str">
        <f>A7464</f>
        <v>Lantai 2</v>
      </c>
      <c r="B7485">
        <f>B7464</f>
        <v>54</v>
      </c>
      <c r="C7485" t="str">
        <v>Sengkang Lapangan</v>
      </c>
      <c r="D7485">
        <f>VLOOKUP(D7464,'Detail Balok'!$C$10:$AU$110,36,FALSE)</f>
        <v>0</v>
      </c>
      <c r="E7485" t="str">
        <v>D</v>
      </c>
      <c r="F7485">
        <f>VLOOKUP(D7464,'Detail Balok'!$C$10:$AU$110,38,FALSE)</f>
        <v>10</v>
      </c>
      <c r="G7485" t="str">
        <v>-</v>
      </c>
      <c r="H7485">
        <f>VLOOKUP(D7464,'Detail Balok'!$C$10:$AU$110,40,FALSE)</f>
        <v>80</v>
      </c>
      <c r="J7485">
        <f>(IF(D7485=0,(2*(D7465+G7465))-(F$5*8),IF(D7485=3,(2*(D7465+G7465))-(F$5*8)+(G7465-2*F$5),IF(D7485=4,(2*(D7465+G7465))-(F$5*8)+2*(G7465-2*F$5)))))/1000</f>
        <v>1.28</v>
      </c>
      <c r="K7485" t="str">
        <v>+</v>
      </c>
      <c r="L7485">
        <f>IF(D7485=0,2*MAX(6*F7485,75),(D7485-1)*2*MAX(6*F7485,75))/1000</f>
        <v>0.15</v>
      </c>
      <c r="M7485" t="str">
        <v>=</v>
      </c>
      <c r="N7485">
        <f>J7485+L7485</f>
        <v>1.43</v>
      </c>
      <c r="T7485" t="str">
        <v>x</v>
      </c>
      <c r="U7485">
        <f>0.006165*F7485^2</f>
        <v>0.6165</v>
      </c>
      <c r="V7485" t="str">
        <v>x</v>
      </c>
      <c r="W7485">
        <f>IF(D7467-MAX(D7467/4,2*G7465)*2&gt;0,ROUND((D7467-MAX(D7467/4,2*G7465)*2)/H7485,0),0)</f>
        <v>8</v>
      </c>
      <c r="X7485" t="str">
        <v>x</v>
      </c>
      <c r="Y7485">
        <f>D7470</f>
        <v>1</v>
      </c>
      <c r="Z7485" t="str">
        <v>=</v>
      </c>
      <c r="AA7485">
        <f>N7485*U7485*W7485*Y7485</f>
        <v>7.05276</v>
      </c>
    </row>
    <row r="7486">
      <c r="A7486" t="str">
        <f>A7464</f>
        <v>Lantai 2</v>
      </c>
      <c r="B7486">
        <f>B7464</f>
        <v>54</v>
      </c>
      <c r="C7486" t="str">
        <v>Sengkang Tumpuan</v>
      </c>
      <c r="D7486">
        <f>VLOOKUP(D7464,'Detail Balok'!$C$10:$AU$110,41,FALSE)</f>
        <v>0</v>
      </c>
      <c r="E7486" t="str">
        <v>D</v>
      </c>
      <c r="F7486">
        <f>VLOOKUP(D7464,'Detail Balok'!$C$10:$AU$110,43,FALSE)</f>
        <v>10</v>
      </c>
      <c r="G7486" t="str">
        <v>-</v>
      </c>
      <c r="H7486">
        <f>VLOOKUP(D7464,'Detail Balok'!$C$10:$AU$110,45,FALSE)</f>
        <v>80</v>
      </c>
      <c r="J7486">
        <f>(IF(D7486=0,(2*(D7465+G7465))-(F$5*8),IF(D7486=3,(2*(D7465+G7465))-(F$5*8)+(G7465-2*F$5),IF(D7486=4,(2*(D7465+G7465))-(F$5*8)+2*(G7465-2*F$5)))))/1000</f>
        <v>1.28</v>
      </c>
      <c r="K7486" t="str">
        <v>+</v>
      </c>
      <c r="L7486">
        <f>IF(D7486=0,2*MAX(6*F7486,75),(D7486-1)*2*MAX(6*F7486,75))/1000</f>
        <v>0.15</v>
      </c>
      <c r="M7486" t="str">
        <v>=</v>
      </c>
      <c r="N7486">
        <f>J7486+L7486</f>
        <v>1.43</v>
      </c>
      <c r="T7486" t="str">
        <v>x</v>
      </c>
      <c r="U7486">
        <f>0.006165*F7486^2</f>
        <v>0.6165</v>
      </c>
      <c r="V7486" t="str">
        <v>x</v>
      </c>
      <c r="W7486">
        <f>IF(D7467&gt;4*G7465,ROUND(MAX(D7467/4,2*G7465)/H7486,0)+1,0)</f>
        <v>16</v>
      </c>
      <c r="X7486" t="str">
        <v>x</v>
      </c>
      <c r="Y7486">
        <f>D7470</f>
        <v>1</v>
      </c>
      <c r="Z7486" t="str">
        <v>=</v>
      </c>
      <c r="AA7486">
        <f>N7486*U7486*W7486*Y7486</f>
        <v>14.10552</v>
      </c>
    </row>
    <row r="7488">
      <c r="A7488" t="str">
        <f>A7464</f>
        <v>Lantai 2</v>
      </c>
      <c r="B7488">
        <f>B7464</f>
        <v>54</v>
      </c>
      <c r="C7488" t="str">
        <v>Kait Horizontal Tump.</v>
      </c>
      <c r="D7488">
        <f>VLOOKUP(D7464,'Detail Balok'!$C$10:$BJ$110,46,FALSE)</f>
        <v>0</v>
      </c>
      <c r="E7488" t="str">
        <v>D</v>
      </c>
      <c r="F7488">
        <f>VLOOKUP(D7464,'Detail Balok'!$C$10:$BJ$110,48,FALSE)</f>
        <v>0</v>
      </c>
      <c r="G7488" t="str">
        <v>-</v>
      </c>
      <c r="H7488">
        <f>VLOOKUP(D7464,'Detail Balok'!$C$10:$BJ$110,50,FALSE)</f>
        <v>100</v>
      </c>
      <c r="J7488">
        <f>(D7465-2*F$5)/1000</f>
        <v>0.12</v>
      </c>
      <c r="K7488" t="str">
        <v>+</v>
      </c>
      <c r="L7488">
        <f>IF(D7488=0,2*MAX(6*F7488,75),(D7488-1)*2*MAX(6*F7488,75))/1000</f>
        <v>0.15</v>
      </c>
      <c r="M7488" t="str">
        <v>=</v>
      </c>
      <c r="N7488">
        <f>J7488+L7488</f>
        <v>0.27</v>
      </c>
      <c r="T7488" t="str">
        <v>x</v>
      </c>
      <c r="U7488">
        <f>0.006165*F7488^2</f>
        <v>0</v>
      </c>
      <c r="V7488" t="str">
        <v>x</v>
      </c>
      <c r="W7488">
        <f>W7484</f>
        <v>16</v>
      </c>
      <c r="X7488" t="str">
        <v>x</v>
      </c>
      <c r="Y7488">
        <f>D7474</f>
        <v>6</v>
      </c>
      <c r="Z7488" t="str">
        <v>=</v>
      </c>
      <c r="AA7488">
        <f>N7488*U7488*W7488*Y7488</f>
        <v>0</v>
      </c>
    </row>
    <row r="7489">
      <c r="A7489" t="str">
        <f>A7464</f>
        <v>Lantai 2</v>
      </c>
      <c r="B7489">
        <f>B7464</f>
        <v>54</v>
      </c>
      <c r="C7489" t="str">
        <v>Kait Horizontal Lap.</v>
      </c>
      <c r="D7489">
        <f>VLOOKUP(D7464,'Detail Balok'!$C$10:$BJ$110,51,FALSE)</f>
        <v>0</v>
      </c>
      <c r="E7489" t="str">
        <v>D</v>
      </c>
      <c r="F7489">
        <f>VLOOKUP(D7464,'Detail Balok'!$C$10:$BJ$110,53,FALSE)</f>
        <v>0</v>
      </c>
      <c r="G7489" t="str">
        <v>-</v>
      </c>
      <c r="H7489">
        <f>VLOOKUP(D7464,'Detail Balok'!$C$10:$BJ$110,55,FALSE)</f>
        <v>100</v>
      </c>
      <c r="J7489">
        <f>(D7465-2*F$5)/1000</f>
        <v>0.12</v>
      </c>
      <c r="K7489" t="str">
        <v>+</v>
      </c>
      <c r="L7489">
        <f>IF(D7489=0,2*MAX(6*F7489,75),(D7489-1)*2*MAX(6*F7489,75))/1000</f>
        <v>0.15</v>
      </c>
      <c r="M7489" t="str">
        <v>=</v>
      </c>
      <c r="N7489">
        <f>J7489+L7489</f>
        <v>0.27</v>
      </c>
      <c r="T7489" t="str">
        <v>x</v>
      </c>
      <c r="U7489">
        <f>0.006165*F7489^2</f>
        <v>0</v>
      </c>
      <c r="V7489" t="str">
        <v>x</v>
      </c>
      <c r="W7489">
        <f>W7485</f>
        <v>8</v>
      </c>
      <c r="X7489" t="str">
        <v>x</v>
      </c>
      <c r="Y7489">
        <f>D7474</f>
        <v>6</v>
      </c>
      <c r="Z7489" t="str">
        <v>=</v>
      </c>
      <c r="AA7489">
        <f>N7489*U7489*W7489*Y7489</f>
        <v>0</v>
      </c>
    </row>
    <row r="7490">
      <c r="A7490" t="str">
        <f>A7464</f>
        <v>Lantai 2</v>
      </c>
      <c r="B7490">
        <f>B7464</f>
        <v>54</v>
      </c>
      <c r="C7490" t="str">
        <v>Kait Horizontal Tump.</v>
      </c>
      <c r="D7490">
        <f>VLOOKUP(D7464,'Detail Balok'!$C$10:$BJ$110,56,FALSE)</f>
        <v>0</v>
      </c>
      <c r="E7490" t="str">
        <v>D</v>
      </c>
      <c r="F7490">
        <f>VLOOKUP(D7464,'Detail Balok'!$C$10:$BJ$110,58,FALSE)</f>
        <v>0</v>
      </c>
      <c r="G7490" t="str">
        <v>-</v>
      </c>
      <c r="H7490">
        <f>VLOOKUP(D7464,'Detail Balok'!$C$10:$BJ$110,60,FALSE)</f>
        <v>100</v>
      </c>
      <c r="J7490">
        <f>(D7465-2*F$5)/1000</f>
        <v>0.12</v>
      </c>
      <c r="K7490" t="str">
        <v>+</v>
      </c>
      <c r="L7490">
        <f>IF(D7490=0,2*MAX(6*F7490,75),(D7490-1)*2*MAX(6*F7490,75))/1000</f>
        <v>0.15</v>
      </c>
      <c r="M7490" t="str">
        <v>=</v>
      </c>
      <c r="N7490">
        <f>J7490+L7490</f>
        <v>0.27</v>
      </c>
      <c r="T7490" t="str">
        <v>x</v>
      </c>
      <c r="U7490">
        <f>0.006165*F7490^2</f>
        <v>0</v>
      </c>
      <c r="V7490" t="str">
        <v>x</v>
      </c>
      <c r="W7490">
        <f>W7486</f>
        <v>16</v>
      </c>
      <c r="X7490" t="str">
        <v>x</v>
      </c>
      <c r="Y7490">
        <f>D7474</f>
        <v>6</v>
      </c>
      <c r="Z7490" t="str">
        <v>=</v>
      </c>
      <c r="AA7490">
        <f>N7490*U7490*W7490*Y7490</f>
        <v>0</v>
      </c>
    </row>
    <row r="7494">
      <c r="A7494" t="str">
        <f>A7464</f>
        <v>Lantai 2</v>
      </c>
      <c r="B7494">
        <f>B7464+1</f>
        <v>55</v>
      </c>
      <c r="C7494" t="str">
        <f>CONCATENATE(A7494," no. ",B7494)</f>
        <v>Lantai 2 no. 55</v>
      </c>
      <c r="D7494" t="str">
        <f>VLOOKUP(C7494,'Data Panjang Balok'!$C$9:$N$424,2,FALSE)</f>
        <v>B26-1</v>
      </c>
    </row>
    <row r="7495">
      <c r="C7495" t="str">
        <v>Dimensi</v>
      </c>
      <c r="D7495">
        <f>VLOOKUP(D7494,'Detail Balok'!$C$10:$AU$110,2,FALSE)</f>
        <v>200</v>
      </c>
      <c r="F7495" t="str">
        <v>x</v>
      </c>
      <c r="G7495">
        <f>VLOOKUP(D7494,'Detail Balok'!$C$10:$AU$110,3,FALSE)</f>
        <v>600</v>
      </c>
    </row>
    <row r="7496">
      <c r="C7496" t="str">
        <v>Panjang as ke as</v>
      </c>
      <c r="D7496">
        <f>VLOOKUP(C7494,'Data Panjang Balok'!$C$9:$N$424,4,FALSE)</f>
        <v>6000</v>
      </c>
    </row>
    <row r="7497">
      <c r="C7497" t="str">
        <v>Panjang netto</v>
      </c>
      <c r="D7497">
        <f>VLOOKUP(C7494,'Data Panjang Balok'!$C$9:$N$424,7,FALSE)</f>
        <v>6000</v>
      </c>
    </row>
    <row r="7498">
      <c r="C7498" t="str">
        <v>Kolom / balok kiri</v>
      </c>
      <c r="D7498">
        <f>VLOOKUP(C7494,'Data Panjang Balok'!$C$9:$N$424,9,FALSE)</f>
        <v>0</v>
      </c>
    </row>
    <row r="7499">
      <c r="C7499" t="str">
        <v>Kolom / balok kanan</v>
      </c>
      <c r="D7499">
        <f>VLOOKUP(C7494,'Data Panjang Balok'!$C$9:$N$424,10,FALSE)</f>
        <v>0</v>
      </c>
    </row>
    <row r="7500">
      <c r="C7500" t="str">
        <v>Jumlah</v>
      </c>
      <c r="D7500">
        <f>VLOOKUP(C7494,'Data Panjang Balok'!$C$9:$N$424,3,FALSE)</f>
        <v>1</v>
      </c>
    </row>
    <row r="7501">
      <c r="A7501" t="str">
        <f>A7494</f>
        <v>Lantai 2</v>
      </c>
      <c r="B7501">
        <f>B7494</f>
        <v>55</v>
      </c>
      <c r="C7501" t="str">
        <v>Tul Atas Tumpuan</v>
      </c>
      <c r="D7501">
        <f>VLOOKUP(D7494,'Detail Balok'!$C$10:$AU$110,4,FALSE)</f>
        <v>2</v>
      </c>
      <c r="E7501" t="str">
        <v>D</v>
      </c>
      <c r="F7501">
        <f>VLOOKUP(D7494,'Detail Balok'!$C$10:$AU$110,6,FALSE)</f>
        <v>16</v>
      </c>
      <c r="I7501" t="str">
        <v>(</v>
      </c>
      <c r="J7501">
        <f>+D7496/4/1000</f>
        <v>1.5</v>
      </c>
      <c r="K7501" t="str">
        <v>+</v>
      </c>
      <c r="L7501">
        <f>MAX(VLOOKUP(F7501,N$6:P$15,3,FALSE)/1000,2/3*D7498/1000)+F$16*F7501/1000</f>
        <v>0.192</v>
      </c>
      <c r="M7501" t="str">
        <v>=</v>
      </c>
      <c r="N7501">
        <f>J7501+L7501</f>
        <v>1.692</v>
      </c>
      <c r="O7501" t="str">
        <v>+</v>
      </c>
      <c r="P7501">
        <f>D7501-D7502</f>
        <v>0</v>
      </c>
      <c r="Q7501" t="str">
        <v>x</v>
      </c>
      <c r="R7501">
        <f>IF(P7501&gt;0,$F$18*F7501/1000,0)</f>
        <v>0</v>
      </c>
      <c r="S7501" t="str">
        <v>)</v>
      </c>
      <c r="T7501" t="str">
        <v>x</v>
      </c>
      <c r="U7501">
        <f>0.006165*F7501^2</f>
        <v>1.57824</v>
      </c>
      <c r="X7501" t="str">
        <v>x</v>
      </c>
      <c r="Y7501">
        <f>D7500</f>
        <v>1</v>
      </c>
      <c r="Z7501" t="str">
        <v>=</v>
      </c>
      <c r="AA7501">
        <f>IF(AA7504=0,(D7501*N7501+P7501*R7501)*U7501*Y7501,0)</f>
        <v>5.34076416</v>
      </c>
    </row>
    <row r="7502">
      <c r="A7502" t="str">
        <f>A7494</f>
        <v>Lantai 2</v>
      </c>
      <c r="B7502">
        <f>B7494</f>
        <v>55</v>
      </c>
      <c r="C7502" t="str">
        <v>Tul Atas Lapangan</v>
      </c>
      <c r="D7502">
        <f>VLOOKUP(D7494,'Detail Balok'!$C$10:$AU$110,7,FALSE)</f>
        <v>2</v>
      </c>
      <c r="E7502" t="str">
        <v>D</v>
      </c>
      <c r="F7502">
        <f>VLOOKUP(D7494,'Detail Balok'!$C$10:$AU$110,9,FALSE)</f>
        <v>16</v>
      </c>
      <c r="I7502" t="str">
        <v>(</v>
      </c>
      <c r="J7502">
        <f>+D7496/2/1000</f>
        <v>3</v>
      </c>
      <c r="K7502" t="str">
        <v>+</v>
      </c>
      <c r="M7502" t="str">
        <v>=</v>
      </c>
      <c r="N7502">
        <f>J7502+L7502</f>
        <v>3</v>
      </c>
      <c r="O7502" t="str">
        <v>+</v>
      </c>
      <c r="P7502">
        <f>MAX(D7502-D7501,D7502-D7503)</f>
        <v>0</v>
      </c>
      <c r="Q7502" t="str">
        <v>x</v>
      </c>
      <c r="R7502">
        <f>IF(P7502&gt;0,2*(1-2*$F$19-1/2)*D7497/1000,0)</f>
        <v>0</v>
      </c>
      <c r="S7502" t="str">
        <v>)</v>
      </c>
      <c r="T7502" t="str">
        <v>x</v>
      </c>
      <c r="U7502">
        <f>0.006165*F7502^2</f>
        <v>1.57824</v>
      </c>
      <c r="X7502" t="str">
        <v>x</v>
      </c>
      <c r="Y7502">
        <f>D7500</f>
        <v>1</v>
      </c>
      <c r="Z7502" t="str">
        <v>=</v>
      </c>
      <c r="AA7502">
        <f>IF(AA7504=0,(D7502*N7502+P7502*R7502)*U7502*Y7502,0)</f>
        <v>9.46944</v>
      </c>
    </row>
    <row r="7503">
      <c r="A7503" t="str">
        <f>A7494</f>
        <v>Lantai 2</v>
      </c>
      <c r="B7503">
        <f>B7494</f>
        <v>55</v>
      </c>
      <c r="C7503" t="str">
        <v>Tul Atas Tumpuan</v>
      </c>
      <c r="D7503">
        <f>VLOOKUP(D7494,'Detail Balok'!$C$10:$AU$110,10,FALSE)</f>
        <v>5</v>
      </c>
      <c r="E7503" t="str">
        <v>D</v>
      </c>
      <c r="F7503">
        <f>VLOOKUP(D7494,'Detail Balok'!$C$10:$AU$110,12,FALSE)</f>
        <v>16</v>
      </c>
      <c r="I7503" t="str">
        <v>(</v>
      </c>
      <c r="J7503">
        <f>+D7496/4/1000</f>
        <v>1.5</v>
      </c>
      <c r="K7503" t="str">
        <v>+</v>
      </c>
      <c r="L7503">
        <f>MAX(VLOOKUP(F7503,N$6:P$15,3,FALSE)/1000,2/3*D7498/1000)+F$16*F7503/1000</f>
        <v>0.192</v>
      </c>
      <c r="M7503" t="str">
        <v>=</v>
      </c>
      <c r="N7503">
        <f>J7503+L7503</f>
        <v>1.692</v>
      </c>
      <c r="O7503" t="str">
        <v>+</v>
      </c>
      <c r="P7503">
        <f>D7503-D7502</f>
        <v>3</v>
      </c>
      <c r="Q7503" t="str">
        <v>x</v>
      </c>
      <c r="R7503">
        <f>IF(P7503&gt;0,$F$18*F7503/1000,0)</f>
        <v>0.24</v>
      </c>
      <c r="S7503" t="str">
        <v>)</v>
      </c>
      <c r="T7503" t="str">
        <v>x</v>
      </c>
      <c r="U7503">
        <f>0.006165*F7503^2</f>
        <v>1.57824</v>
      </c>
      <c r="X7503" t="str">
        <v>x</v>
      </c>
      <c r="Y7503">
        <f>D7500</f>
        <v>1</v>
      </c>
      <c r="Z7503" t="str">
        <v>=</v>
      </c>
      <c r="AA7503">
        <f>IF(AA7504=0,(D7503*N7503+P7503*R7503)*U7503*Y7503,0)</f>
        <v>14.488243200000001</v>
      </c>
    </row>
    <row r="7504">
      <c r="A7504" t="str">
        <f>A7494</f>
        <v>Lantai 2</v>
      </c>
      <c r="B7504">
        <f>B7494</f>
        <v>55</v>
      </c>
      <c r="D7504">
        <f>IF(AND(D7501=D7502,D7502=D7503,D7501=D7503),D7501,0)</f>
        <v>0</v>
      </c>
      <c r="E7504" t="str">
        <v>D</v>
      </c>
      <c r="F7504">
        <f>IF(AND(F7501=F7502,F7501=F7503,F7502=F7503),F7501,0)</f>
        <v>16</v>
      </c>
      <c r="L7504" t="str">
        <v>Total panjang per balok</v>
      </c>
      <c r="M7504" t="str">
        <v>=</v>
      </c>
      <c r="N7504">
        <f>IF(AND(D7501=D7502,D7501=D7503,D7502=D7503,F7501=F7502,F7501=F7503,F7502=F7503),SUM(N7501:N7503),0)</f>
        <v>0</v>
      </c>
      <c r="O7504" t="str">
        <v>+</v>
      </c>
      <c r="P7504">
        <f>IF(N7504&gt;12,ROUNDDOWN(N7504/12,0),0)</f>
        <v>0</v>
      </c>
      <c r="Q7504" t="str">
        <v>x</v>
      </c>
      <c r="R7504">
        <f>IF(P7504&gt;0,MAX(VLOOKUP(F7504,$D$6:$G$15,3,FALSE),600),0)/1000</f>
        <v>0</v>
      </c>
      <c r="T7504" t="str">
        <v>x</v>
      </c>
      <c r="U7504">
        <f>U7503</f>
        <v>1.57824</v>
      </c>
      <c r="V7504" t="str">
        <v>x</v>
      </c>
      <c r="W7504">
        <f>D7504</f>
        <v>0</v>
      </c>
      <c r="X7504" t="str">
        <v>x</v>
      </c>
      <c r="Y7504">
        <f>Y7503</f>
        <v>1</v>
      </c>
      <c r="Z7504" t="str">
        <v>=</v>
      </c>
      <c r="AA7504">
        <f>(N7504+P7504*R7504/1000)*U7504*W7504*Y7504</f>
        <v>0</v>
      </c>
    </row>
    <row r="7506">
      <c r="A7506" t="str">
        <f>A7494</f>
        <v>Lantai 2</v>
      </c>
      <c r="B7506">
        <f>B7494</f>
        <v>55</v>
      </c>
      <c r="C7506" t="str">
        <v>Tul Peminggang</v>
      </c>
      <c r="D7506">
        <f>VLOOKUP(D7494,'Detail Balok'!$C$10:$AU$110,13,FALSE)</f>
        <v>2</v>
      </c>
      <c r="E7506" t="str">
        <v>D</v>
      </c>
      <c r="F7506">
        <f>VLOOKUP(D7494,'Detail Balok'!$C$10:$AU$110,15,FALSE)</f>
        <v>10</v>
      </c>
      <c r="J7506">
        <f>+D7496/1000</f>
        <v>6</v>
      </c>
      <c r="K7506" t="str">
        <v>+</v>
      </c>
      <c r="L7506">
        <f>2*$F$16*F7506/1000</f>
        <v>0.24</v>
      </c>
      <c r="M7506" t="str">
        <v>=</v>
      </c>
      <c r="N7506">
        <f>J7506+L7506</f>
        <v>6.24</v>
      </c>
      <c r="O7506" t="str">
        <v>+</v>
      </c>
      <c r="P7506">
        <f>IF(N7506&gt;12,ROUNDDOWN(N7506/12,0),0)</f>
        <v>0</v>
      </c>
      <c r="Q7506" t="str">
        <v>x</v>
      </c>
      <c r="R7506">
        <f>IF(P7506&gt;0,MAX(VLOOKUP(F7506,$D$6:$G$15,3,FALSE),600),0)/1000</f>
        <v>0</v>
      </c>
      <c r="T7506" t="str">
        <v>x</v>
      </c>
      <c r="U7506">
        <f>0.006165*F7506^2</f>
        <v>0.6165</v>
      </c>
      <c r="V7506" t="str">
        <v>x</v>
      </c>
      <c r="W7506">
        <f>+D7506</f>
        <v>2</v>
      </c>
      <c r="X7506" t="str">
        <v>x</v>
      </c>
      <c r="Y7506">
        <f>D7500</f>
        <v>1</v>
      </c>
      <c r="Z7506" t="str">
        <v>=</v>
      </c>
      <c r="AA7506">
        <f>(N7506+P7506*R7506/1000)*U7506*W7506*Y7506</f>
        <v>7.693920000000001</v>
      </c>
    </row>
    <row r="7509">
      <c r="A7509" t="str">
        <f>A7494</f>
        <v>Lantai 2</v>
      </c>
      <c r="B7509">
        <f>B7494</f>
        <v>55</v>
      </c>
      <c r="C7509" t="str">
        <v>Tul Bawah Tumpuan</v>
      </c>
      <c r="D7509">
        <f>VLOOKUP(D7494,'Detail Balok'!$C$10:$AU$110,22,FALSE)</f>
        <v>3</v>
      </c>
      <c r="E7509" t="str">
        <v>D</v>
      </c>
      <c r="F7509">
        <f>VLOOKUP(D7494,'Detail Balok'!$C$10:$AU$110,24,FALSE)</f>
        <v>16</v>
      </c>
      <c r="I7509" t="str">
        <v>(</v>
      </c>
      <c r="J7509">
        <f>+J7501</f>
        <v>1.5</v>
      </c>
      <c r="K7509" t="str">
        <v>+</v>
      </c>
      <c r="L7509">
        <f>MAX(VLOOKUP(F7509,N$6:P$15,3,FALSE)/1000,2/3*D7499/1000)+F$16*F7509/1000</f>
        <v>0.192</v>
      </c>
      <c r="M7509" t="str">
        <v>=</v>
      </c>
      <c r="N7509">
        <f>J7509+L7509</f>
        <v>1.692</v>
      </c>
      <c r="O7509" t="str">
        <v>+</v>
      </c>
      <c r="P7509">
        <f>D7509-D7510</f>
        <v>-2</v>
      </c>
      <c r="Q7509" t="str">
        <v>x</v>
      </c>
      <c r="R7509">
        <f>IF(P7509&gt;0,$F$18*F7509/1000,0)</f>
        <v>0</v>
      </c>
      <c r="S7509" t="str">
        <v>)</v>
      </c>
      <c r="T7509" t="str">
        <v>x</v>
      </c>
      <c r="U7509">
        <f>0.006165*F7509^2</f>
        <v>1.57824</v>
      </c>
      <c r="X7509" t="str">
        <v>x</v>
      </c>
      <c r="Y7509">
        <f>D7500</f>
        <v>1</v>
      </c>
      <c r="Z7509" t="str">
        <v>=</v>
      </c>
      <c r="AA7509">
        <f>IF(AA7512=0,(D7509*N7509+P7509*R7509)*U7509*Y7509,0)</f>
        <v>8.01114624</v>
      </c>
    </row>
    <row r="7510">
      <c r="A7510" t="str">
        <f>A7494</f>
        <v>Lantai 2</v>
      </c>
      <c r="B7510">
        <f>B7494</f>
        <v>55</v>
      </c>
      <c r="C7510" t="str">
        <v>Tul Bawah Lapangan</v>
      </c>
      <c r="D7510">
        <f>VLOOKUP(D7494,'Detail Balok'!$C$10:$AU$110,25,FALSE)</f>
        <v>5</v>
      </c>
      <c r="E7510" t="str">
        <v>D</v>
      </c>
      <c r="F7510">
        <f>VLOOKUP(D7494,'Detail Balok'!$C$10:$AU$110,27,FALSE)</f>
        <v>16</v>
      </c>
      <c r="I7510" t="str">
        <v>(</v>
      </c>
      <c r="J7510">
        <f>+J7502</f>
        <v>3</v>
      </c>
      <c r="K7510" t="str">
        <v>+</v>
      </c>
      <c r="M7510" t="str">
        <v>=</v>
      </c>
      <c r="N7510">
        <f>J7510+L7510</f>
        <v>3</v>
      </c>
      <c r="O7510" t="str">
        <v>+</v>
      </c>
      <c r="P7510">
        <f>MAX(D7510-D7509,D7510-D7511)</f>
        <v>2</v>
      </c>
      <c r="Q7510" t="str">
        <v>x</v>
      </c>
      <c r="R7510">
        <f>IF(P7510&gt;0,2*(1-2*$F$19-1/2)*D7497/1000,0)</f>
        <v>1.1999999999999997</v>
      </c>
      <c r="S7510" t="str">
        <v>)</v>
      </c>
      <c r="T7510" t="str">
        <v>x</v>
      </c>
      <c r="U7510">
        <f>0.006165*F7510^2</f>
        <v>1.57824</v>
      </c>
      <c r="X7510" t="str">
        <v>x</v>
      </c>
      <c r="Y7510">
        <f>D7500</f>
        <v>1</v>
      </c>
      <c r="Z7510" t="str">
        <v>=</v>
      </c>
      <c r="AA7510">
        <f>IF(AA7512=0,(D7510*N7510+P7510*R7510)*U7510*Y7510,0)</f>
        <v>27.461375999999998</v>
      </c>
    </row>
    <row r="7511">
      <c r="A7511" t="str">
        <f>A7494</f>
        <v>Lantai 2</v>
      </c>
      <c r="B7511">
        <f>B7494</f>
        <v>55</v>
      </c>
      <c r="C7511" t="str">
        <v>Tul Bawah Tumpuan</v>
      </c>
      <c r="D7511">
        <f>VLOOKUP(D7494,'Detail Balok'!$C$10:$AU$110,28,FALSE)</f>
        <v>3</v>
      </c>
      <c r="E7511" t="str">
        <v>D</v>
      </c>
      <c r="F7511">
        <f>VLOOKUP(D7494,'Detail Balok'!$C$10:$AU$110,30,FALSE)</f>
        <v>16</v>
      </c>
      <c r="I7511" t="str">
        <v>(</v>
      </c>
      <c r="J7511">
        <f>+J7503</f>
        <v>1.5</v>
      </c>
      <c r="K7511" t="str">
        <v>+</v>
      </c>
      <c r="L7511">
        <f>MAX(VLOOKUP(F7511,N$6:P$15,3,FALSE)/1000,2/3*D7499/1000)+F$16*F7511/1000</f>
        <v>0.192</v>
      </c>
      <c r="M7511" t="str">
        <v>=</v>
      </c>
      <c r="N7511">
        <f>J7511+L7511</f>
        <v>1.692</v>
      </c>
      <c r="O7511" t="str">
        <v>+</v>
      </c>
      <c r="P7511">
        <f>D7511-D7510</f>
        <v>-2</v>
      </c>
      <c r="Q7511" t="str">
        <v>x</v>
      </c>
      <c r="R7511">
        <f>IF(P7511&gt;0,$F$18*F7511/1000,0)</f>
        <v>0</v>
      </c>
      <c r="S7511" t="str">
        <v>)</v>
      </c>
      <c r="T7511" t="str">
        <v>x</v>
      </c>
      <c r="U7511">
        <f>0.006165*F7511^2</f>
        <v>1.57824</v>
      </c>
      <c r="X7511" t="str">
        <v>x</v>
      </c>
      <c r="Y7511">
        <f>D7500</f>
        <v>1</v>
      </c>
      <c r="Z7511" t="str">
        <v>=</v>
      </c>
      <c r="AA7511">
        <f>IF(AA7512=0,(D7511*N7511+P7511*R7511)*U7511*Y7511,0)</f>
        <v>8.01114624</v>
      </c>
    </row>
    <row r="7512">
      <c r="A7512" t="str">
        <f>A7494</f>
        <v>Lantai 2</v>
      </c>
      <c r="B7512">
        <f>B7494</f>
        <v>55</v>
      </c>
      <c r="D7512">
        <f>IF(AND(D7509=D7510,D7510=D7511,D7509=D7511),D7509,0)</f>
        <v>0</v>
      </c>
      <c r="E7512" t="str">
        <v>D</v>
      </c>
      <c r="F7512">
        <f>IF(AND(F7509=F7510,F7509=F7511,F7510=F7511),F7509,0)</f>
        <v>16</v>
      </c>
      <c r="L7512" t="str">
        <v>Total panjang per balok</v>
      </c>
      <c r="M7512" t="str">
        <v>=</v>
      </c>
      <c r="N7512">
        <f>IF(AND(D7509=D7510,D7509=D7511,D7510=D7511,F7509=F7510,F7509=F7511,F7510=F7511),SUM(N7509:N7511),0)</f>
        <v>0</v>
      </c>
      <c r="O7512" t="str">
        <v>+</v>
      </c>
      <c r="P7512">
        <f>IF(N7512&gt;12,ROUNDDOWN(N7512/12,0),0)</f>
        <v>0</v>
      </c>
      <c r="Q7512" t="str">
        <v>x</v>
      </c>
      <c r="R7512">
        <f>IF(P7512&gt;0,MAX(VLOOKUP(F7512,$D$6:$G$15,3,FALSE),600),0)/1000</f>
        <v>0</v>
      </c>
      <c r="T7512" t="str">
        <v>x</v>
      </c>
      <c r="U7512">
        <f>U7511</f>
        <v>1.57824</v>
      </c>
      <c r="V7512" t="str">
        <v>x</v>
      </c>
      <c r="W7512">
        <f>D7512</f>
        <v>0</v>
      </c>
      <c r="X7512" t="str">
        <v>x</v>
      </c>
      <c r="Y7512">
        <f>Y7511</f>
        <v>1</v>
      </c>
      <c r="Z7512" t="str">
        <v>=</v>
      </c>
      <c r="AA7512">
        <f>(N7512+P7512*R7512/1000)*U7512*W7512*Y7512</f>
        <v>0</v>
      </c>
    </row>
    <row r="7514">
      <c r="A7514" t="str">
        <f>A7494</f>
        <v>Lantai 2</v>
      </c>
      <c r="B7514">
        <f>B7494</f>
        <v>55</v>
      </c>
      <c r="C7514" t="str">
        <v>Sengkang Tumpuan</v>
      </c>
      <c r="D7514">
        <f>VLOOKUP(D7494,'Detail Balok'!$C$10:$AU$110,31,FALSE)</f>
        <v>0</v>
      </c>
      <c r="E7514" t="str">
        <v>D</v>
      </c>
      <c r="F7514">
        <f>VLOOKUP(D7494,'Detail Balok'!$C$10:$AU$110,33,FALSE)</f>
        <v>10</v>
      </c>
      <c r="G7514" t="str">
        <v>-</v>
      </c>
      <c r="H7514">
        <f>VLOOKUP(D7494,'Detail Balok'!$C$10:$AU$110,35,FALSE)</f>
        <v>100</v>
      </c>
      <c r="J7514">
        <f>(IF(D7514=0,(2*(D7495+G7495))-(F$5*8),IF(D7514=3,(2*(D7495+G7495))-(F$5*8)+(G7495-2*F$5),IF(D7514=4,(2*(D7495+G7495))-(F$5*8)+2*(G7495-2*F$5)))))/1000</f>
        <v>1.28</v>
      </c>
      <c r="K7514" t="str">
        <v>+</v>
      </c>
      <c r="L7514">
        <f>IF(D7514=0,2*MAX(6*F7514,75),(D7514-1)*2*MAX(6*F7514,75))/1000</f>
        <v>0.15</v>
      </c>
      <c r="M7514" t="str">
        <v>=</v>
      </c>
      <c r="N7514">
        <f>J7514+L7514</f>
        <v>1.43</v>
      </c>
      <c r="T7514" t="str">
        <v>x</v>
      </c>
      <c r="U7514">
        <f>0.006165*F7514^2</f>
        <v>0.6165</v>
      </c>
      <c r="V7514" t="str">
        <v>x</v>
      </c>
      <c r="W7514">
        <f>IF(D7497&gt;4*G7495,ROUND(MAX(D7497/4,2*G7495)/H7514,0)+1,ROUND(D7497/H7514,0)+1)</f>
        <v>16</v>
      </c>
      <c r="X7514" t="str">
        <v>x</v>
      </c>
      <c r="Y7514">
        <f>D7500</f>
        <v>1</v>
      </c>
      <c r="Z7514" t="str">
        <v>=</v>
      </c>
      <c r="AA7514">
        <f>N7514*U7514*W7514*Y7514</f>
        <v>14.10552</v>
      </c>
    </row>
    <row r="7515">
      <c r="A7515" t="str">
        <f>A7494</f>
        <v>Lantai 2</v>
      </c>
      <c r="B7515">
        <f>B7494</f>
        <v>55</v>
      </c>
      <c r="C7515" t="str">
        <v>Sengkang Lapangan</v>
      </c>
      <c r="D7515">
        <f>VLOOKUP(D7494,'Detail Balok'!$C$10:$AU$110,36,FALSE)</f>
        <v>0</v>
      </c>
      <c r="E7515" t="str">
        <v>D</v>
      </c>
      <c r="F7515">
        <f>VLOOKUP(D7494,'Detail Balok'!$C$10:$AU$110,38,FALSE)</f>
        <v>10</v>
      </c>
      <c r="G7515" t="str">
        <v>-</v>
      </c>
      <c r="H7515">
        <f>VLOOKUP(D7494,'Detail Balok'!$C$10:$AU$110,40,FALSE)</f>
        <v>200</v>
      </c>
      <c r="J7515">
        <f>(IF(D7515=0,(2*(D7495+G7495))-(F$5*8),IF(D7515=3,(2*(D7495+G7495))-(F$5*8)+(G7495-2*F$5),IF(D7515=4,(2*(D7495+G7495))-(F$5*8)+2*(G7495-2*F$5)))))/1000</f>
        <v>1.28</v>
      </c>
      <c r="K7515" t="str">
        <v>+</v>
      </c>
      <c r="L7515">
        <f>IF(D7515=0,2*MAX(6*F7515,75),(D7515-1)*2*MAX(6*F7515,75))/1000</f>
        <v>0.15</v>
      </c>
      <c r="M7515" t="str">
        <v>=</v>
      </c>
      <c r="N7515">
        <f>J7515+L7515</f>
        <v>1.43</v>
      </c>
      <c r="T7515" t="str">
        <v>x</v>
      </c>
      <c r="U7515">
        <f>0.006165*F7515^2</f>
        <v>0.6165</v>
      </c>
      <c r="V7515" t="str">
        <v>x</v>
      </c>
      <c r="W7515">
        <f>IF(D7497-MAX(D7497/4,2*G7495)*2&gt;0,ROUND((D7497-MAX(D7497/4,2*G7495)*2)/H7515,0),0)</f>
        <v>15</v>
      </c>
      <c r="X7515" t="str">
        <v>x</v>
      </c>
      <c r="Y7515">
        <f>D7500</f>
        <v>1</v>
      </c>
      <c r="Z7515" t="str">
        <v>=</v>
      </c>
      <c r="AA7515">
        <f>N7515*U7515*W7515*Y7515</f>
        <v>13.223925</v>
      </c>
    </row>
    <row r="7516">
      <c r="A7516" t="str">
        <f>A7494</f>
        <v>Lantai 2</v>
      </c>
      <c r="B7516">
        <f>B7494</f>
        <v>55</v>
      </c>
      <c r="C7516" t="str">
        <v>Sengkang Tumpuan</v>
      </c>
      <c r="D7516">
        <f>VLOOKUP(D7494,'Detail Balok'!$C$10:$AU$110,41,FALSE)</f>
        <v>0</v>
      </c>
      <c r="E7516" t="str">
        <v>D</v>
      </c>
      <c r="F7516">
        <f>VLOOKUP(D7494,'Detail Balok'!$C$10:$AU$110,43,FALSE)</f>
        <v>10</v>
      </c>
      <c r="G7516" t="str">
        <v>-</v>
      </c>
      <c r="H7516">
        <f>VLOOKUP(D7494,'Detail Balok'!$C$10:$AU$110,45,FALSE)</f>
        <v>100</v>
      </c>
      <c r="J7516">
        <f>(IF(D7516=0,(2*(D7495+G7495))-(F$5*8),IF(D7516=3,(2*(D7495+G7495))-(F$5*8)+(G7495-2*F$5),IF(D7516=4,(2*(D7495+G7495))-(F$5*8)+2*(G7495-2*F$5)))))/1000</f>
        <v>1.28</v>
      </c>
      <c r="K7516" t="str">
        <v>+</v>
      </c>
      <c r="L7516">
        <f>IF(D7516=0,2*MAX(6*F7516,75),(D7516-1)*2*MAX(6*F7516,75))/1000</f>
        <v>0.15</v>
      </c>
      <c r="M7516" t="str">
        <v>=</v>
      </c>
      <c r="N7516">
        <f>J7516+L7516</f>
        <v>1.43</v>
      </c>
      <c r="T7516" t="str">
        <v>x</v>
      </c>
      <c r="U7516">
        <f>0.006165*F7516^2</f>
        <v>0.6165</v>
      </c>
      <c r="V7516" t="str">
        <v>x</v>
      </c>
      <c r="W7516">
        <f>IF(D7497&gt;4*G7495,ROUND(MAX(D7497/4,2*G7495)/H7516,0)+1,0)</f>
        <v>16</v>
      </c>
      <c r="X7516" t="str">
        <v>x</v>
      </c>
      <c r="Y7516">
        <f>D7500</f>
        <v>1</v>
      </c>
      <c r="Z7516" t="str">
        <v>=</v>
      </c>
      <c r="AA7516">
        <f>N7516*U7516*W7516*Y7516</f>
        <v>14.10552</v>
      </c>
    </row>
    <row r="7518">
      <c r="A7518" t="str">
        <f>A7494</f>
        <v>Lantai 2</v>
      </c>
      <c r="B7518">
        <f>B7494</f>
        <v>55</v>
      </c>
      <c r="C7518" t="str">
        <v>Kait Horizontal Tump.</v>
      </c>
      <c r="D7518">
        <f>VLOOKUP(D7494,'Detail Balok'!$C$10:$BJ$110,46,FALSE)</f>
        <v>0</v>
      </c>
      <c r="E7518" t="str">
        <v>D</v>
      </c>
      <c r="F7518">
        <f>VLOOKUP(D7494,'Detail Balok'!$C$10:$BJ$110,48,FALSE)</f>
        <v>0</v>
      </c>
      <c r="G7518" t="str">
        <v>-</v>
      </c>
      <c r="H7518">
        <f>VLOOKUP(D7494,'Detail Balok'!$C$10:$BJ$110,50,FALSE)</f>
        <v>100</v>
      </c>
      <c r="J7518">
        <f>(D7495-2*F$5)/1000</f>
        <v>0.12</v>
      </c>
      <c r="K7518" t="str">
        <v>+</v>
      </c>
      <c r="L7518">
        <f>IF(D7518=0,2*MAX(6*F7518,75),(D7518-1)*2*MAX(6*F7518,75))/1000</f>
        <v>0.15</v>
      </c>
      <c r="M7518" t="str">
        <v>=</v>
      </c>
      <c r="N7518">
        <f>J7518+L7518</f>
        <v>0.27</v>
      </c>
      <c r="T7518" t="str">
        <v>x</v>
      </c>
      <c r="U7518">
        <f>0.006165*F7518^2</f>
        <v>0</v>
      </c>
      <c r="V7518" t="str">
        <v>x</v>
      </c>
      <c r="W7518">
        <f>W7514</f>
        <v>16</v>
      </c>
      <c r="X7518" t="str">
        <v>x</v>
      </c>
      <c r="Y7518">
        <f>D7504</f>
        <v>0</v>
      </c>
      <c r="Z7518" t="str">
        <v>=</v>
      </c>
      <c r="AA7518">
        <f>N7518*U7518*W7518*Y7518</f>
        <v>0</v>
      </c>
    </row>
    <row r="7519">
      <c r="A7519" t="str">
        <f>A7494</f>
        <v>Lantai 2</v>
      </c>
      <c r="B7519">
        <f>B7494</f>
        <v>55</v>
      </c>
      <c r="C7519" t="str">
        <v>Kait Horizontal Lap.</v>
      </c>
      <c r="D7519">
        <f>VLOOKUP(D7494,'Detail Balok'!$C$10:$BJ$110,51,FALSE)</f>
        <v>0</v>
      </c>
      <c r="E7519" t="str">
        <v>D</v>
      </c>
      <c r="F7519">
        <f>VLOOKUP(D7494,'Detail Balok'!$C$10:$BJ$110,53,FALSE)</f>
        <v>0</v>
      </c>
      <c r="G7519" t="str">
        <v>-</v>
      </c>
      <c r="H7519">
        <f>VLOOKUP(D7494,'Detail Balok'!$C$10:$BJ$110,55,FALSE)</f>
        <v>100</v>
      </c>
      <c r="J7519">
        <f>(D7495-2*F$5)/1000</f>
        <v>0.12</v>
      </c>
      <c r="K7519" t="str">
        <v>+</v>
      </c>
      <c r="L7519">
        <f>IF(D7519=0,2*MAX(6*F7519,75),(D7519-1)*2*MAX(6*F7519,75))/1000</f>
        <v>0.15</v>
      </c>
      <c r="M7519" t="str">
        <v>=</v>
      </c>
      <c r="N7519">
        <f>J7519+L7519</f>
        <v>0.27</v>
      </c>
      <c r="T7519" t="str">
        <v>x</v>
      </c>
      <c r="U7519">
        <f>0.006165*F7519^2</f>
        <v>0</v>
      </c>
      <c r="V7519" t="str">
        <v>x</v>
      </c>
      <c r="W7519">
        <f>W7515</f>
        <v>15</v>
      </c>
      <c r="X7519" t="str">
        <v>x</v>
      </c>
      <c r="Y7519">
        <f>D7504</f>
        <v>0</v>
      </c>
      <c r="Z7519" t="str">
        <v>=</v>
      </c>
      <c r="AA7519">
        <f>N7519*U7519*W7519*Y7519</f>
        <v>0</v>
      </c>
    </row>
    <row r="7520">
      <c r="A7520" t="str">
        <f>A7494</f>
        <v>Lantai 2</v>
      </c>
      <c r="B7520">
        <f>B7494</f>
        <v>55</v>
      </c>
      <c r="C7520" t="str">
        <v>Kait Horizontal Tump.</v>
      </c>
      <c r="D7520">
        <f>VLOOKUP(D7494,'Detail Balok'!$C$10:$BJ$110,56,FALSE)</f>
        <v>0</v>
      </c>
      <c r="E7520" t="str">
        <v>D</v>
      </c>
      <c r="F7520">
        <f>VLOOKUP(D7494,'Detail Balok'!$C$10:$BJ$110,58,FALSE)</f>
        <v>0</v>
      </c>
      <c r="G7520" t="str">
        <v>-</v>
      </c>
      <c r="H7520">
        <f>VLOOKUP(D7494,'Detail Balok'!$C$10:$BJ$110,60,FALSE)</f>
        <v>100</v>
      </c>
      <c r="J7520">
        <f>(D7495-2*F$5)/1000</f>
        <v>0.12</v>
      </c>
      <c r="K7520" t="str">
        <v>+</v>
      </c>
      <c r="L7520">
        <f>IF(D7520=0,2*MAX(6*F7520,75),(D7520-1)*2*MAX(6*F7520,75))/1000</f>
        <v>0.15</v>
      </c>
      <c r="M7520" t="str">
        <v>=</v>
      </c>
      <c r="N7520">
        <f>J7520+L7520</f>
        <v>0.27</v>
      </c>
      <c r="T7520" t="str">
        <v>x</v>
      </c>
      <c r="U7520">
        <f>0.006165*F7520^2</f>
        <v>0</v>
      </c>
      <c r="V7520" t="str">
        <v>x</v>
      </c>
      <c r="W7520">
        <f>W7516</f>
        <v>16</v>
      </c>
      <c r="X7520" t="str">
        <v>x</v>
      </c>
      <c r="Y7520">
        <f>D7504</f>
        <v>0</v>
      </c>
      <c r="Z7520" t="str">
        <v>=</v>
      </c>
      <c r="AA7520">
        <f>N7520*U7520*W7520*Y7520</f>
        <v>0</v>
      </c>
    </row>
    <row r="7524">
      <c r="A7524" t="str">
        <f>A7494</f>
        <v>Lantai 2</v>
      </c>
      <c r="B7524">
        <f>B7494+1</f>
        <v>56</v>
      </c>
      <c r="C7524" t="str">
        <f>CONCATENATE(A7524," no. ",B7524)</f>
        <v>Lantai 2 no. 56</v>
      </c>
      <c r="D7524" t="str">
        <f>VLOOKUP(C7524,'Data Panjang Balok'!$C$9:$N$424,2,FALSE)</f>
        <v>CL26-1</v>
      </c>
    </row>
    <row r="7525">
      <c r="C7525" t="str">
        <v>Dimensi</v>
      </c>
      <c r="D7525">
        <f>VLOOKUP(D7524,'Detail Balok'!$C$10:$AU$110,2,FALSE)</f>
        <v>200</v>
      </c>
      <c r="F7525" t="str">
        <v>x</v>
      </c>
      <c r="G7525">
        <f>VLOOKUP(D7524,'Detail Balok'!$C$10:$AU$110,3,FALSE)</f>
        <v>600</v>
      </c>
    </row>
    <row r="7526">
      <c r="C7526" t="str">
        <v>Panjang as ke as</v>
      </c>
      <c r="D7526">
        <f>VLOOKUP(C7524,'Data Panjang Balok'!$C$9:$N$424,4,FALSE)</f>
        <v>2000</v>
      </c>
    </row>
    <row r="7527">
      <c r="C7527" t="str">
        <v>Panjang netto</v>
      </c>
      <c r="D7527">
        <f>VLOOKUP(C7524,'Data Panjang Balok'!$C$9:$N$424,7,FALSE)</f>
        <v>2000</v>
      </c>
    </row>
    <row r="7528">
      <c r="C7528" t="str">
        <v>Kolom / balok kiri</v>
      </c>
      <c r="D7528">
        <f>VLOOKUP(C7524,'Data Panjang Balok'!$C$9:$N$424,9,FALSE)</f>
        <v>0</v>
      </c>
    </row>
    <row r="7529">
      <c r="C7529" t="str">
        <v>Kolom / balok kanan</v>
      </c>
      <c r="D7529">
        <f>VLOOKUP(C7524,'Data Panjang Balok'!$C$9:$N$424,10,FALSE)</f>
        <v>0</v>
      </c>
    </row>
    <row r="7530">
      <c r="C7530" t="str">
        <v>Jumlah</v>
      </c>
      <c r="D7530">
        <f>VLOOKUP(C7524,'Data Panjang Balok'!$C$9:$N$424,3,FALSE)</f>
        <v>1</v>
      </c>
    </row>
    <row r="7531">
      <c r="A7531" t="str">
        <f>A7524</f>
        <v>Lantai 2</v>
      </c>
      <c r="B7531">
        <f>B7524</f>
        <v>56</v>
      </c>
      <c r="C7531" t="str">
        <v>Tul Atas Tumpuan</v>
      </c>
      <c r="D7531">
        <f>VLOOKUP(D7524,'Detail Balok'!$C$10:$AU$110,4,FALSE)</f>
        <v>5</v>
      </c>
      <c r="E7531" t="str">
        <v>D</v>
      </c>
      <c r="F7531">
        <f>VLOOKUP(D7524,'Detail Balok'!$C$10:$AU$110,6,FALSE)</f>
        <v>16</v>
      </c>
      <c r="I7531" t="str">
        <v>(</v>
      </c>
      <c r="J7531">
        <f>+D7526/4/1000</f>
        <v>0.5</v>
      </c>
      <c r="K7531" t="str">
        <v>+</v>
      </c>
      <c r="L7531">
        <f>MAX(VLOOKUP(F7531,N$6:P$15,3,FALSE)/1000,2/3*D7528/1000)+F$16*F7531/1000</f>
        <v>0.192</v>
      </c>
      <c r="M7531" t="str">
        <v>=</v>
      </c>
      <c r="N7531">
        <f>J7531+L7531</f>
        <v>0.692</v>
      </c>
      <c r="O7531" t="str">
        <v>+</v>
      </c>
      <c r="P7531">
        <f>D7531-D7532</f>
        <v>2</v>
      </c>
      <c r="Q7531" t="str">
        <v>x</v>
      </c>
      <c r="R7531">
        <f>IF(P7531&gt;0,$F$18*F7531/1000,0)</f>
        <v>0.24</v>
      </c>
      <c r="S7531" t="str">
        <v>)</v>
      </c>
      <c r="T7531" t="str">
        <v>x</v>
      </c>
      <c r="U7531">
        <f>0.006165*F7531^2</f>
        <v>1.57824</v>
      </c>
      <c r="X7531" t="str">
        <v>x</v>
      </c>
      <c r="Y7531">
        <f>D7530</f>
        <v>1</v>
      </c>
      <c r="Z7531" t="str">
        <v>=</v>
      </c>
      <c r="AA7531">
        <f>IF(AA7534=0,(D7531*N7531+P7531*R7531)*U7531*Y7531,0)</f>
        <v>6.2182656000000005</v>
      </c>
    </row>
    <row r="7532">
      <c r="A7532" t="str">
        <f>A7524</f>
        <v>Lantai 2</v>
      </c>
      <c r="B7532">
        <f>B7524</f>
        <v>56</v>
      </c>
      <c r="C7532" t="str">
        <v>Tul Atas Lapangan</v>
      </c>
      <c r="D7532">
        <f>VLOOKUP(D7524,'Detail Balok'!$C$10:$AU$110,7,FALSE)</f>
        <v>3</v>
      </c>
      <c r="E7532" t="str">
        <v>D</v>
      </c>
      <c r="F7532">
        <f>VLOOKUP(D7524,'Detail Balok'!$C$10:$AU$110,9,FALSE)</f>
        <v>16</v>
      </c>
      <c r="I7532" t="str">
        <v>(</v>
      </c>
      <c r="J7532">
        <f>+D7526/2/1000</f>
        <v>1</v>
      </c>
      <c r="K7532" t="str">
        <v>+</v>
      </c>
      <c r="M7532" t="str">
        <v>=</v>
      </c>
      <c r="N7532">
        <f>J7532+L7532</f>
        <v>1</v>
      </c>
      <c r="O7532" t="str">
        <v>+</v>
      </c>
      <c r="P7532">
        <f>MAX(D7532-D7531,D7532-D7533)</f>
        <v>-2</v>
      </c>
      <c r="Q7532" t="str">
        <v>x</v>
      </c>
      <c r="R7532">
        <f>IF(P7532&gt;0,2*(1-2*$F$19-1/2)*D7527/1000,0)</f>
        <v>0</v>
      </c>
      <c r="S7532" t="str">
        <v>)</v>
      </c>
      <c r="T7532" t="str">
        <v>x</v>
      </c>
      <c r="U7532">
        <f>0.006165*F7532^2</f>
        <v>1.57824</v>
      </c>
      <c r="X7532" t="str">
        <v>x</v>
      </c>
      <c r="Y7532">
        <f>D7530</f>
        <v>1</v>
      </c>
      <c r="Z7532" t="str">
        <v>=</v>
      </c>
      <c r="AA7532">
        <f>IF(AA7534=0,(D7532*N7532+P7532*R7532)*U7532*Y7532,0)</f>
        <v>4.73472</v>
      </c>
    </row>
    <row r="7533">
      <c r="A7533" t="str">
        <f>A7524</f>
        <v>Lantai 2</v>
      </c>
      <c r="B7533">
        <f>B7524</f>
        <v>56</v>
      </c>
      <c r="C7533" t="str">
        <v>Tul Atas Tumpuan</v>
      </c>
      <c r="D7533">
        <f>VLOOKUP(D7524,'Detail Balok'!$C$10:$AU$110,10,FALSE)</f>
        <v>5</v>
      </c>
      <c r="E7533" t="str">
        <v>D</v>
      </c>
      <c r="F7533">
        <f>VLOOKUP(D7524,'Detail Balok'!$C$10:$AU$110,12,FALSE)</f>
        <v>16</v>
      </c>
      <c r="I7533" t="str">
        <v>(</v>
      </c>
      <c r="J7533">
        <f>+D7526/4/1000</f>
        <v>0.5</v>
      </c>
      <c r="K7533" t="str">
        <v>+</v>
      </c>
      <c r="L7533">
        <f>MAX(VLOOKUP(F7533,N$6:P$15,3,FALSE)/1000,2/3*D7528/1000)+F$16*F7533/1000</f>
        <v>0.192</v>
      </c>
      <c r="M7533" t="str">
        <v>=</v>
      </c>
      <c r="N7533">
        <f>J7533+L7533</f>
        <v>0.692</v>
      </c>
      <c r="O7533" t="str">
        <v>+</v>
      </c>
      <c r="P7533">
        <f>D7533-D7532</f>
        <v>2</v>
      </c>
      <c r="Q7533" t="str">
        <v>x</v>
      </c>
      <c r="R7533">
        <f>IF(P7533&gt;0,$F$18*F7533/1000,0)</f>
        <v>0.24</v>
      </c>
      <c r="S7533" t="str">
        <v>)</v>
      </c>
      <c r="T7533" t="str">
        <v>x</v>
      </c>
      <c r="U7533">
        <f>0.006165*F7533^2</f>
        <v>1.57824</v>
      </c>
      <c r="X7533" t="str">
        <v>x</v>
      </c>
      <c r="Y7533">
        <f>D7530</f>
        <v>1</v>
      </c>
      <c r="Z7533" t="str">
        <v>=</v>
      </c>
      <c r="AA7533">
        <f>IF(AA7534=0,(D7533*N7533+P7533*R7533)*U7533*Y7533,0)</f>
        <v>6.2182656000000005</v>
      </c>
    </row>
    <row r="7534">
      <c r="A7534" t="str">
        <f>A7524</f>
        <v>Lantai 2</v>
      </c>
      <c r="B7534">
        <f>B7524</f>
        <v>56</v>
      </c>
      <c r="D7534">
        <f>IF(AND(D7531=D7532,D7532=D7533,D7531=D7533),D7531,0)</f>
        <v>0</v>
      </c>
      <c r="E7534" t="str">
        <v>D</v>
      </c>
      <c r="F7534">
        <f>IF(AND(F7531=F7532,F7531=F7533,F7532=F7533),F7531,0)</f>
        <v>16</v>
      </c>
      <c r="L7534" t="str">
        <v>Total panjang per balok</v>
      </c>
      <c r="M7534" t="str">
        <v>=</v>
      </c>
      <c r="N7534">
        <f>IF(AND(D7531=D7532,D7531=D7533,D7532=D7533,F7531=F7532,F7531=F7533,F7532=F7533),SUM(N7531:N7533),0)</f>
        <v>0</v>
      </c>
      <c r="O7534" t="str">
        <v>+</v>
      </c>
      <c r="P7534">
        <f>IF(N7534&gt;12,ROUNDDOWN(N7534/12,0),0)</f>
        <v>0</v>
      </c>
      <c r="Q7534" t="str">
        <v>x</v>
      </c>
      <c r="R7534">
        <f>IF(P7534&gt;0,MAX(VLOOKUP(F7534,$D$6:$G$15,3,FALSE),600),0)/1000</f>
        <v>0</v>
      </c>
      <c r="T7534" t="str">
        <v>x</v>
      </c>
      <c r="U7534">
        <f>U7533</f>
        <v>1.57824</v>
      </c>
      <c r="V7534" t="str">
        <v>x</v>
      </c>
      <c r="W7534">
        <f>D7534</f>
        <v>0</v>
      </c>
      <c r="X7534" t="str">
        <v>x</v>
      </c>
      <c r="Y7534">
        <f>Y7533</f>
        <v>1</v>
      </c>
      <c r="Z7534" t="str">
        <v>=</v>
      </c>
      <c r="AA7534">
        <f>(N7534+P7534*R7534/1000)*U7534*W7534*Y7534</f>
        <v>0</v>
      </c>
    </row>
    <row r="7536">
      <c r="A7536" t="str">
        <f>A7524</f>
        <v>Lantai 2</v>
      </c>
      <c r="B7536">
        <f>B7524</f>
        <v>56</v>
      </c>
      <c r="C7536" t="str">
        <v>Tul Peminggang</v>
      </c>
      <c r="D7536">
        <f>VLOOKUP(D7524,'Detail Balok'!$C$10:$AU$110,13,FALSE)</f>
        <v>2</v>
      </c>
      <c r="E7536" t="str">
        <v>D</v>
      </c>
      <c r="F7536">
        <f>VLOOKUP(D7524,'Detail Balok'!$C$10:$AU$110,15,FALSE)</f>
        <v>10</v>
      </c>
      <c r="J7536">
        <f>+D7526/1000</f>
        <v>2</v>
      </c>
      <c r="K7536" t="str">
        <v>+</v>
      </c>
      <c r="L7536">
        <f>2*$F$16*F7536/1000</f>
        <v>0.24</v>
      </c>
      <c r="M7536" t="str">
        <v>=</v>
      </c>
      <c r="N7536">
        <f>J7536+L7536</f>
        <v>2.24</v>
      </c>
      <c r="O7536" t="str">
        <v>+</v>
      </c>
      <c r="P7536">
        <f>IF(N7536&gt;12,ROUNDDOWN(N7536/12,0),0)</f>
        <v>0</v>
      </c>
      <c r="Q7536" t="str">
        <v>x</v>
      </c>
      <c r="R7536">
        <f>IF(P7536&gt;0,MAX(VLOOKUP(F7536,$D$6:$G$15,3,FALSE),600),0)/1000</f>
        <v>0</v>
      </c>
      <c r="T7536" t="str">
        <v>x</v>
      </c>
      <c r="U7536">
        <f>0.006165*F7536^2</f>
        <v>0.6165</v>
      </c>
      <c r="V7536" t="str">
        <v>x</v>
      </c>
      <c r="W7536">
        <f>+D7536</f>
        <v>2</v>
      </c>
      <c r="X7536" t="str">
        <v>x</v>
      </c>
      <c r="Y7536">
        <f>D7530</f>
        <v>1</v>
      </c>
      <c r="Z7536" t="str">
        <v>=</v>
      </c>
      <c r="AA7536">
        <f>(N7536+P7536*R7536/1000)*U7536*W7536*Y7536</f>
        <v>2.7619200000000004</v>
      </c>
    </row>
    <row r="7539">
      <c r="A7539" t="str">
        <f>A7524</f>
        <v>Lantai 2</v>
      </c>
      <c r="B7539">
        <f>B7524</f>
        <v>56</v>
      </c>
      <c r="C7539" t="str">
        <v>Tul Bawah Tumpuan</v>
      </c>
      <c r="D7539">
        <f>VLOOKUP(D7524,'Detail Balok'!$C$10:$AU$110,22,FALSE)</f>
        <v>3</v>
      </c>
      <c r="E7539" t="str">
        <v>D</v>
      </c>
      <c r="F7539">
        <f>VLOOKUP(D7524,'Detail Balok'!$C$10:$AU$110,24,FALSE)</f>
        <v>16</v>
      </c>
      <c r="I7539" t="str">
        <v>(</v>
      </c>
      <c r="J7539">
        <f>+J7531</f>
        <v>0.5</v>
      </c>
      <c r="K7539" t="str">
        <v>+</v>
      </c>
      <c r="L7539">
        <f>MAX(VLOOKUP(F7539,N$6:P$15,3,FALSE)/1000,2/3*D7529/1000)+F$16*F7539/1000</f>
        <v>0.192</v>
      </c>
      <c r="M7539" t="str">
        <v>=</v>
      </c>
      <c r="N7539">
        <f>J7539+L7539</f>
        <v>0.692</v>
      </c>
      <c r="O7539" t="str">
        <v>+</v>
      </c>
      <c r="P7539">
        <f>D7539-D7540</f>
        <v>0</v>
      </c>
      <c r="Q7539" t="str">
        <v>x</v>
      </c>
      <c r="R7539">
        <f>IF(P7539&gt;0,$F$18*F7539/1000,0)</f>
        <v>0</v>
      </c>
      <c r="S7539" t="str">
        <v>)</v>
      </c>
      <c r="T7539" t="str">
        <v>x</v>
      </c>
      <c r="U7539">
        <f>0.006165*F7539^2</f>
        <v>1.57824</v>
      </c>
      <c r="X7539" t="str">
        <v>x</v>
      </c>
      <c r="Y7539">
        <f>D7530</f>
        <v>1</v>
      </c>
      <c r="Z7539" t="str">
        <v>=</v>
      </c>
      <c r="AA7539">
        <f>IF(AA7542=0,(D7539*N7539+P7539*R7539)*U7539*Y7539,0)</f>
        <v>0</v>
      </c>
    </row>
    <row r="7540">
      <c r="A7540" t="str">
        <f>A7524</f>
        <v>Lantai 2</v>
      </c>
      <c r="B7540">
        <f>B7524</f>
        <v>56</v>
      </c>
      <c r="C7540" t="str">
        <v>Tul Bawah Lapangan</v>
      </c>
      <c r="D7540">
        <f>VLOOKUP(D7524,'Detail Balok'!$C$10:$AU$110,25,FALSE)</f>
        <v>3</v>
      </c>
      <c r="E7540" t="str">
        <v>D</v>
      </c>
      <c r="F7540">
        <f>VLOOKUP(D7524,'Detail Balok'!$C$10:$AU$110,27,FALSE)</f>
        <v>16</v>
      </c>
      <c r="I7540" t="str">
        <v>(</v>
      </c>
      <c r="J7540">
        <f>+J7532</f>
        <v>1</v>
      </c>
      <c r="K7540" t="str">
        <v>+</v>
      </c>
      <c r="M7540" t="str">
        <v>=</v>
      </c>
      <c r="N7540">
        <f>J7540+L7540</f>
        <v>1</v>
      </c>
      <c r="O7540" t="str">
        <v>+</v>
      </c>
      <c r="P7540">
        <f>MAX(D7540-D7539,D7540-D7541)</f>
        <v>0</v>
      </c>
      <c r="Q7540" t="str">
        <v>x</v>
      </c>
      <c r="R7540">
        <f>IF(P7540&gt;0,2*(1-2*$F$19-1/2)*D7527/1000,0)</f>
        <v>0</v>
      </c>
      <c r="S7540" t="str">
        <v>)</v>
      </c>
      <c r="T7540" t="str">
        <v>x</v>
      </c>
      <c r="U7540">
        <f>0.006165*F7540^2</f>
        <v>1.57824</v>
      </c>
      <c r="X7540" t="str">
        <v>x</v>
      </c>
      <c r="Y7540">
        <f>D7530</f>
        <v>1</v>
      </c>
      <c r="Z7540" t="str">
        <v>=</v>
      </c>
      <c r="AA7540">
        <f>IF(AA7542=0,(D7540*N7540+P7540*R7540)*U7540*Y7540,0)</f>
        <v>0</v>
      </c>
    </row>
    <row r="7541">
      <c r="A7541" t="str">
        <f>A7524</f>
        <v>Lantai 2</v>
      </c>
      <c r="B7541">
        <f>B7524</f>
        <v>56</v>
      </c>
      <c r="C7541" t="str">
        <v>Tul Bawah Tumpuan</v>
      </c>
      <c r="D7541">
        <f>VLOOKUP(D7524,'Detail Balok'!$C$10:$AU$110,28,FALSE)</f>
        <v>3</v>
      </c>
      <c r="E7541" t="str">
        <v>D</v>
      </c>
      <c r="F7541">
        <f>VLOOKUP(D7524,'Detail Balok'!$C$10:$AU$110,30,FALSE)</f>
        <v>16</v>
      </c>
      <c r="I7541" t="str">
        <v>(</v>
      </c>
      <c r="J7541">
        <f>+J7533</f>
        <v>0.5</v>
      </c>
      <c r="K7541" t="str">
        <v>+</v>
      </c>
      <c r="L7541">
        <f>MAX(VLOOKUP(F7541,N$6:P$15,3,FALSE)/1000,2/3*D7529/1000)+F$16*F7541/1000</f>
        <v>0.192</v>
      </c>
      <c r="M7541" t="str">
        <v>=</v>
      </c>
      <c r="N7541">
        <f>J7541+L7541</f>
        <v>0.692</v>
      </c>
      <c r="O7541" t="str">
        <v>+</v>
      </c>
      <c r="P7541">
        <f>D7541-D7540</f>
        <v>0</v>
      </c>
      <c r="Q7541" t="str">
        <v>x</v>
      </c>
      <c r="R7541">
        <f>IF(P7541&gt;0,$F$18*F7541/1000,0)</f>
        <v>0</v>
      </c>
      <c r="S7541" t="str">
        <v>)</v>
      </c>
      <c r="T7541" t="str">
        <v>x</v>
      </c>
      <c r="U7541">
        <f>0.006165*F7541^2</f>
        <v>1.57824</v>
      </c>
      <c r="X7541" t="str">
        <v>x</v>
      </c>
      <c r="Y7541">
        <f>D7530</f>
        <v>1</v>
      </c>
      <c r="Z7541" t="str">
        <v>=</v>
      </c>
      <c r="AA7541">
        <f>IF(AA7542=0,(D7541*N7541+P7541*R7541)*U7541*Y7541,0)</f>
        <v>0</v>
      </c>
    </row>
    <row r="7542">
      <c r="A7542" t="str">
        <f>A7524</f>
        <v>Lantai 2</v>
      </c>
      <c r="B7542">
        <f>B7524</f>
        <v>56</v>
      </c>
      <c r="D7542">
        <f>IF(AND(D7539=D7540,D7540=D7541,D7539=D7541),D7539,0)</f>
        <v>3</v>
      </c>
      <c r="E7542" t="str">
        <v>D</v>
      </c>
      <c r="F7542">
        <f>IF(AND(F7539=F7540,F7539=F7541,F7540=F7541),F7539,0)</f>
        <v>16</v>
      </c>
      <c r="L7542" t="str">
        <v>Total panjang per balok</v>
      </c>
      <c r="M7542" t="str">
        <v>=</v>
      </c>
      <c r="N7542">
        <f>IF(AND(D7539=D7540,D7539=D7541,D7540=D7541,F7539=F7540,F7539=F7541,F7540=F7541),SUM(N7539:N7541),0)</f>
        <v>2.384</v>
      </c>
      <c r="O7542" t="str">
        <v>+</v>
      </c>
      <c r="P7542">
        <f>IF(N7542&gt;12,ROUNDDOWN(N7542/12,0),0)</f>
        <v>0</v>
      </c>
      <c r="Q7542" t="str">
        <v>x</v>
      </c>
      <c r="R7542">
        <f>IF(P7542&gt;0,MAX(VLOOKUP(F7542,$D$6:$G$15,3,FALSE),600),0)/1000</f>
        <v>0</v>
      </c>
      <c r="T7542" t="str">
        <v>x</v>
      </c>
      <c r="U7542">
        <f>U7541</f>
        <v>1.57824</v>
      </c>
      <c r="V7542" t="str">
        <v>x</v>
      </c>
      <c r="W7542">
        <f>D7542</f>
        <v>3</v>
      </c>
      <c r="X7542" t="str">
        <v>x</v>
      </c>
      <c r="Y7542">
        <f>Y7541</f>
        <v>1</v>
      </c>
      <c r="Z7542" t="str">
        <v>=</v>
      </c>
      <c r="AA7542">
        <f>(N7542+P7542*R7542/1000)*U7542*W7542*Y7542</f>
        <v>11.28757248</v>
      </c>
    </row>
    <row r="7544">
      <c r="A7544" t="str">
        <f>A7524</f>
        <v>Lantai 2</v>
      </c>
      <c r="B7544">
        <f>B7524</f>
        <v>56</v>
      </c>
      <c r="C7544" t="str">
        <v>Sengkang Tumpuan</v>
      </c>
      <c r="D7544">
        <f>VLOOKUP(D7524,'Detail Balok'!$C$10:$AU$110,31,FALSE)</f>
        <v>0</v>
      </c>
      <c r="E7544" t="str">
        <v>D</v>
      </c>
      <c r="F7544">
        <f>VLOOKUP(D7524,'Detail Balok'!$C$10:$AU$110,33,FALSE)</f>
        <v>10</v>
      </c>
      <c r="G7544" t="str">
        <v>-</v>
      </c>
      <c r="H7544">
        <f>VLOOKUP(D7524,'Detail Balok'!$C$10:$AU$110,35,FALSE)</f>
        <v>150</v>
      </c>
      <c r="J7544">
        <f>(IF(D7544=0,(2*(D7525+G7525))-(F$5*8),IF(D7544=3,(2*(D7525+G7525))-(F$5*8)+(G7525-2*F$5),IF(D7544=4,(2*(D7525+G7525))-(F$5*8)+2*(G7525-2*F$5)))))/1000</f>
        <v>1.28</v>
      </c>
      <c r="K7544" t="str">
        <v>+</v>
      </c>
      <c r="L7544">
        <f>IF(D7544=0,2*MAX(6*F7544,75),(D7544-1)*2*MAX(6*F7544,75))/1000</f>
        <v>0.15</v>
      </c>
      <c r="M7544" t="str">
        <v>=</v>
      </c>
      <c r="N7544">
        <f>J7544+L7544</f>
        <v>1.43</v>
      </c>
      <c r="T7544" t="str">
        <v>x</v>
      </c>
      <c r="U7544">
        <f>0.006165*F7544^2</f>
        <v>0.6165</v>
      </c>
      <c r="V7544" t="str">
        <v>x</v>
      </c>
      <c r="W7544">
        <f>IF(D7527&gt;4*G7525,ROUND(MAX(D7527/4,2*G7525)/H7544,0)+1,ROUND(D7527/H7544,0)+1)</f>
        <v>14</v>
      </c>
      <c r="X7544" t="str">
        <v>x</v>
      </c>
      <c r="Y7544">
        <f>D7530</f>
        <v>1</v>
      </c>
      <c r="Z7544" t="str">
        <v>=</v>
      </c>
      <c r="AA7544">
        <f>N7544*U7544*W7544*Y7544</f>
        <v>12.34233</v>
      </c>
    </row>
    <row r="7545">
      <c r="A7545" t="str">
        <f>A7524</f>
        <v>Lantai 2</v>
      </c>
      <c r="B7545">
        <f>B7524</f>
        <v>56</v>
      </c>
      <c r="C7545" t="str">
        <v>Sengkang Lapangan</v>
      </c>
      <c r="D7545">
        <f>VLOOKUP(D7524,'Detail Balok'!$C$10:$AU$110,36,FALSE)</f>
        <v>0</v>
      </c>
      <c r="E7545" t="str">
        <v>D</v>
      </c>
      <c r="F7545">
        <f>VLOOKUP(D7524,'Detail Balok'!$C$10:$AU$110,38,FALSE)</f>
        <v>10</v>
      </c>
      <c r="G7545" t="str">
        <v>-</v>
      </c>
      <c r="H7545">
        <f>VLOOKUP(D7524,'Detail Balok'!$C$10:$AU$110,40,FALSE)</f>
        <v>150</v>
      </c>
      <c r="J7545">
        <f>(IF(D7545=0,(2*(D7525+G7525))-(F$5*8),IF(D7545=3,(2*(D7525+G7525))-(F$5*8)+(G7525-2*F$5),IF(D7545=4,(2*(D7525+G7525))-(F$5*8)+2*(G7525-2*F$5)))))/1000</f>
        <v>1.28</v>
      </c>
      <c r="K7545" t="str">
        <v>+</v>
      </c>
      <c r="L7545">
        <f>IF(D7545=0,2*MAX(6*F7545,75),(D7545-1)*2*MAX(6*F7545,75))/1000</f>
        <v>0.15</v>
      </c>
      <c r="M7545" t="str">
        <v>=</v>
      </c>
      <c r="N7545">
        <f>J7545+L7545</f>
        <v>1.43</v>
      </c>
      <c r="T7545" t="str">
        <v>x</v>
      </c>
      <c r="U7545">
        <f>0.006165*F7545^2</f>
        <v>0.6165</v>
      </c>
      <c r="V7545" t="str">
        <v>x</v>
      </c>
      <c r="W7545">
        <f>IF(D7527-MAX(D7527/4,2*G7525)*2&gt;0,ROUND((D7527-MAX(D7527/4,2*G7525)*2)/H7545,0),0)</f>
        <v>0</v>
      </c>
      <c r="X7545" t="str">
        <v>x</v>
      </c>
      <c r="Y7545">
        <f>D7530</f>
        <v>1</v>
      </c>
      <c r="Z7545" t="str">
        <v>=</v>
      </c>
      <c r="AA7545">
        <f>N7545*U7545*W7545*Y7545</f>
        <v>0</v>
      </c>
    </row>
    <row r="7546">
      <c r="A7546" t="str">
        <f>A7524</f>
        <v>Lantai 2</v>
      </c>
      <c r="B7546">
        <f>B7524</f>
        <v>56</v>
      </c>
      <c r="C7546" t="str">
        <v>Sengkang Tumpuan</v>
      </c>
      <c r="D7546">
        <f>VLOOKUP(D7524,'Detail Balok'!$C$10:$AU$110,41,FALSE)</f>
        <v>0</v>
      </c>
      <c r="E7546" t="str">
        <v>D</v>
      </c>
      <c r="F7546">
        <f>VLOOKUP(D7524,'Detail Balok'!$C$10:$AU$110,43,FALSE)</f>
        <v>10</v>
      </c>
      <c r="G7546" t="str">
        <v>-</v>
      </c>
      <c r="H7546">
        <f>VLOOKUP(D7524,'Detail Balok'!$C$10:$AU$110,45,FALSE)</f>
        <v>150</v>
      </c>
      <c r="J7546">
        <f>(IF(D7546=0,(2*(D7525+G7525))-(F$5*8),IF(D7546=3,(2*(D7525+G7525))-(F$5*8)+(G7525-2*F$5),IF(D7546=4,(2*(D7525+G7525))-(F$5*8)+2*(G7525-2*F$5)))))/1000</f>
        <v>1.28</v>
      </c>
      <c r="K7546" t="str">
        <v>+</v>
      </c>
      <c r="L7546">
        <f>IF(D7546=0,2*MAX(6*F7546,75),(D7546-1)*2*MAX(6*F7546,75))/1000</f>
        <v>0.15</v>
      </c>
      <c r="M7546" t="str">
        <v>=</v>
      </c>
      <c r="N7546">
        <f>J7546+L7546</f>
        <v>1.43</v>
      </c>
      <c r="T7546" t="str">
        <v>x</v>
      </c>
      <c r="U7546">
        <f>0.006165*F7546^2</f>
        <v>0.6165</v>
      </c>
      <c r="V7546" t="str">
        <v>x</v>
      </c>
      <c r="W7546">
        <f>IF(D7527&gt;4*G7525,ROUND(MAX(D7527/4,2*G7525)/H7546,0)+1,0)</f>
        <v>0</v>
      </c>
      <c r="X7546" t="str">
        <v>x</v>
      </c>
      <c r="Y7546">
        <f>D7530</f>
        <v>1</v>
      </c>
      <c r="Z7546" t="str">
        <v>=</v>
      </c>
      <c r="AA7546">
        <f>N7546*U7546*W7546*Y7546</f>
        <v>0</v>
      </c>
    </row>
    <row r="7548">
      <c r="A7548" t="str">
        <f>A7524</f>
        <v>Lantai 2</v>
      </c>
      <c r="B7548">
        <f>B7524</f>
        <v>56</v>
      </c>
      <c r="C7548" t="str">
        <v>Kait Horizontal Tump.</v>
      </c>
      <c r="D7548">
        <f>VLOOKUP(D7524,'Detail Balok'!$C$10:$BJ$110,46,FALSE)</f>
        <v>0</v>
      </c>
      <c r="E7548" t="str">
        <v>D</v>
      </c>
      <c r="F7548">
        <f>VLOOKUP(D7524,'Detail Balok'!$C$10:$BJ$110,48,FALSE)</f>
        <v>0</v>
      </c>
      <c r="G7548" t="str">
        <v>-</v>
      </c>
      <c r="H7548">
        <f>VLOOKUP(D7524,'Detail Balok'!$C$10:$BJ$110,50,FALSE)</f>
        <v>100</v>
      </c>
      <c r="J7548">
        <f>(D7525-2*F$5)/1000</f>
        <v>0.12</v>
      </c>
      <c r="K7548" t="str">
        <v>+</v>
      </c>
      <c r="L7548">
        <f>IF(D7548=0,2*MAX(6*F7548,75),(D7548-1)*2*MAX(6*F7548,75))/1000</f>
        <v>0.15</v>
      </c>
      <c r="M7548" t="str">
        <v>=</v>
      </c>
      <c r="N7548">
        <f>J7548+L7548</f>
        <v>0.27</v>
      </c>
      <c r="T7548" t="str">
        <v>x</v>
      </c>
      <c r="U7548">
        <f>0.006165*F7548^2</f>
        <v>0</v>
      </c>
      <c r="V7548" t="str">
        <v>x</v>
      </c>
      <c r="W7548">
        <f>W7544</f>
        <v>14</v>
      </c>
      <c r="X7548" t="str">
        <v>x</v>
      </c>
      <c r="Y7548">
        <f>D7534</f>
        <v>0</v>
      </c>
      <c r="Z7548" t="str">
        <v>=</v>
      </c>
      <c r="AA7548">
        <f>N7548*U7548*W7548*Y7548</f>
        <v>0</v>
      </c>
    </row>
    <row r="7549">
      <c r="A7549" t="str">
        <f>A7524</f>
        <v>Lantai 2</v>
      </c>
      <c r="B7549">
        <f>B7524</f>
        <v>56</v>
      </c>
      <c r="C7549" t="str">
        <v>Kait Horizontal Lap.</v>
      </c>
      <c r="D7549">
        <f>VLOOKUP(D7524,'Detail Balok'!$C$10:$BJ$110,51,FALSE)</f>
        <v>0</v>
      </c>
      <c r="E7549" t="str">
        <v>D</v>
      </c>
      <c r="F7549">
        <f>VLOOKUP(D7524,'Detail Balok'!$C$10:$BJ$110,53,FALSE)</f>
        <v>0</v>
      </c>
      <c r="G7549" t="str">
        <v>-</v>
      </c>
      <c r="H7549">
        <f>VLOOKUP(D7524,'Detail Balok'!$C$10:$BJ$110,55,FALSE)</f>
        <v>100</v>
      </c>
      <c r="J7549">
        <f>(D7525-2*F$5)/1000</f>
        <v>0.12</v>
      </c>
      <c r="K7549" t="str">
        <v>+</v>
      </c>
      <c r="L7549">
        <f>IF(D7549=0,2*MAX(6*F7549,75),(D7549-1)*2*MAX(6*F7549,75))/1000</f>
        <v>0.15</v>
      </c>
      <c r="M7549" t="str">
        <v>=</v>
      </c>
      <c r="N7549">
        <f>J7549+L7549</f>
        <v>0.27</v>
      </c>
      <c r="T7549" t="str">
        <v>x</v>
      </c>
      <c r="U7549">
        <f>0.006165*F7549^2</f>
        <v>0</v>
      </c>
      <c r="V7549" t="str">
        <v>x</v>
      </c>
      <c r="W7549">
        <f>W7545</f>
        <v>0</v>
      </c>
      <c r="X7549" t="str">
        <v>x</v>
      </c>
      <c r="Y7549">
        <f>D7534</f>
        <v>0</v>
      </c>
      <c r="Z7549" t="str">
        <v>=</v>
      </c>
      <c r="AA7549">
        <f>N7549*U7549*W7549*Y7549</f>
        <v>0</v>
      </c>
    </row>
    <row r="7550">
      <c r="A7550" t="str">
        <f>A7524</f>
        <v>Lantai 2</v>
      </c>
      <c r="B7550">
        <f>B7524</f>
        <v>56</v>
      </c>
      <c r="C7550" t="str">
        <v>Kait Horizontal Tump.</v>
      </c>
      <c r="D7550">
        <f>VLOOKUP(D7524,'Detail Balok'!$C$10:$BJ$110,56,FALSE)</f>
        <v>0</v>
      </c>
      <c r="E7550" t="str">
        <v>D</v>
      </c>
      <c r="F7550">
        <f>VLOOKUP(D7524,'Detail Balok'!$C$10:$BJ$110,58,FALSE)</f>
        <v>0</v>
      </c>
      <c r="G7550" t="str">
        <v>-</v>
      </c>
      <c r="H7550">
        <f>VLOOKUP(D7524,'Detail Balok'!$C$10:$BJ$110,60,FALSE)</f>
        <v>100</v>
      </c>
      <c r="J7550">
        <f>(D7525-2*F$5)/1000</f>
        <v>0.12</v>
      </c>
      <c r="K7550" t="str">
        <v>+</v>
      </c>
      <c r="L7550">
        <f>IF(D7550=0,2*MAX(6*F7550,75),(D7550-1)*2*MAX(6*F7550,75))/1000</f>
        <v>0.15</v>
      </c>
      <c r="M7550" t="str">
        <v>=</v>
      </c>
      <c r="N7550">
        <f>J7550+L7550</f>
        <v>0.27</v>
      </c>
      <c r="T7550" t="str">
        <v>x</v>
      </c>
      <c r="U7550">
        <f>0.006165*F7550^2</f>
        <v>0</v>
      </c>
      <c r="V7550" t="str">
        <v>x</v>
      </c>
      <c r="W7550">
        <f>W7546</f>
        <v>0</v>
      </c>
      <c r="X7550" t="str">
        <v>x</v>
      </c>
      <c r="Y7550">
        <f>D7534</f>
        <v>0</v>
      </c>
      <c r="Z7550" t="str">
        <v>=</v>
      </c>
      <c r="AA7550">
        <f>N7550*U7550*W7550*Y7550</f>
        <v>0</v>
      </c>
    </row>
    <row r="7554">
      <c r="A7554" t="str">
        <f>A7524</f>
        <v>Lantai 2</v>
      </c>
      <c r="B7554">
        <f>B7524+1</f>
        <v>57</v>
      </c>
      <c r="C7554" t="str">
        <f>CONCATENATE(A7554," no. ",B7554)</f>
        <v>Lantai 2 no. 57</v>
      </c>
      <c r="D7554" t="str">
        <f>VLOOKUP(C7554,'Data Panjang Balok'!$C$9:$N$424,2,FALSE)</f>
        <v>B245-6</v>
      </c>
    </row>
    <row r="7555">
      <c r="C7555" t="str">
        <v>Dimensi</v>
      </c>
      <c r="D7555">
        <f>VLOOKUP(D7554,'Detail Balok'!$C$10:$AU$110,2,FALSE)</f>
        <v>200</v>
      </c>
      <c r="F7555" t="str">
        <v>x</v>
      </c>
      <c r="G7555">
        <f>VLOOKUP(D7554,'Detail Balok'!$C$10:$AU$110,3,FALSE)</f>
        <v>450</v>
      </c>
    </row>
    <row r="7556">
      <c r="C7556" t="str">
        <v>Panjang as ke as</v>
      </c>
      <c r="D7556">
        <f>VLOOKUP(C7554,'Data Panjang Balok'!$C$9:$N$424,4,FALSE)</f>
        <v>5100</v>
      </c>
    </row>
    <row r="7557">
      <c r="C7557" t="str">
        <v>Panjang netto</v>
      </c>
      <c r="D7557">
        <f>VLOOKUP(C7554,'Data Panjang Balok'!$C$9:$N$424,7,FALSE)</f>
        <v>5100</v>
      </c>
    </row>
    <row r="7558">
      <c r="C7558" t="str">
        <v>Kolom / balok kiri</v>
      </c>
      <c r="D7558">
        <f>VLOOKUP(C7554,'Data Panjang Balok'!$C$9:$N$424,9,FALSE)</f>
        <v>0</v>
      </c>
    </row>
    <row r="7559">
      <c r="C7559" t="str">
        <v>Kolom / balok kanan</v>
      </c>
      <c r="D7559">
        <f>VLOOKUP(C7554,'Data Panjang Balok'!$C$9:$N$424,10,FALSE)</f>
        <v>0</v>
      </c>
    </row>
    <row r="7560">
      <c r="C7560" t="str">
        <v>Jumlah</v>
      </c>
      <c r="D7560">
        <f>VLOOKUP(C7554,'Data Panjang Balok'!$C$9:$N$424,3,FALSE)</f>
        <v>1</v>
      </c>
    </row>
    <row r="7561">
      <c r="A7561" t="str">
        <f>A7554</f>
        <v>Lantai 2</v>
      </c>
      <c r="B7561">
        <f>B7554</f>
        <v>57</v>
      </c>
      <c r="C7561" t="str">
        <v>Tul Atas Tumpuan</v>
      </c>
      <c r="D7561">
        <f>VLOOKUP(D7554,'Detail Balok'!$C$10:$AU$110,4,FALSE)</f>
        <v>4</v>
      </c>
      <c r="E7561" t="str">
        <v>D</v>
      </c>
      <c r="F7561">
        <f>VLOOKUP(D7554,'Detail Balok'!$C$10:$AU$110,6,FALSE)</f>
        <v>16</v>
      </c>
      <c r="I7561" t="str">
        <v>(</v>
      </c>
      <c r="J7561">
        <f>+D7556/4/1000</f>
        <v>1.275</v>
      </c>
      <c r="K7561" t="str">
        <v>+</v>
      </c>
      <c r="L7561">
        <f>MAX(VLOOKUP(F7561,N$6:P$15,3,FALSE)/1000,2/3*D7558/1000)+F$16*F7561/1000</f>
        <v>0.192</v>
      </c>
      <c r="M7561" t="str">
        <v>=</v>
      </c>
      <c r="N7561">
        <f>J7561+L7561</f>
        <v>1.4669999999999999</v>
      </c>
      <c r="O7561" t="str">
        <v>+</v>
      </c>
      <c r="P7561">
        <f>D7561-D7562</f>
        <v>2</v>
      </c>
      <c r="Q7561" t="str">
        <v>x</v>
      </c>
      <c r="R7561">
        <f>IF(P7561&gt;0,$F$18*F7561/1000,0)</f>
        <v>0.24</v>
      </c>
      <c r="S7561" t="str">
        <v>)</v>
      </c>
      <c r="T7561" t="str">
        <v>x</v>
      </c>
      <c r="U7561">
        <f>0.006165*F7561^2</f>
        <v>1.57824</v>
      </c>
      <c r="X7561" t="str">
        <v>x</v>
      </c>
      <c r="Y7561">
        <f>D7560</f>
        <v>1</v>
      </c>
      <c r="Z7561" t="str">
        <v>=</v>
      </c>
      <c r="AA7561">
        <f>IF(AA7564=0,(D7561*N7561+P7561*R7561)*U7561*Y7561,0)</f>
        <v>10.01866752</v>
      </c>
    </row>
    <row r="7562">
      <c r="A7562" t="str">
        <f>A7554</f>
        <v>Lantai 2</v>
      </c>
      <c r="B7562">
        <f>B7554</f>
        <v>57</v>
      </c>
      <c r="C7562" t="str">
        <v>Tul Atas Lapangan</v>
      </c>
      <c r="D7562">
        <f>VLOOKUP(D7554,'Detail Balok'!$C$10:$AU$110,7,FALSE)</f>
        <v>2</v>
      </c>
      <c r="E7562" t="str">
        <v>D</v>
      </c>
      <c r="F7562">
        <f>VLOOKUP(D7554,'Detail Balok'!$C$10:$AU$110,9,FALSE)</f>
        <v>16</v>
      </c>
      <c r="I7562" t="str">
        <v>(</v>
      </c>
      <c r="J7562">
        <f>+D7556/2/1000</f>
        <v>2.55</v>
      </c>
      <c r="K7562" t="str">
        <v>+</v>
      </c>
      <c r="M7562" t="str">
        <v>=</v>
      </c>
      <c r="N7562">
        <f>J7562+L7562</f>
        <v>2.55</v>
      </c>
      <c r="O7562" t="str">
        <v>+</v>
      </c>
      <c r="P7562">
        <f>MAX(D7562-D7561,D7562-D7563)</f>
        <v>-2</v>
      </c>
      <c r="Q7562" t="str">
        <v>x</v>
      </c>
      <c r="R7562">
        <f>IF(P7562&gt;0,2*(1-2*$F$19-1/2)*D7557/1000,0)</f>
        <v>0</v>
      </c>
      <c r="S7562" t="str">
        <v>)</v>
      </c>
      <c r="T7562" t="str">
        <v>x</v>
      </c>
      <c r="U7562">
        <f>0.006165*F7562^2</f>
        <v>1.57824</v>
      </c>
      <c r="X7562" t="str">
        <v>x</v>
      </c>
      <c r="Y7562">
        <f>D7560</f>
        <v>1</v>
      </c>
      <c r="Z7562" t="str">
        <v>=</v>
      </c>
      <c r="AA7562">
        <f>IF(AA7564=0,(D7562*N7562+P7562*R7562)*U7562*Y7562,0)</f>
        <v>8.049024</v>
      </c>
    </row>
    <row r="7563">
      <c r="A7563" t="str">
        <f>A7554</f>
        <v>Lantai 2</v>
      </c>
      <c r="B7563">
        <f>B7554</f>
        <v>57</v>
      </c>
      <c r="C7563" t="str">
        <v>Tul Atas Tumpuan</v>
      </c>
      <c r="D7563">
        <f>VLOOKUP(D7554,'Detail Balok'!$C$10:$AU$110,10,FALSE)</f>
        <v>4</v>
      </c>
      <c r="E7563" t="str">
        <v>D</v>
      </c>
      <c r="F7563">
        <f>VLOOKUP(D7554,'Detail Balok'!$C$10:$AU$110,12,FALSE)</f>
        <v>16</v>
      </c>
      <c r="I7563" t="str">
        <v>(</v>
      </c>
      <c r="J7563">
        <f>+D7556/4/1000</f>
        <v>1.275</v>
      </c>
      <c r="K7563" t="str">
        <v>+</v>
      </c>
      <c r="L7563">
        <f>MAX(VLOOKUP(F7563,N$6:P$15,3,FALSE)/1000,2/3*D7558/1000)+F$16*F7563/1000</f>
        <v>0.192</v>
      </c>
      <c r="M7563" t="str">
        <v>=</v>
      </c>
      <c r="N7563">
        <f>J7563+L7563</f>
        <v>1.4669999999999999</v>
      </c>
      <c r="O7563" t="str">
        <v>+</v>
      </c>
      <c r="P7563">
        <f>D7563-D7562</f>
        <v>2</v>
      </c>
      <c r="Q7563" t="str">
        <v>x</v>
      </c>
      <c r="R7563">
        <f>IF(P7563&gt;0,$F$18*F7563/1000,0)</f>
        <v>0.24</v>
      </c>
      <c r="S7563" t="str">
        <v>)</v>
      </c>
      <c r="T7563" t="str">
        <v>x</v>
      </c>
      <c r="U7563">
        <f>0.006165*F7563^2</f>
        <v>1.57824</v>
      </c>
      <c r="X7563" t="str">
        <v>x</v>
      </c>
      <c r="Y7563">
        <f>D7560</f>
        <v>1</v>
      </c>
      <c r="Z7563" t="str">
        <v>=</v>
      </c>
      <c r="AA7563">
        <f>IF(AA7564=0,(D7563*N7563+P7563*R7563)*U7563*Y7563,0)</f>
        <v>10.01866752</v>
      </c>
    </row>
    <row r="7564">
      <c r="A7564" t="str">
        <f>A7554</f>
        <v>Lantai 2</v>
      </c>
      <c r="B7564">
        <f>B7554</f>
        <v>57</v>
      </c>
      <c r="D7564">
        <f>IF(AND(D7561=D7562,D7562=D7563,D7561=D7563),D7561,0)</f>
        <v>0</v>
      </c>
      <c r="E7564" t="str">
        <v>D</v>
      </c>
      <c r="F7564">
        <f>IF(AND(F7561=F7562,F7561=F7563,F7562=F7563),F7561,0)</f>
        <v>16</v>
      </c>
      <c r="L7564" t="str">
        <v>Total panjang per balok</v>
      </c>
      <c r="M7564" t="str">
        <v>=</v>
      </c>
      <c r="N7564">
        <f>IF(AND(D7561=D7562,D7561=D7563,D7562=D7563,F7561=F7562,F7561=F7563,F7562=F7563),SUM(N7561:N7563),0)</f>
        <v>0</v>
      </c>
      <c r="O7564" t="str">
        <v>+</v>
      </c>
      <c r="P7564">
        <f>IF(N7564&gt;12,ROUNDDOWN(N7564/12,0),0)</f>
        <v>0</v>
      </c>
      <c r="Q7564" t="str">
        <v>x</v>
      </c>
      <c r="R7564">
        <f>IF(P7564&gt;0,MAX(VLOOKUP(F7564,$D$6:$G$15,3,FALSE),600),0)/1000</f>
        <v>0</v>
      </c>
      <c r="T7564" t="str">
        <v>x</v>
      </c>
      <c r="U7564">
        <f>U7563</f>
        <v>1.57824</v>
      </c>
      <c r="V7564" t="str">
        <v>x</v>
      </c>
      <c r="W7564">
        <f>D7564</f>
        <v>0</v>
      </c>
      <c r="X7564" t="str">
        <v>x</v>
      </c>
      <c r="Y7564">
        <f>Y7563</f>
        <v>1</v>
      </c>
      <c r="Z7564" t="str">
        <v>=</v>
      </c>
      <c r="AA7564">
        <f>(N7564+P7564*R7564/1000)*U7564*W7564*Y7564</f>
        <v>0</v>
      </c>
    </row>
    <row r="7566">
      <c r="A7566" t="str">
        <f>A7554</f>
        <v>Lantai 2</v>
      </c>
      <c r="B7566">
        <f>B7554</f>
        <v>57</v>
      </c>
      <c r="C7566" t="str">
        <v>Tul Peminggang</v>
      </c>
      <c r="D7566">
        <f>VLOOKUP(D7554,'Detail Balok'!$C$10:$AU$110,13,FALSE)</f>
        <v>2</v>
      </c>
      <c r="E7566" t="str">
        <v>D</v>
      </c>
      <c r="F7566">
        <f>VLOOKUP(D7554,'Detail Balok'!$C$10:$AU$110,15,FALSE)</f>
        <v>8</v>
      </c>
      <c r="J7566">
        <f>+D7556/1000</f>
        <v>5.1</v>
      </c>
      <c r="K7566" t="str">
        <v>+</v>
      </c>
      <c r="L7566">
        <f>2*$F$16*F7566/1000</f>
        <v>0.192</v>
      </c>
      <c r="M7566" t="str">
        <v>=</v>
      </c>
      <c r="N7566">
        <f>J7566+L7566</f>
        <v>5.292</v>
      </c>
      <c r="O7566" t="str">
        <v>+</v>
      </c>
      <c r="P7566">
        <f>IF(N7566&gt;12,ROUNDDOWN(N7566/12,0),0)</f>
        <v>0</v>
      </c>
      <c r="Q7566" t="str">
        <v>x</v>
      </c>
      <c r="R7566">
        <f>IF(P7566&gt;0,MAX(VLOOKUP(F7566,$D$6:$G$15,3,FALSE),600),0)/1000</f>
        <v>0</v>
      </c>
      <c r="T7566" t="str">
        <v>x</v>
      </c>
      <c r="U7566">
        <f>0.006165*F7566^2</f>
        <v>0.39456</v>
      </c>
      <c r="V7566" t="str">
        <v>x</v>
      </c>
      <c r="W7566">
        <f>+D7566</f>
        <v>2</v>
      </c>
      <c r="X7566" t="str">
        <v>x</v>
      </c>
      <c r="Y7566">
        <f>D7560</f>
        <v>1</v>
      </c>
      <c r="Z7566" t="str">
        <v>=</v>
      </c>
      <c r="AA7566">
        <f>(N7566+P7566*R7566/1000)*U7566*W7566*Y7566</f>
        <v>4.1760230400000005</v>
      </c>
    </row>
    <row r="7569">
      <c r="A7569" t="str">
        <f>A7554</f>
        <v>Lantai 2</v>
      </c>
      <c r="B7569">
        <f>B7554</f>
        <v>57</v>
      </c>
      <c r="C7569" t="str">
        <v>Tul Bawah Tumpuan</v>
      </c>
      <c r="D7569">
        <f>VLOOKUP(D7554,'Detail Balok'!$C$10:$AU$110,22,FALSE)</f>
        <v>3</v>
      </c>
      <c r="E7569" t="str">
        <v>D</v>
      </c>
      <c r="F7569">
        <f>VLOOKUP(D7554,'Detail Balok'!$C$10:$AU$110,24,FALSE)</f>
        <v>16</v>
      </c>
      <c r="I7569" t="str">
        <v>(</v>
      </c>
      <c r="J7569">
        <f>+J7561</f>
        <v>1.275</v>
      </c>
      <c r="K7569" t="str">
        <v>+</v>
      </c>
      <c r="L7569">
        <f>MAX(VLOOKUP(F7569,N$6:P$15,3,FALSE)/1000,2/3*D7559/1000)+F$16*F7569/1000</f>
        <v>0.192</v>
      </c>
      <c r="M7569" t="str">
        <v>=</v>
      </c>
      <c r="N7569">
        <f>J7569+L7569</f>
        <v>1.4669999999999999</v>
      </c>
      <c r="O7569" t="str">
        <v>+</v>
      </c>
      <c r="P7569">
        <f>D7569-D7570</f>
        <v>0</v>
      </c>
      <c r="Q7569" t="str">
        <v>x</v>
      </c>
      <c r="R7569">
        <f>IF(P7569&gt;0,$F$18*F7569/1000,0)</f>
        <v>0</v>
      </c>
      <c r="S7569" t="str">
        <v>)</v>
      </c>
      <c r="T7569" t="str">
        <v>x</v>
      </c>
      <c r="U7569">
        <f>0.006165*F7569^2</f>
        <v>1.57824</v>
      </c>
      <c r="X7569" t="str">
        <v>x</v>
      </c>
      <c r="Y7569">
        <f>D7560</f>
        <v>1</v>
      </c>
      <c r="Z7569" t="str">
        <v>=</v>
      </c>
      <c r="AA7569">
        <f>IF(AA7572=0,(D7569*N7569+P7569*R7569)*U7569*Y7569,0)</f>
        <v>0</v>
      </c>
    </row>
    <row r="7570">
      <c r="A7570" t="str">
        <f>A7554</f>
        <v>Lantai 2</v>
      </c>
      <c r="B7570">
        <f>B7554</f>
        <v>57</v>
      </c>
      <c r="C7570" t="str">
        <v>Tul Bawah Lapangan</v>
      </c>
      <c r="D7570">
        <f>VLOOKUP(D7554,'Detail Balok'!$C$10:$AU$110,25,FALSE)</f>
        <v>3</v>
      </c>
      <c r="E7570" t="str">
        <v>D</v>
      </c>
      <c r="F7570">
        <f>VLOOKUP(D7554,'Detail Balok'!$C$10:$AU$110,27,FALSE)</f>
        <v>16</v>
      </c>
      <c r="I7570" t="str">
        <v>(</v>
      </c>
      <c r="J7570">
        <f>+J7562</f>
        <v>2.55</v>
      </c>
      <c r="K7570" t="str">
        <v>+</v>
      </c>
      <c r="M7570" t="str">
        <v>=</v>
      </c>
      <c r="N7570">
        <f>J7570+L7570</f>
        <v>2.55</v>
      </c>
      <c r="O7570" t="str">
        <v>+</v>
      </c>
      <c r="P7570">
        <f>MAX(D7570-D7569,D7570-D7571)</f>
        <v>0</v>
      </c>
      <c r="Q7570" t="str">
        <v>x</v>
      </c>
      <c r="R7570">
        <f>IF(P7570&gt;0,2*(1-2*$F$19-1/2)*D7557/1000,0)</f>
        <v>0</v>
      </c>
      <c r="S7570" t="str">
        <v>)</v>
      </c>
      <c r="T7570" t="str">
        <v>x</v>
      </c>
      <c r="U7570">
        <f>0.006165*F7570^2</f>
        <v>1.57824</v>
      </c>
      <c r="X7570" t="str">
        <v>x</v>
      </c>
      <c r="Y7570">
        <f>D7560</f>
        <v>1</v>
      </c>
      <c r="Z7570" t="str">
        <v>=</v>
      </c>
      <c r="AA7570">
        <f>IF(AA7572=0,(D7570*N7570+P7570*R7570)*U7570*Y7570,0)</f>
        <v>0</v>
      </c>
    </row>
    <row r="7571">
      <c r="A7571" t="str">
        <f>A7554</f>
        <v>Lantai 2</v>
      </c>
      <c r="B7571">
        <f>B7554</f>
        <v>57</v>
      </c>
      <c r="C7571" t="str">
        <v>Tul Bawah Tumpuan</v>
      </c>
      <c r="D7571">
        <f>VLOOKUP(D7554,'Detail Balok'!$C$10:$AU$110,28,FALSE)</f>
        <v>3</v>
      </c>
      <c r="E7571" t="str">
        <v>D</v>
      </c>
      <c r="F7571">
        <f>VLOOKUP(D7554,'Detail Balok'!$C$10:$AU$110,30,FALSE)</f>
        <v>16</v>
      </c>
      <c r="I7571" t="str">
        <v>(</v>
      </c>
      <c r="J7571">
        <f>+J7563</f>
        <v>1.275</v>
      </c>
      <c r="K7571" t="str">
        <v>+</v>
      </c>
      <c r="L7571">
        <f>MAX(VLOOKUP(F7571,N$6:P$15,3,FALSE)/1000,2/3*D7559/1000)+F$16*F7571/1000</f>
        <v>0.192</v>
      </c>
      <c r="M7571" t="str">
        <v>=</v>
      </c>
      <c r="N7571">
        <f>J7571+L7571</f>
        <v>1.4669999999999999</v>
      </c>
      <c r="O7571" t="str">
        <v>+</v>
      </c>
      <c r="P7571">
        <f>D7571-D7570</f>
        <v>0</v>
      </c>
      <c r="Q7571" t="str">
        <v>x</v>
      </c>
      <c r="R7571">
        <f>IF(P7571&gt;0,$F$18*F7571/1000,0)</f>
        <v>0</v>
      </c>
      <c r="S7571" t="str">
        <v>)</v>
      </c>
      <c r="T7571" t="str">
        <v>x</v>
      </c>
      <c r="U7571">
        <f>0.006165*F7571^2</f>
        <v>1.57824</v>
      </c>
      <c r="X7571" t="str">
        <v>x</v>
      </c>
      <c r="Y7571">
        <f>D7560</f>
        <v>1</v>
      </c>
      <c r="Z7571" t="str">
        <v>=</v>
      </c>
      <c r="AA7571">
        <f>IF(AA7572=0,(D7571*N7571+P7571*R7571)*U7571*Y7571,0)</f>
        <v>0</v>
      </c>
    </row>
    <row r="7572">
      <c r="A7572" t="str">
        <f>A7554</f>
        <v>Lantai 2</v>
      </c>
      <c r="B7572">
        <f>B7554</f>
        <v>57</v>
      </c>
      <c r="D7572">
        <f>IF(AND(D7569=D7570,D7570=D7571,D7569=D7571),D7569,0)</f>
        <v>3</v>
      </c>
      <c r="E7572" t="str">
        <v>D</v>
      </c>
      <c r="F7572">
        <f>IF(AND(F7569=F7570,F7569=F7571,F7570=F7571),F7569,0)</f>
        <v>16</v>
      </c>
      <c r="L7572" t="str">
        <v>Total panjang per balok</v>
      </c>
      <c r="M7572" t="str">
        <v>=</v>
      </c>
      <c r="N7572">
        <f>IF(AND(D7569=D7570,D7569=D7571,D7570=D7571,F7569=F7570,F7569=F7571,F7570=F7571),SUM(N7569:N7571),0)</f>
        <v>5.483999999999999</v>
      </c>
      <c r="O7572" t="str">
        <v>+</v>
      </c>
      <c r="P7572">
        <f>IF(N7572&gt;12,ROUNDDOWN(N7572/12,0),0)</f>
        <v>0</v>
      </c>
      <c r="Q7572" t="str">
        <v>x</v>
      </c>
      <c r="R7572">
        <f>IF(P7572&gt;0,MAX(VLOOKUP(F7572,$D$6:$G$15,3,FALSE),600),0)/1000</f>
        <v>0</v>
      </c>
      <c r="T7572" t="str">
        <v>x</v>
      </c>
      <c r="U7572">
        <f>U7571</f>
        <v>1.57824</v>
      </c>
      <c r="V7572" t="str">
        <v>x</v>
      </c>
      <c r="W7572">
        <f>D7572</f>
        <v>3</v>
      </c>
      <c r="X7572" t="str">
        <v>x</v>
      </c>
      <c r="Y7572">
        <f>Y7571</f>
        <v>1</v>
      </c>
      <c r="Z7572" t="str">
        <v>=</v>
      </c>
      <c r="AA7572">
        <f>(N7572+P7572*R7572/1000)*U7572*W7572*Y7572</f>
        <v>25.965204479999997</v>
      </c>
    </row>
    <row r="7574">
      <c r="A7574" t="str">
        <f>A7554</f>
        <v>Lantai 2</v>
      </c>
      <c r="B7574">
        <f>B7554</f>
        <v>57</v>
      </c>
      <c r="C7574" t="str">
        <v>Sengkang Tumpuan</v>
      </c>
      <c r="D7574">
        <f>VLOOKUP(D7554,'Detail Balok'!$C$10:$AU$110,31,FALSE)</f>
        <v>0</v>
      </c>
      <c r="E7574" t="str">
        <v>D</v>
      </c>
      <c r="F7574">
        <f>VLOOKUP(D7554,'Detail Balok'!$C$10:$AU$110,33,FALSE)</f>
        <v>8</v>
      </c>
      <c r="G7574" t="str">
        <v>-</v>
      </c>
      <c r="H7574">
        <f>VLOOKUP(D7554,'Detail Balok'!$C$10:$AU$110,35,FALSE)</f>
        <v>75</v>
      </c>
      <c r="J7574">
        <f>(IF(D7574=0,(2*(D7555+G7555))-(F$5*8),IF(D7574=3,(2*(D7555+G7555))-(F$5*8)+(G7555-2*F$5),IF(D7574=4,(2*(D7555+G7555))-(F$5*8)+2*(G7555-2*F$5)))))/1000</f>
        <v>0.98</v>
      </c>
      <c r="K7574" t="str">
        <v>+</v>
      </c>
      <c r="L7574">
        <f>IF(D7574=0,2*MAX(6*F7574,75),(D7574-1)*2*MAX(6*F7574,75))/1000</f>
        <v>0.15</v>
      </c>
      <c r="M7574" t="str">
        <v>=</v>
      </c>
      <c r="N7574">
        <f>J7574+L7574</f>
        <v>1.13</v>
      </c>
      <c r="T7574" t="str">
        <v>x</v>
      </c>
      <c r="U7574">
        <f>0.006165*F7574^2</f>
        <v>0.39456</v>
      </c>
      <c r="V7574" t="str">
        <v>x</v>
      </c>
      <c r="W7574">
        <f>IF(D7557&gt;4*G7555,ROUND(MAX(D7557/4,2*G7555)/H7574,0)+1,ROUND(D7557/H7574,0)+1)</f>
        <v>18</v>
      </c>
      <c r="X7574" t="str">
        <v>x</v>
      </c>
      <c r="Y7574">
        <f>D7560</f>
        <v>1</v>
      </c>
      <c r="Z7574" t="str">
        <v>=</v>
      </c>
      <c r="AA7574">
        <f>N7574*U7574*W7574*Y7574</f>
        <v>8.0253504</v>
      </c>
    </row>
    <row r="7575">
      <c r="A7575" t="str">
        <f>A7554</f>
        <v>Lantai 2</v>
      </c>
      <c r="B7575">
        <f>B7554</f>
        <v>57</v>
      </c>
      <c r="C7575" t="str">
        <v>Sengkang Lapangan</v>
      </c>
      <c r="D7575">
        <f>VLOOKUP(D7554,'Detail Balok'!$C$10:$AU$110,36,FALSE)</f>
        <v>0</v>
      </c>
      <c r="E7575" t="str">
        <v>D</v>
      </c>
      <c r="F7575">
        <f>VLOOKUP(D7554,'Detail Balok'!$C$10:$AU$110,38,FALSE)</f>
        <v>8</v>
      </c>
      <c r="G7575" t="str">
        <v>-</v>
      </c>
      <c r="H7575">
        <f>VLOOKUP(D7554,'Detail Balok'!$C$10:$AU$110,40,FALSE)</f>
        <v>200</v>
      </c>
      <c r="J7575">
        <f>(IF(D7575=0,(2*(D7555+G7555))-(F$5*8),IF(D7575=3,(2*(D7555+G7555))-(F$5*8)+(G7555-2*F$5),IF(D7575=4,(2*(D7555+G7555))-(F$5*8)+2*(G7555-2*F$5)))))/1000</f>
        <v>0.98</v>
      </c>
      <c r="K7575" t="str">
        <v>+</v>
      </c>
      <c r="L7575">
        <f>IF(D7575=0,2*MAX(6*F7575,75),(D7575-1)*2*MAX(6*F7575,75))/1000</f>
        <v>0.15</v>
      </c>
      <c r="M7575" t="str">
        <v>=</v>
      </c>
      <c r="N7575">
        <f>J7575+L7575</f>
        <v>1.13</v>
      </c>
      <c r="T7575" t="str">
        <v>x</v>
      </c>
      <c r="U7575">
        <f>0.006165*F7575^2</f>
        <v>0.39456</v>
      </c>
      <c r="V7575" t="str">
        <v>x</v>
      </c>
      <c r="W7575">
        <f>IF(D7557-MAX(D7557/4,2*G7555)*2&gt;0,ROUND((D7557-MAX(D7557/4,2*G7555)*2)/H7575,0),0)</f>
        <v>13</v>
      </c>
      <c r="X7575" t="str">
        <v>x</v>
      </c>
      <c r="Y7575">
        <f>D7560</f>
        <v>1</v>
      </c>
      <c r="Z7575" t="str">
        <v>=</v>
      </c>
      <c r="AA7575">
        <f>N7575*U7575*W7575*Y7575</f>
        <v>5.7960864</v>
      </c>
    </row>
    <row r="7576">
      <c r="A7576" t="str">
        <f>A7554</f>
        <v>Lantai 2</v>
      </c>
      <c r="B7576">
        <f>B7554</f>
        <v>57</v>
      </c>
      <c r="C7576" t="str">
        <v>Sengkang Tumpuan</v>
      </c>
      <c r="D7576">
        <f>VLOOKUP(D7554,'Detail Balok'!$C$10:$AU$110,41,FALSE)</f>
        <v>0</v>
      </c>
      <c r="E7576" t="str">
        <v>D</v>
      </c>
      <c r="F7576">
        <f>VLOOKUP(D7554,'Detail Balok'!$C$10:$AU$110,43,FALSE)</f>
        <v>8</v>
      </c>
      <c r="G7576" t="str">
        <v>-</v>
      </c>
      <c r="H7576">
        <f>VLOOKUP(D7554,'Detail Balok'!$C$10:$AU$110,45,FALSE)</f>
        <v>75</v>
      </c>
      <c r="J7576">
        <f>(IF(D7576=0,(2*(D7555+G7555))-(F$5*8),IF(D7576=3,(2*(D7555+G7555))-(F$5*8)+(G7555-2*F$5),IF(D7576=4,(2*(D7555+G7555))-(F$5*8)+2*(G7555-2*F$5)))))/1000</f>
        <v>0.98</v>
      </c>
      <c r="K7576" t="str">
        <v>+</v>
      </c>
      <c r="L7576">
        <f>IF(D7576=0,2*MAX(6*F7576,75),(D7576-1)*2*MAX(6*F7576,75))/1000</f>
        <v>0.15</v>
      </c>
      <c r="M7576" t="str">
        <v>=</v>
      </c>
      <c r="N7576">
        <f>J7576+L7576</f>
        <v>1.13</v>
      </c>
      <c r="T7576" t="str">
        <v>x</v>
      </c>
      <c r="U7576">
        <f>0.006165*F7576^2</f>
        <v>0.39456</v>
      </c>
      <c r="V7576" t="str">
        <v>x</v>
      </c>
      <c r="W7576">
        <f>IF(D7557&gt;4*G7555,ROUND(MAX(D7557/4,2*G7555)/H7576,0)+1,0)</f>
        <v>18</v>
      </c>
      <c r="X7576" t="str">
        <v>x</v>
      </c>
      <c r="Y7576">
        <f>D7560</f>
        <v>1</v>
      </c>
      <c r="Z7576" t="str">
        <v>=</v>
      </c>
      <c r="AA7576">
        <f>N7576*U7576*W7576*Y7576</f>
        <v>8.0253504</v>
      </c>
    </row>
    <row r="7578">
      <c r="A7578" t="str">
        <f>A7554</f>
        <v>Lantai 2</v>
      </c>
      <c r="B7578">
        <f>B7554</f>
        <v>57</v>
      </c>
      <c r="C7578" t="str">
        <v>Kait Horizontal Tump.</v>
      </c>
      <c r="D7578">
        <f>VLOOKUP(D7554,'Detail Balok'!$C$10:$BJ$110,46,FALSE)</f>
        <v>0</v>
      </c>
      <c r="E7578" t="str">
        <v>D</v>
      </c>
      <c r="F7578">
        <f>VLOOKUP(D7554,'Detail Balok'!$C$10:$BJ$110,48,FALSE)</f>
        <v>0</v>
      </c>
      <c r="G7578" t="str">
        <v>-</v>
      </c>
      <c r="H7578">
        <f>VLOOKUP(D7554,'Detail Balok'!$C$10:$BJ$110,50,FALSE)</f>
        <v>100</v>
      </c>
      <c r="J7578">
        <f>(D7555-2*F$5)/1000</f>
        <v>0.12</v>
      </c>
      <c r="K7578" t="str">
        <v>+</v>
      </c>
      <c r="L7578">
        <f>IF(D7578=0,2*MAX(6*F7578,75),(D7578-1)*2*MAX(6*F7578,75))/1000</f>
        <v>0.15</v>
      </c>
      <c r="M7578" t="str">
        <v>=</v>
      </c>
      <c r="N7578">
        <f>J7578+L7578</f>
        <v>0.27</v>
      </c>
      <c r="T7578" t="str">
        <v>x</v>
      </c>
      <c r="U7578">
        <f>0.006165*F7578^2</f>
        <v>0</v>
      </c>
      <c r="V7578" t="str">
        <v>x</v>
      </c>
      <c r="W7578">
        <f>W7574</f>
        <v>18</v>
      </c>
      <c r="X7578" t="str">
        <v>x</v>
      </c>
      <c r="Y7578">
        <f>D7564</f>
        <v>0</v>
      </c>
      <c r="Z7578" t="str">
        <v>=</v>
      </c>
      <c r="AA7578">
        <f>N7578*U7578*W7578*Y7578</f>
        <v>0</v>
      </c>
    </row>
    <row r="7579">
      <c r="A7579" t="str">
        <f>A7554</f>
        <v>Lantai 2</v>
      </c>
      <c r="B7579">
        <f>B7554</f>
        <v>57</v>
      </c>
      <c r="C7579" t="str">
        <v>Kait Horizontal Lap.</v>
      </c>
      <c r="D7579">
        <f>VLOOKUP(D7554,'Detail Balok'!$C$10:$BJ$110,51,FALSE)</f>
        <v>0</v>
      </c>
      <c r="E7579" t="str">
        <v>D</v>
      </c>
      <c r="F7579">
        <f>VLOOKUP(D7554,'Detail Balok'!$C$10:$BJ$110,53,FALSE)</f>
        <v>0</v>
      </c>
      <c r="G7579" t="str">
        <v>-</v>
      </c>
      <c r="H7579">
        <f>VLOOKUP(D7554,'Detail Balok'!$C$10:$BJ$110,55,FALSE)</f>
        <v>100</v>
      </c>
      <c r="J7579">
        <f>(D7555-2*F$5)/1000</f>
        <v>0.12</v>
      </c>
      <c r="K7579" t="str">
        <v>+</v>
      </c>
      <c r="L7579">
        <f>IF(D7579=0,2*MAX(6*F7579,75),(D7579-1)*2*MAX(6*F7579,75))/1000</f>
        <v>0.15</v>
      </c>
      <c r="M7579" t="str">
        <v>=</v>
      </c>
      <c r="N7579">
        <f>J7579+L7579</f>
        <v>0.27</v>
      </c>
      <c r="T7579" t="str">
        <v>x</v>
      </c>
      <c r="U7579">
        <f>0.006165*F7579^2</f>
        <v>0</v>
      </c>
      <c r="V7579" t="str">
        <v>x</v>
      </c>
      <c r="W7579">
        <f>W7575</f>
        <v>13</v>
      </c>
      <c r="X7579" t="str">
        <v>x</v>
      </c>
      <c r="Y7579">
        <f>D7564</f>
        <v>0</v>
      </c>
      <c r="Z7579" t="str">
        <v>=</v>
      </c>
      <c r="AA7579">
        <f>N7579*U7579*W7579*Y7579</f>
        <v>0</v>
      </c>
    </row>
    <row r="7580">
      <c r="A7580" t="str">
        <f>A7554</f>
        <v>Lantai 2</v>
      </c>
      <c r="B7580">
        <f>B7554</f>
        <v>57</v>
      </c>
      <c r="C7580" t="str">
        <v>Kait Horizontal Tump.</v>
      </c>
      <c r="D7580">
        <f>VLOOKUP(D7554,'Detail Balok'!$C$10:$BJ$110,56,FALSE)</f>
        <v>0</v>
      </c>
      <c r="E7580" t="str">
        <v>D</v>
      </c>
      <c r="F7580">
        <f>VLOOKUP(D7554,'Detail Balok'!$C$10:$BJ$110,58,FALSE)</f>
        <v>0</v>
      </c>
      <c r="G7580" t="str">
        <v>-</v>
      </c>
      <c r="H7580">
        <f>VLOOKUP(D7554,'Detail Balok'!$C$10:$BJ$110,60,FALSE)</f>
        <v>100</v>
      </c>
      <c r="J7580">
        <f>(D7555-2*F$5)/1000</f>
        <v>0.12</v>
      </c>
      <c r="K7580" t="str">
        <v>+</v>
      </c>
      <c r="L7580">
        <f>IF(D7580=0,2*MAX(6*F7580,75),(D7580-1)*2*MAX(6*F7580,75))/1000</f>
        <v>0.15</v>
      </c>
      <c r="M7580" t="str">
        <v>=</v>
      </c>
      <c r="N7580">
        <f>J7580+L7580</f>
        <v>0.27</v>
      </c>
      <c r="T7580" t="str">
        <v>x</v>
      </c>
      <c r="U7580">
        <f>0.006165*F7580^2</f>
        <v>0</v>
      </c>
      <c r="V7580" t="str">
        <v>x</v>
      </c>
      <c r="W7580">
        <f>W7576</f>
        <v>18</v>
      </c>
      <c r="X7580" t="str">
        <v>x</v>
      </c>
      <c r="Y7580">
        <f>D7564</f>
        <v>0</v>
      </c>
      <c r="Z7580" t="str">
        <v>=</v>
      </c>
      <c r="AA7580">
        <f>N7580*U7580*W7580*Y7580</f>
        <v>0</v>
      </c>
    </row>
    <row r="7584">
      <c r="A7584" t="str">
        <f>A7554</f>
        <v>Lantai 2</v>
      </c>
      <c r="B7584">
        <f>B7554+1</f>
        <v>58</v>
      </c>
      <c r="C7584" t="str">
        <f>CONCATENATE(A7584," no. ",B7584)</f>
        <v>Lantai 2 no. 58</v>
      </c>
      <c r="D7584" t="str">
        <f>VLOOKUP(C7584,'Data Panjang Balok'!$C$9:$N$424,2,FALSE)</f>
        <v>B26-2</v>
      </c>
    </row>
    <row r="7585">
      <c r="C7585" t="str">
        <v>Dimensi</v>
      </c>
      <c r="D7585">
        <f>VLOOKUP(D7584,'Detail Balok'!$C$10:$AU$110,2,FALSE)</f>
        <v>200</v>
      </c>
      <c r="F7585" t="str">
        <v>x</v>
      </c>
      <c r="G7585">
        <f>VLOOKUP(D7584,'Detail Balok'!$C$10:$AU$110,3,FALSE)</f>
        <v>600</v>
      </c>
    </row>
    <row r="7586">
      <c r="C7586" t="str">
        <v>Panjang as ke as</v>
      </c>
      <c r="D7586">
        <f>VLOOKUP(C7584,'Data Panjang Balok'!$C$9:$N$424,4,FALSE)</f>
        <v>8150</v>
      </c>
    </row>
    <row r="7587">
      <c r="C7587" t="str">
        <v>Panjang netto</v>
      </c>
      <c r="D7587">
        <f>VLOOKUP(C7584,'Data Panjang Balok'!$C$9:$N$424,7,FALSE)</f>
        <v>8150</v>
      </c>
    </row>
    <row r="7588">
      <c r="C7588" t="str">
        <v>Kolom / balok kiri</v>
      </c>
      <c r="D7588">
        <f>VLOOKUP(C7584,'Data Panjang Balok'!$C$9:$N$424,9,FALSE)</f>
        <v>0</v>
      </c>
    </row>
    <row r="7589">
      <c r="C7589" t="str">
        <v>Kolom / balok kanan</v>
      </c>
      <c r="D7589">
        <f>VLOOKUP(C7584,'Data Panjang Balok'!$C$9:$N$424,10,FALSE)</f>
        <v>0</v>
      </c>
    </row>
    <row r="7590">
      <c r="C7590" t="str">
        <v>Jumlah</v>
      </c>
      <c r="D7590">
        <f>VLOOKUP(C7584,'Data Panjang Balok'!$C$9:$N$424,3,FALSE)</f>
        <v>1</v>
      </c>
    </row>
    <row r="7591">
      <c r="A7591" t="str">
        <f>A7584</f>
        <v>Lantai 2</v>
      </c>
      <c r="B7591">
        <f>B7584</f>
        <v>58</v>
      </c>
      <c r="C7591" t="str">
        <v>Tul Atas Tumpuan</v>
      </c>
      <c r="D7591">
        <f>VLOOKUP(D7584,'Detail Balok'!$C$10:$AU$110,4,FALSE)</f>
        <v>6</v>
      </c>
      <c r="E7591" t="str">
        <v>D</v>
      </c>
      <c r="F7591">
        <f>VLOOKUP(D7584,'Detail Balok'!$C$10:$AU$110,6,FALSE)</f>
        <v>16</v>
      </c>
      <c r="I7591" t="str">
        <v>(</v>
      </c>
      <c r="J7591">
        <f>+D7586/4/1000</f>
        <v>2.0375</v>
      </c>
      <c r="K7591" t="str">
        <v>+</v>
      </c>
      <c r="L7591">
        <f>MAX(VLOOKUP(F7591,N$6:P$15,3,FALSE)/1000,2/3*D7588/1000)+F$16*F7591/1000</f>
        <v>0.192</v>
      </c>
      <c r="M7591" t="str">
        <v>=</v>
      </c>
      <c r="N7591">
        <f>J7591+L7591</f>
        <v>2.2295000000000003</v>
      </c>
      <c r="O7591" t="str">
        <v>+</v>
      </c>
      <c r="P7591">
        <f>D7591-D7592</f>
        <v>4</v>
      </c>
      <c r="Q7591" t="str">
        <v>x</v>
      </c>
      <c r="R7591">
        <f>IF(P7591&gt;0,$F$18*F7591/1000,0)</f>
        <v>0.24</v>
      </c>
      <c r="S7591" t="str">
        <v>)</v>
      </c>
      <c r="T7591" t="str">
        <v>x</v>
      </c>
      <c r="U7591">
        <f>0.006165*F7591^2</f>
        <v>1.57824</v>
      </c>
      <c r="X7591" t="str">
        <v>x</v>
      </c>
      <c r="Y7591">
        <f>D7590</f>
        <v>1</v>
      </c>
      <c r="Z7591" t="str">
        <v>=</v>
      </c>
      <c r="AA7591">
        <f>IF(AA7594=0,(D7591*N7591+P7591*R7591)*U7591*Y7591,0)</f>
        <v>22.627226880000006</v>
      </c>
    </row>
    <row r="7592">
      <c r="A7592" t="str">
        <f>A7584</f>
        <v>Lantai 2</v>
      </c>
      <c r="B7592">
        <f>B7584</f>
        <v>58</v>
      </c>
      <c r="C7592" t="str">
        <v>Tul Atas Lapangan</v>
      </c>
      <c r="D7592">
        <f>VLOOKUP(D7584,'Detail Balok'!$C$10:$AU$110,7,FALSE)</f>
        <v>2</v>
      </c>
      <c r="E7592" t="str">
        <v>D</v>
      </c>
      <c r="F7592">
        <f>VLOOKUP(D7584,'Detail Balok'!$C$10:$AU$110,9,FALSE)</f>
        <v>16</v>
      </c>
      <c r="I7592" t="str">
        <v>(</v>
      </c>
      <c r="J7592">
        <f>+D7586/2/1000</f>
        <v>4.075</v>
      </c>
      <c r="K7592" t="str">
        <v>+</v>
      </c>
      <c r="M7592" t="str">
        <v>=</v>
      </c>
      <c r="N7592">
        <f>J7592+L7592</f>
        <v>4.075</v>
      </c>
      <c r="O7592" t="str">
        <v>+</v>
      </c>
      <c r="P7592">
        <f>MAX(D7592-D7591,D7592-D7593)</f>
        <v>-4</v>
      </c>
      <c r="Q7592" t="str">
        <v>x</v>
      </c>
      <c r="R7592">
        <f>IF(P7592&gt;0,2*(1-2*$F$19-1/2)*D7587/1000,0)</f>
        <v>0</v>
      </c>
      <c r="S7592" t="str">
        <v>)</v>
      </c>
      <c r="T7592" t="str">
        <v>x</v>
      </c>
      <c r="U7592">
        <f>0.006165*F7592^2</f>
        <v>1.57824</v>
      </c>
      <c r="X7592" t="str">
        <v>x</v>
      </c>
      <c r="Y7592">
        <f>D7590</f>
        <v>1</v>
      </c>
      <c r="Z7592" t="str">
        <v>=</v>
      </c>
      <c r="AA7592">
        <f>IF(AA7594=0,(D7592*N7592+P7592*R7592)*U7592*Y7592,0)</f>
        <v>12.862656000000001</v>
      </c>
    </row>
    <row r="7593">
      <c r="A7593" t="str">
        <f>A7584</f>
        <v>Lantai 2</v>
      </c>
      <c r="B7593">
        <f>B7584</f>
        <v>58</v>
      </c>
      <c r="C7593" t="str">
        <v>Tul Atas Tumpuan</v>
      </c>
      <c r="D7593">
        <f>VLOOKUP(D7584,'Detail Balok'!$C$10:$AU$110,10,FALSE)</f>
        <v>6</v>
      </c>
      <c r="E7593" t="str">
        <v>D</v>
      </c>
      <c r="F7593">
        <f>VLOOKUP(D7584,'Detail Balok'!$C$10:$AU$110,12,FALSE)</f>
        <v>16</v>
      </c>
      <c r="I7593" t="str">
        <v>(</v>
      </c>
      <c r="J7593">
        <f>+D7586/4/1000</f>
        <v>2.0375</v>
      </c>
      <c r="K7593" t="str">
        <v>+</v>
      </c>
      <c r="L7593">
        <f>MAX(VLOOKUP(F7593,N$6:P$15,3,FALSE)/1000,2/3*D7588/1000)+F$16*F7593/1000</f>
        <v>0.192</v>
      </c>
      <c r="M7593" t="str">
        <v>=</v>
      </c>
      <c r="N7593">
        <f>J7593+L7593</f>
        <v>2.2295000000000003</v>
      </c>
      <c r="O7593" t="str">
        <v>+</v>
      </c>
      <c r="P7593">
        <f>D7593-D7592</f>
        <v>4</v>
      </c>
      <c r="Q7593" t="str">
        <v>x</v>
      </c>
      <c r="R7593">
        <f>IF(P7593&gt;0,$F$18*F7593/1000,0)</f>
        <v>0.24</v>
      </c>
      <c r="S7593" t="str">
        <v>)</v>
      </c>
      <c r="T7593" t="str">
        <v>x</v>
      </c>
      <c r="U7593">
        <f>0.006165*F7593^2</f>
        <v>1.57824</v>
      </c>
      <c r="X7593" t="str">
        <v>x</v>
      </c>
      <c r="Y7593">
        <f>D7590</f>
        <v>1</v>
      </c>
      <c r="Z7593" t="str">
        <v>=</v>
      </c>
      <c r="AA7593">
        <f>IF(AA7594=0,(D7593*N7593+P7593*R7593)*U7593*Y7593,0)</f>
        <v>22.627226880000006</v>
      </c>
    </row>
    <row r="7594">
      <c r="A7594" t="str">
        <f>A7584</f>
        <v>Lantai 2</v>
      </c>
      <c r="B7594">
        <f>B7584</f>
        <v>58</v>
      </c>
      <c r="D7594">
        <f>IF(AND(D7591=D7592,D7592=D7593,D7591=D7593),D7591,0)</f>
        <v>0</v>
      </c>
      <c r="E7594" t="str">
        <v>D</v>
      </c>
      <c r="F7594">
        <f>IF(AND(F7591=F7592,F7591=F7593,F7592=F7593),F7591,0)</f>
        <v>16</v>
      </c>
      <c r="L7594" t="str">
        <v>Total panjang per balok</v>
      </c>
      <c r="M7594" t="str">
        <v>=</v>
      </c>
      <c r="N7594">
        <f>IF(AND(D7591=D7592,D7591=D7593,D7592=D7593,F7591=F7592,F7591=F7593,F7592=F7593),SUM(N7591:N7593),0)</f>
        <v>0</v>
      </c>
      <c r="O7594" t="str">
        <v>+</v>
      </c>
      <c r="P7594">
        <f>IF(N7594&gt;12,ROUNDDOWN(N7594/12,0),0)</f>
        <v>0</v>
      </c>
      <c r="Q7594" t="str">
        <v>x</v>
      </c>
      <c r="R7594">
        <f>IF(P7594&gt;0,MAX(VLOOKUP(F7594,$D$6:$G$15,3,FALSE),600),0)/1000</f>
        <v>0</v>
      </c>
      <c r="T7594" t="str">
        <v>x</v>
      </c>
      <c r="U7594">
        <f>U7593</f>
        <v>1.57824</v>
      </c>
      <c r="V7594" t="str">
        <v>x</v>
      </c>
      <c r="W7594">
        <f>D7594</f>
        <v>0</v>
      </c>
      <c r="X7594" t="str">
        <v>x</v>
      </c>
      <c r="Y7594">
        <f>Y7593</f>
        <v>1</v>
      </c>
      <c r="Z7594" t="str">
        <v>=</v>
      </c>
      <c r="AA7594">
        <f>(N7594+P7594*R7594/1000)*U7594*W7594*Y7594</f>
        <v>0</v>
      </c>
    </row>
    <row r="7596">
      <c r="A7596" t="str">
        <f>A7584</f>
        <v>Lantai 2</v>
      </c>
      <c r="B7596">
        <f>B7584</f>
        <v>58</v>
      </c>
      <c r="C7596" t="str">
        <v>Tul Peminggang</v>
      </c>
      <c r="D7596">
        <f>VLOOKUP(D7584,'Detail Balok'!$C$10:$AU$110,13,FALSE)</f>
        <v>2</v>
      </c>
      <c r="E7596" t="str">
        <v>D</v>
      </c>
      <c r="F7596">
        <f>VLOOKUP(D7584,'Detail Balok'!$C$10:$AU$110,15,FALSE)</f>
        <v>10</v>
      </c>
      <c r="J7596">
        <f>+D7586/1000</f>
        <v>8.15</v>
      </c>
      <c r="K7596" t="str">
        <v>+</v>
      </c>
      <c r="L7596">
        <f>2*$F$16*F7596/1000</f>
        <v>0.24</v>
      </c>
      <c r="M7596" t="str">
        <v>=</v>
      </c>
      <c r="N7596">
        <f>J7596+L7596</f>
        <v>8.39</v>
      </c>
      <c r="O7596" t="str">
        <v>+</v>
      </c>
      <c r="P7596">
        <f>IF(N7596&gt;12,ROUNDDOWN(N7596/12,0),0)</f>
        <v>0</v>
      </c>
      <c r="Q7596" t="str">
        <v>x</v>
      </c>
      <c r="R7596">
        <f>IF(P7596&gt;0,MAX(VLOOKUP(F7596,$D$6:$G$15,3,FALSE),600),0)/1000</f>
        <v>0</v>
      </c>
      <c r="T7596" t="str">
        <v>x</v>
      </c>
      <c r="U7596">
        <f>0.006165*F7596^2</f>
        <v>0.6165</v>
      </c>
      <c r="V7596" t="str">
        <v>x</v>
      </c>
      <c r="W7596">
        <f>+D7596</f>
        <v>2</v>
      </c>
      <c r="X7596" t="str">
        <v>x</v>
      </c>
      <c r="Y7596">
        <f>D7590</f>
        <v>1</v>
      </c>
      <c r="Z7596" t="str">
        <v>=</v>
      </c>
      <c r="AA7596">
        <f>(N7596+P7596*R7596/1000)*U7596*W7596*Y7596</f>
        <v>10.344870000000002</v>
      </c>
    </row>
    <row r="7599">
      <c r="A7599" t="str">
        <f>A7584</f>
        <v>Lantai 2</v>
      </c>
      <c r="B7599">
        <f>B7584</f>
        <v>58</v>
      </c>
      <c r="C7599" t="str">
        <v>Tul Bawah Tumpuan</v>
      </c>
      <c r="D7599">
        <f>VLOOKUP(D7584,'Detail Balok'!$C$10:$AU$110,22,FALSE)</f>
        <v>3</v>
      </c>
      <c r="E7599" t="str">
        <v>D</v>
      </c>
      <c r="F7599">
        <f>VLOOKUP(D7584,'Detail Balok'!$C$10:$AU$110,24,FALSE)</f>
        <v>16</v>
      </c>
      <c r="I7599" t="str">
        <v>(</v>
      </c>
      <c r="J7599">
        <f>+J7591</f>
        <v>2.0375</v>
      </c>
      <c r="K7599" t="str">
        <v>+</v>
      </c>
      <c r="L7599">
        <f>MAX(VLOOKUP(F7599,N$6:P$15,3,FALSE)/1000,2/3*D7589/1000)+F$16*F7599/1000</f>
        <v>0.192</v>
      </c>
      <c r="M7599" t="str">
        <v>=</v>
      </c>
      <c r="N7599">
        <f>J7599+L7599</f>
        <v>2.2295000000000003</v>
      </c>
      <c r="O7599" t="str">
        <v>+</v>
      </c>
      <c r="P7599">
        <f>D7599-D7600</f>
        <v>-2</v>
      </c>
      <c r="Q7599" t="str">
        <v>x</v>
      </c>
      <c r="R7599">
        <f>IF(P7599&gt;0,$F$18*F7599/1000,0)</f>
        <v>0</v>
      </c>
      <c r="S7599" t="str">
        <v>)</v>
      </c>
      <c r="T7599" t="str">
        <v>x</v>
      </c>
      <c r="U7599">
        <f>0.006165*F7599^2</f>
        <v>1.57824</v>
      </c>
      <c r="X7599" t="str">
        <v>x</v>
      </c>
      <c r="Y7599">
        <f>D7590</f>
        <v>1</v>
      </c>
      <c r="Z7599" t="str">
        <v>=</v>
      </c>
      <c r="AA7599">
        <f>IF(AA7602=0,(D7599*N7599+P7599*R7599)*U7599*Y7599,0)</f>
        <v>10.556058240000002</v>
      </c>
    </row>
    <row r="7600">
      <c r="A7600" t="str">
        <f>A7584</f>
        <v>Lantai 2</v>
      </c>
      <c r="B7600">
        <f>B7584</f>
        <v>58</v>
      </c>
      <c r="C7600" t="str">
        <v>Tul Bawah Lapangan</v>
      </c>
      <c r="D7600">
        <f>VLOOKUP(D7584,'Detail Balok'!$C$10:$AU$110,25,FALSE)</f>
        <v>5</v>
      </c>
      <c r="E7600" t="str">
        <v>D</v>
      </c>
      <c r="F7600">
        <f>VLOOKUP(D7584,'Detail Balok'!$C$10:$AU$110,27,FALSE)</f>
        <v>16</v>
      </c>
      <c r="I7600" t="str">
        <v>(</v>
      </c>
      <c r="J7600">
        <f>+J7592</f>
        <v>4.075</v>
      </c>
      <c r="K7600" t="str">
        <v>+</v>
      </c>
      <c r="M7600" t="str">
        <v>=</v>
      </c>
      <c r="N7600">
        <f>J7600+L7600</f>
        <v>4.075</v>
      </c>
      <c r="O7600" t="str">
        <v>+</v>
      </c>
      <c r="P7600">
        <f>MAX(D7600-D7599,D7600-D7601)</f>
        <v>2</v>
      </c>
      <c r="Q7600" t="str">
        <v>x</v>
      </c>
      <c r="R7600">
        <f>IF(P7600&gt;0,2*(1-2*$F$19-1/2)*D7587/1000,0)</f>
        <v>1.6299999999999994</v>
      </c>
      <c r="S7600" t="str">
        <v>)</v>
      </c>
      <c r="T7600" t="str">
        <v>x</v>
      </c>
      <c r="U7600">
        <f>0.006165*F7600^2</f>
        <v>1.57824</v>
      </c>
      <c r="X7600" t="str">
        <v>x</v>
      </c>
      <c r="Y7600">
        <f>D7590</f>
        <v>1</v>
      </c>
      <c r="Z7600" t="str">
        <v>=</v>
      </c>
      <c r="AA7600">
        <f>IF(AA7602=0,(D7600*N7600+P7600*R7600)*U7600*Y7600,0)</f>
        <v>37.301702399999996</v>
      </c>
    </row>
    <row r="7601">
      <c r="A7601" t="str">
        <f>A7584</f>
        <v>Lantai 2</v>
      </c>
      <c r="B7601">
        <f>B7584</f>
        <v>58</v>
      </c>
      <c r="C7601" t="str">
        <v>Tul Bawah Tumpuan</v>
      </c>
      <c r="D7601">
        <f>VLOOKUP(D7584,'Detail Balok'!$C$10:$AU$110,28,FALSE)</f>
        <v>3</v>
      </c>
      <c r="E7601" t="str">
        <v>D</v>
      </c>
      <c r="F7601">
        <f>VLOOKUP(D7584,'Detail Balok'!$C$10:$AU$110,30,FALSE)</f>
        <v>16</v>
      </c>
      <c r="I7601" t="str">
        <v>(</v>
      </c>
      <c r="J7601">
        <f>+J7593</f>
        <v>2.0375</v>
      </c>
      <c r="K7601" t="str">
        <v>+</v>
      </c>
      <c r="L7601">
        <f>MAX(VLOOKUP(F7601,N$6:P$15,3,FALSE)/1000,2/3*D7589/1000)+F$16*F7601/1000</f>
        <v>0.192</v>
      </c>
      <c r="M7601" t="str">
        <v>=</v>
      </c>
      <c r="N7601">
        <f>J7601+L7601</f>
        <v>2.2295000000000003</v>
      </c>
      <c r="O7601" t="str">
        <v>+</v>
      </c>
      <c r="P7601">
        <f>D7601-D7600</f>
        <v>-2</v>
      </c>
      <c r="Q7601" t="str">
        <v>x</v>
      </c>
      <c r="R7601">
        <f>IF(P7601&gt;0,$F$18*F7601/1000,0)</f>
        <v>0</v>
      </c>
      <c r="S7601" t="str">
        <v>)</v>
      </c>
      <c r="T7601" t="str">
        <v>x</v>
      </c>
      <c r="U7601">
        <f>0.006165*F7601^2</f>
        <v>1.57824</v>
      </c>
      <c r="X7601" t="str">
        <v>x</v>
      </c>
      <c r="Y7601">
        <f>D7590</f>
        <v>1</v>
      </c>
      <c r="Z7601" t="str">
        <v>=</v>
      </c>
      <c r="AA7601">
        <f>IF(AA7602=0,(D7601*N7601+P7601*R7601)*U7601*Y7601,0)</f>
        <v>10.556058240000002</v>
      </c>
    </row>
    <row r="7602">
      <c r="A7602" t="str">
        <f>A7584</f>
        <v>Lantai 2</v>
      </c>
      <c r="B7602">
        <f>B7584</f>
        <v>58</v>
      </c>
      <c r="D7602">
        <f>IF(AND(D7599=D7600,D7600=D7601,D7599=D7601),D7599,0)</f>
        <v>0</v>
      </c>
      <c r="E7602" t="str">
        <v>D</v>
      </c>
      <c r="F7602">
        <f>IF(AND(F7599=F7600,F7599=F7601,F7600=F7601),F7599,0)</f>
        <v>16</v>
      </c>
      <c r="L7602" t="str">
        <v>Total panjang per balok</v>
      </c>
      <c r="M7602" t="str">
        <v>=</v>
      </c>
      <c r="N7602">
        <f>IF(AND(D7599=D7600,D7599=D7601,D7600=D7601,F7599=F7600,F7599=F7601,F7600=F7601),SUM(N7599:N7601),0)</f>
        <v>0</v>
      </c>
      <c r="O7602" t="str">
        <v>+</v>
      </c>
      <c r="P7602">
        <f>IF(N7602&gt;12,ROUNDDOWN(N7602/12,0),0)</f>
        <v>0</v>
      </c>
      <c r="Q7602" t="str">
        <v>x</v>
      </c>
      <c r="R7602">
        <f>IF(P7602&gt;0,MAX(VLOOKUP(F7602,$D$6:$G$15,3,FALSE),600),0)/1000</f>
        <v>0</v>
      </c>
      <c r="T7602" t="str">
        <v>x</v>
      </c>
      <c r="U7602">
        <f>U7601</f>
        <v>1.57824</v>
      </c>
      <c r="V7602" t="str">
        <v>x</v>
      </c>
      <c r="W7602">
        <f>D7602</f>
        <v>0</v>
      </c>
      <c r="X7602" t="str">
        <v>x</v>
      </c>
      <c r="Y7602">
        <f>Y7601</f>
        <v>1</v>
      </c>
      <c r="Z7602" t="str">
        <v>=</v>
      </c>
      <c r="AA7602">
        <f>(N7602+P7602*R7602/1000)*U7602*W7602*Y7602</f>
        <v>0</v>
      </c>
    </row>
    <row r="7604">
      <c r="A7604" t="str">
        <f>A7584</f>
        <v>Lantai 2</v>
      </c>
      <c r="B7604">
        <f>B7584</f>
        <v>58</v>
      </c>
      <c r="C7604" t="str">
        <v>Sengkang Tumpuan</v>
      </c>
      <c r="D7604">
        <f>VLOOKUP(D7584,'Detail Balok'!$C$10:$AU$110,31,FALSE)</f>
        <v>0</v>
      </c>
      <c r="E7604" t="str">
        <v>D</v>
      </c>
      <c r="F7604">
        <f>VLOOKUP(D7584,'Detail Balok'!$C$10:$AU$110,33,FALSE)</f>
        <v>10</v>
      </c>
      <c r="G7604" t="str">
        <v>-</v>
      </c>
      <c r="H7604">
        <f>VLOOKUP(D7584,'Detail Balok'!$C$10:$AU$110,35,FALSE)</f>
        <v>100</v>
      </c>
      <c r="J7604">
        <f>(IF(D7604=0,(2*(D7585+G7585))-(F$5*8),IF(D7604=3,(2*(D7585+G7585))-(F$5*8)+(G7585-2*F$5),IF(D7604=4,(2*(D7585+G7585))-(F$5*8)+2*(G7585-2*F$5)))))/1000</f>
        <v>1.28</v>
      </c>
      <c r="K7604" t="str">
        <v>+</v>
      </c>
      <c r="L7604">
        <f>IF(D7604=0,2*MAX(6*F7604,75),(D7604-1)*2*MAX(6*F7604,75))/1000</f>
        <v>0.15</v>
      </c>
      <c r="M7604" t="str">
        <v>=</v>
      </c>
      <c r="N7604">
        <f>J7604+L7604</f>
        <v>1.43</v>
      </c>
      <c r="T7604" t="str">
        <v>x</v>
      </c>
      <c r="U7604">
        <f>0.006165*F7604^2</f>
        <v>0.6165</v>
      </c>
      <c r="V7604" t="str">
        <v>x</v>
      </c>
      <c r="W7604">
        <f>IF(D7587&gt;4*G7585,ROUND(MAX(D7587/4,2*G7585)/H7604,0)+1,ROUND(D7587/H7604,0)+1)</f>
        <v>21</v>
      </c>
      <c r="X7604" t="str">
        <v>x</v>
      </c>
      <c r="Y7604">
        <f>D7590</f>
        <v>1</v>
      </c>
      <c r="Z7604" t="str">
        <v>=</v>
      </c>
      <c r="AA7604">
        <f>N7604*U7604*W7604*Y7604</f>
        <v>18.513495</v>
      </c>
    </row>
    <row r="7605">
      <c r="A7605" t="str">
        <f>A7584</f>
        <v>Lantai 2</v>
      </c>
      <c r="B7605">
        <f>B7584</f>
        <v>58</v>
      </c>
      <c r="C7605" t="str">
        <v>Sengkang Lapangan</v>
      </c>
      <c r="D7605">
        <f>VLOOKUP(D7584,'Detail Balok'!$C$10:$AU$110,36,FALSE)</f>
        <v>0</v>
      </c>
      <c r="E7605" t="str">
        <v>D</v>
      </c>
      <c r="F7605">
        <f>VLOOKUP(D7584,'Detail Balok'!$C$10:$AU$110,38,FALSE)</f>
        <v>10</v>
      </c>
      <c r="G7605" t="str">
        <v>-</v>
      </c>
      <c r="H7605">
        <f>VLOOKUP(D7584,'Detail Balok'!$C$10:$AU$110,40,FALSE)</f>
        <v>200</v>
      </c>
      <c r="J7605">
        <f>(IF(D7605=0,(2*(D7585+G7585))-(F$5*8),IF(D7605=3,(2*(D7585+G7585))-(F$5*8)+(G7585-2*F$5),IF(D7605=4,(2*(D7585+G7585))-(F$5*8)+2*(G7585-2*F$5)))))/1000</f>
        <v>1.28</v>
      </c>
      <c r="K7605" t="str">
        <v>+</v>
      </c>
      <c r="L7605">
        <f>IF(D7605=0,2*MAX(6*F7605,75),(D7605-1)*2*MAX(6*F7605,75))/1000</f>
        <v>0.15</v>
      </c>
      <c r="M7605" t="str">
        <v>=</v>
      </c>
      <c r="N7605">
        <f>J7605+L7605</f>
        <v>1.43</v>
      </c>
      <c r="T7605" t="str">
        <v>x</v>
      </c>
      <c r="U7605">
        <f>0.006165*F7605^2</f>
        <v>0.6165</v>
      </c>
      <c r="V7605" t="str">
        <v>x</v>
      </c>
      <c r="W7605">
        <f>IF(D7587-MAX(D7587/4,2*G7585)*2&gt;0,ROUND((D7587-MAX(D7587/4,2*G7585)*2)/H7605,0),0)</f>
        <v>20</v>
      </c>
      <c r="X7605" t="str">
        <v>x</v>
      </c>
      <c r="Y7605">
        <f>D7590</f>
        <v>1</v>
      </c>
      <c r="Z7605" t="str">
        <v>=</v>
      </c>
      <c r="AA7605">
        <f>N7605*U7605*W7605*Y7605</f>
        <v>17.6319</v>
      </c>
    </row>
    <row r="7606">
      <c r="A7606" t="str">
        <f>A7584</f>
        <v>Lantai 2</v>
      </c>
      <c r="B7606">
        <f>B7584</f>
        <v>58</v>
      </c>
      <c r="C7606" t="str">
        <v>Sengkang Tumpuan</v>
      </c>
      <c r="D7606">
        <f>VLOOKUP(D7584,'Detail Balok'!$C$10:$AU$110,41,FALSE)</f>
        <v>0</v>
      </c>
      <c r="E7606" t="str">
        <v>D</v>
      </c>
      <c r="F7606">
        <f>VLOOKUP(D7584,'Detail Balok'!$C$10:$AU$110,43,FALSE)</f>
        <v>10</v>
      </c>
      <c r="G7606" t="str">
        <v>-</v>
      </c>
      <c r="H7606">
        <f>VLOOKUP(D7584,'Detail Balok'!$C$10:$AU$110,45,FALSE)</f>
        <v>100</v>
      </c>
      <c r="J7606">
        <f>(IF(D7606=0,(2*(D7585+G7585))-(F$5*8),IF(D7606=3,(2*(D7585+G7585))-(F$5*8)+(G7585-2*F$5),IF(D7606=4,(2*(D7585+G7585))-(F$5*8)+2*(G7585-2*F$5)))))/1000</f>
        <v>1.28</v>
      </c>
      <c r="K7606" t="str">
        <v>+</v>
      </c>
      <c r="L7606">
        <f>IF(D7606=0,2*MAX(6*F7606,75),(D7606-1)*2*MAX(6*F7606,75))/1000</f>
        <v>0.15</v>
      </c>
      <c r="M7606" t="str">
        <v>=</v>
      </c>
      <c r="N7606">
        <f>J7606+L7606</f>
        <v>1.43</v>
      </c>
      <c r="T7606" t="str">
        <v>x</v>
      </c>
      <c r="U7606">
        <f>0.006165*F7606^2</f>
        <v>0.6165</v>
      </c>
      <c r="V7606" t="str">
        <v>x</v>
      </c>
      <c r="W7606">
        <f>IF(D7587&gt;4*G7585,ROUND(MAX(D7587/4,2*G7585)/H7606,0)+1,0)</f>
        <v>21</v>
      </c>
      <c r="X7606" t="str">
        <v>x</v>
      </c>
      <c r="Y7606">
        <f>D7590</f>
        <v>1</v>
      </c>
      <c r="Z7606" t="str">
        <v>=</v>
      </c>
      <c r="AA7606">
        <f>N7606*U7606*W7606*Y7606</f>
        <v>18.513495</v>
      </c>
    </row>
    <row r="7608">
      <c r="A7608" t="str">
        <f>A7584</f>
        <v>Lantai 2</v>
      </c>
      <c r="B7608">
        <f>B7584</f>
        <v>58</v>
      </c>
      <c r="C7608" t="str">
        <v>Kait Horizontal Tump.</v>
      </c>
      <c r="D7608">
        <f>VLOOKUP(D7584,'Detail Balok'!$C$10:$BJ$110,46,FALSE)</f>
        <v>0</v>
      </c>
      <c r="E7608" t="str">
        <v>D</v>
      </c>
      <c r="F7608">
        <f>VLOOKUP(D7584,'Detail Balok'!$C$10:$BJ$110,48,FALSE)</f>
        <v>0</v>
      </c>
      <c r="G7608" t="str">
        <v>-</v>
      </c>
      <c r="H7608">
        <f>VLOOKUP(D7584,'Detail Balok'!$C$10:$BJ$110,50,FALSE)</f>
        <v>100</v>
      </c>
      <c r="J7608">
        <f>(D7585-2*F$5)/1000</f>
        <v>0.12</v>
      </c>
      <c r="K7608" t="str">
        <v>+</v>
      </c>
      <c r="L7608">
        <f>IF(D7608=0,2*MAX(6*F7608,75),(D7608-1)*2*MAX(6*F7608,75))/1000</f>
        <v>0.15</v>
      </c>
      <c r="M7608" t="str">
        <v>=</v>
      </c>
      <c r="N7608">
        <f>J7608+L7608</f>
        <v>0.27</v>
      </c>
      <c r="T7608" t="str">
        <v>x</v>
      </c>
      <c r="U7608">
        <f>0.006165*F7608^2</f>
        <v>0</v>
      </c>
      <c r="V7608" t="str">
        <v>x</v>
      </c>
      <c r="W7608">
        <f>W7604</f>
        <v>21</v>
      </c>
      <c r="X7608" t="str">
        <v>x</v>
      </c>
      <c r="Y7608">
        <f>D7594</f>
        <v>0</v>
      </c>
      <c r="Z7608" t="str">
        <v>=</v>
      </c>
      <c r="AA7608">
        <f>N7608*U7608*W7608*Y7608</f>
        <v>0</v>
      </c>
    </row>
    <row r="7609">
      <c r="A7609" t="str">
        <f>A7584</f>
        <v>Lantai 2</v>
      </c>
      <c r="B7609">
        <f>B7584</f>
        <v>58</v>
      </c>
      <c r="C7609" t="str">
        <v>Kait Horizontal Lap.</v>
      </c>
      <c r="D7609">
        <f>VLOOKUP(D7584,'Detail Balok'!$C$10:$BJ$110,51,FALSE)</f>
        <v>0</v>
      </c>
      <c r="E7609" t="str">
        <v>D</v>
      </c>
      <c r="F7609">
        <f>VLOOKUP(D7584,'Detail Balok'!$C$10:$BJ$110,53,FALSE)</f>
        <v>0</v>
      </c>
      <c r="G7609" t="str">
        <v>-</v>
      </c>
      <c r="H7609">
        <f>VLOOKUP(D7584,'Detail Balok'!$C$10:$BJ$110,55,FALSE)</f>
        <v>100</v>
      </c>
      <c r="J7609">
        <f>(D7585-2*F$5)/1000</f>
        <v>0.12</v>
      </c>
      <c r="K7609" t="str">
        <v>+</v>
      </c>
      <c r="L7609">
        <f>IF(D7609=0,2*MAX(6*F7609,75),(D7609-1)*2*MAX(6*F7609,75))/1000</f>
        <v>0.15</v>
      </c>
      <c r="M7609" t="str">
        <v>=</v>
      </c>
      <c r="N7609">
        <f>J7609+L7609</f>
        <v>0.27</v>
      </c>
      <c r="T7609" t="str">
        <v>x</v>
      </c>
      <c r="U7609">
        <f>0.006165*F7609^2</f>
        <v>0</v>
      </c>
      <c r="V7609" t="str">
        <v>x</v>
      </c>
      <c r="W7609">
        <f>W7605</f>
        <v>20</v>
      </c>
      <c r="X7609" t="str">
        <v>x</v>
      </c>
      <c r="Y7609">
        <f>D7594</f>
        <v>0</v>
      </c>
      <c r="Z7609" t="str">
        <v>=</v>
      </c>
      <c r="AA7609">
        <f>N7609*U7609*W7609*Y7609</f>
        <v>0</v>
      </c>
    </row>
    <row r="7610">
      <c r="A7610" t="str">
        <f>A7584</f>
        <v>Lantai 2</v>
      </c>
      <c r="B7610">
        <f>B7584</f>
        <v>58</v>
      </c>
      <c r="C7610" t="str">
        <v>Kait Horizontal Tump.</v>
      </c>
      <c r="D7610">
        <f>VLOOKUP(D7584,'Detail Balok'!$C$10:$BJ$110,56,FALSE)</f>
        <v>0</v>
      </c>
      <c r="E7610" t="str">
        <v>D</v>
      </c>
      <c r="F7610">
        <f>VLOOKUP(D7584,'Detail Balok'!$C$10:$BJ$110,58,FALSE)</f>
        <v>0</v>
      </c>
      <c r="G7610" t="str">
        <v>-</v>
      </c>
      <c r="H7610">
        <f>VLOOKUP(D7584,'Detail Balok'!$C$10:$BJ$110,60,FALSE)</f>
        <v>100</v>
      </c>
      <c r="J7610">
        <f>(D7585-2*F$5)/1000</f>
        <v>0.12</v>
      </c>
      <c r="K7610" t="str">
        <v>+</v>
      </c>
      <c r="L7610">
        <f>IF(D7610=0,2*MAX(6*F7610,75),(D7610-1)*2*MAX(6*F7610,75))/1000</f>
        <v>0.15</v>
      </c>
      <c r="M7610" t="str">
        <v>=</v>
      </c>
      <c r="N7610">
        <f>J7610+L7610</f>
        <v>0.27</v>
      </c>
      <c r="T7610" t="str">
        <v>x</v>
      </c>
      <c r="U7610">
        <f>0.006165*F7610^2</f>
        <v>0</v>
      </c>
      <c r="V7610" t="str">
        <v>x</v>
      </c>
      <c r="W7610">
        <f>W7606</f>
        <v>21</v>
      </c>
      <c r="X7610" t="str">
        <v>x</v>
      </c>
      <c r="Y7610">
        <f>D7594</f>
        <v>0</v>
      </c>
      <c r="Z7610" t="str">
        <v>=</v>
      </c>
      <c r="AA7610">
        <f>N7610*U7610*W7610*Y7610</f>
        <v>0</v>
      </c>
    </row>
    <row r="7614">
      <c r="A7614" t="str">
        <f>A7584</f>
        <v>Lantai 2</v>
      </c>
      <c r="B7614">
        <f>B7584+1</f>
        <v>59</v>
      </c>
      <c r="C7614" t="str">
        <f>CONCATENATE(A7614," no. ",B7614)</f>
        <v>Lantai 2 no. 59</v>
      </c>
      <c r="D7614" t="str">
        <f>VLOOKUP(C7614,'Data Panjang Balok'!$C$9:$N$424,2,FALSE)</f>
        <v>B245-3</v>
      </c>
    </row>
    <row r="7615">
      <c r="C7615" t="str">
        <v>Dimensi</v>
      </c>
      <c r="D7615">
        <f>VLOOKUP(D7614,'Detail Balok'!$C$10:$AU$110,2,FALSE)</f>
        <v>200</v>
      </c>
      <c r="F7615" t="str">
        <v>x</v>
      </c>
      <c r="G7615">
        <f>VLOOKUP(D7614,'Detail Balok'!$C$10:$AU$110,3,FALSE)</f>
        <v>450</v>
      </c>
    </row>
    <row r="7616">
      <c r="C7616" t="str">
        <v>Panjang as ke as</v>
      </c>
      <c r="D7616">
        <f>VLOOKUP(C7614,'Data Panjang Balok'!$C$9:$N$424,4,FALSE)</f>
        <v>3100</v>
      </c>
    </row>
    <row r="7617">
      <c r="C7617" t="str">
        <v>Panjang netto</v>
      </c>
      <c r="D7617">
        <f>VLOOKUP(C7614,'Data Panjang Balok'!$C$9:$N$424,7,FALSE)</f>
        <v>3100</v>
      </c>
    </row>
    <row r="7618">
      <c r="C7618" t="str">
        <v>Kolom / balok kiri</v>
      </c>
      <c r="D7618">
        <f>VLOOKUP(C7614,'Data Panjang Balok'!$C$9:$N$424,9,FALSE)</f>
        <v>0</v>
      </c>
    </row>
    <row r="7619">
      <c r="C7619" t="str">
        <v>Kolom / balok kanan</v>
      </c>
      <c r="D7619">
        <f>VLOOKUP(C7614,'Data Panjang Balok'!$C$9:$N$424,10,FALSE)</f>
        <v>0</v>
      </c>
    </row>
    <row r="7620">
      <c r="C7620" t="str">
        <v>Jumlah</v>
      </c>
      <c r="D7620">
        <f>VLOOKUP(C7614,'Data Panjang Balok'!$C$9:$N$424,3,FALSE)</f>
        <v>1</v>
      </c>
    </row>
    <row r="7621">
      <c r="A7621" t="str">
        <f>A7614</f>
        <v>Lantai 2</v>
      </c>
      <c r="B7621">
        <f>B7614</f>
        <v>59</v>
      </c>
      <c r="C7621" t="str">
        <v>Tul Atas Tumpuan</v>
      </c>
      <c r="D7621">
        <f>VLOOKUP(D7614,'Detail Balok'!$C$10:$AU$110,4,FALSE)</f>
        <v>2</v>
      </c>
      <c r="E7621" t="str">
        <v>D</v>
      </c>
      <c r="F7621">
        <f>VLOOKUP(D7614,'Detail Balok'!$C$10:$AU$110,6,FALSE)</f>
        <v>16</v>
      </c>
      <c r="I7621" t="str">
        <v>(</v>
      </c>
      <c r="J7621">
        <f>+D7616/4/1000</f>
        <v>0.775</v>
      </c>
      <c r="K7621" t="str">
        <v>+</v>
      </c>
      <c r="L7621">
        <f>MAX(VLOOKUP(F7621,N$6:P$15,3,FALSE)/1000,2/3*D7618/1000)+F$16*F7621/1000</f>
        <v>0.192</v>
      </c>
      <c r="M7621" t="str">
        <v>=</v>
      </c>
      <c r="N7621">
        <f>J7621+L7621</f>
        <v>0.9670000000000001</v>
      </c>
      <c r="O7621" t="str">
        <v>+</v>
      </c>
      <c r="P7621">
        <f>D7621-D7622</f>
        <v>0</v>
      </c>
      <c r="Q7621" t="str">
        <v>x</v>
      </c>
      <c r="R7621">
        <f>IF(P7621&gt;0,$F$18*F7621/1000,0)</f>
        <v>0</v>
      </c>
      <c r="S7621" t="str">
        <v>)</v>
      </c>
      <c r="T7621" t="str">
        <v>x</v>
      </c>
      <c r="U7621">
        <f>0.006165*F7621^2</f>
        <v>1.57824</v>
      </c>
      <c r="X7621" t="str">
        <v>x</v>
      </c>
      <c r="Y7621">
        <f>D7620</f>
        <v>1</v>
      </c>
      <c r="Z7621" t="str">
        <v>=</v>
      </c>
      <c r="AA7621">
        <f>IF(AA7624=0,(D7621*N7621+P7621*R7621)*U7621*Y7621,0)</f>
        <v>0</v>
      </c>
    </row>
    <row r="7622">
      <c r="A7622" t="str">
        <f>A7614</f>
        <v>Lantai 2</v>
      </c>
      <c r="B7622">
        <f>B7614</f>
        <v>59</v>
      </c>
      <c r="C7622" t="str">
        <v>Tul Atas Lapangan</v>
      </c>
      <c r="D7622">
        <f>VLOOKUP(D7614,'Detail Balok'!$C$10:$AU$110,7,FALSE)</f>
        <v>2</v>
      </c>
      <c r="E7622" t="str">
        <v>D</v>
      </c>
      <c r="F7622">
        <f>VLOOKUP(D7614,'Detail Balok'!$C$10:$AU$110,9,FALSE)</f>
        <v>16</v>
      </c>
      <c r="I7622" t="str">
        <v>(</v>
      </c>
      <c r="J7622">
        <f>+D7616/2/1000</f>
        <v>1.55</v>
      </c>
      <c r="K7622" t="str">
        <v>+</v>
      </c>
      <c r="M7622" t="str">
        <v>=</v>
      </c>
      <c r="N7622">
        <f>J7622+L7622</f>
        <v>1.55</v>
      </c>
      <c r="O7622" t="str">
        <v>+</v>
      </c>
      <c r="P7622">
        <f>MAX(D7622-D7621,D7622-D7623)</f>
        <v>0</v>
      </c>
      <c r="Q7622" t="str">
        <v>x</v>
      </c>
      <c r="R7622">
        <f>IF(P7622&gt;0,2*(1-2*$F$19-1/2)*D7617/1000,0)</f>
        <v>0</v>
      </c>
      <c r="S7622" t="str">
        <v>)</v>
      </c>
      <c r="T7622" t="str">
        <v>x</v>
      </c>
      <c r="U7622">
        <f>0.006165*F7622^2</f>
        <v>1.57824</v>
      </c>
      <c r="X7622" t="str">
        <v>x</v>
      </c>
      <c r="Y7622">
        <f>D7620</f>
        <v>1</v>
      </c>
      <c r="Z7622" t="str">
        <v>=</v>
      </c>
      <c r="AA7622">
        <f>IF(AA7624=0,(D7622*N7622+P7622*R7622)*U7622*Y7622,0)</f>
        <v>0</v>
      </c>
    </row>
    <row r="7623">
      <c r="A7623" t="str">
        <f>A7614</f>
        <v>Lantai 2</v>
      </c>
      <c r="B7623">
        <f>B7614</f>
        <v>59</v>
      </c>
      <c r="C7623" t="str">
        <v>Tul Atas Tumpuan</v>
      </c>
      <c r="D7623">
        <f>VLOOKUP(D7614,'Detail Balok'!$C$10:$AU$110,10,FALSE)</f>
        <v>2</v>
      </c>
      <c r="E7623" t="str">
        <v>D</v>
      </c>
      <c r="F7623">
        <f>VLOOKUP(D7614,'Detail Balok'!$C$10:$AU$110,12,FALSE)</f>
        <v>16</v>
      </c>
      <c r="I7623" t="str">
        <v>(</v>
      </c>
      <c r="J7623">
        <f>+D7616/4/1000</f>
        <v>0.775</v>
      </c>
      <c r="K7623" t="str">
        <v>+</v>
      </c>
      <c r="L7623">
        <f>MAX(VLOOKUP(F7623,N$6:P$15,3,FALSE)/1000,2/3*D7618/1000)+F$16*F7623/1000</f>
        <v>0.192</v>
      </c>
      <c r="M7623" t="str">
        <v>=</v>
      </c>
      <c r="N7623">
        <f>J7623+L7623</f>
        <v>0.9670000000000001</v>
      </c>
      <c r="O7623" t="str">
        <v>+</v>
      </c>
      <c r="P7623">
        <f>D7623-D7622</f>
        <v>0</v>
      </c>
      <c r="Q7623" t="str">
        <v>x</v>
      </c>
      <c r="R7623">
        <f>IF(P7623&gt;0,$F$18*F7623/1000,0)</f>
        <v>0</v>
      </c>
      <c r="S7623" t="str">
        <v>)</v>
      </c>
      <c r="T7623" t="str">
        <v>x</v>
      </c>
      <c r="U7623">
        <f>0.006165*F7623^2</f>
        <v>1.57824</v>
      </c>
      <c r="X7623" t="str">
        <v>x</v>
      </c>
      <c r="Y7623">
        <f>D7620</f>
        <v>1</v>
      </c>
      <c r="Z7623" t="str">
        <v>=</v>
      </c>
      <c r="AA7623">
        <f>IF(AA7624=0,(D7623*N7623+P7623*R7623)*U7623*Y7623,0)</f>
        <v>0</v>
      </c>
    </row>
    <row r="7624">
      <c r="A7624" t="str">
        <f>A7614</f>
        <v>Lantai 2</v>
      </c>
      <c r="B7624">
        <f>B7614</f>
        <v>59</v>
      </c>
      <c r="D7624">
        <f>IF(AND(D7621=D7622,D7622=D7623,D7621=D7623),D7621,0)</f>
        <v>2</v>
      </c>
      <c r="E7624" t="str">
        <v>D</v>
      </c>
      <c r="F7624">
        <f>IF(AND(F7621=F7622,F7621=F7623,F7622=F7623),F7621,0)</f>
        <v>16</v>
      </c>
      <c r="L7624" t="str">
        <v>Total panjang per balok</v>
      </c>
      <c r="M7624" t="str">
        <v>=</v>
      </c>
      <c r="N7624">
        <f>IF(AND(D7621=D7622,D7621=D7623,D7622=D7623,F7621=F7622,F7621=F7623,F7622=F7623),SUM(N7621:N7623),0)</f>
        <v>3.4840000000000004</v>
      </c>
      <c r="O7624" t="str">
        <v>+</v>
      </c>
      <c r="P7624">
        <f>IF(N7624&gt;12,ROUNDDOWN(N7624/12,0),0)</f>
        <v>0</v>
      </c>
      <c r="Q7624" t="str">
        <v>x</v>
      </c>
      <c r="R7624">
        <f>IF(P7624&gt;0,MAX(VLOOKUP(F7624,$D$6:$G$15,3,FALSE),600),0)/1000</f>
        <v>0</v>
      </c>
      <c r="T7624" t="str">
        <v>x</v>
      </c>
      <c r="U7624">
        <f>U7623</f>
        <v>1.57824</v>
      </c>
      <c r="V7624" t="str">
        <v>x</v>
      </c>
      <c r="W7624">
        <f>D7624</f>
        <v>2</v>
      </c>
      <c r="X7624" t="str">
        <v>x</v>
      </c>
      <c r="Y7624">
        <f>Y7623</f>
        <v>1</v>
      </c>
      <c r="Z7624" t="str">
        <v>=</v>
      </c>
      <c r="AA7624">
        <f>(N7624+P7624*R7624/1000)*U7624*W7624*Y7624</f>
        <v>10.997176320000001</v>
      </c>
    </row>
    <row r="7626">
      <c r="A7626" t="str">
        <f>A7614</f>
        <v>Lantai 2</v>
      </c>
      <c r="B7626">
        <f>B7614</f>
        <v>59</v>
      </c>
      <c r="C7626" t="str">
        <v>Tul Peminggang</v>
      </c>
      <c r="D7626">
        <f>VLOOKUP(D7614,'Detail Balok'!$C$10:$AU$110,13,FALSE)</f>
        <v>2</v>
      </c>
      <c r="E7626" t="str">
        <v>D</v>
      </c>
      <c r="F7626">
        <f>VLOOKUP(D7614,'Detail Balok'!$C$10:$AU$110,15,FALSE)</f>
        <v>10</v>
      </c>
      <c r="J7626">
        <f>+D7616/1000</f>
        <v>3.1</v>
      </c>
      <c r="K7626" t="str">
        <v>+</v>
      </c>
      <c r="L7626">
        <f>2*$F$16*F7626/1000</f>
        <v>0.24</v>
      </c>
      <c r="M7626" t="str">
        <v>=</v>
      </c>
      <c r="N7626">
        <f>J7626+L7626</f>
        <v>3.34</v>
      </c>
      <c r="O7626" t="str">
        <v>+</v>
      </c>
      <c r="P7626">
        <f>IF(N7626&gt;12,ROUNDDOWN(N7626/12,0),0)</f>
        <v>0</v>
      </c>
      <c r="Q7626" t="str">
        <v>x</v>
      </c>
      <c r="R7626">
        <f>IF(P7626&gt;0,MAX(VLOOKUP(F7626,$D$6:$G$15,3,FALSE),600),0)/1000</f>
        <v>0</v>
      </c>
      <c r="T7626" t="str">
        <v>x</v>
      </c>
      <c r="U7626">
        <f>0.006165*F7626^2</f>
        <v>0.6165</v>
      </c>
      <c r="V7626" t="str">
        <v>x</v>
      </c>
      <c r="W7626">
        <f>+D7626</f>
        <v>2</v>
      </c>
      <c r="X7626" t="str">
        <v>x</v>
      </c>
      <c r="Y7626">
        <f>D7620</f>
        <v>1</v>
      </c>
      <c r="Z7626" t="str">
        <v>=</v>
      </c>
      <c r="AA7626">
        <f>(N7626+P7626*R7626/1000)*U7626*W7626*Y7626</f>
        <v>4.11822</v>
      </c>
    </row>
    <row r="7629">
      <c r="A7629" t="str">
        <f>A7614</f>
        <v>Lantai 2</v>
      </c>
      <c r="B7629">
        <f>B7614</f>
        <v>59</v>
      </c>
      <c r="C7629" t="str">
        <v>Tul Bawah Tumpuan</v>
      </c>
      <c r="D7629">
        <f>VLOOKUP(D7614,'Detail Balok'!$C$10:$AU$110,22,FALSE)</f>
        <v>2</v>
      </c>
      <c r="E7629" t="str">
        <v>D</v>
      </c>
      <c r="F7629">
        <f>VLOOKUP(D7614,'Detail Balok'!$C$10:$AU$110,24,FALSE)</f>
        <v>16</v>
      </c>
      <c r="I7629" t="str">
        <v>(</v>
      </c>
      <c r="J7629">
        <f>+J7621</f>
        <v>0.775</v>
      </c>
      <c r="K7629" t="str">
        <v>+</v>
      </c>
      <c r="L7629">
        <f>MAX(VLOOKUP(F7629,N$6:P$15,3,FALSE)/1000,2/3*D7619/1000)+F$16*F7629/1000</f>
        <v>0.192</v>
      </c>
      <c r="M7629" t="str">
        <v>=</v>
      </c>
      <c r="N7629">
        <f>J7629+L7629</f>
        <v>0.9670000000000001</v>
      </c>
      <c r="O7629" t="str">
        <v>+</v>
      </c>
      <c r="P7629">
        <f>D7629-D7630</f>
        <v>0</v>
      </c>
      <c r="Q7629" t="str">
        <v>x</v>
      </c>
      <c r="R7629">
        <f>IF(P7629&gt;0,$F$18*F7629/1000,0)</f>
        <v>0</v>
      </c>
      <c r="S7629" t="str">
        <v>)</v>
      </c>
      <c r="T7629" t="str">
        <v>x</v>
      </c>
      <c r="U7629">
        <f>0.006165*F7629^2</f>
        <v>1.57824</v>
      </c>
      <c r="X7629" t="str">
        <v>x</v>
      </c>
      <c r="Y7629">
        <f>D7620</f>
        <v>1</v>
      </c>
      <c r="Z7629" t="str">
        <v>=</v>
      </c>
      <c r="AA7629">
        <f>IF(AA7632=0,(D7629*N7629+P7629*R7629)*U7629*Y7629,0)</f>
        <v>0</v>
      </c>
    </row>
    <row r="7630">
      <c r="A7630" t="str">
        <f>A7614</f>
        <v>Lantai 2</v>
      </c>
      <c r="B7630">
        <f>B7614</f>
        <v>59</v>
      </c>
      <c r="C7630" t="str">
        <v>Tul Bawah Lapangan</v>
      </c>
      <c r="D7630">
        <f>VLOOKUP(D7614,'Detail Balok'!$C$10:$AU$110,25,FALSE)</f>
        <v>2</v>
      </c>
      <c r="E7630" t="str">
        <v>D</v>
      </c>
      <c r="F7630">
        <f>VLOOKUP(D7614,'Detail Balok'!$C$10:$AU$110,27,FALSE)</f>
        <v>16</v>
      </c>
      <c r="I7630" t="str">
        <v>(</v>
      </c>
      <c r="J7630">
        <f>+J7622</f>
        <v>1.55</v>
      </c>
      <c r="K7630" t="str">
        <v>+</v>
      </c>
      <c r="M7630" t="str">
        <v>=</v>
      </c>
      <c r="N7630">
        <f>J7630+L7630</f>
        <v>1.55</v>
      </c>
      <c r="O7630" t="str">
        <v>+</v>
      </c>
      <c r="P7630">
        <f>MAX(D7630-D7629,D7630-D7631)</f>
        <v>0</v>
      </c>
      <c r="Q7630" t="str">
        <v>x</v>
      </c>
      <c r="R7630">
        <f>IF(P7630&gt;0,2*(1-2*$F$19-1/2)*D7617/1000,0)</f>
        <v>0</v>
      </c>
      <c r="S7630" t="str">
        <v>)</v>
      </c>
      <c r="T7630" t="str">
        <v>x</v>
      </c>
      <c r="U7630">
        <f>0.006165*F7630^2</f>
        <v>1.57824</v>
      </c>
      <c r="X7630" t="str">
        <v>x</v>
      </c>
      <c r="Y7630">
        <f>D7620</f>
        <v>1</v>
      </c>
      <c r="Z7630" t="str">
        <v>=</v>
      </c>
      <c r="AA7630">
        <f>IF(AA7632=0,(D7630*N7630+P7630*R7630)*U7630*Y7630,0)</f>
        <v>0</v>
      </c>
    </row>
    <row r="7631">
      <c r="A7631" t="str">
        <f>A7614</f>
        <v>Lantai 2</v>
      </c>
      <c r="B7631">
        <f>B7614</f>
        <v>59</v>
      </c>
      <c r="C7631" t="str">
        <v>Tul Bawah Tumpuan</v>
      </c>
      <c r="D7631">
        <f>VLOOKUP(D7614,'Detail Balok'!$C$10:$AU$110,28,FALSE)</f>
        <v>2</v>
      </c>
      <c r="E7631" t="str">
        <v>D</v>
      </c>
      <c r="F7631">
        <f>VLOOKUP(D7614,'Detail Balok'!$C$10:$AU$110,30,FALSE)</f>
        <v>16</v>
      </c>
      <c r="I7631" t="str">
        <v>(</v>
      </c>
      <c r="J7631">
        <f>+J7623</f>
        <v>0.775</v>
      </c>
      <c r="K7631" t="str">
        <v>+</v>
      </c>
      <c r="L7631">
        <f>MAX(VLOOKUP(F7631,N$6:P$15,3,FALSE)/1000,2/3*D7619/1000)+F$16*F7631/1000</f>
        <v>0.192</v>
      </c>
      <c r="M7631" t="str">
        <v>=</v>
      </c>
      <c r="N7631">
        <f>J7631+L7631</f>
        <v>0.9670000000000001</v>
      </c>
      <c r="O7631" t="str">
        <v>+</v>
      </c>
      <c r="P7631">
        <f>D7631-D7630</f>
        <v>0</v>
      </c>
      <c r="Q7631" t="str">
        <v>x</v>
      </c>
      <c r="R7631">
        <f>IF(P7631&gt;0,$F$18*F7631/1000,0)</f>
        <v>0</v>
      </c>
      <c r="S7631" t="str">
        <v>)</v>
      </c>
      <c r="T7631" t="str">
        <v>x</v>
      </c>
      <c r="U7631">
        <f>0.006165*F7631^2</f>
        <v>1.57824</v>
      </c>
      <c r="X7631" t="str">
        <v>x</v>
      </c>
      <c r="Y7631">
        <f>D7620</f>
        <v>1</v>
      </c>
      <c r="Z7631" t="str">
        <v>=</v>
      </c>
      <c r="AA7631">
        <f>IF(AA7632=0,(D7631*N7631+P7631*R7631)*U7631*Y7631,0)</f>
        <v>0</v>
      </c>
    </row>
    <row r="7632">
      <c r="A7632" t="str">
        <f>A7614</f>
        <v>Lantai 2</v>
      </c>
      <c r="B7632">
        <f>B7614</f>
        <v>59</v>
      </c>
      <c r="D7632">
        <f>IF(AND(D7629=D7630,D7630=D7631,D7629=D7631),D7629,0)</f>
        <v>2</v>
      </c>
      <c r="E7632" t="str">
        <v>D</v>
      </c>
      <c r="F7632">
        <f>IF(AND(F7629=F7630,F7629=F7631,F7630=F7631),F7629,0)</f>
        <v>16</v>
      </c>
      <c r="L7632" t="str">
        <v>Total panjang per balok</v>
      </c>
      <c r="M7632" t="str">
        <v>=</v>
      </c>
      <c r="N7632">
        <f>IF(AND(D7629=D7630,D7629=D7631,D7630=D7631,F7629=F7630,F7629=F7631,F7630=F7631),SUM(N7629:N7631),0)</f>
        <v>3.4840000000000004</v>
      </c>
      <c r="O7632" t="str">
        <v>+</v>
      </c>
      <c r="P7632">
        <f>IF(N7632&gt;12,ROUNDDOWN(N7632/12,0),0)</f>
        <v>0</v>
      </c>
      <c r="Q7632" t="str">
        <v>x</v>
      </c>
      <c r="R7632">
        <f>IF(P7632&gt;0,MAX(VLOOKUP(F7632,$D$6:$G$15,3,FALSE),600),0)/1000</f>
        <v>0</v>
      </c>
      <c r="T7632" t="str">
        <v>x</v>
      </c>
      <c r="U7632">
        <f>U7631</f>
        <v>1.57824</v>
      </c>
      <c r="V7632" t="str">
        <v>x</v>
      </c>
      <c r="W7632">
        <f>D7632</f>
        <v>2</v>
      </c>
      <c r="X7632" t="str">
        <v>x</v>
      </c>
      <c r="Y7632">
        <f>Y7631</f>
        <v>1</v>
      </c>
      <c r="Z7632" t="str">
        <v>=</v>
      </c>
      <c r="AA7632">
        <f>(N7632+P7632*R7632/1000)*U7632*W7632*Y7632</f>
        <v>10.997176320000001</v>
      </c>
    </row>
    <row r="7634">
      <c r="A7634" t="str">
        <f>A7614</f>
        <v>Lantai 2</v>
      </c>
      <c r="B7634">
        <f>B7614</f>
        <v>59</v>
      </c>
      <c r="C7634" t="str">
        <v>Sengkang Tumpuan</v>
      </c>
      <c r="D7634">
        <f>VLOOKUP(D7614,'Detail Balok'!$C$10:$AU$110,31,FALSE)</f>
        <v>0</v>
      </c>
      <c r="E7634" t="str">
        <v>D</v>
      </c>
      <c r="F7634">
        <f>VLOOKUP(D7614,'Detail Balok'!$C$10:$AU$110,33,FALSE)</f>
        <v>10</v>
      </c>
      <c r="G7634" t="str">
        <v>-</v>
      </c>
      <c r="H7634">
        <f>VLOOKUP(D7614,'Detail Balok'!$C$10:$AU$110,35,FALSE)</f>
        <v>90</v>
      </c>
      <c r="J7634">
        <f>(IF(D7634=0,(2*(D7615+G7615))-(F$5*8),IF(D7634=3,(2*(D7615+G7615))-(F$5*8)+(G7615-2*F$5),IF(D7634=4,(2*(D7615+G7615))-(F$5*8)+2*(G7615-2*F$5)))))/1000</f>
        <v>0.98</v>
      </c>
      <c r="K7634" t="str">
        <v>+</v>
      </c>
      <c r="L7634">
        <f>IF(D7634=0,2*MAX(6*F7634,75),(D7634-1)*2*MAX(6*F7634,75))/1000</f>
        <v>0.15</v>
      </c>
      <c r="M7634" t="str">
        <v>=</v>
      </c>
      <c r="N7634">
        <f>J7634+L7634</f>
        <v>1.13</v>
      </c>
      <c r="T7634" t="str">
        <v>x</v>
      </c>
      <c r="U7634">
        <f>0.006165*F7634^2</f>
        <v>0.6165</v>
      </c>
      <c r="V7634" t="str">
        <v>x</v>
      </c>
      <c r="W7634">
        <f>IF(D7617&gt;4*G7615,ROUND(MAX(D7617/4,2*G7615)/H7634,0)+1,ROUND(D7617/H7634,0)+1)</f>
        <v>11</v>
      </c>
      <c r="X7634" t="str">
        <v>x</v>
      </c>
      <c r="Y7634">
        <f>D7620</f>
        <v>1</v>
      </c>
      <c r="Z7634" t="str">
        <v>=</v>
      </c>
      <c r="AA7634">
        <f>N7634*U7634*W7634*Y7634</f>
        <v>7.663094999999999</v>
      </c>
    </row>
    <row r="7635">
      <c r="A7635" t="str">
        <f>A7614</f>
        <v>Lantai 2</v>
      </c>
      <c r="B7635">
        <f>B7614</f>
        <v>59</v>
      </c>
      <c r="C7635" t="str">
        <v>Sengkang Lapangan</v>
      </c>
      <c r="D7635">
        <f>VLOOKUP(D7614,'Detail Balok'!$C$10:$AU$110,36,FALSE)</f>
        <v>0</v>
      </c>
      <c r="E7635" t="str">
        <v>D</v>
      </c>
      <c r="F7635">
        <f>VLOOKUP(D7614,'Detail Balok'!$C$10:$AU$110,38,FALSE)</f>
        <v>10</v>
      </c>
      <c r="G7635" t="str">
        <v>-</v>
      </c>
      <c r="H7635">
        <f>VLOOKUP(D7614,'Detail Balok'!$C$10:$AU$110,40,FALSE)</f>
        <v>175</v>
      </c>
      <c r="J7635">
        <f>(IF(D7635=0,(2*(D7615+G7615))-(F$5*8),IF(D7635=3,(2*(D7615+G7615))-(F$5*8)+(G7615-2*F$5),IF(D7635=4,(2*(D7615+G7615))-(F$5*8)+2*(G7615-2*F$5)))))/1000</f>
        <v>0.98</v>
      </c>
      <c r="K7635" t="str">
        <v>+</v>
      </c>
      <c r="L7635">
        <f>IF(D7635=0,2*MAX(6*F7635,75),(D7635-1)*2*MAX(6*F7635,75))/1000</f>
        <v>0.15</v>
      </c>
      <c r="M7635" t="str">
        <v>=</v>
      </c>
      <c r="N7635">
        <f>J7635+L7635</f>
        <v>1.13</v>
      </c>
      <c r="T7635" t="str">
        <v>x</v>
      </c>
      <c r="U7635">
        <f>0.006165*F7635^2</f>
        <v>0.6165</v>
      </c>
      <c r="V7635" t="str">
        <v>x</v>
      </c>
      <c r="W7635">
        <f>IF(D7617-MAX(D7617/4,2*G7615)*2&gt;0,ROUND((D7617-MAX(D7617/4,2*G7615)*2)/H7635,0),0)</f>
        <v>7</v>
      </c>
      <c r="X7635" t="str">
        <v>x</v>
      </c>
      <c r="Y7635">
        <f>D7620</f>
        <v>1</v>
      </c>
      <c r="Z7635" t="str">
        <v>=</v>
      </c>
      <c r="AA7635">
        <f>N7635*U7635*W7635*Y7635</f>
        <v>4.8765149999999995</v>
      </c>
    </row>
    <row r="7636">
      <c r="A7636" t="str">
        <f>A7614</f>
        <v>Lantai 2</v>
      </c>
      <c r="B7636">
        <f>B7614</f>
        <v>59</v>
      </c>
      <c r="C7636" t="str">
        <v>Sengkang Tumpuan</v>
      </c>
      <c r="D7636">
        <f>VLOOKUP(D7614,'Detail Balok'!$C$10:$AU$110,41,FALSE)</f>
        <v>0</v>
      </c>
      <c r="E7636" t="str">
        <v>D</v>
      </c>
      <c r="F7636">
        <f>VLOOKUP(D7614,'Detail Balok'!$C$10:$AU$110,43,FALSE)</f>
        <v>10</v>
      </c>
      <c r="G7636" t="str">
        <v>-</v>
      </c>
      <c r="H7636">
        <f>VLOOKUP(D7614,'Detail Balok'!$C$10:$AU$110,45,FALSE)</f>
        <v>90</v>
      </c>
      <c r="J7636">
        <f>(IF(D7636=0,(2*(D7615+G7615))-(F$5*8),IF(D7636=3,(2*(D7615+G7615))-(F$5*8)+(G7615-2*F$5),IF(D7636=4,(2*(D7615+G7615))-(F$5*8)+2*(G7615-2*F$5)))))/1000</f>
        <v>0.98</v>
      </c>
      <c r="K7636" t="str">
        <v>+</v>
      </c>
      <c r="L7636">
        <f>IF(D7636=0,2*MAX(6*F7636,75),(D7636-1)*2*MAX(6*F7636,75))/1000</f>
        <v>0.15</v>
      </c>
      <c r="M7636" t="str">
        <v>=</v>
      </c>
      <c r="N7636">
        <f>J7636+L7636</f>
        <v>1.13</v>
      </c>
      <c r="T7636" t="str">
        <v>x</v>
      </c>
      <c r="U7636">
        <f>0.006165*F7636^2</f>
        <v>0.6165</v>
      </c>
      <c r="V7636" t="str">
        <v>x</v>
      </c>
      <c r="W7636">
        <f>IF(D7617&gt;4*G7615,ROUND(MAX(D7617/4,2*G7615)/H7636,0)+1,0)</f>
        <v>11</v>
      </c>
      <c r="X7636" t="str">
        <v>x</v>
      </c>
      <c r="Y7636">
        <f>D7620</f>
        <v>1</v>
      </c>
      <c r="Z7636" t="str">
        <v>=</v>
      </c>
      <c r="AA7636">
        <f>N7636*U7636*W7636*Y7636</f>
        <v>7.663094999999999</v>
      </c>
    </row>
    <row r="7638">
      <c r="A7638" t="str">
        <f>A7614</f>
        <v>Lantai 2</v>
      </c>
      <c r="B7638">
        <f>B7614</f>
        <v>59</v>
      </c>
      <c r="C7638" t="str">
        <v>Kait Horizontal Tump.</v>
      </c>
      <c r="D7638">
        <f>VLOOKUP(D7614,'Detail Balok'!$C$10:$BJ$110,46,FALSE)</f>
        <v>0</v>
      </c>
      <c r="E7638" t="str">
        <v>D</v>
      </c>
      <c r="F7638">
        <f>VLOOKUP(D7614,'Detail Balok'!$C$10:$BJ$110,48,FALSE)</f>
        <v>0</v>
      </c>
      <c r="G7638" t="str">
        <v>-</v>
      </c>
      <c r="H7638">
        <f>VLOOKUP(D7614,'Detail Balok'!$C$10:$BJ$110,50,FALSE)</f>
        <v>100</v>
      </c>
      <c r="J7638">
        <f>(D7615-2*F$5)/1000</f>
        <v>0.12</v>
      </c>
      <c r="K7638" t="str">
        <v>+</v>
      </c>
      <c r="L7638">
        <f>IF(D7638=0,2*MAX(6*F7638,75),(D7638-1)*2*MAX(6*F7638,75))/1000</f>
        <v>0.15</v>
      </c>
      <c r="M7638" t="str">
        <v>=</v>
      </c>
      <c r="N7638">
        <f>J7638+L7638</f>
        <v>0.27</v>
      </c>
      <c r="T7638" t="str">
        <v>x</v>
      </c>
      <c r="U7638">
        <f>0.006165*F7638^2</f>
        <v>0</v>
      </c>
      <c r="V7638" t="str">
        <v>x</v>
      </c>
      <c r="W7638">
        <f>W7634</f>
        <v>11</v>
      </c>
      <c r="X7638" t="str">
        <v>x</v>
      </c>
      <c r="Y7638">
        <f>D7624</f>
        <v>2</v>
      </c>
      <c r="Z7638" t="str">
        <v>=</v>
      </c>
      <c r="AA7638">
        <f>N7638*U7638*W7638*Y7638</f>
        <v>0</v>
      </c>
    </row>
    <row r="7639">
      <c r="A7639" t="str">
        <f>A7614</f>
        <v>Lantai 2</v>
      </c>
      <c r="B7639">
        <f>B7614</f>
        <v>59</v>
      </c>
      <c r="C7639" t="str">
        <v>Kait Horizontal Lap.</v>
      </c>
      <c r="D7639">
        <f>VLOOKUP(D7614,'Detail Balok'!$C$10:$BJ$110,51,FALSE)</f>
        <v>0</v>
      </c>
      <c r="E7639" t="str">
        <v>D</v>
      </c>
      <c r="F7639">
        <f>VLOOKUP(D7614,'Detail Balok'!$C$10:$BJ$110,53,FALSE)</f>
        <v>0</v>
      </c>
      <c r="G7639" t="str">
        <v>-</v>
      </c>
      <c r="H7639">
        <f>VLOOKUP(D7614,'Detail Balok'!$C$10:$BJ$110,55,FALSE)</f>
        <v>100</v>
      </c>
      <c r="J7639">
        <f>(D7615-2*F$5)/1000</f>
        <v>0.12</v>
      </c>
      <c r="K7639" t="str">
        <v>+</v>
      </c>
      <c r="L7639">
        <f>IF(D7639=0,2*MAX(6*F7639,75),(D7639-1)*2*MAX(6*F7639,75))/1000</f>
        <v>0.15</v>
      </c>
      <c r="M7639" t="str">
        <v>=</v>
      </c>
      <c r="N7639">
        <f>J7639+L7639</f>
        <v>0.27</v>
      </c>
      <c r="T7639" t="str">
        <v>x</v>
      </c>
      <c r="U7639">
        <f>0.006165*F7639^2</f>
        <v>0</v>
      </c>
      <c r="V7639" t="str">
        <v>x</v>
      </c>
      <c r="W7639">
        <f>W7635</f>
        <v>7</v>
      </c>
      <c r="X7639" t="str">
        <v>x</v>
      </c>
      <c r="Y7639">
        <f>D7624</f>
        <v>2</v>
      </c>
      <c r="Z7639" t="str">
        <v>=</v>
      </c>
      <c r="AA7639">
        <f>N7639*U7639*W7639*Y7639</f>
        <v>0</v>
      </c>
    </row>
    <row r="7640">
      <c r="A7640" t="str">
        <f>A7614</f>
        <v>Lantai 2</v>
      </c>
      <c r="B7640">
        <f>B7614</f>
        <v>59</v>
      </c>
      <c r="C7640" t="str">
        <v>Kait Horizontal Tump.</v>
      </c>
      <c r="D7640">
        <f>VLOOKUP(D7614,'Detail Balok'!$C$10:$BJ$110,56,FALSE)</f>
        <v>0</v>
      </c>
      <c r="E7640" t="str">
        <v>D</v>
      </c>
      <c r="F7640">
        <f>VLOOKUP(D7614,'Detail Balok'!$C$10:$BJ$110,58,FALSE)</f>
        <v>0</v>
      </c>
      <c r="G7640" t="str">
        <v>-</v>
      </c>
      <c r="H7640">
        <f>VLOOKUP(D7614,'Detail Balok'!$C$10:$BJ$110,60,FALSE)</f>
        <v>100</v>
      </c>
      <c r="J7640">
        <f>(D7615-2*F$5)/1000</f>
        <v>0.12</v>
      </c>
      <c r="K7640" t="str">
        <v>+</v>
      </c>
      <c r="L7640">
        <f>IF(D7640=0,2*MAX(6*F7640,75),(D7640-1)*2*MAX(6*F7640,75))/1000</f>
        <v>0.15</v>
      </c>
      <c r="M7640" t="str">
        <v>=</v>
      </c>
      <c r="N7640">
        <f>J7640+L7640</f>
        <v>0.27</v>
      </c>
      <c r="T7640" t="str">
        <v>x</v>
      </c>
      <c r="U7640">
        <f>0.006165*F7640^2</f>
        <v>0</v>
      </c>
      <c r="V7640" t="str">
        <v>x</v>
      </c>
      <c r="W7640">
        <f>W7636</f>
        <v>11</v>
      </c>
      <c r="X7640" t="str">
        <v>x</v>
      </c>
      <c r="Y7640">
        <f>D7624</f>
        <v>2</v>
      </c>
      <c r="Z7640" t="str">
        <v>=</v>
      </c>
      <c r="AA7640">
        <f>N7640*U7640*W7640*Y7640</f>
        <v>0</v>
      </c>
    </row>
    <row r="7644">
      <c r="A7644" t="str">
        <f>A7614</f>
        <v>Lantai 2</v>
      </c>
      <c r="B7644">
        <f>B7614+1</f>
        <v>60</v>
      </c>
      <c r="C7644" t="str">
        <f>CONCATENATE(A7644," no. ",B7644)</f>
        <v>Lantai 2 no. 60</v>
      </c>
      <c r="D7644" t="str">
        <f>VLOOKUP(C7644,'Data Panjang Balok'!$C$9:$N$424,2,FALSE)</f>
        <v>B245-4</v>
      </c>
    </row>
    <row r="7645">
      <c r="C7645" t="str">
        <v>Dimensi</v>
      </c>
      <c r="D7645">
        <f>VLOOKUP(D7644,'Detail Balok'!$C$10:$AU$110,2,FALSE)</f>
        <v>200</v>
      </c>
      <c r="F7645" t="str">
        <v>x</v>
      </c>
      <c r="G7645">
        <f>VLOOKUP(D7644,'Detail Balok'!$C$10:$AU$110,3,FALSE)</f>
        <v>450</v>
      </c>
    </row>
    <row r="7646">
      <c r="C7646" t="str">
        <v>Panjang as ke as</v>
      </c>
      <c r="D7646">
        <f>VLOOKUP(C7644,'Data Panjang Balok'!$C$9:$N$424,4,FALSE)</f>
        <v>3235</v>
      </c>
    </row>
    <row r="7647">
      <c r="C7647" t="str">
        <v>Panjang netto</v>
      </c>
      <c r="D7647">
        <f>VLOOKUP(C7644,'Data Panjang Balok'!$C$9:$N$424,7,FALSE)</f>
        <v>3235</v>
      </c>
    </row>
    <row r="7648">
      <c r="C7648" t="str">
        <v>Kolom / balok kiri</v>
      </c>
      <c r="D7648">
        <f>VLOOKUP(C7644,'Data Panjang Balok'!$C$9:$N$424,9,FALSE)</f>
        <v>0</v>
      </c>
    </row>
    <row r="7649">
      <c r="C7649" t="str">
        <v>Kolom / balok kanan</v>
      </c>
      <c r="D7649">
        <f>VLOOKUP(C7644,'Data Panjang Balok'!$C$9:$N$424,10,FALSE)</f>
        <v>0</v>
      </c>
    </row>
    <row r="7650">
      <c r="C7650" t="str">
        <v>Jumlah</v>
      </c>
      <c r="D7650">
        <f>VLOOKUP(C7644,'Data Panjang Balok'!$C$9:$N$424,3,FALSE)</f>
        <v>1</v>
      </c>
    </row>
    <row r="7651">
      <c r="A7651" t="str">
        <f>A7644</f>
        <v>Lantai 2</v>
      </c>
      <c r="B7651">
        <f>B7644</f>
        <v>60</v>
      </c>
      <c r="C7651" t="str">
        <v>Tul Atas Tumpuan</v>
      </c>
      <c r="D7651">
        <f>VLOOKUP(D7644,'Detail Balok'!$C$10:$AU$110,4,FALSE)</f>
        <v>3</v>
      </c>
      <c r="E7651" t="str">
        <v>D</v>
      </c>
      <c r="F7651">
        <f>VLOOKUP(D7644,'Detail Balok'!$C$10:$AU$110,6,FALSE)</f>
        <v>16</v>
      </c>
      <c r="I7651" t="str">
        <v>(</v>
      </c>
      <c r="J7651">
        <f>+D7646/4/1000</f>
        <v>0.80875</v>
      </c>
      <c r="K7651" t="str">
        <v>+</v>
      </c>
      <c r="L7651">
        <f>MAX(VLOOKUP(F7651,N$6:P$15,3,FALSE)/1000,2/3*D7648/1000)+F$16*F7651/1000</f>
        <v>0.192</v>
      </c>
      <c r="M7651" t="str">
        <v>=</v>
      </c>
      <c r="N7651">
        <f>J7651+L7651</f>
        <v>1.00075</v>
      </c>
      <c r="O7651" t="str">
        <v>+</v>
      </c>
      <c r="P7651">
        <f>D7651-D7652</f>
        <v>0</v>
      </c>
      <c r="Q7651" t="str">
        <v>x</v>
      </c>
      <c r="R7651">
        <f>IF(P7651&gt;0,$F$18*F7651/1000,0)</f>
        <v>0</v>
      </c>
      <c r="S7651" t="str">
        <v>)</v>
      </c>
      <c r="T7651" t="str">
        <v>x</v>
      </c>
      <c r="U7651">
        <f>0.006165*F7651^2</f>
        <v>1.57824</v>
      </c>
      <c r="X7651" t="str">
        <v>x</v>
      </c>
      <c r="Y7651">
        <f>D7650</f>
        <v>1</v>
      </c>
      <c r="Z7651" t="str">
        <v>=</v>
      </c>
      <c r="AA7651">
        <f>IF(AA7654=0,(D7651*N7651+P7651*R7651)*U7651*Y7651,0)</f>
        <v>0</v>
      </c>
    </row>
    <row r="7652">
      <c r="A7652" t="str">
        <f>A7644</f>
        <v>Lantai 2</v>
      </c>
      <c r="B7652">
        <f>B7644</f>
        <v>60</v>
      </c>
      <c r="C7652" t="str">
        <v>Tul Atas Lapangan</v>
      </c>
      <c r="D7652">
        <f>VLOOKUP(D7644,'Detail Balok'!$C$10:$AU$110,7,FALSE)</f>
        <v>3</v>
      </c>
      <c r="E7652" t="str">
        <v>D</v>
      </c>
      <c r="F7652">
        <f>VLOOKUP(D7644,'Detail Balok'!$C$10:$AU$110,9,FALSE)</f>
        <v>16</v>
      </c>
      <c r="I7652" t="str">
        <v>(</v>
      </c>
      <c r="J7652">
        <f>+D7646/2/1000</f>
        <v>1.6175</v>
      </c>
      <c r="K7652" t="str">
        <v>+</v>
      </c>
      <c r="M7652" t="str">
        <v>=</v>
      </c>
      <c r="N7652">
        <f>J7652+L7652</f>
        <v>1.6175</v>
      </c>
      <c r="O7652" t="str">
        <v>+</v>
      </c>
      <c r="P7652">
        <f>MAX(D7652-D7651,D7652-D7653)</f>
        <v>0</v>
      </c>
      <c r="Q7652" t="str">
        <v>x</v>
      </c>
      <c r="R7652">
        <f>IF(P7652&gt;0,2*(1-2*$F$19-1/2)*D7647/1000,0)</f>
        <v>0</v>
      </c>
      <c r="S7652" t="str">
        <v>)</v>
      </c>
      <c r="T7652" t="str">
        <v>x</v>
      </c>
      <c r="U7652">
        <f>0.006165*F7652^2</f>
        <v>1.57824</v>
      </c>
      <c r="X7652" t="str">
        <v>x</v>
      </c>
      <c r="Y7652">
        <f>D7650</f>
        <v>1</v>
      </c>
      <c r="Z7652" t="str">
        <v>=</v>
      </c>
      <c r="AA7652">
        <f>IF(AA7654=0,(D7652*N7652+P7652*R7652)*U7652*Y7652,0)</f>
        <v>0</v>
      </c>
    </row>
    <row r="7653">
      <c r="A7653" t="str">
        <f>A7644</f>
        <v>Lantai 2</v>
      </c>
      <c r="B7653">
        <f>B7644</f>
        <v>60</v>
      </c>
      <c r="C7653" t="str">
        <v>Tul Atas Tumpuan</v>
      </c>
      <c r="D7653">
        <f>VLOOKUP(D7644,'Detail Balok'!$C$10:$AU$110,10,FALSE)</f>
        <v>3</v>
      </c>
      <c r="E7653" t="str">
        <v>D</v>
      </c>
      <c r="F7653">
        <f>VLOOKUP(D7644,'Detail Balok'!$C$10:$AU$110,12,FALSE)</f>
        <v>16</v>
      </c>
      <c r="I7653" t="str">
        <v>(</v>
      </c>
      <c r="J7653">
        <f>+D7646/4/1000</f>
        <v>0.80875</v>
      </c>
      <c r="K7653" t="str">
        <v>+</v>
      </c>
      <c r="L7653">
        <f>MAX(VLOOKUP(F7653,N$6:P$15,3,FALSE)/1000,2/3*D7648/1000)+F$16*F7653/1000</f>
        <v>0.192</v>
      </c>
      <c r="M7653" t="str">
        <v>=</v>
      </c>
      <c r="N7653">
        <f>J7653+L7653</f>
        <v>1.00075</v>
      </c>
      <c r="O7653" t="str">
        <v>+</v>
      </c>
      <c r="P7653">
        <f>D7653-D7652</f>
        <v>0</v>
      </c>
      <c r="Q7653" t="str">
        <v>x</v>
      </c>
      <c r="R7653">
        <f>IF(P7653&gt;0,$F$18*F7653/1000,0)</f>
        <v>0</v>
      </c>
      <c r="S7653" t="str">
        <v>)</v>
      </c>
      <c r="T7653" t="str">
        <v>x</v>
      </c>
      <c r="U7653">
        <f>0.006165*F7653^2</f>
        <v>1.57824</v>
      </c>
      <c r="X7653" t="str">
        <v>x</v>
      </c>
      <c r="Y7653">
        <f>D7650</f>
        <v>1</v>
      </c>
      <c r="Z7653" t="str">
        <v>=</v>
      </c>
      <c r="AA7653">
        <f>IF(AA7654=0,(D7653*N7653+P7653*R7653)*U7653*Y7653,0)</f>
        <v>0</v>
      </c>
    </row>
    <row r="7654">
      <c r="A7654" t="str">
        <f>A7644</f>
        <v>Lantai 2</v>
      </c>
      <c r="B7654">
        <f>B7644</f>
        <v>60</v>
      </c>
      <c r="D7654">
        <f>IF(AND(D7651=D7652,D7652=D7653,D7651=D7653),D7651,0)</f>
        <v>3</v>
      </c>
      <c r="E7654" t="str">
        <v>D</v>
      </c>
      <c r="F7654">
        <f>IF(AND(F7651=F7652,F7651=F7653,F7652=F7653),F7651,0)</f>
        <v>16</v>
      </c>
      <c r="L7654" t="str">
        <v>Total panjang per balok</v>
      </c>
      <c r="M7654" t="str">
        <v>=</v>
      </c>
      <c r="N7654">
        <f>IF(AND(D7651=D7652,D7651=D7653,D7652=D7653,F7651=F7652,F7651=F7653,F7652=F7653),SUM(N7651:N7653),0)</f>
        <v>3.6189999999999998</v>
      </c>
      <c r="O7654" t="str">
        <v>+</v>
      </c>
      <c r="P7654">
        <f>IF(N7654&gt;12,ROUNDDOWN(N7654/12,0),0)</f>
        <v>0</v>
      </c>
      <c r="Q7654" t="str">
        <v>x</v>
      </c>
      <c r="R7654">
        <f>IF(P7654&gt;0,MAX(VLOOKUP(F7654,$D$6:$G$15,3,FALSE),600),0)/1000</f>
        <v>0</v>
      </c>
      <c r="T7654" t="str">
        <v>x</v>
      </c>
      <c r="U7654">
        <f>U7653</f>
        <v>1.57824</v>
      </c>
      <c r="V7654" t="str">
        <v>x</v>
      </c>
      <c r="W7654">
        <f>D7654</f>
        <v>3</v>
      </c>
      <c r="X7654" t="str">
        <v>x</v>
      </c>
      <c r="Y7654">
        <f>Y7653</f>
        <v>1</v>
      </c>
      <c r="Z7654" t="str">
        <v>=</v>
      </c>
      <c r="AA7654">
        <f>(N7654+P7654*R7654/1000)*U7654*W7654*Y7654</f>
        <v>17.13495168</v>
      </c>
    </row>
    <row r="7656">
      <c r="A7656" t="str">
        <f>A7644</f>
        <v>Lantai 2</v>
      </c>
      <c r="B7656">
        <f>B7644</f>
        <v>60</v>
      </c>
      <c r="C7656" t="str">
        <v>Tul Peminggang</v>
      </c>
      <c r="D7656">
        <f>VLOOKUP(D7644,'Detail Balok'!$C$10:$AU$110,13,FALSE)</f>
        <v>2</v>
      </c>
      <c r="E7656" t="str">
        <v>D</v>
      </c>
      <c r="F7656">
        <f>VLOOKUP(D7644,'Detail Balok'!$C$10:$AU$110,15,FALSE)</f>
        <v>8</v>
      </c>
      <c r="J7656">
        <f>+D7646/1000</f>
        <v>3.235</v>
      </c>
      <c r="K7656" t="str">
        <v>+</v>
      </c>
      <c r="L7656">
        <f>2*$F$16*F7656/1000</f>
        <v>0.192</v>
      </c>
      <c r="M7656" t="str">
        <v>=</v>
      </c>
      <c r="N7656">
        <f>J7656+L7656</f>
        <v>3.427</v>
      </c>
      <c r="O7656" t="str">
        <v>+</v>
      </c>
      <c r="P7656">
        <f>IF(N7656&gt;12,ROUNDDOWN(N7656/12,0),0)</f>
        <v>0</v>
      </c>
      <c r="Q7656" t="str">
        <v>x</v>
      </c>
      <c r="R7656">
        <f>IF(P7656&gt;0,MAX(VLOOKUP(F7656,$D$6:$G$15,3,FALSE),600),0)/1000</f>
        <v>0</v>
      </c>
      <c r="T7656" t="str">
        <v>x</v>
      </c>
      <c r="U7656">
        <f>0.006165*F7656^2</f>
        <v>0.39456</v>
      </c>
      <c r="V7656" t="str">
        <v>x</v>
      </c>
      <c r="W7656">
        <f>+D7656</f>
        <v>2</v>
      </c>
      <c r="X7656" t="str">
        <v>x</v>
      </c>
      <c r="Y7656">
        <f>D7650</f>
        <v>1</v>
      </c>
      <c r="Z7656" t="str">
        <v>=</v>
      </c>
      <c r="AA7656">
        <f>(N7656+P7656*R7656/1000)*U7656*W7656*Y7656</f>
        <v>2.70431424</v>
      </c>
    </row>
    <row r="7659">
      <c r="A7659" t="str">
        <f>A7644</f>
        <v>Lantai 2</v>
      </c>
      <c r="B7659">
        <f>B7644</f>
        <v>60</v>
      </c>
      <c r="C7659" t="str">
        <v>Tul Bawah Tumpuan</v>
      </c>
      <c r="D7659">
        <f>VLOOKUP(D7644,'Detail Balok'!$C$10:$AU$110,22,FALSE)</f>
        <v>3</v>
      </c>
      <c r="E7659" t="str">
        <v>D</v>
      </c>
      <c r="F7659">
        <f>VLOOKUP(D7644,'Detail Balok'!$C$10:$AU$110,24,FALSE)</f>
        <v>16</v>
      </c>
      <c r="I7659" t="str">
        <v>(</v>
      </c>
      <c r="J7659">
        <f>+J7651</f>
        <v>0.80875</v>
      </c>
      <c r="K7659" t="str">
        <v>+</v>
      </c>
      <c r="L7659">
        <f>MAX(VLOOKUP(F7659,N$6:P$15,3,FALSE)/1000,2/3*D7649/1000)+F$16*F7659/1000</f>
        <v>0.192</v>
      </c>
      <c r="M7659" t="str">
        <v>=</v>
      </c>
      <c r="N7659">
        <f>J7659+L7659</f>
        <v>1.00075</v>
      </c>
      <c r="O7659" t="str">
        <v>+</v>
      </c>
      <c r="P7659">
        <f>D7659-D7660</f>
        <v>0</v>
      </c>
      <c r="Q7659" t="str">
        <v>x</v>
      </c>
      <c r="R7659">
        <f>IF(P7659&gt;0,$F$18*F7659/1000,0)</f>
        <v>0</v>
      </c>
      <c r="S7659" t="str">
        <v>)</v>
      </c>
      <c r="T7659" t="str">
        <v>x</v>
      </c>
      <c r="U7659">
        <f>0.006165*F7659^2</f>
        <v>1.57824</v>
      </c>
      <c r="X7659" t="str">
        <v>x</v>
      </c>
      <c r="Y7659">
        <f>D7650</f>
        <v>1</v>
      </c>
      <c r="Z7659" t="str">
        <v>=</v>
      </c>
      <c r="AA7659">
        <f>IF(AA7662=0,(D7659*N7659+P7659*R7659)*U7659*Y7659,0)</f>
        <v>0</v>
      </c>
    </row>
    <row r="7660">
      <c r="A7660" t="str">
        <f>A7644</f>
        <v>Lantai 2</v>
      </c>
      <c r="B7660">
        <f>B7644</f>
        <v>60</v>
      </c>
      <c r="C7660" t="str">
        <v>Tul Bawah Lapangan</v>
      </c>
      <c r="D7660">
        <f>VLOOKUP(D7644,'Detail Balok'!$C$10:$AU$110,25,FALSE)</f>
        <v>3</v>
      </c>
      <c r="E7660" t="str">
        <v>D</v>
      </c>
      <c r="F7660">
        <f>VLOOKUP(D7644,'Detail Balok'!$C$10:$AU$110,27,FALSE)</f>
        <v>16</v>
      </c>
      <c r="I7660" t="str">
        <v>(</v>
      </c>
      <c r="J7660">
        <f>+J7652</f>
        <v>1.6175</v>
      </c>
      <c r="K7660" t="str">
        <v>+</v>
      </c>
      <c r="M7660" t="str">
        <v>=</v>
      </c>
      <c r="N7660">
        <f>J7660+L7660</f>
        <v>1.6175</v>
      </c>
      <c r="O7660" t="str">
        <v>+</v>
      </c>
      <c r="P7660">
        <f>MAX(D7660-D7659,D7660-D7661)</f>
        <v>0</v>
      </c>
      <c r="Q7660" t="str">
        <v>x</v>
      </c>
      <c r="R7660">
        <f>IF(P7660&gt;0,2*(1-2*$F$19-1/2)*D7647/1000,0)</f>
        <v>0</v>
      </c>
      <c r="S7660" t="str">
        <v>)</v>
      </c>
      <c r="T7660" t="str">
        <v>x</v>
      </c>
      <c r="U7660">
        <f>0.006165*F7660^2</f>
        <v>1.57824</v>
      </c>
      <c r="X7660" t="str">
        <v>x</v>
      </c>
      <c r="Y7660">
        <f>D7650</f>
        <v>1</v>
      </c>
      <c r="Z7660" t="str">
        <v>=</v>
      </c>
      <c r="AA7660">
        <f>IF(AA7662=0,(D7660*N7660+P7660*R7660)*U7660*Y7660,0)</f>
        <v>0</v>
      </c>
    </row>
    <row r="7661">
      <c r="A7661" t="str">
        <f>A7644</f>
        <v>Lantai 2</v>
      </c>
      <c r="B7661">
        <f>B7644</f>
        <v>60</v>
      </c>
      <c r="C7661" t="str">
        <v>Tul Bawah Tumpuan</v>
      </c>
      <c r="D7661">
        <f>VLOOKUP(D7644,'Detail Balok'!$C$10:$AU$110,28,FALSE)</f>
        <v>3</v>
      </c>
      <c r="E7661" t="str">
        <v>D</v>
      </c>
      <c r="F7661">
        <f>VLOOKUP(D7644,'Detail Balok'!$C$10:$AU$110,30,FALSE)</f>
        <v>16</v>
      </c>
      <c r="I7661" t="str">
        <v>(</v>
      </c>
      <c r="J7661">
        <f>+J7653</f>
        <v>0.80875</v>
      </c>
      <c r="K7661" t="str">
        <v>+</v>
      </c>
      <c r="L7661">
        <f>MAX(VLOOKUP(F7661,N$6:P$15,3,FALSE)/1000,2/3*D7649/1000)+F$16*F7661/1000</f>
        <v>0.192</v>
      </c>
      <c r="M7661" t="str">
        <v>=</v>
      </c>
      <c r="N7661">
        <f>J7661+L7661</f>
        <v>1.00075</v>
      </c>
      <c r="O7661" t="str">
        <v>+</v>
      </c>
      <c r="P7661">
        <f>D7661-D7660</f>
        <v>0</v>
      </c>
      <c r="Q7661" t="str">
        <v>x</v>
      </c>
      <c r="R7661">
        <f>IF(P7661&gt;0,$F$18*F7661/1000,0)</f>
        <v>0</v>
      </c>
      <c r="S7661" t="str">
        <v>)</v>
      </c>
      <c r="T7661" t="str">
        <v>x</v>
      </c>
      <c r="U7661">
        <f>0.006165*F7661^2</f>
        <v>1.57824</v>
      </c>
      <c r="X7661" t="str">
        <v>x</v>
      </c>
      <c r="Y7661">
        <f>D7650</f>
        <v>1</v>
      </c>
      <c r="Z7661" t="str">
        <v>=</v>
      </c>
      <c r="AA7661">
        <f>IF(AA7662=0,(D7661*N7661+P7661*R7661)*U7661*Y7661,0)</f>
        <v>0</v>
      </c>
    </row>
    <row r="7662">
      <c r="A7662" t="str">
        <f>A7644</f>
        <v>Lantai 2</v>
      </c>
      <c r="B7662">
        <f>B7644</f>
        <v>60</v>
      </c>
      <c r="D7662">
        <f>IF(AND(D7659=D7660,D7660=D7661,D7659=D7661),D7659,0)</f>
        <v>3</v>
      </c>
      <c r="E7662" t="str">
        <v>D</v>
      </c>
      <c r="F7662">
        <f>IF(AND(F7659=F7660,F7659=F7661,F7660=F7661),F7659,0)</f>
        <v>16</v>
      </c>
      <c r="L7662" t="str">
        <v>Total panjang per balok</v>
      </c>
      <c r="M7662" t="str">
        <v>=</v>
      </c>
      <c r="N7662">
        <f>IF(AND(D7659=D7660,D7659=D7661,D7660=D7661,F7659=F7660,F7659=F7661,F7660=F7661),SUM(N7659:N7661),0)</f>
        <v>3.6189999999999998</v>
      </c>
      <c r="O7662" t="str">
        <v>+</v>
      </c>
      <c r="P7662">
        <f>IF(N7662&gt;12,ROUNDDOWN(N7662/12,0),0)</f>
        <v>0</v>
      </c>
      <c r="Q7662" t="str">
        <v>x</v>
      </c>
      <c r="R7662">
        <f>IF(P7662&gt;0,MAX(VLOOKUP(F7662,$D$6:$G$15,3,FALSE),600),0)/1000</f>
        <v>0</v>
      </c>
      <c r="T7662" t="str">
        <v>x</v>
      </c>
      <c r="U7662">
        <f>U7661</f>
        <v>1.57824</v>
      </c>
      <c r="V7662" t="str">
        <v>x</v>
      </c>
      <c r="W7662">
        <f>D7662</f>
        <v>3</v>
      </c>
      <c r="X7662" t="str">
        <v>x</v>
      </c>
      <c r="Y7662">
        <f>Y7661</f>
        <v>1</v>
      </c>
      <c r="Z7662" t="str">
        <v>=</v>
      </c>
      <c r="AA7662">
        <f>(N7662+P7662*R7662/1000)*U7662*W7662*Y7662</f>
        <v>17.13495168</v>
      </c>
    </row>
    <row r="7664">
      <c r="A7664" t="str">
        <f>A7644</f>
        <v>Lantai 2</v>
      </c>
      <c r="B7664">
        <f>B7644</f>
        <v>60</v>
      </c>
      <c r="C7664" t="str">
        <v>Sengkang Tumpuan</v>
      </c>
      <c r="D7664">
        <f>VLOOKUP(D7644,'Detail Balok'!$C$10:$AU$110,31,FALSE)</f>
        <v>0</v>
      </c>
      <c r="E7664" t="str">
        <v>D</v>
      </c>
      <c r="F7664">
        <f>VLOOKUP(D7644,'Detail Balok'!$C$10:$AU$110,33,FALSE)</f>
        <v>8</v>
      </c>
      <c r="G7664" t="str">
        <v>-</v>
      </c>
      <c r="H7664">
        <f>VLOOKUP(D7644,'Detail Balok'!$C$10:$AU$110,35,FALSE)</f>
        <v>100</v>
      </c>
      <c r="J7664">
        <f>(IF(D7664=0,(2*(D7645+G7645))-(F$5*8),IF(D7664=3,(2*(D7645+G7645))-(F$5*8)+(G7645-2*F$5),IF(D7664=4,(2*(D7645+G7645))-(F$5*8)+2*(G7645-2*F$5)))))/1000</f>
        <v>0.98</v>
      </c>
      <c r="K7664" t="str">
        <v>+</v>
      </c>
      <c r="L7664">
        <f>IF(D7664=0,2*MAX(6*F7664,75),(D7664-1)*2*MAX(6*F7664,75))/1000</f>
        <v>0.15</v>
      </c>
      <c r="M7664" t="str">
        <v>=</v>
      </c>
      <c r="N7664">
        <f>J7664+L7664</f>
        <v>1.13</v>
      </c>
      <c r="T7664" t="str">
        <v>x</v>
      </c>
      <c r="U7664">
        <f>0.006165*F7664^2</f>
        <v>0.39456</v>
      </c>
      <c r="V7664" t="str">
        <v>x</v>
      </c>
      <c r="W7664">
        <f>IF(D7647&gt;4*G7645,ROUND(MAX(D7647/4,2*G7645)/H7664,0)+1,ROUND(D7647/H7664,0)+1)</f>
        <v>10</v>
      </c>
      <c r="X7664" t="str">
        <v>x</v>
      </c>
      <c r="Y7664">
        <f>D7650</f>
        <v>1</v>
      </c>
      <c r="Z7664" t="str">
        <v>=</v>
      </c>
      <c r="AA7664">
        <f>N7664*U7664*W7664*Y7664</f>
        <v>4.458528</v>
      </c>
    </row>
    <row r="7665">
      <c r="A7665" t="str">
        <f>A7644</f>
        <v>Lantai 2</v>
      </c>
      <c r="B7665">
        <f>B7644</f>
        <v>60</v>
      </c>
      <c r="C7665" t="str">
        <v>Sengkang Lapangan</v>
      </c>
      <c r="D7665">
        <f>VLOOKUP(D7644,'Detail Balok'!$C$10:$AU$110,36,FALSE)</f>
        <v>0</v>
      </c>
      <c r="E7665" t="str">
        <v>D</v>
      </c>
      <c r="F7665">
        <f>VLOOKUP(D7644,'Detail Balok'!$C$10:$AU$110,38,FALSE)</f>
        <v>8</v>
      </c>
      <c r="G7665" t="str">
        <v>-</v>
      </c>
      <c r="H7665">
        <f>VLOOKUP(D7644,'Detail Balok'!$C$10:$AU$110,40,FALSE)</f>
        <v>200</v>
      </c>
      <c r="J7665">
        <f>(IF(D7665=0,(2*(D7645+G7645))-(F$5*8),IF(D7665=3,(2*(D7645+G7645))-(F$5*8)+(G7645-2*F$5),IF(D7665=4,(2*(D7645+G7645))-(F$5*8)+2*(G7645-2*F$5)))))/1000</f>
        <v>0.98</v>
      </c>
      <c r="K7665" t="str">
        <v>+</v>
      </c>
      <c r="L7665">
        <f>IF(D7665=0,2*MAX(6*F7665,75),(D7665-1)*2*MAX(6*F7665,75))/1000</f>
        <v>0.15</v>
      </c>
      <c r="M7665" t="str">
        <v>=</v>
      </c>
      <c r="N7665">
        <f>J7665+L7665</f>
        <v>1.13</v>
      </c>
      <c r="T7665" t="str">
        <v>x</v>
      </c>
      <c r="U7665">
        <f>0.006165*F7665^2</f>
        <v>0.39456</v>
      </c>
      <c r="V7665" t="str">
        <v>x</v>
      </c>
      <c r="W7665">
        <f>IF(D7647-MAX(D7647/4,2*G7645)*2&gt;0,ROUND((D7647-MAX(D7647/4,2*G7645)*2)/H7665,0),0)</f>
        <v>7</v>
      </c>
      <c r="X7665" t="str">
        <v>x</v>
      </c>
      <c r="Y7665">
        <f>D7650</f>
        <v>1</v>
      </c>
      <c r="Z7665" t="str">
        <v>=</v>
      </c>
      <c r="AA7665">
        <f>N7665*U7665*W7665*Y7665</f>
        <v>3.1209696</v>
      </c>
    </row>
    <row r="7666">
      <c r="A7666" t="str">
        <f>A7644</f>
        <v>Lantai 2</v>
      </c>
      <c r="B7666">
        <f>B7644</f>
        <v>60</v>
      </c>
      <c r="C7666" t="str">
        <v>Sengkang Tumpuan</v>
      </c>
      <c r="D7666">
        <f>VLOOKUP(D7644,'Detail Balok'!$C$10:$AU$110,41,FALSE)</f>
        <v>0</v>
      </c>
      <c r="E7666" t="str">
        <v>D</v>
      </c>
      <c r="F7666">
        <f>VLOOKUP(D7644,'Detail Balok'!$C$10:$AU$110,43,FALSE)</f>
        <v>8</v>
      </c>
      <c r="G7666" t="str">
        <v>-</v>
      </c>
      <c r="H7666">
        <f>VLOOKUP(D7644,'Detail Balok'!$C$10:$AU$110,45,FALSE)</f>
        <v>100</v>
      </c>
      <c r="J7666">
        <f>(IF(D7666=0,(2*(D7645+G7645))-(F$5*8),IF(D7666=3,(2*(D7645+G7645))-(F$5*8)+(G7645-2*F$5),IF(D7666=4,(2*(D7645+G7645))-(F$5*8)+2*(G7645-2*F$5)))))/1000</f>
        <v>0.98</v>
      </c>
      <c r="K7666" t="str">
        <v>+</v>
      </c>
      <c r="L7666">
        <f>IF(D7666=0,2*MAX(6*F7666,75),(D7666-1)*2*MAX(6*F7666,75))/1000</f>
        <v>0.15</v>
      </c>
      <c r="M7666" t="str">
        <v>=</v>
      </c>
      <c r="N7666">
        <f>J7666+L7666</f>
        <v>1.13</v>
      </c>
      <c r="T7666" t="str">
        <v>x</v>
      </c>
      <c r="U7666">
        <f>0.006165*F7666^2</f>
        <v>0.39456</v>
      </c>
      <c r="V7666" t="str">
        <v>x</v>
      </c>
      <c r="W7666">
        <f>IF(D7647&gt;4*G7645,ROUND(MAX(D7647/4,2*G7645)/H7666,0)+1,0)</f>
        <v>10</v>
      </c>
      <c r="X7666" t="str">
        <v>x</v>
      </c>
      <c r="Y7666">
        <f>D7650</f>
        <v>1</v>
      </c>
      <c r="Z7666" t="str">
        <v>=</v>
      </c>
      <c r="AA7666">
        <f>N7666*U7666*W7666*Y7666</f>
        <v>4.458528</v>
      </c>
    </row>
    <row r="7668">
      <c r="A7668" t="str">
        <f>A7644</f>
        <v>Lantai 2</v>
      </c>
      <c r="B7668">
        <f>B7644</f>
        <v>60</v>
      </c>
      <c r="C7668" t="str">
        <v>Kait Horizontal Tump.</v>
      </c>
      <c r="D7668">
        <f>VLOOKUP(D7644,'Detail Balok'!$C$10:$BJ$110,46,FALSE)</f>
        <v>0</v>
      </c>
      <c r="E7668" t="str">
        <v>D</v>
      </c>
      <c r="F7668">
        <f>VLOOKUP(D7644,'Detail Balok'!$C$10:$BJ$110,48,FALSE)</f>
        <v>0</v>
      </c>
      <c r="G7668" t="str">
        <v>-</v>
      </c>
      <c r="H7668">
        <f>VLOOKUP(D7644,'Detail Balok'!$C$10:$BJ$110,50,FALSE)</f>
        <v>100</v>
      </c>
      <c r="J7668">
        <f>(D7645-2*F$5)/1000</f>
        <v>0.12</v>
      </c>
      <c r="K7668" t="str">
        <v>+</v>
      </c>
      <c r="L7668">
        <f>IF(D7668=0,2*MAX(6*F7668,75),(D7668-1)*2*MAX(6*F7668,75))/1000</f>
        <v>0.15</v>
      </c>
      <c r="M7668" t="str">
        <v>=</v>
      </c>
      <c r="N7668">
        <f>J7668+L7668</f>
        <v>0.27</v>
      </c>
      <c r="T7668" t="str">
        <v>x</v>
      </c>
      <c r="U7668">
        <f>0.006165*F7668^2</f>
        <v>0</v>
      </c>
      <c r="V7668" t="str">
        <v>x</v>
      </c>
      <c r="W7668">
        <f>W7664</f>
        <v>10</v>
      </c>
      <c r="X7668" t="str">
        <v>x</v>
      </c>
      <c r="Y7668">
        <f>D7654</f>
        <v>3</v>
      </c>
      <c r="Z7668" t="str">
        <v>=</v>
      </c>
      <c r="AA7668">
        <f>N7668*U7668*W7668*Y7668</f>
        <v>0</v>
      </c>
    </row>
    <row r="7669">
      <c r="A7669" t="str">
        <f>A7644</f>
        <v>Lantai 2</v>
      </c>
      <c r="B7669">
        <f>B7644</f>
        <v>60</v>
      </c>
      <c r="C7669" t="str">
        <v>Kait Horizontal Lap.</v>
      </c>
      <c r="D7669">
        <f>VLOOKUP(D7644,'Detail Balok'!$C$10:$BJ$110,51,FALSE)</f>
        <v>0</v>
      </c>
      <c r="E7669" t="str">
        <v>D</v>
      </c>
      <c r="F7669">
        <f>VLOOKUP(D7644,'Detail Balok'!$C$10:$BJ$110,53,FALSE)</f>
        <v>0</v>
      </c>
      <c r="G7669" t="str">
        <v>-</v>
      </c>
      <c r="H7669">
        <f>VLOOKUP(D7644,'Detail Balok'!$C$10:$BJ$110,55,FALSE)</f>
        <v>100</v>
      </c>
      <c r="J7669">
        <f>(D7645-2*F$5)/1000</f>
        <v>0.12</v>
      </c>
      <c r="K7669" t="str">
        <v>+</v>
      </c>
      <c r="L7669">
        <f>IF(D7669=0,2*MAX(6*F7669,75),(D7669-1)*2*MAX(6*F7669,75))/1000</f>
        <v>0.15</v>
      </c>
      <c r="M7669" t="str">
        <v>=</v>
      </c>
      <c r="N7669">
        <f>J7669+L7669</f>
        <v>0.27</v>
      </c>
      <c r="T7669" t="str">
        <v>x</v>
      </c>
      <c r="U7669">
        <f>0.006165*F7669^2</f>
        <v>0</v>
      </c>
      <c r="V7669" t="str">
        <v>x</v>
      </c>
      <c r="W7669">
        <f>W7665</f>
        <v>7</v>
      </c>
      <c r="X7669" t="str">
        <v>x</v>
      </c>
      <c r="Y7669">
        <f>D7654</f>
        <v>3</v>
      </c>
      <c r="Z7669" t="str">
        <v>=</v>
      </c>
      <c r="AA7669">
        <f>N7669*U7669*W7669*Y7669</f>
        <v>0</v>
      </c>
    </row>
    <row r="7670">
      <c r="A7670" t="str">
        <f>A7644</f>
        <v>Lantai 2</v>
      </c>
      <c r="B7670">
        <f>B7644</f>
        <v>60</v>
      </c>
      <c r="C7670" t="str">
        <v>Kait Horizontal Tump.</v>
      </c>
      <c r="D7670">
        <f>VLOOKUP(D7644,'Detail Balok'!$C$10:$BJ$110,56,FALSE)</f>
        <v>0</v>
      </c>
      <c r="E7670" t="str">
        <v>D</v>
      </c>
      <c r="F7670">
        <f>VLOOKUP(D7644,'Detail Balok'!$C$10:$BJ$110,58,FALSE)</f>
        <v>0</v>
      </c>
      <c r="G7670" t="str">
        <v>-</v>
      </c>
      <c r="H7670">
        <f>VLOOKUP(D7644,'Detail Balok'!$C$10:$BJ$110,60,FALSE)</f>
        <v>100</v>
      </c>
      <c r="J7670">
        <f>(D7645-2*F$5)/1000</f>
        <v>0.12</v>
      </c>
      <c r="K7670" t="str">
        <v>+</v>
      </c>
      <c r="L7670">
        <f>IF(D7670=0,2*MAX(6*F7670,75),(D7670-1)*2*MAX(6*F7670,75))/1000</f>
        <v>0.15</v>
      </c>
      <c r="M7670" t="str">
        <v>=</v>
      </c>
      <c r="N7670">
        <f>J7670+L7670</f>
        <v>0.27</v>
      </c>
      <c r="T7670" t="str">
        <v>x</v>
      </c>
      <c r="U7670">
        <f>0.006165*F7670^2</f>
        <v>0</v>
      </c>
      <c r="V7670" t="str">
        <v>x</v>
      </c>
      <c r="W7670">
        <f>W7666</f>
        <v>10</v>
      </c>
      <c r="X7670" t="str">
        <v>x</v>
      </c>
      <c r="Y7670">
        <f>D7654</f>
        <v>3</v>
      </c>
      <c r="Z7670" t="str">
        <v>=</v>
      </c>
      <c r="AA7670">
        <f>N7670*U7670*W7670*Y7670</f>
        <v>0</v>
      </c>
    </row>
    <row r="7674">
      <c r="A7674" t="str">
        <f>A7644</f>
        <v>Lantai 2</v>
      </c>
      <c r="B7674">
        <f>B7644+1</f>
        <v>61</v>
      </c>
      <c r="C7674" t="str">
        <f>CONCATENATE(A7674," no. ",B7674)</f>
        <v>Lantai 2 no. 61</v>
      </c>
      <c r="D7674" t="str">
        <f>VLOOKUP(C7674,'Data Panjang Balok'!$C$9:$N$424,2,FALSE)</f>
        <v>B245-1</v>
      </c>
    </row>
    <row r="7675">
      <c r="C7675" t="str">
        <v>Dimensi</v>
      </c>
      <c r="D7675">
        <f>VLOOKUP(D7674,'Detail Balok'!$C$10:$AU$110,2,FALSE)</f>
        <v>200</v>
      </c>
      <c r="F7675" t="str">
        <v>x</v>
      </c>
      <c r="G7675">
        <f>VLOOKUP(D7674,'Detail Balok'!$C$10:$AU$110,3,FALSE)</f>
        <v>450</v>
      </c>
    </row>
    <row r="7676">
      <c r="C7676" t="str">
        <v>Panjang as ke as</v>
      </c>
      <c r="D7676">
        <f>VLOOKUP(C7674,'Data Panjang Balok'!$C$9:$N$424,4,FALSE)</f>
        <v>4765</v>
      </c>
    </row>
    <row r="7677">
      <c r="C7677" t="str">
        <v>Panjang netto</v>
      </c>
      <c r="D7677">
        <f>VLOOKUP(C7674,'Data Panjang Balok'!$C$9:$N$424,7,FALSE)</f>
        <v>4765</v>
      </c>
    </row>
    <row r="7678">
      <c r="C7678" t="str">
        <v>Kolom / balok kiri</v>
      </c>
      <c r="D7678">
        <f>VLOOKUP(C7674,'Data Panjang Balok'!$C$9:$N$424,9,FALSE)</f>
        <v>0</v>
      </c>
    </row>
    <row r="7679">
      <c r="C7679" t="str">
        <v>Kolom / balok kanan</v>
      </c>
      <c r="D7679">
        <f>VLOOKUP(C7674,'Data Panjang Balok'!$C$9:$N$424,10,FALSE)</f>
        <v>0</v>
      </c>
    </row>
    <row r="7680">
      <c r="C7680" t="str">
        <v>Jumlah</v>
      </c>
      <c r="D7680">
        <f>VLOOKUP(C7674,'Data Panjang Balok'!$C$9:$N$424,3,FALSE)</f>
        <v>1</v>
      </c>
    </row>
    <row r="7681">
      <c r="A7681" t="str">
        <f>A7674</f>
        <v>Lantai 2</v>
      </c>
      <c r="B7681">
        <f>B7674</f>
        <v>61</v>
      </c>
      <c r="C7681" t="str">
        <v>Tul Atas Tumpuan</v>
      </c>
      <c r="D7681">
        <f>VLOOKUP(D7674,'Detail Balok'!$C$10:$AU$110,4,FALSE)</f>
        <v>2</v>
      </c>
      <c r="E7681" t="str">
        <v>D</v>
      </c>
      <c r="F7681">
        <f>VLOOKUP(D7674,'Detail Balok'!$C$10:$AU$110,6,FALSE)</f>
        <v>13</v>
      </c>
      <c r="I7681" t="str">
        <v>(</v>
      </c>
      <c r="J7681">
        <f>+D7676/4/1000</f>
        <v>1.19125</v>
      </c>
      <c r="K7681" t="str">
        <v>+</v>
      </c>
      <c r="L7681">
        <f>MAX(VLOOKUP(F7681,N$6:P$15,3,FALSE)/1000,2/3*D7678/1000)+F$16*F7681/1000</f>
        <v>0.156</v>
      </c>
      <c r="M7681" t="str">
        <v>=</v>
      </c>
      <c r="N7681">
        <f>J7681+L7681</f>
        <v>1.3472499999999998</v>
      </c>
      <c r="O7681" t="str">
        <v>+</v>
      </c>
      <c r="P7681">
        <f>D7681-D7682</f>
        <v>0</v>
      </c>
      <c r="Q7681" t="str">
        <v>x</v>
      </c>
      <c r="R7681">
        <f>IF(P7681&gt;0,$F$18*F7681/1000,0)</f>
        <v>0</v>
      </c>
      <c r="S7681" t="str">
        <v>)</v>
      </c>
      <c r="T7681" t="str">
        <v>x</v>
      </c>
      <c r="U7681">
        <f>0.006165*F7681^2</f>
        <v>1.041885</v>
      </c>
      <c r="X7681" t="str">
        <v>x</v>
      </c>
      <c r="Y7681">
        <f>D7680</f>
        <v>1</v>
      </c>
      <c r="Z7681" t="str">
        <v>=</v>
      </c>
      <c r="AA7681">
        <f>IF(AA7684=0,(D7681*N7681+P7681*R7681)*U7681*Y7681,0)</f>
        <v>0</v>
      </c>
    </row>
    <row r="7682">
      <c r="A7682" t="str">
        <f>A7674</f>
        <v>Lantai 2</v>
      </c>
      <c r="B7682">
        <f>B7674</f>
        <v>61</v>
      </c>
      <c r="C7682" t="str">
        <v>Tul Atas Lapangan</v>
      </c>
      <c r="D7682">
        <f>VLOOKUP(D7674,'Detail Balok'!$C$10:$AU$110,7,FALSE)</f>
        <v>2</v>
      </c>
      <c r="E7682" t="str">
        <v>D</v>
      </c>
      <c r="F7682">
        <f>VLOOKUP(D7674,'Detail Balok'!$C$10:$AU$110,9,FALSE)</f>
        <v>13</v>
      </c>
      <c r="I7682" t="str">
        <v>(</v>
      </c>
      <c r="J7682">
        <f>+D7676/2/1000</f>
        <v>2.3825</v>
      </c>
      <c r="K7682" t="str">
        <v>+</v>
      </c>
      <c r="M7682" t="str">
        <v>=</v>
      </c>
      <c r="N7682">
        <f>J7682+L7682</f>
        <v>2.3825</v>
      </c>
      <c r="O7682" t="str">
        <v>+</v>
      </c>
      <c r="P7682">
        <f>MAX(D7682-D7681,D7682-D7683)</f>
        <v>0</v>
      </c>
      <c r="Q7682" t="str">
        <v>x</v>
      </c>
      <c r="R7682">
        <f>IF(P7682&gt;0,2*(1-2*$F$19-1/2)*D7677/1000,0)</f>
        <v>0</v>
      </c>
      <c r="S7682" t="str">
        <v>)</v>
      </c>
      <c r="T7682" t="str">
        <v>x</v>
      </c>
      <c r="U7682">
        <f>0.006165*F7682^2</f>
        <v>1.041885</v>
      </c>
      <c r="X7682" t="str">
        <v>x</v>
      </c>
      <c r="Y7682">
        <f>D7680</f>
        <v>1</v>
      </c>
      <c r="Z7682" t="str">
        <v>=</v>
      </c>
      <c r="AA7682">
        <f>IF(AA7684=0,(D7682*N7682+P7682*R7682)*U7682*Y7682,0)</f>
        <v>0</v>
      </c>
    </row>
    <row r="7683">
      <c r="A7683" t="str">
        <f>A7674</f>
        <v>Lantai 2</v>
      </c>
      <c r="B7683">
        <f>B7674</f>
        <v>61</v>
      </c>
      <c r="C7683" t="str">
        <v>Tul Atas Tumpuan</v>
      </c>
      <c r="D7683">
        <f>VLOOKUP(D7674,'Detail Balok'!$C$10:$AU$110,10,FALSE)</f>
        <v>2</v>
      </c>
      <c r="E7683" t="str">
        <v>D</v>
      </c>
      <c r="F7683">
        <f>VLOOKUP(D7674,'Detail Balok'!$C$10:$AU$110,12,FALSE)</f>
        <v>13</v>
      </c>
      <c r="I7683" t="str">
        <v>(</v>
      </c>
      <c r="J7683">
        <f>+D7676/4/1000</f>
        <v>1.19125</v>
      </c>
      <c r="K7683" t="str">
        <v>+</v>
      </c>
      <c r="L7683">
        <f>MAX(VLOOKUP(F7683,N$6:P$15,3,FALSE)/1000,2/3*D7678/1000)+F$16*F7683/1000</f>
        <v>0.156</v>
      </c>
      <c r="M7683" t="str">
        <v>=</v>
      </c>
      <c r="N7683">
        <f>J7683+L7683</f>
        <v>1.3472499999999998</v>
      </c>
      <c r="O7683" t="str">
        <v>+</v>
      </c>
      <c r="P7683">
        <f>D7683-D7682</f>
        <v>0</v>
      </c>
      <c r="Q7683" t="str">
        <v>x</v>
      </c>
      <c r="R7683">
        <f>IF(P7683&gt;0,$F$18*F7683/1000,0)</f>
        <v>0</v>
      </c>
      <c r="S7683" t="str">
        <v>)</v>
      </c>
      <c r="T7683" t="str">
        <v>x</v>
      </c>
      <c r="U7683">
        <f>0.006165*F7683^2</f>
        <v>1.041885</v>
      </c>
      <c r="X7683" t="str">
        <v>x</v>
      </c>
      <c r="Y7683">
        <f>D7680</f>
        <v>1</v>
      </c>
      <c r="Z7683" t="str">
        <v>=</v>
      </c>
      <c r="AA7683">
        <f>IF(AA7684=0,(D7683*N7683+P7683*R7683)*U7683*Y7683,0)</f>
        <v>0</v>
      </c>
    </row>
    <row r="7684">
      <c r="A7684" t="str">
        <f>A7674</f>
        <v>Lantai 2</v>
      </c>
      <c r="B7684">
        <f>B7674</f>
        <v>61</v>
      </c>
      <c r="D7684">
        <f>IF(AND(D7681=D7682,D7682=D7683,D7681=D7683),D7681,0)</f>
        <v>2</v>
      </c>
      <c r="E7684" t="str">
        <v>D</v>
      </c>
      <c r="F7684">
        <f>IF(AND(F7681=F7682,F7681=F7683,F7682=F7683),F7681,0)</f>
        <v>13</v>
      </c>
      <c r="L7684" t="str">
        <v>Total panjang per balok</v>
      </c>
      <c r="M7684" t="str">
        <v>=</v>
      </c>
      <c r="N7684">
        <f>IF(AND(D7681=D7682,D7681=D7683,D7682=D7683,F7681=F7682,F7681=F7683,F7682=F7683),SUM(N7681:N7683),0)</f>
        <v>5.077</v>
      </c>
      <c r="O7684" t="str">
        <v>+</v>
      </c>
      <c r="P7684">
        <f>IF(N7684&gt;12,ROUNDDOWN(N7684/12,0),0)</f>
        <v>0</v>
      </c>
      <c r="Q7684" t="str">
        <v>x</v>
      </c>
      <c r="R7684">
        <f>IF(P7684&gt;0,MAX(VLOOKUP(F7684,$D$6:$G$15,3,FALSE),600),0)/1000</f>
        <v>0</v>
      </c>
      <c r="T7684" t="str">
        <v>x</v>
      </c>
      <c r="U7684">
        <f>U7683</f>
        <v>1.041885</v>
      </c>
      <c r="V7684" t="str">
        <v>x</v>
      </c>
      <c r="W7684">
        <f>D7684</f>
        <v>2</v>
      </c>
      <c r="X7684" t="str">
        <v>x</v>
      </c>
      <c r="Y7684">
        <f>Y7683</f>
        <v>1</v>
      </c>
      <c r="Z7684" t="str">
        <v>=</v>
      </c>
      <c r="AA7684">
        <f>(N7684+P7684*R7684/1000)*U7684*W7684*Y7684</f>
        <v>10.579300289999999</v>
      </c>
    </row>
    <row r="7686">
      <c r="A7686" t="str">
        <f>A7674</f>
        <v>Lantai 2</v>
      </c>
      <c r="B7686">
        <f>B7674</f>
        <v>61</v>
      </c>
      <c r="C7686" t="str">
        <v>Tul Peminggang</v>
      </c>
      <c r="D7686">
        <f>VLOOKUP(D7674,'Detail Balok'!$C$10:$AU$110,13,FALSE)</f>
        <v>2</v>
      </c>
      <c r="E7686" t="str">
        <v>D</v>
      </c>
      <c r="F7686">
        <f>VLOOKUP(D7674,'Detail Balok'!$C$10:$AU$110,15,FALSE)</f>
        <v>8</v>
      </c>
      <c r="J7686">
        <f>+D7676/1000</f>
        <v>4.765</v>
      </c>
      <c r="K7686" t="str">
        <v>+</v>
      </c>
      <c r="L7686">
        <f>2*$F$16*F7686/1000</f>
        <v>0.192</v>
      </c>
      <c r="M7686" t="str">
        <v>=</v>
      </c>
      <c r="N7686">
        <f>J7686+L7686</f>
        <v>4.957</v>
      </c>
      <c r="O7686" t="str">
        <v>+</v>
      </c>
      <c r="P7686">
        <f>IF(N7686&gt;12,ROUNDDOWN(N7686/12,0),0)</f>
        <v>0</v>
      </c>
      <c r="Q7686" t="str">
        <v>x</v>
      </c>
      <c r="R7686">
        <f>IF(P7686&gt;0,MAX(VLOOKUP(F7686,$D$6:$G$15,3,FALSE),600),0)/1000</f>
        <v>0</v>
      </c>
      <c r="T7686" t="str">
        <v>x</v>
      </c>
      <c r="U7686">
        <f>0.006165*F7686^2</f>
        <v>0.39456</v>
      </c>
      <c r="V7686" t="str">
        <v>x</v>
      </c>
      <c r="W7686">
        <f>+D7686</f>
        <v>2</v>
      </c>
      <c r="X7686" t="str">
        <v>x</v>
      </c>
      <c r="Y7686">
        <f>D7680</f>
        <v>1</v>
      </c>
      <c r="Z7686" t="str">
        <v>=</v>
      </c>
      <c r="AA7686">
        <f>(N7686+P7686*R7686/1000)*U7686*W7686*Y7686</f>
        <v>3.9116678400000002</v>
      </c>
    </row>
    <row r="7689">
      <c r="A7689" t="str">
        <f>A7674</f>
        <v>Lantai 2</v>
      </c>
      <c r="B7689">
        <f>B7674</f>
        <v>61</v>
      </c>
      <c r="C7689" t="str">
        <v>Tul Bawah Tumpuan</v>
      </c>
      <c r="D7689">
        <f>VLOOKUP(D7674,'Detail Balok'!$C$10:$AU$110,22,FALSE)</f>
        <v>2</v>
      </c>
      <c r="E7689" t="str">
        <v>D</v>
      </c>
      <c r="F7689">
        <f>VLOOKUP(D7674,'Detail Balok'!$C$10:$AU$110,24,FALSE)</f>
        <v>13</v>
      </c>
      <c r="I7689" t="str">
        <v>(</v>
      </c>
      <c r="J7689">
        <f>+J7681</f>
        <v>1.19125</v>
      </c>
      <c r="K7689" t="str">
        <v>+</v>
      </c>
      <c r="L7689">
        <f>MAX(VLOOKUP(F7689,N$6:P$15,3,FALSE)/1000,2/3*D7679/1000)+F$16*F7689/1000</f>
        <v>0.156</v>
      </c>
      <c r="M7689" t="str">
        <v>=</v>
      </c>
      <c r="N7689">
        <f>J7689+L7689</f>
        <v>1.3472499999999998</v>
      </c>
      <c r="O7689" t="str">
        <v>+</v>
      </c>
      <c r="P7689">
        <f>D7689-D7690</f>
        <v>0</v>
      </c>
      <c r="Q7689" t="str">
        <v>x</v>
      </c>
      <c r="R7689">
        <f>IF(P7689&gt;0,$F$18*F7689/1000,0)</f>
        <v>0</v>
      </c>
      <c r="S7689" t="str">
        <v>)</v>
      </c>
      <c r="T7689" t="str">
        <v>x</v>
      </c>
      <c r="U7689">
        <f>0.006165*F7689^2</f>
        <v>1.041885</v>
      </c>
      <c r="X7689" t="str">
        <v>x</v>
      </c>
      <c r="Y7689">
        <f>D7680</f>
        <v>1</v>
      </c>
      <c r="Z7689" t="str">
        <v>=</v>
      </c>
      <c r="AA7689">
        <f>IF(AA7692=0,(D7689*N7689+P7689*R7689)*U7689*Y7689,0)</f>
        <v>0</v>
      </c>
    </row>
    <row r="7690">
      <c r="A7690" t="str">
        <f>A7674</f>
        <v>Lantai 2</v>
      </c>
      <c r="B7690">
        <f>B7674</f>
        <v>61</v>
      </c>
      <c r="C7690" t="str">
        <v>Tul Bawah Lapangan</v>
      </c>
      <c r="D7690">
        <f>VLOOKUP(D7674,'Detail Balok'!$C$10:$AU$110,25,FALSE)</f>
        <v>2</v>
      </c>
      <c r="E7690" t="str">
        <v>D</v>
      </c>
      <c r="F7690">
        <f>VLOOKUP(D7674,'Detail Balok'!$C$10:$AU$110,27,FALSE)</f>
        <v>13</v>
      </c>
      <c r="I7690" t="str">
        <v>(</v>
      </c>
      <c r="J7690">
        <f>+J7682</f>
        <v>2.3825</v>
      </c>
      <c r="K7690" t="str">
        <v>+</v>
      </c>
      <c r="M7690" t="str">
        <v>=</v>
      </c>
      <c r="N7690">
        <f>J7690+L7690</f>
        <v>2.3825</v>
      </c>
      <c r="O7690" t="str">
        <v>+</v>
      </c>
      <c r="P7690">
        <f>MAX(D7690-D7689,D7690-D7691)</f>
        <v>0</v>
      </c>
      <c r="Q7690" t="str">
        <v>x</v>
      </c>
      <c r="R7690">
        <f>IF(P7690&gt;0,2*(1-2*$F$19-1/2)*D7677/1000,0)</f>
        <v>0</v>
      </c>
      <c r="S7690" t="str">
        <v>)</v>
      </c>
      <c r="T7690" t="str">
        <v>x</v>
      </c>
      <c r="U7690">
        <f>0.006165*F7690^2</f>
        <v>1.041885</v>
      </c>
      <c r="X7690" t="str">
        <v>x</v>
      </c>
      <c r="Y7690">
        <f>D7680</f>
        <v>1</v>
      </c>
      <c r="Z7690" t="str">
        <v>=</v>
      </c>
      <c r="AA7690">
        <f>IF(AA7692=0,(D7690*N7690+P7690*R7690)*U7690*Y7690,0)</f>
        <v>0</v>
      </c>
    </row>
    <row r="7691">
      <c r="A7691" t="str">
        <f>A7674</f>
        <v>Lantai 2</v>
      </c>
      <c r="B7691">
        <f>B7674</f>
        <v>61</v>
      </c>
      <c r="C7691" t="str">
        <v>Tul Bawah Tumpuan</v>
      </c>
      <c r="D7691">
        <f>VLOOKUP(D7674,'Detail Balok'!$C$10:$AU$110,28,FALSE)</f>
        <v>2</v>
      </c>
      <c r="E7691" t="str">
        <v>D</v>
      </c>
      <c r="F7691">
        <f>VLOOKUP(D7674,'Detail Balok'!$C$10:$AU$110,30,FALSE)</f>
        <v>13</v>
      </c>
      <c r="I7691" t="str">
        <v>(</v>
      </c>
      <c r="J7691">
        <f>+J7683</f>
        <v>1.19125</v>
      </c>
      <c r="K7691" t="str">
        <v>+</v>
      </c>
      <c r="L7691">
        <f>MAX(VLOOKUP(F7691,N$6:P$15,3,FALSE)/1000,2/3*D7679/1000)+F$16*F7691/1000</f>
        <v>0.156</v>
      </c>
      <c r="M7691" t="str">
        <v>=</v>
      </c>
      <c r="N7691">
        <f>J7691+L7691</f>
        <v>1.3472499999999998</v>
      </c>
      <c r="O7691" t="str">
        <v>+</v>
      </c>
      <c r="P7691">
        <f>D7691-D7690</f>
        <v>0</v>
      </c>
      <c r="Q7691" t="str">
        <v>x</v>
      </c>
      <c r="R7691">
        <f>IF(P7691&gt;0,$F$18*F7691/1000,0)</f>
        <v>0</v>
      </c>
      <c r="S7691" t="str">
        <v>)</v>
      </c>
      <c r="T7691" t="str">
        <v>x</v>
      </c>
      <c r="U7691">
        <f>0.006165*F7691^2</f>
        <v>1.041885</v>
      </c>
      <c r="X7691" t="str">
        <v>x</v>
      </c>
      <c r="Y7691">
        <f>D7680</f>
        <v>1</v>
      </c>
      <c r="Z7691" t="str">
        <v>=</v>
      </c>
      <c r="AA7691">
        <f>IF(AA7692=0,(D7691*N7691+P7691*R7691)*U7691*Y7691,0)</f>
        <v>0</v>
      </c>
    </row>
    <row r="7692">
      <c r="A7692" t="str">
        <f>A7674</f>
        <v>Lantai 2</v>
      </c>
      <c r="B7692">
        <f>B7674</f>
        <v>61</v>
      </c>
      <c r="D7692">
        <f>IF(AND(D7689=D7690,D7690=D7691,D7689=D7691),D7689,0)</f>
        <v>2</v>
      </c>
      <c r="E7692" t="str">
        <v>D</v>
      </c>
      <c r="F7692">
        <f>IF(AND(F7689=F7690,F7689=F7691,F7690=F7691),F7689,0)</f>
        <v>13</v>
      </c>
      <c r="L7692" t="str">
        <v>Total panjang per balok</v>
      </c>
      <c r="M7692" t="str">
        <v>=</v>
      </c>
      <c r="N7692">
        <f>IF(AND(D7689=D7690,D7689=D7691,D7690=D7691,F7689=F7690,F7689=F7691,F7690=F7691),SUM(N7689:N7691),0)</f>
        <v>5.077</v>
      </c>
      <c r="O7692" t="str">
        <v>+</v>
      </c>
      <c r="P7692">
        <f>IF(N7692&gt;12,ROUNDDOWN(N7692/12,0),0)</f>
        <v>0</v>
      </c>
      <c r="Q7692" t="str">
        <v>x</v>
      </c>
      <c r="R7692">
        <f>IF(P7692&gt;0,MAX(VLOOKUP(F7692,$D$6:$G$15,3,FALSE),600),0)/1000</f>
        <v>0</v>
      </c>
      <c r="T7692" t="str">
        <v>x</v>
      </c>
      <c r="U7692">
        <f>U7691</f>
        <v>1.041885</v>
      </c>
      <c r="V7692" t="str">
        <v>x</v>
      </c>
      <c r="W7692">
        <f>D7692</f>
        <v>2</v>
      </c>
      <c r="X7692" t="str">
        <v>x</v>
      </c>
      <c r="Y7692">
        <f>Y7691</f>
        <v>1</v>
      </c>
      <c r="Z7692" t="str">
        <v>=</v>
      </c>
      <c r="AA7692">
        <f>(N7692+P7692*R7692/1000)*U7692*W7692*Y7692</f>
        <v>10.579300289999999</v>
      </c>
    </row>
    <row r="7694">
      <c r="A7694" t="str">
        <f>A7674</f>
        <v>Lantai 2</v>
      </c>
      <c r="B7694">
        <f>B7674</f>
        <v>61</v>
      </c>
      <c r="C7694" t="str">
        <v>Sengkang Tumpuan</v>
      </c>
      <c r="D7694">
        <f>VLOOKUP(D7674,'Detail Balok'!$C$10:$AU$110,31,FALSE)</f>
        <v>0</v>
      </c>
      <c r="E7694" t="str">
        <v>D</v>
      </c>
      <c r="F7694">
        <f>VLOOKUP(D7674,'Detail Balok'!$C$10:$AU$110,33,FALSE)</f>
        <v>8</v>
      </c>
      <c r="G7694" t="str">
        <v>-</v>
      </c>
      <c r="H7694">
        <f>VLOOKUP(D7674,'Detail Balok'!$C$10:$AU$110,35,FALSE)</f>
        <v>100</v>
      </c>
      <c r="J7694">
        <f>(IF(D7694=0,(2*(D7675+G7675))-(F$5*8),IF(D7694=3,(2*(D7675+G7675))-(F$5*8)+(G7675-2*F$5),IF(D7694=4,(2*(D7675+G7675))-(F$5*8)+2*(G7675-2*F$5)))))/1000</f>
        <v>0.98</v>
      </c>
      <c r="K7694" t="str">
        <v>+</v>
      </c>
      <c r="L7694">
        <f>IF(D7694=0,2*MAX(6*F7694,75),(D7694-1)*2*MAX(6*F7694,75))/1000</f>
        <v>0.15</v>
      </c>
      <c r="M7694" t="str">
        <v>=</v>
      </c>
      <c r="N7694">
        <f>J7694+L7694</f>
        <v>1.13</v>
      </c>
      <c r="T7694" t="str">
        <v>x</v>
      </c>
      <c r="U7694">
        <f>0.006165*F7694^2</f>
        <v>0.39456</v>
      </c>
      <c r="V7694" t="str">
        <v>x</v>
      </c>
      <c r="W7694">
        <f>IF(D7677&gt;4*G7675,ROUND(MAX(D7677/4,2*G7675)/H7694,0)+1,ROUND(D7677/H7694,0)+1)</f>
        <v>13</v>
      </c>
      <c r="X7694" t="str">
        <v>x</v>
      </c>
      <c r="Y7694">
        <f>D7680</f>
        <v>1</v>
      </c>
      <c r="Z7694" t="str">
        <v>=</v>
      </c>
      <c r="AA7694">
        <f>N7694*U7694*W7694*Y7694</f>
        <v>5.7960864</v>
      </c>
    </row>
    <row r="7695">
      <c r="A7695" t="str">
        <f>A7674</f>
        <v>Lantai 2</v>
      </c>
      <c r="B7695">
        <f>B7674</f>
        <v>61</v>
      </c>
      <c r="C7695" t="str">
        <v>Sengkang Lapangan</v>
      </c>
      <c r="D7695">
        <f>VLOOKUP(D7674,'Detail Balok'!$C$10:$AU$110,36,FALSE)</f>
        <v>0</v>
      </c>
      <c r="E7695" t="str">
        <v>D</v>
      </c>
      <c r="F7695">
        <f>VLOOKUP(D7674,'Detail Balok'!$C$10:$AU$110,38,FALSE)</f>
        <v>8</v>
      </c>
      <c r="G7695" t="str">
        <v>-</v>
      </c>
      <c r="H7695">
        <f>VLOOKUP(D7674,'Detail Balok'!$C$10:$AU$110,40,FALSE)</f>
        <v>200</v>
      </c>
      <c r="J7695">
        <f>(IF(D7695=0,(2*(D7675+G7675))-(F$5*8),IF(D7695=3,(2*(D7675+G7675))-(F$5*8)+(G7675-2*F$5),IF(D7695=4,(2*(D7675+G7675))-(F$5*8)+2*(G7675-2*F$5)))))/1000</f>
        <v>0.98</v>
      </c>
      <c r="K7695" t="str">
        <v>+</v>
      </c>
      <c r="L7695">
        <f>IF(D7695=0,2*MAX(6*F7695,75),(D7695-1)*2*MAX(6*F7695,75))/1000</f>
        <v>0.15</v>
      </c>
      <c r="M7695" t="str">
        <v>=</v>
      </c>
      <c r="N7695">
        <f>J7695+L7695</f>
        <v>1.13</v>
      </c>
      <c r="T7695" t="str">
        <v>x</v>
      </c>
      <c r="U7695">
        <f>0.006165*F7695^2</f>
        <v>0.39456</v>
      </c>
      <c r="V7695" t="str">
        <v>x</v>
      </c>
      <c r="W7695">
        <f>IF(D7677-MAX(D7677/4,2*G7675)*2&gt;0,ROUND((D7677-MAX(D7677/4,2*G7675)*2)/H7695,0),0)</f>
        <v>12</v>
      </c>
      <c r="X7695" t="str">
        <v>x</v>
      </c>
      <c r="Y7695">
        <f>D7680</f>
        <v>1</v>
      </c>
      <c r="Z7695" t="str">
        <v>=</v>
      </c>
      <c r="AA7695">
        <f>N7695*U7695*W7695*Y7695</f>
        <v>5.3502336</v>
      </c>
    </row>
    <row r="7696">
      <c r="A7696" t="str">
        <f>A7674</f>
        <v>Lantai 2</v>
      </c>
      <c r="B7696">
        <f>B7674</f>
        <v>61</v>
      </c>
      <c r="C7696" t="str">
        <v>Sengkang Tumpuan</v>
      </c>
      <c r="D7696">
        <f>VLOOKUP(D7674,'Detail Balok'!$C$10:$AU$110,41,FALSE)</f>
        <v>0</v>
      </c>
      <c r="E7696" t="str">
        <v>D</v>
      </c>
      <c r="F7696">
        <f>VLOOKUP(D7674,'Detail Balok'!$C$10:$AU$110,43,FALSE)</f>
        <v>8</v>
      </c>
      <c r="G7696" t="str">
        <v>-</v>
      </c>
      <c r="H7696">
        <f>VLOOKUP(D7674,'Detail Balok'!$C$10:$AU$110,45,FALSE)</f>
        <v>100</v>
      </c>
      <c r="J7696">
        <f>(IF(D7696=0,(2*(D7675+G7675))-(F$5*8),IF(D7696=3,(2*(D7675+G7675))-(F$5*8)+(G7675-2*F$5),IF(D7696=4,(2*(D7675+G7675))-(F$5*8)+2*(G7675-2*F$5)))))/1000</f>
        <v>0.98</v>
      </c>
      <c r="K7696" t="str">
        <v>+</v>
      </c>
      <c r="L7696">
        <f>IF(D7696=0,2*MAX(6*F7696,75),(D7696-1)*2*MAX(6*F7696,75))/1000</f>
        <v>0.15</v>
      </c>
      <c r="M7696" t="str">
        <v>=</v>
      </c>
      <c r="N7696">
        <f>J7696+L7696</f>
        <v>1.13</v>
      </c>
      <c r="T7696" t="str">
        <v>x</v>
      </c>
      <c r="U7696">
        <f>0.006165*F7696^2</f>
        <v>0.39456</v>
      </c>
      <c r="V7696" t="str">
        <v>x</v>
      </c>
      <c r="W7696">
        <f>IF(D7677&gt;4*G7675,ROUND(MAX(D7677/4,2*G7675)/H7696,0)+1,0)</f>
        <v>13</v>
      </c>
      <c r="X7696" t="str">
        <v>x</v>
      </c>
      <c r="Y7696">
        <f>D7680</f>
        <v>1</v>
      </c>
      <c r="Z7696" t="str">
        <v>=</v>
      </c>
      <c r="AA7696">
        <f>N7696*U7696*W7696*Y7696</f>
        <v>5.7960864</v>
      </c>
    </row>
    <row r="7698">
      <c r="A7698" t="str">
        <f>A7674</f>
        <v>Lantai 2</v>
      </c>
      <c r="B7698">
        <f>B7674</f>
        <v>61</v>
      </c>
      <c r="C7698" t="str">
        <v>Kait Horizontal Tump.</v>
      </c>
      <c r="D7698">
        <f>VLOOKUP(D7674,'Detail Balok'!$C$10:$BJ$110,46,FALSE)</f>
        <v>0</v>
      </c>
      <c r="E7698" t="str">
        <v>D</v>
      </c>
      <c r="F7698">
        <f>VLOOKUP(D7674,'Detail Balok'!$C$10:$BJ$110,48,FALSE)</f>
        <v>0</v>
      </c>
      <c r="G7698" t="str">
        <v>-</v>
      </c>
      <c r="H7698">
        <f>VLOOKUP(D7674,'Detail Balok'!$C$10:$BJ$110,50,FALSE)</f>
        <v>100</v>
      </c>
      <c r="J7698">
        <f>(D7675-2*F$5)/1000</f>
        <v>0.12</v>
      </c>
      <c r="K7698" t="str">
        <v>+</v>
      </c>
      <c r="L7698">
        <f>IF(D7698=0,2*MAX(6*F7698,75),(D7698-1)*2*MAX(6*F7698,75))/1000</f>
        <v>0.15</v>
      </c>
      <c r="M7698" t="str">
        <v>=</v>
      </c>
      <c r="N7698">
        <f>J7698+L7698</f>
        <v>0.27</v>
      </c>
      <c r="T7698" t="str">
        <v>x</v>
      </c>
      <c r="U7698">
        <f>0.006165*F7698^2</f>
        <v>0</v>
      </c>
      <c r="V7698" t="str">
        <v>x</v>
      </c>
      <c r="W7698">
        <f>W7694</f>
        <v>13</v>
      </c>
      <c r="X7698" t="str">
        <v>x</v>
      </c>
      <c r="Y7698">
        <f>D7684</f>
        <v>2</v>
      </c>
      <c r="Z7698" t="str">
        <v>=</v>
      </c>
      <c r="AA7698">
        <f>N7698*U7698*W7698*Y7698</f>
        <v>0</v>
      </c>
    </row>
    <row r="7699">
      <c r="A7699" t="str">
        <f>A7674</f>
        <v>Lantai 2</v>
      </c>
      <c r="B7699">
        <f>B7674</f>
        <v>61</v>
      </c>
      <c r="C7699" t="str">
        <v>Kait Horizontal Lap.</v>
      </c>
      <c r="D7699">
        <f>VLOOKUP(D7674,'Detail Balok'!$C$10:$BJ$110,51,FALSE)</f>
        <v>0</v>
      </c>
      <c r="E7699" t="str">
        <v>D</v>
      </c>
      <c r="F7699">
        <f>VLOOKUP(D7674,'Detail Balok'!$C$10:$BJ$110,53,FALSE)</f>
        <v>0</v>
      </c>
      <c r="G7699" t="str">
        <v>-</v>
      </c>
      <c r="H7699">
        <f>VLOOKUP(D7674,'Detail Balok'!$C$10:$BJ$110,55,FALSE)</f>
        <v>100</v>
      </c>
      <c r="J7699">
        <f>(D7675-2*F$5)/1000</f>
        <v>0.12</v>
      </c>
      <c r="K7699" t="str">
        <v>+</v>
      </c>
      <c r="L7699">
        <f>IF(D7699=0,2*MAX(6*F7699,75),(D7699-1)*2*MAX(6*F7699,75))/1000</f>
        <v>0.15</v>
      </c>
      <c r="M7699" t="str">
        <v>=</v>
      </c>
      <c r="N7699">
        <f>J7699+L7699</f>
        <v>0.27</v>
      </c>
      <c r="T7699" t="str">
        <v>x</v>
      </c>
      <c r="U7699">
        <f>0.006165*F7699^2</f>
        <v>0</v>
      </c>
      <c r="V7699" t="str">
        <v>x</v>
      </c>
      <c r="W7699">
        <f>W7695</f>
        <v>12</v>
      </c>
      <c r="X7699" t="str">
        <v>x</v>
      </c>
      <c r="Y7699">
        <f>D7684</f>
        <v>2</v>
      </c>
      <c r="Z7699" t="str">
        <v>=</v>
      </c>
      <c r="AA7699">
        <f>N7699*U7699*W7699*Y7699</f>
        <v>0</v>
      </c>
    </row>
    <row r="7700">
      <c r="A7700" t="str">
        <f>A7674</f>
        <v>Lantai 2</v>
      </c>
      <c r="B7700">
        <f>B7674</f>
        <v>61</v>
      </c>
      <c r="C7700" t="str">
        <v>Kait Horizontal Tump.</v>
      </c>
      <c r="D7700">
        <f>VLOOKUP(D7674,'Detail Balok'!$C$10:$BJ$110,56,FALSE)</f>
        <v>0</v>
      </c>
      <c r="E7700" t="str">
        <v>D</v>
      </c>
      <c r="F7700">
        <f>VLOOKUP(D7674,'Detail Balok'!$C$10:$BJ$110,58,FALSE)</f>
        <v>0</v>
      </c>
      <c r="G7700" t="str">
        <v>-</v>
      </c>
      <c r="H7700">
        <f>VLOOKUP(D7674,'Detail Balok'!$C$10:$BJ$110,60,FALSE)</f>
        <v>100</v>
      </c>
      <c r="J7700">
        <f>(D7675-2*F$5)/1000</f>
        <v>0.12</v>
      </c>
      <c r="K7700" t="str">
        <v>+</v>
      </c>
      <c r="L7700">
        <f>IF(D7700=0,2*MAX(6*F7700,75),(D7700-1)*2*MAX(6*F7700,75))/1000</f>
        <v>0.15</v>
      </c>
      <c r="M7700" t="str">
        <v>=</v>
      </c>
      <c r="N7700">
        <f>J7700+L7700</f>
        <v>0.27</v>
      </c>
      <c r="T7700" t="str">
        <v>x</v>
      </c>
      <c r="U7700">
        <f>0.006165*F7700^2</f>
        <v>0</v>
      </c>
      <c r="V7700" t="str">
        <v>x</v>
      </c>
      <c r="W7700">
        <f>W7696</f>
        <v>13</v>
      </c>
      <c r="X7700" t="str">
        <v>x</v>
      </c>
      <c r="Y7700">
        <f>D7684</f>
        <v>2</v>
      </c>
      <c r="Z7700" t="str">
        <v>=</v>
      </c>
      <c r="AA7700">
        <f>N7700*U7700*W7700*Y7700</f>
        <v>0</v>
      </c>
    </row>
    <row r="7704">
      <c r="A7704" t="str">
        <f>A7674</f>
        <v>Lantai 2</v>
      </c>
      <c r="B7704">
        <f>B7674+1</f>
        <v>62</v>
      </c>
      <c r="C7704" t="str">
        <f>CONCATENATE(A7704," no. ",B7704)</f>
        <v>Lantai 2 no. 62</v>
      </c>
      <c r="D7704" t="str">
        <f>VLOOKUP(C7704,'Data Panjang Balok'!$C$9:$N$424,2,FALSE)</f>
        <v>B245-1</v>
      </c>
    </row>
    <row r="7705">
      <c r="C7705" t="str">
        <v>Dimensi</v>
      </c>
      <c r="D7705">
        <f>VLOOKUP(D7704,'Detail Balok'!$C$10:$AU$110,2,FALSE)</f>
        <v>200</v>
      </c>
      <c r="F7705" t="str">
        <v>x</v>
      </c>
      <c r="G7705">
        <f>VLOOKUP(D7704,'Detail Balok'!$C$10:$AU$110,3,FALSE)</f>
        <v>450</v>
      </c>
    </row>
    <row r="7706">
      <c r="C7706" t="str">
        <v>Panjang as ke as</v>
      </c>
      <c r="D7706">
        <f>VLOOKUP(C7704,'Data Panjang Balok'!$C$9:$N$424,4,FALSE)</f>
        <v>4600</v>
      </c>
    </row>
    <row r="7707">
      <c r="C7707" t="str">
        <v>Panjang netto</v>
      </c>
      <c r="D7707">
        <f>VLOOKUP(C7704,'Data Panjang Balok'!$C$9:$N$424,7,FALSE)</f>
        <v>4600</v>
      </c>
    </row>
    <row r="7708">
      <c r="C7708" t="str">
        <v>Kolom / balok kiri</v>
      </c>
      <c r="D7708">
        <f>VLOOKUP(C7704,'Data Panjang Balok'!$C$9:$N$424,9,FALSE)</f>
        <v>0</v>
      </c>
    </row>
    <row r="7709">
      <c r="C7709" t="str">
        <v>Kolom / balok kanan</v>
      </c>
      <c r="D7709">
        <f>VLOOKUP(C7704,'Data Panjang Balok'!$C$9:$N$424,10,FALSE)</f>
        <v>0</v>
      </c>
    </row>
    <row r="7710">
      <c r="C7710" t="str">
        <v>Jumlah</v>
      </c>
      <c r="D7710">
        <f>VLOOKUP(C7704,'Data Panjang Balok'!$C$9:$N$424,3,FALSE)</f>
        <v>1</v>
      </c>
    </row>
    <row r="7711">
      <c r="A7711" t="str">
        <f>A7704</f>
        <v>Lantai 2</v>
      </c>
      <c r="B7711">
        <f>B7704</f>
        <v>62</v>
      </c>
      <c r="C7711" t="str">
        <v>Tul Atas Tumpuan</v>
      </c>
      <c r="D7711">
        <f>VLOOKUP(D7704,'Detail Balok'!$C$10:$AU$110,4,FALSE)</f>
        <v>2</v>
      </c>
      <c r="E7711" t="str">
        <v>D</v>
      </c>
      <c r="F7711">
        <f>VLOOKUP(D7704,'Detail Balok'!$C$10:$AU$110,6,FALSE)</f>
        <v>13</v>
      </c>
      <c r="I7711" t="str">
        <v>(</v>
      </c>
      <c r="J7711">
        <f>+D7706/4/1000</f>
        <v>1.15</v>
      </c>
      <c r="K7711" t="str">
        <v>+</v>
      </c>
      <c r="L7711">
        <f>MAX(VLOOKUP(F7711,N$6:P$15,3,FALSE)/1000,2/3*D7708/1000)+F$16*F7711/1000</f>
        <v>0.156</v>
      </c>
      <c r="M7711" t="str">
        <v>=</v>
      </c>
      <c r="N7711">
        <f>J7711+L7711</f>
        <v>1.3059999999999998</v>
      </c>
      <c r="O7711" t="str">
        <v>+</v>
      </c>
      <c r="P7711">
        <f>D7711-D7712</f>
        <v>0</v>
      </c>
      <c r="Q7711" t="str">
        <v>x</v>
      </c>
      <c r="R7711">
        <f>IF(P7711&gt;0,$F$18*F7711/1000,0)</f>
        <v>0</v>
      </c>
      <c r="S7711" t="str">
        <v>)</v>
      </c>
      <c r="T7711" t="str">
        <v>x</v>
      </c>
      <c r="U7711">
        <f>0.006165*F7711^2</f>
        <v>1.041885</v>
      </c>
      <c r="X7711" t="str">
        <v>x</v>
      </c>
      <c r="Y7711">
        <f>D7710</f>
        <v>1</v>
      </c>
      <c r="Z7711" t="str">
        <v>=</v>
      </c>
      <c r="AA7711">
        <f>IF(AA7714=0,(D7711*N7711+P7711*R7711)*U7711*Y7711,0)</f>
        <v>0</v>
      </c>
    </row>
    <row r="7712">
      <c r="A7712" t="str">
        <f>A7704</f>
        <v>Lantai 2</v>
      </c>
      <c r="B7712">
        <f>B7704</f>
        <v>62</v>
      </c>
      <c r="C7712" t="str">
        <v>Tul Atas Lapangan</v>
      </c>
      <c r="D7712">
        <f>VLOOKUP(D7704,'Detail Balok'!$C$10:$AU$110,7,FALSE)</f>
        <v>2</v>
      </c>
      <c r="E7712" t="str">
        <v>D</v>
      </c>
      <c r="F7712">
        <f>VLOOKUP(D7704,'Detail Balok'!$C$10:$AU$110,9,FALSE)</f>
        <v>13</v>
      </c>
      <c r="I7712" t="str">
        <v>(</v>
      </c>
      <c r="J7712">
        <f>+D7706/2/1000</f>
        <v>2.3</v>
      </c>
      <c r="K7712" t="str">
        <v>+</v>
      </c>
      <c r="M7712" t="str">
        <v>=</v>
      </c>
      <c r="N7712">
        <f>J7712+L7712</f>
        <v>2.3</v>
      </c>
      <c r="O7712" t="str">
        <v>+</v>
      </c>
      <c r="P7712">
        <f>MAX(D7712-D7711,D7712-D7713)</f>
        <v>0</v>
      </c>
      <c r="Q7712" t="str">
        <v>x</v>
      </c>
      <c r="R7712">
        <f>IF(P7712&gt;0,2*(1-2*$F$19-1/2)*D7707/1000,0)</f>
        <v>0</v>
      </c>
      <c r="S7712" t="str">
        <v>)</v>
      </c>
      <c r="T7712" t="str">
        <v>x</v>
      </c>
      <c r="U7712">
        <f>0.006165*F7712^2</f>
        <v>1.041885</v>
      </c>
      <c r="X7712" t="str">
        <v>x</v>
      </c>
      <c r="Y7712">
        <f>D7710</f>
        <v>1</v>
      </c>
      <c r="Z7712" t="str">
        <v>=</v>
      </c>
      <c r="AA7712">
        <f>IF(AA7714=0,(D7712*N7712+P7712*R7712)*U7712*Y7712,0)</f>
        <v>0</v>
      </c>
    </row>
    <row r="7713">
      <c r="A7713" t="str">
        <f>A7704</f>
        <v>Lantai 2</v>
      </c>
      <c r="B7713">
        <f>B7704</f>
        <v>62</v>
      </c>
      <c r="C7713" t="str">
        <v>Tul Atas Tumpuan</v>
      </c>
      <c r="D7713">
        <f>VLOOKUP(D7704,'Detail Balok'!$C$10:$AU$110,10,FALSE)</f>
        <v>2</v>
      </c>
      <c r="E7713" t="str">
        <v>D</v>
      </c>
      <c r="F7713">
        <f>VLOOKUP(D7704,'Detail Balok'!$C$10:$AU$110,12,FALSE)</f>
        <v>13</v>
      </c>
      <c r="I7713" t="str">
        <v>(</v>
      </c>
      <c r="J7713">
        <f>+D7706/4/1000</f>
        <v>1.15</v>
      </c>
      <c r="K7713" t="str">
        <v>+</v>
      </c>
      <c r="L7713">
        <f>MAX(VLOOKUP(F7713,N$6:P$15,3,FALSE)/1000,2/3*D7708/1000)+F$16*F7713/1000</f>
        <v>0.156</v>
      </c>
      <c r="M7713" t="str">
        <v>=</v>
      </c>
      <c r="N7713">
        <f>J7713+L7713</f>
        <v>1.3059999999999998</v>
      </c>
      <c r="O7713" t="str">
        <v>+</v>
      </c>
      <c r="P7713">
        <f>D7713-D7712</f>
        <v>0</v>
      </c>
      <c r="Q7713" t="str">
        <v>x</v>
      </c>
      <c r="R7713">
        <f>IF(P7713&gt;0,$F$18*F7713/1000,0)</f>
        <v>0</v>
      </c>
      <c r="S7713" t="str">
        <v>)</v>
      </c>
      <c r="T7713" t="str">
        <v>x</v>
      </c>
      <c r="U7713">
        <f>0.006165*F7713^2</f>
        <v>1.041885</v>
      </c>
      <c r="X7713" t="str">
        <v>x</v>
      </c>
      <c r="Y7713">
        <f>D7710</f>
        <v>1</v>
      </c>
      <c r="Z7713" t="str">
        <v>=</v>
      </c>
      <c r="AA7713">
        <f>IF(AA7714=0,(D7713*N7713+P7713*R7713)*U7713*Y7713,0)</f>
        <v>0</v>
      </c>
    </row>
    <row r="7714">
      <c r="A7714" t="str">
        <f>A7704</f>
        <v>Lantai 2</v>
      </c>
      <c r="B7714">
        <f>B7704</f>
        <v>62</v>
      </c>
      <c r="D7714">
        <f>IF(AND(D7711=D7712,D7712=D7713,D7711=D7713),D7711,0)</f>
        <v>2</v>
      </c>
      <c r="E7714" t="str">
        <v>D</v>
      </c>
      <c r="F7714">
        <f>IF(AND(F7711=F7712,F7711=F7713,F7712=F7713),F7711,0)</f>
        <v>13</v>
      </c>
      <c r="L7714" t="str">
        <v>Total panjang per balok</v>
      </c>
      <c r="M7714" t="str">
        <v>=</v>
      </c>
      <c r="N7714">
        <f>IF(AND(D7711=D7712,D7711=D7713,D7712=D7713,F7711=F7712,F7711=F7713,F7712=F7713),SUM(N7711:N7713),0)</f>
        <v>4.912</v>
      </c>
      <c r="O7714" t="str">
        <v>+</v>
      </c>
      <c r="P7714">
        <f>IF(N7714&gt;12,ROUNDDOWN(N7714/12,0),0)</f>
        <v>0</v>
      </c>
      <c r="Q7714" t="str">
        <v>x</v>
      </c>
      <c r="R7714">
        <f>IF(P7714&gt;0,MAX(VLOOKUP(F7714,$D$6:$G$15,3,FALSE),600),0)/1000</f>
        <v>0</v>
      </c>
      <c r="T7714" t="str">
        <v>x</v>
      </c>
      <c r="U7714">
        <f>U7713</f>
        <v>1.041885</v>
      </c>
      <c r="V7714" t="str">
        <v>x</v>
      </c>
      <c r="W7714">
        <f>D7714</f>
        <v>2</v>
      </c>
      <c r="X7714" t="str">
        <v>x</v>
      </c>
      <c r="Y7714">
        <f>Y7713</f>
        <v>1</v>
      </c>
      <c r="Z7714" t="str">
        <v>=</v>
      </c>
      <c r="AA7714">
        <f>(N7714+P7714*R7714/1000)*U7714*W7714*Y7714</f>
        <v>10.235478239999999</v>
      </c>
    </row>
    <row r="7716">
      <c r="A7716" t="str">
        <f>A7704</f>
        <v>Lantai 2</v>
      </c>
      <c r="B7716">
        <f>B7704</f>
        <v>62</v>
      </c>
      <c r="C7716" t="str">
        <v>Tul Peminggang</v>
      </c>
      <c r="D7716">
        <f>VLOOKUP(D7704,'Detail Balok'!$C$10:$AU$110,13,FALSE)</f>
        <v>2</v>
      </c>
      <c r="E7716" t="str">
        <v>D</v>
      </c>
      <c r="F7716">
        <f>VLOOKUP(D7704,'Detail Balok'!$C$10:$AU$110,15,FALSE)</f>
        <v>8</v>
      </c>
      <c r="J7716">
        <f>+D7706/1000</f>
        <v>4.6</v>
      </c>
      <c r="K7716" t="str">
        <v>+</v>
      </c>
      <c r="L7716">
        <f>2*$F$16*F7716/1000</f>
        <v>0.192</v>
      </c>
      <c r="M7716" t="str">
        <v>=</v>
      </c>
      <c r="N7716">
        <f>J7716+L7716</f>
        <v>4.792</v>
      </c>
      <c r="O7716" t="str">
        <v>+</v>
      </c>
      <c r="P7716">
        <f>IF(N7716&gt;12,ROUNDDOWN(N7716/12,0),0)</f>
        <v>0</v>
      </c>
      <c r="Q7716" t="str">
        <v>x</v>
      </c>
      <c r="R7716">
        <f>IF(P7716&gt;0,MAX(VLOOKUP(F7716,$D$6:$G$15,3,FALSE),600),0)/1000</f>
        <v>0</v>
      </c>
      <c r="T7716" t="str">
        <v>x</v>
      </c>
      <c r="U7716">
        <f>0.006165*F7716^2</f>
        <v>0.39456</v>
      </c>
      <c r="V7716" t="str">
        <v>x</v>
      </c>
      <c r="W7716">
        <f>+D7716</f>
        <v>2</v>
      </c>
      <c r="X7716" t="str">
        <v>x</v>
      </c>
      <c r="Y7716">
        <f>D7710</f>
        <v>1</v>
      </c>
      <c r="Z7716" t="str">
        <v>=</v>
      </c>
      <c r="AA7716">
        <f>(N7716+P7716*R7716/1000)*U7716*W7716*Y7716</f>
        <v>3.78146304</v>
      </c>
    </row>
    <row r="7719">
      <c r="A7719" t="str">
        <f>A7704</f>
        <v>Lantai 2</v>
      </c>
      <c r="B7719">
        <f>B7704</f>
        <v>62</v>
      </c>
      <c r="C7719" t="str">
        <v>Tul Bawah Tumpuan</v>
      </c>
      <c r="D7719">
        <f>VLOOKUP(D7704,'Detail Balok'!$C$10:$AU$110,22,FALSE)</f>
        <v>2</v>
      </c>
      <c r="E7719" t="str">
        <v>D</v>
      </c>
      <c r="F7719">
        <f>VLOOKUP(D7704,'Detail Balok'!$C$10:$AU$110,24,FALSE)</f>
        <v>13</v>
      </c>
      <c r="I7719" t="str">
        <v>(</v>
      </c>
      <c r="J7719">
        <f>+J7711</f>
        <v>1.15</v>
      </c>
      <c r="K7719" t="str">
        <v>+</v>
      </c>
      <c r="L7719">
        <f>MAX(VLOOKUP(F7719,N$6:P$15,3,FALSE)/1000,2/3*D7709/1000)+F$16*F7719/1000</f>
        <v>0.156</v>
      </c>
      <c r="M7719" t="str">
        <v>=</v>
      </c>
      <c r="N7719">
        <f>J7719+L7719</f>
        <v>1.3059999999999998</v>
      </c>
      <c r="O7719" t="str">
        <v>+</v>
      </c>
      <c r="P7719">
        <f>D7719-D7720</f>
        <v>0</v>
      </c>
      <c r="Q7719" t="str">
        <v>x</v>
      </c>
      <c r="R7719">
        <f>IF(P7719&gt;0,$F$18*F7719/1000,0)</f>
        <v>0</v>
      </c>
      <c r="S7719" t="str">
        <v>)</v>
      </c>
      <c r="T7719" t="str">
        <v>x</v>
      </c>
      <c r="U7719">
        <f>0.006165*F7719^2</f>
        <v>1.041885</v>
      </c>
      <c r="X7719" t="str">
        <v>x</v>
      </c>
      <c r="Y7719">
        <f>D7710</f>
        <v>1</v>
      </c>
      <c r="Z7719" t="str">
        <v>=</v>
      </c>
      <c r="AA7719">
        <f>IF(AA7722=0,(D7719*N7719+P7719*R7719)*U7719*Y7719,0)</f>
        <v>0</v>
      </c>
    </row>
    <row r="7720">
      <c r="A7720" t="str">
        <f>A7704</f>
        <v>Lantai 2</v>
      </c>
      <c r="B7720">
        <f>B7704</f>
        <v>62</v>
      </c>
      <c r="C7720" t="str">
        <v>Tul Bawah Lapangan</v>
      </c>
      <c r="D7720">
        <f>VLOOKUP(D7704,'Detail Balok'!$C$10:$AU$110,25,FALSE)</f>
        <v>2</v>
      </c>
      <c r="E7720" t="str">
        <v>D</v>
      </c>
      <c r="F7720">
        <f>VLOOKUP(D7704,'Detail Balok'!$C$10:$AU$110,27,FALSE)</f>
        <v>13</v>
      </c>
      <c r="I7720" t="str">
        <v>(</v>
      </c>
      <c r="J7720">
        <f>+J7712</f>
        <v>2.3</v>
      </c>
      <c r="K7720" t="str">
        <v>+</v>
      </c>
      <c r="M7720" t="str">
        <v>=</v>
      </c>
      <c r="N7720">
        <f>J7720+L7720</f>
        <v>2.3</v>
      </c>
      <c r="O7720" t="str">
        <v>+</v>
      </c>
      <c r="P7720">
        <f>MAX(D7720-D7719,D7720-D7721)</f>
        <v>0</v>
      </c>
      <c r="Q7720" t="str">
        <v>x</v>
      </c>
      <c r="R7720">
        <f>IF(P7720&gt;0,2*(1-2*$F$19-1/2)*D7707/1000,0)</f>
        <v>0</v>
      </c>
      <c r="S7720" t="str">
        <v>)</v>
      </c>
      <c r="T7720" t="str">
        <v>x</v>
      </c>
      <c r="U7720">
        <f>0.006165*F7720^2</f>
        <v>1.041885</v>
      </c>
      <c r="X7720" t="str">
        <v>x</v>
      </c>
      <c r="Y7720">
        <f>D7710</f>
        <v>1</v>
      </c>
      <c r="Z7720" t="str">
        <v>=</v>
      </c>
      <c r="AA7720">
        <f>IF(AA7722=0,(D7720*N7720+P7720*R7720)*U7720*Y7720,0)</f>
        <v>0</v>
      </c>
    </row>
    <row r="7721">
      <c r="A7721" t="str">
        <f>A7704</f>
        <v>Lantai 2</v>
      </c>
      <c r="B7721">
        <f>B7704</f>
        <v>62</v>
      </c>
      <c r="C7721" t="str">
        <v>Tul Bawah Tumpuan</v>
      </c>
      <c r="D7721">
        <f>VLOOKUP(D7704,'Detail Balok'!$C$10:$AU$110,28,FALSE)</f>
        <v>2</v>
      </c>
      <c r="E7721" t="str">
        <v>D</v>
      </c>
      <c r="F7721">
        <f>VLOOKUP(D7704,'Detail Balok'!$C$10:$AU$110,30,FALSE)</f>
        <v>13</v>
      </c>
      <c r="I7721" t="str">
        <v>(</v>
      </c>
      <c r="J7721">
        <f>+J7713</f>
        <v>1.15</v>
      </c>
      <c r="K7721" t="str">
        <v>+</v>
      </c>
      <c r="L7721">
        <f>MAX(VLOOKUP(F7721,N$6:P$15,3,FALSE)/1000,2/3*D7709/1000)+F$16*F7721/1000</f>
        <v>0.156</v>
      </c>
      <c r="M7721" t="str">
        <v>=</v>
      </c>
      <c r="N7721">
        <f>J7721+L7721</f>
        <v>1.3059999999999998</v>
      </c>
      <c r="O7721" t="str">
        <v>+</v>
      </c>
      <c r="P7721">
        <f>D7721-D7720</f>
        <v>0</v>
      </c>
      <c r="Q7721" t="str">
        <v>x</v>
      </c>
      <c r="R7721">
        <f>IF(P7721&gt;0,$F$18*F7721/1000,0)</f>
        <v>0</v>
      </c>
      <c r="S7721" t="str">
        <v>)</v>
      </c>
      <c r="T7721" t="str">
        <v>x</v>
      </c>
      <c r="U7721">
        <f>0.006165*F7721^2</f>
        <v>1.041885</v>
      </c>
      <c r="X7721" t="str">
        <v>x</v>
      </c>
      <c r="Y7721">
        <f>D7710</f>
        <v>1</v>
      </c>
      <c r="Z7721" t="str">
        <v>=</v>
      </c>
      <c r="AA7721">
        <f>IF(AA7722=0,(D7721*N7721+P7721*R7721)*U7721*Y7721,0)</f>
        <v>0</v>
      </c>
    </row>
    <row r="7722">
      <c r="A7722" t="str">
        <f>A7704</f>
        <v>Lantai 2</v>
      </c>
      <c r="B7722">
        <f>B7704</f>
        <v>62</v>
      </c>
      <c r="D7722">
        <f>IF(AND(D7719=D7720,D7720=D7721,D7719=D7721),D7719,0)</f>
        <v>2</v>
      </c>
      <c r="E7722" t="str">
        <v>D</v>
      </c>
      <c r="F7722">
        <f>IF(AND(F7719=F7720,F7719=F7721,F7720=F7721),F7719,0)</f>
        <v>13</v>
      </c>
      <c r="L7722" t="str">
        <v>Total panjang per balok</v>
      </c>
      <c r="M7722" t="str">
        <v>=</v>
      </c>
      <c r="N7722">
        <f>IF(AND(D7719=D7720,D7719=D7721,D7720=D7721,F7719=F7720,F7719=F7721,F7720=F7721),SUM(N7719:N7721),0)</f>
        <v>4.912</v>
      </c>
      <c r="O7722" t="str">
        <v>+</v>
      </c>
      <c r="P7722">
        <f>IF(N7722&gt;12,ROUNDDOWN(N7722/12,0),0)</f>
        <v>0</v>
      </c>
      <c r="Q7722" t="str">
        <v>x</v>
      </c>
      <c r="R7722">
        <f>IF(P7722&gt;0,MAX(VLOOKUP(F7722,$D$6:$G$15,3,FALSE),600),0)/1000</f>
        <v>0</v>
      </c>
      <c r="T7722" t="str">
        <v>x</v>
      </c>
      <c r="U7722">
        <f>U7721</f>
        <v>1.041885</v>
      </c>
      <c r="V7722" t="str">
        <v>x</v>
      </c>
      <c r="W7722">
        <f>D7722</f>
        <v>2</v>
      </c>
      <c r="X7722" t="str">
        <v>x</v>
      </c>
      <c r="Y7722">
        <f>Y7721</f>
        <v>1</v>
      </c>
      <c r="Z7722" t="str">
        <v>=</v>
      </c>
      <c r="AA7722">
        <f>(N7722+P7722*R7722/1000)*U7722*W7722*Y7722</f>
        <v>10.235478239999999</v>
      </c>
    </row>
    <row r="7724">
      <c r="A7724" t="str">
        <f>A7704</f>
        <v>Lantai 2</v>
      </c>
      <c r="B7724">
        <f>B7704</f>
        <v>62</v>
      </c>
      <c r="C7724" t="str">
        <v>Sengkang Tumpuan</v>
      </c>
      <c r="D7724">
        <f>VLOOKUP(D7704,'Detail Balok'!$C$10:$AU$110,31,FALSE)</f>
        <v>0</v>
      </c>
      <c r="E7724" t="str">
        <v>D</v>
      </c>
      <c r="F7724">
        <f>VLOOKUP(D7704,'Detail Balok'!$C$10:$AU$110,33,FALSE)</f>
        <v>8</v>
      </c>
      <c r="G7724" t="str">
        <v>-</v>
      </c>
      <c r="H7724">
        <f>VLOOKUP(D7704,'Detail Balok'!$C$10:$AU$110,35,FALSE)</f>
        <v>100</v>
      </c>
      <c r="J7724">
        <f>(IF(D7724=0,(2*(D7705+G7705))-(F$5*8),IF(D7724=3,(2*(D7705+G7705))-(F$5*8)+(G7705-2*F$5),IF(D7724=4,(2*(D7705+G7705))-(F$5*8)+2*(G7705-2*F$5)))))/1000</f>
        <v>0.98</v>
      </c>
      <c r="K7724" t="str">
        <v>+</v>
      </c>
      <c r="L7724">
        <f>IF(D7724=0,2*MAX(6*F7724,75),(D7724-1)*2*MAX(6*F7724,75))/1000</f>
        <v>0.15</v>
      </c>
      <c r="M7724" t="str">
        <v>=</v>
      </c>
      <c r="N7724">
        <f>J7724+L7724</f>
        <v>1.13</v>
      </c>
      <c r="T7724" t="str">
        <v>x</v>
      </c>
      <c r="U7724">
        <f>0.006165*F7724^2</f>
        <v>0.39456</v>
      </c>
      <c r="V7724" t="str">
        <v>x</v>
      </c>
      <c r="W7724">
        <f>IF(D7707&gt;4*G7705,ROUND(MAX(D7707/4,2*G7705)/H7724,0)+1,ROUND(D7707/H7724,0)+1)</f>
        <v>13</v>
      </c>
      <c r="X7724" t="str">
        <v>x</v>
      </c>
      <c r="Y7724">
        <f>D7710</f>
        <v>1</v>
      </c>
      <c r="Z7724" t="str">
        <v>=</v>
      </c>
      <c r="AA7724">
        <f>N7724*U7724*W7724*Y7724</f>
        <v>5.7960864</v>
      </c>
    </row>
    <row r="7725">
      <c r="A7725" t="str">
        <f>A7704</f>
        <v>Lantai 2</v>
      </c>
      <c r="B7725">
        <f>B7704</f>
        <v>62</v>
      </c>
      <c r="C7725" t="str">
        <v>Sengkang Lapangan</v>
      </c>
      <c r="D7725">
        <f>VLOOKUP(D7704,'Detail Balok'!$C$10:$AU$110,36,FALSE)</f>
        <v>0</v>
      </c>
      <c r="E7725" t="str">
        <v>D</v>
      </c>
      <c r="F7725">
        <f>VLOOKUP(D7704,'Detail Balok'!$C$10:$AU$110,38,FALSE)</f>
        <v>8</v>
      </c>
      <c r="G7725" t="str">
        <v>-</v>
      </c>
      <c r="H7725">
        <f>VLOOKUP(D7704,'Detail Balok'!$C$10:$AU$110,40,FALSE)</f>
        <v>200</v>
      </c>
      <c r="J7725">
        <f>(IF(D7725=0,(2*(D7705+G7705))-(F$5*8),IF(D7725=3,(2*(D7705+G7705))-(F$5*8)+(G7705-2*F$5),IF(D7725=4,(2*(D7705+G7705))-(F$5*8)+2*(G7705-2*F$5)))))/1000</f>
        <v>0.98</v>
      </c>
      <c r="K7725" t="str">
        <v>+</v>
      </c>
      <c r="L7725">
        <f>IF(D7725=0,2*MAX(6*F7725,75),(D7725-1)*2*MAX(6*F7725,75))/1000</f>
        <v>0.15</v>
      </c>
      <c r="M7725" t="str">
        <v>=</v>
      </c>
      <c r="N7725">
        <f>J7725+L7725</f>
        <v>1.13</v>
      </c>
      <c r="T7725" t="str">
        <v>x</v>
      </c>
      <c r="U7725">
        <f>0.006165*F7725^2</f>
        <v>0.39456</v>
      </c>
      <c r="V7725" t="str">
        <v>x</v>
      </c>
      <c r="W7725">
        <f>IF(D7707-MAX(D7707/4,2*G7705)*2&gt;0,ROUND((D7707-MAX(D7707/4,2*G7705)*2)/H7725,0),0)</f>
        <v>12</v>
      </c>
      <c r="X7725" t="str">
        <v>x</v>
      </c>
      <c r="Y7725">
        <f>D7710</f>
        <v>1</v>
      </c>
      <c r="Z7725" t="str">
        <v>=</v>
      </c>
      <c r="AA7725">
        <f>N7725*U7725*W7725*Y7725</f>
        <v>5.3502336</v>
      </c>
    </row>
    <row r="7726">
      <c r="A7726" t="str">
        <f>A7704</f>
        <v>Lantai 2</v>
      </c>
      <c r="B7726">
        <f>B7704</f>
        <v>62</v>
      </c>
      <c r="C7726" t="str">
        <v>Sengkang Tumpuan</v>
      </c>
      <c r="D7726">
        <f>VLOOKUP(D7704,'Detail Balok'!$C$10:$AU$110,41,FALSE)</f>
        <v>0</v>
      </c>
      <c r="E7726" t="str">
        <v>D</v>
      </c>
      <c r="F7726">
        <f>VLOOKUP(D7704,'Detail Balok'!$C$10:$AU$110,43,FALSE)</f>
        <v>8</v>
      </c>
      <c r="G7726" t="str">
        <v>-</v>
      </c>
      <c r="H7726">
        <f>VLOOKUP(D7704,'Detail Balok'!$C$10:$AU$110,45,FALSE)</f>
        <v>100</v>
      </c>
      <c r="J7726">
        <f>(IF(D7726=0,(2*(D7705+G7705))-(F$5*8),IF(D7726=3,(2*(D7705+G7705))-(F$5*8)+(G7705-2*F$5),IF(D7726=4,(2*(D7705+G7705))-(F$5*8)+2*(G7705-2*F$5)))))/1000</f>
        <v>0.98</v>
      </c>
      <c r="K7726" t="str">
        <v>+</v>
      </c>
      <c r="L7726">
        <f>IF(D7726=0,2*MAX(6*F7726,75),(D7726-1)*2*MAX(6*F7726,75))/1000</f>
        <v>0.15</v>
      </c>
      <c r="M7726" t="str">
        <v>=</v>
      </c>
      <c r="N7726">
        <f>J7726+L7726</f>
        <v>1.13</v>
      </c>
      <c r="T7726" t="str">
        <v>x</v>
      </c>
      <c r="U7726">
        <f>0.006165*F7726^2</f>
        <v>0.39456</v>
      </c>
      <c r="V7726" t="str">
        <v>x</v>
      </c>
      <c r="W7726">
        <f>IF(D7707&gt;4*G7705,ROUND(MAX(D7707/4,2*G7705)/H7726,0)+1,0)</f>
        <v>13</v>
      </c>
      <c r="X7726" t="str">
        <v>x</v>
      </c>
      <c r="Y7726">
        <f>D7710</f>
        <v>1</v>
      </c>
      <c r="Z7726" t="str">
        <v>=</v>
      </c>
      <c r="AA7726">
        <f>N7726*U7726*W7726*Y7726</f>
        <v>5.7960864</v>
      </c>
    </row>
    <row r="7728">
      <c r="A7728" t="str">
        <f>A7704</f>
        <v>Lantai 2</v>
      </c>
      <c r="B7728">
        <f>B7704</f>
        <v>62</v>
      </c>
      <c r="C7728" t="str">
        <v>Kait Horizontal Tump.</v>
      </c>
      <c r="D7728">
        <f>VLOOKUP(D7704,'Detail Balok'!$C$10:$BJ$110,46,FALSE)</f>
        <v>0</v>
      </c>
      <c r="E7728" t="str">
        <v>D</v>
      </c>
      <c r="F7728">
        <f>VLOOKUP(D7704,'Detail Balok'!$C$10:$BJ$110,48,FALSE)</f>
        <v>0</v>
      </c>
      <c r="G7728" t="str">
        <v>-</v>
      </c>
      <c r="H7728">
        <f>VLOOKUP(D7704,'Detail Balok'!$C$10:$BJ$110,50,FALSE)</f>
        <v>100</v>
      </c>
      <c r="J7728">
        <f>(D7705-2*F$5)/1000</f>
        <v>0.12</v>
      </c>
      <c r="K7728" t="str">
        <v>+</v>
      </c>
      <c r="L7728">
        <f>IF(D7728=0,2*MAX(6*F7728,75),(D7728-1)*2*MAX(6*F7728,75))/1000</f>
        <v>0.15</v>
      </c>
      <c r="M7728" t="str">
        <v>=</v>
      </c>
      <c r="N7728">
        <f>J7728+L7728</f>
        <v>0.27</v>
      </c>
      <c r="T7728" t="str">
        <v>x</v>
      </c>
      <c r="U7728">
        <f>0.006165*F7728^2</f>
        <v>0</v>
      </c>
      <c r="V7728" t="str">
        <v>x</v>
      </c>
      <c r="W7728">
        <f>W7724</f>
        <v>13</v>
      </c>
      <c r="X7728" t="str">
        <v>x</v>
      </c>
      <c r="Y7728">
        <f>D7714</f>
        <v>2</v>
      </c>
      <c r="Z7728" t="str">
        <v>=</v>
      </c>
      <c r="AA7728">
        <f>N7728*U7728*W7728*Y7728</f>
        <v>0</v>
      </c>
    </row>
    <row r="7729">
      <c r="A7729" t="str">
        <f>A7704</f>
        <v>Lantai 2</v>
      </c>
      <c r="B7729">
        <f>B7704</f>
        <v>62</v>
      </c>
      <c r="C7729" t="str">
        <v>Kait Horizontal Lap.</v>
      </c>
      <c r="D7729">
        <f>VLOOKUP(D7704,'Detail Balok'!$C$10:$BJ$110,51,FALSE)</f>
        <v>0</v>
      </c>
      <c r="E7729" t="str">
        <v>D</v>
      </c>
      <c r="F7729">
        <f>VLOOKUP(D7704,'Detail Balok'!$C$10:$BJ$110,53,FALSE)</f>
        <v>0</v>
      </c>
      <c r="G7729" t="str">
        <v>-</v>
      </c>
      <c r="H7729">
        <f>VLOOKUP(D7704,'Detail Balok'!$C$10:$BJ$110,55,FALSE)</f>
        <v>100</v>
      </c>
      <c r="J7729">
        <f>(D7705-2*F$5)/1000</f>
        <v>0.12</v>
      </c>
      <c r="K7729" t="str">
        <v>+</v>
      </c>
      <c r="L7729">
        <f>IF(D7729=0,2*MAX(6*F7729,75),(D7729-1)*2*MAX(6*F7729,75))/1000</f>
        <v>0.15</v>
      </c>
      <c r="M7729" t="str">
        <v>=</v>
      </c>
      <c r="N7729">
        <f>J7729+L7729</f>
        <v>0.27</v>
      </c>
      <c r="T7729" t="str">
        <v>x</v>
      </c>
      <c r="U7729">
        <f>0.006165*F7729^2</f>
        <v>0</v>
      </c>
      <c r="V7729" t="str">
        <v>x</v>
      </c>
      <c r="W7729">
        <f>W7725</f>
        <v>12</v>
      </c>
      <c r="X7729" t="str">
        <v>x</v>
      </c>
      <c r="Y7729">
        <f>D7714</f>
        <v>2</v>
      </c>
      <c r="Z7729" t="str">
        <v>=</v>
      </c>
      <c r="AA7729">
        <f>N7729*U7729*W7729*Y7729</f>
        <v>0</v>
      </c>
    </row>
    <row r="7730">
      <c r="A7730" t="str">
        <f>A7704</f>
        <v>Lantai 2</v>
      </c>
      <c r="B7730">
        <f>B7704</f>
        <v>62</v>
      </c>
      <c r="C7730" t="str">
        <v>Kait Horizontal Tump.</v>
      </c>
      <c r="D7730">
        <f>VLOOKUP(D7704,'Detail Balok'!$C$10:$BJ$110,56,FALSE)</f>
        <v>0</v>
      </c>
      <c r="E7730" t="str">
        <v>D</v>
      </c>
      <c r="F7730">
        <f>VLOOKUP(D7704,'Detail Balok'!$C$10:$BJ$110,58,FALSE)</f>
        <v>0</v>
      </c>
      <c r="G7730" t="str">
        <v>-</v>
      </c>
      <c r="H7730">
        <f>VLOOKUP(D7704,'Detail Balok'!$C$10:$BJ$110,60,FALSE)</f>
        <v>100</v>
      </c>
      <c r="J7730">
        <f>(D7705-2*F$5)/1000</f>
        <v>0.12</v>
      </c>
      <c r="K7730" t="str">
        <v>+</v>
      </c>
      <c r="L7730">
        <f>IF(D7730=0,2*MAX(6*F7730,75),(D7730-1)*2*MAX(6*F7730,75))/1000</f>
        <v>0.15</v>
      </c>
      <c r="M7730" t="str">
        <v>=</v>
      </c>
      <c r="N7730">
        <f>J7730+L7730</f>
        <v>0.27</v>
      </c>
      <c r="T7730" t="str">
        <v>x</v>
      </c>
      <c r="U7730">
        <f>0.006165*F7730^2</f>
        <v>0</v>
      </c>
      <c r="V7730" t="str">
        <v>x</v>
      </c>
      <c r="W7730">
        <f>W7726</f>
        <v>13</v>
      </c>
      <c r="X7730" t="str">
        <v>x</v>
      </c>
      <c r="Y7730">
        <f>D7714</f>
        <v>2</v>
      </c>
      <c r="Z7730" t="str">
        <v>=</v>
      </c>
      <c r="AA7730">
        <f>N7730*U7730*W7730*Y7730</f>
        <v>0</v>
      </c>
    </row>
    <row r="7734">
      <c r="A7734" t="str">
        <f>A7704</f>
        <v>Lantai 2</v>
      </c>
      <c r="B7734">
        <f>B7704+1</f>
        <v>63</v>
      </c>
      <c r="C7734" t="str">
        <f>CONCATENATE(A7734," no. ",B7734)</f>
        <v>Lantai 2 no. 63</v>
      </c>
      <c r="D7734" t="str">
        <f>VLOOKUP(C7734,'Data Panjang Balok'!$C$9:$N$424,2,FALSE)</f>
        <v>B173-1</v>
      </c>
    </row>
    <row r="7735">
      <c r="C7735" t="str">
        <v>Dimensi</v>
      </c>
      <c r="D7735">
        <f>VLOOKUP(D7734,'Detail Balok'!$C$10:$AU$110,2,FALSE)</f>
        <v>170</v>
      </c>
      <c r="F7735" t="str">
        <v>x</v>
      </c>
      <c r="G7735">
        <f>VLOOKUP(D7734,'Detail Balok'!$C$10:$AU$110,3,FALSE)</f>
        <v>300</v>
      </c>
    </row>
    <row r="7736">
      <c r="C7736" t="str">
        <v>Panjang as ke as</v>
      </c>
      <c r="D7736">
        <f>VLOOKUP(C7734,'Data Panjang Balok'!$C$9:$N$424,4,FALSE)</f>
        <v>450</v>
      </c>
    </row>
    <row r="7737">
      <c r="C7737" t="str">
        <v>Panjang netto</v>
      </c>
      <c r="D7737">
        <f>VLOOKUP(C7734,'Data Panjang Balok'!$C$9:$N$424,7,FALSE)</f>
        <v>450</v>
      </c>
    </row>
    <row r="7738">
      <c r="C7738" t="str">
        <v>Kolom / balok kiri</v>
      </c>
      <c r="D7738">
        <f>VLOOKUP(C7734,'Data Panjang Balok'!$C$9:$N$424,9,FALSE)</f>
        <v>0</v>
      </c>
    </row>
    <row r="7739">
      <c r="C7739" t="str">
        <v>Kolom / balok kanan</v>
      </c>
      <c r="D7739">
        <f>VLOOKUP(C7734,'Data Panjang Balok'!$C$9:$N$424,10,FALSE)</f>
        <v>0</v>
      </c>
    </row>
    <row r="7740">
      <c r="C7740" t="str">
        <v>Jumlah</v>
      </c>
      <c r="D7740">
        <f>VLOOKUP(C7734,'Data Panjang Balok'!$C$9:$N$424,3,FALSE)</f>
        <v>1</v>
      </c>
    </row>
    <row r="7741">
      <c r="A7741" t="str">
        <f>A7734</f>
        <v>Lantai 2</v>
      </c>
      <c r="B7741">
        <f>B7734</f>
        <v>63</v>
      </c>
      <c r="C7741" t="str">
        <v>Tul Atas Tumpuan</v>
      </c>
      <c r="D7741">
        <f>VLOOKUP(D7734,'Detail Balok'!$C$10:$AU$110,4,FALSE)</f>
        <v>2</v>
      </c>
      <c r="E7741" t="str">
        <v>D</v>
      </c>
      <c r="F7741">
        <f>VLOOKUP(D7734,'Detail Balok'!$C$10:$AU$110,6,FALSE)</f>
        <v>13</v>
      </c>
      <c r="I7741" t="str">
        <v>(</v>
      </c>
      <c r="J7741">
        <f>+D7736/4/1000</f>
        <v>0.1125</v>
      </c>
      <c r="K7741" t="str">
        <v>+</v>
      </c>
      <c r="L7741">
        <f>MAX(VLOOKUP(F7741,N$6:P$15,3,FALSE)/1000,2/3*D7738/1000)+F$16*F7741/1000</f>
        <v>0.156</v>
      </c>
      <c r="M7741" t="str">
        <v>=</v>
      </c>
      <c r="N7741">
        <f>J7741+L7741</f>
        <v>0.2685</v>
      </c>
      <c r="O7741" t="str">
        <v>+</v>
      </c>
      <c r="P7741">
        <f>D7741-D7742</f>
        <v>0</v>
      </c>
      <c r="Q7741" t="str">
        <v>x</v>
      </c>
      <c r="R7741">
        <f>IF(P7741&gt;0,$F$18*F7741/1000,0)</f>
        <v>0</v>
      </c>
      <c r="S7741" t="str">
        <v>)</v>
      </c>
      <c r="T7741" t="str">
        <v>x</v>
      </c>
      <c r="U7741">
        <f>0.006165*F7741^2</f>
        <v>1.041885</v>
      </c>
      <c r="X7741" t="str">
        <v>x</v>
      </c>
      <c r="Y7741">
        <f>D7740</f>
        <v>1</v>
      </c>
      <c r="Z7741" t="str">
        <v>=</v>
      </c>
      <c r="AA7741">
        <f>IF(AA7744=0,(D7741*N7741+P7741*R7741)*U7741*Y7741,0)</f>
        <v>0</v>
      </c>
    </row>
    <row r="7742">
      <c r="A7742" t="str">
        <f>A7734</f>
        <v>Lantai 2</v>
      </c>
      <c r="B7742">
        <f>B7734</f>
        <v>63</v>
      </c>
      <c r="C7742" t="str">
        <v>Tul Atas Lapangan</v>
      </c>
      <c r="D7742">
        <f>VLOOKUP(D7734,'Detail Balok'!$C$10:$AU$110,7,FALSE)</f>
        <v>2</v>
      </c>
      <c r="E7742" t="str">
        <v>D</v>
      </c>
      <c r="F7742">
        <f>VLOOKUP(D7734,'Detail Balok'!$C$10:$AU$110,9,FALSE)</f>
        <v>13</v>
      </c>
      <c r="I7742" t="str">
        <v>(</v>
      </c>
      <c r="J7742">
        <f>+D7736/2/1000</f>
        <v>0.225</v>
      </c>
      <c r="K7742" t="str">
        <v>+</v>
      </c>
      <c r="M7742" t="str">
        <v>=</v>
      </c>
      <c r="N7742">
        <f>J7742+L7742</f>
        <v>0.225</v>
      </c>
      <c r="O7742" t="str">
        <v>+</v>
      </c>
      <c r="P7742">
        <f>MAX(D7742-D7741,D7742-D7743)</f>
        <v>0</v>
      </c>
      <c r="Q7742" t="str">
        <v>x</v>
      </c>
      <c r="R7742">
        <f>IF(P7742&gt;0,2*(1-2*$F$19-1/2)*D7737/1000,0)</f>
        <v>0</v>
      </c>
      <c r="S7742" t="str">
        <v>)</v>
      </c>
      <c r="T7742" t="str">
        <v>x</v>
      </c>
      <c r="U7742">
        <f>0.006165*F7742^2</f>
        <v>1.041885</v>
      </c>
      <c r="X7742" t="str">
        <v>x</v>
      </c>
      <c r="Y7742">
        <f>D7740</f>
        <v>1</v>
      </c>
      <c r="Z7742" t="str">
        <v>=</v>
      </c>
      <c r="AA7742">
        <f>IF(AA7744=0,(D7742*N7742+P7742*R7742)*U7742*Y7742,0)</f>
        <v>0</v>
      </c>
    </row>
    <row r="7743">
      <c r="A7743" t="str">
        <f>A7734</f>
        <v>Lantai 2</v>
      </c>
      <c r="B7743">
        <f>B7734</f>
        <v>63</v>
      </c>
      <c r="C7743" t="str">
        <v>Tul Atas Tumpuan</v>
      </c>
      <c r="D7743">
        <f>VLOOKUP(D7734,'Detail Balok'!$C$10:$AU$110,10,FALSE)</f>
        <v>2</v>
      </c>
      <c r="E7743" t="str">
        <v>D</v>
      </c>
      <c r="F7743">
        <f>VLOOKUP(D7734,'Detail Balok'!$C$10:$AU$110,12,FALSE)</f>
        <v>13</v>
      </c>
      <c r="I7743" t="str">
        <v>(</v>
      </c>
      <c r="J7743">
        <f>+D7736/4/1000</f>
        <v>0.1125</v>
      </c>
      <c r="K7743" t="str">
        <v>+</v>
      </c>
      <c r="L7743">
        <f>MAX(VLOOKUP(F7743,N$6:P$15,3,FALSE)/1000,2/3*D7738/1000)+F$16*F7743/1000</f>
        <v>0.156</v>
      </c>
      <c r="M7743" t="str">
        <v>=</v>
      </c>
      <c r="N7743">
        <f>J7743+L7743</f>
        <v>0.2685</v>
      </c>
      <c r="O7743" t="str">
        <v>+</v>
      </c>
      <c r="P7743">
        <f>D7743-D7742</f>
        <v>0</v>
      </c>
      <c r="Q7743" t="str">
        <v>x</v>
      </c>
      <c r="R7743">
        <f>IF(P7743&gt;0,$F$18*F7743/1000,0)</f>
        <v>0</v>
      </c>
      <c r="S7743" t="str">
        <v>)</v>
      </c>
      <c r="T7743" t="str">
        <v>x</v>
      </c>
      <c r="U7743">
        <f>0.006165*F7743^2</f>
        <v>1.041885</v>
      </c>
      <c r="X7743" t="str">
        <v>x</v>
      </c>
      <c r="Y7743">
        <f>D7740</f>
        <v>1</v>
      </c>
      <c r="Z7743" t="str">
        <v>=</v>
      </c>
      <c r="AA7743">
        <f>IF(AA7744=0,(D7743*N7743+P7743*R7743)*U7743*Y7743,0)</f>
        <v>0</v>
      </c>
    </row>
    <row r="7744">
      <c r="A7744" t="str">
        <f>A7734</f>
        <v>Lantai 2</v>
      </c>
      <c r="B7744">
        <f>B7734</f>
        <v>63</v>
      </c>
      <c r="D7744">
        <f>IF(AND(D7741=D7742,D7742=D7743,D7741=D7743),D7741,0)</f>
        <v>2</v>
      </c>
      <c r="E7744" t="str">
        <v>D</v>
      </c>
      <c r="F7744">
        <f>IF(AND(F7741=F7742,F7741=F7743,F7742=F7743),F7741,0)</f>
        <v>13</v>
      </c>
      <c r="L7744" t="str">
        <v>Total panjang per balok</v>
      </c>
      <c r="M7744" t="str">
        <v>=</v>
      </c>
      <c r="N7744">
        <f>IF(AND(D7741=D7742,D7741=D7743,D7742=D7743,F7741=F7742,F7741=F7743,F7742=F7743),SUM(N7741:N7743),0)</f>
        <v>0.762</v>
      </c>
      <c r="O7744" t="str">
        <v>+</v>
      </c>
      <c r="P7744">
        <f>IF(N7744&gt;12,ROUNDDOWN(N7744/12,0),0)</f>
        <v>0</v>
      </c>
      <c r="Q7744" t="str">
        <v>x</v>
      </c>
      <c r="R7744">
        <f>IF(P7744&gt;0,MAX(VLOOKUP(F7744,$D$6:$G$15,3,FALSE),600),0)/1000</f>
        <v>0</v>
      </c>
      <c r="T7744" t="str">
        <v>x</v>
      </c>
      <c r="U7744">
        <f>U7743</f>
        <v>1.041885</v>
      </c>
      <c r="V7744" t="str">
        <v>x</v>
      </c>
      <c r="W7744">
        <f>D7744</f>
        <v>2</v>
      </c>
      <c r="X7744" t="str">
        <v>x</v>
      </c>
      <c r="Y7744">
        <f>Y7743</f>
        <v>1</v>
      </c>
      <c r="Z7744" t="str">
        <v>=</v>
      </c>
      <c r="AA7744">
        <f>(N7744+P7744*R7744/1000)*U7744*W7744*Y7744</f>
        <v>1.5878327399999999</v>
      </c>
    </row>
    <row r="7746">
      <c r="A7746" t="str">
        <f>A7734</f>
        <v>Lantai 2</v>
      </c>
      <c r="B7746">
        <f>B7734</f>
        <v>63</v>
      </c>
      <c r="C7746" t="str">
        <v>Tul Peminggang</v>
      </c>
      <c r="D7746">
        <f>VLOOKUP(D7734,'Detail Balok'!$C$10:$AU$110,13,FALSE)</f>
        <v>0</v>
      </c>
      <c r="E7746" t="str">
        <v>D</v>
      </c>
      <c r="F7746">
        <f>VLOOKUP(D7734,'Detail Balok'!$C$10:$AU$110,15,FALSE)</f>
        <v>6</v>
      </c>
      <c r="J7746">
        <f>+D7736/1000</f>
        <v>0.45</v>
      </c>
      <c r="K7746" t="str">
        <v>+</v>
      </c>
      <c r="L7746">
        <f>2*$F$16*F7746/1000</f>
        <v>0.144</v>
      </c>
      <c r="M7746" t="str">
        <v>=</v>
      </c>
      <c r="N7746">
        <f>J7746+L7746</f>
        <v>0.594</v>
      </c>
      <c r="O7746" t="str">
        <v>+</v>
      </c>
      <c r="P7746">
        <f>IF(N7746&gt;12,ROUNDDOWN(N7746/12,0),0)</f>
        <v>0</v>
      </c>
      <c r="Q7746" t="str">
        <v>x</v>
      </c>
      <c r="R7746">
        <f>IF(P7746&gt;0,MAX(VLOOKUP(F7746,$D$6:$G$15,3,FALSE),600),0)/1000</f>
        <v>0</v>
      </c>
      <c r="T7746" t="str">
        <v>x</v>
      </c>
      <c r="U7746">
        <f>0.006165*F7746^2</f>
        <v>0.22194000000000003</v>
      </c>
      <c r="V7746" t="str">
        <v>x</v>
      </c>
      <c r="W7746">
        <f>+D7746</f>
        <v>0</v>
      </c>
      <c r="X7746" t="str">
        <v>x</v>
      </c>
      <c r="Y7746">
        <f>D7740</f>
        <v>1</v>
      </c>
      <c r="Z7746" t="str">
        <v>=</v>
      </c>
      <c r="AA7746">
        <f>(N7746+P7746*R7746/1000)*U7746*W7746*Y7746</f>
        <v>0</v>
      </c>
    </row>
    <row r="7749">
      <c r="A7749" t="str">
        <f>A7734</f>
        <v>Lantai 2</v>
      </c>
      <c r="B7749">
        <f>B7734</f>
        <v>63</v>
      </c>
      <c r="C7749" t="str">
        <v>Tul Bawah Tumpuan</v>
      </c>
      <c r="D7749">
        <f>VLOOKUP(D7734,'Detail Balok'!$C$10:$AU$110,22,FALSE)</f>
        <v>2</v>
      </c>
      <c r="E7749" t="str">
        <v>D</v>
      </c>
      <c r="F7749">
        <f>VLOOKUP(D7734,'Detail Balok'!$C$10:$AU$110,24,FALSE)</f>
        <v>13</v>
      </c>
      <c r="I7749" t="str">
        <v>(</v>
      </c>
      <c r="J7749">
        <f>+J7741</f>
        <v>0.1125</v>
      </c>
      <c r="K7749" t="str">
        <v>+</v>
      </c>
      <c r="L7749">
        <f>MAX(VLOOKUP(F7749,N$6:P$15,3,FALSE)/1000,2/3*D7739/1000)+F$16*F7749/1000</f>
        <v>0.156</v>
      </c>
      <c r="M7749" t="str">
        <v>=</v>
      </c>
      <c r="N7749">
        <f>J7749+L7749</f>
        <v>0.2685</v>
      </c>
      <c r="O7749" t="str">
        <v>+</v>
      </c>
      <c r="P7749">
        <f>D7749-D7750</f>
        <v>0</v>
      </c>
      <c r="Q7749" t="str">
        <v>x</v>
      </c>
      <c r="R7749">
        <f>IF(P7749&gt;0,$F$18*F7749/1000,0)</f>
        <v>0</v>
      </c>
      <c r="S7749" t="str">
        <v>)</v>
      </c>
      <c r="T7749" t="str">
        <v>x</v>
      </c>
      <c r="U7749">
        <f>0.006165*F7749^2</f>
        <v>1.041885</v>
      </c>
      <c r="X7749" t="str">
        <v>x</v>
      </c>
      <c r="Y7749">
        <f>D7740</f>
        <v>1</v>
      </c>
      <c r="Z7749" t="str">
        <v>=</v>
      </c>
      <c r="AA7749">
        <f>IF(AA7752=0,(D7749*N7749+P7749*R7749)*U7749*Y7749,0)</f>
        <v>0</v>
      </c>
    </row>
    <row r="7750">
      <c r="A7750" t="str">
        <f>A7734</f>
        <v>Lantai 2</v>
      </c>
      <c r="B7750">
        <f>B7734</f>
        <v>63</v>
      </c>
      <c r="C7750" t="str">
        <v>Tul Bawah Lapangan</v>
      </c>
      <c r="D7750">
        <f>VLOOKUP(D7734,'Detail Balok'!$C$10:$AU$110,25,FALSE)</f>
        <v>2</v>
      </c>
      <c r="E7750" t="str">
        <v>D</v>
      </c>
      <c r="F7750">
        <f>VLOOKUP(D7734,'Detail Balok'!$C$10:$AU$110,27,FALSE)</f>
        <v>13</v>
      </c>
      <c r="I7750" t="str">
        <v>(</v>
      </c>
      <c r="J7750">
        <f>+J7742</f>
        <v>0.225</v>
      </c>
      <c r="K7750" t="str">
        <v>+</v>
      </c>
      <c r="M7750" t="str">
        <v>=</v>
      </c>
      <c r="N7750">
        <f>J7750+L7750</f>
        <v>0.225</v>
      </c>
      <c r="O7750" t="str">
        <v>+</v>
      </c>
      <c r="P7750">
        <f>MAX(D7750-D7749,D7750-D7751)</f>
        <v>0</v>
      </c>
      <c r="Q7750" t="str">
        <v>x</v>
      </c>
      <c r="R7750">
        <f>IF(P7750&gt;0,2*(1-2*$F$19-1/2)*D7737/1000,0)</f>
        <v>0</v>
      </c>
      <c r="S7750" t="str">
        <v>)</v>
      </c>
      <c r="T7750" t="str">
        <v>x</v>
      </c>
      <c r="U7750">
        <f>0.006165*F7750^2</f>
        <v>1.041885</v>
      </c>
      <c r="X7750" t="str">
        <v>x</v>
      </c>
      <c r="Y7750">
        <f>D7740</f>
        <v>1</v>
      </c>
      <c r="Z7750" t="str">
        <v>=</v>
      </c>
      <c r="AA7750">
        <f>IF(AA7752=0,(D7750*N7750+P7750*R7750)*U7750*Y7750,0)</f>
        <v>0</v>
      </c>
    </row>
    <row r="7751">
      <c r="A7751" t="str">
        <f>A7734</f>
        <v>Lantai 2</v>
      </c>
      <c r="B7751">
        <f>B7734</f>
        <v>63</v>
      </c>
      <c r="C7751" t="str">
        <v>Tul Bawah Tumpuan</v>
      </c>
      <c r="D7751">
        <f>VLOOKUP(D7734,'Detail Balok'!$C$10:$AU$110,28,FALSE)</f>
        <v>2</v>
      </c>
      <c r="E7751" t="str">
        <v>D</v>
      </c>
      <c r="F7751">
        <f>VLOOKUP(D7734,'Detail Balok'!$C$10:$AU$110,30,FALSE)</f>
        <v>13</v>
      </c>
      <c r="I7751" t="str">
        <v>(</v>
      </c>
      <c r="J7751">
        <f>+J7743</f>
        <v>0.1125</v>
      </c>
      <c r="K7751" t="str">
        <v>+</v>
      </c>
      <c r="L7751">
        <f>MAX(VLOOKUP(F7751,N$6:P$15,3,FALSE)/1000,2/3*D7739/1000)+F$16*F7751/1000</f>
        <v>0.156</v>
      </c>
      <c r="M7751" t="str">
        <v>=</v>
      </c>
      <c r="N7751">
        <f>J7751+L7751</f>
        <v>0.2685</v>
      </c>
      <c r="O7751" t="str">
        <v>+</v>
      </c>
      <c r="P7751">
        <f>D7751-D7750</f>
        <v>0</v>
      </c>
      <c r="Q7751" t="str">
        <v>x</v>
      </c>
      <c r="R7751">
        <f>IF(P7751&gt;0,$F$18*F7751/1000,0)</f>
        <v>0</v>
      </c>
      <c r="S7751" t="str">
        <v>)</v>
      </c>
      <c r="T7751" t="str">
        <v>x</v>
      </c>
      <c r="U7751">
        <f>0.006165*F7751^2</f>
        <v>1.041885</v>
      </c>
      <c r="X7751" t="str">
        <v>x</v>
      </c>
      <c r="Y7751">
        <f>D7740</f>
        <v>1</v>
      </c>
      <c r="Z7751" t="str">
        <v>=</v>
      </c>
      <c r="AA7751">
        <f>IF(AA7752=0,(D7751*N7751+P7751*R7751)*U7751*Y7751,0)</f>
        <v>0</v>
      </c>
    </row>
    <row r="7752">
      <c r="A7752" t="str">
        <f>A7734</f>
        <v>Lantai 2</v>
      </c>
      <c r="B7752">
        <f>B7734</f>
        <v>63</v>
      </c>
      <c r="D7752">
        <f>IF(AND(D7749=D7750,D7750=D7751,D7749=D7751),D7749,0)</f>
        <v>2</v>
      </c>
      <c r="E7752" t="str">
        <v>D</v>
      </c>
      <c r="F7752">
        <f>IF(AND(F7749=F7750,F7749=F7751,F7750=F7751),F7749,0)</f>
        <v>13</v>
      </c>
      <c r="L7752" t="str">
        <v>Total panjang per balok</v>
      </c>
      <c r="M7752" t="str">
        <v>=</v>
      </c>
      <c r="N7752">
        <f>IF(AND(D7749=D7750,D7749=D7751,D7750=D7751,F7749=F7750,F7749=F7751,F7750=F7751),SUM(N7749:N7751),0)</f>
        <v>0.762</v>
      </c>
      <c r="O7752" t="str">
        <v>+</v>
      </c>
      <c r="P7752">
        <f>IF(N7752&gt;12,ROUNDDOWN(N7752/12,0),0)</f>
        <v>0</v>
      </c>
      <c r="Q7752" t="str">
        <v>x</v>
      </c>
      <c r="R7752">
        <f>IF(P7752&gt;0,MAX(VLOOKUP(F7752,$D$6:$G$15,3,FALSE),600),0)/1000</f>
        <v>0</v>
      </c>
      <c r="T7752" t="str">
        <v>x</v>
      </c>
      <c r="U7752">
        <f>U7751</f>
        <v>1.041885</v>
      </c>
      <c r="V7752" t="str">
        <v>x</v>
      </c>
      <c r="W7752">
        <f>D7752</f>
        <v>2</v>
      </c>
      <c r="X7752" t="str">
        <v>x</v>
      </c>
      <c r="Y7752">
        <f>Y7751</f>
        <v>1</v>
      </c>
      <c r="Z7752" t="str">
        <v>=</v>
      </c>
      <c r="AA7752">
        <f>(N7752+P7752*R7752/1000)*U7752*W7752*Y7752</f>
        <v>1.5878327399999999</v>
      </c>
    </row>
    <row r="7754">
      <c r="A7754" t="str">
        <f>A7734</f>
        <v>Lantai 2</v>
      </c>
      <c r="B7754">
        <f>B7734</f>
        <v>63</v>
      </c>
      <c r="C7754" t="str">
        <v>Sengkang Tumpuan</v>
      </c>
      <c r="D7754">
        <f>VLOOKUP(D7734,'Detail Balok'!$C$10:$AU$110,31,FALSE)</f>
        <v>0</v>
      </c>
      <c r="E7754" t="str">
        <v>D</v>
      </c>
      <c r="F7754">
        <f>VLOOKUP(D7734,'Detail Balok'!$C$10:$AU$110,33,FALSE)</f>
        <v>8</v>
      </c>
      <c r="G7754" t="str">
        <v>-</v>
      </c>
      <c r="H7754">
        <f>VLOOKUP(D7734,'Detail Balok'!$C$10:$AU$110,35,FALSE)</f>
        <v>100</v>
      </c>
      <c r="J7754">
        <f>(IF(D7754=0,(2*(D7735+G7735))-(F$5*8),IF(D7754=3,(2*(D7735+G7735))-(F$5*8)+(G7735-2*F$5),IF(D7754=4,(2*(D7735+G7735))-(F$5*8)+2*(G7735-2*F$5)))))/1000</f>
        <v>0.62</v>
      </c>
      <c r="K7754" t="str">
        <v>+</v>
      </c>
      <c r="L7754">
        <f>IF(D7754=0,2*MAX(6*F7754,75),(D7754-1)*2*MAX(6*F7754,75))/1000</f>
        <v>0.15</v>
      </c>
      <c r="M7754" t="str">
        <v>=</v>
      </c>
      <c r="N7754">
        <f>J7754+L7754</f>
        <v>0.77</v>
      </c>
      <c r="T7754" t="str">
        <v>x</v>
      </c>
      <c r="U7754">
        <f>0.006165*F7754^2</f>
        <v>0.39456</v>
      </c>
      <c r="V7754" t="str">
        <v>x</v>
      </c>
      <c r="W7754">
        <f>IF(D7737&gt;4*G7735,ROUND(MAX(D7737/4,2*G7735)/H7754,0)+1,ROUND(D7737/H7754,0)+1)</f>
        <v>6</v>
      </c>
      <c r="X7754" t="str">
        <v>x</v>
      </c>
      <c r="Y7754">
        <f>D7740</f>
        <v>1</v>
      </c>
      <c r="Z7754" t="str">
        <v>=</v>
      </c>
      <c r="AA7754">
        <f>N7754*U7754*W7754*Y7754</f>
        <v>1.8228672000000001</v>
      </c>
    </row>
    <row r="7755">
      <c r="A7755" t="str">
        <f>A7734</f>
        <v>Lantai 2</v>
      </c>
      <c r="B7755">
        <f>B7734</f>
        <v>63</v>
      </c>
      <c r="C7755" t="str">
        <v>Sengkang Lapangan</v>
      </c>
      <c r="D7755">
        <f>VLOOKUP(D7734,'Detail Balok'!$C$10:$AU$110,36,FALSE)</f>
        <v>0</v>
      </c>
      <c r="E7755" t="str">
        <v>D</v>
      </c>
      <c r="F7755">
        <f>VLOOKUP(D7734,'Detail Balok'!$C$10:$AU$110,38,FALSE)</f>
        <v>8</v>
      </c>
      <c r="G7755" t="str">
        <v>-</v>
      </c>
      <c r="H7755">
        <f>VLOOKUP(D7734,'Detail Balok'!$C$10:$AU$110,40,FALSE)</f>
        <v>150</v>
      </c>
      <c r="J7755">
        <f>(IF(D7755=0,(2*(D7735+G7735))-(F$5*8),IF(D7755=3,(2*(D7735+G7735))-(F$5*8)+(G7735-2*F$5),IF(D7755=4,(2*(D7735+G7735))-(F$5*8)+2*(G7735-2*F$5)))))/1000</f>
        <v>0.62</v>
      </c>
      <c r="K7755" t="str">
        <v>+</v>
      </c>
      <c r="L7755">
        <f>IF(D7755=0,2*MAX(6*F7755,75),(D7755-1)*2*MAX(6*F7755,75))/1000</f>
        <v>0.15</v>
      </c>
      <c r="M7755" t="str">
        <v>=</v>
      </c>
      <c r="N7755">
        <f>J7755+L7755</f>
        <v>0.77</v>
      </c>
      <c r="T7755" t="str">
        <v>x</v>
      </c>
      <c r="U7755">
        <f>0.006165*F7755^2</f>
        <v>0.39456</v>
      </c>
      <c r="V7755" t="str">
        <v>x</v>
      </c>
      <c r="W7755">
        <f>IF(D7737-MAX(D7737/4,2*G7735)*2&gt;0,ROUND((D7737-MAX(D7737/4,2*G7735)*2)/H7755,0),0)</f>
        <v>0</v>
      </c>
      <c r="X7755" t="str">
        <v>x</v>
      </c>
      <c r="Y7755">
        <f>D7740</f>
        <v>1</v>
      </c>
      <c r="Z7755" t="str">
        <v>=</v>
      </c>
      <c r="AA7755">
        <f>N7755*U7755*W7755*Y7755</f>
        <v>0</v>
      </c>
    </row>
    <row r="7756">
      <c r="A7756" t="str">
        <f>A7734</f>
        <v>Lantai 2</v>
      </c>
      <c r="B7756">
        <f>B7734</f>
        <v>63</v>
      </c>
      <c r="C7756" t="str">
        <v>Sengkang Tumpuan</v>
      </c>
      <c r="D7756">
        <f>VLOOKUP(D7734,'Detail Balok'!$C$10:$AU$110,41,FALSE)</f>
        <v>0</v>
      </c>
      <c r="E7756" t="str">
        <v>D</v>
      </c>
      <c r="F7756">
        <f>VLOOKUP(D7734,'Detail Balok'!$C$10:$AU$110,43,FALSE)</f>
        <v>8</v>
      </c>
      <c r="G7756" t="str">
        <v>-</v>
      </c>
      <c r="H7756">
        <f>VLOOKUP(D7734,'Detail Balok'!$C$10:$AU$110,45,FALSE)</f>
        <v>100</v>
      </c>
      <c r="J7756">
        <f>(IF(D7756=0,(2*(D7735+G7735))-(F$5*8),IF(D7756=3,(2*(D7735+G7735))-(F$5*8)+(G7735-2*F$5),IF(D7756=4,(2*(D7735+G7735))-(F$5*8)+2*(G7735-2*F$5)))))/1000</f>
        <v>0.62</v>
      </c>
      <c r="K7756" t="str">
        <v>+</v>
      </c>
      <c r="L7756">
        <f>IF(D7756=0,2*MAX(6*F7756,75),(D7756-1)*2*MAX(6*F7756,75))/1000</f>
        <v>0.15</v>
      </c>
      <c r="M7756" t="str">
        <v>=</v>
      </c>
      <c r="N7756">
        <f>J7756+L7756</f>
        <v>0.77</v>
      </c>
      <c r="T7756" t="str">
        <v>x</v>
      </c>
      <c r="U7756">
        <f>0.006165*F7756^2</f>
        <v>0.39456</v>
      </c>
      <c r="V7756" t="str">
        <v>x</v>
      </c>
      <c r="W7756">
        <f>IF(D7737&gt;4*G7735,ROUND(MAX(D7737/4,2*G7735)/H7756,0)+1,0)</f>
        <v>0</v>
      </c>
      <c r="X7756" t="str">
        <v>x</v>
      </c>
      <c r="Y7756">
        <f>D7740</f>
        <v>1</v>
      </c>
      <c r="Z7756" t="str">
        <v>=</v>
      </c>
      <c r="AA7756">
        <f>N7756*U7756*W7756*Y7756</f>
        <v>0</v>
      </c>
    </row>
    <row r="7758">
      <c r="A7758" t="str">
        <f>A7734</f>
        <v>Lantai 2</v>
      </c>
      <c r="B7758">
        <f>B7734</f>
        <v>63</v>
      </c>
      <c r="C7758" t="str">
        <v>Kait Horizontal Tump.</v>
      </c>
      <c r="D7758">
        <f>VLOOKUP(D7734,'Detail Balok'!$C$10:$BJ$110,46,FALSE)</f>
        <v>0</v>
      </c>
      <c r="E7758" t="str">
        <v>D</v>
      </c>
      <c r="F7758">
        <f>VLOOKUP(D7734,'Detail Balok'!$C$10:$BJ$110,48,FALSE)</f>
        <v>0</v>
      </c>
      <c r="G7758" t="str">
        <v>-</v>
      </c>
      <c r="H7758">
        <f>VLOOKUP(D7734,'Detail Balok'!$C$10:$BJ$110,50,FALSE)</f>
        <v>100</v>
      </c>
      <c r="J7758">
        <f>(D7735-2*F$5)/1000</f>
        <v>0.09</v>
      </c>
      <c r="K7758" t="str">
        <v>+</v>
      </c>
      <c r="L7758">
        <f>IF(D7758=0,2*MAX(6*F7758,75),(D7758-1)*2*MAX(6*F7758,75))/1000</f>
        <v>0.15</v>
      </c>
      <c r="M7758" t="str">
        <v>=</v>
      </c>
      <c r="N7758">
        <f>J7758+L7758</f>
        <v>0.24</v>
      </c>
      <c r="T7758" t="str">
        <v>x</v>
      </c>
      <c r="U7758">
        <f>0.006165*F7758^2</f>
        <v>0</v>
      </c>
      <c r="V7758" t="str">
        <v>x</v>
      </c>
      <c r="W7758">
        <f>W7754</f>
        <v>6</v>
      </c>
      <c r="X7758" t="str">
        <v>x</v>
      </c>
      <c r="Y7758">
        <f>D7744</f>
        <v>2</v>
      </c>
      <c r="Z7758" t="str">
        <v>=</v>
      </c>
      <c r="AA7758">
        <f>N7758*U7758*W7758*Y7758</f>
        <v>0</v>
      </c>
    </row>
    <row r="7759">
      <c r="A7759" t="str">
        <f>A7734</f>
        <v>Lantai 2</v>
      </c>
      <c r="B7759">
        <f>B7734</f>
        <v>63</v>
      </c>
      <c r="C7759" t="str">
        <v>Kait Horizontal Lap.</v>
      </c>
      <c r="D7759">
        <f>VLOOKUP(D7734,'Detail Balok'!$C$10:$BJ$110,51,FALSE)</f>
        <v>0</v>
      </c>
      <c r="E7759" t="str">
        <v>D</v>
      </c>
      <c r="F7759">
        <f>VLOOKUP(D7734,'Detail Balok'!$C$10:$BJ$110,53,FALSE)</f>
        <v>0</v>
      </c>
      <c r="G7759" t="str">
        <v>-</v>
      </c>
      <c r="H7759">
        <f>VLOOKUP(D7734,'Detail Balok'!$C$10:$BJ$110,55,FALSE)</f>
        <v>100</v>
      </c>
      <c r="J7759">
        <f>(D7735-2*F$5)/1000</f>
        <v>0.09</v>
      </c>
      <c r="K7759" t="str">
        <v>+</v>
      </c>
      <c r="L7759">
        <f>IF(D7759=0,2*MAX(6*F7759,75),(D7759-1)*2*MAX(6*F7759,75))/1000</f>
        <v>0.15</v>
      </c>
      <c r="M7759" t="str">
        <v>=</v>
      </c>
      <c r="N7759">
        <f>J7759+L7759</f>
        <v>0.24</v>
      </c>
      <c r="T7759" t="str">
        <v>x</v>
      </c>
      <c r="U7759">
        <f>0.006165*F7759^2</f>
        <v>0</v>
      </c>
      <c r="V7759" t="str">
        <v>x</v>
      </c>
      <c r="W7759">
        <f>W7755</f>
        <v>0</v>
      </c>
      <c r="X7759" t="str">
        <v>x</v>
      </c>
      <c r="Y7759">
        <f>D7744</f>
        <v>2</v>
      </c>
      <c r="Z7759" t="str">
        <v>=</v>
      </c>
      <c r="AA7759">
        <f>N7759*U7759*W7759*Y7759</f>
        <v>0</v>
      </c>
    </row>
    <row r="7760">
      <c r="A7760" t="str">
        <f>A7734</f>
        <v>Lantai 2</v>
      </c>
      <c r="B7760">
        <f>B7734</f>
        <v>63</v>
      </c>
      <c r="C7760" t="str">
        <v>Kait Horizontal Tump.</v>
      </c>
      <c r="D7760">
        <f>VLOOKUP(D7734,'Detail Balok'!$C$10:$BJ$110,56,FALSE)</f>
        <v>0</v>
      </c>
      <c r="E7760" t="str">
        <v>D</v>
      </c>
      <c r="F7760">
        <f>VLOOKUP(D7734,'Detail Balok'!$C$10:$BJ$110,58,FALSE)</f>
        <v>0</v>
      </c>
      <c r="G7760" t="str">
        <v>-</v>
      </c>
      <c r="H7760">
        <f>VLOOKUP(D7734,'Detail Balok'!$C$10:$BJ$110,60,FALSE)</f>
        <v>100</v>
      </c>
      <c r="J7760">
        <f>(D7735-2*F$5)/1000</f>
        <v>0.09</v>
      </c>
      <c r="K7760" t="str">
        <v>+</v>
      </c>
      <c r="L7760">
        <f>IF(D7760=0,2*MAX(6*F7760,75),(D7760-1)*2*MAX(6*F7760,75))/1000</f>
        <v>0.15</v>
      </c>
      <c r="M7760" t="str">
        <v>=</v>
      </c>
      <c r="N7760">
        <f>J7760+L7760</f>
        <v>0.24</v>
      </c>
      <c r="T7760" t="str">
        <v>x</v>
      </c>
      <c r="U7760">
        <f>0.006165*F7760^2</f>
        <v>0</v>
      </c>
      <c r="V7760" t="str">
        <v>x</v>
      </c>
      <c r="W7760">
        <f>W7756</f>
        <v>0</v>
      </c>
      <c r="X7760" t="str">
        <v>x</v>
      </c>
      <c r="Y7760">
        <f>D7744</f>
        <v>2</v>
      </c>
      <c r="Z7760" t="str">
        <v>=</v>
      </c>
      <c r="AA7760">
        <f>N7760*U7760*W7760*Y7760</f>
        <v>0</v>
      </c>
    </row>
    <row r="7764">
      <c r="A7764" t="str">
        <f>A7734</f>
        <v>Lantai 2</v>
      </c>
      <c r="B7764">
        <f>B7734+1</f>
        <v>64</v>
      </c>
      <c r="C7764" t="str">
        <f>CONCATENATE(A7764," no. ",B7764)</f>
        <v>Lantai 2 no. 64</v>
      </c>
      <c r="D7764" t="str">
        <f>VLOOKUP(C7764,'Data Panjang Balok'!$C$9:$N$424,2,FALSE)</f>
        <v>B24-1</v>
      </c>
    </row>
    <row r="7765">
      <c r="C7765" t="str">
        <v>Dimensi</v>
      </c>
      <c r="D7765">
        <f>VLOOKUP(D7764,'Detail Balok'!$C$10:$AU$110,2,FALSE)</f>
        <v>200</v>
      </c>
      <c r="F7765" t="str">
        <v>x</v>
      </c>
      <c r="G7765">
        <f>VLOOKUP(D7764,'Detail Balok'!$C$10:$AU$110,3,FALSE)</f>
        <v>400</v>
      </c>
    </row>
    <row r="7766">
      <c r="C7766" t="str">
        <v>Panjang as ke as</v>
      </c>
      <c r="D7766">
        <f>VLOOKUP(C7764,'Data Panjang Balok'!$C$9:$N$424,4,FALSE)</f>
        <v>3450</v>
      </c>
    </row>
    <row r="7767">
      <c r="C7767" t="str">
        <v>Panjang netto</v>
      </c>
      <c r="D7767">
        <f>VLOOKUP(C7764,'Data Panjang Balok'!$C$9:$N$424,7,FALSE)</f>
        <v>3450</v>
      </c>
    </row>
    <row r="7768">
      <c r="C7768" t="str">
        <v>Kolom / balok kiri</v>
      </c>
      <c r="D7768">
        <f>VLOOKUP(C7764,'Data Panjang Balok'!$C$9:$N$424,9,FALSE)</f>
        <v>0</v>
      </c>
    </row>
    <row r="7769">
      <c r="C7769" t="str">
        <v>Kolom / balok kanan</v>
      </c>
      <c r="D7769">
        <f>VLOOKUP(C7764,'Data Panjang Balok'!$C$9:$N$424,10,FALSE)</f>
        <v>0</v>
      </c>
    </row>
    <row r="7770">
      <c r="C7770" t="str">
        <v>Jumlah</v>
      </c>
      <c r="D7770">
        <f>VLOOKUP(C7764,'Data Panjang Balok'!$C$9:$N$424,3,FALSE)</f>
        <v>1</v>
      </c>
    </row>
    <row r="7771">
      <c r="A7771" t="str">
        <f>A7764</f>
        <v>Lantai 2</v>
      </c>
      <c r="B7771">
        <f>B7764</f>
        <v>64</v>
      </c>
      <c r="C7771" t="str">
        <v>Tul Atas Tumpuan</v>
      </c>
      <c r="D7771">
        <f>VLOOKUP(D7764,'Detail Balok'!$C$10:$AU$110,4,FALSE)</f>
        <v>2</v>
      </c>
      <c r="E7771" t="str">
        <v>D</v>
      </c>
      <c r="F7771">
        <f>VLOOKUP(D7764,'Detail Balok'!$C$10:$AU$110,6,FALSE)</f>
        <v>13</v>
      </c>
      <c r="I7771" t="str">
        <v>(</v>
      </c>
      <c r="J7771">
        <f>+D7766/4/1000</f>
        <v>0.8625</v>
      </c>
      <c r="K7771" t="str">
        <v>+</v>
      </c>
      <c r="L7771">
        <f>MAX(VLOOKUP(F7771,N$6:P$15,3,FALSE)/1000,2/3*D7768/1000)+F$16*F7771/1000</f>
        <v>0.156</v>
      </c>
      <c r="M7771" t="str">
        <v>=</v>
      </c>
      <c r="N7771">
        <f>J7771+L7771</f>
        <v>1.0185</v>
      </c>
      <c r="O7771" t="str">
        <v>+</v>
      </c>
      <c r="P7771">
        <f>D7771-D7772</f>
        <v>0</v>
      </c>
      <c r="Q7771" t="str">
        <v>x</v>
      </c>
      <c r="R7771">
        <f>IF(P7771&gt;0,$F$18*F7771/1000,0)</f>
        <v>0</v>
      </c>
      <c r="S7771" t="str">
        <v>)</v>
      </c>
      <c r="T7771" t="str">
        <v>x</v>
      </c>
      <c r="U7771">
        <f>0.006165*F7771^2</f>
        <v>1.041885</v>
      </c>
      <c r="X7771" t="str">
        <v>x</v>
      </c>
      <c r="Y7771">
        <f>D7770</f>
        <v>1</v>
      </c>
      <c r="Z7771" t="str">
        <v>=</v>
      </c>
      <c r="AA7771">
        <f>IF(AA7774=0,(D7771*N7771+P7771*R7771)*U7771*Y7771,0)</f>
        <v>0</v>
      </c>
    </row>
    <row r="7772">
      <c r="A7772" t="str">
        <f>A7764</f>
        <v>Lantai 2</v>
      </c>
      <c r="B7772">
        <f>B7764</f>
        <v>64</v>
      </c>
      <c r="C7772" t="str">
        <v>Tul Atas Lapangan</v>
      </c>
      <c r="D7772">
        <f>VLOOKUP(D7764,'Detail Balok'!$C$10:$AU$110,7,FALSE)</f>
        <v>2</v>
      </c>
      <c r="E7772" t="str">
        <v>D</v>
      </c>
      <c r="F7772">
        <f>VLOOKUP(D7764,'Detail Balok'!$C$10:$AU$110,9,FALSE)</f>
        <v>13</v>
      </c>
      <c r="I7772" t="str">
        <v>(</v>
      </c>
      <c r="J7772">
        <f>+D7766/2/1000</f>
        <v>1.725</v>
      </c>
      <c r="K7772" t="str">
        <v>+</v>
      </c>
      <c r="M7772" t="str">
        <v>=</v>
      </c>
      <c r="N7772">
        <f>J7772+L7772</f>
        <v>1.725</v>
      </c>
      <c r="O7772" t="str">
        <v>+</v>
      </c>
      <c r="P7772">
        <f>MAX(D7772-D7771,D7772-D7773)</f>
        <v>0</v>
      </c>
      <c r="Q7772" t="str">
        <v>x</v>
      </c>
      <c r="R7772">
        <f>IF(P7772&gt;0,2*(1-2*$F$19-1/2)*D7767/1000,0)</f>
        <v>0</v>
      </c>
      <c r="S7772" t="str">
        <v>)</v>
      </c>
      <c r="T7772" t="str">
        <v>x</v>
      </c>
      <c r="U7772">
        <f>0.006165*F7772^2</f>
        <v>1.041885</v>
      </c>
      <c r="X7772" t="str">
        <v>x</v>
      </c>
      <c r="Y7772">
        <f>D7770</f>
        <v>1</v>
      </c>
      <c r="Z7772" t="str">
        <v>=</v>
      </c>
      <c r="AA7772">
        <f>IF(AA7774=0,(D7772*N7772+P7772*R7772)*U7772*Y7772,0)</f>
        <v>0</v>
      </c>
    </row>
    <row r="7773">
      <c r="A7773" t="str">
        <f>A7764</f>
        <v>Lantai 2</v>
      </c>
      <c r="B7773">
        <f>B7764</f>
        <v>64</v>
      </c>
      <c r="C7773" t="str">
        <v>Tul Atas Tumpuan</v>
      </c>
      <c r="D7773">
        <f>VLOOKUP(D7764,'Detail Balok'!$C$10:$AU$110,10,FALSE)</f>
        <v>2</v>
      </c>
      <c r="E7773" t="str">
        <v>D</v>
      </c>
      <c r="F7773">
        <f>VLOOKUP(D7764,'Detail Balok'!$C$10:$AU$110,12,FALSE)</f>
        <v>13</v>
      </c>
      <c r="I7773" t="str">
        <v>(</v>
      </c>
      <c r="J7773">
        <f>+D7766/4/1000</f>
        <v>0.8625</v>
      </c>
      <c r="K7773" t="str">
        <v>+</v>
      </c>
      <c r="L7773">
        <f>MAX(VLOOKUP(F7773,N$6:P$15,3,FALSE)/1000,2/3*D7768/1000)+F$16*F7773/1000</f>
        <v>0.156</v>
      </c>
      <c r="M7773" t="str">
        <v>=</v>
      </c>
      <c r="N7773">
        <f>J7773+L7773</f>
        <v>1.0185</v>
      </c>
      <c r="O7773" t="str">
        <v>+</v>
      </c>
      <c r="P7773">
        <f>D7773-D7772</f>
        <v>0</v>
      </c>
      <c r="Q7773" t="str">
        <v>x</v>
      </c>
      <c r="R7773">
        <f>IF(P7773&gt;0,$F$18*F7773/1000,0)</f>
        <v>0</v>
      </c>
      <c r="S7773" t="str">
        <v>)</v>
      </c>
      <c r="T7773" t="str">
        <v>x</v>
      </c>
      <c r="U7773">
        <f>0.006165*F7773^2</f>
        <v>1.041885</v>
      </c>
      <c r="X7773" t="str">
        <v>x</v>
      </c>
      <c r="Y7773">
        <f>D7770</f>
        <v>1</v>
      </c>
      <c r="Z7773" t="str">
        <v>=</v>
      </c>
      <c r="AA7773">
        <f>IF(AA7774=0,(D7773*N7773+P7773*R7773)*U7773*Y7773,0)</f>
        <v>0</v>
      </c>
    </row>
    <row r="7774">
      <c r="A7774" t="str">
        <f>A7764</f>
        <v>Lantai 2</v>
      </c>
      <c r="B7774">
        <f>B7764</f>
        <v>64</v>
      </c>
      <c r="D7774">
        <f>IF(AND(D7771=D7772,D7772=D7773,D7771=D7773),D7771,0)</f>
        <v>2</v>
      </c>
      <c r="E7774" t="str">
        <v>D</v>
      </c>
      <c r="F7774">
        <f>IF(AND(F7771=F7772,F7771=F7773,F7772=F7773),F7771,0)</f>
        <v>13</v>
      </c>
      <c r="L7774" t="str">
        <v>Total panjang per balok</v>
      </c>
      <c r="M7774" t="str">
        <v>=</v>
      </c>
      <c r="N7774">
        <f>IF(AND(D7771=D7772,D7771=D7773,D7772=D7773,F7771=F7772,F7771=F7773,F7772=F7773),SUM(N7771:N7773),0)</f>
        <v>3.762</v>
      </c>
      <c r="O7774" t="str">
        <v>+</v>
      </c>
      <c r="P7774">
        <f>IF(N7774&gt;12,ROUNDDOWN(N7774/12,0),0)</f>
        <v>0</v>
      </c>
      <c r="Q7774" t="str">
        <v>x</v>
      </c>
      <c r="R7774">
        <f>IF(P7774&gt;0,MAX(VLOOKUP(F7774,$D$6:$G$15,3,FALSE),600),0)/1000</f>
        <v>0</v>
      </c>
      <c r="T7774" t="str">
        <v>x</v>
      </c>
      <c r="U7774">
        <f>U7773</f>
        <v>1.041885</v>
      </c>
      <c r="V7774" t="str">
        <v>x</v>
      </c>
      <c r="W7774">
        <f>D7774</f>
        <v>2</v>
      </c>
      <c r="X7774" t="str">
        <v>x</v>
      </c>
      <c r="Y7774">
        <f>Y7773</f>
        <v>1</v>
      </c>
      <c r="Z7774" t="str">
        <v>=</v>
      </c>
      <c r="AA7774">
        <f>(N7774+P7774*R7774/1000)*U7774*W7774*Y7774</f>
        <v>7.83914274</v>
      </c>
    </row>
    <row r="7776">
      <c r="A7776" t="str">
        <f>A7764</f>
        <v>Lantai 2</v>
      </c>
      <c r="B7776">
        <f>B7764</f>
        <v>64</v>
      </c>
      <c r="C7776" t="str">
        <v>Tul Peminggang</v>
      </c>
      <c r="D7776">
        <f>VLOOKUP(D7764,'Detail Balok'!$C$10:$AU$110,13,FALSE)</f>
        <v>0</v>
      </c>
      <c r="E7776" t="str">
        <v>D</v>
      </c>
      <c r="F7776">
        <f>VLOOKUP(D7764,'Detail Balok'!$C$10:$AU$110,15,FALSE)</f>
        <v>6</v>
      </c>
      <c r="J7776">
        <f>+D7766/1000</f>
        <v>3.45</v>
      </c>
      <c r="K7776" t="str">
        <v>+</v>
      </c>
      <c r="L7776">
        <f>2*$F$16*F7776/1000</f>
        <v>0.144</v>
      </c>
      <c r="M7776" t="str">
        <v>=</v>
      </c>
      <c r="N7776">
        <f>J7776+L7776</f>
        <v>3.5940000000000003</v>
      </c>
      <c r="O7776" t="str">
        <v>+</v>
      </c>
      <c r="P7776">
        <f>IF(N7776&gt;12,ROUNDDOWN(N7776/12,0),0)</f>
        <v>0</v>
      </c>
      <c r="Q7776" t="str">
        <v>x</v>
      </c>
      <c r="R7776">
        <f>IF(P7776&gt;0,MAX(VLOOKUP(F7776,$D$6:$G$15,3,FALSE),600),0)/1000</f>
        <v>0</v>
      </c>
      <c r="T7776" t="str">
        <v>x</v>
      </c>
      <c r="U7776">
        <f>0.006165*F7776^2</f>
        <v>0.22194000000000003</v>
      </c>
      <c r="V7776" t="str">
        <v>x</v>
      </c>
      <c r="W7776">
        <f>+D7776</f>
        <v>0</v>
      </c>
      <c r="X7776" t="str">
        <v>x</v>
      </c>
      <c r="Y7776">
        <f>D7770</f>
        <v>1</v>
      </c>
      <c r="Z7776" t="str">
        <v>=</v>
      </c>
      <c r="AA7776">
        <f>(N7776+P7776*R7776/1000)*U7776*W7776*Y7776</f>
        <v>0</v>
      </c>
    </row>
    <row r="7779">
      <c r="A7779" t="str">
        <f>A7764</f>
        <v>Lantai 2</v>
      </c>
      <c r="B7779">
        <f>B7764</f>
        <v>64</v>
      </c>
      <c r="C7779" t="str">
        <v>Tul Bawah Tumpuan</v>
      </c>
      <c r="D7779">
        <f>VLOOKUP(D7764,'Detail Balok'!$C$10:$AU$110,22,FALSE)</f>
        <v>2</v>
      </c>
      <c r="E7779" t="str">
        <v>D</v>
      </c>
      <c r="F7779">
        <f>VLOOKUP(D7764,'Detail Balok'!$C$10:$AU$110,24,FALSE)</f>
        <v>13</v>
      </c>
      <c r="I7779" t="str">
        <v>(</v>
      </c>
      <c r="J7779">
        <f>+J7771</f>
        <v>0.8625</v>
      </c>
      <c r="K7779" t="str">
        <v>+</v>
      </c>
      <c r="L7779">
        <f>MAX(VLOOKUP(F7779,N$6:P$15,3,FALSE)/1000,2/3*D7769/1000)+F$16*F7779/1000</f>
        <v>0.156</v>
      </c>
      <c r="M7779" t="str">
        <v>=</v>
      </c>
      <c r="N7779">
        <f>J7779+L7779</f>
        <v>1.0185</v>
      </c>
      <c r="O7779" t="str">
        <v>+</v>
      </c>
      <c r="P7779">
        <f>D7779-D7780</f>
        <v>0</v>
      </c>
      <c r="Q7779" t="str">
        <v>x</v>
      </c>
      <c r="R7779">
        <f>IF(P7779&gt;0,$F$18*F7779/1000,0)</f>
        <v>0</v>
      </c>
      <c r="S7779" t="str">
        <v>)</v>
      </c>
      <c r="T7779" t="str">
        <v>x</v>
      </c>
      <c r="U7779">
        <f>0.006165*F7779^2</f>
        <v>1.041885</v>
      </c>
      <c r="X7779" t="str">
        <v>x</v>
      </c>
      <c r="Y7779">
        <f>D7770</f>
        <v>1</v>
      </c>
      <c r="Z7779" t="str">
        <v>=</v>
      </c>
      <c r="AA7779">
        <f>IF(AA7782=0,(D7779*N7779+P7779*R7779)*U7779*Y7779,0)</f>
        <v>0</v>
      </c>
    </row>
    <row r="7780">
      <c r="A7780" t="str">
        <f>A7764</f>
        <v>Lantai 2</v>
      </c>
      <c r="B7780">
        <f>B7764</f>
        <v>64</v>
      </c>
      <c r="C7780" t="str">
        <v>Tul Bawah Lapangan</v>
      </c>
      <c r="D7780">
        <f>VLOOKUP(D7764,'Detail Balok'!$C$10:$AU$110,25,FALSE)</f>
        <v>2</v>
      </c>
      <c r="E7780" t="str">
        <v>D</v>
      </c>
      <c r="F7780">
        <f>VLOOKUP(D7764,'Detail Balok'!$C$10:$AU$110,27,FALSE)</f>
        <v>13</v>
      </c>
      <c r="I7780" t="str">
        <v>(</v>
      </c>
      <c r="J7780">
        <f>+J7772</f>
        <v>1.725</v>
      </c>
      <c r="K7780" t="str">
        <v>+</v>
      </c>
      <c r="M7780" t="str">
        <v>=</v>
      </c>
      <c r="N7780">
        <f>J7780+L7780</f>
        <v>1.725</v>
      </c>
      <c r="O7780" t="str">
        <v>+</v>
      </c>
      <c r="P7780">
        <f>MAX(D7780-D7779,D7780-D7781)</f>
        <v>0</v>
      </c>
      <c r="Q7780" t="str">
        <v>x</v>
      </c>
      <c r="R7780">
        <f>IF(P7780&gt;0,2*(1-2*$F$19-1/2)*D7767/1000,0)</f>
        <v>0</v>
      </c>
      <c r="S7780" t="str">
        <v>)</v>
      </c>
      <c r="T7780" t="str">
        <v>x</v>
      </c>
      <c r="U7780">
        <f>0.006165*F7780^2</f>
        <v>1.041885</v>
      </c>
      <c r="X7780" t="str">
        <v>x</v>
      </c>
      <c r="Y7780">
        <f>D7770</f>
        <v>1</v>
      </c>
      <c r="Z7780" t="str">
        <v>=</v>
      </c>
      <c r="AA7780">
        <f>IF(AA7782=0,(D7780*N7780+P7780*R7780)*U7780*Y7780,0)</f>
        <v>0</v>
      </c>
    </row>
    <row r="7781">
      <c r="A7781" t="str">
        <f>A7764</f>
        <v>Lantai 2</v>
      </c>
      <c r="B7781">
        <f>B7764</f>
        <v>64</v>
      </c>
      <c r="C7781" t="str">
        <v>Tul Bawah Tumpuan</v>
      </c>
      <c r="D7781">
        <f>VLOOKUP(D7764,'Detail Balok'!$C$10:$AU$110,28,FALSE)</f>
        <v>2</v>
      </c>
      <c r="E7781" t="str">
        <v>D</v>
      </c>
      <c r="F7781">
        <f>VLOOKUP(D7764,'Detail Balok'!$C$10:$AU$110,30,FALSE)</f>
        <v>13</v>
      </c>
      <c r="I7781" t="str">
        <v>(</v>
      </c>
      <c r="J7781">
        <f>+J7773</f>
        <v>0.8625</v>
      </c>
      <c r="K7781" t="str">
        <v>+</v>
      </c>
      <c r="L7781">
        <f>MAX(VLOOKUP(F7781,N$6:P$15,3,FALSE)/1000,2/3*D7769/1000)+F$16*F7781/1000</f>
        <v>0.156</v>
      </c>
      <c r="M7781" t="str">
        <v>=</v>
      </c>
      <c r="N7781">
        <f>J7781+L7781</f>
        <v>1.0185</v>
      </c>
      <c r="O7781" t="str">
        <v>+</v>
      </c>
      <c r="P7781">
        <f>D7781-D7780</f>
        <v>0</v>
      </c>
      <c r="Q7781" t="str">
        <v>x</v>
      </c>
      <c r="R7781">
        <f>IF(P7781&gt;0,$F$18*F7781/1000,0)</f>
        <v>0</v>
      </c>
      <c r="S7781" t="str">
        <v>)</v>
      </c>
      <c r="T7781" t="str">
        <v>x</v>
      </c>
      <c r="U7781">
        <f>0.006165*F7781^2</f>
        <v>1.041885</v>
      </c>
      <c r="X7781" t="str">
        <v>x</v>
      </c>
      <c r="Y7781">
        <f>D7770</f>
        <v>1</v>
      </c>
      <c r="Z7781" t="str">
        <v>=</v>
      </c>
      <c r="AA7781">
        <f>IF(AA7782=0,(D7781*N7781+P7781*R7781)*U7781*Y7781,0)</f>
        <v>0</v>
      </c>
    </row>
    <row r="7782">
      <c r="A7782" t="str">
        <f>A7764</f>
        <v>Lantai 2</v>
      </c>
      <c r="B7782">
        <f>B7764</f>
        <v>64</v>
      </c>
      <c r="D7782">
        <f>IF(AND(D7779=D7780,D7780=D7781,D7779=D7781),D7779,0)</f>
        <v>2</v>
      </c>
      <c r="E7782" t="str">
        <v>D</v>
      </c>
      <c r="F7782">
        <f>IF(AND(F7779=F7780,F7779=F7781,F7780=F7781),F7779,0)</f>
        <v>13</v>
      </c>
      <c r="L7782" t="str">
        <v>Total panjang per balok</v>
      </c>
      <c r="M7782" t="str">
        <v>=</v>
      </c>
      <c r="N7782">
        <f>IF(AND(D7779=D7780,D7779=D7781,D7780=D7781,F7779=F7780,F7779=F7781,F7780=F7781),SUM(N7779:N7781),0)</f>
        <v>3.762</v>
      </c>
      <c r="O7782" t="str">
        <v>+</v>
      </c>
      <c r="P7782">
        <f>IF(N7782&gt;12,ROUNDDOWN(N7782/12,0),0)</f>
        <v>0</v>
      </c>
      <c r="Q7782" t="str">
        <v>x</v>
      </c>
      <c r="R7782">
        <f>IF(P7782&gt;0,MAX(VLOOKUP(F7782,$D$6:$G$15,3,FALSE),600),0)/1000</f>
        <v>0</v>
      </c>
      <c r="T7782" t="str">
        <v>x</v>
      </c>
      <c r="U7782">
        <f>U7781</f>
        <v>1.041885</v>
      </c>
      <c r="V7782" t="str">
        <v>x</v>
      </c>
      <c r="W7782">
        <f>D7782</f>
        <v>2</v>
      </c>
      <c r="X7782" t="str">
        <v>x</v>
      </c>
      <c r="Y7782">
        <f>Y7781</f>
        <v>1</v>
      </c>
      <c r="Z7782" t="str">
        <v>=</v>
      </c>
      <c r="AA7782">
        <f>(N7782+P7782*R7782/1000)*U7782*W7782*Y7782</f>
        <v>7.83914274</v>
      </c>
    </row>
    <row r="7784">
      <c r="A7784" t="str">
        <f>A7764</f>
        <v>Lantai 2</v>
      </c>
      <c r="B7784">
        <f>B7764</f>
        <v>64</v>
      </c>
      <c r="C7784" t="str">
        <v>Sengkang Tumpuan</v>
      </c>
      <c r="D7784">
        <f>VLOOKUP(D7764,'Detail Balok'!$C$10:$AU$110,31,FALSE)</f>
        <v>0</v>
      </c>
      <c r="E7784" t="str">
        <v>D</v>
      </c>
      <c r="F7784">
        <f>VLOOKUP(D7764,'Detail Balok'!$C$10:$AU$110,33,FALSE)</f>
        <v>8</v>
      </c>
      <c r="G7784" t="str">
        <v>-</v>
      </c>
      <c r="H7784">
        <f>VLOOKUP(D7764,'Detail Balok'!$C$10:$AU$110,35,FALSE)</f>
        <v>100</v>
      </c>
      <c r="J7784">
        <f>(IF(D7784=0,(2*(D7765+G7765))-(F$5*8),IF(D7784=3,(2*(D7765+G7765))-(F$5*8)+(G7765-2*F$5),IF(D7784=4,(2*(D7765+G7765))-(F$5*8)+2*(G7765-2*F$5)))))/1000</f>
        <v>0.88</v>
      </c>
      <c r="K7784" t="str">
        <v>+</v>
      </c>
      <c r="L7784">
        <f>IF(D7784=0,2*MAX(6*F7784,75),(D7784-1)*2*MAX(6*F7784,75))/1000</f>
        <v>0.15</v>
      </c>
      <c r="M7784" t="str">
        <v>=</v>
      </c>
      <c r="N7784">
        <f>J7784+L7784</f>
        <v>1.03</v>
      </c>
      <c r="T7784" t="str">
        <v>x</v>
      </c>
      <c r="U7784">
        <f>0.006165*F7784^2</f>
        <v>0.39456</v>
      </c>
      <c r="V7784" t="str">
        <v>x</v>
      </c>
      <c r="W7784">
        <f>IF(D7767&gt;4*G7765,ROUND(MAX(D7767/4,2*G7765)/H7784,0)+1,ROUND(D7767/H7784,0)+1)</f>
        <v>10</v>
      </c>
      <c r="X7784" t="str">
        <v>x</v>
      </c>
      <c r="Y7784">
        <f>D7770</f>
        <v>1</v>
      </c>
      <c r="Z7784" t="str">
        <v>=</v>
      </c>
      <c r="AA7784">
        <f>N7784*U7784*W7784*Y7784</f>
        <v>4.063968000000001</v>
      </c>
    </row>
    <row r="7785">
      <c r="A7785" t="str">
        <f>A7764</f>
        <v>Lantai 2</v>
      </c>
      <c r="B7785">
        <f>B7764</f>
        <v>64</v>
      </c>
      <c r="C7785" t="str">
        <v>Sengkang Lapangan</v>
      </c>
      <c r="D7785">
        <f>VLOOKUP(D7764,'Detail Balok'!$C$10:$AU$110,36,FALSE)</f>
        <v>0</v>
      </c>
      <c r="E7785" t="str">
        <v>D</v>
      </c>
      <c r="F7785">
        <f>VLOOKUP(D7764,'Detail Balok'!$C$10:$AU$110,38,FALSE)</f>
        <v>8</v>
      </c>
      <c r="G7785" t="str">
        <v>-</v>
      </c>
      <c r="H7785">
        <f>VLOOKUP(D7764,'Detail Balok'!$C$10:$AU$110,40,FALSE)</f>
        <v>200</v>
      </c>
      <c r="J7785">
        <f>(IF(D7785=0,(2*(D7765+G7765))-(F$5*8),IF(D7785=3,(2*(D7765+G7765))-(F$5*8)+(G7765-2*F$5),IF(D7785=4,(2*(D7765+G7765))-(F$5*8)+2*(G7765-2*F$5)))))/1000</f>
        <v>0.88</v>
      </c>
      <c r="K7785" t="str">
        <v>+</v>
      </c>
      <c r="L7785">
        <f>IF(D7785=0,2*MAX(6*F7785,75),(D7785-1)*2*MAX(6*F7785,75))/1000</f>
        <v>0.15</v>
      </c>
      <c r="M7785" t="str">
        <v>=</v>
      </c>
      <c r="N7785">
        <f>J7785+L7785</f>
        <v>1.03</v>
      </c>
      <c r="T7785" t="str">
        <v>x</v>
      </c>
      <c r="U7785">
        <f>0.006165*F7785^2</f>
        <v>0.39456</v>
      </c>
      <c r="V7785" t="str">
        <v>x</v>
      </c>
      <c r="W7785">
        <f>IF(D7767-MAX(D7767/4,2*G7765)*2&gt;0,ROUND((D7767-MAX(D7767/4,2*G7765)*2)/H7785,0),0)</f>
        <v>9</v>
      </c>
      <c r="X7785" t="str">
        <v>x</v>
      </c>
      <c r="Y7785">
        <f>D7770</f>
        <v>1</v>
      </c>
      <c r="Z7785" t="str">
        <v>=</v>
      </c>
      <c r="AA7785">
        <f>N7785*U7785*W7785*Y7785</f>
        <v>3.6575712000000005</v>
      </c>
    </row>
    <row r="7786">
      <c r="A7786" t="str">
        <f>A7764</f>
        <v>Lantai 2</v>
      </c>
      <c r="B7786">
        <f>B7764</f>
        <v>64</v>
      </c>
      <c r="C7786" t="str">
        <v>Sengkang Tumpuan</v>
      </c>
      <c r="D7786">
        <f>VLOOKUP(D7764,'Detail Balok'!$C$10:$AU$110,41,FALSE)</f>
        <v>0</v>
      </c>
      <c r="E7786" t="str">
        <v>D</v>
      </c>
      <c r="F7786">
        <f>VLOOKUP(D7764,'Detail Balok'!$C$10:$AU$110,43,FALSE)</f>
        <v>8</v>
      </c>
      <c r="G7786" t="str">
        <v>-</v>
      </c>
      <c r="H7786">
        <f>VLOOKUP(D7764,'Detail Balok'!$C$10:$AU$110,45,FALSE)</f>
        <v>100</v>
      </c>
      <c r="J7786">
        <f>(IF(D7786=0,(2*(D7765+G7765))-(F$5*8),IF(D7786=3,(2*(D7765+G7765))-(F$5*8)+(G7765-2*F$5),IF(D7786=4,(2*(D7765+G7765))-(F$5*8)+2*(G7765-2*F$5)))))/1000</f>
        <v>0.88</v>
      </c>
      <c r="K7786" t="str">
        <v>+</v>
      </c>
      <c r="L7786">
        <f>IF(D7786=0,2*MAX(6*F7786,75),(D7786-1)*2*MAX(6*F7786,75))/1000</f>
        <v>0.15</v>
      </c>
      <c r="M7786" t="str">
        <v>=</v>
      </c>
      <c r="N7786">
        <f>J7786+L7786</f>
        <v>1.03</v>
      </c>
      <c r="T7786" t="str">
        <v>x</v>
      </c>
      <c r="U7786">
        <f>0.006165*F7786^2</f>
        <v>0.39456</v>
      </c>
      <c r="V7786" t="str">
        <v>x</v>
      </c>
      <c r="W7786">
        <f>IF(D7767&gt;4*G7765,ROUND(MAX(D7767/4,2*G7765)/H7786,0)+1,0)</f>
        <v>10</v>
      </c>
      <c r="X7786" t="str">
        <v>x</v>
      </c>
      <c r="Y7786">
        <f>D7770</f>
        <v>1</v>
      </c>
      <c r="Z7786" t="str">
        <v>=</v>
      </c>
      <c r="AA7786">
        <f>N7786*U7786*W7786*Y7786</f>
        <v>4.063968000000001</v>
      </c>
    </row>
    <row r="7788">
      <c r="A7788" t="str">
        <f>A7764</f>
        <v>Lantai 2</v>
      </c>
      <c r="B7788">
        <f>B7764</f>
        <v>64</v>
      </c>
      <c r="C7788" t="str">
        <v>Kait Horizontal Tump.</v>
      </c>
      <c r="D7788">
        <f>VLOOKUP(D7764,'Detail Balok'!$C$10:$BJ$110,46,FALSE)</f>
        <v>0</v>
      </c>
      <c r="E7788" t="str">
        <v>D</v>
      </c>
      <c r="F7788">
        <f>VLOOKUP(D7764,'Detail Balok'!$C$10:$BJ$110,48,FALSE)</f>
        <v>0</v>
      </c>
      <c r="G7788" t="str">
        <v>-</v>
      </c>
      <c r="H7788">
        <f>VLOOKUP(D7764,'Detail Balok'!$C$10:$BJ$110,50,FALSE)</f>
        <v>100</v>
      </c>
      <c r="J7788">
        <f>(D7765-2*F$5)/1000</f>
        <v>0.12</v>
      </c>
      <c r="K7788" t="str">
        <v>+</v>
      </c>
      <c r="L7788">
        <f>IF(D7788=0,2*MAX(6*F7788,75),(D7788-1)*2*MAX(6*F7788,75))/1000</f>
        <v>0.15</v>
      </c>
      <c r="M7788" t="str">
        <v>=</v>
      </c>
      <c r="N7788">
        <f>J7788+L7788</f>
        <v>0.27</v>
      </c>
      <c r="T7788" t="str">
        <v>x</v>
      </c>
      <c r="U7788">
        <f>0.006165*F7788^2</f>
        <v>0</v>
      </c>
      <c r="V7788" t="str">
        <v>x</v>
      </c>
      <c r="W7788">
        <f>W7784</f>
        <v>10</v>
      </c>
      <c r="X7788" t="str">
        <v>x</v>
      </c>
      <c r="Y7788">
        <f>D7774</f>
        <v>2</v>
      </c>
      <c r="Z7788" t="str">
        <v>=</v>
      </c>
      <c r="AA7788">
        <f>N7788*U7788*W7788*Y7788</f>
        <v>0</v>
      </c>
    </row>
    <row r="7789">
      <c r="A7789" t="str">
        <f>A7764</f>
        <v>Lantai 2</v>
      </c>
      <c r="B7789">
        <f>B7764</f>
        <v>64</v>
      </c>
      <c r="C7789" t="str">
        <v>Kait Horizontal Lap.</v>
      </c>
      <c r="D7789">
        <f>VLOOKUP(D7764,'Detail Balok'!$C$10:$BJ$110,51,FALSE)</f>
        <v>0</v>
      </c>
      <c r="E7789" t="str">
        <v>D</v>
      </c>
      <c r="F7789">
        <f>VLOOKUP(D7764,'Detail Balok'!$C$10:$BJ$110,53,FALSE)</f>
        <v>0</v>
      </c>
      <c r="G7789" t="str">
        <v>-</v>
      </c>
      <c r="H7789">
        <f>VLOOKUP(D7764,'Detail Balok'!$C$10:$BJ$110,55,FALSE)</f>
        <v>100</v>
      </c>
      <c r="J7789">
        <f>(D7765-2*F$5)/1000</f>
        <v>0.12</v>
      </c>
      <c r="K7789" t="str">
        <v>+</v>
      </c>
      <c r="L7789">
        <f>IF(D7789=0,2*MAX(6*F7789,75),(D7789-1)*2*MAX(6*F7789,75))/1000</f>
        <v>0.15</v>
      </c>
      <c r="M7789" t="str">
        <v>=</v>
      </c>
      <c r="N7789">
        <f>J7789+L7789</f>
        <v>0.27</v>
      </c>
      <c r="T7789" t="str">
        <v>x</v>
      </c>
      <c r="U7789">
        <f>0.006165*F7789^2</f>
        <v>0</v>
      </c>
      <c r="V7789" t="str">
        <v>x</v>
      </c>
      <c r="W7789">
        <f>W7785</f>
        <v>9</v>
      </c>
      <c r="X7789" t="str">
        <v>x</v>
      </c>
      <c r="Y7789">
        <f>D7774</f>
        <v>2</v>
      </c>
      <c r="Z7789" t="str">
        <v>=</v>
      </c>
      <c r="AA7789">
        <f>N7789*U7789*W7789*Y7789</f>
        <v>0</v>
      </c>
    </row>
    <row r="7790">
      <c r="A7790" t="str">
        <f>A7764</f>
        <v>Lantai 2</v>
      </c>
      <c r="B7790">
        <f>B7764</f>
        <v>64</v>
      </c>
      <c r="C7790" t="str">
        <v>Kait Horizontal Tump.</v>
      </c>
      <c r="D7790">
        <f>VLOOKUP(D7764,'Detail Balok'!$C$10:$BJ$110,56,FALSE)</f>
        <v>0</v>
      </c>
      <c r="E7790" t="str">
        <v>D</v>
      </c>
      <c r="F7790">
        <f>VLOOKUP(D7764,'Detail Balok'!$C$10:$BJ$110,58,FALSE)</f>
        <v>0</v>
      </c>
      <c r="G7790" t="str">
        <v>-</v>
      </c>
      <c r="H7790">
        <f>VLOOKUP(D7764,'Detail Balok'!$C$10:$BJ$110,60,FALSE)</f>
        <v>100</v>
      </c>
      <c r="J7790">
        <f>(D7765-2*F$5)/1000</f>
        <v>0.12</v>
      </c>
      <c r="K7790" t="str">
        <v>+</v>
      </c>
      <c r="L7790">
        <f>IF(D7790=0,2*MAX(6*F7790,75),(D7790-1)*2*MAX(6*F7790,75))/1000</f>
        <v>0.15</v>
      </c>
      <c r="M7790" t="str">
        <v>=</v>
      </c>
      <c r="N7790">
        <f>J7790+L7790</f>
        <v>0.27</v>
      </c>
      <c r="T7790" t="str">
        <v>x</v>
      </c>
      <c r="U7790">
        <f>0.006165*F7790^2</f>
        <v>0</v>
      </c>
      <c r="V7790" t="str">
        <v>x</v>
      </c>
      <c r="W7790">
        <f>W7786</f>
        <v>10</v>
      </c>
      <c r="X7790" t="str">
        <v>x</v>
      </c>
      <c r="Y7790">
        <f>D7774</f>
        <v>2</v>
      </c>
      <c r="Z7790" t="str">
        <v>=</v>
      </c>
      <c r="AA7790">
        <f>N7790*U7790*W7790*Y7790</f>
        <v>0</v>
      </c>
    </row>
    <row r="7794">
      <c r="A7794" t="str">
        <f>A7764</f>
        <v>Lantai 2</v>
      </c>
      <c r="B7794">
        <f>B7764+1</f>
        <v>65</v>
      </c>
      <c r="C7794" t="str">
        <f>CONCATENATE(A7794," no. ",B7794)</f>
        <v>Lantai 2 no. 65</v>
      </c>
      <c r="D7794" t="str">
        <f>VLOOKUP(C7794,'Data Panjang Balok'!$C$9:$N$424,2,FALSE)</f>
        <v>B175-2</v>
      </c>
    </row>
    <row r="7795">
      <c r="C7795" t="str">
        <v>Dimensi</v>
      </c>
      <c r="D7795">
        <f>VLOOKUP(D7794,'Detail Balok'!$C$10:$AU$110,2,FALSE)</f>
        <v>170</v>
      </c>
      <c r="F7795" t="str">
        <v>x</v>
      </c>
      <c r="G7795">
        <f>VLOOKUP(D7794,'Detail Balok'!$C$10:$AU$110,3,FALSE)</f>
        <v>500</v>
      </c>
    </row>
    <row r="7796">
      <c r="C7796" t="str">
        <v>Panjang as ke as</v>
      </c>
      <c r="D7796">
        <f>VLOOKUP(C7794,'Data Panjang Balok'!$C$9:$N$424,4,FALSE)</f>
        <v>4715</v>
      </c>
    </row>
    <row r="7797">
      <c r="C7797" t="str">
        <v>Panjang netto</v>
      </c>
      <c r="D7797">
        <f>VLOOKUP(C7794,'Data Panjang Balok'!$C$9:$N$424,7,FALSE)</f>
        <v>4715</v>
      </c>
    </row>
    <row r="7798">
      <c r="C7798" t="str">
        <v>Kolom / balok kiri</v>
      </c>
      <c r="D7798">
        <f>VLOOKUP(C7794,'Data Panjang Balok'!$C$9:$N$424,9,FALSE)</f>
        <v>0</v>
      </c>
    </row>
    <row r="7799">
      <c r="C7799" t="str">
        <v>Kolom / balok kanan</v>
      </c>
      <c r="D7799">
        <f>VLOOKUP(C7794,'Data Panjang Balok'!$C$9:$N$424,10,FALSE)</f>
        <v>0</v>
      </c>
    </row>
    <row r="7800">
      <c r="C7800" t="str">
        <v>Jumlah</v>
      </c>
      <c r="D7800">
        <f>VLOOKUP(C7794,'Data Panjang Balok'!$C$9:$N$424,3,FALSE)</f>
        <v>1</v>
      </c>
    </row>
    <row r="7801">
      <c r="A7801" t="str">
        <f>A7794</f>
        <v>Lantai 2</v>
      </c>
      <c r="B7801">
        <f>B7794</f>
        <v>65</v>
      </c>
      <c r="C7801" t="str">
        <v>Tul Atas Tumpuan</v>
      </c>
      <c r="D7801">
        <f>VLOOKUP(D7794,'Detail Balok'!$C$10:$AU$110,4,FALSE)</f>
        <v>4</v>
      </c>
      <c r="E7801" t="str">
        <v>D</v>
      </c>
      <c r="F7801">
        <f>VLOOKUP(D7794,'Detail Balok'!$C$10:$AU$110,6,FALSE)</f>
        <v>13</v>
      </c>
      <c r="I7801" t="str">
        <v>(</v>
      </c>
      <c r="J7801">
        <f>+D7796/4/1000</f>
        <v>1.17875</v>
      </c>
      <c r="K7801" t="str">
        <v>+</v>
      </c>
      <c r="L7801">
        <f>MAX(VLOOKUP(F7801,N$6:P$15,3,FALSE)/1000,2/3*D7798/1000)+F$16*F7801/1000</f>
        <v>0.156</v>
      </c>
      <c r="M7801" t="str">
        <v>=</v>
      </c>
      <c r="N7801">
        <f>J7801+L7801</f>
        <v>1.3347499999999999</v>
      </c>
      <c r="O7801" t="str">
        <v>+</v>
      </c>
      <c r="P7801">
        <f>D7801-D7802</f>
        <v>2</v>
      </c>
      <c r="Q7801" t="str">
        <v>x</v>
      </c>
      <c r="R7801">
        <f>IF(P7801&gt;0,$F$18*F7801/1000,0)</f>
        <v>0.195</v>
      </c>
      <c r="S7801" t="str">
        <v>)</v>
      </c>
      <c r="T7801" t="str">
        <v>x</v>
      </c>
      <c r="U7801">
        <f>0.006165*F7801^2</f>
        <v>1.041885</v>
      </c>
      <c r="X7801" t="str">
        <v>x</v>
      </c>
      <c r="Y7801">
        <f>D7800</f>
        <v>1</v>
      </c>
      <c r="Z7801" t="str">
        <v>=</v>
      </c>
      <c r="AA7801">
        <f>IF(AA7804=0,(D7801*N7801+P7801*R7801)*U7801*Y7801,0)</f>
        <v>5.9689591649999985</v>
      </c>
    </row>
    <row r="7802">
      <c r="A7802" t="str">
        <f>A7794</f>
        <v>Lantai 2</v>
      </c>
      <c r="B7802">
        <f>B7794</f>
        <v>65</v>
      </c>
      <c r="C7802" t="str">
        <v>Tul Atas Lapangan</v>
      </c>
      <c r="D7802">
        <f>VLOOKUP(D7794,'Detail Balok'!$C$10:$AU$110,7,FALSE)</f>
        <v>2</v>
      </c>
      <c r="E7802" t="str">
        <v>D</v>
      </c>
      <c r="F7802">
        <f>VLOOKUP(D7794,'Detail Balok'!$C$10:$AU$110,9,FALSE)</f>
        <v>13</v>
      </c>
      <c r="I7802" t="str">
        <v>(</v>
      </c>
      <c r="J7802">
        <f>+D7796/2/1000</f>
        <v>2.3575</v>
      </c>
      <c r="K7802" t="str">
        <v>+</v>
      </c>
      <c r="M7802" t="str">
        <v>=</v>
      </c>
      <c r="N7802">
        <f>J7802+L7802</f>
        <v>2.3575</v>
      </c>
      <c r="O7802" t="str">
        <v>+</v>
      </c>
      <c r="P7802">
        <f>MAX(D7802-D7801,D7802-D7803)</f>
        <v>-2</v>
      </c>
      <c r="Q7802" t="str">
        <v>x</v>
      </c>
      <c r="R7802">
        <f>IF(P7802&gt;0,2*(1-2*$F$19-1/2)*D7797/1000,0)</f>
        <v>0</v>
      </c>
      <c r="S7802" t="str">
        <v>)</v>
      </c>
      <c r="T7802" t="str">
        <v>x</v>
      </c>
      <c r="U7802">
        <f>0.006165*F7802^2</f>
        <v>1.041885</v>
      </c>
      <c r="X7802" t="str">
        <v>x</v>
      </c>
      <c r="Y7802">
        <f>D7800</f>
        <v>1</v>
      </c>
      <c r="Z7802" t="str">
        <v>=</v>
      </c>
      <c r="AA7802">
        <f>IF(AA7804=0,(D7802*N7802+P7802*R7802)*U7802*Y7802,0)</f>
        <v>4.912487775</v>
      </c>
    </row>
    <row r="7803">
      <c r="A7803" t="str">
        <f>A7794</f>
        <v>Lantai 2</v>
      </c>
      <c r="B7803">
        <f>B7794</f>
        <v>65</v>
      </c>
      <c r="C7803" t="str">
        <v>Tul Atas Tumpuan</v>
      </c>
      <c r="D7803">
        <f>VLOOKUP(D7794,'Detail Balok'!$C$10:$AU$110,10,FALSE)</f>
        <v>4</v>
      </c>
      <c r="E7803" t="str">
        <v>D</v>
      </c>
      <c r="F7803">
        <f>VLOOKUP(D7794,'Detail Balok'!$C$10:$AU$110,12,FALSE)</f>
        <v>13</v>
      </c>
      <c r="I7803" t="str">
        <v>(</v>
      </c>
      <c r="J7803">
        <f>+D7796/4/1000</f>
        <v>1.17875</v>
      </c>
      <c r="K7803" t="str">
        <v>+</v>
      </c>
      <c r="L7803">
        <f>MAX(VLOOKUP(F7803,N$6:P$15,3,FALSE)/1000,2/3*D7798/1000)+F$16*F7803/1000</f>
        <v>0.156</v>
      </c>
      <c r="M7803" t="str">
        <v>=</v>
      </c>
      <c r="N7803">
        <f>J7803+L7803</f>
        <v>1.3347499999999999</v>
      </c>
      <c r="O7803" t="str">
        <v>+</v>
      </c>
      <c r="P7803">
        <f>D7803-D7802</f>
        <v>2</v>
      </c>
      <c r="Q7803" t="str">
        <v>x</v>
      </c>
      <c r="R7803">
        <f>IF(P7803&gt;0,$F$18*F7803/1000,0)</f>
        <v>0.195</v>
      </c>
      <c r="S7803" t="str">
        <v>)</v>
      </c>
      <c r="T7803" t="str">
        <v>x</v>
      </c>
      <c r="U7803">
        <f>0.006165*F7803^2</f>
        <v>1.041885</v>
      </c>
      <c r="X7803" t="str">
        <v>x</v>
      </c>
      <c r="Y7803">
        <f>D7800</f>
        <v>1</v>
      </c>
      <c r="Z7803" t="str">
        <v>=</v>
      </c>
      <c r="AA7803">
        <f>IF(AA7804=0,(D7803*N7803+P7803*R7803)*U7803*Y7803,0)</f>
        <v>5.9689591649999985</v>
      </c>
    </row>
    <row r="7804">
      <c r="A7804" t="str">
        <f>A7794</f>
        <v>Lantai 2</v>
      </c>
      <c r="B7804">
        <f>B7794</f>
        <v>65</v>
      </c>
      <c r="D7804">
        <f>IF(AND(D7801=D7802,D7802=D7803,D7801=D7803),D7801,0)</f>
        <v>0</v>
      </c>
      <c r="E7804" t="str">
        <v>D</v>
      </c>
      <c r="F7804">
        <f>IF(AND(F7801=F7802,F7801=F7803,F7802=F7803),F7801,0)</f>
        <v>13</v>
      </c>
      <c r="L7804" t="str">
        <v>Total panjang per balok</v>
      </c>
      <c r="M7804" t="str">
        <v>=</v>
      </c>
      <c r="N7804">
        <f>IF(AND(D7801=D7802,D7801=D7803,D7802=D7803,F7801=F7802,F7801=F7803,F7802=F7803),SUM(N7801:N7803),0)</f>
        <v>0</v>
      </c>
      <c r="O7804" t="str">
        <v>+</v>
      </c>
      <c r="P7804">
        <f>IF(N7804&gt;12,ROUNDDOWN(N7804/12,0),0)</f>
        <v>0</v>
      </c>
      <c r="Q7804" t="str">
        <v>x</v>
      </c>
      <c r="R7804">
        <f>IF(P7804&gt;0,MAX(VLOOKUP(F7804,$D$6:$G$15,3,FALSE),600),0)/1000</f>
        <v>0</v>
      </c>
      <c r="T7804" t="str">
        <v>x</v>
      </c>
      <c r="U7804">
        <f>U7803</f>
        <v>1.041885</v>
      </c>
      <c r="V7804" t="str">
        <v>x</v>
      </c>
      <c r="W7804">
        <f>D7804</f>
        <v>0</v>
      </c>
      <c r="X7804" t="str">
        <v>x</v>
      </c>
      <c r="Y7804">
        <f>Y7803</f>
        <v>1</v>
      </c>
      <c r="Z7804" t="str">
        <v>=</v>
      </c>
      <c r="AA7804">
        <f>(N7804+P7804*R7804/1000)*U7804*W7804*Y7804</f>
        <v>0</v>
      </c>
    </row>
    <row r="7806">
      <c r="A7806" t="str">
        <f>A7794</f>
        <v>Lantai 2</v>
      </c>
      <c r="B7806">
        <f>B7794</f>
        <v>65</v>
      </c>
      <c r="C7806" t="str">
        <v>Tul Peminggang</v>
      </c>
      <c r="D7806">
        <f>VLOOKUP(D7794,'Detail Balok'!$C$10:$AU$110,13,FALSE)</f>
        <v>2</v>
      </c>
      <c r="E7806" t="str">
        <v>D</v>
      </c>
      <c r="F7806">
        <f>VLOOKUP(D7794,'Detail Balok'!$C$10:$AU$110,15,FALSE)</f>
        <v>10</v>
      </c>
      <c r="J7806">
        <f>+D7796/1000</f>
        <v>4.715</v>
      </c>
      <c r="K7806" t="str">
        <v>+</v>
      </c>
      <c r="L7806">
        <f>2*$F$16*F7806/1000</f>
        <v>0.24</v>
      </c>
      <c r="M7806" t="str">
        <v>=</v>
      </c>
      <c r="N7806">
        <f>J7806+L7806</f>
        <v>4.955</v>
      </c>
      <c r="O7806" t="str">
        <v>+</v>
      </c>
      <c r="P7806">
        <f>IF(N7806&gt;12,ROUNDDOWN(N7806/12,0),0)</f>
        <v>0</v>
      </c>
      <c r="Q7806" t="str">
        <v>x</v>
      </c>
      <c r="R7806">
        <f>IF(P7806&gt;0,MAX(VLOOKUP(F7806,$D$6:$G$15,3,FALSE),600),0)/1000</f>
        <v>0</v>
      </c>
      <c r="T7806" t="str">
        <v>x</v>
      </c>
      <c r="U7806">
        <f>0.006165*F7806^2</f>
        <v>0.6165</v>
      </c>
      <c r="V7806" t="str">
        <v>x</v>
      </c>
      <c r="W7806">
        <f>+D7806</f>
        <v>2</v>
      </c>
      <c r="X7806" t="str">
        <v>x</v>
      </c>
      <c r="Y7806">
        <f>D7800</f>
        <v>1</v>
      </c>
      <c r="Z7806" t="str">
        <v>=</v>
      </c>
      <c r="AA7806">
        <f>(N7806+P7806*R7806/1000)*U7806*W7806*Y7806</f>
        <v>6.109515000000001</v>
      </c>
    </row>
    <row r="7809">
      <c r="A7809" t="str">
        <f>A7794</f>
        <v>Lantai 2</v>
      </c>
      <c r="B7809">
        <f>B7794</f>
        <v>65</v>
      </c>
      <c r="C7809" t="str">
        <v>Tul Bawah Tumpuan</v>
      </c>
      <c r="D7809">
        <f>VLOOKUP(D7794,'Detail Balok'!$C$10:$AU$110,22,FALSE)</f>
        <v>2</v>
      </c>
      <c r="E7809" t="str">
        <v>D</v>
      </c>
      <c r="F7809">
        <f>VLOOKUP(D7794,'Detail Balok'!$C$10:$AU$110,24,FALSE)</f>
        <v>13</v>
      </c>
      <c r="I7809" t="str">
        <v>(</v>
      </c>
      <c r="J7809">
        <f>+J7801</f>
        <v>1.17875</v>
      </c>
      <c r="K7809" t="str">
        <v>+</v>
      </c>
      <c r="L7809">
        <f>MAX(VLOOKUP(F7809,N$6:P$15,3,FALSE)/1000,2/3*D7799/1000)+F$16*F7809/1000</f>
        <v>0.156</v>
      </c>
      <c r="M7809" t="str">
        <v>=</v>
      </c>
      <c r="N7809">
        <f>J7809+L7809</f>
        <v>1.3347499999999999</v>
      </c>
      <c r="O7809" t="str">
        <v>+</v>
      </c>
      <c r="P7809">
        <f>D7809-D7810</f>
        <v>-3</v>
      </c>
      <c r="Q7809" t="str">
        <v>x</v>
      </c>
      <c r="R7809">
        <f>IF(P7809&gt;0,$F$18*F7809/1000,0)</f>
        <v>0</v>
      </c>
      <c r="S7809" t="str">
        <v>)</v>
      </c>
      <c r="T7809" t="str">
        <v>x</v>
      </c>
      <c r="U7809">
        <f>0.006165*F7809^2</f>
        <v>1.041885</v>
      </c>
      <c r="X7809" t="str">
        <v>x</v>
      </c>
      <c r="Y7809">
        <f>D7800</f>
        <v>1</v>
      </c>
      <c r="Z7809" t="str">
        <v>=</v>
      </c>
      <c r="AA7809">
        <f>IF(AA7812=0,(D7809*N7809+P7809*R7809)*U7809*Y7809,0)</f>
        <v>2.7813120074999995</v>
      </c>
    </row>
    <row r="7810">
      <c r="A7810" t="str">
        <f>A7794</f>
        <v>Lantai 2</v>
      </c>
      <c r="B7810">
        <f>B7794</f>
        <v>65</v>
      </c>
      <c r="C7810" t="str">
        <v>Tul Bawah Lapangan</v>
      </c>
      <c r="D7810">
        <f>VLOOKUP(D7794,'Detail Balok'!$C$10:$AU$110,25,FALSE)</f>
        <v>5</v>
      </c>
      <c r="E7810" t="str">
        <v>D</v>
      </c>
      <c r="F7810">
        <f>VLOOKUP(D7794,'Detail Balok'!$C$10:$AU$110,27,FALSE)</f>
        <v>13</v>
      </c>
      <c r="I7810" t="str">
        <v>(</v>
      </c>
      <c r="J7810">
        <f>+J7802</f>
        <v>2.3575</v>
      </c>
      <c r="K7810" t="str">
        <v>+</v>
      </c>
      <c r="M7810" t="str">
        <v>=</v>
      </c>
      <c r="N7810">
        <f>J7810+L7810</f>
        <v>2.3575</v>
      </c>
      <c r="O7810" t="str">
        <v>+</v>
      </c>
      <c r="P7810">
        <f>MAX(D7810-D7809,D7810-D7811)</f>
        <v>3</v>
      </c>
      <c r="Q7810" t="str">
        <v>x</v>
      </c>
      <c r="R7810">
        <f>IF(P7810&gt;0,2*(1-2*$F$19-1/2)*D7797/1000,0)</f>
        <v>0.9429999999999997</v>
      </c>
      <c r="S7810" t="str">
        <v>)</v>
      </c>
      <c r="T7810" t="str">
        <v>x</v>
      </c>
      <c r="U7810">
        <f>0.006165*F7810^2</f>
        <v>1.041885</v>
      </c>
      <c r="X7810" t="str">
        <v>x</v>
      </c>
      <c r="Y7810">
        <f>D7800</f>
        <v>1</v>
      </c>
      <c r="Z7810" t="str">
        <v>=</v>
      </c>
      <c r="AA7810">
        <f>IF(AA7812=0,(D7810*N7810+P7810*R7810)*U7810*Y7810,0)</f>
        <v>15.228712102499998</v>
      </c>
    </row>
    <row r="7811">
      <c r="A7811" t="str">
        <f>A7794</f>
        <v>Lantai 2</v>
      </c>
      <c r="B7811">
        <f>B7794</f>
        <v>65</v>
      </c>
      <c r="C7811" t="str">
        <v>Tul Bawah Tumpuan</v>
      </c>
      <c r="D7811">
        <f>VLOOKUP(D7794,'Detail Balok'!$C$10:$AU$110,28,FALSE)</f>
        <v>2</v>
      </c>
      <c r="E7811" t="str">
        <v>D</v>
      </c>
      <c r="F7811">
        <f>VLOOKUP(D7794,'Detail Balok'!$C$10:$AU$110,30,FALSE)</f>
        <v>13</v>
      </c>
      <c r="I7811" t="str">
        <v>(</v>
      </c>
      <c r="J7811">
        <f>+J7803</f>
        <v>1.17875</v>
      </c>
      <c r="K7811" t="str">
        <v>+</v>
      </c>
      <c r="L7811">
        <f>MAX(VLOOKUP(F7811,N$6:P$15,3,FALSE)/1000,2/3*D7799/1000)+F$16*F7811/1000</f>
        <v>0.156</v>
      </c>
      <c r="M7811" t="str">
        <v>=</v>
      </c>
      <c r="N7811">
        <f>J7811+L7811</f>
        <v>1.3347499999999999</v>
      </c>
      <c r="O7811" t="str">
        <v>+</v>
      </c>
      <c r="P7811">
        <f>D7811-D7810</f>
        <v>-3</v>
      </c>
      <c r="Q7811" t="str">
        <v>x</v>
      </c>
      <c r="R7811">
        <f>IF(P7811&gt;0,$F$18*F7811/1000,0)</f>
        <v>0</v>
      </c>
      <c r="S7811" t="str">
        <v>)</v>
      </c>
      <c r="T7811" t="str">
        <v>x</v>
      </c>
      <c r="U7811">
        <f>0.006165*F7811^2</f>
        <v>1.041885</v>
      </c>
      <c r="X7811" t="str">
        <v>x</v>
      </c>
      <c r="Y7811">
        <f>D7800</f>
        <v>1</v>
      </c>
      <c r="Z7811" t="str">
        <v>=</v>
      </c>
      <c r="AA7811">
        <f>IF(AA7812=0,(D7811*N7811+P7811*R7811)*U7811*Y7811,0)</f>
        <v>2.7813120074999995</v>
      </c>
    </row>
    <row r="7812">
      <c r="A7812" t="str">
        <f>A7794</f>
        <v>Lantai 2</v>
      </c>
      <c r="B7812">
        <f>B7794</f>
        <v>65</v>
      </c>
      <c r="D7812">
        <f>IF(AND(D7809=D7810,D7810=D7811,D7809=D7811),D7809,0)</f>
        <v>0</v>
      </c>
      <c r="E7812" t="str">
        <v>D</v>
      </c>
      <c r="F7812">
        <f>IF(AND(F7809=F7810,F7809=F7811,F7810=F7811),F7809,0)</f>
        <v>13</v>
      </c>
      <c r="L7812" t="str">
        <v>Total panjang per balok</v>
      </c>
      <c r="M7812" t="str">
        <v>=</v>
      </c>
      <c r="N7812">
        <f>IF(AND(D7809=D7810,D7809=D7811,D7810=D7811,F7809=F7810,F7809=F7811,F7810=F7811),SUM(N7809:N7811),0)</f>
        <v>0</v>
      </c>
      <c r="O7812" t="str">
        <v>+</v>
      </c>
      <c r="P7812">
        <f>IF(N7812&gt;12,ROUNDDOWN(N7812/12,0),0)</f>
        <v>0</v>
      </c>
      <c r="Q7812" t="str">
        <v>x</v>
      </c>
      <c r="R7812">
        <f>IF(P7812&gt;0,MAX(VLOOKUP(F7812,$D$6:$G$15,3,FALSE),600),0)/1000</f>
        <v>0</v>
      </c>
      <c r="T7812" t="str">
        <v>x</v>
      </c>
      <c r="U7812">
        <f>U7811</f>
        <v>1.041885</v>
      </c>
      <c r="V7812" t="str">
        <v>x</v>
      </c>
      <c r="W7812">
        <f>D7812</f>
        <v>0</v>
      </c>
      <c r="X7812" t="str">
        <v>x</v>
      </c>
      <c r="Y7812">
        <f>Y7811</f>
        <v>1</v>
      </c>
      <c r="Z7812" t="str">
        <v>=</v>
      </c>
      <c r="AA7812">
        <f>(N7812+P7812*R7812/1000)*U7812*W7812*Y7812</f>
        <v>0</v>
      </c>
    </row>
    <row r="7814">
      <c r="A7814" t="str">
        <f>A7794</f>
        <v>Lantai 2</v>
      </c>
      <c r="B7814">
        <f>B7794</f>
        <v>65</v>
      </c>
      <c r="C7814" t="str">
        <v>Sengkang Tumpuan</v>
      </c>
      <c r="D7814">
        <f>VLOOKUP(D7794,'Detail Balok'!$C$10:$AU$110,31,FALSE)</f>
        <v>0</v>
      </c>
      <c r="E7814" t="str">
        <v>D</v>
      </c>
      <c r="F7814">
        <f>VLOOKUP(D7794,'Detail Balok'!$C$10:$AU$110,33,FALSE)</f>
        <v>10</v>
      </c>
      <c r="G7814" t="str">
        <v>-</v>
      </c>
      <c r="H7814">
        <f>VLOOKUP(D7794,'Detail Balok'!$C$10:$AU$110,35,FALSE)</f>
        <v>80</v>
      </c>
      <c r="J7814">
        <f>(IF(D7814=0,(2*(D7795+G7795))-(F$5*8),IF(D7814=3,(2*(D7795+G7795))-(F$5*8)+(G7795-2*F$5),IF(D7814=4,(2*(D7795+G7795))-(F$5*8)+2*(G7795-2*F$5)))))/1000</f>
        <v>1.02</v>
      </c>
      <c r="K7814" t="str">
        <v>+</v>
      </c>
      <c r="L7814">
        <f>IF(D7814=0,2*MAX(6*F7814,75),(D7814-1)*2*MAX(6*F7814,75))/1000</f>
        <v>0.15</v>
      </c>
      <c r="M7814" t="str">
        <v>=</v>
      </c>
      <c r="N7814">
        <f>J7814+L7814</f>
        <v>1.17</v>
      </c>
      <c r="T7814" t="str">
        <v>x</v>
      </c>
      <c r="U7814">
        <f>0.006165*F7814^2</f>
        <v>0.6165</v>
      </c>
      <c r="V7814" t="str">
        <v>x</v>
      </c>
      <c r="W7814">
        <f>IF(D7797&gt;4*G7795,ROUND(MAX(D7797/4,2*G7795)/H7814,0)+1,ROUND(D7797/H7814,0)+1)</f>
        <v>16</v>
      </c>
      <c r="X7814" t="str">
        <v>x</v>
      </c>
      <c r="Y7814">
        <f>D7800</f>
        <v>1</v>
      </c>
      <c r="Z7814" t="str">
        <v>=</v>
      </c>
      <c r="AA7814">
        <f>N7814*U7814*W7814*Y7814</f>
        <v>11.54088</v>
      </c>
    </row>
    <row r="7815">
      <c r="A7815" t="str">
        <f>A7794</f>
        <v>Lantai 2</v>
      </c>
      <c r="B7815">
        <f>B7794</f>
        <v>65</v>
      </c>
      <c r="C7815" t="str">
        <v>Sengkang Lapangan</v>
      </c>
      <c r="D7815">
        <f>VLOOKUP(D7794,'Detail Balok'!$C$10:$AU$110,36,FALSE)</f>
        <v>0</v>
      </c>
      <c r="E7815" t="str">
        <v>D</v>
      </c>
      <c r="F7815">
        <f>VLOOKUP(D7794,'Detail Balok'!$C$10:$AU$110,38,FALSE)</f>
        <v>10</v>
      </c>
      <c r="G7815" t="str">
        <v>-</v>
      </c>
      <c r="H7815">
        <f>VLOOKUP(D7794,'Detail Balok'!$C$10:$AU$110,40,FALSE)</f>
        <v>200</v>
      </c>
      <c r="J7815">
        <f>(IF(D7815=0,(2*(D7795+G7795))-(F$5*8),IF(D7815=3,(2*(D7795+G7795))-(F$5*8)+(G7795-2*F$5),IF(D7815=4,(2*(D7795+G7795))-(F$5*8)+2*(G7795-2*F$5)))))/1000</f>
        <v>1.02</v>
      </c>
      <c r="K7815" t="str">
        <v>+</v>
      </c>
      <c r="L7815">
        <f>IF(D7815=0,2*MAX(6*F7815,75),(D7815-1)*2*MAX(6*F7815,75))/1000</f>
        <v>0.15</v>
      </c>
      <c r="M7815" t="str">
        <v>=</v>
      </c>
      <c r="N7815">
        <f>J7815+L7815</f>
        <v>1.17</v>
      </c>
      <c r="T7815" t="str">
        <v>x</v>
      </c>
      <c r="U7815">
        <f>0.006165*F7815^2</f>
        <v>0.6165</v>
      </c>
      <c r="V7815" t="str">
        <v>x</v>
      </c>
      <c r="W7815">
        <f>IF(D7797-MAX(D7797/4,2*G7795)*2&gt;0,ROUND((D7797-MAX(D7797/4,2*G7795)*2)/H7815,0),0)</f>
        <v>12</v>
      </c>
      <c r="X7815" t="str">
        <v>x</v>
      </c>
      <c r="Y7815">
        <f>D7800</f>
        <v>1</v>
      </c>
      <c r="Z7815" t="str">
        <v>=</v>
      </c>
      <c r="AA7815">
        <f>N7815*U7815*W7815*Y7815</f>
        <v>8.65566</v>
      </c>
    </row>
    <row r="7816">
      <c r="A7816" t="str">
        <f>A7794</f>
        <v>Lantai 2</v>
      </c>
      <c r="B7816">
        <f>B7794</f>
        <v>65</v>
      </c>
      <c r="C7816" t="str">
        <v>Sengkang Tumpuan</v>
      </c>
      <c r="D7816">
        <f>VLOOKUP(D7794,'Detail Balok'!$C$10:$AU$110,41,FALSE)</f>
        <v>0</v>
      </c>
      <c r="E7816" t="str">
        <v>D</v>
      </c>
      <c r="F7816">
        <f>VLOOKUP(D7794,'Detail Balok'!$C$10:$AU$110,43,FALSE)</f>
        <v>10</v>
      </c>
      <c r="G7816" t="str">
        <v>-</v>
      </c>
      <c r="H7816">
        <f>VLOOKUP(D7794,'Detail Balok'!$C$10:$AU$110,45,FALSE)</f>
        <v>80</v>
      </c>
      <c r="J7816">
        <f>(IF(D7816=0,(2*(D7795+G7795))-(F$5*8),IF(D7816=3,(2*(D7795+G7795))-(F$5*8)+(G7795-2*F$5),IF(D7816=4,(2*(D7795+G7795))-(F$5*8)+2*(G7795-2*F$5)))))/1000</f>
        <v>1.02</v>
      </c>
      <c r="K7816" t="str">
        <v>+</v>
      </c>
      <c r="L7816">
        <f>IF(D7816=0,2*MAX(6*F7816,75),(D7816-1)*2*MAX(6*F7816,75))/1000</f>
        <v>0.15</v>
      </c>
      <c r="M7816" t="str">
        <v>=</v>
      </c>
      <c r="N7816">
        <f>J7816+L7816</f>
        <v>1.17</v>
      </c>
      <c r="T7816" t="str">
        <v>x</v>
      </c>
      <c r="U7816">
        <f>0.006165*F7816^2</f>
        <v>0.6165</v>
      </c>
      <c r="V7816" t="str">
        <v>x</v>
      </c>
      <c r="W7816">
        <f>IF(D7797&gt;4*G7795,ROUND(MAX(D7797/4,2*G7795)/H7816,0)+1,0)</f>
        <v>16</v>
      </c>
      <c r="X7816" t="str">
        <v>x</v>
      </c>
      <c r="Y7816">
        <f>D7800</f>
        <v>1</v>
      </c>
      <c r="Z7816" t="str">
        <v>=</v>
      </c>
      <c r="AA7816">
        <f>N7816*U7816*W7816*Y7816</f>
        <v>11.54088</v>
      </c>
    </row>
    <row r="7818">
      <c r="A7818" t="str">
        <f>A7794</f>
        <v>Lantai 2</v>
      </c>
      <c r="B7818">
        <f>B7794</f>
        <v>65</v>
      </c>
      <c r="C7818" t="str">
        <v>Kait Horizontal Tump.</v>
      </c>
      <c r="D7818">
        <f>VLOOKUP(D7794,'Detail Balok'!$C$10:$BJ$110,46,FALSE)</f>
        <v>0</v>
      </c>
      <c r="E7818" t="str">
        <v>D</v>
      </c>
      <c r="F7818">
        <f>VLOOKUP(D7794,'Detail Balok'!$C$10:$BJ$110,48,FALSE)</f>
        <v>0</v>
      </c>
      <c r="G7818" t="str">
        <v>-</v>
      </c>
      <c r="H7818">
        <f>VLOOKUP(D7794,'Detail Balok'!$C$10:$BJ$110,50,FALSE)</f>
        <v>100</v>
      </c>
      <c r="J7818">
        <f>(D7795-2*F$5)/1000</f>
        <v>0.09</v>
      </c>
      <c r="K7818" t="str">
        <v>+</v>
      </c>
      <c r="L7818">
        <f>IF(D7818=0,2*MAX(6*F7818,75),(D7818-1)*2*MAX(6*F7818,75))/1000</f>
        <v>0.15</v>
      </c>
      <c r="M7818" t="str">
        <v>=</v>
      </c>
      <c r="N7818">
        <f>J7818+L7818</f>
        <v>0.24</v>
      </c>
      <c r="T7818" t="str">
        <v>x</v>
      </c>
      <c r="U7818">
        <f>0.006165*F7818^2</f>
        <v>0</v>
      </c>
      <c r="V7818" t="str">
        <v>x</v>
      </c>
      <c r="W7818">
        <f>W7814</f>
        <v>16</v>
      </c>
      <c r="X7818" t="str">
        <v>x</v>
      </c>
      <c r="Y7818">
        <f>D7804</f>
        <v>0</v>
      </c>
      <c r="Z7818" t="str">
        <v>=</v>
      </c>
      <c r="AA7818">
        <f>N7818*U7818*W7818*Y7818</f>
        <v>0</v>
      </c>
    </row>
    <row r="7819">
      <c r="A7819" t="str">
        <f>A7794</f>
        <v>Lantai 2</v>
      </c>
      <c r="B7819">
        <f>B7794</f>
        <v>65</v>
      </c>
      <c r="C7819" t="str">
        <v>Kait Horizontal Lap.</v>
      </c>
      <c r="D7819">
        <f>VLOOKUP(D7794,'Detail Balok'!$C$10:$BJ$110,51,FALSE)</f>
        <v>0</v>
      </c>
      <c r="E7819" t="str">
        <v>D</v>
      </c>
      <c r="F7819">
        <f>VLOOKUP(D7794,'Detail Balok'!$C$10:$BJ$110,53,FALSE)</f>
        <v>0</v>
      </c>
      <c r="G7819" t="str">
        <v>-</v>
      </c>
      <c r="H7819">
        <f>VLOOKUP(D7794,'Detail Balok'!$C$10:$BJ$110,55,FALSE)</f>
        <v>100</v>
      </c>
      <c r="J7819">
        <f>(D7795-2*F$5)/1000</f>
        <v>0.09</v>
      </c>
      <c r="K7819" t="str">
        <v>+</v>
      </c>
      <c r="L7819">
        <f>IF(D7819=0,2*MAX(6*F7819,75),(D7819-1)*2*MAX(6*F7819,75))/1000</f>
        <v>0.15</v>
      </c>
      <c r="M7819" t="str">
        <v>=</v>
      </c>
      <c r="N7819">
        <f>J7819+L7819</f>
        <v>0.24</v>
      </c>
      <c r="T7819" t="str">
        <v>x</v>
      </c>
      <c r="U7819">
        <f>0.006165*F7819^2</f>
        <v>0</v>
      </c>
      <c r="V7819" t="str">
        <v>x</v>
      </c>
      <c r="W7819">
        <f>W7815</f>
        <v>12</v>
      </c>
      <c r="X7819" t="str">
        <v>x</v>
      </c>
      <c r="Y7819">
        <f>D7804</f>
        <v>0</v>
      </c>
      <c r="Z7819" t="str">
        <v>=</v>
      </c>
      <c r="AA7819">
        <f>N7819*U7819*W7819*Y7819</f>
        <v>0</v>
      </c>
    </row>
    <row r="7820">
      <c r="A7820" t="str">
        <f>A7794</f>
        <v>Lantai 2</v>
      </c>
      <c r="B7820">
        <f>B7794</f>
        <v>65</v>
      </c>
      <c r="C7820" t="str">
        <v>Kait Horizontal Tump.</v>
      </c>
      <c r="D7820">
        <f>VLOOKUP(D7794,'Detail Balok'!$C$10:$BJ$110,56,FALSE)</f>
        <v>0</v>
      </c>
      <c r="E7820" t="str">
        <v>D</v>
      </c>
      <c r="F7820">
        <f>VLOOKUP(D7794,'Detail Balok'!$C$10:$BJ$110,58,FALSE)</f>
        <v>0</v>
      </c>
      <c r="G7820" t="str">
        <v>-</v>
      </c>
      <c r="H7820">
        <f>VLOOKUP(D7794,'Detail Balok'!$C$10:$BJ$110,60,FALSE)</f>
        <v>100</v>
      </c>
      <c r="J7820">
        <f>(D7795-2*F$5)/1000</f>
        <v>0.09</v>
      </c>
      <c r="K7820" t="str">
        <v>+</v>
      </c>
      <c r="L7820">
        <f>IF(D7820=0,2*MAX(6*F7820,75),(D7820-1)*2*MAX(6*F7820,75))/1000</f>
        <v>0.15</v>
      </c>
      <c r="M7820" t="str">
        <v>=</v>
      </c>
      <c r="N7820">
        <f>J7820+L7820</f>
        <v>0.24</v>
      </c>
      <c r="T7820" t="str">
        <v>x</v>
      </c>
      <c r="U7820">
        <f>0.006165*F7820^2</f>
        <v>0</v>
      </c>
      <c r="V7820" t="str">
        <v>x</v>
      </c>
      <c r="W7820">
        <f>W7816</f>
        <v>16</v>
      </c>
      <c r="X7820" t="str">
        <v>x</v>
      </c>
      <c r="Y7820">
        <f>D7804</f>
        <v>0</v>
      </c>
      <c r="Z7820" t="str">
        <v>=</v>
      </c>
      <c r="AA7820">
        <f>N7820*U7820*W7820*Y7820</f>
        <v>0</v>
      </c>
    </row>
    <row r="7824">
      <c r="A7824" t="str">
        <f>A7794</f>
        <v>Lantai 2</v>
      </c>
      <c r="B7824">
        <f>B7794+1</f>
        <v>66</v>
      </c>
      <c r="C7824" t="str">
        <f>CONCATENATE(A7824," no. ",B7824)</f>
        <v>Lantai 2 no. 66</v>
      </c>
      <c r="D7824" t="str">
        <f>VLOOKUP(C7824,'Data Panjang Balok'!$C$9:$N$424,2,FALSE)</f>
        <v>B175-2</v>
      </c>
    </row>
    <row r="7825">
      <c r="C7825" t="str">
        <v>Dimensi</v>
      </c>
      <c r="D7825">
        <f>VLOOKUP(D7824,'Detail Balok'!$C$10:$AU$110,2,FALSE)</f>
        <v>170</v>
      </c>
      <c r="F7825" t="str">
        <v>x</v>
      </c>
      <c r="G7825">
        <f>VLOOKUP(D7824,'Detail Balok'!$C$10:$AU$110,3,FALSE)</f>
        <v>500</v>
      </c>
    </row>
    <row r="7826">
      <c r="C7826" t="str">
        <v>Panjang as ke as</v>
      </c>
      <c r="D7826">
        <f>VLOOKUP(C7824,'Data Panjang Balok'!$C$9:$N$424,4,FALSE)</f>
        <v>5285</v>
      </c>
    </row>
    <row r="7827">
      <c r="C7827" t="str">
        <v>Panjang netto</v>
      </c>
      <c r="D7827">
        <f>VLOOKUP(C7824,'Data Panjang Balok'!$C$9:$N$424,7,FALSE)</f>
        <v>5285</v>
      </c>
    </row>
    <row r="7828">
      <c r="C7828" t="str">
        <v>Kolom / balok kiri</v>
      </c>
      <c r="D7828">
        <f>VLOOKUP(C7824,'Data Panjang Balok'!$C$9:$N$424,9,FALSE)</f>
        <v>0</v>
      </c>
    </row>
    <row r="7829">
      <c r="C7829" t="str">
        <v>Kolom / balok kanan</v>
      </c>
      <c r="D7829">
        <f>VLOOKUP(C7824,'Data Panjang Balok'!$C$9:$N$424,10,FALSE)</f>
        <v>0</v>
      </c>
    </row>
    <row r="7830">
      <c r="C7830" t="str">
        <v>Jumlah</v>
      </c>
      <c r="D7830">
        <f>VLOOKUP(C7824,'Data Panjang Balok'!$C$9:$N$424,3,FALSE)</f>
        <v>1</v>
      </c>
    </row>
    <row r="7831">
      <c r="A7831" t="str">
        <f>A7824</f>
        <v>Lantai 2</v>
      </c>
      <c r="B7831">
        <f>B7824</f>
        <v>66</v>
      </c>
      <c r="C7831" t="str">
        <v>Tul Atas Tumpuan</v>
      </c>
      <c r="D7831">
        <f>VLOOKUP(D7824,'Detail Balok'!$C$10:$AU$110,4,FALSE)</f>
        <v>4</v>
      </c>
      <c r="E7831" t="str">
        <v>D</v>
      </c>
      <c r="F7831">
        <f>VLOOKUP(D7824,'Detail Balok'!$C$10:$AU$110,6,FALSE)</f>
        <v>13</v>
      </c>
      <c r="I7831" t="str">
        <v>(</v>
      </c>
      <c r="J7831">
        <f>+D7826/4/1000</f>
        <v>1.32125</v>
      </c>
      <c r="K7831" t="str">
        <v>+</v>
      </c>
      <c r="L7831">
        <f>MAX(VLOOKUP(F7831,N$6:P$15,3,FALSE)/1000,2/3*D7828/1000)+F$16*F7831/1000</f>
        <v>0.156</v>
      </c>
      <c r="M7831" t="str">
        <v>=</v>
      </c>
      <c r="N7831">
        <f>J7831+L7831</f>
        <v>1.47725</v>
      </c>
      <c r="O7831" t="str">
        <v>+</v>
      </c>
      <c r="P7831">
        <f>D7831-D7832</f>
        <v>2</v>
      </c>
      <c r="Q7831" t="str">
        <v>x</v>
      </c>
      <c r="R7831">
        <f>IF(P7831&gt;0,$F$18*F7831/1000,0)</f>
        <v>0.195</v>
      </c>
      <c r="S7831" t="str">
        <v>)</v>
      </c>
      <c r="T7831" t="str">
        <v>x</v>
      </c>
      <c r="U7831">
        <f>0.006165*F7831^2</f>
        <v>1.041885</v>
      </c>
      <c r="X7831" t="str">
        <v>x</v>
      </c>
      <c r="Y7831">
        <f>D7830</f>
        <v>1</v>
      </c>
      <c r="Z7831" t="str">
        <v>=</v>
      </c>
      <c r="AA7831">
        <f>IF(AA7834=0,(D7831*N7831+P7831*R7831)*U7831*Y7831,0)</f>
        <v>6.562833614999999</v>
      </c>
    </row>
    <row r="7832">
      <c r="A7832" t="str">
        <f>A7824</f>
        <v>Lantai 2</v>
      </c>
      <c r="B7832">
        <f>B7824</f>
        <v>66</v>
      </c>
      <c r="C7832" t="str">
        <v>Tul Atas Lapangan</v>
      </c>
      <c r="D7832">
        <f>VLOOKUP(D7824,'Detail Balok'!$C$10:$AU$110,7,FALSE)</f>
        <v>2</v>
      </c>
      <c r="E7832" t="str">
        <v>D</v>
      </c>
      <c r="F7832">
        <f>VLOOKUP(D7824,'Detail Balok'!$C$10:$AU$110,9,FALSE)</f>
        <v>13</v>
      </c>
      <c r="I7832" t="str">
        <v>(</v>
      </c>
      <c r="J7832">
        <f>+D7826/2/1000</f>
        <v>2.6425</v>
      </c>
      <c r="K7832" t="str">
        <v>+</v>
      </c>
      <c r="M7832" t="str">
        <v>=</v>
      </c>
      <c r="N7832">
        <f>J7832+L7832</f>
        <v>2.6425</v>
      </c>
      <c r="O7832" t="str">
        <v>+</v>
      </c>
      <c r="P7832">
        <f>MAX(D7832-D7831,D7832-D7833)</f>
        <v>-2</v>
      </c>
      <c r="Q7832" t="str">
        <v>x</v>
      </c>
      <c r="R7832">
        <f>IF(P7832&gt;0,2*(1-2*$F$19-1/2)*D7827/1000,0)</f>
        <v>0</v>
      </c>
      <c r="S7832" t="str">
        <v>)</v>
      </c>
      <c r="T7832" t="str">
        <v>x</v>
      </c>
      <c r="U7832">
        <f>0.006165*F7832^2</f>
        <v>1.041885</v>
      </c>
      <c r="X7832" t="str">
        <v>x</v>
      </c>
      <c r="Y7832">
        <f>D7830</f>
        <v>1</v>
      </c>
      <c r="Z7832" t="str">
        <v>=</v>
      </c>
      <c r="AA7832">
        <f>IF(AA7834=0,(D7832*N7832+P7832*R7832)*U7832*Y7832,0)</f>
        <v>5.506362225</v>
      </c>
    </row>
    <row r="7833">
      <c r="A7833" t="str">
        <f>A7824</f>
        <v>Lantai 2</v>
      </c>
      <c r="B7833">
        <f>B7824</f>
        <v>66</v>
      </c>
      <c r="C7833" t="str">
        <v>Tul Atas Tumpuan</v>
      </c>
      <c r="D7833">
        <f>VLOOKUP(D7824,'Detail Balok'!$C$10:$AU$110,10,FALSE)</f>
        <v>4</v>
      </c>
      <c r="E7833" t="str">
        <v>D</v>
      </c>
      <c r="F7833">
        <f>VLOOKUP(D7824,'Detail Balok'!$C$10:$AU$110,12,FALSE)</f>
        <v>13</v>
      </c>
      <c r="I7833" t="str">
        <v>(</v>
      </c>
      <c r="J7833">
        <f>+D7826/4/1000</f>
        <v>1.32125</v>
      </c>
      <c r="K7833" t="str">
        <v>+</v>
      </c>
      <c r="L7833">
        <f>MAX(VLOOKUP(F7833,N$6:P$15,3,FALSE)/1000,2/3*D7828/1000)+F$16*F7833/1000</f>
        <v>0.156</v>
      </c>
      <c r="M7833" t="str">
        <v>=</v>
      </c>
      <c r="N7833">
        <f>J7833+L7833</f>
        <v>1.47725</v>
      </c>
      <c r="O7833" t="str">
        <v>+</v>
      </c>
      <c r="P7833">
        <f>D7833-D7832</f>
        <v>2</v>
      </c>
      <c r="Q7833" t="str">
        <v>x</v>
      </c>
      <c r="R7833">
        <f>IF(P7833&gt;0,$F$18*F7833/1000,0)</f>
        <v>0.195</v>
      </c>
      <c r="S7833" t="str">
        <v>)</v>
      </c>
      <c r="T7833" t="str">
        <v>x</v>
      </c>
      <c r="U7833">
        <f>0.006165*F7833^2</f>
        <v>1.041885</v>
      </c>
      <c r="X7833" t="str">
        <v>x</v>
      </c>
      <c r="Y7833">
        <f>D7830</f>
        <v>1</v>
      </c>
      <c r="Z7833" t="str">
        <v>=</v>
      </c>
      <c r="AA7833">
        <f>IF(AA7834=0,(D7833*N7833+P7833*R7833)*U7833*Y7833,0)</f>
        <v>6.562833614999999</v>
      </c>
    </row>
    <row r="7834">
      <c r="A7834" t="str">
        <f>A7824</f>
        <v>Lantai 2</v>
      </c>
      <c r="B7834">
        <f>B7824</f>
        <v>66</v>
      </c>
      <c r="D7834">
        <f>IF(AND(D7831=D7832,D7832=D7833,D7831=D7833),D7831,0)</f>
        <v>0</v>
      </c>
      <c r="E7834" t="str">
        <v>D</v>
      </c>
      <c r="F7834">
        <f>IF(AND(F7831=F7832,F7831=F7833,F7832=F7833),F7831,0)</f>
        <v>13</v>
      </c>
      <c r="L7834" t="str">
        <v>Total panjang per balok</v>
      </c>
      <c r="M7834" t="str">
        <v>=</v>
      </c>
      <c r="N7834">
        <f>IF(AND(D7831=D7832,D7831=D7833,D7832=D7833,F7831=F7832,F7831=F7833,F7832=F7833),SUM(N7831:N7833),0)</f>
        <v>0</v>
      </c>
      <c r="O7834" t="str">
        <v>+</v>
      </c>
      <c r="P7834">
        <f>IF(N7834&gt;12,ROUNDDOWN(N7834/12,0),0)</f>
        <v>0</v>
      </c>
      <c r="Q7834" t="str">
        <v>x</v>
      </c>
      <c r="R7834">
        <f>IF(P7834&gt;0,MAX(VLOOKUP(F7834,$D$6:$G$15,3,FALSE),600),0)/1000</f>
        <v>0</v>
      </c>
      <c r="T7834" t="str">
        <v>x</v>
      </c>
      <c r="U7834">
        <f>U7833</f>
        <v>1.041885</v>
      </c>
      <c r="V7834" t="str">
        <v>x</v>
      </c>
      <c r="W7834">
        <f>D7834</f>
        <v>0</v>
      </c>
      <c r="X7834" t="str">
        <v>x</v>
      </c>
      <c r="Y7834">
        <f>Y7833</f>
        <v>1</v>
      </c>
      <c r="Z7834" t="str">
        <v>=</v>
      </c>
      <c r="AA7834">
        <f>(N7834+P7834*R7834/1000)*U7834*W7834*Y7834</f>
        <v>0</v>
      </c>
    </row>
    <row r="7836">
      <c r="A7836" t="str">
        <f>A7824</f>
        <v>Lantai 2</v>
      </c>
      <c r="B7836">
        <f>B7824</f>
        <v>66</v>
      </c>
      <c r="C7836" t="str">
        <v>Tul Peminggang</v>
      </c>
      <c r="D7836">
        <f>VLOOKUP(D7824,'Detail Balok'!$C$10:$AU$110,13,FALSE)</f>
        <v>2</v>
      </c>
      <c r="E7836" t="str">
        <v>D</v>
      </c>
      <c r="F7836">
        <f>VLOOKUP(D7824,'Detail Balok'!$C$10:$AU$110,15,FALSE)</f>
        <v>10</v>
      </c>
      <c r="J7836">
        <f>+D7826/1000</f>
        <v>5.285</v>
      </c>
      <c r="K7836" t="str">
        <v>+</v>
      </c>
      <c r="L7836">
        <f>2*$F$16*F7836/1000</f>
        <v>0.24</v>
      </c>
      <c r="M7836" t="str">
        <v>=</v>
      </c>
      <c r="N7836">
        <f>J7836+L7836</f>
        <v>5.525</v>
      </c>
      <c r="O7836" t="str">
        <v>+</v>
      </c>
      <c r="P7836">
        <f>IF(N7836&gt;12,ROUNDDOWN(N7836/12,0),0)</f>
        <v>0</v>
      </c>
      <c r="Q7836" t="str">
        <v>x</v>
      </c>
      <c r="R7836">
        <f>IF(P7836&gt;0,MAX(VLOOKUP(F7836,$D$6:$G$15,3,FALSE),600),0)/1000</f>
        <v>0</v>
      </c>
      <c r="T7836" t="str">
        <v>x</v>
      </c>
      <c r="U7836">
        <f>0.006165*F7836^2</f>
        <v>0.6165</v>
      </c>
      <c r="V7836" t="str">
        <v>x</v>
      </c>
      <c r="W7836">
        <f>+D7836</f>
        <v>2</v>
      </c>
      <c r="X7836" t="str">
        <v>x</v>
      </c>
      <c r="Y7836">
        <f>D7830</f>
        <v>1</v>
      </c>
      <c r="Z7836" t="str">
        <v>=</v>
      </c>
      <c r="AA7836">
        <f>(N7836+P7836*R7836/1000)*U7836*W7836*Y7836</f>
        <v>6.812325000000001</v>
      </c>
    </row>
    <row r="7839">
      <c r="A7839" t="str">
        <f>A7824</f>
        <v>Lantai 2</v>
      </c>
      <c r="B7839">
        <f>B7824</f>
        <v>66</v>
      </c>
      <c r="C7839" t="str">
        <v>Tul Bawah Tumpuan</v>
      </c>
      <c r="D7839">
        <f>VLOOKUP(D7824,'Detail Balok'!$C$10:$AU$110,22,FALSE)</f>
        <v>2</v>
      </c>
      <c r="E7839" t="str">
        <v>D</v>
      </c>
      <c r="F7839">
        <f>VLOOKUP(D7824,'Detail Balok'!$C$10:$AU$110,24,FALSE)</f>
        <v>13</v>
      </c>
      <c r="I7839" t="str">
        <v>(</v>
      </c>
      <c r="J7839">
        <f>+J7831</f>
        <v>1.32125</v>
      </c>
      <c r="K7839" t="str">
        <v>+</v>
      </c>
      <c r="L7839">
        <f>MAX(VLOOKUP(F7839,N$6:P$15,3,FALSE)/1000,2/3*D7829/1000)+F$16*F7839/1000</f>
        <v>0.156</v>
      </c>
      <c r="M7839" t="str">
        <v>=</v>
      </c>
      <c r="N7839">
        <f>J7839+L7839</f>
        <v>1.47725</v>
      </c>
      <c r="O7839" t="str">
        <v>+</v>
      </c>
      <c r="P7839">
        <f>D7839-D7840</f>
        <v>-3</v>
      </c>
      <c r="Q7839" t="str">
        <v>x</v>
      </c>
      <c r="R7839">
        <f>IF(P7839&gt;0,$F$18*F7839/1000,0)</f>
        <v>0</v>
      </c>
      <c r="S7839" t="str">
        <v>)</v>
      </c>
      <c r="T7839" t="str">
        <v>x</v>
      </c>
      <c r="U7839">
        <f>0.006165*F7839^2</f>
        <v>1.041885</v>
      </c>
      <c r="X7839" t="str">
        <v>x</v>
      </c>
      <c r="Y7839">
        <f>D7830</f>
        <v>1</v>
      </c>
      <c r="Z7839" t="str">
        <v>=</v>
      </c>
      <c r="AA7839">
        <f>IF(AA7842=0,(D7839*N7839+P7839*R7839)*U7839*Y7839,0)</f>
        <v>3.0782492324999997</v>
      </c>
    </row>
    <row r="7840">
      <c r="A7840" t="str">
        <f>A7824</f>
        <v>Lantai 2</v>
      </c>
      <c r="B7840">
        <f>B7824</f>
        <v>66</v>
      </c>
      <c r="C7840" t="str">
        <v>Tul Bawah Lapangan</v>
      </c>
      <c r="D7840">
        <f>VLOOKUP(D7824,'Detail Balok'!$C$10:$AU$110,25,FALSE)</f>
        <v>5</v>
      </c>
      <c r="E7840" t="str">
        <v>D</v>
      </c>
      <c r="F7840">
        <f>VLOOKUP(D7824,'Detail Balok'!$C$10:$AU$110,27,FALSE)</f>
        <v>13</v>
      </c>
      <c r="I7840" t="str">
        <v>(</v>
      </c>
      <c r="J7840">
        <f>+J7832</f>
        <v>2.6425</v>
      </c>
      <c r="K7840" t="str">
        <v>+</v>
      </c>
      <c r="M7840" t="str">
        <v>=</v>
      </c>
      <c r="N7840">
        <f>J7840+L7840</f>
        <v>2.6425</v>
      </c>
      <c r="O7840" t="str">
        <v>+</v>
      </c>
      <c r="P7840">
        <f>MAX(D7840-D7839,D7840-D7841)</f>
        <v>3</v>
      </c>
      <c r="Q7840" t="str">
        <v>x</v>
      </c>
      <c r="R7840">
        <f>IF(P7840&gt;0,2*(1-2*$F$19-1/2)*D7827/1000,0)</f>
        <v>1.0569999999999997</v>
      </c>
      <c r="S7840" t="str">
        <v>)</v>
      </c>
      <c r="T7840" t="str">
        <v>x</v>
      </c>
      <c r="U7840">
        <f>0.006165*F7840^2</f>
        <v>1.041885</v>
      </c>
      <c r="X7840" t="str">
        <v>x</v>
      </c>
      <c r="Y7840">
        <f>D7830</f>
        <v>1</v>
      </c>
      <c r="Z7840" t="str">
        <v>=</v>
      </c>
      <c r="AA7840">
        <f>IF(AA7842=0,(D7840*N7840+P7840*R7840)*U7840*Y7840,0)</f>
        <v>17.069722897499997</v>
      </c>
    </row>
    <row r="7841">
      <c r="A7841" t="str">
        <f>A7824</f>
        <v>Lantai 2</v>
      </c>
      <c r="B7841">
        <f>B7824</f>
        <v>66</v>
      </c>
      <c r="C7841" t="str">
        <v>Tul Bawah Tumpuan</v>
      </c>
      <c r="D7841">
        <f>VLOOKUP(D7824,'Detail Balok'!$C$10:$AU$110,28,FALSE)</f>
        <v>2</v>
      </c>
      <c r="E7841" t="str">
        <v>D</v>
      </c>
      <c r="F7841">
        <f>VLOOKUP(D7824,'Detail Balok'!$C$10:$AU$110,30,FALSE)</f>
        <v>13</v>
      </c>
      <c r="I7841" t="str">
        <v>(</v>
      </c>
      <c r="J7841">
        <f>+J7833</f>
        <v>1.32125</v>
      </c>
      <c r="K7841" t="str">
        <v>+</v>
      </c>
      <c r="L7841">
        <f>MAX(VLOOKUP(F7841,N$6:P$15,3,FALSE)/1000,2/3*D7829/1000)+F$16*F7841/1000</f>
        <v>0.156</v>
      </c>
      <c r="M7841" t="str">
        <v>=</v>
      </c>
      <c r="N7841">
        <f>J7841+L7841</f>
        <v>1.47725</v>
      </c>
      <c r="O7841" t="str">
        <v>+</v>
      </c>
      <c r="P7841">
        <f>D7841-D7840</f>
        <v>-3</v>
      </c>
      <c r="Q7841" t="str">
        <v>x</v>
      </c>
      <c r="R7841">
        <f>IF(P7841&gt;0,$F$18*F7841/1000,0)</f>
        <v>0</v>
      </c>
      <c r="S7841" t="str">
        <v>)</v>
      </c>
      <c r="T7841" t="str">
        <v>x</v>
      </c>
      <c r="U7841">
        <f>0.006165*F7841^2</f>
        <v>1.041885</v>
      </c>
      <c r="X7841" t="str">
        <v>x</v>
      </c>
      <c r="Y7841">
        <f>D7830</f>
        <v>1</v>
      </c>
      <c r="Z7841" t="str">
        <v>=</v>
      </c>
      <c r="AA7841">
        <f>IF(AA7842=0,(D7841*N7841+P7841*R7841)*U7841*Y7841,0)</f>
        <v>3.0782492324999997</v>
      </c>
    </row>
    <row r="7842">
      <c r="A7842" t="str">
        <f>A7824</f>
        <v>Lantai 2</v>
      </c>
      <c r="B7842">
        <f>B7824</f>
        <v>66</v>
      </c>
      <c r="D7842">
        <f>IF(AND(D7839=D7840,D7840=D7841,D7839=D7841),D7839,0)</f>
        <v>0</v>
      </c>
      <c r="E7842" t="str">
        <v>D</v>
      </c>
      <c r="F7842">
        <f>IF(AND(F7839=F7840,F7839=F7841,F7840=F7841),F7839,0)</f>
        <v>13</v>
      </c>
      <c r="L7842" t="str">
        <v>Total panjang per balok</v>
      </c>
      <c r="M7842" t="str">
        <v>=</v>
      </c>
      <c r="N7842">
        <f>IF(AND(D7839=D7840,D7839=D7841,D7840=D7841,F7839=F7840,F7839=F7841,F7840=F7841),SUM(N7839:N7841),0)</f>
        <v>0</v>
      </c>
      <c r="O7842" t="str">
        <v>+</v>
      </c>
      <c r="P7842">
        <f>IF(N7842&gt;12,ROUNDDOWN(N7842/12,0),0)</f>
        <v>0</v>
      </c>
      <c r="Q7842" t="str">
        <v>x</v>
      </c>
      <c r="R7842">
        <f>IF(P7842&gt;0,MAX(VLOOKUP(F7842,$D$6:$G$15,3,FALSE),600),0)/1000</f>
        <v>0</v>
      </c>
      <c r="T7842" t="str">
        <v>x</v>
      </c>
      <c r="U7842">
        <f>U7841</f>
        <v>1.041885</v>
      </c>
      <c r="V7842" t="str">
        <v>x</v>
      </c>
      <c r="W7842">
        <f>D7842</f>
        <v>0</v>
      </c>
      <c r="X7842" t="str">
        <v>x</v>
      </c>
      <c r="Y7842">
        <f>Y7841</f>
        <v>1</v>
      </c>
      <c r="Z7842" t="str">
        <v>=</v>
      </c>
      <c r="AA7842">
        <f>(N7842+P7842*R7842/1000)*U7842*W7842*Y7842</f>
        <v>0</v>
      </c>
    </row>
    <row r="7844">
      <c r="A7844" t="str">
        <f>A7824</f>
        <v>Lantai 2</v>
      </c>
      <c r="B7844">
        <f>B7824</f>
        <v>66</v>
      </c>
      <c r="C7844" t="str">
        <v>Sengkang Tumpuan</v>
      </c>
      <c r="D7844">
        <f>VLOOKUP(D7824,'Detail Balok'!$C$10:$AU$110,31,FALSE)</f>
        <v>0</v>
      </c>
      <c r="E7844" t="str">
        <v>D</v>
      </c>
      <c r="F7844">
        <f>VLOOKUP(D7824,'Detail Balok'!$C$10:$AU$110,33,FALSE)</f>
        <v>10</v>
      </c>
      <c r="G7844" t="str">
        <v>-</v>
      </c>
      <c r="H7844">
        <f>VLOOKUP(D7824,'Detail Balok'!$C$10:$AU$110,35,FALSE)</f>
        <v>80</v>
      </c>
      <c r="J7844">
        <f>(IF(D7844=0,(2*(D7825+G7825))-(F$5*8),IF(D7844=3,(2*(D7825+G7825))-(F$5*8)+(G7825-2*F$5),IF(D7844=4,(2*(D7825+G7825))-(F$5*8)+2*(G7825-2*F$5)))))/1000</f>
        <v>1.02</v>
      </c>
      <c r="K7844" t="str">
        <v>+</v>
      </c>
      <c r="L7844">
        <f>IF(D7844=0,2*MAX(6*F7844,75),(D7844-1)*2*MAX(6*F7844,75))/1000</f>
        <v>0.15</v>
      </c>
      <c r="M7844" t="str">
        <v>=</v>
      </c>
      <c r="N7844">
        <f>J7844+L7844</f>
        <v>1.17</v>
      </c>
      <c r="T7844" t="str">
        <v>x</v>
      </c>
      <c r="U7844">
        <f>0.006165*F7844^2</f>
        <v>0.6165</v>
      </c>
      <c r="V7844" t="str">
        <v>x</v>
      </c>
      <c r="W7844">
        <f>IF(D7827&gt;4*G7825,ROUND(MAX(D7827/4,2*G7825)/H7844,0)+1,ROUND(D7827/H7844,0)+1)</f>
        <v>18</v>
      </c>
      <c r="X7844" t="str">
        <v>x</v>
      </c>
      <c r="Y7844">
        <f>D7830</f>
        <v>1</v>
      </c>
      <c r="Z7844" t="str">
        <v>=</v>
      </c>
      <c r="AA7844">
        <f>N7844*U7844*W7844*Y7844</f>
        <v>12.98349</v>
      </c>
    </row>
    <row r="7845">
      <c r="A7845" t="str">
        <f>A7824</f>
        <v>Lantai 2</v>
      </c>
      <c r="B7845">
        <f>B7824</f>
        <v>66</v>
      </c>
      <c r="C7845" t="str">
        <v>Sengkang Lapangan</v>
      </c>
      <c r="D7845">
        <f>VLOOKUP(D7824,'Detail Balok'!$C$10:$AU$110,36,FALSE)</f>
        <v>0</v>
      </c>
      <c r="E7845" t="str">
        <v>D</v>
      </c>
      <c r="F7845">
        <f>VLOOKUP(D7824,'Detail Balok'!$C$10:$AU$110,38,FALSE)</f>
        <v>10</v>
      </c>
      <c r="G7845" t="str">
        <v>-</v>
      </c>
      <c r="H7845">
        <f>VLOOKUP(D7824,'Detail Balok'!$C$10:$AU$110,40,FALSE)</f>
        <v>200</v>
      </c>
      <c r="J7845">
        <f>(IF(D7845=0,(2*(D7825+G7825))-(F$5*8),IF(D7845=3,(2*(D7825+G7825))-(F$5*8)+(G7825-2*F$5),IF(D7845=4,(2*(D7825+G7825))-(F$5*8)+2*(G7825-2*F$5)))))/1000</f>
        <v>1.02</v>
      </c>
      <c r="K7845" t="str">
        <v>+</v>
      </c>
      <c r="L7845">
        <f>IF(D7845=0,2*MAX(6*F7845,75),(D7845-1)*2*MAX(6*F7845,75))/1000</f>
        <v>0.15</v>
      </c>
      <c r="M7845" t="str">
        <v>=</v>
      </c>
      <c r="N7845">
        <f>J7845+L7845</f>
        <v>1.17</v>
      </c>
      <c r="T7845" t="str">
        <v>x</v>
      </c>
      <c r="U7845">
        <f>0.006165*F7845^2</f>
        <v>0.6165</v>
      </c>
      <c r="V7845" t="str">
        <v>x</v>
      </c>
      <c r="W7845">
        <f>IF(D7827-MAX(D7827/4,2*G7825)*2&gt;0,ROUND((D7827-MAX(D7827/4,2*G7825)*2)/H7845,0),0)</f>
        <v>13</v>
      </c>
      <c r="X7845" t="str">
        <v>x</v>
      </c>
      <c r="Y7845">
        <f>D7830</f>
        <v>1</v>
      </c>
      <c r="Z7845" t="str">
        <v>=</v>
      </c>
      <c r="AA7845">
        <f>N7845*U7845*W7845*Y7845</f>
        <v>9.376965</v>
      </c>
    </row>
    <row r="7846">
      <c r="A7846" t="str">
        <f>A7824</f>
        <v>Lantai 2</v>
      </c>
      <c r="B7846">
        <f>B7824</f>
        <v>66</v>
      </c>
      <c r="C7846" t="str">
        <v>Sengkang Tumpuan</v>
      </c>
      <c r="D7846">
        <f>VLOOKUP(D7824,'Detail Balok'!$C$10:$AU$110,41,FALSE)</f>
        <v>0</v>
      </c>
      <c r="E7846" t="str">
        <v>D</v>
      </c>
      <c r="F7846">
        <f>VLOOKUP(D7824,'Detail Balok'!$C$10:$AU$110,43,FALSE)</f>
        <v>10</v>
      </c>
      <c r="G7846" t="str">
        <v>-</v>
      </c>
      <c r="H7846">
        <f>VLOOKUP(D7824,'Detail Balok'!$C$10:$AU$110,45,FALSE)</f>
        <v>80</v>
      </c>
      <c r="J7846">
        <f>(IF(D7846=0,(2*(D7825+G7825))-(F$5*8),IF(D7846=3,(2*(D7825+G7825))-(F$5*8)+(G7825-2*F$5),IF(D7846=4,(2*(D7825+G7825))-(F$5*8)+2*(G7825-2*F$5)))))/1000</f>
        <v>1.02</v>
      </c>
      <c r="K7846" t="str">
        <v>+</v>
      </c>
      <c r="L7846">
        <f>IF(D7846=0,2*MAX(6*F7846,75),(D7846-1)*2*MAX(6*F7846,75))/1000</f>
        <v>0.15</v>
      </c>
      <c r="M7846" t="str">
        <v>=</v>
      </c>
      <c r="N7846">
        <f>J7846+L7846</f>
        <v>1.17</v>
      </c>
      <c r="T7846" t="str">
        <v>x</v>
      </c>
      <c r="U7846">
        <f>0.006165*F7846^2</f>
        <v>0.6165</v>
      </c>
      <c r="V7846" t="str">
        <v>x</v>
      </c>
      <c r="W7846">
        <f>IF(D7827&gt;4*G7825,ROUND(MAX(D7827/4,2*G7825)/H7846,0)+1,0)</f>
        <v>18</v>
      </c>
      <c r="X7846" t="str">
        <v>x</v>
      </c>
      <c r="Y7846">
        <f>D7830</f>
        <v>1</v>
      </c>
      <c r="Z7846" t="str">
        <v>=</v>
      </c>
      <c r="AA7846">
        <f>N7846*U7846*W7846*Y7846</f>
        <v>12.98349</v>
      </c>
    </row>
    <row r="7848">
      <c r="A7848" t="str">
        <f>A7824</f>
        <v>Lantai 2</v>
      </c>
      <c r="B7848">
        <f>B7824</f>
        <v>66</v>
      </c>
      <c r="C7848" t="str">
        <v>Kait Horizontal Tump.</v>
      </c>
      <c r="D7848">
        <f>VLOOKUP(D7824,'Detail Balok'!$C$10:$BJ$110,46,FALSE)</f>
        <v>0</v>
      </c>
      <c r="E7848" t="str">
        <v>D</v>
      </c>
      <c r="F7848">
        <f>VLOOKUP(D7824,'Detail Balok'!$C$10:$BJ$110,48,FALSE)</f>
        <v>0</v>
      </c>
      <c r="G7848" t="str">
        <v>-</v>
      </c>
      <c r="H7848">
        <f>VLOOKUP(D7824,'Detail Balok'!$C$10:$BJ$110,50,FALSE)</f>
        <v>100</v>
      </c>
      <c r="J7848">
        <f>(D7825-2*F$5)/1000</f>
        <v>0.09</v>
      </c>
      <c r="K7848" t="str">
        <v>+</v>
      </c>
      <c r="L7848">
        <f>IF(D7848=0,2*MAX(6*F7848,75),(D7848-1)*2*MAX(6*F7848,75))/1000</f>
        <v>0.15</v>
      </c>
      <c r="M7848" t="str">
        <v>=</v>
      </c>
      <c r="N7848">
        <f>J7848+L7848</f>
        <v>0.24</v>
      </c>
      <c r="T7848" t="str">
        <v>x</v>
      </c>
      <c r="U7848">
        <f>0.006165*F7848^2</f>
        <v>0</v>
      </c>
      <c r="V7848" t="str">
        <v>x</v>
      </c>
      <c r="W7848">
        <f>W7844</f>
        <v>18</v>
      </c>
      <c r="X7848" t="str">
        <v>x</v>
      </c>
      <c r="Y7848">
        <f>D7834</f>
        <v>0</v>
      </c>
      <c r="Z7848" t="str">
        <v>=</v>
      </c>
      <c r="AA7848">
        <f>N7848*U7848*W7848*Y7848</f>
        <v>0</v>
      </c>
    </row>
    <row r="7849">
      <c r="A7849" t="str">
        <f>A7824</f>
        <v>Lantai 2</v>
      </c>
      <c r="B7849">
        <f>B7824</f>
        <v>66</v>
      </c>
      <c r="C7849" t="str">
        <v>Kait Horizontal Lap.</v>
      </c>
      <c r="D7849">
        <f>VLOOKUP(D7824,'Detail Balok'!$C$10:$BJ$110,51,FALSE)</f>
        <v>0</v>
      </c>
      <c r="E7849" t="str">
        <v>D</v>
      </c>
      <c r="F7849">
        <f>VLOOKUP(D7824,'Detail Balok'!$C$10:$BJ$110,53,FALSE)</f>
        <v>0</v>
      </c>
      <c r="G7849" t="str">
        <v>-</v>
      </c>
      <c r="H7849">
        <f>VLOOKUP(D7824,'Detail Balok'!$C$10:$BJ$110,55,FALSE)</f>
        <v>100</v>
      </c>
      <c r="J7849">
        <f>(D7825-2*F$5)/1000</f>
        <v>0.09</v>
      </c>
      <c r="K7849" t="str">
        <v>+</v>
      </c>
      <c r="L7849">
        <f>IF(D7849=0,2*MAX(6*F7849,75),(D7849-1)*2*MAX(6*F7849,75))/1000</f>
        <v>0.15</v>
      </c>
      <c r="M7849" t="str">
        <v>=</v>
      </c>
      <c r="N7849">
        <f>J7849+L7849</f>
        <v>0.24</v>
      </c>
      <c r="T7849" t="str">
        <v>x</v>
      </c>
      <c r="U7849">
        <f>0.006165*F7849^2</f>
        <v>0</v>
      </c>
      <c r="V7849" t="str">
        <v>x</v>
      </c>
      <c r="W7849">
        <f>W7845</f>
        <v>13</v>
      </c>
      <c r="X7849" t="str">
        <v>x</v>
      </c>
      <c r="Y7849">
        <f>D7834</f>
        <v>0</v>
      </c>
      <c r="Z7849" t="str">
        <v>=</v>
      </c>
      <c r="AA7849">
        <f>N7849*U7849*W7849*Y7849</f>
        <v>0</v>
      </c>
    </row>
    <row r="7850">
      <c r="A7850" t="str">
        <f>A7824</f>
        <v>Lantai 2</v>
      </c>
      <c r="B7850">
        <f>B7824</f>
        <v>66</v>
      </c>
      <c r="C7850" t="str">
        <v>Kait Horizontal Tump.</v>
      </c>
      <c r="D7850">
        <f>VLOOKUP(D7824,'Detail Balok'!$C$10:$BJ$110,56,FALSE)</f>
        <v>0</v>
      </c>
      <c r="E7850" t="str">
        <v>D</v>
      </c>
      <c r="F7850">
        <f>VLOOKUP(D7824,'Detail Balok'!$C$10:$BJ$110,58,FALSE)</f>
        <v>0</v>
      </c>
      <c r="G7850" t="str">
        <v>-</v>
      </c>
      <c r="H7850">
        <f>VLOOKUP(D7824,'Detail Balok'!$C$10:$BJ$110,60,FALSE)</f>
        <v>100</v>
      </c>
      <c r="J7850">
        <f>(D7825-2*F$5)/1000</f>
        <v>0.09</v>
      </c>
      <c r="K7850" t="str">
        <v>+</v>
      </c>
      <c r="L7850">
        <f>IF(D7850=0,2*MAX(6*F7850,75),(D7850-1)*2*MAX(6*F7850,75))/1000</f>
        <v>0.15</v>
      </c>
      <c r="M7850" t="str">
        <v>=</v>
      </c>
      <c r="N7850">
        <f>J7850+L7850</f>
        <v>0.24</v>
      </c>
      <c r="T7850" t="str">
        <v>x</v>
      </c>
      <c r="U7850">
        <f>0.006165*F7850^2</f>
        <v>0</v>
      </c>
      <c r="V7850" t="str">
        <v>x</v>
      </c>
      <c r="W7850">
        <f>W7846</f>
        <v>18</v>
      </c>
      <c r="X7850" t="str">
        <v>x</v>
      </c>
      <c r="Y7850">
        <f>D7834</f>
        <v>0</v>
      </c>
      <c r="Z7850" t="str">
        <v>=</v>
      </c>
      <c r="AA7850">
        <f>N7850*U7850*W7850*Y7850</f>
        <v>0</v>
      </c>
    </row>
    <row r="7854">
      <c r="A7854" t="str">
        <f>A7824</f>
        <v>Lantai 2</v>
      </c>
      <c r="B7854">
        <f>B7824+1</f>
        <v>67</v>
      </c>
      <c r="C7854" t="str">
        <f>CONCATENATE(A7854," no. ",B7854)</f>
        <v>Lantai 2 no. 67</v>
      </c>
      <c r="D7854" t="str">
        <f>VLOOKUP(C7854,'Data Panjang Balok'!$C$9:$N$424,2,FALSE)</f>
        <v>B175-1</v>
      </c>
    </row>
    <row r="7855">
      <c r="C7855" t="str">
        <v>Dimensi</v>
      </c>
      <c r="D7855">
        <f>VLOOKUP(D7854,'Detail Balok'!$C$10:$AU$110,2,FALSE)</f>
        <v>170</v>
      </c>
      <c r="F7855" t="str">
        <v>x</v>
      </c>
      <c r="G7855">
        <f>VLOOKUP(D7854,'Detail Balok'!$C$10:$AU$110,3,FALSE)</f>
        <v>500</v>
      </c>
    </row>
    <row r="7856">
      <c r="C7856" t="str">
        <v>Panjang as ke as</v>
      </c>
      <c r="D7856">
        <f>VLOOKUP(C7854,'Data Panjang Balok'!$C$9:$N$424,4,FALSE)</f>
        <v>5300</v>
      </c>
    </row>
    <row r="7857">
      <c r="C7857" t="str">
        <v>Panjang netto</v>
      </c>
      <c r="D7857">
        <f>VLOOKUP(C7854,'Data Panjang Balok'!$C$9:$N$424,7,FALSE)</f>
        <v>5300</v>
      </c>
    </row>
    <row r="7858">
      <c r="C7858" t="str">
        <v>Kolom / balok kiri</v>
      </c>
      <c r="D7858">
        <f>VLOOKUP(C7854,'Data Panjang Balok'!$C$9:$N$424,9,FALSE)</f>
        <v>0</v>
      </c>
    </row>
    <row r="7859">
      <c r="C7859" t="str">
        <v>Kolom / balok kanan</v>
      </c>
      <c r="D7859">
        <f>VLOOKUP(C7854,'Data Panjang Balok'!$C$9:$N$424,10,FALSE)</f>
        <v>0</v>
      </c>
    </row>
    <row r="7860">
      <c r="C7860" t="str">
        <v>Jumlah</v>
      </c>
      <c r="D7860">
        <f>VLOOKUP(C7854,'Data Panjang Balok'!$C$9:$N$424,3,FALSE)</f>
        <v>1</v>
      </c>
    </row>
    <row r="7861">
      <c r="A7861" t="str">
        <f>A7854</f>
        <v>Lantai 2</v>
      </c>
      <c r="B7861">
        <f>B7854</f>
        <v>67</v>
      </c>
      <c r="C7861" t="str">
        <v>Tul Atas Tumpuan</v>
      </c>
      <c r="D7861">
        <f>VLOOKUP(D7854,'Detail Balok'!$C$10:$AU$110,4,FALSE)</f>
        <v>2</v>
      </c>
      <c r="E7861" t="str">
        <v>D</v>
      </c>
      <c r="F7861">
        <f>VLOOKUP(D7854,'Detail Balok'!$C$10:$AU$110,6,FALSE)</f>
        <v>13</v>
      </c>
      <c r="I7861" t="str">
        <v>(</v>
      </c>
      <c r="J7861">
        <f>+D7856/4/1000</f>
        <v>1.325</v>
      </c>
      <c r="K7861" t="str">
        <v>+</v>
      </c>
      <c r="L7861">
        <f>MAX(VLOOKUP(F7861,N$6:P$15,3,FALSE)/1000,2/3*D7858/1000)+F$16*F7861/1000</f>
        <v>0.156</v>
      </c>
      <c r="M7861" t="str">
        <v>=</v>
      </c>
      <c r="N7861">
        <f>J7861+L7861</f>
        <v>1.4809999999999999</v>
      </c>
      <c r="O7861" t="str">
        <v>+</v>
      </c>
      <c r="P7861">
        <f>D7861-D7862</f>
        <v>0</v>
      </c>
      <c r="Q7861" t="str">
        <v>x</v>
      </c>
      <c r="R7861">
        <f>IF(P7861&gt;0,$F$18*F7861/1000,0)</f>
        <v>0</v>
      </c>
      <c r="S7861" t="str">
        <v>)</v>
      </c>
      <c r="T7861" t="str">
        <v>x</v>
      </c>
      <c r="U7861">
        <f>0.006165*F7861^2</f>
        <v>1.041885</v>
      </c>
      <c r="X7861" t="str">
        <v>x</v>
      </c>
      <c r="Y7861">
        <f>D7860</f>
        <v>1</v>
      </c>
      <c r="Z7861" t="str">
        <v>=</v>
      </c>
      <c r="AA7861">
        <f>IF(AA7864=0,(D7861*N7861+P7861*R7861)*U7861*Y7861,0)</f>
        <v>0</v>
      </c>
    </row>
    <row r="7862">
      <c r="A7862" t="str">
        <f>A7854</f>
        <v>Lantai 2</v>
      </c>
      <c r="B7862">
        <f>B7854</f>
        <v>67</v>
      </c>
      <c r="C7862" t="str">
        <v>Tul Atas Lapangan</v>
      </c>
      <c r="D7862">
        <f>VLOOKUP(D7854,'Detail Balok'!$C$10:$AU$110,7,FALSE)</f>
        <v>2</v>
      </c>
      <c r="E7862" t="str">
        <v>D</v>
      </c>
      <c r="F7862">
        <f>VLOOKUP(D7854,'Detail Balok'!$C$10:$AU$110,9,FALSE)</f>
        <v>13</v>
      </c>
      <c r="I7862" t="str">
        <v>(</v>
      </c>
      <c r="J7862">
        <f>+D7856/2/1000</f>
        <v>2.65</v>
      </c>
      <c r="K7862" t="str">
        <v>+</v>
      </c>
      <c r="M7862" t="str">
        <v>=</v>
      </c>
      <c r="N7862">
        <f>J7862+L7862</f>
        <v>2.65</v>
      </c>
      <c r="O7862" t="str">
        <v>+</v>
      </c>
      <c r="P7862">
        <f>MAX(D7862-D7861,D7862-D7863)</f>
        <v>0</v>
      </c>
      <c r="Q7862" t="str">
        <v>x</v>
      </c>
      <c r="R7862">
        <f>IF(P7862&gt;0,2*(1-2*$F$19-1/2)*D7857/1000,0)</f>
        <v>0</v>
      </c>
      <c r="S7862" t="str">
        <v>)</v>
      </c>
      <c r="T7862" t="str">
        <v>x</v>
      </c>
      <c r="U7862">
        <f>0.006165*F7862^2</f>
        <v>1.041885</v>
      </c>
      <c r="X7862" t="str">
        <v>x</v>
      </c>
      <c r="Y7862">
        <f>D7860</f>
        <v>1</v>
      </c>
      <c r="Z7862" t="str">
        <v>=</v>
      </c>
      <c r="AA7862">
        <f>IF(AA7864=0,(D7862*N7862+P7862*R7862)*U7862*Y7862,0)</f>
        <v>0</v>
      </c>
    </row>
    <row r="7863">
      <c r="A7863" t="str">
        <f>A7854</f>
        <v>Lantai 2</v>
      </c>
      <c r="B7863">
        <f>B7854</f>
        <v>67</v>
      </c>
      <c r="C7863" t="str">
        <v>Tul Atas Tumpuan</v>
      </c>
      <c r="D7863">
        <f>VLOOKUP(D7854,'Detail Balok'!$C$10:$AU$110,10,FALSE)</f>
        <v>2</v>
      </c>
      <c r="E7863" t="str">
        <v>D</v>
      </c>
      <c r="F7863">
        <f>VLOOKUP(D7854,'Detail Balok'!$C$10:$AU$110,12,FALSE)</f>
        <v>13</v>
      </c>
      <c r="I7863" t="str">
        <v>(</v>
      </c>
      <c r="J7863">
        <f>+D7856/4/1000</f>
        <v>1.325</v>
      </c>
      <c r="K7863" t="str">
        <v>+</v>
      </c>
      <c r="L7863">
        <f>MAX(VLOOKUP(F7863,N$6:P$15,3,FALSE)/1000,2/3*D7858/1000)+F$16*F7863/1000</f>
        <v>0.156</v>
      </c>
      <c r="M7863" t="str">
        <v>=</v>
      </c>
      <c r="N7863">
        <f>J7863+L7863</f>
        <v>1.4809999999999999</v>
      </c>
      <c r="O7863" t="str">
        <v>+</v>
      </c>
      <c r="P7863">
        <f>D7863-D7862</f>
        <v>0</v>
      </c>
      <c r="Q7863" t="str">
        <v>x</v>
      </c>
      <c r="R7863">
        <f>IF(P7863&gt;0,$F$18*F7863/1000,0)</f>
        <v>0</v>
      </c>
      <c r="S7863" t="str">
        <v>)</v>
      </c>
      <c r="T7863" t="str">
        <v>x</v>
      </c>
      <c r="U7863">
        <f>0.006165*F7863^2</f>
        <v>1.041885</v>
      </c>
      <c r="X7863" t="str">
        <v>x</v>
      </c>
      <c r="Y7863">
        <f>D7860</f>
        <v>1</v>
      </c>
      <c r="Z7863" t="str">
        <v>=</v>
      </c>
      <c r="AA7863">
        <f>IF(AA7864=0,(D7863*N7863+P7863*R7863)*U7863*Y7863,0)</f>
        <v>0</v>
      </c>
    </row>
    <row r="7864">
      <c r="A7864" t="str">
        <f>A7854</f>
        <v>Lantai 2</v>
      </c>
      <c r="B7864">
        <f>B7854</f>
        <v>67</v>
      </c>
      <c r="D7864">
        <f>IF(AND(D7861=D7862,D7862=D7863,D7861=D7863),D7861,0)</f>
        <v>2</v>
      </c>
      <c r="E7864" t="str">
        <v>D</v>
      </c>
      <c r="F7864">
        <f>IF(AND(F7861=F7862,F7861=F7863,F7862=F7863),F7861,0)</f>
        <v>13</v>
      </c>
      <c r="L7864" t="str">
        <v>Total panjang per balok</v>
      </c>
      <c r="M7864" t="str">
        <v>=</v>
      </c>
      <c r="N7864">
        <f>IF(AND(D7861=D7862,D7861=D7863,D7862=D7863,F7861=F7862,F7861=F7863,F7862=F7863),SUM(N7861:N7863),0)</f>
        <v>5.612</v>
      </c>
      <c r="O7864" t="str">
        <v>+</v>
      </c>
      <c r="P7864">
        <f>IF(N7864&gt;12,ROUNDDOWN(N7864/12,0),0)</f>
        <v>0</v>
      </c>
      <c r="Q7864" t="str">
        <v>x</v>
      </c>
      <c r="R7864">
        <f>IF(P7864&gt;0,MAX(VLOOKUP(F7864,$D$6:$G$15,3,FALSE),600),0)/1000</f>
        <v>0</v>
      </c>
      <c r="T7864" t="str">
        <v>x</v>
      </c>
      <c r="U7864">
        <f>U7863</f>
        <v>1.041885</v>
      </c>
      <c r="V7864" t="str">
        <v>x</v>
      </c>
      <c r="W7864">
        <f>D7864</f>
        <v>2</v>
      </c>
      <c r="X7864" t="str">
        <v>x</v>
      </c>
      <c r="Y7864">
        <f>Y7863</f>
        <v>1</v>
      </c>
      <c r="Z7864" t="str">
        <v>=</v>
      </c>
      <c r="AA7864">
        <f>(N7864+P7864*R7864/1000)*U7864*W7864*Y7864</f>
        <v>11.694117239999999</v>
      </c>
    </row>
    <row r="7866">
      <c r="A7866" t="str">
        <f>A7854</f>
        <v>Lantai 2</v>
      </c>
      <c r="B7866">
        <f>B7854</f>
        <v>67</v>
      </c>
      <c r="C7866" t="str">
        <v>Tul Peminggang</v>
      </c>
      <c r="D7866">
        <f>VLOOKUP(D7854,'Detail Balok'!$C$10:$AU$110,13,FALSE)</f>
        <v>2</v>
      </c>
      <c r="E7866" t="str">
        <v>D</v>
      </c>
      <c r="F7866">
        <f>VLOOKUP(D7854,'Detail Balok'!$C$10:$AU$110,15,FALSE)</f>
        <v>10</v>
      </c>
      <c r="J7866">
        <f>+D7856/1000</f>
        <v>5.3</v>
      </c>
      <c r="K7866" t="str">
        <v>+</v>
      </c>
      <c r="L7866">
        <f>2*$F$16*F7866/1000</f>
        <v>0.24</v>
      </c>
      <c r="M7866" t="str">
        <v>=</v>
      </c>
      <c r="N7866">
        <f>J7866+L7866</f>
        <v>5.54</v>
      </c>
      <c r="O7866" t="str">
        <v>+</v>
      </c>
      <c r="P7866">
        <f>IF(N7866&gt;12,ROUNDDOWN(N7866/12,0),0)</f>
        <v>0</v>
      </c>
      <c r="Q7866" t="str">
        <v>x</v>
      </c>
      <c r="R7866">
        <f>IF(P7866&gt;0,MAX(VLOOKUP(F7866,$D$6:$G$15,3,FALSE),600),0)/1000</f>
        <v>0</v>
      </c>
      <c r="T7866" t="str">
        <v>x</v>
      </c>
      <c r="U7866">
        <f>0.006165*F7866^2</f>
        <v>0.6165</v>
      </c>
      <c r="V7866" t="str">
        <v>x</v>
      </c>
      <c r="W7866">
        <f>+D7866</f>
        <v>2</v>
      </c>
      <c r="X7866" t="str">
        <v>x</v>
      </c>
      <c r="Y7866">
        <f>D7860</f>
        <v>1</v>
      </c>
      <c r="Z7866" t="str">
        <v>=</v>
      </c>
      <c r="AA7866">
        <f>(N7866+P7866*R7866/1000)*U7866*W7866*Y7866</f>
        <v>6.830820000000001</v>
      </c>
    </row>
    <row r="7869">
      <c r="A7869" t="str">
        <f>A7854</f>
        <v>Lantai 2</v>
      </c>
      <c r="B7869">
        <f>B7854</f>
        <v>67</v>
      </c>
      <c r="C7869" t="str">
        <v>Tul Bawah Tumpuan</v>
      </c>
      <c r="D7869">
        <f>VLOOKUP(D7854,'Detail Balok'!$C$10:$AU$110,22,FALSE)</f>
        <v>2</v>
      </c>
      <c r="E7869" t="str">
        <v>D</v>
      </c>
      <c r="F7869">
        <f>VLOOKUP(D7854,'Detail Balok'!$C$10:$AU$110,24,FALSE)</f>
        <v>13</v>
      </c>
      <c r="I7869" t="str">
        <v>(</v>
      </c>
      <c r="J7869">
        <f>+J7861</f>
        <v>1.325</v>
      </c>
      <c r="K7869" t="str">
        <v>+</v>
      </c>
      <c r="L7869">
        <f>MAX(VLOOKUP(F7869,N$6:P$15,3,FALSE)/1000,2/3*D7859/1000)+F$16*F7869/1000</f>
        <v>0.156</v>
      </c>
      <c r="M7869" t="str">
        <v>=</v>
      </c>
      <c r="N7869">
        <f>J7869+L7869</f>
        <v>1.4809999999999999</v>
      </c>
      <c r="O7869" t="str">
        <v>+</v>
      </c>
      <c r="P7869">
        <f>D7869-D7870</f>
        <v>0</v>
      </c>
      <c r="Q7869" t="str">
        <v>x</v>
      </c>
      <c r="R7869">
        <f>IF(P7869&gt;0,$F$18*F7869/1000,0)</f>
        <v>0</v>
      </c>
      <c r="S7869" t="str">
        <v>)</v>
      </c>
      <c r="T7869" t="str">
        <v>x</v>
      </c>
      <c r="U7869">
        <f>0.006165*F7869^2</f>
        <v>1.041885</v>
      </c>
      <c r="X7869" t="str">
        <v>x</v>
      </c>
      <c r="Y7869">
        <f>D7860</f>
        <v>1</v>
      </c>
      <c r="Z7869" t="str">
        <v>=</v>
      </c>
      <c r="AA7869">
        <f>IF(AA7872=0,(D7869*N7869+P7869*R7869)*U7869*Y7869,0)</f>
        <v>0</v>
      </c>
    </row>
    <row r="7870">
      <c r="A7870" t="str">
        <f>A7854</f>
        <v>Lantai 2</v>
      </c>
      <c r="B7870">
        <f>B7854</f>
        <v>67</v>
      </c>
      <c r="C7870" t="str">
        <v>Tul Bawah Lapangan</v>
      </c>
      <c r="D7870">
        <f>VLOOKUP(D7854,'Detail Balok'!$C$10:$AU$110,25,FALSE)</f>
        <v>2</v>
      </c>
      <c r="E7870" t="str">
        <v>D</v>
      </c>
      <c r="F7870">
        <f>VLOOKUP(D7854,'Detail Balok'!$C$10:$AU$110,27,FALSE)</f>
        <v>13</v>
      </c>
      <c r="I7870" t="str">
        <v>(</v>
      </c>
      <c r="J7870">
        <f>+J7862</f>
        <v>2.65</v>
      </c>
      <c r="K7870" t="str">
        <v>+</v>
      </c>
      <c r="M7870" t="str">
        <v>=</v>
      </c>
      <c r="N7870">
        <f>J7870+L7870</f>
        <v>2.65</v>
      </c>
      <c r="O7870" t="str">
        <v>+</v>
      </c>
      <c r="P7870">
        <f>MAX(D7870-D7869,D7870-D7871)</f>
        <v>0</v>
      </c>
      <c r="Q7870" t="str">
        <v>x</v>
      </c>
      <c r="R7870">
        <f>IF(P7870&gt;0,2*(1-2*$F$19-1/2)*D7857/1000,0)</f>
        <v>0</v>
      </c>
      <c r="S7870" t="str">
        <v>)</v>
      </c>
      <c r="T7870" t="str">
        <v>x</v>
      </c>
      <c r="U7870">
        <f>0.006165*F7870^2</f>
        <v>1.041885</v>
      </c>
      <c r="X7870" t="str">
        <v>x</v>
      </c>
      <c r="Y7870">
        <f>D7860</f>
        <v>1</v>
      </c>
      <c r="Z7870" t="str">
        <v>=</v>
      </c>
      <c r="AA7870">
        <f>IF(AA7872=0,(D7870*N7870+P7870*R7870)*U7870*Y7870,0)</f>
        <v>0</v>
      </c>
    </row>
    <row r="7871">
      <c r="A7871" t="str">
        <f>A7854</f>
        <v>Lantai 2</v>
      </c>
      <c r="B7871">
        <f>B7854</f>
        <v>67</v>
      </c>
      <c r="C7871" t="str">
        <v>Tul Bawah Tumpuan</v>
      </c>
      <c r="D7871">
        <f>VLOOKUP(D7854,'Detail Balok'!$C$10:$AU$110,28,FALSE)</f>
        <v>2</v>
      </c>
      <c r="E7871" t="str">
        <v>D</v>
      </c>
      <c r="F7871">
        <f>VLOOKUP(D7854,'Detail Balok'!$C$10:$AU$110,30,FALSE)</f>
        <v>13</v>
      </c>
      <c r="I7871" t="str">
        <v>(</v>
      </c>
      <c r="J7871">
        <f>+J7863</f>
        <v>1.325</v>
      </c>
      <c r="K7871" t="str">
        <v>+</v>
      </c>
      <c r="L7871">
        <f>MAX(VLOOKUP(F7871,N$6:P$15,3,FALSE)/1000,2/3*D7859/1000)+F$16*F7871/1000</f>
        <v>0.156</v>
      </c>
      <c r="M7871" t="str">
        <v>=</v>
      </c>
      <c r="N7871">
        <f>J7871+L7871</f>
        <v>1.4809999999999999</v>
      </c>
      <c r="O7871" t="str">
        <v>+</v>
      </c>
      <c r="P7871">
        <f>D7871-D7870</f>
        <v>0</v>
      </c>
      <c r="Q7871" t="str">
        <v>x</v>
      </c>
      <c r="R7871">
        <f>IF(P7871&gt;0,$F$18*F7871/1000,0)</f>
        <v>0</v>
      </c>
      <c r="S7871" t="str">
        <v>)</v>
      </c>
      <c r="T7871" t="str">
        <v>x</v>
      </c>
      <c r="U7871">
        <f>0.006165*F7871^2</f>
        <v>1.041885</v>
      </c>
      <c r="X7871" t="str">
        <v>x</v>
      </c>
      <c r="Y7871">
        <f>D7860</f>
        <v>1</v>
      </c>
      <c r="Z7871" t="str">
        <v>=</v>
      </c>
      <c r="AA7871">
        <f>IF(AA7872=0,(D7871*N7871+P7871*R7871)*U7871*Y7871,0)</f>
        <v>0</v>
      </c>
    </row>
    <row r="7872">
      <c r="A7872" t="str">
        <f>A7854</f>
        <v>Lantai 2</v>
      </c>
      <c r="B7872">
        <f>B7854</f>
        <v>67</v>
      </c>
      <c r="D7872">
        <f>IF(AND(D7869=D7870,D7870=D7871,D7869=D7871),D7869,0)</f>
        <v>2</v>
      </c>
      <c r="E7872" t="str">
        <v>D</v>
      </c>
      <c r="F7872">
        <f>IF(AND(F7869=F7870,F7869=F7871,F7870=F7871),F7869,0)</f>
        <v>13</v>
      </c>
      <c r="L7872" t="str">
        <v>Total panjang per balok</v>
      </c>
      <c r="M7872" t="str">
        <v>=</v>
      </c>
      <c r="N7872">
        <f>IF(AND(D7869=D7870,D7869=D7871,D7870=D7871,F7869=F7870,F7869=F7871,F7870=F7871),SUM(N7869:N7871),0)</f>
        <v>5.612</v>
      </c>
      <c r="O7872" t="str">
        <v>+</v>
      </c>
      <c r="P7872">
        <f>IF(N7872&gt;12,ROUNDDOWN(N7872/12,0),0)</f>
        <v>0</v>
      </c>
      <c r="Q7872" t="str">
        <v>x</v>
      </c>
      <c r="R7872">
        <f>IF(P7872&gt;0,MAX(VLOOKUP(F7872,$D$6:$G$15,3,FALSE),600),0)/1000</f>
        <v>0</v>
      </c>
      <c r="T7872" t="str">
        <v>x</v>
      </c>
      <c r="U7872">
        <f>U7871</f>
        <v>1.041885</v>
      </c>
      <c r="V7872" t="str">
        <v>x</v>
      </c>
      <c r="W7872">
        <f>D7872</f>
        <v>2</v>
      </c>
      <c r="X7872" t="str">
        <v>x</v>
      </c>
      <c r="Y7872">
        <f>Y7871</f>
        <v>1</v>
      </c>
      <c r="Z7872" t="str">
        <v>=</v>
      </c>
      <c r="AA7872">
        <f>(N7872+P7872*R7872/1000)*U7872*W7872*Y7872</f>
        <v>11.694117239999999</v>
      </c>
    </row>
    <row r="7874">
      <c r="A7874" t="str">
        <f>A7854</f>
        <v>Lantai 2</v>
      </c>
      <c r="B7874">
        <f>B7854</f>
        <v>67</v>
      </c>
      <c r="C7874" t="str">
        <v>Sengkang Tumpuan</v>
      </c>
      <c r="D7874">
        <f>VLOOKUP(D7854,'Detail Balok'!$C$10:$AU$110,31,FALSE)</f>
        <v>0</v>
      </c>
      <c r="E7874" t="str">
        <v>D</v>
      </c>
      <c r="F7874">
        <f>VLOOKUP(D7854,'Detail Balok'!$C$10:$AU$110,33,FALSE)</f>
        <v>10</v>
      </c>
      <c r="G7874" t="str">
        <v>-</v>
      </c>
      <c r="H7874">
        <f>VLOOKUP(D7854,'Detail Balok'!$C$10:$AU$110,35,FALSE)</f>
        <v>80</v>
      </c>
      <c r="J7874">
        <f>(IF(D7874=0,(2*(D7855+G7855))-(F$5*8),IF(D7874=3,(2*(D7855+G7855))-(F$5*8)+(G7855-2*F$5),IF(D7874=4,(2*(D7855+G7855))-(F$5*8)+2*(G7855-2*F$5)))))/1000</f>
        <v>1.02</v>
      </c>
      <c r="K7874" t="str">
        <v>+</v>
      </c>
      <c r="L7874">
        <f>IF(D7874=0,2*MAX(6*F7874,75),(D7874-1)*2*MAX(6*F7874,75))/1000</f>
        <v>0.15</v>
      </c>
      <c r="M7874" t="str">
        <v>=</v>
      </c>
      <c r="N7874">
        <f>J7874+L7874</f>
        <v>1.17</v>
      </c>
      <c r="T7874" t="str">
        <v>x</v>
      </c>
      <c r="U7874">
        <f>0.006165*F7874^2</f>
        <v>0.6165</v>
      </c>
      <c r="V7874" t="str">
        <v>x</v>
      </c>
      <c r="W7874">
        <f>IF(D7857&gt;4*G7855,ROUND(MAX(D7857/4,2*G7855)/H7874,0)+1,ROUND(D7857/H7874,0)+1)</f>
        <v>18</v>
      </c>
      <c r="X7874" t="str">
        <v>x</v>
      </c>
      <c r="Y7874">
        <f>D7860</f>
        <v>1</v>
      </c>
      <c r="Z7874" t="str">
        <v>=</v>
      </c>
      <c r="AA7874">
        <f>N7874*U7874*W7874*Y7874</f>
        <v>12.98349</v>
      </c>
    </row>
    <row r="7875">
      <c r="A7875" t="str">
        <f>A7854</f>
        <v>Lantai 2</v>
      </c>
      <c r="B7875">
        <f>B7854</f>
        <v>67</v>
      </c>
      <c r="C7875" t="str">
        <v>Sengkang Lapangan</v>
      </c>
      <c r="D7875">
        <f>VLOOKUP(D7854,'Detail Balok'!$C$10:$AU$110,36,FALSE)</f>
        <v>0</v>
      </c>
      <c r="E7875" t="str">
        <v>D</v>
      </c>
      <c r="F7875">
        <f>VLOOKUP(D7854,'Detail Balok'!$C$10:$AU$110,38,FALSE)</f>
        <v>10</v>
      </c>
      <c r="G7875" t="str">
        <v>-</v>
      </c>
      <c r="H7875">
        <f>VLOOKUP(D7854,'Detail Balok'!$C$10:$AU$110,40,FALSE)</f>
        <v>200</v>
      </c>
      <c r="J7875">
        <f>(IF(D7875=0,(2*(D7855+G7855))-(F$5*8),IF(D7875=3,(2*(D7855+G7855))-(F$5*8)+(G7855-2*F$5),IF(D7875=4,(2*(D7855+G7855))-(F$5*8)+2*(G7855-2*F$5)))))/1000</f>
        <v>1.02</v>
      </c>
      <c r="K7875" t="str">
        <v>+</v>
      </c>
      <c r="L7875">
        <f>IF(D7875=0,2*MAX(6*F7875,75),(D7875-1)*2*MAX(6*F7875,75))/1000</f>
        <v>0.15</v>
      </c>
      <c r="M7875" t="str">
        <v>=</v>
      </c>
      <c r="N7875">
        <f>J7875+L7875</f>
        <v>1.17</v>
      </c>
      <c r="T7875" t="str">
        <v>x</v>
      </c>
      <c r="U7875">
        <f>0.006165*F7875^2</f>
        <v>0.6165</v>
      </c>
      <c r="V7875" t="str">
        <v>x</v>
      </c>
      <c r="W7875">
        <f>IF(D7857-MAX(D7857/4,2*G7855)*2&gt;0,ROUND((D7857-MAX(D7857/4,2*G7855)*2)/H7875,0),0)</f>
        <v>13</v>
      </c>
      <c r="X7875" t="str">
        <v>x</v>
      </c>
      <c r="Y7875">
        <f>D7860</f>
        <v>1</v>
      </c>
      <c r="Z7875" t="str">
        <v>=</v>
      </c>
      <c r="AA7875">
        <f>N7875*U7875*W7875*Y7875</f>
        <v>9.376965</v>
      </c>
    </row>
    <row r="7876">
      <c r="A7876" t="str">
        <f>A7854</f>
        <v>Lantai 2</v>
      </c>
      <c r="B7876">
        <f>B7854</f>
        <v>67</v>
      </c>
      <c r="C7876" t="str">
        <v>Sengkang Tumpuan</v>
      </c>
      <c r="D7876">
        <f>VLOOKUP(D7854,'Detail Balok'!$C$10:$AU$110,41,FALSE)</f>
        <v>0</v>
      </c>
      <c r="E7876" t="str">
        <v>D</v>
      </c>
      <c r="F7876">
        <f>VLOOKUP(D7854,'Detail Balok'!$C$10:$AU$110,43,FALSE)</f>
        <v>10</v>
      </c>
      <c r="G7876" t="str">
        <v>-</v>
      </c>
      <c r="H7876">
        <f>VLOOKUP(D7854,'Detail Balok'!$C$10:$AU$110,45,FALSE)</f>
        <v>80</v>
      </c>
      <c r="J7876">
        <f>(IF(D7876=0,(2*(D7855+G7855))-(F$5*8),IF(D7876=3,(2*(D7855+G7855))-(F$5*8)+(G7855-2*F$5),IF(D7876=4,(2*(D7855+G7855))-(F$5*8)+2*(G7855-2*F$5)))))/1000</f>
        <v>1.02</v>
      </c>
      <c r="K7876" t="str">
        <v>+</v>
      </c>
      <c r="L7876">
        <f>IF(D7876=0,2*MAX(6*F7876,75),(D7876-1)*2*MAX(6*F7876,75))/1000</f>
        <v>0.15</v>
      </c>
      <c r="M7876" t="str">
        <v>=</v>
      </c>
      <c r="N7876">
        <f>J7876+L7876</f>
        <v>1.17</v>
      </c>
      <c r="T7876" t="str">
        <v>x</v>
      </c>
      <c r="U7876">
        <f>0.006165*F7876^2</f>
        <v>0.6165</v>
      </c>
      <c r="V7876" t="str">
        <v>x</v>
      </c>
      <c r="W7876">
        <f>IF(D7857&gt;4*G7855,ROUND(MAX(D7857/4,2*G7855)/H7876,0)+1,0)</f>
        <v>18</v>
      </c>
      <c r="X7876" t="str">
        <v>x</v>
      </c>
      <c r="Y7876">
        <f>D7860</f>
        <v>1</v>
      </c>
      <c r="Z7876" t="str">
        <v>=</v>
      </c>
      <c r="AA7876">
        <f>N7876*U7876*W7876*Y7876</f>
        <v>12.98349</v>
      </c>
    </row>
    <row r="7878">
      <c r="A7878" t="str">
        <f>A7854</f>
        <v>Lantai 2</v>
      </c>
      <c r="B7878">
        <f>B7854</f>
        <v>67</v>
      </c>
      <c r="C7878" t="str">
        <v>Kait Horizontal Tump.</v>
      </c>
      <c r="D7878">
        <f>VLOOKUP(D7854,'Detail Balok'!$C$10:$BJ$110,46,FALSE)</f>
        <v>0</v>
      </c>
      <c r="E7878" t="str">
        <v>D</v>
      </c>
      <c r="F7878">
        <f>VLOOKUP(D7854,'Detail Balok'!$C$10:$BJ$110,48,FALSE)</f>
        <v>0</v>
      </c>
      <c r="G7878" t="str">
        <v>-</v>
      </c>
      <c r="H7878">
        <f>VLOOKUP(D7854,'Detail Balok'!$C$10:$BJ$110,50,FALSE)</f>
        <v>100</v>
      </c>
      <c r="J7878">
        <f>(D7855-2*F$5)/1000</f>
        <v>0.09</v>
      </c>
      <c r="K7878" t="str">
        <v>+</v>
      </c>
      <c r="L7878">
        <f>IF(D7878=0,2*MAX(6*F7878,75),(D7878-1)*2*MAX(6*F7878,75))/1000</f>
        <v>0.15</v>
      </c>
      <c r="M7878" t="str">
        <v>=</v>
      </c>
      <c r="N7878">
        <f>J7878+L7878</f>
        <v>0.24</v>
      </c>
      <c r="T7878" t="str">
        <v>x</v>
      </c>
      <c r="U7878">
        <f>0.006165*F7878^2</f>
        <v>0</v>
      </c>
      <c r="V7878" t="str">
        <v>x</v>
      </c>
      <c r="W7878">
        <f>W7874</f>
        <v>18</v>
      </c>
      <c r="X7878" t="str">
        <v>x</v>
      </c>
      <c r="Y7878">
        <f>D7864</f>
        <v>2</v>
      </c>
      <c r="Z7878" t="str">
        <v>=</v>
      </c>
      <c r="AA7878">
        <f>N7878*U7878*W7878*Y7878</f>
        <v>0</v>
      </c>
    </row>
    <row r="7879">
      <c r="A7879" t="str">
        <f>A7854</f>
        <v>Lantai 2</v>
      </c>
      <c r="B7879">
        <f>B7854</f>
        <v>67</v>
      </c>
      <c r="C7879" t="str">
        <v>Kait Horizontal Lap.</v>
      </c>
      <c r="D7879">
        <f>VLOOKUP(D7854,'Detail Balok'!$C$10:$BJ$110,51,FALSE)</f>
        <v>0</v>
      </c>
      <c r="E7879" t="str">
        <v>D</v>
      </c>
      <c r="F7879">
        <f>VLOOKUP(D7854,'Detail Balok'!$C$10:$BJ$110,53,FALSE)</f>
        <v>0</v>
      </c>
      <c r="G7879" t="str">
        <v>-</v>
      </c>
      <c r="H7879">
        <f>VLOOKUP(D7854,'Detail Balok'!$C$10:$BJ$110,55,FALSE)</f>
        <v>100</v>
      </c>
      <c r="J7879">
        <f>(D7855-2*F$5)/1000</f>
        <v>0.09</v>
      </c>
      <c r="K7879" t="str">
        <v>+</v>
      </c>
      <c r="L7879">
        <f>IF(D7879=0,2*MAX(6*F7879,75),(D7879-1)*2*MAX(6*F7879,75))/1000</f>
        <v>0.15</v>
      </c>
      <c r="M7879" t="str">
        <v>=</v>
      </c>
      <c r="N7879">
        <f>J7879+L7879</f>
        <v>0.24</v>
      </c>
      <c r="T7879" t="str">
        <v>x</v>
      </c>
      <c r="U7879">
        <f>0.006165*F7879^2</f>
        <v>0</v>
      </c>
      <c r="V7879" t="str">
        <v>x</v>
      </c>
      <c r="W7879">
        <f>W7875</f>
        <v>13</v>
      </c>
      <c r="X7879" t="str">
        <v>x</v>
      </c>
      <c r="Y7879">
        <f>D7864</f>
        <v>2</v>
      </c>
      <c r="Z7879" t="str">
        <v>=</v>
      </c>
      <c r="AA7879">
        <f>N7879*U7879*W7879*Y7879</f>
        <v>0</v>
      </c>
    </row>
    <row r="7880">
      <c r="A7880" t="str">
        <f>A7854</f>
        <v>Lantai 2</v>
      </c>
      <c r="B7880">
        <f>B7854</f>
        <v>67</v>
      </c>
      <c r="C7880" t="str">
        <v>Kait Horizontal Tump.</v>
      </c>
      <c r="D7880">
        <f>VLOOKUP(D7854,'Detail Balok'!$C$10:$BJ$110,56,FALSE)</f>
        <v>0</v>
      </c>
      <c r="E7880" t="str">
        <v>D</v>
      </c>
      <c r="F7880">
        <f>VLOOKUP(D7854,'Detail Balok'!$C$10:$BJ$110,58,FALSE)</f>
        <v>0</v>
      </c>
      <c r="G7880" t="str">
        <v>-</v>
      </c>
      <c r="H7880">
        <f>VLOOKUP(D7854,'Detail Balok'!$C$10:$BJ$110,60,FALSE)</f>
        <v>100</v>
      </c>
      <c r="J7880">
        <f>(D7855-2*F$5)/1000</f>
        <v>0.09</v>
      </c>
      <c r="K7880" t="str">
        <v>+</v>
      </c>
      <c r="L7880">
        <f>IF(D7880=0,2*MAX(6*F7880,75),(D7880-1)*2*MAX(6*F7880,75))/1000</f>
        <v>0.15</v>
      </c>
      <c r="M7880" t="str">
        <v>=</v>
      </c>
      <c r="N7880">
        <f>J7880+L7880</f>
        <v>0.24</v>
      </c>
      <c r="T7880" t="str">
        <v>x</v>
      </c>
      <c r="U7880">
        <f>0.006165*F7880^2</f>
        <v>0</v>
      </c>
      <c r="V7880" t="str">
        <v>x</v>
      </c>
      <c r="W7880">
        <f>W7876</f>
        <v>18</v>
      </c>
      <c r="X7880" t="str">
        <v>x</v>
      </c>
      <c r="Y7880">
        <f>D7864</f>
        <v>2</v>
      </c>
      <c r="Z7880" t="str">
        <v>=</v>
      </c>
      <c r="AA7880">
        <f>N7880*U7880*W7880*Y7880</f>
        <v>0</v>
      </c>
    </row>
    <row r="7884">
      <c r="A7884" t="str">
        <f>A7854</f>
        <v>Lantai 2</v>
      </c>
      <c r="B7884">
        <f>B7854+1</f>
        <v>68</v>
      </c>
      <c r="C7884" t="str">
        <f>CONCATENATE(A7884," no. ",B7884)</f>
        <v>Lantai 2 no. 68</v>
      </c>
      <c r="D7884" t="str">
        <f>VLOOKUP(C7884,'Data Panjang Balok'!$C$9:$N$424,2,FALSE)</f>
        <v>B1745-1</v>
      </c>
    </row>
    <row r="7885">
      <c r="C7885" t="str">
        <v>Dimensi</v>
      </c>
      <c r="D7885">
        <f>VLOOKUP(D7884,'Detail Balok'!$C$10:$AU$110,2,FALSE)</f>
        <v>170</v>
      </c>
      <c r="F7885" t="str">
        <v>x</v>
      </c>
      <c r="G7885">
        <f>VLOOKUP(D7884,'Detail Balok'!$C$10:$AU$110,3,FALSE)</f>
        <v>450</v>
      </c>
    </row>
    <row r="7886">
      <c r="C7886" t="str">
        <v>Panjang as ke as</v>
      </c>
      <c r="D7886">
        <f>VLOOKUP(C7884,'Data Panjang Balok'!$C$9:$N$424,4,FALSE)</f>
        <v>2200</v>
      </c>
    </row>
    <row r="7887">
      <c r="C7887" t="str">
        <v>Panjang netto</v>
      </c>
      <c r="D7887">
        <f>VLOOKUP(C7884,'Data Panjang Balok'!$C$9:$N$424,7,FALSE)</f>
        <v>2200</v>
      </c>
    </row>
    <row r="7888">
      <c r="C7888" t="str">
        <v>Kolom / balok kiri</v>
      </c>
      <c r="D7888">
        <f>VLOOKUP(C7884,'Data Panjang Balok'!$C$9:$N$424,9,FALSE)</f>
        <v>0</v>
      </c>
    </row>
    <row r="7889">
      <c r="C7889" t="str">
        <v>Kolom / balok kanan</v>
      </c>
      <c r="D7889">
        <f>VLOOKUP(C7884,'Data Panjang Balok'!$C$9:$N$424,10,FALSE)</f>
        <v>0</v>
      </c>
    </row>
    <row r="7890">
      <c r="C7890" t="str">
        <v>Jumlah</v>
      </c>
      <c r="D7890">
        <f>VLOOKUP(C7884,'Data Panjang Balok'!$C$9:$N$424,3,FALSE)</f>
        <v>1</v>
      </c>
    </row>
    <row r="7891">
      <c r="A7891" t="str">
        <f>A7884</f>
        <v>Lantai 2</v>
      </c>
      <c r="B7891">
        <f>B7884</f>
        <v>68</v>
      </c>
      <c r="C7891" t="str">
        <v>Tul Atas Tumpuan</v>
      </c>
      <c r="D7891">
        <f>VLOOKUP(D7884,'Detail Balok'!$C$10:$AU$110,4,FALSE)</f>
        <v>2</v>
      </c>
      <c r="E7891" t="str">
        <v>D</v>
      </c>
      <c r="F7891">
        <f>VLOOKUP(D7884,'Detail Balok'!$C$10:$AU$110,6,FALSE)</f>
        <v>13</v>
      </c>
      <c r="I7891" t="str">
        <v>(</v>
      </c>
      <c r="J7891">
        <f>+D7886/4/1000</f>
        <v>0.55</v>
      </c>
      <c r="K7891" t="str">
        <v>+</v>
      </c>
      <c r="L7891">
        <f>MAX(VLOOKUP(F7891,N$6:P$15,3,FALSE)/1000,2/3*D7888/1000)+F$16*F7891/1000</f>
        <v>0.156</v>
      </c>
      <c r="M7891" t="str">
        <v>=</v>
      </c>
      <c r="N7891">
        <f>J7891+L7891</f>
        <v>0.7060000000000001</v>
      </c>
      <c r="O7891" t="str">
        <v>+</v>
      </c>
      <c r="P7891">
        <f>D7891-D7892</f>
        <v>0</v>
      </c>
      <c r="Q7891" t="str">
        <v>x</v>
      </c>
      <c r="R7891">
        <f>IF(P7891&gt;0,$F$18*F7891/1000,0)</f>
        <v>0</v>
      </c>
      <c r="S7891" t="str">
        <v>)</v>
      </c>
      <c r="T7891" t="str">
        <v>x</v>
      </c>
      <c r="U7891">
        <f>0.006165*F7891^2</f>
        <v>1.041885</v>
      </c>
      <c r="X7891" t="str">
        <v>x</v>
      </c>
      <c r="Y7891">
        <f>D7890</f>
        <v>1</v>
      </c>
      <c r="Z7891" t="str">
        <v>=</v>
      </c>
      <c r="AA7891">
        <f>IF(AA7894=0,(D7891*N7891+P7891*R7891)*U7891*Y7891,0)</f>
        <v>0</v>
      </c>
    </row>
    <row r="7892">
      <c r="A7892" t="str">
        <f>A7884</f>
        <v>Lantai 2</v>
      </c>
      <c r="B7892">
        <f>B7884</f>
        <v>68</v>
      </c>
      <c r="C7892" t="str">
        <v>Tul Atas Lapangan</v>
      </c>
      <c r="D7892">
        <f>VLOOKUP(D7884,'Detail Balok'!$C$10:$AU$110,7,FALSE)</f>
        <v>2</v>
      </c>
      <c r="E7892" t="str">
        <v>D</v>
      </c>
      <c r="F7892">
        <f>VLOOKUP(D7884,'Detail Balok'!$C$10:$AU$110,9,FALSE)</f>
        <v>13</v>
      </c>
      <c r="I7892" t="str">
        <v>(</v>
      </c>
      <c r="J7892">
        <f>+D7886/2/1000</f>
        <v>1.1</v>
      </c>
      <c r="K7892" t="str">
        <v>+</v>
      </c>
      <c r="M7892" t="str">
        <v>=</v>
      </c>
      <c r="N7892">
        <f>J7892+L7892</f>
        <v>1.1</v>
      </c>
      <c r="O7892" t="str">
        <v>+</v>
      </c>
      <c r="P7892">
        <f>MAX(D7892-D7891,D7892-D7893)</f>
        <v>0</v>
      </c>
      <c r="Q7892" t="str">
        <v>x</v>
      </c>
      <c r="R7892">
        <f>IF(P7892&gt;0,2*(1-2*$F$19-1/2)*D7887/1000,0)</f>
        <v>0</v>
      </c>
      <c r="S7892" t="str">
        <v>)</v>
      </c>
      <c r="T7892" t="str">
        <v>x</v>
      </c>
      <c r="U7892">
        <f>0.006165*F7892^2</f>
        <v>1.041885</v>
      </c>
      <c r="X7892" t="str">
        <v>x</v>
      </c>
      <c r="Y7892">
        <f>D7890</f>
        <v>1</v>
      </c>
      <c r="Z7892" t="str">
        <v>=</v>
      </c>
      <c r="AA7892">
        <f>IF(AA7894=0,(D7892*N7892+P7892*R7892)*U7892*Y7892,0)</f>
        <v>0</v>
      </c>
    </row>
    <row r="7893">
      <c r="A7893" t="str">
        <f>A7884</f>
        <v>Lantai 2</v>
      </c>
      <c r="B7893">
        <f>B7884</f>
        <v>68</v>
      </c>
      <c r="C7893" t="str">
        <v>Tul Atas Tumpuan</v>
      </c>
      <c r="D7893">
        <f>VLOOKUP(D7884,'Detail Balok'!$C$10:$AU$110,10,FALSE)</f>
        <v>2</v>
      </c>
      <c r="E7893" t="str">
        <v>D</v>
      </c>
      <c r="F7893">
        <f>VLOOKUP(D7884,'Detail Balok'!$C$10:$AU$110,12,FALSE)</f>
        <v>13</v>
      </c>
      <c r="I7893" t="str">
        <v>(</v>
      </c>
      <c r="J7893">
        <f>+D7886/4/1000</f>
        <v>0.55</v>
      </c>
      <c r="K7893" t="str">
        <v>+</v>
      </c>
      <c r="L7893">
        <f>MAX(VLOOKUP(F7893,N$6:P$15,3,FALSE)/1000,2/3*D7888/1000)+F$16*F7893/1000</f>
        <v>0.156</v>
      </c>
      <c r="M7893" t="str">
        <v>=</v>
      </c>
      <c r="N7893">
        <f>J7893+L7893</f>
        <v>0.7060000000000001</v>
      </c>
      <c r="O7893" t="str">
        <v>+</v>
      </c>
      <c r="P7893">
        <f>D7893-D7892</f>
        <v>0</v>
      </c>
      <c r="Q7893" t="str">
        <v>x</v>
      </c>
      <c r="R7893">
        <f>IF(P7893&gt;0,$F$18*F7893/1000,0)</f>
        <v>0</v>
      </c>
      <c r="S7893" t="str">
        <v>)</v>
      </c>
      <c r="T7893" t="str">
        <v>x</v>
      </c>
      <c r="U7893">
        <f>0.006165*F7893^2</f>
        <v>1.041885</v>
      </c>
      <c r="X7893" t="str">
        <v>x</v>
      </c>
      <c r="Y7893">
        <f>D7890</f>
        <v>1</v>
      </c>
      <c r="Z7893" t="str">
        <v>=</v>
      </c>
      <c r="AA7893">
        <f>IF(AA7894=0,(D7893*N7893+P7893*R7893)*U7893*Y7893,0)</f>
        <v>0</v>
      </c>
    </row>
    <row r="7894">
      <c r="A7894" t="str">
        <f>A7884</f>
        <v>Lantai 2</v>
      </c>
      <c r="B7894">
        <f>B7884</f>
        <v>68</v>
      </c>
      <c r="D7894">
        <f>IF(AND(D7891=D7892,D7892=D7893,D7891=D7893),D7891,0)</f>
        <v>2</v>
      </c>
      <c r="E7894" t="str">
        <v>D</v>
      </c>
      <c r="F7894">
        <f>IF(AND(F7891=F7892,F7891=F7893,F7892=F7893),F7891,0)</f>
        <v>13</v>
      </c>
      <c r="L7894" t="str">
        <v>Total panjang per balok</v>
      </c>
      <c r="M7894" t="str">
        <v>=</v>
      </c>
      <c r="N7894">
        <f>IF(AND(D7891=D7892,D7891=D7893,D7892=D7893,F7891=F7892,F7891=F7893,F7892=F7893),SUM(N7891:N7893),0)</f>
        <v>2.512</v>
      </c>
      <c r="O7894" t="str">
        <v>+</v>
      </c>
      <c r="P7894">
        <f>IF(N7894&gt;12,ROUNDDOWN(N7894/12,0),0)</f>
        <v>0</v>
      </c>
      <c r="Q7894" t="str">
        <v>x</v>
      </c>
      <c r="R7894">
        <f>IF(P7894&gt;0,MAX(VLOOKUP(F7894,$D$6:$G$15,3,FALSE),600),0)/1000</f>
        <v>0</v>
      </c>
      <c r="T7894" t="str">
        <v>x</v>
      </c>
      <c r="U7894">
        <f>U7893</f>
        <v>1.041885</v>
      </c>
      <c r="V7894" t="str">
        <v>x</v>
      </c>
      <c r="W7894">
        <f>D7894</f>
        <v>2</v>
      </c>
      <c r="X7894" t="str">
        <v>x</v>
      </c>
      <c r="Y7894">
        <f>Y7893</f>
        <v>1</v>
      </c>
      <c r="Z7894" t="str">
        <v>=</v>
      </c>
      <c r="AA7894">
        <f>(N7894+P7894*R7894/1000)*U7894*W7894*Y7894</f>
        <v>5.23443024</v>
      </c>
    </row>
    <row r="7896">
      <c r="A7896" t="str">
        <f>A7884</f>
        <v>Lantai 2</v>
      </c>
      <c r="B7896">
        <f>B7884</f>
        <v>68</v>
      </c>
      <c r="C7896" t="str">
        <v>Tul Peminggang</v>
      </c>
      <c r="D7896">
        <f>VLOOKUP(D7884,'Detail Balok'!$C$10:$AU$110,13,FALSE)</f>
        <v>2</v>
      </c>
      <c r="E7896" t="str">
        <v>D</v>
      </c>
      <c r="F7896">
        <f>VLOOKUP(D7884,'Detail Balok'!$C$10:$AU$110,15,FALSE)</f>
        <v>8</v>
      </c>
      <c r="J7896">
        <f>+D7886/1000</f>
        <v>2.2</v>
      </c>
      <c r="K7896" t="str">
        <v>+</v>
      </c>
      <c r="L7896">
        <f>2*$F$16*F7896/1000</f>
        <v>0.192</v>
      </c>
      <c r="M7896" t="str">
        <v>=</v>
      </c>
      <c r="N7896">
        <f>J7896+L7896</f>
        <v>2.3920000000000003</v>
      </c>
      <c r="O7896" t="str">
        <v>+</v>
      </c>
      <c r="P7896">
        <f>IF(N7896&gt;12,ROUNDDOWN(N7896/12,0),0)</f>
        <v>0</v>
      </c>
      <c r="Q7896" t="str">
        <v>x</v>
      </c>
      <c r="R7896">
        <f>IF(P7896&gt;0,MAX(VLOOKUP(F7896,$D$6:$G$15,3,FALSE),600),0)/1000</f>
        <v>0</v>
      </c>
      <c r="T7896" t="str">
        <v>x</v>
      </c>
      <c r="U7896">
        <f>0.006165*F7896^2</f>
        <v>0.39456</v>
      </c>
      <c r="V7896" t="str">
        <v>x</v>
      </c>
      <c r="W7896">
        <f>+D7896</f>
        <v>2</v>
      </c>
      <c r="X7896" t="str">
        <v>x</v>
      </c>
      <c r="Y7896">
        <f>D7890</f>
        <v>1</v>
      </c>
      <c r="Z7896" t="str">
        <v>=</v>
      </c>
      <c r="AA7896">
        <f>(N7896+P7896*R7896/1000)*U7896*W7896*Y7896</f>
        <v>1.8875750400000004</v>
      </c>
    </row>
    <row r="7899">
      <c r="A7899" t="str">
        <f>A7884</f>
        <v>Lantai 2</v>
      </c>
      <c r="B7899">
        <f>B7884</f>
        <v>68</v>
      </c>
      <c r="C7899" t="str">
        <v>Tul Bawah Tumpuan</v>
      </c>
      <c r="D7899">
        <f>VLOOKUP(D7884,'Detail Balok'!$C$10:$AU$110,22,FALSE)</f>
        <v>2</v>
      </c>
      <c r="E7899" t="str">
        <v>D</v>
      </c>
      <c r="F7899">
        <f>VLOOKUP(D7884,'Detail Balok'!$C$10:$AU$110,24,FALSE)</f>
        <v>13</v>
      </c>
      <c r="I7899" t="str">
        <v>(</v>
      </c>
      <c r="J7899">
        <f>+J7891</f>
        <v>0.55</v>
      </c>
      <c r="K7899" t="str">
        <v>+</v>
      </c>
      <c r="L7899">
        <f>MAX(VLOOKUP(F7899,N$6:P$15,3,FALSE)/1000,2/3*D7889/1000)+F$16*F7899/1000</f>
        <v>0.156</v>
      </c>
      <c r="M7899" t="str">
        <v>=</v>
      </c>
      <c r="N7899">
        <f>J7899+L7899</f>
        <v>0.7060000000000001</v>
      </c>
      <c r="O7899" t="str">
        <v>+</v>
      </c>
      <c r="P7899">
        <f>D7899-D7900</f>
        <v>0</v>
      </c>
      <c r="Q7899" t="str">
        <v>x</v>
      </c>
      <c r="R7899">
        <f>IF(P7899&gt;0,$F$18*F7899/1000,0)</f>
        <v>0</v>
      </c>
      <c r="S7899" t="str">
        <v>)</v>
      </c>
      <c r="T7899" t="str">
        <v>x</v>
      </c>
      <c r="U7899">
        <f>0.006165*F7899^2</f>
        <v>1.041885</v>
      </c>
      <c r="X7899" t="str">
        <v>x</v>
      </c>
      <c r="Y7899">
        <f>D7890</f>
        <v>1</v>
      </c>
      <c r="Z7899" t="str">
        <v>=</v>
      </c>
      <c r="AA7899">
        <f>IF(AA7902=0,(D7899*N7899+P7899*R7899)*U7899*Y7899,0)</f>
        <v>0</v>
      </c>
    </row>
    <row r="7900">
      <c r="A7900" t="str">
        <f>A7884</f>
        <v>Lantai 2</v>
      </c>
      <c r="B7900">
        <f>B7884</f>
        <v>68</v>
      </c>
      <c r="C7900" t="str">
        <v>Tul Bawah Lapangan</v>
      </c>
      <c r="D7900">
        <f>VLOOKUP(D7884,'Detail Balok'!$C$10:$AU$110,25,FALSE)</f>
        <v>2</v>
      </c>
      <c r="E7900" t="str">
        <v>D</v>
      </c>
      <c r="F7900">
        <f>VLOOKUP(D7884,'Detail Balok'!$C$10:$AU$110,27,FALSE)</f>
        <v>13</v>
      </c>
      <c r="I7900" t="str">
        <v>(</v>
      </c>
      <c r="J7900">
        <f>+J7892</f>
        <v>1.1</v>
      </c>
      <c r="K7900" t="str">
        <v>+</v>
      </c>
      <c r="M7900" t="str">
        <v>=</v>
      </c>
      <c r="N7900">
        <f>J7900+L7900</f>
        <v>1.1</v>
      </c>
      <c r="O7900" t="str">
        <v>+</v>
      </c>
      <c r="P7900">
        <f>MAX(D7900-D7899,D7900-D7901)</f>
        <v>0</v>
      </c>
      <c r="Q7900" t="str">
        <v>x</v>
      </c>
      <c r="R7900">
        <f>IF(P7900&gt;0,2*(1-2*$F$19-1/2)*D7887/1000,0)</f>
        <v>0</v>
      </c>
      <c r="S7900" t="str">
        <v>)</v>
      </c>
      <c r="T7900" t="str">
        <v>x</v>
      </c>
      <c r="U7900">
        <f>0.006165*F7900^2</f>
        <v>1.041885</v>
      </c>
      <c r="X7900" t="str">
        <v>x</v>
      </c>
      <c r="Y7900">
        <f>D7890</f>
        <v>1</v>
      </c>
      <c r="Z7900" t="str">
        <v>=</v>
      </c>
      <c r="AA7900">
        <f>IF(AA7902=0,(D7900*N7900+P7900*R7900)*U7900*Y7900,0)</f>
        <v>0</v>
      </c>
    </row>
    <row r="7901">
      <c r="A7901" t="str">
        <f>A7884</f>
        <v>Lantai 2</v>
      </c>
      <c r="B7901">
        <f>B7884</f>
        <v>68</v>
      </c>
      <c r="C7901" t="str">
        <v>Tul Bawah Tumpuan</v>
      </c>
      <c r="D7901">
        <f>VLOOKUP(D7884,'Detail Balok'!$C$10:$AU$110,28,FALSE)</f>
        <v>2</v>
      </c>
      <c r="E7901" t="str">
        <v>D</v>
      </c>
      <c r="F7901">
        <f>VLOOKUP(D7884,'Detail Balok'!$C$10:$AU$110,30,FALSE)</f>
        <v>13</v>
      </c>
      <c r="I7901" t="str">
        <v>(</v>
      </c>
      <c r="J7901">
        <f>+J7893</f>
        <v>0.55</v>
      </c>
      <c r="K7901" t="str">
        <v>+</v>
      </c>
      <c r="L7901">
        <f>MAX(VLOOKUP(F7901,N$6:P$15,3,FALSE)/1000,2/3*D7889/1000)+F$16*F7901/1000</f>
        <v>0.156</v>
      </c>
      <c r="M7901" t="str">
        <v>=</v>
      </c>
      <c r="N7901">
        <f>J7901+L7901</f>
        <v>0.7060000000000001</v>
      </c>
      <c r="O7901" t="str">
        <v>+</v>
      </c>
      <c r="P7901">
        <f>D7901-D7900</f>
        <v>0</v>
      </c>
      <c r="Q7901" t="str">
        <v>x</v>
      </c>
      <c r="R7901">
        <f>IF(P7901&gt;0,$F$18*F7901/1000,0)</f>
        <v>0</v>
      </c>
      <c r="S7901" t="str">
        <v>)</v>
      </c>
      <c r="T7901" t="str">
        <v>x</v>
      </c>
      <c r="U7901">
        <f>0.006165*F7901^2</f>
        <v>1.041885</v>
      </c>
      <c r="X7901" t="str">
        <v>x</v>
      </c>
      <c r="Y7901">
        <f>D7890</f>
        <v>1</v>
      </c>
      <c r="Z7901" t="str">
        <v>=</v>
      </c>
      <c r="AA7901">
        <f>IF(AA7902=0,(D7901*N7901+P7901*R7901)*U7901*Y7901,0)</f>
        <v>0</v>
      </c>
    </row>
    <row r="7902">
      <c r="A7902" t="str">
        <f>A7884</f>
        <v>Lantai 2</v>
      </c>
      <c r="B7902">
        <f>B7884</f>
        <v>68</v>
      </c>
      <c r="D7902">
        <f>IF(AND(D7899=D7900,D7900=D7901,D7899=D7901),D7899,0)</f>
        <v>2</v>
      </c>
      <c r="E7902" t="str">
        <v>D</v>
      </c>
      <c r="F7902">
        <f>IF(AND(F7899=F7900,F7899=F7901,F7900=F7901),F7899,0)</f>
        <v>13</v>
      </c>
      <c r="L7902" t="str">
        <v>Total panjang per balok</v>
      </c>
      <c r="M7902" t="str">
        <v>=</v>
      </c>
      <c r="N7902">
        <f>IF(AND(D7899=D7900,D7899=D7901,D7900=D7901,F7899=F7900,F7899=F7901,F7900=F7901),SUM(N7899:N7901),0)</f>
        <v>2.512</v>
      </c>
      <c r="O7902" t="str">
        <v>+</v>
      </c>
      <c r="P7902">
        <f>IF(N7902&gt;12,ROUNDDOWN(N7902/12,0),0)</f>
        <v>0</v>
      </c>
      <c r="Q7902" t="str">
        <v>x</v>
      </c>
      <c r="R7902">
        <f>IF(P7902&gt;0,MAX(VLOOKUP(F7902,$D$6:$G$15,3,FALSE),600),0)/1000</f>
        <v>0</v>
      </c>
      <c r="T7902" t="str">
        <v>x</v>
      </c>
      <c r="U7902">
        <f>U7901</f>
        <v>1.041885</v>
      </c>
      <c r="V7902" t="str">
        <v>x</v>
      </c>
      <c r="W7902">
        <f>D7902</f>
        <v>2</v>
      </c>
      <c r="X7902" t="str">
        <v>x</v>
      </c>
      <c r="Y7902">
        <f>Y7901</f>
        <v>1</v>
      </c>
      <c r="Z7902" t="str">
        <v>=</v>
      </c>
      <c r="AA7902">
        <f>(N7902+P7902*R7902/1000)*U7902*W7902*Y7902</f>
        <v>5.23443024</v>
      </c>
    </row>
    <row r="7904">
      <c r="A7904" t="str">
        <f>A7884</f>
        <v>Lantai 2</v>
      </c>
      <c r="B7904">
        <f>B7884</f>
        <v>68</v>
      </c>
      <c r="C7904" t="str">
        <v>Sengkang Tumpuan</v>
      </c>
      <c r="D7904">
        <f>VLOOKUP(D7884,'Detail Balok'!$C$10:$AU$110,31,FALSE)</f>
        <v>0</v>
      </c>
      <c r="E7904" t="str">
        <v>D</v>
      </c>
      <c r="F7904">
        <f>VLOOKUP(D7884,'Detail Balok'!$C$10:$AU$110,33,FALSE)</f>
        <v>8</v>
      </c>
      <c r="G7904" t="str">
        <v>-</v>
      </c>
      <c r="H7904">
        <f>VLOOKUP(D7884,'Detail Balok'!$C$10:$AU$110,35,FALSE)</f>
        <v>75</v>
      </c>
      <c r="J7904">
        <f>(IF(D7904=0,(2*(D7885+G7885))-(F$5*8),IF(D7904=3,(2*(D7885+G7885))-(F$5*8)+(G7885-2*F$5),IF(D7904=4,(2*(D7885+G7885))-(F$5*8)+2*(G7885-2*F$5)))))/1000</f>
        <v>0.92</v>
      </c>
      <c r="K7904" t="str">
        <v>+</v>
      </c>
      <c r="L7904">
        <f>IF(D7904=0,2*MAX(6*F7904,75),(D7904-1)*2*MAX(6*F7904,75))/1000</f>
        <v>0.15</v>
      </c>
      <c r="M7904" t="str">
        <v>=</v>
      </c>
      <c r="N7904">
        <f>J7904+L7904</f>
        <v>1.07</v>
      </c>
      <c r="T7904" t="str">
        <v>x</v>
      </c>
      <c r="U7904">
        <f>0.006165*F7904^2</f>
        <v>0.39456</v>
      </c>
      <c r="V7904" t="str">
        <v>x</v>
      </c>
      <c r="W7904">
        <f>IF(D7887&gt;4*G7885,ROUND(MAX(D7887/4,2*G7885)/H7904,0)+1,ROUND(D7887/H7904,0)+1)</f>
        <v>13</v>
      </c>
      <c r="X7904" t="str">
        <v>x</v>
      </c>
      <c r="Y7904">
        <f>D7890</f>
        <v>1</v>
      </c>
      <c r="Z7904" t="str">
        <v>=</v>
      </c>
      <c r="AA7904">
        <f>N7904*U7904*W7904*Y7904</f>
        <v>5.4883296</v>
      </c>
    </row>
    <row r="7905">
      <c r="A7905" t="str">
        <f>A7884</f>
        <v>Lantai 2</v>
      </c>
      <c r="B7905">
        <f>B7884</f>
        <v>68</v>
      </c>
      <c r="C7905" t="str">
        <v>Sengkang Lapangan</v>
      </c>
      <c r="D7905">
        <f>VLOOKUP(D7884,'Detail Balok'!$C$10:$AU$110,36,FALSE)</f>
        <v>0</v>
      </c>
      <c r="E7905" t="str">
        <v>D</v>
      </c>
      <c r="F7905">
        <f>VLOOKUP(D7884,'Detail Balok'!$C$10:$AU$110,38,FALSE)</f>
        <v>8</v>
      </c>
      <c r="G7905" t="str">
        <v>-</v>
      </c>
      <c r="H7905">
        <f>VLOOKUP(D7884,'Detail Balok'!$C$10:$AU$110,40,FALSE)</f>
        <v>75</v>
      </c>
      <c r="J7905">
        <f>(IF(D7905=0,(2*(D7885+G7885))-(F$5*8),IF(D7905=3,(2*(D7885+G7885))-(F$5*8)+(G7885-2*F$5),IF(D7905=4,(2*(D7885+G7885))-(F$5*8)+2*(G7885-2*F$5)))))/1000</f>
        <v>0.92</v>
      </c>
      <c r="K7905" t="str">
        <v>+</v>
      </c>
      <c r="L7905">
        <f>IF(D7905=0,2*MAX(6*F7905,75),(D7905-1)*2*MAX(6*F7905,75))/1000</f>
        <v>0.15</v>
      </c>
      <c r="M7905" t="str">
        <v>=</v>
      </c>
      <c r="N7905">
        <f>J7905+L7905</f>
        <v>1.07</v>
      </c>
      <c r="T7905" t="str">
        <v>x</v>
      </c>
      <c r="U7905">
        <f>0.006165*F7905^2</f>
        <v>0.39456</v>
      </c>
      <c r="V7905" t="str">
        <v>x</v>
      </c>
      <c r="W7905">
        <f>IF(D7887-MAX(D7887/4,2*G7885)*2&gt;0,ROUND((D7887-MAX(D7887/4,2*G7885)*2)/H7905,0),0)</f>
        <v>5</v>
      </c>
      <c r="X7905" t="str">
        <v>x</v>
      </c>
      <c r="Y7905">
        <f>D7890</f>
        <v>1</v>
      </c>
      <c r="Z7905" t="str">
        <v>=</v>
      </c>
      <c r="AA7905">
        <f>N7905*U7905*W7905*Y7905</f>
        <v>2.1108960000000003</v>
      </c>
    </row>
    <row r="7906">
      <c r="A7906" t="str">
        <f>A7884</f>
        <v>Lantai 2</v>
      </c>
      <c r="B7906">
        <f>B7884</f>
        <v>68</v>
      </c>
      <c r="C7906" t="str">
        <v>Sengkang Tumpuan</v>
      </c>
      <c r="D7906">
        <f>VLOOKUP(D7884,'Detail Balok'!$C$10:$AU$110,41,FALSE)</f>
        <v>0</v>
      </c>
      <c r="E7906" t="str">
        <v>D</v>
      </c>
      <c r="F7906">
        <f>VLOOKUP(D7884,'Detail Balok'!$C$10:$AU$110,43,FALSE)</f>
        <v>8</v>
      </c>
      <c r="G7906" t="str">
        <v>-</v>
      </c>
      <c r="H7906">
        <f>VLOOKUP(D7884,'Detail Balok'!$C$10:$AU$110,45,FALSE)</f>
        <v>75</v>
      </c>
      <c r="J7906">
        <f>(IF(D7906=0,(2*(D7885+G7885))-(F$5*8),IF(D7906=3,(2*(D7885+G7885))-(F$5*8)+(G7885-2*F$5),IF(D7906=4,(2*(D7885+G7885))-(F$5*8)+2*(G7885-2*F$5)))))/1000</f>
        <v>0.92</v>
      </c>
      <c r="K7906" t="str">
        <v>+</v>
      </c>
      <c r="L7906">
        <f>IF(D7906=0,2*MAX(6*F7906,75),(D7906-1)*2*MAX(6*F7906,75))/1000</f>
        <v>0.15</v>
      </c>
      <c r="M7906" t="str">
        <v>=</v>
      </c>
      <c r="N7906">
        <f>J7906+L7906</f>
        <v>1.07</v>
      </c>
      <c r="T7906" t="str">
        <v>x</v>
      </c>
      <c r="U7906">
        <f>0.006165*F7906^2</f>
        <v>0.39456</v>
      </c>
      <c r="V7906" t="str">
        <v>x</v>
      </c>
      <c r="W7906">
        <f>IF(D7887&gt;4*G7885,ROUND(MAX(D7887/4,2*G7885)/H7906,0)+1,0)</f>
        <v>13</v>
      </c>
      <c r="X7906" t="str">
        <v>x</v>
      </c>
      <c r="Y7906">
        <f>D7890</f>
        <v>1</v>
      </c>
      <c r="Z7906" t="str">
        <v>=</v>
      </c>
      <c r="AA7906">
        <f>N7906*U7906*W7906*Y7906</f>
        <v>5.4883296</v>
      </c>
    </row>
    <row r="7908">
      <c r="A7908" t="str">
        <f>A7884</f>
        <v>Lantai 2</v>
      </c>
      <c r="B7908">
        <f>B7884</f>
        <v>68</v>
      </c>
      <c r="C7908" t="str">
        <v>Kait Horizontal Tump.</v>
      </c>
      <c r="D7908">
        <f>VLOOKUP(D7884,'Detail Balok'!$C$10:$BJ$110,46,FALSE)</f>
        <v>0</v>
      </c>
      <c r="E7908" t="str">
        <v>D</v>
      </c>
      <c r="F7908">
        <f>VLOOKUP(D7884,'Detail Balok'!$C$10:$BJ$110,48,FALSE)</f>
        <v>0</v>
      </c>
      <c r="G7908" t="str">
        <v>-</v>
      </c>
      <c r="H7908">
        <f>VLOOKUP(D7884,'Detail Balok'!$C$10:$BJ$110,50,FALSE)</f>
        <v>100</v>
      </c>
      <c r="J7908">
        <f>(D7885-2*F$5)/1000</f>
        <v>0.09</v>
      </c>
      <c r="K7908" t="str">
        <v>+</v>
      </c>
      <c r="L7908">
        <f>IF(D7908=0,2*MAX(6*F7908,75),(D7908-1)*2*MAX(6*F7908,75))/1000</f>
        <v>0.15</v>
      </c>
      <c r="M7908" t="str">
        <v>=</v>
      </c>
      <c r="N7908">
        <f>J7908+L7908</f>
        <v>0.24</v>
      </c>
      <c r="T7908" t="str">
        <v>x</v>
      </c>
      <c r="U7908">
        <f>0.006165*F7908^2</f>
        <v>0</v>
      </c>
      <c r="V7908" t="str">
        <v>x</v>
      </c>
      <c r="W7908">
        <f>W7904</f>
        <v>13</v>
      </c>
      <c r="X7908" t="str">
        <v>x</v>
      </c>
      <c r="Y7908">
        <f>D7894</f>
        <v>2</v>
      </c>
      <c r="Z7908" t="str">
        <v>=</v>
      </c>
      <c r="AA7908">
        <f>N7908*U7908*W7908*Y7908</f>
        <v>0</v>
      </c>
    </row>
    <row r="7909">
      <c r="A7909" t="str">
        <f>A7884</f>
        <v>Lantai 2</v>
      </c>
      <c r="B7909">
        <f>B7884</f>
        <v>68</v>
      </c>
      <c r="C7909" t="str">
        <v>Kait Horizontal Lap.</v>
      </c>
      <c r="D7909">
        <f>VLOOKUP(D7884,'Detail Balok'!$C$10:$BJ$110,51,FALSE)</f>
        <v>0</v>
      </c>
      <c r="E7909" t="str">
        <v>D</v>
      </c>
      <c r="F7909">
        <f>VLOOKUP(D7884,'Detail Balok'!$C$10:$BJ$110,53,FALSE)</f>
        <v>0</v>
      </c>
      <c r="G7909" t="str">
        <v>-</v>
      </c>
      <c r="H7909">
        <f>VLOOKUP(D7884,'Detail Balok'!$C$10:$BJ$110,55,FALSE)</f>
        <v>100</v>
      </c>
      <c r="J7909">
        <f>(D7885-2*F$5)/1000</f>
        <v>0.09</v>
      </c>
      <c r="K7909" t="str">
        <v>+</v>
      </c>
      <c r="L7909">
        <f>IF(D7909=0,2*MAX(6*F7909,75),(D7909-1)*2*MAX(6*F7909,75))/1000</f>
        <v>0.15</v>
      </c>
      <c r="M7909" t="str">
        <v>=</v>
      </c>
      <c r="N7909">
        <f>J7909+L7909</f>
        <v>0.24</v>
      </c>
      <c r="T7909" t="str">
        <v>x</v>
      </c>
      <c r="U7909">
        <f>0.006165*F7909^2</f>
        <v>0</v>
      </c>
      <c r="V7909" t="str">
        <v>x</v>
      </c>
      <c r="W7909">
        <f>W7905</f>
        <v>5</v>
      </c>
      <c r="X7909" t="str">
        <v>x</v>
      </c>
      <c r="Y7909">
        <f>D7894</f>
        <v>2</v>
      </c>
      <c r="Z7909" t="str">
        <v>=</v>
      </c>
      <c r="AA7909">
        <f>N7909*U7909*W7909*Y7909</f>
        <v>0</v>
      </c>
    </row>
    <row r="7910">
      <c r="A7910" t="str">
        <f>A7884</f>
        <v>Lantai 2</v>
      </c>
      <c r="B7910">
        <f>B7884</f>
        <v>68</v>
      </c>
      <c r="C7910" t="str">
        <v>Kait Horizontal Tump.</v>
      </c>
      <c r="D7910">
        <f>VLOOKUP(D7884,'Detail Balok'!$C$10:$BJ$110,56,FALSE)</f>
        <v>0</v>
      </c>
      <c r="E7910" t="str">
        <v>D</v>
      </c>
      <c r="F7910">
        <f>VLOOKUP(D7884,'Detail Balok'!$C$10:$BJ$110,58,FALSE)</f>
        <v>0</v>
      </c>
      <c r="G7910" t="str">
        <v>-</v>
      </c>
      <c r="H7910">
        <f>VLOOKUP(D7884,'Detail Balok'!$C$10:$BJ$110,60,FALSE)</f>
        <v>100</v>
      </c>
      <c r="J7910">
        <f>(D7885-2*F$5)/1000</f>
        <v>0.09</v>
      </c>
      <c r="K7910" t="str">
        <v>+</v>
      </c>
      <c r="L7910">
        <f>IF(D7910=0,2*MAX(6*F7910,75),(D7910-1)*2*MAX(6*F7910,75))/1000</f>
        <v>0.15</v>
      </c>
      <c r="M7910" t="str">
        <v>=</v>
      </c>
      <c r="N7910">
        <f>J7910+L7910</f>
        <v>0.24</v>
      </c>
      <c r="T7910" t="str">
        <v>x</v>
      </c>
      <c r="U7910">
        <f>0.006165*F7910^2</f>
        <v>0</v>
      </c>
      <c r="V7910" t="str">
        <v>x</v>
      </c>
      <c r="W7910">
        <f>W7906</f>
        <v>13</v>
      </c>
      <c r="X7910" t="str">
        <v>x</v>
      </c>
      <c r="Y7910">
        <f>D7894</f>
        <v>2</v>
      </c>
      <c r="Z7910" t="str">
        <v>=</v>
      </c>
      <c r="AA7910">
        <f>N7910*U7910*W7910*Y7910</f>
        <v>0</v>
      </c>
    </row>
    <row r="7914">
      <c r="A7914" t="str">
        <f>A7884</f>
        <v>Lantai 2</v>
      </c>
      <c r="B7914">
        <f>B7884+1</f>
        <v>69</v>
      </c>
      <c r="C7914" t="str">
        <f>CONCATENATE(A7914," no. ",B7914)</f>
        <v>Lantai 2 no. 69</v>
      </c>
      <c r="D7914" t="str">
        <f>VLOOKUP(C7914,'Data Panjang Balok'!$C$9:$N$424,2,FALSE)</f>
        <v>B1745-1</v>
      </c>
    </row>
    <row r="7915">
      <c r="C7915" t="str">
        <v>Dimensi</v>
      </c>
      <c r="D7915">
        <f>VLOOKUP(D7914,'Detail Balok'!$C$10:$AU$110,2,FALSE)</f>
        <v>170</v>
      </c>
      <c r="F7915" t="str">
        <v>x</v>
      </c>
      <c r="G7915">
        <f>VLOOKUP(D7914,'Detail Balok'!$C$10:$AU$110,3,FALSE)</f>
        <v>450</v>
      </c>
    </row>
    <row r="7916">
      <c r="C7916" t="str">
        <v>Panjang as ke as</v>
      </c>
      <c r="D7916">
        <f>VLOOKUP(C7914,'Data Panjang Balok'!$C$9:$N$424,4,FALSE)</f>
        <v>3500</v>
      </c>
    </row>
    <row r="7917">
      <c r="C7917" t="str">
        <v>Panjang netto</v>
      </c>
      <c r="D7917">
        <f>VLOOKUP(C7914,'Data Panjang Balok'!$C$9:$N$424,7,FALSE)</f>
        <v>3500</v>
      </c>
    </row>
    <row r="7918">
      <c r="C7918" t="str">
        <v>Kolom / balok kiri</v>
      </c>
      <c r="D7918">
        <f>VLOOKUP(C7914,'Data Panjang Balok'!$C$9:$N$424,9,FALSE)</f>
        <v>0</v>
      </c>
    </row>
    <row r="7919">
      <c r="C7919" t="str">
        <v>Kolom / balok kanan</v>
      </c>
      <c r="D7919">
        <f>VLOOKUP(C7914,'Data Panjang Balok'!$C$9:$N$424,10,FALSE)</f>
        <v>0</v>
      </c>
    </row>
    <row r="7920">
      <c r="C7920" t="str">
        <v>Jumlah</v>
      </c>
      <c r="D7920">
        <f>VLOOKUP(C7914,'Data Panjang Balok'!$C$9:$N$424,3,FALSE)</f>
        <v>1</v>
      </c>
    </row>
    <row r="7921">
      <c r="A7921" t="str">
        <f>A7914</f>
        <v>Lantai 2</v>
      </c>
      <c r="B7921">
        <f>B7914</f>
        <v>69</v>
      </c>
      <c r="C7921" t="str">
        <v>Tul Atas Tumpuan</v>
      </c>
      <c r="D7921">
        <f>VLOOKUP(D7914,'Detail Balok'!$C$10:$AU$110,4,FALSE)</f>
        <v>2</v>
      </c>
      <c r="E7921" t="str">
        <v>D</v>
      </c>
      <c r="F7921">
        <f>VLOOKUP(D7914,'Detail Balok'!$C$10:$AU$110,6,FALSE)</f>
        <v>13</v>
      </c>
      <c r="I7921" t="str">
        <v>(</v>
      </c>
      <c r="J7921">
        <f>+D7916/4/1000</f>
        <v>0.875</v>
      </c>
      <c r="K7921" t="str">
        <v>+</v>
      </c>
      <c r="L7921">
        <f>MAX(VLOOKUP(F7921,N$6:P$15,3,FALSE)/1000,2/3*D7918/1000)+F$16*F7921/1000</f>
        <v>0.156</v>
      </c>
      <c r="M7921" t="str">
        <v>=</v>
      </c>
      <c r="N7921">
        <f>J7921+L7921</f>
        <v>1.031</v>
      </c>
      <c r="O7921" t="str">
        <v>+</v>
      </c>
      <c r="P7921">
        <f>D7921-D7922</f>
        <v>0</v>
      </c>
      <c r="Q7921" t="str">
        <v>x</v>
      </c>
      <c r="R7921">
        <f>IF(P7921&gt;0,$F$18*F7921/1000,0)</f>
        <v>0</v>
      </c>
      <c r="S7921" t="str">
        <v>)</v>
      </c>
      <c r="T7921" t="str">
        <v>x</v>
      </c>
      <c r="U7921">
        <f>0.006165*F7921^2</f>
        <v>1.041885</v>
      </c>
      <c r="X7921" t="str">
        <v>x</v>
      </c>
      <c r="Y7921">
        <f>D7920</f>
        <v>1</v>
      </c>
      <c r="Z7921" t="str">
        <v>=</v>
      </c>
      <c r="AA7921">
        <f>IF(AA7924=0,(D7921*N7921+P7921*R7921)*U7921*Y7921,0)</f>
        <v>0</v>
      </c>
    </row>
    <row r="7922">
      <c r="A7922" t="str">
        <f>A7914</f>
        <v>Lantai 2</v>
      </c>
      <c r="B7922">
        <f>B7914</f>
        <v>69</v>
      </c>
      <c r="C7922" t="str">
        <v>Tul Atas Lapangan</v>
      </c>
      <c r="D7922">
        <f>VLOOKUP(D7914,'Detail Balok'!$C$10:$AU$110,7,FALSE)</f>
        <v>2</v>
      </c>
      <c r="E7922" t="str">
        <v>D</v>
      </c>
      <c r="F7922">
        <f>VLOOKUP(D7914,'Detail Balok'!$C$10:$AU$110,9,FALSE)</f>
        <v>13</v>
      </c>
      <c r="I7922" t="str">
        <v>(</v>
      </c>
      <c r="J7922">
        <f>+D7916/2/1000</f>
        <v>1.75</v>
      </c>
      <c r="K7922" t="str">
        <v>+</v>
      </c>
      <c r="M7922" t="str">
        <v>=</v>
      </c>
      <c r="N7922">
        <f>J7922+L7922</f>
        <v>1.75</v>
      </c>
      <c r="O7922" t="str">
        <v>+</v>
      </c>
      <c r="P7922">
        <f>MAX(D7922-D7921,D7922-D7923)</f>
        <v>0</v>
      </c>
      <c r="Q7922" t="str">
        <v>x</v>
      </c>
      <c r="R7922">
        <f>IF(P7922&gt;0,2*(1-2*$F$19-1/2)*D7917/1000,0)</f>
        <v>0</v>
      </c>
      <c r="S7922" t="str">
        <v>)</v>
      </c>
      <c r="T7922" t="str">
        <v>x</v>
      </c>
      <c r="U7922">
        <f>0.006165*F7922^2</f>
        <v>1.041885</v>
      </c>
      <c r="X7922" t="str">
        <v>x</v>
      </c>
      <c r="Y7922">
        <f>D7920</f>
        <v>1</v>
      </c>
      <c r="Z7922" t="str">
        <v>=</v>
      </c>
      <c r="AA7922">
        <f>IF(AA7924=0,(D7922*N7922+P7922*R7922)*U7922*Y7922,0)</f>
        <v>0</v>
      </c>
    </row>
    <row r="7923">
      <c r="A7923" t="str">
        <f>A7914</f>
        <v>Lantai 2</v>
      </c>
      <c r="B7923">
        <f>B7914</f>
        <v>69</v>
      </c>
      <c r="C7923" t="str">
        <v>Tul Atas Tumpuan</v>
      </c>
      <c r="D7923">
        <f>VLOOKUP(D7914,'Detail Balok'!$C$10:$AU$110,10,FALSE)</f>
        <v>2</v>
      </c>
      <c r="E7923" t="str">
        <v>D</v>
      </c>
      <c r="F7923">
        <f>VLOOKUP(D7914,'Detail Balok'!$C$10:$AU$110,12,FALSE)</f>
        <v>13</v>
      </c>
      <c r="I7923" t="str">
        <v>(</v>
      </c>
      <c r="J7923">
        <f>+D7916/4/1000</f>
        <v>0.875</v>
      </c>
      <c r="K7923" t="str">
        <v>+</v>
      </c>
      <c r="L7923">
        <f>MAX(VLOOKUP(F7923,N$6:P$15,3,FALSE)/1000,2/3*D7918/1000)+F$16*F7923/1000</f>
        <v>0.156</v>
      </c>
      <c r="M7923" t="str">
        <v>=</v>
      </c>
      <c r="N7923">
        <f>J7923+L7923</f>
        <v>1.031</v>
      </c>
      <c r="O7923" t="str">
        <v>+</v>
      </c>
      <c r="P7923">
        <f>D7923-D7922</f>
        <v>0</v>
      </c>
      <c r="Q7923" t="str">
        <v>x</v>
      </c>
      <c r="R7923">
        <f>IF(P7923&gt;0,$F$18*F7923/1000,0)</f>
        <v>0</v>
      </c>
      <c r="S7923" t="str">
        <v>)</v>
      </c>
      <c r="T7923" t="str">
        <v>x</v>
      </c>
      <c r="U7923">
        <f>0.006165*F7923^2</f>
        <v>1.041885</v>
      </c>
      <c r="X7923" t="str">
        <v>x</v>
      </c>
      <c r="Y7923">
        <f>D7920</f>
        <v>1</v>
      </c>
      <c r="Z7923" t="str">
        <v>=</v>
      </c>
      <c r="AA7923">
        <f>IF(AA7924=0,(D7923*N7923+P7923*R7923)*U7923*Y7923,0)</f>
        <v>0</v>
      </c>
    </row>
    <row r="7924">
      <c r="A7924" t="str">
        <f>A7914</f>
        <v>Lantai 2</v>
      </c>
      <c r="B7924">
        <f>B7914</f>
        <v>69</v>
      </c>
      <c r="D7924">
        <f>IF(AND(D7921=D7922,D7922=D7923,D7921=D7923),D7921,0)</f>
        <v>2</v>
      </c>
      <c r="E7924" t="str">
        <v>D</v>
      </c>
      <c r="F7924">
        <f>IF(AND(F7921=F7922,F7921=F7923,F7922=F7923),F7921,0)</f>
        <v>13</v>
      </c>
      <c r="L7924" t="str">
        <v>Total panjang per balok</v>
      </c>
      <c r="M7924" t="str">
        <v>=</v>
      </c>
      <c r="N7924">
        <f>IF(AND(D7921=D7922,D7921=D7923,D7922=D7923,F7921=F7922,F7921=F7923,F7922=F7923),SUM(N7921:N7923),0)</f>
        <v>3.8119999999999994</v>
      </c>
      <c r="O7924" t="str">
        <v>+</v>
      </c>
      <c r="P7924">
        <f>IF(N7924&gt;12,ROUNDDOWN(N7924/12,0),0)</f>
        <v>0</v>
      </c>
      <c r="Q7924" t="str">
        <v>x</v>
      </c>
      <c r="R7924">
        <f>IF(P7924&gt;0,MAX(VLOOKUP(F7924,$D$6:$G$15,3,FALSE),600),0)/1000</f>
        <v>0</v>
      </c>
      <c r="T7924" t="str">
        <v>x</v>
      </c>
      <c r="U7924">
        <f>U7923</f>
        <v>1.041885</v>
      </c>
      <c r="V7924" t="str">
        <v>x</v>
      </c>
      <c r="W7924">
        <f>D7924</f>
        <v>2</v>
      </c>
      <c r="X7924" t="str">
        <v>x</v>
      </c>
      <c r="Y7924">
        <f>Y7923</f>
        <v>1</v>
      </c>
      <c r="Z7924" t="str">
        <v>=</v>
      </c>
      <c r="AA7924">
        <f>(N7924+P7924*R7924/1000)*U7924*W7924*Y7924</f>
        <v>7.943331239999998</v>
      </c>
    </row>
    <row r="7926">
      <c r="A7926" t="str">
        <f>A7914</f>
        <v>Lantai 2</v>
      </c>
      <c r="B7926">
        <f>B7914</f>
        <v>69</v>
      </c>
      <c r="C7926" t="str">
        <v>Tul Peminggang</v>
      </c>
      <c r="D7926">
        <f>VLOOKUP(D7914,'Detail Balok'!$C$10:$AU$110,13,FALSE)</f>
        <v>2</v>
      </c>
      <c r="E7926" t="str">
        <v>D</v>
      </c>
      <c r="F7926">
        <f>VLOOKUP(D7914,'Detail Balok'!$C$10:$AU$110,15,FALSE)</f>
        <v>8</v>
      </c>
      <c r="J7926">
        <f>+D7916/1000</f>
        <v>3.5</v>
      </c>
      <c r="K7926" t="str">
        <v>+</v>
      </c>
      <c r="L7926">
        <f>2*$F$16*F7926/1000</f>
        <v>0.192</v>
      </c>
      <c r="M7926" t="str">
        <v>=</v>
      </c>
      <c r="N7926">
        <f>J7926+L7926</f>
        <v>3.692</v>
      </c>
      <c r="O7926" t="str">
        <v>+</v>
      </c>
      <c r="P7926">
        <f>IF(N7926&gt;12,ROUNDDOWN(N7926/12,0),0)</f>
        <v>0</v>
      </c>
      <c r="Q7926" t="str">
        <v>x</v>
      </c>
      <c r="R7926">
        <f>IF(P7926&gt;0,MAX(VLOOKUP(F7926,$D$6:$G$15,3,FALSE),600),0)/1000</f>
        <v>0</v>
      </c>
      <c r="T7926" t="str">
        <v>x</v>
      </c>
      <c r="U7926">
        <f>0.006165*F7926^2</f>
        <v>0.39456</v>
      </c>
      <c r="V7926" t="str">
        <v>x</v>
      </c>
      <c r="W7926">
        <f>+D7926</f>
        <v>2</v>
      </c>
      <c r="X7926" t="str">
        <v>x</v>
      </c>
      <c r="Y7926">
        <f>D7920</f>
        <v>1</v>
      </c>
      <c r="Z7926" t="str">
        <v>=</v>
      </c>
      <c r="AA7926">
        <f>(N7926+P7926*R7926/1000)*U7926*W7926*Y7926</f>
        <v>2.9134310400000003</v>
      </c>
    </row>
    <row r="7929">
      <c r="A7929" t="str">
        <f>A7914</f>
        <v>Lantai 2</v>
      </c>
      <c r="B7929">
        <f>B7914</f>
        <v>69</v>
      </c>
      <c r="C7929" t="str">
        <v>Tul Bawah Tumpuan</v>
      </c>
      <c r="D7929">
        <f>VLOOKUP(D7914,'Detail Balok'!$C$10:$AU$110,22,FALSE)</f>
        <v>2</v>
      </c>
      <c r="E7929" t="str">
        <v>D</v>
      </c>
      <c r="F7929">
        <f>VLOOKUP(D7914,'Detail Balok'!$C$10:$AU$110,24,FALSE)</f>
        <v>13</v>
      </c>
      <c r="I7929" t="str">
        <v>(</v>
      </c>
      <c r="J7929">
        <f>+J7921</f>
        <v>0.875</v>
      </c>
      <c r="K7929" t="str">
        <v>+</v>
      </c>
      <c r="L7929">
        <f>MAX(VLOOKUP(F7929,N$6:P$15,3,FALSE)/1000,2/3*D7919/1000)+F$16*F7929/1000</f>
        <v>0.156</v>
      </c>
      <c r="M7929" t="str">
        <v>=</v>
      </c>
      <c r="N7929">
        <f>J7929+L7929</f>
        <v>1.031</v>
      </c>
      <c r="O7929" t="str">
        <v>+</v>
      </c>
      <c r="P7929">
        <f>D7929-D7930</f>
        <v>0</v>
      </c>
      <c r="Q7929" t="str">
        <v>x</v>
      </c>
      <c r="R7929">
        <f>IF(P7929&gt;0,$F$18*F7929/1000,0)</f>
        <v>0</v>
      </c>
      <c r="S7929" t="str">
        <v>)</v>
      </c>
      <c r="T7929" t="str">
        <v>x</v>
      </c>
      <c r="U7929">
        <f>0.006165*F7929^2</f>
        <v>1.041885</v>
      </c>
      <c r="X7929" t="str">
        <v>x</v>
      </c>
      <c r="Y7929">
        <f>D7920</f>
        <v>1</v>
      </c>
      <c r="Z7929" t="str">
        <v>=</v>
      </c>
      <c r="AA7929">
        <f>IF(AA7932=0,(D7929*N7929+P7929*R7929)*U7929*Y7929,0)</f>
        <v>0</v>
      </c>
    </row>
    <row r="7930">
      <c r="A7930" t="str">
        <f>A7914</f>
        <v>Lantai 2</v>
      </c>
      <c r="B7930">
        <f>B7914</f>
        <v>69</v>
      </c>
      <c r="C7930" t="str">
        <v>Tul Bawah Lapangan</v>
      </c>
      <c r="D7930">
        <f>VLOOKUP(D7914,'Detail Balok'!$C$10:$AU$110,25,FALSE)</f>
        <v>2</v>
      </c>
      <c r="E7930" t="str">
        <v>D</v>
      </c>
      <c r="F7930">
        <f>VLOOKUP(D7914,'Detail Balok'!$C$10:$AU$110,27,FALSE)</f>
        <v>13</v>
      </c>
      <c r="I7930" t="str">
        <v>(</v>
      </c>
      <c r="J7930">
        <f>+J7922</f>
        <v>1.75</v>
      </c>
      <c r="K7930" t="str">
        <v>+</v>
      </c>
      <c r="M7930" t="str">
        <v>=</v>
      </c>
      <c r="N7930">
        <f>J7930+L7930</f>
        <v>1.75</v>
      </c>
      <c r="O7930" t="str">
        <v>+</v>
      </c>
      <c r="P7930">
        <f>MAX(D7930-D7929,D7930-D7931)</f>
        <v>0</v>
      </c>
      <c r="Q7930" t="str">
        <v>x</v>
      </c>
      <c r="R7930">
        <f>IF(P7930&gt;0,2*(1-2*$F$19-1/2)*D7917/1000,0)</f>
        <v>0</v>
      </c>
      <c r="S7930" t="str">
        <v>)</v>
      </c>
      <c r="T7930" t="str">
        <v>x</v>
      </c>
      <c r="U7930">
        <f>0.006165*F7930^2</f>
        <v>1.041885</v>
      </c>
      <c r="X7930" t="str">
        <v>x</v>
      </c>
      <c r="Y7930">
        <f>D7920</f>
        <v>1</v>
      </c>
      <c r="Z7930" t="str">
        <v>=</v>
      </c>
      <c r="AA7930">
        <f>IF(AA7932=0,(D7930*N7930+P7930*R7930)*U7930*Y7930,0)</f>
        <v>0</v>
      </c>
    </row>
    <row r="7931">
      <c r="A7931" t="str">
        <f>A7914</f>
        <v>Lantai 2</v>
      </c>
      <c r="B7931">
        <f>B7914</f>
        <v>69</v>
      </c>
      <c r="C7931" t="str">
        <v>Tul Bawah Tumpuan</v>
      </c>
      <c r="D7931">
        <f>VLOOKUP(D7914,'Detail Balok'!$C$10:$AU$110,28,FALSE)</f>
        <v>2</v>
      </c>
      <c r="E7931" t="str">
        <v>D</v>
      </c>
      <c r="F7931">
        <f>VLOOKUP(D7914,'Detail Balok'!$C$10:$AU$110,30,FALSE)</f>
        <v>13</v>
      </c>
      <c r="I7931" t="str">
        <v>(</v>
      </c>
      <c r="J7931">
        <f>+J7923</f>
        <v>0.875</v>
      </c>
      <c r="K7931" t="str">
        <v>+</v>
      </c>
      <c r="L7931">
        <f>MAX(VLOOKUP(F7931,N$6:P$15,3,FALSE)/1000,2/3*D7919/1000)+F$16*F7931/1000</f>
        <v>0.156</v>
      </c>
      <c r="M7931" t="str">
        <v>=</v>
      </c>
      <c r="N7931">
        <f>J7931+L7931</f>
        <v>1.031</v>
      </c>
      <c r="O7931" t="str">
        <v>+</v>
      </c>
      <c r="P7931">
        <f>D7931-D7930</f>
        <v>0</v>
      </c>
      <c r="Q7931" t="str">
        <v>x</v>
      </c>
      <c r="R7931">
        <f>IF(P7931&gt;0,$F$18*F7931/1000,0)</f>
        <v>0</v>
      </c>
      <c r="S7931" t="str">
        <v>)</v>
      </c>
      <c r="T7931" t="str">
        <v>x</v>
      </c>
      <c r="U7931">
        <f>0.006165*F7931^2</f>
        <v>1.041885</v>
      </c>
      <c r="X7931" t="str">
        <v>x</v>
      </c>
      <c r="Y7931">
        <f>D7920</f>
        <v>1</v>
      </c>
      <c r="Z7931" t="str">
        <v>=</v>
      </c>
      <c r="AA7931">
        <f>IF(AA7932=0,(D7931*N7931+P7931*R7931)*U7931*Y7931,0)</f>
        <v>0</v>
      </c>
    </row>
    <row r="7932">
      <c r="A7932" t="str">
        <f>A7914</f>
        <v>Lantai 2</v>
      </c>
      <c r="B7932">
        <f>B7914</f>
        <v>69</v>
      </c>
      <c r="D7932">
        <f>IF(AND(D7929=D7930,D7930=D7931,D7929=D7931),D7929,0)</f>
        <v>2</v>
      </c>
      <c r="E7932" t="str">
        <v>D</v>
      </c>
      <c r="F7932">
        <f>IF(AND(F7929=F7930,F7929=F7931,F7930=F7931),F7929,0)</f>
        <v>13</v>
      </c>
      <c r="L7932" t="str">
        <v>Total panjang per balok</v>
      </c>
      <c r="M7932" t="str">
        <v>=</v>
      </c>
      <c r="N7932">
        <f>IF(AND(D7929=D7930,D7929=D7931,D7930=D7931,F7929=F7930,F7929=F7931,F7930=F7931),SUM(N7929:N7931),0)</f>
        <v>3.8119999999999994</v>
      </c>
      <c r="O7932" t="str">
        <v>+</v>
      </c>
      <c r="P7932">
        <f>IF(N7932&gt;12,ROUNDDOWN(N7932/12,0),0)</f>
        <v>0</v>
      </c>
      <c r="Q7932" t="str">
        <v>x</v>
      </c>
      <c r="R7932">
        <f>IF(P7932&gt;0,MAX(VLOOKUP(F7932,$D$6:$G$15,3,FALSE),600),0)/1000</f>
        <v>0</v>
      </c>
      <c r="T7932" t="str">
        <v>x</v>
      </c>
      <c r="U7932">
        <f>U7931</f>
        <v>1.041885</v>
      </c>
      <c r="V7932" t="str">
        <v>x</v>
      </c>
      <c r="W7932">
        <f>D7932</f>
        <v>2</v>
      </c>
      <c r="X7932" t="str">
        <v>x</v>
      </c>
      <c r="Y7932">
        <f>Y7931</f>
        <v>1</v>
      </c>
      <c r="Z7932" t="str">
        <v>=</v>
      </c>
      <c r="AA7932">
        <f>(N7932+P7932*R7932/1000)*U7932*W7932*Y7932</f>
        <v>7.943331239999998</v>
      </c>
    </row>
    <row r="7934">
      <c r="A7934" t="str">
        <f>A7914</f>
        <v>Lantai 2</v>
      </c>
      <c r="B7934">
        <f>B7914</f>
        <v>69</v>
      </c>
      <c r="C7934" t="str">
        <v>Sengkang Tumpuan</v>
      </c>
      <c r="D7934">
        <f>VLOOKUP(D7914,'Detail Balok'!$C$10:$AU$110,31,FALSE)</f>
        <v>0</v>
      </c>
      <c r="E7934" t="str">
        <v>D</v>
      </c>
      <c r="F7934">
        <f>VLOOKUP(D7914,'Detail Balok'!$C$10:$AU$110,33,FALSE)</f>
        <v>8</v>
      </c>
      <c r="G7934" t="str">
        <v>-</v>
      </c>
      <c r="H7934">
        <f>VLOOKUP(D7914,'Detail Balok'!$C$10:$AU$110,35,FALSE)</f>
        <v>75</v>
      </c>
      <c r="J7934">
        <f>(IF(D7934=0,(2*(D7915+G7915))-(F$5*8),IF(D7934=3,(2*(D7915+G7915))-(F$5*8)+(G7915-2*F$5),IF(D7934=4,(2*(D7915+G7915))-(F$5*8)+2*(G7915-2*F$5)))))/1000</f>
        <v>0.92</v>
      </c>
      <c r="K7934" t="str">
        <v>+</v>
      </c>
      <c r="L7934">
        <f>IF(D7934=0,2*MAX(6*F7934,75),(D7934-1)*2*MAX(6*F7934,75))/1000</f>
        <v>0.15</v>
      </c>
      <c r="M7934" t="str">
        <v>=</v>
      </c>
      <c r="N7934">
        <f>J7934+L7934</f>
        <v>1.07</v>
      </c>
      <c r="T7934" t="str">
        <v>x</v>
      </c>
      <c r="U7934">
        <f>0.006165*F7934^2</f>
        <v>0.39456</v>
      </c>
      <c r="V7934" t="str">
        <v>x</v>
      </c>
      <c r="W7934">
        <f>IF(D7917&gt;4*G7915,ROUND(MAX(D7917/4,2*G7915)/H7934,0)+1,ROUND(D7917/H7934,0)+1)</f>
        <v>13</v>
      </c>
      <c r="X7934" t="str">
        <v>x</v>
      </c>
      <c r="Y7934">
        <f>D7920</f>
        <v>1</v>
      </c>
      <c r="Z7934" t="str">
        <v>=</v>
      </c>
      <c r="AA7934">
        <f>N7934*U7934*W7934*Y7934</f>
        <v>5.4883296</v>
      </c>
    </row>
    <row r="7935">
      <c r="A7935" t="str">
        <f>A7914</f>
        <v>Lantai 2</v>
      </c>
      <c r="B7935">
        <f>B7914</f>
        <v>69</v>
      </c>
      <c r="C7935" t="str">
        <v>Sengkang Lapangan</v>
      </c>
      <c r="D7935">
        <f>VLOOKUP(D7914,'Detail Balok'!$C$10:$AU$110,36,FALSE)</f>
        <v>0</v>
      </c>
      <c r="E7935" t="str">
        <v>D</v>
      </c>
      <c r="F7935">
        <f>VLOOKUP(D7914,'Detail Balok'!$C$10:$AU$110,38,FALSE)</f>
        <v>8</v>
      </c>
      <c r="G7935" t="str">
        <v>-</v>
      </c>
      <c r="H7935">
        <f>VLOOKUP(D7914,'Detail Balok'!$C$10:$AU$110,40,FALSE)</f>
        <v>75</v>
      </c>
      <c r="J7935">
        <f>(IF(D7935=0,(2*(D7915+G7915))-(F$5*8),IF(D7935=3,(2*(D7915+G7915))-(F$5*8)+(G7915-2*F$5),IF(D7935=4,(2*(D7915+G7915))-(F$5*8)+2*(G7915-2*F$5)))))/1000</f>
        <v>0.92</v>
      </c>
      <c r="K7935" t="str">
        <v>+</v>
      </c>
      <c r="L7935">
        <f>IF(D7935=0,2*MAX(6*F7935,75),(D7935-1)*2*MAX(6*F7935,75))/1000</f>
        <v>0.15</v>
      </c>
      <c r="M7935" t="str">
        <v>=</v>
      </c>
      <c r="N7935">
        <f>J7935+L7935</f>
        <v>1.07</v>
      </c>
      <c r="T7935" t="str">
        <v>x</v>
      </c>
      <c r="U7935">
        <f>0.006165*F7935^2</f>
        <v>0.39456</v>
      </c>
      <c r="V7935" t="str">
        <v>x</v>
      </c>
      <c r="W7935">
        <f>IF(D7917-MAX(D7917/4,2*G7915)*2&gt;0,ROUND((D7917-MAX(D7917/4,2*G7915)*2)/H7935,0),0)</f>
        <v>23</v>
      </c>
      <c r="X7935" t="str">
        <v>x</v>
      </c>
      <c r="Y7935">
        <f>D7920</f>
        <v>1</v>
      </c>
      <c r="Z7935" t="str">
        <v>=</v>
      </c>
      <c r="AA7935">
        <f>N7935*U7935*W7935*Y7935</f>
        <v>9.7101216</v>
      </c>
    </row>
    <row r="7936">
      <c r="A7936" t="str">
        <f>A7914</f>
        <v>Lantai 2</v>
      </c>
      <c r="B7936">
        <f>B7914</f>
        <v>69</v>
      </c>
      <c r="C7936" t="str">
        <v>Sengkang Tumpuan</v>
      </c>
      <c r="D7936">
        <f>VLOOKUP(D7914,'Detail Balok'!$C$10:$AU$110,41,FALSE)</f>
        <v>0</v>
      </c>
      <c r="E7936" t="str">
        <v>D</v>
      </c>
      <c r="F7936">
        <f>VLOOKUP(D7914,'Detail Balok'!$C$10:$AU$110,43,FALSE)</f>
        <v>8</v>
      </c>
      <c r="G7936" t="str">
        <v>-</v>
      </c>
      <c r="H7936">
        <f>VLOOKUP(D7914,'Detail Balok'!$C$10:$AU$110,45,FALSE)</f>
        <v>75</v>
      </c>
      <c r="J7936">
        <f>(IF(D7936=0,(2*(D7915+G7915))-(F$5*8),IF(D7936=3,(2*(D7915+G7915))-(F$5*8)+(G7915-2*F$5),IF(D7936=4,(2*(D7915+G7915))-(F$5*8)+2*(G7915-2*F$5)))))/1000</f>
        <v>0.92</v>
      </c>
      <c r="K7936" t="str">
        <v>+</v>
      </c>
      <c r="L7936">
        <f>IF(D7936=0,2*MAX(6*F7936,75),(D7936-1)*2*MAX(6*F7936,75))/1000</f>
        <v>0.15</v>
      </c>
      <c r="M7936" t="str">
        <v>=</v>
      </c>
      <c r="N7936">
        <f>J7936+L7936</f>
        <v>1.07</v>
      </c>
      <c r="T7936" t="str">
        <v>x</v>
      </c>
      <c r="U7936">
        <f>0.006165*F7936^2</f>
        <v>0.39456</v>
      </c>
      <c r="V7936" t="str">
        <v>x</v>
      </c>
      <c r="W7936">
        <f>IF(D7917&gt;4*G7915,ROUND(MAX(D7917/4,2*G7915)/H7936,0)+1,0)</f>
        <v>13</v>
      </c>
      <c r="X7936" t="str">
        <v>x</v>
      </c>
      <c r="Y7936">
        <f>D7920</f>
        <v>1</v>
      </c>
      <c r="Z7936" t="str">
        <v>=</v>
      </c>
      <c r="AA7936">
        <f>N7936*U7936*W7936*Y7936</f>
        <v>5.4883296</v>
      </c>
    </row>
    <row r="7938">
      <c r="A7938" t="str">
        <f>A7914</f>
        <v>Lantai 2</v>
      </c>
      <c r="B7938">
        <f>B7914</f>
        <v>69</v>
      </c>
      <c r="C7938" t="str">
        <v>Kait Horizontal Tump.</v>
      </c>
      <c r="D7938">
        <f>VLOOKUP(D7914,'Detail Balok'!$C$10:$BJ$110,46,FALSE)</f>
        <v>0</v>
      </c>
      <c r="E7938" t="str">
        <v>D</v>
      </c>
      <c r="F7938">
        <f>VLOOKUP(D7914,'Detail Balok'!$C$10:$BJ$110,48,FALSE)</f>
        <v>0</v>
      </c>
      <c r="G7938" t="str">
        <v>-</v>
      </c>
      <c r="H7938">
        <f>VLOOKUP(D7914,'Detail Balok'!$C$10:$BJ$110,50,FALSE)</f>
        <v>100</v>
      </c>
      <c r="J7938">
        <f>(D7915-2*F$5)/1000</f>
        <v>0.09</v>
      </c>
      <c r="K7938" t="str">
        <v>+</v>
      </c>
      <c r="L7938">
        <f>IF(D7938=0,2*MAX(6*F7938,75),(D7938-1)*2*MAX(6*F7938,75))/1000</f>
        <v>0.15</v>
      </c>
      <c r="M7938" t="str">
        <v>=</v>
      </c>
      <c r="N7938">
        <f>J7938+L7938</f>
        <v>0.24</v>
      </c>
      <c r="T7938" t="str">
        <v>x</v>
      </c>
      <c r="U7938">
        <f>0.006165*F7938^2</f>
        <v>0</v>
      </c>
      <c r="V7938" t="str">
        <v>x</v>
      </c>
      <c r="W7938">
        <f>W7934</f>
        <v>13</v>
      </c>
      <c r="X7938" t="str">
        <v>x</v>
      </c>
      <c r="Y7938">
        <f>D7924</f>
        <v>2</v>
      </c>
      <c r="Z7938" t="str">
        <v>=</v>
      </c>
      <c r="AA7938">
        <f>N7938*U7938*W7938*Y7938</f>
        <v>0</v>
      </c>
    </row>
    <row r="7939">
      <c r="A7939" t="str">
        <f>A7914</f>
        <v>Lantai 2</v>
      </c>
      <c r="B7939">
        <f>B7914</f>
        <v>69</v>
      </c>
      <c r="C7939" t="str">
        <v>Kait Horizontal Lap.</v>
      </c>
      <c r="D7939">
        <f>VLOOKUP(D7914,'Detail Balok'!$C$10:$BJ$110,51,FALSE)</f>
        <v>0</v>
      </c>
      <c r="E7939" t="str">
        <v>D</v>
      </c>
      <c r="F7939">
        <f>VLOOKUP(D7914,'Detail Balok'!$C$10:$BJ$110,53,FALSE)</f>
        <v>0</v>
      </c>
      <c r="G7939" t="str">
        <v>-</v>
      </c>
      <c r="H7939">
        <f>VLOOKUP(D7914,'Detail Balok'!$C$10:$BJ$110,55,FALSE)</f>
        <v>100</v>
      </c>
      <c r="J7939">
        <f>(D7915-2*F$5)/1000</f>
        <v>0.09</v>
      </c>
      <c r="K7939" t="str">
        <v>+</v>
      </c>
      <c r="L7939">
        <f>IF(D7939=0,2*MAX(6*F7939,75),(D7939-1)*2*MAX(6*F7939,75))/1000</f>
        <v>0.15</v>
      </c>
      <c r="M7939" t="str">
        <v>=</v>
      </c>
      <c r="N7939">
        <f>J7939+L7939</f>
        <v>0.24</v>
      </c>
      <c r="T7939" t="str">
        <v>x</v>
      </c>
      <c r="U7939">
        <f>0.006165*F7939^2</f>
        <v>0</v>
      </c>
      <c r="V7939" t="str">
        <v>x</v>
      </c>
      <c r="W7939">
        <f>W7935</f>
        <v>23</v>
      </c>
      <c r="X7939" t="str">
        <v>x</v>
      </c>
      <c r="Y7939">
        <f>D7924</f>
        <v>2</v>
      </c>
      <c r="Z7939" t="str">
        <v>=</v>
      </c>
      <c r="AA7939">
        <f>N7939*U7939*W7939*Y7939</f>
        <v>0</v>
      </c>
    </row>
    <row r="7940">
      <c r="A7940" t="str">
        <f>A7914</f>
        <v>Lantai 2</v>
      </c>
      <c r="B7940">
        <f>B7914</f>
        <v>69</v>
      </c>
      <c r="C7940" t="str">
        <v>Kait Horizontal Tump.</v>
      </c>
      <c r="D7940">
        <f>VLOOKUP(D7914,'Detail Balok'!$C$10:$BJ$110,56,FALSE)</f>
        <v>0</v>
      </c>
      <c r="E7940" t="str">
        <v>D</v>
      </c>
      <c r="F7940">
        <f>VLOOKUP(D7914,'Detail Balok'!$C$10:$BJ$110,58,FALSE)</f>
        <v>0</v>
      </c>
      <c r="G7940" t="str">
        <v>-</v>
      </c>
      <c r="H7940">
        <f>VLOOKUP(D7914,'Detail Balok'!$C$10:$BJ$110,60,FALSE)</f>
        <v>100</v>
      </c>
      <c r="J7940">
        <f>(D7915-2*F$5)/1000</f>
        <v>0.09</v>
      </c>
      <c r="K7940" t="str">
        <v>+</v>
      </c>
      <c r="L7940">
        <f>IF(D7940=0,2*MAX(6*F7940,75),(D7940-1)*2*MAX(6*F7940,75))/1000</f>
        <v>0.15</v>
      </c>
      <c r="M7940" t="str">
        <v>=</v>
      </c>
      <c r="N7940">
        <f>J7940+L7940</f>
        <v>0.24</v>
      </c>
      <c r="T7940" t="str">
        <v>x</v>
      </c>
      <c r="U7940">
        <f>0.006165*F7940^2</f>
        <v>0</v>
      </c>
      <c r="V7940" t="str">
        <v>x</v>
      </c>
      <c r="W7940">
        <f>W7936</f>
        <v>13</v>
      </c>
      <c r="X7940" t="str">
        <v>x</v>
      </c>
      <c r="Y7940">
        <f>D7924</f>
        <v>2</v>
      </c>
      <c r="Z7940" t="str">
        <v>=</v>
      </c>
      <c r="AA7940">
        <f>N7940*U7940*W7940*Y7940</f>
        <v>0</v>
      </c>
    </row>
    <row r="7944">
      <c r="A7944" t="str">
        <v>Lantai Attic</v>
      </c>
      <c r="B7944">
        <v>1</v>
      </c>
      <c r="C7944" t="str">
        <f>CONCATENATE(A7944," no. ",B7944)</f>
        <v>Lantai Attic no. 1</v>
      </c>
      <c r="D7944" t="str">
        <f>VLOOKUP(C7944,'Data Panjang Balok'!$C$9:$N$424,2,FALSE)</f>
        <v>B174-1</v>
      </c>
    </row>
    <row r="7945">
      <c r="C7945" t="str">
        <v>Dimensi</v>
      </c>
      <c r="D7945">
        <f>VLOOKUP(D7944,'Detail Balok'!$C$10:$AU$110,2,FALSE)</f>
        <v>170</v>
      </c>
      <c r="F7945" t="str">
        <v>x</v>
      </c>
      <c r="G7945">
        <f>VLOOKUP(D7944,'Detail Balok'!$C$10:$AU$110,3,FALSE)</f>
        <v>400</v>
      </c>
    </row>
    <row r="7946">
      <c r="C7946" t="str">
        <v>Panjang as ke as</v>
      </c>
      <c r="D7946">
        <f>VLOOKUP(C7944,'Data Panjang Balok'!$C$9:$N$424,4,FALSE)</f>
        <v>3500</v>
      </c>
    </row>
    <row r="7947">
      <c r="C7947" t="str">
        <v>Panjang netto</v>
      </c>
      <c r="D7947">
        <f>VLOOKUP(C7944,'Data Panjang Balok'!$C$9:$N$424,7,FALSE)</f>
        <v>3500</v>
      </c>
    </row>
    <row r="7948">
      <c r="C7948" t="str">
        <v>Kolom / balok kiri</v>
      </c>
      <c r="D7948">
        <f>VLOOKUP(C7944,'Data Panjang Balok'!$C$9:$N$424,9,FALSE)</f>
        <v>0</v>
      </c>
    </row>
    <row r="7949">
      <c r="C7949" t="str">
        <v>Kolom / balok kanan</v>
      </c>
      <c r="D7949">
        <f>VLOOKUP(C7944,'Data Panjang Balok'!$C$9:$N$424,10,FALSE)</f>
        <v>0</v>
      </c>
    </row>
    <row r="7950">
      <c r="C7950" t="str">
        <v>Jumlah</v>
      </c>
      <c r="D7950">
        <f>VLOOKUP(C7944,'Data Panjang Balok'!$C$9:$N$424,3,FALSE)</f>
        <v>1</v>
      </c>
    </row>
    <row r="7951">
      <c r="A7951" t="str">
        <f>A7944</f>
        <v>Lantai Attic</v>
      </c>
      <c r="B7951">
        <f>B7944</f>
        <v>1</v>
      </c>
      <c r="C7951" t="str">
        <v>Tul Atas Tumpuan</v>
      </c>
      <c r="D7951">
        <f>VLOOKUP(D7944,'Detail Balok'!$C$10:$AU$110,4,FALSE)</f>
        <v>2</v>
      </c>
      <c r="E7951" t="str">
        <v>D</v>
      </c>
      <c r="F7951">
        <f>VLOOKUP(D7944,'Detail Balok'!$C$10:$AU$110,6,FALSE)</f>
        <v>13</v>
      </c>
      <c r="I7951" t="str">
        <v>(</v>
      </c>
      <c r="J7951">
        <f>+D7946/4/1000</f>
        <v>0.875</v>
      </c>
      <c r="K7951" t="str">
        <v>+</v>
      </c>
      <c r="L7951">
        <f>MAX(VLOOKUP(F7951,N$6:P$15,3,FALSE)/1000,2/3*D7948/1000)+F$16*F7951/1000</f>
        <v>0.156</v>
      </c>
      <c r="M7951" t="str">
        <v>=</v>
      </c>
      <c r="N7951">
        <f>J7951+L7951</f>
        <v>1.031</v>
      </c>
      <c r="O7951" t="str">
        <v>+</v>
      </c>
      <c r="P7951">
        <f>D7951-D7952</f>
        <v>0</v>
      </c>
      <c r="Q7951" t="str">
        <v>x</v>
      </c>
      <c r="R7951">
        <f>IF(P7951&gt;0,$F$18*F7951/1000,0)</f>
        <v>0</v>
      </c>
      <c r="S7951" t="str">
        <v>)</v>
      </c>
      <c r="T7951" t="str">
        <v>x</v>
      </c>
      <c r="U7951">
        <f>0.006165*F7951^2</f>
        <v>1.041885</v>
      </c>
      <c r="X7951" t="str">
        <v>x</v>
      </c>
      <c r="Y7951">
        <f>D7950</f>
        <v>1</v>
      </c>
      <c r="Z7951" t="str">
        <v>=</v>
      </c>
      <c r="AA7951">
        <f>IF(AA7954=0,(D7951*N7951+P7951*R7951)*U7951*Y7951,0)</f>
        <v>0</v>
      </c>
    </row>
    <row r="7952">
      <c r="A7952" t="str">
        <f>A7944</f>
        <v>Lantai Attic</v>
      </c>
      <c r="B7952">
        <f>B7944</f>
        <v>1</v>
      </c>
      <c r="C7952" t="str">
        <v>Tul Atas Lapangan</v>
      </c>
      <c r="D7952">
        <f>VLOOKUP(D7944,'Detail Balok'!$C$10:$AU$110,7,FALSE)</f>
        <v>2</v>
      </c>
      <c r="E7952" t="str">
        <v>D</v>
      </c>
      <c r="F7952">
        <f>VLOOKUP(D7944,'Detail Balok'!$C$10:$AU$110,9,FALSE)</f>
        <v>13</v>
      </c>
      <c r="I7952" t="str">
        <v>(</v>
      </c>
      <c r="J7952">
        <f>+D7946/2/1000</f>
        <v>1.75</v>
      </c>
      <c r="K7952" t="str">
        <v>+</v>
      </c>
      <c r="M7952" t="str">
        <v>=</v>
      </c>
      <c r="N7952">
        <f>J7952+L7952</f>
        <v>1.75</v>
      </c>
      <c r="O7952" t="str">
        <v>+</v>
      </c>
      <c r="P7952">
        <f>MAX(D7952-D7951,D7952-D7953)</f>
        <v>0</v>
      </c>
      <c r="Q7952" t="str">
        <v>x</v>
      </c>
      <c r="R7952">
        <f>IF(P7952&gt;0,2*(1-2*$F$19-1/2)*D7947/1000,0)</f>
        <v>0</v>
      </c>
      <c r="S7952" t="str">
        <v>)</v>
      </c>
      <c r="T7952" t="str">
        <v>x</v>
      </c>
      <c r="U7952">
        <f>0.006165*F7952^2</f>
        <v>1.041885</v>
      </c>
      <c r="X7952" t="str">
        <v>x</v>
      </c>
      <c r="Y7952">
        <f>D7950</f>
        <v>1</v>
      </c>
      <c r="Z7952" t="str">
        <v>=</v>
      </c>
      <c r="AA7952">
        <f>IF(AA7954=0,(D7952*N7952+P7952*R7952)*U7952*Y7952,0)</f>
        <v>0</v>
      </c>
    </row>
    <row r="7953">
      <c r="A7953" t="str">
        <f>A7944</f>
        <v>Lantai Attic</v>
      </c>
      <c r="B7953">
        <f>B7944</f>
        <v>1</v>
      </c>
      <c r="C7953" t="str">
        <v>Tul Atas Tumpuan</v>
      </c>
      <c r="D7953">
        <f>VLOOKUP(D7944,'Detail Balok'!$C$10:$AU$110,10,FALSE)</f>
        <v>2</v>
      </c>
      <c r="E7953" t="str">
        <v>D</v>
      </c>
      <c r="F7953">
        <f>VLOOKUP(D7944,'Detail Balok'!$C$10:$AU$110,12,FALSE)</f>
        <v>13</v>
      </c>
      <c r="I7953" t="str">
        <v>(</v>
      </c>
      <c r="J7953">
        <f>+D7946/4/1000</f>
        <v>0.875</v>
      </c>
      <c r="K7953" t="str">
        <v>+</v>
      </c>
      <c r="L7953">
        <f>MAX(VLOOKUP(F7953,N$6:P$15,3,FALSE)/1000,2/3*D7948/1000)+F$16*F7953/1000</f>
        <v>0.156</v>
      </c>
      <c r="M7953" t="str">
        <v>=</v>
      </c>
      <c r="N7953">
        <f>J7953+L7953</f>
        <v>1.031</v>
      </c>
      <c r="O7953" t="str">
        <v>+</v>
      </c>
      <c r="P7953">
        <f>D7953-D7952</f>
        <v>0</v>
      </c>
      <c r="Q7953" t="str">
        <v>x</v>
      </c>
      <c r="R7953">
        <f>IF(P7953&gt;0,$F$18*F7953/1000,0)</f>
        <v>0</v>
      </c>
      <c r="S7953" t="str">
        <v>)</v>
      </c>
      <c r="T7953" t="str">
        <v>x</v>
      </c>
      <c r="U7953">
        <f>0.006165*F7953^2</f>
        <v>1.041885</v>
      </c>
      <c r="X7953" t="str">
        <v>x</v>
      </c>
      <c r="Y7953">
        <f>D7950</f>
        <v>1</v>
      </c>
      <c r="Z7953" t="str">
        <v>=</v>
      </c>
      <c r="AA7953">
        <f>IF(AA7954=0,(D7953*N7953+P7953*R7953)*U7953*Y7953,0)</f>
        <v>0</v>
      </c>
    </row>
    <row r="7954">
      <c r="A7954" t="str">
        <f>A7944</f>
        <v>Lantai Attic</v>
      </c>
      <c r="B7954">
        <f>B7944</f>
        <v>1</v>
      </c>
      <c r="D7954">
        <f>IF(AND(D7951=D7952,D7952=D7953,D7951=D7953),D7951,0)</f>
        <v>2</v>
      </c>
      <c r="E7954" t="str">
        <v>D</v>
      </c>
      <c r="F7954">
        <f>IF(AND(F7951=F7952,F7951=F7953,F7952=F7953),F7951,0)</f>
        <v>13</v>
      </c>
      <c r="L7954" t="str">
        <v>Total panjang per balok</v>
      </c>
      <c r="M7954" t="str">
        <v>=</v>
      </c>
      <c r="N7954">
        <f>IF(AND(D7951=D7952,D7951=D7953,D7952=D7953,F7951=F7952,F7951=F7953,F7952=F7953),SUM(N7951:N7953),0)</f>
        <v>3.8119999999999994</v>
      </c>
      <c r="O7954" t="str">
        <v>+</v>
      </c>
      <c r="P7954">
        <f>IF(N7954&gt;12,ROUNDDOWN(N7954/12,0),0)</f>
        <v>0</v>
      </c>
      <c r="Q7954" t="str">
        <v>x</v>
      </c>
      <c r="R7954">
        <f>IF(P7954&gt;0,MAX(VLOOKUP(F7954,$D$6:$G$15,3,FALSE),600),0)/1000</f>
        <v>0</v>
      </c>
      <c r="T7954" t="str">
        <v>x</v>
      </c>
      <c r="U7954">
        <f>U7953</f>
        <v>1.041885</v>
      </c>
      <c r="V7954" t="str">
        <v>x</v>
      </c>
      <c r="W7954">
        <f>D7954</f>
        <v>2</v>
      </c>
      <c r="X7954" t="str">
        <v>x</v>
      </c>
      <c r="Y7954">
        <f>Y7953</f>
        <v>1</v>
      </c>
      <c r="Z7954" t="str">
        <v>=</v>
      </c>
      <c r="AA7954">
        <f>(N7954+P7954*R7954/1000)*U7954*W7954*Y7954</f>
        <v>7.943331239999998</v>
      </c>
    </row>
    <row r="7956">
      <c r="A7956" t="str">
        <f>A7944</f>
        <v>Lantai Attic</v>
      </c>
      <c r="B7956">
        <f>B7944</f>
        <v>1</v>
      </c>
      <c r="C7956" t="str">
        <v>Tul Peminggang</v>
      </c>
      <c r="D7956">
        <f>VLOOKUP(D7944,'Detail Balok'!$C$10:$AU$110,13,FALSE)</f>
        <v>0</v>
      </c>
      <c r="E7956" t="str">
        <v>D</v>
      </c>
      <c r="F7956">
        <f>VLOOKUP(D7944,'Detail Balok'!$C$10:$AU$110,15,FALSE)</f>
        <v>6</v>
      </c>
      <c r="J7956">
        <f>+D7946/1000</f>
        <v>3.5</v>
      </c>
      <c r="K7956" t="str">
        <v>+</v>
      </c>
      <c r="L7956">
        <f>2*$F$16*F7956/1000</f>
        <v>0.144</v>
      </c>
      <c r="M7956" t="str">
        <v>=</v>
      </c>
      <c r="N7956">
        <f>J7956+L7956</f>
        <v>3.644</v>
      </c>
      <c r="O7956" t="str">
        <v>+</v>
      </c>
      <c r="P7956">
        <f>IF(N7956&gt;12,ROUNDDOWN(N7956/12,0),0)</f>
        <v>0</v>
      </c>
      <c r="Q7956" t="str">
        <v>x</v>
      </c>
      <c r="R7956">
        <f>IF(P7956&gt;0,MAX(VLOOKUP(F7956,$D$6:$G$15,3,FALSE),600),0)/1000</f>
        <v>0</v>
      </c>
      <c r="T7956" t="str">
        <v>x</v>
      </c>
      <c r="U7956">
        <f>0.006165*F7956^2</f>
        <v>0.22194000000000003</v>
      </c>
      <c r="V7956" t="str">
        <v>x</v>
      </c>
      <c r="W7956">
        <f>+D7956</f>
        <v>0</v>
      </c>
      <c r="X7956" t="str">
        <v>x</v>
      </c>
      <c r="Y7956">
        <f>D7950</f>
        <v>1</v>
      </c>
      <c r="Z7956" t="str">
        <v>=</v>
      </c>
      <c r="AA7956">
        <f>(N7956+P7956*R7956/1000)*U7956*W7956*Y7956</f>
        <v>0</v>
      </c>
    </row>
    <row r="7959">
      <c r="A7959" t="str">
        <f>A7944</f>
        <v>Lantai Attic</v>
      </c>
      <c r="B7959">
        <f>B7944</f>
        <v>1</v>
      </c>
      <c r="C7959" t="str">
        <v>Tul Bawah Tumpuan</v>
      </c>
      <c r="D7959">
        <f>VLOOKUP(D7944,'Detail Balok'!$C$10:$AU$110,22,FALSE)</f>
        <v>2</v>
      </c>
      <c r="E7959" t="str">
        <v>D</v>
      </c>
      <c r="F7959">
        <f>VLOOKUP(D7944,'Detail Balok'!$C$10:$AU$110,24,FALSE)</f>
        <v>13</v>
      </c>
      <c r="I7959" t="str">
        <v>(</v>
      </c>
      <c r="J7959">
        <f>+J7951</f>
        <v>0.875</v>
      </c>
      <c r="K7959" t="str">
        <v>+</v>
      </c>
      <c r="L7959">
        <f>MAX(VLOOKUP(F7959,N$6:P$15,3,FALSE)/1000,2/3*D7949/1000)+F$16*F7959/1000</f>
        <v>0.156</v>
      </c>
      <c r="M7959" t="str">
        <v>=</v>
      </c>
      <c r="N7959">
        <f>J7959+L7959</f>
        <v>1.031</v>
      </c>
      <c r="O7959" t="str">
        <v>+</v>
      </c>
      <c r="P7959">
        <f>D7959-D7960</f>
        <v>0</v>
      </c>
      <c r="Q7959" t="str">
        <v>x</v>
      </c>
      <c r="R7959">
        <f>IF(P7959&gt;0,$F$18*F7959/1000,0)</f>
        <v>0</v>
      </c>
      <c r="S7959" t="str">
        <v>)</v>
      </c>
      <c r="T7959" t="str">
        <v>x</v>
      </c>
      <c r="U7959">
        <f>0.006165*F7959^2</f>
        <v>1.041885</v>
      </c>
      <c r="X7959" t="str">
        <v>x</v>
      </c>
      <c r="Y7959">
        <f>D7950</f>
        <v>1</v>
      </c>
      <c r="Z7959" t="str">
        <v>=</v>
      </c>
      <c r="AA7959">
        <f>IF(AA7962=0,(D7959*N7959+P7959*R7959)*U7959*Y7959,0)</f>
        <v>0</v>
      </c>
    </row>
    <row r="7960">
      <c r="A7960" t="str">
        <f>A7944</f>
        <v>Lantai Attic</v>
      </c>
      <c r="B7960">
        <f>B7944</f>
        <v>1</v>
      </c>
      <c r="C7960" t="str">
        <v>Tul Bawah Lapangan</v>
      </c>
      <c r="D7960">
        <f>VLOOKUP(D7944,'Detail Balok'!$C$10:$AU$110,25,FALSE)</f>
        <v>2</v>
      </c>
      <c r="E7960" t="str">
        <v>D</v>
      </c>
      <c r="F7960">
        <f>VLOOKUP(D7944,'Detail Balok'!$C$10:$AU$110,27,FALSE)</f>
        <v>13</v>
      </c>
      <c r="I7960" t="str">
        <v>(</v>
      </c>
      <c r="J7960">
        <f>+J7952</f>
        <v>1.75</v>
      </c>
      <c r="K7960" t="str">
        <v>+</v>
      </c>
      <c r="M7960" t="str">
        <v>=</v>
      </c>
      <c r="N7960">
        <f>J7960+L7960</f>
        <v>1.75</v>
      </c>
      <c r="O7960" t="str">
        <v>+</v>
      </c>
      <c r="P7960">
        <f>MAX(D7960-D7959,D7960-D7961)</f>
        <v>0</v>
      </c>
      <c r="Q7960" t="str">
        <v>x</v>
      </c>
      <c r="R7960">
        <f>IF(P7960&gt;0,2*(1-2*$F$19-1/2)*D7947/1000,0)</f>
        <v>0</v>
      </c>
      <c r="S7960" t="str">
        <v>)</v>
      </c>
      <c r="T7960" t="str">
        <v>x</v>
      </c>
      <c r="U7960">
        <f>0.006165*F7960^2</f>
        <v>1.041885</v>
      </c>
      <c r="X7960" t="str">
        <v>x</v>
      </c>
      <c r="Y7960">
        <f>D7950</f>
        <v>1</v>
      </c>
      <c r="Z7960" t="str">
        <v>=</v>
      </c>
      <c r="AA7960">
        <f>IF(AA7962=0,(D7960*N7960+P7960*R7960)*U7960*Y7960,0)</f>
        <v>0</v>
      </c>
    </row>
    <row r="7961">
      <c r="A7961" t="str">
        <f>A7944</f>
        <v>Lantai Attic</v>
      </c>
      <c r="B7961">
        <f>B7944</f>
        <v>1</v>
      </c>
      <c r="C7961" t="str">
        <v>Tul Bawah Tumpuan</v>
      </c>
      <c r="D7961">
        <f>VLOOKUP(D7944,'Detail Balok'!$C$10:$AU$110,28,FALSE)</f>
        <v>2</v>
      </c>
      <c r="E7961" t="str">
        <v>D</v>
      </c>
      <c r="F7961">
        <f>VLOOKUP(D7944,'Detail Balok'!$C$10:$AU$110,30,FALSE)</f>
        <v>13</v>
      </c>
      <c r="I7961" t="str">
        <v>(</v>
      </c>
      <c r="J7961">
        <f>+J7953</f>
        <v>0.875</v>
      </c>
      <c r="K7961" t="str">
        <v>+</v>
      </c>
      <c r="L7961">
        <f>MAX(VLOOKUP(F7961,N$6:P$15,3,FALSE)/1000,2/3*D7949/1000)+F$16*F7961/1000</f>
        <v>0.156</v>
      </c>
      <c r="M7961" t="str">
        <v>=</v>
      </c>
      <c r="N7961">
        <f>J7961+L7961</f>
        <v>1.031</v>
      </c>
      <c r="O7961" t="str">
        <v>+</v>
      </c>
      <c r="P7961">
        <f>D7961-D7960</f>
        <v>0</v>
      </c>
      <c r="Q7961" t="str">
        <v>x</v>
      </c>
      <c r="R7961">
        <f>IF(P7961&gt;0,$F$18*F7961/1000,0)</f>
        <v>0</v>
      </c>
      <c r="S7961" t="str">
        <v>)</v>
      </c>
      <c r="T7961" t="str">
        <v>x</v>
      </c>
      <c r="U7961">
        <f>0.006165*F7961^2</f>
        <v>1.041885</v>
      </c>
      <c r="X7961" t="str">
        <v>x</v>
      </c>
      <c r="Y7961">
        <f>D7950</f>
        <v>1</v>
      </c>
      <c r="Z7961" t="str">
        <v>=</v>
      </c>
      <c r="AA7961">
        <f>IF(AA7962=0,(D7961*N7961+P7961*R7961)*U7961*Y7961,0)</f>
        <v>0</v>
      </c>
    </row>
    <row r="7962">
      <c r="A7962" t="str">
        <f>A7944</f>
        <v>Lantai Attic</v>
      </c>
      <c r="B7962">
        <f>B7944</f>
        <v>1</v>
      </c>
      <c r="D7962">
        <f>IF(AND(D7959=D7960,D7960=D7961,D7959=D7961),D7959,0)</f>
        <v>2</v>
      </c>
      <c r="E7962" t="str">
        <v>D</v>
      </c>
      <c r="F7962">
        <f>IF(AND(F7959=F7960,F7959=F7961,F7960=F7961),F7959,0)</f>
        <v>13</v>
      </c>
      <c r="L7962" t="str">
        <v>Total panjang per balok</v>
      </c>
      <c r="M7962" t="str">
        <v>=</v>
      </c>
      <c r="N7962">
        <f>IF(AND(D7959=D7960,D7959=D7961,D7960=D7961,F7959=F7960,F7959=F7961,F7960=F7961),SUM(N7959:N7961),0)</f>
        <v>3.8119999999999994</v>
      </c>
      <c r="O7962" t="str">
        <v>+</v>
      </c>
      <c r="P7962">
        <f>IF(N7962&gt;12,ROUNDDOWN(N7962/12,0),0)</f>
        <v>0</v>
      </c>
      <c r="Q7962" t="str">
        <v>x</v>
      </c>
      <c r="R7962">
        <f>IF(P7962&gt;0,MAX(VLOOKUP(F7962,$D$6:$G$15,3,FALSE),600),0)/1000</f>
        <v>0</v>
      </c>
      <c r="T7962" t="str">
        <v>x</v>
      </c>
      <c r="U7962">
        <f>U7961</f>
        <v>1.041885</v>
      </c>
      <c r="V7962" t="str">
        <v>x</v>
      </c>
      <c r="W7962">
        <f>D7962</f>
        <v>2</v>
      </c>
      <c r="X7962" t="str">
        <v>x</v>
      </c>
      <c r="Y7962">
        <f>Y7961</f>
        <v>1</v>
      </c>
      <c r="Z7962" t="str">
        <v>=</v>
      </c>
      <c r="AA7962">
        <f>(N7962+P7962*R7962/1000)*U7962*W7962*Y7962</f>
        <v>7.943331239999998</v>
      </c>
    </row>
    <row r="7964">
      <c r="A7964" t="str">
        <f>A7944</f>
        <v>Lantai Attic</v>
      </c>
      <c r="B7964">
        <f>B7944</f>
        <v>1</v>
      </c>
      <c r="C7964" t="str">
        <v>Sengkang Tumpuan</v>
      </c>
      <c r="D7964">
        <f>VLOOKUP(D7944,'Detail Balok'!$C$10:$AU$110,31,FALSE)</f>
        <v>0</v>
      </c>
      <c r="E7964" t="str">
        <v>D</v>
      </c>
      <c r="F7964">
        <f>VLOOKUP(D7944,'Detail Balok'!$C$10:$AU$110,33,FALSE)</f>
        <v>10</v>
      </c>
      <c r="G7964" t="str">
        <v>-</v>
      </c>
      <c r="H7964">
        <f>VLOOKUP(D7944,'Detail Balok'!$C$10:$AU$110,35,FALSE)</f>
        <v>100</v>
      </c>
      <c r="J7964">
        <f>(IF(D7964=0,(2*(D7945+G7945))-(F$5*8),IF(D7964=3,(2*(D7945+G7945))-(F$5*8)+(G7945-2*F$5),IF(D7964=4,(2*(D7945+G7945))-(F$5*8)+2*(G7945-2*F$5)))))/1000</f>
        <v>0.82</v>
      </c>
      <c r="K7964" t="str">
        <v>+</v>
      </c>
      <c r="L7964">
        <f>IF(D7964=0,2*MAX(6*F7964,75),(D7964-1)*2*MAX(6*F7964,75))/1000</f>
        <v>0.15</v>
      </c>
      <c r="M7964" t="str">
        <v>=</v>
      </c>
      <c r="N7964">
        <f>J7964+L7964</f>
        <v>0.97</v>
      </c>
      <c r="T7964" t="str">
        <v>x</v>
      </c>
      <c r="U7964">
        <f>0.006165*F7964^2</f>
        <v>0.6165</v>
      </c>
      <c r="V7964" t="str">
        <v>x</v>
      </c>
      <c r="W7964">
        <f>IF(D7947&gt;4*G7945,ROUND(MAX(D7947/4,2*G7945)/H7964,0)+1,ROUND(D7947/H7964,0)+1)</f>
        <v>10</v>
      </c>
      <c r="X7964" t="str">
        <v>x</v>
      </c>
      <c r="Y7964">
        <f>D7950</f>
        <v>1</v>
      </c>
      <c r="Z7964" t="str">
        <v>=</v>
      </c>
      <c r="AA7964">
        <f>N7964*U7964*W7964*Y7964</f>
        <v>5.98005</v>
      </c>
    </row>
    <row r="7965">
      <c r="A7965" t="str">
        <f>A7944</f>
        <v>Lantai Attic</v>
      </c>
      <c r="B7965">
        <f>B7944</f>
        <v>1</v>
      </c>
      <c r="C7965" t="str">
        <v>Sengkang Lapangan</v>
      </c>
      <c r="D7965">
        <f>VLOOKUP(D7944,'Detail Balok'!$C$10:$AU$110,36,FALSE)</f>
        <v>0</v>
      </c>
      <c r="E7965" t="str">
        <v>D</v>
      </c>
      <c r="F7965">
        <f>VLOOKUP(D7944,'Detail Balok'!$C$10:$AU$110,38,FALSE)</f>
        <v>10</v>
      </c>
      <c r="G7965" t="str">
        <v>-</v>
      </c>
      <c r="H7965">
        <f>VLOOKUP(D7944,'Detail Balok'!$C$10:$AU$110,40,FALSE)</f>
        <v>200</v>
      </c>
      <c r="J7965">
        <f>(IF(D7965=0,(2*(D7945+G7945))-(F$5*8),IF(D7965=3,(2*(D7945+G7945))-(F$5*8)+(G7945-2*F$5),IF(D7965=4,(2*(D7945+G7945))-(F$5*8)+2*(G7945-2*F$5)))))/1000</f>
        <v>0.82</v>
      </c>
      <c r="K7965" t="str">
        <v>+</v>
      </c>
      <c r="L7965">
        <f>IF(D7965=0,2*MAX(6*F7965,75),(D7965-1)*2*MAX(6*F7965,75))/1000</f>
        <v>0.15</v>
      </c>
      <c r="M7965" t="str">
        <v>=</v>
      </c>
      <c r="N7965">
        <f>J7965+L7965</f>
        <v>0.97</v>
      </c>
      <c r="T7965" t="str">
        <v>x</v>
      </c>
      <c r="U7965">
        <f>0.006165*F7965^2</f>
        <v>0.6165</v>
      </c>
      <c r="V7965" t="str">
        <v>x</v>
      </c>
      <c r="W7965">
        <f>IF(D7947-MAX(D7947/4,2*G7945)*2&gt;0,ROUND((D7947-MAX(D7947/4,2*G7945)*2)/H7965,0),0)</f>
        <v>9</v>
      </c>
      <c r="X7965" t="str">
        <v>x</v>
      </c>
      <c r="Y7965">
        <f>D7950</f>
        <v>1</v>
      </c>
      <c r="Z7965" t="str">
        <v>=</v>
      </c>
      <c r="AA7965">
        <f>N7965*U7965*W7965*Y7965</f>
        <v>5.382045</v>
      </c>
    </row>
    <row r="7966">
      <c r="A7966" t="str">
        <f>A7944</f>
        <v>Lantai Attic</v>
      </c>
      <c r="B7966">
        <f>B7944</f>
        <v>1</v>
      </c>
      <c r="C7966" t="str">
        <v>Sengkang Tumpuan</v>
      </c>
      <c r="D7966">
        <f>VLOOKUP(D7944,'Detail Balok'!$C$10:$AU$110,41,FALSE)</f>
        <v>0</v>
      </c>
      <c r="E7966" t="str">
        <v>D</v>
      </c>
      <c r="F7966">
        <f>VLOOKUP(D7944,'Detail Balok'!$C$10:$AU$110,43,FALSE)</f>
        <v>10</v>
      </c>
      <c r="G7966" t="str">
        <v>-</v>
      </c>
      <c r="H7966">
        <f>VLOOKUP(D7944,'Detail Balok'!$C$10:$AU$110,45,FALSE)</f>
        <v>100</v>
      </c>
      <c r="J7966">
        <f>(IF(D7966=0,(2*(D7945+G7945))-(F$5*8),IF(D7966=3,(2*(D7945+G7945))-(F$5*8)+(G7945-2*F$5),IF(D7966=4,(2*(D7945+G7945))-(F$5*8)+2*(G7945-2*F$5)))))/1000</f>
        <v>0.82</v>
      </c>
      <c r="K7966" t="str">
        <v>+</v>
      </c>
      <c r="L7966">
        <f>IF(D7966=0,2*MAX(6*F7966,75),(D7966-1)*2*MAX(6*F7966,75))/1000</f>
        <v>0.15</v>
      </c>
      <c r="M7966" t="str">
        <v>=</v>
      </c>
      <c r="N7966">
        <f>J7966+L7966</f>
        <v>0.97</v>
      </c>
      <c r="T7966" t="str">
        <v>x</v>
      </c>
      <c r="U7966">
        <f>0.006165*F7966^2</f>
        <v>0.6165</v>
      </c>
      <c r="V7966" t="str">
        <v>x</v>
      </c>
      <c r="W7966">
        <f>IF(D7947&gt;4*G7945,ROUND(MAX(D7947/4,2*G7945)/H7966,0)+1,0)</f>
        <v>10</v>
      </c>
      <c r="X7966" t="str">
        <v>x</v>
      </c>
      <c r="Y7966">
        <f>D7950</f>
        <v>1</v>
      </c>
      <c r="Z7966" t="str">
        <v>=</v>
      </c>
      <c r="AA7966">
        <f>N7966*U7966*W7966*Y7966</f>
        <v>5.98005</v>
      </c>
    </row>
    <row r="7968">
      <c r="A7968" t="str">
        <f>A7944</f>
        <v>Lantai Attic</v>
      </c>
      <c r="B7968">
        <f>B7944</f>
        <v>1</v>
      </c>
      <c r="C7968" t="str">
        <v>Kait Horizontal Tump.</v>
      </c>
      <c r="D7968">
        <f>VLOOKUP(D7944,'Detail Balok'!$C$10:$BJ$110,46,FALSE)</f>
        <v>0</v>
      </c>
      <c r="E7968" t="str">
        <v>D</v>
      </c>
      <c r="F7968">
        <f>VLOOKUP(D7944,'Detail Balok'!$C$10:$BJ$110,48,FALSE)</f>
        <v>0</v>
      </c>
      <c r="G7968" t="str">
        <v>-</v>
      </c>
      <c r="H7968">
        <f>VLOOKUP(D7944,'Detail Balok'!$C$10:$BJ$110,50,FALSE)</f>
        <v>100</v>
      </c>
      <c r="J7968">
        <f>(D7945-2*F$5)/1000</f>
        <v>0.09</v>
      </c>
      <c r="K7968" t="str">
        <v>+</v>
      </c>
      <c r="L7968">
        <f>IF(D7968=0,2*MAX(6*F7968,75),(D7968-1)*2*MAX(6*F7968,75))/1000</f>
        <v>0.15</v>
      </c>
      <c r="M7968" t="str">
        <v>=</v>
      </c>
      <c r="N7968">
        <f>J7968+L7968</f>
        <v>0.24</v>
      </c>
      <c r="T7968" t="str">
        <v>x</v>
      </c>
      <c r="U7968">
        <f>0.006165*F7968^2</f>
        <v>0</v>
      </c>
      <c r="V7968" t="str">
        <v>x</v>
      </c>
      <c r="W7968">
        <f>W7964</f>
        <v>10</v>
      </c>
      <c r="X7968" t="str">
        <v>x</v>
      </c>
      <c r="Y7968">
        <f>D7954</f>
        <v>2</v>
      </c>
      <c r="Z7968" t="str">
        <v>=</v>
      </c>
      <c r="AA7968">
        <f>N7968*U7968*W7968*Y7968</f>
        <v>0</v>
      </c>
    </row>
    <row r="7969">
      <c r="A7969" t="str">
        <f>A7944</f>
        <v>Lantai Attic</v>
      </c>
      <c r="B7969">
        <f>B7944</f>
        <v>1</v>
      </c>
      <c r="C7969" t="str">
        <v>Kait Horizontal Lap.</v>
      </c>
      <c r="D7969">
        <f>VLOOKUP(D7944,'Detail Balok'!$C$10:$BJ$110,51,FALSE)</f>
        <v>0</v>
      </c>
      <c r="E7969" t="str">
        <v>D</v>
      </c>
      <c r="F7969">
        <f>VLOOKUP(D7944,'Detail Balok'!$C$10:$BJ$110,53,FALSE)</f>
        <v>0</v>
      </c>
      <c r="G7969" t="str">
        <v>-</v>
      </c>
      <c r="H7969">
        <f>VLOOKUP(D7944,'Detail Balok'!$C$10:$BJ$110,55,FALSE)</f>
        <v>100</v>
      </c>
      <c r="J7969">
        <f>(D7945-2*F$5)/1000</f>
        <v>0.09</v>
      </c>
      <c r="K7969" t="str">
        <v>+</v>
      </c>
      <c r="L7969">
        <f>IF(D7969=0,2*MAX(6*F7969,75),(D7969-1)*2*MAX(6*F7969,75))/1000</f>
        <v>0.15</v>
      </c>
      <c r="M7969" t="str">
        <v>=</v>
      </c>
      <c r="N7969">
        <f>J7969+L7969</f>
        <v>0.24</v>
      </c>
      <c r="T7969" t="str">
        <v>x</v>
      </c>
      <c r="U7969">
        <f>0.006165*F7969^2</f>
        <v>0</v>
      </c>
      <c r="V7969" t="str">
        <v>x</v>
      </c>
      <c r="W7969">
        <f>W7965</f>
        <v>9</v>
      </c>
      <c r="X7969" t="str">
        <v>x</v>
      </c>
      <c r="Y7969">
        <f>D7954</f>
        <v>2</v>
      </c>
      <c r="Z7969" t="str">
        <v>=</v>
      </c>
      <c r="AA7969">
        <f>N7969*U7969*W7969*Y7969</f>
        <v>0</v>
      </c>
    </row>
    <row r="7970">
      <c r="A7970" t="str">
        <f>A7944</f>
        <v>Lantai Attic</v>
      </c>
      <c r="B7970">
        <f>B7944</f>
        <v>1</v>
      </c>
      <c r="C7970" t="str">
        <v>Kait Horizontal Tump.</v>
      </c>
      <c r="D7970">
        <f>VLOOKUP(D7944,'Detail Balok'!$C$10:$BJ$110,56,FALSE)</f>
        <v>0</v>
      </c>
      <c r="E7970" t="str">
        <v>D</v>
      </c>
      <c r="F7970">
        <f>VLOOKUP(D7944,'Detail Balok'!$C$10:$BJ$110,58,FALSE)</f>
        <v>0</v>
      </c>
      <c r="G7970" t="str">
        <v>-</v>
      </c>
      <c r="H7970">
        <f>VLOOKUP(D7944,'Detail Balok'!$C$10:$BJ$110,60,FALSE)</f>
        <v>100</v>
      </c>
      <c r="J7970">
        <f>(D7945-2*F$5)/1000</f>
        <v>0.09</v>
      </c>
      <c r="K7970" t="str">
        <v>+</v>
      </c>
      <c r="L7970">
        <f>IF(D7970=0,2*MAX(6*F7970,75),(D7970-1)*2*MAX(6*F7970,75))/1000</f>
        <v>0.15</v>
      </c>
      <c r="M7970" t="str">
        <v>=</v>
      </c>
      <c r="N7970">
        <f>J7970+L7970</f>
        <v>0.24</v>
      </c>
      <c r="T7970" t="str">
        <v>x</v>
      </c>
      <c r="U7970">
        <f>0.006165*F7970^2</f>
        <v>0</v>
      </c>
      <c r="V7970" t="str">
        <v>x</v>
      </c>
      <c r="W7970">
        <f>W7966</f>
        <v>10</v>
      </c>
      <c r="X7970" t="str">
        <v>x</v>
      </c>
      <c r="Y7970">
        <f>D7954</f>
        <v>2</v>
      </c>
      <c r="Z7970" t="str">
        <v>=</v>
      </c>
      <c r="AA7970">
        <f>N7970*U7970*W7970*Y7970</f>
        <v>0</v>
      </c>
    </row>
    <row r="7974">
      <c r="A7974" t="str">
        <f>A7944</f>
        <v>Lantai Attic</v>
      </c>
      <c r="B7974">
        <f>B7944+1</f>
        <v>2</v>
      </c>
      <c r="C7974" t="str">
        <f>CONCATENATE(A7974," no. ",B7974)</f>
        <v>Lantai Attic no. 2</v>
      </c>
      <c r="D7974" t="str">
        <f>VLOOKUP(C7974,'Data Panjang Balok'!$C$9:$N$424,2,FALSE)</f>
        <v>B24-1</v>
      </c>
    </row>
    <row r="7975">
      <c r="C7975" t="str">
        <v>Dimensi</v>
      </c>
      <c r="D7975">
        <f>VLOOKUP(D7974,'Detail Balok'!$C$10:$AU$110,2,FALSE)</f>
        <v>200</v>
      </c>
      <c r="F7975" t="str">
        <v>x</v>
      </c>
      <c r="G7975">
        <f>VLOOKUP(D7974,'Detail Balok'!$C$10:$AU$110,3,FALSE)</f>
        <v>400</v>
      </c>
    </row>
    <row r="7976">
      <c r="C7976" t="str">
        <v>Panjang as ke as</v>
      </c>
      <c r="D7976">
        <f>VLOOKUP(C7974,'Data Panjang Balok'!$C$9:$N$424,4,FALSE)</f>
        <v>3500</v>
      </c>
    </row>
    <row r="7977">
      <c r="C7977" t="str">
        <v>Panjang netto</v>
      </c>
      <c r="D7977">
        <f>VLOOKUP(C7974,'Data Panjang Balok'!$C$9:$N$424,7,FALSE)</f>
        <v>3500</v>
      </c>
    </row>
    <row r="7978">
      <c r="C7978" t="str">
        <v>Kolom / balok kiri</v>
      </c>
      <c r="D7978">
        <f>VLOOKUP(C7974,'Data Panjang Balok'!$C$9:$N$424,9,FALSE)</f>
        <v>0</v>
      </c>
    </row>
    <row r="7979">
      <c r="C7979" t="str">
        <v>Kolom / balok kanan</v>
      </c>
      <c r="D7979">
        <f>VLOOKUP(C7974,'Data Panjang Balok'!$C$9:$N$424,10,FALSE)</f>
        <v>0</v>
      </c>
    </row>
    <row r="7980">
      <c r="C7980" t="str">
        <v>Jumlah</v>
      </c>
      <c r="D7980">
        <f>VLOOKUP(C7974,'Data Panjang Balok'!$C$9:$N$424,3,FALSE)</f>
        <v>1</v>
      </c>
    </row>
    <row r="7981">
      <c r="A7981" t="str">
        <f>A7974</f>
        <v>Lantai Attic</v>
      </c>
      <c r="B7981">
        <f>B7974</f>
        <v>2</v>
      </c>
      <c r="C7981" t="str">
        <v>Tul Atas Tumpuan</v>
      </c>
      <c r="D7981">
        <f>VLOOKUP(D7974,'Detail Balok'!$C$10:$AU$110,4,FALSE)</f>
        <v>2</v>
      </c>
      <c r="E7981" t="str">
        <v>D</v>
      </c>
      <c r="F7981">
        <f>VLOOKUP(D7974,'Detail Balok'!$C$10:$AU$110,6,FALSE)</f>
        <v>13</v>
      </c>
      <c r="I7981" t="str">
        <v>(</v>
      </c>
      <c r="J7981">
        <f>+D7976/4/1000</f>
        <v>0.875</v>
      </c>
      <c r="K7981" t="str">
        <v>+</v>
      </c>
      <c r="L7981">
        <f>MAX(VLOOKUP(F7981,N$6:P$15,3,FALSE)/1000,2/3*D7978/1000)+F$16*F7981/1000</f>
        <v>0.156</v>
      </c>
      <c r="M7981" t="str">
        <v>=</v>
      </c>
      <c r="N7981">
        <f>J7981+L7981</f>
        <v>1.031</v>
      </c>
      <c r="O7981" t="str">
        <v>+</v>
      </c>
      <c r="P7981">
        <f>D7981-D7982</f>
        <v>0</v>
      </c>
      <c r="Q7981" t="str">
        <v>x</v>
      </c>
      <c r="R7981">
        <f>IF(P7981&gt;0,$F$18*F7981/1000,0)</f>
        <v>0</v>
      </c>
      <c r="S7981" t="str">
        <v>)</v>
      </c>
      <c r="T7981" t="str">
        <v>x</v>
      </c>
      <c r="U7981">
        <f>0.006165*F7981^2</f>
        <v>1.041885</v>
      </c>
      <c r="X7981" t="str">
        <v>x</v>
      </c>
      <c r="Y7981">
        <f>D7980</f>
        <v>1</v>
      </c>
      <c r="Z7981" t="str">
        <v>=</v>
      </c>
      <c r="AA7981">
        <f>IF(AA7984=0,(D7981*N7981+P7981*R7981)*U7981*Y7981,0)</f>
        <v>0</v>
      </c>
    </row>
    <row r="7982">
      <c r="A7982" t="str">
        <f>A7974</f>
        <v>Lantai Attic</v>
      </c>
      <c r="B7982">
        <f>B7974</f>
        <v>2</v>
      </c>
      <c r="C7982" t="str">
        <v>Tul Atas Lapangan</v>
      </c>
      <c r="D7982">
        <f>VLOOKUP(D7974,'Detail Balok'!$C$10:$AU$110,7,FALSE)</f>
        <v>2</v>
      </c>
      <c r="E7982" t="str">
        <v>D</v>
      </c>
      <c r="F7982">
        <f>VLOOKUP(D7974,'Detail Balok'!$C$10:$AU$110,9,FALSE)</f>
        <v>13</v>
      </c>
      <c r="I7982" t="str">
        <v>(</v>
      </c>
      <c r="J7982">
        <f>+D7976/2/1000</f>
        <v>1.75</v>
      </c>
      <c r="K7982" t="str">
        <v>+</v>
      </c>
      <c r="M7982" t="str">
        <v>=</v>
      </c>
      <c r="N7982">
        <f>J7982+L7982</f>
        <v>1.75</v>
      </c>
      <c r="O7982" t="str">
        <v>+</v>
      </c>
      <c r="P7982">
        <f>MAX(D7982-D7981,D7982-D7983)</f>
        <v>0</v>
      </c>
      <c r="Q7982" t="str">
        <v>x</v>
      </c>
      <c r="R7982">
        <f>IF(P7982&gt;0,2*(1-2*$F$19-1/2)*D7977/1000,0)</f>
        <v>0</v>
      </c>
      <c r="S7982" t="str">
        <v>)</v>
      </c>
      <c r="T7982" t="str">
        <v>x</v>
      </c>
      <c r="U7982">
        <f>0.006165*F7982^2</f>
        <v>1.041885</v>
      </c>
      <c r="X7982" t="str">
        <v>x</v>
      </c>
      <c r="Y7982">
        <f>D7980</f>
        <v>1</v>
      </c>
      <c r="Z7982" t="str">
        <v>=</v>
      </c>
      <c r="AA7982">
        <f>IF(AA7984=0,(D7982*N7982+P7982*R7982)*U7982*Y7982,0)</f>
        <v>0</v>
      </c>
    </row>
    <row r="7983">
      <c r="A7983" t="str">
        <f>A7974</f>
        <v>Lantai Attic</v>
      </c>
      <c r="B7983">
        <f>B7974</f>
        <v>2</v>
      </c>
      <c r="C7983" t="str">
        <v>Tul Atas Tumpuan</v>
      </c>
      <c r="D7983">
        <f>VLOOKUP(D7974,'Detail Balok'!$C$10:$AU$110,10,FALSE)</f>
        <v>2</v>
      </c>
      <c r="E7983" t="str">
        <v>D</v>
      </c>
      <c r="F7983">
        <f>VLOOKUP(D7974,'Detail Balok'!$C$10:$AU$110,12,FALSE)</f>
        <v>13</v>
      </c>
      <c r="I7983" t="str">
        <v>(</v>
      </c>
      <c r="J7983">
        <f>+D7976/4/1000</f>
        <v>0.875</v>
      </c>
      <c r="K7983" t="str">
        <v>+</v>
      </c>
      <c r="L7983">
        <f>MAX(VLOOKUP(F7983,N$6:P$15,3,FALSE)/1000,2/3*D7978/1000)+F$16*F7983/1000</f>
        <v>0.156</v>
      </c>
      <c r="M7983" t="str">
        <v>=</v>
      </c>
      <c r="N7983">
        <f>J7983+L7983</f>
        <v>1.031</v>
      </c>
      <c r="O7983" t="str">
        <v>+</v>
      </c>
      <c r="P7983">
        <f>D7983-D7982</f>
        <v>0</v>
      </c>
      <c r="Q7983" t="str">
        <v>x</v>
      </c>
      <c r="R7983">
        <f>IF(P7983&gt;0,$F$18*F7983/1000,0)</f>
        <v>0</v>
      </c>
      <c r="S7983" t="str">
        <v>)</v>
      </c>
      <c r="T7983" t="str">
        <v>x</v>
      </c>
      <c r="U7983">
        <f>0.006165*F7983^2</f>
        <v>1.041885</v>
      </c>
      <c r="X7983" t="str">
        <v>x</v>
      </c>
      <c r="Y7983">
        <f>D7980</f>
        <v>1</v>
      </c>
      <c r="Z7983" t="str">
        <v>=</v>
      </c>
      <c r="AA7983">
        <f>IF(AA7984=0,(D7983*N7983+P7983*R7983)*U7983*Y7983,0)</f>
        <v>0</v>
      </c>
    </row>
    <row r="7984">
      <c r="A7984" t="str">
        <f>A7974</f>
        <v>Lantai Attic</v>
      </c>
      <c r="B7984">
        <f>B7974</f>
        <v>2</v>
      </c>
      <c r="D7984">
        <f>IF(AND(D7981=D7982,D7982=D7983,D7981=D7983),D7981,0)</f>
        <v>2</v>
      </c>
      <c r="E7984" t="str">
        <v>D</v>
      </c>
      <c r="F7984">
        <f>IF(AND(F7981=F7982,F7981=F7983,F7982=F7983),F7981,0)</f>
        <v>13</v>
      </c>
      <c r="L7984" t="str">
        <v>Total panjang per balok</v>
      </c>
      <c r="M7984" t="str">
        <v>=</v>
      </c>
      <c r="N7984">
        <f>IF(AND(D7981=D7982,D7981=D7983,D7982=D7983,F7981=F7982,F7981=F7983,F7982=F7983),SUM(N7981:N7983),0)</f>
        <v>3.8119999999999994</v>
      </c>
      <c r="O7984" t="str">
        <v>+</v>
      </c>
      <c r="P7984">
        <f>IF(N7984&gt;12,ROUNDDOWN(N7984/12,0),0)</f>
        <v>0</v>
      </c>
      <c r="Q7984" t="str">
        <v>x</v>
      </c>
      <c r="R7984">
        <f>IF(P7984&gt;0,MAX(VLOOKUP(F7984,$D$6:$G$15,3,FALSE),600),0)/1000</f>
        <v>0</v>
      </c>
      <c r="T7984" t="str">
        <v>x</v>
      </c>
      <c r="U7984">
        <f>U7983</f>
        <v>1.041885</v>
      </c>
      <c r="V7984" t="str">
        <v>x</v>
      </c>
      <c r="W7984">
        <f>D7984</f>
        <v>2</v>
      </c>
      <c r="X7984" t="str">
        <v>x</v>
      </c>
      <c r="Y7984">
        <f>Y7983</f>
        <v>1</v>
      </c>
      <c r="Z7984" t="str">
        <v>=</v>
      </c>
      <c r="AA7984">
        <f>(N7984+P7984*R7984/1000)*U7984*W7984*Y7984</f>
        <v>7.943331239999998</v>
      </c>
    </row>
    <row r="7986">
      <c r="A7986" t="str">
        <f>A7974</f>
        <v>Lantai Attic</v>
      </c>
      <c r="B7986">
        <f>B7974</f>
        <v>2</v>
      </c>
      <c r="C7986" t="str">
        <v>Tul Peminggang</v>
      </c>
      <c r="D7986">
        <f>VLOOKUP(D7974,'Detail Balok'!$C$10:$AU$110,13,FALSE)</f>
        <v>0</v>
      </c>
      <c r="E7986" t="str">
        <v>D</v>
      </c>
      <c r="F7986">
        <f>VLOOKUP(D7974,'Detail Balok'!$C$10:$AU$110,15,FALSE)</f>
        <v>6</v>
      </c>
      <c r="J7986">
        <f>+D7976/1000</f>
        <v>3.5</v>
      </c>
      <c r="K7986" t="str">
        <v>+</v>
      </c>
      <c r="L7986">
        <f>2*$F$16*F7986/1000</f>
        <v>0.144</v>
      </c>
      <c r="M7986" t="str">
        <v>=</v>
      </c>
      <c r="N7986">
        <f>J7986+L7986</f>
        <v>3.644</v>
      </c>
      <c r="O7986" t="str">
        <v>+</v>
      </c>
      <c r="P7986">
        <f>IF(N7986&gt;12,ROUNDDOWN(N7986/12,0),0)</f>
        <v>0</v>
      </c>
      <c r="Q7986" t="str">
        <v>x</v>
      </c>
      <c r="R7986">
        <f>IF(P7986&gt;0,MAX(VLOOKUP(F7986,$D$6:$G$15,3,FALSE),600),0)/1000</f>
        <v>0</v>
      </c>
      <c r="T7986" t="str">
        <v>x</v>
      </c>
      <c r="U7986">
        <f>0.006165*F7986^2</f>
        <v>0.22194000000000003</v>
      </c>
      <c r="V7986" t="str">
        <v>x</v>
      </c>
      <c r="W7986">
        <f>+D7986</f>
        <v>0</v>
      </c>
      <c r="X7986" t="str">
        <v>x</v>
      </c>
      <c r="Y7986">
        <f>D7980</f>
        <v>1</v>
      </c>
      <c r="Z7986" t="str">
        <v>=</v>
      </c>
      <c r="AA7986">
        <f>(N7986+P7986*R7986/1000)*U7986*W7986*Y7986</f>
        <v>0</v>
      </c>
    </row>
    <row r="7989">
      <c r="A7989" t="str">
        <f>A7974</f>
        <v>Lantai Attic</v>
      </c>
      <c r="B7989">
        <f>B7974</f>
        <v>2</v>
      </c>
      <c r="C7989" t="str">
        <v>Tul Bawah Tumpuan</v>
      </c>
      <c r="D7989">
        <f>VLOOKUP(D7974,'Detail Balok'!$C$10:$AU$110,22,FALSE)</f>
        <v>2</v>
      </c>
      <c r="E7989" t="str">
        <v>D</v>
      </c>
      <c r="F7989">
        <f>VLOOKUP(D7974,'Detail Balok'!$C$10:$AU$110,24,FALSE)</f>
        <v>13</v>
      </c>
      <c r="I7989" t="str">
        <v>(</v>
      </c>
      <c r="J7989">
        <f>+J7981</f>
        <v>0.875</v>
      </c>
      <c r="K7989" t="str">
        <v>+</v>
      </c>
      <c r="L7989">
        <f>MAX(VLOOKUP(F7989,N$6:P$15,3,FALSE)/1000,2/3*D7979/1000)+F$16*F7989/1000</f>
        <v>0.156</v>
      </c>
      <c r="M7989" t="str">
        <v>=</v>
      </c>
      <c r="N7989">
        <f>J7989+L7989</f>
        <v>1.031</v>
      </c>
      <c r="O7989" t="str">
        <v>+</v>
      </c>
      <c r="P7989">
        <f>D7989-D7990</f>
        <v>0</v>
      </c>
      <c r="Q7989" t="str">
        <v>x</v>
      </c>
      <c r="R7989">
        <f>IF(P7989&gt;0,$F$18*F7989/1000,0)</f>
        <v>0</v>
      </c>
      <c r="S7989" t="str">
        <v>)</v>
      </c>
      <c r="T7989" t="str">
        <v>x</v>
      </c>
      <c r="U7989">
        <f>0.006165*F7989^2</f>
        <v>1.041885</v>
      </c>
      <c r="X7989" t="str">
        <v>x</v>
      </c>
      <c r="Y7989">
        <f>D7980</f>
        <v>1</v>
      </c>
      <c r="Z7989" t="str">
        <v>=</v>
      </c>
      <c r="AA7989">
        <f>IF(AA7992=0,(D7989*N7989+P7989*R7989)*U7989*Y7989,0)</f>
        <v>0</v>
      </c>
    </row>
    <row r="7990">
      <c r="A7990" t="str">
        <f>A7974</f>
        <v>Lantai Attic</v>
      </c>
      <c r="B7990">
        <f>B7974</f>
        <v>2</v>
      </c>
      <c r="C7990" t="str">
        <v>Tul Bawah Lapangan</v>
      </c>
      <c r="D7990">
        <f>VLOOKUP(D7974,'Detail Balok'!$C$10:$AU$110,25,FALSE)</f>
        <v>2</v>
      </c>
      <c r="E7990" t="str">
        <v>D</v>
      </c>
      <c r="F7990">
        <f>VLOOKUP(D7974,'Detail Balok'!$C$10:$AU$110,27,FALSE)</f>
        <v>13</v>
      </c>
      <c r="I7990" t="str">
        <v>(</v>
      </c>
      <c r="J7990">
        <f>+J7982</f>
        <v>1.75</v>
      </c>
      <c r="K7990" t="str">
        <v>+</v>
      </c>
      <c r="M7990" t="str">
        <v>=</v>
      </c>
      <c r="N7990">
        <f>J7990+L7990</f>
        <v>1.75</v>
      </c>
      <c r="O7990" t="str">
        <v>+</v>
      </c>
      <c r="P7990">
        <f>MAX(D7990-D7989,D7990-D7991)</f>
        <v>0</v>
      </c>
      <c r="Q7990" t="str">
        <v>x</v>
      </c>
      <c r="R7990">
        <f>IF(P7990&gt;0,2*(1-2*$F$19-1/2)*D7977/1000,0)</f>
        <v>0</v>
      </c>
      <c r="S7990" t="str">
        <v>)</v>
      </c>
      <c r="T7990" t="str">
        <v>x</v>
      </c>
      <c r="U7990">
        <f>0.006165*F7990^2</f>
        <v>1.041885</v>
      </c>
      <c r="X7990" t="str">
        <v>x</v>
      </c>
      <c r="Y7990">
        <f>D7980</f>
        <v>1</v>
      </c>
      <c r="Z7990" t="str">
        <v>=</v>
      </c>
      <c r="AA7990">
        <f>IF(AA7992=0,(D7990*N7990+P7990*R7990)*U7990*Y7990,0)</f>
        <v>0</v>
      </c>
    </row>
    <row r="7991">
      <c r="A7991" t="str">
        <f>A7974</f>
        <v>Lantai Attic</v>
      </c>
      <c r="B7991">
        <f>B7974</f>
        <v>2</v>
      </c>
      <c r="C7991" t="str">
        <v>Tul Bawah Tumpuan</v>
      </c>
      <c r="D7991">
        <f>VLOOKUP(D7974,'Detail Balok'!$C$10:$AU$110,28,FALSE)</f>
        <v>2</v>
      </c>
      <c r="E7991" t="str">
        <v>D</v>
      </c>
      <c r="F7991">
        <f>VLOOKUP(D7974,'Detail Balok'!$C$10:$AU$110,30,FALSE)</f>
        <v>13</v>
      </c>
      <c r="I7991" t="str">
        <v>(</v>
      </c>
      <c r="J7991">
        <f>+J7983</f>
        <v>0.875</v>
      </c>
      <c r="K7991" t="str">
        <v>+</v>
      </c>
      <c r="L7991">
        <f>MAX(VLOOKUP(F7991,N$6:P$15,3,FALSE)/1000,2/3*D7979/1000)+F$16*F7991/1000</f>
        <v>0.156</v>
      </c>
      <c r="M7991" t="str">
        <v>=</v>
      </c>
      <c r="N7991">
        <f>J7991+L7991</f>
        <v>1.031</v>
      </c>
      <c r="O7991" t="str">
        <v>+</v>
      </c>
      <c r="P7991">
        <f>D7991-D7990</f>
        <v>0</v>
      </c>
      <c r="Q7991" t="str">
        <v>x</v>
      </c>
      <c r="R7991">
        <f>IF(P7991&gt;0,$F$18*F7991/1000,0)</f>
        <v>0</v>
      </c>
      <c r="S7991" t="str">
        <v>)</v>
      </c>
      <c r="T7991" t="str">
        <v>x</v>
      </c>
      <c r="U7991">
        <f>0.006165*F7991^2</f>
        <v>1.041885</v>
      </c>
      <c r="X7991" t="str">
        <v>x</v>
      </c>
      <c r="Y7991">
        <f>D7980</f>
        <v>1</v>
      </c>
      <c r="Z7991" t="str">
        <v>=</v>
      </c>
      <c r="AA7991">
        <f>IF(AA7992=0,(D7991*N7991+P7991*R7991)*U7991*Y7991,0)</f>
        <v>0</v>
      </c>
    </row>
    <row r="7992">
      <c r="A7992" t="str">
        <f>A7974</f>
        <v>Lantai Attic</v>
      </c>
      <c r="B7992">
        <f>B7974</f>
        <v>2</v>
      </c>
      <c r="D7992">
        <f>IF(AND(D7989=D7990,D7990=D7991,D7989=D7991),D7989,0)</f>
        <v>2</v>
      </c>
      <c r="E7992" t="str">
        <v>D</v>
      </c>
      <c r="F7992">
        <f>IF(AND(F7989=F7990,F7989=F7991,F7990=F7991),F7989,0)</f>
        <v>13</v>
      </c>
      <c r="L7992" t="str">
        <v>Total panjang per balok</v>
      </c>
      <c r="M7992" t="str">
        <v>=</v>
      </c>
      <c r="N7992">
        <f>IF(AND(D7989=D7990,D7989=D7991,D7990=D7991,F7989=F7990,F7989=F7991,F7990=F7991),SUM(N7989:N7991),0)</f>
        <v>3.8119999999999994</v>
      </c>
      <c r="O7992" t="str">
        <v>+</v>
      </c>
      <c r="P7992">
        <f>IF(N7992&gt;12,ROUNDDOWN(N7992/12,0),0)</f>
        <v>0</v>
      </c>
      <c r="Q7992" t="str">
        <v>x</v>
      </c>
      <c r="R7992">
        <f>IF(P7992&gt;0,MAX(VLOOKUP(F7992,$D$6:$G$15,3,FALSE),600),0)/1000</f>
        <v>0</v>
      </c>
      <c r="T7992" t="str">
        <v>x</v>
      </c>
      <c r="U7992">
        <f>U7991</f>
        <v>1.041885</v>
      </c>
      <c r="V7992" t="str">
        <v>x</v>
      </c>
      <c r="W7992">
        <f>D7992</f>
        <v>2</v>
      </c>
      <c r="X7992" t="str">
        <v>x</v>
      </c>
      <c r="Y7992">
        <f>Y7991</f>
        <v>1</v>
      </c>
      <c r="Z7992" t="str">
        <v>=</v>
      </c>
      <c r="AA7992">
        <f>(N7992+P7992*R7992/1000)*U7992*W7992*Y7992</f>
        <v>7.943331239999998</v>
      </c>
    </row>
    <row r="7994">
      <c r="A7994" t="str">
        <f>A7974</f>
        <v>Lantai Attic</v>
      </c>
      <c r="B7994">
        <f>B7974</f>
        <v>2</v>
      </c>
      <c r="C7994" t="str">
        <v>Sengkang Tumpuan</v>
      </c>
      <c r="D7994">
        <f>VLOOKUP(D7974,'Detail Balok'!$C$10:$AU$110,31,FALSE)</f>
        <v>0</v>
      </c>
      <c r="E7994" t="str">
        <v>D</v>
      </c>
      <c r="F7994">
        <f>VLOOKUP(D7974,'Detail Balok'!$C$10:$AU$110,33,FALSE)</f>
        <v>8</v>
      </c>
      <c r="G7994" t="str">
        <v>-</v>
      </c>
      <c r="H7994">
        <f>VLOOKUP(D7974,'Detail Balok'!$C$10:$AU$110,35,FALSE)</f>
        <v>100</v>
      </c>
      <c r="J7994">
        <f>(IF(D7994=0,(2*(D7975+G7975))-(F$5*8),IF(D7994=3,(2*(D7975+G7975))-(F$5*8)+(G7975-2*F$5),IF(D7994=4,(2*(D7975+G7975))-(F$5*8)+2*(G7975-2*F$5)))))/1000</f>
        <v>0.88</v>
      </c>
      <c r="K7994" t="str">
        <v>+</v>
      </c>
      <c r="L7994">
        <f>IF(D7994=0,2*MAX(6*F7994,75),(D7994-1)*2*MAX(6*F7994,75))/1000</f>
        <v>0.15</v>
      </c>
      <c r="M7994" t="str">
        <v>=</v>
      </c>
      <c r="N7994">
        <f>J7994+L7994</f>
        <v>1.03</v>
      </c>
      <c r="T7994" t="str">
        <v>x</v>
      </c>
      <c r="U7994">
        <f>0.006165*F7994^2</f>
        <v>0.39456</v>
      </c>
      <c r="V7994" t="str">
        <v>x</v>
      </c>
      <c r="W7994">
        <f>IF(D7977&gt;4*G7975,ROUND(MAX(D7977/4,2*G7975)/H7994,0)+1,ROUND(D7977/H7994,0)+1)</f>
        <v>10</v>
      </c>
      <c r="X7994" t="str">
        <v>x</v>
      </c>
      <c r="Y7994">
        <f>D7980</f>
        <v>1</v>
      </c>
      <c r="Z7994" t="str">
        <v>=</v>
      </c>
      <c r="AA7994">
        <f>N7994*U7994*W7994*Y7994</f>
        <v>4.063968000000001</v>
      </c>
    </row>
    <row r="7995">
      <c r="A7995" t="str">
        <f>A7974</f>
        <v>Lantai Attic</v>
      </c>
      <c r="B7995">
        <f>B7974</f>
        <v>2</v>
      </c>
      <c r="C7995" t="str">
        <v>Sengkang Lapangan</v>
      </c>
      <c r="D7995">
        <f>VLOOKUP(D7974,'Detail Balok'!$C$10:$AU$110,36,FALSE)</f>
        <v>0</v>
      </c>
      <c r="E7995" t="str">
        <v>D</v>
      </c>
      <c r="F7995">
        <f>VLOOKUP(D7974,'Detail Balok'!$C$10:$AU$110,38,FALSE)</f>
        <v>8</v>
      </c>
      <c r="G7995" t="str">
        <v>-</v>
      </c>
      <c r="H7995">
        <f>VLOOKUP(D7974,'Detail Balok'!$C$10:$AU$110,40,FALSE)</f>
        <v>200</v>
      </c>
      <c r="J7995">
        <f>(IF(D7995=0,(2*(D7975+G7975))-(F$5*8),IF(D7995=3,(2*(D7975+G7975))-(F$5*8)+(G7975-2*F$5),IF(D7995=4,(2*(D7975+G7975))-(F$5*8)+2*(G7975-2*F$5)))))/1000</f>
        <v>0.88</v>
      </c>
      <c r="K7995" t="str">
        <v>+</v>
      </c>
      <c r="L7995">
        <f>IF(D7995=0,2*MAX(6*F7995,75),(D7995-1)*2*MAX(6*F7995,75))/1000</f>
        <v>0.15</v>
      </c>
      <c r="M7995" t="str">
        <v>=</v>
      </c>
      <c r="N7995">
        <f>J7995+L7995</f>
        <v>1.03</v>
      </c>
      <c r="T7995" t="str">
        <v>x</v>
      </c>
      <c r="U7995">
        <f>0.006165*F7995^2</f>
        <v>0.39456</v>
      </c>
      <c r="V7995" t="str">
        <v>x</v>
      </c>
      <c r="W7995">
        <f>IF(D7977-MAX(D7977/4,2*G7975)*2&gt;0,ROUND((D7977-MAX(D7977/4,2*G7975)*2)/H7995,0),0)</f>
        <v>9</v>
      </c>
      <c r="X7995" t="str">
        <v>x</v>
      </c>
      <c r="Y7995">
        <f>D7980</f>
        <v>1</v>
      </c>
      <c r="Z7995" t="str">
        <v>=</v>
      </c>
      <c r="AA7995">
        <f>N7995*U7995*W7995*Y7995</f>
        <v>3.6575712000000005</v>
      </c>
    </row>
    <row r="7996">
      <c r="A7996" t="str">
        <f>A7974</f>
        <v>Lantai Attic</v>
      </c>
      <c r="B7996">
        <f>B7974</f>
        <v>2</v>
      </c>
      <c r="C7996" t="str">
        <v>Sengkang Tumpuan</v>
      </c>
      <c r="D7996">
        <f>VLOOKUP(D7974,'Detail Balok'!$C$10:$AU$110,41,FALSE)</f>
        <v>0</v>
      </c>
      <c r="E7996" t="str">
        <v>D</v>
      </c>
      <c r="F7996">
        <f>VLOOKUP(D7974,'Detail Balok'!$C$10:$AU$110,43,FALSE)</f>
        <v>8</v>
      </c>
      <c r="G7996" t="str">
        <v>-</v>
      </c>
      <c r="H7996">
        <f>VLOOKUP(D7974,'Detail Balok'!$C$10:$AU$110,45,FALSE)</f>
        <v>100</v>
      </c>
      <c r="J7996">
        <f>(IF(D7996=0,(2*(D7975+G7975))-(F$5*8),IF(D7996=3,(2*(D7975+G7975))-(F$5*8)+(G7975-2*F$5),IF(D7996=4,(2*(D7975+G7975))-(F$5*8)+2*(G7975-2*F$5)))))/1000</f>
        <v>0.88</v>
      </c>
      <c r="K7996" t="str">
        <v>+</v>
      </c>
      <c r="L7996">
        <f>IF(D7996=0,2*MAX(6*F7996,75),(D7996-1)*2*MAX(6*F7996,75))/1000</f>
        <v>0.15</v>
      </c>
      <c r="M7996" t="str">
        <v>=</v>
      </c>
      <c r="N7996">
        <f>J7996+L7996</f>
        <v>1.03</v>
      </c>
      <c r="T7996" t="str">
        <v>x</v>
      </c>
      <c r="U7996">
        <f>0.006165*F7996^2</f>
        <v>0.39456</v>
      </c>
      <c r="V7996" t="str">
        <v>x</v>
      </c>
      <c r="W7996">
        <f>IF(D7977&gt;4*G7975,ROUND(MAX(D7977/4,2*G7975)/H7996,0)+1,0)</f>
        <v>10</v>
      </c>
      <c r="X7996" t="str">
        <v>x</v>
      </c>
      <c r="Y7996">
        <f>D7980</f>
        <v>1</v>
      </c>
      <c r="Z7996" t="str">
        <v>=</v>
      </c>
      <c r="AA7996">
        <f>N7996*U7996*W7996*Y7996</f>
        <v>4.063968000000001</v>
      </c>
    </row>
    <row r="7998">
      <c r="A7998" t="str">
        <f>A7974</f>
        <v>Lantai Attic</v>
      </c>
      <c r="B7998">
        <f>B7974</f>
        <v>2</v>
      </c>
      <c r="C7998" t="str">
        <v>Kait Horizontal Tump.</v>
      </c>
      <c r="D7998">
        <f>VLOOKUP(D7974,'Detail Balok'!$C$10:$BJ$110,46,FALSE)</f>
        <v>0</v>
      </c>
      <c r="E7998" t="str">
        <v>D</v>
      </c>
      <c r="F7998">
        <f>VLOOKUP(D7974,'Detail Balok'!$C$10:$BJ$110,48,FALSE)</f>
        <v>0</v>
      </c>
      <c r="G7998" t="str">
        <v>-</v>
      </c>
      <c r="H7998">
        <f>VLOOKUP(D7974,'Detail Balok'!$C$10:$BJ$110,50,FALSE)</f>
        <v>100</v>
      </c>
      <c r="J7998">
        <f>(D7975-2*F$5)/1000</f>
        <v>0.12</v>
      </c>
      <c r="K7998" t="str">
        <v>+</v>
      </c>
      <c r="L7998">
        <f>IF(D7998=0,2*MAX(6*F7998,75),(D7998-1)*2*MAX(6*F7998,75))/1000</f>
        <v>0.15</v>
      </c>
      <c r="M7998" t="str">
        <v>=</v>
      </c>
      <c r="N7998">
        <f>J7998+L7998</f>
        <v>0.27</v>
      </c>
      <c r="T7998" t="str">
        <v>x</v>
      </c>
      <c r="U7998">
        <f>0.006165*F7998^2</f>
        <v>0</v>
      </c>
      <c r="V7998" t="str">
        <v>x</v>
      </c>
      <c r="W7998">
        <f>W7994</f>
        <v>10</v>
      </c>
      <c r="X7998" t="str">
        <v>x</v>
      </c>
      <c r="Y7998">
        <f>D7984</f>
        <v>2</v>
      </c>
      <c r="Z7998" t="str">
        <v>=</v>
      </c>
      <c r="AA7998">
        <f>N7998*U7998*W7998*Y7998</f>
        <v>0</v>
      </c>
    </row>
    <row r="7999">
      <c r="A7999" t="str">
        <f>A7974</f>
        <v>Lantai Attic</v>
      </c>
      <c r="B7999">
        <f>B7974</f>
        <v>2</v>
      </c>
      <c r="C7999" t="str">
        <v>Kait Horizontal Lap.</v>
      </c>
      <c r="D7999">
        <f>VLOOKUP(D7974,'Detail Balok'!$C$10:$BJ$110,51,FALSE)</f>
        <v>0</v>
      </c>
      <c r="E7999" t="str">
        <v>D</v>
      </c>
      <c r="F7999">
        <f>VLOOKUP(D7974,'Detail Balok'!$C$10:$BJ$110,53,FALSE)</f>
        <v>0</v>
      </c>
      <c r="G7999" t="str">
        <v>-</v>
      </c>
      <c r="H7999">
        <f>VLOOKUP(D7974,'Detail Balok'!$C$10:$BJ$110,55,FALSE)</f>
        <v>100</v>
      </c>
      <c r="J7999">
        <f>(D7975-2*F$5)/1000</f>
        <v>0.12</v>
      </c>
      <c r="K7999" t="str">
        <v>+</v>
      </c>
      <c r="L7999">
        <f>IF(D7999=0,2*MAX(6*F7999,75),(D7999-1)*2*MAX(6*F7999,75))/1000</f>
        <v>0.15</v>
      </c>
      <c r="M7999" t="str">
        <v>=</v>
      </c>
      <c r="N7999">
        <f>J7999+L7999</f>
        <v>0.27</v>
      </c>
      <c r="T7999" t="str">
        <v>x</v>
      </c>
      <c r="U7999">
        <f>0.006165*F7999^2</f>
        <v>0</v>
      </c>
      <c r="V7999" t="str">
        <v>x</v>
      </c>
      <c r="W7999">
        <f>W7995</f>
        <v>9</v>
      </c>
      <c r="X7999" t="str">
        <v>x</v>
      </c>
      <c r="Y7999">
        <f>D7984</f>
        <v>2</v>
      </c>
      <c r="Z7999" t="str">
        <v>=</v>
      </c>
      <c r="AA7999">
        <f>N7999*U7999*W7999*Y7999</f>
        <v>0</v>
      </c>
    </row>
    <row r="8000">
      <c r="A8000" t="str">
        <f>A7974</f>
        <v>Lantai Attic</v>
      </c>
      <c r="B8000">
        <f>B7974</f>
        <v>2</v>
      </c>
      <c r="C8000" t="str">
        <v>Kait Horizontal Tump.</v>
      </c>
      <c r="D8000">
        <f>VLOOKUP(D7974,'Detail Balok'!$C$10:$BJ$110,56,FALSE)</f>
        <v>0</v>
      </c>
      <c r="E8000" t="str">
        <v>D</v>
      </c>
      <c r="F8000">
        <f>VLOOKUP(D7974,'Detail Balok'!$C$10:$BJ$110,58,FALSE)</f>
        <v>0</v>
      </c>
      <c r="G8000" t="str">
        <v>-</v>
      </c>
      <c r="H8000">
        <f>VLOOKUP(D7974,'Detail Balok'!$C$10:$BJ$110,60,FALSE)</f>
        <v>100</v>
      </c>
      <c r="J8000">
        <f>(D7975-2*F$5)/1000</f>
        <v>0.12</v>
      </c>
      <c r="K8000" t="str">
        <v>+</v>
      </c>
      <c r="L8000">
        <f>IF(D8000=0,2*MAX(6*F8000,75),(D8000-1)*2*MAX(6*F8000,75))/1000</f>
        <v>0.15</v>
      </c>
      <c r="M8000" t="str">
        <v>=</v>
      </c>
      <c r="N8000">
        <f>J8000+L8000</f>
        <v>0.27</v>
      </c>
      <c r="T8000" t="str">
        <v>x</v>
      </c>
      <c r="U8000">
        <f>0.006165*F8000^2</f>
        <v>0</v>
      </c>
      <c r="V8000" t="str">
        <v>x</v>
      </c>
      <c r="W8000">
        <f>W7996</f>
        <v>10</v>
      </c>
      <c r="X8000" t="str">
        <v>x</v>
      </c>
      <c r="Y8000">
        <f>D7984</f>
        <v>2</v>
      </c>
      <c r="Z8000" t="str">
        <v>=</v>
      </c>
      <c r="AA8000">
        <f>N8000*U8000*W8000*Y8000</f>
        <v>0</v>
      </c>
    </row>
    <row r="8004">
      <c r="A8004" t="str">
        <f>A7974</f>
        <v>Lantai Attic</v>
      </c>
      <c r="B8004">
        <f>B7974+1</f>
        <v>3</v>
      </c>
      <c r="C8004" t="str">
        <f>CONCATENATE(A8004," no. ",B8004)</f>
        <v>Lantai Attic no. 3</v>
      </c>
      <c r="D8004" t="str">
        <f>VLOOKUP(C8004,'Data Panjang Balok'!$C$9:$N$424,2,FALSE)</f>
        <v>B245-4</v>
      </c>
    </row>
    <row r="8005">
      <c r="C8005" t="str">
        <v>Dimensi</v>
      </c>
      <c r="D8005">
        <f>VLOOKUP(D8004,'Detail Balok'!$C$10:$AU$110,2,FALSE)</f>
        <v>200</v>
      </c>
      <c r="F8005" t="str">
        <v>x</v>
      </c>
      <c r="G8005">
        <f>VLOOKUP(D8004,'Detail Balok'!$C$10:$AU$110,3,FALSE)</f>
        <v>450</v>
      </c>
    </row>
    <row r="8006">
      <c r="C8006" t="str">
        <v>Panjang as ke as</v>
      </c>
      <c r="D8006">
        <f>VLOOKUP(C8004,'Data Panjang Balok'!$C$9:$N$424,4,FALSE)</f>
        <v>3100</v>
      </c>
    </row>
    <row r="8007">
      <c r="C8007" t="str">
        <v>Panjang netto</v>
      </c>
      <c r="D8007">
        <f>VLOOKUP(C8004,'Data Panjang Balok'!$C$9:$N$424,7,FALSE)</f>
        <v>3100</v>
      </c>
    </row>
    <row r="8008">
      <c r="C8008" t="str">
        <v>Kolom / balok kiri</v>
      </c>
      <c r="D8008">
        <f>VLOOKUP(C8004,'Data Panjang Balok'!$C$9:$N$424,9,FALSE)</f>
        <v>0</v>
      </c>
    </row>
    <row r="8009">
      <c r="C8009" t="str">
        <v>Kolom / balok kanan</v>
      </c>
      <c r="D8009">
        <f>VLOOKUP(C8004,'Data Panjang Balok'!$C$9:$N$424,10,FALSE)</f>
        <v>0</v>
      </c>
    </row>
    <row r="8010">
      <c r="C8010" t="str">
        <v>Jumlah</v>
      </c>
      <c r="D8010">
        <f>VLOOKUP(C8004,'Data Panjang Balok'!$C$9:$N$424,3,FALSE)</f>
        <v>1</v>
      </c>
    </row>
    <row r="8011">
      <c r="A8011" t="str">
        <f>A8004</f>
        <v>Lantai Attic</v>
      </c>
      <c r="B8011">
        <f>B8004</f>
        <v>3</v>
      </c>
      <c r="C8011" t="str">
        <v>Tul Atas Tumpuan</v>
      </c>
      <c r="D8011">
        <f>VLOOKUP(D8004,'Detail Balok'!$C$10:$AU$110,4,FALSE)</f>
        <v>3</v>
      </c>
      <c r="E8011" t="str">
        <v>D</v>
      </c>
      <c r="F8011">
        <f>VLOOKUP(D8004,'Detail Balok'!$C$10:$AU$110,6,FALSE)</f>
        <v>16</v>
      </c>
      <c r="I8011" t="str">
        <v>(</v>
      </c>
      <c r="J8011">
        <f>+D8006/4/1000</f>
        <v>0.775</v>
      </c>
      <c r="K8011" t="str">
        <v>+</v>
      </c>
      <c r="L8011">
        <f>MAX(VLOOKUP(F8011,N$6:P$15,3,FALSE)/1000,2/3*D8008/1000)+F$16*F8011/1000</f>
        <v>0.192</v>
      </c>
      <c r="M8011" t="str">
        <v>=</v>
      </c>
      <c r="N8011">
        <f>J8011+L8011</f>
        <v>0.9670000000000001</v>
      </c>
      <c r="O8011" t="str">
        <v>+</v>
      </c>
      <c r="P8011">
        <f>D8011-D8012</f>
        <v>0</v>
      </c>
      <c r="Q8011" t="str">
        <v>x</v>
      </c>
      <c r="R8011">
        <f>IF(P8011&gt;0,$F$18*F8011/1000,0)</f>
        <v>0</v>
      </c>
      <c r="S8011" t="str">
        <v>)</v>
      </c>
      <c r="T8011" t="str">
        <v>x</v>
      </c>
      <c r="U8011">
        <f>0.006165*F8011^2</f>
        <v>1.57824</v>
      </c>
      <c r="X8011" t="str">
        <v>x</v>
      </c>
      <c r="Y8011">
        <f>D8010</f>
        <v>1</v>
      </c>
      <c r="Z8011" t="str">
        <v>=</v>
      </c>
      <c r="AA8011">
        <f>IF(AA8014=0,(D8011*N8011+P8011*R8011)*U8011*Y8011,0)</f>
        <v>0</v>
      </c>
    </row>
    <row r="8012">
      <c r="A8012" t="str">
        <f>A8004</f>
        <v>Lantai Attic</v>
      </c>
      <c r="B8012">
        <f>B8004</f>
        <v>3</v>
      </c>
      <c r="C8012" t="str">
        <v>Tul Atas Lapangan</v>
      </c>
      <c r="D8012">
        <f>VLOOKUP(D8004,'Detail Balok'!$C$10:$AU$110,7,FALSE)</f>
        <v>3</v>
      </c>
      <c r="E8012" t="str">
        <v>D</v>
      </c>
      <c r="F8012">
        <f>VLOOKUP(D8004,'Detail Balok'!$C$10:$AU$110,9,FALSE)</f>
        <v>16</v>
      </c>
      <c r="I8012" t="str">
        <v>(</v>
      </c>
      <c r="J8012">
        <f>+D8006/2/1000</f>
        <v>1.55</v>
      </c>
      <c r="K8012" t="str">
        <v>+</v>
      </c>
      <c r="M8012" t="str">
        <v>=</v>
      </c>
      <c r="N8012">
        <f>J8012+L8012</f>
        <v>1.55</v>
      </c>
      <c r="O8012" t="str">
        <v>+</v>
      </c>
      <c r="P8012">
        <f>MAX(D8012-D8011,D8012-D8013)</f>
        <v>0</v>
      </c>
      <c r="Q8012" t="str">
        <v>x</v>
      </c>
      <c r="R8012">
        <f>IF(P8012&gt;0,2*(1-2*$F$19-1/2)*D8007/1000,0)</f>
        <v>0</v>
      </c>
      <c r="S8012" t="str">
        <v>)</v>
      </c>
      <c r="T8012" t="str">
        <v>x</v>
      </c>
      <c r="U8012">
        <f>0.006165*F8012^2</f>
        <v>1.57824</v>
      </c>
      <c r="X8012" t="str">
        <v>x</v>
      </c>
      <c r="Y8012">
        <f>D8010</f>
        <v>1</v>
      </c>
      <c r="Z8012" t="str">
        <v>=</v>
      </c>
      <c r="AA8012">
        <f>IF(AA8014=0,(D8012*N8012+P8012*R8012)*U8012*Y8012,0)</f>
        <v>0</v>
      </c>
    </row>
    <row r="8013">
      <c r="A8013" t="str">
        <f>A8004</f>
        <v>Lantai Attic</v>
      </c>
      <c r="B8013">
        <f>B8004</f>
        <v>3</v>
      </c>
      <c r="C8013" t="str">
        <v>Tul Atas Tumpuan</v>
      </c>
      <c r="D8013">
        <f>VLOOKUP(D8004,'Detail Balok'!$C$10:$AU$110,10,FALSE)</f>
        <v>3</v>
      </c>
      <c r="E8013" t="str">
        <v>D</v>
      </c>
      <c r="F8013">
        <f>VLOOKUP(D8004,'Detail Balok'!$C$10:$AU$110,12,FALSE)</f>
        <v>16</v>
      </c>
      <c r="I8013" t="str">
        <v>(</v>
      </c>
      <c r="J8013">
        <f>+D8006/4/1000</f>
        <v>0.775</v>
      </c>
      <c r="K8013" t="str">
        <v>+</v>
      </c>
      <c r="L8013">
        <f>MAX(VLOOKUP(F8013,N$6:P$15,3,FALSE)/1000,2/3*D8008/1000)+F$16*F8013/1000</f>
        <v>0.192</v>
      </c>
      <c r="M8013" t="str">
        <v>=</v>
      </c>
      <c r="N8013">
        <f>J8013+L8013</f>
        <v>0.9670000000000001</v>
      </c>
      <c r="O8013" t="str">
        <v>+</v>
      </c>
      <c r="P8013">
        <f>D8013-D8012</f>
        <v>0</v>
      </c>
      <c r="Q8013" t="str">
        <v>x</v>
      </c>
      <c r="R8013">
        <f>IF(P8013&gt;0,$F$18*F8013/1000,0)</f>
        <v>0</v>
      </c>
      <c r="S8013" t="str">
        <v>)</v>
      </c>
      <c r="T8013" t="str">
        <v>x</v>
      </c>
      <c r="U8013">
        <f>0.006165*F8013^2</f>
        <v>1.57824</v>
      </c>
      <c r="X8013" t="str">
        <v>x</v>
      </c>
      <c r="Y8013">
        <f>D8010</f>
        <v>1</v>
      </c>
      <c r="Z8013" t="str">
        <v>=</v>
      </c>
      <c r="AA8013">
        <f>IF(AA8014=0,(D8013*N8013+P8013*R8013)*U8013*Y8013,0)</f>
        <v>0</v>
      </c>
    </row>
    <row r="8014">
      <c r="A8014" t="str">
        <f>A8004</f>
        <v>Lantai Attic</v>
      </c>
      <c r="B8014">
        <f>B8004</f>
        <v>3</v>
      </c>
      <c r="D8014">
        <f>IF(AND(D8011=D8012,D8012=D8013,D8011=D8013),D8011,0)</f>
        <v>3</v>
      </c>
      <c r="E8014" t="str">
        <v>D</v>
      </c>
      <c r="F8014">
        <f>IF(AND(F8011=F8012,F8011=F8013,F8012=F8013),F8011,0)</f>
        <v>16</v>
      </c>
      <c r="L8014" t="str">
        <v>Total panjang per balok</v>
      </c>
      <c r="M8014" t="str">
        <v>=</v>
      </c>
      <c r="N8014">
        <f>IF(AND(D8011=D8012,D8011=D8013,D8012=D8013,F8011=F8012,F8011=F8013,F8012=F8013),SUM(N8011:N8013),0)</f>
        <v>3.4840000000000004</v>
      </c>
      <c r="O8014" t="str">
        <v>+</v>
      </c>
      <c r="P8014">
        <f>IF(N8014&gt;12,ROUNDDOWN(N8014/12,0),0)</f>
        <v>0</v>
      </c>
      <c r="Q8014" t="str">
        <v>x</v>
      </c>
      <c r="R8014">
        <f>IF(P8014&gt;0,MAX(VLOOKUP(F8014,$D$6:$G$15,3,FALSE),600),0)/1000</f>
        <v>0</v>
      </c>
      <c r="T8014" t="str">
        <v>x</v>
      </c>
      <c r="U8014">
        <f>U8013</f>
        <v>1.57824</v>
      </c>
      <c r="V8014" t="str">
        <v>x</v>
      </c>
      <c r="W8014">
        <f>D8014</f>
        <v>3</v>
      </c>
      <c r="X8014" t="str">
        <v>x</v>
      </c>
      <c r="Y8014">
        <f>Y8013</f>
        <v>1</v>
      </c>
      <c r="Z8014" t="str">
        <v>=</v>
      </c>
      <c r="AA8014">
        <f>(N8014+P8014*R8014/1000)*U8014*W8014*Y8014</f>
        <v>16.495764480000002</v>
      </c>
    </row>
    <row r="8016">
      <c r="A8016" t="str">
        <f>A8004</f>
        <v>Lantai Attic</v>
      </c>
      <c r="B8016">
        <f>B8004</f>
        <v>3</v>
      </c>
      <c r="C8016" t="str">
        <v>Tul Peminggang</v>
      </c>
      <c r="D8016">
        <f>VLOOKUP(D8004,'Detail Balok'!$C$10:$AU$110,13,FALSE)</f>
        <v>2</v>
      </c>
      <c r="E8016" t="str">
        <v>D</v>
      </c>
      <c r="F8016">
        <f>VLOOKUP(D8004,'Detail Balok'!$C$10:$AU$110,15,FALSE)</f>
        <v>8</v>
      </c>
      <c r="J8016">
        <f>+D8006/1000</f>
        <v>3.1</v>
      </c>
      <c r="K8016" t="str">
        <v>+</v>
      </c>
      <c r="L8016">
        <f>2*$F$16*F8016/1000</f>
        <v>0.192</v>
      </c>
      <c r="M8016" t="str">
        <v>=</v>
      </c>
      <c r="N8016">
        <f>J8016+L8016</f>
        <v>3.2920000000000003</v>
      </c>
      <c r="O8016" t="str">
        <v>+</v>
      </c>
      <c r="P8016">
        <f>IF(N8016&gt;12,ROUNDDOWN(N8016/12,0),0)</f>
        <v>0</v>
      </c>
      <c r="Q8016" t="str">
        <v>x</v>
      </c>
      <c r="R8016">
        <f>IF(P8016&gt;0,MAX(VLOOKUP(F8016,$D$6:$G$15,3,FALSE),600),0)/1000</f>
        <v>0</v>
      </c>
      <c r="T8016" t="str">
        <v>x</v>
      </c>
      <c r="U8016">
        <f>0.006165*F8016^2</f>
        <v>0.39456</v>
      </c>
      <c r="V8016" t="str">
        <v>x</v>
      </c>
      <c r="W8016">
        <f>+D8016</f>
        <v>2</v>
      </c>
      <c r="X8016" t="str">
        <v>x</v>
      </c>
      <c r="Y8016">
        <f>D8010</f>
        <v>1</v>
      </c>
      <c r="Z8016" t="str">
        <v>=</v>
      </c>
      <c r="AA8016">
        <f>(N8016+P8016*R8016/1000)*U8016*W8016*Y8016</f>
        <v>2.5977830400000004</v>
      </c>
    </row>
    <row r="8019">
      <c r="A8019" t="str">
        <f>A8004</f>
        <v>Lantai Attic</v>
      </c>
      <c r="B8019">
        <f>B8004</f>
        <v>3</v>
      </c>
      <c r="C8019" t="str">
        <v>Tul Bawah Tumpuan</v>
      </c>
      <c r="D8019">
        <f>VLOOKUP(D8004,'Detail Balok'!$C$10:$AU$110,22,FALSE)</f>
        <v>3</v>
      </c>
      <c r="E8019" t="str">
        <v>D</v>
      </c>
      <c r="F8019">
        <f>VLOOKUP(D8004,'Detail Balok'!$C$10:$AU$110,24,FALSE)</f>
        <v>16</v>
      </c>
      <c r="I8019" t="str">
        <v>(</v>
      </c>
      <c r="J8019">
        <f>+J8011</f>
        <v>0.775</v>
      </c>
      <c r="K8019" t="str">
        <v>+</v>
      </c>
      <c r="L8019">
        <f>MAX(VLOOKUP(F8019,N$6:P$15,3,FALSE)/1000,2/3*D8009/1000)+F$16*F8019/1000</f>
        <v>0.192</v>
      </c>
      <c r="M8019" t="str">
        <v>=</v>
      </c>
      <c r="N8019">
        <f>J8019+L8019</f>
        <v>0.9670000000000001</v>
      </c>
      <c r="O8019" t="str">
        <v>+</v>
      </c>
      <c r="P8019">
        <f>D8019-D8020</f>
        <v>0</v>
      </c>
      <c r="Q8019" t="str">
        <v>x</v>
      </c>
      <c r="R8019">
        <f>IF(P8019&gt;0,$F$18*F8019/1000,0)</f>
        <v>0</v>
      </c>
      <c r="S8019" t="str">
        <v>)</v>
      </c>
      <c r="T8019" t="str">
        <v>x</v>
      </c>
      <c r="U8019">
        <f>0.006165*F8019^2</f>
        <v>1.57824</v>
      </c>
      <c r="X8019" t="str">
        <v>x</v>
      </c>
      <c r="Y8019">
        <f>D8010</f>
        <v>1</v>
      </c>
      <c r="Z8019" t="str">
        <v>=</v>
      </c>
      <c r="AA8019">
        <f>IF(AA8022=0,(D8019*N8019+P8019*R8019)*U8019*Y8019,0)</f>
        <v>0</v>
      </c>
    </row>
    <row r="8020">
      <c r="A8020" t="str">
        <f>A8004</f>
        <v>Lantai Attic</v>
      </c>
      <c r="B8020">
        <f>B8004</f>
        <v>3</v>
      </c>
      <c r="C8020" t="str">
        <v>Tul Bawah Lapangan</v>
      </c>
      <c r="D8020">
        <f>VLOOKUP(D8004,'Detail Balok'!$C$10:$AU$110,25,FALSE)</f>
        <v>3</v>
      </c>
      <c r="E8020" t="str">
        <v>D</v>
      </c>
      <c r="F8020">
        <f>VLOOKUP(D8004,'Detail Balok'!$C$10:$AU$110,27,FALSE)</f>
        <v>16</v>
      </c>
      <c r="I8020" t="str">
        <v>(</v>
      </c>
      <c r="J8020">
        <f>+J8012</f>
        <v>1.55</v>
      </c>
      <c r="K8020" t="str">
        <v>+</v>
      </c>
      <c r="M8020" t="str">
        <v>=</v>
      </c>
      <c r="N8020">
        <f>J8020+L8020</f>
        <v>1.55</v>
      </c>
      <c r="O8020" t="str">
        <v>+</v>
      </c>
      <c r="P8020">
        <f>MAX(D8020-D8019,D8020-D8021)</f>
        <v>0</v>
      </c>
      <c r="Q8020" t="str">
        <v>x</v>
      </c>
      <c r="R8020">
        <f>IF(P8020&gt;0,2*(1-2*$F$19-1/2)*D8007/1000,0)</f>
        <v>0</v>
      </c>
      <c r="S8020" t="str">
        <v>)</v>
      </c>
      <c r="T8020" t="str">
        <v>x</v>
      </c>
      <c r="U8020">
        <f>0.006165*F8020^2</f>
        <v>1.57824</v>
      </c>
      <c r="X8020" t="str">
        <v>x</v>
      </c>
      <c r="Y8020">
        <f>D8010</f>
        <v>1</v>
      </c>
      <c r="Z8020" t="str">
        <v>=</v>
      </c>
      <c r="AA8020">
        <f>IF(AA8022=0,(D8020*N8020+P8020*R8020)*U8020*Y8020,0)</f>
        <v>0</v>
      </c>
    </row>
    <row r="8021">
      <c r="A8021" t="str">
        <f>A8004</f>
        <v>Lantai Attic</v>
      </c>
      <c r="B8021">
        <f>B8004</f>
        <v>3</v>
      </c>
      <c r="C8021" t="str">
        <v>Tul Bawah Tumpuan</v>
      </c>
      <c r="D8021">
        <f>VLOOKUP(D8004,'Detail Balok'!$C$10:$AU$110,28,FALSE)</f>
        <v>3</v>
      </c>
      <c r="E8021" t="str">
        <v>D</v>
      </c>
      <c r="F8021">
        <f>VLOOKUP(D8004,'Detail Balok'!$C$10:$AU$110,30,FALSE)</f>
        <v>16</v>
      </c>
      <c r="I8021" t="str">
        <v>(</v>
      </c>
      <c r="J8021">
        <f>+J8013</f>
        <v>0.775</v>
      </c>
      <c r="K8021" t="str">
        <v>+</v>
      </c>
      <c r="L8021">
        <f>MAX(VLOOKUP(F8021,N$6:P$15,3,FALSE)/1000,2/3*D8009/1000)+F$16*F8021/1000</f>
        <v>0.192</v>
      </c>
      <c r="M8021" t="str">
        <v>=</v>
      </c>
      <c r="N8021">
        <f>J8021+L8021</f>
        <v>0.9670000000000001</v>
      </c>
      <c r="O8021" t="str">
        <v>+</v>
      </c>
      <c r="P8021">
        <f>D8021-D8020</f>
        <v>0</v>
      </c>
      <c r="Q8021" t="str">
        <v>x</v>
      </c>
      <c r="R8021">
        <f>IF(P8021&gt;0,$F$18*F8021/1000,0)</f>
        <v>0</v>
      </c>
      <c r="S8021" t="str">
        <v>)</v>
      </c>
      <c r="T8021" t="str">
        <v>x</v>
      </c>
      <c r="U8021">
        <f>0.006165*F8021^2</f>
        <v>1.57824</v>
      </c>
      <c r="X8021" t="str">
        <v>x</v>
      </c>
      <c r="Y8021">
        <f>D8010</f>
        <v>1</v>
      </c>
      <c r="Z8021" t="str">
        <v>=</v>
      </c>
      <c r="AA8021">
        <f>IF(AA8022=0,(D8021*N8021+P8021*R8021)*U8021*Y8021,0)</f>
        <v>0</v>
      </c>
    </row>
    <row r="8022">
      <c r="A8022" t="str">
        <f>A8004</f>
        <v>Lantai Attic</v>
      </c>
      <c r="B8022">
        <f>B8004</f>
        <v>3</v>
      </c>
      <c r="D8022">
        <f>IF(AND(D8019=D8020,D8020=D8021,D8019=D8021),D8019,0)</f>
        <v>3</v>
      </c>
      <c r="E8022" t="str">
        <v>D</v>
      </c>
      <c r="F8022">
        <f>IF(AND(F8019=F8020,F8019=F8021,F8020=F8021),F8019,0)</f>
        <v>16</v>
      </c>
      <c r="L8022" t="str">
        <v>Total panjang per balok</v>
      </c>
      <c r="M8022" t="str">
        <v>=</v>
      </c>
      <c r="N8022">
        <f>IF(AND(D8019=D8020,D8019=D8021,D8020=D8021,F8019=F8020,F8019=F8021,F8020=F8021),SUM(N8019:N8021),0)</f>
        <v>3.4840000000000004</v>
      </c>
      <c r="O8022" t="str">
        <v>+</v>
      </c>
      <c r="P8022">
        <f>IF(N8022&gt;12,ROUNDDOWN(N8022/12,0),0)</f>
        <v>0</v>
      </c>
      <c r="Q8022" t="str">
        <v>x</v>
      </c>
      <c r="R8022">
        <f>IF(P8022&gt;0,MAX(VLOOKUP(F8022,$D$6:$G$15,3,FALSE),600),0)/1000</f>
        <v>0</v>
      </c>
      <c r="T8022" t="str">
        <v>x</v>
      </c>
      <c r="U8022">
        <f>U8021</f>
        <v>1.57824</v>
      </c>
      <c r="V8022" t="str">
        <v>x</v>
      </c>
      <c r="W8022">
        <f>D8022</f>
        <v>3</v>
      </c>
      <c r="X8022" t="str">
        <v>x</v>
      </c>
      <c r="Y8022">
        <f>Y8021</f>
        <v>1</v>
      </c>
      <c r="Z8022" t="str">
        <v>=</v>
      </c>
      <c r="AA8022">
        <f>(N8022+P8022*R8022/1000)*U8022*W8022*Y8022</f>
        <v>16.495764480000002</v>
      </c>
    </row>
    <row r="8024">
      <c r="A8024" t="str">
        <f>A8004</f>
        <v>Lantai Attic</v>
      </c>
      <c r="B8024">
        <f>B8004</f>
        <v>3</v>
      </c>
      <c r="C8024" t="str">
        <v>Sengkang Tumpuan</v>
      </c>
      <c r="D8024">
        <f>VLOOKUP(D8004,'Detail Balok'!$C$10:$AU$110,31,FALSE)</f>
        <v>0</v>
      </c>
      <c r="E8024" t="str">
        <v>D</v>
      </c>
      <c r="F8024">
        <f>VLOOKUP(D8004,'Detail Balok'!$C$10:$AU$110,33,FALSE)</f>
        <v>8</v>
      </c>
      <c r="G8024" t="str">
        <v>-</v>
      </c>
      <c r="H8024">
        <f>VLOOKUP(D8004,'Detail Balok'!$C$10:$AU$110,35,FALSE)</f>
        <v>100</v>
      </c>
      <c r="J8024">
        <f>(IF(D8024=0,(2*(D8005+G8005))-(F$5*8),IF(D8024=3,(2*(D8005+G8005))-(F$5*8)+(G8005-2*F$5),IF(D8024=4,(2*(D8005+G8005))-(F$5*8)+2*(G8005-2*F$5)))))/1000</f>
        <v>0.98</v>
      </c>
      <c r="K8024" t="str">
        <v>+</v>
      </c>
      <c r="L8024">
        <f>IF(D8024=0,2*MAX(6*F8024,75),(D8024-1)*2*MAX(6*F8024,75))/1000</f>
        <v>0.15</v>
      </c>
      <c r="M8024" t="str">
        <v>=</v>
      </c>
      <c r="N8024">
        <f>J8024+L8024</f>
        <v>1.13</v>
      </c>
      <c r="T8024" t="str">
        <v>x</v>
      </c>
      <c r="U8024">
        <f>0.006165*F8024^2</f>
        <v>0.39456</v>
      </c>
      <c r="V8024" t="str">
        <v>x</v>
      </c>
      <c r="W8024">
        <f>IF(D8007&gt;4*G8005,ROUND(MAX(D8007/4,2*G8005)/H8024,0)+1,ROUND(D8007/H8024,0)+1)</f>
        <v>10</v>
      </c>
      <c r="X8024" t="str">
        <v>x</v>
      </c>
      <c r="Y8024">
        <f>D8010</f>
        <v>1</v>
      </c>
      <c r="Z8024" t="str">
        <v>=</v>
      </c>
      <c r="AA8024">
        <f>N8024*U8024*W8024*Y8024</f>
        <v>4.458528</v>
      </c>
    </row>
    <row r="8025">
      <c r="A8025" t="str">
        <f>A8004</f>
        <v>Lantai Attic</v>
      </c>
      <c r="B8025">
        <f>B8004</f>
        <v>3</v>
      </c>
      <c r="C8025" t="str">
        <v>Sengkang Lapangan</v>
      </c>
      <c r="D8025">
        <f>VLOOKUP(D8004,'Detail Balok'!$C$10:$AU$110,36,FALSE)</f>
        <v>0</v>
      </c>
      <c r="E8025" t="str">
        <v>D</v>
      </c>
      <c r="F8025">
        <f>VLOOKUP(D8004,'Detail Balok'!$C$10:$AU$110,38,FALSE)</f>
        <v>8</v>
      </c>
      <c r="G8025" t="str">
        <v>-</v>
      </c>
      <c r="H8025">
        <f>VLOOKUP(D8004,'Detail Balok'!$C$10:$AU$110,40,FALSE)</f>
        <v>200</v>
      </c>
      <c r="J8025">
        <f>(IF(D8025=0,(2*(D8005+G8005))-(F$5*8),IF(D8025=3,(2*(D8005+G8005))-(F$5*8)+(G8005-2*F$5),IF(D8025=4,(2*(D8005+G8005))-(F$5*8)+2*(G8005-2*F$5)))))/1000</f>
        <v>0.98</v>
      </c>
      <c r="K8025" t="str">
        <v>+</v>
      </c>
      <c r="L8025">
        <f>IF(D8025=0,2*MAX(6*F8025,75),(D8025-1)*2*MAX(6*F8025,75))/1000</f>
        <v>0.15</v>
      </c>
      <c r="M8025" t="str">
        <v>=</v>
      </c>
      <c r="N8025">
        <f>J8025+L8025</f>
        <v>1.13</v>
      </c>
      <c r="T8025" t="str">
        <v>x</v>
      </c>
      <c r="U8025">
        <f>0.006165*F8025^2</f>
        <v>0.39456</v>
      </c>
      <c r="V8025" t="str">
        <v>x</v>
      </c>
      <c r="W8025">
        <f>IF(D8007-MAX(D8007/4,2*G8005)*2&gt;0,ROUND((D8007-MAX(D8007/4,2*G8005)*2)/H8025,0),0)</f>
        <v>7</v>
      </c>
      <c r="X8025" t="str">
        <v>x</v>
      </c>
      <c r="Y8025">
        <f>D8010</f>
        <v>1</v>
      </c>
      <c r="Z8025" t="str">
        <v>=</v>
      </c>
      <c r="AA8025">
        <f>N8025*U8025*W8025*Y8025</f>
        <v>3.1209696</v>
      </c>
    </row>
    <row r="8026">
      <c r="A8026" t="str">
        <f>A8004</f>
        <v>Lantai Attic</v>
      </c>
      <c r="B8026">
        <f>B8004</f>
        <v>3</v>
      </c>
      <c r="C8026" t="str">
        <v>Sengkang Tumpuan</v>
      </c>
      <c r="D8026">
        <f>VLOOKUP(D8004,'Detail Balok'!$C$10:$AU$110,41,FALSE)</f>
        <v>0</v>
      </c>
      <c r="E8026" t="str">
        <v>D</v>
      </c>
      <c r="F8026">
        <f>VLOOKUP(D8004,'Detail Balok'!$C$10:$AU$110,43,FALSE)</f>
        <v>8</v>
      </c>
      <c r="G8026" t="str">
        <v>-</v>
      </c>
      <c r="H8026">
        <f>VLOOKUP(D8004,'Detail Balok'!$C$10:$AU$110,45,FALSE)</f>
        <v>100</v>
      </c>
      <c r="J8026">
        <f>(IF(D8026=0,(2*(D8005+G8005))-(F$5*8),IF(D8026=3,(2*(D8005+G8005))-(F$5*8)+(G8005-2*F$5),IF(D8026=4,(2*(D8005+G8005))-(F$5*8)+2*(G8005-2*F$5)))))/1000</f>
        <v>0.98</v>
      </c>
      <c r="K8026" t="str">
        <v>+</v>
      </c>
      <c r="L8026">
        <f>IF(D8026=0,2*MAX(6*F8026,75),(D8026-1)*2*MAX(6*F8026,75))/1000</f>
        <v>0.15</v>
      </c>
      <c r="M8026" t="str">
        <v>=</v>
      </c>
      <c r="N8026">
        <f>J8026+L8026</f>
        <v>1.13</v>
      </c>
      <c r="T8026" t="str">
        <v>x</v>
      </c>
      <c r="U8026">
        <f>0.006165*F8026^2</f>
        <v>0.39456</v>
      </c>
      <c r="V8026" t="str">
        <v>x</v>
      </c>
      <c r="W8026">
        <f>IF(D8007&gt;4*G8005,ROUND(MAX(D8007/4,2*G8005)/H8026,0)+1,0)</f>
        <v>10</v>
      </c>
      <c r="X8026" t="str">
        <v>x</v>
      </c>
      <c r="Y8026">
        <f>D8010</f>
        <v>1</v>
      </c>
      <c r="Z8026" t="str">
        <v>=</v>
      </c>
      <c r="AA8026">
        <f>N8026*U8026*W8026*Y8026</f>
        <v>4.458528</v>
      </c>
    </row>
    <row r="8028">
      <c r="A8028" t="str">
        <f>A8004</f>
        <v>Lantai Attic</v>
      </c>
      <c r="B8028">
        <f>B8004</f>
        <v>3</v>
      </c>
      <c r="C8028" t="str">
        <v>Kait Horizontal Tump.</v>
      </c>
      <c r="D8028">
        <f>VLOOKUP(D8004,'Detail Balok'!$C$10:$BJ$110,46,FALSE)</f>
        <v>0</v>
      </c>
      <c r="E8028" t="str">
        <v>D</v>
      </c>
      <c r="F8028">
        <f>VLOOKUP(D8004,'Detail Balok'!$C$10:$BJ$110,48,FALSE)</f>
        <v>0</v>
      </c>
      <c r="G8028" t="str">
        <v>-</v>
      </c>
      <c r="H8028">
        <f>VLOOKUP(D8004,'Detail Balok'!$C$10:$BJ$110,50,FALSE)</f>
        <v>100</v>
      </c>
      <c r="J8028">
        <f>(D8005-2*F$5)/1000</f>
        <v>0.12</v>
      </c>
      <c r="K8028" t="str">
        <v>+</v>
      </c>
      <c r="L8028">
        <f>IF(D8028=0,2*MAX(6*F8028,75),(D8028-1)*2*MAX(6*F8028,75))/1000</f>
        <v>0.15</v>
      </c>
      <c r="M8028" t="str">
        <v>=</v>
      </c>
      <c r="N8028">
        <f>J8028+L8028</f>
        <v>0.27</v>
      </c>
      <c r="T8028" t="str">
        <v>x</v>
      </c>
      <c r="U8028">
        <f>0.006165*F8028^2</f>
        <v>0</v>
      </c>
      <c r="V8028" t="str">
        <v>x</v>
      </c>
      <c r="W8028">
        <f>W8024</f>
        <v>10</v>
      </c>
      <c r="X8028" t="str">
        <v>x</v>
      </c>
      <c r="Y8028">
        <f>D8014</f>
        <v>3</v>
      </c>
      <c r="Z8028" t="str">
        <v>=</v>
      </c>
      <c r="AA8028">
        <f>N8028*U8028*W8028*Y8028</f>
        <v>0</v>
      </c>
    </row>
    <row r="8029">
      <c r="A8029" t="str">
        <f>A8004</f>
        <v>Lantai Attic</v>
      </c>
      <c r="B8029">
        <f>B8004</f>
        <v>3</v>
      </c>
      <c r="C8029" t="str">
        <v>Kait Horizontal Lap.</v>
      </c>
      <c r="D8029">
        <f>VLOOKUP(D8004,'Detail Balok'!$C$10:$BJ$110,51,FALSE)</f>
        <v>0</v>
      </c>
      <c r="E8029" t="str">
        <v>D</v>
      </c>
      <c r="F8029">
        <f>VLOOKUP(D8004,'Detail Balok'!$C$10:$BJ$110,53,FALSE)</f>
        <v>0</v>
      </c>
      <c r="G8029" t="str">
        <v>-</v>
      </c>
      <c r="H8029">
        <f>VLOOKUP(D8004,'Detail Balok'!$C$10:$BJ$110,55,FALSE)</f>
        <v>100</v>
      </c>
      <c r="J8029">
        <f>(D8005-2*F$5)/1000</f>
        <v>0.12</v>
      </c>
      <c r="K8029" t="str">
        <v>+</v>
      </c>
      <c r="L8029">
        <f>IF(D8029=0,2*MAX(6*F8029,75),(D8029-1)*2*MAX(6*F8029,75))/1000</f>
        <v>0.15</v>
      </c>
      <c r="M8029" t="str">
        <v>=</v>
      </c>
      <c r="N8029">
        <f>J8029+L8029</f>
        <v>0.27</v>
      </c>
      <c r="T8029" t="str">
        <v>x</v>
      </c>
      <c r="U8029">
        <f>0.006165*F8029^2</f>
        <v>0</v>
      </c>
      <c r="V8029" t="str">
        <v>x</v>
      </c>
      <c r="W8029">
        <f>W8025</f>
        <v>7</v>
      </c>
      <c r="X8029" t="str">
        <v>x</v>
      </c>
      <c r="Y8029">
        <f>D8014</f>
        <v>3</v>
      </c>
      <c r="Z8029" t="str">
        <v>=</v>
      </c>
      <c r="AA8029">
        <f>N8029*U8029*W8029*Y8029</f>
        <v>0</v>
      </c>
    </row>
    <row r="8030">
      <c r="A8030" t="str">
        <f>A8004</f>
        <v>Lantai Attic</v>
      </c>
      <c r="B8030">
        <f>B8004</f>
        <v>3</v>
      </c>
      <c r="C8030" t="str">
        <v>Kait Horizontal Tump.</v>
      </c>
      <c r="D8030">
        <f>VLOOKUP(D8004,'Detail Balok'!$C$10:$BJ$110,56,FALSE)</f>
        <v>0</v>
      </c>
      <c r="E8030" t="str">
        <v>D</v>
      </c>
      <c r="F8030">
        <f>VLOOKUP(D8004,'Detail Balok'!$C$10:$BJ$110,58,FALSE)</f>
        <v>0</v>
      </c>
      <c r="G8030" t="str">
        <v>-</v>
      </c>
      <c r="H8030">
        <f>VLOOKUP(D8004,'Detail Balok'!$C$10:$BJ$110,60,FALSE)</f>
        <v>100</v>
      </c>
      <c r="J8030">
        <f>(D8005-2*F$5)/1000</f>
        <v>0.12</v>
      </c>
      <c r="K8030" t="str">
        <v>+</v>
      </c>
      <c r="L8030">
        <f>IF(D8030=0,2*MAX(6*F8030,75),(D8030-1)*2*MAX(6*F8030,75))/1000</f>
        <v>0.15</v>
      </c>
      <c r="M8030" t="str">
        <v>=</v>
      </c>
      <c r="N8030">
        <f>J8030+L8030</f>
        <v>0.27</v>
      </c>
      <c r="T8030" t="str">
        <v>x</v>
      </c>
      <c r="U8030">
        <f>0.006165*F8030^2</f>
        <v>0</v>
      </c>
      <c r="V8030" t="str">
        <v>x</v>
      </c>
      <c r="W8030">
        <f>W8026</f>
        <v>10</v>
      </c>
      <c r="X8030" t="str">
        <v>x</v>
      </c>
      <c r="Y8030">
        <f>D8014</f>
        <v>3</v>
      </c>
      <c r="Z8030" t="str">
        <v>=</v>
      </c>
      <c r="AA8030">
        <f>N8030*U8030*W8030*Y8030</f>
        <v>0</v>
      </c>
    </row>
    <row r="8034">
      <c r="A8034" t="str">
        <f>A8004</f>
        <v>Lantai Attic</v>
      </c>
      <c r="B8034">
        <f>B8004+1</f>
        <v>4</v>
      </c>
      <c r="C8034" t="str">
        <f>CONCATENATE(A8034," no. ",B8034)</f>
        <v>Lantai Attic no. 4</v>
      </c>
      <c r="D8034" t="str">
        <f>VLOOKUP(C8034,'Data Panjang Balok'!$C$9:$N$424,2,FALSE)</f>
        <v>B245-4</v>
      </c>
    </row>
    <row r="8035">
      <c r="C8035" t="str">
        <v>Dimensi</v>
      </c>
      <c r="D8035">
        <f>VLOOKUP(D8034,'Detail Balok'!$C$10:$AU$110,2,FALSE)</f>
        <v>200</v>
      </c>
      <c r="F8035" t="str">
        <v>x</v>
      </c>
      <c r="G8035">
        <f>VLOOKUP(D8034,'Detail Balok'!$C$10:$AU$110,3,FALSE)</f>
        <v>450</v>
      </c>
    </row>
    <row r="8036">
      <c r="C8036" t="str">
        <v>Panjang as ke as</v>
      </c>
      <c r="D8036">
        <f>VLOOKUP(C8034,'Data Panjang Balok'!$C$9:$N$424,4,FALSE)</f>
        <v>2900</v>
      </c>
    </row>
    <row r="8037">
      <c r="C8037" t="str">
        <v>Panjang netto</v>
      </c>
      <c r="D8037">
        <f>VLOOKUP(C8034,'Data Panjang Balok'!$C$9:$N$424,7,FALSE)</f>
        <v>2900</v>
      </c>
    </row>
    <row r="8038">
      <c r="C8038" t="str">
        <v>Kolom / balok kiri</v>
      </c>
      <c r="D8038">
        <f>VLOOKUP(C8034,'Data Panjang Balok'!$C$9:$N$424,9,FALSE)</f>
        <v>0</v>
      </c>
    </row>
    <row r="8039">
      <c r="C8039" t="str">
        <v>Kolom / balok kanan</v>
      </c>
      <c r="D8039">
        <f>VLOOKUP(C8034,'Data Panjang Balok'!$C$9:$N$424,10,FALSE)</f>
        <v>0</v>
      </c>
    </row>
    <row r="8040">
      <c r="C8040" t="str">
        <v>Jumlah</v>
      </c>
      <c r="D8040">
        <f>VLOOKUP(C8034,'Data Panjang Balok'!$C$9:$N$424,3,FALSE)</f>
        <v>1</v>
      </c>
    </row>
    <row r="8041">
      <c r="A8041" t="str">
        <f>A8034</f>
        <v>Lantai Attic</v>
      </c>
      <c r="B8041">
        <f>B8034</f>
        <v>4</v>
      </c>
      <c r="C8041" t="str">
        <v>Tul Atas Tumpuan</v>
      </c>
      <c r="D8041">
        <f>VLOOKUP(D8034,'Detail Balok'!$C$10:$AU$110,4,FALSE)</f>
        <v>3</v>
      </c>
      <c r="E8041" t="str">
        <v>D</v>
      </c>
      <c r="F8041">
        <f>VLOOKUP(D8034,'Detail Balok'!$C$10:$AU$110,6,FALSE)</f>
        <v>16</v>
      </c>
      <c r="I8041" t="str">
        <v>(</v>
      </c>
      <c r="J8041">
        <f>+D8036/4/1000</f>
        <v>0.725</v>
      </c>
      <c r="K8041" t="str">
        <v>+</v>
      </c>
      <c r="L8041">
        <f>MAX(VLOOKUP(F8041,N$6:P$15,3,FALSE)/1000,2/3*D8038/1000)+F$16*F8041/1000</f>
        <v>0.192</v>
      </c>
      <c r="M8041" t="str">
        <v>=</v>
      </c>
      <c r="N8041">
        <f>J8041+L8041</f>
        <v>0.917</v>
      </c>
      <c r="O8041" t="str">
        <v>+</v>
      </c>
      <c r="P8041">
        <f>D8041-D8042</f>
        <v>0</v>
      </c>
      <c r="Q8041" t="str">
        <v>x</v>
      </c>
      <c r="R8041">
        <f>IF(P8041&gt;0,$F$18*F8041/1000,0)</f>
        <v>0</v>
      </c>
      <c r="S8041" t="str">
        <v>)</v>
      </c>
      <c r="T8041" t="str">
        <v>x</v>
      </c>
      <c r="U8041">
        <f>0.006165*F8041^2</f>
        <v>1.57824</v>
      </c>
      <c r="X8041" t="str">
        <v>x</v>
      </c>
      <c r="Y8041">
        <f>D8040</f>
        <v>1</v>
      </c>
      <c r="Z8041" t="str">
        <v>=</v>
      </c>
      <c r="AA8041">
        <f>IF(AA8044=0,(D8041*N8041+P8041*R8041)*U8041*Y8041,0)</f>
        <v>0</v>
      </c>
    </row>
    <row r="8042">
      <c r="A8042" t="str">
        <f>A8034</f>
        <v>Lantai Attic</v>
      </c>
      <c r="B8042">
        <f>B8034</f>
        <v>4</v>
      </c>
      <c r="C8042" t="str">
        <v>Tul Atas Lapangan</v>
      </c>
      <c r="D8042">
        <f>VLOOKUP(D8034,'Detail Balok'!$C$10:$AU$110,7,FALSE)</f>
        <v>3</v>
      </c>
      <c r="E8042" t="str">
        <v>D</v>
      </c>
      <c r="F8042">
        <f>VLOOKUP(D8034,'Detail Balok'!$C$10:$AU$110,9,FALSE)</f>
        <v>16</v>
      </c>
      <c r="I8042" t="str">
        <v>(</v>
      </c>
      <c r="J8042">
        <f>+D8036/2/1000</f>
        <v>1.45</v>
      </c>
      <c r="K8042" t="str">
        <v>+</v>
      </c>
      <c r="M8042" t="str">
        <v>=</v>
      </c>
      <c r="N8042">
        <f>J8042+L8042</f>
        <v>1.45</v>
      </c>
      <c r="O8042" t="str">
        <v>+</v>
      </c>
      <c r="P8042">
        <f>MAX(D8042-D8041,D8042-D8043)</f>
        <v>0</v>
      </c>
      <c r="Q8042" t="str">
        <v>x</v>
      </c>
      <c r="R8042">
        <f>IF(P8042&gt;0,2*(1-2*$F$19-1/2)*D8037/1000,0)</f>
        <v>0</v>
      </c>
      <c r="S8042" t="str">
        <v>)</v>
      </c>
      <c r="T8042" t="str">
        <v>x</v>
      </c>
      <c r="U8042">
        <f>0.006165*F8042^2</f>
        <v>1.57824</v>
      </c>
      <c r="X8042" t="str">
        <v>x</v>
      </c>
      <c r="Y8042">
        <f>D8040</f>
        <v>1</v>
      </c>
      <c r="Z8042" t="str">
        <v>=</v>
      </c>
      <c r="AA8042">
        <f>IF(AA8044=0,(D8042*N8042+P8042*R8042)*U8042*Y8042,0)</f>
        <v>0</v>
      </c>
    </row>
    <row r="8043">
      <c r="A8043" t="str">
        <f>A8034</f>
        <v>Lantai Attic</v>
      </c>
      <c r="B8043">
        <f>B8034</f>
        <v>4</v>
      </c>
      <c r="C8043" t="str">
        <v>Tul Atas Tumpuan</v>
      </c>
      <c r="D8043">
        <f>VLOOKUP(D8034,'Detail Balok'!$C$10:$AU$110,10,FALSE)</f>
        <v>3</v>
      </c>
      <c r="E8043" t="str">
        <v>D</v>
      </c>
      <c r="F8043">
        <f>VLOOKUP(D8034,'Detail Balok'!$C$10:$AU$110,12,FALSE)</f>
        <v>16</v>
      </c>
      <c r="I8043" t="str">
        <v>(</v>
      </c>
      <c r="J8043">
        <f>+D8036/4/1000</f>
        <v>0.725</v>
      </c>
      <c r="K8043" t="str">
        <v>+</v>
      </c>
      <c r="L8043">
        <f>MAX(VLOOKUP(F8043,N$6:P$15,3,FALSE)/1000,2/3*D8038/1000)+F$16*F8043/1000</f>
        <v>0.192</v>
      </c>
      <c r="M8043" t="str">
        <v>=</v>
      </c>
      <c r="N8043">
        <f>J8043+L8043</f>
        <v>0.917</v>
      </c>
      <c r="O8043" t="str">
        <v>+</v>
      </c>
      <c r="P8043">
        <f>D8043-D8042</f>
        <v>0</v>
      </c>
      <c r="Q8043" t="str">
        <v>x</v>
      </c>
      <c r="R8043">
        <f>IF(P8043&gt;0,$F$18*F8043/1000,0)</f>
        <v>0</v>
      </c>
      <c r="S8043" t="str">
        <v>)</v>
      </c>
      <c r="T8043" t="str">
        <v>x</v>
      </c>
      <c r="U8043">
        <f>0.006165*F8043^2</f>
        <v>1.57824</v>
      </c>
      <c r="X8043" t="str">
        <v>x</v>
      </c>
      <c r="Y8043">
        <f>D8040</f>
        <v>1</v>
      </c>
      <c r="Z8043" t="str">
        <v>=</v>
      </c>
      <c r="AA8043">
        <f>IF(AA8044=0,(D8043*N8043+P8043*R8043)*U8043*Y8043,0)</f>
        <v>0</v>
      </c>
    </row>
    <row r="8044">
      <c r="A8044" t="str">
        <f>A8034</f>
        <v>Lantai Attic</v>
      </c>
      <c r="B8044">
        <f>B8034</f>
        <v>4</v>
      </c>
      <c r="D8044">
        <f>IF(AND(D8041=D8042,D8042=D8043,D8041=D8043),D8041,0)</f>
        <v>3</v>
      </c>
      <c r="E8044" t="str">
        <v>D</v>
      </c>
      <c r="F8044">
        <f>IF(AND(F8041=F8042,F8041=F8043,F8042=F8043),F8041,0)</f>
        <v>16</v>
      </c>
      <c r="L8044" t="str">
        <v>Total panjang per balok</v>
      </c>
      <c r="M8044" t="str">
        <v>=</v>
      </c>
      <c r="N8044">
        <f>IF(AND(D8041=D8042,D8041=D8043,D8042=D8043,F8041=F8042,F8041=F8043,F8042=F8043),SUM(N8041:N8043),0)</f>
        <v>3.284</v>
      </c>
      <c r="O8044" t="str">
        <v>+</v>
      </c>
      <c r="P8044">
        <f>IF(N8044&gt;12,ROUNDDOWN(N8044/12,0),0)</f>
        <v>0</v>
      </c>
      <c r="Q8044" t="str">
        <v>x</v>
      </c>
      <c r="R8044">
        <f>IF(P8044&gt;0,MAX(VLOOKUP(F8044,$D$6:$G$15,3,FALSE),600),0)/1000</f>
        <v>0</v>
      </c>
      <c r="T8044" t="str">
        <v>x</v>
      </c>
      <c r="U8044">
        <f>U8043</f>
        <v>1.57824</v>
      </c>
      <c r="V8044" t="str">
        <v>x</v>
      </c>
      <c r="W8044">
        <f>D8044</f>
        <v>3</v>
      </c>
      <c r="X8044" t="str">
        <v>x</v>
      </c>
      <c r="Y8044">
        <f>Y8043</f>
        <v>1</v>
      </c>
      <c r="Z8044" t="str">
        <v>=</v>
      </c>
      <c r="AA8044">
        <f>(N8044+P8044*R8044/1000)*U8044*W8044*Y8044</f>
        <v>15.54882048</v>
      </c>
    </row>
    <row r="8046">
      <c r="A8046" t="str">
        <f>A8034</f>
        <v>Lantai Attic</v>
      </c>
      <c r="B8046">
        <f>B8034</f>
        <v>4</v>
      </c>
      <c r="C8046" t="str">
        <v>Tul Peminggang</v>
      </c>
      <c r="D8046">
        <f>VLOOKUP(D8034,'Detail Balok'!$C$10:$AU$110,13,FALSE)</f>
        <v>2</v>
      </c>
      <c r="E8046" t="str">
        <v>D</v>
      </c>
      <c r="F8046">
        <f>VLOOKUP(D8034,'Detail Balok'!$C$10:$AU$110,15,FALSE)</f>
        <v>8</v>
      </c>
      <c r="J8046">
        <f>+D8036/1000</f>
        <v>2.9</v>
      </c>
      <c r="K8046" t="str">
        <v>+</v>
      </c>
      <c r="L8046">
        <f>2*$F$16*F8046/1000</f>
        <v>0.192</v>
      </c>
      <c r="M8046" t="str">
        <v>=</v>
      </c>
      <c r="N8046">
        <f>J8046+L8046</f>
        <v>3.092</v>
      </c>
      <c r="O8046" t="str">
        <v>+</v>
      </c>
      <c r="P8046">
        <f>IF(N8046&gt;12,ROUNDDOWN(N8046/12,0),0)</f>
        <v>0</v>
      </c>
      <c r="Q8046" t="str">
        <v>x</v>
      </c>
      <c r="R8046">
        <f>IF(P8046&gt;0,MAX(VLOOKUP(F8046,$D$6:$G$15,3,FALSE),600),0)/1000</f>
        <v>0</v>
      </c>
      <c r="T8046" t="str">
        <v>x</v>
      </c>
      <c r="U8046">
        <f>0.006165*F8046^2</f>
        <v>0.39456</v>
      </c>
      <c r="V8046" t="str">
        <v>x</v>
      </c>
      <c r="W8046">
        <f>+D8046</f>
        <v>2</v>
      </c>
      <c r="X8046" t="str">
        <v>x</v>
      </c>
      <c r="Y8046">
        <f>D8040</f>
        <v>1</v>
      </c>
      <c r="Z8046" t="str">
        <v>=</v>
      </c>
      <c r="AA8046">
        <f>(N8046+P8046*R8046/1000)*U8046*W8046*Y8046</f>
        <v>2.43995904</v>
      </c>
    </row>
    <row r="8049">
      <c r="A8049" t="str">
        <f>A8034</f>
        <v>Lantai Attic</v>
      </c>
      <c r="B8049">
        <f>B8034</f>
        <v>4</v>
      </c>
      <c r="C8049" t="str">
        <v>Tul Bawah Tumpuan</v>
      </c>
      <c r="D8049">
        <f>VLOOKUP(D8034,'Detail Balok'!$C$10:$AU$110,22,FALSE)</f>
        <v>3</v>
      </c>
      <c r="E8049" t="str">
        <v>D</v>
      </c>
      <c r="F8049">
        <f>VLOOKUP(D8034,'Detail Balok'!$C$10:$AU$110,24,FALSE)</f>
        <v>16</v>
      </c>
      <c r="I8049" t="str">
        <v>(</v>
      </c>
      <c r="J8049">
        <f>+J8041</f>
        <v>0.725</v>
      </c>
      <c r="K8049" t="str">
        <v>+</v>
      </c>
      <c r="L8049">
        <f>MAX(VLOOKUP(F8049,N$6:P$15,3,FALSE)/1000,2/3*D8039/1000)+F$16*F8049/1000</f>
        <v>0.192</v>
      </c>
      <c r="M8049" t="str">
        <v>=</v>
      </c>
      <c r="N8049">
        <f>J8049+L8049</f>
        <v>0.917</v>
      </c>
      <c r="O8049" t="str">
        <v>+</v>
      </c>
      <c r="P8049">
        <f>D8049-D8050</f>
        <v>0</v>
      </c>
      <c r="Q8049" t="str">
        <v>x</v>
      </c>
      <c r="R8049">
        <f>IF(P8049&gt;0,$F$18*F8049/1000,0)</f>
        <v>0</v>
      </c>
      <c r="S8049" t="str">
        <v>)</v>
      </c>
      <c r="T8049" t="str">
        <v>x</v>
      </c>
      <c r="U8049">
        <f>0.006165*F8049^2</f>
        <v>1.57824</v>
      </c>
      <c r="X8049" t="str">
        <v>x</v>
      </c>
      <c r="Y8049">
        <f>D8040</f>
        <v>1</v>
      </c>
      <c r="Z8049" t="str">
        <v>=</v>
      </c>
      <c r="AA8049">
        <f>IF(AA8052=0,(D8049*N8049+P8049*R8049)*U8049*Y8049,0)</f>
        <v>0</v>
      </c>
    </row>
    <row r="8050">
      <c r="A8050" t="str">
        <f>A8034</f>
        <v>Lantai Attic</v>
      </c>
      <c r="B8050">
        <f>B8034</f>
        <v>4</v>
      </c>
      <c r="C8050" t="str">
        <v>Tul Bawah Lapangan</v>
      </c>
      <c r="D8050">
        <f>VLOOKUP(D8034,'Detail Balok'!$C$10:$AU$110,25,FALSE)</f>
        <v>3</v>
      </c>
      <c r="E8050" t="str">
        <v>D</v>
      </c>
      <c r="F8050">
        <f>VLOOKUP(D8034,'Detail Balok'!$C$10:$AU$110,27,FALSE)</f>
        <v>16</v>
      </c>
      <c r="I8050" t="str">
        <v>(</v>
      </c>
      <c r="J8050">
        <f>+J8042</f>
        <v>1.45</v>
      </c>
      <c r="K8050" t="str">
        <v>+</v>
      </c>
      <c r="M8050" t="str">
        <v>=</v>
      </c>
      <c r="N8050">
        <f>J8050+L8050</f>
        <v>1.45</v>
      </c>
      <c r="O8050" t="str">
        <v>+</v>
      </c>
      <c r="P8050">
        <f>MAX(D8050-D8049,D8050-D8051)</f>
        <v>0</v>
      </c>
      <c r="Q8050" t="str">
        <v>x</v>
      </c>
      <c r="R8050">
        <f>IF(P8050&gt;0,2*(1-2*$F$19-1/2)*D8037/1000,0)</f>
        <v>0</v>
      </c>
      <c r="S8050" t="str">
        <v>)</v>
      </c>
      <c r="T8050" t="str">
        <v>x</v>
      </c>
      <c r="U8050">
        <f>0.006165*F8050^2</f>
        <v>1.57824</v>
      </c>
      <c r="X8050" t="str">
        <v>x</v>
      </c>
      <c r="Y8050">
        <f>D8040</f>
        <v>1</v>
      </c>
      <c r="Z8050" t="str">
        <v>=</v>
      </c>
      <c r="AA8050">
        <f>IF(AA8052=0,(D8050*N8050+P8050*R8050)*U8050*Y8050,0)</f>
        <v>0</v>
      </c>
    </row>
    <row r="8051">
      <c r="A8051" t="str">
        <f>A8034</f>
        <v>Lantai Attic</v>
      </c>
      <c r="B8051">
        <f>B8034</f>
        <v>4</v>
      </c>
      <c r="C8051" t="str">
        <v>Tul Bawah Tumpuan</v>
      </c>
      <c r="D8051">
        <f>VLOOKUP(D8034,'Detail Balok'!$C$10:$AU$110,28,FALSE)</f>
        <v>3</v>
      </c>
      <c r="E8051" t="str">
        <v>D</v>
      </c>
      <c r="F8051">
        <f>VLOOKUP(D8034,'Detail Balok'!$C$10:$AU$110,30,FALSE)</f>
        <v>16</v>
      </c>
      <c r="I8051" t="str">
        <v>(</v>
      </c>
      <c r="J8051">
        <f>+J8043</f>
        <v>0.725</v>
      </c>
      <c r="K8051" t="str">
        <v>+</v>
      </c>
      <c r="L8051">
        <f>MAX(VLOOKUP(F8051,N$6:P$15,3,FALSE)/1000,2/3*D8039/1000)+F$16*F8051/1000</f>
        <v>0.192</v>
      </c>
      <c r="M8051" t="str">
        <v>=</v>
      </c>
      <c r="N8051">
        <f>J8051+L8051</f>
        <v>0.917</v>
      </c>
      <c r="O8051" t="str">
        <v>+</v>
      </c>
      <c r="P8051">
        <f>D8051-D8050</f>
        <v>0</v>
      </c>
      <c r="Q8051" t="str">
        <v>x</v>
      </c>
      <c r="R8051">
        <f>IF(P8051&gt;0,$F$18*F8051/1000,0)</f>
        <v>0</v>
      </c>
      <c r="S8051" t="str">
        <v>)</v>
      </c>
      <c r="T8051" t="str">
        <v>x</v>
      </c>
      <c r="U8051">
        <f>0.006165*F8051^2</f>
        <v>1.57824</v>
      </c>
      <c r="X8051" t="str">
        <v>x</v>
      </c>
      <c r="Y8051">
        <f>D8040</f>
        <v>1</v>
      </c>
      <c r="Z8051" t="str">
        <v>=</v>
      </c>
      <c r="AA8051">
        <f>IF(AA8052=0,(D8051*N8051+P8051*R8051)*U8051*Y8051,0)</f>
        <v>0</v>
      </c>
    </row>
    <row r="8052">
      <c r="A8052" t="str">
        <f>A8034</f>
        <v>Lantai Attic</v>
      </c>
      <c r="B8052">
        <f>B8034</f>
        <v>4</v>
      </c>
      <c r="D8052">
        <f>IF(AND(D8049=D8050,D8050=D8051,D8049=D8051),D8049,0)</f>
        <v>3</v>
      </c>
      <c r="E8052" t="str">
        <v>D</v>
      </c>
      <c r="F8052">
        <f>IF(AND(F8049=F8050,F8049=F8051,F8050=F8051),F8049,0)</f>
        <v>16</v>
      </c>
      <c r="L8052" t="str">
        <v>Total panjang per balok</v>
      </c>
      <c r="M8052" t="str">
        <v>=</v>
      </c>
      <c r="N8052">
        <f>IF(AND(D8049=D8050,D8049=D8051,D8050=D8051,F8049=F8050,F8049=F8051,F8050=F8051),SUM(N8049:N8051),0)</f>
        <v>3.284</v>
      </c>
      <c r="O8052" t="str">
        <v>+</v>
      </c>
      <c r="P8052">
        <f>IF(N8052&gt;12,ROUNDDOWN(N8052/12,0),0)</f>
        <v>0</v>
      </c>
      <c r="Q8052" t="str">
        <v>x</v>
      </c>
      <c r="R8052">
        <f>IF(P8052&gt;0,MAX(VLOOKUP(F8052,$D$6:$G$15,3,FALSE),600),0)/1000</f>
        <v>0</v>
      </c>
      <c r="T8052" t="str">
        <v>x</v>
      </c>
      <c r="U8052">
        <f>U8051</f>
        <v>1.57824</v>
      </c>
      <c r="V8052" t="str">
        <v>x</v>
      </c>
      <c r="W8052">
        <f>D8052</f>
        <v>3</v>
      </c>
      <c r="X8052" t="str">
        <v>x</v>
      </c>
      <c r="Y8052">
        <f>Y8051</f>
        <v>1</v>
      </c>
      <c r="Z8052" t="str">
        <v>=</v>
      </c>
      <c r="AA8052">
        <f>(N8052+P8052*R8052/1000)*U8052*W8052*Y8052</f>
        <v>15.54882048</v>
      </c>
    </row>
    <row r="8054">
      <c r="A8054" t="str">
        <f>A8034</f>
        <v>Lantai Attic</v>
      </c>
      <c r="B8054">
        <f>B8034</f>
        <v>4</v>
      </c>
      <c r="C8054" t="str">
        <v>Sengkang Tumpuan</v>
      </c>
      <c r="D8054">
        <f>VLOOKUP(D8034,'Detail Balok'!$C$10:$AU$110,31,FALSE)</f>
        <v>0</v>
      </c>
      <c r="E8054" t="str">
        <v>D</v>
      </c>
      <c r="F8054">
        <f>VLOOKUP(D8034,'Detail Balok'!$C$10:$AU$110,33,FALSE)</f>
        <v>8</v>
      </c>
      <c r="G8054" t="str">
        <v>-</v>
      </c>
      <c r="H8054">
        <f>VLOOKUP(D8034,'Detail Balok'!$C$10:$AU$110,35,FALSE)</f>
        <v>100</v>
      </c>
      <c r="J8054">
        <f>(IF(D8054=0,(2*(D8035+G8035))-(F$5*8),IF(D8054=3,(2*(D8035+G8035))-(F$5*8)+(G8035-2*F$5),IF(D8054=4,(2*(D8035+G8035))-(F$5*8)+2*(G8035-2*F$5)))))/1000</f>
        <v>0.98</v>
      </c>
      <c r="K8054" t="str">
        <v>+</v>
      </c>
      <c r="L8054">
        <f>IF(D8054=0,2*MAX(6*F8054,75),(D8054-1)*2*MAX(6*F8054,75))/1000</f>
        <v>0.15</v>
      </c>
      <c r="M8054" t="str">
        <v>=</v>
      </c>
      <c r="N8054">
        <f>J8054+L8054</f>
        <v>1.13</v>
      </c>
      <c r="T8054" t="str">
        <v>x</v>
      </c>
      <c r="U8054">
        <f>0.006165*F8054^2</f>
        <v>0.39456</v>
      </c>
      <c r="V8054" t="str">
        <v>x</v>
      </c>
      <c r="W8054">
        <f>IF(D8037&gt;4*G8035,ROUND(MAX(D8037/4,2*G8035)/H8054,0)+1,ROUND(D8037/H8054,0)+1)</f>
        <v>10</v>
      </c>
      <c r="X8054" t="str">
        <v>x</v>
      </c>
      <c r="Y8054">
        <f>D8040</f>
        <v>1</v>
      </c>
      <c r="Z8054" t="str">
        <v>=</v>
      </c>
      <c r="AA8054">
        <f>N8054*U8054*W8054*Y8054</f>
        <v>4.458528</v>
      </c>
    </row>
    <row r="8055">
      <c r="A8055" t="str">
        <f>A8034</f>
        <v>Lantai Attic</v>
      </c>
      <c r="B8055">
        <f>B8034</f>
        <v>4</v>
      </c>
      <c r="C8055" t="str">
        <v>Sengkang Lapangan</v>
      </c>
      <c r="D8055">
        <f>VLOOKUP(D8034,'Detail Balok'!$C$10:$AU$110,36,FALSE)</f>
        <v>0</v>
      </c>
      <c r="E8055" t="str">
        <v>D</v>
      </c>
      <c r="F8055">
        <f>VLOOKUP(D8034,'Detail Balok'!$C$10:$AU$110,38,FALSE)</f>
        <v>8</v>
      </c>
      <c r="G8055" t="str">
        <v>-</v>
      </c>
      <c r="H8055">
        <f>VLOOKUP(D8034,'Detail Balok'!$C$10:$AU$110,40,FALSE)</f>
        <v>200</v>
      </c>
      <c r="J8055">
        <f>(IF(D8055=0,(2*(D8035+G8035))-(F$5*8),IF(D8055=3,(2*(D8035+G8035))-(F$5*8)+(G8035-2*F$5),IF(D8055=4,(2*(D8035+G8035))-(F$5*8)+2*(G8035-2*F$5)))))/1000</f>
        <v>0.98</v>
      </c>
      <c r="K8055" t="str">
        <v>+</v>
      </c>
      <c r="L8055">
        <f>IF(D8055=0,2*MAX(6*F8055,75),(D8055-1)*2*MAX(6*F8055,75))/1000</f>
        <v>0.15</v>
      </c>
      <c r="M8055" t="str">
        <v>=</v>
      </c>
      <c r="N8055">
        <f>J8055+L8055</f>
        <v>1.13</v>
      </c>
      <c r="T8055" t="str">
        <v>x</v>
      </c>
      <c r="U8055">
        <f>0.006165*F8055^2</f>
        <v>0.39456</v>
      </c>
      <c r="V8055" t="str">
        <v>x</v>
      </c>
      <c r="W8055">
        <f>IF(D8037-MAX(D8037/4,2*G8035)*2&gt;0,ROUND((D8037-MAX(D8037/4,2*G8035)*2)/H8055,0),0)</f>
        <v>6</v>
      </c>
      <c r="X8055" t="str">
        <v>x</v>
      </c>
      <c r="Y8055">
        <f>D8040</f>
        <v>1</v>
      </c>
      <c r="Z8055" t="str">
        <v>=</v>
      </c>
      <c r="AA8055">
        <f>N8055*U8055*W8055*Y8055</f>
        <v>2.6751168</v>
      </c>
    </row>
    <row r="8056">
      <c r="A8056" t="str">
        <f>A8034</f>
        <v>Lantai Attic</v>
      </c>
      <c r="B8056">
        <f>B8034</f>
        <v>4</v>
      </c>
      <c r="C8056" t="str">
        <v>Sengkang Tumpuan</v>
      </c>
      <c r="D8056">
        <f>VLOOKUP(D8034,'Detail Balok'!$C$10:$AU$110,41,FALSE)</f>
        <v>0</v>
      </c>
      <c r="E8056" t="str">
        <v>D</v>
      </c>
      <c r="F8056">
        <f>VLOOKUP(D8034,'Detail Balok'!$C$10:$AU$110,43,FALSE)</f>
        <v>8</v>
      </c>
      <c r="G8056" t="str">
        <v>-</v>
      </c>
      <c r="H8056">
        <f>VLOOKUP(D8034,'Detail Balok'!$C$10:$AU$110,45,FALSE)</f>
        <v>100</v>
      </c>
      <c r="J8056">
        <f>(IF(D8056=0,(2*(D8035+G8035))-(F$5*8),IF(D8056=3,(2*(D8035+G8035))-(F$5*8)+(G8035-2*F$5),IF(D8056=4,(2*(D8035+G8035))-(F$5*8)+2*(G8035-2*F$5)))))/1000</f>
        <v>0.98</v>
      </c>
      <c r="K8056" t="str">
        <v>+</v>
      </c>
      <c r="L8056">
        <f>IF(D8056=0,2*MAX(6*F8056,75),(D8056-1)*2*MAX(6*F8056,75))/1000</f>
        <v>0.15</v>
      </c>
      <c r="M8056" t="str">
        <v>=</v>
      </c>
      <c r="N8056">
        <f>J8056+L8056</f>
        <v>1.13</v>
      </c>
      <c r="T8056" t="str">
        <v>x</v>
      </c>
      <c r="U8056">
        <f>0.006165*F8056^2</f>
        <v>0.39456</v>
      </c>
      <c r="V8056" t="str">
        <v>x</v>
      </c>
      <c r="W8056">
        <f>IF(D8037&gt;4*G8035,ROUND(MAX(D8037/4,2*G8035)/H8056,0)+1,0)</f>
        <v>10</v>
      </c>
      <c r="X8056" t="str">
        <v>x</v>
      </c>
      <c r="Y8056">
        <f>D8040</f>
        <v>1</v>
      </c>
      <c r="Z8056" t="str">
        <v>=</v>
      </c>
      <c r="AA8056">
        <f>N8056*U8056*W8056*Y8056</f>
        <v>4.458528</v>
      </c>
    </row>
    <row r="8058">
      <c r="A8058" t="str">
        <f>A8034</f>
        <v>Lantai Attic</v>
      </c>
      <c r="B8058">
        <f>B8034</f>
        <v>4</v>
      </c>
      <c r="C8058" t="str">
        <v>Kait Horizontal Tump.</v>
      </c>
      <c r="D8058">
        <f>VLOOKUP(D8034,'Detail Balok'!$C$10:$BJ$110,46,FALSE)</f>
        <v>0</v>
      </c>
      <c r="E8058" t="str">
        <v>D</v>
      </c>
      <c r="F8058">
        <f>VLOOKUP(D8034,'Detail Balok'!$C$10:$BJ$110,48,FALSE)</f>
        <v>0</v>
      </c>
      <c r="G8058" t="str">
        <v>-</v>
      </c>
      <c r="H8058">
        <f>VLOOKUP(D8034,'Detail Balok'!$C$10:$BJ$110,50,FALSE)</f>
        <v>100</v>
      </c>
      <c r="J8058">
        <f>(D8035-2*F$5)/1000</f>
        <v>0.12</v>
      </c>
      <c r="K8058" t="str">
        <v>+</v>
      </c>
      <c r="L8058">
        <f>IF(D8058=0,2*MAX(6*F8058,75),(D8058-1)*2*MAX(6*F8058,75))/1000</f>
        <v>0.15</v>
      </c>
      <c r="M8058" t="str">
        <v>=</v>
      </c>
      <c r="N8058">
        <f>J8058+L8058</f>
        <v>0.27</v>
      </c>
      <c r="T8058" t="str">
        <v>x</v>
      </c>
      <c r="U8058">
        <f>0.006165*F8058^2</f>
        <v>0</v>
      </c>
      <c r="V8058" t="str">
        <v>x</v>
      </c>
      <c r="W8058">
        <f>W8054</f>
        <v>10</v>
      </c>
      <c r="X8058" t="str">
        <v>x</v>
      </c>
      <c r="Y8058">
        <f>D8044</f>
        <v>3</v>
      </c>
      <c r="Z8058" t="str">
        <v>=</v>
      </c>
      <c r="AA8058">
        <f>N8058*U8058*W8058*Y8058</f>
        <v>0</v>
      </c>
    </row>
    <row r="8059">
      <c r="A8059" t="str">
        <f>A8034</f>
        <v>Lantai Attic</v>
      </c>
      <c r="B8059">
        <f>B8034</f>
        <v>4</v>
      </c>
      <c r="C8059" t="str">
        <v>Kait Horizontal Lap.</v>
      </c>
      <c r="D8059">
        <f>VLOOKUP(D8034,'Detail Balok'!$C$10:$BJ$110,51,FALSE)</f>
        <v>0</v>
      </c>
      <c r="E8059" t="str">
        <v>D</v>
      </c>
      <c r="F8059">
        <f>VLOOKUP(D8034,'Detail Balok'!$C$10:$BJ$110,53,FALSE)</f>
        <v>0</v>
      </c>
      <c r="G8059" t="str">
        <v>-</v>
      </c>
      <c r="H8059">
        <f>VLOOKUP(D8034,'Detail Balok'!$C$10:$BJ$110,55,FALSE)</f>
        <v>100</v>
      </c>
      <c r="J8059">
        <f>(D8035-2*F$5)/1000</f>
        <v>0.12</v>
      </c>
      <c r="K8059" t="str">
        <v>+</v>
      </c>
      <c r="L8059">
        <f>IF(D8059=0,2*MAX(6*F8059,75),(D8059-1)*2*MAX(6*F8059,75))/1000</f>
        <v>0.15</v>
      </c>
      <c r="M8059" t="str">
        <v>=</v>
      </c>
      <c r="N8059">
        <f>J8059+L8059</f>
        <v>0.27</v>
      </c>
      <c r="T8059" t="str">
        <v>x</v>
      </c>
      <c r="U8059">
        <f>0.006165*F8059^2</f>
        <v>0</v>
      </c>
      <c r="V8059" t="str">
        <v>x</v>
      </c>
      <c r="W8059">
        <f>W8055</f>
        <v>6</v>
      </c>
      <c r="X8059" t="str">
        <v>x</v>
      </c>
      <c r="Y8059">
        <f>D8044</f>
        <v>3</v>
      </c>
      <c r="Z8059" t="str">
        <v>=</v>
      </c>
      <c r="AA8059">
        <f>N8059*U8059*W8059*Y8059</f>
        <v>0</v>
      </c>
    </row>
    <row r="8060">
      <c r="A8060" t="str">
        <f>A8034</f>
        <v>Lantai Attic</v>
      </c>
      <c r="B8060">
        <f>B8034</f>
        <v>4</v>
      </c>
      <c r="C8060" t="str">
        <v>Kait Horizontal Tump.</v>
      </c>
      <c r="D8060">
        <f>VLOOKUP(D8034,'Detail Balok'!$C$10:$BJ$110,56,FALSE)</f>
        <v>0</v>
      </c>
      <c r="E8060" t="str">
        <v>D</v>
      </c>
      <c r="F8060">
        <f>VLOOKUP(D8034,'Detail Balok'!$C$10:$BJ$110,58,FALSE)</f>
        <v>0</v>
      </c>
      <c r="G8060" t="str">
        <v>-</v>
      </c>
      <c r="H8060">
        <f>VLOOKUP(D8034,'Detail Balok'!$C$10:$BJ$110,60,FALSE)</f>
        <v>100</v>
      </c>
      <c r="J8060">
        <f>(D8035-2*F$5)/1000</f>
        <v>0.12</v>
      </c>
      <c r="K8060" t="str">
        <v>+</v>
      </c>
      <c r="L8060">
        <f>IF(D8060=0,2*MAX(6*F8060,75),(D8060-1)*2*MAX(6*F8060,75))/1000</f>
        <v>0.15</v>
      </c>
      <c r="M8060" t="str">
        <v>=</v>
      </c>
      <c r="N8060">
        <f>J8060+L8060</f>
        <v>0.27</v>
      </c>
      <c r="T8060" t="str">
        <v>x</v>
      </c>
      <c r="U8060">
        <f>0.006165*F8060^2</f>
        <v>0</v>
      </c>
      <c r="V8060" t="str">
        <v>x</v>
      </c>
      <c r="W8060">
        <f>W8056</f>
        <v>10</v>
      </c>
      <c r="X8060" t="str">
        <v>x</v>
      </c>
      <c r="Y8060">
        <f>D8044</f>
        <v>3</v>
      </c>
      <c r="Z8060" t="str">
        <v>=</v>
      </c>
      <c r="AA8060">
        <f>N8060*U8060*W8060*Y8060</f>
        <v>0</v>
      </c>
    </row>
    <row r="8064">
      <c r="A8064" t="str">
        <f>A8034</f>
        <v>Lantai Attic</v>
      </c>
      <c r="B8064">
        <f>B8034+1</f>
        <v>5</v>
      </c>
      <c r="C8064" t="str">
        <f>CONCATENATE(A8064," no. ",B8064)</f>
        <v>Lantai Attic no. 5</v>
      </c>
      <c r="D8064" t="str">
        <f>VLOOKUP(C8064,'Data Panjang Balok'!$C$9:$N$424,2,FALSE)</f>
        <v>B24-1</v>
      </c>
    </row>
    <row r="8065">
      <c r="C8065" t="str">
        <v>Dimensi</v>
      </c>
      <c r="D8065">
        <f>VLOOKUP(D8064,'Detail Balok'!$C$10:$AU$110,2,FALSE)</f>
        <v>200</v>
      </c>
      <c r="F8065" t="str">
        <v>x</v>
      </c>
      <c r="G8065">
        <f>VLOOKUP(D8064,'Detail Balok'!$C$10:$AU$110,3,FALSE)</f>
        <v>400</v>
      </c>
    </row>
    <row r="8066">
      <c r="C8066" t="str">
        <v>Panjang as ke as</v>
      </c>
      <c r="D8066">
        <f>VLOOKUP(C8064,'Data Panjang Balok'!$C$9:$N$424,4,FALSE)</f>
        <v>2200</v>
      </c>
    </row>
    <row r="8067">
      <c r="C8067" t="str">
        <v>Panjang netto</v>
      </c>
      <c r="D8067">
        <f>VLOOKUP(C8064,'Data Panjang Balok'!$C$9:$N$424,7,FALSE)</f>
        <v>2200</v>
      </c>
    </row>
    <row r="8068">
      <c r="C8068" t="str">
        <v>Kolom / balok kiri</v>
      </c>
      <c r="D8068">
        <f>VLOOKUP(C8064,'Data Panjang Balok'!$C$9:$N$424,9,FALSE)</f>
        <v>0</v>
      </c>
    </row>
    <row r="8069">
      <c r="C8069" t="str">
        <v>Kolom / balok kanan</v>
      </c>
      <c r="D8069">
        <f>VLOOKUP(C8064,'Data Panjang Balok'!$C$9:$N$424,10,FALSE)</f>
        <v>0</v>
      </c>
    </row>
    <row r="8070">
      <c r="C8070" t="str">
        <v>Jumlah</v>
      </c>
      <c r="D8070">
        <f>VLOOKUP(C8064,'Data Panjang Balok'!$C$9:$N$424,3,FALSE)</f>
        <v>1</v>
      </c>
    </row>
    <row r="8071">
      <c r="A8071" t="str">
        <f>A8064</f>
        <v>Lantai Attic</v>
      </c>
      <c r="B8071">
        <f>B8064</f>
        <v>5</v>
      </c>
      <c r="C8071" t="str">
        <v>Tul Atas Tumpuan</v>
      </c>
      <c r="D8071">
        <f>VLOOKUP(D8064,'Detail Balok'!$C$10:$AU$110,4,FALSE)</f>
        <v>2</v>
      </c>
      <c r="E8071" t="str">
        <v>D</v>
      </c>
      <c r="F8071">
        <f>VLOOKUP(D8064,'Detail Balok'!$C$10:$AU$110,6,FALSE)</f>
        <v>13</v>
      </c>
      <c r="I8071" t="str">
        <v>(</v>
      </c>
      <c r="J8071">
        <f>+D8066/4/1000</f>
        <v>0.55</v>
      </c>
      <c r="K8071" t="str">
        <v>+</v>
      </c>
      <c r="L8071">
        <f>MAX(VLOOKUP(F8071,N$6:P$15,3,FALSE)/1000,2/3*D8068/1000)+F$16*F8071/1000</f>
        <v>0.156</v>
      </c>
      <c r="M8071" t="str">
        <v>=</v>
      </c>
      <c r="N8071">
        <f>J8071+L8071</f>
        <v>0.7060000000000001</v>
      </c>
      <c r="O8071" t="str">
        <v>+</v>
      </c>
      <c r="P8071">
        <f>D8071-D8072</f>
        <v>0</v>
      </c>
      <c r="Q8071" t="str">
        <v>x</v>
      </c>
      <c r="R8071">
        <f>IF(P8071&gt;0,$F$18*F8071/1000,0)</f>
        <v>0</v>
      </c>
      <c r="S8071" t="str">
        <v>)</v>
      </c>
      <c r="T8071" t="str">
        <v>x</v>
      </c>
      <c r="U8071">
        <f>0.006165*F8071^2</f>
        <v>1.041885</v>
      </c>
      <c r="X8071" t="str">
        <v>x</v>
      </c>
      <c r="Y8071">
        <f>D8070</f>
        <v>1</v>
      </c>
      <c r="Z8071" t="str">
        <v>=</v>
      </c>
      <c r="AA8071">
        <f>IF(AA8074=0,(D8071*N8071+P8071*R8071)*U8071*Y8071,0)</f>
        <v>0</v>
      </c>
    </row>
    <row r="8072">
      <c r="A8072" t="str">
        <f>A8064</f>
        <v>Lantai Attic</v>
      </c>
      <c r="B8072">
        <f>B8064</f>
        <v>5</v>
      </c>
      <c r="C8072" t="str">
        <v>Tul Atas Lapangan</v>
      </c>
      <c r="D8072">
        <f>VLOOKUP(D8064,'Detail Balok'!$C$10:$AU$110,7,FALSE)</f>
        <v>2</v>
      </c>
      <c r="E8072" t="str">
        <v>D</v>
      </c>
      <c r="F8072">
        <f>VLOOKUP(D8064,'Detail Balok'!$C$10:$AU$110,9,FALSE)</f>
        <v>13</v>
      </c>
      <c r="I8072" t="str">
        <v>(</v>
      </c>
      <c r="J8072">
        <f>+D8066/2/1000</f>
        <v>1.1</v>
      </c>
      <c r="K8072" t="str">
        <v>+</v>
      </c>
      <c r="M8072" t="str">
        <v>=</v>
      </c>
      <c r="N8072">
        <f>J8072+L8072</f>
        <v>1.1</v>
      </c>
      <c r="O8072" t="str">
        <v>+</v>
      </c>
      <c r="P8072">
        <f>MAX(D8072-D8071,D8072-D8073)</f>
        <v>0</v>
      </c>
      <c r="Q8072" t="str">
        <v>x</v>
      </c>
      <c r="R8072">
        <f>IF(P8072&gt;0,2*(1-2*$F$19-1/2)*D8067/1000,0)</f>
        <v>0</v>
      </c>
      <c r="S8072" t="str">
        <v>)</v>
      </c>
      <c r="T8072" t="str">
        <v>x</v>
      </c>
      <c r="U8072">
        <f>0.006165*F8072^2</f>
        <v>1.041885</v>
      </c>
      <c r="X8072" t="str">
        <v>x</v>
      </c>
      <c r="Y8072">
        <f>D8070</f>
        <v>1</v>
      </c>
      <c r="Z8072" t="str">
        <v>=</v>
      </c>
      <c r="AA8072">
        <f>IF(AA8074=0,(D8072*N8072+P8072*R8072)*U8072*Y8072,0)</f>
        <v>0</v>
      </c>
    </row>
    <row r="8073">
      <c r="A8073" t="str">
        <f>A8064</f>
        <v>Lantai Attic</v>
      </c>
      <c r="B8073">
        <f>B8064</f>
        <v>5</v>
      </c>
      <c r="C8073" t="str">
        <v>Tul Atas Tumpuan</v>
      </c>
      <c r="D8073">
        <f>VLOOKUP(D8064,'Detail Balok'!$C$10:$AU$110,10,FALSE)</f>
        <v>2</v>
      </c>
      <c r="E8073" t="str">
        <v>D</v>
      </c>
      <c r="F8073">
        <f>VLOOKUP(D8064,'Detail Balok'!$C$10:$AU$110,12,FALSE)</f>
        <v>13</v>
      </c>
      <c r="I8073" t="str">
        <v>(</v>
      </c>
      <c r="J8073">
        <f>+D8066/4/1000</f>
        <v>0.55</v>
      </c>
      <c r="K8073" t="str">
        <v>+</v>
      </c>
      <c r="L8073">
        <f>MAX(VLOOKUP(F8073,N$6:P$15,3,FALSE)/1000,2/3*D8068/1000)+F$16*F8073/1000</f>
        <v>0.156</v>
      </c>
      <c r="M8073" t="str">
        <v>=</v>
      </c>
      <c r="N8073">
        <f>J8073+L8073</f>
        <v>0.7060000000000001</v>
      </c>
      <c r="O8073" t="str">
        <v>+</v>
      </c>
      <c r="P8073">
        <f>D8073-D8072</f>
        <v>0</v>
      </c>
      <c r="Q8073" t="str">
        <v>x</v>
      </c>
      <c r="R8073">
        <f>IF(P8073&gt;0,$F$18*F8073/1000,0)</f>
        <v>0</v>
      </c>
      <c r="S8073" t="str">
        <v>)</v>
      </c>
      <c r="T8073" t="str">
        <v>x</v>
      </c>
      <c r="U8073">
        <f>0.006165*F8073^2</f>
        <v>1.041885</v>
      </c>
      <c r="X8073" t="str">
        <v>x</v>
      </c>
      <c r="Y8073">
        <f>D8070</f>
        <v>1</v>
      </c>
      <c r="Z8073" t="str">
        <v>=</v>
      </c>
      <c r="AA8073">
        <f>IF(AA8074=0,(D8073*N8073+P8073*R8073)*U8073*Y8073,0)</f>
        <v>0</v>
      </c>
    </row>
    <row r="8074">
      <c r="A8074" t="str">
        <f>A8064</f>
        <v>Lantai Attic</v>
      </c>
      <c r="B8074">
        <f>B8064</f>
        <v>5</v>
      </c>
      <c r="D8074">
        <f>IF(AND(D8071=D8072,D8072=D8073,D8071=D8073),D8071,0)</f>
        <v>2</v>
      </c>
      <c r="E8074" t="str">
        <v>D</v>
      </c>
      <c r="F8074">
        <f>IF(AND(F8071=F8072,F8071=F8073,F8072=F8073),F8071,0)</f>
        <v>13</v>
      </c>
      <c r="L8074" t="str">
        <v>Total panjang per balok</v>
      </c>
      <c r="M8074" t="str">
        <v>=</v>
      </c>
      <c r="N8074">
        <f>IF(AND(D8071=D8072,D8071=D8073,D8072=D8073,F8071=F8072,F8071=F8073,F8072=F8073),SUM(N8071:N8073),0)</f>
        <v>2.512</v>
      </c>
      <c r="O8074" t="str">
        <v>+</v>
      </c>
      <c r="P8074">
        <f>IF(N8074&gt;12,ROUNDDOWN(N8074/12,0),0)</f>
        <v>0</v>
      </c>
      <c r="Q8074" t="str">
        <v>x</v>
      </c>
      <c r="R8074">
        <f>IF(P8074&gt;0,MAX(VLOOKUP(F8074,$D$6:$G$15,3,FALSE),600),0)/1000</f>
        <v>0</v>
      </c>
      <c r="T8074" t="str">
        <v>x</v>
      </c>
      <c r="U8074">
        <f>U8073</f>
        <v>1.041885</v>
      </c>
      <c r="V8074" t="str">
        <v>x</v>
      </c>
      <c r="W8074">
        <f>D8074</f>
        <v>2</v>
      </c>
      <c r="X8074" t="str">
        <v>x</v>
      </c>
      <c r="Y8074">
        <f>Y8073</f>
        <v>1</v>
      </c>
      <c r="Z8074" t="str">
        <v>=</v>
      </c>
      <c r="AA8074">
        <f>(N8074+P8074*R8074/1000)*U8074*W8074*Y8074</f>
        <v>5.23443024</v>
      </c>
    </row>
    <row r="8076">
      <c r="A8076" t="str">
        <f>A8064</f>
        <v>Lantai Attic</v>
      </c>
      <c r="B8076">
        <f>B8064</f>
        <v>5</v>
      </c>
      <c r="C8076" t="str">
        <v>Tul Peminggang</v>
      </c>
      <c r="D8076">
        <f>VLOOKUP(D8064,'Detail Balok'!$C$10:$AU$110,13,FALSE)</f>
        <v>0</v>
      </c>
      <c r="E8076" t="str">
        <v>D</v>
      </c>
      <c r="F8076">
        <f>VLOOKUP(D8064,'Detail Balok'!$C$10:$AU$110,15,FALSE)</f>
        <v>6</v>
      </c>
      <c r="J8076">
        <f>+D8066/1000</f>
        <v>2.2</v>
      </c>
      <c r="K8076" t="str">
        <v>+</v>
      </c>
      <c r="L8076">
        <f>2*$F$16*F8076/1000</f>
        <v>0.144</v>
      </c>
      <c r="M8076" t="str">
        <v>=</v>
      </c>
      <c r="N8076">
        <f>J8076+L8076</f>
        <v>2.3440000000000003</v>
      </c>
      <c r="O8076" t="str">
        <v>+</v>
      </c>
      <c r="P8076">
        <f>IF(N8076&gt;12,ROUNDDOWN(N8076/12,0),0)</f>
        <v>0</v>
      </c>
      <c r="Q8076" t="str">
        <v>x</v>
      </c>
      <c r="R8076">
        <f>IF(P8076&gt;0,MAX(VLOOKUP(F8076,$D$6:$G$15,3,FALSE),600),0)/1000</f>
        <v>0</v>
      </c>
      <c r="T8076" t="str">
        <v>x</v>
      </c>
      <c r="U8076">
        <f>0.006165*F8076^2</f>
        <v>0.22194000000000003</v>
      </c>
      <c r="V8076" t="str">
        <v>x</v>
      </c>
      <c r="W8076">
        <f>+D8076</f>
        <v>0</v>
      </c>
      <c r="X8076" t="str">
        <v>x</v>
      </c>
      <c r="Y8076">
        <f>D8070</f>
        <v>1</v>
      </c>
      <c r="Z8076" t="str">
        <v>=</v>
      </c>
      <c r="AA8076">
        <f>(N8076+P8076*R8076/1000)*U8076*W8076*Y8076</f>
        <v>0</v>
      </c>
    </row>
    <row r="8079">
      <c r="A8079" t="str">
        <f>A8064</f>
        <v>Lantai Attic</v>
      </c>
      <c r="B8079">
        <f>B8064</f>
        <v>5</v>
      </c>
      <c r="C8079" t="str">
        <v>Tul Bawah Tumpuan</v>
      </c>
      <c r="D8079">
        <f>VLOOKUP(D8064,'Detail Balok'!$C$10:$AU$110,22,FALSE)</f>
        <v>2</v>
      </c>
      <c r="E8079" t="str">
        <v>D</v>
      </c>
      <c r="F8079">
        <f>VLOOKUP(D8064,'Detail Balok'!$C$10:$AU$110,24,FALSE)</f>
        <v>13</v>
      </c>
      <c r="I8079" t="str">
        <v>(</v>
      </c>
      <c r="J8079">
        <f>+J8071</f>
        <v>0.55</v>
      </c>
      <c r="K8079" t="str">
        <v>+</v>
      </c>
      <c r="L8079">
        <f>MAX(VLOOKUP(F8079,N$6:P$15,3,FALSE)/1000,2/3*D8069/1000)+F$16*F8079/1000</f>
        <v>0.156</v>
      </c>
      <c r="M8079" t="str">
        <v>=</v>
      </c>
      <c r="N8079">
        <f>J8079+L8079</f>
        <v>0.7060000000000001</v>
      </c>
      <c r="O8079" t="str">
        <v>+</v>
      </c>
      <c r="P8079">
        <f>D8079-D8080</f>
        <v>0</v>
      </c>
      <c r="Q8079" t="str">
        <v>x</v>
      </c>
      <c r="R8079">
        <f>IF(P8079&gt;0,$F$18*F8079/1000,0)</f>
        <v>0</v>
      </c>
      <c r="S8079" t="str">
        <v>)</v>
      </c>
      <c r="T8079" t="str">
        <v>x</v>
      </c>
      <c r="U8079">
        <f>0.006165*F8079^2</f>
        <v>1.041885</v>
      </c>
      <c r="X8079" t="str">
        <v>x</v>
      </c>
      <c r="Y8079">
        <f>D8070</f>
        <v>1</v>
      </c>
      <c r="Z8079" t="str">
        <v>=</v>
      </c>
      <c r="AA8079">
        <f>IF(AA8082=0,(D8079*N8079+P8079*R8079)*U8079*Y8079,0)</f>
        <v>0</v>
      </c>
    </row>
    <row r="8080">
      <c r="A8080" t="str">
        <f>A8064</f>
        <v>Lantai Attic</v>
      </c>
      <c r="B8080">
        <f>B8064</f>
        <v>5</v>
      </c>
      <c r="C8080" t="str">
        <v>Tul Bawah Lapangan</v>
      </c>
      <c r="D8080">
        <f>VLOOKUP(D8064,'Detail Balok'!$C$10:$AU$110,25,FALSE)</f>
        <v>2</v>
      </c>
      <c r="E8080" t="str">
        <v>D</v>
      </c>
      <c r="F8080">
        <f>VLOOKUP(D8064,'Detail Balok'!$C$10:$AU$110,27,FALSE)</f>
        <v>13</v>
      </c>
      <c r="I8080" t="str">
        <v>(</v>
      </c>
      <c r="J8080">
        <f>+J8072</f>
        <v>1.1</v>
      </c>
      <c r="K8080" t="str">
        <v>+</v>
      </c>
      <c r="M8080" t="str">
        <v>=</v>
      </c>
      <c r="N8080">
        <f>J8080+L8080</f>
        <v>1.1</v>
      </c>
      <c r="O8080" t="str">
        <v>+</v>
      </c>
      <c r="P8080">
        <f>MAX(D8080-D8079,D8080-D8081)</f>
        <v>0</v>
      </c>
      <c r="Q8080" t="str">
        <v>x</v>
      </c>
      <c r="R8080">
        <f>IF(P8080&gt;0,2*(1-2*$F$19-1/2)*D8067/1000,0)</f>
        <v>0</v>
      </c>
      <c r="S8080" t="str">
        <v>)</v>
      </c>
      <c r="T8080" t="str">
        <v>x</v>
      </c>
      <c r="U8080">
        <f>0.006165*F8080^2</f>
        <v>1.041885</v>
      </c>
      <c r="X8080" t="str">
        <v>x</v>
      </c>
      <c r="Y8080">
        <f>D8070</f>
        <v>1</v>
      </c>
      <c r="Z8080" t="str">
        <v>=</v>
      </c>
      <c r="AA8080">
        <f>IF(AA8082=0,(D8080*N8080+P8080*R8080)*U8080*Y8080,0)</f>
        <v>0</v>
      </c>
    </row>
    <row r="8081">
      <c r="A8081" t="str">
        <f>A8064</f>
        <v>Lantai Attic</v>
      </c>
      <c r="B8081">
        <f>B8064</f>
        <v>5</v>
      </c>
      <c r="C8081" t="str">
        <v>Tul Bawah Tumpuan</v>
      </c>
      <c r="D8081">
        <f>VLOOKUP(D8064,'Detail Balok'!$C$10:$AU$110,28,FALSE)</f>
        <v>2</v>
      </c>
      <c r="E8081" t="str">
        <v>D</v>
      </c>
      <c r="F8081">
        <f>VLOOKUP(D8064,'Detail Balok'!$C$10:$AU$110,30,FALSE)</f>
        <v>13</v>
      </c>
      <c r="I8081" t="str">
        <v>(</v>
      </c>
      <c r="J8081">
        <f>+J8073</f>
        <v>0.55</v>
      </c>
      <c r="K8081" t="str">
        <v>+</v>
      </c>
      <c r="L8081">
        <f>MAX(VLOOKUP(F8081,N$6:P$15,3,FALSE)/1000,2/3*D8069/1000)+F$16*F8081/1000</f>
        <v>0.156</v>
      </c>
      <c r="M8081" t="str">
        <v>=</v>
      </c>
      <c r="N8081">
        <f>J8081+L8081</f>
        <v>0.7060000000000001</v>
      </c>
      <c r="O8081" t="str">
        <v>+</v>
      </c>
      <c r="P8081">
        <f>D8081-D8080</f>
        <v>0</v>
      </c>
      <c r="Q8081" t="str">
        <v>x</v>
      </c>
      <c r="R8081">
        <f>IF(P8081&gt;0,$F$18*F8081/1000,0)</f>
        <v>0</v>
      </c>
      <c r="S8081" t="str">
        <v>)</v>
      </c>
      <c r="T8081" t="str">
        <v>x</v>
      </c>
      <c r="U8081">
        <f>0.006165*F8081^2</f>
        <v>1.041885</v>
      </c>
      <c r="X8081" t="str">
        <v>x</v>
      </c>
      <c r="Y8081">
        <f>D8070</f>
        <v>1</v>
      </c>
      <c r="Z8081" t="str">
        <v>=</v>
      </c>
      <c r="AA8081">
        <f>IF(AA8082=0,(D8081*N8081+P8081*R8081)*U8081*Y8081,0)</f>
        <v>0</v>
      </c>
    </row>
    <row r="8082">
      <c r="A8082" t="str">
        <f>A8064</f>
        <v>Lantai Attic</v>
      </c>
      <c r="B8082">
        <f>B8064</f>
        <v>5</v>
      </c>
      <c r="D8082">
        <f>IF(AND(D8079=D8080,D8080=D8081,D8079=D8081),D8079,0)</f>
        <v>2</v>
      </c>
      <c r="E8082" t="str">
        <v>D</v>
      </c>
      <c r="F8082">
        <f>IF(AND(F8079=F8080,F8079=F8081,F8080=F8081),F8079,0)</f>
        <v>13</v>
      </c>
      <c r="L8082" t="str">
        <v>Total panjang per balok</v>
      </c>
      <c r="M8082" t="str">
        <v>=</v>
      </c>
      <c r="N8082">
        <f>IF(AND(D8079=D8080,D8079=D8081,D8080=D8081,F8079=F8080,F8079=F8081,F8080=F8081),SUM(N8079:N8081),0)</f>
        <v>2.512</v>
      </c>
      <c r="O8082" t="str">
        <v>+</v>
      </c>
      <c r="P8082">
        <f>IF(N8082&gt;12,ROUNDDOWN(N8082/12,0),0)</f>
        <v>0</v>
      </c>
      <c r="Q8082" t="str">
        <v>x</v>
      </c>
      <c r="R8082">
        <f>IF(P8082&gt;0,MAX(VLOOKUP(F8082,$D$6:$G$15,3,FALSE),600),0)/1000</f>
        <v>0</v>
      </c>
      <c r="T8082" t="str">
        <v>x</v>
      </c>
      <c r="U8082">
        <f>U8081</f>
        <v>1.041885</v>
      </c>
      <c r="V8082" t="str">
        <v>x</v>
      </c>
      <c r="W8082">
        <f>D8082</f>
        <v>2</v>
      </c>
      <c r="X8082" t="str">
        <v>x</v>
      </c>
      <c r="Y8082">
        <f>Y8081</f>
        <v>1</v>
      </c>
      <c r="Z8082" t="str">
        <v>=</v>
      </c>
      <c r="AA8082">
        <f>(N8082+P8082*R8082/1000)*U8082*W8082*Y8082</f>
        <v>5.23443024</v>
      </c>
    </row>
    <row r="8084">
      <c r="A8084" t="str">
        <f>A8064</f>
        <v>Lantai Attic</v>
      </c>
      <c r="B8084">
        <f>B8064</f>
        <v>5</v>
      </c>
      <c r="C8084" t="str">
        <v>Sengkang Tumpuan</v>
      </c>
      <c r="D8084">
        <f>VLOOKUP(D8064,'Detail Balok'!$C$10:$AU$110,31,FALSE)</f>
        <v>0</v>
      </c>
      <c r="E8084" t="str">
        <v>D</v>
      </c>
      <c r="F8084">
        <f>VLOOKUP(D8064,'Detail Balok'!$C$10:$AU$110,33,FALSE)</f>
        <v>8</v>
      </c>
      <c r="G8084" t="str">
        <v>-</v>
      </c>
      <c r="H8084">
        <f>VLOOKUP(D8064,'Detail Balok'!$C$10:$AU$110,35,FALSE)</f>
        <v>100</v>
      </c>
      <c r="J8084">
        <f>(IF(D8084=0,(2*(D8065+G8065))-(F$5*8),IF(D8084=3,(2*(D8065+G8065))-(F$5*8)+(G8065-2*F$5),IF(D8084=4,(2*(D8065+G8065))-(F$5*8)+2*(G8065-2*F$5)))))/1000</f>
        <v>0.88</v>
      </c>
      <c r="K8084" t="str">
        <v>+</v>
      </c>
      <c r="L8084">
        <f>IF(D8084=0,2*MAX(6*F8084,75),(D8084-1)*2*MAX(6*F8084,75))/1000</f>
        <v>0.15</v>
      </c>
      <c r="M8084" t="str">
        <v>=</v>
      </c>
      <c r="N8084">
        <f>J8084+L8084</f>
        <v>1.03</v>
      </c>
      <c r="T8084" t="str">
        <v>x</v>
      </c>
      <c r="U8084">
        <f>0.006165*F8084^2</f>
        <v>0.39456</v>
      </c>
      <c r="V8084" t="str">
        <v>x</v>
      </c>
      <c r="W8084">
        <f>IF(D8067&gt;4*G8065,ROUND(MAX(D8067/4,2*G8065)/H8084,0)+1,ROUND(D8067/H8084,0)+1)</f>
        <v>9</v>
      </c>
      <c r="X8084" t="str">
        <v>x</v>
      </c>
      <c r="Y8084">
        <f>D8070</f>
        <v>1</v>
      </c>
      <c r="Z8084" t="str">
        <v>=</v>
      </c>
      <c r="AA8084">
        <f>N8084*U8084*W8084*Y8084</f>
        <v>3.6575712000000005</v>
      </c>
    </row>
    <row r="8085">
      <c r="A8085" t="str">
        <f>A8064</f>
        <v>Lantai Attic</v>
      </c>
      <c r="B8085">
        <f>B8064</f>
        <v>5</v>
      </c>
      <c r="C8085" t="str">
        <v>Sengkang Lapangan</v>
      </c>
      <c r="D8085">
        <f>VLOOKUP(D8064,'Detail Balok'!$C$10:$AU$110,36,FALSE)</f>
        <v>0</v>
      </c>
      <c r="E8085" t="str">
        <v>D</v>
      </c>
      <c r="F8085">
        <f>VLOOKUP(D8064,'Detail Balok'!$C$10:$AU$110,38,FALSE)</f>
        <v>8</v>
      </c>
      <c r="G8085" t="str">
        <v>-</v>
      </c>
      <c r="H8085">
        <f>VLOOKUP(D8064,'Detail Balok'!$C$10:$AU$110,40,FALSE)</f>
        <v>200</v>
      </c>
      <c r="J8085">
        <f>(IF(D8085=0,(2*(D8065+G8065))-(F$5*8),IF(D8085=3,(2*(D8065+G8065))-(F$5*8)+(G8065-2*F$5),IF(D8085=4,(2*(D8065+G8065))-(F$5*8)+2*(G8065-2*F$5)))))/1000</f>
        <v>0.88</v>
      </c>
      <c r="K8085" t="str">
        <v>+</v>
      </c>
      <c r="L8085">
        <f>IF(D8085=0,2*MAX(6*F8085,75),(D8085-1)*2*MAX(6*F8085,75))/1000</f>
        <v>0.15</v>
      </c>
      <c r="M8085" t="str">
        <v>=</v>
      </c>
      <c r="N8085">
        <f>J8085+L8085</f>
        <v>1.03</v>
      </c>
      <c r="T8085" t="str">
        <v>x</v>
      </c>
      <c r="U8085">
        <f>0.006165*F8085^2</f>
        <v>0.39456</v>
      </c>
      <c r="V8085" t="str">
        <v>x</v>
      </c>
      <c r="W8085">
        <f>IF(D8067-MAX(D8067/4,2*G8065)*2&gt;0,ROUND((D8067-MAX(D8067/4,2*G8065)*2)/H8085,0),0)</f>
        <v>3</v>
      </c>
      <c r="X8085" t="str">
        <v>x</v>
      </c>
      <c r="Y8085">
        <f>D8070</f>
        <v>1</v>
      </c>
      <c r="Z8085" t="str">
        <v>=</v>
      </c>
      <c r="AA8085">
        <f>N8085*U8085*W8085*Y8085</f>
        <v>1.2191904000000002</v>
      </c>
    </row>
    <row r="8086">
      <c r="A8086" t="str">
        <f>A8064</f>
        <v>Lantai Attic</v>
      </c>
      <c r="B8086">
        <f>B8064</f>
        <v>5</v>
      </c>
      <c r="C8086" t="str">
        <v>Sengkang Tumpuan</v>
      </c>
      <c r="D8086">
        <f>VLOOKUP(D8064,'Detail Balok'!$C$10:$AU$110,41,FALSE)</f>
        <v>0</v>
      </c>
      <c r="E8086" t="str">
        <v>D</v>
      </c>
      <c r="F8086">
        <f>VLOOKUP(D8064,'Detail Balok'!$C$10:$AU$110,43,FALSE)</f>
        <v>8</v>
      </c>
      <c r="G8086" t="str">
        <v>-</v>
      </c>
      <c r="H8086">
        <f>VLOOKUP(D8064,'Detail Balok'!$C$10:$AU$110,45,FALSE)</f>
        <v>100</v>
      </c>
      <c r="J8086">
        <f>(IF(D8086=0,(2*(D8065+G8065))-(F$5*8),IF(D8086=3,(2*(D8065+G8065))-(F$5*8)+(G8065-2*F$5),IF(D8086=4,(2*(D8065+G8065))-(F$5*8)+2*(G8065-2*F$5)))))/1000</f>
        <v>0.88</v>
      </c>
      <c r="K8086" t="str">
        <v>+</v>
      </c>
      <c r="L8086">
        <f>IF(D8086=0,2*MAX(6*F8086,75),(D8086-1)*2*MAX(6*F8086,75))/1000</f>
        <v>0.15</v>
      </c>
      <c r="M8086" t="str">
        <v>=</v>
      </c>
      <c r="N8086">
        <f>J8086+L8086</f>
        <v>1.03</v>
      </c>
      <c r="T8086" t="str">
        <v>x</v>
      </c>
      <c r="U8086">
        <f>0.006165*F8086^2</f>
        <v>0.39456</v>
      </c>
      <c r="V8086" t="str">
        <v>x</v>
      </c>
      <c r="W8086">
        <f>IF(D8067&gt;4*G8065,ROUND(MAX(D8067/4,2*G8065)/H8086,0)+1,0)</f>
        <v>9</v>
      </c>
      <c r="X8086" t="str">
        <v>x</v>
      </c>
      <c r="Y8086">
        <f>D8070</f>
        <v>1</v>
      </c>
      <c r="Z8086" t="str">
        <v>=</v>
      </c>
      <c r="AA8086">
        <f>N8086*U8086*W8086*Y8086</f>
        <v>3.6575712000000005</v>
      </c>
    </row>
    <row r="8088">
      <c r="A8088" t="str">
        <f>A8064</f>
        <v>Lantai Attic</v>
      </c>
      <c r="B8088">
        <f>B8064</f>
        <v>5</v>
      </c>
      <c r="C8088" t="str">
        <v>Kait Horizontal Tump.</v>
      </c>
      <c r="D8088">
        <f>VLOOKUP(D8064,'Detail Balok'!$C$10:$BJ$110,46,FALSE)</f>
        <v>0</v>
      </c>
      <c r="E8088" t="str">
        <v>D</v>
      </c>
      <c r="F8088">
        <f>VLOOKUP(D8064,'Detail Balok'!$C$10:$BJ$110,48,FALSE)</f>
        <v>0</v>
      </c>
      <c r="G8088" t="str">
        <v>-</v>
      </c>
      <c r="H8088">
        <f>VLOOKUP(D8064,'Detail Balok'!$C$10:$BJ$110,50,FALSE)</f>
        <v>100</v>
      </c>
      <c r="J8088">
        <f>(D8065-2*F$5)/1000</f>
        <v>0.12</v>
      </c>
      <c r="K8088" t="str">
        <v>+</v>
      </c>
      <c r="L8088">
        <f>IF(D8088=0,2*MAX(6*F8088,75),(D8088-1)*2*MAX(6*F8088,75))/1000</f>
        <v>0.15</v>
      </c>
      <c r="M8088" t="str">
        <v>=</v>
      </c>
      <c r="N8088">
        <f>J8088+L8088</f>
        <v>0.27</v>
      </c>
      <c r="T8088" t="str">
        <v>x</v>
      </c>
      <c r="U8088">
        <f>0.006165*F8088^2</f>
        <v>0</v>
      </c>
      <c r="V8088" t="str">
        <v>x</v>
      </c>
      <c r="W8088">
        <f>W8084</f>
        <v>9</v>
      </c>
      <c r="X8088" t="str">
        <v>x</v>
      </c>
      <c r="Y8088">
        <f>D8074</f>
        <v>2</v>
      </c>
      <c r="Z8088" t="str">
        <v>=</v>
      </c>
      <c r="AA8088">
        <f>N8088*U8088*W8088*Y8088</f>
        <v>0</v>
      </c>
    </row>
    <row r="8089">
      <c r="A8089" t="str">
        <f>A8064</f>
        <v>Lantai Attic</v>
      </c>
      <c r="B8089">
        <f>B8064</f>
        <v>5</v>
      </c>
      <c r="C8089" t="str">
        <v>Kait Horizontal Lap.</v>
      </c>
      <c r="D8089">
        <f>VLOOKUP(D8064,'Detail Balok'!$C$10:$BJ$110,51,FALSE)</f>
        <v>0</v>
      </c>
      <c r="E8089" t="str">
        <v>D</v>
      </c>
      <c r="F8089">
        <f>VLOOKUP(D8064,'Detail Balok'!$C$10:$BJ$110,53,FALSE)</f>
        <v>0</v>
      </c>
      <c r="G8089" t="str">
        <v>-</v>
      </c>
      <c r="H8089">
        <f>VLOOKUP(D8064,'Detail Balok'!$C$10:$BJ$110,55,FALSE)</f>
        <v>100</v>
      </c>
      <c r="J8089">
        <f>(D8065-2*F$5)/1000</f>
        <v>0.12</v>
      </c>
      <c r="K8089" t="str">
        <v>+</v>
      </c>
      <c r="L8089">
        <f>IF(D8089=0,2*MAX(6*F8089,75),(D8089-1)*2*MAX(6*F8089,75))/1000</f>
        <v>0.15</v>
      </c>
      <c r="M8089" t="str">
        <v>=</v>
      </c>
      <c r="N8089">
        <f>J8089+L8089</f>
        <v>0.27</v>
      </c>
      <c r="T8089" t="str">
        <v>x</v>
      </c>
      <c r="U8089">
        <f>0.006165*F8089^2</f>
        <v>0</v>
      </c>
      <c r="V8089" t="str">
        <v>x</v>
      </c>
      <c r="W8089">
        <f>W8085</f>
        <v>3</v>
      </c>
      <c r="X8089" t="str">
        <v>x</v>
      </c>
      <c r="Y8089">
        <f>D8074</f>
        <v>2</v>
      </c>
      <c r="Z8089" t="str">
        <v>=</v>
      </c>
      <c r="AA8089">
        <f>N8089*U8089*W8089*Y8089</f>
        <v>0</v>
      </c>
    </row>
    <row r="8090">
      <c r="A8090" t="str">
        <f>A8064</f>
        <v>Lantai Attic</v>
      </c>
      <c r="B8090">
        <f>B8064</f>
        <v>5</v>
      </c>
      <c r="C8090" t="str">
        <v>Kait Horizontal Tump.</v>
      </c>
      <c r="D8090">
        <f>VLOOKUP(D8064,'Detail Balok'!$C$10:$BJ$110,56,FALSE)</f>
        <v>0</v>
      </c>
      <c r="E8090" t="str">
        <v>D</v>
      </c>
      <c r="F8090">
        <f>VLOOKUP(D8064,'Detail Balok'!$C$10:$BJ$110,58,FALSE)</f>
        <v>0</v>
      </c>
      <c r="G8090" t="str">
        <v>-</v>
      </c>
      <c r="H8090">
        <f>VLOOKUP(D8064,'Detail Balok'!$C$10:$BJ$110,60,FALSE)</f>
        <v>100</v>
      </c>
      <c r="J8090">
        <f>(D8065-2*F$5)/1000</f>
        <v>0.12</v>
      </c>
      <c r="K8090" t="str">
        <v>+</v>
      </c>
      <c r="L8090">
        <f>IF(D8090=0,2*MAX(6*F8090,75),(D8090-1)*2*MAX(6*F8090,75))/1000</f>
        <v>0.15</v>
      </c>
      <c r="M8090" t="str">
        <v>=</v>
      </c>
      <c r="N8090">
        <f>J8090+L8090</f>
        <v>0.27</v>
      </c>
      <c r="T8090" t="str">
        <v>x</v>
      </c>
      <c r="U8090">
        <f>0.006165*F8090^2</f>
        <v>0</v>
      </c>
      <c r="V8090" t="str">
        <v>x</v>
      </c>
      <c r="W8090">
        <f>W8086</f>
        <v>9</v>
      </c>
      <c r="X8090" t="str">
        <v>x</v>
      </c>
      <c r="Y8090">
        <f>D8074</f>
        <v>2</v>
      </c>
      <c r="Z8090" t="str">
        <v>=</v>
      </c>
      <c r="AA8090">
        <f>N8090*U8090*W8090*Y8090</f>
        <v>0</v>
      </c>
    </row>
    <row r="8094">
      <c r="A8094" t="str">
        <f>A8064</f>
        <v>Lantai Attic</v>
      </c>
      <c r="B8094">
        <f>B8064+1</f>
        <v>6</v>
      </c>
      <c r="C8094" t="str">
        <f>CONCATENATE(A8094," no. ",B8094)</f>
        <v>Lantai Attic no. 6</v>
      </c>
      <c r="D8094" t="str">
        <f>VLOOKUP(C8094,'Data Panjang Balok'!$C$9:$N$424,2,FALSE)</f>
        <v>B1745-1</v>
      </c>
    </row>
    <row r="8095">
      <c r="C8095" t="str">
        <v>Dimensi</v>
      </c>
      <c r="D8095">
        <f>VLOOKUP(D8094,'Detail Balok'!$C$10:$AU$110,2,FALSE)</f>
        <v>170</v>
      </c>
      <c r="F8095" t="str">
        <v>x</v>
      </c>
      <c r="G8095">
        <f>VLOOKUP(D8094,'Detail Balok'!$C$10:$AU$110,3,FALSE)</f>
        <v>450</v>
      </c>
    </row>
    <row r="8096">
      <c r="C8096" t="str">
        <v>Panjang as ke as</v>
      </c>
      <c r="D8096">
        <f>VLOOKUP(C8094,'Data Panjang Balok'!$C$9:$N$424,4,FALSE)</f>
        <v>2800</v>
      </c>
    </row>
    <row r="8097">
      <c r="C8097" t="str">
        <v>Panjang netto</v>
      </c>
      <c r="D8097">
        <f>VLOOKUP(C8094,'Data Panjang Balok'!$C$9:$N$424,7,FALSE)</f>
        <v>2800</v>
      </c>
    </row>
    <row r="8098">
      <c r="C8098" t="str">
        <v>Kolom / balok kiri</v>
      </c>
      <c r="D8098">
        <f>VLOOKUP(C8094,'Data Panjang Balok'!$C$9:$N$424,9,FALSE)</f>
        <v>0</v>
      </c>
    </row>
    <row r="8099">
      <c r="C8099" t="str">
        <v>Kolom / balok kanan</v>
      </c>
      <c r="D8099">
        <f>VLOOKUP(C8094,'Data Panjang Balok'!$C$9:$N$424,10,FALSE)</f>
        <v>0</v>
      </c>
    </row>
    <row r="8100">
      <c r="C8100" t="str">
        <v>Jumlah</v>
      </c>
      <c r="D8100">
        <f>VLOOKUP(C8094,'Data Panjang Balok'!$C$9:$N$424,3,FALSE)</f>
        <v>1</v>
      </c>
    </row>
    <row r="8101">
      <c r="A8101" t="str">
        <f>A8094</f>
        <v>Lantai Attic</v>
      </c>
      <c r="B8101">
        <f>B8094</f>
        <v>6</v>
      </c>
      <c r="C8101" t="str">
        <v>Tul Atas Tumpuan</v>
      </c>
      <c r="D8101">
        <f>VLOOKUP(D8094,'Detail Balok'!$C$10:$AU$110,4,FALSE)</f>
        <v>2</v>
      </c>
      <c r="E8101" t="str">
        <v>D</v>
      </c>
      <c r="F8101">
        <f>VLOOKUP(D8094,'Detail Balok'!$C$10:$AU$110,6,FALSE)</f>
        <v>13</v>
      </c>
      <c r="I8101" t="str">
        <v>(</v>
      </c>
      <c r="J8101">
        <f>+D8096/4/1000</f>
        <v>0.7</v>
      </c>
      <c r="K8101" t="str">
        <v>+</v>
      </c>
      <c r="L8101">
        <f>MAX(VLOOKUP(F8101,N$6:P$15,3,FALSE)/1000,2/3*D8098/1000)+F$16*F8101/1000</f>
        <v>0.156</v>
      </c>
      <c r="M8101" t="str">
        <v>=</v>
      </c>
      <c r="N8101">
        <f>J8101+L8101</f>
        <v>0.856</v>
      </c>
      <c r="O8101" t="str">
        <v>+</v>
      </c>
      <c r="P8101">
        <f>D8101-D8102</f>
        <v>0</v>
      </c>
      <c r="Q8101" t="str">
        <v>x</v>
      </c>
      <c r="R8101">
        <f>IF(P8101&gt;0,$F$18*F8101/1000,0)</f>
        <v>0</v>
      </c>
      <c r="S8101" t="str">
        <v>)</v>
      </c>
      <c r="T8101" t="str">
        <v>x</v>
      </c>
      <c r="U8101">
        <f>0.006165*F8101^2</f>
        <v>1.041885</v>
      </c>
      <c r="X8101" t="str">
        <v>x</v>
      </c>
      <c r="Y8101">
        <f>D8100</f>
        <v>1</v>
      </c>
      <c r="Z8101" t="str">
        <v>=</v>
      </c>
      <c r="AA8101">
        <f>IF(AA8104=0,(D8101*N8101+P8101*R8101)*U8101*Y8101,0)</f>
        <v>0</v>
      </c>
    </row>
    <row r="8102">
      <c r="A8102" t="str">
        <f>A8094</f>
        <v>Lantai Attic</v>
      </c>
      <c r="B8102">
        <f>B8094</f>
        <v>6</v>
      </c>
      <c r="C8102" t="str">
        <v>Tul Atas Lapangan</v>
      </c>
      <c r="D8102">
        <f>VLOOKUP(D8094,'Detail Balok'!$C$10:$AU$110,7,FALSE)</f>
        <v>2</v>
      </c>
      <c r="E8102" t="str">
        <v>D</v>
      </c>
      <c r="F8102">
        <f>VLOOKUP(D8094,'Detail Balok'!$C$10:$AU$110,9,FALSE)</f>
        <v>13</v>
      </c>
      <c r="I8102" t="str">
        <v>(</v>
      </c>
      <c r="J8102">
        <f>+D8096/2/1000</f>
        <v>1.4</v>
      </c>
      <c r="K8102" t="str">
        <v>+</v>
      </c>
      <c r="M8102" t="str">
        <v>=</v>
      </c>
      <c r="N8102">
        <f>J8102+L8102</f>
        <v>1.4</v>
      </c>
      <c r="O8102" t="str">
        <v>+</v>
      </c>
      <c r="P8102">
        <f>MAX(D8102-D8101,D8102-D8103)</f>
        <v>0</v>
      </c>
      <c r="Q8102" t="str">
        <v>x</v>
      </c>
      <c r="R8102">
        <f>IF(P8102&gt;0,2*(1-2*$F$19-1/2)*D8097/1000,0)</f>
        <v>0</v>
      </c>
      <c r="S8102" t="str">
        <v>)</v>
      </c>
      <c r="T8102" t="str">
        <v>x</v>
      </c>
      <c r="U8102">
        <f>0.006165*F8102^2</f>
        <v>1.041885</v>
      </c>
      <c r="X8102" t="str">
        <v>x</v>
      </c>
      <c r="Y8102">
        <f>D8100</f>
        <v>1</v>
      </c>
      <c r="Z8102" t="str">
        <v>=</v>
      </c>
      <c r="AA8102">
        <f>IF(AA8104=0,(D8102*N8102+P8102*R8102)*U8102*Y8102,0)</f>
        <v>0</v>
      </c>
    </row>
    <row r="8103">
      <c r="A8103" t="str">
        <f>A8094</f>
        <v>Lantai Attic</v>
      </c>
      <c r="B8103">
        <f>B8094</f>
        <v>6</v>
      </c>
      <c r="C8103" t="str">
        <v>Tul Atas Tumpuan</v>
      </c>
      <c r="D8103">
        <f>VLOOKUP(D8094,'Detail Balok'!$C$10:$AU$110,10,FALSE)</f>
        <v>2</v>
      </c>
      <c r="E8103" t="str">
        <v>D</v>
      </c>
      <c r="F8103">
        <f>VLOOKUP(D8094,'Detail Balok'!$C$10:$AU$110,12,FALSE)</f>
        <v>13</v>
      </c>
      <c r="I8103" t="str">
        <v>(</v>
      </c>
      <c r="J8103">
        <f>+D8096/4/1000</f>
        <v>0.7</v>
      </c>
      <c r="K8103" t="str">
        <v>+</v>
      </c>
      <c r="L8103">
        <f>MAX(VLOOKUP(F8103,N$6:P$15,3,FALSE)/1000,2/3*D8098/1000)+F$16*F8103/1000</f>
        <v>0.156</v>
      </c>
      <c r="M8103" t="str">
        <v>=</v>
      </c>
      <c r="N8103">
        <f>J8103+L8103</f>
        <v>0.856</v>
      </c>
      <c r="O8103" t="str">
        <v>+</v>
      </c>
      <c r="P8103">
        <f>D8103-D8102</f>
        <v>0</v>
      </c>
      <c r="Q8103" t="str">
        <v>x</v>
      </c>
      <c r="R8103">
        <f>IF(P8103&gt;0,$F$18*F8103/1000,0)</f>
        <v>0</v>
      </c>
      <c r="S8103" t="str">
        <v>)</v>
      </c>
      <c r="T8103" t="str">
        <v>x</v>
      </c>
      <c r="U8103">
        <f>0.006165*F8103^2</f>
        <v>1.041885</v>
      </c>
      <c r="X8103" t="str">
        <v>x</v>
      </c>
      <c r="Y8103">
        <f>D8100</f>
        <v>1</v>
      </c>
      <c r="Z8103" t="str">
        <v>=</v>
      </c>
      <c r="AA8103">
        <f>IF(AA8104=0,(D8103*N8103+P8103*R8103)*U8103*Y8103,0)</f>
        <v>0</v>
      </c>
    </row>
    <row r="8104">
      <c r="A8104" t="str">
        <f>A8094</f>
        <v>Lantai Attic</v>
      </c>
      <c r="B8104">
        <f>B8094</f>
        <v>6</v>
      </c>
      <c r="D8104">
        <f>IF(AND(D8101=D8102,D8102=D8103,D8101=D8103),D8101,0)</f>
        <v>2</v>
      </c>
      <c r="E8104" t="str">
        <v>D</v>
      </c>
      <c r="F8104">
        <f>IF(AND(F8101=F8102,F8101=F8103,F8102=F8103),F8101,0)</f>
        <v>13</v>
      </c>
      <c r="L8104" t="str">
        <v>Total panjang per balok</v>
      </c>
      <c r="M8104" t="str">
        <v>=</v>
      </c>
      <c r="N8104">
        <f>IF(AND(D8101=D8102,D8101=D8103,D8102=D8103,F8101=F8102,F8101=F8103,F8102=F8103),SUM(N8101:N8103),0)</f>
        <v>3.1119999999999997</v>
      </c>
      <c r="O8104" t="str">
        <v>+</v>
      </c>
      <c r="P8104">
        <f>IF(N8104&gt;12,ROUNDDOWN(N8104/12,0),0)</f>
        <v>0</v>
      </c>
      <c r="Q8104" t="str">
        <v>x</v>
      </c>
      <c r="R8104">
        <f>IF(P8104&gt;0,MAX(VLOOKUP(F8104,$D$6:$G$15,3,FALSE),600),0)/1000</f>
        <v>0</v>
      </c>
      <c r="T8104" t="str">
        <v>x</v>
      </c>
      <c r="U8104">
        <f>U8103</f>
        <v>1.041885</v>
      </c>
      <c r="V8104" t="str">
        <v>x</v>
      </c>
      <c r="W8104">
        <f>D8104</f>
        <v>2</v>
      </c>
      <c r="X8104" t="str">
        <v>x</v>
      </c>
      <c r="Y8104">
        <f>Y8103</f>
        <v>1</v>
      </c>
      <c r="Z8104" t="str">
        <v>=</v>
      </c>
      <c r="AA8104">
        <f>(N8104+P8104*R8104/1000)*U8104*W8104*Y8104</f>
        <v>6.484692239999999</v>
      </c>
    </row>
    <row r="8106">
      <c r="A8106" t="str">
        <f>A8094</f>
        <v>Lantai Attic</v>
      </c>
      <c r="B8106">
        <f>B8094</f>
        <v>6</v>
      </c>
      <c r="C8106" t="str">
        <v>Tul Peminggang</v>
      </c>
      <c r="D8106">
        <f>VLOOKUP(D8094,'Detail Balok'!$C$10:$AU$110,13,FALSE)</f>
        <v>2</v>
      </c>
      <c r="E8106" t="str">
        <v>D</v>
      </c>
      <c r="F8106">
        <f>VLOOKUP(D8094,'Detail Balok'!$C$10:$AU$110,15,FALSE)</f>
        <v>8</v>
      </c>
      <c r="J8106">
        <f>+D8096/1000</f>
        <v>2.8</v>
      </c>
      <c r="K8106" t="str">
        <v>+</v>
      </c>
      <c r="L8106">
        <f>2*$F$16*F8106/1000</f>
        <v>0.192</v>
      </c>
      <c r="M8106" t="str">
        <v>=</v>
      </c>
      <c r="N8106">
        <f>J8106+L8106</f>
        <v>2.992</v>
      </c>
      <c r="O8106" t="str">
        <v>+</v>
      </c>
      <c r="P8106">
        <f>IF(N8106&gt;12,ROUNDDOWN(N8106/12,0),0)</f>
        <v>0</v>
      </c>
      <c r="Q8106" t="str">
        <v>x</v>
      </c>
      <c r="R8106">
        <f>IF(P8106&gt;0,MAX(VLOOKUP(F8106,$D$6:$G$15,3,FALSE),600),0)/1000</f>
        <v>0</v>
      </c>
      <c r="T8106" t="str">
        <v>x</v>
      </c>
      <c r="U8106">
        <f>0.006165*F8106^2</f>
        <v>0.39456</v>
      </c>
      <c r="V8106" t="str">
        <v>x</v>
      </c>
      <c r="W8106">
        <f>+D8106</f>
        <v>2</v>
      </c>
      <c r="X8106" t="str">
        <v>x</v>
      </c>
      <c r="Y8106">
        <f>D8100</f>
        <v>1</v>
      </c>
      <c r="Z8106" t="str">
        <v>=</v>
      </c>
      <c r="AA8106">
        <f>(N8106+P8106*R8106/1000)*U8106*W8106*Y8106</f>
        <v>2.3610470400000003</v>
      </c>
    </row>
    <row r="8109">
      <c r="A8109" t="str">
        <f>A8094</f>
        <v>Lantai Attic</v>
      </c>
      <c r="B8109">
        <f>B8094</f>
        <v>6</v>
      </c>
      <c r="C8109" t="str">
        <v>Tul Bawah Tumpuan</v>
      </c>
      <c r="D8109">
        <f>VLOOKUP(D8094,'Detail Balok'!$C$10:$AU$110,22,FALSE)</f>
        <v>2</v>
      </c>
      <c r="E8109" t="str">
        <v>D</v>
      </c>
      <c r="F8109">
        <f>VLOOKUP(D8094,'Detail Balok'!$C$10:$AU$110,24,FALSE)</f>
        <v>13</v>
      </c>
      <c r="I8109" t="str">
        <v>(</v>
      </c>
      <c r="J8109">
        <f>+J8101</f>
        <v>0.7</v>
      </c>
      <c r="K8109" t="str">
        <v>+</v>
      </c>
      <c r="L8109">
        <f>MAX(VLOOKUP(F8109,N$6:P$15,3,FALSE)/1000,2/3*D8099/1000)+F$16*F8109/1000</f>
        <v>0.156</v>
      </c>
      <c r="M8109" t="str">
        <v>=</v>
      </c>
      <c r="N8109">
        <f>J8109+L8109</f>
        <v>0.856</v>
      </c>
      <c r="O8109" t="str">
        <v>+</v>
      </c>
      <c r="P8109">
        <f>D8109-D8110</f>
        <v>0</v>
      </c>
      <c r="Q8109" t="str">
        <v>x</v>
      </c>
      <c r="R8109">
        <f>IF(P8109&gt;0,$F$18*F8109/1000,0)</f>
        <v>0</v>
      </c>
      <c r="S8109" t="str">
        <v>)</v>
      </c>
      <c r="T8109" t="str">
        <v>x</v>
      </c>
      <c r="U8109">
        <f>0.006165*F8109^2</f>
        <v>1.041885</v>
      </c>
      <c r="X8109" t="str">
        <v>x</v>
      </c>
      <c r="Y8109">
        <f>D8100</f>
        <v>1</v>
      </c>
      <c r="Z8109" t="str">
        <v>=</v>
      </c>
      <c r="AA8109">
        <f>IF(AA8112=0,(D8109*N8109+P8109*R8109)*U8109*Y8109,0)</f>
        <v>0</v>
      </c>
    </row>
    <row r="8110">
      <c r="A8110" t="str">
        <f>A8094</f>
        <v>Lantai Attic</v>
      </c>
      <c r="B8110">
        <f>B8094</f>
        <v>6</v>
      </c>
      <c r="C8110" t="str">
        <v>Tul Bawah Lapangan</v>
      </c>
      <c r="D8110">
        <f>VLOOKUP(D8094,'Detail Balok'!$C$10:$AU$110,25,FALSE)</f>
        <v>2</v>
      </c>
      <c r="E8110" t="str">
        <v>D</v>
      </c>
      <c r="F8110">
        <f>VLOOKUP(D8094,'Detail Balok'!$C$10:$AU$110,27,FALSE)</f>
        <v>13</v>
      </c>
      <c r="I8110" t="str">
        <v>(</v>
      </c>
      <c r="J8110">
        <f>+J8102</f>
        <v>1.4</v>
      </c>
      <c r="K8110" t="str">
        <v>+</v>
      </c>
      <c r="M8110" t="str">
        <v>=</v>
      </c>
      <c r="N8110">
        <f>J8110+L8110</f>
        <v>1.4</v>
      </c>
      <c r="O8110" t="str">
        <v>+</v>
      </c>
      <c r="P8110">
        <f>MAX(D8110-D8109,D8110-D8111)</f>
        <v>0</v>
      </c>
      <c r="Q8110" t="str">
        <v>x</v>
      </c>
      <c r="R8110">
        <f>IF(P8110&gt;0,2*(1-2*$F$19-1/2)*D8097/1000,0)</f>
        <v>0</v>
      </c>
      <c r="S8110" t="str">
        <v>)</v>
      </c>
      <c r="T8110" t="str">
        <v>x</v>
      </c>
      <c r="U8110">
        <f>0.006165*F8110^2</f>
        <v>1.041885</v>
      </c>
      <c r="X8110" t="str">
        <v>x</v>
      </c>
      <c r="Y8110">
        <f>D8100</f>
        <v>1</v>
      </c>
      <c r="Z8110" t="str">
        <v>=</v>
      </c>
      <c r="AA8110">
        <f>IF(AA8112=0,(D8110*N8110+P8110*R8110)*U8110*Y8110,0)</f>
        <v>0</v>
      </c>
    </row>
    <row r="8111">
      <c r="A8111" t="str">
        <f>A8094</f>
        <v>Lantai Attic</v>
      </c>
      <c r="B8111">
        <f>B8094</f>
        <v>6</v>
      </c>
      <c r="C8111" t="str">
        <v>Tul Bawah Tumpuan</v>
      </c>
      <c r="D8111">
        <f>VLOOKUP(D8094,'Detail Balok'!$C$10:$AU$110,28,FALSE)</f>
        <v>2</v>
      </c>
      <c r="E8111" t="str">
        <v>D</v>
      </c>
      <c r="F8111">
        <f>VLOOKUP(D8094,'Detail Balok'!$C$10:$AU$110,30,FALSE)</f>
        <v>13</v>
      </c>
      <c r="I8111" t="str">
        <v>(</v>
      </c>
      <c r="J8111">
        <f>+J8103</f>
        <v>0.7</v>
      </c>
      <c r="K8111" t="str">
        <v>+</v>
      </c>
      <c r="L8111">
        <f>MAX(VLOOKUP(F8111,N$6:P$15,3,FALSE)/1000,2/3*D8099/1000)+F$16*F8111/1000</f>
        <v>0.156</v>
      </c>
      <c r="M8111" t="str">
        <v>=</v>
      </c>
      <c r="N8111">
        <f>J8111+L8111</f>
        <v>0.856</v>
      </c>
      <c r="O8111" t="str">
        <v>+</v>
      </c>
      <c r="P8111">
        <f>D8111-D8110</f>
        <v>0</v>
      </c>
      <c r="Q8111" t="str">
        <v>x</v>
      </c>
      <c r="R8111">
        <f>IF(P8111&gt;0,$F$18*F8111/1000,0)</f>
        <v>0</v>
      </c>
      <c r="S8111" t="str">
        <v>)</v>
      </c>
      <c r="T8111" t="str">
        <v>x</v>
      </c>
      <c r="U8111">
        <f>0.006165*F8111^2</f>
        <v>1.041885</v>
      </c>
      <c r="X8111" t="str">
        <v>x</v>
      </c>
      <c r="Y8111">
        <f>D8100</f>
        <v>1</v>
      </c>
      <c r="Z8111" t="str">
        <v>=</v>
      </c>
      <c r="AA8111">
        <f>IF(AA8112=0,(D8111*N8111+P8111*R8111)*U8111*Y8111,0)</f>
        <v>0</v>
      </c>
    </row>
    <row r="8112">
      <c r="A8112" t="str">
        <f>A8094</f>
        <v>Lantai Attic</v>
      </c>
      <c r="B8112">
        <f>B8094</f>
        <v>6</v>
      </c>
      <c r="D8112">
        <f>IF(AND(D8109=D8110,D8110=D8111,D8109=D8111),D8109,0)</f>
        <v>2</v>
      </c>
      <c r="E8112" t="str">
        <v>D</v>
      </c>
      <c r="F8112">
        <f>IF(AND(F8109=F8110,F8109=F8111,F8110=F8111),F8109,0)</f>
        <v>13</v>
      </c>
      <c r="L8112" t="str">
        <v>Total panjang per balok</v>
      </c>
      <c r="M8112" t="str">
        <v>=</v>
      </c>
      <c r="N8112">
        <f>IF(AND(D8109=D8110,D8109=D8111,D8110=D8111,F8109=F8110,F8109=F8111,F8110=F8111),SUM(N8109:N8111),0)</f>
        <v>3.1119999999999997</v>
      </c>
      <c r="O8112" t="str">
        <v>+</v>
      </c>
      <c r="P8112">
        <f>IF(N8112&gt;12,ROUNDDOWN(N8112/12,0),0)</f>
        <v>0</v>
      </c>
      <c r="Q8112" t="str">
        <v>x</v>
      </c>
      <c r="R8112">
        <f>IF(P8112&gt;0,MAX(VLOOKUP(F8112,$D$6:$G$15,3,FALSE),600),0)/1000</f>
        <v>0</v>
      </c>
      <c r="T8112" t="str">
        <v>x</v>
      </c>
      <c r="U8112">
        <f>U8111</f>
        <v>1.041885</v>
      </c>
      <c r="V8112" t="str">
        <v>x</v>
      </c>
      <c r="W8112">
        <f>D8112</f>
        <v>2</v>
      </c>
      <c r="X8112" t="str">
        <v>x</v>
      </c>
      <c r="Y8112">
        <f>Y8111</f>
        <v>1</v>
      </c>
      <c r="Z8112" t="str">
        <v>=</v>
      </c>
      <c r="AA8112">
        <f>(N8112+P8112*R8112/1000)*U8112*W8112*Y8112</f>
        <v>6.484692239999999</v>
      </c>
    </row>
    <row r="8114">
      <c r="A8114" t="str">
        <f>A8094</f>
        <v>Lantai Attic</v>
      </c>
      <c r="B8114">
        <f>B8094</f>
        <v>6</v>
      </c>
      <c r="C8114" t="str">
        <v>Sengkang Tumpuan</v>
      </c>
      <c r="D8114">
        <f>VLOOKUP(D8094,'Detail Balok'!$C$10:$AU$110,31,FALSE)</f>
        <v>0</v>
      </c>
      <c r="E8114" t="str">
        <v>D</v>
      </c>
      <c r="F8114">
        <f>VLOOKUP(D8094,'Detail Balok'!$C$10:$AU$110,33,FALSE)</f>
        <v>8</v>
      </c>
      <c r="G8114" t="str">
        <v>-</v>
      </c>
      <c r="H8114">
        <f>VLOOKUP(D8094,'Detail Balok'!$C$10:$AU$110,35,FALSE)</f>
        <v>75</v>
      </c>
      <c r="J8114">
        <f>(IF(D8114=0,(2*(D8095+G8095))-(F$5*8),IF(D8114=3,(2*(D8095+G8095))-(F$5*8)+(G8095-2*F$5),IF(D8114=4,(2*(D8095+G8095))-(F$5*8)+2*(G8095-2*F$5)))))/1000</f>
        <v>0.92</v>
      </c>
      <c r="K8114" t="str">
        <v>+</v>
      </c>
      <c r="L8114">
        <f>IF(D8114=0,2*MAX(6*F8114,75),(D8114-1)*2*MAX(6*F8114,75))/1000</f>
        <v>0.15</v>
      </c>
      <c r="M8114" t="str">
        <v>=</v>
      </c>
      <c r="N8114">
        <f>J8114+L8114</f>
        <v>1.07</v>
      </c>
      <c r="T8114" t="str">
        <v>x</v>
      </c>
      <c r="U8114">
        <f>0.006165*F8114^2</f>
        <v>0.39456</v>
      </c>
      <c r="V8114" t="str">
        <v>x</v>
      </c>
      <c r="W8114">
        <f>IF(D8097&gt;4*G8095,ROUND(MAX(D8097/4,2*G8095)/H8114,0)+1,ROUND(D8097/H8114,0)+1)</f>
        <v>13</v>
      </c>
      <c r="X8114" t="str">
        <v>x</v>
      </c>
      <c r="Y8114">
        <f>D8100</f>
        <v>1</v>
      </c>
      <c r="Z8114" t="str">
        <v>=</v>
      </c>
      <c r="AA8114">
        <f>N8114*U8114*W8114*Y8114</f>
        <v>5.4883296</v>
      </c>
    </row>
    <row r="8115">
      <c r="A8115" t="str">
        <f>A8094</f>
        <v>Lantai Attic</v>
      </c>
      <c r="B8115">
        <f>B8094</f>
        <v>6</v>
      </c>
      <c r="C8115" t="str">
        <v>Sengkang Lapangan</v>
      </c>
      <c r="D8115">
        <f>VLOOKUP(D8094,'Detail Balok'!$C$10:$AU$110,36,FALSE)</f>
        <v>0</v>
      </c>
      <c r="E8115" t="str">
        <v>D</v>
      </c>
      <c r="F8115">
        <f>VLOOKUP(D8094,'Detail Balok'!$C$10:$AU$110,38,FALSE)</f>
        <v>8</v>
      </c>
      <c r="G8115" t="str">
        <v>-</v>
      </c>
      <c r="H8115">
        <f>VLOOKUP(D8094,'Detail Balok'!$C$10:$AU$110,40,FALSE)</f>
        <v>75</v>
      </c>
      <c r="J8115">
        <f>(IF(D8115=0,(2*(D8095+G8095))-(F$5*8),IF(D8115=3,(2*(D8095+G8095))-(F$5*8)+(G8095-2*F$5),IF(D8115=4,(2*(D8095+G8095))-(F$5*8)+2*(G8095-2*F$5)))))/1000</f>
        <v>0.92</v>
      </c>
      <c r="K8115" t="str">
        <v>+</v>
      </c>
      <c r="L8115">
        <f>IF(D8115=0,2*MAX(6*F8115,75),(D8115-1)*2*MAX(6*F8115,75))/1000</f>
        <v>0.15</v>
      </c>
      <c r="M8115" t="str">
        <v>=</v>
      </c>
      <c r="N8115">
        <f>J8115+L8115</f>
        <v>1.07</v>
      </c>
      <c r="T8115" t="str">
        <v>x</v>
      </c>
      <c r="U8115">
        <f>0.006165*F8115^2</f>
        <v>0.39456</v>
      </c>
      <c r="V8115" t="str">
        <v>x</v>
      </c>
      <c r="W8115">
        <f>IF(D8097-MAX(D8097/4,2*G8095)*2&gt;0,ROUND((D8097-MAX(D8097/4,2*G8095)*2)/H8115,0),0)</f>
        <v>13</v>
      </c>
      <c r="X8115" t="str">
        <v>x</v>
      </c>
      <c r="Y8115">
        <f>D8100</f>
        <v>1</v>
      </c>
      <c r="Z8115" t="str">
        <v>=</v>
      </c>
      <c r="AA8115">
        <f>N8115*U8115*W8115*Y8115</f>
        <v>5.4883296</v>
      </c>
    </row>
    <row r="8116">
      <c r="A8116" t="str">
        <f>A8094</f>
        <v>Lantai Attic</v>
      </c>
      <c r="B8116">
        <f>B8094</f>
        <v>6</v>
      </c>
      <c r="C8116" t="str">
        <v>Sengkang Tumpuan</v>
      </c>
      <c r="D8116">
        <f>VLOOKUP(D8094,'Detail Balok'!$C$10:$AU$110,41,FALSE)</f>
        <v>0</v>
      </c>
      <c r="E8116" t="str">
        <v>D</v>
      </c>
      <c r="F8116">
        <f>VLOOKUP(D8094,'Detail Balok'!$C$10:$AU$110,43,FALSE)</f>
        <v>8</v>
      </c>
      <c r="G8116" t="str">
        <v>-</v>
      </c>
      <c r="H8116">
        <f>VLOOKUP(D8094,'Detail Balok'!$C$10:$AU$110,45,FALSE)</f>
        <v>75</v>
      </c>
      <c r="J8116">
        <f>(IF(D8116=0,(2*(D8095+G8095))-(F$5*8),IF(D8116=3,(2*(D8095+G8095))-(F$5*8)+(G8095-2*F$5),IF(D8116=4,(2*(D8095+G8095))-(F$5*8)+2*(G8095-2*F$5)))))/1000</f>
        <v>0.92</v>
      </c>
      <c r="K8116" t="str">
        <v>+</v>
      </c>
      <c r="L8116">
        <f>IF(D8116=0,2*MAX(6*F8116,75),(D8116-1)*2*MAX(6*F8116,75))/1000</f>
        <v>0.15</v>
      </c>
      <c r="M8116" t="str">
        <v>=</v>
      </c>
      <c r="N8116">
        <f>J8116+L8116</f>
        <v>1.07</v>
      </c>
      <c r="T8116" t="str">
        <v>x</v>
      </c>
      <c r="U8116">
        <f>0.006165*F8116^2</f>
        <v>0.39456</v>
      </c>
      <c r="V8116" t="str">
        <v>x</v>
      </c>
      <c r="W8116">
        <f>IF(D8097&gt;4*G8095,ROUND(MAX(D8097/4,2*G8095)/H8116,0)+1,0)</f>
        <v>13</v>
      </c>
      <c r="X8116" t="str">
        <v>x</v>
      </c>
      <c r="Y8116">
        <f>D8100</f>
        <v>1</v>
      </c>
      <c r="Z8116" t="str">
        <v>=</v>
      </c>
      <c r="AA8116">
        <f>N8116*U8116*W8116*Y8116</f>
        <v>5.4883296</v>
      </c>
    </row>
    <row r="8118">
      <c r="A8118" t="str">
        <f>A8094</f>
        <v>Lantai Attic</v>
      </c>
      <c r="B8118">
        <f>B8094</f>
        <v>6</v>
      </c>
      <c r="C8118" t="str">
        <v>Kait Horizontal Tump.</v>
      </c>
      <c r="D8118">
        <f>VLOOKUP(D8094,'Detail Balok'!$C$10:$BJ$110,46,FALSE)</f>
        <v>0</v>
      </c>
      <c r="E8118" t="str">
        <v>D</v>
      </c>
      <c r="F8118">
        <f>VLOOKUP(D8094,'Detail Balok'!$C$10:$BJ$110,48,FALSE)</f>
        <v>0</v>
      </c>
      <c r="G8118" t="str">
        <v>-</v>
      </c>
      <c r="H8118">
        <f>VLOOKUP(D8094,'Detail Balok'!$C$10:$BJ$110,50,FALSE)</f>
        <v>100</v>
      </c>
      <c r="J8118">
        <f>(D8095-2*F$5)/1000</f>
        <v>0.09</v>
      </c>
      <c r="K8118" t="str">
        <v>+</v>
      </c>
      <c r="L8118">
        <f>IF(D8118=0,2*MAX(6*F8118,75),(D8118-1)*2*MAX(6*F8118,75))/1000</f>
        <v>0.15</v>
      </c>
      <c r="M8118" t="str">
        <v>=</v>
      </c>
      <c r="N8118">
        <f>J8118+L8118</f>
        <v>0.24</v>
      </c>
      <c r="T8118" t="str">
        <v>x</v>
      </c>
      <c r="U8118">
        <f>0.006165*F8118^2</f>
        <v>0</v>
      </c>
      <c r="V8118" t="str">
        <v>x</v>
      </c>
      <c r="W8118">
        <f>W8114</f>
        <v>13</v>
      </c>
      <c r="X8118" t="str">
        <v>x</v>
      </c>
      <c r="Y8118">
        <f>D8104</f>
        <v>2</v>
      </c>
      <c r="Z8118" t="str">
        <v>=</v>
      </c>
      <c r="AA8118">
        <f>N8118*U8118*W8118*Y8118</f>
        <v>0</v>
      </c>
    </row>
    <row r="8119">
      <c r="A8119" t="str">
        <f>A8094</f>
        <v>Lantai Attic</v>
      </c>
      <c r="B8119">
        <f>B8094</f>
        <v>6</v>
      </c>
      <c r="C8119" t="str">
        <v>Kait Horizontal Lap.</v>
      </c>
      <c r="D8119">
        <f>VLOOKUP(D8094,'Detail Balok'!$C$10:$BJ$110,51,FALSE)</f>
        <v>0</v>
      </c>
      <c r="E8119" t="str">
        <v>D</v>
      </c>
      <c r="F8119">
        <f>VLOOKUP(D8094,'Detail Balok'!$C$10:$BJ$110,53,FALSE)</f>
        <v>0</v>
      </c>
      <c r="G8119" t="str">
        <v>-</v>
      </c>
      <c r="H8119">
        <f>VLOOKUP(D8094,'Detail Balok'!$C$10:$BJ$110,55,FALSE)</f>
        <v>100</v>
      </c>
      <c r="J8119">
        <f>(D8095-2*F$5)/1000</f>
        <v>0.09</v>
      </c>
      <c r="K8119" t="str">
        <v>+</v>
      </c>
      <c r="L8119">
        <f>IF(D8119=0,2*MAX(6*F8119,75),(D8119-1)*2*MAX(6*F8119,75))/1000</f>
        <v>0.15</v>
      </c>
      <c r="M8119" t="str">
        <v>=</v>
      </c>
      <c r="N8119">
        <f>J8119+L8119</f>
        <v>0.24</v>
      </c>
      <c r="T8119" t="str">
        <v>x</v>
      </c>
      <c r="U8119">
        <f>0.006165*F8119^2</f>
        <v>0</v>
      </c>
      <c r="V8119" t="str">
        <v>x</v>
      </c>
      <c r="W8119">
        <f>W8115</f>
        <v>13</v>
      </c>
      <c r="X8119" t="str">
        <v>x</v>
      </c>
      <c r="Y8119">
        <f>D8104</f>
        <v>2</v>
      </c>
      <c r="Z8119" t="str">
        <v>=</v>
      </c>
      <c r="AA8119">
        <f>N8119*U8119*W8119*Y8119</f>
        <v>0</v>
      </c>
    </row>
    <row r="8120">
      <c r="A8120" t="str">
        <f>A8094</f>
        <v>Lantai Attic</v>
      </c>
      <c r="B8120">
        <f>B8094</f>
        <v>6</v>
      </c>
      <c r="C8120" t="str">
        <v>Kait Horizontal Tump.</v>
      </c>
      <c r="D8120">
        <f>VLOOKUP(D8094,'Detail Balok'!$C$10:$BJ$110,56,FALSE)</f>
        <v>0</v>
      </c>
      <c r="E8120" t="str">
        <v>D</v>
      </c>
      <c r="F8120">
        <f>VLOOKUP(D8094,'Detail Balok'!$C$10:$BJ$110,58,FALSE)</f>
        <v>0</v>
      </c>
      <c r="G8120" t="str">
        <v>-</v>
      </c>
      <c r="H8120">
        <f>VLOOKUP(D8094,'Detail Balok'!$C$10:$BJ$110,60,FALSE)</f>
        <v>100</v>
      </c>
      <c r="J8120">
        <f>(D8095-2*F$5)/1000</f>
        <v>0.09</v>
      </c>
      <c r="K8120" t="str">
        <v>+</v>
      </c>
      <c r="L8120">
        <f>IF(D8120=0,2*MAX(6*F8120,75),(D8120-1)*2*MAX(6*F8120,75))/1000</f>
        <v>0.15</v>
      </c>
      <c r="M8120" t="str">
        <v>=</v>
      </c>
      <c r="N8120">
        <f>J8120+L8120</f>
        <v>0.24</v>
      </c>
      <c r="T8120" t="str">
        <v>x</v>
      </c>
      <c r="U8120">
        <f>0.006165*F8120^2</f>
        <v>0</v>
      </c>
      <c r="V8120" t="str">
        <v>x</v>
      </c>
      <c r="W8120">
        <f>W8116</f>
        <v>13</v>
      </c>
      <c r="X8120" t="str">
        <v>x</v>
      </c>
      <c r="Y8120">
        <f>D8104</f>
        <v>2</v>
      </c>
      <c r="Z8120" t="str">
        <v>=</v>
      </c>
      <c r="AA8120">
        <f>N8120*U8120*W8120*Y8120</f>
        <v>0</v>
      </c>
    </row>
    <row r="8124">
      <c r="A8124" t="str">
        <f>A8094</f>
        <v>Lantai Attic</v>
      </c>
      <c r="B8124">
        <f>B8094+1</f>
        <v>7</v>
      </c>
      <c r="C8124" t="str">
        <f>CONCATENATE(A8124," no. ",B8124)</f>
        <v>Lantai Attic no. 7</v>
      </c>
      <c r="D8124" t="str">
        <f>VLOOKUP(C8124,'Data Panjang Balok'!$C$9:$N$424,2,FALSE)</f>
        <v>B25-2</v>
      </c>
    </row>
    <row r="8125">
      <c r="C8125" t="str">
        <v>Dimensi</v>
      </c>
      <c r="D8125">
        <f>VLOOKUP(D8124,'Detail Balok'!$C$10:$AU$110,2,FALSE)</f>
        <v>200</v>
      </c>
      <c r="F8125" t="str">
        <v>x</v>
      </c>
      <c r="G8125">
        <f>VLOOKUP(D8124,'Detail Balok'!$C$10:$AU$110,3,FALSE)</f>
        <v>500</v>
      </c>
    </row>
    <row r="8126">
      <c r="C8126" t="str">
        <v>Panjang as ke as</v>
      </c>
      <c r="D8126">
        <f>VLOOKUP(C8124,'Data Panjang Balok'!$C$9:$N$424,4,FALSE)</f>
        <v>5485</v>
      </c>
    </row>
    <row r="8127">
      <c r="C8127" t="str">
        <v>Panjang netto</v>
      </c>
      <c r="D8127">
        <f>VLOOKUP(C8124,'Data Panjang Balok'!$C$9:$N$424,7,FALSE)</f>
        <v>5485</v>
      </c>
    </row>
    <row r="8128">
      <c r="C8128" t="str">
        <v>Kolom / balok kiri</v>
      </c>
      <c r="D8128">
        <f>VLOOKUP(C8124,'Data Panjang Balok'!$C$9:$N$424,9,FALSE)</f>
        <v>0</v>
      </c>
    </row>
    <row r="8129">
      <c r="C8129" t="str">
        <v>Kolom / balok kanan</v>
      </c>
      <c r="D8129">
        <f>VLOOKUP(C8124,'Data Panjang Balok'!$C$9:$N$424,10,FALSE)</f>
        <v>0</v>
      </c>
    </row>
    <row r="8130">
      <c r="C8130" t="str">
        <v>Jumlah</v>
      </c>
      <c r="D8130">
        <f>VLOOKUP(C8124,'Data Panjang Balok'!$C$9:$N$424,3,FALSE)</f>
        <v>1</v>
      </c>
    </row>
    <row r="8131">
      <c r="A8131" t="str">
        <f>A8124</f>
        <v>Lantai Attic</v>
      </c>
      <c r="B8131">
        <f>B8124</f>
        <v>7</v>
      </c>
      <c r="C8131" t="str">
        <v>Tul Atas Tumpuan</v>
      </c>
      <c r="D8131">
        <f>VLOOKUP(D8124,'Detail Balok'!$C$10:$AU$110,4,FALSE)</f>
        <v>3</v>
      </c>
      <c r="E8131" t="str">
        <v>D</v>
      </c>
      <c r="F8131">
        <f>VLOOKUP(D8124,'Detail Balok'!$C$10:$AU$110,6,FALSE)</f>
        <v>16</v>
      </c>
      <c r="I8131" t="str">
        <v>(</v>
      </c>
      <c r="J8131">
        <f>+D8126/4/1000</f>
        <v>1.37125</v>
      </c>
      <c r="K8131" t="str">
        <v>+</v>
      </c>
      <c r="L8131">
        <f>MAX(VLOOKUP(F8131,N$6:P$15,3,FALSE)/1000,2/3*D8128/1000)+F$16*F8131/1000</f>
        <v>0.192</v>
      </c>
      <c r="M8131" t="str">
        <v>=</v>
      </c>
      <c r="N8131">
        <f>J8131+L8131</f>
        <v>1.56325</v>
      </c>
      <c r="O8131" t="str">
        <v>+</v>
      </c>
      <c r="P8131">
        <f>D8131-D8132</f>
        <v>0</v>
      </c>
      <c r="Q8131" t="str">
        <v>x</v>
      </c>
      <c r="R8131">
        <f>IF(P8131&gt;0,$F$18*F8131/1000,0)</f>
        <v>0</v>
      </c>
      <c r="S8131" t="str">
        <v>)</v>
      </c>
      <c r="T8131" t="str">
        <v>x</v>
      </c>
      <c r="U8131">
        <f>0.006165*F8131^2</f>
        <v>1.57824</v>
      </c>
      <c r="X8131" t="str">
        <v>x</v>
      </c>
      <c r="Y8131">
        <f>D8130</f>
        <v>1</v>
      </c>
      <c r="Z8131" t="str">
        <v>=</v>
      </c>
      <c r="AA8131">
        <f>IF(AA8134=0,(D8131*N8131+P8131*R8131)*U8131*Y8131,0)</f>
        <v>0</v>
      </c>
    </row>
    <row r="8132">
      <c r="A8132" t="str">
        <f>A8124</f>
        <v>Lantai Attic</v>
      </c>
      <c r="B8132">
        <f>B8124</f>
        <v>7</v>
      </c>
      <c r="C8132" t="str">
        <v>Tul Atas Lapangan</v>
      </c>
      <c r="D8132">
        <f>VLOOKUP(D8124,'Detail Balok'!$C$10:$AU$110,7,FALSE)</f>
        <v>3</v>
      </c>
      <c r="E8132" t="str">
        <v>D</v>
      </c>
      <c r="F8132">
        <f>VLOOKUP(D8124,'Detail Balok'!$C$10:$AU$110,9,FALSE)</f>
        <v>16</v>
      </c>
      <c r="I8132" t="str">
        <v>(</v>
      </c>
      <c r="J8132">
        <f>+D8126/2/1000</f>
        <v>2.7425</v>
      </c>
      <c r="K8132" t="str">
        <v>+</v>
      </c>
      <c r="M8132" t="str">
        <v>=</v>
      </c>
      <c r="N8132">
        <f>J8132+L8132</f>
        <v>2.7425</v>
      </c>
      <c r="O8132" t="str">
        <v>+</v>
      </c>
      <c r="P8132">
        <f>MAX(D8132-D8131,D8132-D8133)</f>
        <v>0</v>
      </c>
      <c r="Q8132" t="str">
        <v>x</v>
      </c>
      <c r="R8132">
        <f>IF(P8132&gt;0,2*(1-2*$F$19-1/2)*D8127/1000,0)</f>
        <v>0</v>
      </c>
      <c r="S8132" t="str">
        <v>)</v>
      </c>
      <c r="T8132" t="str">
        <v>x</v>
      </c>
      <c r="U8132">
        <f>0.006165*F8132^2</f>
        <v>1.57824</v>
      </c>
      <c r="X8132" t="str">
        <v>x</v>
      </c>
      <c r="Y8132">
        <f>D8130</f>
        <v>1</v>
      </c>
      <c r="Z8132" t="str">
        <v>=</v>
      </c>
      <c r="AA8132">
        <f>IF(AA8134=0,(D8132*N8132+P8132*R8132)*U8132*Y8132,0)</f>
        <v>0</v>
      </c>
    </row>
    <row r="8133">
      <c r="A8133" t="str">
        <f>A8124</f>
        <v>Lantai Attic</v>
      </c>
      <c r="B8133">
        <f>B8124</f>
        <v>7</v>
      </c>
      <c r="C8133" t="str">
        <v>Tul Atas Tumpuan</v>
      </c>
      <c r="D8133">
        <f>VLOOKUP(D8124,'Detail Balok'!$C$10:$AU$110,10,FALSE)</f>
        <v>3</v>
      </c>
      <c r="E8133" t="str">
        <v>D</v>
      </c>
      <c r="F8133">
        <f>VLOOKUP(D8124,'Detail Balok'!$C$10:$AU$110,12,FALSE)</f>
        <v>16</v>
      </c>
      <c r="I8133" t="str">
        <v>(</v>
      </c>
      <c r="J8133">
        <f>+D8126/4/1000</f>
        <v>1.37125</v>
      </c>
      <c r="K8133" t="str">
        <v>+</v>
      </c>
      <c r="L8133">
        <f>MAX(VLOOKUP(F8133,N$6:P$15,3,FALSE)/1000,2/3*D8128/1000)+F$16*F8133/1000</f>
        <v>0.192</v>
      </c>
      <c r="M8133" t="str">
        <v>=</v>
      </c>
      <c r="N8133">
        <f>J8133+L8133</f>
        <v>1.56325</v>
      </c>
      <c r="O8133" t="str">
        <v>+</v>
      </c>
      <c r="P8133">
        <f>D8133-D8132</f>
        <v>0</v>
      </c>
      <c r="Q8133" t="str">
        <v>x</v>
      </c>
      <c r="R8133">
        <f>IF(P8133&gt;0,$F$18*F8133/1000,0)</f>
        <v>0</v>
      </c>
      <c r="S8133" t="str">
        <v>)</v>
      </c>
      <c r="T8133" t="str">
        <v>x</v>
      </c>
      <c r="U8133">
        <f>0.006165*F8133^2</f>
        <v>1.57824</v>
      </c>
      <c r="X8133" t="str">
        <v>x</v>
      </c>
      <c r="Y8133">
        <f>D8130</f>
        <v>1</v>
      </c>
      <c r="Z8133" t="str">
        <v>=</v>
      </c>
      <c r="AA8133">
        <f>IF(AA8134=0,(D8133*N8133+P8133*R8133)*U8133*Y8133,0)</f>
        <v>0</v>
      </c>
    </row>
    <row r="8134">
      <c r="A8134" t="str">
        <f>A8124</f>
        <v>Lantai Attic</v>
      </c>
      <c r="B8134">
        <f>B8124</f>
        <v>7</v>
      </c>
      <c r="D8134">
        <f>IF(AND(D8131=D8132,D8132=D8133,D8131=D8133),D8131,0)</f>
        <v>3</v>
      </c>
      <c r="E8134" t="str">
        <v>D</v>
      </c>
      <c r="F8134">
        <f>IF(AND(F8131=F8132,F8131=F8133,F8132=F8133),F8131,0)</f>
        <v>16</v>
      </c>
      <c r="L8134" t="str">
        <v>Total panjang per balok</v>
      </c>
      <c r="M8134" t="str">
        <v>=</v>
      </c>
      <c r="N8134">
        <f>IF(AND(D8131=D8132,D8131=D8133,D8132=D8133,F8131=F8132,F8131=F8133,F8132=F8133),SUM(N8131:N8133),0)</f>
        <v>5.869</v>
      </c>
      <c r="O8134" t="str">
        <v>+</v>
      </c>
      <c r="P8134">
        <f>IF(N8134&gt;12,ROUNDDOWN(N8134/12,0),0)</f>
        <v>0</v>
      </c>
      <c r="Q8134" t="str">
        <v>x</v>
      </c>
      <c r="R8134">
        <f>IF(P8134&gt;0,MAX(VLOOKUP(F8134,$D$6:$G$15,3,FALSE),600),0)/1000</f>
        <v>0</v>
      </c>
      <c r="T8134" t="str">
        <v>x</v>
      </c>
      <c r="U8134">
        <f>U8133</f>
        <v>1.57824</v>
      </c>
      <c r="V8134" t="str">
        <v>x</v>
      </c>
      <c r="W8134">
        <f>D8134</f>
        <v>3</v>
      </c>
      <c r="X8134" t="str">
        <v>x</v>
      </c>
      <c r="Y8134">
        <f>Y8133</f>
        <v>1</v>
      </c>
      <c r="Z8134" t="str">
        <v>=</v>
      </c>
      <c r="AA8134">
        <f>(N8134+P8134*R8134/1000)*U8134*W8134*Y8134</f>
        <v>27.788071679999998</v>
      </c>
    </row>
    <row r="8136">
      <c r="A8136" t="str">
        <f>A8124</f>
        <v>Lantai Attic</v>
      </c>
      <c r="B8136">
        <f>B8124</f>
        <v>7</v>
      </c>
      <c r="C8136" t="str">
        <v>Tul Peminggang</v>
      </c>
      <c r="D8136">
        <f>VLOOKUP(D8124,'Detail Balok'!$C$10:$AU$110,13,FALSE)</f>
        <v>2</v>
      </c>
      <c r="E8136" t="str">
        <v>D</v>
      </c>
      <c r="F8136">
        <f>VLOOKUP(D8124,'Detail Balok'!$C$10:$AU$110,15,FALSE)</f>
        <v>10</v>
      </c>
      <c r="J8136">
        <f>+D8126/1000</f>
        <v>5.485</v>
      </c>
      <c r="K8136" t="str">
        <v>+</v>
      </c>
      <c r="L8136">
        <f>2*$F$16*F8136/1000</f>
        <v>0.24</v>
      </c>
      <c r="M8136" t="str">
        <v>=</v>
      </c>
      <c r="N8136">
        <f>J8136+L8136</f>
        <v>5.7250000000000005</v>
      </c>
      <c r="O8136" t="str">
        <v>+</v>
      </c>
      <c r="P8136">
        <f>IF(N8136&gt;12,ROUNDDOWN(N8136/12,0),0)</f>
        <v>0</v>
      </c>
      <c r="Q8136" t="str">
        <v>x</v>
      </c>
      <c r="R8136">
        <f>IF(P8136&gt;0,MAX(VLOOKUP(F8136,$D$6:$G$15,3,FALSE),600),0)/1000</f>
        <v>0</v>
      </c>
      <c r="T8136" t="str">
        <v>x</v>
      </c>
      <c r="U8136">
        <f>0.006165*F8136^2</f>
        <v>0.6165</v>
      </c>
      <c r="V8136" t="str">
        <v>x</v>
      </c>
      <c r="W8136">
        <f>+D8136</f>
        <v>2</v>
      </c>
      <c r="X8136" t="str">
        <v>x</v>
      </c>
      <c r="Y8136">
        <f>D8130</f>
        <v>1</v>
      </c>
      <c r="Z8136" t="str">
        <v>=</v>
      </c>
      <c r="AA8136">
        <f>(N8136+P8136*R8136/1000)*U8136*W8136*Y8136</f>
        <v>7.058925000000001</v>
      </c>
    </row>
    <row r="8139">
      <c r="A8139" t="str">
        <f>A8124</f>
        <v>Lantai Attic</v>
      </c>
      <c r="B8139">
        <f>B8124</f>
        <v>7</v>
      </c>
      <c r="C8139" t="str">
        <v>Tul Bawah Tumpuan</v>
      </c>
      <c r="D8139">
        <f>VLOOKUP(D8124,'Detail Balok'!$C$10:$AU$110,22,FALSE)</f>
        <v>3</v>
      </c>
      <c r="E8139" t="str">
        <v>D</v>
      </c>
      <c r="F8139">
        <f>VLOOKUP(D8124,'Detail Balok'!$C$10:$AU$110,24,FALSE)</f>
        <v>16</v>
      </c>
      <c r="I8139" t="str">
        <v>(</v>
      </c>
      <c r="J8139">
        <f>+J8131</f>
        <v>1.37125</v>
      </c>
      <c r="K8139" t="str">
        <v>+</v>
      </c>
      <c r="L8139">
        <f>MAX(VLOOKUP(F8139,N$6:P$15,3,FALSE)/1000,2/3*D8129/1000)+F$16*F8139/1000</f>
        <v>0.192</v>
      </c>
      <c r="M8139" t="str">
        <v>=</v>
      </c>
      <c r="N8139">
        <f>J8139+L8139</f>
        <v>1.56325</v>
      </c>
      <c r="O8139" t="str">
        <v>+</v>
      </c>
      <c r="P8139">
        <f>D8139-D8140</f>
        <v>0</v>
      </c>
      <c r="Q8139" t="str">
        <v>x</v>
      </c>
      <c r="R8139">
        <f>IF(P8139&gt;0,$F$18*F8139/1000,0)</f>
        <v>0</v>
      </c>
      <c r="S8139" t="str">
        <v>)</v>
      </c>
      <c r="T8139" t="str">
        <v>x</v>
      </c>
      <c r="U8139">
        <f>0.006165*F8139^2</f>
        <v>1.57824</v>
      </c>
      <c r="X8139" t="str">
        <v>x</v>
      </c>
      <c r="Y8139">
        <f>D8130</f>
        <v>1</v>
      </c>
      <c r="Z8139" t="str">
        <v>=</v>
      </c>
      <c r="AA8139">
        <f>IF(AA8142=0,(D8139*N8139+P8139*R8139)*U8139*Y8139,0)</f>
        <v>0</v>
      </c>
    </row>
    <row r="8140">
      <c r="A8140" t="str">
        <f>A8124</f>
        <v>Lantai Attic</v>
      </c>
      <c r="B8140">
        <f>B8124</f>
        <v>7</v>
      </c>
      <c r="C8140" t="str">
        <v>Tul Bawah Lapangan</v>
      </c>
      <c r="D8140">
        <f>VLOOKUP(D8124,'Detail Balok'!$C$10:$AU$110,25,FALSE)</f>
        <v>3</v>
      </c>
      <c r="E8140" t="str">
        <v>D</v>
      </c>
      <c r="F8140">
        <f>VLOOKUP(D8124,'Detail Balok'!$C$10:$AU$110,27,FALSE)</f>
        <v>16</v>
      </c>
      <c r="I8140" t="str">
        <v>(</v>
      </c>
      <c r="J8140">
        <f>+J8132</f>
        <v>2.7425</v>
      </c>
      <c r="K8140" t="str">
        <v>+</v>
      </c>
      <c r="M8140" t="str">
        <v>=</v>
      </c>
      <c r="N8140">
        <f>J8140+L8140</f>
        <v>2.7425</v>
      </c>
      <c r="O8140" t="str">
        <v>+</v>
      </c>
      <c r="P8140">
        <f>MAX(D8140-D8139,D8140-D8141)</f>
        <v>0</v>
      </c>
      <c r="Q8140" t="str">
        <v>x</v>
      </c>
      <c r="R8140">
        <f>IF(P8140&gt;0,2*(1-2*$F$19-1/2)*D8127/1000,0)</f>
        <v>0</v>
      </c>
      <c r="S8140" t="str">
        <v>)</v>
      </c>
      <c r="T8140" t="str">
        <v>x</v>
      </c>
      <c r="U8140">
        <f>0.006165*F8140^2</f>
        <v>1.57824</v>
      </c>
      <c r="X8140" t="str">
        <v>x</v>
      </c>
      <c r="Y8140">
        <f>D8130</f>
        <v>1</v>
      </c>
      <c r="Z8140" t="str">
        <v>=</v>
      </c>
      <c r="AA8140">
        <f>IF(AA8142=0,(D8140*N8140+P8140*R8140)*U8140*Y8140,0)</f>
        <v>0</v>
      </c>
    </row>
    <row r="8141">
      <c r="A8141" t="str">
        <f>A8124</f>
        <v>Lantai Attic</v>
      </c>
      <c r="B8141">
        <f>B8124</f>
        <v>7</v>
      </c>
      <c r="C8141" t="str">
        <v>Tul Bawah Tumpuan</v>
      </c>
      <c r="D8141">
        <f>VLOOKUP(D8124,'Detail Balok'!$C$10:$AU$110,28,FALSE)</f>
        <v>3</v>
      </c>
      <c r="E8141" t="str">
        <v>D</v>
      </c>
      <c r="F8141">
        <f>VLOOKUP(D8124,'Detail Balok'!$C$10:$AU$110,30,FALSE)</f>
        <v>16</v>
      </c>
      <c r="I8141" t="str">
        <v>(</v>
      </c>
      <c r="J8141">
        <f>+J8133</f>
        <v>1.37125</v>
      </c>
      <c r="K8141" t="str">
        <v>+</v>
      </c>
      <c r="L8141">
        <f>MAX(VLOOKUP(F8141,N$6:P$15,3,FALSE)/1000,2/3*D8129/1000)+F$16*F8141/1000</f>
        <v>0.192</v>
      </c>
      <c r="M8141" t="str">
        <v>=</v>
      </c>
      <c r="N8141">
        <f>J8141+L8141</f>
        <v>1.56325</v>
      </c>
      <c r="O8141" t="str">
        <v>+</v>
      </c>
      <c r="P8141">
        <f>D8141-D8140</f>
        <v>0</v>
      </c>
      <c r="Q8141" t="str">
        <v>x</v>
      </c>
      <c r="R8141">
        <f>IF(P8141&gt;0,$F$18*F8141/1000,0)</f>
        <v>0</v>
      </c>
      <c r="S8141" t="str">
        <v>)</v>
      </c>
      <c r="T8141" t="str">
        <v>x</v>
      </c>
      <c r="U8141">
        <f>0.006165*F8141^2</f>
        <v>1.57824</v>
      </c>
      <c r="X8141" t="str">
        <v>x</v>
      </c>
      <c r="Y8141">
        <f>D8130</f>
        <v>1</v>
      </c>
      <c r="Z8141" t="str">
        <v>=</v>
      </c>
      <c r="AA8141">
        <f>IF(AA8142=0,(D8141*N8141+P8141*R8141)*U8141*Y8141,0)</f>
        <v>0</v>
      </c>
    </row>
    <row r="8142">
      <c r="A8142" t="str">
        <f>A8124</f>
        <v>Lantai Attic</v>
      </c>
      <c r="B8142">
        <f>B8124</f>
        <v>7</v>
      </c>
      <c r="D8142">
        <f>IF(AND(D8139=D8140,D8140=D8141,D8139=D8141),D8139,0)</f>
        <v>3</v>
      </c>
      <c r="E8142" t="str">
        <v>D</v>
      </c>
      <c r="F8142">
        <f>IF(AND(F8139=F8140,F8139=F8141,F8140=F8141),F8139,0)</f>
        <v>16</v>
      </c>
      <c r="L8142" t="str">
        <v>Total panjang per balok</v>
      </c>
      <c r="M8142" t="str">
        <v>=</v>
      </c>
      <c r="N8142">
        <f>IF(AND(D8139=D8140,D8139=D8141,D8140=D8141,F8139=F8140,F8139=F8141,F8140=F8141),SUM(N8139:N8141),0)</f>
        <v>5.869</v>
      </c>
      <c r="O8142" t="str">
        <v>+</v>
      </c>
      <c r="P8142">
        <f>IF(N8142&gt;12,ROUNDDOWN(N8142/12,0),0)</f>
        <v>0</v>
      </c>
      <c r="Q8142" t="str">
        <v>x</v>
      </c>
      <c r="R8142">
        <f>IF(P8142&gt;0,MAX(VLOOKUP(F8142,$D$6:$G$15,3,FALSE),600),0)/1000</f>
        <v>0</v>
      </c>
      <c r="T8142" t="str">
        <v>x</v>
      </c>
      <c r="U8142">
        <f>U8141</f>
        <v>1.57824</v>
      </c>
      <c r="V8142" t="str">
        <v>x</v>
      </c>
      <c r="W8142">
        <f>D8142</f>
        <v>3</v>
      </c>
      <c r="X8142" t="str">
        <v>x</v>
      </c>
      <c r="Y8142">
        <f>Y8141</f>
        <v>1</v>
      </c>
      <c r="Z8142" t="str">
        <v>=</v>
      </c>
      <c r="AA8142">
        <f>(N8142+P8142*R8142/1000)*U8142*W8142*Y8142</f>
        <v>27.788071679999998</v>
      </c>
    </row>
    <row r="8144">
      <c r="A8144" t="str">
        <f>A8124</f>
        <v>Lantai Attic</v>
      </c>
      <c r="B8144">
        <f>B8124</f>
        <v>7</v>
      </c>
      <c r="C8144" t="str">
        <v>Sengkang Tumpuan</v>
      </c>
      <c r="D8144">
        <f>VLOOKUP(D8124,'Detail Balok'!$C$10:$AU$110,31,FALSE)</f>
        <v>0</v>
      </c>
      <c r="E8144" t="str">
        <v>D</v>
      </c>
      <c r="F8144">
        <f>VLOOKUP(D8124,'Detail Balok'!$C$10:$AU$110,33,FALSE)</f>
        <v>10</v>
      </c>
      <c r="G8144" t="str">
        <v>-</v>
      </c>
      <c r="H8144">
        <f>VLOOKUP(D8124,'Detail Balok'!$C$10:$AU$110,35,FALSE)</f>
        <v>75</v>
      </c>
      <c r="J8144">
        <f>(IF(D8144=0,(2*(D8125+G8125))-(F$5*8),IF(D8144=3,(2*(D8125+G8125))-(F$5*8)+(G8125-2*F$5),IF(D8144=4,(2*(D8125+G8125))-(F$5*8)+2*(G8125-2*F$5)))))/1000</f>
        <v>1.08</v>
      </c>
      <c r="K8144" t="str">
        <v>+</v>
      </c>
      <c r="L8144">
        <f>IF(D8144=0,2*MAX(6*F8144,75),(D8144-1)*2*MAX(6*F8144,75))/1000</f>
        <v>0.15</v>
      </c>
      <c r="M8144" t="str">
        <v>=</v>
      </c>
      <c r="N8144">
        <f>J8144+L8144</f>
        <v>1.23</v>
      </c>
      <c r="T8144" t="str">
        <v>x</v>
      </c>
      <c r="U8144">
        <f>0.006165*F8144^2</f>
        <v>0.6165</v>
      </c>
      <c r="V8144" t="str">
        <v>x</v>
      </c>
      <c r="W8144">
        <f>IF(D8127&gt;4*G8125,ROUND(MAX(D8127/4,2*G8125)/H8144,0)+1,ROUND(D8127/H8144,0)+1)</f>
        <v>19</v>
      </c>
      <c r="X8144" t="str">
        <v>x</v>
      </c>
      <c r="Y8144">
        <f>D8130</f>
        <v>1</v>
      </c>
      <c r="Z8144" t="str">
        <v>=</v>
      </c>
      <c r="AA8144">
        <f>N8144*U8144*W8144*Y8144</f>
        <v>14.407605</v>
      </c>
    </row>
    <row r="8145">
      <c r="A8145" t="str">
        <f>A8124</f>
        <v>Lantai Attic</v>
      </c>
      <c r="B8145">
        <f>B8124</f>
        <v>7</v>
      </c>
      <c r="C8145" t="str">
        <v>Sengkang Lapangan</v>
      </c>
      <c r="D8145">
        <f>VLOOKUP(D8124,'Detail Balok'!$C$10:$AU$110,36,FALSE)</f>
        <v>0</v>
      </c>
      <c r="E8145" t="str">
        <v>D</v>
      </c>
      <c r="F8145">
        <f>VLOOKUP(D8124,'Detail Balok'!$C$10:$AU$110,38,FALSE)</f>
        <v>10</v>
      </c>
      <c r="G8145" t="str">
        <v>-</v>
      </c>
      <c r="H8145">
        <f>VLOOKUP(D8124,'Detail Balok'!$C$10:$AU$110,40,FALSE)</f>
        <v>125</v>
      </c>
      <c r="J8145">
        <f>(IF(D8145=0,(2*(D8125+G8125))-(F$5*8),IF(D8145=3,(2*(D8125+G8125))-(F$5*8)+(G8125-2*F$5),IF(D8145=4,(2*(D8125+G8125))-(F$5*8)+2*(G8125-2*F$5)))))/1000</f>
        <v>1.08</v>
      </c>
      <c r="K8145" t="str">
        <v>+</v>
      </c>
      <c r="L8145">
        <f>IF(D8145=0,2*MAX(6*F8145,75),(D8145-1)*2*MAX(6*F8145,75))/1000</f>
        <v>0.15</v>
      </c>
      <c r="M8145" t="str">
        <v>=</v>
      </c>
      <c r="N8145">
        <f>J8145+L8145</f>
        <v>1.23</v>
      </c>
      <c r="T8145" t="str">
        <v>x</v>
      </c>
      <c r="U8145">
        <f>0.006165*F8145^2</f>
        <v>0.6165</v>
      </c>
      <c r="V8145" t="str">
        <v>x</v>
      </c>
      <c r="W8145">
        <f>IF(D8127-MAX(D8127/4,2*G8125)*2&gt;0,ROUND((D8127-MAX(D8127/4,2*G8125)*2)/H8145,0),0)</f>
        <v>22</v>
      </c>
      <c r="X8145" t="str">
        <v>x</v>
      </c>
      <c r="Y8145">
        <f>D8130</f>
        <v>1</v>
      </c>
      <c r="Z8145" t="str">
        <v>=</v>
      </c>
      <c r="AA8145">
        <f>N8145*U8145*W8145*Y8145</f>
        <v>16.68249</v>
      </c>
    </row>
    <row r="8146">
      <c r="A8146" t="str">
        <f>A8124</f>
        <v>Lantai Attic</v>
      </c>
      <c r="B8146">
        <f>B8124</f>
        <v>7</v>
      </c>
      <c r="C8146" t="str">
        <v>Sengkang Tumpuan</v>
      </c>
      <c r="D8146">
        <f>VLOOKUP(D8124,'Detail Balok'!$C$10:$AU$110,41,FALSE)</f>
        <v>0</v>
      </c>
      <c r="E8146" t="str">
        <v>D</v>
      </c>
      <c r="F8146">
        <f>VLOOKUP(D8124,'Detail Balok'!$C$10:$AU$110,43,FALSE)</f>
        <v>10</v>
      </c>
      <c r="G8146" t="str">
        <v>-</v>
      </c>
      <c r="H8146">
        <f>VLOOKUP(D8124,'Detail Balok'!$C$10:$AU$110,45,FALSE)</f>
        <v>75</v>
      </c>
      <c r="J8146">
        <f>(IF(D8146=0,(2*(D8125+G8125))-(F$5*8),IF(D8146=3,(2*(D8125+G8125))-(F$5*8)+(G8125-2*F$5),IF(D8146=4,(2*(D8125+G8125))-(F$5*8)+2*(G8125-2*F$5)))))/1000</f>
        <v>1.08</v>
      </c>
      <c r="K8146" t="str">
        <v>+</v>
      </c>
      <c r="L8146">
        <f>IF(D8146=0,2*MAX(6*F8146,75),(D8146-1)*2*MAX(6*F8146,75))/1000</f>
        <v>0.15</v>
      </c>
      <c r="M8146" t="str">
        <v>=</v>
      </c>
      <c r="N8146">
        <f>J8146+L8146</f>
        <v>1.23</v>
      </c>
      <c r="T8146" t="str">
        <v>x</v>
      </c>
      <c r="U8146">
        <f>0.006165*F8146^2</f>
        <v>0.6165</v>
      </c>
      <c r="V8146" t="str">
        <v>x</v>
      </c>
      <c r="W8146">
        <f>IF(D8127&gt;4*G8125,ROUND(MAX(D8127/4,2*G8125)/H8146,0)+1,0)</f>
        <v>19</v>
      </c>
      <c r="X8146" t="str">
        <v>x</v>
      </c>
      <c r="Y8146">
        <f>D8130</f>
        <v>1</v>
      </c>
      <c r="Z8146" t="str">
        <v>=</v>
      </c>
      <c r="AA8146">
        <f>N8146*U8146*W8146*Y8146</f>
        <v>14.407605</v>
      </c>
    </row>
    <row r="8148">
      <c r="A8148" t="str">
        <f>A8124</f>
        <v>Lantai Attic</v>
      </c>
      <c r="B8148">
        <f>B8124</f>
        <v>7</v>
      </c>
      <c r="C8148" t="str">
        <v>Kait Horizontal Tump.</v>
      </c>
      <c r="D8148">
        <f>VLOOKUP(D8124,'Detail Balok'!$C$10:$BJ$110,46,FALSE)</f>
        <v>0</v>
      </c>
      <c r="E8148" t="str">
        <v>D</v>
      </c>
      <c r="F8148">
        <f>VLOOKUP(D8124,'Detail Balok'!$C$10:$BJ$110,48,FALSE)</f>
        <v>0</v>
      </c>
      <c r="G8148" t="str">
        <v>-</v>
      </c>
      <c r="H8148">
        <f>VLOOKUP(D8124,'Detail Balok'!$C$10:$BJ$110,50,FALSE)</f>
        <v>100</v>
      </c>
      <c r="J8148">
        <f>(D8125-2*F$5)/1000</f>
        <v>0.12</v>
      </c>
      <c r="K8148" t="str">
        <v>+</v>
      </c>
      <c r="L8148">
        <f>IF(D8148=0,2*MAX(6*F8148,75),(D8148-1)*2*MAX(6*F8148,75))/1000</f>
        <v>0.15</v>
      </c>
      <c r="M8148" t="str">
        <v>=</v>
      </c>
      <c r="N8148">
        <f>J8148+L8148</f>
        <v>0.27</v>
      </c>
      <c r="T8148" t="str">
        <v>x</v>
      </c>
      <c r="U8148">
        <f>0.006165*F8148^2</f>
        <v>0</v>
      </c>
      <c r="V8148" t="str">
        <v>x</v>
      </c>
      <c r="W8148">
        <f>W8144</f>
        <v>19</v>
      </c>
      <c r="X8148" t="str">
        <v>x</v>
      </c>
      <c r="Y8148">
        <f>D8134</f>
        <v>3</v>
      </c>
      <c r="Z8148" t="str">
        <v>=</v>
      </c>
      <c r="AA8148">
        <f>N8148*U8148*W8148*Y8148</f>
        <v>0</v>
      </c>
    </row>
    <row r="8149">
      <c r="A8149" t="str">
        <f>A8124</f>
        <v>Lantai Attic</v>
      </c>
      <c r="B8149">
        <f>B8124</f>
        <v>7</v>
      </c>
      <c r="C8149" t="str">
        <v>Kait Horizontal Lap.</v>
      </c>
      <c r="D8149">
        <f>VLOOKUP(D8124,'Detail Balok'!$C$10:$BJ$110,51,FALSE)</f>
        <v>0</v>
      </c>
      <c r="E8149" t="str">
        <v>D</v>
      </c>
      <c r="F8149">
        <f>VLOOKUP(D8124,'Detail Balok'!$C$10:$BJ$110,53,FALSE)</f>
        <v>0</v>
      </c>
      <c r="G8149" t="str">
        <v>-</v>
      </c>
      <c r="H8149">
        <f>VLOOKUP(D8124,'Detail Balok'!$C$10:$BJ$110,55,FALSE)</f>
        <v>100</v>
      </c>
      <c r="J8149">
        <f>(D8125-2*F$5)/1000</f>
        <v>0.12</v>
      </c>
      <c r="K8149" t="str">
        <v>+</v>
      </c>
      <c r="L8149">
        <f>IF(D8149=0,2*MAX(6*F8149,75),(D8149-1)*2*MAX(6*F8149,75))/1000</f>
        <v>0.15</v>
      </c>
      <c r="M8149" t="str">
        <v>=</v>
      </c>
      <c r="N8149">
        <f>J8149+L8149</f>
        <v>0.27</v>
      </c>
      <c r="T8149" t="str">
        <v>x</v>
      </c>
      <c r="U8149">
        <f>0.006165*F8149^2</f>
        <v>0</v>
      </c>
      <c r="V8149" t="str">
        <v>x</v>
      </c>
      <c r="W8149">
        <f>W8145</f>
        <v>22</v>
      </c>
      <c r="X8149" t="str">
        <v>x</v>
      </c>
      <c r="Y8149">
        <f>D8134</f>
        <v>3</v>
      </c>
      <c r="Z8149" t="str">
        <v>=</v>
      </c>
      <c r="AA8149">
        <f>N8149*U8149*W8149*Y8149</f>
        <v>0</v>
      </c>
    </row>
    <row r="8150">
      <c r="A8150" t="str">
        <f>A8124</f>
        <v>Lantai Attic</v>
      </c>
      <c r="B8150">
        <f>B8124</f>
        <v>7</v>
      </c>
      <c r="C8150" t="str">
        <v>Kait Horizontal Tump.</v>
      </c>
      <c r="D8150">
        <f>VLOOKUP(D8124,'Detail Balok'!$C$10:$BJ$110,56,FALSE)</f>
        <v>0</v>
      </c>
      <c r="E8150" t="str">
        <v>D</v>
      </c>
      <c r="F8150">
        <f>VLOOKUP(D8124,'Detail Balok'!$C$10:$BJ$110,58,FALSE)</f>
        <v>0</v>
      </c>
      <c r="G8150" t="str">
        <v>-</v>
      </c>
      <c r="H8150">
        <f>VLOOKUP(D8124,'Detail Balok'!$C$10:$BJ$110,60,FALSE)</f>
        <v>100</v>
      </c>
      <c r="J8150">
        <f>(D8125-2*F$5)/1000</f>
        <v>0.12</v>
      </c>
      <c r="K8150" t="str">
        <v>+</v>
      </c>
      <c r="L8150">
        <f>IF(D8150=0,2*MAX(6*F8150,75),(D8150-1)*2*MAX(6*F8150,75))/1000</f>
        <v>0.15</v>
      </c>
      <c r="M8150" t="str">
        <v>=</v>
      </c>
      <c r="N8150">
        <f>J8150+L8150</f>
        <v>0.27</v>
      </c>
      <c r="T8150" t="str">
        <v>x</v>
      </c>
      <c r="U8150">
        <f>0.006165*F8150^2</f>
        <v>0</v>
      </c>
      <c r="V8150" t="str">
        <v>x</v>
      </c>
      <c r="W8150">
        <f>W8146</f>
        <v>19</v>
      </c>
      <c r="X8150" t="str">
        <v>x</v>
      </c>
      <c r="Y8150">
        <f>D8134</f>
        <v>3</v>
      </c>
      <c r="Z8150" t="str">
        <v>=</v>
      </c>
      <c r="AA8150">
        <f>N8150*U8150*W8150*Y8150</f>
        <v>0</v>
      </c>
    </row>
    <row r="8154">
      <c r="A8154" t="str">
        <f>A8124</f>
        <v>Lantai Attic</v>
      </c>
      <c r="B8154">
        <f>B8124+1</f>
        <v>8</v>
      </c>
      <c r="C8154" t="str">
        <f>CONCATENATE(A8154," no. ",B8154)</f>
        <v>Lantai Attic no. 8</v>
      </c>
      <c r="D8154" t="str">
        <f>VLOOKUP(C8154,'Data Panjang Balok'!$C$9:$N$424,2,FALSE)</f>
        <v>Potongan O</v>
      </c>
    </row>
    <row r="8155">
      <c r="C8155" t="str">
        <v>Dimensi</v>
      </c>
      <c r="D8155">
        <f>VLOOKUP(D8154,'Detail Balok'!$C$10:$AU$110,2,FALSE)</f>
        <v>300</v>
      </c>
      <c r="F8155" t="str">
        <v>x</v>
      </c>
      <c r="G8155">
        <f>VLOOKUP(D8154,'Detail Balok'!$C$10:$AU$110,3,FALSE)</f>
        <v>500</v>
      </c>
    </row>
    <row r="8156">
      <c r="C8156" t="str">
        <v>Panjang as ke as</v>
      </c>
      <c r="D8156">
        <f>VLOOKUP(C8154,'Data Panjang Balok'!$C$9:$N$424,4,FALSE)</f>
        <v>1615</v>
      </c>
    </row>
    <row r="8157">
      <c r="C8157" t="str">
        <v>Panjang netto</v>
      </c>
      <c r="D8157">
        <f>VLOOKUP(C8154,'Data Panjang Balok'!$C$9:$N$424,7,FALSE)</f>
        <v>1615</v>
      </c>
    </row>
    <row r="8158">
      <c r="C8158" t="str">
        <v>Kolom / balok kiri</v>
      </c>
      <c r="D8158">
        <f>VLOOKUP(C8154,'Data Panjang Balok'!$C$9:$N$424,9,FALSE)</f>
        <v>0</v>
      </c>
    </row>
    <row r="8159">
      <c r="C8159" t="str">
        <v>Kolom / balok kanan</v>
      </c>
      <c r="D8159">
        <f>VLOOKUP(C8154,'Data Panjang Balok'!$C$9:$N$424,10,FALSE)</f>
        <v>0</v>
      </c>
    </row>
    <row r="8160">
      <c r="C8160" t="str">
        <v>Jumlah</v>
      </c>
      <c r="D8160">
        <f>VLOOKUP(C8154,'Data Panjang Balok'!$C$9:$N$424,3,FALSE)</f>
        <v>1</v>
      </c>
    </row>
    <row r="8161">
      <c r="A8161" t="str">
        <f>A8154</f>
        <v>Lantai Attic</v>
      </c>
      <c r="B8161">
        <f>B8154</f>
        <v>8</v>
      </c>
      <c r="C8161" t="str">
        <v>Tul Atas Tumpuan</v>
      </c>
      <c r="D8161">
        <f>VLOOKUP(D8154,'Detail Balok'!$C$10:$AU$110,4,FALSE)</f>
        <v>6</v>
      </c>
      <c r="E8161" t="str">
        <v>D</v>
      </c>
      <c r="F8161">
        <f>VLOOKUP(D8154,'Detail Balok'!$C$10:$AU$110,6,FALSE)</f>
        <v>19</v>
      </c>
      <c r="I8161" t="str">
        <v>(</v>
      </c>
      <c r="J8161">
        <f>+D8156/4/1000</f>
        <v>0.40375</v>
      </c>
      <c r="K8161" t="str">
        <v>+</v>
      </c>
      <c r="L8161">
        <f>MAX(VLOOKUP(F8161,N$6:P$15,3,FALSE)/1000,2/3*D8158/1000)+F$16*F8161/1000</f>
        <v>0.228</v>
      </c>
      <c r="M8161" t="str">
        <v>=</v>
      </c>
      <c r="N8161">
        <f>J8161+L8161</f>
        <v>0.63175</v>
      </c>
      <c r="O8161" t="str">
        <v>+</v>
      </c>
      <c r="P8161">
        <f>D8161-D8162</f>
        <v>0</v>
      </c>
      <c r="Q8161" t="str">
        <v>x</v>
      </c>
      <c r="R8161">
        <f>IF(P8161&gt;0,$F$18*F8161/1000,0)</f>
        <v>0</v>
      </c>
      <c r="S8161" t="str">
        <v>)</v>
      </c>
      <c r="T8161" t="str">
        <v>x</v>
      </c>
      <c r="U8161">
        <f>0.006165*F8161^2</f>
        <v>2.225565</v>
      </c>
      <c r="X8161" t="str">
        <v>x</v>
      </c>
      <c r="Y8161">
        <f>D8160</f>
        <v>1</v>
      </c>
      <c r="Z8161" t="str">
        <v>=</v>
      </c>
      <c r="AA8161">
        <f>IF(AA8164=0,(D8161*N8161+P8161*R8161)*U8161*Y8161,0)</f>
        <v>0</v>
      </c>
    </row>
    <row r="8162">
      <c r="A8162" t="str">
        <f>A8154</f>
        <v>Lantai Attic</v>
      </c>
      <c r="B8162">
        <f>B8154</f>
        <v>8</v>
      </c>
      <c r="C8162" t="str">
        <v>Tul Atas Lapangan</v>
      </c>
      <c r="D8162">
        <f>VLOOKUP(D8154,'Detail Balok'!$C$10:$AU$110,7,FALSE)</f>
        <v>6</v>
      </c>
      <c r="E8162" t="str">
        <v>D</v>
      </c>
      <c r="F8162">
        <f>VLOOKUP(D8154,'Detail Balok'!$C$10:$AU$110,9,FALSE)</f>
        <v>19</v>
      </c>
      <c r="I8162" t="str">
        <v>(</v>
      </c>
      <c r="J8162">
        <f>+D8156/2/1000</f>
        <v>0.8075</v>
      </c>
      <c r="K8162" t="str">
        <v>+</v>
      </c>
      <c r="M8162" t="str">
        <v>=</v>
      </c>
      <c r="N8162">
        <f>J8162+L8162</f>
        <v>0.8075</v>
      </c>
      <c r="O8162" t="str">
        <v>+</v>
      </c>
      <c r="P8162">
        <f>MAX(D8162-D8161,D8162-D8163)</f>
        <v>0</v>
      </c>
      <c r="Q8162" t="str">
        <v>x</v>
      </c>
      <c r="R8162">
        <f>IF(P8162&gt;0,2*(1-2*$F$19-1/2)*D8157/1000,0)</f>
        <v>0</v>
      </c>
      <c r="S8162" t="str">
        <v>)</v>
      </c>
      <c r="T8162" t="str">
        <v>x</v>
      </c>
      <c r="U8162">
        <f>0.006165*F8162^2</f>
        <v>2.225565</v>
      </c>
      <c r="X8162" t="str">
        <v>x</v>
      </c>
      <c r="Y8162">
        <f>D8160</f>
        <v>1</v>
      </c>
      <c r="Z8162" t="str">
        <v>=</v>
      </c>
      <c r="AA8162">
        <f>IF(AA8164=0,(D8162*N8162+P8162*R8162)*U8162*Y8162,0)</f>
        <v>0</v>
      </c>
    </row>
    <row r="8163">
      <c r="A8163" t="str">
        <f>A8154</f>
        <v>Lantai Attic</v>
      </c>
      <c r="B8163">
        <f>B8154</f>
        <v>8</v>
      </c>
      <c r="C8163" t="str">
        <v>Tul Atas Tumpuan</v>
      </c>
      <c r="D8163">
        <f>VLOOKUP(D8154,'Detail Balok'!$C$10:$AU$110,10,FALSE)</f>
        <v>6</v>
      </c>
      <c r="E8163" t="str">
        <v>D</v>
      </c>
      <c r="F8163">
        <f>VLOOKUP(D8154,'Detail Balok'!$C$10:$AU$110,12,FALSE)</f>
        <v>19</v>
      </c>
      <c r="I8163" t="str">
        <v>(</v>
      </c>
      <c r="J8163">
        <f>+D8156/4/1000</f>
        <v>0.40375</v>
      </c>
      <c r="K8163" t="str">
        <v>+</v>
      </c>
      <c r="L8163">
        <f>MAX(VLOOKUP(F8163,N$6:P$15,3,FALSE)/1000,2/3*D8158/1000)+F$16*F8163/1000</f>
        <v>0.228</v>
      </c>
      <c r="M8163" t="str">
        <v>=</v>
      </c>
      <c r="N8163">
        <f>J8163+L8163</f>
        <v>0.63175</v>
      </c>
      <c r="O8163" t="str">
        <v>+</v>
      </c>
      <c r="P8163">
        <f>D8163-D8162</f>
        <v>0</v>
      </c>
      <c r="Q8163" t="str">
        <v>x</v>
      </c>
      <c r="R8163">
        <f>IF(P8163&gt;0,$F$18*F8163/1000,0)</f>
        <v>0</v>
      </c>
      <c r="S8163" t="str">
        <v>)</v>
      </c>
      <c r="T8163" t="str">
        <v>x</v>
      </c>
      <c r="U8163">
        <f>0.006165*F8163^2</f>
        <v>2.225565</v>
      </c>
      <c r="X8163" t="str">
        <v>x</v>
      </c>
      <c r="Y8163">
        <f>D8160</f>
        <v>1</v>
      </c>
      <c r="Z8163" t="str">
        <v>=</v>
      </c>
      <c r="AA8163">
        <f>IF(AA8164=0,(D8163*N8163+P8163*R8163)*U8163*Y8163,0)</f>
        <v>0</v>
      </c>
    </row>
    <row r="8164">
      <c r="A8164" t="str">
        <f>A8154</f>
        <v>Lantai Attic</v>
      </c>
      <c r="B8164">
        <f>B8154</f>
        <v>8</v>
      </c>
      <c r="D8164">
        <f>IF(AND(D8161=D8162,D8162=D8163,D8161=D8163),D8161,0)</f>
        <v>6</v>
      </c>
      <c r="E8164" t="str">
        <v>D</v>
      </c>
      <c r="F8164">
        <f>IF(AND(F8161=F8162,F8161=F8163,F8162=F8163),F8161,0)</f>
        <v>19</v>
      </c>
      <c r="L8164" t="str">
        <v>Total panjang per balok</v>
      </c>
      <c r="M8164" t="str">
        <v>=</v>
      </c>
      <c r="N8164">
        <f>IF(AND(D8161=D8162,D8161=D8163,D8162=D8163,F8161=F8162,F8161=F8163,F8162=F8163),SUM(N8161:N8163),0)</f>
        <v>2.0709999999999997</v>
      </c>
      <c r="O8164" t="str">
        <v>+</v>
      </c>
      <c r="P8164">
        <f>IF(N8164&gt;12,ROUNDDOWN(N8164/12,0),0)</f>
        <v>0</v>
      </c>
      <c r="Q8164" t="str">
        <v>x</v>
      </c>
      <c r="R8164">
        <f>IF(P8164&gt;0,MAX(VLOOKUP(F8164,$D$6:$G$15,3,FALSE),600),0)/1000</f>
        <v>0</v>
      </c>
      <c r="T8164" t="str">
        <v>x</v>
      </c>
      <c r="U8164">
        <f>U8163</f>
        <v>2.225565</v>
      </c>
      <c r="V8164" t="str">
        <v>x</v>
      </c>
      <c r="W8164">
        <f>D8164</f>
        <v>6</v>
      </c>
      <c r="X8164" t="str">
        <v>x</v>
      </c>
      <c r="Y8164">
        <f>Y8163</f>
        <v>1</v>
      </c>
      <c r="Z8164" t="str">
        <v>=</v>
      </c>
      <c r="AA8164">
        <f>(N8164+P8164*R8164/1000)*U8164*W8164*Y8164</f>
        <v>27.654870689999996</v>
      </c>
    </row>
    <row r="8166">
      <c r="A8166" t="str">
        <f>A8154</f>
        <v>Lantai Attic</v>
      </c>
      <c r="B8166">
        <f>B8154</f>
        <v>8</v>
      </c>
      <c r="C8166" t="str">
        <v>Tul Peminggang</v>
      </c>
      <c r="D8166">
        <f>VLOOKUP(D8154,'Detail Balok'!$C$10:$AU$110,13,FALSE)</f>
        <v>2</v>
      </c>
      <c r="E8166" t="str">
        <v>D</v>
      </c>
      <c r="F8166">
        <f>VLOOKUP(D8154,'Detail Balok'!$C$10:$AU$110,15,FALSE)</f>
        <v>10</v>
      </c>
      <c r="J8166">
        <f>+D8156/1000</f>
        <v>1.615</v>
      </c>
      <c r="K8166" t="str">
        <v>+</v>
      </c>
      <c r="L8166">
        <f>2*$F$16*F8166/1000</f>
        <v>0.24</v>
      </c>
      <c r="M8166" t="str">
        <v>=</v>
      </c>
      <c r="N8166">
        <f>J8166+L8166</f>
        <v>1.855</v>
      </c>
      <c r="O8166" t="str">
        <v>+</v>
      </c>
      <c r="P8166">
        <f>IF(N8166&gt;12,ROUNDDOWN(N8166/12,0),0)</f>
        <v>0</v>
      </c>
      <c r="Q8166" t="str">
        <v>x</v>
      </c>
      <c r="R8166">
        <f>IF(P8166&gt;0,MAX(VLOOKUP(F8166,$D$6:$G$15,3,FALSE),600),0)/1000</f>
        <v>0</v>
      </c>
      <c r="T8166" t="str">
        <v>x</v>
      </c>
      <c r="U8166">
        <f>0.006165*F8166^2</f>
        <v>0.6165</v>
      </c>
      <c r="V8166" t="str">
        <v>x</v>
      </c>
      <c r="W8166">
        <f>+D8166</f>
        <v>2</v>
      </c>
      <c r="X8166" t="str">
        <v>x</v>
      </c>
      <c r="Y8166">
        <f>D8160</f>
        <v>1</v>
      </c>
      <c r="Z8166" t="str">
        <v>=</v>
      </c>
      <c r="AA8166">
        <f>(N8166+P8166*R8166/1000)*U8166*W8166*Y8166</f>
        <v>2.287215</v>
      </c>
    </row>
    <row r="8169">
      <c r="A8169" t="str">
        <f>A8154</f>
        <v>Lantai Attic</v>
      </c>
      <c r="B8169">
        <f>B8154</f>
        <v>8</v>
      </c>
      <c r="C8169" t="str">
        <v>Tul Bawah Tumpuan</v>
      </c>
      <c r="D8169">
        <f>VLOOKUP(D8154,'Detail Balok'!$C$10:$AU$110,22,FALSE)</f>
        <v>5</v>
      </c>
      <c r="E8169" t="str">
        <v>D</v>
      </c>
      <c r="F8169">
        <f>VLOOKUP(D8154,'Detail Balok'!$C$10:$AU$110,24,FALSE)</f>
        <v>19</v>
      </c>
      <c r="I8169" t="str">
        <v>(</v>
      </c>
      <c r="J8169">
        <f>+J8161</f>
        <v>0.40375</v>
      </c>
      <c r="K8169" t="str">
        <v>+</v>
      </c>
      <c r="L8169">
        <f>MAX(VLOOKUP(F8169,N$6:P$15,3,FALSE)/1000,2/3*D8159/1000)+F$16*F8169/1000</f>
        <v>0.228</v>
      </c>
      <c r="M8169" t="str">
        <v>=</v>
      </c>
      <c r="N8169">
        <f>J8169+L8169</f>
        <v>0.63175</v>
      </c>
      <c r="O8169" t="str">
        <v>+</v>
      </c>
      <c r="P8169">
        <f>D8169-D8170</f>
        <v>0</v>
      </c>
      <c r="Q8169" t="str">
        <v>x</v>
      </c>
      <c r="R8169">
        <f>IF(P8169&gt;0,$F$18*F8169/1000,0)</f>
        <v>0</v>
      </c>
      <c r="S8169" t="str">
        <v>)</v>
      </c>
      <c r="T8169" t="str">
        <v>x</v>
      </c>
      <c r="U8169">
        <f>0.006165*F8169^2</f>
        <v>2.225565</v>
      </c>
      <c r="X8169" t="str">
        <v>x</v>
      </c>
      <c r="Y8169">
        <f>D8160</f>
        <v>1</v>
      </c>
      <c r="Z8169" t="str">
        <v>=</v>
      </c>
      <c r="AA8169">
        <f>IF(AA8172=0,(D8169*N8169+P8169*R8169)*U8169*Y8169,0)</f>
        <v>0</v>
      </c>
    </row>
    <row r="8170">
      <c r="A8170" t="str">
        <f>A8154</f>
        <v>Lantai Attic</v>
      </c>
      <c r="B8170">
        <f>B8154</f>
        <v>8</v>
      </c>
      <c r="C8170" t="str">
        <v>Tul Bawah Lapangan</v>
      </c>
      <c r="D8170">
        <f>VLOOKUP(D8154,'Detail Balok'!$C$10:$AU$110,25,FALSE)</f>
        <v>5</v>
      </c>
      <c r="E8170" t="str">
        <v>D</v>
      </c>
      <c r="F8170">
        <f>VLOOKUP(D8154,'Detail Balok'!$C$10:$AU$110,27,FALSE)</f>
        <v>19</v>
      </c>
      <c r="I8170" t="str">
        <v>(</v>
      </c>
      <c r="J8170">
        <f>+J8162</f>
        <v>0.8075</v>
      </c>
      <c r="K8170" t="str">
        <v>+</v>
      </c>
      <c r="M8170" t="str">
        <v>=</v>
      </c>
      <c r="N8170">
        <f>J8170+L8170</f>
        <v>0.8075</v>
      </c>
      <c r="O8170" t="str">
        <v>+</v>
      </c>
      <c r="P8170">
        <f>MAX(D8170-D8169,D8170-D8171)</f>
        <v>0</v>
      </c>
      <c r="Q8170" t="str">
        <v>x</v>
      </c>
      <c r="R8170">
        <f>IF(P8170&gt;0,2*(1-2*$F$19-1/2)*D8157/1000,0)</f>
        <v>0</v>
      </c>
      <c r="S8170" t="str">
        <v>)</v>
      </c>
      <c r="T8170" t="str">
        <v>x</v>
      </c>
      <c r="U8170">
        <f>0.006165*F8170^2</f>
        <v>2.225565</v>
      </c>
      <c r="X8170" t="str">
        <v>x</v>
      </c>
      <c r="Y8170">
        <f>D8160</f>
        <v>1</v>
      </c>
      <c r="Z8170" t="str">
        <v>=</v>
      </c>
      <c r="AA8170">
        <f>IF(AA8172=0,(D8170*N8170+P8170*R8170)*U8170*Y8170,0)</f>
        <v>0</v>
      </c>
    </row>
    <row r="8171">
      <c r="A8171" t="str">
        <f>A8154</f>
        <v>Lantai Attic</v>
      </c>
      <c r="B8171">
        <f>B8154</f>
        <v>8</v>
      </c>
      <c r="C8171" t="str">
        <v>Tul Bawah Tumpuan</v>
      </c>
      <c r="D8171">
        <f>VLOOKUP(D8154,'Detail Balok'!$C$10:$AU$110,28,FALSE)</f>
        <v>5</v>
      </c>
      <c r="E8171" t="str">
        <v>D</v>
      </c>
      <c r="F8171">
        <f>VLOOKUP(D8154,'Detail Balok'!$C$10:$AU$110,30,FALSE)</f>
        <v>19</v>
      </c>
      <c r="I8171" t="str">
        <v>(</v>
      </c>
      <c r="J8171">
        <f>+J8163</f>
        <v>0.40375</v>
      </c>
      <c r="K8171" t="str">
        <v>+</v>
      </c>
      <c r="L8171">
        <f>MAX(VLOOKUP(F8171,N$6:P$15,3,FALSE)/1000,2/3*D8159/1000)+F$16*F8171/1000</f>
        <v>0.228</v>
      </c>
      <c r="M8171" t="str">
        <v>=</v>
      </c>
      <c r="N8171">
        <f>J8171+L8171</f>
        <v>0.63175</v>
      </c>
      <c r="O8171" t="str">
        <v>+</v>
      </c>
      <c r="P8171">
        <f>D8171-D8170</f>
        <v>0</v>
      </c>
      <c r="Q8171" t="str">
        <v>x</v>
      </c>
      <c r="R8171">
        <f>IF(P8171&gt;0,$F$18*F8171/1000,0)</f>
        <v>0</v>
      </c>
      <c r="S8171" t="str">
        <v>)</v>
      </c>
      <c r="T8171" t="str">
        <v>x</v>
      </c>
      <c r="U8171">
        <f>0.006165*F8171^2</f>
        <v>2.225565</v>
      </c>
      <c r="X8171" t="str">
        <v>x</v>
      </c>
      <c r="Y8171">
        <f>D8160</f>
        <v>1</v>
      </c>
      <c r="Z8171" t="str">
        <v>=</v>
      </c>
      <c r="AA8171">
        <f>IF(AA8172=0,(D8171*N8171+P8171*R8171)*U8171*Y8171,0)</f>
        <v>0</v>
      </c>
    </row>
    <row r="8172">
      <c r="A8172" t="str">
        <f>A8154</f>
        <v>Lantai Attic</v>
      </c>
      <c r="B8172">
        <f>B8154</f>
        <v>8</v>
      </c>
      <c r="D8172">
        <f>IF(AND(D8169=D8170,D8170=D8171,D8169=D8171),D8169,0)</f>
        <v>5</v>
      </c>
      <c r="E8172" t="str">
        <v>D</v>
      </c>
      <c r="F8172">
        <f>IF(AND(F8169=F8170,F8169=F8171,F8170=F8171),F8169,0)</f>
        <v>19</v>
      </c>
      <c r="L8172" t="str">
        <v>Total panjang per balok</v>
      </c>
      <c r="M8172" t="str">
        <v>=</v>
      </c>
      <c r="N8172">
        <f>IF(AND(D8169=D8170,D8169=D8171,D8170=D8171,F8169=F8170,F8169=F8171,F8170=F8171),SUM(N8169:N8171),0)</f>
        <v>2.0709999999999997</v>
      </c>
      <c r="O8172" t="str">
        <v>+</v>
      </c>
      <c r="P8172">
        <f>IF(N8172&gt;12,ROUNDDOWN(N8172/12,0),0)</f>
        <v>0</v>
      </c>
      <c r="Q8172" t="str">
        <v>x</v>
      </c>
      <c r="R8172">
        <f>IF(P8172&gt;0,MAX(VLOOKUP(F8172,$D$6:$G$15,3,FALSE),600),0)/1000</f>
        <v>0</v>
      </c>
      <c r="T8172" t="str">
        <v>x</v>
      </c>
      <c r="U8172">
        <f>U8171</f>
        <v>2.225565</v>
      </c>
      <c r="V8172" t="str">
        <v>x</v>
      </c>
      <c r="W8172">
        <f>D8172</f>
        <v>5</v>
      </c>
      <c r="X8172" t="str">
        <v>x</v>
      </c>
      <c r="Y8172">
        <f>Y8171</f>
        <v>1</v>
      </c>
      <c r="Z8172" t="str">
        <v>=</v>
      </c>
      <c r="AA8172">
        <f>(N8172+P8172*R8172/1000)*U8172*W8172*Y8172</f>
        <v>23.045725575</v>
      </c>
    </row>
    <row r="8174">
      <c r="A8174" t="str">
        <f>A8154</f>
        <v>Lantai Attic</v>
      </c>
      <c r="B8174">
        <f>B8154</f>
        <v>8</v>
      </c>
      <c r="C8174" t="str">
        <v>Sengkang Tumpuan</v>
      </c>
      <c r="D8174">
        <f>VLOOKUP(D8154,'Detail Balok'!$C$10:$AU$110,31,FALSE)</f>
        <v>0</v>
      </c>
      <c r="E8174" t="str">
        <v>D</v>
      </c>
      <c r="F8174">
        <f>VLOOKUP(D8154,'Detail Balok'!$C$10:$AU$110,33,FALSE)</f>
        <v>10</v>
      </c>
      <c r="G8174" t="str">
        <v>-</v>
      </c>
      <c r="H8174">
        <f>VLOOKUP(D8154,'Detail Balok'!$C$10:$AU$110,35,FALSE)</f>
        <v>90</v>
      </c>
      <c r="J8174">
        <f>(IF(D8174=0,(2*(D8155+G8155))-(F$5*8),IF(D8174=3,(2*(D8155+G8155))-(F$5*8)+(G8155-2*F$5),IF(D8174=4,(2*(D8155+G8155))-(F$5*8)+2*(G8155-2*F$5)))))/1000</f>
        <v>1.28</v>
      </c>
      <c r="K8174" t="str">
        <v>+</v>
      </c>
      <c r="L8174">
        <f>IF(D8174=0,2*MAX(6*F8174,75),(D8174-1)*2*MAX(6*F8174,75))/1000</f>
        <v>0.15</v>
      </c>
      <c r="M8174" t="str">
        <v>=</v>
      </c>
      <c r="N8174">
        <f>J8174+L8174</f>
        <v>1.43</v>
      </c>
      <c r="T8174" t="str">
        <v>x</v>
      </c>
      <c r="U8174">
        <f>0.006165*F8174^2</f>
        <v>0.6165</v>
      </c>
      <c r="V8174" t="str">
        <v>x</v>
      </c>
      <c r="W8174">
        <f>IF(D8157&gt;4*G8155,ROUND(MAX(D8157/4,2*G8155)/H8174,0)+1,ROUND(D8157/H8174,0)+1)</f>
        <v>19</v>
      </c>
      <c r="X8174" t="str">
        <v>x</v>
      </c>
      <c r="Y8174">
        <f>D8160</f>
        <v>1</v>
      </c>
      <c r="Z8174" t="str">
        <v>=</v>
      </c>
      <c r="AA8174">
        <f>N8174*U8174*W8174*Y8174</f>
        <v>16.750305</v>
      </c>
    </row>
    <row r="8175">
      <c r="A8175" t="str">
        <f>A8154</f>
        <v>Lantai Attic</v>
      </c>
      <c r="B8175">
        <f>B8154</f>
        <v>8</v>
      </c>
      <c r="C8175" t="str">
        <v>Sengkang Lapangan</v>
      </c>
      <c r="D8175">
        <f>VLOOKUP(D8154,'Detail Balok'!$C$10:$AU$110,36,FALSE)</f>
        <v>0</v>
      </c>
      <c r="E8175" t="str">
        <v>D</v>
      </c>
      <c r="F8175">
        <f>VLOOKUP(D8154,'Detail Balok'!$C$10:$AU$110,38,FALSE)</f>
        <v>10</v>
      </c>
      <c r="G8175" t="str">
        <v>-</v>
      </c>
      <c r="H8175">
        <f>VLOOKUP(D8154,'Detail Balok'!$C$10:$AU$110,40,FALSE)</f>
        <v>90</v>
      </c>
      <c r="J8175">
        <f>(IF(D8175=0,(2*(D8155+G8155))-(F$5*8),IF(D8175=3,(2*(D8155+G8155))-(F$5*8)+(G8155-2*F$5),IF(D8175=4,(2*(D8155+G8155))-(F$5*8)+2*(G8155-2*F$5)))))/1000</f>
        <v>1.28</v>
      </c>
      <c r="K8175" t="str">
        <v>+</v>
      </c>
      <c r="L8175">
        <f>IF(D8175=0,2*MAX(6*F8175,75),(D8175-1)*2*MAX(6*F8175,75))/1000</f>
        <v>0.15</v>
      </c>
      <c r="M8175" t="str">
        <v>=</v>
      </c>
      <c r="N8175">
        <f>J8175+L8175</f>
        <v>1.43</v>
      </c>
      <c r="T8175" t="str">
        <v>x</v>
      </c>
      <c r="U8175">
        <f>0.006165*F8175^2</f>
        <v>0.6165</v>
      </c>
      <c r="V8175" t="str">
        <v>x</v>
      </c>
      <c r="W8175">
        <f>IF(D8157-MAX(D8157/4,2*G8155)*2&gt;0,ROUND((D8157-MAX(D8157/4,2*G8155)*2)/H8175,0),0)</f>
        <v>0</v>
      </c>
      <c r="X8175" t="str">
        <v>x</v>
      </c>
      <c r="Y8175">
        <f>D8160</f>
        <v>1</v>
      </c>
      <c r="Z8175" t="str">
        <v>=</v>
      </c>
      <c r="AA8175">
        <f>N8175*U8175*W8175*Y8175</f>
        <v>0</v>
      </c>
    </row>
    <row r="8176">
      <c r="A8176" t="str">
        <f>A8154</f>
        <v>Lantai Attic</v>
      </c>
      <c r="B8176">
        <f>B8154</f>
        <v>8</v>
      </c>
      <c r="C8176" t="str">
        <v>Sengkang Tumpuan</v>
      </c>
      <c r="D8176">
        <f>VLOOKUP(D8154,'Detail Balok'!$C$10:$AU$110,41,FALSE)</f>
        <v>0</v>
      </c>
      <c r="E8176" t="str">
        <v>D</v>
      </c>
      <c r="F8176">
        <f>VLOOKUP(D8154,'Detail Balok'!$C$10:$AU$110,43,FALSE)</f>
        <v>10</v>
      </c>
      <c r="G8176" t="str">
        <v>-</v>
      </c>
      <c r="H8176">
        <f>VLOOKUP(D8154,'Detail Balok'!$C$10:$AU$110,45,FALSE)</f>
        <v>90</v>
      </c>
      <c r="J8176">
        <f>(IF(D8176=0,(2*(D8155+G8155))-(F$5*8),IF(D8176=3,(2*(D8155+G8155))-(F$5*8)+(G8155-2*F$5),IF(D8176=4,(2*(D8155+G8155))-(F$5*8)+2*(G8155-2*F$5)))))/1000</f>
        <v>1.28</v>
      </c>
      <c r="K8176" t="str">
        <v>+</v>
      </c>
      <c r="L8176">
        <f>IF(D8176=0,2*MAX(6*F8176,75),(D8176-1)*2*MAX(6*F8176,75))/1000</f>
        <v>0.15</v>
      </c>
      <c r="M8176" t="str">
        <v>=</v>
      </c>
      <c r="N8176">
        <f>J8176+L8176</f>
        <v>1.43</v>
      </c>
      <c r="T8176" t="str">
        <v>x</v>
      </c>
      <c r="U8176">
        <f>0.006165*F8176^2</f>
        <v>0.6165</v>
      </c>
      <c r="V8176" t="str">
        <v>x</v>
      </c>
      <c r="W8176">
        <f>IF(D8157&gt;4*G8155,ROUND(MAX(D8157/4,2*G8155)/H8176,0)+1,0)</f>
        <v>0</v>
      </c>
      <c r="X8176" t="str">
        <v>x</v>
      </c>
      <c r="Y8176">
        <f>D8160</f>
        <v>1</v>
      </c>
      <c r="Z8176" t="str">
        <v>=</v>
      </c>
      <c r="AA8176">
        <f>N8176*U8176*W8176*Y8176</f>
        <v>0</v>
      </c>
    </row>
    <row r="8178">
      <c r="A8178" t="str">
        <f>A8154</f>
        <v>Lantai Attic</v>
      </c>
      <c r="B8178">
        <f>B8154</f>
        <v>8</v>
      </c>
      <c r="C8178" t="str">
        <v>Kait Horizontal Tump.</v>
      </c>
      <c r="D8178">
        <f>VLOOKUP(D8154,'Detail Balok'!$C$10:$BJ$110,46,FALSE)</f>
        <v>0</v>
      </c>
      <c r="E8178" t="str">
        <v>D</v>
      </c>
      <c r="F8178">
        <f>VLOOKUP(D8154,'Detail Balok'!$C$10:$BJ$110,48,FALSE)</f>
        <v>0</v>
      </c>
      <c r="G8178" t="str">
        <v>-</v>
      </c>
      <c r="H8178">
        <f>VLOOKUP(D8154,'Detail Balok'!$C$10:$BJ$110,50,FALSE)</f>
        <v>100</v>
      </c>
      <c r="J8178">
        <f>(D8155-2*F$5)/1000</f>
        <v>0.22</v>
      </c>
      <c r="K8178" t="str">
        <v>+</v>
      </c>
      <c r="L8178">
        <f>IF(D8178=0,2*MAX(6*F8178,75),(D8178-1)*2*MAX(6*F8178,75))/1000</f>
        <v>0.15</v>
      </c>
      <c r="M8178" t="str">
        <v>=</v>
      </c>
      <c r="N8178">
        <f>J8178+L8178</f>
        <v>0.37</v>
      </c>
      <c r="T8178" t="str">
        <v>x</v>
      </c>
      <c r="U8178">
        <f>0.006165*F8178^2</f>
        <v>0</v>
      </c>
      <c r="V8178" t="str">
        <v>x</v>
      </c>
      <c r="W8178">
        <f>W8174</f>
        <v>19</v>
      </c>
      <c r="X8178" t="str">
        <v>x</v>
      </c>
      <c r="Y8178">
        <f>D8164</f>
        <v>6</v>
      </c>
      <c r="Z8178" t="str">
        <v>=</v>
      </c>
      <c r="AA8178">
        <f>N8178*U8178*W8178*Y8178</f>
        <v>0</v>
      </c>
    </row>
    <row r="8179">
      <c r="A8179" t="str">
        <f>A8154</f>
        <v>Lantai Attic</v>
      </c>
      <c r="B8179">
        <f>B8154</f>
        <v>8</v>
      </c>
      <c r="C8179" t="str">
        <v>Kait Horizontal Lap.</v>
      </c>
      <c r="D8179">
        <f>VLOOKUP(D8154,'Detail Balok'!$C$10:$BJ$110,51,FALSE)</f>
        <v>0</v>
      </c>
      <c r="E8179" t="str">
        <v>D</v>
      </c>
      <c r="F8179">
        <f>VLOOKUP(D8154,'Detail Balok'!$C$10:$BJ$110,53,FALSE)</f>
        <v>0</v>
      </c>
      <c r="G8179" t="str">
        <v>-</v>
      </c>
      <c r="H8179">
        <f>VLOOKUP(D8154,'Detail Balok'!$C$10:$BJ$110,55,FALSE)</f>
        <v>100</v>
      </c>
      <c r="J8179">
        <f>(D8155-2*F$5)/1000</f>
        <v>0.22</v>
      </c>
      <c r="K8179" t="str">
        <v>+</v>
      </c>
      <c r="L8179">
        <f>IF(D8179=0,2*MAX(6*F8179,75),(D8179-1)*2*MAX(6*F8179,75))/1000</f>
        <v>0.15</v>
      </c>
      <c r="M8179" t="str">
        <v>=</v>
      </c>
      <c r="N8179">
        <f>J8179+L8179</f>
        <v>0.37</v>
      </c>
      <c r="T8179" t="str">
        <v>x</v>
      </c>
      <c r="U8179">
        <f>0.006165*F8179^2</f>
        <v>0</v>
      </c>
      <c r="V8179" t="str">
        <v>x</v>
      </c>
      <c r="W8179">
        <f>W8175</f>
        <v>0</v>
      </c>
      <c r="X8179" t="str">
        <v>x</v>
      </c>
      <c r="Y8179">
        <f>D8164</f>
        <v>6</v>
      </c>
      <c r="Z8179" t="str">
        <v>=</v>
      </c>
      <c r="AA8179">
        <f>N8179*U8179*W8179*Y8179</f>
        <v>0</v>
      </c>
    </row>
    <row r="8180">
      <c r="A8180" t="str">
        <f>A8154</f>
        <v>Lantai Attic</v>
      </c>
      <c r="B8180">
        <f>B8154</f>
        <v>8</v>
      </c>
      <c r="C8180" t="str">
        <v>Kait Horizontal Tump.</v>
      </c>
      <c r="D8180">
        <f>VLOOKUP(D8154,'Detail Balok'!$C$10:$BJ$110,56,FALSE)</f>
        <v>0</v>
      </c>
      <c r="E8180" t="str">
        <v>D</v>
      </c>
      <c r="F8180">
        <f>VLOOKUP(D8154,'Detail Balok'!$C$10:$BJ$110,58,FALSE)</f>
        <v>0</v>
      </c>
      <c r="G8180" t="str">
        <v>-</v>
      </c>
      <c r="H8180">
        <f>VLOOKUP(D8154,'Detail Balok'!$C$10:$BJ$110,60,FALSE)</f>
        <v>100</v>
      </c>
      <c r="J8180">
        <f>(D8155-2*F$5)/1000</f>
        <v>0.22</v>
      </c>
      <c r="K8180" t="str">
        <v>+</v>
      </c>
      <c r="L8180">
        <f>IF(D8180=0,2*MAX(6*F8180,75),(D8180-1)*2*MAX(6*F8180,75))/1000</f>
        <v>0.15</v>
      </c>
      <c r="M8180" t="str">
        <v>=</v>
      </c>
      <c r="N8180">
        <f>J8180+L8180</f>
        <v>0.37</v>
      </c>
      <c r="T8180" t="str">
        <v>x</v>
      </c>
      <c r="U8180">
        <f>0.006165*F8180^2</f>
        <v>0</v>
      </c>
      <c r="V8180" t="str">
        <v>x</v>
      </c>
      <c r="W8180">
        <f>W8176</f>
        <v>0</v>
      </c>
      <c r="X8180" t="str">
        <v>x</v>
      </c>
      <c r="Y8180">
        <f>D8164</f>
        <v>6</v>
      </c>
      <c r="Z8180" t="str">
        <v>=</v>
      </c>
      <c r="AA8180">
        <f>N8180*U8180*W8180*Y8180</f>
        <v>0</v>
      </c>
    </row>
    <row r="8184">
      <c r="A8184" t="str">
        <f>A8154</f>
        <v>Lantai Attic</v>
      </c>
      <c r="B8184">
        <f>B8154+1</f>
        <v>9</v>
      </c>
      <c r="C8184" t="str">
        <f>CONCATENATE(A8184," no. ",B8184)</f>
        <v>Lantai Attic no. 9</v>
      </c>
      <c r="D8184" t="str">
        <f>VLOOKUP(C8184,'Data Panjang Balok'!$C$9:$N$424,2,FALSE)</f>
        <v>B35-2</v>
      </c>
    </row>
    <row r="8185">
      <c r="C8185" t="str">
        <v>Dimensi</v>
      </c>
      <c r="D8185">
        <f>VLOOKUP(D8184,'Detail Balok'!$C$10:$AU$110,2,FALSE)</f>
        <v>300</v>
      </c>
      <c r="F8185" t="str">
        <v>x</v>
      </c>
      <c r="G8185">
        <f>VLOOKUP(D8184,'Detail Balok'!$C$10:$AU$110,3,FALSE)</f>
        <v>500</v>
      </c>
    </row>
    <row r="8186">
      <c r="C8186" t="str">
        <v>Panjang as ke as</v>
      </c>
      <c r="D8186">
        <f>VLOOKUP(C8184,'Data Panjang Balok'!$C$9:$N$424,4,FALSE)</f>
        <v>6100</v>
      </c>
    </row>
    <row r="8187">
      <c r="C8187" t="str">
        <v>Panjang netto</v>
      </c>
      <c r="D8187">
        <f>VLOOKUP(C8184,'Data Panjang Balok'!$C$9:$N$424,7,FALSE)</f>
        <v>6100</v>
      </c>
    </row>
    <row r="8188">
      <c r="C8188" t="str">
        <v>Kolom / balok kiri</v>
      </c>
      <c r="D8188">
        <f>VLOOKUP(C8184,'Data Panjang Balok'!$C$9:$N$424,9,FALSE)</f>
        <v>0</v>
      </c>
    </row>
    <row r="8189">
      <c r="C8189" t="str">
        <v>Kolom / balok kanan</v>
      </c>
      <c r="D8189">
        <f>VLOOKUP(C8184,'Data Panjang Balok'!$C$9:$N$424,10,FALSE)</f>
        <v>0</v>
      </c>
    </row>
    <row r="8190">
      <c r="C8190" t="str">
        <v>Jumlah</v>
      </c>
      <c r="D8190">
        <f>VLOOKUP(C8184,'Data Panjang Balok'!$C$9:$N$424,3,FALSE)</f>
        <v>1</v>
      </c>
    </row>
    <row r="8191">
      <c r="A8191" t="str">
        <f>A8184</f>
        <v>Lantai Attic</v>
      </c>
      <c r="B8191">
        <f>B8184</f>
        <v>9</v>
      </c>
      <c r="C8191" t="str">
        <v>Tul Atas Tumpuan</v>
      </c>
      <c r="D8191">
        <f>VLOOKUP(D8184,'Detail Balok'!$C$10:$AU$110,4,FALSE)</f>
        <v>6</v>
      </c>
      <c r="E8191" t="str">
        <v>D</v>
      </c>
      <c r="F8191">
        <f>VLOOKUP(D8184,'Detail Balok'!$C$10:$AU$110,6,FALSE)</f>
        <v>19</v>
      </c>
      <c r="I8191" t="str">
        <v>(</v>
      </c>
      <c r="J8191">
        <f>+D8186/4/1000</f>
        <v>1.525</v>
      </c>
      <c r="K8191" t="str">
        <v>+</v>
      </c>
      <c r="L8191">
        <f>MAX(VLOOKUP(F8191,N$6:P$15,3,FALSE)/1000,2/3*D8188/1000)+F$16*F8191/1000</f>
        <v>0.228</v>
      </c>
      <c r="M8191" t="str">
        <v>=</v>
      </c>
      <c r="N8191">
        <f>J8191+L8191</f>
        <v>1.753</v>
      </c>
      <c r="O8191" t="str">
        <v>+</v>
      </c>
      <c r="P8191">
        <f>D8191-D8192</f>
        <v>4</v>
      </c>
      <c r="Q8191" t="str">
        <v>x</v>
      </c>
      <c r="R8191">
        <f>IF(P8191&gt;0,$F$18*F8191/1000,0)</f>
        <v>0.285</v>
      </c>
      <c r="S8191" t="str">
        <v>)</v>
      </c>
      <c r="T8191" t="str">
        <v>x</v>
      </c>
      <c r="U8191">
        <f>0.006165*F8191^2</f>
        <v>2.225565</v>
      </c>
      <c r="X8191" t="str">
        <v>x</v>
      </c>
      <c r="Y8191">
        <f>D8190</f>
        <v>1</v>
      </c>
      <c r="Z8191" t="str">
        <v>=</v>
      </c>
      <c r="AA8191">
        <f>IF(AA8194=0,(D8191*N8191+P8191*R8191)*U8191*Y8191,0)</f>
        <v>25.94563677</v>
      </c>
    </row>
    <row r="8192">
      <c r="A8192" t="str">
        <f>A8184</f>
        <v>Lantai Attic</v>
      </c>
      <c r="B8192">
        <f>B8184</f>
        <v>9</v>
      </c>
      <c r="C8192" t="str">
        <v>Tul Atas Lapangan</v>
      </c>
      <c r="D8192">
        <f>VLOOKUP(D8184,'Detail Balok'!$C$10:$AU$110,7,FALSE)</f>
        <v>2</v>
      </c>
      <c r="E8192" t="str">
        <v>D</v>
      </c>
      <c r="F8192">
        <f>VLOOKUP(D8184,'Detail Balok'!$C$10:$AU$110,9,FALSE)</f>
        <v>19</v>
      </c>
      <c r="I8192" t="str">
        <v>(</v>
      </c>
      <c r="J8192">
        <f>+D8186/2/1000</f>
        <v>3.05</v>
      </c>
      <c r="K8192" t="str">
        <v>+</v>
      </c>
      <c r="M8192" t="str">
        <v>=</v>
      </c>
      <c r="N8192">
        <f>J8192+L8192</f>
        <v>3.05</v>
      </c>
      <c r="O8192" t="str">
        <v>+</v>
      </c>
      <c r="P8192">
        <f>MAX(D8192-D8191,D8192-D8193)</f>
        <v>-4</v>
      </c>
      <c r="Q8192" t="str">
        <v>x</v>
      </c>
      <c r="R8192">
        <f>IF(P8192&gt;0,2*(1-2*$F$19-1/2)*D8187/1000,0)</f>
        <v>0</v>
      </c>
      <c r="S8192" t="str">
        <v>)</v>
      </c>
      <c r="T8192" t="str">
        <v>x</v>
      </c>
      <c r="U8192">
        <f>0.006165*F8192^2</f>
        <v>2.225565</v>
      </c>
      <c r="X8192" t="str">
        <v>x</v>
      </c>
      <c r="Y8192">
        <f>D8190</f>
        <v>1</v>
      </c>
      <c r="Z8192" t="str">
        <v>=</v>
      </c>
      <c r="AA8192">
        <f>IF(AA8194=0,(D8192*N8192+P8192*R8192)*U8192*Y8192,0)</f>
        <v>13.575946499999999</v>
      </c>
    </row>
    <row r="8193">
      <c r="A8193" t="str">
        <f>A8184</f>
        <v>Lantai Attic</v>
      </c>
      <c r="B8193">
        <f>B8184</f>
        <v>9</v>
      </c>
      <c r="C8193" t="str">
        <v>Tul Atas Tumpuan</v>
      </c>
      <c r="D8193">
        <f>VLOOKUP(D8184,'Detail Balok'!$C$10:$AU$110,10,FALSE)</f>
        <v>6</v>
      </c>
      <c r="E8193" t="str">
        <v>D</v>
      </c>
      <c r="F8193">
        <f>VLOOKUP(D8184,'Detail Balok'!$C$10:$AU$110,12,FALSE)</f>
        <v>19</v>
      </c>
      <c r="I8193" t="str">
        <v>(</v>
      </c>
      <c r="J8193">
        <f>+D8186/4/1000</f>
        <v>1.525</v>
      </c>
      <c r="K8193" t="str">
        <v>+</v>
      </c>
      <c r="L8193">
        <f>MAX(VLOOKUP(F8193,N$6:P$15,3,FALSE)/1000,2/3*D8188/1000)+F$16*F8193/1000</f>
        <v>0.228</v>
      </c>
      <c r="M8193" t="str">
        <v>=</v>
      </c>
      <c r="N8193">
        <f>J8193+L8193</f>
        <v>1.753</v>
      </c>
      <c r="O8193" t="str">
        <v>+</v>
      </c>
      <c r="P8193">
        <f>D8193-D8192</f>
        <v>4</v>
      </c>
      <c r="Q8193" t="str">
        <v>x</v>
      </c>
      <c r="R8193">
        <f>IF(P8193&gt;0,$F$18*F8193/1000,0)</f>
        <v>0.285</v>
      </c>
      <c r="S8193" t="str">
        <v>)</v>
      </c>
      <c r="T8193" t="str">
        <v>x</v>
      </c>
      <c r="U8193">
        <f>0.006165*F8193^2</f>
        <v>2.225565</v>
      </c>
      <c r="X8193" t="str">
        <v>x</v>
      </c>
      <c r="Y8193">
        <f>D8190</f>
        <v>1</v>
      </c>
      <c r="Z8193" t="str">
        <v>=</v>
      </c>
      <c r="AA8193">
        <f>IF(AA8194=0,(D8193*N8193+P8193*R8193)*U8193*Y8193,0)</f>
        <v>25.94563677</v>
      </c>
    </row>
    <row r="8194">
      <c r="A8194" t="str">
        <f>A8184</f>
        <v>Lantai Attic</v>
      </c>
      <c r="B8194">
        <f>B8184</f>
        <v>9</v>
      </c>
      <c r="D8194">
        <f>IF(AND(D8191=D8192,D8192=D8193,D8191=D8193),D8191,0)</f>
        <v>0</v>
      </c>
      <c r="E8194" t="str">
        <v>D</v>
      </c>
      <c r="F8194">
        <f>IF(AND(F8191=F8192,F8191=F8193,F8192=F8193),F8191,0)</f>
        <v>19</v>
      </c>
      <c r="L8194" t="str">
        <v>Total panjang per balok</v>
      </c>
      <c r="M8194" t="str">
        <v>=</v>
      </c>
      <c r="N8194">
        <f>IF(AND(D8191=D8192,D8191=D8193,D8192=D8193,F8191=F8192,F8191=F8193,F8192=F8193),SUM(N8191:N8193),0)</f>
        <v>0</v>
      </c>
      <c r="O8194" t="str">
        <v>+</v>
      </c>
      <c r="P8194">
        <f>IF(N8194&gt;12,ROUNDDOWN(N8194/12,0),0)</f>
        <v>0</v>
      </c>
      <c r="Q8194" t="str">
        <v>x</v>
      </c>
      <c r="R8194">
        <f>IF(P8194&gt;0,MAX(VLOOKUP(F8194,$D$6:$G$15,3,FALSE),600),0)/1000</f>
        <v>0</v>
      </c>
      <c r="T8194" t="str">
        <v>x</v>
      </c>
      <c r="U8194">
        <f>U8193</f>
        <v>2.225565</v>
      </c>
      <c r="V8194" t="str">
        <v>x</v>
      </c>
      <c r="W8194">
        <f>D8194</f>
        <v>0</v>
      </c>
      <c r="X8194" t="str">
        <v>x</v>
      </c>
      <c r="Y8194">
        <f>Y8193</f>
        <v>1</v>
      </c>
      <c r="Z8194" t="str">
        <v>=</v>
      </c>
      <c r="AA8194">
        <f>(N8194+P8194*R8194/1000)*U8194*W8194*Y8194</f>
        <v>0</v>
      </c>
    </row>
    <row r="8196">
      <c r="A8196" t="str">
        <f>A8184</f>
        <v>Lantai Attic</v>
      </c>
      <c r="B8196">
        <f>B8184</f>
        <v>9</v>
      </c>
      <c r="C8196" t="str">
        <v>Tul Peminggang</v>
      </c>
      <c r="D8196">
        <f>VLOOKUP(D8184,'Detail Balok'!$C$10:$AU$110,13,FALSE)</f>
        <v>2</v>
      </c>
      <c r="E8196" t="str">
        <v>D</v>
      </c>
      <c r="F8196">
        <f>VLOOKUP(D8184,'Detail Balok'!$C$10:$AU$110,15,FALSE)</f>
        <v>10</v>
      </c>
      <c r="J8196">
        <f>+D8186/1000</f>
        <v>6.1</v>
      </c>
      <c r="K8196" t="str">
        <v>+</v>
      </c>
      <c r="L8196">
        <f>2*$F$16*F8196/1000</f>
        <v>0.24</v>
      </c>
      <c r="M8196" t="str">
        <v>=</v>
      </c>
      <c r="N8196">
        <f>J8196+L8196</f>
        <v>6.34</v>
      </c>
      <c r="O8196" t="str">
        <v>+</v>
      </c>
      <c r="P8196">
        <f>IF(N8196&gt;12,ROUNDDOWN(N8196/12,0),0)</f>
        <v>0</v>
      </c>
      <c r="Q8196" t="str">
        <v>x</v>
      </c>
      <c r="R8196">
        <f>IF(P8196&gt;0,MAX(VLOOKUP(F8196,$D$6:$G$15,3,FALSE),600),0)/1000</f>
        <v>0</v>
      </c>
      <c r="T8196" t="str">
        <v>x</v>
      </c>
      <c r="U8196">
        <f>0.006165*F8196^2</f>
        <v>0.6165</v>
      </c>
      <c r="V8196" t="str">
        <v>x</v>
      </c>
      <c r="W8196">
        <f>+D8196</f>
        <v>2</v>
      </c>
      <c r="X8196" t="str">
        <v>x</v>
      </c>
      <c r="Y8196">
        <f>D8190</f>
        <v>1</v>
      </c>
      <c r="Z8196" t="str">
        <v>=</v>
      </c>
      <c r="AA8196">
        <f>(N8196+P8196*R8196/1000)*U8196*W8196*Y8196</f>
        <v>7.817220000000001</v>
      </c>
    </row>
    <row r="8199">
      <c r="A8199" t="str">
        <f>A8184</f>
        <v>Lantai Attic</v>
      </c>
      <c r="B8199">
        <f>B8184</f>
        <v>9</v>
      </c>
      <c r="C8199" t="str">
        <v>Tul Bawah Tumpuan</v>
      </c>
      <c r="D8199">
        <f>VLOOKUP(D8184,'Detail Balok'!$C$10:$AU$110,22,FALSE)</f>
        <v>5</v>
      </c>
      <c r="E8199" t="str">
        <v>D</v>
      </c>
      <c r="F8199">
        <f>VLOOKUP(D8184,'Detail Balok'!$C$10:$AU$110,24,FALSE)</f>
        <v>19</v>
      </c>
      <c r="I8199" t="str">
        <v>(</v>
      </c>
      <c r="J8199">
        <f>+J8191</f>
        <v>1.525</v>
      </c>
      <c r="K8199" t="str">
        <v>+</v>
      </c>
      <c r="L8199">
        <f>MAX(VLOOKUP(F8199,N$6:P$15,3,FALSE)/1000,2/3*D8189/1000)+F$16*F8199/1000</f>
        <v>0.228</v>
      </c>
      <c r="M8199" t="str">
        <v>=</v>
      </c>
      <c r="N8199">
        <f>J8199+L8199</f>
        <v>1.753</v>
      </c>
      <c r="O8199" t="str">
        <v>+</v>
      </c>
      <c r="P8199">
        <f>D8199-D8200</f>
        <v>0</v>
      </c>
      <c r="Q8199" t="str">
        <v>x</v>
      </c>
      <c r="R8199">
        <f>IF(P8199&gt;0,$F$18*F8199/1000,0)</f>
        <v>0</v>
      </c>
      <c r="S8199" t="str">
        <v>)</v>
      </c>
      <c r="T8199" t="str">
        <v>x</v>
      </c>
      <c r="U8199">
        <f>0.006165*F8199^2</f>
        <v>2.225565</v>
      </c>
      <c r="X8199" t="str">
        <v>x</v>
      </c>
      <c r="Y8199">
        <f>D8190</f>
        <v>1</v>
      </c>
      <c r="Z8199" t="str">
        <v>=</v>
      </c>
      <c r="AA8199">
        <f>IF(AA8202=0,(D8199*N8199+P8199*R8199)*U8199*Y8199,0)</f>
        <v>0</v>
      </c>
    </row>
    <row r="8200">
      <c r="A8200" t="str">
        <f>A8184</f>
        <v>Lantai Attic</v>
      </c>
      <c r="B8200">
        <f>B8184</f>
        <v>9</v>
      </c>
      <c r="C8200" t="str">
        <v>Tul Bawah Lapangan</v>
      </c>
      <c r="D8200">
        <f>VLOOKUP(D8184,'Detail Balok'!$C$10:$AU$110,25,FALSE)</f>
        <v>5</v>
      </c>
      <c r="E8200" t="str">
        <v>D</v>
      </c>
      <c r="F8200">
        <f>VLOOKUP(D8184,'Detail Balok'!$C$10:$AU$110,27,FALSE)</f>
        <v>19</v>
      </c>
      <c r="I8200" t="str">
        <v>(</v>
      </c>
      <c r="J8200">
        <f>+J8192</f>
        <v>3.05</v>
      </c>
      <c r="K8200" t="str">
        <v>+</v>
      </c>
      <c r="M8200" t="str">
        <v>=</v>
      </c>
      <c r="N8200">
        <f>J8200+L8200</f>
        <v>3.05</v>
      </c>
      <c r="O8200" t="str">
        <v>+</v>
      </c>
      <c r="P8200">
        <f>MAX(D8200-D8199,D8200-D8201)</f>
        <v>0</v>
      </c>
      <c r="Q8200" t="str">
        <v>x</v>
      </c>
      <c r="R8200">
        <f>IF(P8200&gt;0,2*(1-2*$F$19-1/2)*D8187/1000,0)</f>
        <v>0</v>
      </c>
      <c r="S8200" t="str">
        <v>)</v>
      </c>
      <c r="T8200" t="str">
        <v>x</v>
      </c>
      <c r="U8200">
        <f>0.006165*F8200^2</f>
        <v>2.225565</v>
      </c>
      <c r="X8200" t="str">
        <v>x</v>
      </c>
      <c r="Y8200">
        <f>D8190</f>
        <v>1</v>
      </c>
      <c r="Z8200" t="str">
        <v>=</v>
      </c>
      <c r="AA8200">
        <f>IF(AA8202=0,(D8200*N8200+P8200*R8200)*U8200*Y8200,0)</f>
        <v>0</v>
      </c>
    </row>
    <row r="8201">
      <c r="A8201" t="str">
        <f>A8184</f>
        <v>Lantai Attic</v>
      </c>
      <c r="B8201">
        <f>B8184</f>
        <v>9</v>
      </c>
      <c r="C8201" t="str">
        <v>Tul Bawah Tumpuan</v>
      </c>
      <c r="D8201">
        <f>VLOOKUP(D8184,'Detail Balok'!$C$10:$AU$110,28,FALSE)</f>
        <v>5</v>
      </c>
      <c r="E8201" t="str">
        <v>D</v>
      </c>
      <c r="F8201">
        <f>VLOOKUP(D8184,'Detail Balok'!$C$10:$AU$110,30,FALSE)</f>
        <v>19</v>
      </c>
      <c r="I8201" t="str">
        <v>(</v>
      </c>
      <c r="J8201">
        <f>+J8193</f>
        <v>1.525</v>
      </c>
      <c r="K8201" t="str">
        <v>+</v>
      </c>
      <c r="L8201">
        <f>MAX(VLOOKUP(F8201,N$6:P$15,3,FALSE)/1000,2/3*D8189/1000)+F$16*F8201/1000</f>
        <v>0.228</v>
      </c>
      <c r="M8201" t="str">
        <v>=</v>
      </c>
      <c r="N8201">
        <f>J8201+L8201</f>
        <v>1.753</v>
      </c>
      <c r="O8201" t="str">
        <v>+</v>
      </c>
      <c r="P8201">
        <f>D8201-D8200</f>
        <v>0</v>
      </c>
      <c r="Q8201" t="str">
        <v>x</v>
      </c>
      <c r="R8201">
        <f>IF(P8201&gt;0,$F$18*F8201/1000,0)</f>
        <v>0</v>
      </c>
      <c r="S8201" t="str">
        <v>)</v>
      </c>
      <c r="T8201" t="str">
        <v>x</v>
      </c>
      <c r="U8201">
        <f>0.006165*F8201^2</f>
        <v>2.225565</v>
      </c>
      <c r="X8201" t="str">
        <v>x</v>
      </c>
      <c r="Y8201">
        <f>D8190</f>
        <v>1</v>
      </c>
      <c r="Z8201" t="str">
        <v>=</v>
      </c>
      <c r="AA8201">
        <f>IF(AA8202=0,(D8201*N8201+P8201*R8201)*U8201*Y8201,0)</f>
        <v>0</v>
      </c>
    </row>
    <row r="8202">
      <c r="A8202" t="str">
        <f>A8184</f>
        <v>Lantai Attic</v>
      </c>
      <c r="B8202">
        <f>B8184</f>
        <v>9</v>
      </c>
      <c r="D8202">
        <f>IF(AND(D8199=D8200,D8200=D8201,D8199=D8201),D8199,0)</f>
        <v>5</v>
      </c>
      <c r="E8202" t="str">
        <v>D</v>
      </c>
      <c r="F8202">
        <f>IF(AND(F8199=F8200,F8199=F8201,F8200=F8201),F8199,0)</f>
        <v>19</v>
      </c>
      <c r="L8202" t="str">
        <v>Total panjang per balok</v>
      </c>
      <c r="M8202" t="str">
        <v>=</v>
      </c>
      <c r="N8202">
        <f>IF(AND(D8199=D8200,D8199=D8201,D8200=D8201,F8199=F8200,F8199=F8201,F8200=F8201),SUM(N8199:N8201),0)</f>
        <v>6.556</v>
      </c>
      <c r="O8202" t="str">
        <v>+</v>
      </c>
      <c r="P8202">
        <f>IF(N8202&gt;12,ROUNDDOWN(N8202/12,0),0)</f>
        <v>0</v>
      </c>
      <c r="Q8202" t="str">
        <v>x</v>
      </c>
      <c r="R8202">
        <f>IF(P8202&gt;0,MAX(VLOOKUP(F8202,$D$6:$G$15,3,FALSE),600),0)/1000</f>
        <v>0</v>
      </c>
      <c r="T8202" t="str">
        <v>x</v>
      </c>
      <c r="U8202">
        <f>U8201</f>
        <v>2.225565</v>
      </c>
      <c r="V8202" t="str">
        <v>x</v>
      </c>
      <c r="W8202">
        <f>D8202</f>
        <v>5</v>
      </c>
      <c r="X8202" t="str">
        <v>x</v>
      </c>
      <c r="Y8202">
        <f>Y8201</f>
        <v>1</v>
      </c>
      <c r="Z8202" t="str">
        <v>=</v>
      </c>
      <c r="AA8202">
        <f>(N8202+P8202*R8202/1000)*U8202*W8202*Y8202</f>
        <v>72.9540207</v>
      </c>
    </row>
    <row r="8204">
      <c r="A8204" t="str">
        <f>A8184</f>
        <v>Lantai Attic</v>
      </c>
      <c r="B8204">
        <f>B8184</f>
        <v>9</v>
      </c>
      <c r="C8204" t="str">
        <v>Sengkang Tumpuan</v>
      </c>
      <c r="D8204">
        <f>VLOOKUP(D8184,'Detail Balok'!$C$10:$AU$110,31,FALSE)</f>
        <v>0</v>
      </c>
      <c r="E8204" t="str">
        <v>D</v>
      </c>
      <c r="F8204">
        <f>VLOOKUP(D8184,'Detail Balok'!$C$10:$AU$110,33,FALSE)</f>
        <v>10</v>
      </c>
      <c r="G8204" t="str">
        <v>-</v>
      </c>
      <c r="H8204">
        <f>VLOOKUP(D8184,'Detail Balok'!$C$10:$AU$110,35,FALSE)</f>
        <v>90</v>
      </c>
      <c r="J8204">
        <f>(IF(D8204=0,(2*(D8185+G8185))-(F$5*8),IF(D8204=3,(2*(D8185+G8185))-(F$5*8)+(G8185-2*F$5),IF(D8204=4,(2*(D8185+G8185))-(F$5*8)+2*(G8185-2*F$5)))))/1000</f>
        <v>1.28</v>
      </c>
      <c r="K8204" t="str">
        <v>+</v>
      </c>
      <c r="L8204">
        <f>IF(D8204=0,2*MAX(6*F8204,75),(D8204-1)*2*MAX(6*F8204,75))/1000</f>
        <v>0.15</v>
      </c>
      <c r="M8204" t="str">
        <v>=</v>
      </c>
      <c r="N8204">
        <f>J8204+L8204</f>
        <v>1.43</v>
      </c>
      <c r="T8204" t="str">
        <v>x</v>
      </c>
      <c r="U8204">
        <f>0.006165*F8204^2</f>
        <v>0.6165</v>
      </c>
      <c r="V8204" t="str">
        <v>x</v>
      </c>
      <c r="W8204">
        <f>IF(D8187&gt;4*G8185,ROUND(MAX(D8187/4,2*G8185)/H8204,0)+1,ROUND(D8187/H8204,0)+1)</f>
        <v>18</v>
      </c>
      <c r="X8204" t="str">
        <v>x</v>
      </c>
      <c r="Y8204">
        <f>D8190</f>
        <v>1</v>
      </c>
      <c r="Z8204" t="str">
        <v>=</v>
      </c>
      <c r="AA8204">
        <f>N8204*U8204*W8204*Y8204</f>
        <v>15.86871</v>
      </c>
    </row>
    <row r="8205">
      <c r="A8205" t="str">
        <f>A8184</f>
        <v>Lantai Attic</v>
      </c>
      <c r="B8205">
        <f>B8184</f>
        <v>9</v>
      </c>
      <c r="C8205" t="str">
        <v>Sengkang Lapangan</v>
      </c>
      <c r="D8205">
        <f>VLOOKUP(D8184,'Detail Balok'!$C$10:$AU$110,36,FALSE)</f>
        <v>0</v>
      </c>
      <c r="E8205" t="str">
        <v>D</v>
      </c>
      <c r="F8205">
        <f>VLOOKUP(D8184,'Detail Balok'!$C$10:$AU$110,38,FALSE)</f>
        <v>10</v>
      </c>
      <c r="G8205" t="str">
        <v>-</v>
      </c>
      <c r="H8205">
        <f>VLOOKUP(D8184,'Detail Balok'!$C$10:$AU$110,40,FALSE)</f>
        <v>200</v>
      </c>
      <c r="J8205">
        <f>(IF(D8205=0,(2*(D8185+G8185))-(F$5*8),IF(D8205=3,(2*(D8185+G8185))-(F$5*8)+(G8185-2*F$5),IF(D8205=4,(2*(D8185+G8185))-(F$5*8)+2*(G8185-2*F$5)))))/1000</f>
        <v>1.28</v>
      </c>
      <c r="K8205" t="str">
        <v>+</v>
      </c>
      <c r="L8205">
        <f>IF(D8205=0,2*MAX(6*F8205,75),(D8205-1)*2*MAX(6*F8205,75))/1000</f>
        <v>0.15</v>
      </c>
      <c r="M8205" t="str">
        <v>=</v>
      </c>
      <c r="N8205">
        <f>J8205+L8205</f>
        <v>1.43</v>
      </c>
      <c r="T8205" t="str">
        <v>x</v>
      </c>
      <c r="U8205">
        <f>0.006165*F8205^2</f>
        <v>0.6165</v>
      </c>
      <c r="V8205" t="str">
        <v>x</v>
      </c>
      <c r="W8205">
        <f>IF(D8187-MAX(D8187/4,2*G8185)*2&gt;0,ROUND((D8187-MAX(D8187/4,2*G8185)*2)/H8205,0),0)</f>
        <v>15</v>
      </c>
      <c r="X8205" t="str">
        <v>x</v>
      </c>
      <c r="Y8205">
        <f>D8190</f>
        <v>1</v>
      </c>
      <c r="Z8205" t="str">
        <v>=</v>
      </c>
      <c r="AA8205">
        <f>N8205*U8205*W8205*Y8205</f>
        <v>13.223925</v>
      </c>
    </row>
    <row r="8206">
      <c r="A8206" t="str">
        <f>A8184</f>
        <v>Lantai Attic</v>
      </c>
      <c r="B8206">
        <f>B8184</f>
        <v>9</v>
      </c>
      <c r="C8206" t="str">
        <v>Sengkang Tumpuan</v>
      </c>
      <c r="D8206">
        <f>VLOOKUP(D8184,'Detail Balok'!$C$10:$AU$110,41,FALSE)</f>
        <v>0</v>
      </c>
      <c r="E8206" t="str">
        <v>D</v>
      </c>
      <c r="F8206">
        <f>VLOOKUP(D8184,'Detail Balok'!$C$10:$AU$110,43,FALSE)</f>
        <v>10</v>
      </c>
      <c r="G8206" t="str">
        <v>-</v>
      </c>
      <c r="H8206">
        <f>VLOOKUP(D8184,'Detail Balok'!$C$10:$AU$110,45,FALSE)</f>
        <v>90</v>
      </c>
      <c r="J8206">
        <f>(IF(D8206=0,(2*(D8185+G8185))-(F$5*8),IF(D8206=3,(2*(D8185+G8185))-(F$5*8)+(G8185-2*F$5),IF(D8206=4,(2*(D8185+G8185))-(F$5*8)+2*(G8185-2*F$5)))))/1000</f>
        <v>1.28</v>
      </c>
      <c r="K8206" t="str">
        <v>+</v>
      </c>
      <c r="L8206">
        <f>IF(D8206=0,2*MAX(6*F8206,75),(D8206-1)*2*MAX(6*F8206,75))/1000</f>
        <v>0.15</v>
      </c>
      <c r="M8206" t="str">
        <v>=</v>
      </c>
      <c r="N8206">
        <f>J8206+L8206</f>
        <v>1.43</v>
      </c>
      <c r="T8206" t="str">
        <v>x</v>
      </c>
      <c r="U8206">
        <f>0.006165*F8206^2</f>
        <v>0.6165</v>
      </c>
      <c r="V8206" t="str">
        <v>x</v>
      </c>
      <c r="W8206">
        <f>IF(D8187&gt;4*G8185,ROUND(MAX(D8187/4,2*G8185)/H8206,0)+1,0)</f>
        <v>18</v>
      </c>
      <c r="X8206" t="str">
        <v>x</v>
      </c>
      <c r="Y8206">
        <f>D8190</f>
        <v>1</v>
      </c>
      <c r="Z8206" t="str">
        <v>=</v>
      </c>
      <c r="AA8206">
        <f>N8206*U8206*W8206*Y8206</f>
        <v>15.86871</v>
      </c>
    </row>
    <row r="8208">
      <c r="A8208" t="str">
        <f>A8184</f>
        <v>Lantai Attic</v>
      </c>
      <c r="B8208">
        <f>B8184</f>
        <v>9</v>
      </c>
      <c r="C8208" t="str">
        <v>Kait Horizontal Tump.</v>
      </c>
      <c r="D8208">
        <f>VLOOKUP(D8184,'Detail Balok'!$C$10:$BJ$110,46,FALSE)</f>
        <v>0</v>
      </c>
      <c r="E8208" t="str">
        <v>D</v>
      </c>
      <c r="F8208">
        <f>VLOOKUP(D8184,'Detail Balok'!$C$10:$BJ$110,48,FALSE)</f>
        <v>0</v>
      </c>
      <c r="G8208" t="str">
        <v>-</v>
      </c>
      <c r="H8208">
        <f>VLOOKUP(D8184,'Detail Balok'!$C$10:$BJ$110,50,FALSE)</f>
        <v>100</v>
      </c>
      <c r="J8208">
        <f>(D8185-2*F$5)/1000</f>
        <v>0.22</v>
      </c>
      <c r="K8208" t="str">
        <v>+</v>
      </c>
      <c r="L8208">
        <f>IF(D8208=0,2*MAX(6*F8208,75),(D8208-1)*2*MAX(6*F8208,75))/1000</f>
        <v>0.15</v>
      </c>
      <c r="M8208" t="str">
        <v>=</v>
      </c>
      <c r="N8208">
        <f>J8208+L8208</f>
        <v>0.37</v>
      </c>
      <c r="T8208" t="str">
        <v>x</v>
      </c>
      <c r="U8208">
        <f>0.006165*F8208^2</f>
        <v>0</v>
      </c>
      <c r="V8208" t="str">
        <v>x</v>
      </c>
      <c r="W8208">
        <f>W8204</f>
        <v>18</v>
      </c>
      <c r="X8208" t="str">
        <v>x</v>
      </c>
      <c r="Y8208">
        <f>D8194</f>
        <v>0</v>
      </c>
      <c r="Z8208" t="str">
        <v>=</v>
      </c>
      <c r="AA8208">
        <f>N8208*U8208*W8208*Y8208</f>
        <v>0</v>
      </c>
    </row>
    <row r="8209">
      <c r="A8209" t="str">
        <f>A8184</f>
        <v>Lantai Attic</v>
      </c>
      <c r="B8209">
        <f>B8184</f>
        <v>9</v>
      </c>
      <c r="C8209" t="str">
        <v>Kait Horizontal Lap.</v>
      </c>
      <c r="D8209">
        <f>VLOOKUP(D8184,'Detail Balok'!$C$10:$BJ$110,51,FALSE)</f>
        <v>0</v>
      </c>
      <c r="E8209" t="str">
        <v>D</v>
      </c>
      <c r="F8209">
        <f>VLOOKUP(D8184,'Detail Balok'!$C$10:$BJ$110,53,FALSE)</f>
        <v>0</v>
      </c>
      <c r="G8209" t="str">
        <v>-</v>
      </c>
      <c r="H8209">
        <f>VLOOKUP(D8184,'Detail Balok'!$C$10:$BJ$110,55,FALSE)</f>
        <v>100</v>
      </c>
      <c r="J8209">
        <f>(D8185-2*F$5)/1000</f>
        <v>0.22</v>
      </c>
      <c r="K8209" t="str">
        <v>+</v>
      </c>
      <c r="L8209">
        <f>IF(D8209=0,2*MAX(6*F8209,75),(D8209-1)*2*MAX(6*F8209,75))/1000</f>
        <v>0.15</v>
      </c>
      <c r="M8209" t="str">
        <v>=</v>
      </c>
      <c r="N8209">
        <f>J8209+L8209</f>
        <v>0.37</v>
      </c>
      <c r="T8209" t="str">
        <v>x</v>
      </c>
      <c r="U8209">
        <f>0.006165*F8209^2</f>
        <v>0</v>
      </c>
      <c r="V8209" t="str">
        <v>x</v>
      </c>
      <c r="W8209">
        <f>W8205</f>
        <v>15</v>
      </c>
      <c r="X8209" t="str">
        <v>x</v>
      </c>
      <c r="Y8209">
        <f>D8194</f>
        <v>0</v>
      </c>
      <c r="Z8209" t="str">
        <v>=</v>
      </c>
      <c r="AA8209">
        <f>N8209*U8209*W8209*Y8209</f>
        <v>0</v>
      </c>
    </row>
    <row r="8210">
      <c r="A8210" t="str">
        <f>A8184</f>
        <v>Lantai Attic</v>
      </c>
      <c r="B8210">
        <f>B8184</f>
        <v>9</v>
      </c>
      <c r="C8210" t="str">
        <v>Kait Horizontal Tump.</v>
      </c>
      <c r="D8210">
        <f>VLOOKUP(D8184,'Detail Balok'!$C$10:$BJ$110,56,FALSE)</f>
        <v>0</v>
      </c>
      <c r="E8210" t="str">
        <v>D</v>
      </c>
      <c r="F8210">
        <f>VLOOKUP(D8184,'Detail Balok'!$C$10:$BJ$110,58,FALSE)</f>
        <v>0</v>
      </c>
      <c r="G8210" t="str">
        <v>-</v>
      </c>
      <c r="H8210">
        <f>VLOOKUP(D8184,'Detail Balok'!$C$10:$BJ$110,60,FALSE)</f>
        <v>100</v>
      </c>
      <c r="J8210">
        <f>(D8185-2*F$5)/1000</f>
        <v>0.22</v>
      </c>
      <c r="K8210" t="str">
        <v>+</v>
      </c>
      <c r="L8210">
        <f>IF(D8210=0,2*MAX(6*F8210,75),(D8210-1)*2*MAX(6*F8210,75))/1000</f>
        <v>0.15</v>
      </c>
      <c r="M8210" t="str">
        <v>=</v>
      </c>
      <c r="N8210">
        <f>J8210+L8210</f>
        <v>0.37</v>
      </c>
      <c r="T8210" t="str">
        <v>x</v>
      </c>
      <c r="U8210">
        <f>0.006165*F8210^2</f>
        <v>0</v>
      </c>
      <c r="V8210" t="str">
        <v>x</v>
      </c>
      <c r="W8210">
        <f>W8206</f>
        <v>18</v>
      </c>
      <c r="X8210" t="str">
        <v>x</v>
      </c>
      <c r="Y8210">
        <f>D8194</f>
        <v>0</v>
      </c>
      <c r="Z8210" t="str">
        <v>=</v>
      </c>
      <c r="AA8210">
        <f>N8210*U8210*W8210*Y8210</f>
        <v>0</v>
      </c>
    </row>
    <row r="8214">
      <c r="A8214" t="str">
        <f>A8184</f>
        <v>Lantai Attic</v>
      </c>
      <c r="B8214">
        <f>B8184+1</f>
        <v>10</v>
      </c>
      <c r="C8214" t="str">
        <f>CONCATENATE(A8214," no. ",B8214)</f>
        <v>Lantai Attic no. 10</v>
      </c>
      <c r="D8214" t="str">
        <f>VLOOKUP(C8214,'Data Panjang Balok'!$C$9:$N$424,2,FALSE)</f>
        <v>B25-3</v>
      </c>
    </row>
    <row r="8215">
      <c r="C8215" t="str">
        <v>Dimensi</v>
      </c>
      <c r="D8215">
        <f>VLOOKUP(D8214,'Detail Balok'!$C$10:$AU$110,2,FALSE)</f>
        <v>200</v>
      </c>
      <c r="F8215" t="str">
        <v>x</v>
      </c>
      <c r="G8215">
        <f>VLOOKUP(D8214,'Detail Balok'!$C$10:$AU$110,3,FALSE)</f>
        <v>500</v>
      </c>
    </row>
    <row r="8216">
      <c r="C8216" t="str">
        <v>Panjang as ke as</v>
      </c>
      <c r="D8216">
        <f>VLOOKUP(C8214,'Data Panjang Balok'!$C$9:$N$424,4,FALSE)</f>
        <v>7100</v>
      </c>
    </row>
    <row r="8217">
      <c r="C8217" t="str">
        <v>Panjang netto</v>
      </c>
      <c r="D8217">
        <f>VLOOKUP(C8214,'Data Panjang Balok'!$C$9:$N$424,7,FALSE)</f>
        <v>7100</v>
      </c>
    </row>
    <row r="8218">
      <c r="C8218" t="str">
        <v>Kolom / balok kiri</v>
      </c>
      <c r="D8218">
        <f>VLOOKUP(C8214,'Data Panjang Balok'!$C$9:$N$424,9,FALSE)</f>
        <v>0</v>
      </c>
    </row>
    <row r="8219">
      <c r="C8219" t="str">
        <v>Kolom / balok kanan</v>
      </c>
      <c r="D8219">
        <f>VLOOKUP(C8214,'Data Panjang Balok'!$C$9:$N$424,10,FALSE)</f>
        <v>0</v>
      </c>
    </row>
    <row r="8220">
      <c r="C8220" t="str">
        <v>Jumlah</v>
      </c>
      <c r="D8220">
        <f>VLOOKUP(C8214,'Data Panjang Balok'!$C$9:$N$424,3,FALSE)</f>
        <v>1</v>
      </c>
    </row>
    <row r="8221">
      <c r="A8221" t="str">
        <f>A8214</f>
        <v>Lantai Attic</v>
      </c>
      <c r="B8221">
        <f>B8214</f>
        <v>10</v>
      </c>
      <c r="C8221" t="str">
        <v>Tul Atas Tumpuan</v>
      </c>
      <c r="D8221">
        <f>VLOOKUP(D8214,'Detail Balok'!$C$10:$AU$110,4,FALSE)</f>
        <v>5</v>
      </c>
      <c r="E8221" t="str">
        <v>D</v>
      </c>
      <c r="F8221">
        <f>VLOOKUP(D8214,'Detail Balok'!$C$10:$AU$110,6,FALSE)</f>
        <v>16</v>
      </c>
      <c r="I8221" t="str">
        <v>(</v>
      </c>
      <c r="J8221">
        <f>+D8216/4/1000</f>
        <v>1.775</v>
      </c>
      <c r="K8221" t="str">
        <v>+</v>
      </c>
      <c r="L8221">
        <f>MAX(VLOOKUP(F8221,N$6:P$15,3,FALSE)/1000,2/3*D8218/1000)+F$16*F8221/1000</f>
        <v>0.192</v>
      </c>
      <c r="M8221" t="str">
        <v>=</v>
      </c>
      <c r="N8221">
        <f>J8221+L8221</f>
        <v>1.9669999999999999</v>
      </c>
      <c r="O8221" t="str">
        <v>+</v>
      </c>
      <c r="P8221">
        <f>D8221-D8222</f>
        <v>3</v>
      </c>
      <c r="Q8221" t="str">
        <v>x</v>
      </c>
      <c r="R8221">
        <f>IF(P8221&gt;0,$F$18*F8221/1000,0)</f>
        <v>0.24</v>
      </c>
      <c r="S8221" t="str">
        <v>)</v>
      </c>
      <c r="T8221" t="str">
        <v>x</v>
      </c>
      <c r="U8221">
        <f>0.006165*F8221^2</f>
        <v>1.57824</v>
      </c>
      <c r="X8221" t="str">
        <v>x</v>
      </c>
      <c r="Y8221">
        <f>D8220</f>
        <v>1</v>
      </c>
      <c r="Z8221" t="str">
        <v>=</v>
      </c>
      <c r="AA8221">
        <f>IF(AA8224=0,(D8221*N8221+P8221*R8221)*U8221*Y8221,0)</f>
        <v>16.6583232</v>
      </c>
    </row>
    <row r="8222">
      <c r="A8222" t="str">
        <f>A8214</f>
        <v>Lantai Attic</v>
      </c>
      <c r="B8222">
        <f>B8214</f>
        <v>10</v>
      </c>
      <c r="C8222" t="str">
        <v>Tul Atas Lapangan</v>
      </c>
      <c r="D8222">
        <f>VLOOKUP(D8214,'Detail Balok'!$C$10:$AU$110,7,FALSE)</f>
        <v>2</v>
      </c>
      <c r="E8222" t="str">
        <v>D</v>
      </c>
      <c r="F8222">
        <f>VLOOKUP(D8214,'Detail Balok'!$C$10:$AU$110,9,FALSE)</f>
        <v>16</v>
      </c>
      <c r="I8222" t="str">
        <v>(</v>
      </c>
      <c r="J8222">
        <f>+D8216/2/1000</f>
        <v>3.55</v>
      </c>
      <c r="K8222" t="str">
        <v>+</v>
      </c>
      <c r="M8222" t="str">
        <v>=</v>
      </c>
      <c r="N8222">
        <f>J8222+L8222</f>
        <v>3.55</v>
      </c>
      <c r="O8222" t="str">
        <v>+</v>
      </c>
      <c r="P8222">
        <f>MAX(D8222-D8221,D8222-D8223)</f>
        <v>-3</v>
      </c>
      <c r="Q8222" t="str">
        <v>x</v>
      </c>
      <c r="R8222">
        <f>IF(P8222&gt;0,2*(1-2*$F$19-1/2)*D8217/1000,0)</f>
        <v>0</v>
      </c>
      <c r="S8222" t="str">
        <v>)</v>
      </c>
      <c r="T8222" t="str">
        <v>x</v>
      </c>
      <c r="U8222">
        <f>0.006165*F8222^2</f>
        <v>1.57824</v>
      </c>
      <c r="X8222" t="str">
        <v>x</v>
      </c>
      <c r="Y8222">
        <f>D8220</f>
        <v>1</v>
      </c>
      <c r="Z8222" t="str">
        <v>=</v>
      </c>
      <c r="AA8222">
        <f>IF(AA8224=0,(D8222*N8222+P8222*R8222)*U8222*Y8222,0)</f>
        <v>11.205504</v>
      </c>
    </row>
    <row r="8223">
      <c r="A8223" t="str">
        <f>A8214</f>
        <v>Lantai Attic</v>
      </c>
      <c r="B8223">
        <f>B8214</f>
        <v>10</v>
      </c>
      <c r="C8223" t="str">
        <v>Tul Atas Tumpuan</v>
      </c>
      <c r="D8223">
        <f>VLOOKUP(D8214,'Detail Balok'!$C$10:$AU$110,10,FALSE)</f>
        <v>5</v>
      </c>
      <c r="E8223" t="str">
        <v>D</v>
      </c>
      <c r="F8223">
        <f>VLOOKUP(D8214,'Detail Balok'!$C$10:$AU$110,12,FALSE)</f>
        <v>16</v>
      </c>
      <c r="I8223" t="str">
        <v>(</v>
      </c>
      <c r="J8223">
        <f>+D8216/4/1000</f>
        <v>1.775</v>
      </c>
      <c r="K8223" t="str">
        <v>+</v>
      </c>
      <c r="L8223">
        <f>MAX(VLOOKUP(F8223,N$6:P$15,3,FALSE)/1000,2/3*D8218/1000)+F$16*F8223/1000</f>
        <v>0.192</v>
      </c>
      <c r="M8223" t="str">
        <v>=</v>
      </c>
      <c r="N8223">
        <f>J8223+L8223</f>
        <v>1.9669999999999999</v>
      </c>
      <c r="O8223" t="str">
        <v>+</v>
      </c>
      <c r="P8223">
        <f>D8223-D8222</f>
        <v>3</v>
      </c>
      <c r="Q8223" t="str">
        <v>x</v>
      </c>
      <c r="R8223">
        <f>IF(P8223&gt;0,$F$18*F8223/1000,0)</f>
        <v>0.24</v>
      </c>
      <c r="S8223" t="str">
        <v>)</v>
      </c>
      <c r="T8223" t="str">
        <v>x</v>
      </c>
      <c r="U8223">
        <f>0.006165*F8223^2</f>
        <v>1.57824</v>
      </c>
      <c r="X8223" t="str">
        <v>x</v>
      </c>
      <c r="Y8223">
        <f>D8220</f>
        <v>1</v>
      </c>
      <c r="Z8223" t="str">
        <v>=</v>
      </c>
      <c r="AA8223">
        <f>IF(AA8224=0,(D8223*N8223+P8223*R8223)*U8223*Y8223,0)</f>
        <v>16.6583232</v>
      </c>
    </row>
    <row r="8224">
      <c r="A8224" t="str">
        <f>A8214</f>
        <v>Lantai Attic</v>
      </c>
      <c r="B8224">
        <f>B8214</f>
        <v>10</v>
      </c>
      <c r="D8224">
        <f>IF(AND(D8221=D8222,D8222=D8223,D8221=D8223),D8221,0)</f>
        <v>0</v>
      </c>
      <c r="E8224" t="str">
        <v>D</v>
      </c>
      <c r="F8224">
        <f>IF(AND(F8221=F8222,F8221=F8223,F8222=F8223),F8221,0)</f>
        <v>16</v>
      </c>
      <c r="L8224" t="str">
        <v>Total panjang per balok</v>
      </c>
      <c r="M8224" t="str">
        <v>=</v>
      </c>
      <c r="N8224">
        <f>IF(AND(D8221=D8222,D8221=D8223,D8222=D8223,F8221=F8222,F8221=F8223,F8222=F8223),SUM(N8221:N8223),0)</f>
        <v>0</v>
      </c>
      <c r="O8224" t="str">
        <v>+</v>
      </c>
      <c r="P8224">
        <f>IF(N8224&gt;12,ROUNDDOWN(N8224/12,0),0)</f>
        <v>0</v>
      </c>
      <c r="Q8224" t="str">
        <v>x</v>
      </c>
      <c r="R8224">
        <f>IF(P8224&gt;0,MAX(VLOOKUP(F8224,$D$6:$G$15,3,FALSE),600),0)/1000</f>
        <v>0</v>
      </c>
      <c r="T8224" t="str">
        <v>x</v>
      </c>
      <c r="U8224">
        <f>U8223</f>
        <v>1.57824</v>
      </c>
      <c r="V8224" t="str">
        <v>x</v>
      </c>
      <c r="W8224">
        <f>D8224</f>
        <v>0</v>
      </c>
      <c r="X8224" t="str">
        <v>x</v>
      </c>
      <c r="Y8224">
        <f>Y8223</f>
        <v>1</v>
      </c>
      <c r="Z8224" t="str">
        <v>=</v>
      </c>
      <c r="AA8224">
        <f>(N8224+P8224*R8224/1000)*U8224*W8224*Y8224</f>
        <v>0</v>
      </c>
    </row>
    <row r="8226">
      <c r="A8226" t="str">
        <f>A8214</f>
        <v>Lantai Attic</v>
      </c>
      <c r="B8226">
        <f>B8214</f>
        <v>10</v>
      </c>
      <c r="C8226" t="str">
        <v>Tul Peminggang</v>
      </c>
      <c r="D8226">
        <f>VLOOKUP(D8214,'Detail Balok'!$C$10:$AU$110,13,FALSE)</f>
        <v>2</v>
      </c>
      <c r="E8226" t="str">
        <v>D</v>
      </c>
      <c r="F8226">
        <f>VLOOKUP(D8214,'Detail Balok'!$C$10:$AU$110,15,FALSE)</f>
        <v>10</v>
      </c>
      <c r="J8226">
        <f>+D8216/1000</f>
        <v>7.1</v>
      </c>
      <c r="K8226" t="str">
        <v>+</v>
      </c>
      <c r="L8226">
        <f>2*$F$16*F8226/1000</f>
        <v>0.24</v>
      </c>
      <c r="M8226" t="str">
        <v>=</v>
      </c>
      <c r="N8226">
        <f>J8226+L8226</f>
        <v>7.34</v>
      </c>
      <c r="O8226" t="str">
        <v>+</v>
      </c>
      <c r="P8226">
        <f>IF(N8226&gt;12,ROUNDDOWN(N8226/12,0),0)</f>
        <v>0</v>
      </c>
      <c r="Q8226" t="str">
        <v>x</v>
      </c>
      <c r="R8226">
        <f>IF(P8226&gt;0,MAX(VLOOKUP(F8226,$D$6:$G$15,3,FALSE),600),0)/1000</f>
        <v>0</v>
      </c>
      <c r="T8226" t="str">
        <v>x</v>
      </c>
      <c r="U8226">
        <f>0.006165*F8226^2</f>
        <v>0.6165</v>
      </c>
      <c r="V8226" t="str">
        <v>x</v>
      </c>
      <c r="W8226">
        <f>+D8226</f>
        <v>2</v>
      </c>
      <c r="X8226" t="str">
        <v>x</v>
      </c>
      <c r="Y8226">
        <f>D8220</f>
        <v>1</v>
      </c>
      <c r="Z8226" t="str">
        <v>=</v>
      </c>
      <c r="AA8226">
        <f>(N8226+P8226*R8226/1000)*U8226*W8226*Y8226</f>
        <v>9.050220000000001</v>
      </c>
    </row>
    <row r="8229">
      <c r="A8229" t="str">
        <f>A8214</f>
        <v>Lantai Attic</v>
      </c>
      <c r="B8229">
        <f>B8214</f>
        <v>10</v>
      </c>
      <c r="C8229" t="str">
        <v>Tul Bawah Tumpuan</v>
      </c>
      <c r="D8229">
        <f>VLOOKUP(D8214,'Detail Balok'!$C$10:$AU$110,22,FALSE)</f>
        <v>3</v>
      </c>
      <c r="E8229" t="str">
        <v>D</v>
      </c>
      <c r="F8229">
        <f>VLOOKUP(D8214,'Detail Balok'!$C$10:$AU$110,24,FALSE)</f>
        <v>16</v>
      </c>
      <c r="I8229" t="str">
        <v>(</v>
      </c>
      <c r="J8229">
        <f>+J8221</f>
        <v>1.775</v>
      </c>
      <c r="K8229" t="str">
        <v>+</v>
      </c>
      <c r="L8229">
        <f>MAX(VLOOKUP(F8229,N$6:P$15,3,FALSE)/1000,2/3*D8219/1000)+F$16*F8229/1000</f>
        <v>0.192</v>
      </c>
      <c r="M8229" t="str">
        <v>=</v>
      </c>
      <c r="N8229">
        <f>J8229+L8229</f>
        <v>1.9669999999999999</v>
      </c>
      <c r="O8229" t="str">
        <v>+</v>
      </c>
      <c r="P8229">
        <f>D8229-D8230</f>
        <v>-2</v>
      </c>
      <c r="Q8229" t="str">
        <v>x</v>
      </c>
      <c r="R8229">
        <f>IF(P8229&gt;0,$F$18*F8229/1000,0)</f>
        <v>0</v>
      </c>
      <c r="S8229" t="str">
        <v>)</v>
      </c>
      <c r="T8229" t="str">
        <v>x</v>
      </c>
      <c r="U8229">
        <f>0.006165*F8229^2</f>
        <v>1.57824</v>
      </c>
      <c r="X8229" t="str">
        <v>x</v>
      </c>
      <c r="Y8229">
        <f>D8220</f>
        <v>1</v>
      </c>
      <c r="Z8229" t="str">
        <v>=</v>
      </c>
      <c r="AA8229">
        <f>IF(AA8232=0,(D8229*N8229+P8229*R8229)*U8229*Y8229,0)</f>
        <v>9.31319424</v>
      </c>
    </row>
    <row r="8230">
      <c r="A8230" t="str">
        <f>A8214</f>
        <v>Lantai Attic</v>
      </c>
      <c r="B8230">
        <f>B8214</f>
        <v>10</v>
      </c>
      <c r="C8230" t="str">
        <v>Tul Bawah Lapangan</v>
      </c>
      <c r="D8230">
        <f>VLOOKUP(D8214,'Detail Balok'!$C$10:$AU$110,25,FALSE)</f>
        <v>5</v>
      </c>
      <c r="E8230" t="str">
        <v>D</v>
      </c>
      <c r="F8230">
        <f>VLOOKUP(D8214,'Detail Balok'!$C$10:$AU$110,27,FALSE)</f>
        <v>16</v>
      </c>
      <c r="I8230" t="str">
        <v>(</v>
      </c>
      <c r="J8230">
        <f>+J8222</f>
        <v>3.55</v>
      </c>
      <c r="K8230" t="str">
        <v>+</v>
      </c>
      <c r="M8230" t="str">
        <v>=</v>
      </c>
      <c r="N8230">
        <f>J8230+L8230</f>
        <v>3.55</v>
      </c>
      <c r="O8230" t="str">
        <v>+</v>
      </c>
      <c r="P8230">
        <f>MAX(D8230-D8229,D8230-D8231)</f>
        <v>2</v>
      </c>
      <c r="Q8230" t="str">
        <v>x</v>
      </c>
      <c r="R8230">
        <f>IF(P8230&gt;0,2*(1-2*$F$19-1/2)*D8217/1000,0)</f>
        <v>1.4199999999999997</v>
      </c>
      <c r="S8230" t="str">
        <v>)</v>
      </c>
      <c r="T8230" t="str">
        <v>x</v>
      </c>
      <c r="U8230">
        <f>0.006165*F8230^2</f>
        <v>1.57824</v>
      </c>
      <c r="X8230" t="str">
        <v>x</v>
      </c>
      <c r="Y8230">
        <f>D8220</f>
        <v>1</v>
      </c>
      <c r="Z8230" t="str">
        <v>=</v>
      </c>
      <c r="AA8230">
        <f>IF(AA8232=0,(D8230*N8230+P8230*R8230)*U8230*Y8230,0)</f>
        <v>32.4959616</v>
      </c>
    </row>
    <row r="8231">
      <c r="A8231" t="str">
        <f>A8214</f>
        <v>Lantai Attic</v>
      </c>
      <c r="B8231">
        <f>B8214</f>
        <v>10</v>
      </c>
      <c r="C8231" t="str">
        <v>Tul Bawah Tumpuan</v>
      </c>
      <c r="D8231">
        <f>VLOOKUP(D8214,'Detail Balok'!$C$10:$AU$110,28,FALSE)</f>
        <v>3</v>
      </c>
      <c r="E8231" t="str">
        <v>D</v>
      </c>
      <c r="F8231">
        <f>VLOOKUP(D8214,'Detail Balok'!$C$10:$AU$110,30,FALSE)</f>
        <v>16</v>
      </c>
      <c r="I8231" t="str">
        <v>(</v>
      </c>
      <c r="J8231">
        <f>+J8223</f>
        <v>1.775</v>
      </c>
      <c r="K8231" t="str">
        <v>+</v>
      </c>
      <c r="L8231">
        <f>MAX(VLOOKUP(F8231,N$6:P$15,3,FALSE)/1000,2/3*D8219/1000)+F$16*F8231/1000</f>
        <v>0.192</v>
      </c>
      <c r="M8231" t="str">
        <v>=</v>
      </c>
      <c r="N8231">
        <f>J8231+L8231</f>
        <v>1.9669999999999999</v>
      </c>
      <c r="O8231" t="str">
        <v>+</v>
      </c>
      <c r="P8231">
        <f>D8231-D8230</f>
        <v>-2</v>
      </c>
      <c r="Q8231" t="str">
        <v>x</v>
      </c>
      <c r="R8231">
        <f>IF(P8231&gt;0,$F$18*F8231/1000,0)</f>
        <v>0</v>
      </c>
      <c r="S8231" t="str">
        <v>)</v>
      </c>
      <c r="T8231" t="str">
        <v>x</v>
      </c>
      <c r="U8231">
        <f>0.006165*F8231^2</f>
        <v>1.57824</v>
      </c>
      <c r="X8231" t="str">
        <v>x</v>
      </c>
      <c r="Y8231">
        <f>D8220</f>
        <v>1</v>
      </c>
      <c r="Z8231" t="str">
        <v>=</v>
      </c>
      <c r="AA8231">
        <f>IF(AA8232=0,(D8231*N8231+P8231*R8231)*U8231*Y8231,0)</f>
        <v>9.31319424</v>
      </c>
    </row>
    <row r="8232">
      <c r="A8232" t="str">
        <f>A8214</f>
        <v>Lantai Attic</v>
      </c>
      <c r="B8232">
        <f>B8214</f>
        <v>10</v>
      </c>
      <c r="D8232">
        <f>IF(AND(D8229=D8230,D8230=D8231,D8229=D8231),D8229,0)</f>
        <v>0</v>
      </c>
      <c r="E8232" t="str">
        <v>D</v>
      </c>
      <c r="F8232">
        <f>IF(AND(F8229=F8230,F8229=F8231,F8230=F8231),F8229,0)</f>
        <v>16</v>
      </c>
      <c r="L8232" t="str">
        <v>Total panjang per balok</v>
      </c>
      <c r="M8232" t="str">
        <v>=</v>
      </c>
      <c r="N8232">
        <f>IF(AND(D8229=D8230,D8229=D8231,D8230=D8231,F8229=F8230,F8229=F8231,F8230=F8231),SUM(N8229:N8231),0)</f>
        <v>0</v>
      </c>
      <c r="O8232" t="str">
        <v>+</v>
      </c>
      <c r="P8232">
        <f>IF(N8232&gt;12,ROUNDDOWN(N8232/12,0),0)</f>
        <v>0</v>
      </c>
      <c r="Q8232" t="str">
        <v>x</v>
      </c>
      <c r="R8232">
        <f>IF(P8232&gt;0,MAX(VLOOKUP(F8232,$D$6:$G$15,3,FALSE),600),0)/1000</f>
        <v>0</v>
      </c>
      <c r="T8232" t="str">
        <v>x</v>
      </c>
      <c r="U8232">
        <f>U8231</f>
        <v>1.57824</v>
      </c>
      <c r="V8232" t="str">
        <v>x</v>
      </c>
      <c r="W8232">
        <f>D8232</f>
        <v>0</v>
      </c>
      <c r="X8232" t="str">
        <v>x</v>
      </c>
      <c r="Y8232">
        <f>Y8231</f>
        <v>1</v>
      </c>
      <c r="Z8232" t="str">
        <v>=</v>
      </c>
      <c r="AA8232">
        <f>(N8232+P8232*R8232/1000)*U8232*W8232*Y8232</f>
        <v>0</v>
      </c>
    </row>
    <row r="8234">
      <c r="A8234" t="str">
        <f>A8214</f>
        <v>Lantai Attic</v>
      </c>
      <c r="B8234">
        <f>B8214</f>
        <v>10</v>
      </c>
      <c r="C8234" t="str">
        <v>Sengkang Tumpuan</v>
      </c>
      <c r="D8234">
        <f>VLOOKUP(D8214,'Detail Balok'!$C$10:$AU$110,31,FALSE)</f>
        <v>0</v>
      </c>
      <c r="E8234" t="str">
        <v>D</v>
      </c>
      <c r="F8234">
        <f>VLOOKUP(D8214,'Detail Balok'!$C$10:$AU$110,33,FALSE)</f>
        <v>10</v>
      </c>
      <c r="G8234" t="str">
        <v>-</v>
      </c>
      <c r="H8234">
        <f>VLOOKUP(D8214,'Detail Balok'!$C$10:$AU$110,35,FALSE)</f>
        <v>90</v>
      </c>
      <c r="J8234">
        <f>(IF(D8234=0,(2*(D8215+G8215))-(F$5*8),IF(D8234=3,(2*(D8215+G8215))-(F$5*8)+(G8215-2*F$5),IF(D8234=4,(2*(D8215+G8215))-(F$5*8)+2*(G8215-2*F$5)))))/1000</f>
        <v>1.08</v>
      </c>
      <c r="K8234" t="str">
        <v>+</v>
      </c>
      <c r="L8234">
        <f>IF(D8234=0,2*MAX(6*F8234,75),(D8234-1)*2*MAX(6*F8234,75))/1000</f>
        <v>0.15</v>
      </c>
      <c r="M8234" t="str">
        <v>=</v>
      </c>
      <c r="N8234">
        <f>J8234+L8234</f>
        <v>1.23</v>
      </c>
      <c r="T8234" t="str">
        <v>x</v>
      </c>
      <c r="U8234">
        <f>0.006165*F8234^2</f>
        <v>0.6165</v>
      </c>
      <c r="V8234" t="str">
        <v>x</v>
      </c>
      <c r="W8234">
        <f>IF(D8217&gt;4*G8215,ROUND(MAX(D8217/4,2*G8215)/H8234,0)+1,ROUND(D8217/H8234,0)+1)</f>
        <v>21</v>
      </c>
      <c r="X8234" t="str">
        <v>x</v>
      </c>
      <c r="Y8234">
        <f>D8220</f>
        <v>1</v>
      </c>
      <c r="Z8234" t="str">
        <v>=</v>
      </c>
      <c r="AA8234">
        <f>N8234*U8234*W8234*Y8234</f>
        <v>15.924195000000001</v>
      </c>
    </row>
    <row r="8235">
      <c r="A8235" t="str">
        <f>A8214</f>
        <v>Lantai Attic</v>
      </c>
      <c r="B8235">
        <f>B8214</f>
        <v>10</v>
      </c>
      <c r="C8235" t="str">
        <v>Sengkang Lapangan</v>
      </c>
      <c r="D8235">
        <f>VLOOKUP(D8214,'Detail Balok'!$C$10:$AU$110,36,FALSE)</f>
        <v>0</v>
      </c>
      <c r="E8235" t="str">
        <v>D</v>
      </c>
      <c r="F8235">
        <f>VLOOKUP(D8214,'Detail Balok'!$C$10:$AU$110,38,FALSE)</f>
        <v>10</v>
      </c>
      <c r="G8235" t="str">
        <v>-</v>
      </c>
      <c r="H8235">
        <f>VLOOKUP(D8214,'Detail Balok'!$C$10:$AU$110,40,FALSE)</f>
        <v>200</v>
      </c>
      <c r="J8235">
        <f>(IF(D8235=0,(2*(D8215+G8215))-(F$5*8),IF(D8235=3,(2*(D8215+G8215))-(F$5*8)+(G8215-2*F$5),IF(D8235=4,(2*(D8215+G8215))-(F$5*8)+2*(G8215-2*F$5)))))/1000</f>
        <v>1.08</v>
      </c>
      <c r="K8235" t="str">
        <v>+</v>
      </c>
      <c r="L8235">
        <f>IF(D8235=0,2*MAX(6*F8235,75),(D8235-1)*2*MAX(6*F8235,75))/1000</f>
        <v>0.15</v>
      </c>
      <c r="M8235" t="str">
        <v>=</v>
      </c>
      <c r="N8235">
        <f>J8235+L8235</f>
        <v>1.23</v>
      </c>
      <c r="T8235" t="str">
        <v>x</v>
      </c>
      <c r="U8235">
        <f>0.006165*F8235^2</f>
        <v>0.6165</v>
      </c>
      <c r="V8235" t="str">
        <v>x</v>
      </c>
      <c r="W8235">
        <f>IF(D8217-MAX(D8217/4,2*G8215)*2&gt;0,ROUND((D8217-MAX(D8217/4,2*G8215)*2)/H8235,0),0)</f>
        <v>18</v>
      </c>
      <c r="X8235" t="str">
        <v>x</v>
      </c>
      <c r="Y8235">
        <f>D8220</f>
        <v>1</v>
      </c>
      <c r="Z8235" t="str">
        <v>=</v>
      </c>
      <c r="AA8235">
        <f>N8235*U8235*W8235*Y8235</f>
        <v>13.649310000000002</v>
      </c>
    </row>
    <row r="8236">
      <c r="A8236" t="str">
        <f>A8214</f>
        <v>Lantai Attic</v>
      </c>
      <c r="B8236">
        <f>B8214</f>
        <v>10</v>
      </c>
      <c r="C8236" t="str">
        <v>Sengkang Tumpuan</v>
      </c>
      <c r="D8236">
        <f>VLOOKUP(D8214,'Detail Balok'!$C$10:$AU$110,41,FALSE)</f>
        <v>0</v>
      </c>
      <c r="E8236" t="str">
        <v>D</v>
      </c>
      <c r="F8236">
        <f>VLOOKUP(D8214,'Detail Balok'!$C$10:$AU$110,43,FALSE)</f>
        <v>10</v>
      </c>
      <c r="G8236" t="str">
        <v>-</v>
      </c>
      <c r="H8236">
        <f>VLOOKUP(D8214,'Detail Balok'!$C$10:$AU$110,45,FALSE)</f>
        <v>90</v>
      </c>
      <c r="J8236">
        <f>(IF(D8236=0,(2*(D8215+G8215))-(F$5*8),IF(D8236=3,(2*(D8215+G8215))-(F$5*8)+(G8215-2*F$5),IF(D8236=4,(2*(D8215+G8215))-(F$5*8)+2*(G8215-2*F$5)))))/1000</f>
        <v>1.08</v>
      </c>
      <c r="K8236" t="str">
        <v>+</v>
      </c>
      <c r="L8236">
        <f>IF(D8236=0,2*MAX(6*F8236,75),(D8236-1)*2*MAX(6*F8236,75))/1000</f>
        <v>0.15</v>
      </c>
      <c r="M8236" t="str">
        <v>=</v>
      </c>
      <c r="N8236">
        <f>J8236+L8236</f>
        <v>1.23</v>
      </c>
      <c r="T8236" t="str">
        <v>x</v>
      </c>
      <c r="U8236">
        <f>0.006165*F8236^2</f>
        <v>0.6165</v>
      </c>
      <c r="V8236" t="str">
        <v>x</v>
      </c>
      <c r="W8236">
        <f>IF(D8217&gt;4*G8215,ROUND(MAX(D8217/4,2*G8215)/H8236,0)+1,0)</f>
        <v>21</v>
      </c>
      <c r="X8236" t="str">
        <v>x</v>
      </c>
      <c r="Y8236">
        <f>D8220</f>
        <v>1</v>
      </c>
      <c r="Z8236" t="str">
        <v>=</v>
      </c>
      <c r="AA8236">
        <f>N8236*U8236*W8236*Y8236</f>
        <v>15.924195000000001</v>
      </c>
    </row>
    <row r="8238">
      <c r="A8238" t="str">
        <f>A8214</f>
        <v>Lantai Attic</v>
      </c>
      <c r="B8238">
        <f>B8214</f>
        <v>10</v>
      </c>
      <c r="C8238" t="str">
        <v>Kait Horizontal Tump.</v>
      </c>
      <c r="D8238">
        <f>VLOOKUP(D8214,'Detail Balok'!$C$10:$BJ$110,46,FALSE)</f>
        <v>0</v>
      </c>
      <c r="E8238" t="str">
        <v>D</v>
      </c>
      <c r="F8238">
        <f>VLOOKUP(D8214,'Detail Balok'!$C$10:$BJ$110,48,FALSE)</f>
        <v>0</v>
      </c>
      <c r="G8238" t="str">
        <v>-</v>
      </c>
      <c r="H8238">
        <f>VLOOKUP(D8214,'Detail Balok'!$C$10:$BJ$110,50,FALSE)</f>
        <v>100</v>
      </c>
      <c r="J8238">
        <f>(D8215-2*F$5)/1000</f>
        <v>0.12</v>
      </c>
      <c r="K8238" t="str">
        <v>+</v>
      </c>
      <c r="L8238">
        <f>IF(D8238=0,2*MAX(6*F8238,75),(D8238-1)*2*MAX(6*F8238,75))/1000</f>
        <v>0.15</v>
      </c>
      <c r="M8238" t="str">
        <v>=</v>
      </c>
      <c r="N8238">
        <f>J8238+L8238</f>
        <v>0.27</v>
      </c>
      <c r="T8238" t="str">
        <v>x</v>
      </c>
      <c r="U8238">
        <f>0.006165*F8238^2</f>
        <v>0</v>
      </c>
      <c r="V8238" t="str">
        <v>x</v>
      </c>
      <c r="W8238">
        <f>W8234</f>
        <v>21</v>
      </c>
      <c r="X8238" t="str">
        <v>x</v>
      </c>
      <c r="Y8238">
        <f>D8224</f>
        <v>0</v>
      </c>
      <c r="Z8238" t="str">
        <v>=</v>
      </c>
      <c r="AA8238">
        <f>N8238*U8238*W8238*Y8238</f>
        <v>0</v>
      </c>
    </row>
    <row r="8239">
      <c r="A8239" t="str">
        <f>A8214</f>
        <v>Lantai Attic</v>
      </c>
      <c r="B8239">
        <f>B8214</f>
        <v>10</v>
      </c>
      <c r="C8239" t="str">
        <v>Kait Horizontal Lap.</v>
      </c>
      <c r="D8239">
        <f>VLOOKUP(D8214,'Detail Balok'!$C$10:$BJ$110,51,FALSE)</f>
        <v>0</v>
      </c>
      <c r="E8239" t="str">
        <v>D</v>
      </c>
      <c r="F8239">
        <f>VLOOKUP(D8214,'Detail Balok'!$C$10:$BJ$110,53,FALSE)</f>
        <v>0</v>
      </c>
      <c r="G8239" t="str">
        <v>-</v>
      </c>
      <c r="H8239">
        <f>VLOOKUP(D8214,'Detail Balok'!$C$10:$BJ$110,55,FALSE)</f>
        <v>100</v>
      </c>
      <c r="J8239">
        <f>(D8215-2*F$5)/1000</f>
        <v>0.12</v>
      </c>
      <c r="K8239" t="str">
        <v>+</v>
      </c>
      <c r="L8239">
        <f>IF(D8239=0,2*MAX(6*F8239,75),(D8239-1)*2*MAX(6*F8239,75))/1000</f>
        <v>0.15</v>
      </c>
      <c r="M8239" t="str">
        <v>=</v>
      </c>
      <c r="N8239">
        <f>J8239+L8239</f>
        <v>0.27</v>
      </c>
      <c r="T8239" t="str">
        <v>x</v>
      </c>
      <c r="U8239">
        <f>0.006165*F8239^2</f>
        <v>0</v>
      </c>
      <c r="V8239" t="str">
        <v>x</v>
      </c>
      <c r="W8239">
        <f>W8235</f>
        <v>18</v>
      </c>
      <c r="X8239" t="str">
        <v>x</v>
      </c>
      <c r="Y8239">
        <f>D8224</f>
        <v>0</v>
      </c>
      <c r="Z8239" t="str">
        <v>=</v>
      </c>
      <c r="AA8239">
        <f>N8239*U8239*W8239*Y8239</f>
        <v>0</v>
      </c>
    </row>
    <row r="8240">
      <c r="A8240" t="str">
        <f>A8214</f>
        <v>Lantai Attic</v>
      </c>
      <c r="B8240">
        <f>B8214</f>
        <v>10</v>
      </c>
      <c r="C8240" t="str">
        <v>Kait Horizontal Tump.</v>
      </c>
      <c r="D8240">
        <f>VLOOKUP(D8214,'Detail Balok'!$C$10:$BJ$110,56,FALSE)</f>
        <v>0</v>
      </c>
      <c r="E8240" t="str">
        <v>D</v>
      </c>
      <c r="F8240">
        <f>VLOOKUP(D8214,'Detail Balok'!$C$10:$BJ$110,58,FALSE)</f>
        <v>0</v>
      </c>
      <c r="G8240" t="str">
        <v>-</v>
      </c>
      <c r="H8240">
        <f>VLOOKUP(D8214,'Detail Balok'!$C$10:$BJ$110,60,FALSE)</f>
        <v>100</v>
      </c>
      <c r="J8240">
        <f>(D8215-2*F$5)/1000</f>
        <v>0.12</v>
      </c>
      <c r="K8240" t="str">
        <v>+</v>
      </c>
      <c r="L8240">
        <f>IF(D8240=0,2*MAX(6*F8240,75),(D8240-1)*2*MAX(6*F8240,75))/1000</f>
        <v>0.15</v>
      </c>
      <c r="M8240" t="str">
        <v>=</v>
      </c>
      <c r="N8240">
        <f>J8240+L8240</f>
        <v>0.27</v>
      </c>
      <c r="T8240" t="str">
        <v>x</v>
      </c>
      <c r="U8240">
        <f>0.006165*F8240^2</f>
        <v>0</v>
      </c>
      <c r="V8240" t="str">
        <v>x</v>
      </c>
      <c r="W8240">
        <f>W8236</f>
        <v>21</v>
      </c>
      <c r="X8240" t="str">
        <v>x</v>
      </c>
      <c r="Y8240">
        <f>D8224</f>
        <v>0</v>
      </c>
      <c r="Z8240" t="str">
        <v>=</v>
      </c>
      <c r="AA8240">
        <f>N8240*U8240*W8240*Y8240</f>
        <v>0</v>
      </c>
    </row>
    <row r="8244">
      <c r="A8244" t="str">
        <f>A8214</f>
        <v>Lantai Attic</v>
      </c>
      <c r="B8244">
        <f>B8214+1</f>
        <v>11</v>
      </c>
      <c r="C8244" t="str">
        <f>CONCATENATE(A8244," no. ",B8244)</f>
        <v>Lantai Attic no. 11</v>
      </c>
      <c r="D8244" t="str">
        <f>VLOOKUP(C8244,'Data Panjang Balok'!$C$9:$N$424,2,FALSE)</f>
        <v>Potongan C</v>
      </c>
    </row>
    <row r="8245">
      <c r="C8245" t="str">
        <v>Dimensi</v>
      </c>
      <c r="D8245">
        <f>VLOOKUP(D8244,'Detail Balok'!$C$10:$AU$110,2,FALSE)</f>
        <v>200</v>
      </c>
      <c r="F8245" t="str">
        <v>x</v>
      </c>
      <c r="G8245">
        <f>VLOOKUP(D8244,'Detail Balok'!$C$10:$AU$110,3,FALSE)</f>
        <v>500</v>
      </c>
    </row>
    <row r="8246">
      <c r="C8246" t="str">
        <v>Panjang as ke as</v>
      </c>
      <c r="D8246">
        <f>VLOOKUP(C8244,'Data Panjang Balok'!$C$9:$N$424,4,FALSE)</f>
        <v>3100</v>
      </c>
    </row>
    <row r="8247">
      <c r="C8247" t="str">
        <v>Panjang netto</v>
      </c>
      <c r="D8247">
        <f>VLOOKUP(C8244,'Data Panjang Balok'!$C$9:$N$424,7,FALSE)</f>
        <v>3100</v>
      </c>
    </row>
    <row r="8248">
      <c r="C8248" t="str">
        <v>Kolom / balok kiri</v>
      </c>
      <c r="D8248">
        <f>VLOOKUP(C8244,'Data Panjang Balok'!$C$9:$N$424,9,FALSE)</f>
        <v>0</v>
      </c>
    </row>
    <row r="8249">
      <c r="C8249" t="str">
        <v>Kolom / balok kanan</v>
      </c>
      <c r="D8249">
        <f>VLOOKUP(C8244,'Data Panjang Balok'!$C$9:$N$424,10,FALSE)</f>
        <v>0</v>
      </c>
    </row>
    <row r="8250">
      <c r="C8250" t="str">
        <v>Jumlah</v>
      </c>
      <c r="D8250">
        <f>VLOOKUP(C8244,'Data Panjang Balok'!$C$9:$N$424,3,FALSE)</f>
        <v>1</v>
      </c>
    </row>
    <row r="8251">
      <c r="A8251" t="str">
        <f>A8244</f>
        <v>Lantai Attic</v>
      </c>
      <c r="B8251">
        <f>B8244</f>
        <v>11</v>
      </c>
      <c r="C8251" t="str">
        <v>Tul Atas Tumpuan</v>
      </c>
      <c r="D8251">
        <f>VLOOKUP(D8244,'Detail Balok'!$C$10:$AU$110,4,FALSE)</f>
        <v>5</v>
      </c>
      <c r="E8251" t="str">
        <v>D</v>
      </c>
      <c r="F8251">
        <f>VLOOKUP(D8244,'Detail Balok'!$C$10:$AU$110,6,FALSE)</f>
        <v>19</v>
      </c>
      <c r="I8251" t="str">
        <v>(</v>
      </c>
      <c r="J8251">
        <f>+D8246/4/1000</f>
        <v>0.775</v>
      </c>
      <c r="K8251" t="str">
        <v>+</v>
      </c>
      <c r="L8251">
        <f>MAX(VLOOKUP(F8251,N$6:P$15,3,FALSE)/1000,2/3*D8248/1000)+F$16*F8251/1000</f>
        <v>0.228</v>
      </c>
      <c r="M8251" t="str">
        <v>=</v>
      </c>
      <c r="N8251">
        <f>J8251+L8251</f>
        <v>1.0030000000000001</v>
      </c>
      <c r="O8251" t="str">
        <v>+</v>
      </c>
      <c r="P8251">
        <f>D8251-D8252</f>
        <v>0</v>
      </c>
      <c r="Q8251" t="str">
        <v>x</v>
      </c>
      <c r="R8251">
        <f>IF(P8251&gt;0,$F$18*F8251/1000,0)</f>
        <v>0</v>
      </c>
      <c r="S8251" t="str">
        <v>)</v>
      </c>
      <c r="T8251" t="str">
        <v>x</v>
      </c>
      <c r="U8251">
        <f>0.006165*F8251^2</f>
        <v>2.225565</v>
      </c>
      <c r="X8251" t="str">
        <v>x</v>
      </c>
      <c r="Y8251">
        <f>D8250</f>
        <v>1</v>
      </c>
      <c r="Z8251" t="str">
        <v>=</v>
      </c>
      <c r="AA8251">
        <f>IF(AA8254=0,(D8251*N8251+P8251*R8251)*U8251*Y8251,0)</f>
        <v>0</v>
      </c>
    </row>
    <row r="8252">
      <c r="A8252" t="str">
        <f>A8244</f>
        <v>Lantai Attic</v>
      </c>
      <c r="B8252">
        <f>B8244</f>
        <v>11</v>
      </c>
      <c r="C8252" t="str">
        <v>Tul Atas Lapangan</v>
      </c>
      <c r="D8252">
        <f>VLOOKUP(D8244,'Detail Balok'!$C$10:$AU$110,7,FALSE)</f>
        <v>5</v>
      </c>
      <c r="E8252" t="str">
        <v>D</v>
      </c>
      <c r="F8252">
        <f>VLOOKUP(D8244,'Detail Balok'!$C$10:$AU$110,9,FALSE)</f>
        <v>19</v>
      </c>
      <c r="I8252" t="str">
        <v>(</v>
      </c>
      <c r="J8252">
        <f>+D8246/2/1000</f>
        <v>1.55</v>
      </c>
      <c r="K8252" t="str">
        <v>+</v>
      </c>
      <c r="M8252" t="str">
        <v>=</v>
      </c>
      <c r="N8252">
        <f>J8252+L8252</f>
        <v>1.55</v>
      </c>
      <c r="O8252" t="str">
        <v>+</v>
      </c>
      <c r="P8252">
        <f>MAX(D8252-D8251,D8252-D8253)</f>
        <v>0</v>
      </c>
      <c r="Q8252" t="str">
        <v>x</v>
      </c>
      <c r="R8252">
        <f>IF(P8252&gt;0,2*(1-2*$F$19-1/2)*D8247/1000,0)</f>
        <v>0</v>
      </c>
      <c r="S8252" t="str">
        <v>)</v>
      </c>
      <c r="T8252" t="str">
        <v>x</v>
      </c>
      <c r="U8252">
        <f>0.006165*F8252^2</f>
        <v>2.225565</v>
      </c>
      <c r="X8252" t="str">
        <v>x</v>
      </c>
      <c r="Y8252">
        <f>D8250</f>
        <v>1</v>
      </c>
      <c r="Z8252" t="str">
        <v>=</v>
      </c>
      <c r="AA8252">
        <f>IF(AA8254=0,(D8252*N8252+P8252*R8252)*U8252*Y8252,0)</f>
        <v>0</v>
      </c>
    </row>
    <row r="8253">
      <c r="A8253" t="str">
        <f>A8244</f>
        <v>Lantai Attic</v>
      </c>
      <c r="B8253">
        <f>B8244</f>
        <v>11</v>
      </c>
      <c r="C8253" t="str">
        <v>Tul Atas Tumpuan</v>
      </c>
      <c r="D8253">
        <f>VLOOKUP(D8244,'Detail Balok'!$C$10:$AU$110,10,FALSE)</f>
        <v>5</v>
      </c>
      <c r="E8253" t="str">
        <v>D</v>
      </c>
      <c r="F8253">
        <f>VLOOKUP(D8244,'Detail Balok'!$C$10:$AU$110,12,FALSE)</f>
        <v>19</v>
      </c>
      <c r="I8253" t="str">
        <v>(</v>
      </c>
      <c r="J8253">
        <f>+D8246/4/1000</f>
        <v>0.775</v>
      </c>
      <c r="K8253" t="str">
        <v>+</v>
      </c>
      <c r="L8253">
        <f>MAX(VLOOKUP(F8253,N$6:P$15,3,FALSE)/1000,2/3*D8248/1000)+F$16*F8253/1000</f>
        <v>0.228</v>
      </c>
      <c r="M8253" t="str">
        <v>=</v>
      </c>
      <c r="N8253">
        <f>J8253+L8253</f>
        <v>1.0030000000000001</v>
      </c>
      <c r="O8253" t="str">
        <v>+</v>
      </c>
      <c r="P8253">
        <f>D8253-D8252</f>
        <v>0</v>
      </c>
      <c r="Q8253" t="str">
        <v>x</v>
      </c>
      <c r="R8253">
        <f>IF(P8253&gt;0,$F$18*F8253/1000,0)</f>
        <v>0</v>
      </c>
      <c r="S8253" t="str">
        <v>)</v>
      </c>
      <c r="T8253" t="str">
        <v>x</v>
      </c>
      <c r="U8253">
        <f>0.006165*F8253^2</f>
        <v>2.225565</v>
      </c>
      <c r="X8253" t="str">
        <v>x</v>
      </c>
      <c r="Y8253">
        <f>D8250</f>
        <v>1</v>
      </c>
      <c r="Z8253" t="str">
        <v>=</v>
      </c>
      <c r="AA8253">
        <f>IF(AA8254=0,(D8253*N8253+P8253*R8253)*U8253*Y8253,0)</f>
        <v>0</v>
      </c>
    </row>
    <row r="8254">
      <c r="A8254" t="str">
        <f>A8244</f>
        <v>Lantai Attic</v>
      </c>
      <c r="B8254">
        <f>B8244</f>
        <v>11</v>
      </c>
      <c r="D8254">
        <f>IF(AND(D8251=D8252,D8252=D8253,D8251=D8253),D8251,0)</f>
        <v>5</v>
      </c>
      <c r="E8254" t="str">
        <v>D</v>
      </c>
      <c r="F8254">
        <f>IF(AND(F8251=F8252,F8251=F8253,F8252=F8253),F8251,0)</f>
        <v>19</v>
      </c>
      <c r="L8254" t="str">
        <v>Total panjang per balok</v>
      </c>
      <c r="M8254" t="str">
        <v>=</v>
      </c>
      <c r="N8254">
        <f>IF(AND(D8251=D8252,D8251=D8253,D8252=D8253,F8251=F8252,F8251=F8253,F8252=F8253),SUM(N8251:N8253),0)</f>
        <v>3.556</v>
      </c>
      <c r="O8254" t="str">
        <v>+</v>
      </c>
      <c r="P8254">
        <f>IF(N8254&gt;12,ROUNDDOWN(N8254/12,0),0)</f>
        <v>0</v>
      </c>
      <c r="Q8254" t="str">
        <v>x</v>
      </c>
      <c r="R8254">
        <f>IF(P8254&gt;0,MAX(VLOOKUP(F8254,$D$6:$G$15,3,FALSE),600),0)/1000</f>
        <v>0</v>
      </c>
      <c r="T8254" t="str">
        <v>x</v>
      </c>
      <c r="U8254">
        <f>U8253</f>
        <v>2.225565</v>
      </c>
      <c r="V8254" t="str">
        <v>x</v>
      </c>
      <c r="W8254">
        <f>D8254</f>
        <v>5</v>
      </c>
      <c r="X8254" t="str">
        <v>x</v>
      </c>
      <c r="Y8254">
        <f>Y8253</f>
        <v>1</v>
      </c>
      <c r="Z8254" t="str">
        <v>=</v>
      </c>
      <c r="AA8254">
        <f>(N8254+P8254*R8254/1000)*U8254*W8254*Y8254</f>
        <v>39.5705457</v>
      </c>
    </row>
    <row r="8256">
      <c r="A8256" t="str">
        <f>A8244</f>
        <v>Lantai Attic</v>
      </c>
      <c r="B8256">
        <f>B8244</f>
        <v>11</v>
      </c>
      <c r="C8256" t="str">
        <v>Tul Peminggang</v>
      </c>
      <c r="D8256">
        <f>VLOOKUP(D8244,'Detail Balok'!$C$10:$AU$110,13,FALSE)</f>
        <v>2</v>
      </c>
      <c r="E8256" t="str">
        <v>D</v>
      </c>
      <c r="F8256">
        <f>VLOOKUP(D8244,'Detail Balok'!$C$10:$AU$110,15,FALSE)</f>
        <v>10</v>
      </c>
      <c r="J8256">
        <f>+D8246/1000</f>
        <v>3.1</v>
      </c>
      <c r="K8256" t="str">
        <v>+</v>
      </c>
      <c r="L8256">
        <f>2*$F$16*F8256/1000</f>
        <v>0.24</v>
      </c>
      <c r="M8256" t="str">
        <v>=</v>
      </c>
      <c r="N8256">
        <f>J8256+L8256</f>
        <v>3.34</v>
      </c>
      <c r="O8256" t="str">
        <v>+</v>
      </c>
      <c r="P8256">
        <f>IF(N8256&gt;12,ROUNDDOWN(N8256/12,0),0)</f>
        <v>0</v>
      </c>
      <c r="Q8256" t="str">
        <v>x</v>
      </c>
      <c r="R8256">
        <f>IF(P8256&gt;0,MAX(VLOOKUP(F8256,$D$6:$G$15,3,FALSE),600),0)/1000</f>
        <v>0</v>
      </c>
      <c r="T8256" t="str">
        <v>x</v>
      </c>
      <c r="U8256">
        <f>0.006165*F8256^2</f>
        <v>0.6165</v>
      </c>
      <c r="V8256" t="str">
        <v>x</v>
      </c>
      <c r="W8256">
        <f>+D8256</f>
        <v>2</v>
      </c>
      <c r="X8256" t="str">
        <v>x</v>
      </c>
      <c r="Y8256">
        <f>D8250</f>
        <v>1</v>
      </c>
      <c r="Z8256" t="str">
        <v>=</v>
      </c>
      <c r="AA8256">
        <f>(N8256+P8256*R8256/1000)*U8256*W8256*Y8256</f>
        <v>4.11822</v>
      </c>
    </row>
    <row r="8259">
      <c r="A8259" t="str">
        <f>A8244</f>
        <v>Lantai Attic</v>
      </c>
      <c r="B8259">
        <f>B8244</f>
        <v>11</v>
      </c>
      <c r="C8259" t="str">
        <v>Tul Bawah Tumpuan</v>
      </c>
      <c r="D8259">
        <f>VLOOKUP(D8244,'Detail Balok'!$C$10:$AU$110,22,FALSE)</f>
        <v>4</v>
      </c>
      <c r="E8259" t="str">
        <v>D</v>
      </c>
      <c r="F8259">
        <f>VLOOKUP(D8244,'Detail Balok'!$C$10:$AU$110,24,FALSE)</f>
        <v>19</v>
      </c>
      <c r="I8259" t="str">
        <v>(</v>
      </c>
      <c r="J8259">
        <f>+J8251</f>
        <v>0.775</v>
      </c>
      <c r="K8259" t="str">
        <v>+</v>
      </c>
      <c r="L8259">
        <f>MAX(VLOOKUP(F8259,N$6:P$15,3,FALSE)/1000,2/3*D8249/1000)+F$16*F8259/1000</f>
        <v>0.228</v>
      </c>
      <c r="M8259" t="str">
        <v>=</v>
      </c>
      <c r="N8259">
        <f>J8259+L8259</f>
        <v>1.0030000000000001</v>
      </c>
      <c r="O8259" t="str">
        <v>+</v>
      </c>
      <c r="P8259">
        <f>D8259-D8260</f>
        <v>0</v>
      </c>
      <c r="Q8259" t="str">
        <v>x</v>
      </c>
      <c r="R8259">
        <f>IF(P8259&gt;0,$F$18*F8259/1000,0)</f>
        <v>0</v>
      </c>
      <c r="S8259" t="str">
        <v>)</v>
      </c>
      <c r="T8259" t="str">
        <v>x</v>
      </c>
      <c r="U8259">
        <f>0.006165*F8259^2</f>
        <v>2.225565</v>
      </c>
      <c r="X8259" t="str">
        <v>x</v>
      </c>
      <c r="Y8259">
        <f>D8250</f>
        <v>1</v>
      </c>
      <c r="Z8259" t="str">
        <v>=</v>
      </c>
      <c r="AA8259">
        <f>IF(AA8262=0,(D8259*N8259+P8259*R8259)*U8259*Y8259,0)</f>
        <v>0</v>
      </c>
    </row>
    <row r="8260">
      <c r="A8260" t="str">
        <f>A8244</f>
        <v>Lantai Attic</v>
      </c>
      <c r="B8260">
        <f>B8244</f>
        <v>11</v>
      </c>
      <c r="C8260" t="str">
        <v>Tul Bawah Lapangan</v>
      </c>
      <c r="D8260">
        <f>VLOOKUP(D8244,'Detail Balok'!$C$10:$AU$110,25,FALSE)</f>
        <v>4</v>
      </c>
      <c r="E8260" t="str">
        <v>D</v>
      </c>
      <c r="F8260">
        <f>VLOOKUP(D8244,'Detail Balok'!$C$10:$AU$110,27,FALSE)</f>
        <v>19</v>
      </c>
      <c r="I8260" t="str">
        <v>(</v>
      </c>
      <c r="J8260">
        <f>+J8252</f>
        <v>1.55</v>
      </c>
      <c r="K8260" t="str">
        <v>+</v>
      </c>
      <c r="M8260" t="str">
        <v>=</v>
      </c>
      <c r="N8260">
        <f>J8260+L8260</f>
        <v>1.55</v>
      </c>
      <c r="O8260" t="str">
        <v>+</v>
      </c>
      <c r="P8260">
        <f>MAX(D8260-D8259,D8260-D8261)</f>
        <v>0</v>
      </c>
      <c r="Q8260" t="str">
        <v>x</v>
      </c>
      <c r="R8260">
        <f>IF(P8260&gt;0,2*(1-2*$F$19-1/2)*D8247/1000,0)</f>
        <v>0</v>
      </c>
      <c r="S8260" t="str">
        <v>)</v>
      </c>
      <c r="T8260" t="str">
        <v>x</v>
      </c>
      <c r="U8260">
        <f>0.006165*F8260^2</f>
        <v>2.225565</v>
      </c>
      <c r="X8260" t="str">
        <v>x</v>
      </c>
      <c r="Y8260">
        <f>D8250</f>
        <v>1</v>
      </c>
      <c r="Z8260" t="str">
        <v>=</v>
      </c>
      <c r="AA8260">
        <f>IF(AA8262=0,(D8260*N8260+P8260*R8260)*U8260*Y8260,0)</f>
        <v>0</v>
      </c>
    </row>
    <row r="8261">
      <c r="A8261" t="str">
        <f>A8244</f>
        <v>Lantai Attic</v>
      </c>
      <c r="B8261">
        <f>B8244</f>
        <v>11</v>
      </c>
      <c r="C8261" t="str">
        <v>Tul Bawah Tumpuan</v>
      </c>
      <c r="D8261">
        <f>VLOOKUP(D8244,'Detail Balok'!$C$10:$AU$110,28,FALSE)</f>
        <v>4</v>
      </c>
      <c r="E8261" t="str">
        <v>D</v>
      </c>
      <c r="F8261">
        <f>VLOOKUP(D8244,'Detail Balok'!$C$10:$AU$110,30,FALSE)</f>
        <v>19</v>
      </c>
      <c r="I8261" t="str">
        <v>(</v>
      </c>
      <c r="J8261">
        <f>+J8253</f>
        <v>0.775</v>
      </c>
      <c r="K8261" t="str">
        <v>+</v>
      </c>
      <c r="L8261">
        <f>MAX(VLOOKUP(F8261,N$6:P$15,3,FALSE)/1000,2/3*D8249/1000)+F$16*F8261/1000</f>
        <v>0.228</v>
      </c>
      <c r="M8261" t="str">
        <v>=</v>
      </c>
      <c r="N8261">
        <f>J8261+L8261</f>
        <v>1.0030000000000001</v>
      </c>
      <c r="O8261" t="str">
        <v>+</v>
      </c>
      <c r="P8261">
        <f>D8261-D8260</f>
        <v>0</v>
      </c>
      <c r="Q8261" t="str">
        <v>x</v>
      </c>
      <c r="R8261">
        <f>IF(P8261&gt;0,$F$18*F8261/1000,0)</f>
        <v>0</v>
      </c>
      <c r="S8261" t="str">
        <v>)</v>
      </c>
      <c r="T8261" t="str">
        <v>x</v>
      </c>
      <c r="U8261">
        <f>0.006165*F8261^2</f>
        <v>2.225565</v>
      </c>
      <c r="X8261" t="str">
        <v>x</v>
      </c>
      <c r="Y8261">
        <f>D8250</f>
        <v>1</v>
      </c>
      <c r="Z8261" t="str">
        <v>=</v>
      </c>
      <c r="AA8261">
        <f>IF(AA8262=0,(D8261*N8261+P8261*R8261)*U8261*Y8261,0)</f>
        <v>0</v>
      </c>
    </row>
    <row r="8262">
      <c r="A8262" t="str">
        <f>A8244</f>
        <v>Lantai Attic</v>
      </c>
      <c r="B8262">
        <f>B8244</f>
        <v>11</v>
      </c>
      <c r="D8262">
        <f>IF(AND(D8259=D8260,D8260=D8261,D8259=D8261),D8259,0)</f>
        <v>4</v>
      </c>
      <c r="E8262" t="str">
        <v>D</v>
      </c>
      <c r="F8262">
        <f>IF(AND(F8259=F8260,F8259=F8261,F8260=F8261),F8259,0)</f>
        <v>19</v>
      </c>
      <c r="L8262" t="str">
        <v>Total panjang per balok</v>
      </c>
      <c r="M8262" t="str">
        <v>=</v>
      </c>
      <c r="N8262">
        <f>IF(AND(D8259=D8260,D8259=D8261,D8260=D8261,F8259=F8260,F8259=F8261,F8260=F8261),SUM(N8259:N8261),0)</f>
        <v>3.556</v>
      </c>
      <c r="O8262" t="str">
        <v>+</v>
      </c>
      <c r="P8262">
        <f>IF(N8262&gt;12,ROUNDDOWN(N8262/12,0),0)</f>
        <v>0</v>
      </c>
      <c r="Q8262" t="str">
        <v>x</v>
      </c>
      <c r="R8262">
        <f>IF(P8262&gt;0,MAX(VLOOKUP(F8262,$D$6:$G$15,3,FALSE),600),0)/1000</f>
        <v>0</v>
      </c>
      <c r="T8262" t="str">
        <v>x</v>
      </c>
      <c r="U8262">
        <f>U8261</f>
        <v>2.225565</v>
      </c>
      <c r="V8262" t="str">
        <v>x</v>
      </c>
      <c r="W8262">
        <f>D8262</f>
        <v>4</v>
      </c>
      <c r="X8262" t="str">
        <v>x</v>
      </c>
      <c r="Y8262">
        <f>Y8261</f>
        <v>1</v>
      </c>
      <c r="Z8262" t="str">
        <v>=</v>
      </c>
      <c r="AA8262">
        <f>(N8262+P8262*R8262/1000)*U8262*W8262*Y8262</f>
        <v>31.65643656</v>
      </c>
    </row>
    <row r="8264">
      <c r="A8264" t="str">
        <f>A8244</f>
        <v>Lantai Attic</v>
      </c>
      <c r="B8264">
        <f>B8244</f>
        <v>11</v>
      </c>
      <c r="C8264" t="str">
        <v>Sengkang Tumpuan</v>
      </c>
      <c r="D8264">
        <f>VLOOKUP(D8244,'Detail Balok'!$C$10:$AU$110,31,FALSE)</f>
        <v>0</v>
      </c>
      <c r="E8264" t="str">
        <v>D</v>
      </c>
      <c r="F8264">
        <f>VLOOKUP(D8244,'Detail Balok'!$C$10:$AU$110,33,FALSE)</f>
        <v>10</v>
      </c>
      <c r="G8264" t="str">
        <v>-</v>
      </c>
      <c r="H8264">
        <f>VLOOKUP(D8244,'Detail Balok'!$C$10:$AU$110,35,FALSE)</f>
        <v>75</v>
      </c>
      <c r="J8264">
        <f>(IF(D8264=0,(2*(D8245+G8245))-(F$5*8),IF(D8264=3,(2*(D8245+G8245))-(F$5*8)+(G8245-2*F$5),IF(D8264=4,(2*(D8245+G8245))-(F$5*8)+2*(G8245-2*F$5)))))/1000</f>
        <v>1.08</v>
      </c>
      <c r="K8264" t="str">
        <v>+</v>
      </c>
      <c r="L8264">
        <f>IF(D8264=0,2*MAX(6*F8264,75),(D8264-1)*2*MAX(6*F8264,75))/1000</f>
        <v>0.15</v>
      </c>
      <c r="M8264" t="str">
        <v>=</v>
      </c>
      <c r="N8264">
        <f>J8264+L8264</f>
        <v>1.23</v>
      </c>
      <c r="T8264" t="str">
        <v>x</v>
      </c>
      <c r="U8264">
        <f>0.006165*F8264^2</f>
        <v>0.6165</v>
      </c>
      <c r="V8264" t="str">
        <v>x</v>
      </c>
      <c r="W8264">
        <f>IF(D8247&gt;4*G8245,ROUND(MAX(D8247/4,2*G8245)/H8264,0)+1,ROUND(D8247/H8264,0)+1)</f>
        <v>14</v>
      </c>
      <c r="X8264" t="str">
        <v>x</v>
      </c>
      <c r="Y8264">
        <f>D8250</f>
        <v>1</v>
      </c>
      <c r="Z8264" t="str">
        <v>=</v>
      </c>
      <c r="AA8264">
        <f>N8264*U8264*W8264*Y8264</f>
        <v>10.61613</v>
      </c>
    </row>
    <row r="8265">
      <c r="A8265" t="str">
        <f>A8244</f>
        <v>Lantai Attic</v>
      </c>
      <c r="B8265">
        <f>B8244</f>
        <v>11</v>
      </c>
      <c r="C8265" t="str">
        <v>Sengkang Lapangan</v>
      </c>
      <c r="D8265">
        <f>VLOOKUP(D8244,'Detail Balok'!$C$10:$AU$110,36,FALSE)</f>
        <v>0</v>
      </c>
      <c r="E8265" t="str">
        <v>D</v>
      </c>
      <c r="F8265">
        <f>VLOOKUP(D8244,'Detail Balok'!$C$10:$AU$110,38,FALSE)</f>
        <v>10</v>
      </c>
      <c r="G8265" t="str">
        <v>-</v>
      </c>
      <c r="H8265">
        <f>VLOOKUP(D8244,'Detail Balok'!$C$10:$AU$110,40,FALSE)</f>
        <v>75</v>
      </c>
      <c r="J8265">
        <f>(IF(D8265=0,(2*(D8245+G8245))-(F$5*8),IF(D8265=3,(2*(D8245+G8245))-(F$5*8)+(G8245-2*F$5),IF(D8265=4,(2*(D8245+G8245))-(F$5*8)+2*(G8245-2*F$5)))))/1000</f>
        <v>1.08</v>
      </c>
      <c r="K8265" t="str">
        <v>+</v>
      </c>
      <c r="L8265">
        <f>IF(D8265=0,2*MAX(6*F8265,75),(D8265-1)*2*MAX(6*F8265,75))/1000</f>
        <v>0.15</v>
      </c>
      <c r="M8265" t="str">
        <v>=</v>
      </c>
      <c r="N8265">
        <f>J8265+L8265</f>
        <v>1.23</v>
      </c>
      <c r="T8265" t="str">
        <v>x</v>
      </c>
      <c r="U8265">
        <f>0.006165*F8265^2</f>
        <v>0.6165</v>
      </c>
      <c r="V8265" t="str">
        <v>x</v>
      </c>
      <c r="W8265">
        <f>IF(D8247-MAX(D8247/4,2*G8245)*2&gt;0,ROUND((D8247-MAX(D8247/4,2*G8245)*2)/H8265,0),0)</f>
        <v>15</v>
      </c>
      <c r="X8265" t="str">
        <v>x</v>
      </c>
      <c r="Y8265">
        <f>D8250</f>
        <v>1</v>
      </c>
      <c r="Z8265" t="str">
        <v>=</v>
      </c>
      <c r="AA8265">
        <f>N8265*U8265*W8265*Y8265</f>
        <v>11.374425</v>
      </c>
    </row>
    <row r="8266">
      <c r="A8266" t="str">
        <f>A8244</f>
        <v>Lantai Attic</v>
      </c>
      <c r="B8266">
        <f>B8244</f>
        <v>11</v>
      </c>
      <c r="C8266" t="str">
        <v>Sengkang Tumpuan</v>
      </c>
      <c r="D8266">
        <f>VLOOKUP(D8244,'Detail Balok'!$C$10:$AU$110,41,FALSE)</f>
        <v>0</v>
      </c>
      <c r="E8266" t="str">
        <v>D</v>
      </c>
      <c r="F8266">
        <f>VLOOKUP(D8244,'Detail Balok'!$C$10:$AU$110,43,FALSE)</f>
        <v>10</v>
      </c>
      <c r="G8266" t="str">
        <v>-</v>
      </c>
      <c r="H8266">
        <f>VLOOKUP(D8244,'Detail Balok'!$C$10:$AU$110,45,FALSE)</f>
        <v>75</v>
      </c>
      <c r="J8266">
        <f>(IF(D8266=0,(2*(D8245+G8245))-(F$5*8),IF(D8266=3,(2*(D8245+G8245))-(F$5*8)+(G8245-2*F$5),IF(D8266=4,(2*(D8245+G8245))-(F$5*8)+2*(G8245-2*F$5)))))/1000</f>
        <v>1.08</v>
      </c>
      <c r="K8266" t="str">
        <v>+</v>
      </c>
      <c r="L8266">
        <f>IF(D8266=0,2*MAX(6*F8266,75),(D8266-1)*2*MAX(6*F8266,75))/1000</f>
        <v>0.15</v>
      </c>
      <c r="M8266" t="str">
        <v>=</v>
      </c>
      <c r="N8266">
        <f>J8266+L8266</f>
        <v>1.23</v>
      </c>
      <c r="T8266" t="str">
        <v>x</v>
      </c>
      <c r="U8266">
        <f>0.006165*F8266^2</f>
        <v>0.6165</v>
      </c>
      <c r="V8266" t="str">
        <v>x</v>
      </c>
      <c r="W8266">
        <f>IF(D8247&gt;4*G8245,ROUND(MAX(D8247/4,2*G8245)/H8266,0)+1,0)</f>
        <v>14</v>
      </c>
      <c r="X8266" t="str">
        <v>x</v>
      </c>
      <c r="Y8266">
        <f>D8250</f>
        <v>1</v>
      </c>
      <c r="Z8266" t="str">
        <v>=</v>
      </c>
      <c r="AA8266">
        <f>N8266*U8266*W8266*Y8266</f>
        <v>10.61613</v>
      </c>
    </row>
    <row r="8268">
      <c r="A8268" t="str">
        <f>A8244</f>
        <v>Lantai Attic</v>
      </c>
      <c r="B8268">
        <f>B8244</f>
        <v>11</v>
      </c>
      <c r="C8268" t="str">
        <v>Kait Horizontal Tump.</v>
      </c>
      <c r="D8268">
        <f>VLOOKUP(D8244,'Detail Balok'!$C$10:$BJ$110,46,FALSE)</f>
        <v>0</v>
      </c>
      <c r="E8268" t="str">
        <v>D</v>
      </c>
      <c r="F8268">
        <f>VLOOKUP(D8244,'Detail Balok'!$C$10:$BJ$110,48,FALSE)</f>
        <v>0</v>
      </c>
      <c r="G8268" t="str">
        <v>-</v>
      </c>
      <c r="H8268">
        <f>VLOOKUP(D8244,'Detail Balok'!$C$10:$BJ$110,50,FALSE)</f>
        <v>100</v>
      </c>
      <c r="J8268">
        <f>(D8245-2*F$5)/1000</f>
        <v>0.12</v>
      </c>
      <c r="K8268" t="str">
        <v>+</v>
      </c>
      <c r="L8268">
        <f>IF(D8268=0,2*MAX(6*F8268,75),(D8268-1)*2*MAX(6*F8268,75))/1000</f>
        <v>0.15</v>
      </c>
      <c r="M8268" t="str">
        <v>=</v>
      </c>
      <c r="N8268">
        <f>J8268+L8268</f>
        <v>0.27</v>
      </c>
      <c r="T8268" t="str">
        <v>x</v>
      </c>
      <c r="U8268">
        <f>0.006165*F8268^2</f>
        <v>0</v>
      </c>
      <c r="V8268" t="str">
        <v>x</v>
      </c>
      <c r="W8268">
        <f>W8264</f>
        <v>14</v>
      </c>
      <c r="X8268" t="str">
        <v>x</v>
      </c>
      <c r="Y8268">
        <f>D8254</f>
        <v>5</v>
      </c>
      <c r="Z8268" t="str">
        <v>=</v>
      </c>
      <c r="AA8268">
        <f>N8268*U8268*W8268*Y8268</f>
        <v>0</v>
      </c>
    </row>
    <row r="8269">
      <c r="A8269" t="str">
        <f>A8244</f>
        <v>Lantai Attic</v>
      </c>
      <c r="B8269">
        <f>B8244</f>
        <v>11</v>
      </c>
      <c r="C8269" t="str">
        <v>Kait Horizontal Lap.</v>
      </c>
      <c r="D8269">
        <f>VLOOKUP(D8244,'Detail Balok'!$C$10:$BJ$110,51,FALSE)</f>
        <v>0</v>
      </c>
      <c r="E8269" t="str">
        <v>D</v>
      </c>
      <c r="F8269">
        <f>VLOOKUP(D8244,'Detail Balok'!$C$10:$BJ$110,53,FALSE)</f>
        <v>0</v>
      </c>
      <c r="G8269" t="str">
        <v>-</v>
      </c>
      <c r="H8269">
        <f>VLOOKUP(D8244,'Detail Balok'!$C$10:$BJ$110,55,FALSE)</f>
        <v>100</v>
      </c>
      <c r="J8269">
        <f>(D8245-2*F$5)/1000</f>
        <v>0.12</v>
      </c>
      <c r="K8269" t="str">
        <v>+</v>
      </c>
      <c r="L8269">
        <f>IF(D8269=0,2*MAX(6*F8269,75),(D8269-1)*2*MAX(6*F8269,75))/1000</f>
        <v>0.15</v>
      </c>
      <c r="M8269" t="str">
        <v>=</v>
      </c>
      <c r="N8269">
        <f>J8269+L8269</f>
        <v>0.27</v>
      </c>
      <c r="T8269" t="str">
        <v>x</v>
      </c>
      <c r="U8269">
        <f>0.006165*F8269^2</f>
        <v>0</v>
      </c>
      <c r="V8269" t="str">
        <v>x</v>
      </c>
      <c r="W8269">
        <f>W8265</f>
        <v>15</v>
      </c>
      <c r="X8269" t="str">
        <v>x</v>
      </c>
      <c r="Y8269">
        <f>D8254</f>
        <v>5</v>
      </c>
      <c r="Z8269" t="str">
        <v>=</v>
      </c>
      <c r="AA8269">
        <f>N8269*U8269*W8269*Y8269</f>
        <v>0</v>
      </c>
    </row>
    <row r="8270">
      <c r="A8270" t="str">
        <f>A8244</f>
        <v>Lantai Attic</v>
      </c>
      <c r="B8270">
        <f>B8244</f>
        <v>11</v>
      </c>
      <c r="C8270" t="str">
        <v>Kait Horizontal Tump.</v>
      </c>
      <c r="D8270">
        <f>VLOOKUP(D8244,'Detail Balok'!$C$10:$BJ$110,56,FALSE)</f>
        <v>0</v>
      </c>
      <c r="E8270" t="str">
        <v>D</v>
      </c>
      <c r="F8270">
        <f>VLOOKUP(D8244,'Detail Balok'!$C$10:$BJ$110,58,FALSE)</f>
        <v>0</v>
      </c>
      <c r="G8270" t="str">
        <v>-</v>
      </c>
      <c r="H8270">
        <f>VLOOKUP(D8244,'Detail Balok'!$C$10:$BJ$110,60,FALSE)</f>
        <v>100</v>
      </c>
      <c r="J8270">
        <f>(D8245-2*F$5)/1000</f>
        <v>0.12</v>
      </c>
      <c r="K8270" t="str">
        <v>+</v>
      </c>
      <c r="L8270">
        <f>IF(D8270=0,2*MAX(6*F8270,75),(D8270-1)*2*MAX(6*F8270,75))/1000</f>
        <v>0.15</v>
      </c>
      <c r="M8270" t="str">
        <v>=</v>
      </c>
      <c r="N8270">
        <f>J8270+L8270</f>
        <v>0.27</v>
      </c>
      <c r="T8270" t="str">
        <v>x</v>
      </c>
      <c r="U8270">
        <f>0.006165*F8270^2</f>
        <v>0</v>
      </c>
      <c r="V8270" t="str">
        <v>x</v>
      </c>
      <c r="W8270">
        <f>W8266</f>
        <v>14</v>
      </c>
      <c r="X8270" t="str">
        <v>x</v>
      </c>
      <c r="Y8270">
        <f>D8254</f>
        <v>5</v>
      </c>
      <c r="Z8270" t="str">
        <v>=</v>
      </c>
      <c r="AA8270">
        <f>N8270*U8270*W8270*Y8270</f>
        <v>0</v>
      </c>
    </row>
    <row r="8274">
      <c r="A8274" t="str">
        <f>A8244</f>
        <v>Lantai Attic</v>
      </c>
      <c r="B8274">
        <f>B8244+1</f>
        <v>12</v>
      </c>
      <c r="C8274" t="str">
        <f>CONCATENATE(A8274," no. ",B8274)</f>
        <v>Lantai Attic no. 12</v>
      </c>
      <c r="D8274" t="str">
        <f>VLOOKUP(C8274,'Data Panjang Balok'!$C$9:$N$424,2,FALSE)</f>
        <v>Potongan J</v>
      </c>
    </row>
    <row r="8275">
      <c r="C8275" t="str">
        <v>Dimensi</v>
      </c>
      <c r="D8275">
        <f>VLOOKUP(D8274,'Detail Balok'!$C$10:$AU$110,2,FALSE)</f>
        <v>200</v>
      </c>
      <c r="F8275" t="str">
        <v>x</v>
      </c>
      <c r="G8275">
        <f>VLOOKUP(D8274,'Detail Balok'!$C$10:$AU$110,3,FALSE)</f>
        <v>500</v>
      </c>
    </row>
    <row r="8276">
      <c r="C8276" t="str">
        <v>Panjang as ke as</v>
      </c>
      <c r="D8276">
        <f>VLOOKUP(C8274,'Data Panjang Balok'!$C$9:$N$424,4,FALSE)</f>
        <v>2000</v>
      </c>
    </row>
    <row r="8277">
      <c r="C8277" t="str">
        <v>Panjang netto</v>
      </c>
      <c r="D8277">
        <f>VLOOKUP(C8274,'Data Panjang Balok'!$C$9:$N$424,7,FALSE)</f>
        <v>2000</v>
      </c>
    </row>
    <row r="8278">
      <c r="C8278" t="str">
        <v>Kolom / balok kiri</v>
      </c>
      <c r="D8278">
        <f>VLOOKUP(C8274,'Data Panjang Balok'!$C$9:$N$424,9,FALSE)</f>
        <v>0</v>
      </c>
    </row>
    <row r="8279">
      <c r="C8279" t="str">
        <v>Kolom / balok kanan</v>
      </c>
      <c r="D8279">
        <f>VLOOKUP(C8274,'Data Panjang Balok'!$C$9:$N$424,10,FALSE)</f>
        <v>0</v>
      </c>
    </row>
    <row r="8280">
      <c r="C8280" t="str">
        <v>Jumlah</v>
      </c>
      <c r="D8280">
        <f>VLOOKUP(C8274,'Data Panjang Balok'!$C$9:$N$424,3,FALSE)</f>
        <v>1</v>
      </c>
    </row>
    <row r="8281">
      <c r="A8281" t="str">
        <f>A8274</f>
        <v>Lantai Attic</v>
      </c>
      <c r="B8281">
        <f>B8274</f>
        <v>12</v>
      </c>
      <c r="C8281" t="str">
        <v>Tul Atas Tumpuan</v>
      </c>
      <c r="D8281">
        <f>VLOOKUP(D8274,'Detail Balok'!$C$10:$AU$110,4,FALSE)</f>
        <v>5</v>
      </c>
      <c r="E8281" t="str">
        <v>D</v>
      </c>
      <c r="F8281">
        <f>VLOOKUP(D8274,'Detail Balok'!$C$10:$AU$110,6,FALSE)</f>
        <v>19</v>
      </c>
      <c r="I8281" t="str">
        <v>(</v>
      </c>
      <c r="J8281">
        <f>+D8276/4/1000</f>
        <v>0.5</v>
      </c>
      <c r="K8281" t="str">
        <v>+</v>
      </c>
      <c r="L8281">
        <f>MAX(VLOOKUP(F8281,N$6:P$15,3,FALSE)/1000,2/3*D8278/1000)+F$16*F8281/1000</f>
        <v>0.228</v>
      </c>
      <c r="M8281" t="str">
        <v>=</v>
      </c>
      <c r="N8281">
        <f>J8281+L8281</f>
        <v>0.728</v>
      </c>
      <c r="O8281" t="str">
        <v>+</v>
      </c>
      <c r="P8281">
        <f>D8281-D8282</f>
        <v>0</v>
      </c>
      <c r="Q8281" t="str">
        <v>x</v>
      </c>
      <c r="R8281">
        <f>IF(P8281&gt;0,$F$18*F8281/1000,0)</f>
        <v>0</v>
      </c>
      <c r="S8281" t="str">
        <v>)</v>
      </c>
      <c r="T8281" t="str">
        <v>x</v>
      </c>
      <c r="U8281">
        <f>0.006165*F8281^2</f>
        <v>2.225565</v>
      </c>
      <c r="X8281" t="str">
        <v>x</v>
      </c>
      <c r="Y8281">
        <f>D8280</f>
        <v>1</v>
      </c>
      <c r="Z8281" t="str">
        <v>=</v>
      </c>
      <c r="AA8281">
        <f>IF(AA8284=0,(D8281*N8281+P8281*R8281)*U8281*Y8281,0)</f>
        <v>0</v>
      </c>
    </row>
    <row r="8282">
      <c r="A8282" t="str">
        <f>A8274</f>
        <v>Lantai Attic</v>
      </c>
      <c r="B8282">
        <f>B8274</f>
        <v>12</v>
      </c>
      <c r="C8282" t="str">
        <v>Tul Atas Lapangan</v>
      </c>
      <c r="D8282">
        <f>VLOOKUP(D8274,'Detail Balok'!$C$10:$AU$110,7,FALSE)</f>
        <v>5</v>
      </c>
      <c r="E8282" t="str">
        <v>D</v>
      </c>
      <c r="F8282">
        <f>VLOOKUP(D8274,'Detail Balok'!$C$10:$AU$110,9,FALSE)</f>
        <v>19</v>
      </c>
      <c r="I8282" t="str">
        <v>(</v>
      </c>
      <c r="J8282">
        <f>+D8276/2/1000</f>
        <v>1</v>
      </c>
      <c r="K8282" t="str">
        <v>+</v>
      </c>
      <c r="M8282" t="str">
        <v>=</v>
      </c>
      <c r="N8282">
        <f>J8282+L8282</f>
        <v>1</v>
      </c>
      <c r="O8282" t="str">
        <v>+</v>
      </c>
      <c r="P8282">
        <f>MAX(D8282-D8281,D8282-D8283)</f>
        <v>0</v>
      </c>
      <c r="Q8282" t="str">
        <v>x</v>
      </c>
      <c r="R8282">
        <f>IF(P8282&gt;0,2*(1-2*$F$19-1/2)*D8277/1000,0)</f>
        <v>0</v>
      </c>
      <c r="S8282" t="str">
        <v>)</v>
      </c>
      <c r="T8282" t="str">
        <v>x</v>
      </c>
      <c r="U8282">
        <f>0.006165*F8282^2</f>
        <v>2.225565</v>
      </c>
      <c r="X8282" t="str">
        <v>x</v>
      </c>
      <c r="Y8282">
        <f>D8280</f>
        <v>1</v>
      </c>
      <c r="Z8282" t="str">
        <v>=</v>
      </c>
      <c r="AA8282">
        <f>IF(AA8284=0,(D8282*N8282+P8282*R8282)*U8282*Y8282,0)</f>
        <v>0</v>
      </c>
    </row>
    <row r="8283">
      <c r="A8283" t="str">
        <f>A8274</f>
        <v>Lantai Attic</v>
      </c>
      <c r="B8283">
        <f>B8274</f>
        <v>12</v>
      </c>
      <c r="C8283" t="str">
        <v>Tul Atas Tumpuan</v>
      </c>
      <c r="D8283">
        <f>VLOOKUP(D8274,'Detail Balok'!$C$10:$AU$110,10,FALSE)</f>
        <v>5</v>
      </c>
      <c r="E8283" t="str">
        <v>D</v>
      </c>
      <c r="F8283">
        <f>VLOOKUP(D8274,'Detail Balok'!$C$10:$AU$110,12,FALSE)</f>
        <v>19</v>
      </c>
      <c r="I8283" t="str">
        <v>(</v>
      </c>
      <c r="J8283">
        <f>+D8276/4/1000</f>
        <v>0.5</v>
      </c>
      <c r="K8283" t="str">
        <v>+</v>
      </c>
      <c r="L8283">
        <f>MAX(VLOOKUP(F8283,N$6:P$15,3,FALSE)/1000,2/3*D8278/1000)+F$16*F8283/1000</f>
        <v>0.228</v>
      </c>
      <c r="M8283" t="str">
        <v>=</v>
      </c>
      <c r="N8283">
        <f>J8283+L8283</f>
        <v>0.728</v>
      </c>
      <c r="O8283" t="str">
        <v>+</v>
      </c>
      <c r="P8283">
        <f>D8283-D8282</f>
        <v>0</v>
      </c>
      <c r="Q8283" t="str">
        <v>x</v>
      </c>
      <c r="R8283">
        <f>IF(P8283&gt;0,$F$18*F8283/1000,0)</f>
        <v>0</v>
      </c>
      <c r="S8283" t="str">
        <v>)</v>
      </c>
      <c r="T8283" t="str">
        <v>x</v>
      </c>
      <c r="U8283">
        <f>0.006165*F8283^2</f>
        <v>2.225565</v>
      </c>
      <c r="X8283" t="str">
        <v>x</v>
      </c>
      <c r="Y8283">
        <f>D8280</f>
        <v>1</v>
      </c>
      <c r="Z8283" t="str">
        <v>=</v>
      </c>
      <c r="AA8283">
        <f>IF(AA8284=0,(D8283*N8283+P8283*R8283)*U8283*Y8283,0)</f>
        <v>0</v>
      </c>
    </row>
    <row r="8284">
      <c r="A8284" t="str">
        <f>A8274</f>
        <v>Lantai Attic</v>
      </c>
      <c r="B8284">
        <f>B8274</f>
        <v>12</v>
      </c>
      <c r="D8284">
        <f>IF(AND(D8281=D8282,D8282=D8283,D8281=D8283),D8281,0)</f>
        <v>5</v>
      </c>
      <c r="E8284" t="str">
        <v>D</v>
      </c>
      <c r="F8284">
        <f>IF(AND(F8281=F8282,F8281=F8283,F8282=F8283),F8281,0)</f>
        <v>19</v>
      </c>
      <c r="L8284" t="str">
        <v>Total panjang per balok</v>
      </c>
      <c r="M8284" t="str">
        <v>=</v>
      </c>
      <c r="N8284">
        <f>IF(AND(D8281=D8282,D8281=D8283,D8282=D8283,F8281=F8282,F8281=F8283,F8282=F8283),SUM(N8281:N8283),0)</f>
        <v>2.456</v>
      </c>
      <c r="O8284" t="str">
        <v>+</v>
      </c>
      <c r="P8284">
        <f>IF(N8284&gt;12,ROUNDDOWN(N8284/12,0),0)</f>
        <v>0</v>
      </c>
      <c r="Q8284" t="str">
        <v>x</v>
      </c>
      <c r="R8284">
        <f>IF(P8284&gt;0,MAX(VLOOKUP(F8284,$D$6:$G$15,3,FALSE),600),0)/1000</f>
        <v>0</v>
      </c>
      <c r="T8284" t="str">
        <v>x</v>
      </c>
      <c r="U8284">
        <f>U8283</f>
        <v>2.225565</v>
      </c>
      <c r="V8284" t="str">
        <v>x</v>
      </c>
      <c r="W8284">
        <f>D8284</f>
        <v>5</v>
      </c>
      <c r="X8284" t="str">
        <v>x</v>
      </c>
      <c r="Y8284">
        <f>Y8283</f>
        <v>1</v>
      </c>
      <c r="Z8284" t="str">
        <v>=</v>
      </c>
      <c r="AA8284">
        <f>(N8284+P8284*R8284/1000)*U8284*W8284*Y8284</f>
        <v>27.3299382</v>
      </c>
    </row>
    <row r="8286">
      <c r="A8286" t="str">
        <f>A8274</f>
        <v>Lantai Attic</v>
      </c>
      <c r="B8286">
        <f>B8274</f>
        <v>12</v>
      </c>
      <c r="C8286" t="str">
        <v>Tul Peminggang</v>
      </c>
      <c r="D8286">
        <f>VLOOKUP(D8274,'Detail Balok'!$C$10:$AU$110,13,FALSE)</f>
        <v>2</v>
      </c>
      <c r="E8286" t="str">
        <v>D</v>
      </c>
      <c r="F8286">
        <f>VLOOKUP(D8274,'Detail Balok'!$C$10:$AU$110,15,FALSE)</f>
        <v>10</v>
      </c>
      <c r="J8286">
        <f>+D8276/1000</f>
        <v>2</v>
      </c>
      <c r="K8286" t="str">
        <v>+</v>
      </c>
      <c r="L8286">
        <f>2*$F$16*F8286/1000</f>
        <v>0.24</v>
      </c>
      <c r="M8286" t="str">
        <v>=</v>
      </c>
      <c r="N8286">
        <f>J8286+L8286</f>
        <v>2.24</v>
      </c>
      <c r="O8286" t="str">
        <v>+</v>
      </c>
      <c r="P8286">
        <f>IF(N8286&gt;12,ROUNDDOWN(N8286/12,0),0)</f>
        <v>0</v>
      </c>
      <c r="Q8286" t="str">
        <v>x</v>
      </c>
      <c r="R8286">
        <f>IF(P8286&gt;0,MAX(VLOOKUP(F8286,$D$6:$G$15,3,FALSE),600),0)/1000</f>
        <v>0</v>
      </c>
      <c r="T8286" t="str">
        <v>x</v>
      </c>
      <c r="U8286">
        <f>0.006165*F8286^2</f>
        <v>0.6165</v>
      </c>
      <c r="V8286" t="str">
        <v>x</v>
      </c>
      <c r="W8286">
        <f>+D8286</f>
        <v>2</v>
      </c>
      <c r="X8286" t="str">
        <v>x</v>
      </c>
      <c r="Y8286">
        <f>D8280</f>
        <v>1</v>
      </c>
      <c r="Z8286" t="str">
        <v>=</v>
      </c>
      <c r="AA8286">
        <f>(N8286+P8286*R8286/1000)*U8286*W8286*Y8286</f>
        <v>2.7619200000000004</v>
      </c>
    </row>
    <row r="8289">
      <c r="A8289" t="str">
        <f>A8274</f>
        <v>Lantai Attic</v>
      </c>
      <c r="B8289">
        <f>B8274</f>
        <v>12</v>
      </c>
      <c r="C8289" t="str">
        <v>Tul Bawah Tumpuan</v>
      </c>
      <c r="D8289">
        <f>VLOOKUP(D8274,'Detail Balok'!$C$10:$AU$110,22,FALSE)</f>
        <v>2</v>
      </c>
      <c r="E8289" t="str">
        <v>D</v>
      </c>
      <c r="F8289">
        <f>VLOOKUP(D8274,'Detail Balok'!$C$10:$AU$110,24,FALSE)</f>
        <v>19</v>
      </c>
      <c r="I8289" t="str">
        <v>(</v>
      </c>
      <c r="J8289">
        <f>+J8281</f>
        <v>0.5</v>
      </c>
      <c r="K8289" t="str">
        <v>+</v>
      </c>
      <c r="L8289">
        <f>MAX(VLOOKUP(F8289,N$6:P$15,3,FALSE)/1000,2/3*D8279/1000)+F$16*F8289/1000</f>
        <v>0.228</v>
      </c>
      <c r="M8289" t="str">
        <v>=</v>
      </c>
      <c r="N8289">
        <f>J8289+L8289</f>
        <v>0.728</v>
      </c>
      <c r="O8289" t="str">
        <v>+</v>
      </c>
      <c r="P8289">
        <f>D8289-D8290</f>
        <v>0</v>
      </c>
      <c r="Q8289" t="str">
        <v>x</v>
      </c>
      <c r="R8289">
        <f>IF(P8289&gt;0,$F$18*F8289/1000,0)</f>
        <v>0</v>
      </c>
      <c r="S8289" t="str">
        <v>)</v>
      </c>
      <c r="T8289" t="str">
        <v>x</v>
      </c>
      <c r="U8289">
        <f>0.006165*F8289^2</f>
        <v>2.225565</v>
      </c>
      <c r="X8289" t="str">
        <v>x</v>
      </c>
      <c r="Y8289">
        <f>D8280</f>
        <v>1</v>
      </c>
      <c r="Z8289" t="str">
        <v>=</v>
      </c>
      <c r="AA8289">
        <f>IF(AA8292=0,(D8289*N8289+P8289*R8289)*U8289*Y8289,0)</f>
        <v>0</v>
      </c>
    </row>
    <row r="8290">
      <c r="A8290" t="str">
        <f>A8274</f>
        <v>Lantai Attic</v>
      </c>
      <c r="B8290">
        <f>B8274</f>
        <v>12</v>
      </c>
      <c r="C8290" t="str">
        <v>Tul Bawah Lapangan</v>
      </c>
      <c r="D8290">
        <f>VLOOKUP(D8274,'Detail Balok'!$C$10:$AU$110,25,FALSE)</f>
        <v>2</v>
      </c>
      <c r="E8290" t="str">
        <v>D</v>
      </c>
      <c r="F8290">
        <f>VLOOKUP(D8274,'Detail Balok'!$C$10:$AU$110,27,FALSE)</f>
        <v>19</v>
      </c>
      <c r="I8290" t="str">
        <v>(</v>
      </c>
      <c r="J8290">
        <f>+J8282</f>
        <v>1</v>
      </c>
      <c r="K8290" t="str">
        <v>+</v>
      </c>
      <c r="M8290" t="str">
        <v>=</v>
      </c>
      <c r="N8290">
        <f>J8290+L8290</f>
        <v>1</v>
      </c>
      <c r="O8290" t="str">
        <v>+</v>
      </c>
      <c r="P8290">
        <f>MAX(D8290-D8289,D8290-D8291)</f>
        <v>0</v>
      </c>
      <c r="Q8290" t="str">
        <v>x</v>
      </c>
      <c r="R8290">
        <f>IF(P8290&gt;0,2*(1-2*$F$19-1/2)*D8277/1000,0)</f>
        <v>0</v>
      </c>
      <c r="S8290" t="str">
        <v>)</v>
      </c>
      <c r="T8290" t="str">
        <v>x</v>
      </c>
      <c r="U8290">
        <f>0.006165*F8290^2</f>
        <v>2.225565</v>
      </c>
      <c r="X8290" t="str">
        <v>x</v>
      </c>
      <c r="Y8290">
        <f>D8280</f>
        <v>1</v>
      </c>
      <c r="Z8290" t="str">
        <v>=</v>
      </c>
      <c r="AA8290">
        <f>IF(AA8292=0,(D8290*N8290+P8290*R8290)*U8290*Y8290,0)</f>
        <v>0</v>
      </c>
    </row>
    <row r="8291">
      <c r="A8291" t="str">
        <f>A8274</f>
        <v>Lantai Attic</v>
      </c>
      <c r="B8291">
        <f>B8274</f>
        <v>12</v>
      </c>
      <c r="C8291" t="str">
        <v>Tul Bawah Tumpuan</v>
      </c>
      <c r="D8291">
        <f>VLOOKUP(D8274,'Detail Balok'!$C$10:$AU$110,28,FALSE)</f>
        <v>2</v>
      </c>
      <c r="E8291" t="str">
        <v>D</v>
      </c>
      <c r="F8291">
        <f>VLOOKUP(D8274,'Detail Balok'!$C$10:$AU$110,30,FALSE)</f>
        <v>19</v>
      </c>
      <c r="I8291" t="str">
        <v>(</v>
      </c>
      <c r="J8291">
        <f>+J8283</f>
        <v>0.5</v>
      </c>
      <c r="K8291" t="str">
        <v>+</v>
      </c>
      <c r="L8291">
        <f>MAX(VLOOKUP(F8291,N$6:P$15,3,FALSE)/1000,2/3*D8279/1000)+F$16*F8291/1000</f>
        <v>0.228</v>
      </c>
      <c r="M8291" t="str">
        <v>=</v>
      </c>
      <c r="N8291">
        <f>J8291+L8291</f>
        <v>0.728</v>
      </c>
      <c r="O8291" t="str">
        <v>+</v>
      </c>
      <c r="P8291">
        <f>D8291-D8290</f>
        <v>0</v>
      </c>
      <c r="Q8291" t="str">
        <v>x</v>
      </c>
      <c r="R8291">
        <f>IF(P8291&gt;0,$F$18*F8291/1000,0)</f>
        <v>0</v>
      </c>
      <c r="S8291" t="str">
        <v>)</v>
      </c>
      <c r="T8291" t="str">
        <v>x</v>
      </c>
      <c r="U8291">
        <f>0.006165*F8291^2</f>
        <v>2.225565</v>
      </c>
      <c r="X8291" t="str">
        <v>x</v>
      </c>
      <c r="Y8291">
        <f>D8280</f>
        <v>1</v>
      </c>
      <c r="Z8291" t="str">
        <v>=</v>
      </c>
      <c r="AA8291">
        <f>IF(AA8292=0,(D8291*N8291+P8291*R8291)*U8291*Y8291,0)</f>
        <v>0</v>
      </c>
    </row>
    <row r="8292">
      <c r="A8292" t="str">
        <f>A8274</f>
        <v>Lantai Attic</v>
      </c>
      <c r="B8292">
        <f>B8274</f>
        <v>12</v>
      </c>
      <c r="D8292">
        <f>IF(AND(D8289=D8290,D8290=D8291,D8289=D8291),D8289,0)</f>
        <v>2</v>
      </c>
      <c r="E8292" t="str">
        <v>D</v>
      </c>
      <c r="F8292">
        <f>IF(AND(F8289=F8290,F8289=F8291,F8290=F8291),F8289,0)</f>
        <v>19</v>
      </c>
      <c r="L8292" t="str">
        <v>Total panjang per balok</v>
      </c>
      <c r="M8292" t="str">
        <v>=</v>
      </c>
      <c r="N8292">
        <f>IF(AND(D8289=D8290,D8289=D8291,D8290=D8291,F8289=F8290,F8289=F8291,F8290=F8291),SUM(N8289:N8291),0)</f>
        <v>2.456</v>
      </c>
      <c r="O8292" t="str">
        <v>+</v>
      </c>
      <c r="P8292">
        <f>IF(N8292&gt;12,ROUNDDOWN(N8292/12,0),0)</f>
        <v>0</v>
      </c>
      <c r="Q8292" t="str">
        <v>x</v>
      </c>
      <c r="R8292">
        <f>IF(P8292&gt;0,MAX(VLOOKUP(F8292,$D$6:$G$15,3,FALSE),600),0)/1000</f>
        <v>0</v>
      </c>
      <c r="T8292" t="str">
        <v>x</v>
      </c>
      <c r="U8292">
        <f>U8291</f>
        <v>2.225565</v>
      </c>
      <c r="V8292" t="str">
        <v>x</v>
      </c>
      <c r="W8292">
        <f>D8292</f>
        <v>2</v>
      </c>
      <c r="X8292" t="str">
        <v>x</v>
      </c>
      <c r="Y8292">
        <f>Y8291</f>
        <v>1</v>
      </c>
      <c r="Z8292" t="str">
        <v>=</v>
      </c>
      <c r="AA8292">
        <f>(N8292+P8292*R8292/1000)*U8292*W8292*Y8292</f>
        <v>10.93197528</v>
      </c>
    </row>
    <row r="8294">
      <c r="A8294" t="str">
        <f>A8274</f>
        <v>Lantai Attic</v>
      </c>
      <c r="B8294">
        <f>B8274</f>
        <v>12</v>
      </c>
      <c r="C8294" t="str">
        <v>Sengkang Tumpuan</v>
      </c>
      <c r="D8294">
        <f>VLOOKUP(D8274,'Detail Balok'!$C$10:$AU$110,31,FALSE)</f>
        <v>0</v>
      </c>
      <c r="E8294" t="str">
        <v>D</v>
      </c>
      <c r="F8294">
        <f>VLOOKUP(D8274,'Detail Balok'!$C$10:$AU$110,33,FALSE)</f>
        <v>10</v>
      </c>
      <c r="G8294" t="str">
        <v>-</v>
      </c>
      <c r="H8294">
        <f>VLOOKUP(D8274,'Detail Balok'!$C$10:$AU$110,35,FALSE)</f>
        <v>200</v>
      </c>
      <c r="J8294">
        <f>(IF(D8294=0,(2*(D8275+G8275))-(F$5*8),IF(D8294=3,(2*(D8275+G8275))-(F$5*8)+(G8275-2*F$5),IF(D8294=4,(2*(D8275+G8275))-(F$5*8)+2*(G8275-2*F$5)))))/1000</f>
        <v>1.08</v>
      </c>
      <c r="K8294" t="str">
        <v>+</v>
      </c>
      <c r="L8294">
        <f>IF(D8294=0,2*MAX(6*F8294,75),(D8294-1)*2*MAX(6*F8294,75))/1000</f>
        <v>0.15</v>
      </c>
      <c r="M8294" t="str">
        <v>=</v>
      </c>
      <c r="N8294">
        <f>J8294+L8294</f>
        <v>1.23</v>
      </c>
      <c r="T8294" t="str">
        <v>x</v>
      </c>
      <c r="U8294">
        <f>0.006165*F8294^2</f>
        <v>0.6165</v>
      </c>
      <c r="V8294" t="str">
        <v>x</v>
      </c>
      <c r="W8294">
        <f>IF(D8277&gt;4*G8275,ROUND(MAX(D8277/4,2*G8275)/H8294,0)+1,ROUND(D8277/H8294,0)+1)</f>
        <v>11</v>
      </c>
      <c r="X8294" t="str">
        <v>x</v>
      </c>
      <c r="Y8294">
        <f>D8280</f>
        <v>1</v>
      </c>
      <c r="Z8294" t="str">
        <v>=</v>
      </c>
      <c r="AA8294">
        <f>N8294*U8294*W8294*Y8294</f>
        <v>8.341245</v>
      </c>
    </row>
    <row r="8295">
      <c r="A8295" t="str">
        <f>A8274</f>
        <v>Lantai Attic</v>
      </c>
      <c r="B8295">
        <f>B8274</f>
        <v>12</v>
      </c>
      <c r="C8295" t="str">
        <v>Sengkang Lapangan</v>
      </c>
      <c r="D8295">
        <f>VLOOKUP(D8274,'Detail Balok'!$C$10:$AU$110,36,FALSE)</f>
        <v>0</v>
      </c>
      <c r="E8295" t="str">
        <v>D</v>
      </c>
      <c r="F8295">
        <f>VLOOKUP(D8274,'Detail Balok'!$C$10:$AU$110,38,FALSE)</f>
        <v>10</v>
      </c>
      <c r="G8295" t="str">
        <v>-</v>
      </c>
      <c r="H8295">
        <f>VLOOKUP(D8274,'Detail Balok'!$C$10:$AU$110,40,FALSE)</f>
        <v>200</v>
      </c>
      <c r="J8295">
        <f>(IF(D8295=0,(2*(D8275+G8275))-(F$5*8),IF(D8295=3,(2*(D8275+G8275))-(F$5*8)+(G8275-2*F$5),IF(D8295=4,(2*(D8275+G8275))-(F$5*8)+2*(G8275-2*F$5)))))/1000</f>
        <v>1.08</v>
      </c>
      <c r="K8295" t="str">
        <v>+</v>
      </c>
      <c r="L8295">
        <f>IF(D8295=0,2*MAX(6*F8295,75),(D8295-1)*2*MAX(6*F8295,75))/1000</f>
        <v>0.15</v>
      </c>
      <c r="M8295" t="str">
        <v>=</v>
      </c>
      <c r="N8295">
        <f>J8295+L8295</f>
        <v>1.23</v>
      </c>
      <c r="T8295" t="str">
        <v>x</v>
      </c>
      <c r="U8295">
        <f>0.006165*F8295^2</f>
        <v>0.6165</v>
      </c>
      <c r="V8295" t="str">
        <v>x</v>
      </c>
      <c r="W8295">
        <f>IF(D8277-MAX(D8277/4,2*G8275)*2&gt;0,ROUND((D8277-MAX(D8277/4,2*G8275)*2)/H8295,0),0)</f>
        <v>0</v>
      </c>
      <c r="X8295" t="str">
        <v>x</v>
      </c>
      <c r="Y8295">
        <f>D8280</f>
        <v>1</v>
      </c>
      <c r="Z8295" t="str">
        <v>=</v>
      </c>
      <c r="AA8295">
        <f>N8295*U8295*W8295*Y8295</f>
        <v>0</v>
      </c>
    </row>
    <row r="8296">
      <c r="A8296" t="str">
        <f>A8274</f>
        <v>Lantai Attic</v>
      </c>
      <c r="B8296">
        <f>B8274</f>
        <v>12</v>
      </c>
      <c r="C8296" t="str">
        <v>Sengkang Tumpuan</v>
      </c>
      <c r="D8296">
        <f>VLOOKUP(D8274,'Detail Balok'!$C$10:$AU$110,41,FALSE)</f>
        <v>0</v>
      </c>
      <c r="E8296" t="str">
        <v>D</v>
      </c>
      <c r="F8296">
        <f>VLOOKUP(D8274,'Detail Balok'!$C$10:$AU$110,43,FALSE)</f>
        <v>10</v>
      </c>
      <c r="G8296" t="str">
        <v>-</v>
      </c>
      <c r="H8296">
        <f>VLOOKUP(D8274,'Detail Balok'!$C$10:$AU$110,45,FALSE)</f>
        <v>200</v>
      </c>
      <c r="J8296">
        <f>(IF(D8296=0,(2*(D8275+G8275))-(F$5*8),IF(D8296=3,(2*(D8275+G8275))-(F$5*8)+(G8275-2*F$5),IF(D8296=4,(2*(D8275+G8275))-(F$5*8)+2*(G8275-2*F$5)))))/1000</f>
        <v>1.08</v>
      </c>
      <c r="K8296" t="str">
        <v>+</v>
      </c>
      <c r="L8296">
        <f>IF(D8296=0,2*MAX(6*F8296,75),(D8296-1)*2*MAX(6*F8296,75))/1000</f>
        <v>0.15</v>
      </c>
      <c r="M8296" t="str">
        <v>=</v>
      </c>
      <c r="N8296">
        <f>J8296+L8296</f>
        <v>1.23</v>
      </c>
      <c r="T8296" t="str">
        <v>x</v>
      </c>
      <c r="U8296">
        <f>0.006165*F8296^2</f>
        <v>0.6165</v>
      </c>
      <c r="V8296" t="str">
        <v>x</v>
      </c>
      <c r="W8296">
        <f>IF(D8277&gt;4*G8275,ROUND(MAX(D8277/4,2*G8275)/H8296,0)+1,0)</f>
        <v>0</v>
      </c>
      <c r="X8296" t="str">
        <v>x</v>
      </c>
      <c r="Y8296">
        <f>D8280</f>
        <v>1</v>
      </c>
      <c r="Z8296" t="str">
        <v>=</v>
      </c>
      <c r="AA8296">
        <f>N8296*U8296*W8296*Y8296</f>
        <v>0</v>
      </c>
    </row>
    <row r="8298">
      <c r="A8298" t="str">
        <f>A8274</f>
        <v>Lantai Attic</v>
      </c>
      <c r="B8298">
        <f>B8274</f>
        <v>12</v>
      </c>
      <c r="C8298" t="str">
        <v>Kait Horizontal Tump.</v>
      </c>
      <c r="D8298">
        <f>VLOOKUP(D8274,'Detail Balok'!$C$10:$BJ$110,46,FALSE)</f>
        <v>0</v>
      </c>
      <c r="E8298" t="str">
        <v>D</v>
      </c>
      <c r="F8298">
        <f>VLOOKUP(D8274,'Detail Balok'!$C$10:$BJ$110,48,FALSE)</f>
        <v>0</v>
      </c>
      <c r="G8298" t="str">
        <v>-</v>
      </c>
      <c r="H8298">
        <f>VLOOKUP(D8274,'Detail Balok'!$C$10:$BJ$110,50,FALSE)</f>
        <v>100</v>
      </c>
      <c r="J8298">
        <f>(D8275-2*F$5)/1000</f>
        <v>0.12</v>
      </c>
      <c r="K8298" t="str">
        <v>+</v>
      </c>
      <c r="L8298">
        <f>IF(D8298=0,2*MAX(6*F8298,75),(D8298-1)*2*MAX(6*F8298,75))/1000</f>
        <v>0.15</v>
      </c>
      <c r="M8298" t="str">
        <v>=</v>
      </c>
      <c r="N8298">
        <f>J8298+L8298</f>
        <v>0.27</v>
      </c>
      <c r="T8298" t="str">
        <v>x</v>
      </c>
      <c r="U8298">
        <f>0.006165*F8298^2</f>
        <v>0</v>
      </c>
      <c r="V8298" t="str">
        <v>x</v>
      </c>
      <c r="W8298">
        <f>W8294</f>
        <v>11</v>
      </c>
      <c r="X8298" t="str">
        <v>x</v>
      </c>
      <c r="Y8298">
        <f>D8284</f>
        <v>5</v>
      </c>
      <c r="Z8298" t="str">
        <v>=</v>
      </c>
      <c r="AA8298">
        <f>N8298*U8298*W8298*Y8298</f>
        <v>0</v>
      </c>
    </row>
    <row r="8299">
      <c r="A8299" t="str">
        <f>A8274</f>
        <v>Lantai Attic</v>
      </c>
      <c r="B8299">
        <f>B8274</f>
        <v>12</v>
      </c>
      <c r="C8299" t="str">
        <v>Kait Horizontal Lap.</v>
      </c>
      <c r="D8299">
        <f>VLOOKUP(D8274,'Detail Balok'!$C$10:$BJ$110,51,FALSE)</f>
        <v>0</v>
      </c>
      <c r="E8299" t="str">
        <v>D</v>
      </c>
      <c r="F8299">
        <f>VLOOKUP(D8274,'Detail Balok'!$C$10:$BJ$110,53,FALSE)</f>
        <v>0</v>
      </c>
      <c r="G8299" t="str">
        <v>-</v>
      </c>
      <c r="H8299">
        <f>VLOOKUP(D8274,'Detail Balok'!$C$10:$BJ$110,55,FALSE)</f>
        <v>100</v>
      </c>
      <c r="J8299">
        <f>(D8275-2*F$5)/1000</f>
        <v>0.12</v>
      </c>
      <c r="K8299" t="str">
        <v>+</v>
      </c>
      <c r="L8299">
        <f>IF(D8299=0,2*MAX(6*F8299,75),(D8299-1)*2*MAX(6*F8299,75))/1000</f>
        <v>0.15</v>
      </c>
      <c r="M8299" t="str">
        <v>=</v>
      </c>
      <c r="N8299">
        <f>J8299+L8299</f>
        <v>0.27</v>
      </c>
      <c r="T8299" t="str">
        <v>x</v>
      </c>
      <c r="U8299">
        <f>0.006165*F8299^2</f>
        <v>0</v>
      </c>
      <c r="V8299" t="str">
        <v>x</v>
      </c>
      <c r="W8299">
        <f>W8295</f>
        <v>0</v>
      </c>
      <c r="X8299" t="str">
        <v>x</v>
      </c>
      <c r="Y8299">
        <f>D8284</f>
        <v>5</v>
      </c>
      <c r="Z8299" t="str">
        <v>=</v>
      </c>
      <c r="AA8299">
        <f>N8299*U8299*W8299*Y8299</f>
        <v>0</v>
      </c>
    </row>
    <row r="8300">
      <c r="A8300" t="str">
        <f>A8274</f>
        <v>Lantai Attic</v>
      </c>
      <c r="B8300">
        <f>B8274</f>
        <v>12</v>
      </c>
      <c r="C8300" t="str">
        <v>Kait Horizontal Tump.</v>
      </c>
      <c r="D8300">
        <f>VLOOKUP(D8274,'Detail Balok'!$C$10:$BJ$110,56,FALSE)</f>
        <v>0</v>
      </c>
      <c r="E8300" t="str">
        <v>D</v>
      </c>
      <c r="F8300">
        <f>VLOOKUP(D8274,'Detail Balok'!$C$10:$BJ$110,58,FALSE)</f>
        <v>0</v>
      </c>
      <c r="G8300" t="str">
        <v>-</v>
      </c>
      <c r="H8300">
        <f>VLOOKUP(D8274,'Detail Balok'!$C$10:$BJ$110,60,FALSE)</f>
        <v>100</v>
      </c>
      <c r="J8300">
        <f>(D8275-2*F$5)/1000</f>
        <v>0.12</v>
      </c>
      <c r="K8300" t="str">
        <v>+</v>
      </c>
      <c r="L8300">
        <f>IF(D8300=0,2*MAX(6*F8300,75),(D8300-1)*2*MAX(6*F8300,75))/1000</f>
        <v>0.15</v>
      </c>
      <c r="M8300" t="str">
        <v>=</v>
      </c>
      <c r="N8300">
        <f>J8300+L8300</f>
        <v>0.27</v>
      </c>
      <c r="T8300" t="str">
        <v>x</v>
      </c>
      <c r="U8300">
        <f>0.006165*F8300^2</f>
        <v>0</v>
      </c>
      <c r="V8300" t="str">
        <v>x</v>
      </c>
      <c r="W8300">
        <f>W8296</f>
        <v>0</v>
      </c>
      <c r="X8300" t="str">
        <v>x</v>
      </c>
      <c r="Y8300">
        <f>D8284</f>
        <v>5</v>
      </c>
      <c r="Z8300" t="str">
        <v>=</v>
      </c>
      <c r="AA8300">
        <f>N8300*U8300*W8300*Y8300</f>
        <v>0</v>
      </c>
    </row>
    <row r="8304">
      <c r="A8304" t="str">
        <f>A8274</f>
        <v>Lantai Attic</v>
      </c>
      <c r="B8304">
        <f>B8274+1</f>
        <v>13</v>
      </c>
      <c r="C8304" t="str">
        <f>CONCATENATE(A8304," no. ",B8304)</f>
        <v>Lantai Attic no. 13</v>
      </c>
      <c r="D8304" t="str">
        <f>VLOOKUP(C8304,'Data Panjang Balok'!$C$9:$N$424,2,FALSE)</f>
        <v>B25-1</v>
      </c>
    </row>
    <row r="8305">
      <c r="C8305" t="str">
        <v>Dimensi</v>
      </c>
      <c r="D8305">
        <f>VLOOKUP(D8304,'Detail Balok'!$C$10:$AU$110,2,FALSE)</f>
        <v>200</v>
      </c>
      <c r="F8305" t="str">
        <v>x</v>
      </c>
      <c r="G8305">
        <f>VLOOKUP(D8304,'Detail Balok'!$C$10:$AU$110,3,FALSE)</f>
        <v>500</v>
      </c>
    </row>
    <row r="8306">
      <c r="C8306" t="str">
        <v>Panjang as ke as</v>
      </c>
      <c r="D8306">
        <f>VLOOKUP(C8304,'Data Panjang Balok'!$C$9:$N$424,4,FALSE)</f>
        <v>3100</v>
      </c>
    </row>
    <row r="8307">
      <c r="C8307" t="str">
        <v>Panjang netto</v>
      </c>
      <c r="D8307">
        <f>VLOOKUP(C8304,'Data Panjang Balok'!$C$9:$N$424,7,FALSE)</f>
        <v>3100</v>
      </c>
    </row>
    <row r="8308">
      <c r="C8308" t="str">
        <v>Kolom / balok kiri</v>
      </c>
      <c r="D8308">
        <f>VLOOKUP(C8304,'Data Panjang Balok'!$C$9:$N$424,9,FALSE)</f>
        <v>0</v>
      </c>
    </row>
    <row r="8309">
      <c r="C8309" t="str">
        <v>Kolom / balok kanan</v>
      </c>
      <c r="D8309">
        <f>VLOOKUP(C8304,'Data Panjang Balok'!$C$9:$N$424,10,FALSE)</f>
        <v>0</v>
      </c>
    </row>
    <row r="8310">
      <c r="C8310" t="str">
        <v>Jumlah</v>
      </c>
      <c r="D8310">
        <f>VLOOKUP(C8304,'Data Panjang Balok'!$C$9:$N$424,3,FALSE)</f>
        <v>1</v>
      </c>
    </row>
    <row r="8311">
      <c r="A8311" t="str">
        <f>A8304</f>
        <v>Lantai Attic</v>
      </c>
      <c r="B8311">
        <f>B8304</f>
        <v>13</v>
      </c>
      <c r="C8311" t="str">
        <v>Tul Atas Tumpuan</v>
      </c>
      <c r="D8311">
        <f>VLOOKUP(D8304,'Detail Balok'!$C$10:$AU$110,4,FALSE)</f>
        <v>2</v>
      </c>
      <c r="E8311" t="str">
        <v>D</v>
      </c>
      <c r="F8311">
        <f>VLOOKUP(D8304,'Detail Balok'!$C$10:$AU$110,6,FALSE)</f>
        <v>16</v>
      </c>
      <c r="I8311" t="str">
        <v>(</v>
      </c>
      <c r="J8311">
        <f>+D8306/4/1000</f>
        <v>0.775</v>
      </c>
      <c r="K8311" t="str">
        <v>+</v>
      </c>
      <c r="L8311">
        <f>MAX(VLOOKUP(F8311,N$6:P$15,3,FALSE)/1000,2/3*D8308/1000)+F$16*F8311/1000</f>
        <v>0.192</v>
      </c>
      <c r="M8311" t="str">
        <v>=</v>
      </c>
      <c r="N8311">
        <f>J8311+L8311</f>
        <v>0.9670000000000001</v>
      </c>
      <c r="O8311" t="str">
        <v>+</v>
      </c>
      <c r="P8311">
        <f>D8311-D8312</f>
        <v>0</v>
      </c>
      <c r="Q8311" t="str">
        <v>x</v>
      </c>
      <c r="R8311">
        <f>IF(P8311&gt;0,$F$18*F8311/1000,0)</f>
        <v>0</v>
      </c>
      <c r="S8311" t="str">
        <v>)</v>
      </c>
      <c r="T8311" t="str">
        <v>x</v>
      </c>
      <c r="U8311">
        <f>0.006165*F8311^2</f>
        <v>1.57824</v>
      </c>
      <c r="X8311" t="str">
        <v>x</v>
      </c>
      <c r="Y8311">
        <f>D8310</f>
        <v>1</v>
      </c>
      <c r="Z8311" t="str">
        <v>=</v>
      </c>
      <c r="AA8311">
        <f>IF(AA8314=0,(D8311*N8311+P8311*R8311)*U8311*Y8311,0)</f>
        <v>0</v>
      </c>
    </row>
    <row r="8312">
      <c r="A8312" t="str">
        <f>A8304</f>
        <v>Lantai Attic</v>
      </c>
      <c r="B8312">
        <f>B8304</f>
        <v>13</v>
      </c>
      <c r="C8312" t="str">
        <v>Tul Atas Lapangan</v>
      </c>
      <c r="D8312">
        <f>VLOOKUP(D8304,'Detail Balok'!$C$10:$AU$110,7,FALSE)</f>
        <v>2</v>
      </c>
      <c r="E8312" t="str">
        <v>D</v>
      </c>
      <c r="F8312">
        <f>VLOOKUP(D8304,'Detail Balok'!$C$10:$AU$110,9,FALSE)</f>
        <v>16</v>
      </c>
      <c r="I8312" t="str">
        <v>(</v>
      </c>
      <c r="J8312">
        <f>+D8306/2/1000</f>
        <v>1.55</v>
      </c>
      <c r="K8312" t="str">
        <v>+</v>
      </c>
      <c r="M8312" t="str">
        <v>=</v>
      </c>
      <c r="N8312">
        <f>J8312+L8312</f>
        <v>1.55</v>
      </c>
      <c r="O8312" t="str">
        <v>+</v>
      </c>
      <c r="P8312">
        <f>MAX(D8312-D8311,D8312-D8313)</f>
        <v>0</v>
      </c>
      <c r="Q8312" t="str">
        <v>x</v>
      </c>
      <c r="R8312">
        <f>IF(P8312&gt;0,2*(1-2*$F$19-1/2)*D8307/1000,0)</f>
        <v>0</v>
      </c>
      <c r="S8312" t="str">
        <v>)</v>
      </c>
      <c r="T8312" t="str">
        <v>x</v>
      </c>
      <c r="U8312">
        <f>0.006165*F8312^2</f>
        <v>1.57824</v>
      </c>
      <c r="X8312" t="str">
        <v>x</v>
      </c>
      <c r="Y8312">
        <f>D8310</f>
        <v>1</v>
      </c>
      <c r="Z8312" t="str">
        <v>=</v>
      </c>
      <c r="AA8312">
        <f>IF(AA8314=0,(D8312*N8312+P8312*R8312)*U8312*Y8312,0)</f>
        <v>0</v>
      </c>
    </row>
    <row r="8313">
      <c r="A8313" t="str">
        <f>A8304</f>
        <v>Lantai Attic</v>
      </c>
      <c r="B8313">
        <f>B8304</f>
        <v>13</v>
      </c>
      <c r="C8313" t="str">
        <v>Tul Atas Tumpuan</v>
      </c>
      <c r="D8313">
        <f>VLOOKUP(D8304,'Detail Balok'!$C$10:$AU$110,10,FALSE)</f>
        <v>2</v>
      </c>
      <c r="E8313" t="str">
        <v>D</v>
      </c>
      <c r="F8313">
        <f>VLOOKUP(D8304,'Detail Balok'!$C$10:$AU$110,12,FALSE)</f>
        <v>16</v>
      </c>
      <c r="I8313" t="str">
        <v>(</v>
      </c>
      <c r="J8313">
        <f>+D8306/4/1000</f>
        <v>0.775</v>
      </c>
      <c r="K8313" t="str">
        <v>+</v>
      </c>
      <c r="L8313">
        <f>MAX(VLOOKUP(F8313,N$6:P$15,3,FALSE)/1000,2/3*D8308/1000)+F$16*F8313/1000</f>
        <v>0.192</v>
      </c>
      <c r="M8313" t="str">
        <v>=</v>
      </c>
      <c r="N8313">
        <f>J8313+L8313</f>
        <v>0.9670000000000001</v>
      </c>
      <c r="O8313" t="str">
        <v>+</v>
      </c>
      <c r="P8313">
        <f>D8313-D8312</f>
        <v>0</v>
      </c>
      <c r="Q8313" t="str">
        <v>x</v>
      </c>
      <c r="R8313">
        <f>IF(P8313&gt;0,$F$18*F8313/1000,0)</f>
        <v>0</v>
      </c>
      <c r="S8313" t="str">
        <v>)</v>
      </c>
      <c r="T8313" t="str">
        <v>x</v>
      </c>
      <c r="U8313">
        <f>0.006165*F8313^2</f>
        <v>1.57824</v>
      </c>
      <c r="X8313" t="str">
        <v>x</v>
      </c>
      <c r="Y8313">
        <f>D8310</f>
        <v>1</v>
      </c>
      <c r="Z8313" t="str">
        <v>=</v>
      </c>
      <c r="AA8313">
        <f>IF(AA8314=0,(D8313*N8313+P8313*R8313)*U8313*Y8313,0)</f>
        <v>0</v>
      </c>
    </row>
    <row r="8314">
      <c r="A8314" t="str">
        <f>A8304</f>
        <v>Lantai Attic</v>
      </c>
      <c r="B8314">
        <f>B8304</f>
        <v>13</v>
      </c>
      <c r="D8314">
        <f>IF(AND(D8311=D8312,D8312=D8313,D8311=D8313),D8311,0)</f>
        <v>2</v>
      </c>
      <c r="E8314" t="str">
        <v>D</v>
      </c>
      <c r="F8314">
        <f>IF(AND(F8311=F8312,F8311=F8313,F8312=F8313),F8311,0)</f>
        <v>16</v>
      </c>
      <c r="L8314" t="str">
        <v>Total panjang per balok</v>
      </c>
      <c r="M8314" t="str">
        <v>=</v>
      </c>
      <c r="N8314">
        <f>IF(AND(D8311=D8312,D8311=D8313,D8312=D8313,F8311=F8312,F8311=F8313,F8312=F8313),SUM(N8311:N8313),0)</f>
        <v>3.4840000000000004</v>
      </c>
      <c r="O8314" t="str">
        <v>+</v>
      </c>
      <c r="P8314">
        <f>IF(N8314&gt;12,ROUNDDOWN(N8314/12,0),0)</f>
        <v>0</v>
      </c>
      <c r="Q8314" t="str">
        <v>x</v>
      </c>
      <c r="R8314">
        <f>IF(P8314&gt;0,MAX(VLOOKUP(F8314,$D$6:$G$15,3,FALSE),600),0)/1000</f>
        <v>0</v>
      </c>
      <c r="T8314" t="str">
        <v>x</v>
      </c>
      <c r="U8314">
        <f>U8313</f>
        <v>1.57824</v>
      </c>
      <c r="V8314" t="str">
        <v>x</v>
      </c>
      <c r="W8314">
        <f>D8314</f>
        <v>2</v>
      </c>
      <c r="X8314" t="str">
        <v>x</v>
      </c>
      <c r="Y8314">
        <f>Y8313</f>
        <v>1</v>
      </c>
      <c r="Z8314" t="str">
        <v>=</v>
      </c>
      <c r="AA8314">
        <f>(N8314+P8314*R8314/1000)*U8314*W8314*Y8314</f>
        <v>10.997176320000001</v>
      </c>
    </row>
    <row r="8316">
      <c r="A8316" t="str">
        <f>A8304</f>
        <v>Lantai Attic</v>
      </c>
      <c r="B8316">
        <f>B8304</f>
        <v>13</v>
      </c>
      <c r="C8316" t="str">
        <v>Tul Peminggang</v>
      </c>
      <c r="D8316">
        <f>VLOOKUP(D8304,'Detail Balok'!$C$10:$AU$110,13,FALSE)</f>
        <v>2</v>
      </c>
      <c r="E8316" t="str">
        <v>D</v>
      </c>
      <c r="F8316">
        <f>VLOOKUP(D8304,'Detail Balok'!$C$10:$AU$110,15,FALSE)</f>
        <v>10</v>
      </c>
      <c r="J8316">
        <f>+D8306/1000</f>
        <v>3.1</v>
      </c>
      <c r="K8316" t="str">
        <v>+</v>
      </c>
      <c r="L8316">
        <f>2*$F$16*F8316/1000</f>
        <v>0.24</v>
      </c>
      <c r="M8316" t="str">
        <v>=</v>
      </c>
      <c r="N8316">
        <f>J8316+L8316</f>
        <v>3.34</v>
      </c>
      <c r="O8316" t="str">
        <v>+</v>
      </c>
      <c r="P8316">
        <f>IF(N8316&gt;12,ROUNDDOWN(N8316/12,0),0)</f>
        <v>0</v>
      </c>
      <c r="Q8316" t="str">
        <v>x</v>
      </c>
      <c r="R8316">
        <f>IF(P8316&gt;0,MAX(VLOOKUP(F8316,$D$6:$G$15,3,FALSE),600),0)/1000</f>
        <v>0</v>
      </c>
      <c r="T8316" t="str">
        <v>x</v>
      </c>
      <c r="U8316">
        <f>0.006165*F8316^2</f>
        <v>0.6165</v>
      </c>
      <c r="V8316" t="str">
        <v>x</v>
      </c>
      <c r="W8316">
        <f>+D8316</f>
        <v>2</v>
      </c>
      <c r="X8316" t="str">
        <v>x</v>
      </c>
      <c r="Y8316">
        <f>D8310</f>
        <v>1</v>
      </c>
      <c r="Z8316" t="str">
        <v>=</v>
      </c>
      <c r="AA8316">
        <f>(N8316+P8316*R8316/1000)*U8316*W8316*Y8316</f>
        <v>4.11822</v>
      </c>
    </row>
    <row r="8319">
      <c r="A8319" t="str">
        <f>A8304</f>
        <v>Lantai Attic</v>
      </c>
      <c r="B8319">
        <f>B8304</f>
        <v>13</v>
      </c>
      <c r="C8319" t="str">
        <v>Tul Bawah Tumpuan</v>
      </c>
      <c r="D8319">
        <f>VLOOKUP(D8304,'Detail Balok'!$C$10:$AU$110,22,FALSE)</f>
        <v>2</v>
      </c>
      <c r="E8319" t="str">
        <v>D</v>
      </c>
      <c r="F8319">
        <f>VLOOKUP(D8304,'Detail Balok'!$C$10:$AU$110,24,FALSE)</f>
        <v>16</v>
      </c>
      <c r="I8319" t="str">
        <v>(</v>
      </c>
      <c r="J8319">
        <f>+J8311</f>
        <v>0.775</v>
      </c>
      <c r="K8319" t="str">
        <v>+</v>
      </c>
      <c r="L8319">
        <f>MAX(VLOOKUP(F8319,N$6:P$15,3,FALSE)/1000,2/3*D8309/1000)+F$16*F8319/1000</f>
        <v>0.192</v>
      </c>
      <c r="M8319" t="str">
        <v>=</v>
      </c>
      <c r="N8319">
        <f>J8319+L8319</f>
        <v>0.9670000000000001</v>
      </c>
      <c r="O8319" t="str">
        <v>+</v>
      </c>
      <c r="P8319">
        <f>D8319-D8320</f>
        <v>0</v>
      </c>
      <c r="Q8319" t="str">
        <v>x</v>
      </c>
      <c r="R8319">
        <f>IF(P8319&gt;0,$F$18*F8319/1000,0)</f>
        <v>0</v>
      </c>
      <c r="S8319" t="str">
        <v>)</v>
      </c>
      <c r="T8319" t="str">
        <v>x</v>
      </c>
      <c r="U8319">
        <f>0.006165*F8319^2</f>
        <v>1.57824</v>
      </c>
      <c r="X8319" t="str">
        <v>x</v>
      </c>
      <c r="Y8319">
        <f>D8310</f>
        <v>1</v>
      </c>
      <c r="Z8319" t="str">
        <v>=</v>
      </c>
      <c r="AA8319">
        <f>IF(AA8322=0,(D8319*N8319+P8319*R8319)*U8319*Y8319,0)</f>
        <v>0</v>
      </c>
    </row>
    <row r="8320">
      <c r="A8320" t="str">
        <f>A8304</f>
        <v>Lantai Attic</v>
      </c>
      <c r="B8320">
        <f>B8304</f>
        <v>13</v>
      </c>
      <c r="C8320" t="str">
        <v>Tul Bawah Lapangan</v>
      </c>
      <c r="D8320">
        <f>VLOOKUP(D8304,'Detail Balok'!$C$10:$AU$110,25,FALSE)</f>
        <v>2</v>
      </c>
      <c r="E8320" t="str">
        <v>D</v>
      </c>
      <c r="F8320">
        <f>VLOOKUP(D8304,'Detail Balok'!$C$10:$AU$110,27,FALSE)</f>
        <v>16</v>
      </c>
      <c r="I8320" t="str">
        <v>(</v>
      </c>
      <c r="J8320">
        <f>+J8312</f>
        <v>1.55</v>
      </c>
      <c r="K8320" t="str">
        <v>+</v>
      </c>
      <c r="M8320" t="str">
        <v>=</v>
      </c>
      <c r="N8320">
        <f>J8320+L8320</f>
        <v>1.55</v>
      </c>
      <c r="O8320" t="str">
        <v>+</v>
      </c>
      <c r="P8320">
        <f>MAX(D8320-D8319,D8320-D8321)</f>
        <v>0</v>
      </c>
      <c r="Q8320" t="str">
        <v>x</v>
      </c>
      <c r="R8320">
        <f>IF(P8320&gt;0,2*(1-2*$F$19-1/2)*D8307/1000,0)</f>
        <v>0</v>
      </c>
      <c r="S8320" t="str">
        <v>)</v>
      </c>
      <c r="T8320" t="str">
        <v>x</v>
      </c>
      <c r="U8320">
        <f>0.006165*F8320^2</f>
        <v>1.57824</v>
      </c>
      <c r="X8320" t="str">
        <v>x</v>
      </c>
      <c r="Y8320">
        <f>D8310</f>
        <v>1</v>
      </c>
      <c r="Z8320" t="str">
        <v>=</v>
      </c>
      <c r="AA8320">
        <f>IF(AA8322=0,(D8320*N8320+P8320*R8320)*U8320*Y8320,0)</f>
        <v>0</v>
      </c>
    </row>
    <row r="8321">
      <c r="A8321" t="str">
        <f>A8304</f>
        <v>Lantai Attic</v>
      </c>
      <c r="B8321">
        <f>B8304</f>
        <v>13</v>
      </c>
      <c r="C8321" t="str">
        <v>Tul Bawah Tumpuan</v>
      </c>
      <c r="D8321">
        <f>VLOOKUP(D8304,'Detail Balok'!$C$10:$AU$110,28,FALSE)</f>
        <v>2</v>
      </c>
      <c r="E8321" t="str">
        <v>D</v>
      </c>
      <c r="F8321">
        <f>VLOOKUP(D8304,'Detail Balok'!$C$10:$AU$110,30,FALSE)</f>
        <v>16</v>
      </c>
      <c r="I8321" t="str">
        <v>(</v>
      </c>
      <c r="J8321">
        <f>+J8313</f>
        <v>0.775</v>
      </c>
      <c r="K8321" t="str">
        <v>+</v>
      </c>
      <c r="L8321">
        <f>MAX(VLOOKUP(F8321,N$6:P$15,3,FALSE)/1000,2/3*D8309/1000)+F$16*F8321/1000</f>
        <v>0.192</v>
      </c>
      <c r="M8321" t="str">
        <v>=</v>
      </c>
      <c r="N8321">
        <f>J8321+L8321</f>
        <v>0.9670000000000001</v>
      </c>
      <c r="O8321" t="str">
        <v>+</v>
      </c>
      <c r="P8321">
        <f>D8321-D8320</f>
        <v>0</v>
      </c>
      <c r="Q8321" t="str">
        <v>x</v>
      </c>
      <c r="R8321">
        <f>IF(P8321&gt;0,$F$18*F8321/1000,0)</f>
        <v>0</v>
      </c>
      <c r="S8321" t="str">
        <v>)</v>
      </c>
      <c r="T8321" t="str">
        <v>x</v>
      </c>
      <c r="U8321">
        <f>0.006165*F8321^2</f>
        <v>1.57824</v>
      </c>
      <c r="X8321" t="str">
        <v>x</v>
      </c>
      <c r="Y8321">
        <f>D8310</f>
        <v>1</v>
      </c>
      <c r="Z8321" t="str">
        <v>=</v>
      </c>
      <c r="AA8321">
        <f>IF(AA8322=0,(D8321*N8321+P8321*R8321)*U8321*Y8321,0)</f>
        <v>0</v>
      </c>
    </row>
    <row r="8322">
      <c r="A8322" t="str">
        <f>A8304</f>
        <v>Lantai Attic</v>
      </c>
      <c r="B8322">
        <f>B8304</f>
        <v>13</v>
      </c>
      <c r="D8322">
        <f>IF(AND(D8319=D8320,D8320=D8321,D8319=D8321),D8319,0)</f>
        <v>2</v>
      </c>
      <c r="E8322" t="str">
        <v>D</v>
      </c>
      <c r="F8322">
        <f>IF(AND(F8319=F8320,F8319=F8321,F8320=F8321),F8319,0)</f>
        <v>16</v>
      </c>
      <c r="L8322" t="str">
        <v>Total panjang per balok</v>
      </c>
      <c r="M8322" t="str">
        <v>=</v>
      </c>
      <c r="N8322">
        <f>IF(AND(D8319=D8320,D8319=D8321,D8320=D8321,F8319=F8320,F8319=F8321,F8320=F8321),SUM(N8319:N8321),0)</f>
        <v>3.4840000000000004</v>
      </c>
      <c r="O8322" t="str">
        <v>+</v>
      </c>
      <c r="P8322">
        <f>IF(N8322&gt;12,ROUNDDOWN(N8322/12,0),0)</f>
        <v>0</v>
      </c>
      <c r="Q8322" t="str">
        <v>x</v>
      </c>
      <c r="R8322">
        <f>IF(P8322&gt;0,MAX(VLOOKUP(F8322,$D$6:$G$15,3,FALSE),600),0)/1000</f>
        <v>0</v>
      </c>
      <c r="T8322" t="str">
        <v>x</v>
      </c>
      <c r="U8322">
        <f>U8321</f>
        <v>1.57824</v>
      </c>
      <c r="V8322" t="str">
        <v>x</v>
      </c>
      <c r="W8322">
        <f>D8322</f>
        <v>2</v>
      </c>
      <c r="X8322" t="str">
        <v>x</v>
      </c>
      <c r="Y8322">
        <f>Y8321</f>
        <v>1</v>
      </c>
      <c r="Z8322" t="str">
        <v>=</v>
      </c>
      <c r="AA8322">
        <f>(N8322+P8322*R8322/1000)*U8322*W8322*Y8322</f>
        <v>10.997176320000001</v>
      </c>
    </row>
    <row r="8324">
      <c r="A8324" t="str">
        <f>A8304</f>
        <v>Lantai Attic</v>
      </c>
      <c r="B8324">
        <f>B8304</f>
        <v>13</v>
      </c>
      <c r="C8324" t="str">
        <v>Sengkang Tumpuan</v>
      </c>
      <c r="D8324">
        <f>VLOOKUP(D8304,'Detail Balok'!$C$10:$AU$110,31,FALSE)</f>
        <v>0</v>
      </c>
      <c r="E8324" t="str">
        <v>D</v>
      </c>
      <c r="F8324">
        <f>VLOOKUP(D8304,'Detail Balok'!$C$10:$AU$110,33,FALSE)</f>
        <v>10</v>
      </c>
      <c r="G8324" t="str">
        <v>-</v>
      </c>
      <c r="H8324">
        <f>VLOOKUP(D8304,'Detail Balok'!$C$10:$AU$110,35,FALSE)</f>
        <v>100</v>
      </c>
      <c r="J8324">
        <f>(IF(D8324=0,(2*(D8305+G8305))-(F$5*8),IF(D8324=3,(2*(D8305+G8305))-(F$5*8)+(G8305-2*F$5),IF(D8324=4,(2*(D8305+G8305))-(F$5*8)+2*(G8305-2*F$5)))))/1000</f>
        <v>1.08</v>
      </c>
      <c r="K8324" t="str">
        <v>+</v>
      </c>
      <c r="L8324">
        <f>IF(D8324=0,2*MAX(6*F8324,75),(D8324-1)*2*MAX(6*F8324,75))/1000</f>
        <v>0.15</v>
      </c>
      <c r="M8324" t="str">
        <v>=</v>
      </c>
      <c r="N8324">
        <f>J8324+L8324</f>
        <v>1.23</v>
      </c>
      <c r="T8324" t="str">
        <v>x</v>
      </c>
      <c r="U8324">
        <f>0.006165*F8324^2</f>
        <v>0.6165</v>
      </c>
      <c r="V8324" t="str">
        <v>x</v>
      </c>
      <c r="W8324">
        <f>IF(D8307&gt;4*G8305,ROUND(MAX(D8307/4,2*G8305)/H8324,0)+1,ROUND(D8307/H8324,0)+1)</f>
        <v>11</v>
      </c>
      <c r="X8324" t="str">
        <v>x</v>
      </c>
      <c r="Y8324">
        <f>D8310</f>
        <v>1</v>
      </c>
      <c r="Z8324" t="str">
        <v>=</v>
      </c>
      <c r="AA8324">
        <f>N8324*U8324*W8324*Y8324</f>
        <v>8.341245</v>
      </c>
    </row>
    <row r="8325">
      <c r="A8325" t="str">
        <f>A8304</f>
        <v>Lantai Attic</v>
      </c>
      <c r="B8325">
        <f>B8304</f>
        <v>13</v>
      </c>
      <c r="C8325" t="str">
        <v>Sengkang Lapangan</v>
      </c>
      <c r="D8325">
        <f>VLOOKUP(D8304,'Detail Balok'!$C$10:$AU$110,36,FALSE)</f>
        <v>0</v>
      </c>
      <c r="E8325" t="str">
        <v>D</v>
      </c>
      <c r="F8325">
        <f>VLOOKUP(D8304,'Detail Balok'!$C$10:$AU$110,38,FALSE)</f>
        <v>10</v>
      </c>
      <c r="G8325" t="str">
        <v>-</v>
      </c>
      <c r="H8325">
        <f>VLOOKUP(D8304,'Detail Balok'!$C$10:$AU$110,40,FALSE)</f>
        <v>200</v>
      </c>
      <c r="J8325">
        <f>(IF(D8325=0,(2*(D8305+G8305))-(F$5*8),IF(D8325=3,(2*(D8305+G8305))-(F$5*8)+(G8305-2*F$5),IF(D8325=4,(2*(D8305+G8305))-(F$5*8)+2*(G8305-2*F$5)))))/1000</f>
        <v>1.08</v>
      </c>
      <c r="K8325" t="str">
        <v>+</v>
      </c>
      <c r="L8325">
        <f>IF(D8325=0,2*MAX(6*F8325,75),(D8325-1)*2*MAX(6*F8325,75))/1000</f>
        <v>0.15</v>
      </c>
      <c r="M8325" t="str">
        <v>=</v>
      </c>
      <c r="N8325">
        <f>J8325+L8325</f>
        <v>1.23</v>
      </c>
      <c r="T8325" t="str">
        <v>x</v>
      </c>
      <c r="U8325">
        <f>0.006165*F8325^2</f>
        <v>0.6165</v>
      </c>
      <c r="V8325" t="str">
        <v>x</v>
      </c>
      <c r="W8325">
        <f>IF(D8307-MAX(D8307/4,2*G8305)*2&gt;0,ROUND((D8307-MAX(D8307/4,2*G8305)*2)/H8325,0),0)</f>
        <v>6</v>
      </c>
      <c r="X8325" t="str">
        <v>x</v>
      </c>
      <c r="Y8325">
        <f>D8310</f>
        <v>1</v>
      </c>
      <c r="Z8325" t="str">
        <v>=</v>
      </c>
      <c r="AA8325">
        <f>N8325*U8325*W8325*Y8325</f>
        <v>4.5497700000000005</v>
      </c>
    </row>
    <row r="8326">
      <c r="A8326" t="str">
        <f>A8304</f>
        <v>Lantai Attic</v>
      </c>
      <c r="B8326">
        <f>B8304</f>
        <v>13</v>
      </c>
      <c r="C8326" t="str">
        <v>Sengkang Tumpuan</v>
      </c>
      <c r="D8326">
        <f>VLOOKUP(D8304,'Detail Balok'!$C$10:$AU$110,41,FALSE)</f>
        <v>0</v>
      </c>
      <c r="E8326" t="str">
        <v>D</v>
      </c>
      <c r="F8326">
        <f>VLOOKUP(D8304,'Detail Balok'!$C$10:$AU$110,43,FALSE)</f>
        <v>10</v>
      </c>
      <c r="G8326" t="str">
        <v>-</v>
      </c>
      <c r="H8326">
        <f>VLOOKUP(D8304,'Detail Balok'!$C$10:$AU$110,45,FALSE)</f>
        <v>100</v>
      </c>
      <c r="J8326">
        <f>(IF(D8326=0,(2*(D8305+G8305))-(F$5*8),IF(D8326=3,(2*(D8305+G8305))-(F$5*8)+(G8305-2*F$5),IF(D8326=4,(2*(D8305+G8305))-(F$5*8)+2*(G8305-2*F$5)))))/1000</f>
        <v>1.08</v>
      </c>
      <c r="K8326" t="str">
        <v>+</v>
      </c>
      <c r="L8326">
        <f>IF(D8326=0,2*MAX(6*F8326,75),(D8326-1)*2*MAX(6*F8326,75))/1000</f>
        <v>0.15</v>
      </c>
      <c r="M8326" t="str">
        <v>=</v>
      </c>
      <c r="N8326">
        <f>J8326+L8326</f>
        <v>1.23</v>
      </c>
      <c r="T8326" t="str">
        <v>x</v>
      </c>
      <c r="U8326">
        <f>0.006165*F8326^2</f>
        <v>0.6165</v>
      </c>
      <c r="V8326" t="str">
        <v>x</v>
      </c>
      <c r="W8326">
        <f>IF(D8307&gt;4*G8305,ROUND(MAX(D8307/4,2*G8305)/H8326,0)+1,0)</f>
        <v>11</v>
      </c>
      <c r="X8326" t="str">
        <v>x</v>
      </c>
      <c r="Y8326">
        <f>D8310</f>
        <v>1</v>
      </c>
      <c r="Z8326" t="str">
        <v>=</v>
      </c>
      <c r="AA8326">
        <f>N8326*U8326*W8326*Y8326</f>
        <v>8.341245</v>
      </c>
    </row>
    <row r="8328">
      <c r="A8328" t="str">
        <f>A8304</f>
        <v>Lantai Attic</v>
      </c>
      <c r="B8328">
        <f>B8304</f>
        <v>13</v>
      </c>
      <c r="C8328" t="str">
        <v>Kait Horizontal Tump.</v>
      </c>
      <c r="D8328">
        <f>VLOOKUP(D8304,'Detail Balok'!$C$10:$BJ$110,46,FALSE)</f>
        <v>0</v>
      </c>
      <c r="E8328" t="str">
        <v>D</v>
      </c>
      <c r="F8328">
        <f>VLOOKUP(D8304,'Detail Balok'!$C$10:$BJ$110,48,FALSE)</f>
        <v>0</v>
      </c>
      <c r="G8328" t="str">
        <v>-</v>
      </c>
      <c r="H8328">
        <f>VLOOKUP(D8304,'Detail Balok'!$C$10:$BJ$110,50,FALSE)</f>
        <v>100</v>
      </c>
      <c r="J8328">
        <f>(D8305-2*F$5)/1000</f>
        <v>0.12</v>
      </c>
      <c r="K8328" t="str">
        <v>+</v>
      </c>
      <c r="L8328">
        <f>IF(D8328=0,2*MAX(6*F8328,75),(D8328-1)*2*MAX(6*F8328,75))/1000</f>
        <v>0.15</v>
      </c>
      <c r="M8328" t="str">
        <v>=</v>
      </c>
      <c r="N8328">
        <f>J8328+L8328</f>
        <v>0.27</v>
      </c>
      <c r="T8328" t="str">
        <v>x</v>
      </c>
      <c r="U8328">
        <f>0.006165*F8328^2</f>
        <v>0</v>
      </c>
      <c r="V8328" t="str">
        <v>x</v>
      </c>
      <c r="W8328">
        <f>W8324</f>
        <v>11</v>
      </c>
      <c r="X8328" t="str">
        <v>x</v>
      </c>
      <c r="Y8328">
        <f>D8314</f>
        <v>2</v>
      </c>
      <c r="Z8328" t="str">
        <v>=</v>
      </c>
      <c r="AA8328">
        <f>N8328*U8328*W8328*Y8328</f>
        <v>0</v>
      </c>
    </row>
    <row r="8329">
      <c r="A8329" t="str">
        <f>A8304</f>
        <v>Lantai Attic</v>
      </c>
      <c r="B8329">
        <f>B8304</f>
        <v>13</v>
      </c>
      <c r="C8329" t="str">
        <v>Kait Horizontal Lap.</v>
      </c>
      <c r="D8329">
        <f>VLOOKUP(D8304,'Detail Balok'!$C$10:$BJ$110,51,FALSE)</f>
        <v>0</v>
      </c>
      <c r="E8329" t="str">
        <v>D</v>
      </c>
      <c r="F8329">
        <f>VLOOKUP(D8304,'Detail Balok'!$C$10:$BJ$110,53,FALSE)</f>
        <v>0</v>
      </c>
      <c r="G8329" t="str">
        <v>-</v>
      </c>
      <c r="H8329">
        <f>VLOOKUP(D8304,'Detail Balok'!$C$10:$BJ$110,55,FALSE)</f>
        <v>100</v>
      </c>
      <c r="J8329">
        <f>(D8305-2*F$5)/1000</f>
        <v>0.12</v>
      </c>
      <c r="K8329" t="str">
        <v>+</v>
      </c>
      <c r="L8329">
        <f>IF(D8329=0,2*MAX(6*F8329,75),(D8329-1)*2*MAX(6*F8329,75))/1000</f>
        <v>0.15</v>
      </c>
      <c r="M8329" t="str">
        <v>=</v>
      </c>
      <c r="N8329">
        <f>J8329+L8329</f>
        <v>0.27</v>
      </c>
      <c r="T8329" t="str">
        <v>x</v>
      </c>
      <c r="U8329">
        <f>0.006165*F8329^2</f>
        <v>0</v>
      </c>
      <c r="V8329" t="str">
        <v>x</v>
      </c>
      <c r="W8329">
        <f>W8325</f>
        <v>6</v>
      </c>
      <c r="X8329" t="str">
        <v>x</v>
      </c>
      <c r="Y8329">
        <f>D8314</f>
        <v>2</v>
      </c>
      <c r="Z8329" t="str">
        <v>=</v>
      </c>
      <c r="AA8329">
        <f>N8329*U8329*W8329*Y8329</f>
        <v>0</v>
      </c>
    </row>
    <row r="8330">
      <c r="A8330" t="str">
        <f>A8304</f>
        <v>Lantai Attic</v>
      </c>
      <c r="B8330">
        <f>B8304</f>
        <v>13</v>
      </c>
      <c r="C8330" t="str">
        <v>Kait Horizontal Tump.</v>
      </c>
      <c r="D8330">
        <f>VLOOKUP(D8304,'Detail Balok'!$C$10:$BJ$110,56,FALSE)</f>
        <v>0</v>
      </c>
      <c r="E8330" t="str">
        <v>D</v>
      </c>
      <c r="F8330">
        <f>VLOOKUP(D8304,'Detail Balok'!$C$10:$BJ$110,58,FALSE)</f>
        <v>0</v>
      </c>
      <c r="G8330" t="str">
        <v>-</v>
      </c>
      <c r="H8330">
        <f>VLOOKUP(D8304,'Detail Balok'!$C$10:$BJ$110,60,FALSE)</f>
        <v>100</v>
      </c>
      <c r="J8330">
        <f>(D8305-2*F$5)/1000</f>
        <v>0.12</v>
      </c>
      <c r="K8330" t="str">
        <v>+</v>
      </c>
      <c r="L8330">
        <f>IF(D8330=0,2*MAX(6*F8330,75),(D8330-1)*2*MAX(6*F8330,75))/1000</f>
        <v>0.15</v>
      </c>
      <c r="M8330" t="str">
        <v>=</v>
      </c>
      <c r="N8330">
        <f>J8330+L8330</f>
        <v>0.27</v>
      </c>
      <c r="T8330" t="str">
        <v>x</v>
      </c>
      <c r="U8330">
        <f>0.006165*F8330^2</f>
        <v>0</v>
      </c>
      <c r="V8330" t="str">
        <v>x</v>
      </c>
      <c r="W8330">
        <f>W8326</f>
        <v>11</v>
      </c>
      <c r="X8330" t="str">
        <v>x</v>
      </c>
      <c r="Y8330">
        <f>D8314</f>
        <v>2</v>
      </c>
      <c r="Z8330" t="str">
        <v>=</v>
      </c>
      <c r="AA8330">
        <f>N8330*U8330*W8330*Y8330</f>
        <v>0</v>
      </c>
    </row>
    <row r="8334">
      <c r="A8334" t="str">
        <f>A8304</f>
        <v>Lantai Attic</v>
      </c>
      <c r="B8334">
        <f>B8304+1</f>
        <v>14</v>
      </c>
      <c r="C8334" t="str">
        <f>CONCATENATE(A8334," no. ",B8334)</f>
        <v>Lantai Attic no. 14</v>
      </c>
      <c r="D8334" t="str">
        <f>VLOOKUP(C8334,'Data Panjang Balok'!$C$9:$N$424,2,FALSE)</f>
        <v>B25-3</v>
      </c>
    </row>
    <row r="8335">
      <c r="C8335" t="str">
        <v>Dimensi</v>
      </c>
      <c r="D8335">
        <f>VLOOKUP(D8334,'Detail Balok'!$C$10:$AU$110,2,FALSE)</f>
        <v>200</v>
      </c>
      <c r="F8335" t="str">
        <v>x</v>
      </c>
      <c r="G8335">
        <f>VLOOKUP(D8334,'Detail Balok'!$C$10:$AU$110,3,FALSE)</f>
        <v>500</v>
      </c>
    </row>
    <row r="8336">
      <c r="C8336" t="str">
        <v>Panjang as ke as</v>
      </c>
      <c r="D8336">
        <f>VLOOKUP(C8334,'Data Panjang Balok'!$C$9:$N$424,4,FALSE)</f>
        <v>6000</v>
      </c>
    </row>
    <row r="8337">
      <c r="C8337" t="str">
        <v>Panjang netto</v>
      </c>
      <c r="D8337">
        <f>VLOOKUP(C8334,'Data Panjang Balok'!$C$9:$N$424,7,FALSE)</f>
        <v>6000</v>
      </c>
    </row>
    <row r="8338">
      <c r="C8338" t="str">
        <v>Kolom / balok kiri</v>
      </c>
      <c r="D8338">
        <f>VLOOKUP(C8334,'Data Panjang Balok'!$C$9:$N$424,9,FALSE)</f>
        <v>0</v>
      </c>
    </row>
    <row r="8339">
      <c r="C8339" t="str">
        <v>Kolom / balok kanan</v>
      </c>
      <c r="D8339">
        <f>VLOOKUP(C8334,'Data Panjang Balok'!$C$9:$N$424,10,FALSE)</f>
        <v>0</v>
      </c>
    </row>
    <row r="8340">
      <c r="C8340" t="str">
        <v>Jumlah</v>
      </c>
      <c r="D8340">
        <f>VLOOKUP(C8334,'Data Panjang Balok'!$C$9:$N$424,3,FALSE)</f>
        <v>1</v>
      </c>
    </row>
    <row r="8341">
      <c r="A8341" t="str">
        <f>A8334</f>
        <v>Lantai Attic</v>
      </c>
      <c r="B8341">
        <f>B8334</f>
        <v>14</v>
      </c>
      <c r="C8341" t="str">
        <v>Tul Atas Tumpuan</v>
      </c>
      <c r="D8341">
        <f>VLOOKUP(D8334,'Detail Balok'!$C$10:$AU$110,4,FALSE)</f>
        <v>5</v>
      </c>
      <c r="E8341" t="str">
        <v>D</v>
      </c>
      <c r="F8341">
        <f>VLOOKUP(D8334,'Detail Balok'!$C$10:$AU$110,6,FALSE)</f>
        <v>16</v>
      </c>
      <c r="I8341" t="str">
        <v>(</v>
      </c>
      <c r="J8341">
        <f>+D8336/4/1000</f>
        <v>1.5</v>
      </c>
      <c r="K8341" t="str">
        <v>+</v>
      </c>
      <c r="L8341">
        <f>MAX(VLOOKUP(F8341,N$6:P$15,3,FALSE)/1000,2/3*D8338/1000)+F$16*F8341/1000</f>
        <v>0.192</v>
      </c>
      <c r="M8341" t="str">
        <v>=</v>
      </c>
      <c r="N8341">
        <f>J8341+L8341</f>
        <v>1.692</v>
      </c>
      <c r="O8341" t="str">
        <v>+</v>
      </c>
      <c r="P8341">
        <f>D8341-D8342</f>
        <v>3</v>
      </c>
      <c r="Q8341" t="str">
        <v>x</v>
      </c>
      <c r="R8341">
        <f>IF(P8341&gt;0,$F$18*F8341/1000,0)</f>
        <v>0.24</v>
      </c>
      <c r="S8341" t="str">
        <v>)</v>
      </c>
      <c r="T8341" t="str">
        <v>x</v>
      </c>
      <c r="U8341">
        <f>0.006165*F8341^2</f>
        <v>1.57824</v>
      </c>
      <c r="X8341" t="str">
        <v>x</v>
      </c>
      <c r="Y8341">
        <f>D8340</f>
        <v>1</v>
      </c>
      <c r="Z8341" t="str">
        <v>=</v>
      </c>
      <c r="AA8341">
        <f>IF(AA8344=0,(D8341*N8341+P8341*R8341)*U8341*Y8341,0)</f>
        <v>14.488243200000001</v>
      </c>
    </row>
    <row r="8342">
      <c r="A8342" t="str">
        <f>A8334</f>
        <v>Lantai Attic</v>
      </c>
      <c r="B8342">
        <f>B8334</f>
        <v>14</v>
      </c>
      <c r="C8342" t="str">
        <v>Tul Atas Lapangan</v>
      </c>
      <c r="D8342">
        <f>VLOOKUP(D8334,'Detail Balok'!$C$10:$AU$110,7,FALSE)</f>
        <v>2</v>
      </c>
      <c r="E8342" t="str">
        <v>D</v>
      </c>
      <c r="F8342">
        <f>VLOOKUP(D8334,'Detail Balok'!$C$10:$AU$110,9,FALSE)</f>
        <v>16</v>
      </c>
      <c r="I8342" t="str">
        <v>(</v>
      </c>
      <c r="J8342">
        <f>+D8336/2/1000</f>
        <v>3</v>
      </c>
      <c r="K8342" t="str">
        <v>+</v>
      </c>
      <c r="M8342" t="str">
        <v>=</v>
      </c>
      <c r="N8342">
        <f>J8342+L8342</f>
        <v>3</v>
      </c>
      <c r="O8342" t="str">
        <v>+</v>
      </c>
      <c r="P8342">
        <f>MAX(D8342-D8341,D8342-D8343)</f>
        <v>-3</v>
      </c>
      <c r="Q8342" t="str">
        <v>x</v>
      </c>
      <c r="R8342">
        <f>IF(P8342&gt;0,2*(1-2*$F$19-1/2)*D8337/1000,0)</f>
        <v>0</v>
      </c>
      <c r="S8342" t="str">
        <v>)</v>
      </c>
      <c r="T8342" t="str">
        <v>x</v>
      </c>
      <c r="U8342">
        <f>0.006165*F8342^2</f>
        <v>1.57824</v>
      </c>
      <c r="X8342" t="str">
        <v>x</v>
      </c>
      <c r="Y8342">
        <f>D8340</f>
        <v>1</v>
      </c>
      <c r="Z8342" t="str">
        <v>=</v>
      </c>
      <c r="AA8342">
        <f>IF(AA8344=0,(D8342*N8342+P8342*R8342)*U8342*Y8342,0)</f>
        <v>9.46944</v>
      </c>
    </row>
    <row r="8343">
      <c r="A8343" t="str">
        <f>A8334</f>
        <v>Lantai Attic</v>
      </c>
      <c r="B8343">
        <f>B8334</f>
        <v>14</v>
      </c>
      <c r="C8343" t="str">
        <v>Tul Atas Tumpuan</v>
      </c>
      <c r="D8343">
        <f>VLOOKUP(D8334,'Detail Balok'!$C$10:$AU$110,10,FALSE)</f>
        <v>5</v>
      </c>
      <c r="E8343" t="str">
        <v>D</v>
      </c>
      <c r="F8343">
        <f>VLOOKUP(D8334,'Detail Balok'!$C$10:$AU$110,12,FALSE)</f>
        <v>16</v>
      </c>
      <c r="I8343" t="str">
        <v>(</v>
      </c>
      <c r="J8343">
        <f>+D8336/4/1000</f>
        <v>1.5</v>
      </c>
      <c r="K8343" t="str">
        <v>+</v>
      </c>
      <c r="L8343">
        <f>MAX(VLOOKUP(F8343,N$6:P$15,3,FALSE)/1000,2/3*D8338/1000)+F$16*F8343/1000</f>
        <v>0.192</v>
      </c>
      <c r="M8343" t="str">
        <v>=</v>
      </c>
      <c r="N8343">
        <f>J8343+L8343</f>
        <v>1.692</v>
      </c>
      <c r="O8343" t="str">
        <v>+</v>
      </c>
      <c r="P8343">
        <f>D8343-D8342</f>
        <v>3</v>
      </c>
      <c r="Q8343" t="str">
        <v>x</v>
      </c>
      <c r="R8343">
        <f>IF(P8343&gt;0,$F$18*F8343/1000,0)</f>
        <v>0.24</v>
      </c>
      <c r="S8343" t="str">
        <v>)</v>
      </c>
      <c r="T8343" t="str">
        <v>x</v>
      </c>
      <c r="U8343">
        <f>0.006165*F8343^2</f>
        <v>1.57824</v>
      </c>
      <c r="X8343" t="str">
        <v>x</v>
      </c>
      <c r="Y8343">
        <f>D8340</f>
        <v>1</v>
      </c>
      <c r="Z8343" t="str">
        <v>=</v>
      </c>
      <c r="AA8343">
        <f>IF(AA8344=0,(D8343*N8343+P8343*R8343)*U8343*Y8343,0)</f>
        <v>14.488243200000001</v>
      </c>
    </row>
    <row r="8344">
      <c r="A8344" t="str">
        <f>A8334</f>
        <v>Lantai Attic</v>
      </c>
      <c r="B8344">
        <f>B8334</f>
        <v>14</v>
      </c>
      <c r="D8344">
        <f>IF(AND(D8341=D8342,D8342=D8343,D8341=D8343),D8341,0)</f>
        <v>0</v>
      </c>
      <c r="E8344" t="str">
        <v>D</v>
      </c>
      <c r="F8344">
        <f>IF(AND(F8341=F8342,F8341=F8343,F8342=F8343),F8341,0)</f>
        <v>16</v>
      </c>
      <c r="L8344" t="str">
        <v>Total panjang per balok</v>
      </c>
      <c r="M8344" t="str">
        <v>=</v>
      </c>
      <c r="N8344">
        <f>IF(AND(D8341=D8342,D8341=D8343,D8342=D8343,F8341=F8342,F8341=F8343,F8342=F8343),SUM(N8341:N8343),0)</f>
        <v>0</v>
      </c>
      <c r="O8344" t="str">
        <v>+</v>
      </c>
      <c r="P8344">
        <f>IF(N8344&gt;12,ROUNDDOWN(N8344/12,0),0)</f>
        <v>0</v>
      </c>
      <c r="Q8344" t="str">
        <v>x</v>
      </c>
      <c r="R8344">
        <f>IF(P8344&gt;0,MAX(VLOOKUP(F8344,$D$6:$G$15,3,FALSE),600),0)/1000</f>
        <v>0</v>
      </c>
      <c r="T8344" t="str">
        <v>x</v>
      </c>
      <c r="U8344">
        <f>U8343</f>
        <v>1.57824</v>
      </c>
      <c r="V8344" t="str">
        <v>x</v>
      </c>
      <c r="W8344">
        <f>D8344</f>
        <v>0</v>
      </c>
      <c r="X8344" t="str">
        <v>x</v>
      </c>
      <c r="Y8344">
        <f>Y8343</f>
        <v>1</v>
      </c>
      <c r="Z8344" t="str">
        <v>=</v>
      </c>
      <c r="AA8344">
        <f>(N8344+P8344*R8344/1000)*U8344*W8344*Y8344</f>
        <v>0</v>
      </c>
    </row>
    <row r="8346">
      <c r="A8346" t="str">
        <f>A8334</f>
        <v>Lantai Attic</v>
      </c>
      <c r="B8346">
        <f>B8334</f>
        <v>14</v>
      </c>
      <c r="C8346" t="str">
        <v>Tul Peminggang</v>
      </c>
      <c r="D8346">
        <f>VLOOKUP(D8334,'Detail Balok'!$C$10:$AU$110,13,FALSE)</f>
        <v>2</v>
      </c>
      <c r="E8346" t="str">
        <v>D</v>
      </c>
      <c r="F8346">
        <f>VLOOKUP(D8334,'Detail Balok'!$C$10:$AU$110,15,FALSE)</f>
        <v>10</v>
      </c>
      <c r="J8346">
        <f>+D8336/1000</f>
        <v>6</v>
      </c>
      <c r="K8346" t="str">
        <v>+</v>
      </c>
      <c r="L8346">
        <f>2*$F$16*F8346/1000</f>
        <v>0.24</v>
      </c>
      <c r="M8346" t="str">
        <v>=</v>
      </c>
      <c r="N8346">
        <f>J8346+L8346</f>
        <v>6.24</v>
      </c>
      <c r="O8346" t="str">
        <v>+</v>
      </c>
      <c r="P8346">
        <f>IF(N8346&gt;12,ROUNDDOWN(N8346/12,0),0)</f>
        <v>0</v>
      </c>
      <c r="Q8346" t="str">
        <v>x</v>
      </c>
      <c r="R8346">
        <f>IF(P8346&gt;0,MAX(VLOOKUP(F8346,$D$6:$G$15,3,FALSE),600),0)/1000</f>
        <v>0</v>
      </c>
      <c r="T8346" t="str">
        <v>x</v>
      </c>
      <c r="U8346">
        <f>0.006165*F8346^2</f>
        <v>0.6165</v>
      </c>
      <c r="V8346" t="str">
        <v>x</v>
      </c>
      <c r="W8346">
        <f>+D8346</f>
        <v>2</v>
      </c>
      <c r="X8346" t="str">
        <v>x</v>
      </c>
      <c r="Y8346">
        <f>D8340</f>
        <v>1</v>
      </c>
      <c r="Z8346" t="str">
        <v>=</v>
      </c>
      <c r="AA8346">
        <f>(N8346+P8346*R8346/1000)*U8346*W8346*Y8346</f>
        <v>7.693920000000001</v>
      </c>
    </row>
    <row r="8349">
      <c r="A8349" t="str">
        <f>A8334</f>
        <v>Lantai Attic</v>
      </c>
      <c r="B8349">
        <f>B8334</f>
        <v>14</v>
      </c>
      <c r="C8349" t="str">
        <v>Tul Bawah Tumpuan</v>
      </c>
      <c r="D8349">
        <f>VLOOKUP(D8334,'Detail Balok'!$C$10:$AU$110,22,FALSE)</f>
        <v>3</v>
      </c>
      <c r="E8349" t="str">
        <v>D</v>
      </c>
      <c r="F8349">
        <f>VLOOKUP(D8334,'Detail Balok'!$C$10:$AU$110,24,FALSE)</f>
        <v>16</v>
      </c>
      <c r="I8349" t="str">
        <v>(</v>
      </c>
      <c r="J8349">
        <f>+J8341</f>
        <v>1.5</v>
      </c>
      <c r="K8349" t="str">
        <v>+</v>
      </c>
      <c r="L8349">
        <f>MAX(VLOOKUP(F8349,N$6:P$15,3,FALSE)/1000,2/3*D8339/1000)+F$16*F8349/1000</f>
        <v>0.192</v>
      </c>
      <c r="M8349" t="str">
        <v>=</v>
      </c>
      <c r="N8349">
        <f>J8349+L8349</f>
        <v>1.692</v>
      </c>
      <c r="O8349" t="str">
        <v>+</v>
      </c>
      <c r="P8349">
        <f>D8349-D8350</f>
        <v>-2</v>
      </c>
      <c r="Q8349" t="str">
        <v>x</v>
      </c>
      <c r="R8349">
        <f>IF(P8349&gt;0,$F$18*F8349/1000,0)</f>
        <v>0</v>
      </c>
      <c r="S8349" t="str">
        <v>)</v>
      </c>
      <c r="T8349" t="str">
        <v>x</v>
      </c>
      <c r="U8349">
        <f>0.006165*F8349^2</f>
        <v>1.57824</v>
      </c>
      <c r="X8349" t="str">
        <v>x</v>
      </c>
      <c r="Y8349">
        <f>D8340</f>
        <v>1</v>
      </c>
      <c r="Z8349" t="str">
        <v>=</v>
      </c>
      <c r="AA8349">
        <f>IF(AA8352=0,(D8349*N8349+P8349*R8349)*U8349*Y8349,0)</f>
        <v>8.01114624</v>
      </c>
    </row>
    <row r="8350">
      <c r="A8350" t="str">
        <f>A8334</f>
        <v>Lantai Attic</v>
      </c>
      <c r="B8350">
        <f>B8334</f>
        <v>14</v>
      </c>
      <c r="C8350" t="str">
        <v>Tul Bawah Lapangan</v>
      </c>
      <c r="D8350">
        <f>VLOOKUP(D8334,'Detail Balok'!$C$10:$AU$110,25,FALSE)</f>
        <v>5</v>
      </c>
      <c r="E8350" t="str">
        <v>D</v>
      </c>
      <c r="F8350">
        <f>VLOOKUP(D8334,'Detail Balok'!$C$10:$AU$110,27,FALSE)</f>
        <v>16</v>
      </c>
      <c r="I8350" t="str">
        <v>(</v>
      </c>
      <c r="J8350">
        <f>+J8342</f>
        <v>3</v>
      </c>
      <c r="K8350" t="str">
        <v>+</v>
      </c>
      <c r="M8350" t="str">
        <v>=</v>
      </c>
      <c r="N8350">
        <f>J8350+L8350</f>
        <v>3</v>
      </c>
      <c r="O8350" t="str">
        <v>+</v>
      </c>
      <c r="P8350">
        <f>MAX(D8350-D8349,D8350-D8351)</f>
        <v>2</v>
      </c>
      <c r="Q8350" t="str">
        <v>x</v>
      </c>
      <c r="R8350">
        <f>IF(P8350&gt;0,2*(1-2*$F$19-1/2)*D8337/1000,0)</f>
        <v>1.1999999999999997</v>
      </c>
      <c r="S8350" t="str">
        <v>)</v>
      </c>
      <c r="T8350" t="str">
        <v>x</v>
      </c>
      <c r="U8350">
        <f>0.006165*F8350^2</f>
        <v>1.57824</v>
      </c>
      <c r="X8350" t="str">
        <v>x</v>
      </c>
      <c r="Y8350">
        <f>D8340</f>
        <v>1</v>
      </c>
      <c r="Z8350" t="str">
        <v>=</v>
      </c>
      <c r="AA8350">
        <f>IF(AA8352=0,(D8350*N8350+P8350*R8350)*U8350*Y8350,0)</f>
        <v>27.461375999999998</v>
      </c>
    </row>
    <row r="8351">
      <c r="A8351" t="str">
        <f>A8334</f>
        <v>Lantai Attic</v>
      </c>
      <c r="B8351">
        <f>B8334</f>
        <v>14</v>
      </c>
      <c r="C8351" t="str">
        <v>Tul Bawah Tumpuan</v>
      </c>
      <c r="D8351">
        <f>VLOOKUP(D8334,'Detail Balok'!$C$10:$AU$110,28,FALSE)</f>
        <v>3</v>
      </c>
      <c r="E8351" t="str">
        <v>D</v>
      </c>
      <c r="F8351">
        <f>VLOOKUP(D8334,'Detail Balok'!$C$10:$AU$110,30,FALSE)</f>
        <v>16</v>
      </c>
      <c r="I8351" t="str">
        <v>(</v>
      </c>
      <c r="J8351">
        <f>+J8343</f>
        <v>1.5</v>
      </c>
      <c r="K8351" t="str">
        <v>+</v>
      </c>
      <c r="L8351">
        <f>MAX(VLOOKUP(F8351,N$6:P$15,3,FALSE)/1000,2/3*D8339/1000)+F$16*F8351/1000</f>
        <v>0.192</v>
      </c>
      <c r="M8351" t="str">
        <v>=</v>
      </c>
      <c r="N8351">
        <f>J8351+L8351</f>
        <v>1.692</v>
      </c>
      <c r="O8351" t="str">
        <v>+</v>
      </c>
      <c r="P8351">
        <f>D8351-D8350</f>
        <v>-2</v>
      </c>
      <c r="Q8351" t="str">
        <v>x</v>
      </c>
      <c r="R8351">
        <f>IF(P8351&gt;0,$F$18*F8351/1000,0)</f>
        <v>0</v>
      </c>
      <c r="S8351" t="str">
        <v>)</v>
      </c>
      <c r="T8351" t="str">
        <v>x</v>
      </c>
      <c r="U8351">
        <f>0.006165*F8351^2</f>
        <v>1.57824</v>
      </c>
      <c r="X8351" t="str">
        <v>x</v>
      </c>
      <c r="Y8351">
        <f>D8340</f>
        <v>1</v>
      </c>
      <c r="Z8351" t="str">
        <v>=</v>
      </c>
      <c r="AA8351">
        <f>IF(AA8352=0,(D8351*N8351+P8351*R8351)*U8351*Y8351,0)</f>
        <v>8.01114624</v>
      </c>
    </row>
    <row r="8352">
      <c r="A8352" t="str">
        <f>A8334</f>
        <v>Lantai Attic</v>
      </c>
      <c r="B8352">
        <f>B8334</f>
        <v>14</v>
      </c>
      <c r="D8352">
        <f>IF(AND(D8349=D8350,D8350=D8351,D8349=D8351),D8349,0)</f>
        <v>0</v>
      </c>
      <c r="E8352" t="str">
        <v>D</v>
      </c>
      <c r="F8352">
        <f>IF(AND(F8349=F8350,F8349=F8351,F8350=F8351),F8349,0)</f>
        <v>16</v>
      </c>
      <c r="L8352" t="str">
        <v>Total panjang per balok</v>
      </c>
      <c r="M8352" t="str">
        <v>=</v>
      </c>
      <c r="N8352">
        <f>IF(AND(D8349=D8350,D8349=D8351,D8350=D8351,F8349=F8350,F8349=F8351,F8350=F8351),SUM(N8349:N8351),0)</f>
        <v>0</v>
      </c>
      <c r="O8352" t="str">
        <v>+</v>
      </c>
      <c r="P8352">
        <f>IF(N8352&gt;12,ROUNDDOWN(N8352/12,0),0)</f>
        <v>0</v>
      </c>
      <c r="Q8352" t="str">
        <v>x</v>
      </c>
      <c r="R8352">
        <f>IF(P8352&gt;0,MAX(VLOOKUP(F8352,$D$6:$G$15,3,FALSE),600),0)/1000</f>
        <v>0</v>
      </c>
      <c r="T8352" t="str">
        <v>x</v>
      </c>
      <c r="U8352">
        <f>U8351</f>
        <v>1.57824</v>
      </c>
      <c r="V8352" t="str">
        <v>x</v>
      </c>
      <c r="W8352">
        <f>D8352</f>
        <v>0</v>
      </c>
      <c r="X8352" t="str">
        <v>x</v>
      </c>
      <c r="Y8352">
        <f>Y8351</f>
        <v>1</v>
      </c>
      <c r="Z8352" t="str">
        <v>=</v>
      </c>
      <c r="AA8352">
        <f>(N8352+P8352*R8352/1000)*U8352*W8352*Y8352</f>
        <v>0</v>
      </c>
    </row>
    <row r="8354">
      <c r="A8354" t="str">
        <f>A8334</f>
        <v>Lantai Attic</v>
      </c>
      <c r="B8354">
        <f>B8334</f>
        <v>14</v>
      </c>
      <c r="C8354" t="str">
        <v>Sengkang Tumpuan</v>
      </c>
      <c r="D8354">
        <f>VLOOKUP(D8334,'Detail Balok'!$C$10:$AU$110,31,FALSE)</f>
        <v>0</v>
      </c>
      <c r="E8354" t="str">
        <v>D</v>
      </c>
      <c r="F8354">
        <f>VLOOKUP(D8334,'Detail Balok'!$C$10:$AU$110,33,FALSE)</f>
        <v>10</v>
      </c>
      <c r="G8354" t="str">
        <v>-</v>
      </c>
      <c r="H8354">
        <f>VLOOKUP(D8334,'Detail Balok'!$C$10:$AU$110,35,FALSE)</f>
        <v>90</v>
      </c>
      <c r="J8354">
        <f>(IF(D8354=0,(2*(D8335+G8335))-(F$5*8),IF(D8354=3,(2*(D8335+G8335))-(F$5*8)+(G8335-2*F$5),IF(D8354=4,(2*(D8335+G8335))-(F$5*8)+2*(G8335-2*F$5)))))/1000</f>
        <v>1.08</v>
      </c>
      <c r="K8354" t="str">
        <v>+</v>
      </c>
      <c r="L8354">
        <f>IF(D8354=0,2*MAX(6*F8354,75),(D8354-1)*2*MAX(6*F8354,75))/1000</f>
        <v>0.15</v>
      </c>
      <c r="M8354" t="str">
        <v>=</v>
      </c>
      <c r="N8354">
        <f>J8354+L8354</f>
        <v>1.23</v>
      </c>
      <c r="T8354" t="str">
        <v>x</v>
      </c>
      <c r="U8354">
        <f>0.006165*F8354^2</f>
        <v>0.6165</v>
      </c>
      <c r="V8354" t="str">
        <v>x</v>
      </c>
      <c r="W8354">
        <f>IF(D8337&gt;4*G8335,ROUND(MAX(D8337/4,2*G8335)/H8354,0)+1,ROUND(D8337/H8354,0)+1)</f>
        <v>18</v>
      </c>
      <c r="X8354" t="str">
        <v>x</v>
      </c>
      <c r="Y8354">
        <f>D8340</f>
        <v>1</v>
      </c>
      <c r="Z8354" t="str">
        <v>=</v>
      </c>
      <c r="AA8354">
        <f>N8354*U8354*W8354*Y8354</f>
        <v>13.649310000000002</v>
      </c>
    </row>
    <row r="8355">
      <c r="A8355" t="str">
        <f>A8334</f>
        <v>Lantai Attic</v>
      </c>
      <c r="B8355">
        <f>B8334</f>
        <v>14</v>
      </c>
      <c r="C8355" t="str">
        <v>Sengkang Lapangan</v>
      </c>
      <c r="D8355">
        <f>VLOOKUP(D8334,'Detail Balok'!$C$10:$AU$110,36,FALSE)</f>
        <v>0</v>
      </c>
      <c r="E8355" t="str">
        <v>D</v>
      </c>
      <c r="F8355">
        <f>VLOOKUP(D8334,'Detail Balok'!$C$10:$AU$110,38,FALSE)</f>
        <v>10</v>
      </c>
      <c r="G8355" t="str">
        <v>-</v>
      </c>
      <c r="H8355">
        <f>VLOOKUP(D8334,'Detail Balok'!$C$10:$AU$110,40,FALSE)</f>
        <v>200</v>
      </c>
      <c r="J8355">
        <f>(IF(D8355=0,(2*(D8335+G8335))-(F$5*8),IF(D8355=3,(2*(D8335+G8335))-(F$5*8)+(G8335-2*F$5),IF(D8355=4,(2*(D8335+G8335))-(F$5*8)+2*(G8335-2*F$5)))))/1000</f>
        <v>1.08</v>
      </c>
      <c r="K8355" t="str">
        <v>+</v>
      </c>
      <c r="L8355">
        <f>IF(D8355=0,2*MAX(6*F8355,75),(D8355-1)*2*MAX(6*F8355,75))/1000</f>
        <v>0.15</v>
      </c>
      <c r="M8355" t="str">
        <v>=</v>
      </c>
      <c r="N8355">
        <f>J8355+L8355</f>
        <v>1.23</v>
      </c>
      <c r="T8355" t="str">
        <v>x</v>
      </c>
      <c r="U8355">
        <f>0.006165*F8355^2</f>
        <v>0.6165</v>
      </c>
      <c r="V8355" t="str">
        <v>x</v>
      </c>
      <c r="W8355">
        <f>IF(D8337-MAX(D8337/4,2*G8335)*2&gt;0,ROUND((D8337-MAX(D8337/4,2*G8335)*2)/H8355,0),0)</f>
        <v>15</v>
      </c>
      <c r="X8355" t="str">
        <v>x</v>
      </c>
      <c r="Y8355">
        <f>D8340</f>
        <v>1</v>
      </c>
      <c r="Z8355" t="str">
        <v>=</v>
      </c>
      <c r="AA8355">
        <f>N8355*U8355*W8355*Y8355</f>
        <v>11.374425</v>
      </c>
    </row>
    <row r="8356">
      <c r="A8356" t="str">
        <f>A8334</f>
        <v>Lantai Attic</v>
      </c>
      <c r="B8356">
        <f>B8334</f>
        <v>14</v>
      </c>
      <c r="C8356" t="str">
        <v>Sengkang Tumpuan</v>
      </c>
      <c r="D8356">
        <f>VLOOKUP(D8334,'Detail Balok'!$C$10:$AU$110,41,FALSE)</f>
        <v>0</v>
      </c>
      <c r="E8356" t="str">
        <v>D</v>
      </c>
      <c r="F8356">
        <f>VLOOKUP(D8334,'Detail Balok'!$C$10:$AU$110,43,FALSE)</f>
        <v>10</v>
      </c>
      <c r="G8356" t="str">
        <v>-</v>
      </c>
      <c r="H8356">
        <f>VLOOKUP(D8334,'Detail Balok'!$C$10:$AU$110,45,FALSE)</f>
        <v>90</v>
      </c>
      <c r="J8356">
        <f>(IF(D8356=0,(2*(D8335+G8335))-(F$5*8),IF(D8356=3,(2*(D8335+G8335))-(F$5*8)+(G8335-2*F$5),IF(D8356=4,(2*(D8335+G8335))-(F$5*8)+2*(G8335-2*F$5)))))/1000</f>
        <v>1.08</v>
      </c>
      <c r="K8356" t="str">
        <v>+</v>
      </c>
      <c r="L8356">
        <f>IF(D8356=0,2*MAX(6*F8356,75),(D8356-1)*2*MAX(6*F8356,75))/1000</f>
        <v>0.15</v>
      </c>
      <c r="M8356" t="str">
        <v>=</v>
      </c>
      <c r="N8356">
        <f>J8356+L8356</f>
        <v>1.23</v>
      </c>
      <c r="T8356" t="str">
        <v>x</v>
      </c>
      <c r="U8356">
        <f>0.006165*F8356^2</f>
        <v>0.6165</v>
      </c>
      <c r="V8356" t="str">
        <v>x</v>
      </c>
      <c r="W8356">
        <f>IF(D8337&gt;4*G8335,ROUND(MAX(D8337/4,2*G8335)/H8356,0)+1,0)</f>
        <v>18</v>
      </c>
      <c r="X8356" t="str">
        <v>x</v>
      </c>
      <c r="Y8356">
        <f>D8340</f>
        <v>1</v>
      </c>
      <c r="Z8356" t="str">
        <v>=</v>
      </c>
      <c r="AA8356">
        <f>N8356*U8356*W8356*Y8356</f>
        <v>13.649310000000002</v>
      </c>
    </row>
    <row r="8358">
      <c r="A8358" t="str">
        <f>A8334</f>
        <v>Lantai Attic</v>
      </c>
      <c r="B8358">
        <f>B8334</f>
        <v>14</v>
      </c>
      <c r="C8358" t="str">
        <v>Kait Horizontal Tump.</v>
      </c>
      <c r="D8358">
        <f>VLOOKUP(D8334,'Detail Balok'!$C$10:$BJ$110,46,FALSE)</f>
        <v>0</v>
      </c>
      <c r="E8358" t="str">
        <v>D</v>
      </c>
      <c r="F8358">
        <f>VLOOKUP(D8334,'Detail Balok'!$C$10:$BJ$110,48,FALSE)</f>
        <v>0</v>
      </c>
      <c r="G8358" t="str">
        <v>-</v>
      </c>
      <c r="H8358">
        <f>VLOOKUP(D8334,'Detail Balok'!$C$10:$BJ$110,50,FALSE)</f>
        <v>100</v>
      </c>
      <c r="J8358">
        <f>(D8335-2*F$5)/1000</f>
        <v>0.12</v>
      </c>
      <c r="K8358" t="str">
        <v>+</v>
      </c>
      <c r="L8358">
        <f>IF(D8358=0,2*MAX(6*F8358,75),(D8358-1)*2*MAX(6*F8358,75))/1000</f>
        <v>0.15</v>
      </c>
      <c r="M8358" t="str">
        <v>=</v>
      </c>
      <c r="N8358">
        <f>J8358+L8358</f>
        <v>0.27</v>
      </c>
      <c r="T8358" t="str">
        <v>x</v>
      </c>
      <c r="U8358">
        <f>0.006165*F8358^2</f>
        <v>0</v>
      </c>
      <c r="V8358" t="str">
        <v>x</v>
      </c>
      <c r="W8358">
        <f>W8354</f>
        <v>18</v>
      </c>
      <c r="X8358" t="str">
        <v>x</v>
      </c>
      <c r="Y8358">
        <f>D8344</f>
        <v>0</v>
      </c>
      <c r="Z8358" t="str">
        <v>=</v>
      </c>
      <c r="AA8358">
        <f>N8358*U8358*W8358*Y8358</f>
        <v>0</v>
      </c>
    </row>
    <row r="8359">
      <c r="A8359" t="str">
        <f>A8334</f>
        <v>Lantai Attic</v>
      </c>
      <c r="B8359">
        <f>B8334</f>
        <v>14</v>
      </c>
      <c r="C8359" t="str">
        <v>Kait Horizontal Lap.</v>
      </c>
      <c r="D8359">
        <f>VLOOKUP(D8334,'Detail Balok'!$C$10:$BJ$110,51,FALSE)</f>
        <v>0</v>
      </c>
      <c r="E8359" t="str">
        <v>D</v>
      </c>
      <c r="F8359">
        <f>VLOOKUP(D8334,'Detail Balok'!$C$10:$BJ$110,53,FALSE)</f>
        <v>0</v>
      </c>
      <c r="G8359" t="str">
        <v>-</v>
      </c>
      <c r="H8359">
        <f>VLOOKUP(D8334,'Detail Balok'!$C$10:$BJ$110,55,FALSE)</f>
        <v>100</v>
      </c>
      <c r="J8359">
        <f>(D8335-2*F$5)/1000</f>
        <v>0.12</v>
      </c>
      <c r="K8359" t="str">
        <v>+</v>
      </c>
      <c r="L8359">
        <f>IF(D8359=0,2*MAX(6*F8359,75),(D8359-1)*2*MAX(6*F8359,75))/1000</f>
        <v>0.15</v>
      </c>
      <c r="M8359" t="str">
        <v>=</v>
      </c>
      <c r="N8359">
        <f>J8359+L8359</f>
        <v>0.27</v>
      </c>
      <c r="T8359" t="str">
        <v>x</v>
      </c>
      <c r="U8359">
        <f>0.006165*F8359^2</f>
        <v>0</v>
      </c>
      <c r="V8359" t="str">
        <v>x</v>
      </c>
      <c r="W8359">
        <f>W8355</f>
        <v>15</v>
      </c>
      <c r="X8359" t="str">
        <v>x</v>
      </c>
      <c r="Y8359">
        <f>D8344</f>
        <v>0</v>
      </c>
      <c r="Z8359" t="str">
        <v>=</v>
      </c>
      <c r="AA8359">
        <f>N8359*U8359*W8359*Y8359</f>
        <v>0</v>
      </c>
    </row>
    <row r="8360">
      <c r="A8360" t="str">
        <f>A8334</f>
        <v>Lantai Attic</v>
      </c>
      <c r="B8360">
        <f>B8334</f>
        <v>14</v>
      </c>
      <c r="C8360" t="str">
        <v>Kait Horizontal Tump.</v>
      </c>
      <c r="D8360">
        <f>VLOOKUP(D8334,'Detail Balok'!$C$10:$BJ$110,56,FALSE)</f>
        <v>0</v>
      </c>
      <c r="E8360" t="str">
        <v>D</v>
      </c>
      <c r="F8360">
        <f>VLOOKUP(D8334,'Detail Balok'!$C$10:$BJ$110,58,FALSE)</f>
        <v>0</v>
      </c>
      <c r="G8360" t="str">
        <v>-</v>
      </c>
      <c r="H8360">
        <f>VLOOKUP(D8334,'Detail Balok'!$C$10:$BJ$110,60,FALSE)</f>
        <v>100</v>
      </c>
      <c r="J8360">
        <f>(D8335-2*F$5)/1000</f>
        <v>0.12</v>
      </c>
      <c r="K8360" t="str">
        <v>+</v>
      </c>
      <c r="L8360">
        <f>IF(D8360=0,2*MAX(6*F8360,75),(D8360-1)*2*MAX(6*F8360,75))/1000</f>
        <v>0.15</v>
      </c>
      <c r="M8360" t="str">
        <v>=</v>
      </c>
      <c r="N8360">
        <f>J8360+L8360</f>
        <v>0.27</v>
      </c>
      <c r="T8360" t="str">
        <v>x</v>
      </c>
      <c r="U8360">
        <f>0.006165*F8360^2</f>
        <v>0</v>
      </c>
      <c r="V8360" t="str">
        <v>x</v>
      </c>
      <c r="W8360">
        <f>W8356</f>
        <v>18</v>
      </c>
      <c r="X8360" t="str">
        <v>x</v>
      </c>
      <c r="Y8360">
        <f>D8344</f>
        <v>0</v>
      </c>
      <c r="Z8360" t="str">
        <v>=</v>
      </c>
      <c r="AA8360">
        <f>N8360*U8360*W8360*Y8360</f>
        <v>0</v>
      </c>
    </row>
    <row r="8364">
      <c r="A8364" t="str">
        <f>A8334</f>
        <v>Lantai Attic</v>
      </c>
      <c r="B8364">
        <f>B8334+1</f>
        <v>15</v>
      </c>
      <c r="C8364" t="str">
        <f>CONCATENATE(A8364," no. ",B8364)</f>
        <v>Lantai Attic no. 15</v>
      </c>
      <c r="D8364" t="str">
        <f>VLOOKUP(C8364,'Data Panjang Balok'!$C$9:$N$424,2,FALSE)</f>
        <v>Potongan B</v>
      </c>
    </row>
    <row r="8365">
      <c r="C8365" t="str">
        <v>Dimensi</v>
      </c>
      <c r="D8365">
        <f>VLOOKUP(D8364,'Detail Balok'!$C$10:$AU$110,2,FALSE)</f>
        <v>200</v>
      </c>
      <c r="F8365" t="str">
        <v>x</v>
      </c>
      <c r="G8365">
        <f>VLOOKUP(D8364,'Detail Balok'!$C$10:$AU$110,3,FALSE)</f>
        <v>500</v>
      </c>
    </row>
    <row r="8366">
      <c r="C8366" t="str">
        <v>Panjang as ke as</v>
      </c>
      <c r="D8366">
        <f>VLOOKUP(C8364,'Data Panjang Balok'!$C$9:$N$424,4,FALSE)</f>
        <v>2000</v>
      </c>
    </row>
    <row r="8367">
      <c r="C8367" t="str">
        <v>Panjang netto</v>
      </c>
      <c r="D8367">
        <f>VLOOKUP(C8364,'Data Panjang Balok'!$C$9:$N$424,7,FALSE)</f>
        <v>2000</v>
      </c>
    </row>
    <row r="8368">
      <c r="C8368" t="str">
        <v>Kolom / balok kiri</v>
      </c>
      <c r="D8368">
        <f>VLOOKUP(C8364,'Data Panjang Balok'!$C$9:$N$424,9,FALSE)</f>
        <v>0</v>
      </c>
    </row>
    <row r="8369">
      <c r="C8369" t="str">
        <v>Kolom / balok kanan</v>
      </c>
      <c r="D8369">
        <f>VLOOKUP(C8364,'Data Panjang Balok'!$C$9:$N$424,10,FALSE)</f>
        <v>0</v>
      </c>
    </row>
    <row r="8370">
      <c r="C8370" t="str">
        <v>Jumlah</v>
      </c>
      <c r="D8370">
        <f>VLOOKUP(C8364,'Data Panjang Balok'!$C$9:$N$424,3,FALSE)</f>
        <v>1</v>
      </c>
    </row>
    <row r="8371">
      <c r="A8371" t="str">
        <f>A8364</f>
        <v>Lantai Attic</v>
      </c>
      <c r="B8371">
        <f>B8364</f>
        <v>15</v>
      </c>
      <c r="C8371" t="str">
        <v>Tul Atas Tumpuan</v>
      </c>
      <c r="D8371">
        <f>VLOOKUP(D8364,'Detail Balok'!$C$10:$AU$110,4,FALSE)</f>
        <v>6</v>
      </c>
      <c r="E8371" t="str">
        <v>D</v>
      </c>
      <c r="F8371">
        <f>VLOOKUP(D8364,'Detail Balok'!$C$10:$AU$110,6,FALSE)</f>
        <v>16</v>
      </c>
      <c r="I8371" t="str">
        <v>(</v>
      </c>
      <c r="J8371">
        <f>+D8366/4/1000</f>
        <v>0.5</v>
      </c>
      <c r="K8371" t="str">
        <v>+</v>
      </c>
      <c r="L8371">
        <f>MAX(VLOOKUP(F8371,N$6:P$15,3,FALSE)/1000,2/3*D8368/1000)+F$16*F8371/1000</f>
        <v>0.192</v>
      </c>
      <c r="M8371" t="str">
        <v>=</v>
      </c>
      <c r="N8371">
        <f>J8371+L8371</f>
        <v>0.692</v>
      </c>
      <c r="O8371" t="str">
        <v>+</v>
      </c>
      <c r="P8371">
        <f>D8371-D8372</f>
        <v>0</v>
      </c>
      <c r="Q8371" t="str">
        <v>x</v>
      </c>
      <c r="R8371">
        <f>IF(P8371&gt;0,$F$18*F8371/1000,0)</f>
        <v>0</v>
      </c>
      <c r="S8371" t="str">
        <v>)</v>
      </c>
      <c r="T8371" t="str">
        <v>x</v>
      </c>
      <c r="U8371">
        <f>0.006165*F8371^2</f>
        <v>1.57824</v>
      </c>
      <c r="X8371" t="str">
        <v>x</v>
      </c>
      <c r="Y8371">
        <f>D8370</f>
        <v>1</v>
      </c>
      <c r="Z8371" t="str">
        <v>=</v>
      </c>
      <c r="AA8371">
        <f>IF(AA8374=0,(D8371*N8371+P8371*R8371)*U8371*Y8371,0)</f>
        <v>0</v>
      </c>
    </row>
    <row r="8372">
      <c r="A8372" t="str">
        <f>A8364</f>
        <v>Lantai Attic</v>
      </c>
      <c r="B8372">
        <f>B8364</f>
        <v>15</v>
      </c>
      <c r="C8372" t="str">
        <v>Tul Atas Lapangan</v>
      </c>
      <c r="D8372">
        <f>VLOOKUP(D8364,'Detail Balok'!$C$10:$AU$110,7,FALSE)</f>
        <v>6</v>
      </c>
      <c r="E8372" t="str">
        <v>D</v>
      </c>
      <c r="F8372">
        <f>VLOOKUP(D8364,'Detail Balok'!$C$10:$AU$110,9,FALSE)</f>
        <v>16</v>
      </c>
      <c r="I8372" t="str">
        <v>(</v>
      </c>
      <c r="J8372">
        <f>+D8366/2/1000</f>
        <v>1</v>
      </c>
      <c r="K8372" t="str">
        <v>+</v>
      </c>
      <c r="M8372" t="str">
        <v>=</v>
      </c>
      <c r="N8372">
        <f>J8372+L8372</f>
        <v>1</v>
      </c>
      <c r="O8372" t="str">
        <v>+</v>
      </c>
      <c r="P8372">
        <f>MAX(D8372-D8371,D8372-D8373)</f>
        <v>0</v>
      </c>
      <c r="Q8372" t="str">
        <v>x</v>
      </c>
      <c r="R8372">
        <f>IF(P8372&gt;0,2*(1-2*$F$19-1/2)*D8367/1000,0)</f>
        <v>0</v>
      </c>
      <c r="S8372" t="str">
        <v>)</v>
      </c>
      <c r="T8372" t="str">
        <v>x</v>
      </c>
      <c r="U8372">
        <f>0.006165*F8372^2</f>
        <v>1.57824</v>
      </c>
      <c r="X8372" t="str">
        <v>x</v>
      </c>
      <c r="Y8372">
        <f>D8370</f>
        <v>1</v>
      </c>
      <c r="Z8372" t="str">
        <v>=</v>
      </c>
      <c r="AA8372">
        <f>IF(AA8374=0,(D8372*N8372+P8372*R8372)*U8372*Y8372,0)</f>
        <v>0</v>
      </c>
    </row>
    <row r="8373">
      <c r="A8373" t="str">
        <f>A8364</f>
        <v>Lantai Attic</v>
      </c>
      <c r="B8373">
        <f>B8364</f>
        <v>15</v>
      </c>
      <c r="C8373" t="str">
        <v>Tul Atas Tumpuan</v>
      </c>
      <c r="D8373">
        <f>VLOOKUP(D8364,'Detail Balok'!$C$10:$AU$110,10,FALSE)</f>
        <v>6</v>
      </c>
      <c r="E8373" t="str">
        <v>D</v>
      </c>
      <c r="F8373">
        <f>VLOOKUP(D8364,'Detail Balok'!$C$10:$AU$110,12,FALSE)</f>
        <v>16</v>
      </c>
      <c r="I8373" t="str">
        <v>(</v>
      </c>
      <c r="J8373">
        <f>+D8366/4/1000</f>
        <v>0.5</v>
      </c>
      <c r="K8373" t="str">
        <v>+</v>
      </c>
      <c r="L8373">
        <f>MAX(VLOOKUP(F8373,N$6:P$15,3,FALSE)/1000,2/3*D8368/1000)+F$16*F8373/1000</f>
        <v>0.192</v>
      </c>
      <c r="M8373" t="str">
        <v>=</v>
      </c>
      <c r="N8373">
        <f>J8373+L8373</f>
        <v>0.692</v>
      </c>
      <c r="O8373" t="str">
        <v>+</v>
      </c>
      <c r="P8373">
        <f>D8373-D8372</f>
        <v>0</v>
      </c>
      <c r="Q8373" t="str">
        <v>x</v>
      </c>
      <c r="R8373">
        <f>IF(P8373&gt;0,$F$18*F8373/1000,0)</f>
        <v>0</v>
      </c>
      <c r="S8373" t="str">
        <v>)</v>
      </c>
      <c r="T8373" t="str">
        <v>x</v>
      </c>
      <c r="U8373">
        <f>0.006165*F8373^2</f>
        <v>1.57824</v>
      </c>
      <c r="X8373" t="str">
        <v>x</v>
      </c>
      <c r="Y8373">
        <f>D8370</f>
        <v>1</v>
      </c>
      <c r="Z8373" t="str">
        <v>=</v>
      </c>
      <c r="AA8373">
        <f>IF(AA8374=0,(D8373*N8373+P8373*R8373)*U8373*Y8373,0)</f>
        <v>0</v>
      </c>
    </row>
    <row r="8374">
      <c r="A8374" t="str">
        <f>A8364</f>
        <v>Lantai Attic</v>
      </c>
      <c r="B8374">
        <f>B8364</f>
        <v>15</v>
      </c>
      <c r="D8374">
        <f>IF(AND(D8371=D8372,D8372=D8373,D8371=D8373),D8371,0)</f>
        <v>6</v>
      </c>
      <c r="E8374" t="str">
        <v>D</v>
      </c>
      <c r="F8374">
        <f>IF(AND(F8371=F8372,F8371=F8373,F8372=F8373),F8371,0)</f>
        <v>16</v>
      </c>
      <c r="L8374" t="str">
        <v>Total panjang per balok</v>
      </c>
      <c r="M8374" t="str">
        <v>=</v>
      </c>
      <c r="N8374">
        <f>IF(AND(D8371=D8372,D8371=D8373,D8372=D8373,F8371=F8372,F8371=F8373,F8372=F8373),SUM(N8371:N8373),0)</f>
        <v>2.384</v>
      </c>
      <c r="O8374" t="str">
        <v>+</v>
      </c>
      <c r="P8374">
        <f>IF(N8374&gt;12,ROUNDDOWN(N8374/12,0),0)</f>
        <v>0</v>
      </c>
      <c r="Q8374" t="str">
        <v>x</v>
      </c>
      <c r="R8374">
        <f>IF(P8374&gt;0,MAX(VLOOKUP(F8374,$D$6:$G$15,3,FALSE),600),0)/1000</f>
        <v>0</v>
      </c>
      <c r="T8374" t="str">
        <v>x</v>
      </c>
      <c r="U8374">
        <f>U8373</f>
        <v>1.57824</v>
      </c>
      <c r="V8374" t="str">
        <v>x</v>
      </c>
      <c r="W8374">
        <f>D8374</f>
        <v>6</v>
      </c>
      <c r="X8374" t="str">
        <v>x</v>
      </c>
      <c r="Y8374">
        <f>Y8373</f>
        <v>1</v>
      </c>
      <c r="Z8374" t="str">
        <v>=</v>
      </c>
      <c r="AA8374">
        <f>(N8374+P8374*R8374/1000)*U8374*W8374*Y8374</f>
        <v>22.57514496</v>
      </c>
    </row>
    <row r="8376">
      <c r="A8376" t="str">
        <f>A8364</f>
        <v>Lantai Attic</v>
      </c>
      <c r="B8376">
        <f>B8364</f>
        <v>15</v>
      </c>
      <c r="C8376" t="str">
        <v>Tul Peminggang</v>
      </c>
      <c r="D8376">
        <f>VLOOKUP(D8364,'Detail Balok'!$C$10:$AU$110,13,FALSE)</f>
        <v>2</v>
      </c>
      <c r="E8376" t="str">
        <v>D</v>
      </c>
      <c r="F8376">
        <f>VLOOKUP(D8364,'Detail Balok'!$C$10:$AU$110,15,FALSE)</f>
        <v>10</v>
      </c>
      <c r="J8376">
        <f>+D8366/1000</f>
        <v>2</v>
      </c>
      <c r="K8376" t="str">
        <v>+</v>
      </c>
      <c r="L8376">
        <f>2*$F$16*F8376/1000</f>
        <v>0.24</v>
      </c>
      <c r="M8376" t="str">
        <v>=</v>
      </c>
      <c r="N8376">
        <f>J8376+L8376</f>
        <v>2.24</v>
      </c>
      <c r="O8376" t="str">
        <v>+</v>
      </c>
      <c r="P8376">
        <f>IF(N8376&gt;12,ROUNDDOWN(N8376/12,0),0)</f>
        <v>0</v>
      </c>
      <c r="Q8376" t="str">
        <v>x</v>
      </c>
      <c r="R8376">
        <f>IF(P8376&gt;0,MAX(VLOOKUP(F8376,$D$6:$G$15,3,FALSE),600),0)/1000</f>
        <v>0</v>
      </c>
      <c r="T8376" t="str">
        <v>x</v>
      </c>
      <c r="U8376">
        <f>0.006165*F8376^2</f>
        <v>0.6165</v>
      </c>
      <c r="V8376" t="str">
        <v>x</v>
      </c>
      <c r="W8376">
        <f>+D8376</f>
        <v>2</v>
      </c>
      <c r="X8376" t="str">
        <v>x</v>
      </c>
      <c r="Y8376">
        <f>D8370</f>
        <v>1</v>
      </c>
      <c r="Z8376" t="str">
        <v>=</v>
      </c>
      <c r="AA8376">
        <f>(N8376+P8376*R8376/1000)*U8376*W8376*Y8376</f>
        <v>2.7619200000000004</v>
      </c>
    </row>
    <row r="8379">
      <c r="A8379" t="str">
        <f>A8364</f>
        <v>Lantai Attic</v>
      </c>
      <c r="B8379">
        <f>B8364</f>
        <v>15</v>
      </c>
      <c r="C8379" t="str">
        <v>Tul Bawah Tumpuan</v>
      </c>
      <c r="D8379">
        <f>VLOOKUP(D8364,'Detail Balok'!$C$10:$AU$110,22,FALSE)</f>
        <v>3</v>
      </c>
      <c r="E8379" t="str">
        <v>D</v>
      </c>
      <c r="F8379">
        <f>VLOOKUP(D8364,'Detail Balok'!$C$10:$AU$110,24,FALSE)</f>
        <v>16</v>
      </c>
      <c r="I8379" t="str">
        <v>(</v>
      </c>
      <c r="J8379">
        <f>+J8371</f>
        <v>0.5</v>
      </c>
      <c r="K8379" t="str">
        <v>+</v>
      </c>
      <c r="L8379">
        <f>MAX(VLOOKUP(F8379,N$6:P$15,3,FALSE)/1000,2/3*D8369/1000)+F$16*F8379/1000</f>
        <v>0.192</v>
      </c>
      <c r="M8379" t="str">
        <v>=</v>
      </c>
      <c r="N8379">
        <f>J8379+L8379</f>
        <v>0.692</v>
      </c>
      <c r="O8379" t="str">
        <v>+</v>
      </c>
      <c r="P8379">
        <f>D8379-D8380</f>
        <v>0</v>
      </c>
      <c r="Q8379" t="str">
        <v>x</v>
      </c>
      <c r="R8379">
        <f>IF(P8379&gt;0,$F$18*F8379/1000,0)</f>
        <v>0</v>
      </c>
      <c r="S8379" t="str">
        <v>)</v>
      </c>
      <c r="T8379" t="str">
        <v>x</v>
      </c>
      <c r="U8379">
        <f>0.006165*F8379^2</f>
        <v>1.57824</v>
      </c>
      <c r="X8379" t="str">
        <v>x</v>
      </c>
      <c r="Y8379">
        <f>D8370</f>
        <v>1</v>
      </c>
      <c r="Z8379" t="str">
        <v>=</v>
      </c>
      <c r="AA8379">
        <f>IF(AA8382=0,(D8379*N8379+P8379*R8379)*U8379*Y8379,0)</f>
        <v>0</v>
      </c>
    </row>
    <row r="8380">
      <c r="A8380" t="str">
        <f>A8364</f>
        <v>Lantai Attic</v>
      </c>
      <c r="B8380">
        <f>B8364</f>
        <v>15</v>
      </c>
      <c r="C8380" t="str">
        <v>Tul Bawah Lapangan</v>
      </c>
      <c r="D8380">
        <f>VLOOKUP(D8364,'Detail Balok'!$C$10:$AU$110,25,FALSE)</f>
        <v>3</v>
      </c>
      <c r="E8380" t="str">
        <v>D</v>
      </c>
      <c r="F8380">
        <f>VLOOKUP(D8364,'Detail Balok'!$C$10:$AU$110,27,FALSE)</f>
        <v>16</v>
      </c>
      <c r="I8380" t="str">
        <v>(</v>
      </c>
      <c r="J8380">
        <f>+J8372</f>
        <v>1</v>
      </c>
      <c r="K8380" t="str">
        <v>+</v>
      </c>
      <c r="M8380" t="str">
        <v>=</v>
      </c>
      <c r="N8380">
        <f>J8380+L8380</f>
        <v>1</v>
      </c>
      <c r="O8380" t="str">
        <v>+</v>
      </c>
      <c r="P8380">
        <f>MAX(D8380-D8379,D8380-D8381)</f>
        <v>0</v>
      </c>
      <c r="Q8380" t="str">
        <v>x</v>
      </c>
      <c r="R8380">
        <f>IF(P8380&gt;0,2*(1-2*$F$19-1/2)*D8367/1000,0)</f>
        <v>0</v>
      </c>
      <c r="S8380" t="str">
        <v>)</v>
      </c>
      <c r="T8380" t="str">
        <v>x</v>
      </c>
      <c r="U8380">
        <f>0.006165*F8380^2</f>
        <v>1.57824</v>
      </c>
      <c r="X8380" t="str">
        <v>x</v>
      </c>
      <c r="Y8380">
        <f>D8370</f>
        <v>1</v>
      </c>
      <c r="Z8380" t="str">
        <v>=</v>
      </c>
      <c r="AA8380">
        <f>IF(AA8382=0,(D8380*N8380+P8380*R8380)*U8380*Y8380,0)</f>
        <v>0</v>
      </c>
    </row>
    <row r="8381">
      <c r="A8381" t="str">
        <f>A8364</f>
        <v>Lantai Attic</v>
      </c>
      <c r="B8381">
        <f>B8364</f>
        <v>15</v>
      </c>
      <c r="C8381" t="str">
        <v>Tul Bawah Tumpuan</v>
      </c>
      <c r="D8381">
        <f>VLOOKUP(D8364,'Detail Balok'!$C$10:$AU$110,28,FALSE)</f>
        <v>3</v>
      </c>
      <c r="E8381" t="str">
        <v>D</v>
      </c>
      <c r="F8381">
        <f>VLOOKUP(D8364,'Detail Balok'!$C$10:$AU$110,30,FALSE)</f>
        <v>16</v>
      </c>
      <c r="I8381" t="str">
        <v>(</v>
      </c>
      <c r="J8381">
        <f>+J8373</f>
        <v>0.5</v>
      </c>
      <c r="K8381" t="str">
        <v>+</v>
      </c>
      <c r="L8381">
        <f>MAX(VLOOKUP(F8381,N$6:P$15,3,FALSE)/1000,2/3*D8369/1000)+F$16*F8381/1000</f>
        <v>0.192</v>
      </c>
      <c r="M8381" t="str">
        <v>=</v>
      </c>
      <c r="N8381">
        <f>J8381+L8381</f>
        <v>0.692</v>
      </c>
      <c r="O8381" t="str">
        <v>+</v>
      </c>
      <c r="P8381">
        <f>D8381-D8380</f>
        <v>0</v>
      </c>
      <c r="Q8381" t="str">
        <v>x</v>
      </c>
      <c r="R8381">
        <f>IF(P8381&gt;0,$F$18*F8381/1000,0)</f>
        <v>0</v>
      </c>
      <c r="S8381" t="str">
        <v>)</v>
      </c>
      <c r="T8381" t="str">
        <v>x</v>
      </c>
      <c r="U8381">
        <f>0.006165*F8381^2</f>
        <v>1.57824</v>
      </c>
      <c r="X8381" t="str">
        <v>x</v>
      </c>
      <c r="Y8381">
        <f>D8370</f>
        <v>1</v>
      </c>
      <c r="Z8381" t="str">
        <v>=</v>
      </c>
      <c r="AA8381">
        <f>IF(AA8382=0,(D8381*N8381+P8381*R8381)*U8381*Y8381,0)</f>
        <v>0</v>
      </c>
    </row>
    <row r="8382">
      <c r="A8382" t="str">
        <f>A8364</f>
        <v>Lantai Attic</v>
      </c>
      <c r="B8382">
        <f>B8364</f>
        <v>15</v>
      </c>
      <c r="D8382">
        <f>IF(AND(D8379=D8380,D8380=D8381,D8379=D8381),D8379,0)</f>
        <v>3</v>
      </c>
      <c r="E8382" t="str">
        <v>D</v>
      </c>
      <c r="F8382">
        <f>IF(AND(F8379=F8380,F8379=F8381,F8380=F8381),F8379,0)</f>
        <v>16</v>
      </c>
      <c r="L8382" t="str">
        <v>Total panjang per balok</v>
      </c>
      <c r="M8382" t="str">
        <v>=</v>
      </c>
      <c r="N8382">
        <f>IF(AND(D8379=D8380,D8379=D8381,D8380=D8381,F8379=F8380,F8379=F8381,F8380=F8381),SUM(N8379:N8381),0)</f>
        <v>2.384</v>
      </c>
      <c r="O8382" t="str">
        <v>+</v>
      </c>
      <c r="P8382">
        <f>IF(N8382&gt;12,ROUNDDOWN(N8382/12,0),0)</f>
        <v>0</v>
      </c>
      <c r="Q8382" t="str">
        <v>x</v>
      </c>
      <c r="R8382">
        <f>IF(P8382&gt;0,MAX(VLOOKUP(F8382,$D$6:$G$15,3,FALSE),600),0)/1000</f>
        <v>0</v>
      </c>
      <c r="T8382" t="str">
        <v>x</v>
      </c>
      <c r="U8382">
        <f>U8381</f>
        <v>1.57824</v>
      </c>
      <c r="V8382" t="str">
        <v>x</v>
      </c>
      <c r="W8382">
        <f>D8382</f>
        <v>3</v>
      </c>
      <c r="X8382" t="str">
        <v>x</v>
      </c>
      <c r="Y8382">
        <f>Y8381</f>
        <v>1</v>
      </c>
      <c r="Z8382" t="str">
        <v>=</v>
      </c>
      <c r="AA8382">
        <f>(N8382+P8382*R8382/1000)*U8382*W8382*Y8382</f>
        <v>11.28757248</v>
      </c>
    </row>
    <row r="8384">
      <c r="A8384" t="str">
        <f>A8364</f>
        <v>Lantai Attic</v>
      </c>
      <c r="B8384">
        <f>B8364</f>
        <v>15</v>
      </c>
      <c r="C8384" t="str">
        <v>Sengkang Tumpuan</v>
      </c>
      <c r="D8384">
        <f>VLOOKUP(D8364,'Detail Balok'!$C$10:$AU$110,31,FALSE)</f>
        <v>3</v>
      </c>
      <c r="E8384" t="str">
        <v>D</v>
      </c>
      <c r="F8384">
        <f>VLOOKUP(D8364,'Detail Balok'!$C$10:$AU$110,33,FALSE)</f>
        <v>10</v>
      </c>
      <c r="G8384" t="str">
        <v>-</v>
      </c>
      <c r="H8384">
        <f>VLOOKUP(D8364,'Detail Balok'!$C$10:$AU$110,35,FALSE)</f>
        <v>80</v>
      </c>
      <c r="J8384">
        <f>(IF(D8384=0,(2*(D8365+G8365))-(F$5*8),IF(D8384=3,(2*(D8365+G8365))-(F$5*8)+(G8365-2*F$5),IF(D8384=4,(2*(D8365+G8365))-(F$5*8)+2*(G8365-2*F$5)))))/1000</f>
        <v>1.5</v>
      </c>
      <c r="K8384" t="str">
        <v>+</v>
      </c>
      <c r="L8384">
        <f>IF(D8384=0,2*MAX(6*F8384,75),(D8384-1)*2*MAX(6*F8384,75))/1000</f>
        <v>0.3</v>
      </c>
      <c r="M8384" t="str">
        <v>=</v>
      </c>
      <c r="N8384">
        <f>J8384+L8384</f>
        <v>1.8</v>
      </c>
      <c r="T8384" t="str">
        <v>x</v>
      </c>
      <c r="U8384">
        <f>0.006165*F8384^2</f>
        <v>0.6165</v>
      </c>
      <c r="V8384" t="str">
        <v>x</v>
      </c>
      <c r="W8384">
        <f>IF(D8367&gt;4*G8365,ROUND(MAX(D8367/4,2*G8365)/H8384,0)+1,ROUND(D8367/H8384,0)+1)</f>
        <v>26</v>
      </c>
      <c r="X8384" t="str">
        <v>x</v>
      </c>
      <c r="Y8384">
        <f>D8370</f>
        <v>1</v>
      </c>
      <c r="Z8384" t="str">
        <v>=</v>
      </c>
      <c r="AA8384">
        <f>N8384*U8384*W8384*Y8384</f>
        <v>28.852200000000003</v>
      </c>
    </row>
    <row r="8385">
      <c r="A8385" t="str">
        <f>A8364</f>
        <v>Lantai Attic</v>
      </c>
      <c r="B8385">
        <f>B8364</f>
        <v>15</v>
      </c>
      <c r="C8385" t="str">
        <v>Sengkang Lapangan</v>
      </c>
      <c r="D8385">
        <f>VLOOKUP(D8364,'Detail Balok'!$C$10:$AU$110,36,FALSE)</f>
        <v>3</v>
      </c>
      <c r="E8385" t="str">
        <v>D</v>
      </c>
      <c r="F8385">
        <f>VLOOKUP(D8364,'Detail Balok'!$C$10:$AU$110,38,FALSE)</f>
        <v>10</v>
      </c>
      <c r="G8385" t="str">
        <v>-</v>
      </c>
      <c r="H8385">
        <f>VLOOKUP(D8364,'Detail Balok'!$C$10:$AU$110,40,FALSE)</f>
        <v>80</v>
      </c>
      <c r="J8385">
        <f>(IF(D8385=0,(2*(D8365+G8365))-(F$5*8),IF(D8385=3,(2*(D8365+G8365))-(F$5*8)+(G8365-2*F$5),IF(D8385=4,(2*(D8365+G8365))-(F$5*8)+2*(G8365-2*F$5)))))/1000</f>
        <v>1.5</v>
      </c>
      <c r="K8385" t="str">
        <v>+</v>
      </c>
      <c r="L8385">
        <f>IF(D8385=0,2*MAX(6*F8385,75),(D8385-1)*2*MAX(6*F8385,75))/1000</f>
        <v>0.3</v>
      </c>
      <c r="M8385" t="str">
        <v>=</v>
      </c>
      <c r="N8385">
        <f>J8385+L8385</f>
        <v>1.8</v>
      </c>
      <c r="T8385" t="str">
        <v>x</v>
      </c>
      <c r="U8385">
        <f>0.006165*F8385^2</f>
        <v>0.6165</v>
      </c>
      <c r="V8385" t="str">
        <v>x</v>
      </c>
      <c r="W8385">
        <f>IF(D8367-MAX(D8367/4,2*G8365)*2&gt;0,ROUND((D8367-MAX(D8367/4,2*G8365)*2)/H8385,0),0)</f>
        <v>0</v>
      </c>
      <c r="X8385" t="str">
        <v>x</v>
      </c>
      <c r="Y8385">
        <f>D8370</f>
        <v>1</v>
      </c>
      <c r="Z8385" t="str">
        <v>=</v>
      </c>
      <c r="AA8385">
        <f>N8385*U8385*W8385*Y8385</f>
        <v>0</v>
      </c>
    </row>
    <row r="8386">
      <c r="A8386" t="str">
        <f>A8364</f>
        <v>Lantai Attic</v>
      </c>
      <c r="B8386">
        <f>B8364</f>
        <v>15</v>
      </c>
      <c r="C8386" t="str">
        <v>Sengkang Tumpuan</v>
      </c>
      <c r="D8386">
        <f>VLOOKUP(D8364,'Detail Balok'!$C$10:$AU$110,41,FALSE)</f>
        <v>3</v>
      </c>
      <c r="E8386" t="str">
        <v>D</v>
      </c>
      <c r="F8386">
        <f>VLOOKUP(D8364,'Detail Balok'!$C$10:$AU$110,43,FALSE)</f>
        <v>10</v>
      </c>
      <c r="G8386" t="str">
        <v>-</v>
      </c>
      <c r="H8386">
        <f>VLOOKUP(D8364,'Detail Balok'!$C$10:$AU$110,45,FALSE)</f>
        <v>80</v>
      </c>
      <c r="J8386">
        <f>(IF(D8386=0,(2*(D8365+G8365))-(F$5*8),IF(D8386=3,(2*(D8365+G8365))-(F$5*8)+(G8365-2*F$5),IF(D8386=4,(2*(D8365+G8365))-(F$5*8)+2*(G8365-2*F$5)))))/1000</f>
        <v>1.5</v>
      </c>
      <c r="K8386" t="str">
        <v>+</v>
      </c>
      <c r="L8386">
        <f>IF(D8386=0,2*MAX(6*F8386,75),(D8386-1)*2*MAX(6*F8386,75))/1000</f>
        <v>0.3</v>
      </c>
      <c r="M8386" t="str">
        <v>=</v>
      </c>
      <c r="N8386">
        <f>J8386+L8386</f>
        <v>1.8</v>
      </c>
      <c r="T8386" t="str">
        <v>x</v>
      </c>
      <c r="U8386">
        <f>0.006165*F8386^2</f>
        <v>0.6165</v>
      </c>
      <c r="V8386" t="str">
        <v>x</v>
      </c>
      <c r="W8386">
        <f>IF(D8367&gt;4*G8365,ROUND(MAX(D8367/4,2*G8365)/H8386,0)+1,0)</f>
        <v>0</v>
      </c>
      <c r="X8386" t="str">
        <v>x</v>
      </c>
      <c r="Y8386">
        <f>D8370</f>
        <v>1</v>
      </c>
      <c r="Z8386" t="str">
        <v>=</v>
      </c>
      <c r="AA8386">
        <f>N8386*U8386*W8386*Y8386</f>
        <v>0</v>
      </c>
    </row>
    <row r="8388">
      <c r="A8388" t="str">
        <f>A8364</f>
        <v>Lantai Attic</v>
      </c>
      <c r="B8388">
        <f>B8364</f>
        <v>15</v>
      </c>
      <c r="C8388" t="str">
        <v>Kait Horizontal Tump.</v>
      </c>
      <c r="D8388">
        <f>VLOOKUP(D8364,'Detail Balok'!$C$10:$BJ$110,46,FALSE)</f>
        <v>0</v>
      </c>
      <c r="E8388" t="str">
        <v>D</v>
      </c>
      <c r="F8388">
        <f>VLOOKUP(D8364,'Detail Balok'!$C$10:$BJ$110,48,FALSE)</f>
        <v>0</v>
      </c>
      <c r="G8388" t="str">
        <v>-</v>
      </c>
      <c r="H8388">
        <f>VLOOKUP(D8364,'Detail Balok'!$C$10:$BJ$110,50,FALSE)</f>
        <v>100</v>
      </c>
      <c r="J8388">
        <f>(D8365-2*F$5)/1000</f>
        <v>0.12</v>
      </c>
      <c r="K8388" t="str">
        <v>+</v>
      </c>
      <c r="L8388">
        <f>IF(D8388=0,2*MAX(6*F8388,75),(D8388-1)*2*MAX(6*F8388,75))/1000</f>
        <v>0.15</v>
      </c>
      <c r="M8388" t="str">
        <v>=</v>
      </c>
      <c r="N8388">
        <f>J8388+L8388</f>
        <v>0.27</v>
      </c>
      <c r="T8388" t="str">
        <v>x</v>
      </c>
      <c r="U8388">
        <f>0.006165*F8388^2</f>
        <v>0</v>
      </c>
      <c r="V8388" t="str">
        <v>x</v>
      </c>
      <c r="W8388">
        <f>W8384</f>
        <v>26</v>
      </c>
      <c r="X8388" t="str">
        <v>x</v>
      </c>
      <c r="Y8388">
        <f>D8374</f>
        <v>6</v>
      </c>
      <c r="Z8388" t="str">
        <v>=</v>
      </c>
      <c r="AA8388">
        <f>N8388*U8388*W8388*Y8388</f>
        <v>0</v>
      </c>
    </row>
    <row r="8389">
      <c r="A8389" t="str">
        <f>A8364</f>
        <v>Lantai Attic</v>
      </c>
      <c r="B8389">
        <f>B8364</f>
        <v>15</v>
      </c>
      <c r="C8389" t="str">
        <v>Kait Horizontal Lap.</v>
      </c>
      <c r="D8389">
        <f>VLOOKUP(D8364,'Detail Balok'!$C$10:$BJ$110,51,FALSE)</f>
        <v>0</v>
      </c>
      <c r="E8389" t="str">
        <v>D</v>
      </c>
      <c r="F8389">
        <f>VLOOKUP(D8364,'Detail Balok'!$C$10:$BJ$110,53,FALSE)</f>
        <v>0</v>
      </c>
      <c r="G8389" t="str">
        <v>-</v>
      </c>
      <c r="H8389">
        <f>VLOOKUP(D8364,'Detail Balok'!$C$10:$BJ$110,55,FALSE)</f>
        <v>100</v>
      </c>
      <c r="J8389">
        <f>(D8365-2*F$5)/1000</f>
        <v>0.12</v>
      </c>
      <c r="K8389" t="str">
        <v>+</v>
      </c>
      <c r="L8389">
        <f>IF(D8389=0,2*MAX(6*F8389,75),(D8389-1)*2*MAX(6*F8389,75))/1000</f>
        <v>0.15</v>
      </c>
      <c r="M8389" t="str">
        <v>=</v>
      </c>
      <c r="N8389">
        <f>J8389+L8389</f>
        <v>0.27</v>
      </c>
      <c r="T8389" t="str">
        <v>x</v>
      </c>
      <c r="U8389">
        <f>0.006165*F8389^2</f>
        <v>0</v>
      </c>
      <c r="V8389" t="str">
        <v>x</v>
      </c>
      <c r="W8389">
        <f>W8385</f>
        <v>0</v>
      </c>
      <c r="X8389" t="str">
        <v>x</v>
      </c>
      <c r="Y8389">
        <f>D8374</f>
        <v>6</v>
      </c>
      <c r="Z8389" t="str">
        <v>=</v>
      </c>
      <c r="AA8389">
        <f>N8389*U8389*W8389*Y8389</f>
        <v>0</v>
      </c>
    </row>
    <row r="8390">
      <c r="A8390" t="str">
        <f>A8364</f>
        <v>Lantai Attic</v>
      </c>
      <c r="B8390">
        <f>B8364</f>
        <v>15</v>
      </c>
      <c r="C8390" t="str">
        <v>Kait Horizontal Tump.</v>
      </c>
      <c r="D8390">
        <f>VLOOKUP(D8364,'Detail Balok'!$C$10:$BJ$110,56,FALSE)</f>
        <v>0</v>
      </c>
      <c r="E8390" t="str">
        <v>D</v>
      </c>
      <c r="F8390">
        <f>VLOOKUP(D8364,'Detail Balok'!$C$10:$BJ$110,58,FALSE)</f>
        <v>0</v>
      </c>
      <c r="G8390" t="str">
        <v>-</v>
      </c>
      <c r="H8390">
        <f>VLOOKUP(D8364,'Detail Balok'!$C$10:$BJ$110,60,FALSE)</f>
        <v>100</v>
      </c>
      <c r="J8390">
        <f>(D8365-2*F$5)/1000</f>
        <v>0.12</v>
      </c>
      <c r="K8390" t="str">
        <v>+</v>
      </c>
      <c r="L8390">
        <f>IF(D8390=0,2*MAX(6*F8390,75),(D8390-1)*2*MAX(6*F8390,75))/1000</f>
        <v>0.15</v>
      </c>
      <c r="M8390" t="str">
        <v>=</v>
      </c>
      <c r="N8390">
        <f>J8390+L8390</f>
        <v>0.27</v>
      </c>
      <c r="T8390" t="str">
        <v>x</v>
      </c>
      <c r="U8390">
        <f>0.006165*F8390^2</f>
        <v>0</v>
      </c>
      <c r="V8390" t="str">
        <v>x</v>
      </c>
      <c r="W8390">
        <f>W8386</f>
        <v>0</v>
      </c>
      <c r="X8390" t="str">
        <v>x</v>
      </c>
      <c r="Y8390">
        <f>D8374</f>
        <v>6</v>
      </c>
      <c r="Z8390" t="str">
        <v>=</v>
      </c>
      <c r="AA8390">
        <f>N8390*U8390*W8390*Y8390</f>
        <v>0</v>
      </c>
    </row>
    <row r="8394">
      <c r="A8394" t="str">
        <f>A8364</f>
        <v>Lantai Attic</v>
      </c>
      <c r="B8394">
        <f>B8364+1</f>
        <v>16</v>
      </c>
      <c r="C8394" t="str">
        <f>CONCATENATE(A8394," no. ",B8394)</f>
        <v>Lantai Attic no. 16</v>
      </c>
      <c r="D8394">
        <f>VLOOKUP(C8394,'Data Panjang Balok'!$C$9:$N$424,2,FALSE)</f>
        <v>0</v>
      </c>
    </row>
    <row r="8395">
      <c r="C8395" t="str">
        <v>Dimensi</v>
      </c>
      <c r="D8395" t="e">
        <f>VLOOKUP(D8394,'Detail Balok'!$C$10:$AU$110,2,FALSE)</f>
        <v>#N/A</v>
      </c>
      <c r="F8395" t="str">
        <v>x</v>
      </c>
      <c r="G8395" t="e">
        <f>VLOOKUP(D8394,'Detail Balok'!$C$10:$AU$110,3,FALSE)</f>
        <v>#N/A</v>
      </c>
    </row>
    <row r="8396">
      <c r="C8396" t="str">
        <v>Panjang as ke as</v>
      </c>
      <c r="D8396">
        <f>VLOOKUP(C8394,'Data Panjang Balok'!$C$9:$N$424,4,FALSE)</f>
        <v>0</v>
      </c>
    </row>
    <row r="8397">
      <c r="C8397" t="str">
        <v>Panjang netto</v>
      </c>
      <c r="D8397">
        <f>VLOOKUP(C8394,'Data Panjang Balok'!$C$9:$N$424,7,FALSE)</f>
        <v>0</v>
      </c>
    </row>
    <row r="8398">
      <c r="C8398" t="str">
        <v>Kolom / balok kiri</v>
      </c>
      <c r="D8398">
        <f>VLOOKUP(C8394,'Data Panjang Balok'!$C$9:$N$424,9,FALSE)</f>
        <v>0</v>
      </c>
    </row>
    <row r="8399">
      <c r="C8399" t="str">
        <v>Kolom / balok kanan</v>
      </c>
      <c r="D8399">
        <f>VLOOKUP(C8394,'Data Panjang Balok'!$C$9:$N$424,10,FALSE)</f>
        <v>0</v>
      </c>
    </row>
    <row r="8400">
      <c r="C8400" t="str">
        <v>Jumlah</v>
      </c>
      <c r="D8400">
        <f>VLOOKUP(C8394,'Data Panjang Balok'!$C$9:$N$424,3,FALSE)</f>
        <v>0</v>
      </c>
    </row>
    <row r="8401">
      <c r="A8401" t="str">
        <f>A8394</f>
        <v>Lantai Attic</v>
      </c>
      <c r="B8401">
        <f>B8394</f>
        <v>16</v>
      </c>
      <c r="C8401" t="str">
        <v>Tul Atas Tumpuan</v>
      </c>
      <c r="D8401" t="e">
        <f>VLOOKUP(D8394,'Detail Balok'!$C$10:$AU$110,4,FALSE)</f>
        <v>#N/A</v>
      </c>
      <c r="E8401" t="str">
        <v>D</v>
      </c>
      <c r="F8401" t="e">
        <f>VLOOKUP(D8394,'Detail Balok'!$C$10:$AU$110,6,FALSE)</f>
        <v>#N/A</v>
      </c>
      <c r="I8401" t="str">
        <v>(</v>
      </c>
      <c r="J8401">
        <f>+D8396/4/1000</f>
        <v>0</v>
      </c>
      <c r="K8401" t="str">
        <v>+</v>
      </c>
      <c r="L8401" t="e">
        <f>MAX(VLOOKUP(F8401,N$6:P$15,3,FALSE)/1000,2/3*D8398/1000)+F$16*F8401/1000</f>
        <v>#N/A</v>
      </c>
      <c r="M8401" t="str">
        <v>=</v>
      </c>
      <c r="N8401" t="e">
        <f>J8401+L8401</f>
        <v>#N/A</v>
      </c>
      <c r="O8401" t="str">
        <v>+</v>
      </c>
      <c r="P8401" t="e">
        <f>D8401-D8402</f>
        <v>#N/A</v>
      </c>
      <c r="Q8401" t="str">
        <v>x</v>
      </c>
      <c r="R8401" t="e">
        <f>IF(P8401&gt;0,$F$18*F8401/1000,0)</f>
        <v>#N/A</v>
      </c>
      <c r="S8401" t="str">
        <v>)</v>
      </c>
      <c r="T8401" t="str">
        <v>x</v>
      </c>
      <c r="U8401" t="e">
        <f>0.006165*F8401^2</f>
        <v>#N/A</v>
      </c>
      <c r="X8401" t="str">
        <v>x</v>
      </c>
      <c r="Y8401">
        <f>D8400</f>
        <v>0</v>
      </c>
      <c r="Z8401" t="str">
        <v>=</v>
      </c>
      <c r="AA8401" t="e">
        <f>IF(AA8404=0,(D8401*N8401+P8401*R8401)*U8401*Y8401,0)</f>
        <v>#N/A</v>
      </c>
    </row>
    <row r="8402">
      <c r="A8402" t="str">
        <f>A8394</f>
        <v>Lantai Attic</v>
      </c>
      <c r="B8402">
        <f>B8394</f>
        <v>16</v>
      </c>
      <c r="C8402" t="str">
        <v>Tul Atas Lapangan</v>
      </c>
      <c r="D8402" t="e">
        <f>VLOOKUP(D8394,'Detail Balok'!$C$10:$AU$110,7,FALSE)</f>
        <v>#N/A</v>
      </c>
      <c r="E8402" t="str">
        <v>D</v>
      </c>
      <c r="F8402" t="e">
        <f>VLOOKUP(D8394,'Detail Balok'!$C$10:$AU$110,9,FALSE)</f>
        <v>#N/A</v>
      </c>
      <c r="I8402" t="str">
        <v>(</v>
      </c>
      <c r="J8402">
        <f>+D8396/2/1000</f>
        <v>0</v>
      </c>
      <c r="K8402" t="str">
        <v>+</v>
      </c>
      <c r="M8402" t="str">
        <v>=</v>
      </c>
      <c r="N8402">
        <f>J8402+L8402</f>
        <v>0</v>
      </c>
      <c r="O8402" t="str">
        <v>+</v>
      </c>
      <c r="P8402" t="e">
        <f>MAX(D8402-D8401,D8402-D8403)</f>
        <v>#N/A</v>
      </c>
      <c r="Q8402" t="str">
        <v>x</v>
      </c>
      <c r="R8402" t="e">
        <f>IF(P8402&gt;0,2*(1-2*$F$19-1/2)*D8397/1000,0)</f>
        <v>#N/A</v>
      </c>
      <c r="S8402" t="str">
        <v>)</v>
      </c>
      <c r="T8402" t="str">
        <v>x</v>
      </c>
      <c r="U8402" t="e">
        <f>0.006165*F8402^2</f>
        <v>#N/A</v>
      </c>
      <c r="X8402" t="str">
        <v>x</v>
      </c>
      <c r="Y8402">
        <f>D8400</f>
        <v>0</v>
      </c>
      <c r="Z8402" t="str">
        <v>=</v>
      </c>
      <c r="AA8402" t="e">
        <f>IF(AA8404=0,(D8402*N8402+P8402*R8402)*U8402*Y8402,0)</f>
        <v>#N/A</v>
      </c>
    </row>
    <row r="8403">
      <c r="A8403" t="str">
        <f>A8394</f>
        <v>Lantai Attic</v>
      </c>
      <c r="B8403">
        <f>B8394</f>
        <v>16</v>
      </c>
      <c r="C8403" t="str">
        <v>Tul Atas Tumpuan</v>
      </c>
      <c r="D8403" t="e">
        <f>VLOOKUP(D8394,'Detail Balok'!$C$10:$AU$110,10,FALSE)</f>
        <v>#N/A</v>
      </c>
      <c r="E8403" t="str">
        <v>D</v>
      </c>
      <c r="F8403" t="e">
        <f>VLOOKUP(D8394,'Detail Balok'!$C$10:$AU$110,12,FALSE)</f>
        <v>#N/A</v>
      </c>
      <c r="I8403" t="str">
        <v>(</v>
      </c>
      <c r="J8403">
        <f>+D8396/4/1000</f>
        <v>0</v>
      </c>
      <c r="K8403" t="str">
        <v>+</v>
      </c>
      <c r="L8403" t="e">
        <f>MAX(VLOOKUP(F8403,N$6:P$15,3,FALSE)/1000,2/3*D8398/1000)+F$16*F8403/1000</f>
        <v>#N/A</v>
      </c>
      <c r="M8403" t="str">
        <v>=</v>
      </c>
      <c r="N8403" t="e">
        <f>J8403+L8403</f>
        <v>#N/A</v>
      </c>
      <c r="O8403" t="str">
        <v>+</v>
      </c>
      <c r="P8403" t="e">
        <f>D8403-D8402</f>
        <v>#N/A</v>
      </c>
      <c r="Q8403" t="str">
        <v>x</v>
      </c>
      <c r="R8403" t="e">
        <f>IF(P8403&gt;0,$F$18*F8403/1000,0)</f>
        <v>#N/A</v>
      </c>
      <c r="S8403" t="str">
        <v>)</v>
      </c>
      <c r="T8403" t="str">
        <v>x</v>
      </c>
      <c r="U8403" t="e">
        <f>0.006165*F8403^2</f>
        <v>#N/A</v>
      </c>
      <c r="X8403" t="str">
        <v>x</v>
      </c>
      <c r="Y8403">
        <f>D8400</f>
        <v>0</v>
      </c>
      <c r="Z8403" t="str">
        <v>=</v>
      </c>
      <c r="AA8403" t="e">
        <f>IF(AA8404=0,(D8403*N8403+P8403*R8403)*U8403*Y8403,0)</f>
        <v>#N/A</v>
      </c>
    </row>
    <row r="8404">
      <c r="A8404" t="str">
        <f>A8394</f>
        <v>Lantai Attic</v>
      </c>
      <c r="B8404">
        <f>B8394</f>
        <v>16</v>
      </c>
      <c r="D8404" t="e">
        <f>IF(AND(D8401=D8402,D8402=D8403,D8401=D8403),D8401,0)</f>
        <v>#N/A</v>
      </c>
      <c r="E8404" t="str">
        <v>D</v>
      </c>
      <c r="F8404" t="e">
        <f>IF(AND(F8401=F8402,F8401=F8403,F8402=F8403),F8401,0)</f>
        <v>#N/A</v>
      </c>
      <c r="L8404" t="str">
        <v>Total panjang per balok</v>
      </c>
      <c r="M8404" t="str">
        <v>=</v>
      </c>
      <c r="N8404" t="e">
        <f>IF(AND(D8401=D8402,D8401=D8403,D8402=D8403,F8401=F8402,F8401=F8403,F8402=F8403),SUM(N8401:N8403),0)</f>
        <v>#N/A</v>
      </c>
      <c r="O8404" t="str">
        <v>+</v>
      </c>
      <c r="P8404" t="e">
        <f>IF(N8404&gt;12,ROUNDDOWN(N8404/12,0),0)</f>
        <v>#N/A</v>
      </c>
      <c r="Q8404" t="str">
        <v>x</v>
      </c>
      <c r="R8404" t="e">
        <f>IF(P8404&gt;0,MAX(VLOOKUP(F8404,$D$6:$G$15,3,FALSE),600),0)/1000</f>
        <v>#N/A</v>
      </c>
      <c r="T8404" t="str">
        <v>x</v>
      </c>
      <c r="U8404" t="e">
        <f>U8403</f>
        <v>#N/A</v>
      </c>
      <c r="V8404" t="str">
        <v>x</v>
      </c>
      <c r="W8404" t="e">
        <f>D8404</f>
        <v>#N/A</v>
      </c>
      <c r="X8404" t="str">
        <v>x</v>
      </c>
      <c r="Y8404">
        <f>Y8403</f>
        <v>0</v>
      </c>
      <c r="Z8404" t="str">
        <v>=</v>
      </c>
      <c r="AA8404" t="e">
        <f>(N8404+P8404*R8404/1000)*U8404*W8404*Y8404</f>
        <v>#N/A</v>
      </c>
    </row>
    <row r="8406">
      <c r="A8406" t="str">
        <f>A8394</f>
        <v>Lantai Attic</v>
      </c>
      <c r="B8406">
        <f>B8394</f>
        <v>16</v>
      </c>
      <c r="C8406" t="str">
        <v>Tul Peminggang</v>
      </c>
      <c r="D8406" t="e">
        <f>VLOOKUP(D8394,'Detail Balok'!$C$10:$AU$110,13,FALSE)</f>
        <v>#N/A</v>
      </c>
      <c r="E8406" t="str">
        <v>D</v>
      </c>
      <c r="F8406" t="e">
        <f>VLOOKUP(D8394,'Detail Balok'!$C$10:$AU$110,15,FALSE)</f>
        <v>#N/A</v>
      </c>
      <c r="J8406">
        <f>+D8396/1000</f>
        <v>0</v>
      </c>
      <c r="K8406" t="str">
        <v>+</v>
      </c>
      <c r="L8406" t="e">
        <f>2*$F$16*F8406/1000</f>
        <v>#N/A</v>
      </c>
      <c r="M8406" t="str">
        <v>=</v>
      </c>
      <c r="N8406" t="e">
        <f>J8406+L8406</f>
        <v>#N/A</v>
      </c>
      <c r="O8406" t="str">
        <v>+</v>
      </c>
      <c r="P8406" t="e">
        <f>IF(N8406&gt;12,ROUNDDOWN(N8406/12,0),0)</f>
        <v>#N/A</v>
      </c>
      <c r="Q8406" t="str">
        <v>x</v>
      </c>
      <c r="R8406" t="e">
        <f>IF(P8406&gt;0,MAX(VLOOKUP(F8406,$D$6:$G$15,3,FALSE),600),0)/1000</f>
        <v>#N/A</v>
      </c>
      <c r="T8406" t="str">
        <v>x</v>
      </c>
      <c r="U8406" t="e">
        <f>0.006165*F8406^2</f>
        <v>#N/A</v>
      </c>
      <c r="V8406" t="str">
        <v>x</v>
      </c>
      <c r="W8406" t="e">
        <f>+D8406</f>
        <v>#N/A</v>
      </c>
      <c r="X8406" t="str">
        <v>x</v>
      </c>
      <c r="Y8406">
        <f>D8400</f>
        <v>0</v>
      </c>
      <c r="Z8406" t="str">
        <v>=</v>
      </c>
      <c r="AA8406" t="e">
        <f>(N8406+P8406*R8406/1000)*U8406*W8406*Y8406</f>
        <v>#N/A</v>
      </c>
    </row>
    <row r="8409">
      <c r="A8409" t="str">
        <f>A8394</f>
        <v>Lantai Attic</v>
      </c>
      <c r="B8409">
        <f>B8394</f>
        <v>16</v>
      </c>
      <c r="C8409" t="str">
        <v>Tul Bawah Tumpuan</v>
      </c>
      <c r="D8409" t="e">
        <f>VLOOKUP(D8394,'Detail Balok'!$C$10:$AU$110,22,FALSE)</f>
        <v>#N/A</v>
      </c>
      <c r="E8409" t="str">
        <v>D</v>
      </c>
      <c r="F8409" t="e">
        <f>VLOOKUP(D8394,'Detail Balok'!$C$10:$AU$110,24,FALSE)</f>
        <v>#N/A</v>
      </c>
      <c r="I8409" t="str">
        <v>(</v>
      </c>
      <c r="J8409">
        <f>+J8401</f>
        <v>0</v>
      </c>
      <c r="K8409" t="str">
        <v>+</v>
      </c>
      <c r="L8409" t="e">
        <f>MAX(VLOOKUP(F8409,N$6:P$15,3,FALSE)/1000,2/3*D8399/1000)+F$16*F8409/1000</f>
        <v>#N/A</v>
      </c>
      <c r="M8409" t="str">
        <v>=</v>
      </c>
      <c r="N8409" t="e">
        <f>J8409+L8409</f>
        <v>#N/A</v>
      </c>
      <c r="O8409" t="str">
        <v>+</v>
      </c>
      <c r="P8409" t="e">
        <f>D8409-D8410</f>
        <v>#N/A</v>
      </c>
      <c r="Q8409" t="str">
        <v>x</v>
      </c>
      <c r="R8409" t="e">
        <f>IF(P8409&gt;0,$F$18*F8409/1000,0)</f>
        <v>#N/A</v>
      </c>
      <c r="S8409" t="str">
        <v>)</v>
      </c>
      <c r="T8409" t="str">
        <v>x</v>
      </c>
      <c r="U8409" t="e">
        <f>0.006165*F8409^2</f>
        <v>#N/A</v>
      </c>
      <c r="X8409" t="str">
        <v>x</v>
      </c>
      <c r="Y8409">
        <f>D8400</f>
        <v>0</v>
      </c>
      <c r="Z8409" t="str">
        <v>=</v>
      </c>
      <c r="AA8409" t="e">
        <f>IF(AA8412=0,(D8409*N8409+P8409*R8409)*U8409*Y8409,0)</f>
        <v>#N/A</v>
      </c>
    </row>
    <row r="8410">
      <c r="A8410" t="str">
        <f>A8394</f>
        <v>Lantai Attic</v>
      </c>
      <c r="B8410">
        <f>B8394</f>
        <v>16</v>
      </c>
      <c r="C8410" t="str">
        <v>Tul Bawah Lapangan</v>
      </c>
      <c r="D8410" t="e">
        <f>VLOOKUP(D8394,'Detail Balok'!$C$10:$AU$110,25,FALSE)</f>
        <v>#N/A</v>
      </c>
      <c r="E8410" t="str">
        <v>D</v>
      </c>
      <c r="F8410" t="e">
        <f>VLOOKUP(D8394,'Detail Balok'!$C$10:$AU$110,27,FALSE)</f>
        <v>#N/A</v>
      </c>
      <c r="I8410" t="str">
        <v>(</v>
      </c>
      <c r="J8410">
        <f>+J8402</f>
        <v>0</v>
      </c>
      <c r="K8410" t="str">
        <v>+</v>
      </c>
      <c r="M8410" t="str">
        <v>=</v>
      </c>
      <c r="N8410">
        <f>J8410+L8410</f>
        <v>0</v>
      </c>
      <c r="O8410" t="str">
        <v>+</v>
      </c>
      <c r="P8410" t="e">
        <f>MAX(D8410-D8409,D8410-D8411)</f>
        <v>#N/A</v>
      </c>
      <c r="Q8410" t="str">
        <v>x</v>
      </c>
      <c r="R8410" t="e">
        <f>IF(P8410&gt;0,2*(1-2*$F$19-1/2)*D8397/1000,0)</f>
        <v>#N/A</v>
      </c>
      <c r="S8410" t="str">
        <v>)</v>
      </c>
      <c r="T8410" t="str">
        <v>x</v>
      </c>
      <c r="U8410" t="e">
        <f>0.006165*F8410^2</f>
        <v>#N/A</v>
      </c>
      <c r="X8410" t="str">
        <v>x</v>
      </c>
      <c r="Y8410">
        <f>D8400</f>
        <v>0</v>
      </c>
      <c r="Z8410" t="str">
        <v>=</v>
      </c>
      <c r="AA8410" t="e">
        <f>IF(AA8412=0,(D8410*N8410+P8410*R8410)*U8410*Y8410,0)</f>
        <v>#N/A</v>
      </c>
    </row>
    <row r="8411">
      <c r="A8411" t="str">
        <f>A8394</f>
        <v>Lantai Attic</v>
      </c>
      <c r="B8411">
        <f>B8394</f>
        <v>16</v>
      </c>
      <c r="C8411" t="str">
        <v>Tul Bawah Tumpuan</v>
      </c>
      <c r="D8411" t="e">
        <f>VLOOKUP(D8394,'Detail Balok'!$C$10:$AU$110,28,FALSE)</f>
        <v>#N/A</v>
      </c>
      <c r="E8411" t="str">
        <v>D</v>
      </c>
      <c r="F8411" t="e">
        <f>VLOOKUP(D8394,'Detail Balok'!$C$10:$AU$110,30,FALSE)</f>
        <v>#N/A</v>
      </c>
      <c r="I8411" t="str">
        <v>(</v>
      </c>
      <c r="J8411">
        <f>+J8403</f>
        <v>0</v>
      </c>
      <c r="K8411" t="str">
        <v>+</v>
      </c>
      <c r="L8411" t="e">
        <f>MAX(VLOOKUP(F8411,N$6:P$15,3,FALSE)/1000,2/3*D8399/1000)+F$16*F8411/1000</f>
        <v>#N/A</v>
      </c>
      <c r="M8411" t="str">
        <v>=</v>
      </c>
      <c r="N8411" t="e">
        <f>J8411+L8411</f>
        <v>#N/A</v>
      </c>
      <c r="O8411" t="str">
        <v>+</v>
      </c>
      <c r="P8411" t="e">
        <f>D8411-D8410</f>
        <v>#N/A</v>
      </c>
      <c r="Q8411" t="str">
        <v>x</v>
      </c>
      <c r="R8411" t="e">
        <f>IF(P8411&gt;0,$F$18*F8411/1000,0)</f>
        <v>#N/A</v>
      </c>
      <c r="S8411" t="str">
        <v>)</v>
      </c>
      <c r="T8411" t="str">
        <v>x</v>
      </c>
      <c r="U8411" t="e">
        <f>0.006165*F8411^2</f>
        <v>#N/A</v>
      </c>
      <c r="X8411" t="str">
        <v>x</v>
      </c>
      <c r="Y8411">
        <f>D8400</f>
        <v>0</v>
      </c>
      <c r="Z8411" t="str">
        <v>=</v>
      </c>
      <c r="AA8411" t="e">
        <f>IF(AA8412=0,(D8411*N8411+P8411*R8411)*U8411*Y8411,0)</f>
        <v>#N/A</v>
      </c>
    </row>
    <row r="8412">
      <c r="A8412" t="str">
        <f>A8394</f>
        <v>Lantai Attic</v>
      </c>
      <c r="B8412">
        <f>B8394</f>
        <v>16</v>
      </c>
      <c r="D8412" t="e">
        <f>IF(AND(D8409=D8410,D8410=D8411,D8409=D8411),D8409,0)</f>
        <v>#N/A</v>
      </c>
      <c r="E8412" t="str">
        <v>D</v>
      </c>
      <c r="F8412" t="e">
        <f>IF(AND(F8409=F8410,F8409=F8411,F8410=F8411),F8409,0)</f>
        <v>#N/A</v>
      </c>
      <c r="L8412" t="str">
        <v>Total panjang per balok</v>
      </c>
      <c r="M8412" t="str">
        <v>=</v>
      </c>
      <c r="N8412" t="e">
        <f>IF(AND(D8409=D8410,D8409=D8411,D8410=D8411,F8409=F8410,F8409=F8411,F8410=F8411),SUM(N8409:N8411),0)</f>
        <v>#N/A</v>
      </c>
      <c r="O8412" t="str">
        <v>+</v>
      </c>
      <c r="P8412" t="e">
        <f>IF(N8412&gt;12,ROUNDDOWN(N8412/12,0),0)</f>
        <v>#N/A</v>
      </c>
      <c r="Q8412" t="str">
        <v>x</v>
      </c>
      <c r="R8412" t="e">
        <f>IF(P8412&gt;0,MAX(VLOOKUP(F8412,$D$6:$G$15,3,FALSE),600),0)/1000</f>
        <v>#N/A</v>
      </c>
      <c r="T8412" t="str">
        <v>x</v>
      </c>
      <c r="U8412" t="e">
        <f>U8411</f>
        <v>#N/A</v>
      </c>
      <c r="V8412" t="str">
        <v>x</v>
      </c>
      <c r="W8412" t="e">
        <f>D8412</f>
        <v>#N/A</v>
      </c>
      <c r="X8412" t="str">
        <v>x</v>
      </c>
      <c r="Y8412">
        <f>Y8411</f>
        <v>0</v>
      </c>
      <c r="Z8412" t="str">
        <v>=</v>
      </c>
      <c r="AA8412" t="e">
        <f>(N8412+P8412*R8412/1000)*U8412*W8412*Y8412</f>
        <v>#N/A</v>
      </c>
    </row>
    <row r="8414">
      <c r="A8414" t="str">
        <f>A8394</f>
        <v>Lantai Attic</v>
      </c>
      <c r="B8414">
        <f>B8394</f>
        <v>16</v>
      </c>
      <c r="C8414" t="str">
        <v>Sengkang Tumpuan</v>
      </c>
      <c r="D8414" t="e">
        <f>VLOOKUP(D8394,'Detail Balok'!$C$10:$AU$110,31,FALSE)</f>
        <v>#N/A</v>
      </c>
      <c r="E8414" t="str">
        <v>D</v>
      </c>
      <c r="F8414" t="e">
        <f>VLOOKUP(D8394,'Detail Balok'!$C$10:$AU$110,33,FALSE)</f>
        <v>#N/A</v>
      </c>
      <c r="G8414" t="str">
        <v>-</v>
      </c>
      <c r="H8414" t="e">
        <f>VLOOKUP(D8394,'Detail Balok'!$C$10:$AU$110,35,FALSE)</f>
        <v>#N/A</v>
      </c>
      <c r="J8414" t="e">
        <f>(IF(D8414=0,(2*(D8395+G8395))-(F$5*8),IF(D8414=3,(2*(D8395+G8395))-(F$5*8)+(G8395-2*F$5),IF(D8414=4,(2*(D8395+G8395))-(F$5*8)+2*(G8395-2*F$5)))))/1000</f>
        <v>#N/A</v>
      </c>
      <c r="K8414" t="str">
        <v>+</v>
      </c>
      <c r="L8414" t="e">
        <f>IF(D8414=0,2*MAX(6*F8414,75),(D8414-1)*2*MAX(6*F8414,75))/1000</f>
        <v>#N/A</v>
      </c>
      <c r="M8414" t="str">
        <v>=</v>
      </c>
      <c r="N8414" t="e">
        <f>J8414+L8414</f>
        <v>#N/A</v>
      </c>
      <c r="T8414" t="str">
        <v>x</v>
      </c>
      <c r="U8414" t="e">
        <f>0.006165*F8414^2</f>
        <v>#N/A</v>
      </c>
      <c r="V8414" t="str">
        <v>x</v>
      </c>
      <c r="W8414" t="e">
        <f>IF(D8397&gt;4*G8395,ROUND(MAX(D8397/4,2*G8395)/H8414,0)+1,ROUND(D8397/H8414,0)+1)</f>
        <v>#N/A</v>
      </c>
      <c r="X8414" t="str">
        <v>x</v>
      </c>
      <c r="Y8414">
        <f>D8400</f>
        <v>0</v>
      </c>
      <c r="Z8414" t="str">
        <v>=</v>
      </c>
      <c r="AA8414" t="e">
        <f>N8414*U8414*W8414*Y8414</f>
        <v>#N/A</v>
      </c>
    </row>
    <row r="8415">
      <c r="A8415" t="str">
        <f>A8394</f>
        <v>Lantai Attic</v>
      </c>
      <c r="B8415">
        <f>B8394</f>
        <v>16</v>
      </c>
      <c r="C8415" t="str">
        <v>Sengkang Lapangan</v>
      </c>
      <c r="D8415" t="e">
        <f>VLOOKUP(D8394,'Detail Balok'!$C$10:$AU$110,36,FALSE)</f>
        <v>#N/A</v>
      </c>
      <c r="E8415" t="str">
        <v>D</v>
      </c>
      <c r="F8415" t="e">
        <f>VLOOKUP(D8394,'Detail Balok'!$C$10:$AU$110,38,FALSE)</f>
        <v>#N/A</v>
      </c>
      <c r="G8415" t="str">
        <v>-</v>
      </c>
      <c r="H8415" t="e">
        <f>VLOOKUP(D8394,'Detail Balok'!$C$10:$AU$110,40,FALSE)</f>
        <v>#N/A</v>
      </c>
      <c r="J8415" t="e">
        <f>(IF(D8415=0,(2*(D8395+G8395))-(F$5*8),IF(D8415=3,(2*(D8395+G8395))-(F$5*8)+(G8395-2*F$5),IF(D8415=4,(2*(D8395+G8395))-(F$5*8)+2*(G8395-2*F$5)))))/1000</f>
        <v>#N/A</v>
      </c>
      <c r="K8415" t="str">
        <v>+</v>
      </c>
      <c r="L8415" t="e">
        <f>IF(D8415=0,2*MAX(6*F8415,75),(D8415-1)*2*MAX(6*F8415,75))/1000</f>
        <v>#N/A</v>
      </c>
      <c r="M8415" t="str">
        <v>=</v>
      </c>
      <c r="N8415" t="e">
        <f>J8415+L8415</f>
        <v>#N/A</v>
      </c>
      <c r="T8415" t="str">
        <v>x</v>
      </c>
      <c r="U8415" t="e">
        <f>0.006165*F8415^2</f>
        <v>#N/A</v>
      </c>
      <c r="V8415" t="str">
        <v>x</v>
      </c>
      <c r="W8415" t="e">
        <f>IF(D8397-MAX(D8397/4,2*G8395)*2&gt;0,ROUND((D8397-MAX(D8397/4,2*G8395)*2)/H8415,0),0)</f>
        <v>#N/A</v>
      </c>
      <c r="X8415" t="str">
        <v>x</v>
      </c>
      <c r="Y8415">
        <f>D8400</f>
        <v>0</v>
      </c>
      <c r="Z8415" t="str">
        <v>=</v>
      </c>
      <c r="AA8415" t="e">
        <f>N8415*U8415*W8415*Y8415</f>
        <v>#N/A</v>
      </c>
    </row>
    <row r="8416">
      <c r="A8416" t="str">
        <f>A8394</f>
        <v>Lantai Attic</v>
      </c>
      <c r="B8416">
        <f>B8394</f>
        <v>16</v>
      </c>
      <c r="C8416" t="str">
        <v>Sengkang Tumpuan</v>
      </c>
      <c r="D8416" t="e">
        <f>VLOOKUP(D8394,'Detail Balok'!$C$10:$AU$110,41,FALSE)</f>
        <v>#N/A</v>
      </c>
      <c r="E8416" t="str">
        <v>D</v>
      </c>
      <c r="F8416" t="e">
        <f>VLOOKUP(D8394,'Detail Balok'!$C$10:$AU$110,43,FALSE)</f>
        <v>#N/A</v>
      </c>
      <c r="G8416" t="str">
        <v>-</v>
      </c>
      <c r="H8416" t="e">
        <f>VLOOKUP(D8394,'Detail Balok'!$C$10:$AU$110,45,FALSE)</f>
        <v>#N/A</v>
      </c>
      <c r="J8416" t="e">
        <f>(IF(D8416=0,(2*(D8395+G8395))-(F$5*8),IF(D8416=3,(2*(D8395+G8395))-(F$5*8)+(G8395-2*F$5),IF(D8416=4,(2*(D8395+G8395))-(F$5*8)+2*(G8395-2*F$5)))))/1000</f>
        <v>#N/A</v>
      </c>
      <c r="K8416" t="str">
        <v>+</v>
      </c>
      <c r="L8416" t="e">
        <f>IF(D8416=0,2*MAX(6*F8416,75),(D8416-1)*2*MAX(6*F8416,75))/1000</f>
        <v>#N/A</v>
      </c>
      <c r="M8416" t="str">
        <v>=</v>
      </c>
      <c r="N8416" t="e">
        <f>J8416+L8416</f>
        <v>#N/A</v>
      </c>
      <c r="T8416" t="str">
        <v>x</v>
      </c>
      <c r="U8416" t="e">
        <f>0.006165*F8416^2</f>
        <v>#N/A</v>
      </c>
      <c r="V8416" t="str">
        <v>x</v>
      </c>
      <c r="W8416" t="e">
        <f>IF(D8397&gt;4*G8395,ROUND(MAX(D8397/4,2*G8395)/H8416,0)+1,0)</f>
        <v>#N/A</v>
      </c>
      <c r="X8416" t="str">
        <v>x</v>
      </c>
      <c r="Y8416">
        <f>D8400</f>
        <v>0</v>
      </c>
      <c r="Z8416" t="str">
        <v>=</v>
      </c>
      <c r="AA8416" t="e">
        <f>N8416*U8416*W8416*Y8416</f>
        <v>#N/A</v>
      </c>
    </row>
    <row r="8418">
      <c r="A8418" t="str">
        <f>A8394</f>
        <v>Lantai Attic</v>
      </c>
      <c r="B8418">
        <f>B8394</f>
        <v>16</v>
      </c>
      <c r="C8418" t="str">
        <v>Kait Horizontal Tump.</v>
      </c>
      <c r="D8418" t="e">
        <f>VLOOKUP(D8394,'Detail Balok'!$C$10:$BJ$110,46,FALSE)</f>
        <v>#N/A</v>
      </c>
      <c r="E8418" t="str">
        <v>D</v>
      </c>
      <c r="F8418" t="e">
        <f>VLOOKUP(D8394,'Detail Balok'!$C$10:$BJ$110,48,FALSE)</f>
        <v>#N/A</v>
      </c>
      <c r="G8418" t="str">
        <v>-</v>
      </c>
      <c r="H8418" t="e">
        <f>VLOOKUP(D8394,'Detail Balok'!$C$10:$BJ$110,50,FALSE)</f>
        <v>#N/A</v>
      </c>
      <c r="J8418" t="e">
        <f>(D8395-2*F$5)/1000</f>
        <v>#N/A</v>
      </c>
      <c r="K8418" t="str">
        <v>+</v>
      </c>
      <c r="L8418" t="e">
        <f>IF(D8418=0,2*MAX(6*F8418,75),(D8418-1)*2*MAX(6*F8418,75))/1000</f>
        <v>#N/A</v>
      </c>
      <c r="M8418" t="str">
        <v>=</v>
      </c>
      <c r="N8418" t="e">
        <f>J8418+L8418</f>
        <v>#N/A</v>
      </c>
      <c r="T8418" t="str">
        <v>x</v>
      </c>
      <c r="U8418" t="e">
        <f>0.006165*F8418^2</f>
        <v>#N/A</v>
      </c>
      <c r="V8418" t="str">
        <v>x</v>
      </c>
      <c r="W8418" t="e">
        <f>W8414</f>
        <v>#N/A</v>
      </c>
      <c r="X8418" t="str">
        <v>x</v>
      </c>
      <c r="Y8418" t="e">
        <f>D8404</f>
        <v>#N/A</v>
      </c>
      <c r="Z8418" t="str">
        <v>=</v>
      </c>
      <c r="AA8418" t="e">
        <f>N8418*U8418*W8418*Y8418</f>
        <v>#N/A</v>
      </c>
    </row>
    <row r="8419">
      <c r="A8419" t="str">
        <f>A8394</f>
        <v>Lantai Attic</v>
      </c>
      <c r="B8419">
        <f>B8394</f>
        <v>16</v>
      </c>
      <c r="C8419" t="str">
        <v>Kait Horizontal Lap.</v>
      </c>
      <c r="D8419" t="e">
        <f>VLOOKUP(D8394,'Detail Balok'!$C$10:$BJ$110,51,FALSE)</f>
        <v>#N/A</v>
      </c>
      <c r="E8419" t="str">
        <v>D</v>
      </c>
      <c r="F8419" t="e">
        <f>VLOOKUP(D8394,'Detail Balok'!$C$10:$BJ$110,53,FALSE)</f>
        <v>#N/A</v>
      </c>
      <c r="G8419" t="str">
        <v>-</v>
      </c>
      <c r="H8419" t="e">
        <f>VLOOKUP(D8394,'Detail Balok'!$C$10:$BJ$110,55,FALSE)</f>
        <v>#N/A</v>
      </c>
      <c r="J8419" t="e">
        <f>(D8395-2*F$5)/1000</f>
        <v>#N/A</v>
      </c>
      <c r="K8419" t="str">
        <v>+</v>
      </c>
      <c r="L8419" t="e">
        <f>IF(D8419=0,2*MAX(6*F8419,75),(D8419-1)*2*MAX(6*F8419,75))/1000</f>
        <v>#N/A</v>
      </c>
      <c r="M8419" t="str">
        <v>=</v>
      </c>
      <c r="N8419" t="e">
        <f>J8419+L8419</f>
        <v>#N/A</v>
      </c>
      <c r="T8419" t="str">
        <v>x</v>
      </c>
      <c r="U8419" t="e">
        <f>0.006165*F8419^2</f>
        <v>#N/A</v>
      </c>
      <c r="V8419" t="str">
        <v>x</v>
      </c>
      <c r="W8419" t="e">
        <f>W8415</f>
        <v>#N/A</v>
      </c>
      <c r="X8419" t="str">
        <v>x</v>
      </c>
      <c r="Y8419" t="e">
        <f>D8404</f>
        <v>#N/A</v>
      </c>
      <c r="Z8419" t="str">
        <v>=</v>
      </c>
      <c r="AA8419" t="e">
        <f>N8419*U8419*W8419*Y8419</f>
        <v>#N/A</v>
      </c>
    </row>
    <row r="8420">
      <c r="A8420" t="str">
        <f>A8394</f>
        <v>Lantai Attic</v>
      </c>
      <c r="B8420">
        <f>B8394</f>
        <v>16</v>
      </c>
      <c r="C8420" t="str">
        <v>Kait Horizontal Tump.</v>
      </c>
      <c r="D8420" t="e">
        <f>VLOOKUP(D8394,'Detail Balok'!$C$10:$BJ$110,56,FALSE)</f>
        <v>#N/A</v>
      </c>
      <c r="E8420" t="str">
        <v>D</v>
      </c>
      <c r="F8420" t="e">
        <f>VLOOKUP(D8394,'Detail Balok'!$C$10:$BJ$110,58,FALSE)</f>
        <v>#N/A</v>
      </c>
      <c r="G8420" t="str">
        <v>-</v>
      </c>
      <c r="H8420" t="e">
        <f>VLOOKUP(D8394,'Detail Balok'!$C$10:$BJ$110,60,FALSE)</f>
        <v>#N/A</v>
      </c>
      <c r="J8420" t="e">
        <f>(D8395-2*F$5)/1000</f>
        <v>#N/A</v>
      </c>
      <c r="K8420" t="str">
        <v>+</v>
      </c>
      <c r="L8420" t="e">
        <f>IF(D8420=0,2*MAX(6*F8420,75),(D8420-1)*2*MAX(6*F8420,75))/1000</f>
        <v>#N/A</v>
      </c>
      <c r="M8420" t="str">
        <v>=</v>
      </c>
      <c r="N8420" t="e">
        <f>J8420+L8420</f>
        <v>#N/A</v>
      </c>
      <c r="T8420" t="str">
        <v>x</v>
      </c>
      <c r="U8420" t="e">
        <f>0.006165*F8420^2</f>
        <v>#N/A</v>
      </c>
      <c r="V8420" t="str">
        <v>x</v>
      </c>
      <c r="W8420" t="e">
        <f>W8416</f>
        <v>#N/A</v>
      </c>
      <c r="X8420" t="str">
        <v>x</v>
      </c>
      <c r="Y8420" t="e">
        <f>D8404</f>
        <v>#N/A</v>
      </c>
      <c r="Z8420" t="str">
        <v>=</v>
      </c>
      <c r="AA8420" t="e">
        <f>N8420*U8420*W8420*Y8420</f>
        <v>#N/A</v>
      </c>
    </row>
    <row r="8424">
      <c r="A8424" t="str">
        <f>A8394</f>
        <v>Lantai Attic</v>
      </c>
      <c r="B8424">
        <f>B8394+1</f>
        <v>17</v>
      </c>
      <c r="C8424" t="str">
        <f>CONCATENATE(A8424," no. ",B8424)</f>
        <v>Lantai Attic no. 17</v>
      </c>
      <c r="D8424" t="str">
        <f>VLOOKUP(C8424,'Data Panjang Balok'!$C$9:$N$424,2,FALSE)</f>
        <v>B25-3</v>
      </c>
    </row>
    <row r="8425">
      <c r="C8425" t="str">
        <v>Dimensi</v>
      </c>
      <c r="D8425">
        <f>VLOOKUP(D8424,'Detail Balok'!$C$10:$AU$110,2,FALSE)</f>
        <v>200</v>
      </c>
      <c r="F8425" t="str">
        <v>x</v>
      </c>
      <c r="G8425">
        <f>VLOOKUP(D8424,'Detail Balok'!$C$10:$AU$110,3,FALSE)</f>
        <v>500</v>
      </c>
    </row>
    <row r="8426">
      <c r="C8426" t="str">
        <v>Panjang as ke as</v>
      </c>
      <c r="D8426">
        <f>VLOOKUP(C8424,'Data Panjang Balok'!$C$9:$N$424,4,FALSE)</f>
        <v>5835</v>
      </c>
    </row>
    <row r="8427">
      <c r="C8427" t="str">
        <v>Panjang netto</v>
      </c>
      <c r="D8427">
        <f>VLOOKUP(C8424,'Data Panjang Balok'!$C$9:$N$424,7,FALSE)</f>
        <v>5835</v>
      </c>
    </row>
    <row r="8428">
      <c r="C8428" t="str">
        <v>Kolom / balok kiri</v>
      </c>
      <c r="D8428">
        <f>VLOOKUP(C8424,'Data Panjang Balok'!$C$9:$N$424,9,FALSE)</f>
        <v>0</v>
      </c>
    </row>
    <row r="8429">
      <c r="C8429" t="str">
        <v>Kolom / balok kanan</v>
      </c>
      <c r="D8429">
        <f>VLOOKUP(C8424,'Data Panjang Balok'!$C$9:$N$424,10,FALSE)</f>
        <v>0</v>
      </c>
    </row>
    <row r="8430">
      <c r="C8430" t="str">
        <v>Jumlah</v>
      </c>
      <c r="D8430">
        <f>VLOOKUP(C8424,'Data Panjang Balok'!$C$9:$N$424,3,FALSE)</f>
        <v>1</v>
      </c>
    </row>
    <row r="8431">
      <c r="A8431" t="str">
        <f>A8424</f>
        <v>Lantai Attic</v>
      </c>
      <c r="B8431">
        <f>B8424</f>
        <v>17</v>
      </c>
      <c r="C8431" t="str">
        <v>Tul Atas Tumpuan</v>
      </c>
      <c r="D8431">
        <f>VLOOKUP(D8424,'Detail Balok'!$C$10:$AU$110,4,FALSE)</f>
        <v>5</v>
      </c>
      <c r="E8431" t="str">
        <v>D</v>
      </c>
      <c r="F8431">
        <f>VLOOKUP(D8424,'Detail Balok'!$C$10:$AU$110,6,FALSE)</f>
        <v>16</v>
      </c>
      <c r="I8431" t="str">
        <v>(</v>
      </c>
      <c r="J8431">
        <f>+D8426/4/1000</f>
        <v>1.45875</v>
      </c>
      <c r="K8431" t="str">
        <v>+</v>
      </c>
      <c r="L8431">
        <f>MAX(VLOOKUP(F8431,N$6:P$15,3,FALSE)/1000,2/3*D8428/1000)+F$16*F8431/1000</f>
        <v>0.192</v>
      </c>
      <c r="M8431" t="str">
        <v>=</v>
      </c>
      <c r="N8431">
        <f>J8431+L8431</f>
        <v>1.65075</v>
      </c>
      <c r="O8431" t="str">
        <v>+</v>
      </c>
      <c r="P8431">
        <f>D8431-D8432</f>
        <v>3</v>
      </c>
      <c r="Q8431" t="str">
        <v>x</v>
      </c>
      <c r="R8431">
        <f>IF(P8431&gt;0,$F$18*F8431/1000,0)</f>
        <v>0.24</v>
      </c>
      <c r="S8431" t="str">
        <v>)</v>
      </c>
      <c r="T8431" t="str">
        <v>x</v>
      </c>
      <c r="U8431">
        <f>0.006165*F8431^2</f>
        <v>1.57824</v>
      </c>
      <c r="X8431" t="str">
        <v>x</v>
      </c>
      <c r="Y8431">
        <f>D8430</f>
        <v>1</v>
      </c>
      <c r="Z8431" t="str">
        <v>=</v>
      </c>
      <c r="AA8431">
        <f>IF(AA8434=0,(D8431*N8431+P8431*R8431)*U8431*Y8431,0)</f>
        <v>14.162731200000001</v>
      </c>
    </row>
    <row r="8432">
      <c r="A8432" t="str">
        <f>A8424</f>
        <v>Lantai Attic</v>
      </c>
      <c r="B8432">
        <f>B8424</f>
        <v>17</v>
      </c>
      <c r="C8432" t="str">
        <v>Tul Atas Lapangan</v>
      </c>
      <c r="D8432">
        <f>VLOOKUP(D8424,'Detail Balok'!$C$10:$AU$110,7,FALSE)</f>
        <v>2</v>
      </c>
      <c r="E8432" t="str">
        <v>D</v>
      </c>
      <c r="F8432">
        <f>VLOOKUP(D8424,'Detail Balok'!$C$10:$AU$110,9,FALSE)</f>
        <v>16</v>
      </c>
      <c r="I8432" t="str">
        <v>(</v>
      </c>
      <c r="J8432">
        <f>+D8426/2/1000</f>
        <v>2.9175</v>
      </c>
      <c r="K8432" t="str">
        <v>+</v>
      </c>
      <c r="M8432" t="str">
        <v>=</v>
      </c>
      <c r="N8432">
        <f>J8432+L8432</f>
        <v>2.9175</v>
      </c>
      <c r="O8432" t="str">
        <v>+</v>
      </c>
      <c r="P8432">
        <f>MAX(D8432-D8431,D8432-D8433)</f>
        <v>-3</v>
      </c>
      <c r="Q8432" t="str">
        <v>x</v>
      </c>
      <c r="R8432">
        <f>IF(P8432&gt;0,2*(1-2*$F$19-1/2)*D8427/1000,0)</f>
        <v>0</v>
      </c>
      <c r="S8432" t="str">
        <v>)</v>
      </c>
      <c r="T8432" t="str">
        <v>x</v>
      </c>
      <c r="U8432">
        <f>0.006165*F8432^2</f>
        <v>1.57824</v>
      </c>
      <c r="X8432" t="str">
        <v>x</v>
      </c>
      <c r="Y8432">
        <f>D8430</f>
        <v>1</v>
      </c>
      <c r="Z8432" t="str">
        <v>=</v>
      </c>
      <c r="AA8432">
        <f>IF(AA8434=0,(D8432*N8432+P8432*R8432)*U8432*Y8432,0)</f>
        <v>9.2090304</v>
      </c>
    </row>
    <row r="8433">
      <c r="A8433" t="str">
        <f>A8424</f>
        <v>Lantai Attic</v>
      </c>
      <c r="B8433">
        <f>B8424</f>
        <v>17</v>
      </c>
      <c r="C8433" t="str">
        <v>Tul Atas Tumpuan</v>
      </c>
      <c r="D8433">
        <f>VLOOKUP(D8424,'Detail Balok'!$C$10:$AU$110,10,FALSE)</f>
        <v>5</v>
      </c>
      <c r="E8433" t="str">
        <v>D</v>
      </c>
      <c r="F8433">
        <f>VLOOKUP(D8424,'Detail Balok'!$C$10:$AU$110,12,FALSE)</f>
        <v>16</v>
      </c>
      <c r="I8433" t="str">
        <v>(</v>
      </c>
      <c r="J8433">
        <f>+D8426/4/1000</f>
        <v>1.45875</v>
      </c>
      <c r="K8433" t="str">
        <v>+</v>
      </c>
      <c r="L8433">
        <f>MAX(VLOOKUP(F8433,N$6:P$15,3,FALSE)/1000,2/3*D8428/1000)+F$16*F8433/1000</f>
        <v>0.192</v>
      </c>
      <c r="M8433" t="str">
        <v>=</v>
      </c>
      <c r="N8433">
        <f>J8433+L8433</f>
        <v>1.65075</v>
      </c>
      <c r="O8433" t="str">
        <v>+</v>
      </c>
      <c r="P8433">
        <f>D8433-D8432</f>
        <v>3</v>
      </c>
      <c r="Q8433" t="str">
        <v>x</v>
      </c>
      <c r="R8433">
        <f>IF(P8433&gt;0,$F$18*F8433/1000,0)</f>
        <v>0.24</v>
      </c>
      <c r="S8433" t="str">
        <v>)</v>
      </c>
      <c r="T8433" t="str">
        <v>x</v>
      </c>
      <c r="U8433">
        <f>0.006165*F8433^2</f>
        <v>1.57824</v>
      </c>
      <c r="X8433" t="str">
        <v>x</v>
      </c>
      <c r="Y8433">
        <f>D8430</f>
        <v>1</v>
      </c>
      <c r="Z8433" t="str">
        <v>=</v>
      </c>
      <c r="AA8433">
        <f>IF(AA8434=0,(D8433*N8433+P8433*R8433)*U8433*Y8433,0)</f>
        <v>14.162731200000001</v>
      </c>
    </row>
    <row r="8434">
      <c r="A8434" t="str">
        <f>A8424</f>
        <v>Lantai Attic</v>
      </c>
      <c r="B8434">
        <f>B8424</f>
        <v>17</v>
      </c>
      <c r="D8434">
        <f>IF(AND(D8431=D8432,D8432=D8433,D8431=D8433),D8431,0)</f>
        <v>0</v>
      </c>
      <c r="E8434" t="str">
        <v>D</v>
      </c>
      <c r="F8434">
        <f>IF(AND(F8431=F8432,F8431=F8433,F8432=F8433),F8431,0)</f>
        <v>16</v>
      </c>
      <c r="L8434" t="str">
        <v>Total panjang per balok</v>
      </c>
      <c r="M8434" t="str">
        <v>=</v>
      </c>
      <c r="N8434">
        <f>IF(AND(D8431=D8432,D8431=D8433,D8432=D8433,F8431=F8432,F8431=F8433,F8432=F8433),SUM(N8431:N8433),0)</f>
        <v>0</v>
      </c>
      <c r="O8434" t="str">
        <v>+</v>
      </c>
      <c r="P8434">
        <f>IF(N8434&gt;12,ROUNDDOWN(N8434/12,0),0)</f>
        <v>0</v>
      </c>
      <c r="Q8434" t="str">
        <v>x</v>
      </c>
      <c r="R8434">
        <f>IF(P8434&gt;0,MAX(VLOOKUP(F8434,$D$6:$G$15,3,FALSE),600),0)/1000</f>
        <v>0</v>
      </c>
      <c r="T8434" t="str">
        <v>x</v>
      </c>
      <c r="U8434">
        <f>U8433</f>
        <v>1.57824</v>
      </c>
      <c r="V8434" t="str">
        <v>x</v>
      </c>
      <c r="W8434">
        <f>D8434</f>
        <v>0</v>
      </c>
      <c r="X8434" t="str">
        <v>x</v>
      </c>
      <c r="Y8434">
        <f>Y8433</f>
        <v>1</v>
      </c>
      <c r="Z8434" t="str">
        <v>=</v>
      </c>
      <c r="AA8434">
        <f>(N8434+P8434*R8434/1000)*U8434*W8434*Y8434</f>
        <v>0</v>
      </c>
    </row>
    <row r="8436">
      <c r="A8436" t="str">
        <f>A8424</f>
        <v>Lantai Attic</v>
      </c>
      <c r="B8436">
        <f>B8424</f>
        <v>17</v>
      </c>
      <c r="C8436" t="str">
        <v>Tul Peminggang</v>
      </c>
      <c r="D8436">
        <f>VLOOKUP(D8424,'Detail Balok'!$C$10:$AU$110,13,FALSE)</f>
        <v>2</v>
      </c>
      <c r="E8436" t="str">
        <v>D</v>
      </c>
      <c r="F8436">
        <f>VLOOKUP(D8424,'Detail Balok'!$C$10:$AU$110,15,FALSE)</f>
        <v>10</v>
      </c>
      <c r="J8436">
        <f>+D8426/1000</f>
        <v>5.835</v>
      </c>
      <c r="K8436" t="str">
        <v>+</v>
      </c>
      <c r="L8436">
        <f>2*$F$16*F8436/1000</f>
        <v>0.24</v>
      </c>
      <c r="M8436" t="str">
        <v>=</v>
      </c>
      <c r="N8436">
        <f>J8436+L8436</f>
        <v>6.075</v>
      </c>
      <c r="O8436" t="str">
        <v>+</v>
      </c>
      <c r="P8436">
        <f>IF(N8436&gt;12,ROUNDDOWN(N8436/12,0),0)</f>
        <v>0</v>
      </c>
      <c r="Q8436" t="str">
        <v>x</v>
      </c>
      <c r="R8436">
        <f>IF(P8436&gt;0,MAX(VLOOKUP(F8436,$D$6:$G$15,3,FALSE),600),0)/1000</f>
        <v>0</v>
      </c>
      <c r="T8436" t="str">
        <v>x</v>
      </c>
      <c r="U8436">
        <f>0.006165*F8436^2</f>
        <v>0.6165</v>
      </c>
      <c r="V8436" t="str">
        <v>x</v>
      </c>
      <c r="W8436">
        <f>+D8436</f>
        <v>2</v>
      </c>
      <c r="X8436" t="str">
        <v>x</v>
      </c>
      <c r="Y8436">
        <f>D8430</f>
        <v>1</v>
      </c>
      <c r="Z8436" t="str">
        <v>=</v>
      </c>
      <c r="AA8436">
        <f>(N8436+P8436*R8436/1000)*U8436*W8436*Y8436</f>
        <v>7.490475000000001</v>
      </c>
    </row>
    <row r="8439">
      <c r="A8439" t="str">
        <f>A8424</f>
        <v>Lantai Attic</v>
      </c>
      <c r="B8439">
        <f>B8424</f>
        <v>17</v>
      </c>
      <c r="C8439" t="str">
        <v>Tul Bawah Tumpuan</v>
      </c>
      <c r="D8439">
        <f>VLOOKUP(D8424,'Detail Balok'!$C$10:$AU$110,22,FALSE)</f>
        <v>3</v>
      </c>
      <c r="E8439" t="str">
        <v>D</v>
      </c>
      <c r="F8439">
        <f>VLOOKUP(D8424,'Detail Balok'!$C$10:$AU$110,24,FALSE)</f>
        <v>16</v>
      </c>
      <c r="I8439" t="str">
        <v>(</v>
      </c>
      <c r="J8439">
        <f>+J8431</f>
        <v>1.45875</v>
      </c>
      <c r="K8439" t="str">
        <v>+</v>
      </c>
      <c r="L8439">
        <f>MAX(VLOOKUP(F8439,N$6:P$15,3,FALSE)/1000,2/3*D8429/1000)+F$16*F8439/1000</f>
        <v>0.192</v>
      </c>
      <c r="M8439" t="str">
        <v>=</v>
      </c>
      <c r="N8439">
        <f>J8439+L8439</f>
        <v>1.65075</v>
      </c>
      <c r="O8439" t="str">
        <v>+</v>
      </c>
      <c r="P8439">
        <f>D8439-D8440</f>
        <v>-2</v>
      </c>
      <c r="Q8439" t="str">
        <v>x</v>
      </c>
      <c r="R8439">
        <f>IF(P8439&gt;0,$F$18*F8439/1000,0)</f>
        <v>0</v>
      </c>
      <c r="S8439" t="str">
        <v>)</v>
      </c>
      <c r="T8439" t="str">
        <v>x</v>
      </c>
      <c r="U8439">
        <f>0.006165*F8439^2</f>
        <v>1.57824</v>
      </c>
      <c r="X8439" t="str">
        <v>x</v>
      </c>
      <c r="Y8439">
        <f>D8430</f>
        <v>1</v>
      </c>
      <c r="Z8439" t="str">
        <v>=</v>
      </c>
      <c r="AA8439">
        <f>IF(AA8442=0,(D8439*N8439+P8439*R8439)*U8439*Y8439,0)</f>
        <v>7.815839039999999</v>
      </c>
    </row>
    <row r="8440">
      <c r="A8440" t="str">
        <f>A8424</f>
        <v>Lantai Attic</v>
      </c>
      <c r="B8440">
        <f>B8424</f>
        <v>17</v>
      </c>
      <c r="C8440" t="str">
        <v>Tul Bawah Lapangan</v>
      </c>
      <c r="D8440">
        <f>VLOOKUP(D8424,'Detail Balok'!$C$10:$AU$110,25,FALSE)</f>
        <v>5</v>
      </c>
      <c r="E8440" t="str">
        <v>D</v>
      </c>
      <c r="F8440">
        <f>VLOOKUP(D8424,'Detail Balok'!$C$10:$AU$110,27,FALSE)</f>
        <v>16</v>
      </c>
      <c r="I8440" t="str">
        <v>(</v>
      </c>
      <c r="J8440">
        <f>+J8432</f>
        <v>2.9175</v>
      </c>
      <c r="K8440" t="str">
        <v>+</v>
      </c>
      <c r="M8440" t="str">
        <v>=</v>
      </c>
      <c r="N8440">
        <f>J8440+L8440</f>
        <v>2.9175</v>
      </c>
      <c r="O8440" t="str">
        <v>+</v>
      </c>
      <c r="P8440">
        <f>MAX(D8440-D8439,D8440-D8441)</f>
        <v>2</v>
      </c>
      <c r="Q8440" t="str">
        <v>x</v>
      </c>
      <c r="R8440">
        <f>IF(P8440&gt;0,2*(1-2*$F$19-1/2)*D8427/1000,0)</f>
        <v>1.1669999999999998</v>
      </c>
      <c r="S8440" t="str">
        <v>)</v>
      </c>
      <c r="T8440" t="str">
        <v>x</v>
      </c>
      <c r="U8440">
        <f>0.006165*F8440^2</f>
        <v>1.57824</v>
      </c>
      <c r="X8440" t="str">
        <v>x</v>
      </c>
      <c r="Y8440">
        <f>D8430</f>
        <v>1</v>
      </c>
      <c r="Z8440" t="str">
        <v>=</v>
      </c>
      <c r="AA8440">
        <f>IF(AA8442=0,(D8440*N8440+P8440*R8440)*U8440*Y8440,0)</f>
        <v>26.706188160000004</v>
      </c>
    </row>
    <row r="8441">
      <c r="A8441" t="str">
        <f>A8424</f>
        <v>Lantai Attic</v>
      </c>
      <c r="B8441">
        <f>B8424</f>
        <v>17</v>
      </c>
      <c r="C8441" t="str">
        <v>Tul Bawah Tumpuan</v>
      </c>
      <c r="D8441">
        <f>VLOOKUP(D8424,'Detail Balok'!$C$10:$AU$110,28,FALSE)</f>
        <v>3</v>
      </c>
      <c r="E8441" t="str">
        <v>D</v>
      </c>
      <c r="F8441">
        <f>VLOOKUP(D8424,'Detail Balok'!$C$10:$AU$110,30,FALSE)</f>
        <v>16</v>
      </c>
      <c r="I8441" t="str">
        <v>(</v>
      </c>
      <c r="J8441">
        <f>+J8433</f>
        <v>1.45875</v>
      </c>
      <c r="K8441" t="str">
        <v>+</v>
      </c>
      <c r="L8441">
        <f>MAX(VLOOKUP(F8441,N$6:P$15,3,FALSE)/1000,2/3*D8429/1000)+F$16*F8441/1000</f>
        <v>0.192</v>
      </c>
      <c r="M8441" t="str">
        <v>=</v>
      </c>
      <c r="N8441">
        <f>J8441+L8441</f>
        <v>1.65075</v>
      </c>
      <c r="O8441" t="str">
        <v>+</v>
      </c>
      <c r="P8441">
        <f>D8441-D8440</f>
        <v>-2</v>
      </c>
      <c r="Q8441" t="str">
        <v>x</v>
      </c>
      <c r="R8441">
        <f>IF(P8441&gt;0,$F$18*F8441/1000,0)</f>
        <v>0</v>
      </c>
      <c r="S8441" t="str">
        <v>)</v>
      </c>
      <c r="T8441" t="str">
        <v>x</v>
      </c>
      <c r="U8441">
        <f>0.006165*F8441^2</f>
        <v>1.57824</v>
      </c>
      <c r="X8441" t="str">
        <v>x</v>
      </c>
      <c r="Y8441">
        <f>D8430</f>
        <v>1</v>
      </c>
      <c r="Z8441" t="str">
        <v>=</v>
      </c>
      <c r="AA8441">
        <f>IF(AA8442=0,(D8441*N8441+P8441*R8441)*U8441*Y8441,0)</f>
        <v>7.815839039999999</v>
      </c>
    </row>
    <row r="8442">
      <c r="A8442" t="str">
        <f>A8424</f>
        <v>Lantai Attic</v>
      </c>
      <c r="B8442">
        <f>B8424</f>
        <v>17</v>
      </c>
      <c r="D8442">
        <f>IF(AND(D8439=D8440,D8440=D8441,D8439=D8441),D8439,0)</f>
        <v>0</v>
      </c>
      <c r="E8442" t="str">
        <v>D</v>
      </c>
      <c r="F8442">
        <f>IF(AND(F8439=F8440,F8439=F8441,F8440=F8441),F8439,0)</f>
        <v>16</v>
      </c>
      <c r="L8442" t="str">
        <v>Total panjang per balok</v>
      </c>
      <c r="M8442" t="str">
        <v>=</v>
      </c>
      <c r="N8442">
        <f>IF(AND(D8439=D8440,D8439=D8441,D8440=D8441,F8439=F8440,F8439=F8441,F8440=F8441),SUM(N8439:N8441),0)</f>
        <v>0</v>
      </c>
      <c r="O8442" t="str">
        <v>+</v>
      </c>
      <c r="P8442">
        <f>IF(N8442&gt;12,ROUNDDOWN(N8442/12,0),0)</f>
        <v>0</v>
      </c>
      <c r="Q8442" t="str">
        <v>x</v>
      </c>
      <c r="R8442">
        <f>IF(P8442&gt;0,MAX(VLOOKUP(F8442,$D$6:$G$15,3,FALSE),600),0)/1000</f>
        <v>0</v>
      </c>
      <c r="T8442" t="str">
        <v>x</v>
      </c>
      <c r="U8442">
        <f>U8441</f>
        <v>1.57824</v>
      </c>
      <c r="V8442" t="str">
        <v>x</v>
      </c>
      <c r="W8442">
        <f>D8442</f>
        <v>0</v>
      </c>
      <c r="X8442" t="str">
        <v>x</v>
      </c>
      <c r="Y8442">
        <f>Y8441</f>
        <v>1</v>
      </c>
      <c r="Z8442" t="str">
        <v>=</v>
      </c>
      <c r="AA8442">
        <f>(N8442+P8442*R8442/1000)*U8442*W8442*Y8442</f>
        <v>0</v>
      </c>
    </row>
    <row r="8444">
      <c r="A8444" t="str">
        <f>A8424</f>
        <v>Lantai Attic</v>
      </c>
      <c r="B8444">
        <f>B8424</f>
        <v>17</v>
      </c>
      <c r="C8444" t="str">
        <v>Sengkang Tumpuan</v>
      </c>
      <c r="D8444">
        <f>VLOOKUP(D8424,'Detail Balok'!$C$10:$AU$110,31,FALSE)</f>
        <v>0</v>
      </c>
      <c r="E8444" t="str">
        <v>D</v>
      </c>
      <c r="F8444">
        <f>VLOOKUP(D8424,'Detail Balok'!$C$10:$AU$110,33,FALSE)</f>
        <v>10</v>
      </c>
      <c r="G8444" t="str">
        <v>-</v>
      </c>
      <c r="H8444">
        <f>VLOOKUP(D8424,'Detail Balok'!$C$10:$AU$110,35,FALSE)</f>
        <v>90</v>
      </c>
      <c r="J8444">
        <f>(IF(D8444=0,(2*(D8425+G8425))-(F$5*8),IF(D8444=3,(2*(D8425+G8425))-(F$5*8)+(G8425-2*F$5),IF(D8444=4,(2*(D8425+G8425))-(F$5*8)+2*(G8425-2*F$5)))))/1000</f>
        <v>1.08</v>
      </c>
      <c r="K8444" t="str">
        <v>+</v>
      </c>
      <c r="L8444">
        <f>IF(D8444=0,2*MAX(6*F8444,75),(D8444-1)*2*MAX(6*F8444,75))/1000</f>
        <v>0.15</v>
      </c>
      <c r="M8444" t="str">
        <v>=</v>
      </c>
      <c r="N8444">
        <f>J8444+L8444</f>
        <v>1.23</v>
      </c>
      <c r="T8444" t="str">
        <v>x</v>
      </c>
      <c r="U8444">
        <f>0.006165*F8444^2</f>
        <v>0.6165</v>
      </c>
      <c r="V8444" t="str">
        <v>x</v>
      </c>
      <c r="W8444">
        <f>IF(D8427&gt;4*G8425,ROUND(MAX(D8427/4,2*G8425)/H8444,0)+1,ROUND(D8427/H8444,0)+1)</f>
        <v>17</v>
      </c>
      <c r="X8444" t="str">
        <v>x</v>
      </c>
      <c r="Y8444">
        <f>D8430</f>
        <v>1</v>
      </c>
      <c r="Z8444" t="str">
        <v>=</v>
      </c>
      <c r="AA8444">
        <f>N8444*U8444*W8444*Y8444</f>
        <v>12.891015000000001</v>
      </c>
    </row>
    <row r="8445">
      <c r="A8445" t="str">
        <f>A8424</f>
        <v>Lantai Attic</v>
      </c>
      <c r="B8445">
        <f>B8424</f>
        <v>17</v>
      </c>
      <c r="C8445" t="str">
        <v>Sengkang Lapangan</v>
      </c>
      <c r="D8445">
        <f>VLOOKUP(D8424,'Detail Balok'!$C$10:$AU$110,36,FALSE)</f>
        <v>0</v>
      </c>
      <c r="E8445" t="str">
        <v>D</v>
      </c>
      <c r="F8445">
        <f>VLOOKUP(D8424,'Detail Balok'!$C$10:$AU$110,38,FALSE)</f>
        <v>10</v>
      </c>
      <c r="G8445" t="str">
        <v>-</v>
      </c>
      <c r="H8445">
        <f>VLOOKUP(D8424,'Detail Balok'!$C$10:$AU$110,40,FALSE)</f>
        <v>200</v>
      </c>
      <c r="J8445">
        <f>(IF(D8445=0,(2*(D8425+G8425))-(F$5*8),IF(D8445=3,(2*(D8425+G8425))-(F$5*8)+(G8425-2*F$5),IF(D8445=4,(2*(D8425+G8425))-(F$5*8)+2*(G8425-2*F$5)))))/1000</f>
        <v>1.08</v>
      </c>
      <c r="K8445" t="str">
        <v>+</v>
      </c>
      <c r="L8445">
        <f>IF(D8445=0,2*MAX(6*F8445,75),(D8445-1)*2*MAX(6*F8445,75))/1000</f>
        <v>0.15</v>
      </c>
      <c r="M8445" t="str">
        <v>=</v>
      </c>
      <c r="N8445">
        <f>J8445+L8445</f>
        <v>1.23</v>
      </c>
      <c r="T8445" t="str">
        <v>x</v>
      </c>
      <c r="U8445">
        <f>0.006165*F8445^2</f>
        <v>0.6165</v>
      </c>
      <c r="V8445" t="str">
        <v>x</v>
      </c>
      <c r="W8445">
        <f>IF(D8427-MAX(D8427/4,2*G8425)*2&gt;0,ROUND((D8427-MAX(D8427/4,2*G8425)*2)/H8445,0),0)</f>
        <v>15</v>
      </c>
      <c r="X8445" t="str">
        <v>x</v>
      </c>
      <c r="Y8445">
        <f>D8430</f>
        <v>1</v>
      </c>
      <c r="Z8445" t="str">
        <v>=</v>
      </c>
      <c r="AA8445">
        <f>N8445*U8445*W8445*Y8445</f>
        <v>11.374425</v>
      </c>
    </row>
    <row r="8446">
      <c r="A8446" t="str">
        <f>A8424</f>
        <v>Lantai Attic</v>
      </c>
      <c r="B8446">
        <f>B8424</f>
        <v>17</v>
      </c>
      <c r="C8446" t="str">
        <v>Sengkang Tumpuan</v>
      </c>
      <c r="D8446">
        <f>VLOOKUP(D8424,'Detail Balok'!$C$10:$AU$110,41,FALSE)</f>
        <v>0</v>
      </c>
      <c r="E8446" t="str">
        <v>D</v>
      </c>
      <c r="F8446">
        <f>VLOOKUP(D8424,'Detail Balok'!$C$10:$AU$110,43,FALSE)</f>
        <v>10</v>
      </c>
      <c r="G8446" t="str">
        <v>-</v>
      </c>
      <c r="H8446">
        <f>VLOOKUP(D8424,'Detail Balok'!$C$10:$AU$110,45,FALSE)</f>
        <v>90</v>
      </c>
      <c r="J8446">
        <f>(IF(D8446=0,(2*(D8425+G8425))-(F$5*8),IF(D8446=3,(2*(D8425+G8425))-(F$5*8)+(G8425-2*F$5),IF(D8446=4,(2*(D8425+G8425))-(F$5*8)+2*(G8425-2*F$5)))))/1000</f>
        <v>1.08</v>
      </c>
      <c r="K8446" t="str">
        <v>+</v>
      </c>
      <c r="L8446">
        <f>IF(D8446=0,2*MAX(6*F8446,75),(D8446-1)*2*MAX(6*F8446,75))/1000</f>
        <v>0.15</v>
      </c>
      <c r="M8446" t="str">
        <v>=</v>
      </c>
      <c r="N8446">
        <f>J8446+L8446</f>
        <v>1.23</v>
      </c>
      <c r="T8446" t="str">
        <v>x</v>
      </c>
      <c r="U8446">
        <f>0.006165*F8446^2</f>
        <v>0.6165</v>
      </c>
      <c r="V8446" t="str">
        <v>x</v>
      </c>
      <c r="W8446">
        <f>IF(D8427&gt;4*G8425,ROUND(MAX(D8427/4,2*G8425)/H8446,0)+1,0)</f>
        <v>17</v>
      </c>
      <c r="X8446" t="str">
        <v>x</v>
      </c>
      <c r="Y8446">
        <f>D8430</f>
        <v>1</v>
      </c>
      <c r="Z8446" t="str">
        <v>=</v>
      </c>
      <c r="AA8446">
        <f>N8446*U8446*W8446*Y8446</f>
        <v>12.891015000000001</v>
      </c>
    </row>
    <row r="8448">
      <c r="A8448" t="str">
        <f>A8424</f>
        <v>Lantai Attic</v>
      </c>
      <c r="B8448">
        <f>B8424</f>
        <v>17</v>
      </c>
      <c r="C8448" t="str">
        <v>Kait Horizontal Tump.</v>
      </c>
      <c r="D8448">
        <f>VLOOKUP(D8424,'Detail Balok'!$C$10:$BJ$110,46,FALSE)</f>
        <v>0</v>
      </c>
      <c r="E8448" t="str">
        <v>D</v>
      </c>
      <c r="F8448">
        <f>VLOOKUP(D8424,'Detail Balok'!$C$10:$BJ$110,48,FALSE)</f>
        <v>0</v>
      </c>
      <c r="G8448" t="str">
        <v>-</v>
      </c>
      <c r="H8448">
        <f>VLOOKUP(D8424,'Detail Balok'!$C$10:$BJ$110,50,FALSE)</f>
        <v>100</v>
      </c>
      <c r="J8448">
        <f>(D8425-2*F$5)/1000</f>
        <v>0.12</v>
      </c>
      <c r="K8448" t="str">
        <v>+</v>
      </c>
      <c r="L8448">
        <f>IF(D8448=0,2*MAX(6*F8448,75),(D8448-1)*2*MAX(6*F8448,75))/1000</f>
        <v>0.15</v>
      </c>
      <c r="M8448" t="str">
        <v>=</v>
      </c>
      <c r="N8448">
        <f>J8448+L8448</f>
        <v>0.27</v>
      </c>
      <c r="T8448" t="str">
        <v>x</v>
      </c>
      <c r="U8448">
        <f>0.006165*F8448^2</f>
        <v>0</v>
      </c>
      <c r="V8448" t="str">
        <v>x</v>
      </c>
      <c r="W8448">
        <f>W8444</f>
        <v>17</v>
      </c>
      <c r="X8448" t="str">
        <v>x</v>
      </c>
      <c r="Y8448">
        <f>D8434</f>
        <v>0</v>
      </c>
      <c r="Z8448" t="str">
        <v>=</v>
      </c>
      <c r="AA8448">
        <f>N8448*U8448*W8448*Y8448</f>
        <v>0</v>
      </c>
    </row>
    <row r="8449">
      <c r="A8449" t="str">
        <f>A8424</f>
        <v>Lantai Attic</v>
      </c>
      <c r="B8449">
        <f>B8424</f>
        <v>17</v>
      </c>
      <c r="C8449" t="str">
        <v>Kait Horizontal Lap.</v>
      </c>
      <c r="D8449">
        <f>VLOOKUP(D8424,'Detail Balok'!$C$10:$BJ$110,51,FALSE)</f>
        <v>0</v>
      </c>
      <c r="E8449" t="str">
        <v>D</v>
      </c>
      <c r="F8449">
        <f>VLOOKUP(D8424,'Detail Balok'!$C$10:$BJ$110,53,FALSE)</f>
        <v>0</v>
      </c>
      <c r="G8449" t="str">
        <v>-</v>
      </c>
      <c r="H8449">
        <f>VLOOKUP(D8424,'Detail Balok'!$C$10:$BJ$110,55,FALSE)</f>
        <v>100</v>
      </c>
      <c r="J8449">
        <f>(D8425-2*F$5)/1000</f>
        <v>0.12</v>
      </c>
      <c r="K8449" t="str">
        <v>+</v>
      </c>
      <c r="L8449">
        <f>IF(D8449=0,2*MAX(6*F8449,75),(D8449-1)*2*MAX(6*F8449,75))/1000</f>
        <v>0.15</v>
      </c>
      <c r="M8449" t="str">
        <v>=</v>
      </c>
      <c r="N8449">
        <f>J8449+L8449</f>
        <v>0.27</v>
      </c>
      <c r="T8449" t="str">
        <v>x</v>
      </c>
      <c r="U8449">
        <f>0.006165*F8449^2</f>
        <v>0</v>
      </c>
      <c r="V8449" t="str">
        <v>x</v>
      </c>
      <c r="W8449">
        <f>W8445</f>
        <v>15</v>
      </c>
      <c r="X8449" t="str">
        <v>x</v>
      </c>
      <c r="Y8449">
        <f>D8434</f>
        <v>0</v>
      </c>
      <c r="Z8449" t="str">
        <v>=</v>
      </c>
      <c r="AA8449">
        <f>N8449*U8449*W8449*Y8449</f>
        <v>0</v>
      </c>
    </row>
    <row r="8450">
      <c r="A8450" t="str">
        <f>A8424</f>
        <v>Lantai Attic</v>
      </c>
      <c r="B8450">
        <f>B8424</f>
        <v>17</v>
      </c>
      <c r="C8450" t="str">
        <v>Kait Horizontal Tump.</v>
      </c>
      <c r="D8450">
        <f>VLOOKUP(D8424,'Detail Balok'!$C$10:$BJ$110,56,FALSE)</f>
        <v>0</v>
      </c>
      <c r="E8450" t="str">
        <v>D</v>
      </c>
      <c r="F8450">
        <f>VLOOKUP(D8424,'Detail Balok'!$C$10:$BJ$110,58,FALSE)</f>
        <v>0</v>
      </c>
      <c r="G8450" t="str">
        <v>-</v>
      </c>
      <c r="H8450">
        <f>VLOOKUP(D8424,'Detail Balok'!$C$10:$BJ$110,60,FALSE)</f>
        <v>100</v>
      </c>
      <c r="J8450">
        <f>(D8425-2*F$5)/1000</f>
        <v>0.12</v>
      </c>
      <c r="K8450" t="str">
        <v>+</v>
      </c>
      <c r="L8450">
        <f>IF(D8450=0,2*MAX(6*F8450,75),(D8450-1)*2*MAX(6*F8450,75))/1000</f>
        <v>0.15</v>
      </c>
      <c r="M8450" t="str">
        <v>=</v>
      </c>
      <c r="N8450">
        <f>J8450+L8450</f>
        <v>0.27</v>
      </c>
      <c r="T8450" t="str">
        <v>x</v>
      </c>
      <c r="U8450">
        <f>0.006165*F8450^2</f>
        <v>0</v>
      </c>
      <c r="V8450" t="str">
        <v>x</v>
      </c>
      <c r="W8450">
        <f>W8446</f>
        <v>17</v>
      </c>
      <c r="X8450" t="str">
        <v>x</v>
      </c>
      <c r="Y8450">
        <f>D8434</f>
        <v>0</v>
      </c>
      <c r="Z8450" t="str">
        <v>=</v>
      </c>
      <c r="AA8450">
        <f>N8450*U8450*W8450*Y8450</f>
        <v>0</v>
      </c>
    </row>
    <row r="8454">
      <c r="A8454" t="str">
        <f>A8424</f>
        <v>Lantai Attic</v>
      </c>
      <c r="B8454">
        <f>B8424+1</f>
        <v>18</v>
      </c>
      <c r="C8454" t="str">
        <f>CONCATENATE(A8454," no. ",B8454)</f>
        <v>Lantai Attic no. 18</v>
      </c>
      <c r="D8454" t="str">
        <f>VLOOKUP(C8454,'Data Panjang Balok'!$C$9:$N$424,2,FALSE)</f>
        <v>B25-3</v>
      </c>
    </row>
    <row r="8455">
      <c r="C8455" t="str">
        <v>Dimensi</v>
      </c>
      <c r="D8455">
        <f>VLOOKUP(D8454,'Detail Balok'!$C$10:$AU$110,2,FALSE)</f>
        <v>200</v>
      </c>
      <c r="F8455" t="str">
        <v>x</v>
      </c>
      <c r="G8455">
        <f>VLOOKUP(D8454,'Detail Balok'!$C$10:$AU$110,3,FALSE)</f>
        <v>500</v>
      </c>
    </row>
    <row r="8456">
      <c r="C8456" t="str">
        <v>Panjang as ke as</v>
      </c>
      <c r="D8456">
        <f>VLOOKUP(C8454,'Data Panjang Balok'!$C$9:$N$424,4,FALSE)</f>
        <v>6750</v>
      </c>
    </row>
    <row r="8457">
      <c r="C8457" t="str">
        <v>Panjang netto</v>
      </c>
      <c r="D8457">
        <f>VLOOKUP(C8454,'Data Panjang Balok'!$C$9:$N$424,7,FALSE)</f>
        <v>6750</v>
      </c>
    </row>
    <row r="8458">
      <c r="C8458" t="str">
        <v>Kolom / balok kiri</v>
      </c>
      <c r="D8458">
        <f>VLOOKUP(C8454,'Data Panjang Balok'!$C$9:$N$424,9,FALSE)</f>
        <v>0</v>
      </c>
    </row>
    <row r="8459">
      <c r="C8459" t="str">
        <v>Kolom / balok kanan</v>
      </c>
      <c r="D8459">
        <f>VLOOKUP(C8454,'Data Panjang Balok'!$C$9:$N$424,10,FALSE)</f>
        <v>0</v>
      </c>
    </row>
    <row r="8460">
      <c r="C8460" t="str">
        <v>Jumlah</v>
      </c>
      <c r="D8460">
        <f>VLOOKUP(C8454,'Data Panjang Balok'!$C$9:$N$424,3,FALSE)</f>
        <v>1</v>
      </c>
    </row>
    <row r="8461">
      <c r="A8461" t="str">
        <f>A8454</f>
        <v>Lantai Attic</v>
      </c>
      <c r="B8461">
        <f>B8454</f>
        <v>18</v>
      </c>
      <c r="C8461" t="str">
        <v>Tul Atas Tumpuan</v>
      </c>
      <c r="D8461">
        <f>VLOOKUP(D8454,'Detail Balok'!$C$10:$AU$110,4,FALSE)</f>
        <v>5</v>
      </c>
      <c r="E8461" t="str">
        <v>D</v>
      </c>
      <c r="F8461">
        <f>VLOOKUP(D8454,'Detail Balok'!$C$10:$AU$110,6,FALSE)</f>
        <v>16</v>
      </c>
      <c r="I8461" t="str">
        <v>(</v>
      </c>
      <c r="J8461">
        <f>+D8456/4/1000</f>
        <v>1.6875</v>
      </c>
      <c r="K8461" t="str">
        <v>+</v>
      </c>
      <c r="L8461">
        <f>MAX(VLOOKUP(F8461,N$6:P$15,3,FALSE)/1000,2/3*D8458/1000)+F$16*F8461/1000</f>
        <v>0.192</v>
      </c>
      <c r="M8461" t="str">
        <v>=</v>
      </c>
      <c r="N8461">
        <f>J8461+L8461</f>
        <v>1.8795</v>
      </c>
      <c r="O8461" t="str">
        <v>+</v>
      </c>
      <c r="P8461">
        <f>D8461-D8462</f>
        <v>3</v>
      </c>
      <c r="Q8461" t="str">
        <v>x</v>
      </c>
      <c r="R8461">
        <f>IF(P8461&gt;0,$F$18*F8461/1000,0)</f>
        <v>0.24</v>
      </c>
      <c r="S8461" t="str">
        <v>)</v>
      </c>
      <c r="T8461" t="str">
        <v>x</v>
      </c>
      <c r="U8461">
        <f>0.006165*F8461^2</f>
        <v>1.57824</v>
      </c>
      <c r="X8461" t="str">
        <v>x</v>
      </c>
      <c r="Y8461">
        <f>D8460</f>
        <v>1</v>
      </c>
      <c r="Z8461" t="str">
        <v>=</v>
      </c>
      <c r="AA8461">
        <f>IF(AA8464=0,(D8461*N8461+P8461*R8461)*U8461*Y8461,0)</f>
        <v>15.9678432</v>
      </c>
    </row>
    <row r="8462">
      <c r="A8462" t="str">
        <f>A8454</f>
        <v>Lantai Attic</v>
      </c>
      <c r="B8462">
        <f>B8454</f>
        <v>18</v>
      </c>
      <c r="C8462" t="str">
        <v>Tul Atas Lapangan</v>
      </c>
      <c r="D8462">
        <f>VLOOKUP(D8454,'Detail Balok'!$C$10:$AU$110,7,FALSE)</f>
        <v>2</v>
      </c>
      <c r="E8462" t="str">
        <v>D</v>
      </c>
      <c r="F8462">
        <f>VLOOKUP(D8454,'Detail Balok'!$C$10:$AU$110,9,FALSE)</f>
        <v>16</v>
      </c>
      <c r="I8462" t="str">
        <v>(</v>
      </c>
      <c r="J8462">
        <f>+D8456/2/1000</f>
        <v>3.375</v>
      </c>
      <c r="K8462" t="str">
        <v>+</v>
      </c>
      <c r="M8462" t="str">
        <v>=</v>
      </c>
      <c r="N8462">
        <f>J8462+L8462</f>
        <v>3.375</v>
      </c>
      <c r="O8462" t="str">
        <v>+</v>
      </c>
      <c r="P8462">
        <f>MAX(D8462-D8461,D8462-D8463)</f>
        <v>-3</v>
      </c>
      <c r="Q8462" t="str">
        <v>x</v>
      </c>
      <c r="R8462">
        <f>IF(P8462&gt;0,2*(1-2*$F$19-1/2)*D8457/1000,0)</f>
        <v>0</v>
      </c>
      <c r="S8462" t="str">
        <v>)</v>
      </c>
      <c r="T8462" t="str">
        <v>x</v>
      </c>
      <c r="U8462">
        <f>0.006165*F8462^2</f>
        <v>1.57824</v>
      </c>
      <c r="X8462" t="str">
        <v>x</v>
      </c>
      <c r="Y8462">
        <f>D8460</f>
        <v>1</v>
      </c>
      <c r="Z8462" t="str">
        <v>=</v>
      </c>
      <c r="AA8462">
        <f>IF(AA8464=0,(D8462*N8462+P8462*R8462)*U8462*Y8462,0)</f>
        <v>10.653120000000001</v>
      </c>
    </row>
    <row r="8463">
      <c r="A8463" t="str">
        <f>A8454</f>
        <v>Lantai Attic</v>
      </c>
      <c r="B8463">
        <f>B8454</f>
        <v>18</v>
      </c>
      <c r="C8463" t="str">
        <v>Tul Atas Tumpuan</v>
      </c>
      <c r="D8463">
        <f>VLOOKUP(D8454,'Detail Balok'!$C$10:$AU$110,10,FALSE)</f>
        <v>5</v>
      </c>
      <c r="E8463" t="str">
        <v>D</v>
      </c>
      <c r="F8463">
        <f>VLOOKUP(D8454,'Detail Balok'!$C$10:$AU$110,12,FALSE)</f>
        <v>16</v>
      </c>
      <c r="I8463" t="str">
        <v>(</v>
      </c>
      <c r="J8463">
        <f>+D8456/4/1000</f>
        <v>1.6875</v>
      </c>
      <c r="K8463" t="str">
        <v>+</v>
      </c>
      <c r="L8463">
        <f>MAX(VLOOKUP(F8463,N$6:P$15,3,FALSE)/1000,2/3*D8458/1000)+F$16*F8463/1000</f>
        <v>0.192</v>
      </c>
      <c r="M8463" t="str">
        <v>=</v>
      </c>
      <c r="N8463">
        <f>J8463+L8463</f>
        <v>1.8795</v>
      </c>
      <c r="O8463" t="str">
        <v>+</v>
      </c>
      <c r="P8463">
        <f>D8463-D8462</f>
        <v>3</v>
      </c>
      <c r="Q8463" t="str">
        <v>x</v>
      </c>
      <c r="R8463">
        <f>IF(P8463&gt;0,$F$18*F8463/1000,0)</f>
        <v>0.24</v>
      </c>
      <c r="S8463" t="str">
        <v>)</v>
      </c>
      <c r="T8463" t="str">
        <v>x</v>
      </c>
      <c r="U8463">
        <f>0.006165*F8463^2</f>
        <v>1.57824</v>
      </c>
      <c r="X8463" t="str">
        <v>x</v>
      </c>
      <c r="Y8463">
        <f>D8460</f>
        <v>1</v>
      </c>
      <c r="Z8463" t="str">
        <v>=</v>
      </c>
      <c r="AA8463">
        <f>IF(AA8464=0,(D8463*N8463+P8463*R8463)*U8463*Y8463,0)</f>
        <v>15.9678432</v>
      </c>
    </row>
    <row r="8464">
      <c r="A8464" t="str">
        <f>A8454</f>
        <v>Lantai Attic</v>
      </c>
      <c r="B8464">
        <f>B8454</f>
        <v>18</v>
      </c>
      <c r="D8464">
        <f>IF(AND(D8461=D8462,D8462=D8463,D8461=D8463),D8461,0)</f>
        <v>0</v>
      </c>
      <c r="E8464" t="str">
        <v>D</v>
      </c>
      <c r="F8464">
        <f>IF(AND(F8461=F8462,F8461=F8463,F8462=F8463),F8461,0)</f>
        <v>16</v>
      </c>
      <c r="L8464" t="str">
        <v>Total panjang per balok</v>
      </c>
      <c r="M8464" t="str">
        <v>=</v>
      </c>
      <c r="N8464">
        <f>IF(AND(D8461=D8462,D8461=D8463,D8462=D8463,F8461=F8462,F8461=F8463,F8462=F8463),SUM(N8461:N8463),0)</f>
        <v>0</v>
      </c>
      <c r="O8464" t="str">
        <v>+</v>
      </c>
      <c r="P8464">
        <f>IF(N8464&gt;12,ROUNDDOWN(N8464/12,0),0)</f>
        <v>0</v>
      </c>
      <c r="Q8464" t="str">
        <v>x</v>
      </c>
      <c r="R8464">
        <f>IF(P8464&gt;0,MAX(VLOOKUP(F8464,$D$6:$G$15,3,FALSE),600),0)/1000</f>
        <v>0</v>
      </c>
      <c r="T8464" t="str">
        <v>x</v>
      </c>
      <c r="U8464">
        <f>U8463</f>
        <v>1.57824</v>
      </c>
      <c r="V8464" t="str">
        <v>x</v>
      </c>
      <c r="W8464">
        <f>D8464</f>
        <v>0</v>
      </c>
      <c r="X8464" t="str">
        <v>x</v>
      </c>
      <c r="Y8464">
        <f>Y8463</f>
        <v>1</v>
      </c>
      <c r="Z8464" t="str">
        <v>=</v>
      </c>
      <c r="AA8464">
        <f>(N8464+P8464*R8464/1000)*U8464*W8464*Y8464</f>
        <v>0</v>
      </c>
    </row>
    <row r="8466">
      <c r="A8466" t="str">
        <f>A8454</f>
        <v>Lantai Attic</v>
      </c>
      <c r="B8466">
        <f>B8454</f>
        <v>18</v>
      </c>
      <c r="C8466" t="str">
        <v>Tul Peminggang</v>
      </c>
      <c r="D8466">
        <f>VLOOKUP(D8454,'Detail Balok'!$C$10:$AU$110,13,FALSE)</f>
        <v>2</v>
      </c>
      <c r="E8466" t="str">
        <v>D</v>
      </c>
      <c r="F8466">
        <f>VLOOKUP(D8454,'Detail Balok'!$C$10:$AU$110,15,FALSE)</f>
        <v>10</v>
      </c>
      <c r="J8466">
        <f>+D8456/1000</f>
        <v>6.75</v>
      </c>
      <c r="K8466" t="str">
        <v>+</v>
      </c>
      <c r="L8466">
        <f>2*$F$16*F8466/1000</f>
        <v>0.24</v>
      </c>
      <c r="M8466" t="str">
        <v>=</v>
      </c>
      <c r="N8466">
        <f>J8466+L8466</f>
        <v>6.99</v>
      </c>
      <c r="O8466" t="str">
        <v>+</v>
      </c>
      <c r="P8466">
        <f>IF(N8466&gt;12,ROUNDDOWN(N8466/12,0),0)</f>
        <v>0</v>
      </c>
      <c r="Q8466" t="str">
        <v>x</v>
      </c>
      <c r="R8466">
        <f>IF(P8466&gt;0,MAX(VLOOKUP(F8466,$D$6:$G$15,3,FALSE),600),0)/1000</f>
        <v>0</v>
      </c>
      <c r="T8466" t="str">
        <v>x</v>
      </c>
      <c r="U8466">
        <f>0.006165*F8466^2</f>
        <v>0.6165</v>
      </c>
      <c r="V8466" t="str">
        <v>x</v>
      </c>
      <c r="W8466">
        <f>+D8466</f>
        <v>2</v>
      </c>
      <c r="X8466" t="str">
        <v>x</v>
      </c>
      <c r="Y8466">
        <f>D8460</f>
        <v>1</v>
      </c>
      <c r="Z8466" t="str">
        <v>=</v>
      </c>
      <c r="AA8466">
        <f>(N8466+P8466*R8466/1000)*U8466*W8466*Y8466</f>
        <v>8.618670000000002</v>
      </c>
    </row>
    <row r="8469">
      <c r="A8469" t="str">
        <f>A8454</f>
        <v>Lantai Attic</v>
      </c>
      <c r="B8469">
        <f>B8454</f>
        <v>18</v>
      </c>
      <c r="C8469" t="str">
        <v>Tul Bawah Tumpuan</v>
      </c>
      <c r="D8469">
        <f>VLOOKUP(D8454,'Detail Balok'!$C$10:$AU$110,22,FALSE)</f>
        <v>3</v>
      </c>
      <c r="E8469" t="str">
        <v>D</v>
      </c>
      <c r="F8469">
        <f>VLOOKUP(D8454,'Detail Balok'!$C$10:$AU$110,24,FALSE)</f>
        <v>16</v>
      </c>
      <c r="I8469" t="str">
        <v>(</v>
      </c>
      <c r="J8469">
        <f>+J8461</f>
        <v>1.6875</v>
      </c>
      <c r="K8469" t="str">
        <v>+</v>
      </c>
      <c r="L8469">
        <f>MAX(VLOOKUP(F8469,N$6:P$15,3,FALSE)/1000,2/3*D8459/1000)+F$16*F8469/1000</f>
        <v>0.192</v>
      </c>
      <c r="M8469" t="str">
        <v>=</v>
      </c>
      <c r="N8469">
        <f>J8469+L8469</f>
        <v>1.8795</v>
      </c>
      <c r="O8469" t="str">
        <v>+</v>
      </c>
      <c r="P8469">
        <f>D8469-D8470</f>
        <v>-2</v>
      </c>
      <c r="Q8469" t="str">
        <v>x</v>
      </c>
      <c r="R8469">
        <f>IF(P8469&gt;0,$F$18*F8469/1000,0)</f>
        <v>0</v>
      </c>
      <c r="S8469" t="str">
        <v>)</v>
      </c>
      <c r="T8469" t="str">
        <v>x</v>
      </c>
      <c r="U8469">
        <f>0.006165*F8469^2</f>
        <v>1.57824</v>
      </c>
      <c r="X8469" t="str">
        <v>x</v>
      </c>
      <c r="Y8469">
        <f>D8460</f>
        <v>1</v>
      </c>
      <c r="Z8469" t="str">
        <v>=</v>
      </c>
      <c r="AA8469">
        <f>IF(AA8472=0,(D8469*N8469+P8469*R8469)*U8469*Y8469,0)</f>
        <v>8.89890624</v>
      </c>
    </row>
    <row r="8470">
      <c r="A8470" t="str">
        <f>A8454</f>
        <v>Lantai Attic</v>
      </c>
      <c r="B8470">
        <f>B8454</f>
        <v>18</v>
      </c>
      <c r="C8470" t="str">
        <v>Tul Bawah Lapangan</v>
      </c>
      <c r="D8470">
        <f>VLOOKUP(D8454,'Detail Balok'!$C$10:$AU$110,25,FALSE)</f>
        <v>5</v>
      </c>
      <c r="E8470" t="str">
        <v>D</v>
      </c>
      <c r="F8470">
        <f>VLOOKUP(D8454,'Detail Balok'!$C$10:$AU$110,27,FALSE)</f>
        <v>16</v>
      </c>
      <c r="I8470" t="str">
        <v>(</v>
      </c>
      <c r="J8470">
        <f>+J8462</f>
        <v>3.375</v>
      </c>
      <c r="K8470" t="str">
        <v>+</v>
      </c>
      <c r="M8470" t="str">
        <v>=</v>
      </c>
      <c r="N8470">
        <f>J8470+L8470</f>
        <v>3.375</v>
      </c>
      <c r="O8470" t="str">
        <v>+</v>
      </c>
      <c r="P8470">
        <f>MAX(D8470-D8469,D8470-D8471)</f>
        <v>2</v>
      </c>
      <c r="Q8470" t="str">
        <v>x</v>
      </c>
      <c r="R8470">
        <f>IF(P8470&gt;0,2*(1-2*$F$19-1/2)*D8457/1000,0)</f>
        <v>1.3499999999999999</v>
      </c>
      <c r="S8470" t="str">
        <v>)</v>
      </c>
      <c r="T8470" t="str">
        <v>x</v>
      </c>
      <c r="U8470">
        <f>0.006165*F8470^2</f>
        <v>1.57824</v>
      </c>
      <c r="X8470" t="str">
        <v>x</v>
      </c>
      <c r="Y8470">
        <f>D8460</f>
        <v>1</v>
      </c>
      <c r="Z8470" t="str">
        <v>=</v>
      </c>
      <c r="AA8470">
        <f>IF(AA8472=0,(D8470*N8470+P8470*R8470)*U8470*Y8470,0)</f>
        <v>30.894048</v>
      </c>
    </row>
    <row r="8471">
      <c r="A8471" t="str">
        <f>A8454</f>
        <v>Lantai Attic</v>
      </c>
      <c r="B8471">
        <f>B8454</f>
        <v>18</v>
      </c>
      <c r="C8471" t="str">
        <v>Tul Bawah Tumpuan</v>
      </c>
      <c r="D8471">
        <f>VLOOKUP(D8454,'Detail Balok'!$C$10:$AU$110,28,FALSE)</f>
        <v>3</v>
      </c>
      <c r="E8471" t="str">
        <v>D</v>
      </c>
      <c r="F8471">
        <f>VLOOKUP(D8454,'Detail Balok'!$C$10:$AU$110,30,FALSE)</f>
        <v>16</v>
      </c>
      <c r="I8471" t="str">
        <v>(</v>
      </c>
      <c r="J8471">
        <f>+J8463</f>
        <v>1.6875</v>
      </c>
      <c r="K8471" t="str">
        <v>+</v>
      </c>
      <c r="L8471">
        <f>MAX(VLOOKUP(F8471,N$6:P$15,3,FALSE)/1000,2/3*D8459/1000)+F$16*F8471/1000</f>
        <v>0.192</v>
      </c>
      <c r="M8471" t="str">
        <v>=</v>
      </c>
      <c r="N8471">
        <f>J8471+L8471</f>
        <v>1.8795</v>
      </c>
      <c r="O8471" t="str">
        <v>+</v>
      </c>
      <c r="P8471">
        <f>D8471-D8470</f>
        <v>-2</v>
      </c>
      <c r="Q8471" t="str">
        <v>x</v>
      </c>
      <c r="R8471">
        <f>IF(P8471&gt;0,$F$18*F8471/1000,0)</f>
        <v>0</v>
      </c>
      <c r="S8471" t="str">
        <v>)</v>
      </c>
      <c r="T8471" t="str">
        <v>x</v>
      </c>
      <c r="U8471">
        <f>0.006165*F8471^2</f>
        <v>1.57824</v>
      </c>
      <c r="X8471" t="str">
        <v>x</v>
      </c>
      <c r="Y8471">
        <f>D8460</f>
        <v>1</v>
      </c>
      <c r="Z8471" t="str">
        <v>=</v>
      </c>
      <c r="AA8471">
        <f>IF(AA8472=0,(D8471*N8471+P8471*R8471)*U8471*Y8471,0)</f>
        <v>8.89890624</v>
      </c>
    </row>
    <row r="8472">
      <c r="A8472" t="str">
        <f>A8454</f>
        <v>Lantai Attic</v>
      </c>
      <c r="B8472">
        <f>B8454</f>
        <v>18</v>
      </c>
      <c r="D8472">
        <f>IF(AND(D8469=D8470,D8470=D8471,D8469=D8471),D8469,0)</f>
        <v>0</v>
      </c>
      <c r="E8472" t="str">
        <v>D</v>
      </c>
      <c r="F8472">
        <f>IF(AND(F8469=F8470,F8469=F8471,F8470=F8471),F8469,0)</f>
        <v>16</v>
      </c>
      <c r="L8472" t="str">
        <v>Total panjang per balok</v>
      </c>
      <c r="M8472" t="str">
        <v>=</v>
      </c>
      <c r="N8472">
        <f>IF(AND(D8469=D8470,D8469=D8471,D8470=D8471,F8469=F8470,F8469=F8471,F8470=F8471),SUM(N8469:N8471),0)</f>
        <v>0</v>
      </c>
      <c r="O8472" t="str">
        <v>+</v>
      </c>
      <c r="P8472">
        <f>IF(N8472&gt;12,ROUNDDOWN(N8472/12,0),0)</f>
        <v>0</v>
      </c>
      <c r="Q8472" t="str">
        <v>x</v>
      </c>
      <c r="R8472">
        <f>IF(P8472&gt;0,MAX(VLOOKUP(F8472,$D$6:$G$15,3,FALSE),600),0)/1000</f>
        <v>0</v>
      </c>
      <c r="T8472" t="str">
        <v>x</v>
      </c>
      <c r="U8472">
        <f>U8471</f>
        <v>1.57824</v>
      </c>
      <c r="V8472" t="str">
        <v>x</v>
      </c>
      <c r="W8472">
        <f>D8472</f>
        <v>0</v>
      </c>
      <c r="X8472" t="str">
        <v>x</v>
      </c>
      <c r="Y8472">
        <f>Y8471</f>
        <v>1</v>
      </c>
      <c r="Z8472" t="str">
        <v>=</v>
      </c>
      <c r="AA8472">
        <f>(N8472+P8472*R8472/1000)*U8472*W8472*Y8472</f>
        <v>0</v>
      </c>
    </row>
    <row r="8474">
      <c r="A8474" t="str">
        <f>A8454</f>
        <v>Lantai Attic</v>
      </c>
      <c r="B8474">
        <f>B8454</f>
        <v>18</v>
      </c>
      <c r="C8474" t="str">
        <v>Sengkang Tumpuan</v>
      </c>
      <c r="D8474">
        <f>VLOOKUP(D8454,'Detail Balok'!$C$10:$AU$110,31,FALSE)</f>
        <v>0</v>
      </c>
      <c r="E8474" t="str">
        <v>D</v>
      </c>
      <c r="F8474">
        <f>VLOOKUP(D8454,'Detail Balok'!$C$10:$AU$110,33,FALSE)</f>
        <v>10</v>
      </c>
      <c r="G8474" t="str">
        <v>-</v>
      </c>
      <c r="H8474">
        <f>VLOOKUP(D8454,'Detail Balok'!$C$10:$AU$110,35,FALSE)</f>
        <v>90</v>
      </c>
      <c r="J8474">
        <f>(IF(D8474=0,(2*(D8455+G8455))-(F$5*8),IF(D8474=3,(2*(D8455+G8455))-(F$5*8)+(G8455-2*F$5),IF(D8474=4,(2*(D8455+G8455))-(F$5*8)+2*(G8455-2*F$5)))))/1000</f>
        <v>1.08</v>
      </c>
      <c r="K8474" t="str">
        <v>+</v>
      </c>
      <c r="L8474">
        <f>IF(D8474=0,2*MAX(6*F8474,75),(D8474-1)*2*MAX(6*F8474,75))/1000</f>
        <v>0.15</v>
      </c>
      <c r="M8474" t="str">
        <v>=</v>
      </c>
      <c r="N8474">
        <f>J8474+L8474</f>
        <v>1.23</v>
      </c>
      <c r="T8474" t="str">
        <v>x</v>
      </c>
      <c r="U8474">
        <f>0.006165*F8474^2</f>
        <v>0.6165</v>
      </c>
      <c r="V8474" t="str">
        <v>x</v>
      </c>
      <c r="W8474">
        <f>IF(D8457&gt;4*G8455,ROUND(MAX(D8457/4,2*G8455)/H8474,0)+1,ROUND(D8457/H8474,0)+1)</f>
        <v>20</v>
      </c>
      <c r="X8474" t="str">
        <v>x</v>
      </c>
      <c r="Y8474">
        <f>D8460</f>
        <v>1</v>
      </c>
      <c r="Z8474" t="str">
        <v>=</v>
      </c>
      <c r="AA8474">
        <f>N8474*U8474*W8474*Y8474</f>
        <v>15.1659</v>
      </c>
    </row>
    <row r="8475">
      <c r="A8475" t="str">
        <f>A8454</f>
        <v>Lantai Attic</v>
      </c>
      <c r="B8475">
        <f>B8454</f>
        <v>18</v>
      </c>
      <c r="C8475" t="str">
        <v>Sengkang Lapangan</v>
      </c>
      <c r="D8475">
        <f>VLOOKUP(D8454,'Detail Balok'!$C$10:$AU$110,36,FALSE)</f>
        <v>0</v>
      </c>
      <c r="E8475" t="str">
        <v>D</v>
      </c>
      <c r="F8475">
        <f>VLOOKUP(D8454,'Detail Balok'!$C$10:$AU$110,38,FALSE)</f>
        <v>10</v>
      </c>
      <c r="G8475" t="str">
        <v>-</v>
      </c>
      <c r="H8475">
        <f>VLOOKUP(D8454,'Detail Balok'!$C$10:$AU$110,40,FALSE)</f>
        <v>200</v>
      </c>
      <c r="J8475">
        <f>(IF(D8475=0,(2*(D8455+G8455))-(F$5*8),IF(D8475=3,(2*(D8455+G8455))-(F$5*8)+(G8455-2*F$5),IF(D8475=4,(2*(D8455+G8455))-(F$5*8)+2*(G8455-2*F$5)))))/1000</f>
        <v>1.08</v>
      </c>
      <c r="K8475" t="str">
        <v>+</v>
      </c>
      <c r="L8475">
        <f>IF(D8475=0,2*MAX(6*F8475,75),(D8475-1)*2*MAX(6*F8475,75))/1000</f>
        <v>0.15</v>
      </c>
      <c r="M8475" t="str">
        <v>=</v>
      </c>
      <c r="N8475">
        <f>J8475+L8475</f>
        <v>1.23</v>
      </c>
      <c r="T8475" t="str">
        <v>x</v>
      </c>
      <c r="U8475">
        <f>0.006165*F8475^2</f>
        <v>0.6165</v>
      </c>
      <c r="V8475" t="str">
        <v>x</v>
      </c>
      <c r="W8475">
        <f>IF(D8457-MAX(D8457/4,2*G8455)*2&gt;0,ROUND((D8457-MAX(D8457/4,2*G8455)*2)/H8475,0),0)</f>
        <v>17</v>
      </c>
      <c r="X8475" t="str">
        <v>x</v>
      </c>
      <c r="Y8475">
        <f>D8460</f>
        <v>1</v>
      </c>
      <c r="Z8475" t="str">
        <v>=</v>
      </c>
      <c r="AA8475">
        <f>N8475*U8475*W8475*Y8475</f>
        <v>12.891015000000001</v>
      </c>
    </row>
    <row r="8476">
      <c r="A8476" t="str">
        <f>A8454</f>
        <v>Lantai Attic</v>
      </c>
      <c r="B8476">
        <f>B8454</f>
        <v>18</v>
      </c>
      <c r="C8476" t="str">
        <v>Sengkang Tumpuan</v>
      </c>
      <c r="D8476">
        <f>VLOOKUP(D8454,'Detail Balok'!$C$10:$AU$110,41,FALSE)</f>
        <v>0</v>
      </c>
      <c r="E8476" t="str">
        <v>D</v>
      </c>
      <c r="F8476">
        <f>VLOOKUP(D8454,'Detail Balok'!$C$10:$AU$110,43,FALSE)</f>
        <v>10</v>
      </c>
      <c r="G8476" t="str">
        <v>-</v>
      </c>
      <c r="H8476">
        <f>VLOOKUP(D8454,'Detail Balok'!$C$10:$AU$110,45,FALSE)</f>
        <v>90</v>
      </c>
      <c r="J8476">
        <f>(IF(D8476=0,(2*(D8455+G8455))-(F$5*8),IF(D8476=3,(2*(D8455+G8455))-(F$5*8)+(G8455-2*F$5),IF(D8476=4,(2*(D8455+G8455))-(F$5*8)+2*(G8455-2*F$5)))))/1000</f>
        <v>1.08</v>
      </c>
      <c r="K8476" t="str">
        <v>+</v>
      </c>
      <c r="L8476">
        <f>IF(D8476=0,2*MAX(6*F8476,75),(D8476-1)*2*MAX(6*F8476,75))/1000</f>
        <v>0.15</v>
      </c>
      <c r="M8476" t="str">
        <v>=</v>
      </c>
      <c r="N8476">
        <f>J8476+L8476</f>
        <v>1.23</v>
      </c>
      <c r="T8476" t="str">
        <v>x</v>
      </c>
      <c r="U8476">
        <f>0.006165*F8476^2</f>
        <v>0.6165</v>
      </c>
      <c r="V8476" t="str">
        <v>x</v>
      </c>
      <c r="W8476">
        <f>IF(D8457&gt;4*G8455,ROUND(MAX(D8457/4,2*G8455)/H8476,0)+1,0)</f>
        <v>20</v>
      </c>
      <c r="X8476" t="str">
        <v>x</v>
      </c>
      <c r="Y8476">
        <f>D8460</f>
        <v>1</v>
      </c>
      <c r="Z8476" t="str">
        <v>=</v>
      </c>
      <c r="AA8476">
        <f>N8476*U8476*W8476*Y8476</f>
        <v>15.1659</v>
      </c>
    </row>
    <row r="8478">
      <c r="A8478" t="str">
        <f>A8454</f>
        <v>Lantai Attic</v>
      </c>
      <c r="B8478">
        <f>B8454</f>
        <v>18</v>
      </c>
      <c r="C8478" t="str">
        <v>Kait Horizontal Tump.</v>
      </c>
      <c r="D8478">
        <f>VLOOKUP(D8454,'Detail Balok'!$C$10:$BJ$110,46,FALSE)</f>
        <v>0</v>
      </c>
      <c r="E8478" t="str">
        <v>D</v>
      </c>
      <c r="F8478">
        <f>VLOOKUP(D8454,'Detail Balok'!$C$10:$BJ$110,48,FALSE)</f>
        <v>0</v>
      </c>
      <c r="G8478" t="str">
        <v>-</v>
      </c>
      <c r="H8478">
        <f>VLOOKUP(D8454,'Detail Balok'!$C$10:$BJ$110,50,FALSE)</f>
        <v>100</v>
      </c>
      <c r="J8478">
        <f>(D8455-2*F$5)/1000</f>
        <v>0.12</v>
      </c>
      <c r="K8478" t="str">
        <v>+</v>
      </c>
      <c r="L8478">
        <f>IF(D8478=0,2*MAX(6*F8478,75),(D8478-1)*2*MAX(6*F8478,75))/1000</f>
        <v>0.15</v>
      </c>
      <c r="M8478" t="str">
        <v>=</v>
      </c>
      <c r="N8478">
        <f>J8478+L8478</f>
        <v>0.27</v>
      </c>
      <c r="T8478" t="str">
        <v>x</v>
      </c>
      <c r="U8478">
        <f>0.006165*F8478^2</f>
        <v>0</v>
      </c>
      <c r="V8478" t="str">
        <v>x</v>
      </c>
      <c r="W8478">
        <f>W8474</f>
        <v>20</v>
      </c>
      <c r="X8478" t="str">
        <v>x</v>
      </c>
      <c r="Y8478">
        <f>D8464</f>
        <v>0</v>
      </c>
      <c r="Z8478" t="str">
        <v>=</v>
      </c>
      <c r="AA8478">
        <f>N8478*U8478*W8478*Y8478</f>
        <v>0</v>
      </c>
    </row>
    <row r="8479">
      <c r="A8479" t="str">
        <f>A8454</f>
        <v>Lantai Attic</v>
      </c>
      <c r="B8479">
        <f>B8454</f>
        <v>18</v>
      </c>
      <c r="C8479" t="str">
        <v>Kait Horizontal Lap.</v>
      </c>
      <c r="D8479">
        <f>VLOOKUP(D8454,'Detail Balok'!$C$10:$BJ$110,51,FALSE)</f>
        <v>0</v>
      </c>
      <c r="E8479" t="str">
        <v>D</v>
      </c>
      <c r="F8479">
        <f>VLOOKUP(D8454,'Detail Balok'!$C$10:$BJ$110,53,FALSE)</f>
        <v>0</v>
      </c>
      <c r="G8479" t="str">
        <v>-</v>
      </c>
      <c r="H8479">
        <f>VLOOKUP(D8454,'Detail Balok'!$C$10:$BJ$110,55,FALSE)</f>
        <v>100</v>
      </c>
      <c r="J8479">
        <f>(D8455-2*F$5)/1000</f>
        <v>0.12</v>
      </c>
      <c r="K8479" t="str">
        <v>+</v>
      </c>
      <c r="L8479">
        <f>IF(D8479=0,2*MAX(6*F8479,75),(D8479-1)*2*MAX(6*F8479,75))/1000</f>
        <v>0.15</v>
      </c>
      <c r="M8479" t="str">
        <v>=</v>
      </c>
      <c r="N8479">
        <f>J8479+L8479</f>
        <v>0.27</v>
      </c>
      <c r="T8479" t="str">
        <v>x</v>
      </c>
      <c r="U8479">
        <f>0.006165*F8479^2</f>
        <v>0</v>
      </c>
      <c r="V8479" t="str">
        <v>x</v>
      </c>
      <c r="W8479">
        <f>W8475</f>
        <v>17</v>
      </c>
      <c r="X8479" t="str">
        <v>x</v>
      </c>
      <c r="Y8479">
        <f>D8464</f>
        <v>0</v>
      </c>
      <c r="Z8479" t="str">
        <v>=</v>
      </c>
      <c r="AA8479">
        <f>N8479*U8479*W8479*Y8479</f>
        <v>0</v>
      </c>
    </row>
    <row r="8480">
      <c r="A8480" t="str">
        <f>A8454</f>
        <v>Lantai Attic</v>
      </c>
      <c r="B8480">
        <f>B8454</f>
        <v>18</v>
      </c>
      <c r="C8480" t="str">
        <v>Kait Horizontal Tump.</v>
      </c>
      <c r="D8480">
        <f>VLOOKUP(D8454,'Detail Balok'!$C$10:$BJ$110,56,FALSE)</f>
        <v>0</v>
      </c>
      <c r="E8480" t="str">
        <v>D</v>
      </c>
      <c r="F8480">
        <f>VLOOKUP(D8454,'Detail Balok'!$C$10:$BJ$110,58,FALSE)</f>
        <v>0</v>
      </c>
      <c r="G8480" t="str">
        <v>-</v>
      </c>
      <c r="H8480">
        <f>VLOOKUP(D8454,'Detail Balok'!$C$10:$BJ$110,60,FALSE)</f>
        <v>100</v>
      </c>
      <c r="J8480">
        <f>(D8455-2*F$5)/1000</f>
        <v>0.12</v>
      </c>
      <c r="K8480" t="str">
        <v>+</v>
      </c>
      <c r="L8480">
        <f>IF(D8480=0,2*MAX(6*F8480,75),(D8480-1)*2*MAX(6*F8480,75))/1000</f>
        <v>0.15</v>
      </c>
      <c r="M8480" t="str">
        <v>=</v>
      </c>
      <c r="N8480">
        <f>J8480+L8480</f>
        <v>0.27</v>
      </c>
      <c r="T8480" t="str">
        <v>x</v>
      </c>
      <c r="U8480">
        <f>0.006165*F8480^2</f>
        <v>0</v>
      </c>
      <c r="V8480" t="str">
        <v>x</v>
      </c>
      <c r="W8480">
        <f>W8476</f>
        <v>20</v>
      </c>
      <c r="X8480" t="str">
        <v>x</v>
      </c>
      <c r="Y8480">
        <f>D8464</f>
        <v>0</v>
      </c>
      <c r="Z8480" t="str">
        <v>=</v>
      </c>
      <c r="AA8480">
        <f>N8480*U8480*W8480*Y8480</f>
        <v>0</v>
      </c>
    </row>
    <row r="8484">
      <c r="A8484" t="str">
        <f>A8454</f>
        <v>Lantai Attic</v>
      </c>
      <c r="B8484">
        <f>B8454+1</f>
        <v>19</v>
      </c>
      <c r="C8484" t="str">
        <f>CONCATENATE(A8484," no. ",B8484)</f>
        <v>Lantai Attic no. 19</v>
      </c>
      <c r="D8484" t="str">
        <f>VLOOKUP(C8484,'Data Panjang Balok'!$C$9:$N$424,2,FALSE)</f>
        <v>B36-1</v>
      </c>
    </row>
    <row r="8485">
      <c r="C8485" t="str">
        <v>Dimensi</v>
      </c>
      <c r="D8485">
        <f>VLOOKUP(D8484,'Detail Balok'!$C$10:$AU$110,2,FALSE)</f>
        <v>300</v>
      </c>
      <c r="F8485" t="str">
        <v>x</v>
      </c>
      <c r="G8485">
        <f>VLOOKUP(D8484,'Detail Balok'!$C$10:$AU$110,3,FALSE)</f>
        <v>600</v>
      </c>
    </row>
    <row r="8486">
      <c r="C8486" t="str">
        <v>Panjang as ke as</v>
      </c>
      <c r="D8486">
        <f>VLOOKUP(C8484,'Data Panjang Balok'!$C$9:$N$424,4,FALSE)</f>
        <v>5415</v>
      </c>
    </row>
    <row r="8487">
      <c r="C8487" t="str">
        <v>Panjang netto</v>
      </c>
      <c r="D8487">
        <f>VLOOKUP(C8484,'Data Panjang Balok'!$C$9:$N$424,7,FALSE)</f>
        <v>5415</v>
      </c>
    </row>
    <row r="8488">
      <c r="C8488" t="str">
        <v>Kolom / balok kiri</v>
      </c>
      <c r="D8488">
        <f>VLOOKUP(C8484,'Data Panjang Balok'!$C$9:$N$424,9,FALSE)</f>
        <v>0</v>
      </c>
    </row>
    <row r="8489">
      <c r="C8489" t="str">
        <v>Kolom / balok kanan</v>
      </c>
      <c r="D8489">
        <f>VLOOKUP(C8484,'Data Panjang Balok'!$C$9:$N$424,10,FALSE)</f>
        <v>0</v>
      </c>
    </row>
    <row r="8490">
      <c r="C8490" t="str">
        <v>Jumlah</v>
      </c>
      <c r="D8490">
        <f>VLOOKUP(C8484,'Data Panjang Balok'!$C$9:$N$424,3,FALSE)</f>
        <v>1</v>
      </c>
    </row>
    <row r="8491">
      <c r="A8491" t="str">
        <f>A8484</f>
        <v>Lantai Attic</v>
      </c>
      <c r="B8491">
        <f>B8484</f>
        <v>19</v>
      </c>
      <c r="C8491" t="str">
        <v>Tul Atas Tumpuan</v>
      </c>
      <c r="D8491">
        <f>VLOOKUP(D8484,'Detail Balok'!$C$10:$AU$110,4,FALSE)</f>
        <v>5</v>
      </c>
      <c r="E8491" t="str">
        <v>D</v>
      </c>
      <c r="F8491">
        <f>VLOOKUP(D8484,'Detail Balok'!$C$10:$AU$110,6,FALSE)</f>
        <v>16</v>
      </c>
      <c r="I8491" t="str">
        <v>(</v>
      </c>
      <c r="J8491">
        <f>+D8486/4/1000</f>
        <v>1.35375</v>
      </c>
      <c r="K8491" t="str">
        <v>+</v>
      </c>
      <c r="L8491">
        <f>MAX(VLOOKUP(F8491,N$6:P$15,3,FALSE)/1000,2/3*D8488/1000)+F$16*F8491/1000</f>
        <v>0.192</v>
      </c>
      <c r="M8491" t="str">
        <v>=</v>
      </c>
      <c r="N8491">
        <f>J8491+L8491</f>
        <v>1.54575</v>
      </c>
      <c r="O8491" t="str">
        <v>+</v>
      </c>
      <c r="P8491">
        <f>D8491-D8492</f>
        <v>2</v>
      </c>
      <c r="Q8491" t="str">
        <v>x</v>
      </c>
      <c r="R8491">
        <f>IF(P8491&gt;0,$F$18*F8491/1000,0)</f>
        <v>0.24</v>
      </c>
      <c r="S8491" t="str">
        <v>)</v>
      </c>
      <c r="T8491" t="str">
        <v>x</v>
      </c>
      <c r="U8491">
        <f>0.006165*F8491^2</f>
        <v>1.57824</v>
      </c>
      <c r="X8491" t="str">
        <v>x</v>
      </c>
      <c r="Y8491">
        <f>D8490</f>
        <v>1</v>
      </c>
      <c r="Z8491" t="str">
        <v>=</v>
      </c>
      <c r="AA8491">
        <f>IF(AA8494=0,(D8491*N8491+P8491*R8491)*U8491*Y8491,0)</f>
        <v>12.9553776</v>
      </c>
    </row>
    <row r="8492">
      <c r="A8492" t="str">
        <f>A8484</f>
        <v>Lantai Attic</v>
      </c>
      <c r="B8492">
        <f>B8484</f>
        <v>19</v>
      </c>
      <c r="C8492" t="str">
        <v>Tul Atas Lapangan</v>
      </c>
      <c r="D8492">
        <f>VLOOKUP(D8484,'Detail Balok'!$C$10:$AU$110,7,FALSE)</f>
        <v>3</v>
      </c>
      <c r="E8492" t="str">
        <v>D</v>
      </c>
      <c r="F8492">
        <f>VLOOKUP(D8484,'Detail Balok'!$C$10:$AU$110,9,FALSE)</f>
        <v>16</v>
      </c>
      <c r="I8492" t="str">
        <v>(</v>
      </c>
      <c r="J8492">
        <f>+D8486/2/1000</f>
        <v>2.7075</v>
      </c>
      <c r="K8492" t="str">
        <v>+</v>
      </c>
      <c r="M8492" t="str">
        <v>=</v>
      </c>
      <c r="N8492">
        <f>J8492+L8492</f>
        <v>2.7075</v>
      </c>
      <c r="O8492" t="str">
        <v>+</v>
      </c>
      <c r="P8492">
        <f>MAX(D8492-D8491,D8492-D8493)</f>
        <v>-2</v>
      </c>
      <c r="Q8492" t="str">
        <v>x</v>
      </c>
      <c r="R8492">
        <f>IF(P8492&gt;0,2*(1-2*$F$19-1/2)*D8487/1000,0)</f>
        <v>0</v>
      </c>
      <c r="S8492" t="str">
        <v>)</v>
      </c>
      <c r="T8492" t="str">
        <v>x</v>
      </c>
      <c r="U8492">
        <f>0.006165*F8492^2</f>
        <v>1.57824</v>
      </c>
      <c r="X8492" t="str">
        <v>x</v>
      </c>
      <c r="Y8492">
        <f>D8490</f>
        <v>1</v>
      </c>
      <c r="Z8492" t="str">
        <v>=</v>
      </c>
      <c r="AA8492">
        <f>IF(AA8494=0,(D8492*N8492+P8492*R8492)*U8492*Y8492,0)</f>
        <v>12.819254400000002</v>
      </c>
    </row>
    <row r="8493">
      <c r="A8493" t="str">
        <f>A8484</f>
        <v>Lantai Attic</v>
      </c>
      <c r="B8493">
        <f>B8484</f>
        <v>19</v>
      </c>
      <c r="C8493" t="str">
        <v>Tul Atas Tumpuan</v>
      </c>
      <c r="D8493">
        <f>VLOOKUP(D8484,'Detail Balok'!$C$10:$AU$110,10,FALSE)</f>
        <v>5</v>
      </c>
      <c r="E8493" t="str">
        <v>D</v>
      </c>
      <c r="F8493">
        <f>VLOOKUP(D8484,'Detail Balok'!$C$10:$AU$110,12,FALSE)</f>
        <v>16</v>
      </c>
      <c r="I8493" t="str">
        <v>(</v>
      </c>
      <c r="J8493">
        <f>+D8486/4/1000</f>
        <v>1.35375</v>
      </c>
      <c r="K8493" t="str">
        <v>+</v>
      </c>
      <c r="L8493">
        <f>MAX(VLOOKUP(F8493,N$6:P$15,3,FALSE)/1000,2/3*D8488/1000)+F$16*F8493/1000</f>
        <v>0.192</v>
      </c>
      <c r="M8493" t="str">
        <v>=</v>
      </c>
      <c r="N8493">
        <f>J8493+L8493</f>
        <v>1.54575</v>
      </c>
      <c r="O8493" t="str">
        <v>+</v>
      </c>
      <c r="P8493">
        <f>D8493-D8492</f>
        <v>2</v>
      </c>
      <c r="Q8493" t="str">
        <v>x</v>
      </c>
      <c r="R8493">
        <f>IF(P8493&gt;0,$F$18*F8493/1000,0)</f>
        <v>0.24</v>
      </c>
      <c r="S8493" t="str">
        <v>)</v>
      </c>
      <c r="T8493" t="str">
        <v>x</v>
      </c>
      <c r="U8493">
        <f>0.006165*F8493^2</f>
        <v>1.57824</v>
      </c>
      <c r="X8493" t="str">
        <v>x</v>
      </c>
      <c r="Y8493">
        <f>D8490</f>
        <v>1</v>
      </c>
      <c r="Z8493" t="str">
        <v>=</v>
      </c>
      <c r="AA8493">
        <f>IF(AA8494=0,(D8493*N8493+P8493*R8493)*U8493*Y8493,0)</f>
        <v>12.9553776</v>
      </c>
    </row>
    <row r="8494">
      <c r="A8494" t="str">
        <f>A8484</f>
        <v>Lantai Attic</v>
      </c>
      <c r="B8494">
        <f>B8484</f>
        <v>19</v>
      </c>
      <c r="D8494">
        <f>IF(AND(D8491=D8492,D8492=D8493,D8491=D8493),D8491,0)</f>
        <v>0</v>
      </c>
      <c r="E8494" t="str">
        <v>D</v>
      </c>
      <c r="F8494">
        <f>IF(AND(F8491=F8492,F8491=F8493,F8492=F8493),F8491,0)</f>
        <v>16</v>
      </c>
      <c r="L8494" t="str">
        <v>Total panjang per balok</v>
      </c>
      <c r="M8494" t="str">
        <v>=</v>
      </c>
      <c r="N8494">
        <f>IF(AND(D8491=D8492,D8491=D8493,D8492=D8493,F8491=F8492,F8491=F8493,F8492=F8493),SUM(N8491:N8493),0)</f>
        <v>0</v>
      </c>
      <c r="O8494" t="str">
        <v>+</v>
      </c>
      <c r="P8494">
        <f>IF(N8494&gt;12,ROUNDDOWN(N8494/12,0),0)</f>
        <v>0</v>
      </c>
      <c r="Q8494" t="str">
        <v>x</v>
      </c>
      <c r="R8494">
        <f>IF(P8494&gt;0,MAX(VLOOKUP(F8494,$D$6:$G$15,3,FALSE),600),0)/1000</f>
        <v>0</v>
      </c>
      <c r="T8494" t="str">
        <v>x</v>
      </c>
      <c r="U8494">
        <f>U8493</f>
        <v>1.57824</v>
      </c>
      <c r="V8494" t="str">
        <v>x</v>
      </c>
      <c r="W8494">
        <f>D8494</f>
        <v>0</v>
      </c>
      <c r="X8494" t="str">
        <v>x</v>
      </c>
      <c r="Y8494">
        <f>Y8493</f>
        <v>1</v>
      </c>
      <c r="Z8494" t="str">
        <v>=</v>
      </c>
      <c r="AA8494">
        <f>(N8494+P8494*R8494/1000)*U8494*W8494*Y8494</f>
        <v>0</v>
      </c>
    </row>
    <row r="8496">
      <c r="A8496" t="str">
        <f>A8484</f>
        <v>Lantai Attic</v>
      </c>
      <c r="B8496">
        <f>B8484</f>
        <v>19</v>
      </c>
      <c r="C8496" t="str">
        <v>Tul Peminggang</v>
      </c>
      <c r="D8496">
        <f>VLOOKUP(D8484,'Detail Balok'!$C$10:$AU$110,13,FALSE)</f>
        <v>2</v>
      </c>
      <c r="E8496" t="str">
        <v>D</v>
      </c>
      <c r="F8496">
        <f>VLOOKUP(D8484,'Detail Balok'!$C$10:$AU$110,15,FALSE)</f>
        <v>10</v>
      </c>
      <c r="J8496">
        <f>+D8486/1000</f>
        <v>5.415</v>
      </c>
      <c r="K8496" t="str">
        <v>+</v>
      </c>
      <c r="L8496">
        <f>2*$F$16*F8496/1000</f>
        <v>0.24</v>
      </c>
      <c r="M8496" t="str">
        <v>=</v>
      </c>
      <c r="N8496">
        <f>J8496+L8496</f>
        <v>5.655</v>
      </c>
      <c r="O8496" t="str">
        <v>+</v>
      </c>
      <c r="P8496">
        <f>IF(N8496&gt;12,ROUNDDOWN(N8496/12,0),0)</f>
        <v>0</v>
      </c>
      <c r="Q8496" t="str">
        <v>x</v>
      </c>
      <c r="R8496">
        <f>IF(P8496&gt;0,MAX(VLOOKUP(F8496,$D$6:$G$15,3,FALSE),600),0)/1000</f>
        <v>0</v>
      </c>
      <c r="T8496" t="str">
        <v>x</v>
      </c>
      <c r="U8496">
        <f>0.006165*F8496^2</f>
        <v>0.6165</v>
      </c>
      <c r="V8496" t="str">
        <v>x</v>
      </c>
      <c r="W8496">
        <f>+D8496</f>
        <v>2</v>
      </c>
      <c r="X8496" t="str">
        <v>x</v>
      </c>
      <c r="Y8496">
        <f>D8490</f>
        <v>1</v>
      </c>
      <c r="Z8496" t="str">
        <v>=</v>
      </c>
      <c r="AA8496">
        <f>(N8496+P8496*R8496/1000)*U8496*W8496*Y8496</f>
        <v>6.972615000000001</v>
      </c>
    </row>
    <row r="8499">
      <c r="A8499" t="str">
        <f>A8484</f>
        <v>Lantai Attic</v>
      </c>
      <c r="B8499">
        <f>B8484</f>
        <v>19</v>
      </c>
      <c r="C8499" t="str">
        <v>Tul Bawah Tumpuan</v>
      </c>
      <c r="D8499">
        <f>VLOOKUP(D8484,'Detail Balok'!$C$10:$AU$110,22,FALSE)</f>
        <v>3</v>
      </c>
      <c r="E8499" t="str">
        <v>D</v>
      </c>
      <c r="F8499">
        <f>VLOOKUP(D8484,'Detail Balok'!$C$10:$AU$110,24,FALSE)</f>
        <v>16</v>
      </c>
      <c r="I8499" t="str">
        <v>(</v>
      </c>
      <c r="J8499">
        <f>+J8491</f>
        <v>1.35375</v>
      </c>
      <c r="K8499" t="str">
        <v>+</v>
      </c>
      <c r="L8499">
        <f>MAX(VLOOKUP(F8499,N$6:P$15,3,FALSE)/1000,2/3*D8489/1000)+F$16*F8499/1000</f>
        <v>0.192</v>
      </c>
      <c r="M8499" t="str">
        <v>=</v>
      </c>
      <c r="N8499">
        <f>J8499+L8499</f>
        <v>1.54575</v>
      </c>
      <c r="O8499" t="str">
        <v>+</v>
      </c>
      <c r="P8499">
        <f>D8499-D8500</f>
        <v>-3</v>
      </c>
      <c r="Q8499" t="str">
        <v>x</v>
      </c>
      <c r="R8499">
        <f>IF(P8499&gt;0,$F$18*F8499/1000,0)</f>
        <v>0</v>
      </c>
      <c r="S8499" t="str">
        <v>)</v>
      </c>
      <c r="T8499" t="str">
        <v>x</v>
      </c>
      <c r="U8499">
        <f>0.006165*F8499^2</f>
        <v>1.57824</v>
      </c>
      <c r="X8499" t="str">
        <v>x</v>
      </c>
      <c r="Y8499">
        <f>D8490</f>
        <v>1</v>
      </c>
      <c r="Z8499" t="str">
        <v>=</v>
      </c>
      <c r="AA8499">
        <f>IF(AA8502=0,(D8499*N8499+P8499*R8499)*U8499*Y8499,0)</f>
        <v>7.3186934400000005</v>
      </c>
    </row>
    <row r="8500">
      <c r="A8500" t="str">
        <f>A8484</f>
        <v>Lantai Attic</v>
      </c>
      <c r="B8500">
        <f>B8484</f>
        <v>19</v>
      </c>
      <c r="C8500" t="str">
        <v>Tul Bawah Lapangan</v>
      </c>
      <c r="D8500">
        <f>VLOOKUP(D8484,'Detail Balok'!$C$10:$AU$110,25,FALSE)</f>
        <v>6</v>
      </c>
      <c r="E8500" t="str">
        <v>D</v>
      </c>
      <c r="F8500">
        <f>VLOOKUP(D8484,'Detail Balok'!$C$10:$AU$110,27,FALSE)</f>
        <v>16</v>
      </c>
      <c r="I8500" t="str">
        <v>(</v>
      </c>
      <c r="J8500">
        <f>+J8492</f>
        <v>2.7075</v>
      </c>
      <c r="K8500" t="str">
        <v>+</v>
      </c>
      <c r="M8500" t="str">
        <v>=</v>
      </c>
      <c r="N8500">
        <f>J8500+L8500</f>
        <v>2.7075</v>
      </c>
      <c r="O8500" t="str">
        <v>+</v>
      </c>
      <c r="P8500">
        <f>MAX(D8500-D8499,D8500-D8501)</f>
        <v>3</v>
      </c>
      <c r="Q8500" t="str">
        <v>x</v>
      </c>
      <c r="R8500">
        <f>IF(P8500&gt;0,2*(1-2*$F$19-1/2)*D8487/1000,0)</f>
        <v>1.0829999999999997</v>
      </c>
      <c r="S8500" t="str">
        <v>)</v>
      </c>
      <c r="T8500" t="str">
        <v>x</v>
      </c>
      <c r="U8500">
        <f>0.006165*F8500^2</f>
        <v>1.57824</v>
      </c>
      <c r="X8500" t="str">
        <v>x</v>
      </c>
      <c r="Y8500">
        <f>D8490</f>
        <v>1</v>
      </c>
      <c r="Z8500" t="str">
        <v>=</v>
      </c>
      <c r="AA8500">
        <f>IF(AA8502=0,(D8500*N8500+P8500*R8500)*U8500*Y8500,0)</f>
        <v>30.76621056</v>
      </c>
    </row>
    <row r="8501">
      <c r="A8501" t="str">
        <f>A8484</f>
        <v>Lantai Attic</v>
      </c>
      <c r="B8501">
        <f>B8484</f>
        <v>19</v>
      </c>
      <c r="C8501" t="str">
        <v>Tul Bawah Tumpuan</v>
      </c>
      <c r="D8501">
        <f>VLOOKUP(D8484,'Detail Balok'!$C$10:$AU$110,28,FALSE)</f>
        <v>3</v>
      </c>
      <c r="E8501" t="str">
        <v>D</v>
      </c>
      <c r="F8501">
        <f>VLOOKUP(D8484,'Detail Balok'!$C$10:$AU$110,30,FALSE)</f>
        <v>16</v>
      </c>
      <c r="I8501" t="str">
        <v>(</v>
      </c>
      <c r="J8501">
        <f>+J8493</f>
        <v>1.35375</v>
      </c>
      <c r="K8501" t="str">
        <v>+</v>
      </c>
      <c r="L8501">
        <f>MAX(VLOOKUP(F8501,N$6:P$15,3,FALSE)/1000,2/3*D8489/1000)+F$16*F8501/1000</f>
        <v>0.192</v>
      </c>
      <c r="M8501" t="str">
        <v>=</v>
      </c>
      <c r="N8501">
        <f>J8501+L8501</f>
        <v>1.54575</v>
      </c>
      <c r="O8501" t="str">
        <v>+</v>
      </c>
      <c r="P8501">
        <f>D8501-D8500</f>
        <v>-3</v>
      </c>
      <c r="Q8501" t="str">
        <v>x</v>
      </c>
      <c r="R8501">
        <f>IF(P8501&gt;0,$F$18*F8501/1000,0)</f>
        <v>0</v>
      </c>
      <c r="S8501" t="str">
        <v>)</v>
      </c>
      <c r="T8501" t="str">
        <v>x</v>
      </c>
      <c r="U8501">
        <f>0.006165*F8501^2</f>
        <v>1.57824</v>
      </c>
      <c r="X8501" t="str">
        <v>x</v>
      </c>
      <c r="Y8501">
        <f>D8490</f>
        <v>1</v>
      </c>
      <c r="Z8501" t="str">
        <v>=</v>
      </c>
      <c r="AA8501">
        <f>IF(AA8502=0,(D8501*N8501+P8501*R8501)*U8501*Y8501,0)</f>
        <v>7.3186934400000005</v>
      </c>
    </row>
    <row r="8502">
      <c r="A8502" t="str">
        <f>A8484</f>
        <v>Lantai Attic</v>
      </c>
      <c r="B8502">
        <f>B8484</f>
        <v>19</v>
      </c>
      <c r="D8502">
        <f>IF(AND(D8499=D8500,D8500=D8501,D8499=D8501),D8499,0)</f>
        <v>0</v>
      </c>
      <c r="E8502" t="str">
        <v>D</v>
      </c>
      <c r="F8502">
        <f>IF(AND(F8499=F8500,F8499=F8501,F8500=F8501),F8499,0)</f>
        <v>16</v>
      </c>
      <c r="L8502" t="str">
        <v>Total panjang per balok</v>
      </c>
      <c r="M8502" t="str">
        <v>=</v>
      </c>
      <c r="N8502">
        <f>IF(AND(D8499=D8500,D8499=D8501,D8500=D8501,F8499=F8500,F8499=F8501,F8500=F8501),SUM(N8499:N8501),0)</f>
        <v>0</v>
      </c>
      <c r="O8502" t="str">
        <v>+</v>
      </c>
      <c r="P8502">
        <f>IF(N8502&gt;12,ROUNDDOWN(N8502/12,0),0)</f>
        <v>0</v>
      </c>
      <c r="Q8502" t="str">
        <v>x</v>
      </c>
      <c r="R8502">
        <f>IF(P8502&gt;0,MAX(VLOOKUP(F8502,$D$6:$G$15,3,FALSE),600),0)/1000</f>
        <v>0</v>
      </c>
      <c r="T8502" t="str">
        <v>x</v>
      </c>
      <c r="U8502">
        <f>U8501</f>
        <v>1.57824</v>
      </c>
      <c r="V8502" t="str">
        <v>x</v>
      </c>
      <c r="W8502">
        <f>D8502</f>
        <v>0</v>
      </c>
      <c r="X8502" t="str">
        <v>x</v>
      </c>
      <c r="Y8502">
        <f>Y8501</f>
        <v>1</v>
      </c>
      <c r="Z8502" t="str">
        <v>=</v>
      </c>
      <c r="AA8502">
        <f>(N8502+P8502*R8502/1000)*U8502*W8502*Y8502</f>
        <v>0</v>
      </c>
    </row>
    <row r="8504">
      <c r="A8504" t="str">
        <f>A8484</f>
        <v>Lantai Attic</v>
      </c>
      <c r="B8504">
        <f>B8484</f>
        <v>19</v>
      </c>
      <c r="C8504" t="str">
        <v>Sengkang Tumpuan</v>
      </c>
      <c r="D8504">
        <f>VLOOKUP(D8484,'Detail Balok'!$C$10:$AU$110,31,FALSE)</f>
        <v>3</v>
      </c>
      <c r="E8504" t="str">
        <v>D</v>
      </c>
      <c r="F8504">
        <f>VLOOKUP(D8484,'Detail Balok'!$C$10:$AU$110,33,FALSE)</f>
        <v>10</v>
      </c>
      <c r="G8504" t="str">
        <v>-</v>
      </c>
      <c r="H8504">
        <f>VLOOKUP(D8484,'Detail Balok'!$C$10:$AU$110,35,FALSE)</f>
        <v>75</v>
      </c>
      <c r="J8504">
        <f>(IF(D8504=0,(2*(D8485+G8485))-(F$5*8),IF(D8504=3,(2*(D8485+G8485))-(F$5*8)+(G8485-2*F$5),IF(D8504=4,(2*(D8485+G8485))-(F$5*8)+2*(G8485-2*F$5)))))/1000</f>
        <v>2</v>
      </c>
      <c r="K8504" t="str">
        <v>+</v>
      </c>
      <c r="L8504">
        <f>IF(D8504=0,2*MAX(6*F8504,75),(D8504-1)*2*MAX(6*F8504,75))/1000</f>
        <v>0.3</v>
      </c>
      <c r="M8504" t="str">
        <v>=</v>
      </c>
      <c r="N8504">
        <f>J8504+L8504</f>
        <v>2.3</v>
      </c>
      <c r="T8504" t="str">
        <v>x</v>
      </c>
      <c r="U8504">
        <f>0.006165*F8504^2</f>
        <v>0.6165</v>
      </c>
      <c r="V8504" t="str">
        <v>x</v>
      </c>
      <c r="W8504">
        <f>IF(D8487&gt;4*G8485,ROUND(MAX(D8487/4,2*G8485)/H8504,0)+1,ROUND(D8487/H8504,0)+1)</f>
        <v>19</v>
      </c>
      <c r="X8504" t="str">
        <v>x</v>
      </c>
      <c r="Y8504">
        <f>D8490</f>
        <v>1</v>
      </c>
      <c r="Z8504" t="str">
        <v>=</v>
      </c>
      <c r="AA8504">
        <f>N8504*U8504*W8504*Y8504</f>
        <v>26.94105</v>
      </c>
    </row>
    <row r="8505">
      <c r="A8505" t="str">
        <f>A8484</f>
        <v>Lantai Attic</v>
      </c>
      <c r="B8505">
        <f>B8484</f>
        <v>19</v>
      </c>
      <c r="C8505" t="str">
        <v>Sengkang Lapangan</v>
      </c>
      <c r="D8505">
        <f>VLOOKUP(D8484,'Detail Balok'!$C$10:$AU$110,36,FALSE)</f>
        <v>0</v>
      </c>
      <c r="E8505" t="str">
        <v>D</v>
      </c>
      <c r="F8505">
        <f>VLOOKUP(D8484,'Detail Balok'!$C$10:$AU$110,38,FALSE)</f>
        <v>10</v>
      </c>
      <c r="G8505" t="str">
        <v>-</v>
      </c>
      <c r="H8505">
        <f>VLOOKUP(D8484,'Detail Balok'!$C$10:$AU$110,40,FALSE)</f>
        <v>200</v>
      </c>
      <c r="J8505">
        <f>(IF(D8505=0,(2*(D8485+G8485))-(F$5*8),IF(D8505=3,(2*(D8485+G8485))-(F$5*8)+(G8485-2*F$5),IF(D8505=4,(2*(D8485+G8485))-(F$5*8)+2*(G8485-2*F$5)))))/1000</f>
        <v>1.48</v>
      </c>
      <c r="K8505" t="str">
        <v>+</v>
      </c>
      <c r="L8505">
        <f>IF(D8505=0,2*MAX(6*F8505,75),(D8505-1)*2*MAX(6*F8505,75))/1000</f>
        <v>0.15</v>
      </c>
      <c r="M8505" t="str">
        <v>=</v>
      </c>
      <c r="N8505">
        <f>J8505+L8505</f>
        <v>1.63</v>
      </c>
      <c r="T8505" t="str">
        <v>x</v>
      </c>
      <c r="U8505">
        <f>0.006165*F8505^2</f>
        <v>0.6165</v>
      </c>
      <c r="V8505" t="str">
        <v>x</v>
      </c>
      <c r="W8505">
        <f>IF(D8487-MAX(D8487/4,2*G8485)*2&gt;0,ROUND((D8487-MAX(D8487/4,2*G8485)*2)/H8505,0),0)</f>
        <v>14</v>
      </c>
      <c r="X8505" t="str">
        <v>x</v>
      </c>
      <c r="Y8505">
        <f>D8490</f>
        <v>1</v>
      </c>
      <c r="Z8505" t="str">
        <v>=</v>
      </c>
      <c r="AA8505">
        <f>N8505*U8505*W8505*Y8505</f>
        <v>14.06853</v>
      </c>
    </row>
    <row r="8506">
      <c r="A8506" t="str">
        <f>A8484</f>
        <v>Lantai Attic</v>
      </c>
      <c r="B8506">
        <f>B8484</f>
        <v>19</v>
      </c>
      <c r="C8506" t="str">
        <v>Sengkang Tumpuan</v>
      </c>
      <c r="D8506">
        <f>VLOOKUP(D8484,'Detail Balok'!$C$10:$AU$110,41,FALSE)</f>
        <v>3</v>
      </c>
      <c r="E8506" t="str">
        <v>D</v>
      </c>
      <c r="F8506">
        <f>VLOOKUP(D8484,'Detail Balok'!$C$10:$AU$110,43,FALSE)</f>
        <v>10</v>
      </c>
      <c r="G8506" t="str">
        <v>-</v>
      </c>
      <c r="H8506">
        <f>VLOOKUP(D8484,'Detail Balok'!$C$10:$AU$110,45,FALSE)</f>
        <v>75</v>
      </c>
      <c r="J8506">
        <f>(IF(D8506=0,(2*(D8485+G8485))-(F$5*8),IF(D8506=3,(2*(D8485+G8485))-(F$5*8)+(G8485-2*F$5),IF(D8506=4,(2*(D8485+G8485))-(F$5*8)+2*(G8485-2*F$5)))))/1000</f>
        <v>2</v>
      </c>
      <c r="K8506" t="str">
        <v>+</v>
      </c>
      <c r="L8506">
        <f>IF(D8506=0,2*MAX(6*F8506,75),(D8506-1)*2*MAX(6*F8506,75))/1000</f>
        <v>0.3</v>
      </c>
      <c r="M8506" t="str">
        <v>=</v>
      </c>
      <c r="N8506">
        <f>J8506+L8506</f>
        <v>2.3</v>
      </c>
      <c r="T8506" t="str">
        <v>x</v>
      </c>
      <c r="U8506">
        <f>0.006165*F8506^2</f>
        <v>0.6165</v>
      </c>
      <c r="V8506" t="str">
        <v>x</v>
      </c>
      <c r="W8506">
        <f>IF(D8487&gt;4*G8485,ROUND(MAX(D8487/4,2*G8485)/H8506,0)+1,0)</f>
        <v>19</v>
      </c>
      <c r="X8506" t="str">
        <v>x</v>
      </c>
      <c r="Y8506">
        <f>D8490</f>
        <v>1</v>
      </c>
      <c r="Z8506" t="str">
        <v>=</v>
      </c>
      <c r="AA8506">
        <f>N8506*U8506*W8506*Y8506</f>
        <v>26.94105</v>
      </c>
    </row>
    <row r="8508">
      <c r="A8508" t="str">
        <f>A8484</f>
        <v>Lantai Attic</v>
      </c>
      <c r="B8508">
        <f>B8484</f>
        <v>19</v>
      </c>
      <c r="C8508" t="str">
        <v>Kait Horizontal Tump.</v>
      </c>
      <c r="D8508">
        <f>VLOOKUP(D8484,'Detail Balok'!$C$10:$BJ$110,46,FALSE)</f>
        <v>0</v>
      </c>
      <c r="E8508" t="str">
        <v>D</v>
      </c>
      <c r="F8508">
        <f>VLOOKUP(D8484,'Detail Balok'!$C$10:$BJ$110,48,FALSE)</f>
        <v>0</v>
      </c>
      <c r="G8508" t="str">
        <v>-</v>
      </c>
      <c r="H8508">
        <f>VLOOKUP(D8484,'Detail Balok'!$C$10:$BJ$110,50,FALSE)</f>
        <v>100</v>
      </c>
      <c r="J8508">
        <f>(D8485-2*F$5)/1000</f>
        <v>0.22</v>
      </c>
      <c r="K8508" t="str">
        <v>+</v>
      </c>
      <c r="L8508">
        <f>IF(D8508=0,2*MAX(6*F8508,75),(D8508-1)*2*MAX(6*F8508,75))/1000</f>
        <v>0.15</v>
      </c>
      <c r="M8508" t="str">
        <v>=</v>
      </c>
      <c r="N8508">
        <f>J8508+L8508</f>
        <v>0.37</v>
      </c>
      <c r="T8508" t="str">
        <v>x</v>
      </c>
      <c r="U8508">
        <f>0.006165*F8508^2</f>
        <v>0</v>
      </c>
      <c r="V8508" t="str">
        <v>x</v>
      </c>
      <c r="W8508">
        <f>W8504</f>
        <v>19</v>
      </c>
      <c r="X8508" t="str">
        <v>x</v>
      </c>
      <c r="Y8508">
        <f>D8494</f>
        <v>0</v>
      </c>
      <c r="Z8508" t="str">
        <v>=</v>
      </c>
      <c r="AA8508">
        <f>N8508*U8508*W8508*Y8508</f>
        <v>0</v>
      </c>
    </row>
    <row r="8509">
      <c r="A8509" t="str">
        <f>A8484</f>
        <v>Lantai Attic</v>
      </c>
      <c r="B8509">
        <f>B8484</f>
        <v>19</v>
      </c>
      <c r="C8509" t="str">
        <v>Kait Horizontal Lap.</v>
      </c>
      <c r="D8509">
        <f>VLOOKUP(D8484,'Detail Balok'!$C$10:$BJ$110,51,FALSE)</f>
        <v>0</v>
      </c>
      <c r="E8509" t="str">
        <v>D</v>
      </c>
      <c r="F8509">
        <f>VLOOKUP(D8484,'Detail Balok'!$C$10:$BJ$110,53,FALSE)</f>
        <v>0</v>
      </c>
      <c r="G8509" t="str">
        <v>-</v>
      </c>
      <c r="H8509">
        <f>VLOOKUP(D8484,'Detail Balok'!$C$10:$BJ$110,55,FALSE)</f>
        <v>100</v>
      </c>
      <c r="J8509">
        <f>(D8485-2*F$5)/1000</f>
        <v>0.22</v>
      </c>
      <c r="K8509" t="str">
        <v>+</v>
      </c>
      <c r="L8509">
        <f>IF(D8509=0,2*MAX(6*F8509,75),(D8509-1)*2*MAX(6*F8509,75))/1000</f>
        <v>0.15</v>
      </c>
      <c r="M8509" t="str">
        <v>=</v>
      </c>
      <c r="N8509">
        <f>J8509+L8509</f>
        <v>0.37</v>
      </c>
      <c r="T8509" t="str">
        <v>x</v>
      </c>
      <c r="U8509">
        <f>0.006165*F8509^2</f>
        <v>0</v>
      </c>
      <c r="V8509" t="str">
        <v>x</v>
      </c>
      <c r="W8509">
        <f>W8505</f>
        <v>14</v>
      </c>
      <c r="X8509" t="str">
        <v>x</v>
      </c>
      <c r="Y8509">
        <f>D8494</f>
        <v>0</v>
      </c>
      <c r="Z8509" t="str">
        <v>=</v>
      </c>
      <c r="AA8509">
        <f>N8509*U8509*W8509*Y8509</f>
        <v>0</v>
      </c>
    </row>
    <row r="8510">
      <c r="A8510" t="str">
        <f>A8484</f>
        <v>Lantai Attic</v>
      </c>
      <c r="B8510">
        <f>B8484</f>
        <v>19</v>
      </c>
      <c r="C8510" t="str">
        <v>Kait Horizontal Tump.</v>
      </c>
      <c r="D8510">
        <f>VLOOKUP(D8484,'Detail Balok'!$C$10:$BJ$110,56,FALSE)</f>
        <v>0</v>
      </c>
      <c r="E8510" t="str">
        <v>D</v>
      </c>
      <c r="F8510">
        <f>VLOOKUP(D8484,'Detail Balok'!$C$10:$BJ$110,58,FALSE)</f>
        <v>0</v>
      </c>
      <c r="G8510" t="str">
        <v>-</v>
      </c>
      <c r="H8510">
        <f>VLOOKUP(D8484,'Detail Balok'!$C$10:$BJ$110,60,FALSE)</f>
        <v>100</v>
      </c>
      <c r="J8510">
        <f>(D8485-2*F$5)/1000</f>
        <v>0.22</v>
      </c>
      <c r="K8510" t="str">
        <v>+</v>
      </c>
      <c r="L8510">
        <f>IF(D8510=0,2*MAX(6*F8510,75),(D8510-1)*2*MAX(6*F8510,75))/1000</f>
        <v>0.15</v>
      </c>
      <c r="M8510" t="str">
        <v>=</v>
      </c>
      <c r="N8510">
        <f>J8510+L8510</f>
        <v>0.37</v>
      </c>
      <c r="T8510" t="str">
        <v>x</v>
      </c>
      <c r="U8510">
        <f>0.006165*F8510^2</f>
        <v>0</v>
      </c>
      <c r="V8510" t="str">
        <v>x</v>
      </c>
      <c r="W8510">
        <f>W8506</f>
        <v>19</v>
      </c>
      <c r="X8510" t="str">
        <v>x</v>
      </c>
      <c r="Y8510">
        <f>D8494</f>
        <v>0</v>
      </c>
      <c r="Z8510" t="str">
        <v>=</v>
      </c>
      <c r="AA8510">
        <f>N8510*U8510*W8510*Y8510</f>
        <v>0</v>
      </c>
    </row>
    <row r="8514">
      <c r="A8514" t="str">
        <f>A8484</f>
        <v>Lantai Attic</v>
      </c>
      <c r="B8514">
        <f>B8484+1</f>
        <v>20</v>
      </c>
      <c r="C8514" t="str">
        <f>CONCATENATE(A8514," no. ",B8514)</f>
        <v>Lantai Attic no. 20</v>
      </c>
      <c r="D8514" t="str">
        <f>VLOOKUP(C8514,'Data Panjang Balok'!$C$9:$N$424,2,FALSE)</f>
        <v>B24-3</v>
      </c>
    </row>
    <row r="8515">
      <c r="C8515" t="str">
        <v>Dimensi</v>
      </c>
      <c r="D8515">
        <f>VLOOKUP(D8514,'Detail Balok'!$C$10:$AU$110,2,FALSE)</f>
        <v>200</v>
      </c>
      <c r="F8515" t="str">
        <v>x</v>
      </c>
      <c r="G8515">
        <f>VLOOKUP(D8514,'Detail Balok'!$C$10:$AU$110,3,FALSE)</f>
        <v>400</v>
      </c>
    </row>
    <row r="8516">
      <c r="C8516" t="str">
        <v>Panjang as ke as</v>
      </c>
      <c r="D8516">
        <f>VLOOKUP(C8514,'Data Panjang Balok'!$C$9:$N$424,4,FALSE)</f>
        <v>6400</v>
      </c>
    </row>
    <row r="8517">
      <c r="C8517" t="str">
        <v>Panjang netto</v>
      </c>
      <c r="D8517">
        <f>VLOOKUP(C8514,'Data Panjang Balok'!$C$9:$N$424,7,FALSE)</f>
        <v>6400</v>
      </c>
    </row>
    <row r="8518">
      <c r="C8518" t="str">
        <v>Kolom / balok kiri</v>
      </c>
      <c r="D8518">
        <f>VLOOKUP(C8514,'Data Panjang Balok'!$C$9:$N$424,9,FALSE)</f>
        <v>0</v>
      </c>
    </row>
    <row r="8519">
      <c r="C8519" t="str">
        <v>Kolom / balok kanan</v>
      </c>
      <c r="D8519">
        <f>VLOOKUP(C8514,'Data Panjang Balok'!$C$9:$N$424,10,FALSE)</f>
        <v>0</v>
      </c>
    </row>
    <row r="8520">
      <c r="C8520" t="str">
        <v>Jumlah</v>
      </c>
      <c r="D8520">
        <f>VLOOKUP(C8514,'Data Panjang Balok'!$C$9:$N$424,3,FALSE)</f>
        <v>1</v>
      </c>
    </row>
    <row r="8521">
      <c r="A8521" t="str">
        <f>A8514</f>
        <v>Lantai Attic</v>
      </c>
      <c r="B8521">
        <f>B8514</f>
        <v>20</v>
      </c>
      <c r="C8521" t="str">
        <v>Tul Atas Tumpuan</v>
      </c>
      <c r="D8521">
        <f>VLOOKUP(D8514,'Detail Balok'!$C$10:$AU$110,4,FALSE)</f>
        <v>3</v>
      </c>
      <c r="E8521" t="str">
        <v>D</v>
      </c>
      <c r="F8521">
        <f>VLOOKUP(D8514,'Detail Balok'!$C$10:$AU$110,6,FALSE)</f>
        <v>16</v>
      </c>
      <c r="I8521" t="str">
        <v>(</v>
      </c>
      <c r="J8521">
        <f>+D8516/4/1000</f>
        <v>1.6</v>
      </c>
      <c r="K8521" t="str">
        <v>+</v>
      </c>
      <c r="L8521">
        <f>MAX(VLOOKUP(F8521,N$6:P$15,3,FALSE)/1000,2/3*D8518/1000)+F$16*F8521/1000</f>
        <v>0.192</v>
      </c>
      <c r="M8521" t="str">
        <v>=</v>
      </c>
      <c r="N8521">
        <f>J8521+L8521</f>
        <v>1.792</v>
      </c>
      <c r="O8521" t="str">
        <v>+</v>
      </c>
      <c r="P8521">
        <f>D8521-D8522</f>
        <v>0</v>
      </c>
      <c r="Q8521" t="str">
        <v>x</v>
      </c>
      <c r="R8521">
        <f>IF(P8521&gt;0,$F$18*F8521/1000,0)</f>
        <v>0</v>
      </c>
      <c r="S8521" t="str">
        <v>)</v>
      </c>
      <c r="T8521" t="str">
        <v>x</v>
      </c>
      <c r="U8521">
        <f>0.006165*F8521^2</f>
        <v>1.57824</v>
      </c>
      <c r="X8521" t="str">
        <v>x</v>
      </c>
      <c r="Y8521">
        <f>D8520</f>
        <v>1</v>
      </c>
      <c r="Z8521" t="str">
        <v>=</v>
      </c>
      <c r="AA8521">
        <f>IF(AA8524=0,(D8521*N8521+P8521*R8521)*U8521*Y8521,0)</f>
        <v>0</v>
      </c>
    </row>
    <row r="8522">
      <c r="A8522" t="str">
        <f>A8514</f>
        <v>Lantai Attic</v>
      </c>
      <c r="B8522">
        <f>B8514</f>
        <v>20</v>
      </c>
      <c r="C8522" t="str">
        <v>Tul Atas Lapangan</v>
      </c>
      <c r="D8522">
        <f>VLOOKUP(D8514,'Detail Balok'!$C$10:$AU$110,7,FALSE)</f>
        <v>3</v>
      </c>
      <c r="E8522" t="str">
        <v>D</v>
      </c>
      <c r="F8522">
        <f>VLOOKUP(D8514,'Detail Balok'!$C$10:$AU$110,9,FALSE)</f>
        <v>16</v>
      </c>
      <c r="I8522" t="str">
        <v>(</v>
      </c>
      <c r="J8522">
        <f>+D8516/2/1000</f>
        <v>3.2</v>
      </c>
      <c r="K8522" t="str">
        <v>+</v>
      </c>
      <c r="M8522" t="str">
        <v>=</v>
      </c>
      <c r="N8522">
        <f>J8522+L8522</f>
        <v>3.2</v>
      </c>
      <c r="O8522" t="str">
        <v>+</v>
      </c>
      <c r="P8522">
        <f>MAX(D8522-D8521,D8522-D8523)</f>
        <v>0</v>
      </c>
      <c r="Q8522" t="str">
        <v>x</v>
      </c>
      <c r="R8522">
        <f>IF(P8522&gt;0,2*(1-2*$F$19-1/2)*D8517/1000,0)</f>
        <v>0</v>
      </c>
      <c r="S8522" t="str">
        <v>)</v>
      </c>
      <c r="T8522" t="str">
        <v>x</v>
      </c>
      <c r="U8522">
        <f>0.006165*F8522^2</f>
        <v>1.57824</v>
      </c>
      <c r="X8522" t="str">
        <v>x</v>
      </c>
      <c r="Y8522">
        <f>D8520</f>
        <v>1</v>
      </c>
      <c r="Z8522" t="str">
        <v>=</v>
      </c>
      <c r="AA8522">
        <f>IF(AA8524=0,(D8522*N8522+P8522*R8522)*U8522*Y8522,0)</f>
        <v>0</v>
      </c>
    </row>
    <row r="8523">
      <c r="A8523" t="str">
        <f>A8514</f>
        <v>Lantai Attic</v>
      </c>
      <c r="B8523">
        <f>B8514</f>
        <v>20</v>
      </c>
      <c r="C8523" t="str">
        <v>Tul Atas Tumpuan</v>
      </c>
      <c r="D8523">
        <f>VLOOKUP(D8514,'Detail Balok'!$C$10:$AU$110,10,FALSE)</f>
        <v>3</v>
      </c>
      <c r="E8523" t="str">
        <v>D</v>
      </c>
      <c r="F8523">
        <f>VLOOKUP(D8514,'Detail Balok'!$C$10:$AU$110,12,FALSE)</f>
        <v>16</v>
      </c>
      <c r="I8523" t="str">
        <v>(</v>
      </c>
      <c r="J8523">
        <f>+D8516/4/1000</f>
        <v>1.6</v>
      </c>
      <c r="K8523" t="str">
        <v>+</v>
      </c>
      <c r="L8523">
        <f>MAX(VLOOKUP(F8523,N$6:P$15,3,FALSE)/1000,2/3*D8518/1000)+F$16*F8523/1000</f>
        <v>0.192</v>
      </c>
      <c r="M8523" t="str">
        <v>=</v>
      </c>
      <c r="N8523">
        <f>J8523+L8523</f>
        <v>1.792</v>
      </c>
      <c r="O8523" t="str">
        <v>+</v>
      </c>
      <c r="P8523">
        <f>D8523-D8522</f>
        <v>0</v>
      </c>
      <c r="Q8523" t="str">
        <v>x</v>
      </c>
      <c r="R8523">
        <f>IF(P8523&gt;0,$F$18*F8523/1000,0)</f>
        <v>0</v>
      </c>
      <c r="S8523" t="str">
        <v>)</v>
      </c>
      <c r="T8523" t="str">
        <v>x</v>
      </c>
      <c r="U8523">
        <f>0.006165*F8523^2</f>
        <v>1.57824</v>
      </c>
      <c r="X8523" t="str">
        <v>x</v>
      </c>
      <c r="Y8523">
        <f>D8520</f>
        <v>1</v>
      </c>
      <c r="Z8523" t="str">
        <v>=</v>
      </c>
      <c r="AA8523">
        <f>IF(AA8524=0,(D8523*N8523+P8523*R8523)*U8523*Y8523,0)</f>
        <v>0</v>
      </c>
    </row>
    <row r="8524">
      <c r="A8524" t="str">
        <f>A8514</f>
        <v>Lantai Attic</v>
      </c>
      <c r="B8524">
        <f>B8514</f>
        <v>20</v>
      </c>
      <c r="D8524">
        <f>IF(AND(D8521=D8522,D8522=D8523,D8521=D8523),D8521,0)</f>
        <v>3</v>
      </c>
      <c r="E8524" t="str">
        <v>D</v>
      </c>
      <c r="F8524">
        <f>IF(AND(F8521=F8522,F8521=F8523,F8522=F8523),F8521,0)</f>
        <v>16</v>
      </c>
      <c r="L8524" t="str">
        <v>Total panjang per balok</v>
      </c>
      <c r="M8524" t="str">
        <v>=</v>
      </c>
      <c r="N8524">
        <f>IF(AND(D8521=D8522,D8521=D8523,D8522=D8523,F8521=F8522,F8521=F8523,F8522=F8523),SUM(N8521:N8523),0)</f>
        <v>6.784</v>
      </c>
      <c r="O8524" t="str">
        <v>+</v>
      </c>
      <c r="P8524">
        <f>IF(N8524&gt;12,ROUNDDOWN(N8524/12,0),0)</f>
        <v>0</v>
      </c>
      <c r="Q8524" t="str">
        <v>x</v>
      </c>
      <c r="R8524">
        <f>IF(P8524&gt;0,MAX(VLOOKUP(F8524,$D$6:$G$15,3,FALSE),600),0)/1000</f>
        <v>0</v>
      </c>
      <c r="T8524" t="str">
        <v>x</v>
      </c>
      <c r="U8524">
        <f>U8523</f>
        <v>1.57824</v>
      </c>
      <c r="V8524" t="str">
        <v>x</v>
      </c>
      <c r="W8524">
        <f>D8524</f>
        <v>3</v>
      </c>
      <c r="X8524" t="str">
        <v>x</v>
      </c>
      <c r="Y8524">
        <f>Y8523</f>
        <v>1</v>
      </c>
      <c r="Z8524" t="str">
        <v>=</v>
      </c>
      <c r="AA8524">
        <f>(N8524+P8524*R8524/1000)*U8524*W8524*Y8524</f>
        <v>32.12034048</v>
      </c>
    </row>
    <row r="8526">
      <c r="A8526" t="str">
        <f>A8514</f>
        <v>Lantai Attic</v>
      </c>
      <c r="B8526">
        <f>B8514</f>
        <v>20</v>
      </c>
      <c r="C8526" t="str">
        <v>Tul Peminggang</v>
      </c>
      <c r="D8526">
        <f>VLOOKUP(D8514,'Detail Balok'!$C$10:$AU$110,13,FALSE)</f>
        <v>0</v>
      </c>
      <c r="E8526" t="str">
        <v>D</v>
      </c>
      <c r="F8526">
        <f>VLOOKUP(D8514,'Detail Balok'!$C$10:$AU$110,15,FALSE)</f>
        <v>6</v>
      </c>
      <c r="J8526">
        <f>+D8516/1000</f>
        <v>6.4</v>
      </c>
      <c r="K8526" t="str">
        <v>+</v>
      </c>
      <c r="L8526">
        <f>2*$F$16*F8526/1000</f>
        <v>0.144</v>
      </c>
      <c r="M8526" t="str">
        <v>=</v>
      </c>
      <c r="N8526">
        <f>J8526+L8526</f>
        <v>6.5440000000000005</v>
      </c>
      <c r="O8526" t="str">
        <v>+</v>
      </c>
      <c r="P8526">
        <f>IF(N8526&gt;12,ROUNDDOWN(N8526/12,0),0)</f>
        <v>0</v>
      </c>
      <c r="Q8526" t="str">
        <v>x</v>
      </c>
      <c r="R8526">
        <f>IF(P8526&gt;0,MAX(VLOOKUP(F8526,$D$6:$G$15,3,FALSE),600),0)/1000</f>
        <v>0</v>
      </c>
      <c r="T8526" t="str">
        <v>x</v>
      </c>
      <c r="U8526">
        <f>0.006165*F8526^2</f>
        <v>0.22194000000000003</v>
      </c>
      <c r="V8526" t="str">
        <v>x</v>
      </c>
      <c r="W8526">
        <f>+D8526</f>
        <v>0</v>
      </c>
      <c r="X8526" t="str">
        <v>x</v>
      </c>
      <c r="Y8526">
        <f>D8520</f>
        <v>1</v>
      </c>
      <c r="Z8526" t="str">
        <v>=</v>
      </c>
      <c r="AA8526">
        <f>(N8526+P8526*R8526/1000)*U8526*W8526*Y8526</f>
        <v>0</v>
      </c>
    </row>
    <row r="8529">
      <c r="A8529" t="str">
        <f>A8514</f>
        <v>Lantai Attic</v>
      </c>
      <c r="B8529">
        <f>B8514</f>
        <v>20</v>
      </c>
      <c r="C8529" t="str">
        <v>Tul Bawah Tumpuan</v>
      </c>
      <c r="D8529">
        <f>VLOOKUP(D8514,'Detail Balok'!$C$10:$AU$110,22,FALSE)</f>
        <v>3</v>
      </c>
      <c r="E8529" t="str">
        <v>D</v>
      </c>
      <c r="F8529">
        <f>VLOOKUP(D8514,'Detail Balok'!$C$10:$AU$110,24,FALSE)</f>
        <v>16</v>
      </c>
      <c r="I8529" t="str">
        <v>(</v>
      </c>
      <c r="J8529">
        <f>+J8521</f>
        <v>1.6</v>
      </c>
      <c r="K8529" t="str">
        <v>+</v>
      </c>
      <c r="L8529">
        <f>MAX(VLOOKUP(F8529,N$6:P$15,3,FALSE)/1000,2/3*D8519/1000)+F$16*F8529/1000</f>
        <v>0.192</v>
      </c>
      <c r="M8529" t="str">
        <v>=</v>
      </c>
      <c r="N8529">
        <f>J8529+L8529</f>
        <v>1.792</v>
      </c>
      <c r="O8529" t="str">
        <v>+</v>
      </c>
      <c r="P8529">
        <f>D8529-D8530</f>
        <v>0</v>
      </c>
      <c r="Q8529" t="str">
        <v>x</v>
      </c>
      <c r="R8529">
        <f>IF(P8529&gt;0,$F$18*F8529/1000,0)</f>
        <v>0</v>
      </c>
      <c r="S8529" t="str">
        <v>)</v>
      </c>
      <c r="T8529" t="str">
        <v>x</v>
      </c>
      <c r="U8529">
        <f>0.006165*F8529^2</f>
        <v>1.57824</v>
      </c>
      <c r="X8529" t="str">
        <v>x</v>
      </c>
      <c r="Y8529">
        <f>D8520</f>
        <v>1</v>
      </c>
      <c r="Z8529" t="str">
        <v>=</v>
      </c>
      <c r="AA8529">
        <f>IF(AA8532=0,(D8529*N8529+P8529*R8529)*U8529*Y8529,0)</f>
        <v>0</v>
      </c>
    </row>
    <row r="8530">
      <c r="A8530" t="str">
        <f>A8514</f>
        <v>Lantai Attic</v>
      </c>
      <c r="B8530">
        <f>B8514</f>
        <v>20</v>
      </c>
      <c r="C8530" t="str">
        <v>Tul Bawah Lapangan</v>
      </c>
      <c r="D8530">
        <f>VLOOKUP(D8514,'Detail Balok'!$C$10:$AU$110,25,FALSE)</f>
        <v>3</v>
      </c>
      <c r="E8530" t="str">
        <v>D</v>
      </c>
      <c r="F8530">
        <f>VLOOKUP(D8514,'Detail Balok'!$C$10:$AU$110,27,FALSE)</f>
        <v>16</v>
      </c>
      <c r="I8530" t="str">
        <v>(</v>
      </c>
      <c r="J8530">
        <f>+J8522</f>
        <v>3.2</v>
      </c>
      <c r="K8530" t="str">
        <v>+</v>
      </c>
      <c r="M8530" t="str">
        <v>=</v>
      </c>
      <c r="N8530">
        <f>J8530+L8530</f>
        <v>3.2</v>
      </c>
      <c r="O8530" t="str">
        <v>+</v>
      </c>
      <c r="P8530">
        <f>MAX(D8530-D8529,D8530-D8531)</f>
        <v>0</v>
      </c>
      <c r="Q8530" t="str">
        <v>x</v>
      </c>
      <c r="R8530">
        <f>IF(P8530&gt;0,2*(1-2*$F$19-1/2)*D8517/1000,0)</f>
        <v>0</v>
      </c>
      <c r="S8530" t="str">
        <v>)</v>
      </c>
      <c r="T8530" t="str">
        <v>x</v>
      </c>
      <c r="U8530">
        <f>0.006165*F8530^2</f>
        <v>1.57824</v>
      </c>
      <c r="X8530" t="str">
        <v>x</v>
      </c>
      <c r="Y8530">
        <f>D8520</f>
        <v>1</v>
      </c>
      <c r="Z8530" t="str">
        <v>=</v>
      </c>
      <c r="AA8530">
        <f>IF(AA8532=0,(D8530*N8530+P8530*R8530)*U8530*Y8530,0)</f>
        <v>0</v>
      </c>
    </row>
    <row r="8531">
      <c r="A8531" t="str">
        <f>A8514</f>
        <v>Lantai Attic</v>
      </c>
      <c r="B8531">
        <f>B8514</f>
        <v>20</v>
      </c>
      <c r="C8531" t="str">
        <v>Tul Bawah Tumpuan</v>
      </c>
      <c r="D8531">
        <f>VLOOKUP(D8514,'Detail Balok'!$C$10:$AU$110,28,FALSE)</f>
        <v>3</v>
      </c>
      <c r="E8531" t="str">
        <v>D</v>
      </c>
      <c r="F8531">
        <f>VLOOKUP(D8514,'Detail Balok'!$C$10:$AU$110,30,FALSE)</f>
        <v>16</v>
      </c>
      <c r="I8531" t="str">
        <v>(</v>
      </c>
      <c r="J8531">
        <f>+J8523</f>
        <v>1.6</v>
      </c>
      <c r="K8531" t="str">
        <v>+</v>
      </c>
      <c r="L8531">
        <f>MAX(VLOOKUP(F8531,N$6:P$15,3,FALSE)/1000,2/3*D8519/1000)+F$16*F8531/1000</f>
        <v>0.192</v>
      </c>
      <c r="M8531" t="str">
        <v>=</v>
      </c>
      <c r="N8531">
        <f>J8531+L8531</f>
        <v>1.792</v>
      </c>
      <c r="O8531" t="str">
        <v>+</v>
      </c>
      <c r="P8531">
        <f>D8531-D8530</f>
        <v>0</v>
      </c>
      <c r="Q8531" t="str">
        <v>x</v>
      </c>
      <c r="R8531">
        <f>IF(P8531&gt;0,$F$18*F8531/1000,0)</f>
        <v>0</v>
      </c>
      <c r="S8531" t="str">
        <v>)</v>
      </c>
      <c r="T8531" t="str">
        <v>x</v>
      </c>
      <c r="U8531">
        <f>0.006165*F8531^2</f>
        <v>1.57824</v>
      </c>
      <c r="X8531" t="str">
        <v>x</v>
      </c>
      <c r="Y8531">
        <f>D8520</f>
        <v>1</v>
      </c>
      <c r="Z8531" t="str">
        <v>=</v>
      </c>
      <c r="AA8531">
        <f>IF(AA8532=0,(D8531*N8531+P8531*R8531)*U8531*Y8531,0)</f>
        <v>0</v>
      </c>
    </row>
    <row r="8532">
      <c r="A8532" t="str">
        <f>A8514</f>
        <v>Lantai Attic</v>
      </c>
      <c r="B8532">
        <f>B8514</f>
        <v>20</v>
      </c>
      <c r="D8532">
        <f>IF(AND(D8529=D8530,D8530=D8531,D8529=D8531),D8529,0)</f>
        <v>3</v>
      </c>
      <c r="E8532" t="str">
        <v>D</v>
      </c>
      <c r="F8532">
        <f>IF(AND(F8529=F8530,F8529=F8531,F8530=F8531),F8529,0)</f>
        <v>16</v>
      </c>
      <c r="L8532" t="str">
        <v>Total panjang per balok</v>
      </c>
      <c r="M8532" t="str">
        <v>=</v>
      </c>
      <c r="N8532">
        <f>IF(AND(D8529=D8530,D8529=D8531,D8530=D8531,F8529=F8530,F8529=F8531,F8530=F8531),SUM(N8529:N8531),0)</f>
        <v>6.784</v>
      </c>
      <c r="O8532" t="str">
        <v>+</v>
      </c>
      <c r="P8532">
        <f>IF(N8532&gt;12,ROUNDDOWN(N8532/12,0),0)</f>
        <v>0</v>
      </c>
      <c r="Q8532" t="str">
        <v>x</v>
      </c>
      <c r="R8532">
        <f>IF(P8532&gt;0,MAX(VLOOKUP(F8532,$D$6:$G$15,3,FALSE),600),0)/1000</f>
        <v>0</v>
      </c>
      <c r="T8532" t="str">
        <v>x</v>
      </c>
      <c r="U8532">
        <f>U8531</f>
        <v>1.57824</v>
      </c>
      <c r="V8532" t="str">
        <v>x</v>
      </c>
      <c r="W8532">
        <f>D8532</f>
        <v>3</v>
      </c>
      <c r="X8532" t="str">
        <v>x</v>
      </c>
      <c r="Y8532">
        <f>Y8531</f>
        <v>1</v>
      </c>
      <c r="Z8532" t="str">
        <v>=</v>
      </c>
      <c r="AA8532">
        <f>(N8532+P8532*R8532/1000)*U8532*W8532*Y8532</f>
        <v>32.12034048</v>
      </c>
    </row>
    <row r="8534">
      <c r="A8534" t="str">
        <f>A8514</f>
        <v>Lantai Attic</v>
      </c>
      <c r="B8534">
        <f>B8514</f>
        <v>20</v>
      </c>
      <c r="C8534" t="str">
        <v>Sengkang Tumpuan</v>
      </c>
      <c r="D8534">
        <f>VLOOKUP(D8514,'Detail Balok'!$C$10:$AU$110,31,FALSE)</f>
        <v>0</v>
      </c>
      <c r="E8534" t="str">
        <v>D</v>
      </c>
      <c r="F8534">
        <f>VLOOKUP(D8514,'Detail Balok'!$C$10:$AU$110,33,FALSE)</f>
        <v>10</v>
      </c>
      <c r="G8534" t="str">
        <v>-</v>
      </c>
      <c r="H8534">
        <f>VLOOKUP(D8514,'Detail Balok'!$C$10:$AU$110,35,FALSE)</f>
        <v>100</v>
      </c>
      <c r="J8534">
        <f>(IF(D8534=0,(2*(D8515+G8515))-(F$5*8),IF(D8534=3,(2*(D8515+G8515))-(F$5*8)+(G8515-2*F$5),IF(D8534=4,(2*(D8515+G8515))-(F$5*8)+2*(G8515-2*F$5)))))/1000</f>
        <v>0.88</v>
      </c>
      <c r="K8534" t="str">
        <v>+</v>
      </c>
      <c r="L8534">
        <f>IF(D8534=0,2*MAX(6*F8534,75),(D8534-1)*2*MAX(6*F8534,75))/1000</f>
        <v>0.15</v>
      </c>
      <c r="M8534" t="str">
        <v>=</v>
      </c>
      <c r="N8534">
        <f>J8534+L8534</f>
        <v>1.03</v>
      </c>
      <c r="T8534" t="str">
        <v>x</v>
      </c>
      <c r="U8534">
        <f>0.006165*F8534^2</f>
        <v>0.6165</v>
      </c>
      <c r="V8534" t="str">
        <v>x</v>
      </c>
      <c r="W8534">
        <f>IF(D8517&gt;4*G8515,ROUND(MAX(D8517/4,2*G8515)/H8534,0)+1,ROUND(D8517/H8534,0)+1)</f>
        <v>17</v>
      </c>
      <c r="X8534" t="str">
        <v>x</v>
      </c>
      <c r="Y8534">
        <f>D8520</f>
        <v>1</v>
      </c>
      <c r="Z8534" t="str">
        <v>=</v>
      </c>
      <c r="AA8534">
        <f>N8534*U8534*W8534*Y8534</f>
        <v>10.794915000000001</v>
      </c>
    </row>
    <row r="8535">
      <c r="A8535" t="str">
        <f>A8514</f>
        <v>Lantai Attic</v>
      </c>
      <c r="B8535">
        <f>B8514</f>
        <v>20</v>
      </c>
      <c r="C8535" t="str">
        <v>Sengkang Lapangan</v>
      </c>
      <c r="D8535">
        <f>VLOOKUP(D8514,'Detail Balok'!$C$10:$AU$110,36,FALSE)</f>
        <v>0</v>
      </c>
      <c r="E8535" t="str">
        <v>D</v>
      </c>
      <c r="F8535">
        <f>VLOOKUP(D8514,'Detail Balok'!$C$10:$AU$110,38,FALSE)</f>
        <v>10</v>
      </c>
      <c r="G8535" t="str">
        <v>-</v>
      </c>
      <c r="H8535">
        <f>VLOOKUP(D8514,'Detail Balok'!$C$10:$AU$110,40,FALSE)</f>
        <v>200</v>
      </c>
      <c r="J8535">
        <f>(IF(D8535=0,(2*(D8515+G8515))-(F$5*8),IF(D8535=3,(2*(D8515+G8515))-(F$5*8)+(G8515-2*F$5),IF(D8535=4,(2*(D8515+G8515))-(F$5*8)+2*(G8515-2*F$5)))))/1000</f>
        <v>0.88</v>
      </c>
      <c r="K8535" t="str">
        <v>+</v>
      </c>
      <c r="L8535">
        <f>IF(D8535=0,2*MAX(6*F8535,75),(D8535-1)*2*MAX(6*F8535,75))/1000</f>
        <v>0.15</v>
      </c>
      <c r="M8535" t="str">
        <v>=</v>
      </c>
      <c r="N8535">
        <f>J8535+L8535</f>
        <v>1.03</v>
      </c>
      <c r="T8535" t="str">
        <v>x</v>
      </c>
      <c r="U8535">
        <f>0.006165*F8535^2</f>
        <v>0.6165</v>
      </c>
      <c r="V8535" t="str">
        <v>x</v>
      </c>
      <c r="W8535">
        <f>IF(D8517-MAX(D8517/4,2*G8515)*2&gt;0,ROUND((D8517-MAX(D8517/4,2*G8515)*2)/H8535,0),0)</f>
        <v>16</v>
      </c>
      <c r="X8535" t="str">
        <v>x</v>
      </c>
      <c r="Y8535">
        <f>D8520</f>
        <v>1</v>
      </c>
      <c r="Z8535" t="str">
        <v>=</v>
      </c>
      <c r="AA8535">
        <f>N8535*U8535*W8535*Y8535</f>
        <v>10.159920000000001</v>
      </c>
    </row>
    <row r="8536">
      <c r="A8536" t="str">
        <f>A8514</f>
        <v>Lantai Attic</v>
      </c>
      <c r="B8536">
        <f>B8514</f>
        <v>20</v>
      </c>
      <c r="C8536" t="str">
        <v>Sengkang Tumpuan</v>
      </c>
      <c r="D8536">
        <f>VLOOKUP(D8514,'Detail Balok'!$C$10:$AU$110,41,FALSE)</f>
        <v>0</v>
      </c>
      <c r="E8536" t="str">
        <v>D</v>
      </c>
      <c r="F8536">
        <f>VLOOKUP(D8514,'Detail Balok'!$C$10:$AU$110,43,FALSE)</f>
        <v>10</v>
      </c>
      <c r="G8536" t="str">
        <v>-</v>
      </c>
      <c r="H8536">
        <f>VLOOKUP(D8514,'Detail Balok'!$C$10:$AU$110,45,FALSE)</f>
        <v>100</v>
      </c>
      <c r="J8536">
        <f>(IF(D8536=0,(2*(D8515+G8515))-(F$5*8),IF(D8536=3,(2*(D8515+G8515))-(F$5*8)+(G8515-2*F$5),IF(D8536=4,(2*(D8515+G8515))-(F$5*8)+2*(G8515-2*F$5)))))/1000</f>
        <v>0.88</v>
      </c>
      <c r="K8536" t="str">
        <v>+</v>
      </c>
      <c r="L8536">
        <f>IF(D8536=0,2*MAX(6*F8536,75),(D8536-1)*2*MAX(6*F8536,75))/1000</f>
        <v>0.15</v>
      </c>
      <c r="M8536" t="str">
        <v>=</v>
      </c>
      <c r="N8536">
        <f>J8536+L8536</f>
        <v>1.03</v>
      </c>
      <c r="T8536" t="str">
        <v>x</v>
      </c>
      <c r="U8536">
        <f>0.006165*F8536^2</f>
        <v>0.6165</v>
      </c>
      <c r="V8536" t="str">
        <v>x</v>
      </c>
      <c r="W8536">
        <f>IF(D8517&gt;4*G8515,ROUND(MAX(D8517/4,2*G8515)/H8536,0)+1,0)</f>
        <v>17</v>
      </c>
      <c r="X8536" t="str">
        <v>x</v>
      </c>
      <c r="Y8536">
        <f>D8520</f>
        <v>1</v>
      </c>
      <c r="Z8536" t="str">
        <v>=</v>
      </c>
      <c r="AA8536">
        <f>N8536*U8536*W8536*Y8536</f>
        <v>10.794915000000001</v>
      </c>
    </row>
    <row r="8538">
      <c r="A8538" t="str">
        <f>A8514</f>
        <v>Lantai Attic</v>
      </c>
      <c r="B8538">
        <f>B8514</f>
        <v>20</v>
      </c>
      <c r="C8538" t="str">
        <v>Kait Horizontal Tump.</v>
      </c>
      <c r="D8538">
        <f>VLOOKUP(D8514,'Detail Balok'!$C$10:$BJ$110,46,FALSE)</f>
        <v>0</v>
      </c>
      <c r="E8538" t="str">
        <v>D</v>
      </c>
      <c r="F8538">
        <f>VLOOKUP(D8514,'Detail Balok'!$C$10:$BJ$110,48,FALSE)</f>
        <v>0</v>
      </c>
      <c r="G8538" t="str">
        <v>-</v>
      </c>
      <c r="H8538">
        <f>VLOOKUP(D8514,'Detail Balok'!$C$10:$BJ$110,50,FALSE)</f>
        <v>100</v>
      </c>
      <c r="J8538">
        <f>(D8515-2*F$5)/1000</f>
        <v>0.12</v>
      </c>
      <c r="K8538" t="str">
        <v>+</v>
      </c>
      <c r="L8538">
        <f>IF(D8538=0,2*MAX(6*F8538,75),(D8538-1)*2*MAX(6*F8538,75))/1000</f>
        <v>0.15</v>
      </c>
      <c r="M8538" t="str">
        <v>=</v>
      </c>
      <c r="N8538">
        <f>J8538+L8538</f>
        <v>0.27</v>
      </c>
      <c r="T8538" t="str">
        <v>x</v>
      </c>
      <c r="U8538">
        <f>0.006165*F8538^2</f>
        <v>0</v>
      </c>
      <c r="V8538" t="str">
        <v>x</v>
      </c>
      <c r="W8538">
        <f>W8534</f>
        <v>17</v>
      </c>
      <c r="X8538" t="str">
        <v>x</v>
      </c>
      <c r="Y8538">
        <f>D8524</f>
        <v>3</v>
      </c>
      <c r="Z8538" t="str">
        <v>=</v>
      </c>
      <c r="AA8538">
        <f>N8538*U8538*W8538*Y8538</f>
        <v>0</v>
      </c>
    </row>
    <row r="8539">
      <c r="A8539" t="str">
        <f>A8514</f>
        <v>Lantai Attic</v>
      </c>
      <c r="B8539">
        <f>B8514</f>
        <v>20</v>
      </c>
      <c r="C8539" t="str">
        <v>Kait Horizontal Lap.</v>
      </c>
      <c r="D8539">
        <f>VLOOKUP(D8514,'Detail Balok'!$C$10:$BJ$110,51,FALSE)</f>
        <v>0</v>
      </c>
      <c r="E8539" t="str">
        <v>D</v>
      </c>
      <c r="F8539">
        <f>VLOOKUP(D8514,'Detail Balok'!$C$10:$BJ$110,53,FALSE)</f>
        <v>0</v>
      </c>
      <c r="G8539" t="str">
        <v>-</v>
      </c>
      <c r="H8539">
        <f>VLOOKUP(D8514,'Detail Balok'!$C$10:$BJ$110,55,FALSE)</f>
        <v>100</v>
      </c>
      <c r="J8539">
        <f>(D8515-2*F$5)/1000</f>
        <v>0.12</v>
      </c>
      <c r="K8539" t="str">
        <v>+</v>
      </c>
      <c r="L8539">
        <f>IF(D8539=0,2*MAX(6*F8539,75),(D8539-1)*2*MAX(6*F8539,75))/1000</f>
        <v>0.15</v>
      </c>
      <c r="M8539" t="str">
        <v>=</v>
      </c>
      <c r="N8539">
        <f>J8539+L8539</f>
        <v>0.27</v>
      </c>
      <c r="T8539" t="str">
        <v>x</v>
      </c>
      <c r="U8539">
        <f>0.006165*F8539^2</f>
        <v>0</v>
      </c>
      <c r="V8539" t="str">
        <v>x</v>
      </c>
      <c r="W8539">
        <f>W8535</f>
        <v>16</v>
      </c>
      <c r="X8539" t="str">
        <v>x</v>
      </c>
      <c r="Y8539">
        <f>D8524</f>
        <v>3</v>
      </c>
      <c r="Z8539" t="str">
        <v>=</v>
      </c>
      <c r="AA8539">
        <f>N8539*U8539*W8539*Y8539</f>
        <v>0</v>
      </c>
    </row>
    <row r="8540">
      <c r="A8540" t="str">
        <f>A8514</f>
        <v>Lantai Attic</v>
      </c>
      <c r="B8540">
        <f>B8514</f>
        <v>20</v>
      </c>
      <c r="C8540" t="str">
        <v>Kait Horizontal Tump.</v>
      </c>
      <c r="D8540">
        <f>VLOOKUP(D8514,'Detail Balok'!$C$10:$BJ$110,56,FALSE)</f>
        <v>0</v>
      </c>
      <c r="E8540" t="str">
        <v>D</v>
      </c>
      <c r="F8540">
        <f>VLOOKUP(D8514,'Detail Balok'!$C$10:$BJ$110,58,FALSE)</f>
        <v>0</v>
      </c>
      <c r="G8540" t="str">
        <v>-</v>
      </c>
      <c r="H8540">
        <f>VLOOKUP(D8514,'Detail Balok'!$C$10:$BJ$110,60,FALSE)</f>
        <v>100</v>
      </c>
      <c r="J8540">
        <f>(D8515-2*F$5)/1000</f>
        <v>0.12</v>
      </c>
      <c r="K8540" t="str">
        <v>+</v>
      </c>
      <c r="L8540">
        <f>IF(D8540=0,2*MAX(6*F8540,75),(D8540-1)*2*MAX(6*F8540,75))/1000</f>
        <v>0.15</v>
      </c>
      <c r="M8540" t="str">
        <v>=</v>
      </c>
      <c r="N8540">
        <f>J8540+L8540</f>
        <v>0.27</v>
      </c>
      <c r="T8540" t="str">
        <v>x</v>
      </c>
      <c r="U8540">
        <f>0.006165*F8540^2</f>
        <v>0</v>
      </c>
      <c r="V8540" t="str">
        <v>x</v>
      </c>
      <c r="W8540">
        <f>W8536</f>
        <v>17</v>
      </c>
      <c r="X8540" t="str">
        <v>x</v>
      </c>
      <c r="Y8540">
        <f>D8524</f>
        <v>3</v>
      </c>
      <c r="Z8540" t="str">
        <v>=</v>
      </c>
      <c r="AA8540">
        <f>N8540*U8540*W8540*Y8540</f>
        <v>0</v>
      </c>
    </row>
    <row r="8544">
      <c r="A8544" t="str">
        <f>A8514</f>
        <v>Lantai Attic</v>
      </c>
      <c r="B8544">
        <f>B8514+1</f>
        <v>21</v>
      </c>
      <c r="C8544" t="str">
        <f>CONCATENATE(A8544," no. ",B8544)</f>
        <v>Lantai Attic no. 21</v>
      </c>
      <c r="D8544" t="str">
        <f>VLOOKUP(C8544,'Data Panjang Balok'!$C$9:$N$424,2,FALSE)</f>
        <v>Potongan J</v>
      </c>
    </row>
    <row r="8545">
      <c r="C8545" t="str">
        <v>Dimensi</v>
      </c>
      <c r="D8545">
        <f>VLOOKUP(D8544,'Detail Balok'!$C$10:$AU$110,2,FALSE)</f>
        <v>200</v>
      </c>
      <c r="F8545" t="str">
        <v>x</v>
      </c>
      <c r="G8545">
        <f>VLOOKUP(D8544,'Detail Balok'!$C$10:$AU$110,3,FALSE)</f>
        <v>500</v>
      </c>
    </row>
    <row r="8546">
      <c r="C8546" t="str">
        <v>Panjang as ke as</v>
      </c>
      <c r="D8546">
        <f>VLOOKUP(C8544,'Data Panjang Balok'!$C$9:$N$424,4,FALSE)</f>
        <v>700</v>
      </c>
    </row>
    <row r="8547">
      <c r="C8547" t="str">
        <v>Panjang netto</v>
      </c>
      <c r="D8547">
        <f>VLOOKUP(C8544,'Data Panjang Balok'!$C$9:$N$424,7,FALSE)</f>
        <v>700</v>
      </c>
    </row>
    <row r="8548">
      <c r="C8548" t="str">
        <v>Kolom / balok kiri</v>
      </c>
      <c r="D8548">
        <f>VLOOKUP(C8544,'Data Panjang Balok'!$C$9:$N$424,9,FALSE)</f>
        <v>0</v>
      </c>
    </row>
    <row r="8549">
      <c r="C8549" t="str">
        <v>Kolom / balok kanan</v>
      </c>
      <c r="D8549">
        <f>VLOOKUP(C8544,'Data Panjang Balok'!$C$9:$N$424,10,FALSE)</f>
        <v>0</v>
      </c>
    </row>
    <row r="8550">
      <c r="C8550" t="str">
        <v>Jumlah</v>
      </c>
      <c r="D8550">
        <f>VLOOKUP(C8544,'Data Panjang Balok'!$C$9:$N$424,3,FALSE)</f>
        <v>1</v>
      </c>
    </row>
    <row r="8551">
      <c r="A8551" t="str">
        <f>A8544</f>
        <v>Lantai Attic</v>
      </c>
      <c r="B8551">
        <f>B8544</f>
        <v>21</v>
      </c>
      <c r="C8551" t="str">
        <v>Tul Atas Tumpuan</v>
      </c>
      <c r="D8551">
        <f>VLOOKUP(D8544,'Detail Balok'!$C$10:$AU$110,4,FALSE)</f>
        <v>5</v>
      </c>
      <c r="E8551" t="str">
        <v>D</v>
      </c>
      <c r="F8551">
        <f>VLOOKUP(D8544,'Detail Balok'!$C$10:$AU$110,6,FALSE)</f>
        <v>19</v>
      </c>
      <c r="I8551" t="str">
        <v>(</v>
      </c>
      <c r="J8551">
        <f>+D8546/4/1000</f>
        <v>0.175</v>
      </c>
      <c r="K8551" t="str">
        <v>+</v>
      </c>
      <c r="L8551">
        <f>MAX(VLOOKUP(F8551,N$6:P$15,3,FALSE)/1000,2/3*D8548/1000)+F$16*F8551/1000</f>
        <v>0.228</v>
      </c>
      <c r="M8551" t="str">
        <v>=</v>
      </c>
      <c r="N8551">
        <f>J8551+L8551</f>
        <v>0.403</v>
      </c>
      <c r="O8551" t="str">
        <v>+</v>
      </c>
      <c r="P8551">
        <f>D8551-D8552</f>
        <v>0</v>
      </c>
      <c r="Q8551" t="str">
        <v>x</v>
      </c>
      <c r="R8551">
        <f>IF(P8551&gt;0,$F$18*F8551/1000,0)</f>
        <v>0</v>
      </c>
      <c r="S8551" t="str">
        <v>)</v>
      </c>
      <c r="T8551" t="str">
        <v>x</v>
      </c>
      <c r="U8551">
        <f>0.006165*F8551^2</f>
        <v>2.225565</v>
      </c>
      <c r="X8551" t="str">
        <v>x</v>
      </c>
      <c r="Y8551">
        <f>D8550</f>
        <v>1</v>
      </c>
      <c r="Z8551" t="str">
        <v>=</v>
      </c>
      <c r="AA8551">
        <f>IF(AA8554=0,(D8551*N8551+P8551*R8551)*U8551*Y8551,0)</f>
        <v>0</v>
      </c>
    </row>
    <row r="8552">
      <c r="A8552" t="str">
        <f>A8544</f>
        <v>Lantai Attic</v>
      </c>
      <c r="B8552">
        <f>B8544</f>
        <v>21</v>
      </c>
      <c r="C8552" t="str">
        <v>Tul Atas Lapangan</v>
      </c>
      <c r="D8552">
        <f>VLOOKUP(D8544,'Detail Balok'!$C$10:$AU$110,7,FALSE)</f>
        <v>5</v>
      </c>
      <c r="E8552" t="str">
        <v>D</v>
      </c>
      <c r="F8552">
        <f>VLOOKUP(D8544,'Detail Balok'!$C$10:$AU$110,9,FALSE)</f>
        <v>19</v>
      </c>
      <c r="I8552" t="str">
        <v>(</v>
      </c>
      <c r="J8552">
        <f>+D8546/2/1000</f>
        <v>0.35</v>
      </c>
      <c r="K8552" t="str">
        <v>+</v>
      </c>
      <c r="M8552" t="str">
        <v>=</v>
      </c>
      <c r="N8552">
        <f>J8552+L8552</f>
        <v>0.35</v>
      </c>
      <c r="O8552" t="str">
        <v>+</v>
      </c>
      <c r="P8552">
        <f>MAX(D8552-D8551,D8552-D8553)</f>
        <v>0</v>
      </c>
      <c r="Q8552" t="str">
        <v>x</v>
      </c>
      <c r="R8552">
        <f>IF(P8552&gt;0,2*(1-2*$F$19-1/2)*D8547/1000,0)</f>
        <v>0</v>
      </c>
      <c r="S8552" t="str">
        <v>)</v>
      </c>
      <c r="T8552" t="str">
        <v>x</v>
      </c>
      <c r="U8552">
        <f>0.006165*F8552^2</f>
        <v>2.225565</v>
      </c>
      <c r="X8552" t="str">
        <v>x</v>
      </c>
      <c r="Y8552">
        <f>D8550</f>
        <v>1</v>
      </c>
      <c r="Z8552" t="str">
        <v>=</v>
      </c>
      <c r="AA8552">
        <f>IF(AA8554=0,(D8552*N8552+P8552*R8552)*U8552*Y8552,0)</f>
        <v>0</v>
      </c>
    </row>
    <row r="8553">
      <c r="A8553" t="str">
        <f>A8544</f>
        <v>Lantai Attic</v>
      </c>
      <c r="B8553">
        <f>B8544</f>
        <v>21</v>
      </c>
      <c r="C8553" t="str">
        <v>Tul Atas Tumpuan</v>
      </c>
      <c r="D8553">
        <f>VLOOKUP(D8544,'Detail Balok'!$C$10:$AU$110,10,FALSE)</f>
        <v>5</v>
      </c>
      <c r="E8553" t="str">
        <v>D</v>
      </c>
      <c r="F8553">
        <f>VLOOKUP(D8544,'Detail Balok'!$C$10:$AU$110,12,FALSE)</f>
        <v>19</v>
      </c>
      <c r="I8553" t="str">
        <v>(</v>
      </c>
      <c r="J8553">
        <f>+D8546/4/1000</f>
        <v>0.175</v>
      </c>
      <c r="K8553" t="str">
        <v>+</v>
      </c>
      <c r="L8553">
        <f>MAX(VLOOKUP(F8553,N$6:P$15,3,FALSE)/1000,2/3*D8548/1000)+F$16*F8553/1000</f>
        <v>0.228</v>
      </c>
      <c r="M8553" t="str">
        <v>=</v>
      </c>
      <c r="N8553">
        <f>J8553+L8553</f>
        <v>0.403</v>
      </c>
      <c r="O8553" t="str">
        <v>+</v>
      </c>
      <c r="P8553">
        <f>D8553-D8552</f>
        <v>0</v>
      </c>
      <c r="Q8553" t="str">
        <v>x</v>
      </c>
      <c r="R8553">
        <f>IF(P8553&gt;0,$F$18*F8553/1000,0)</f>
        <v>0</v>
      </c>
      <c r="S8553" t="str">
        <v>)</v>
      </c>
      <c r="T8553" t="str">
        <v>x</v>
      </c>
      <c r="U8553">
        <f>0.006165*F8553^2</f>
        <v>2.225565</v>
      </c>
      <c r="X8553" t="str">
        <v>x</v>
      </c>
      <c r="Y8553">
        <f>D8550</f>
        <v>1</v>
      </c>
      <c r="Z8553" t="str">
        <v>=</v>
      </c>
      <c r="AA8553">
        <f>IF(AA8554=0,(D8553*N8553+P8553*R8553)*U8553*Y8553,0)</f>
        <v>0</v>
      </c>
    </row>
    <row r="8554">
      <c r="A8554" t="str">
        <f>A8544</f>
        <v>Lantai Attic</v>
      </c>
      <c r="B8554">
        <f>B8544</f>
        <v>21</v>
      </c>
      <c r="D8554">
        <f>IF(AND(D8551=D8552,D8552=D8553,D8551=D8553),D8551,0)</f>
        <v>5</v>
      </c>
      <c r="E8554" t="str">
        <v>D</v>
      </c>
      <c r="F8554">
        <f>IF(AND(F8551=F8552,F8551=F8553,F8552=F8553),F8551,0)</f>
        <v>19</v>
      </c>
      <c r="L8554" t="str">
        <v>Total panjang per balok</v>
      </c>
      <c r="M8554" t="str">
        <v>=</v>
      </c>
      <c r="N8554">
        <f>IF(AND(D8551=D8552,D8551=D8553,D8552=D8553,F8551=F8552,F8551=F8553,F8552=F8553),SUM(N8551:N8553),0)</f>
        <v>1.1560000000000001</v>
      </c>
      <c r="O8554" t="str">
        <v>+</v>
      </c>
      <c r="P8554">
        <f>IF(N8554&gt;12,ROUNDDOWN(N8554/12,0),0)</f>
        <v>0</v>
      </c>
      <c r="Q8554" t="str">
        <v>x</v>
      </c>
      <c r="R8554">
        <f>IF(P8554&gt;0,MAX(VLOOKUP(F8554,$D$6:$G$15,3,FALSE),600),0)/1000</f>
        <v>0</v>
      </c>
      <c r="T8554" t="str">
        <v>x</v>
      </c>
      <c r="U8554">
        <f>U8553</f>
        <v>2.225565</v>
      </c>
      <c r="V8554" t="str">
        <v>x</v>
      </c>
      <c r="W8554">
        <f>D8554</f>
        <v>5</v>
      </c>
      <c r="X8554" t="str">
        <v>x</v>
      </c>
      <c r="Y8554">
        <f>Y8553</f>
        <v>1</v>
      </c>
      <c r="Z8554" t="str">
        <v>=</v>
      </c>
      <c r="AA8554">
        <f>(N8554+P8554*R8554/1000)*U8554*W8554*Y8554</f>
        <v>12.8637657</v>
      </c>
    </row>
    <row r="8556">
      <c r="A8556" t="str">
        <f>A8544</f>
        <v>Lantai Attic</v>
      </c>
      <c r="B8556">
        <f>B8544</f>
        <v>21</v>
      </c>
      <c r="C8556" t="str">
        <v>Tul Peminggang</v>
      </c>
      <c r="D8556">
        <f>VLOOKUP(D8544,'Detail Balok'!$C$10:$AU$110,13,FALSE)</f>
        <v>2</v>
      </c>
      <c r="E8556" t="str">
        <v>D</v>
      </c>
      <c r="F8556">
        <f>VLOOKUP(D8544,'Detail Balok'!$C$10:$AU$110,15,FALSE)</f>
        <v>10</v>
      </c>
      <c r="J8556">
        <f>+D8546/1000</f>
        <v>0.7</v>
      </c>
      <c r="K8556" t="str">
        <v>+</v>
      </c>
      <c r="L8556">
        <f>2*$F$16*F8556/1000</f>
        <v>0.24</v>
      </c>
      <c r="M8556" t="str">
        <v>=</v>
      </c>
      <c r="N8556">
        <f>J8556+L8556</f>
        <v>0.94</v>
      </c>
      <c r="O8556" t="str">
        <v>+</v>
      </c>
      <c r="P8556">
        <f>IF(N8556&gt;12,ROUNDDOWN(N8556/12,0),0)</f>
        <v>0</v>
      </c>
      <c r="Q8556" t="str">
        <v>x</v>
      </c>
      <c r="R8556">
        <f>IF(P8556&gt;0,MAX(VLOOKUP(F8556,$D$6:$G$15,3,FALSE),600),0)/1000</f>
        <v>0</v>
      </c>
      <c r="T8556" t="str">
        <v>x</v>
      </c>
      <c r="U8556">
        <f>0.006165*F8556^2</f>
        <v>0.6165</v>
      </c>
      <c r="V8556" t="str">
        <v>x</v>
      </c>
      <c r="W8556">
        <f>+D8556</f>
        <v>2</v>
      </c>
      <c r="X8556" t="str">
        <v>x</v>
      </c>
      <c r="Y8556">
        <f>D8550</f>
        <v>1</v>
      </c>
      <c r="Z8556" t="str">
        <v>=</v>
      </c>
      <c r="AA8556">
        <f>(N8556+P8556*R8556/1000)*U8556*W8556*Y8556</f>
        <v>1.15902</v>
      </c>
    </row>
    <row r="8559">
      <c r="A8559" t="str">
        <f>A8544</f>
        <v>Lantai Attic</v>
      </c>
      <c r="B8559">
        <f>B8544</f>
        <v>21</v>
      </c>
      <c r="C8559" t="str">
        <v>Tul Bawah Tumpuan</v>
      </c>
      <c r="D8559">
        <f>VLOOKUP(D8544,'Detail Balok'!$C$10:$AU$110,22,FALSE)</f>
        <v>2</v>
      </c>
      <c r="E8559" t="str">
        <v>D</v>
      </c>
      <c r="F8559">
        <f>VLOOKUP(D8544,'Detail Balok'!$C$10:$AU$110,24,FALSE)</f>
        <v>19</v>
      </c>
      <c r="I8559" t="str">
        <v>(</v>
      </c>
      <c r="J8559">
        <f>+J8551</f>
        <v>0.175</v>
      </c>
      <c r="K8559" t="str">
        <v>+</v>
      </c>
      <c r="L8559">
        <f>MAX(VLOOKUP(F8559,N$6:P$15,3,FALSE)/1000,2/3*D8549/1000)+F$16*F8559/1000</f>
        <v>0.228</v>
      </c>
      <c r="M8559" t="str">
        <v>=</v>
      </c>
      <c r="N8559">
        <f>J8559+L8559</f>
        <v>0.403</v>
      </c>
      <c r="O8559" t="str">
        <v>+</v>
      </c>
      <c r="P8559">
        <f>D8559-D8560</f>
        <v>0</v>
      </c>
      <c r="Q8559" t="str">
        <v>x</v>
      </c>
      <c r="R8559">
        <f>IF(P8559&gt;0,$F$18*F8559/1000,0)</f>
        <v>0</v>
      </c>
      <c r="S8559" t="str">
        <v>)</v>
      </c>
      <c r="T8559" t="str">
        <v>x</v>
      </c>
      <c r="U8559">
        <f>0.006165*F8559^2</f>
        <v>2.225565</v>
      </c>
      <c r="X8559" t="str">
        <v>x</v>
      </c>
      <c r="Y8559">
        <f>D8550</f>
        <v>1</v>
      </c>
      <c r="Z8559" t="str">
        <v>=</v>
      </c>
      <c r="AA8559">
        <f>IF(AA8562=0,(D8559*N8559+P8559*R8559)*U8559*Y8559,0)</f>
        <v>0</v>
      </c>
    </row>
    <row r="8560">
      <c r="A8560" t="str">
        <f>A8544</f>
        <v>Lantai Attic</v>
      </c>
      <c r="B8560">
        <f>B8544</f>
        <v>21</v>
      </c>
      <c r="C8560" t="str">
        <v>Tul Bawah Lapangan</v>
      </c>
      <c r="D8560">
        <f>VLOOKUP(D8544,'Detail Balok'!$C$10:$AU$110,25,FALSE)</f>
        <v>2</v>
      </c>
      <c r="E8560" t="str">
        <v>D</v>
      </c>
      <c r="F8560">
        <f>VLOOKUP(D8544,'Detail Balok'!$C$10:$AU$110,27,FALSE)</f>
        <v>19</v>
      </c>
      <c r="I8560" t="str">
        <v>(</v>
      </c>
      <c r="J8560">
        <f>+J8552</f>
        <v>0.35</v>
      </c>
      <c r="K8560" t="str">
        <v>+</v>
      </c>
      <c r="M8560" t="str">
        <v>=</v>
      </c>
      <c r="N8560">
        <f>J8560+L8560</f>
        <v>0.35</v>
      </c>
      <c r="O8560" t="str">
        <v>+</v>
      </c>
      <c r="P8560">
        <f>MAX(D8560-D8559,D8560-D8561)</f>
        <v>0</v>
      </c>
      <c r="Q8560" t="str">
        <v>x</v>
      </c>
      <c r="R8560">
        <f>IF(P8560&gt;0,2*(1-2*$F$19-1/2)*D8547/1000,0)</f>
        <v>0</v>
      </c>
      <c r="S8560" t="str">
        <v>)</v>
      </c>
      <c r="T8560" t="str">
        <v>x</v>
      </c>
      <c r="U8560">
        <f>0.006165*F8560^2</f>
        <v>2.225565</v>
      </c>
      <c r="X8560" t="str">
        <v>x</v>
      </c>
      <c r="Y8560">
        <f>D8550</f>
        <v>1</v>
      </c>
      <c r="Z8560" t="str">
        <v>=</v>
      </c>
      <c r="AA8560">
        <f>IF(AA8562=0,(D8560*N8560+P8560*R8560)*U8560*Y8560,0)</f>
        <v>0</v>
      </c>
    </row>
    <row r="8561">
      <c r="A8561" t="str">
        <f>A8544</f>
        <v>Lantai Attic</v>
      </c>
      <c r="B8561">
        <f>B8544</f>
        <v>21</v>
      </c>
      <c r="C8561" t="str">
        <v>Tul Bawah Tumpuan</v>
      </c>
      <c r="D8561">
        <f>VLOOKUP(D8544,'Detail Balok'!$C$10:$AU$110,28,FALSE)</f>
        <v>2</v>
      </c>
      <c r="E8561" t="str">
        <v>D</v>
      </c>
      <c r="F8561">
        <f>VLOOKUP(D8544,'Detail Balok'!$C$10:$AU$110,30,FALSE)</f>
        <v>19</v>
      </c>
      <c r="I8561" t="str">
        <v>(</v>
      </c>
      <c r="J8561">
        <f>+J8553</f>
        <v>0.175</v>
      </c>
      <c r="K8561" t="str">
        <v>+</v>
      </c>
      <c r="L8561">
        <f>MAX(VLOOKUP(F8561,N$6:P$15,3,FALSE)/1000,2/3*D8549/1000)+F$16*F8561/1000</f>
        <v>0.228</v>
      </c>
      <c r="M8561" t="str">
        <v>=</v>
      </c>
      <c r="N8561">
        <f>J8561+L8561</f>
        <v>0.403</v>
      </c>
      <c r="O8561" t="str">
        <v>+</v>
      </c>
      <c r="P8561">
        <f>D8561-D8560</f>
        <v>0</v>
      </c>
      <c r="Q8561" t="str">
        <v>x</v>
      </c>
      <c r="R8561">
        <f>IF(P8561&gt;0,$F$18*F8561/1000,0)</f>
        <v>0</v>
      </c>
      <c r="S8561" t="str">
        <v>)</v>
      </c>
      <c r="T8561" t="str">
        <v>x</v>
      </c>
      <c r="U8561">
        <f>0.006165*F8561^2</f>
        <v>2.225565</v>
      </c>
      <c r="X8561" t="str">
        <v>x</v>
      </c>
      <c r="Y8561">
        <f>D8550</f>
        <v>1</v>
      </c>
      <c r="Z8561" t="str">
        <v>=</v>
      </c>
      <c r="AA8561">
        <f>IF(AA8562=0,(D8561*N8561+P8561*R8561)*U8561*Y8561,0)</f>
        <v>0</v>
      </c>
    </row>
    <row r="8562">
      <c r="A8562" t="str">
        <f>A8544</f>
        <v>Lantai Attic</v>
      </c>
      <c r="B8562">
        <f>B8544</f>
        <v>21</v>
      </c>
      <c r="D8562">
        <f>IF(AND(D8559=D8560,D8560=D8561,D8559=D8561),D8559,0)</f>
        <v>2</v>
      </c>
      <c r="E8562" t="str">
        <v>D</v>
      </c>
      <c r="F8562">
        <f>IF(AND(F8559=F8560,F8559=F8561,F8560=F8561),F8559,0)</f>
        <v>19</v>
      </c>
      <c r="L8562" t="str">
        <v>Total panjang per balok</v>
      </c>
      <c r="M8562" t="str">
        <v>=</v>
      </c>
      <c r="N8562">
        <f>IF(AND(D8559=D8560,D8559=D8561,D8560=D8561,F8559=F8560,F8559=F8561,F8560=F8561),SUM(N8559:N8561),0)</f>
        <v>1.1560000000000001</v>
      </c>
      <c r="O8562" t="str">
        <v>+</v>
      </c>
      <c r="P8562">
        <f>IF(N8562&gt;12,ROUNDDOWN(N8562/12,0),0)</f>
        <v>0</v>
      </c>
      <c r="Q8562" t="str">
        <v>x</v>
      </c>
      <c r="R8562">
        <f>IF(P8562&gt;0,MAX(VLOOKUP(F8562,$D$6:$G$15,3,FALSE),600),0)/1000</f>
        <v>0</v>
      </c>
      <c r="T8562" t="str">
        <v>x</v>
      </c>
      <c r="U8562">
        <f>U8561</f>
        <v>2.225565</v>
      </c>
      <c r="V8562" t="str">
        <v>x</v>
      </c>
      <c r="W8562">
        <f>D8562</f>
        <v>2</v>
      </c>
      <c r="X8562" t="str">
        <v>x</v>
      </c>
      <c r="Y8562">
        <f>Y8561</f>
        <v>1</v>
      </c>
      <c r="Z8562" t="str">
        <v>=</v>
      </c>
      <c r="AA8562">
        <f>(N8562+P8562*R8562/1000)*U8562*W8562*Y8562</f>
        <v>5.14550628</v>
      </c>
    </row>
    <row r="8564">
      <c r="A8564" t="str">
        <f>A8544</f>
        <v>Lantai Attic</v>
      </c>
      <c r="B8564">
        <f>B8544</f>
        <v>21</v>
      </c>
      <c r="C8564" t="str">
        <v>Sengkang Tumpuan</v>
      </c>
      <c r="D8564">
        <f>VLOOKUP(D8544,'Detail Balok'!$C$10:$AU$110,31,FALSE)</f>
        <v>0</v>
      </c>
      <c r="E8564" t="str">
        <v>D</v>
      </c>
      <c r="F8564">
        <f>VLOOKUP(D8544,'Detail Balok'!$C$10:$AU$110,33,FALSE)</f>
        <v>10</v>
      </c>
      <c r="G8564" t="str">
        <v>-</v>
      </c>
      <c r="H8564">
        <f>VLOOKUP(D8544,'Detail Balok'!$C$10:$AU$110,35,FALSE)</f>
        <v>200</v>
      </c>
      <c r="J8564">
        <f>(IF(D8564=0,(2*(D8545+G8545))-(F$5*8),IF(D8564=3,(2*(D8545+G8545))-(F$5*8)+(G8545-2*F$5),IF(D8564=4,(2*(D8545+G8545))-(F$5*8)+2*(G8545-2*F$5)))))/1000</f>
        <v>1.08</v>
      </c>
      <c r="K8564" t="str">
        <v>+</v>
      </c>
      <c r="L8564">
        <f>IF(D8564=0,2*MAX(6*F8564,75),(D8564-1)*2*MAX(6*F8564,75))/1000</f>
        <v>0.15</v>
      </c>
      <c r="M8564" t="str">
        <v>=</v>
      </c>
      <c r="N8564">
        <f>J8564+L8564</f>
        <v>1.23</v>
      </c>
      <c r="T8564" t="str">
        <v>x</v>
      </c>
      <c r="U8564">
        <f>0.006165*F8564^2</f>
        <v>0.6165</v>
      </c>
      <c r="V8564" t="str">
        <v>x</v>
      </c>
      <c r="W8564">
        <f>IF(D8547&gt;4*G8545,ROUND(MAX(D8547/4,2*G8545)/H8564,0)+1,ROUND(D8547/H8564,0)+1)</f>
        <v>5</v>
      </c>
      <c r="X8564" t="str">
        <v>x</v>
      </c>
      <c r="Y8564">
        <f>D8550</f>
        <v>1</v>
      </c>
      <c r="Z8564" t="str">
        <v>=</v>
      </c>
      <c r="AA8564">
        <f>N8564*U8564*W8564*Y8564</f>
        <v>3.791475</v>
      </c>
    </row>
    <row r="8565">
      <c r="A8565" t="str">
        <f>A8544</f>
        <v>Lantai Attic</v>
      </c>
      <c r="B8565">
        <f>B8544</f>
        <v>21</v>
      </c>
      <c r="C8565" t="str">
        <v>Sengkang Lapangan</v>
      </c>
      <c r="D8565">
        <f>VLOOKUP(D8544,'Detail Balok'!$C$10:$AU$110,36,FALSE)</f>
        <v>0</v>
      </c>
      <c r="E8565" t="str">
        <v>D</v>
      </c>
      <c r="F8565">
        <f>VLOOKUP(D8544,'Detail Balok'!$C$10:$AU$110,38,FALSE)</f>
        <v>10</v>
      </c>
      <c r="G8565" t="str">
        <v>-</v>
      </c>
      <c r="H8565">
        <f>VLOOKUP(D8544,'Detail Balok'!$C$10:$AU$110,40,FALSE)</f>
        <v>200</v>
      </c>
      <c r="J8565">
        <f>(IF(D8565=0,(2*(D8545+G8545))-(F$5*8),IF(D8565=3,(2*(D8545+G8545))-(F$5*8)+(G8545-2*F$5),IF(D8565=4,(2*(D8545+G8545))-(F$5*8)+2*(G8545-2*F$5)))))/1000</f>
        <v>1.08</v>
      </c>
      <c r="K8565" t="str">
        <v>+</v>
      </c>
      <c r="L8565">
        <f>IF(D8565=0,2*MAX(6*F8565,75),(D8565-1)*2*MAX(6*F8565,75))/1000</f>
        <v>0.15</v>
      </c>
      <c r="M8565" t="str">
        <v>=</v>
      </c>
      <c r="N8565">
        <f>J8565+L8565</f>
        <v>1.23</v>
      </c>
      <c r="T8565" t="str">
        <v>x</v>
      </c>
      <c r="U8565">
        <f>0.006165*F8565^2</f>
        <v>0.6165</v>
      </c>
      <c r="V8565" t="str">
        <v>x</v>
      </c>
      <c r="W8565">
        <f>IF(D8547-MAX(D8547/4,2*G8545)*2&gt;0,ROUND((D8547-MAX(D8547/4,2*G8545)*2)/H8565,0),0)</f>
        <v>0</v>
      </c>
      <c r="X8565" t="str">
        <v>x</v>
      </c>
      <c r="Y8565">
        <f>D8550</f>
        <v>1</v>
      </c>
      <c r="Z8565" t="str">
        <v>=</v>
      </c>
      <c r="AA8565">
        <f>N8565*U8565*W8565*Y8565</f>
        <v>0</v>
      </c>
    </row>
    <row r="8566">
      <c r="A8566" t="str">
        <f>A8544</f>
        <v>Lantai Attic</v>
      </c>
      <c r="B8566">
        <f>B8544</f>
        <v>21</v>
      </c>
      <c r="C8566" t="str">
        <v>Sengkang Tumpuan</v>
      </c>
      <c r="D8566">
        <f>VLOOKUP(D8544,'Detail Balok'!$C$10:$AU$110,41,FALSE)</f>
        <v>0</v>
      </c>
      <c r="E8566" t="str">
        <v>D</v>
      </c>
      <c r="F8566">
        <f>VLOOKUP(D8544,'Detail Balok'!$C$10:$AU$110,43,FALSE)</f>
        <v>10</v>
      </c>
      <c r="G8566" t="str">
        <v>-</v>
      </c>
      <c r="H8566">
        <f>VLOOKUP(D8544,'Detail Balok'!$C$10:$AU$110,45,FALSE)</f>
        <v>200</v>
      </c>
      <c r="J8566">
        <f>(IF(D8566=0,(2*(D8545+G8545))-(F$5*8),IF(D8566=3,(2*(D8545+G8545))-(F$5*8)+(G8545-2*F$5),IF(D8566=4,(2*(D8545+G8545))-(F$5*8)+2*(G8545-2*F$5)))))/1000</f>
        <v>1.08</v>
      </c>
      <c r="K8566" t="str">
        <v>+</v>
      </c>
      <c r="L8566">
        <f>IF(D8566=0,2*MAX(6*F8566,75),(D8566-1)*2*MAX(6*F8566,75))/1000</f>
        <v>0.15</v>
      </c>
      <c r="M8566" t="str">
        <v>=</v>
      </c>
      <c r="N8566">
        <f>J8566+L8566</f>
        <v>1.23</v>
      </c>
      <c r="T8566" t="str">
        <v>x</v>
      </c>
      <c r="U8566">
        <f>0.006165*F8566^2</f>
        <v>0.6165</v>
      </c>
      <c r="V8566" t="str">
        <v>x</v>
      </c>
      <c r="W8566">
        <f>IF(D8547&gt;4*G8545,ROUND(MAX(D8547/4,2*G8545)/H8566,0)+1,0)</f>
        <v>0</v>
      </c>
      <c r="X8566" t="str">
        <v>x</v>
      </c>
      <c r="Y8566">
        <f>D8550</f>
        <v>1</v>
      </c>
      <c r="Z8566" t="str">
        <v>=</v>
      </c>
      <c r="AA8566">
        <f>N8566*U8566*W8566*Y8566</f>
        <v>0</v>
      </c>
    </row>
    <row r="8568">
      <c r="A8568" t="str">
        <f>A8544</f>
        <v>Lantai Attic</v>
      </c>
      <c r="B8568">
        <f>B8544</f>
        <v>21</v>
      </c>
      <c r="C8568" t="str">
        <v>Kait Horizontal Tump.</v>
      </c>
      <c r="D8568">
        <f>VLOOKUP(D8544,'Detail Balok'!$C$10:$BJ$110,46,FALSE)</f>
        <v>0</v>
      </c>
      <c r="E8568" t="str">
        <v>D</v>
      </c>
      <c r="F8568">
        <f>VLOOKUP(D8544,'Detail Balok'!$C$10:$BJ$110,48,FALSE)</f>
        <v>0</v>
      </c>
      <c r="G8568" t="str">
        <v>-</v>
      </c>
      <c r="H8568">
        <f>VLOOKUP(D8544,'Detail Balok'!$C$10:$BJ$110,50,FALSE)</f>
        <v>100</v>
      </c>
      <c r="J8568">
        <f>(D8545-2*F$5)/1000</f>
        <v>0.12</v>
      </c>
      <c r="K8568" t="str">
        <v>+</v>
      </c>
      <c r="L8568">
        <f>IF(D8568=0,2*MAX(6*F8568,75),(D8568-1)*2*MAX(6*F8568,75))/1000</f>
        <v>0.15</v>
      </c>
      <c r="M8568" t="str">
        <v>=</v>
      </c>
      <c r="N8568">
        <f>J8568+L8568</f>
        <v>0.27</v>
      </c>
      <c r="T8568" t="str">
        <v>x</v>
      </c>
      <c r="U8568">
        <f>0.006165*F8568^2</f>
        <v>0</v>
      </c>
      <c r="V8568" t="str">
        <v>x</v>
      </c>
      <c r="W8568">
        <f>W8564</f>
        <v>5</v>
      </c>
      <c r="X8568" t="str">
        <v>x</v>
      </c>
      <c r="Y8568">
        <f>D8554</f>
        <v>5</v>
      </c>
      <c r="Z8568" t="str">
        <v>=</v>
      </c>
      <c r="AA8568">
        <f>N8568*U8568*W8568*Y8568</f>
        <v>0</v>
      </c>
    </row>
    <row r="8569">
      <c r="A8569" t="str">
        <f>A8544</f>
        <v>Lantai Attic</v>
      </c>
      <c r="B8569">
        <f>B8544</f>
        <v>21</v>
      </c>
      <c r="C8569" t="str">
        <v>Kait Horizontal Lap.</v>
      </c>
      <c r="D8569">
        <f>VLOOKUP(D8544,'Detail Balok'!$C$10:$BJ$110,51,FALSE)</f>
        <v>0</v>
      </c>
      <c r="E8569" t="str">
        <v>D</v>
      </c>
      <c r="F8569">
        <f>VLOOKUP(D8544,'Detail Balok'!$C$10:$BJ$110,53,FALSE)</f>
        <v>0</v>
      </c>
      <c r="G8569" t="str">
        <v>-</v>
      </c>
      <c r="H8569">
        <f>VLOOKUP(D8544,'Detail Balok'!$C$10:$BJ$110,55,FALSE)</f>
        <v>100</v>
      </c>
      <c r="J8569">
        <f>(D8545-2*F$5)/1000</f>
        <v>0.12</v>
      </c>
      <c r="K8569" t="str">
        <v>+</v>
      </c>
      <c r="L8569">
        <f>IF(D8569=0,2*MAX(6*F8569,75),(D8569-1)*2*MAX(6*F8569,75))/1000</f>
        <v>0.15</v>
      </c>
      <c r="M8569" t="str">
        <v>=</v>
      </c>
      <c r="N8569">
        <f>J8569+L8569</f>
        <v>0.27</v>
      </c>
      <c r="T8569" t="str">
        <v>x</v>
      </c>
      <c r="U8569">
        <f>0.006165*F8569^2</f>
        <v>0</v>
      </c>
      <c r="V8569" t="str">
        <v>x</v>
      </c>
      <c r="W8569">
        <f>W8565</f>
        <v>0</v>
      </c>
      <c r="X8569" t="str">
        <v>x</v>
      </c>
      <c r="Y8569">
        <f>D8554</f>
        <v>5</v>
      </c>
      <c r="Z8569" t="str">
        <v>=</v>
      </c>
      <c r="AA8569">
        <f>N8569*U8569*W8569*Y8569</f>
        <v>0</v>
      </c>
    </row>
    <row r="8570">
      <c r="A8570" t="str">
        <f>A8544</f>
        <v>Lantai Attic</v>
      </c>
      <c r="B8570">
        <f>B8544</f>
        <v>21</v>
      </c>
      <c r="C8570" t="str">
        <v>Kait Horizontal Tump.</v>
      </c>
      <c r="D8570">
        <f>VLOOKUP(D8544,'Detail Balok'!$C$10:$BJ$110,56,FALSE)</f>
        <v>0</v>
      </c>
      <c r="E8570" t="str">
        <v>D</v>
      </c>
      <c r="F8570">
        <f>VLOOKUP(D8544,'Detail Balok'!$C$10:$BJ$110,58,FALSE)</f>
        <v>0</v>
      </c>
      <c r="G8570" t="str">
        <v>-</v>
      </c>
      <c r="H8570">
        <f>VLOOKUP(D8544,'Detail Balok'!$C$10:$BJ$110,60,FALSE)</f>
        <v>100</v>
      </c>
      <c r="J8570">
        <f>(D8545-2*F$5)/1000</f>
        <v>0.12</v>
      </c>
      <c r="K8570" t="str">
        <v>+</v>
      </c>
      <c r="L8570">
        <f>IF(D8570=0,2*MAX(6*F8570,75),(D8570-1)*2*MAX(6*F8570,75))/1000</f>
        <v>0.15</v>
      </c>
      <c r="M8570" t="str">
        <v>=</v>
      </c>
      <c r="N8570">
        <f>J8570+L8570</f>
        <v>0.27</v>
      </c>
      <c r="T8570" t="str">
        <v>x</v>
      </c>
      <c r="U8570">
        <f>0.006165*F8570^2</f>
        <v>0</v>
      </c>
      <c r="V8570" t="str">
        <v>x</v>
      </c>
      <c r="W8570">
        <f>W8566</f>
        <v>0</v>
      </c>
      <c r="X8570" t="str">
        <v>x</v>
      </c>
      <c r="Y8570">
        <f>D8554</f>
        <v>5</v>
      </c>
      <c r="Z8570" t="str">
        <v>=</v>
      </c>
      <c r="AA8570">
        <f>N8570*U8570*W8570*Y8570</f>
        <v>0</v>
      </c>
    </row>
    <row r="8574">
      <c r="A8574" t="str">
        <f>A8544</f>
        <v>Lantai Attic</v>
      </c>
      <c r="B8574">
        <f>B8544+1</f>
        <v>22</v>
      </c>
      <c r="C8574" t="str">
        <f>CONCATENATE(A8574," no. ",B8574)</f>
        <v>Lantai Attic no. 22</v>
      </c>
      <c r="D8574" t="str">
        <f>VLOOKUP(C8574,'Data Panjang Balok'!$C$9:$N$424,2,FALSE)</f>
        <v>B2550-1</v>
      </c>
    </row>
    <row r="8575">
      <c r="C8575" t="str">
        <v>Dimensi</v>
      </c>
      <c r="D8575">
        <f>VLOOKUP(D8574,'Detail Balok'!$C$10:$AU$110,2,FALSE)</f>
        <v>250</v>
      </c>
      <c r="F8575" t="str">
        <v>x</v>
      </c>
      <c r="G8575">
        <f>VLOOKUP(D8574,'Detail Balok'!$C$10:$AU$110,3,FALSE)</f>
        <v>500</v>
      </c>
    </row>
    <row r="8576">
      <c r="C8576" t="str">
        <v>Panjang as ke as</v>
      </c>
      <c r="D8576">
        <f>VLOOKUP(C8574,'Data Panjang Balok'!$C$9:$N$424,4,FALSE)</f>
        <v>6100</v>
      </c>
    </row>
    <row r="8577">
      <c r="C8577" t="str">
        <v>Panjang netto</v>
      </c>
      <c r="D8577">
        <f>VLOOKUP(C8574,'Data Panjang Balok'!$C$9:$N$424,7,FALSE)</f>
        <v>6100</v>
      </c>
    </row>
    <row r="8578">
      <c r="C8578" t="str">
        <v>Kolom / balok kiri</v>
      </c>
      <c r="D8578">
        <f>VLOOKUP(C8574,'Data Panjang Balok'!$C$9:$N$424,9,FALSE)</f>
        <v>0</v>
      </c>
    </row>
    <row r="8579">
      <c r="C8579" t="str">
        <v>Kolom / balok kanan</v>
      </c>
      <c r="D8579">
        <f>VLOOKUP(C8574,'Data Panjang Balok'!$C$9:$N$424,10,FALSE)</f>
        <v>0</v>
      </c>
    </row>
    <row r="8580">
      <c r="C8580" t="str">
        <v>Jumlah</v>
      </c>
      <c r="D8580">
        <f>VLOOKUP(C8574,'Data Panjang Balok'!$C$9:$N$424,3,FALSE)</f>
        <v>1</v>
      </c>
    </row>
    <row r="8581">
      <c r="A8581" t="str">
        <f>A8574</f>
        <v>Lantai Attic</v>
      </c>
      <c r="B8581">
        <f>B8574</f>
        <v>22</v>
      </c>
      <c r="C8581" t="str">
        <v>Tul Atas Tumpuan</v>
      </c>
      <c r="D8581">
        <f>VLOOKUP(D8574,'Detail Balok'!$C$10:$AU$110,4,FALSE)</f>
        <v>6</v>
      </c>
      <c r="E8581" t="str">
        <v>D</v>
      </c>
      <c r="F8581">
        <f>VLOOKUP(D8574,'Detail Balok'!$C$10:$AU$110,6,FALSE)</f>
        <v>19</v>
      </c>
      <c r="I8581" t="str">
        <v>(</v>
      </c>
      <c r="J8581">
        <f>+D8576/4/1000</f>
        <v>1.525</v>
      </c>
      <c r="K8581" t="str">
        <v>+</v>
      </c>
      <c r="L8581">
        <f>MAX(VLOOKUP(F8581,N$6:P$15,3,FALSE)/1000,2/3*D8578/1000)+F$16*F8581/1000</f>
        <v>0.228</v>
      </c>
      <c r="M8581" t="str">
        <v>=</v>
      </c>
      <c r="N8581">
        <f>J8581+L8581</f>
        <v>1.753</v>
      </c>
      <c r="O8581" t="str">
        <v>+</v>
      </c>
      <c r="P8581">
        <f>D8581-D8582</f>
        <v>3</v>
      </c>
      <c r="Q8581" t="str">
        <v>x</v>
      </c>
      <c r="R8581">
        <f>IF(P8581&gt;0,$F$18*F8581/1000,0)</f>
        <v>0.285</v>
      </c>
      <c r="S8581" t="str">
        <v>)</v>
      </c>
      <c r="T8581" t="str">
        <v>x</v>
      </c>
      <c r="U8581">
        <f>0.006165*F8581^2</f>
        <v>2.225565</v>
      </c>
      <c r="X8581" t="str">
        <v>x</v>
      </c>
      <c r="Y8581">
        <f>D8580</f>
        <v>1</v>
      </c>
      <c r="Z8581" t="str">
        <v>=</v>
      </c>
      <c r="AA8581">
        <f>IF(AA8584=0,(D8581*N8581+P8581*R8581)*U8581*Y8581,0)</f>
        <v>25.311350745</v>
      </c>
    </row>
    <row r="8582">
      <c r="A8582" t="str">
        <f>A8574</f>
        <v>Lantai Attic</v>
      </c>
      <c r="B8582">
        <f>B8574</f>
        <v>22</v>
      </c>
      <c r="C8582" t="str">
        <v>Tul Atas Lapangan</v>
      </c>
      <c r="D8582">
        <f>VLOOKUP(D8574,'Detail Balok'!$C$10:$AU$110,7,FALSE)</f>
        <v>3</v>
      </c>
      <c r="E8582" t="str">
        <v>D</v>
      </c>
      <c r="F8582">
        <f>VLOOKUP(D8574,'Detail Balok'!$C$10:$AU$110,9,FALSE)</f>
        <v>19</v>
      </c>
      <c r="I8582" t="str">
        <v>(</v>
      </c>
      <c r="J8582">
        <f>+D8576/2/1000</f>
        <v>3.05</v>
      </c>
      <c r="K8582" t="str">
        <v>+</v>
      </c>
      <c r="M8582" t="str">
        <v>=</v>
      </c>
      <c r="N8582">
        <f>J8582+L8582</f>
        <v>3.05</v>
      </c>
      <c r="O8582" t="str">
        <v>+</v>
      </c>
      <c r="P8582">
        <f>MAX(D8582-D8581,D8582-D8583)</f>
        <v>0</v>
      </c>
      <c r="Q8582" t="str">
        <v>x</v>
      </c>
      <c r="R8582">
        <f>IF(P8582&gt;0,2*(1-2*$F$19-1/2)*D8577/1000,0)</f>
        <v>0</v>
      </c>
      <c r="S8582" t="str">
        <v>)</v>
      </c>
      <c r="T8582" t="str">
        <v>x</v>
      </c>
      <c r="U8582">
        <f>0.006165*F8582^2</f>
        <v>2.225565</v>
      </c>
      <c r="X8582" t="str">
        <v>x</v>
      </c>
      <c r="Y8582">
        <f>D8580</f>
        <v>1</v>
      </c>
      <c r="Z8582" t="str">
        <v>=</v>
      </c>
      <c r="AA8582">
        <f>IF(AA8584=0,(D8582*N8582+P8582*R8582)*U8582*Y8582,0)</f>
        <v>20.363919749999997</v>
      </c>
    </row>
    <row r="8583">
      <c r="A8583" t="str">
        <f>A8574</f>
        <v>Lantai Attic</v>
      </c>
      <c r="B8583">
        <f>B8574</f>
        <v>22</v>
      </c>
      <c r="C8583" t="str">
        <v>Tul Atas Tumpuan</v>
      </c>
      <c r="D8583">
        <f>VLOOKUP(D8574,'Detail Balok'!$C$10:$AU$110,10,FALSE)</f>
        <v>3</v>
      </c>
      <c r="E8583" t="str">
        <v>D</v>
      </c>
      <c r="F8583">
        <f>VLOOKUP(D8574,'Detail Balok'!$C$10:$AU$110,12,FALSE)</f>
        <v>19</v>
      </c>
      <c r="I8583" t="str">
        <v>(</v>
      </c>
      <c r="J8583">
        <f>+D8576/4/1000</f>
        <v>1.525</v>
      </c>
      <c r="K8583" t="str">
        <v>+</v>
      </c>
      <c r="L8583">
        <f>MAX(VLOOKUP(F8583,N$6:P$15,3,FALSE)/1000,2/3*D8578/1000)+F$16*F8583/1000</f>
        <v>0.228</v>
      </c>
      <c r="M8583" t="str">
        <v>=</v>
      </c>
      <c r="N8583">
        <f>J8583+L8583</f>
        <v>1.753</v>
      </c>
      <c r="O8583" t="str">
        <v>+</v>
      </c>
      <c r="P8583">
        <f>D8583-D8582</f>
        <v>0</v>
      </c>
      <c r="Q8583" t="str">
        <v>x</v>
      </c>
      <c r="R8583">
        <f>IF(P8583&gt;0,$F$18*F8583/1000,0)</f>
        <v>0</v>
      </c>
      <c r="S8583" t="str">
        <v>)</v>
      </c>
      <c r="T8583" t="str">
        <v>x</v>
      </c>
      <c r="U8583">
        <f>0.006165*F8583^2</f>
        <v>2.225565</v>
      </c>
      <c r="X8583" t="str">
        <v>x</v>
      </c>
      <c r="Y8583">
        <f>D8580</f>
        <v>1</v>
      </c>
      <c r="Z8583" t="str">
        <v>=</v>
      </c>
      <c r="AA8583">
        <f>IF(AA8584=0,(D8583*N8583+P8583*R8583)*U8583*Y8583,0)</f>
        <v>11.704246334999999</v>
      </c>
    </row>
    <row r="8584">
      <c r="A8584" t="str">
        <f>A8574</f>
        <v>Lantai Attic</v>
      </c>
      <c r="B8584">
        <f>B8574</f>
        <v>22</v>
      </c>
      <c r="D8584">
        <f>IF(AND(D8581=D8582,D8582=D8583,D8581=D8583),D8581,0)</f>
        <v>0</v>
      </c>
      <c r="E8584" t="str">
        <v>D</v>
      </c>
      <c r="F8584">
        <f>IF(AND(F8581=F8582,F8581=F8583,F8582=F8583),F8581,0)</f>
        <v>19</v>
      </c>
      <c r="L8584" t="str">
        <v>Total panjang per balok</v>
      </c>
      <c r="M8584" t="str">
        <v>=</v>
      </c>
      <c r="N8584">
        <f>IF(AND(D8581=D8582,D8581=D8583,D8582=D8583,F8581=F8582,F8581=F8583,F8582=F8583),SUM(N8581:N8583),0)</f>
        <v>0</v>
      </c>
      <c r="O8584" t="str">
        <v>+</v>
      </c>
      <c r="P8584">
        <f>IF(N8584&gt;12,ROUNDDOWN(N8584/12,0),0)</f>
        <v>0</v>
      </c>
      <c r="Q8584" t="str">
        <v>x</v>
      </c>
      <c r="R8584">
        <f>IF(P8584&gt;0,MAX(VLOOKUP(F8584,$D$6:$G$15,3,FALSE),600),0)/1000</f>
        <v>0</v>
      </c>
      <c r="T8584" t="str">
        <v>x</v>
      </c>
      <c r="U8584">
        <f>U8583</f>
        <v>2.225565</v>
      </c>
      <c r="V8584" t="str">
        <v>x</v>
      </c>
      <c r="W8584">
        <f>D8584</f>
        <v>0</v>
      </c>
      <c r="X8584" t="str">
        <v>x</v>
      </c>
      <c r="Y8584">
        <f>Y8583</f>
        <v>1</v>
      </c>
      <c r="Z8584" t="str">
        <v>=</v>
      </c>
      <c r="AA8584">
        <f>(N8584+P8584*R8584/1000)*U8584*W8584*Y8584</f>
        <v>0</v>
      </c>
    </row>
    <row r="8586">
      <c r="A8586" t="str">
        <f>A8574</f>
        <v>Lantai Attic</v>
      </c>
      <c r="B8586">
        <f>B8574</f>
        <v>22</v>
      </c>
      <c r="C8586" t="str">
        <v>Tul Peminggang</v>
      </c>
      <c r="D8586">
        <f>VLOOKUP(D8574,'Detail Balok'!$C$10:$AU$110,13,FALSE)</f>
        <v>2</v>
      </c>
      <c r="E8586" t="str">
        <v>D</v>
      </c>
      <c r="F8586">
        <f>VLOOKUP(D8574,'Detail Balok'!$C$10:$AU$110,15,FALSE)</f>
        <v>10</v>
      </c>
      <c r="J8586">
        <f>+D8576/1000</f>
        <v>6.1</v>
      </c>
      <c r="K8586" t="str">
        <v>+</v>
      </c>
      <c r="L8586">
        <f>2*$F$16*F8586/1000</f>
        <v>0.24</v>
      </c>
      <c r="M8586" t="str">
        <v>=</v>
      </c>
      <c r="N8586">
        <f>J8586+L8586</f>
        <v>6.34</v>
      </c>
      <c r="O8586" t="str">
        <v>+</v>
      </c>
      <c r="P8586">
        <f>IF(N8586&gt;12,ROUNDDOWN(N8586/12,0),0)</f>
        <v>0</v>
      </c>
      <c r="Q8586" t="str">
        <v>x</v>
      </c>
      <c r="R8586">
        <f>IF(P8586&gt;0,MAX(VLOOKUP(F8586,$D$6:$G$15,3,FALSE),600),0)/1000</f>
        <v>0</v>
      </c>
      <c r="T8586" t="str">
        <v>x</v>
      </c>
      <c r="U8586">
        <f>0.006165*F8586^2</f>
        <v>0.6165</v>
      </c>
      <c r="V8586" t="str">
        <v>x</v>
      </c>
      <c r="W8586">
        <f>+D8586</f>
        <v>2</v>
      </c>
      <c r="X8586" t="str">
        <v>x</v>
      </c>
      <c r="Y8586">
        <f>D8580</f>
        <v>1</v>
      </c>
      <c r="Z8586" t="str">
        <v>=</v>
      </c>
      <c r="AA8586">
        <f>(N8586+P8586*R8586/1000)*U8586*W8586*Y8586</f>
        <v>7.817220000000001</v>
      </c>
    </row>
    <row r="8589">
      <c r="A8589" t="str">
        <f>A8574</f>
        <v>Lantai Attic</v>
      </c>
      <c r="B8589">
        <f>B8574</f>
        <v>22</v>
      </c>
      <c r="C8589" t="str">
        <v>Tul Bawah Tumpuan</v>
      </c>
      <c r="D8589">
        <f>VLOOKUP(D8574,'Detail Balok'!$C$10:$AU$110,22,FALSE)</f>
        <v>3</v>
      </c>
      <c r="E8589" t="str">
        <v>D</v>
      </c>
      <c r="F8589">
        <f>VLOOKUP(D8574,'Detail Balok'!$C$10:$AU$110,24,FALSE)</f>
        <v>19</v>
      </c>
      <c r="I8589" t="str">
        <v>(</v>
      </c>
      <c r="J8589">
        <f>+J8581</f>
        <v>1.525</v>
      </c>
      <c r="K8589" t="str">
        <v>+</v>
      </c>
      <c r="L8589">
        <f>MAX(VLOOKUP(F8589,N$6:P$15,3,FALSE)/1000,2/3*D8579/1000)+F$16*F8589/1000</f>
        <v>0.228</v>
      </c>
      <c r="M8589" t="str">
        <v>=</v>
      </c>
      <c r="N8589">
        <f>J8589+L8589</f>
        <v>1.753</v>
      </c>
      <c r="O8589" t="str">
        <v>+</v>
      </c>
      <c r="P8589">
        <f>D8589-D8590</f>
        <v>-3</v>
      </c>
      <c r="Q8589" t="str">
        <v>x</v>
      </c>
      <c r="R8589">
        <f>IF(P8589&gt;0,$F$18*F8589/1000,0)</f>
        <v>0</v>
      </c>
      <c r="S8589" t="str">
        <v>)</v>
      </c>
      <c r="T8589" t="str">
        <v>x</v>
      </c>
      <c r="U8589">
        <f>0.006165*F8589^2</f>
        <v>2.225565</v>
      </c>
      <c r="X8589" t="str">
        <v>x</v>
      </c>
      <c r="Y8589">
        <f>D8580</f>
        <v>1</v>
      </c>
      <c r="Z8589" t="str">
        <v>=</v>
      </c>
      <c r="AA8589">
        <f>IF(AA8592=0,(D8589*N8589+P8589*R8589)*U8589*Y8589,0)</f>
        <v>11.704246334999999</v>
      </c>
    </row>
    <row r="8590">
      <c r="A8590" t="str">
        <f>A8574</f>
        <v>Lantai Attic</v>
      </c>
      <c r="B8590">
        <f>B8574</f>
        <v>22</v>
      </c>
      <c r="C8590" t="str">
        <v>Tul Bawah Lapangan</v>
      </c>
      <c r="D8590">
        <f>VLOOKUP(D8574,'Detail Balok'!$C$10:$AU$110,25,FALSE)</f>
        <v>6</v>
      </c>
      <c r="E8590" t="str">
        <v>D</v>
      </c>
      <c r="F8590">
        <f>VLOOKUP(D8574,'Detail Balok'!$C$10:$AU$110,27,FALSE)</f>
        <v>19</v>
      </c>
      <c r="I8590" t="str">
        <v>(</v>
      </c>
      <c r="J8590">
        <f>+J8582</f>
        <v>3.05</v>
      </c>
      <c r="K8590" t="str">
        <v>+</v>
      </c>
      <c r="M8590" t="str">
        <v>=</v>
      </c>
      <c r="N8590">
        <f>J8590+L8590</f>
        <v>3.05</v>
      </c>
      <c r="O8590" t="str">
        <v>+</v>
      </c>
      <c r="P8590">
        <f>MAX(D8590-D8589,D8590-D8591)</f>
        <v>3</v>
      </c>
      <c r="Q8590" t="str">
        <v>x</v>
      </c>
      <c r="R8590">
        <f>IF(P8590&gt;0,2*(1-2*$F$19-1/2)*D8577/1000,0)</f>
        <v>1.2199999999999998</v>
      </c>
      <c r="S8590" t="str">
        <v>)</v>
      </c>
      <c r="T8590" t="str">
        <v>x</v>
      </c>
      <c r="U8590">
        <f>0.006165*F8590^2</f>
        <v>2.225565</v>
      </c>
      <c r="X8590" t="str">
        <v>x</v>
      </c>
      <c r="Y8590">
        <f>D8580</f>
        <v>1</v>
      </c>
      <c r="Z8590" t="str">
        <v>=</v>
      </c>
      <c r="AA8590">
        <f>IF(AA8592=0,(D8590*N8590+P8590*R8590)*U8590*Y8590,0)</f>
        <v>48.8734074</v>
      </c>
    </row>
    <row r="8591">
      <c r="A8591" t="str">
        <f>A8574</f>
        <v>Lantai Attic</v>
      </c>
      <c r="B8591">
        <f>B8574</f>
        <v>22</v>
      </c>
      <c r="C8591" t="str">
        <v>Tul Bawah Tumpuan</v>
      </c>
      <c r="D8591">
        <f>VLOOKUP(D8574,'Detail Balok'!$C$10:$AU$110,28,FALSE)</f>
        <v>3</v>
      </c>
      <c r="E8591" t="str">
        <v>D</v>
      </c>
      <c r="F8591">
        <f>VLOOKUP(D8574,'Detail Balok'!$C$10:$AU$110,30,FALSE)</f>
        <v>19</v>
      </c>
      <c r="I8591" t="str">
        <v>(</v>
      </c>
      <c r="J8591">
        <f>+J8583</f>
        <v>1.525</v>
      </c>
      <c r="K8591" t="str">
        <v>+</v>
      </c>
      <c r="L8591">
        <f>MAX(VLOOKUP(F8591,N$6:P$15,3,FALSE)/1000,2/3*D8579/1000)+F$16*F8591/1000</f>
        <v>0.228</v>
      </c>
      <c r="M8591" t="str">
        <v>=</v>
      </c>
      <c r="N8591">
        <f>J8591+L8591</f>
        <v>1.753</v>
      </c>
      <c r="O8591" t="str">
        <v>+</v>
      </c>
      <c r="P8591">
        <f>D8591-D8590</f>
        <v>-3</v>
      </c>
      <c r="Q8591" t="str">
        <v>x</v>
      </c>
      <c r="R8591">
        <f>IF(P8591&gt;0,$F$18*F8591/1000,0)</f>
        <v>0</v>
      </c>
      <c r="S8591" t="str">
        <v>)</v>
      </c>
      <c r="T8591" t="str">
        <v>x</v>
      </c>
      <c r="U8591">
        <f>0.006165*F8591^2</f>
        <v>2.225565</v>
      </c>
      <c r="X8591" t="str">
        <v>x</v>
      </c>
      <c r="Y8591">
        <f>D8580</f>
        <v>1</v>
      </c>
      <c r="Z8591" t="str">
        <v>=</v>
      </c>
      <c r="AA8591">
        <f>IF(AA8592=0,(D8591*N8591+P8591*R8591)*U8591*Y8591,0)</f>
        <v>11.704246334999999</v>
      </c>
    </row>
    <row r="8592">
      <c r="A8592" t="str">
        <f>A8574</f>
        <v>Lantai Attic</v>
      </c>
      <c r="B8592">
        <f>B8574</f>
        <v>22</v>
      </c>
      <c r="D8592">
        <f>IF(AND(D8589=D8590,D8590=D8591,D8589=D8591),D8589,0)</f>
        <v>0</v>
      </c>
      <c r="E8592" t="str">
        <v>D</v>
      </c>
      <c r="F8592">
        <f>IF(AND(F8589=F8590,F8589=F8591,F8590=F8591),F8589,0)</f>
        <v>19</v>
      </c>
      <c r="L8592" t="str">
        <v>Total panjang per balok</v>
      </c>
      <c r="M8592" t="str">
        <v>=</v>
      </c>
      <c r="N8592">
        <f>IF(AND(D8589=D8590,D8589=D8591,D8590=D8591,F8589=F8590,F8589=F8591,F8590=F8591),SUM(N8589:N8591),0)</f>
        <v>0</v>
      </c>
      <c r="O8592" t="str">
        <v>+</v>
      </c>
      <c r="P8592">
        <f>IF(N8592&gt;12,ROUNDDOWN(N8592/12,0),0)</f>
        <v>0</v>
      </c>
      <c r="Q8592" t="str">
        <v>x</v>
      </c>
      <c r="R8592">
        <f>IF(P8592&gt;0,MAX(VLOOKUP(F8592,$D$6:$G$15,3,FALSE),600),0)/1000</f>
        <v>0</v>
      </c>
      <c r="T8592" t="str">
        <v>x</v>
      </c>
      <c r="U8592">
        <f>U8591</f>
        <v>2.225565</v>
      </c>
      <c r="V8592" t="str">
        <v>x</v>
      </c>
      <c r="W8592">
        <f>D8592</f>
        <v>0</v>
      </c>
      <c r="X8592" t="str">
        <v>x</v>
      </c>
      <c r="Y8592">
        <f>Y8591</f>
        <v>1</v>
      </c>
      <c r="Z8592" t="str">
        <v>=</v>
      </c>
      <c r="AA8592">
        <f>(N8592+P8592*R8592/1000)*U8592*W8592*Y8592</f>
        <v>0</v>
      </c>
    </row>
    <row r="8594">
      <c r="A8594" t="str">
        <f>A8574</f>
        <v>Lantai Attic</v>
      </c>
      <c r="B8594">
        <f>B8574</f>
        <v>22</v>
      </c>
      <c r="C8594" t="str">
        <v>Sengkang Tumpuan</v>
      </c>
      <c r="D8594">
        <f>VLOOKUP(D8574,'Detail Balok'!$C$10:$AU$110,31,FALSE)</f>
        <v>0</v>
      </c>
      <c r="E8594" t="str">
        <v>D</v>
      </c>
      <c r="F8594">
        <f>VLOOKUP(D8574,'Detail Balok'!$C$10:$AU$110,33,FALSE)</f>
        <v>10</v>
      </c>
      <c r="G8594" t="str">
        <v>-</v>
      </c>
      <c r="H8594">
        <f>VLOOKUP(D8574,'Detail Balok'!$C$10:$AU$110,35,FALSE)</f>
        <v>90</v>
      </c>
      <c r="J8594">
        <f>(IF(D8594=0,(2*(D8575+G8575))-(F$5*8),IF(D8594=3,(2*(D8575+G8575))-(F$5*8)+(G8575-2*F$5),IF(D8594=4,(2*(D8575+G8575))-(F$5*8)+2*(G8575-2*F$5)))))/1000</f>
        <v>1.18</v>
      </c>
      <c r="K8594" t="str">
        <v>+</v>
      </c>
      <c r="L8594">
        <f>IF(D8594=0,2*MAX(6*F8594,75),(D8594-1)*2*MAX(6*F8594,75))/1000</f>
        <v>0.15</v>
      </c>
      <c r="M8594" t="str">
        <v>=</v>
      </c>
      <c r="N8594">
        <f>J8594+L8594</f>
        <v>1.3299999999999998</v>
      </c>
      <c r="T8594" t="str">
        <v>x</v>
      </c>
      <c r="U8594">
        <f>0.006165*F8594^2</f>
        <v>0.6165</v>
      </c>
      <c r="V8594" t="str">
        <v>x</v>
      </c>
      <c r="W8594">
        <f>IF(D8577&gt;4*G8575,ROUND(MAX(D8577/4,2*G8575)/H8594,0)+1,ROUND(D8577/H8594,0)+1)</f>
        <v>18</v>
      </c>
      <c r="X8594" t="str">
        <v>x</v>
      </c>
      <c r="Y8594">
        <f>D8580</f>
        <v>1</v>
      </c>
      <c r="Z8594" t="str">
        <v>=</v>
      </c>
      <c r="AA8594">
        <f>N8594*U8594*W8594*Y8594</f>
        <v>14.759009999999998</v>
      </c>
    </row>
    <row r="8595">
      <c r="A8595" t="str">
        <f>A8574</f>
        <v>Lantai Attic</v>
      </c>
      <c r="B8595">
        <f>B8574</f>
        <v>22</v>
      </c>
      <c r="C8595" t="str">
        <v>Sengkang Lapangan</v>
      </c>
      <c r="D8595">
        <f>VLOOKUP(D8574,'Detail Balok'!$C$10:$AU$110,36,FALSE)</f>
        <v>0</v>
      </c>
      <c r="E8595" t="str">
        <v>D</v>
      </c>
      <c r="F8595">
        <f>VLOOKUP(D8574,'Detail Balok'!$C$10:$AU$110,38,FALSE)</f>
        <v>10</v>
      </c>
      <c r="G8595" t="str">
        <v>-</v>
      </c>
      <c r="H8595">
        <f>VLOOKUP(D8574,'Detail Balok'!$C$10:$AU$110,40,FALSE)</f>
        <v>200</v>
      </c>
      <c r="J8595">
        <f>(IF(D8595=0,(2*(D8575+G8575))-(F$5*8),IF(D8595=3,(2*(D8575+G8575))-(F$5*8)+(G8575-2*F$5),IF(D8595=4,(2*(D8575+G8575))-(F$5*8)+2*(G8575-2*F$5)))))/1000</f>
        <v>1.18</v>
      </c>
      <c r="K8595" t="str">
        <v>+</v>
      </c>
      <c r="L8595">
        <f>IF(D8595=0,2*MAX(6*F8595,75),(D8595-1)*2*MAX(6*F8595,75))/1000</f>
        <v>0.15</v>
      </c>
      <c r="M8595" t="str">
        <v>=</v>
      </c>
      <c r="N8595">
        <f>J8595+L8595</f>
        <v>1.3299999999999998</v>
      </c>
      <c r="T8595" t="str">
        <v>x</v>
      </c>
      <c r="U8595">
        <f>0.006165*F8595^2</f>
        <v>0.6165</v>
      </c>
      <c r="V8595" t="str">
        <v>x</v>
      </c>
      <c r="W8595">
        <f>IF(D8577-MAX(D8577/4,2*G8575)*2&gt;0,ROUND((D8577-MAX(D8577/4,2*G8575)*2)/H8595,0),0)</f>
        <v>15</v>
      </c>
      <c r="X8595" t="str">
        <v>x</v>
      </c>
      <c r="Y8595">
        <f>D8580</f>
        <v>1</v>
      </c>
      <c r="Z8595" t="str">
        <v>=</v>
      </c>
      <c r="AA8595">
        <f>N8595*U8595*W8595*Y8595</f>
        <v>12.299174999999998</v>
      </c>
    </row>
    <row r="8596">
      <c r="A8596" t="str">
        <f>A8574</f>
        <v>Lantai Attic</v>
      </c>
      <c r="B8596">
        <f>B8574</f>
        <v>22</v>
      </c>
      <c r="C8596" t="str">
        <v>Sengkang Tumpuan</v>
      </c>
      <c r="D8596">
        <f>VLOOKUP(D8574,'Detail Balok'!$C$10:$AU$110,41,FALSE)</f>
        <v>0</v>
      </c>
      <c r="E8596" t="str">
        <v>D</v>
      </c>
      <c r="F8596">
        <f>VLOOKUP(D8574,'Detail Balok'!$C$10:$AU$110,43,FALSE)</f>
        <v>10</v>
      </c>
      <c r="G8596" t="str">
        <v>-</v>
      </c>
      <c r="H8596">
        <f>VLOOKUP(D8574,'Detail Balok'!$C$10:$AU$110,45,FALSE)</f>
        <v>90</v>
      </c>
      <c r="J8596">
        <f>(IF(D8596=0,(2*(D8575+G8575))-(F$5*8),IF(D8596=3,(2*(D8575+G8575))-(F$5*8)+(G8575-2*F$5),IF(D8596=4,(2*(D8575+G8575))-(F$5*8)+2*(G8575-2*F$5)))))/1000</f>
        <v>1.18</v>
      </c>
      <c r="K8596" t="str">
        <v>+</v>
      </c>
      <c r="L8596">
        <f>IF(D8596=0,2*MAX(6*F8596,75),(D8596-1)*2*MAX(6*F8596,75))/1000</f>
        <v>0.15</v>
      </c>
      <c r="M8596" t="str">
        <v>=</v>
      </c>
      <c r="N8596">
        <f>J8596+L8596</f>
        <v>1.3299999999999998</v>
      </c>
      <c r="T8596" t="str">
        <v>x</v>
      </c>
      <c r="U8596">
        <f>0.006165*F8596^2</f>
        <v>0.6165</v>
      </c>
      <c r="V8596" t="str">
        <v>x</v>
      </c>
      <c r="W8596">
        <f>IF(D8577&gt;4*G8575,ROUND(MAX(D8577/4,2*G8575)/H8596,0)+1,0)</f>
        <v>18</v>
      </c>
      <c r="X8596" t="str">
        <v>x</v>
      </c>
      <c r="Y8596">
        <f>D8580</f>
        <v>1</v>
      </c>
      <c r="Z8596" t="str">
        <v>=</v>
      </c>
      <c r="AA8596">
        <f>N8596*U8596*W8596*Y8596</f>
        <v>14.759009999999998</v>
      </c>
    </row>
    <row r="8598">
      <c r="A8598" t="str">
        <f>A8574</f>
        <v>Lantai Attic</v>
      </c>
      <c r="B8598">
        <f>B8574</f>
        <v>22</v>
      </c>
      <c r="C8598" t="str">
        <v>Kait Horizontal Tump.</v>
      </c>
      <c r="D8598">
        <f>VLOOKUP(D8574,'Detail Balok'!$C$10:$BJ$110,46,FALSE)</f>
        <v>0</v>
      </c>
      <c r="E8598" t="str">
        <v>D</v>
      </c>
      <c r="F8598">
        <f>VLOOKUP(D8574,'Detail Balok'!$C$10:$BJ$110,48,FALSE)</f>
        <v>0</v>
      </c>
      <c r="G8598" t="str">
        <v>-</v>
      </c>
      <c r="H8598">
        <f>VLOOKUP(D8574,'Detail Balok'!$C$10:$BJ$110,50,FALSE)</f>
        <v>0</v>
      </c>
      <c r="J8598">
        <f>(D8575-2*F$5)/1000</f>
        <v>0.17</v>
      </c>
      <c r="K8598" t="str">
        <v>+</v>
      </c>
      <c r="L8598">
        <f>IF(D8598=0,2*MAX(6*F8598,75),(D8598-1)*2*MAX(6*F8598,75))/1000</f>
        <v>0.15</v>
      </c>
      <c r="M8598" t="str">
        <v>=</v>
      </c>
      <c r="N8598">
        <f>J8598+L8598</f>
        <v>0.32</v>
      </c>
      <c r="T8598" t="str">
        <v>x</v>
      </c>
      <c r="U8598">
        <f>0.006165*F8598^2</f>
        <v>0</v>
      </c>
      <c r="V8598" t="str">
        <v>x</v>
      </c>
      <c r="W8598">
        <f>W8594</f>
        <v>18</v>
      </c>
      <c r="X8598" t="str">
        <v>x</v>
      </c>
      <c r="Y8598">
        <f>D8584</f>
        <v>0</v>
      </c>
      <c r="Z8598" t="str">
        <v>=</v>
      </c>
      <c r="AA8598">
        <f>N8598*U8598*W8598*Y8598</f>
        <v>0</v>
      </c>
    </row>
    <row r="8599">
      <c r="A8599" t="str">
        <f>A8574</f>
        <v>Lantai Attic</v>
      </c>
      <c r="B8599">
        <f>B8574</f>
        <v>22</v>
      </c>
      <c r="C8599" t="str">
        <v>Kait Horizontal Lap.</v>
      </c>
      <c r="D8599">
        <f>VLOOKUP(D8574,'Detail Balok'!$C$10:$BJ$110,51,FALSE)</f>
        <v>0</v>
      </c>
      <c r="E8599" t="str">
        <v>D</v>
      </c>
      <c r="F8599">
        <f>VLOOKUP(D8574,'Detail Balok'!$C$10:$BJ$110,53,FALSE)</f>
        <v>0</v>
      </c>
      <c r="G8599" t="str">
        <v>-</v>
      </c>
      <c r="H8599">
        <f>VLOOKUP(D8574,'Detail Balok'!$C$10:$BJ$110,55,FALSE)</f>
        <v>0</v>
      </c>
      <c r="J8599">
        <f>(D8575-2*F$5)/1000</f>
        <v>0.17</v>
      </c>
      <c r="K8599" t="str">
        <v>+</v>
      </c>
      <c r="L8599">
        <f>IF(D8599=0,2*MAX(6*F8599,75),(D8599-1)*2*MAX(6*F8599,75))/1000</f>
        <v>0.15</v>
      </c>
      <c r="M8599" t="str">
        <v>=</v>
      </c>
      <c r="N8599">
        <f>J8599+L8599</f>
        <v>0.32</v>
      </c>
      <c r="T8599" t="str">
        <v>x</v>
      </c>
      <c r="U8599">
        <f>0.006165*F8599^2</f>
        <v>0</v>
      </c>
      <c r="V8599" t="str">
        <v>x</v>
      </c>
      <c r="W8599">
        <f>W8595</f>
        <v>15</v>
      </c>
      <c r="X8599" t="str">
        <v>x</v>
      </c>
      <c r="Y8599">
        <f>D8584</f>
        <v>0</v>
      </c>
      <c r="Z8599" t="str">
        <v>=</v>
      </c>
      <c r="AA8599">
        <f>N8599*U8599*W8599*Y8599</f>
        <v>0</v>
      </c>
    </row>
    <row r="8600">
      <c r="A8600" t="str">
        <f>A8574</f>
        <v>Lantai Attic</v>
      </c>
      <c r="B8600">
        <f>B8574</f>
        <v>22</v>
      </c>
      <c r="C8600" t="str">
        <v>Kait Horizontal Tump.</v>
      </c>
      <c r="D8600">
        <f>VLOOKUP(D8574,'Detail Balok'!$C$10:$BJ$110,56,FALSE)</f>
        <v>0</v>
      </c>
      <c r="E8600" t="str">
        <v>D</v>
      </c>
      <c r="F8600">
        <f>VLOOKUP(D8574,'Detail Balok'!$C$10:$BJ$110,58,FALSE)</f>
        <v>0</v>
      </c>
      <c r="G8600" t="str">
        <v>-</v>
      </c>
      <c r="H8600">
        <f>VLOOKUP(D8574,'Detail Balok'!$C$10:$BJ$110,60,FALSE)</f>
        <v>0</v>
      </c>
      <c r="J8600">
        <f>(D8575-2*F$5)/1000</f>
        <v>0.17</v>
      </c>
      <c r="K8600" t="str">
        <v>+</v>
      </c>
      <c r="L8600">
        <f>IF(D8600=0,2*MAX(6*F8600,75),(D8600-1)*2*MAX(6*F8600,75))/1000</f>
        <v>0.15</v>
      </c>
      <c r="M8600" t="str">
        <v>=</v>
      </c>
      <c r="N8600">
        <f>J8600+L8600</f>
        <v>0.32</v>
      </c>
      <c r="T8600" t="str">
        <v>x</v>
      </c>
      <c r="U8600">
        <f>0.006165*F8600^2</f>
        <v>0</v>
      </c>
      <c r="V8600" t="str">
        <v>x</v>
      </c>
      <c r="W8600">
        <f>W8596</f>
        <v>18</v>
      </c>
      <c r="X8600" t="str">
        <v>x</v>
      </c>
      <c r="Y8600">
        <f>D8584</f>
        <v>0</v>
      </c>
      <c r="Z8600" t="str">
        <v>=</v>
      </c>
      <c r="AA8600">
        <f>N8600*U8600*W8600*Y8600</f>
        <v>0</v>
      </c>
    </row>
    <row r="8604">
      <c r="A8604" t="str">
        <f>A8574</f>
        <v>Lantai Attic</v>
      </c>
      <c r="B8604">
        <f>B8574+1</f>
        <v>23</v>
      </c>
      <c r="C8604" t="str">
        <f>CONCATENATE(A8604," no. ",B8604)</f>
        <v>Lantai Attic no. 23</v>
      </c>
      <c r="D8604" t="str">
        <f>VLOOKUP(C8604,'Data Panjang Balok'!$C$9:$N$424,2,FALSE)</f>
        <v>B2550-1</v>
      </c>
    </row>
    <row r="8605">
      <c r="C8605" t="str">
        <v>Dimensi</v>
      </c>
      <c r="D8605">
        <f>VLOOKUP(D8604,'Detail Balok'!$C$10:$AU$110,2,FALSE)</f>
        <v>250</v>
      </c>
      <c r="F8605" t="str">
        <v>x</v>
      </c>
      <c r="G8605">
        <f>VLOOKUP(D8604,'Detail Balok'!$C$10:$AU$110,3,FALSE)</f>
        <v>500</v>
      </c>
    </row>
    <row r="8606">
      <c r="C8606" t="str">
        <v>Panjang as ke as</v>
      </c>
      <c r="D8606">
        <f>VLOOKUP(C8604,'Data Panjang Balok'!$C$9:$N$424,4,FALSE)</f>
        <v>5000</v>
      </c>
    </row>
    <row r="8607">
      <c r="C8607" t="str">
        <v>Panjang netto</v>
      </c>
      <c r="D8607">
        <f>VLOOKUP(C8604,'Data Panjang Balok'!$C$9:$N$424,7,FALSE)</f>
        <v>5000</v>
      </c>
    </row>
    <row r="8608">
      <c r="C8608" t="str">
        <v>Kolom / balok kiri</v>
      </c>
      <c r="D8608">
        <f>VLOOKUP(C8604,'Data Panjang Balok'!$C$9:$N$424,9,FALSE)</f>
        <v>0</v>
      </c>
    </row>
    <row r="8609">
      <c r="C8609" t="str">
        <v>Kolom / balok kanan</v>
      </c>
      <c r="D8609">
        <f>VLOOKUP(C8604,'Data Panjang Balok'!$C$9:$N$424,10,FALSE)</f>
        <v>0</v>
      </c>
    </row>
    <row r="8610">
      <c r="C8610" t="str">
        <v>Jumlah</v>
      </c>
      <c r="D8610">
        <f>VLOOKUP(C8604,'Data Panjang Balok'!$C$9:$N$424,3,FALSE)</f>
        <v>1</v>
      </c>
    </row>
    <row r="8611">
      <c r="A8611" t="str">
        <f>A8604</f>
        <v>Lantai Attic</v>
      </c>
      <c r="B8611">
        <f>B8604</f>
        <v>23</v>
      </c>
      <c r="C8611" t="str">
        <v>Tul Atas Tumpuan</v>
      </c>
      <c r="D8611">
        <f>VLOOKUP(D8604,'Detail Balok'!$C$10:$AU$110,4,FALSE)</f>
        <v>6</v>
      </c>
      <c r="E8611" t="str">
        <v>D</v>
      </c>
      <c r="F8611">
        <f>VLOOKUP(D8604,'Detail Balok'!$C$10:$AU$110,6,FALSE)</f>
        <v>19</v>
      </c>
      <c r="I8611" t="str">
        <v>(</v>
      </c>
      <c r="J8611">
        <f>+D8606/4/1000</f>
        <v>1.25</v>
      </c>
      <c r="K8611" t="str">
        <v>+</v>
      </c>
      <c r="L8611">
        <f>MAX(VLOOKUP(F8611,N$6:P$15,3,FALSE)/1000,2/3*D8608/1000)+F$16*F8611/1000</f>
        <v>0.228</v>
      </c>
      <c r="M8611" t="str">
        <v>=</v>
      </c>
      <c r="N8611">
        <f>J8611+L8611</f>
        <v>1.478</v>
      </c>
      <c r="O8611" t="str">
        <v>+</v>
      </c>
      <c r="P8611">
        <f>D8611-D8612</f>
        <v>3</v>
      </c>
      <c r="Q8611" t="str">
        <v>x</v>
      </c>
      <c r="R8611">
        <f>IF(P8611&gt;0,$F$18*F8611/1000,0)</f>
        <v>0.285</v>
      </c>
      <c r="S8611" t="str">
        <v>)</v>
      </c>
      <c r="T8611" t="str">
        <v>x</v>
      </c>
      <c r="U8611">
        <f>0.006165*F8611^2</f>
        <v>2.225565</v>
      </c>
      <c r="X8611" t="str">
        <v>x</v>
      </c>
      <c r="Y8611">
        <f>D8610</f>
        <v>1</v>
      </c>
      <c r="Z8611" t="str">
        <v>=</v>
      </c>
      <c r="AA8611">
        <f>IF(AA8614=0,(D8611*N8611+P8611*R8611)*U8611*Y8611,0)</f>
        <v>21.639168495000003</v>
      </c>
    </row>
    <row r="8612">
      <c r="A8612" t="str">
        <f>A8604</f>
        <v>Lantai Attic</v>
      </c>
      <c r="B8612">
        <f>B8604</f>
        <v>23</v>
      </c>
      <c r="C8612" t="str">
        <v>Tul Atas Lapangan</v>
      </c>
      <c r="D8612">
        <f>VLOOKUP(D8604,'Detail Balok'!$C$10:$AU$110,7,FALSE)</f>
        <v>3</v>
      </c>
      <c r="E8612" t="str">
        <v>D</v>
      </c>
      <c r="F8612">
        <f>VLOOKUP(D8604,'Detail Balok'!$C$10:$AU$110,9,FALSE)</f>
        <v>19</v>
      </c>
      <c r="I8612" t="str">
        <v>(</v>
      </c>
      <c r="J8612">
        <f>+D8606/2/1000</f>
        <v>2.5</v>
      </c>
      <c r="K8612" t="str">
        <v>+</v>
      </c>
      <c r="M8612" t="str">
        <v>=</v>
      </c>
      <c r="N8612">
        <f>J8612+L8612</f>
        <v>2.5</v>
      </c>
      <c r="O8612" t="str">
        <v>+</v>
      </c>
      <c r="P8612">
        <f>MAX(D8612-D8611,D8612-D8613)</f>
        <v>0</v>
      </c>
      <c r="Q8612" t="str">
        <v>x</v>
      </c>
      <c r="R8612">
        <f>IF(P8612&gt;0,2*(1-2*$F$19-1/2)*D8607/1000,0)</f>
        <v>0</v>
      </c>
      <c r="S8612" t="str">
        <v>)</v>
      </c>
      <c r="T8612" t="str">
        <v>x</v>
      </c>
      <c r="U8612">
        <f>0.006165*F8612^2</f>
        <v>2.225565</v>
      </c>
      <c r="X8612" t="str">
        <v>x</v>
      </c>
      <c r="Y8612">
        <f>D8610</f>
        <v>1</v>
      </c>
      <c r="Z8612" t="str">
        <v>=</v>
      </c>
      <c r="AA8612">
        <f>IF(AA8614=0,(D8612*N8612+P8612*R8612)*U8612*Y8612,0)</f>
        <v>16.6917375</v>
      </c>
    </row>
    <row r="8613">
      <c r="A8613" t="str">
        <f>A8604</f>
        <v>Lantai Attic</v>
      </c>
      <c r="B8613">
        <f>B8604</f>
        <v>23</v>
      </c>
      <c r="C8613" t="str">
        <v>Tul Atas Tumpuan</v>
      </c>
      <c r="D8613">
        <f>VLOOKUP(D8604,'Detail Balok'!$C$10:$AU$110,10,FALSE)</f>
        <v>3</v>
      </c>
      <c r="E8613" t="str">
        <v>D</v>
      </c>
      <c r="F8613">
        <f>VLOOKUP(D8604,'Detail Balok'!$C$10:$AU$110,12,FALSE)</f>
        <v>19</v>
      </c>
      <c r="I8613" t="str">
        <v>(</v>
      </c>
      <c r="J8613">
        <f>+D8606/4/1000</f>
        <v>1.25</v>
      </c>
      <c r="K8613" t="str">
        <v>+</v>
      </c>
      <c r="L8613">
        <f>MAX(VLOOKUP(F8613,N$6:P$15,3,FALSE)/1000,2/3*D8608/1000)+F$16*F8613/1000</f>
        <v>0.228</v>
      </c>
      <c r="M8613" t="str">
        <v>=</v>
      </c>
      <c r="N8613">
        <f>J8613+L8613</f>
        <v>1.478</v>
      </c>
      <c r="O8613" t="str">
        <v>+</v>
      </c>
      <c r="P8613">
        <f>D8613-D8612</f>
        <v>0</v>
      </c>
      <c r="Q8613" t="str">
        <v>x</v>
      </c>
      <c r="R8613">
        <f>IF(P8613&gt;0,$F$18*F8613/1000,0)</f>
        <v>0</v>
      </c>
      <c r="S8613" t="str">
        <v>)</v>
      </c>
      <c r="T8613" t="str">
        <v>x</v>
      </c>
      <c r="U8613">
        <f>0.006165*F8613^2</f>
        <v>2.225565</v>
      </c>
      <c r="X8613" t="str">
        <v>x</v>
      </c>
      <c r="Y8613">
        <f>D8610</f>
        <v>1</v>
      </c>
      <c r="Z8613" t="str">
        <v>=</v>
      </c>
      <c r="AA8613">
        <f>IF(AA8614=0,(D8613*N8613+P8613*R8613)*U8613*Y8613,0)</f>
        <v>9.868155210000001</v>
      </c>
    </row>
    <row r="8614">
      <c r="A8614" t="str">
        <f>A8604</f>
        <v>Lantai Attic</v>
      </c>
      <c r="B8614">
        <f>B8604</f>
        <v>23</v>
      </c>
      <c r="D8614">
        <f>IF(AND(D8611=D8612,D8612=D8613,D8611=D8613),D8611,0)</f>
        <v>0</v>
      </c>
      <c r="E8614" t="str">
        <v>D</v>
      </c>
      <c r="F8614">
        <f>IF(AND(F8611=F8612,F8611=F8613,F8612=F8613),F8611,0)</f>
        <v>19</v>
      </c>
      <c r="L8614" t="str">
        <v>Total panjang per balok</v>
      </c>
      <c r="M8614" t="str">
        <v>=</v>
      </c>
      <c r="N8614">
        <f>IF(AND(D8611=D8612,D8611=D8613,D8612=D8613,F8611=F8612,F8611=F8613,F8612=F8613),SUM(N8611:N8613),0)</f>
        <v>0</v>
      </c>
      <c r="O8614" t="str">
        <v>+</v>
      </c>
      <c r="P8614">
        <f>IF(N8614&gt;12,ROUNDDOWN(N8614/12,0),0)</f>
        <v>0</v>
      </c>
      <c r="Q8614" t="str">
        <v>x</v>
      </c>
      <c r="R8614">
        <f>IF(P8614&gt;0,MAX(VLOOKUP(F8614,$D$6:$G$15,3,FALSE),600),0)/1000</f>
        <v>0</v>
      </c>
      <c r="T8614" t="str">
        <v>x</v>
      </c>
      <c r="U8614">
        <f>U8613</f>
        <v>2.225565</v>
      </c>
      <c r="V8614" t="str">
        <v>x</v>
      </c>
      <c r="W8614">
        <f>D8614</f>
        <v>0</v>
      </c>
      <c r="X8614" t="str">
        <v>x</v>
      </c>
      <c r="Y8614">
        <f>Y8613</f>
        <v>1</v>
      </c>
      <c r="Z8614" t="str">
        <v>=</v>
      </c>
      <c r="AA8614">
        <f>(N8614+P8614*R8614/1000)*U8614*W8614*Y8614</f>
        <v>0</v>
      </c>
    </row>
    <row r="8616">
      <c r="A8616" t="str">
        <f>A8604</f>
        <v>Lantai Attic</v>
      </c>
      <c r="B8616">
        <f>B8604</f>
        <v>23</v>
      </c>
      <c r="C8616" t="str">
        <v>Tul Peminggang</v>
      </c>
      <c r="D8616">
        <f>VLOOKUP(D8604,'Detail Balok'!$C$10:$AU$110,13,FALSE)</f>
        <v>2</v>
      </c>
      <c r="E8616" t="str">
        <v>D</v>
      </c>
      <c r="F8616">
        <f>VLOOKUP(D8604,'Detail Balok'!$C$10:$AU$110,15,FALSE)</f>
        <v>10</v>
      </c>
      <c r="J8616">
        <f>+D8606/1000</f>
        <v>5</v>
      </c>
      <c r="K8616" t="str">
        <v>+</v>
      </c>
      <c r="L8616">
        <f>2*$F$16*F8616/1000</f>
        <v>0.24</v>
      </c>
      <c r="M8616" t="str">
        <v>=</v>
      </c>
      <c r="N8616">
        <f>J8616+L8616</f>
        <v>5.24</v>
      </c>
      <c r="O8616" t="str">
        <v>+</v>
      </c>
      <c r="P8616">
        <f>IF(N8616&gt;12,ROUNDDOWN(N8616/12,0),0)</f>
        <v>0</v>
      </c>
      <c r="Q8616" t="str">
        <v>x</v>
      </c>
      <c r="R8616">
        <f>IF(P8616&gt;0,MAX(VLOOKUP(F8616,$D$6:$G$15,3,FALSE),600),0)/1000</f>
        <v>0</v>
      </c>
      <c r="T8616" t="str">
        <v>x</v>
      </c>
      <c r="U8616">
        <f>0.006165*F8616^2</f>
        <v>0.6165</v>
      </c>
      <c r="V8616" t="str">
        <v>x</v>
      </c>
      <c r="W8616">
        <f>+D8616</f>
        <v>2</v>
      </c>
      <c r="X8616" t="str">
        <v>x</v>
      </c>
      <c r="Y8616">
        <f>D8610</f>
        <v>1</v>
      </c>
      <c r="Z8616" t="str">
        <v>=</v>
      </c>
      <c r="AA8616">
        <f>(N8616+P8616*R8616/1000)*U8616*W8616*Y8616</f>
        <v>6.460920000000001</v>
      </c>
    </row>
    <row r="8619">
      <c r="A8619" t="str">
        <f>A8604</f>
        <v>Lantai Attic</v>
      </c>
      <c r="B8619">
        <f>B8604</f>
        <v>23</v>
      </c>
      <c r="C8619" t="str">
        <v>Tul Bawah Tumpuan</v>
      </c>
      <c r="D8619">
        <f>VLOOKUP(D8604,'Detail Balok'!$C$10:$AU$110,22,FALSE)</f>
        <v>3</v>
      </c>
      <c r="E8619" t="str">
        <v>D</v>
      </c>
      <c r="F8619">
        <f>VLOOKUP(D8604,'Detail Balok'!$C$10:$AU$110,24,FALSE)</f>
        <v>19</v>
      </c>
      <c r="I8619" t="str">
        <v>(</v>
      </c>
      <c r="J8619">
        <f>+J8611</f>
        <v>1.25</v>
      </c>
      <c r="K8619" t="str">
        <v>+</v>
      </c>
      <c r="L8619">
        <f>MAX(VLOOKUP(F8619,N$6:P$15,3,FALSE)/1000,2/3*D8609/1000)+F$16*F8619/1000</f>
        <v>0.228</v>
      </c>
      <c r="M8619" t="str">
        <v>=</v>
      </c>
      <c r="N8619">
        <f>J8619+L8619</f>
        <v>1.478</v>
      </c>
      <c r="O8619" t="str">
        <v>+</v>
      </c>
      <c r="P8619">
        <f>D8619-D8620</f>
        <v>-3</v>
      </c>
      <c r="Q8619" t="str">
        <v>x</v>
      </c>
      <c r="R8619">
        <f>IF(P8619&gt;0,$F$18*F8619/1000,0)</f>
        <v>0</v>
      </c>
      <c r="S8619" t="str">
        <v>)</v>
      </c>
      <c r="T8619" t="str">
        <v>x</v>
      </c>
      <c r="U8619">
        <f>0.006165*F8619^2</f>
        <v>2.225565</v>
      </c>
      <c r="X8619" t="str">
        <v>x</v>
      </c>
      <c r="Y8619">
        <f>D8610</f>
        <v>1</v>
      </c>
      <c r="Z8619" t="str">
        <v>=</v>
      </c>
      <c r="AA8619">
        <f>IF(AA8622=0,(D8619*N8619+P8619*R8619)*U8619*Y8619,0)</f>
        <v>9.868155210000001</v>
      </c>
    </row>
    <row r="8620">
      <c r="A8620" t="str">
        <f>A8604</f>
        <v>Lantai Attic</v>
      </c>
      <c r="B8620">
        <f>B8604</f>
        <v>23</v>
      </c>
      <c r="C8620" t="str">
        <v>Tul Bawah Lapangan</v>
      </c>
      <c r="D8620">
        <f>VLOOKUP(D8604,'Detail Balok'!$C$10:$AU$110,25,FALSE)</f>
        <v>6</v>
      </c>
      <c r="E8620" t="str">
        <v>D</v>
      </c>
      <c r="F8620">
        <f>VLOOKUP(D8604,'Detail Balok'!$C$10:$AU$110,27,FALSE)</f>
        <v>19</v>
      </c>
      <c r="I8620" t="str">
        <v>(</v>
      </c>
      <c r="J8620">
        <f>+J8612</f>
        <v>2.5</v>
      </c>
      <c r="K8620" t="str">
        <v>+</v>
      </c>
      <c r="M8620" t="str">
        <v>=</v>
      </c>
      <c r="N8620">
        <f>J8620+L8620</f>
        <v>2.5</v>
      </c>
      <c r="O8620" t="str">
        <v>+</v>
      </c>
      <c r="P8620">
        <f>MAX(D8620-D8619,D8620-D8621)</f>
        <v>3</v>
      </c>
      <c r="Q8620" t="str">
        <v>x</v>
      </c>
      <c r="R8620">
        <f>IF(P8620&gt;0,2*(1-2*$F$19-1/2)*D8607/1000,0)</f>
        <v>0.9999999999999998</v>
      </c>
      <c r="S8620" t="str">
        <v>)</v>
      </c>
      <c r="T8620" t="str">
        <v>x</v>
      </c>
      <c r="U8620">
        <f>0.006165*F8620^2</f>
        <v>2.225565</v>
      </c>
      <c r="X8620" t="str">
        <v>x</v>
      </c>
      <c r="Y8620">
        <f>D8610</f>
        <v>1</v>
      </c>
      <c r="Z8620" t="str">
        <v>=</v>
      </c>
      <c r="AA8620">
        <f>IF(AA8622=0,(D8620*N8620+P8620*R8620)*U8620*Y8620,0)</f>
        <v>40.06017</v>
      </c>
    </row>
    <row r="8621">
      <c r="A8621" t="str">
        <f>A8604</f>
        <v>Lantai Attic</v>
      </c>
      <c r="B8621">
        <f>B8604</f>
        <v>23</v>
      </c>
      <c r="C8621" t="str">
        <v>Tul Bawah Tumpuan</v>
      </c>
      <c r="D8621">
        <f>VLOOKUP(D8604,'Detail Balok'!$C$10:$AU$110,28,FALSE)</f>
        <v>3</v>
      </c>
      <c r="E8621" t="str">
        <v>D</v>
      </c>
      <c r="F8621">
        <f>VLOOKUP(D8604,'Detail Balok'!$C$10:$AU$110,30,FALSE)</f>
        <v>19</v>
      </c>
      <c r="I8621" t="str">
        <v>(</v>
      </c>
      <c r="J8621">
        <f>+J8613</f>
        <v>1.25</v>
      </c>
      <c r="K8621" t="str">
        <v>+</v>
      </c>
      <c r="L8621">
        <f>MAX(VLOOKUP(F8621,N$6:P$15,3,FALSE)/1000,2/3*D8609/1000)+F$16*F8621/1000</f>
        <v>0.228</v>
      </c>
      <c r="M8621" t="str">
        <v>=</v>
      </c>
      <c r="N8621">
        <f>J8621+L8621</f>
        <v>1.478</v>
      </c>
      <c r="O8621" t="str">
        <v>+</v>
      </c>
      <c r="P8621">
        <f>D8621-D8620</f>
        <v>-3</v>
      </c>
      <c r="Q8621" t="str">
        <v>x</v>
      </c>
      <c r="R8621">
        <f>IF(P8621&gt;0,$F$18*F8621/1000,0)</f>
        <v>0</v>
      </c>
      <c r="S8621" t="str">
        <v>)</v>
      </c>
      <c r="T8621" t="str">
        <v>x</v>
      </c>
      <c r="U8621">
        <f>0.006165*F8621^2</f>
        <v>2.225565</v>
      </c>
      <c r="X8621" t="str">
        <v>x</v>
      </c>
      <c r="Y8621">
        <f>D8610</f>
        <v>1</v>
      </c>
      <c r="Z8621" t="str">
        <v>=</v>
      </c>
      <c r="AA8621">
        <f>IF(AA8622=0,(D8621*N8621+P8621*R8621)*U8621*Y8621,0)</f>
        <v>9.868155210000001</v>
      </c>
    </row>
    <row r="8622">
      <c r="A8622" t="str">
        <f>A8604</f>
        <v>Lantai Attic</v>
      </c>
      <c r="B8622">
        <f>B8604</f>
        <v>23</v>
      </c>
      <c r="D8622">
        <f>IF(AND(D8619=D8620,D8620=D8621,D8619=D8621),D8619,0)</f>
        <v>0</v>
      </c>
      <c r="E8622" t="str">
        <v>D</v>
      </c>
      <c r="F8622">
        <f>IF(AND(F8619=F8620,F8619=F8621,F8620=F8621),F8619,0)</f>
        <v>19</v>
      </c>
      <c r="L8622" t="str">
        <v>Total panjang per balok</v>
      </c>
      <c r="M8622" t="str">
        <v>=</v>
      </c>
      <c r="N8622">
        <f>IF(AND(D8619=D8620,D8619=D8621,D8620=D8621,F8619=F8620,F8619=F8621,F8620=F8621),SUM(N8619:N8621),0)</f>
        <v>0</v>
      </c>
      <c r="O8622" t="str">
        <v>+</v>
      </c>
      <c r="P8622">
        <f>IF(N8622&gt;12,ROUNDDOWN(N8622/12,0),0)</f>
        <v>0</v>
      </c>
      <c r="Q8622" t="str">
        <v>x</v>
      </c>
      <c r="R8622">
        <f>IF(P8622&gt;0,MAX(VLOOKUP(F8622,$D$6:$G$15,3,FALSE),600),0)/1000</f>
        <v>0</v>
      </c>
      <c r="T8622" t="str">
        <v>x</v>
      </c>
      <c r="U8622">
        <f>U8621</f>
        <v>2.225565</v>
      </c>
      <c r="V8622" t="str">
        <v>x</v>
      </c>
      <c r="W8622">
        <f>D8622</f>
        <v>0</v>
      </c>
      <c r="X8622" t="str">
        <v>x</v>
      </c>
      <c r="Y8622">
        <f>Y8621</f>
        <v>1</v>
      </c>
      <c r="Z8622" t="str">
        <v>=</v>
      </c>
      <c r="AA8622">
        <f>(N8622+P8622*R8622/1000)*U8622*W8622*Y8622</f>
        <v>0</v>
      </c>
    </row>
    <row r="8624">
      <c r="A8624" t="str">
        <f>A8604</f>
        <v>Lantai Attic</v>
      </c>
      <c r="B8624">
        <f>B8604</f>
        <v>23</v>
      </c>
      <c r="C8624" t="str">
        <v>Sengkang Tumpuan</v>
      </c>
      <c r="D8624">
        <f>VLOOKUP(D8604,'Detail Balok'!$C$10:$AU$110,31,FALSE)</f>
        <v>0</v>
      </c>
      <c r="E8624" t="str">
        <v>D</v>
      </c>
      <c r="F8624">
        <f>VLOOKUP(D8604,'Detail Balok'!$C$10:$AU$110,33,FALSE)</f>
        <v>10</v>
      </c>
      <c r="G8624" t="str">
        <v>-</v>
      </c>
      <c r="H8624">
        <f>VLOOKUP(D8604,'Detail Balok'!$C$10:$AU$110,35,FALSE)</f>
        <v>90</v>
      </c>
      <c r="J8624">
        <f>(IF(D8624=0,(2*(D8605+G8605))-(F$5*8),IF(D8624=3,(2*(D8605+G8605))-(F$5*8)+(G8605-2*F$5),IF(D8624=4,(2*(D8605+G8605))-(F$5*8)+2*(G8605-2*F$5)))))/1000</f>
        <v>1.18</v>
      </c>
      <c r="K8624" t="str">
        <v>+</v>
      </c>
      <c r="L8624">
        <f>IF(D8624=0,2*MAX(6*F8624,75),(D8624-1)*2*MAX(6*F8624,75))/1000</f>
        <v>0.15</v>
      </c>
      <c r="M8624" t="str">
        <v>=</v>
      </c>
      <c r="N8624">
        <f>J8624+L8624</f>
        <v>1.3299999999999998</v>
      </c>
      <c r="T8624" t="str">
        <v>x</v>
      </c>
      <c r="U8624">
        <f>0.006165*F8624^2</f>
        <v>0.6165</v>
      </c>
      <c r="V8624" t="str">
        <v>x</v>
      </c>
      <c r="W8624">
        <f>IF(D8607&gt;4*G8605,ROUND(MAX(D8607/4,2*G8605)/H8624,0)+1,ROUND(D8607/H8624,0)+1)</f>
        <v>15</v>
      </c>
      <c r="X8624" t="str">
        <v>x</v>
      </c>
      <c r="Y8624">
        <f>D8610</f>
        <v>1</v>
      </c>
      <c r="Z8624" t="str">
        <v>=</v>
      </c>
      <c r="AA8624">
        <f>N8624*U8624*W8624*Y8624</f>
        <v>12.299174999999998</v>
      </c>
    </row>
    <row r="8625">
      <c r="A8625" t="str">
        <f>A8604</f>
        <v>Lantai Attic</v>
      </c>
      <c r="B8625">
        <f>B8604</f>
        <v>23</v>
      </c>
      <c r="C8625" t="str">
        <v>Sengkang Lapangan</v>
      </c>
      <c r="D8625">
        <f>VLOOKUP(D8604,'Detail Balok'!$C$10:$AU$110,36,FALSE)</f>
        <v>0</v>
      </c>
      <c r="E8625" t="str">
        <v>D</v>
      </c>
      <c r="F8625">
        <f>VLOOKUP(D8604,'Detail Balok'!$C$10:$AU$110,38,FALSE)</f>
        <v>10</v>
      </c>
      <c r="G8625" t="str">
        <v>-</v>
      </c>
      <c r="H8625">
        <f>VLOOKUP(D8604,'Detail Balok'!$C$10:$AU$110,40,FALSE)</f>
        <v>200</v>
      </c>
      <c r="J8625">
        <f>(IF(D8625=0,(2*(D8605+G8605))-(F$5*8),IF(D8625=3,(2*(D8605+G8605))-(F$5*8)+(G8605-2*F$5),IF(D8625=4,(2*(D8605+G8605))-(F$5*8)+2*(G8605-2*F$5)))))/1000</f>
        <v>1.18</v>
      </c>
      <c r="K8625" t="str">
        <v>+</v>
      </c>
      <c r="L8625">
        <f>IF(D8625=0,2*MAX(6*F8625,75),(D8625-1)*2*MAX(6*F8625,75))/1000</f>
        <v>0.15</v>
      </c>
      <c r="M8625" t="str">
        <v>=</v>
      </c>
      <c r="N8625">
        <f>J8625+L8625</f>
        <v>1.3299999999999998</v>
      </c>
      <c r="T8625" t="str">
        <v>x</v>
      </c>
      <c r="U8625">
        <f>0.006165*F8625^2</f>
        <v>0.6165</v>
      </c>
      <c r="V8625" t="str">
        <v>x</v>
      </c>
      <c r="W8625">
        <f>IF(D8607-MAX(D8607/4,2*G8605)*2&gt;0,ROUND((D8607-MAX(D8607/4,2*G8605)*2)/H8625,0),0)</f>
        <v>13</v>
      </c>
      <c r="X8625" t="str">
        <v>x</v>
      </c>
      <c r="Y8625">
        <f>D8610</f>
        <v>1</v>
      </c>
      <c r="Z8625" t="str">
        <v>=</v>
      </c>
      <c r="AA8625">
        <f>N8625*U8625*W8625*Y8625</f>
        <v>10.659284999999999</v>
      </c>
    </row>
    <row r="8626">
      <c r="A8626" t="str">
        <f>A8604</f>
        <v>Lantai Attic</v>
      </c>
      <c r="B8626">
        <f>B8604</f>
        <v>23</v>
      </c>
      <c r="C8626" t="str">
        <v>Sengkang Tumpuan</v>
      </c>
      <c r="D8626">
        <f>VLOOKUP(D8604,'Detail Balok'!$C$10:$AU$110,41,FALSE)</f>
        <v>0</v>
      </c>
      <c r="E8626" t="str">
        <v>D</v>
      </c>
      <c r="F8626">
        <f>VLOOKUP(D8604,'Detail Balok'!$C$10:$AU$110,43,FALSE)</f>
        <v>10</v>
      </c>
      <c r="G8626" t="str">
        <v>-</v>
      </c>
      <c r="H8626">
        <f>VLOOKUP(D8604,'Detail Balok'!$C$10:$AU$110,45,FALSE)</f>
        <v>90</v>
      </c>
      <c r="J8626">
        <f>(IF(D8626=0,(2*(D8605+G8605))-(F$5*8),IF(D8626=3,(2*(D8605+G8605))-(F$5*8)+(G8605-2*F$5),IF(D8626=4,(2*(D8605+G8605))-(F$5*8)+2*(G8605-2*F$5)))))/1000</f>
        <v>1.18</v>
      </c>
      <c r="K8626" t="str">
        <v>+</v>
      </c>
      <c r="L8626">
        <f>IF(D8626=0,2*MAX(6*F8626,75),(D8626-1)*2*MAX(6*F8626,75))/1000</f>
        <v>0.15</v>
      </c>
      <c r="M8626" t="str">
        <v>=</v>
      </c>
      <c r="N8626">
        <f>J8626+L8626</f>
        <v>1.3299999999999998</v>
      </c>
      <c r="T8626" t="str">
        <v>x</v>
      </c>
      <c r="U8626">
        <f>0.006165*F8626^2</f>
        <v>0.6165</v>
      </c>
      <c r="V8626" t="str">
        <v>x</v>
      </c>
      <c r="W8626">
        <f>IF(D8607&gt;4*G8605,ROUND(MAX(D8607/4,2*G8605)/H8626,0)+1,0)</f>
        <v>15</v>
      </c>
      <c r="X8626" t="str">
        <v>x</v>
      </c>
      <c r="Y8626">
        <f>D8610</f>
        <v>1</v>
      </c>
      <c r="Z8626" t="str">
        <v>=</v>
      </c>
      <c r="AA8626">
        <f>N8626*U8626*W8626*Y8626</f>
        <v>12.299174999999998</v>
      </c>
    </row>
    <row r="8628">
      <c r="A8628" t="str">
        <f>A8604</f>
        <v>Lantai Attic</v>
      </c>
      <c r="B8628">
        <f>B8604</f>
        <v>23</v>
      </c>
      <c r="C8628" t="str">
        <v>Kait Horizontal Tump.</v>
      </c>
      <c r="D8628">
        <f>VLOOKUP(D8604,'Detail Balok'!$C$10:$BJ$110,46,FALSE)</f>
        <v>0</v>
      </c>
      <c r="E8628" t="str">
        <v>D</v>
      </c>
      <c r="F8628">
        <f>VLOOKUP(D8604,'Detail Balok'!$C$10:$BJ$110,48,FALSE)</f>
        <v>0</v>
      </c>
      <c r="G8628" t="str">
        <v>-</v>
      </c>
      <c r="H8628">
        <f>VLOOKUP(D8604,'Detail Balok'!$C$10:$BJ$110,50,FALSE)</f>
        <v>0</v>
      </c>
      <c r="J8628">
        <f>(D8605-2*F$5)/1000</f>
        <v>0.17</v>
      </c>
      <c r="K8628" t="str">
        <v>+</v>
      </c>
      <c r="L8628">
        <f>IF(D8628=0,2*MAX(6*F8628,75),(D8628-1)*2*MAX(6*F8628,75))/1000</f>
        <v>0.15</v>
      </c>
      <c r="M8628" t="str">
        <v>=</v>
      </c>
      <c r="N8628">
        <f>J8628+L8628</f>
        <v>0.32</v>
      </c>
      <c r="T8628" t="str">
        <v>x</v>
      </c>
      <c r="U8628">
        <f>0.006165*F8628^2</f>
        <v>0</v>
      </c>
      <c r="V8628" t="str">
        <v>x</v>
      </c>
      <c r="W8628">
        <f>W8624</f>
        <v>15</v>
      </c>
      <c r="X8628" t="str">
        <v>x</v>
      </c>
      <c r="Y8628">
        <f>D8614</f>
        <v>0</v>
      </c>
      <c r="Z8628" t="str">
        <v>=</v>
      </c>
      <c r="AA8628">
        <f>N8628*U8628*W8628*Y8628</f>
        <v>0</v>
      </c>
    </row>
    <row r="8629">
      <c r="A8629" t="str">
        <f>A8604</f>
        <v>Lantai Attic</v>
      </c>
      <c r="B8629">
        <f>B8604</f>
        <v>23</v>
      </c>
      <c r="C8629" t="str">
        <v>Kait Horizontal Lap.</v>
      </c>
      <c r="D8629">
        <f>VLOOKUP(D8604,'Detail Balok'!$C$10:$BJ$110,51,FALSE)</f>
        <v>0</v>
      </c>
      <c r="E8629" t="str">
        <v>D</v>
      </c>
      <c r="F8629">
        <f>VLOOKUP(D8604,'Detail Balok'!$C$10:$BJ$110,53,FALSE)</f>
        <v>0</v>
      </c>
      <c r="G8629" t="str">
        <v>-</v>
      </c>
      <c r="H8629">
        <f>VLOOKUP(D8604,'Detail Balok'!$C$10:$BJ$110,55,FALSE)</f>
        <v>0</v>
      </c>
      <c r="J8629">
        <f>(D8605-2*F$5)/1000</f>
        <v>0.17</v>
      </c>
      <c r="K8629" t="str">
        <v>+</v>
      </c>
      <c r="L8629">
        <f>IF(D8629=0,2*MAX(6*F8629,75),(D8629-1)*2*MAX(6*F8629,75))/1000</f>
        <v>0.15</v>
      </c>
      <c r="M8629" t="str">
        <v>=</v>
      </c>
      <c r="N8629">
        <f>J8629+L8629</f>
        <v>0.32</v>
      </c>
      <c r="T8629" t="str">
        <v>x</v>
      </c>
      <c r="U8629">
        <f>0.006165*F8629^2</f>
        <v>0</v>
      </c>
      <c r="V8629" t="str">
        <v>x</v>
      </c>
      <c r="W8629">
        <f>W8625</f>
        <v>13</v>
      </c>
      <c r="X8629" t="str">
        <v>x</v>
      </c>
      <c r="Y8629">
        <f>D8614</f>
        <v>0</v>
      </c>
      <c r="Z8629" t="str">
        <v>=</v>
      </c>
      <c r="AA8629">
        <f>N8629*U8629*W8629*Y8629</f>
        <v>0</v>
      </c>
    </row>
    <row r="8630">
      <c r="A8630" t="str">
        <f>A8604</f>
        <v>Lantai Attic</v>
      </c>
      <c r="B8630">
        <f>B8604</f>
        <v>23</v>
      </c>
      <c r="C8630" t="str">
        <v>Kait Horizontal Tump.</v>
      </c>
      <c r="D8630">
        <f>VLOOKUP(D8604,'Detail Balok'!$C$10:$BJ$110,56,FALSE)</f>
        <v>0</v>
      </c>
      <c r="E8630" t="str">
        <v>D</v>
      </c>
      <c r="F8630">
        <f>VLOOKUP(D8604,'Detail Balok'!$C$10:$BJ$110,58,FALSE)</f>
        <v>0</v>
      </c>
      <c r="G8630" t="str">
        <v>-</v>
      </c>
      <c r="H8630">
        <f>VLOOKUP(D8604,'Detail Balok'!$C$10:$BJ$110,60,FALSE)</f>
        <v>0</v>
      </c>
      <c r="J8630">
        <f>(D8605-2*F$5)/1000</f>
        <v>0.17</v>
      </c>
      <c r="K8630" t="str">
        <v>+</v>
      </c>
      <c r="L8630">
        <f>IF(D8630=0,2*MAX(6*F8630,75),(D8630-1)*2*MAX(6*F8630,75))/1000</f>
        <v>0.15</v>
      </c>
      <c r="M8630" t="str">
        <v>=</v>
      </c>
      <c r="N8630">
        <f>J8630+L8630</f>
        <v>0.32</v>
      </c>
      <c r="T8630" t="str">
        <v>x</v>
      </c>
      <c r="U8630">
        <f>0.006165*F8630^2</f>
        <v>0</v>
      </c>
      <c r="V8630" t="str">
        <v>x</v>
      </c>
      <c r="W8630">
        <f>W8626</f>
        <v>15</v>
      </c>
      <c r="X8630" t="str">
        <v>x</v>
      </c>
      <c r="Y8630">
        <f>D8614</f>
        <v>0</v>
      </c>
      <c r="Z8630" t="str">
        <v>=</v>
      </c>
      <c r="AA8630">
        <f>N8630*U8630*W8630*Y8630</f>
        <v>0</v>
      </c>
    </row>
    <row r="8634">
      <c r="A8634" t="str">
        <f>A8604</f>
        <v>Lantai Attic</v>
      </c>
      <c r="B8634">
        <f>B8604+1</f>
        <v>24</v>
      </c>
      <c r="C8634" t="str">
        <f>CONCATENATE(A8634," no. ",B8634)</f>
        <v>Lantai Attic no. 24</v>
      </c>
      <c r="D8634" t="str">
        <f>VLOOKUP(C8634,'Data Panjang Balok'!$C$9:$N$424,2,FALSE)</f>
        <v>BB</v>
      </c>
    </row>
    <row r="8635">
      <c r="C8635" t="str">
        <v>Dimensi</v>
      </c>
      <c r="D8635">
        <f>VLOOKUP(D8634,'Detail Balok'!$C$10:$AU$110,2,FALSE)</f>
        <v>200</v>
      </c>
      <c r="F8635" t="str">
        <v>x</v>
      </c>
      <c r="G8635">
        <f>VLOOKUP(D8634,'Detail Balok'!$C$10:$AU$110,3,FALSE)</f>
        <v>150</v>
      </c>
    </row>
    <row r="8636">
      <c r="C8636" t="str">
        <v>Panjang as ke as</v>
      </c>
      <c r="D8636">
        <f>VLOOKUP(C8634,'Data Panjang Balok'!$C$9:$N$424,4,FALSE)</f>
        <v>900</v>
      </c>
    </row>
    <row r="8637">
      <c r="C8637" t="str">
        <v>Panjang netto</v>
      </c>
      <c r="D8637">
        <f>VLOOKUP(C8634,'Data Panjang Balok'!$C$9:$N$424,7,FALSE)</f>
        <v>900</v>
      </c>
    </row>
    <row r="8638">
      <c r="C8638" t="str">
        <v>Kolom / balok kiri</v>
      </c>
      <c r="D8638">
        <f>VLOOKUP(C8634,'Data Panjang Balok'!$C$9:$N$424,9,FALSE)</f>
        <v>0</v>
      </c>
    </row>
    <row r="8639">
      <c r="C8639" t="str">
        <v>Kolom / balok kanan</v>
      </c>
      <c r="D8639">
        <f>VLOOKUP(C8634,'Data Panjang Balok'!$C$9:$N$424,10,FALSE)</f>
        <v>0</v>
      </c>
    </row>
    <row r="8640">
      <c r="C8640" t="str">
        <v>Jumlah</v>
      </c>
      <c r="D8640">
        <f>VLOOKUP(C8634,'Data Panjang Balok'!$C$9:$N$424,3,FALSE)</f>
        <v>1</v>
      </c>
    </row>
    <row r="8641">
      <c r="A8641" t="str">
        <f>A8634</f>
        <v>Lantai Attic</v>
      </c>
      <c r="B8641">
        <f>B8634</f>
        <v>24</v>
      </c>
      <c r="C8641" t="str">
        <v>Tul Atas Tumpuan</v>
      </c>
      <c r="D8641">
        <f>VLOOKUP(D8634,'Detail Balok'!$C$10:$AU$110,4,FALSE)</f>
        <v>2</v>
      </c>
      <c r="E8641" t="str">
        <v>D</v>
      </c>
      <c r="F8641">
        <f>VLOOKUP(D8634,'Detail Balok'!$C$10:$AU$110,6,FALSE)</f>
        <v>10</v>
      </c>
      <c r="I8641" t="str">
        <v>(</v>
      </c>
      <c r="J8641">
        <f>+D8636/4/1000</f>
        <v>0.225</v>
      </c>
      <c r="K8641" t="str">
        <v>+</v>
      </c>
      <c r="L8641">
        <f>MAX(VLOOKUP(F8641,N$6:P$15,3,FALSE)/1000,2/3*D8638/1000)+F$16*F8641/1000</f>
        <v>0.12</v>
      </c>
      <c r="M8641" t="str">
        <v>=</v>
      </c>
      <c r="N8641">
        <f>J8641+L8641</f>
        <v>0.345</v>
      </c>
      <c r="O8641" t="str">
        <v>+</v>
      </c>
      <c r="P8641">
        <f>D8641-D8642</f>
        <v>0</v>
      </c>
      <c r="Q8641" t="str">
        <v>x</v>
      </c>
      <c r="R8641">
        <f>IF(P8641&gt;0,$F$18*F8641/1000,0)</f>
        <v>0</v>
      </c>
      <c r="S8641" t="str">
        <v>)</v>
      </c>
      <c r="T8641" t="str">
        <v>x</v>
      </c>
      <c r="U8641">
        <f>0.006165*F8641^2</f>
        <v>0.6165</v>
      </c>
      <c r="X8641" t="str">
        <v>x</v>
      </c>
      <c r="Y8641">
        <f>D8640</f>
        <v>1</v>
      </c>
      <c r="Z8641" t="str">
        <v>=</v>
      </c>
      <c r="AA8641">
        <f>IF(AA8644=0,(D8641*N8641+P8641*R8641)*U8641*Y8641,0)</f>
        <v>0</v>
      </c>
    </row>
    <row r="8642">
      <c r="A8642" t="str">
        <f>A8634</f>
        <v>Lantai Attic</v>
      </c>
      <c r="B8642">
        <f>B8634</f>
        <v>24</v>
      </c>
      <c r="C8642" t="str">
        <v>Tul Atas Lapangan</v>
      </c>
      <c r="D8642">
        <f>VLOOKUP(D8634,'Detail Balok'!$C$10:$AU$110,7,FALSE)</f>
        <v>2</v>
      </c>
      <c r="E8642" t="str">
        <v>D</v>
      </c>
      <c r="F8642">
        <f>VLOOKUP(D8634,'Detail Balok'!$C$10:$AU$110,9,FALSE)</f>
        <v>10</v>
      </c>
      <c r="I8642" t="str">
        <v>(</v>
      </c>
      <c r="J8642">
        <f>+D8636/2/1000</f>
        <v>0.45</v>
      </c>
      <c r="K8642" t="str">
        <v>+</v>
      </c>
      <c r="M8642" t="str">
        <v>=</v>
      </c>
      <c r="N8642">
        <f>J8642+L8642</f>
        <v>0.45</v>
      </c>
      <c r="O8642" t="str">
        <v>+</v>
      </c>
      <c r="P8642">
        <f>MAX(D8642-D8641,D8642-D8643)</f>
        <v>0</v>
      </c>
      <c r="Q8642" t="str">
        <v>x</v>
      </c>
      <c r="R8642">
        <f>IF(P8642&gt;0,2*(1-2*$F$19-1/2)*D8637/1000,0)</f>
        <v>0</v>
      </c>
      <c r="S8642" t="str">
        <v>)</v>
      </c>
      <c r="T8642" t="str">
        <v>x</v>
      </c>
      <c r="U8642">
        <f>0.006165*F8642^2</f>
        <v>0.6165</v>
      </c>
      <c r="X8642" t="str">
        <v>x</v>
      </c>
      <c r="Y8642">
        <f>D8640</f>
        <v>1</v>
      </c>
      <c r="Z8642" t="str">
        <v>=</v>
      </c>
      <c r="AA8642">
        <f>IF(AA8644=0,(D8642*N8642+P8642*R8642)*U8642*Y8642,0)</f>
        <v>0</v>
      </c>
    </row>
    <row r="8643">
      <c r="A8643" t="str">
        <f>A8634</f>
        <v>Lantai Attic</v>
      </c>
      <c r="B8643">
        <f>B8634</f>
        <v>24</v>
      </c>
      <c r="C8643" t="str">
        <v>Tul Atas Tumpuan</v>
      </c>
      <c r="D8643">
        <f>VLOOKUP(D8634,'Detail Balok'!$C$10:$AU$110,10,FALSE)</f>
        <v>2</v>
      </c>
      <c r="E8643" t="str">
        <v>D</v>
      </c>
      <c r="F8643">
        <f>VLOOKUP(D8634,'Detail Balok'!$C$10:$AU$110,12,FALSE)</f>
        <v>10</v>
      </c>
      <c r="I8643" t="str">
        <v>(</v>
      </c>
      <c r="J8643">
        <f>+D8636/4/1000</f>
        <v>0.225</v>
      </c>
      <c r="K8643" t="str">
        <v>+</v>
      </c>
      <c r="L8643">
        <f>MAX(VLOOKUP(F8643,N$6:P$15,3,FALSE)/1000,2/3*D8638/1000)+F$16*F8643/1000</f>
        <v>0.12</v>
      </c>
      <c r="M8643" t="str">
        <v>=</v>
      </c>
      <c r="N8643">
        <f>J8643+L8643</f>
        <v>0.345</v>
      </c>
      <c r="O8643" t="str">
        <v>+</v>
      </c>
      <c r="P8643">
        <f>D8643-D8642</f>
        <v>0</v>
      </c>
      <c r="Q8643" t="str">
        <v>x</v>
      </c>
      <c r="R8643">
        <f>IF(P8643&gt;0,$F$18*F8643/1000,0)</f>
        <v>0</v>
      </c>
      <c r="S8643" t="str">
        <v>)</v>
      </c>
      <c r="T8643" t="str">
        <v>x</v>
      </c>
      <c r="U8643">
        <f>0.006165*F8643^2</f>
        <v>0.6165</v>
      </c>
      <c r="X8643" t="str">
        <v>x</v>
      </c>
      <c r="Y8643">
        <f>D8640</f>
        <v>1</v>
      </c>
      <c r="Z8643" t="str">
        <v>=</v>
      </c>
      <c r="AA8643">
        <f>IF(AA8644=0,(D8643*N8643+P8643*R8643)*U8643*Y8643,0)</f>
        <v>0</v>
      </c>
    </row>
    <row r="8644">
      <c r="A8644" t="str">
        <f>A8634</f>
        <v>Lantai Attic</v>
      </c>
      <c r="B8644">
        <f>B8634</f>
        <v>24</v>
      </c>
      <c r="D8644">
        <f>IF(AND(D8641=D8642,D8642=D8643,D8641=D8643),D8641,0)</f>
        <v>2</v>
      </c>
      <c r="E8644" t="str">
        <v>D</v>
      </c>
      <c r="F8644">
        <f>IF(AND(F8641=F8642,F8641=F8643,F8642=F8643),F8641,0)</f>
        <v>10</v>
      </c>
      <c r="L8644" t="str">
        <v>Total panjang per balok</v>
      </c>
      <c r="M8644" t="str">
        <v>=</v>
      </c>
      <c r="N8644">
        <f>IF(AND(D8641=D8642,D8641=D8643,D8642=D8643,F8641=F8642,F8641=F8643,F8642=F8643),SUM(N8641:N8643),0)</f>
        <v>1.14</v>
      </c>
      <c r="O8644" t="str">
        <v>+</v>
      </c>
      <c r="P8644">
        <f>IF(N8644&gt;12,ROUNDDOWN(N8644/12,0),0)</f>
        <v>0</v>
      </c>
      <c r="Q8644" t="str">
        <v>x</v>
      </c>
      <c r="R8644">
        <f>IF(P8644&gt;0,MAX(VLOOKUP(F8644,$D$6:$G$15,3,FALSE),600),0)/1000</f>
        <v>0</v>
      </c>
      <c r="T8644" t="str">
        <v>x</v>
      </c>
      <c r="U8644">
        <f>U8643</f>
        <v>0.6165</v>
      </c>
      <c r="V8644" t="str">
        <v>x</v>
      </c>
      <c r="W8644">
        <f>D8644</f>
        <v>2</v>
      </c>
      <c r="X8644" t="str">
        <v>x</v>
      </c>
      <c r="Y8644">
        <f>Y8643</f>
        <v>1</v>
      </c>
      <c r="Z8644" t="str">
        <v>=</v>
      </c>
      <c r="AA8644">
        <f>(N8644+P8644*R8644/1000)*U8644*W8644*Y8644</f>
        <v>1.40562</v>
      </c>
    </row>
    <row r="8646">
      <c r="A8646" t="str">
        <f>A8634</f>
        <v>Lantai Attic</v>
      </c>
      <c r="B8646">
        <f>B8634</f>
        <v>24</v>
      </c>
      <c r="C8646" t="str">
        <v>Tul Peminggang</v>
      </c>
      <c r="D8646">
        <f>VLOOKUP(D8634,'Detail Balok'!$C$10:$AU$110,13,FALSE)</f>
        <v>0</v>
      </c>
      <c r="E8646" t="str">
        <v>D</v>
      </c>
      <c r="F8646">
        <f>VLOOKUP(D8634,'Detail Balok'!$C$10:$AU$110,15,FALSE)</f>
        <v>6</v>
      </c>
      <c r="J8646">
        <f>+D8636/1000</f>
        <v>0.9</v>
      </c>
      <c r="K8646" t="str">
        <v>+</v>
      </c>
      <c r="L8646">
        <f>2*$F$16*F8646/1000</f>
        <v>0.144</v>
      </c>
      <c r="M8646" t="str">
        <v>=</v>
      </c>
      <c r="N8646">
        <f>J8646+L8646</f>
        <v>1.044</v>
      </c>
      <c r="O8646" t="str">
        <v>+</v>
      </c>
      <c r="P8646">
        <f>IF(N8646&gt;12,ROUNDDOWN(N8646/12,0),0)</f>
        <v>0</v>
      </c>
      <c r="Q8646" t="str">
        <v>x</v>
      </c>
      <c r="R8646">
        <f>IF(P8646&gt;0,MAX(VLOOKUP(F8646,$D$6:$G$15,3,FALSE),600),0)/1000</f>
        <v>0</v>
      </c>
      <c r="T8646" t="str">
        <v>x</v>
      </c>
      <c r="U8646">
        <f>0.006165*F8646^2</f>
        <v>0.22194000000000003</v>
      </c>
      <c r="V8646" t="str">
        <v>x</v>
      </c>
      <c r="W8646">
        <f>+D8646</f>
        <v>0</v>
      </c>
      <c r="X8646" t="str">
        <v>x</v>
      </c>
      <c r="Y8646">
        <f>D8640</f>
        <v>1</v>
      </c>
      <c r="Z8646" t="str">
        <v>=</v>
      </c>
      <c r="AA8646">
        <f>(N8646+P8646*R8646/1000)*U8646*W8646*Y8646</f>
        <v>0</v>
      </c>
    </row>
    <row r="8649">
      <c r="A8649" t="str">
        <f>A8634</f>
        <v>Lantai Attic</v>
      </c>
      <c r="B8649">
        <f>B8634</f>
        <v>24</v>
      </c>
      <c r="C8649" t="str">
        <v>Tul Bawah Tumpuan</v>
      </c>
      <c r="D8649">
        <f>VLOOKUP(D8634,'Detail Balok'!$C$10:$AU$110,22,FALSE)</f>
        <v>2</v>
      </c>
      <c r="E8649" t="str">
        <v>D</v>
      </c>
      <c r="F8649">
        <f>VLOOKUP(D8634,'Detail Balok'!$C$10:$AU$110,24,FALSE)</f>
        <v>10</v>
      </c>
      <c r="I8649" t="str">
        <v>(</v>
      </c>
      <c r="J8649">
        <f>+J8641</f>
        <v>0.225</v>
      </c>
      <c r="K8649" t="str">
        <v>+</v>
      </c>
      <c r="L8649">
        <f>MAX(VLOOKUP(F8649,N$6:P$15,3,FALSE)/1000,2/3*D8639/1000)+F$16*F8649/1000</f>
        <v>0.12</v>
      </c>
      <c r="M8649" t="str">
        <v>=</v>
      </c>
      <c r="N8649">
        <f>J8649+L8649</f>
        <v>0.345</v>
      </c>
      <c r="O8649" t="str">
        <v>+</v>
      </c>
      <c r="P8649">
        <f>D8649-D8650</f>
        <v>0</v>
      </c>
      <c r="Q8649" t="str">
        <v>x</v>
      </c>
      <c r="R8649">
        <f>IF(P8649&gt;0,$F$18*F8649/1000,0)</f>
        <v>0</v>
      </c>
      <c r="S8649" t="str">
        <v>)</v>
      </c>
      <c r="T8649" t="str">
        <v>x</v>
      </c>
      <c r="U8649">
        <f>0.006165*F8649^2</f>
        <v>0.6165</v>
      </c>
      <c r="X8649" t="str">
        <v>x</v>
      </c>
      <c r="Y8649">
        <f>D8640</f>
        <v>1</v>
      </c>
      <c r="Z8649" t="str">
        <v>=</v>
      </c>
      <c r="AA8649">
        <f>IF(AA8652=0,(D8649*N8649+P8649*R8649)*U8649*Y8649,0)</f>
        <v>0</v>
      </c>
    </row>
    <row r="8650">
      <c r="A8650" t="str">
        <f>A8634</f>
        <v>Lantai Attic</v>
      </c>
      <c r="B8650">
        <f>B8634</f>
        <v>24</v>
      </c>
      <c r="C8650" t="str">
        <v>Tul Bawah Lapangan</v>
      </c>
      <c r="D8650">
        <f>VLOOKUP(D8634,'Detail Balok'!$C$10:$AU$110,25,FALSE)</f>
        <v>2</v>
      </c>
      <c r="E8650" t="str">
        <v>D</v>
      </c>
      <c r="F8650">
        <f>VLOOKUP(D8634,'Detail Balok'!$C$10:$AU$110,27,FALSE)</f>
        <v>10</v>
      </c>
      <c r="I8650" t="str">
        <v>(</v>
      </c>
      <c r="J8650">
        <f>+J8642</f>
        <v>0.45</v>
      </c>
      <c r="K8650" t="str">
        <v>+</v>
      </c>
      <c r="M8650" t="str">
        <v>=</v>
      </c>
      <c r="N8650">
        <f>J8650+L8650</f>
        <v>0.45</v>
      </c>
      <c r="O8650" t="str">
        <v>+</v>
      </c>
      <c r="P8650">
        <f>MAX(D8650-D8649,D8650-D8651)</f>
        <v>0</v>
      </c>
      <c r="Q8650" t="str">
        <v>x</v>
      </c>
      <c r="R8650">
        <f>IF(P8650&gt;0,2*(1-2*$F$19-1/2)*D8637/1000,0)</f>
        <v>0</v>
      </c>
      <c r="S8650" t="str">
        <v>)</v>
      </c>
      <c r="T8650" t="str">
        <v>x</v>
      </c>
      <c r="U8650">
        <f>0.006165*F8650^2</f>
        <v>0.6165</v>
      </c>
      <c r="X8650" t="str">
        <v>x</v>
      </c>
      <c r="Y8650">
        <f>D8640</f>
        <v>1</v>
      </c>
      <c r="Z8650" t="str">
        <v>=</v>
      </c>
      <c r="AA8650">
        <f>IF(AA8652=0,(D8650*N8650+P8650*R8650)*U8650*Y8650,0)</f>
        <v>0</v>
      </c>
    </row>
    <row r="8651">
      <c r="A8651" t="str">
        <f>A8634</f>
        <v>Lantai Attic</v>
      </c>
      <c r="B8651">
        <f>B8634</f>
        <v>24</v>
      </c>
      <c r="C8651" t="str">
        <v>Tul Bawah Tumpuan</v>
      </c>
      <c r="D8651">
        <f>VLOOKUP(D8634,'Detail Balok'!$C$10:$AU$110,28,FALSE)</f>
        <v>2</v>
      </c>
      <c r="E8651" t="str">
        <v>D</v>
      </c>
      <c r="F8651">
        <f>VLOOKUP(D8634,'Detail Balok'!$C$10:$AU$110,30,FALSE)</f>
        <v>10</v>
      </c>
      <c r="I8651" t="str">
        <v>(</v>
      </c>
      <c r="J8651">
        <f>+J8643</f>
        <v>0.225</v>
      </c>
      <c r="K8651" t="str">
        <v>+</v>
      </c>
      <c r="L8651">
        <f>MAX(VLOOKUP(F8651,N$6:P$15,3,FALSE)/1000,2/3*D8639/1000)+F$16*F8651/1000</f>
        <v>0.12</v>
      </c>
      <c r="M8651" t="str">
        <v>=</v>
      </c>
      <c r="N8651">
        <f>J8651+L8651</f>
        <v>0.345</v>
      </c>
      <c r="O8651" t="str">
        <v>+</v>
      </c>
      <c r="P8651">
        <f>D8651-D8650</f>
        <v>0</v>
      </c>
      <c r="Q8651" t="str">
        <v>x</v>
      </c>
      <c r="R8651">
        <f>IF(P8651&gt;0,$F$18*F8651/1000,0)</f>
        <v>0</v>
      </c>
      <c r="S8651" t="str">
        <v>)</v>
      </c>
      <c r="T8651" t="str">
        <v>x</v>
      </c>
      <c r="U8651">
        <f>0.006165*F8651^2</f>
        <v>0.6165</v>
      </c>
      <c r="X8651" t="str">
        <v>x</v>
      </c>
      <c r="Y8651">
        <f>D8640</f>
        <v>1</v>
      </c>
      <c r="Z8651" t="str">
        <v>=</v>
      </c>
      <c r="AA8651">
        <f>IF(AA8652=0,(D8651*N8651+P8651*R8651)*U8651*Y8651,0)</f>
        <v>0</v>
      </c>
    </row>
    <row r="8652">
      <c r="A8652" t="str">
        <f>A8634</f>
        <v>Lantai Attic</v>
      </c>
      <c r="B8652">
        <f>B8634</f>
        <v>24</v>
      </c>
      <c r="D8652">
        <f>IF(AND(D8649=D8650,D8650=D8651,D8649=D8651),D8649,0)</f>
        <v>2</v>
      </c>
      <c r="E8652" t="str">
        <v>D</v>
      </c>
      <c r="F8652">
        <f>IF(AND(F8649=F8650,F8649=F8651,F8650=F8651),F8649,0)</f>
        <v>10</v>
      </c>
      <c r="L8652" t="str">
        <v>Total panjang per balok</v>
      </c>
      <c r="M8652" t="str">
        <v>=</v>
      </c>
      <c r="N8652">
        <f>IF(AND(D8649=D8650,D8649=D8651,D8650=D8651,F8649=F8650,F8649=F8651,F8650=F8651),SUM(N8649:N8651),0)</f>
        <v>1.14</v>
      </c>
      <c r="O8652" t="str">
        <v>+</v>
      </c>
      <c r="P8652">
        <f>IF(N8652&gt;12,ROUNDDOWN(N8652/12,0),0)</f>
        <v>0</v>
      </c>
      <c r="Q8652" t="str">
        <v>x</v>
      </c>
      <c r="R8652">
        <f>IF(P8652&gt;0,MAX(VLOOKUP(F8652,$D$6:$G$15,3,FALSE),600),0)/1000</f>
        <v>0</v>
      </c>
      <c r="T8652" t="str">
        <v>x</v>
      </c>
      <c r="U8652">
        <f>U8651</f>
        <v>0.6165</v>
      </c>
      <c r="V8652" t="str">
        <v>x</v>
      </c>
      <c r="W8652">
        <f>D8652</f>
        <v>2</v>
      </c>
      <c r="X8652" t="str">
        <v>x</v>
      </c>
      <c r="Y8652">
        <f>Y8651</f>
        <v>1</v>
      </c>
      <c r="Z8652" t="str">
        <v>=</v>
      </c>
      <c r="AA8652">
        <f>(N8652+P8652*R8652/1000)*U8652*W8652*Y8652</f>
        <v>1.40562</v>
      </c>
    </row>
    <row r="8654">
      <c r="A8654" t="str">
        <f>A8634</f>
        <v>Lantai Attic</v>
      </c>
      <c r="B8654">
        <f>B8634</f>
        <v>24</v>
      </c>
      <c r="C8654" t="str">
        <v>Sengkang Tumpuan</v>
      </c>
      <c r="D8654">
        <f>VLOOKUP(D8634,'Detail Balok'!$C$10:$AU$110,31,FALSE)</f>
        <v>0</v>
      </c>
      <c r="E8654" t="str">
        <v>D</v>
      </c>
      <c r="F8654">
        <f>VLOOKUP(D8634,'Detail Balok'!$C$10:$AU$110,33,FALSE)</f>
        <v>8</v>
      </c>
      <c r="G8654" t="str">
        <v>-</v>
      </c>
      <c r="H8654">
        <f>VLOOKUP(D8634,'Detail Balok'!$C$10:$AU$110,35,FALSE)</f>
        <v>100</v>
      </c>
      <c r="J8654">
        <f>(IF(D8654=0,(2*(D8635+G8635))-(F$5*8),IF(D8654=3,(2*(D8635+G8635))-(F$5*8)+(G8635-2*F$5),IF(D8654=4,(2*(D8635+G8635))-(F$5*8)+2*(G8635-2*F$5)))))/1000</f>
        <v>0.38</v>
      </c>
      <c r="K8654" t="str">
        <v>+</v>
      </c>
      <c r="L8654">
        <f>IF(D8654=0,2*MAX(6*F8654,75),(D8654-1)*2*MAX(6*F8654,75))/1000</f>
        <v>0.15</v>
      </c>
      <c r="M8654" t="str">
        <v>=</v>
      </c>
      <c r="N8654">
        <f>J8654+L8654</f>
        <v>0.53</v>
      </c>
      <c r="T8654" t="str">
        <v>x</v>
      </c>
      <c r="U8654">
        <f>0.006165*F8654^2</f>
        <v>0.39456</v>
      </c>
      <c r="V8654" t="str">
        <v>x</v>
      </c>
      <c r="W8654">
        <f>IF(D8637&gt;4*G8635,ROUND(MAX(D8637/4,2*G8635)/H8654,0)+1,ROUND(D8637/H8654,0)+1)</f>
        <v>4</v>
      </c>
      <c r="X8654" t="str">
        <v>x</v>
      </c>
      <c r="Y8654">
        <f>D8640</f>
        <v>1</v>
      </c>
      <c r="Z8654" t="str">
        <v>=</v>
      </c>
      <c r="AA8654">
        <f>N8654*U8654*W8654*Y8654</f>
        <v>0.8364672000000001</v>
      </c>
    </row>
    <row r="8655">
      <c r="A8655" t="str">
        <f>A8634</f>
        <v>Lantai Attic</v>
      </c>
      <c r="B8655">
        <f>B8634</f>
        <v>24</v>
      </c>
      <c r="C8655" t="str">
        <v>Sengkang Lapangan</v>
      </c>
      <c r="D8655">
        <f>VLOOKUP(D8634,'Detail Balok'!$C$10:$AU$110,36,FALSE)</f>
        <v>0</v>
      </c>
      <c r="E8655" t="str">
        <v>D</v>
      </c>
      <c r="F8655">
        <f>VLOOKUP(D8634,'Detail Balok'!$C$10:$AU$110,38,FALSE)</f>
        <v>8</v>
      </c>
      <c r="G8655" t="str">
        <v>-</v>
      </c>
      <c r="H8655">
        <f>VLOOKUP(D8634,'Detail Balok'!$C$10:$AU$110,40,FALSE)</f>
        <v>100</v>
      </c>
      <c r="J8655">
        <f>(IF(D8655=0,(2*(D8635+G8635))-(F$5*8),IF(D8655=3,(2*(D8635+G8635))-(F$5*8)+(G8635-2*F$5),IF(D8655=4,(2*(D8635+G8635))-(F$5*8)+2*(G8635-2*F$5)))))/1000</f>
        <v>0.38</v>
      </c>
      <c r="K8655" t="str">
        <v>+</v>
      </c>
      <c r="L8655">
        <f>IF(D8655=0,2*MAX(6*F8655,75),(D8655-1)*2*MAX(6*F8655,75))/1000</f>
        <v>0.15</v>
      </c>
      <c r="M8655" t="str">
        <v>=</v>
      </c>
      <c r="N8655">
        <f>J8655+L8655</f>
        <v>0.53</v>
      </c>
      <c r="T8655" t="str">
        <v>x</v>
      </c>
      <c r="U8655">
        <f>0.006165*F8655^2</f>
        <v>0.39456</v>
      </c>
      <c r="V8655" t="str">
        <v>x</v>
      </c>
      <c r="W8655">
        <f>IF(D8637-MAX(D8637/4,2*G8635)*2&gt;0,ROUND((D8637-MAX(D8637/4,2*G8635)*2)/H8655,0),0)</f>
        <v>3</v>
      </c>
      <c r="X8655" t="str">
        <v>x</v>
      </c>
      <c r="Y8655">
        <f>D8640</f>
        <v>1</v>
      </c>
      <c r="Z8655" t="str">
        <v>=</v>
      </c>
      <c r="AA8655">
        <f>N8655*U8655*W8655*Y8655</f>
        <v>0.6273504000000001</v>
      </c>
    </row>
    <row r="8656">
      <c r="A8656" t="str">
        <f>A8634</f>
        <v>Lantai Attic</v>
      </c>
      <c r="B8656">
        <f>B8634</f>
        <v>24</v>
      </c>
      <c r="C8656" t="str">
        <v>Sengkang Tumpuan</v>
      </c>
      <c r="D8656">
        <f>VLOOKUP(D8634,'Detail Balok'!$C$10:$AU$110,41,FALSE)</f>
        <v>0</v>
      </c>
      <c r="E8656" t="str">
        <v>D</v>
      </c>
      <c r="F8656">
        <f>VLOOKUP(D8634,'Detail Balok'!$C$10:$AU$110,43,FALSE)</f>
        <v>8</v>
      </c>
      <c r="G8656" t="str">
        <v>-</v>
      </c>
      <c r="H8656">
        <f>VLOOKUP(D8634,'Detail Balok'!$C$10:$AU$110,45,FALSE)</f>
        <v>100</v>
      </c>
      <c r="J8656">
        <f>(IF(D8656=0,(2*(D8635+G8635))-(F$5*8),IF(D8656=3,(2*(D8635+G8635))-(F$5*8)+(G8635-2*F$5),IF(D8656=4,(2*(D8635+G8635))-(F$5*8)+2*(G8635-2*F$5)))))/1000</f>
        <v>0.38</v>
      </c>
      <c r="K8656" t="str">
        <v>+</v>
      </c>
      <c r="L8656">
        <f>IF(D8656=0,2*MAX(6*F8656,75),(D8656-1)*2*MAX(6*F8656,75))/1000</f>
        <v>0.15</v>
      </c>
      <c r="M8656" t="str">
        <v>=</v>
      </c>
      <c r="N8656">
        <f>J8656+L8656</f>
        <v>0.53</v>
      </c>
      <c r="T8656" t="str">
        <v>x</v>
      </c>
      <c r="U8656">
        <f>0.006165*F8656^2</f>
        <v>0.39456</v>
      </c>
      <c r="V8656" t="str">
        <v>x</v>
      </c>
      <c r="W8656">
        <f>IF(D8637&gt;4*G8635,ROUND(MAX(D8637/4,2*G8635)/H8656,0)+1,0)</f>
        <v>4</v>
      </c>
      <c r="X8656" t="str">
        <v>x</v>
      </c>
      <c r="Y8656">
        <f>D8640</f>
        <v>1</v>
      </c>
      <c r="Z8656" t="str">
        <v>=</v>
      </c>
      <c r="AA8656">
        <f>N8656*U8656*W8656*Y8656</f>
        <v>0.8364672000000001</v>
      </c>
    </row>
    <row r="8658">
      <c r="A8658" t="str">
        <f>A8634</f>
        <v>Lantai Attic</v>
      </c>
      <c r="B8658">
        <f>B8634</f>
        <v>24</v>
      </c>
      <c r="C8658" t="str">
        <v>Kait Horizontal Tump.</v>
      </c>
      <c r="D8658">
        <f>VLOOKUP(D8634,'Detail Balok'!$C$10:$BJ$110,46,FALSE)</f>
        <v>0</v>
      </c>
      <c r="E8658" t="str">
        <v>D</v>
      </c>
      <c r="F8658">
        <f>VLOOKUP(D8634,'Detail Balok'!$C$10:$BJ$110,48,FALSE)</f>
        <v>0</v>
      </c>
      <c r="G8658" t="str">
        <v>-</v>
      </c>
      <c r="H8658">
        <f>VLOOKUP(D8634,'Detail Balok'!$C$10:$BJ$110,50,FALSE)</f>
        <v>100</v>
      </c>
      <c r="J8658">
        <f>(D8635-2*F$5)/1000</f>
        <v>0.12</v>
      </c>
      <c r="K8658" t="str">
        <v>+</v>
      </c>
      <c r="L8658">
        <f>IF(D8658=0,2*MAX(6*F8658,75),(D8658-1)*2*MAX(6*F8658,75))/1000</f>
        <v>0.15</v>
      </c>
      <c r="M8658" t="str">
        <v>=</v>
      </c>
      <c r="N8658">
        <f>J8658+L8658</f>
        <v>0.27</v>
      </c>
      <c r="T8658" t="str">
        <v>x</v>
      </c>
      <c r="U8658">
        <f>0.006165*F8658^2</f>
        <v>0</v>
      </c>
      <c r="V8658" t="str">
        <v>x</v>
      </c>
      <c r="W8658">
        <f>W8654</f>
        <v>4</v>
      </c>
      <c r="X8658" t="str">
        <v>x</v>
      </c>
      <c r="Y8658">
        <f>D8644</f>
        <v>2</v>
      </c>
      <c r="Z8658" t="str">
        <v>=</v>
      </c>
      <c r="AA8658">
        <f>N8658*U8658*W8658*Y8658</f>
        <v>0</v>
      </c>
    </row>
    <row r="8659">
      <c r="A8659" t="str">
        <f>A8634</f>
        <v>Lantai Attic</v>
      </c>
      <c r="B8659">
        <f>B8634</f>
        <v>24</v>
      </c>
      <c r="C8659" t="str">
        <v>Kait Horizontal Lap.</v>
      </c>
      <c r="D8659">
        <f>VLOOKUP(D8634,'Detail Balok'!$C$10:$BJ$110,51,FALSE)</f>
        <v>0</v>
      </c>
      <c r="E8659" t="str">
        <v>D</v>
      </c>
      <c r="F8659">
        <f>VLOOKUP(D8634,'Detail Balok'!$C$10:$BJ$110,53,FALSE)</f>
        <v>0</v>
      </c>
      <c r="G8659" t="str">
        <v>-</v>
      </c>
      <c r="H8659">
        <f>VLOOKUP(D8634,'Detail Balok'!$C$10:$BJ$110,55,FALSE)</f>
        <v>100</v>
      </c>
      <c r="J8659">
        <f>(D8635-2*F$5)/1000</f>
        <v>0.12</v>
      </c>
      <c r="K8659" t="str">
        <v>+</v>
      </c>
      <c r="L8659">
        <f>IF(D8659=0,2*MAX(6*F8659,75),(D8659-1)*2*MAX(6*F8659,75))/1000</f>
        <v>0.15</v>
      </c>
      <c r="M8659" t="str">
        <v>=</v>
      </c>
      <c r="N8659">
        <f>J8659+L8659</f>
        <v>0.27</v>
      </c>
      <c r="T8659" t="str">
        <v>x</v>
      </c>
      <c r="U8659">
        <f>0.006165*F8659^2</f>
        <v>0</v>
      </c>
      <c r="V8659" t="str">
        <v>x</v>
      </c>
      <c r="W8659">
        <f>W8655</f>
        <v>3</v>
      </c>
      <c r="X8659" t="str">
        <v>x</v>
      </c>
      <c r="Y8659">
        <f>D8644</f>
        <v>2</v>
      </c>
      <c r="Z8659" t="str">
        <v>=</v>
      </c>
      <c r="AA8659">
        <f>N8659*U8659*W8659*Y8659</f>
        <v>0</v>
      </c>
    </row>
    <row r="8660">
      <c r="A8660" t="str">
        <f>A8634</f>
        <v>Lantai Attic</v>
      </c>
      <c r="B8660">
        <f>B8634</f>
        <v>24</v>
      </c>
      <c r="C8660" t="str">
        <v>Kait Horizontal Tump.</v>
      </c>
      <c r="D8660">
        <f>VLOOKUP(D8634,'Detail Balok'!$C$10:$BJ$110,56,FALSE)</f>
        <v>0</v>
      </c>
      <c r="E8660" t="str">
        <v>D</v>
      </c>
      <c r="F8660">
        <f>VLOOKUP(D8634,'Detail Balok'!$C$10:$BJ$110,58,FALSE)</f>
        <v>0</v>
      </c>
      <c r="G8660" t="str">
        <v>-</v>
      </c>
      <c r="H8660">
        <f>VLOOKUP(D8634,'Detail Balok'!$C$10:$BJ$110,60,FALSE)</f>
        <v>100</v>
      </c>
      <c r="J8660">
        <f>(D8635-2*F$5)/1000</f>
        <v>0.12</v>
      </c>
      <c r="K8660" t="str">
        <v>+</v>
      </c>
      <c r="L8660">
        <f>IF(D8660=0,2*MAX(6*F8660,75),(D8660-1)*2*MAX(6*F8660,75))/1000</f>
        <v>0.15</v>
      </c>
      <c r="M8660" t="str">
        <v>=</v>
      </c>
      <c r="N8660">
        <f>J8660+L8660</f>
        <v>0.27</v>
      </c>
      <c r="T8660" t="str">
        <v>x</v>
      </c>
      <c r="U8660">
        <f>0.006165*F8660^2</f>
        <v>0</v>
      </c>
      <c r="V8660" t="str">
        <v>x</v>
      </c>
      <c r="W8660">
        <f>W8656</f>
        <v>4</v>
      </c>
      <c r="X8660" t="str">
        <v>x</v>
      </c>
      <c r="Y8660">
        <f>D8644</f>
        <v>2</v>
      </c>
      <c r="Z8660" t="str">
        <v>=</v>
      </c>
      <c r="AA8660">
        <f>N8660*U8660*W8660*Y8660</f>
        <v>0</v>
      </c>
    </row>
    <row r="8664">
      <c r="A8664" t="str">
        <f>A8634</f>
        <v>Lantai Attic</v>
      </c>
      <c r="B8664">
        <f>B8634+1</f>
        <v>25</v>
      </c>
      <c r="C8664" t="str">
        <f>CONCATENATE(A8664," no. ",B8664)</f>
        <v>Lantai Attic no. 25</v>
      </c>
      <c r="D8664" t="str">
        <f>VLOOKUP(C8664,'Data Panjang Balok'!$C$9:$N$424,2,FALSE)</f>
        <v>BB</v>
      </c>
    </row>
    <row r="8665">
      <c r="C8665" t="str">
        <v>Dimensi</v>
      </c>
      <c r="D8665">
        <f>VLOOKUP(D8664,'Detail Balok'!$C$10:$AU$110,2,FALSE)</f>
        <v>200</v>
      </c>
      <c r="F8665" t="str">
        <v>x</v>
      </c>
      <c r="G8665">
        <f>VLOOKUP(D8664,'Detail Balok'!$C$10:$AU$110,3,FALSE)</f>
        <v>150</v>
      </c>
    </row>
    <row r="8666">
      <c r="C8666" t="str">
        <v>Panjang as ke as</v>
      </c>
      <c r="D8666">
        <f>VLOOKUP(C8664,'Data Panjang Balok'!$C$9:$N$424,4,FALSE)</f>
        <v>900</v>
      </c>
    </row>
    <row r="8667">
      <c r="C8667" t="str">
        <v>Panjang netto</v>
      </c>
      <c r="D8667">
        <f>VLOOKUP(C8664,'Data Panjang Balok'!$C$9:$N$424,7,FALSE)</f>
        <v>900</v>
      </c>
    </row>
    <row r="8668">
      <c r="C8668" t="str">
        <v>Kolom / balok kiri</v>
      </c>
      <c r="D8668">
        <f>VLOOKUP(C8664,'Data Panjang Balok'!$C$9:$N$424,9,FALSE)</f>
        <v>0</v>
      </c>
    </row>
    <row r="8669">
      <c r="C8669" t="str">
        <v>Kolom / balok kanan</v>
      </c>
      <c r="D8669">
        <f>VLOOKUP(C8664,'Data Panjang Balok'!$C$9:$N$424,10,FALSE)</f>
        <v>0</v>
      </c>
    </row>
    <row r="8670">
      <c r="C8670" t="str">
        <v>Jumlah</v>
      </c>
      <c r="D8670">
        <f>VLOOKUP(C8664,'Data Panjang Balok'!$C$9:$N$424,3,FALSE)</f>
        <v>1</v>
      </c>
    </row>
    <row r="8671">
      <c r="A8671" t="str">
        <f>A8664</f>
        <v>Lantai Attic</v>
      </c>
      <c r="B8671">
        <f>B8664</f>
        <v>25</v>
      </c>
      <c r="C8671" t="str">
        <v>Tul Atas Tumpuan</v>
      </c>
      <c r="D8671">
        <f>VLOOKUP(D8664,'Detail Balok'!$C$10:$AU$110,4,FALSE)</f>
        <v>2</v>
      </c>
      <c r="E8671" t="str">
        <v>D</v>
      </c>
      <c r="F8671">
        <f>VLOOKUP(D8664,'Detail Balok'!$C$10:$AU$110,6,FALSE)</f>
        <v>10</v>
      </c>
      <c r="I8671" t="str">
        <v>(</v>
      </c>
      <c r="J8671">
        <f>+D8666/4/1000</f>
        <v>0.225</v>
      </c>
      <c r="K8671" t="str">
        <v>+</v>
      </c>
      <c r="L8671">
        <f>MAX(VLOOKUP(F8671,N$6:P$15,3,FALSE)/1000,2/3*D8668/1000)+F$16*F8671/1000</f>
        <v>0.12</v>
      </c>
      <c r="M8671" t="str">
        <v>=</v>
      </c>
      <c r="N8671">
        <f>J8671+L8671</f>
        <v>0.345</v>
      </c>
      <c r="O8671" t="str">
        <v>+</v>
      </c>
      <c r="P8671">
        <f>D8671-D8672</f>
        <v>0</v>
      </c>
      <c r="Q8671" t="str">
        <v>x</v>
      </c>
      <c r="R8671">
        <f>IF(P8671&gt;0,$F$18*F8671/1000,0)</f>
        <v>0</v>
      </c>
      <c r="S8671" t="str">
        <v>)</v>
      </c>
      <c r="T8671" t="str">
        <v>x</v>
      </c>
      <c r="U8671">
        <f>0.006165*F8671^2</f>
        <v>0.6165</v>
      </c>
      <c r="X8671" t="str">
        <v>x</v>
      </c>
      <c r="Y8671">
        <f>D8670</f>
        <v>1</v>
      </c>
      <c r="Z8671" t="str">
        <v>=</v>
      </c>
      <c r="AA8671">
        <f>IF(AA8674=0,(D8671*N8671+P8671*R8671)*U8671*Y8671,0)</f>
        <v>0</v>
      </c>
    </row>
    <row r="8672">
      <c r="A8672" t="str">
        <f>A8664</f>
        <v>Lantai Attic</v>
      </c>
      <c r="B8672">
        <f>B8664</f>
        <v>25</v>
      </c>
      <c r="C8672" t="str">
        <v>Tul Atas Lapangan</v>
      </c>
      <c r="D8672">
        <f>VLOOKUP(D8664,'Detail Balok'!$C$10:$AU$110,7,FALSE)</f>
        <v>2</v>
      </c>
      <c r="E8672" t="str">
        <v>D</v>
      </c>
      <c r="F8672">
        <f>VLOOKUP(D8664,'Detail Balok'!$C$10:$AU$110,9,FALSE)</f>
        <v>10</v>
      </c>
      <c r="I8672" t="str">
        <v>(</v>
      </c>
      <c r="J8672">
        <f>+D8666/2/1000</f>
        <v>0.45</v>
      </c>
      <c r="K8672" t="str">
        <v>+</v>
      </c>
      <c r="M8672" t="str">
        <v>=</v>
      </c>
      <c r="N8672">
        <f>J8672+L8672</f>
        <v>0.45</v>
      </c>
      <c r="O8672" t="str">
        <v>+</v>
      </c>
      <c r="P8672">
        <f>MAX(D8672-D8671,D8672-D8673)</f>
        <v>0</v>
      </c>
      <c r="Q8672" t="str">
        <v>x</v>
      </c>
      <c r="R8672">
        <f>IF(P8672&gt;0,2*(1-2*$F$19-1/2)*D8667/1000,0)</f>
        <v>0</v>
      </c>
      <c r="S8672" t="str">
        <v>)</v>
      </c>
      <c r="T8672" t="str">
        <v>x</v>
      </c>
      <c r="U8672">
        <f>0.006165*F8672^2</f>
        <v>0.6165</v>
      </c>
      <c r="X8672" t="str">
        <v>x</v>
      </c>
      <c r="Y8672">
        <f>D8670</f>
        <v>1</v>
      </c>
      <c r="Z8672" t="str">
        <v>=</v>
      </c>
      <c r="AA8672">
        <f>IF(AA8674=0,(D8672*N8672+P8672*R8672)*U8672*Y8672,0)</f>
        <v>0</v>
      </c>
    </row>
    <row r="8673">
      <c r="A8673" t="str">
        <f>A8664</f>
        <v>Lantai Attic</v>
      </c>
      <c r="B8673">
        <f>B8664</f>
        <v>25</v>
      </c>
      <c r="C8673" t="str">
        <v>Tul Atas Tumpuan</v>
      </c>
      <c r="D8673">
        <f>VLOOKUP(D8664,'Detail Balok'!$C$10:$AU$110,10,FALSE)</f>
        <v>2</v>
      </c>
      <c r="E8673" t="str">
        <v>D</v>
      </c>
      <c r="F8673">
        <f>VLOOKUP(D8664,'Detail Balok'!$C$10:$AU$110,12,FALSE)</f>
        <v>10</v>
      </c>
      <c r="I8673" t="str">
        <v>(</v>
      </c>
      <c r="J8673">
        <f>+D8666/4/1000</f>
        <v>0.225</v>
      </c>
      <c r="K8673" t="str">
        <v>+</v>
      </c>
      <c r="L8673">
        <f>MAX(VLOOKUP(F8673,N$6:P$15,3,FALSE)/1000,2/3*D8668/1000)+F$16*F8673/1000</f>
        <v>0.12</v>
      </c>
      <c r="M8673" t="str">
        <v>=</v>
      </c>
      <c r="N8673">
        <f>J8673+L8673</f>
        <v>0.345</v>
      </c>
      <c r="O8673" t="str">
        <v>+</v>
      </c>
      <c r="P8673">
        <f>D8673-D8672</f>
        <v>0</v>
      </c>
      <c r="Q8673" t="str">
        <v>x</v>
      </c>
      <c r="R8673">
        <f>IF(P8673&gt;0,$F$18*F8673/1000,0)</f>
        <v>0</v>
      </c>
      <c r="S8673" t="str">
        <v>)</v>
      </c>
      <c r="T8673" t="str">
        <v>x</v>
      </c>
      <c r="U8673">
        <f>0.006165*F8673^2</f>
        <v>0.6165</v>
      </c>
      <c r="X8673" t="str">
        <v>x</v>
      </c>
      <c r="Y8673">
        <f>D8670</f>
        <v>1</v>
      </c>
      <c r="Z8673" t="str">
        <v>=</v>
      </c>
      <c r="AA8673">
        <f>IF(AA8674=0,(D8673*N8673+P8673*R8673)*U8673*Y8673,0)</f>
        <v>0</v>
      </c>
    </row>
    <row r="8674">
      <c r="A8674" t="str">
        <f>A8664</f>
        <v>Lantai Attic</v>
      </c>
      <c r="B8674">
        <f>B8664</f>
        <v>25</v>
      </c>
      <c r="D8674">
        <f>IF(AND(D8671=D8672,D8672=D8673,D8671=D8673),D8671,0)</f>
        <v>2</v>
      </c>
      <c r="E8674" t="str">
        <v>D</v>
      </c>
      <c r="F8674">
        <f>IF(AND(F8671=F8672,F8671=F8673,F8672=F8673),F8671,0)</f>
        <v>10</v>
      </c>
      <c r="L8674" t="str">
        <v>Total panjang per balok</v>
      </c>
      <c r="M8674" t="str">
        <v>=</v>
      </c>
      <c r="N8674">
        <f>IF(AND(D8671=D8672,D8671=D8673,D8672=D8673,F8671=F8672,F8671=F8673,F8672=F8673),SUM(N8671:N8673),0)</f>
        <v>1.14</v>
      </c>
      <c r="O8674" t="str">
        <v>+</v>
      </c>
      <c r="P8674">
        <f>IF(N8674&gt;12,ROUNDDOWN(N8674/12,0),0)</f>
        <v>0</v>
      </c>
      <c r="Q8674" t="str">
        <v>x</v>
      </c>
      <c r="R8674">
        <f>IF(P8674&gt;0,MAX(VLOOKUP(F8674,$D$6:$G$15,3,FALSE),600),0)/1000</f>
        <v>0</v>
      </c>
      <c r="T8674" t="str">
        <v>x</v>
      </c>
      <c r="U8674">
        <f>U8673</f>
        <v>0.6165</v>
      </c>
      <c r="V8674" t="str">
        <v>x</v>
      </c>
      <c r="W8674">
        <f>D8674</f>
        <v>2</v>
      </c>
      <c r="X8674" t="str">
        <v>x</v>
      </c>
      <c r="Y8674">
        <f>Y8673</f>
        <v>1</v>
      </c>
      <c r="Z8674" t="str">
        <v>=</v>
      </c>
      <c r="AA8674">
        <f>(N8674+P8674*R8674/1000)*U8674*W8674*Y8674</f>
        <v>1.40562</v>
      </c>
    </row>
    <row r="8676">
      <c r="A8676" t="str">
        <f>A8664</f>
        <v>Lantai Attic</v>
      </c>
      <c r="B8676">
        <f>B8664</f>
        <v>25</v>
      </c>
      <c r="C8676" t="str">
        <v>Tul Peminggang</v>
      </c>
      <c r="D8676">
        <f>VLOOKUP(D8664,'Detail Balok'!$C$10:$AU$110,13,FALSE)</f>
        <v>0</v>
      </c>
      <c r="E8676" t="str">
        <v>D</v>
      </c>
      <c r="F8676">
        <f>VLOOKUP(D8664,'Detail Balok'!$C$10:$AU$110,15,FALSE)</f>
        <v>6</v>
      </c>
      <c r="J8676">
        <f>+D8666/1000</f>
        <v>0.9</v>
      </c>
      <c r="K8676" t="str">
        <v>+</v>
      </c>
      <c r="L8676">
        <f>2*$F$16*F8676/1000</f>
        <v>0.144</v>
      </c>
      <c r="M8676" t="str">
        <v>=</v>
      </c>
      <c r="N8676">
        <f>J8676+L8676</f>
        <v>1.044</v>
      </c>
      <c r="O8676" t="str">
        <v>+</v>
      </c>
      <c r="P8676">
        <f>IF(N8676&gt;12,ROUNDDOWN(N8676/12,0),0)</f>
        <v>0</v>
      </c>
      <c r="Q8676" t="str">
        <v>x</v>
      </c>
      <c r="R8676">
        <f>IF(P8676&gt;0,MAX(VLOOKUP(F8676,$D$6:$G$15,3,FALSE),600),0)/1000</f>
        <v>0</v>
      </c>
      <c r="T8676" t="str">
        <v>x</v>
      </c>
      <c r="U8676">
        <f>0.006165*F8676^2</f>
        <v>0.22194000000000003</v>
      </c>
      <c r="V8676" t="str">
        <v>x</v>
      </c>
      <c r="W8676">
        <f>+D8676</f>
        <v>0</v>
      </c>
      <c r="X8676" t="str">
        <v>x</v>
      </c>
      <c r="Y8676">
        <f>D8670</f>
        <v>1</v>
      </c>
      <c r="Z8676" t="str">
        <v>=</v>
      </c>
      <c r="AA8676">
        <f>(N8676+P8676*R8676/1000)*U8676*W8676*Y8676</f>
        <v>0</v>
      </c>
    </row>
    <row r="8679">
      <c r="A8679" t="str">
        <f>A8664</f>
        <v>Lantai Attic</v>
      </c>
      <c r="B8679">
        <f>B8664</f>
        <v>25</v>
      </c>
      <c r="C8679" t="str">
        <v>Tul Bawah Tumpuan</v>
      </c>
      <c r="D8679">
        <f>VLOOKUP(D8664,'Detail Balok'!$C$10:$AU$110,22,FALSE)</f>
        <v>2</v>
      </c>
      <c r="E8679" t="str">
        <v>D</v>
      </c>
      <c r="F8679">
        <f>VLOOKUP(D8664,'Detail Balok'!$C$10:$AU$110,24,FALSE)</f>
        <v>10</v>
      </c>
      <c r="I8679" t="str">
        <v>(</v>
      </c>
      <c r="J8679">
        <f>+J8671</f>
        <v>0.225</v>
      </c>
      <c r="K8679" t="str">
        <v>+</v>
      </c>
      <c r="L8679">
        <f>MAX(VLOOKUP(F8679,N$6:P$15,3,FALSE)/1000,2/3*D8669/1000)+F$16*F8679/1000</f>
        <v>0.12</v>
      </c>
      <c r="M8679" t="str">
        <v>=</v>
      </c>
      <c r="N8679">
        <f>J8679+L8679</f>
        <v>0.345</v>
      </c>
      <c r="O8679" t="str">
        <v>+</v>
      </c>
      <c r="P8679">
        <f>D8679-D8680</f>
        <v>0</v>
      </c>
      <c r="Q8679" t="str">
        <v>x</v>
      </c>
      <c r="R8679">
        <f>IF(P8679&gt;0,$F$18*F8679/1000,0)</f>
        <v>0</v>
      </c>
      <c r="S8679" t="str">
        <v>)</v>
      </c>
      <c r="T8679" t="str">
        <v>x</v>
      </c>
      <c r="U8679">
        <f>0.006165*F8679^2</f>
        <v>0.6165</v>
      </c>
      <c r="X8679" t="str">
        <v>x</v>
      </c>
      <c r="Y8679">
        <f>D8670</f>
        <v>1</v>
      </c>
      <c r="Z8679" t="str">
        <v>=</v>
      </c>
      <c r="AA8679">
        <f>IF(AA8682=0,(D8679*N8679+P8679*R8679)*U8679*Y8679,0)</f>
        <v>0</v>
      </c>
    </row>
    <row r="8680">
      <c r="A8680" t="str">
        <f>A8664</f>
        <v>Lantai Attic</v>
      </c>
      <c r="B8680">
        <f>B8664</f>
        <v>25</v>
      </c>
      <c r="C8680" t="str">
        <v>Tul Bawah Lapangan</v>
      </c>
      <c r="D8680">
        <f>VLOOKUP(D8664,'Detail Balok'!$C$10:$AU$110,25,FALSE)</f>
        <v>2</v>
      </c>
      <c r="E8680" t="str">
        <v>D</v>
      </c>
      <c r="F8680">
        <f>VLOOKUP(D8664,'Detail Balok'!$C$10:$AU$110,27,FALSE)</f>
        <v>10</v>
      </c>
      <c r="I8680" t="str">
        <v>(</v>
      </c>
      <c r="J8680">
        <f>+J8672</f>
        <v>0.45</v>
      </c>
      <c r="K8680" t="str">
        <v>+</v>
      </c>
      <c r="M8680" t="str">
        <v>=</v>
      </c>
      <c r="N8680">
        <f>J8680+L8680</f>
        <v>0.45</v>
      </c>
      <c r="O8680" t="str">
        <v>+</v>
      </c>
      <c r="P8680">
        <f>MAX(D8680-D8679,D8680-D8681)</f>
        <v>0</v>
      </c>
      <c r="Q8680" t="str">
        <v>x</v>
      </c>
      <c r="R8680">
        <f>IF(P8680&gt;0,2*(1-2*$F$19-1/2)*D8667/1000,0)</f>
        <v>0</v>
      </c>
      <c r="S8680" t="str">
        <v>)</v>
      </c>
      <c r="T8680" t="str">
        <v>x</v>
      </c>
      <c r="U8680">
        <f>0.006165*F8680^2</f>
        <v>0.6165</v>
      </c>
      <c r="X8680" t="str">
        <v>x</v>
      </c>
      <c r="Y8680">
        <f>D8670</f>
        <v>1</v>
      </c>
      <c r="Z8680" t="str">
        <v>=</v>
      </c>
      <c r="AA8680">
        <f>IF(AA8682=0,(D8680*N8680+P8680*R8680)*U8680*Y8680,0)</f>
        <v>0</v>
      </c>
    </row>
    <row r="8681">
      <c r="A8681" t="str">
        <f>A8664</f>
        <v>Lantai Attic</v>
      </c>
      <c r="B8681">
        <f>B8664</f>
        <v>25</v>
      </c>
      <c r="C8681" t="str">
        <v>Tul Bawah Tumpuan</v>
      </c>
      <c r="D8681">
        <f>VLOOKUP(D8664,'Detail Balok'!$C$10:$AU$110,28,FALSE)</f>
        <v>2</v>
      </c>
      <c r="E8681" t="str">
        <v>D</v>
      </c>
      <c r="F8681">
        <f>VLOOKUP(D8664,'Detail Balok'!$C$10:$AU$110,30,FALSE)</f>
        <v>10</v>
      </c>
      <c r="I8681" t="str">
        <v>(</v>
      </c>
      <c r="J8681">
        <f>+J8673</f>
        <v>0.225</v>
      </c>
      <c r="K8681" t="str">
        <v>+</v>
      </c>
      <c r="L8681">
        <f>MAX(VLOOKUP(F8681,N$6:P$15,3,FALSE)/1000,2/3*D8669/1000)+F$16*F8681/1000</f>
        <v>0.12</v>
      </c>
      <c r="M8681" t="str">
        <v>=</v>
      </c>
      <c r="N8681">
        <f>J8681+L8681</f>
        <v>0.345</v>
      </c>
      <c r="O8681" t="str">
        <v>+</v>
      </c>
      <c r="P8681">
        <f>D8681-D8680</f>
        <v>0</v>
      </c>
      <c r="Q8681" t="str">
        <v>x</v>
      </c>
      <c r="R8681">
        <f>IF(P8681&gt;0,$F$18*F8681/1000,0)</f>
        <v>0</v>
      </c>
      <c r="S8681" t="str">
        <v>)</v>
      </c>
      <c r="T8681" t="str">
        <v>x</v>
      </c>
      <c r="U8681">
        <f>0.006165*F8681^2</f>
        <v>0.6165</v>
      </c>
      <c r="X8681" t="str">
        <v>x</v>
      </c>
      <c r="Y8681">
        <f>D8670</f>
        <v>1</v>
      </c>
      <c r="Z8681" t="str">
        <v>=</v>
      </c>
      <c r="AA8681">
        <f>IF(AA8682=0,(D8681*N8681+P8681*R8681)*U8681*Y8681,0)</f>
        <v>0</v>
      </c>
    </row>
    <row r="8682">
      <c r="A8682" t="str">
        <f>A8664</f>
        <v>Lantai Attic</v>
      </c>
      <c r="B8682">
        <f>B8664</f>
        <v>25</v>
      </c>
      <c r="D8682">
        <f>IF(AND(D8679=D8680,D8680=D8681,D8679=D8681),D8679,0)</f>
        <v>2</v>
      </c>
      <c r="E8682" t="str">
        <v>D</v>
      </c>
      <c r="F8682">
        <f>IF(AND(F8679=F8680,F8679=F8681,F8680=F8681),F8679,0)</f>
        <v>10</v>
      </c>
      <c r="L8682" t="str">
        <v>Total panjang per balok</v>
      </c>
      <c r="M8682" t="str">
        <v>=</v>
      </c>
      <c r="N8682">
        <f>IF(AND(D8679=D8680,D8679=D8681,D8680=D8681,F8679=F8680,F8679=F8681,F8680=F8681),SUM(N8679:N8681),0)</f>
        <v>1.14</v>
      </c>
      <c r="O8682" t="str">
        <v>+</v>
      </c>
      <c r="P8682">
        <f>IF(N8682&gt;12,ROUNDDOWN(N8682/12,0),0)</f>
        <v>0</v>
      </c>
      <c r="Q8682" t="str">
        <v>x</v>
      </c>
      <c r="R8682">
        <f>IF(P8682&gt;0,MAX(VLOOKUP(F8682,$D$6:$G$15,3,FALSE),600),0)/1000</f>
        <v>0</v>
      </c>
      <c r="T8682" t="str">
        <v>x</v>
      </c>
      <c r="U8682">
        <f>U8681</f>
        <v>0.6165</v>
      </c>
      <c r="V8682" t="str">
        <v>x</v>
      </c>
      <c r="W8682">
        <f>D8682</f>
        <v>2</v>
      </c>
      <c r="X8682" t="str">
        <v>x</v>
      </c>
      <c r="Y8682">
        <f>Y8681</f>
        <v>1</v>
      </c>
      <c r="Z8682" t="str">
        <v>=</v>
      </c>
      <c r="AA8682">
        <f>(N8682+P8682*R8682/1000)*U8682*W8682*Y8682</f>
        <v>1.40562</v>
      </c>
    </row>
    <row r="8684">
      <c r="A8684" t="str">
        <f>A8664</f>
        <v>Lantai Attic</v>
      </c>
      <c r="B8684">
        <f>B8664</f>
        <v>25</v>
      </c>
      <c r="C8684" t="str">
        <v>Sengkang Tumpuan</v>
      </c>
      <c r="D8684">
        <f>VLOOKUP(D8664,'Detail Balok'!$C$10:$AU$110,31,FALSE)</f>
        <v>0</v>
      </c>
      <c r="E8684" t="str">
        <v>D</v>
      </c>
      <c r="F8684">
        <f>VLOOKUP(D8664,'Detail Balok'!$C$10:$AU$110,33,FALSE)</f>
        <v>8</v>
      </c>
      <c r="G8684" t="str">
        <v>-</v>
      </c>
      <c r="H8684">
        <f>VLOOKUP(D8664,'Detail Balok'!$C$10:$AU$110,35,FALSE)</f>
        <v>100</v>
      </c>
      <c r="J8684">
        <f>(IF(D8684=0,(2*(D8665+G8665))-(F$5*8),IF(D8684=3,(2*(D8665+G8665))-(F$5*8)+(G8665-2*F$5),IF(D8684=4,(2*(D8665+G8665))-(F$5*8)+2*(G8665-2*F$5)))))/1000</f>
        <v>0.38</v>
      </c>
      <c r="K8684" t="str">
        <v>+</v>
      </c>
      <c r="L8684">
        <f>IF(D8684=0,2*MAX(6*F8684,75),(D8684-1)*2*MAX(6*F8684,75))/1000</f>
        <v>0.15</v>
      </c>
      <c r="M8684" t="str">
        <v>=</v>
      </c>
      <c r="N8684">
        <f>J8684+L8684</f>
        <v>0.53</v>
      </c>
      <c r="T8684" t="str">
        <v>x</v>
      </c>
      <c r="U8684">
        <f>0.006165*F8684^2</f>
        <v>0.39456</v>
      </c>
      <c r="V8684" t="str">
        <v>x</v>
      </c>
      <c r="W8684">
        <f>IF(D8667&gt;4*G8665,ROUND(MAX(D8667/4,2*G8665)/H8684,0)+1,ROUND(D8667/H8684,0)+1)</f>
        <v>4</v>
      </c>
      <c r="X8684" t="str">
        <v>x</v>
      </c>
      <c r="Y8684">
        <f>D8670</f>
        <v>1</v>
      </c>
      <c r="Z8684" t="str">
        <v>=</v>
      </c>
      <c r="AA8684">
        <f>N8684*U8684*W8684*Y8684</f>
        <v>0.8364672000000001</v>
      </c>
    </row>
    <row r="8685">
      <c r="A8685" t="str">
        <f>A8664</f>
        <v>Lantai Attic</v>
      </c>
      <c r="B8685">
        <f>B8664</f>
        <v>25</v>
      </c>
      <c r="C8685" t="str">
        <v>Sengkang Lapangan</v>
      </c>
      <c r="D8685">
        <f>VLOOKUP(D8664,'Detail Balok'!$C$10:$AU$110,36,FALSE)</f>
        <v>0</v>
      </c>
      <c r="E8685" t="str">
        <v>D</v>
      </c>
      <c r="F8685">
        <f>VLOOKUP(D8664,'Detail Balok'!$C$10:$AU$110,38,FALSE)</f>
        <v>8</v>
      </c>
      <c r="G8685" t="str">
        <v>-</v>
      </c>
      <c r="H8685">
        <f>VLOOKUP(D8664,'Detail Balok'!$C$10:$AU$110,40,FALSE)</f>
        <v>100</v>
      </c>
      <c r="J8685">
        <f>(IF(D8685=0,(2*(D8665+G8665))-(F$5*8),IF(D8685=3,(2*(D8665+G8665))-(F$5*8)+(G8665-2*F$5),IF(D8685=4,(2*(D8665+G8665))-(F$5*8)+2*(G8665-2*F$5)))))/1000</f>
        <v>0.38</v>
      </c>
      <c r="K8685" t="str">
        <v>+</v>
      </c>
      <c r="L8685">
        <f>IF(D8685=0,2*MAX(6*F8685,75),(D8685-1)*2*MAX(6*F8685,75))/1000</f>
        <v>0.15</v>
      </c>
      <c r="M8685" t="str">
        <v>=</v>
      </c>
      <c r="N8685">
        <f>J8685+L8685</f>
        <v>0.53</v>
      </c>
      <c r="T8685" t="str">
        <v>x</v>
      </c>
      <c r="U8685">
        <f>0.006165*F8685^2</f>
        <v>0.39456</v>
      </c>
      <c r="V8685" t="str">
        <v>x</v>
      </c>
      <c r="W8685">
        <f>IF(D8667-MAX(D8667/4,2*G8665)*2&gt;0,ROUND((D8667-MAX(D8667/4,2*G8665)*2)/H8685,0),0)</f>
        <v>3</v>
      </c>
      <c r="X8685" t="str">
        <v>x</v>
      </c>
      <c r="Y8685">
        <f>D8670</f>
        <v>1</v>
      </c>
      <c r="Z8685" t="str">
        <v>=</v>
      </c>
      <c r="AA8685">
        <f>N8685*U8685*W8685*Y8685</f>
        <v>0.6273504000000001</v>
      </c>
    </row>
    <row r="8686">
      <c r="A8686" t="str">
        <f>A8664</f>
        <v>Lantai Attic</v>
      </c>
      <c r="B8686">
        <f>B8664</f>
        <v>25</v>
      </c>
      <c r="C8686" t="str">
        <v>Sengkang Tumpuan</v>
      </c>
      <c r="D8686">
        <f>VLOOKUP(D8664,'Detail Balok'!$C$10:$AU$110,41,FALSE)</f>
        <v>0</v>
      </c>
      <c r="E8686" t="str">
        <v>D</v>
      </c>
      <c r="F8686">
        <f>VLOOKUP(D8664,'Detail Balok'!$C$10:$AU$110,43,FALSE)</f>
        <v>8</v>
      </c>
      <c r="G8686" t="str">
        <v>-</v>
      </c>
      <c r="H8686">
        <f>VLOOKUP(D8664,'Detail Balok'!$C$10:$AU$110,45,FALSE)</f>
        <v>100</v>
      </c>
      <c r="J8686">
        <f>(IF(D8686=0,(2*(D8665+G8665))-(F$5*8),IF(D8686=3,(2*(D8665+G8665))-(F$5*8)+(G8665-2*F$5),IF(D8686=4,(2*(D8665+G8665))-(F$5*8)+2*(G8665-2*F$5)))))/1000</f>
        <v>0.38</v>
      </c>
      <c r="K8686" t="str">
        <v>+</v>
      </c>
      <c r="L8686">
        <f>IF(D8686=0,2*MAX(6*F8686,75),(D8686-1)*2*MAX(6*F8686,75))/1000</f>
        <v>0.15</v>
      </c>
      <c r="M8686" t="str">
        <v>=</v>
      </c>
      <c r="N8686">
        <f>J8686+L8686</f>
        <v>0.53</v>
      </c>
      <c r="T8686" t="str">
        <v>x</v>
      </c>
      <c r="U8686">
        <f>0.006165*F8686^2</f>
        <v>0.39456</v>
      </c>
      <c r="V8686" t="str">
        <v>x</v>
      </c>
      <c r="W8686">
        <f>IF(D8667&gt;4*G8665,ROUND(MAX(D8667/4,2*G8665)/H8686,0)+1,0)</f>
        <v>4</v>
      </c>
      <c r="X8686" t="str">
        <v>x</v>
      </c>
      <c r="Y8686">
        <f>D8670</f>
        <v>1</v>
      </c>
      <c r="Z8686" t="str">
        <v>=</v>
      </c>
      <c r="AA8686">
        <f>N8686*U8686*W8686*Y8686</f>
        <v>0.8364672000000001</v>
      </c>
    </row>
    <row r="8688">
      <c r="A8688" t="str">
        <f>A8664</f>
        <v>Lantai Attic</v>
      </c>
      <c r="B8688">
        <f>B8664</f>
        <v>25</v>
      </c>
      <c r="C8688" t="str">
        <v>Kait Horizontal Tump.</v>
      </c>
      <c r="D8688">
        <f>VLOOKUP(D8664,'Detail Balok'!$C$10:$BJ$110,46,FALSE)</f>
        <v>0</v>
      </c>
      <c r="E8688" t="str">
        <v>D</v>
      </c>
      <c r="F8688">
        <f>VLOOKUP(D8664,'Detail Balok'!$C$10:$BJ$110,48,FALSE)</f>
        <v>0</v>
      </c>
      <c r="G8688" t="str">
        <v>-</v>
      </c>
      <c r="H8688">
        <f>VLOOKUP(D8664,'Detail Balok'!$C$10:$BJ$110,50,FALSE)</f>
        <v>100</v>
      </c>
      <c r="J8688">
        <f>(D8665-2*F$5)/1000</f>
        <v>0.12</v>
      </c>
      <c r="K8688" t="str">
        <v>+</v>
      </c>
      <c r="L8688">
        <f>IF(D8688=0,2*MAX(6*F8688,75),(D8688-1)*2*MAX(6*F8688,75))/1000</f>
        <v>0.15</v>
      </c>
      <c r="M8688" t="str">
        <v>=</v>
      </c>
      <c r="N8688">
        <f>J8688+L8688</f>
        <v>0.27</v>
      </c>
      <c r="T8688" t="str">
        <v>x</v>
      </c>
      <c r="U8688">
        <f>0.006165*F8688^2</f>
        <v>0</v>
      </c>
      <c r="V8688" t="str">
        <v>x</v>
      </c>
      <c r="W8688">
        <f>W8684</f>
        <v>4</v>
      </c>
      <c r="X8688" t="str">
        <v>x</v>
      </c>
      <c r="Y8688">
        <f>D8674</f>
        <v>2</v>
      </c>
      <c r="Z8688" t="str">
        <v>=</v>
      </c>
      <c r="AA8688">
        <f>N8688*U8688*W8688*Y8688</f>
        <v>0</v>
      </c>
    </row>
    <row r="8689">
      <c r="A8689" t="str">
        <f>A8664</f>
        <v>Lantai Attic</v>
      </c>
      <c r="B8689">
        <f>B8664</f>
        <v>25</v>
      </c>
      <c r="C8689" t="str">
        <v>Kait Horizontal Lap.</v>
      </c>
      <c r="D8689">
        <f>VLOOKUP(D8664,'Detail Balok'!$C$10:$BJ$110,51,FALSE)</f>
        <v>0</v>
      </c>
      <c r="E8689" t="str">
        <v>D</v>
      </c>
      <c r="F8689">
        <f>VLOOKUP(D8664,'Detail Balok'!$C$10:$BJ$110,53,FALSE)</f>
        <v>0</v>
      </c>
      <c r="G8689" t="str">
        <v>-</v>
      </c>
      <c r="H8689">
        <f>VLOOKUP(D8664,'Detail Balok'!$C$10:$BJ$110,55,FALSE)</f>
        <v>100</v>
      </c>
      <c r="J8689">
        <f>(D8665-2*F$5)/1000</f>
        <v>0.12</v>
      </c>
      <c r="K8689" t="str">
        <v>+</v>
      </c>
      <c r="L8689">
        <f>IF(D8689=0,2*MAX(6*F8689,75),(D8689-1)*2*MAX(6*F8689,75))/1000</f>
        <v>0.15</v>
      </c>
      <c r="M8689" t="str">
        <v>=</v>
      </c>
      <c r="N8689">
        <f>J8689+L8689</f>
        <v>0.27</v>
      </c>
      <c r="T8689" t="str">
        <v>x</v>
      </c>
      <c r="U8689">
        <f>0.006165*F8689^2</f>
        <v>0</v>
      </c>
      <c r="V8689" t="str">
        <v>x</v>
      </c>
      <c r="W8689">
        <f>W8685</f>
        <v>3</v>
      </c>
      <c r="X8689" t="str">
        <v>x</v>
      </c>
      <c r="Y8689">
        <f>D8674</f>
        <v>2</v>
      </c>
      <c r="Z8689" t="str">
        <v>=</v>
      </c>
      <c r="AA8689">
        <f>N8689*U8689*W8689*Y8689</f>
        <v>0</v>
      </c>
    </row>
    <row r="8690">
      <c r="A8690" t="str">
        <f>A8664</f>
        <v>Lantai Attic</v>
      </c>
      <c r="B8690">
        <f>B8664</f>
        <v>25</v>
      </c>
      <c r="C8690" t="str">
        <v>Kait Horizontal Tump.</v>
      </c>
      <c r="D8690">
        <f>VLOOKUP(D8664,'Detail Balok'!$C$10:$BJ$110,56,FALSE)</f>
        <v>0</v>
      </c>
      <c r="E8690" t="str">
        <v>D</v>
      </c>
      <c r="F8690">
        <f>VLOOKUP(D8664,'Detail Balok'!$C$10:$BJ$110,58,FALSE)</f>
        <v>0</v>
      </c>
      <c r="G8690" t="str">
        <v>-</v>
      </c>
      <c r="H8690">
        <f>VLOOKUP(D8664,'Detail Balok'!$C$10:$BJ$110,60,FALSE)</f>
        <v>100</v>
      </c>
      <c r="J8690">
        <f>(D8665-2*F$5)/1000</f>
        <v>0.12</v>
      </c>
      <c r="K8690" t="str">
        <v>+</v>
      </c>
      <c r="L8690">
        <f>IF(D8690=0,2*MAX(6*F8690,75),(D8690-1)*2*MAX(6*F8690,75))/1000</f>
        <v>0.15</v>
      </c>
      <c r="M8690" t="str">
        <v>=</v>
      </c>
      <c r="N8690">
        <f>J8690+L8690</f>
        <v>0.27</v>
      </c>
      <c r="T8690" t="str">
        <v>x</v>
      </c>
      <c r="U8690">
        <f>0.006165*F8690^2</f>
        <v>0</v>
      </c>
      <c r="V8690" t="str">
        <v>x</v>
      </c>
      <c r="W8690">
        <f>W8686</f>
        <v>4</v>
      </c>
      <c r="X8690" t="str">
        <v>x</v>
      </c>
      <c r="Y8690">
        <f>D8674</f>
        <v>2</v>
      </c>
      <c r="Z8690" t="str">
        <v>=</v>
      </c>
      <c r="AA8690">
        <f>N8690*U8690*W8690*Y8690</f>
        <v>0</v>
      </c>
    </row>
    <row r="8694">
      <c r="A8694" t="str">
        <f>A8664</f>
        <v>Lantai Attic</v>
      </c>
      <c r="B8694">
        <f>B8664+1</f>
        <v>26</v>
      </c>
      <c r="C8694" t="str">
        <f>CONCATENATE(A8694," no. ",B8694)</f>
        <v>Lantai Attic no. 26</v>
      </c>
      <c r="D8694" t="str">
        <f>VLOOKUP(C8694,'Data Panjang Balok'!$C$9:$N$424,2,FALSE)</f>
        <v>B25-2</v>
      </c>
    </row>
    <row r="8695">
      <c r="C8695" t="str">
        <v>Dimensi</v>
      </c>
      <c r="D8695">
        <f>VLOOKUP(D8694,'Detail Balok'!$C$10:$AU$110,2,FALSE)</f>
        <v>200</v>
      </c>
      <c r="F8695" t="str">
        <v>x</v>
      </c>
      <c r="G8695">
        <f>VLOOKUP(D8694,'Detail Balok'!$C$10:$AU$110,3,FALSE)</f>
        <v>500</v>
      </c>
    </row>
    <row r="8696">
      <c r="C8696" t="str">
        <v>Panjang as ke as</v>
      </c>
      <c r="D8696">
        <f>VLOOKUP(C8694,'Data Panjang Balok'!$C$9:$N$424,4,FALSE)</f>
        <v>8200</v>
      </c>
    </row>
    <row r="8697">
      <c r="C8697" t="str">
        <v>Panjang netto</v>
      </c>
      <c r="D8697">
        <f>VLOOKUP(C8694,'Data Panjang Balok'!$C$9:$N$424,7,FALSE)</f>
        <v>8200</v>
      </c>
    </row>
    <row r="8698">
      <c r="C8698" t="str">
        <v>Kolom / balok kiri</v>
      </c>
      <c r="D8698">
        <f>VLOOKUP(C8694,'Data Panjang Balok'!$C$9:$N$424,9,FALSE)</f>
        <v>0</v>
      </c>
    </row>
    <row r="8699">
      <c r="C8699" t="str">
        <v>Kolom / balok kanan</v>
      </c>
      <c r="D8699">
        <f>VLOOKUP(C8694,'Data Panjang Balok'!$C$9:$N$424,10,FALSE)</f>
        <v>0</v>
      </c>
    </row>
    <row r="8700">
      <c r="C8700" t="str">
        <v>Jumlah</v>
      </c>
      <c r="D8700">
        <f>VLOOKUP(C8694,'Data Panjang Balok'!$C$9:$N$424,3,FALSE)</f>
        <v>1</v>
      </c>
    </row>
    <row r="8701">
      <c r="A8701" t="str">
        <f>A8694</f>
        <v>Lantai Attic</v>
      </c>
      <c r="B8701">
        <f>B8694</f>
        <v>26</v>
      </c>
      <c r="C8701" t="str">
        <v>Tul Atas Tumpuan</v>
      </c>
      <c r="D8701">
        <f>VLOOKUP(D8694,'Detail Balok'!$C$10:$AU$110,4,FALSE)</f>
        <v>3</v>
      </c>
      <c r="E8701" t="str">
        <v>D</v>
      </c>
      <c r="F8701">
        <f>VLOOKUP(D8694,'Detail Balok'!$C$10:$AU$110,6,FALSE)</f>
        <v>16</v>
      </c>
      <c r="I8701" t="str">
        <v>(</v>
      </c>
      <c r="J8701">
        <f>+D8696/4/1000</f>
        <v>2.05</v>
      </c>
      <c r="K8701" t="str">
        <v>+</v>
      </c>
      <c r="L8701">
        <f>MAX(VLOOKUP(F8701,N$6:P$15,3,FALSE)/1000,2/3*D8698/1000)+F$16*F8701/1000</f>
        <v>0.192</v>
      </c>
      <c r="M8701" t="str">
        <v>=</v>
      </c>
      <c r="N8701">
        <f>J8701+L8701</f>
        <v>2.242</v>
      </c>
      <c r="O8701" t="str">
        <v>+</v>
      </c>
      <c r="P8701">
        <f>D8701-D8702</f>
        <v>0</v>
      </c>
      <c r="Q8701" t="str">
        <v>x</v>
      </c>
      <c r="R8701">
        <f>IF(P8701&gt;0,$F$18*F8701/1000,0)</f>
        <v>0</v>
      </c>
      <c r="S8701" t="str">
        <v>)</v>
      </c>
      <c r="T8701" t="str">
        <v>x</v>
      </c>
      <c r="U8701">
        <f>0.006165*F8701^2</f>
        <v>1.57824</v>
      </c>
      <c r="X8701" t="str">
        <v>x</v>
      </c>
      <c r="Y8701">
        <f>D8700</f>
        <v>1</v>
      </c>
      <c r="Z8701" t="str">
        <v>=</v>
      </c>
      <c r="AA8701">
        <f>IF(AA8704=0,(D8701*N8701+P8701*R8701)*U8701*Y8701,0)</f>
        <v>0</v>
      </c>
    </row>
    <row r="8702">
      <c r="A8702" t="str">
        <f>A8694</f>
        <v>Lantai Attic</v>
      </c>
      <c r="B8702">
        <f>B8694</f>
        <v>26</v>
      </c>
      <c r="C8702" t="str">
        <v>Tul Atas Lapangan</v>
      </c>
      <c r="D8702">
        <f>VLOOKUP(D8694,'Detail Balok'!$C$10:$AU$110,7,FALSE)</f>
        <v>3</v>
      </c>
      <c r="E8702" t="str">
        <v>D</v>
      </c>
      <c r="F8702">
        <f>VLOOKUP(D8694,'Detail Balok'!$C$10:$AU$110,9,FALSE)</f>
        <v>16</v>
      </c>
      <c r="I8702" t="str">
        <v>(</v>
      </c>
      <c r="J8702">
        <f>+D8696/2/1000</f>
        <v>4.1</v>
      </c>
      <c r="K8702" t="str">
        <v>+</v>
      </c>
      <c r="M8702" t="str">
        <v>=</v>
      </c>
      <c r="N8702">
        <f>J8702+L8702</f>
        <v>4.1</v>
      </c>
      <c r="O8702" t="str">
        <v>+</v>
      </c>
      <c r="P8702">
        <f>MAX(D8702-D8701,D8702-D8703)</f>
        <v>0</v>
      </c>
      <c r="Q8702" t="str">
        <v>x</v>
      </c>
      <c r="R8702">
        <f>IF(P8702&gt;0,2*(1-2*$F$19-1/2)*D8697/1000,0)</f>
        <v>0</v>
      </c>
      <c r="S8702" t="str">
        <v>)</v>
      </c>
      <c r="T8702" t="str">
        <v>x</v>
      </c>
      <c r="U8702">
        <f>0.006165*F8702^2</f>
        <v>1.57824</v>
      </c>
      <c r="X8702" t="str">
        <v>x</v>
      </c>
      <c r="Y8702">
        <f>D8700</f>
        <v>1</v>
      </c>
      <c r="Z8702" t="str">
        <v>=</v>
      </c>
      <c r="AA8702">
        <f>IF(AA8704=0,(D8702*N8702+P8702*R8702)*U8702*Y8702,0)</f>
        <v>0</v>
      </c>
    </row>
    <row r="8703">
      <c r="A8703" t="str">
        <f>A8694</f>
        <v>Lantai Attic</v>
      </c>
      <c r="B8703">
        <f>B8694</f>
        <v>26</v>
      </c>
      <c r="C8703" t="str">
        <v>Tul Atas Tumpuan</v>
      </c>
      <c r="D8703">
        <f>VLOOKUP(D8694,'Detail Balok'!$C$10:$AU$110,10,FALSE)</f>
        <v>3</v>
      </c>
      <c r="E8703" t="str">
        <v>D</v>
      </c>
      <c r="F8703">
        <f>VLOOKUP(D8694,'Detail Balok'!$C$10:$AU$110,12,FALSE)</f>
        <v>16</v>
      </c>
      <c r="I8703" t="str">
        <v>(</v>
      </c>
      <c r="J8703">
        <f>+D8696/4/1000</f>
        <v>2.05</v>
      </c>
      <c r="K8703" t="str">
        <v>+</v>
      </c>
      <c r="L8703">
        <f>MAX(VLOOKUP(F8703,N$6:P$15,3,FALSE)/1000,2/3*D8698/1000)+F$16*F8703/1000</f>
        <v>0.192</v>
      </c>
      <c r="M8703" t="str">
        <v>=</v>
      </c>
      <c r="N8703">
        <f>J8703+L8703</f>
        <v>2.242</v>
      </c>
      <c r="O8703" t="str">
        <v>+</v>
      </c>
      <c r="P8703">
        <f>D8703-D8702</f>
        <v>0</v>
      </c>
      <c r="Q8703" t="str">
        <v>x</v>
      </c>
      <c r="R8703">
        <f>IF(P8703&gt;0,$F$18*F8703/1000,0)</f>
        <v>0</v>
      </c>
      <c r="S8703" t="str">
        <v>)</v>
      </c>
      <c r="T8703" t="str">
        <v>x</v>
      </c>
      <c r="U8703">
        <f>0.006165*F8703^2</f>
        <v>1.57824</v>
      </c>
      <c r="X8703" t="str">
        <v>x</v>
      </c>
      <c r="Y8703">
        <f>D8700</f>
        <v>1</v>
      </c>
      <c r="Z8703" t="str">
        <v>=</v>
      </c>
      <c r="AA8703">
        <f>IF(AA8704=0,(D8703*N8703+P8703*R8703)*U8703*Y8703,0)</f>
        <v>0</v>
      </c>
    </row>
    <row r="8704">
      <c r="A8704" t="str">
        <f>A8694</f>
        <v>Lantai Attic</v>
      </c>
      <c r="B8704">
        <f>B8694</f>
        <v>26</v>
      </c>
      <c r="D8704">
        <f>IF(AND(D8701=D8702,D8702=D8703,D8701=D8703),D8701,0)</f>
        <v>3</v>
      </c>
      <c r="E8704" t="str">
        <v>D</v>
      </c>
      <c r="F8704">
        <f>IF(AND(F8701=F8702,F8701=F8703,F8702=F8703),F8701,0)</f>
        <v>16</v>
      </c>
      <c r="L8704" t="str">
        <v>Total panjang per balok</v>
      </c>
      <c r="M8704" t="str">
        <v>=</v>
      </c>
      <c r="N8704">
        <f>IF(AND(D8701=D8702,D8701=D8703,D8702=D8703,F8701=F8702,F8701=F8703,F8702=F8703),SUM(N8701:N8703),0)</f>
        <v>8.584</v>
      </c>
      <c r="O8704" t="str">
        <v>+</v>
      </c>
      <c r="P8704">
        <f>IF(N8704&gt;12,ROUNDDOWN(N8704/12,0),0)</f>
        <v>0</v>
      </c>
      <c r="Q8704" t="str">
        <v>x</v>
      </c>
      <c r="R8704">
        <f>IF(P8704&gt;0,MAX(VLOOKUP(F8704,$D$6:$G$15,3,FALSE),600),0)/1000</f>
        <v>0</v>
      </c>
      <c r="T8704" t="str">
        <v>x</v>
      </c>
      <c r="U8704">
        <f>U8703</f>
        <v>1.57824</v>
      </c>
      <c r="V8704" t="str">
        <v>x</v>
      </c>
      <c r="W8704">
        <f>D8704</f>
        <v>3</v>
      </c>
      <c r="X8704" t="str">
        <v>x</v>
      </c>
      <c r="Y8704">
        <f>Y8703</f>
        <v>1</v>
      </c>
      <c r="Z8704" t="str">
        <v>=</v>
      </c>
      <c r="AA8704">
        <f>(N8704+P8704*R8704/1000)*U8704*W8704*Y8704</f>
        <v>40.64283648</v>
      </c>
    </row>
    <row r="8706">
      <c r="A8706" t="str">
        <f>A8694</f>
        <v>Lantai Attic</v>
      </c>
      <c r="B8706">
        <f>B8694</f>
        <v>26</v>
      </c>
      <c r="C8706" t="str">
        <v>Tul Peminggang</v>
      </c>
      <c r="D8706">
        <f>VLOOKUP(D8694,'Detail Balok'!$C$10:$AU$110,13,FALSE)</f>
        <v>2</v>
      </c>
      <c r="E8706" t="str">
        <v>D</v>
      </c>
      <c r="F8706">
        <f>VLOOKUP(D8694,'Detail Balok'!$C$10:$AU$110,15,FALSE)</f>
        <v>10</v>
      </c>
      <c r="J8706">
        <f>+D8696/1000</f>
        <v>8.2</v>
      </c>
      <c r="K8706" t="str">
        <v>+</v>
      </c>
      <c r="L8706">
        <f>2*$F$16*F8706/1000</f>
        <v>0.24</v>
      </c>
      <c r="M8706" t="str">
        <v>=</v>
      </c>
      <c r="N8706">
        <f>J8706+L8706</f>
        <v>8.44</v>
      </c>
      <c r="O8706" t="str">
        <v>+</v>
      </c>
      <c r="P8706">
        <f>IF(N8706&gt;12,ROUNDDOWN(N8706/12,0),0)</f>
        <v>0</v>
      </c>
      <c r="Q8706" t="str">
        <v>x</v>
      </c>
      <c r="R8706">
        <f>IF(P8706&gt;0,MAX(VLOOKUP(F8706,$D$6:$G$15,3,FALSE),600),0)/1000</f>
        <v>0</v>
      </c>
      <c r="T8706" t="str">
        <v>x</v>
      </c>
      <c r="U8706">
        <f>0.006165*F8706^2</f>
        <v>0.6165</v>
      </c>
      <c r="V8706" t="str">
        <v>x</v>
      </c>
      <c r="W8706">
        <f>+D8706</f>
        <v>2</v>
      </c>
      <c r="X8706" t="str">
        <v>x</v>
      </c>
      <c r="Y8706">
        <f>D8700</f>
        <v>1</v>
      </c>
      <c r="Z8706" t="str">
        <v>=</v>
      </c>
      <c r="AA8706">
        <f>(N8706+P8706*R8706/1000)*U8706*W8706*Y8706</f>
        <v>10.40652</v>
      </c>
    </row>
    <row r="8709">
      <c r="A8709" t="str">
        <f>A8694</f>
        <v>Lantai Attic</v>
      </c>
      <c r="B8709">
        <f>B8694</f>
        <v>26</v>
      </c>
      <c r="C8709" t="str">
        <v>Tul Bawah Tumpuan</v>
      </c>
      <c r="D8709">
        <f>VLOOKUP(D8694,'Detail Balok'!$C$10:$AU$110,22,FALSE)</f>
        <v>3</v>
      </c>
      <c r="E8709" t="str">
        <v>D</v>
      </c>
      <c r="F8709">
        <f>VLOOKUP(D8694,'Detail Balok'!$C$10:$AU$110,24,FALSE)</f>
        <v>16</v>
      </c>
      <c r="I8709" t="str">
        <v>(</v>
      </c>
      <c r="J8709">
        <f>+J8701</f>
        <v>2.05</v>
      </c>
      <c r="K8709" t="str">
        <v>+</v>
      </c>
      <c r="L8709">
        <f>MAX(VLOOKUP(F8709,N$6:P$15,3,FALSE)/1000,2/3*D8699/1000)+F$16*F8709/1000</f>
        <v>0.192</v>
      </c>
      <c r="M8709" t="str">
        <v>=</v>
      </c>
      <c r="N8709">
        <f>J8709+L8709</f>
        <v>2.242</v>
      </c>
      <c r="O8709" t="str">
        <v>+</v>
      </c>
      <c r="P8709">
        <f>D8709-D8710</f>
        <v>0</v>
      </c>
      <c r="Q8709" t="str">
        <v>x</v>
      </c>
      <c r="R8709">
        <f>IF(P8709&gt;0,$F$18*F8709/1000,0)</f>
        <v>0</v>
      </c>
      <c r="S8709" t="str">
        <v>)</v>
      </c>
      <c r="T8709" t="str">
        <v>x</v>
      </c>
      <c r="U8709">
        <f>0.006165*F8709^2</f>
        <v>1.57824</v>
      </c>
      <c r="X8709" t="str">
        <v>x</v>
      </c>
      <c r="Y8709">
        <f>D8700</f>
        <v>1</v>
      </c>
      <c r="Z8709" t="str">
        <v>=</v>
      </c>
      <c r="AA8709">
        <f>IF(AA8712=0,(D8709*N8709+P8709*R8709)*U8709*Y8709,0)</f>
        <v>0</v>
      </c>
    </row>
    <row r="8710">
      <c r="A8710" t="str">
        <f>A8694</f>
        <v>Lantai Attic</v>
      </c>
      <c r="B8710">
        <f>B8694</f>
        <v>26</v>
      </c>
      <c r="C8710" t="str">
        <v>Tul Bawah Lapangan</v>
      </c>
      <c r="D8710">
        <f>VLOOKUP(D8694,'Detail Balok'!$C$10:$AU$110,25,FALSE)</f>
        <v>3</v>
      </c>
      <c r="E8710" t="str">
        <v>D</v>
      </c>
      <c r="F8710">
        <f>VLOOKUP(D8694,'Detail Balok'!$C$10:$AU$110,27,FALSE)</f>
        <v>16</v>
      </c>
      <c r="I8710" t="str">
        <v>(</v>
      </c>
      <c r="J8710">
        <f>+J8702</f>
        <v>4.1</v>
      </c>
      <c r="K8710" t="str">
        <v>+</v>
      </c>
      <c r="M8710" t="str">
        <v>=</v>
      </c>
      <c r="N8710">
        <f>J8710+L8710</f>
        <v>4.1</v>
      </c>
      <c r="O8710" t="str">
        <v>+</v>
      </c>
      <c r="P8710">
        <f>MAX(D8710-D8709,D8710-D8711)</f>
        <v>0</v>
      </c>
      <c r="Q8710" t="str">
        <v>x</v>
      </c>
      <c r="R8710">
        <f>IF(P8710&gt;0,2*(1-2*$F$19-1/2)*D8697/1000,0)</f>
        <v>0</v>
      </c>
      <c r="S8710" t="str">
        <v>)</v>
      </c>
      <c r="T8710" t="str">
        <v>x</v>
      </c>
      <c r="U8710">
        <f>0.006165*F8710^2</f>
        <v>1.57824</v>
      </c>
      <c r="X8710" t="str">
        <v>x</v>
      </c>
      <c r="Y8710">
        <f>D8700</f>
        <v>1</v>
      </c>
      <c r="Z8710" t="str">
        <v>=</v>
      </c>
      <c r="AA8710">
        <f>IF(AA8712=0,(D8710*N8710+P8710*R8710)*U8710*Y8710,0)</f>
        <v>0</v>
      </c>
    </row>
    <row r="8711">
      <c r="A8711" t="str">
        <f>A8694</f>
        <v>Lantai Attic</v>
      </c>
      <c r="B8711">
        <f>B8694</f>
        <v>26</v>
      </c>
      <c r="C8711" t="str">
        <v>Tul Bawah Tumpuan</v>
      </c>
      <c r="D8711">
        <f>VLOOKUP(D8694,'Detail Balok'!$C$10:$AU$110,28,FALSE)</f>
        <v>3</v>
      </c>
      <c r="E8711" t="str">
        <v>D</v>
      </c>
      <c r="F8711">
        <f>VLOOKUP(D8694,'Detail Balok'!$C$10:$AU$110,30,FALSE)</f>
        <v>16</v>
      </c>
      <c r="I8711" t="str">
        <v>(</v>
      </c>
      <c r="J8711">
        <f>+J8703</f>
        <v>2.05</v>
      </c>
      <c r="K8711" t="str">
        <v>+</v>
      </c>
      <c r="L8711">
        <f>MAX(VLOOKUP(F8711,N$6:P$15,3,FALSE)/1000,2/3*D8699/1000)+F$16*F8711/1000</f>
        <v>0.192</v>
      </c>
      <c r="M8711" t="str">
        <v>=</v>
      </c>
      <c r="N8711">
        <f>J8711+L8711</f>
        <v>2.242</v>
      </c>
      <c r="O8711" t="str">
        <v>+</v>
      </c>
      <c r="P8711">
        <f>D8711-D8710</f>
        <v>0</v>
      </c>
      <c r="Q8711" t="str">
        <v>x</v>
      </c>
      <c r="R8711">
        <f>IF(P8711&gt;0,$F$18*F8711/1000,0)</f>
        <v>0</v>
      </c>
      <c r="S8711" t="str">
        <v>)</v>
      </c>
      <c r="T8711" t="str">
        <v>x</v>
      </c>
      <c r="U8711">
        <f>0.006165*F8711^2</f>
        <v>1.57824</v>
      </c>
      <c r="X8711" t="str">
        <v>x</v>
      </c>
      <c r="Y8711">
        <f>D8700</f>
        <v>1</v>
      </c>
      <c r="Z8711" t="str">
        <v>=</v>
      </c>
      <c r="AA8711">
        <f>IF(AA8712=0,(D8711*N8711+P8711*R8711)*U8711*Y8711,0)</f>
        <v>0</v>
      </c>
    </row>
    <row r="8712">
      <c r="A8712" t="str">
        <f>A8694</f>
        <v>Lantai Attic</v>
      </c>
      <c r="B8712">
        <f>B8694</f>
        <v>26</v>
      </c>
      <c r="D8712">
        <f>IF(AND(D8709=D8710,D8710=D8711,D8709=D8711),D8709,0)</f>
        <v>3</v>
      </c>
      <c r="E8712" t="str">
        <v>D</v>
      </c>
      <c r="F8712">
        <f>IF(AND(F8709=F8710,F8709=F8711,F8710=F8711),F8709,0)</f>
        <v>16</v>
      </c>
      <c r="L8712" t="str">
        <v>Total panjang per balok</v>
      </c>
      <c r="M8712" t="str">
        <v>=</v>
      </c>
      <c r="N8712">
        <f>IF(AND(D8709=D8710,D8709=D8711,D8710=D8711,F8709=F8710,F8709=F8711,F8710=F8711),SUM(N8709:N8711),0)</f>
        <v>8.584</v>
      </c>
      <c r="O8712" t="str">
        <v>+</v>
      </c>
      <c r="P8712">
        <f>IF(N8712&gt;12,ROUNDDOWN(N8712/12,0),0)</f>
        <v>0</v>
      </c>
      <c r="Q8712" t="str">
        <v>x</v>
      </c>
      <c r="R8712">
        <f>IF(P8712&gt;0,MAX(VLOOKUP(F8712,$D$6:$G$15,3,FALSE),600),0)/1000</f>
        <v>0</v>
      </c>
      <c r="T8712" t="str">
        <v>x</v>
      </c>
      <c r="U8712">
        <f>U8711</f>
        <v>1.57824</v>
      </c>
      <c r="V8712" t="str">
        <v>x</v>
      </c>
      <c r="W8712">
        <f>D8712</f>
        <v>3</v>
      </c>
      <c r="X8712" t="str">
        <v>x</v>
      </c>
      <c r="Y8712">
        <f>Y8711</f>
        <v>1</v>
      </c>
      <c r="Z8712" t="str">
        <v>=</v>
      </c>
      <c r="AA8712">
        <f>(N8712+P8712*R8712/1000)*U8712*W8712*Y8712</f>
        <v>40.64283648</v>
      </c>
    </row>
    <row r="8714">
      <c r="A8714" t="str">
        <f>A8694</f>
        <v>Lantai Attic</v>
      </c>
      <c r="B8714">
        <f>B8694</f>
        <v>26</v>
      </c>
      <c r="C8714" t="str">
        <v>Sengkang Tumpuan</v>
      </c>
      <c r="D8714">
        <f>VLOOKUP(D8694,'Detail Balok'!$C$10:$AU$110,31,FALSE)</f>
        <v>0</v>
      </c>
      <c r="E8714" t="str">
        <v>D</v>
      </c>
      <c r="F8714">
        <f>VLOOKUP(D8694,'Detail Balok'!$C$10:$AU$110,33,FALSE)</f>
        <v>10</v>
      </c>
      <c r="G8714" t="str">
        <v>-</v>
      </c>
      <c r="H8714">
        <f>VLOOKUP(D8694,'Detail Balok'!$C$10:$AU$110,35,FALSE)</f>
        <v>75</v>
      </c>
      <c r="J8714">
        <f>(IF(D8714=0,(2*(D8695+G8695))-(F$5*8),IF(D8714=3,(2*(D8695+G8695))-(F$5*8)+(G8695-2*F$5),IF(D8714=4,(2*(D8695+G8695))-(F$5*8)+2*(G8695-2*F$5)))))/1000</f>
        <v>1.08</v>
      </c>
      <c r="K8714" t="str">
        <v>+</v>
      </c>
      <c r="L8714">
        <f>IF(D8714=0,2*MAX(6*F8714,75),(D8714-1)*2*MAX(6*F8714,75))/1000</f>
        <v>0.15</v>
      </c>
      <c r="M8714" t="str">
        <v>=</v>
      </c>
      <c r="N8714">
        <f>J8714+L8714</f>
        <v>1.23</v>
      </c>
      <c r="T8714" t="str">
        <v>x</v>
      </c>
      <c r="U8714">
        <f>0.006165*F8714^2</f>
        <v>0.6165</v>
      </c>
      <c r="V8714" t="str">
        <v>x</v>
      </c>
      <c r="W8714">
        <f>IF(D8697&gt;4*G8695,ROUND(MAX(D8697/4,2*G8695)/H8714,0)+1,ROUND(D8697/H8714,0)+1)</f>
        <v>28</v>
      </c>
      <c r="X8714" t="str">
        <v>x</v>
      </c>
      <c r="Y8714">
        <f>D8700</f>
        <v>1</v>
      </c>
      <c r="Z8714" t="str">
        <v>=</v>
      </c>
      <c r="AA8714">
        <f>N8714*U8714*W8714*Y8714</f>
        <v>21.23226</v>
      </c>
    </row>
    <row r="8715">
      <c r="A8715" t="str">
        <f>A8694</f>
        <v>Lantai Attic</v>
      </c>
      <c r="B8715">
        <f>B8694</f>
        <v>26</v>
      </c>
      <c r="C8715" t="str">
        <v>Sengkang Lapangan</v>
      </c>
      <c r="D8715">
        <f>VLOOKUP(D8694,'Detail Balok'!$C$10:$AU$110,36,FALSE)</f>
        <v>0</v>
      </c>
      <c r="E8715" t="str">
        <v>D</v>
      </c>
      <c r="F8715">
        <f>VLOOKUP(D8694,'Detail Balok'!$C$10:$AU$110,38,FALSE)</f>
        <v>10</v>
      </c>
      <c r="G8715" t="str">
        <v>-</v>
      </c>
      <c r="H8715">
        <f>VLOOKUP(D8694,'Detail Balok'!$C$10:$AU$110,40,FALSE)</f>
        <v>125</v>
      </c>
      <c r="J8715">
        <f>(IF(D8715=0,(2*(D8695+G8695))-(F$5*8),IF(D8715=3,(2*(D8695+G8695))-(F$5*8)+(G8695-2*F$5),IF(D8715=4,(2*(D8695+G8695))-(F$5*8)+2*(G8695-2*F$5)))))/1000</f>
        <v>1.08</v>
      </c>
      <c r="K8715" t="str">
        <v>+</v>
      </c>
      <c r="L8715">
        <f>IF(D8715=0,2*MAX(6*F8715,75),(D8715-1)*2*MAX(6*F8715,75))/1000</f>
        <v>0.15</v>
      </c>
      <c r="M8715" t="str">
        <v>=</v>
      </c>
      <c r="N8715">
        <f>J8715+L8715</f>
        <v>1.23</v>
      </c>
      <c r="T8715" t="str">
        <v>x</v>
      </c>
      <c r="U8715">
        <f>0.006165*F8715^2</f>
        <v>0.6165</v>
      </c>
      <c r="V8715" t="str">
        <v>x</v>
      </c>
      <c r="W8715">
        <f>IF(D8697-MAX(D8697/4,2*G8695)*2&gt;0,ROUND((D8697-MAX(D8697/4,2*G8695)*2)/H8715,0),0)</f>
        <v>33</v>
      </c>
      <c r="X8715" t="str">
        <v>x</v>
      </c>
      <c r="Y8715">
        <f>D8700</f>
        <v>1</v>
      </c>
      <c r="Z8715" t="str">
        <v>=</v>
      </c>
      <c r="AA8715">
        <f>N8715*U8715*W8715*Y8715</f>
        <v>25.023735000000002</v>
      </c>
    </row>
    <row r="8716">
      <c r="A8716" t="str">
        <f>A8694</f>
        <v>Lantai Attic</v>
      </c>
      <c r="B8716">
        <f>B8694</f>
        <v>26</v>
      </c>
      <c r="C8716" t="str">
        <v>Sengkang Tumpuan</v>
      </c>
      <c r="D8716">
        <f>VLOOKUP(D8694,'Detail Balok'!$C$10:$AU$110,41,FALSE)</f>
        <v>0</v>
      </c>
      <c r="E8716" t="str">
        <v>D</v>
      </c>
      <c r="F8716">
        <f>VLOOKUP(D8694,'Detail Balok'!$C$10:$AU$110,43,FALSE)</f>
        <v>10</v>
      </c>
      <c r="G8716" t="str">
        <v>-</v>
      </c>
      <c r="H8716">
        <f>VLOOKUP(D8694,'Detail Balok'!$C$10:$AU$110,45,FALSE)</f>
        <v>75</v>
      </c>
      <c r="J8716">
        <f>(IF(D8716=0,(2*(D8695+G8695))-(F$5*8),IF(D8716=3,(2*(D8695+G8695))-(F$5*8)+(G8695-2*F$5),IF(D8716=4,(2*(D8695+G8695))-(F$5*8)+2*(G8695-2*F$5)))))/1000</f>
        <v>1.08</v>
      </c>
      <c r="K8716" t="str">
        <v>+</v>
      </c>
      <c r="L8716">
        <f>IF(D8716=0,2*MAX(6*F8716,75),(D8716-1)*2*MAX(6*F8716,75))/1000</f>
        <v>0.15</v>
      </c>
      <c r="M8716" t="str">
        <v>=</v>
      </c>
      <c r="N8716">
        <f>J8716+L8716</f>
        <v>1.23</v>
      </c>
      <c r="T8716" t="str">
        <v>x</v>
      </c>
      <c r="U8716">
        <f>0.006165*F8716^2</f>
        <v>0.6165</v>
      </c>
      <c r="V8716" t="str">
        <v>x</v>
      </c>
      <c r="W8716">
        <f>IF(D8697&gt;4*G8695,ROUND(MAX(D8697/4,2*G8695)/H8716,0)+1,0)</f>
        <v>28</v>
      </c>
      <c r="X8716" t="str">
        <v>x</v>
      </c>
      <c r="Y8716">
        <f>D8700</f>
        <v>1</v>
      </c>
      <c r="Z8716" t="str">
        <v>=</v>
      </c>
      <c r="AA8716">
        <f>N8716*U8716*W8716*Y8716</f>
        <v>21.23226</v>
      </c>
    </row>
    <row r="8718">
      <c r="A8718" t="str">
        <f>A8694</f>
        <v>Lantai Attic</v>
      </c>
      <c r="B8718">
        <f>B8694</f>
        <v>26</v>
      </c>
      <c r="C8718" t="str">
        <v>Kait Horizontal Tump.</v>
      </c>
      <c r="D8718">
        <f>VLOOKUP(D8694,'Detail Balok'!$C$10:$BJ$110,46,FALSE)</f>
        <v>0</v>
      </c>
      <c r="E8718" t="str">
        <v>D</v>
      </c>
      <c r="F8718">
        <f>VLOOKUP(D8694,'Detail Balok'!$C$10:$BJ$110,48,FALSE)</f>
        <v>0</v>
      </c>
      <c r="G8718" t="str">
        <v>-</v>
      </c>
      <c r="H8718">
        <f>VLOOKUP(D8694,'Detail Balok'!$C$10:$BJ$110,50,FALSE)</f>
        <v>100</v>
      </c>
      <c r="J8718">
        <f>(D8695-2*F$5)/1000</f>
        <v>0.12</v>
      </c>
      <c r="K8718" t="str">
        <v>+</v>
      </c>
      <c r="L8718">
        <f>IF(D8718=0,2*MAX(6*F8718,75),(D8718-1)*2*MAX(6*F8718,75))/1000</f>
        <v>0.15</v>
      </c>
      <c r="M8718" t="str">
        <v>=</v>
      </c>
      <c r="N8718">
        <f>J8718+L8718</f>
        <v>0.27</v>
      </c>
      <c r="T8718" t="str">
        <v>x</v>
      </c>
      <c r="U8718">
        <f>0.006165*F8718^2</f>
        <v>0</v>
      </c>
      <c r="V8718" t="str">
        <v>x</v>
      </c>
      <c r="W8718">
        <f>W8714</f>
        <v>28</v>
      </c>
      <c r="X8718" t="str">
        <v>x</v>
      </c>
      <c r="Y8718">
        <f>D8704</f>
        <v>3</v>
      </c>
      <c r="Z8718" t="str">
        <v>=</v>
      </c>
      <c r="AA8718">
        <f>N8718*U8718*W8718*Y8718</f>
        <v>0</v>
      </c>
    </row>
    <row r="8719">
      <c r="A8719" t="str">
        <f>A8694</f>
        <v>Lantai Attic</v>
      </c>
      <c r="B8719">
        <f>B8694</f>
        <v>26</v>
      </c>
      <c r="C8719" t="str">
        <v>Kait Horizontal Lap.</v>
      </c>
      <c r="D8719">
        <f>VLOOKUP(D8694,'Detail Balok'!$C$10:$BJ$110,51,FALSE)</f>
        <v>0</v>
      </c>
      <c r="E8719" t="str">
        <v>D</v>
      </c>
      <c r="F8719">
        <f>VLOOKUP(D8694,'Detail Balok'!$C$10:$BJ$110,53,FALSE)</f>
        <v>0</v>
      </c>
      <c r="G8719" t="str">
        <v>-</v>
      </c>
      <c r="H8719">
        <f>VLOOKUP(D8694,'Detail Balok'!$C$10:$BJ$110,55,FALSE)</f>
        <v>100</v>
      </c>
      <c r="J8719">
        <f>(D8695-2*F$5)/1000</f>
        <v>0.12</v>
      </c>
      <c r="K8719" t="str">
        <v>+</v>
      </c>
      <c r="L8719">
        <f>IF(D8719=0,2*MAX(6*F8719,75),(D8719-1)*2*MAX(6*F8719,75))/1000</f>
        <v>0.15</v>
      </c>
      <c r="M8719" t="str">
        <v>=</v>
      </c>
      <c r="N8719">
        <f>J8719+L8719</f>
        <v>0.27</v>
      </c>
      <c r="T8719" t="str">
        <v>x</v>
      </c>
      <c r="U8719">
        <f>0.006165*F8719^2</f>
        <v>0</v>
      </c>
      <c r="V8719" t="str">
        <v>x</v>
      </c>
      <c r="W8719">
        <f>W8715</f>
        <v>33</v>
      </c>
      <c r="X8719" t="str">
        <v>x</v>
      </c>
      <c r="Y8719">
        <f>D8704</f>
        <v>3</v>
      </c>
      <c r="Z8719" t="str">
        <v>=</v>
      </c>
      <c r="AA8719">
        <f>N8719*U8719*W8719*Y8719</f>
        <v>0</v>
      </c>
    </row>
    <row r="8720">
      <c r="A8720" t="str">
        <f>A8694</f>
        <v>Lantai Attic</v>
      </c>
      <c r="B8720">
        <f>B8694</f>
        <v>26</v>
      </c>
      <c r="C8720" t="str">
        <v>Kait Horizontal Tump.</v>
      </c>
      <c r="D8720">
        <f>VLOOKUP(D8694,'Detail Balok'!$C$10:$BJ$110,56,FALSE)</f>
        <v>0</v>
      </c>
      <c r="E8720" t="str">
        <v>D</v>
      </c>
      <c r="F8720">
        <f>VLOOKUP(D8694,'Detail Balok'!$C$10:$BJ$110,58,FALSE)</f>
        <v>0</v>
      </c>
      <c r="G8720" t="str">
        <v>-</v>
      </c>
      <c r="H8720">
        <f>VLOOKUP(D8694,'Detail Balok'!$C$10:$BJ$110,60,FALSE)</f>
        <v>100</v>
      </c>
      <c r="J8720">
        <f>(D8695-2*F$5)/1000</f>
        <v>0.12</v>
      </c>
      <c r="K8720" t="str">
        <v>+</v>
      </c>
      <c r="L8720">
        <f>IF(D8720=0,2*MAX(6*F8720,75),(D8720-1)*2*MAX(6*F8720,75))/1000</f>
        <v>0.15</v>
      </c>
      <c r="M8720" t="str">
        <v>=</v>
      </c>
      <c r="N8720">
        <f>J8720+L8720</f>
        <v>0.27</v>
      </c>
      <c r="T8720" t="str">
        <v>x</v>
      </c>
      <c r="U8720">
        <f>0.006165*F8720^2</f>
        <v>0</v>
      </c>
      <c r="V8720" t="str">
        <v>x</v>
      </c>
      <c r="W8720">
        <f>W8716</f>
        <v>28</v>
      </c>
      <c r="X8720" t="str">
        <v>x</v>
      </c>
      <c r="Y8720">
        <f>D8704</f>
        <v>3</v>
      </c>
      <c r="Z8720" t="str">
        <v>=</v>
      </c>
      <c r="AA8720">
        <f>N8720*U8720*W8720*Y8720</f>
        <v>0</v>
      </c>
    </row>
    <row r="8724">
      <c r="A8724" t="str">
        <f>A8694</f>
        <v>Lantai Attic</v>
      </c>
      <c r="B8724">
        <f>B8694+1</f>
        <v>27</v>
      </c>
      <c r="C8724" t="str">
        <f>CONCATENATE(A8724," no. ",B8724)</f>
        <v>Lantai Attic no. 27</v>
      </c>
      <c r="D8724" t="str">
        <f>VLOOKUP(C8724,'Data Panjang Balok'!$C$9:$N$424,2,FALSE)</f>
        <v>Potongan F</v>
      </c>
    </row>
    <row r="8725">
      <c r="C8725" t="str">
        <v>Dimensi</v>
      </c>
      <c r="D8725">
        <f>VLOOKUP(D8724,'Detail Balok'!$C$10:$AU$110,2,FALSE)</f>
        <v>200</v>
      </c>
      <c r="F8725" t="str">
        <v>x</v>
      </c>
      <c r="G8725">
        <f>VLOOKUP(D8724,'Detail Balok'!$C$10:$AU$110,3,FALSE)</f>
        <v>450</v>
      </c>
    </row>
    <row r="8726">
      <c r="C8726" t="str">
        <v>Panjang as ke as</v>
      </c>
      <c r="D8726">
        <f>VLOOKUP(C8724,'Data Panjang Balok'!$C$9:$N$424,4,FALSE)</f>
        <v>2100</v>
      </c>
    </row>
    <row r="8727">
      <c r="C8727" t="str">
        <v>Panjang netto</v>
      </c>
      <c r="D8727">
        <f>VLOOKUP(C8724,'Data Panjang Balok'!$C$9:$N$424,7,FALSE)</f>
        <v>2100</v>
      </c>
    </row>
    <row r="8728">
      <c r="C8728" t="str">
        <v>Kolom / balok kiri</v>
      </c>
      <c r="D8728">
        <f>VLOOKUP(C8724,'Data Panjang Balok'!$C$9:$N$424,9,FALSE)</f>
        <v>0</v>
      </c>
    </row>
    <row r="8729">
      <c r="C8729" t="str">
        <v>Kolom / balok kanan</v>
      </c>
      <c r="D8729">
        <f>VLOOKUP(C8724,'Data Panjang Balok'!$C$9:$N$424,10,FALSE)</f>
        <v>0</v>
      </c>
    </row>
    <row r="8730">
      <c r="C8730" t="str">
        <v>Jumlah</v>
      </c>
      <c r="D8730">
        <f>VLOOKUP(C8724,'Data Panjang Balok'!$C$9:$N$424,3,FALSE)</f>
        <v>1</v>
      </c>
    </row>
    <row r="8731">
      <c r="A8731" t="str">
        <f>A8724</f>
        <v>Lantai Attic</v>
      </c>
      <c r="B8731">
        <f>B8724</f>
        <v>27</v>
      </c>
      <c r="C8731" t="str">
        <v>Tul Atas Tumpuan</v>
      </c>
      <c r="D8731">
        <f>VLOOKUP(D8724,'Detail Balok'!$C$10:$AU$110,4,FALSE)</f>
        <v>5</v>
      </c>
      <c r="E8731" t="str">
        <v>D</v>
      </c>
      <c r="F8731">
        <f>VLOOKUP(D8724,'Detail Balok'!$C$10:$AU$110,6,FALSE)</f>
        <v>16</v>
      </c>
      <c r="I8731" t="str">
        <v>(</v>
      </c>
      <c r="J8731">
        <f>+D8726/4/1000</f>
        <v>0.525</v>
      </c>
      <c r="K8731" t="str">
        <v>+</v>
      </c>
      <c r="L8731">
        <f>MAX(VLOOKUP(F8731,N$6:P$15,3,FALSE)/1000,2/3*D8728/1000)+F$16*F8731/1000</f>
        <v>0.192</v>
      </c>
      <c r="M8731" t="str">
        <v>=</v>
      </c>
      <c r="N8731">
        <f>J8731+L8731</f>
        <v>0.7170000000000001</v>
      </c>
      <c r="O8731" t="str">
        <v>+</v>
      </c>
      <c r="P8731">
        <f>D8731-D8732</f>
        <v>0</v>
      </c>
      <c r="Q8731" t="str">
        <v>x</v>
      </c>
      <c r="R8731">
        <f>IF(P8731&gt;0,$F$18*F8731/1000,0)</f>
        <v>0</v>
      </c>
      <c r="S8731" t="str">
        <v>)</v>
      </c>
      <c r="T8731" t="str">
        <v>x</v>
      </c>
      <c r="U8731">
        <f>0.006165*F8731^2</f>
        <v>1.57824</v>
      </c>
      <c r="X8731" t="str">
        <v>x</v>
      </c>
      <c r="Y8731">
        <f>D8730</f>
        <v>1</v>
      </c>
      <c r="Z8731" t="str">
        <v>=</v>
      </c>
      <c r="AA8731">
        <f>IF(AA8734=0,(D8731*N8731+P8731*R8731)*U8731*Y8731,0)</f>
        <v>0</v>
      </c>
    </row>
    <row r="8732">
      <c r="A8732" t="str">
        <f>A8724</f>
        <v>Lantai Attic</v>
      </c>
      <c r="B8732">
        <f>B8724</f>
        <v>27</v>
      </c>
      <c r="C8732" t="str">
        <v>Tul Atas Lapangan</v>
      </c>
      <c r="D8732">
        <f>VLOOKUP(D8724,'Detail Balok'!$C$10:$AU$110,7,FALSE)</f>
        <v>5</v>
      </c>
      <c r="E8732" t="str">
        <v>D</v>
      </c>
      <c r="F8732">
        <f>VLOOKUP(D8724,'Detail Balok'!$C$10:$AU$110,9,FALSE)</f>
        <v>16</v>
      </c>
      <c r="I8732" t="str">
        <v>(</v>
      </c>
      <c r="J8732">
        <f>+D8726/2/1000</f>
        <v>1.05</v>
      </c>
      <c r="K8732" t="str">
        <v>+</v>
      </c>
      <c r="M8732" t="str">
        <v>=</v>
      </c>
      <c r="N8732">
        <f>J8732+L8732</f>
        <v>1.05</v>
      </c>
      <c r="O8732" t="str">
        <v>+</v>
      </c>
      <c r="P8732">
        <f>MAX(D8732-D8731,D8732-D8733)</f>
        <v>0</v>
      </c>
      <c r="Q8732" t="str">
        <v>x</v>
      </c>
      <c r="R8732">
        <f>IF(P8732&gt;0,2*(1-2*$F$19-1/2)*D8727/1000,0)</f>
        <v>0</v>
      </c>
      <c r="S8732" t="str">
        <v>)</v>
      </c>
      <c r="T8732" t="str">
        <v>x</v>
      </c>
      <c r="U8732">
        <f>0.006165*F8732^2</f>
        <v>1.57824</v>
      </c>
      <c r="X8732" t="str">
        <v>x</v>
      </c>
      <c r="Y8732">
        <f>D8730</f>
        <v>1</v>
      </c>
      <c r="Z8732" t="str">
        <v>=</v>
      </c>
      <c r="AA8732">
        <f>IF(AA8734=0,(D8732*N8732+P8732*R8732)*U8732*Y8732,0)</f>
        <v>0</v>
      </c>
    </row>
    <row r="8733">
      <c r="A8733" t="str">
        <f>A8724</f>
        <v>Lantai Attic</v>
      </c>
      <c r="B8733">
        <f>B8724</f>
        <v>27</v>
      </c>
      <c r="C8733" t="str">
        <v>Tul Atas Tumpuan</v>
      </c>
      <c r="D8733">
        <f>VLOOKUP(D8724,'Detail Balok'!$C$10:$AU$110,10,FALSE)</f>
        <v>5</v>
      </c>
      <c r="E8733" t="str">
        <v>D</v>
      </c>
      <c r="F8733">
        <f>VLOOKUP(D8724,'Detail Balok'!$C$10:$AU$110,12,FALSE)</f>
        <v>16</v>
      </c>
      <c r="I8733" t="str">
        <v>(</v>
      </c>
      <c r="J8733">
        <f>+D8726/4/1000</f>
        <v>0.525</v>
      </c>
      <c r="K8733" t="str">
        <v>+</v>
      </c>
      <c r="L8733">
        <f>MAX(VLOOKUP(F8733,N$6:P$15,3,FALSE)/1000,2/3*D8728/1000)+F$16*F8733/1000</f>
        <v>0.192</v>
      </c>
      <c r="M8733" t="str">
        <v>=</v>
      </c>
      <c r="N8733">
        <f>J8733+L8733</f>
        <v>0.7170000000000001</v>
      </c>
      <c r="O8733" t="str">
        <v>+</v>
      </c>
      <c r="P8733">
        <f>D8733-D8732</f>
        <v>0</v>
      </c>
      <c r="Q8733" t="str">
        <v>x</v>
      </c>
      <c r="R8733">
        <f>IF(P8733&gt;0,$F$18*F8733/1000,0)</f>
        <v>0</v>
      </c>
      <c r="S8733" t="str">
        <v>)</v>
      </c>
      <c r="T8733" t="str">
        <v>x</v>
      </c>
      <c r="U8733">
        <f>0.006165*F8733^2</f>
        <v>1.57824</v>
      </c>
      <c r="X8733" t="str">
        <v>x</v>
      </c>
      <c r="Y8733">
        <f>D8730</f>
        <v>1</v>
      </c>
      <c r="Z8733" t="str">
        <v>=</v>
      </c>
      <c r="AA8733">
        <f>IF(AA8734=0,(D8733*N8733+P8733*R8733)*U8733*Y8733,0)</f>
        <v>0</v>
      </c>
    </row>
    <row r="8734">
      <c r="A8734" t="str">
        <f>A8724</f>
        <v>Lantai Attic</v>
      </c>
      <c r="B8734">
        <f>B8724</f>
        <v>27</v>
      </c>
      <c r="D8734">
        <f>IF(AND(D8731=D8732,D8732=D8733,D8731=D8733),D8731,0)</f>
        <v>5</v>
      </c>
      <c r="E8734" t="str">
        <v>D</v>
      </c>
      <c r="F8734">
        <f>IF(AND(F8731=F8732,F8731=F8733,F8732=F8733),F8731,0)</f>
        <v>16</v>
      </c>
      <c r="L8734" t="str">
        <v>Total panjang per balok</v>
      </c>
      <c r="M8734" t="str">
        <v>=</v>
      </c>
      <c r="N8734">
        <f>IF(AND(D8731=D8732,D8731=D8733,D8732=D8733,F8731=F8732,F8731=F8733,F8732=F8733),SUM(N8731:N8733),0)</f>
        <v>2.484</v>
      </c>
      <c r="O8734" t="str">
        <v>+</v>
      </c>
      <c r="P8734">
        <f>IF(N8734&gt;12,ROUNDDOWN(N8734/12,0),0)</f>
        <v>0</v>
      </c>
      <c r="Q8734" t="str">
        <v>x</v>
      </c>
      <c r="R8734">
        <f>IF(P8734&gt;0,MAX(VLOOKUP(F8734,$D$6:$G$15,3,FALSE),600),0)/1000</f>
        <v>0</v>
      </c>
      <c r="T8734" t="str">
        <v>x</v>
      </c>
      <c r="U8734">
        <f>U8733</f>
        <v>1.57824</v>
      </c>
      <c r="V8734" t="str">
        <v>x</v>
      </c>
      <c r="W8734">
        <f>D8734</f>
        <v>5</v>
      </c>
      <c r="X8734" t="str">
        <v>x</v>
      </c>
      <c r="Y8734">
        <f>Y8733</f>
        <v>1</v>
      </c>
      <c r="Z8734" t="str">
        <v>=</v>
      </c>
      <c r="AA8734">
        <f>(N8734+P8734*R8734/1000)*U8734*W8734*Y8734</f>
        <v>19.6017408</v>
      </c>
    </row>
    <row r="8736">
      <c r="A8736" t="str">
        <f>A8724</f>
        <v>Lantai Attic</v>
      </c>
      <c r="B8736">
        <f>B8724</f>
        <v>27</v>
      </c>
      <c r="C8736" t="str">
        <v>Tul Peminggang</v>
      </c>
      <c r="D8736">
        <f>VLOOKUP(D8724,'Detail Balok'!$C$10:$AU$110,13,FALSE)</f>
        <v>2</v>
      </c>
      <c r="E8736" t="str">
        <v>D</v>
      </c>
      <c r="F8736">
        <f>VLOOKUP(D8724,'Detail Balok'!$C$10:$AU$110,15,FALSE)</f>
        <v>10</v>
      </c>
      <c r="J8736">
        <f>+D8726/1000</f>
        <v>2.1</v>
      </c>
      <c r="K8736" t="str">
        <v>+</v>
      </c>
      <c r="L8736">
        <f>2*$F$16*F8736/1000</f>
        <v>0.24</v>
      </c>
      <c r="M8736" t="str">
        <v>=</v>
      </c>
      <c r="N8736">
        <f>J8736+L8736</f>
        <v>2.34</v>
      </c>
      <c r="O8736" t="str">
        <v>+</v>
      </c>
      <c r="P8736">
        <f>IF(N8736&gt;12,ROUNDDOWN(N8736/12,0),0)</f>
        <v>0</v>
      </c>
      <c r="Q8736" t="str">
        <v>x</v>
      </c>
      <c r="R8736">
        <f>IF(P8736&gt;0,MAX(VLOOKUP(F8736,$D$6:$G$15,3,FALSE),600),0)/1000</f>
        <v>0</v>
      </c>
      <c r="T8736" t="str">
        <v>x</v>
      </c>
      <c r="U8736">
        <f>0.006165*F8736^2</f>
        <v>0.6165</v>
      </c>
      <c r="V8736" t="str">
        <v>x</v>
      </c>
      <c r="W8736">
        <f>+D8736</f>
        <v>2</v>
      </c>
      <c r="X8736" t="str">
        <v>x</v>
      </c>
      <c r="Y8736">
        <f>D8730</f>
        <v>1</v>
      </c>
      <c r="Z8736" t="str">
        <v>=</v>
      </c>
      <c r="AA8736">
        <f>(N8736+P8736*R8736/1000)*U8736*W8736*Y8736</f>
        <v>2.88522</v>
      </c>
    </row>
    <row r="8739">
      <c r="A8739" t="str">
        <f>A8724</f>
        <v>Lantai Attic</v>
      </c>
      <c r="B8739">
        <f>B8724</f>
        <v>27</v>
      </c>
      <c r="C8739" t="str">
        <v>Tul Bawah Tumpuan</v>
      </c>
      <c r="D8739">
        <f>VLOOKUP(D8724,'Detail Balok'!$C$10:$AU$110,22,FALSE)</f>
        <v>3</v>
      </c>
      <c r="E8739" t="str">
        <v>D</v>
      </c>
      <c r="F8739">
        <f>VLOOKUP(D8724,'Detail Balok'!$C$10:$AU$110,24,FALSE)</f>
        <v>16</v>
      </c>
      <c r="I8739" t="str">
        <v>(</v>
      </c>
      <c r="J8739">
        <f>+J8731</f>
        <v>0.525</v>
      </c>
      <c r="K8739" t="str">
        <v>+</v>
      </c>
      <c r="L8739">
        <f>MAX(VLOOKUP(F8739,N$6:P$15,3,FALSE)/1000,2/3*D8729/1000)+F$16*F8739/1000</f>
        <v>0.192</v>
      </c>
      <c r="M8739" t="str">
        <v>=</v>
      </c>
      <c r="N8739">
        <f>J8739+L8739</f>
        <v>0.7170000000000001</v>
      </c>
      <c r="O8739" t="str">
        <v>+</v>
      </c>
      <c r="P8739">
        <f>D8739-D8740</f>
        <v>0</v>
      </c>
      <c r="Q8739" t="str">
        <v>x</v>
      </c>
      <c r="R8739">
        <f>IF(P8739&gt;0,$F$18*F8739/1000,0)</f>
        <v>0</v>
      </c>
      <c r="S8739" t="str">
        <v>)</v>
      </c>
      <c r="T8739" t="str">
        <v>x</v>
      </c>
      <c r="U8739">
        <f>0.006165*F8739^2</f>
        <v>1.57824</v>
      </c>
      <c r="X8739" t="str">
        <v>x</v>
      </c>
      <c r="Y8739">
        <f>D8730</f>
        <v>1</v>
      </c>
      <c r="Z8739" t="str">
        <v>=</v>
      </c>
      <c r="AA8739">
        <f>IF(AA8742=0,(D8739*N8739+P8739*R8739)*U8739*Y8739,0)</f>
        <v>0</v>
      </c>
    </row>
    <row r="8740">
      <c r="A8740" t="str">
        <f>A8724</f>
        <v>Lantai Attic</v>
      </c>
      <c r="B8740">
        <f>B8724</f>
        <v>27</v>
      </c>
      <c r="C8740" t="str">
        <v>Tul Bawah Lapangan</v>
      </c>
      <c r="D8740">
        <f>VLOOKUP(D8724,'Detail Balok'!$C$10:$AU$110,25,FALSE)</f>
        <v>3</v>
      </c>
      <c r="E8740" t="str">
        <v>D</v>
      </c>
      <c r="F8740">
        <f>VLOOKUP(D8724,'Detail Balok'!$C$10:$AU$110,27,FALSE)</f>
        <v>16</v>
      </c>
      <c r="I8740" t="str">
        <v>(</v>
      </c>
      <c r="J8740">
        <f>+J8732</f>
        <v>1.05</v>
      </c>
      <c r="K8740" t="str">
        <v>+</v>
      </c>
      <c r="M8740" t="str">
        <v>=</v>
      </c>
      <c r="N8740">
        <f>J8740+L8740</f>
        <v>1.05</v>
      </c>
      <c r="O8740" t="str">
        <v>+</v>
      </c>
      <c r="P8740">
        <f>MAX(D8740-D8739,D8740-D8741)</f>
        <v>0</v>
      </c>
      <c r="Q8740" t="str">
        <v>x</v>
      </c>
      <c r="R8740">
        <f>IF(P8740&gt;0,2*(1-2*$F$19-1/2)*D8727/1000,0)</f>
        <v>0</v>
      </c>
      <c r="S8740" t="str">
        <v>)</v>
      </c>
      <c r="T8740" t="str">
        <v>x</v>
      </c>
      <c r="U8740">
        <f>0.006165*F8740^2</f>
        <v>1.57824</v>
      </c>
      <c r="X8740" t="str">
        <v>x</v>
      </c>
      <c r="Y8740">
        <f>D8730</f>
        <v>1</v>
      </c>
      <c r="Z8740" t="str">
        <v>=</v>
      </c>
      <c r="AA8740">
        <f>IF(AA8742=0,(D8740*N8740+P8740*R8740)*U8740*Y8740,0)</f>
        <v>0</v>
      </c>
    </row>
    <row r="8741">
      <c r="A8741" t="str">
        <f>A8724</f>
        <v>Lantai Attic</v>
      </c>
      <c r="B8741">
        <f>B8724</f>
        <v>27</v>
      </c>
      <c r="C8741" t="str">
        <v>Tul Bawah Tumpuan</v>
      </c>
      <c r="D8741">
        <f>VLOOKUP(D8724,'Detail Balok'!$C$10:$AU$110,28,FALSE)</f>
        <v>3</v>
      </c>
      <c r="E8741" t="str">
        <v>D</v>
      </c>
      <c r="F8741">
        <f>VLOOKUP(D8724,'Detail Balok'!$C$10:$AU$110,30,FALSE)</f>
        <v>16</v>
      </c>
      <c r="I8741" t="str">
        <v>(</v>
      </c>
      <c r="J8741">
        <f>+J8733</f>
        <v>0.525</v>
      </c>
      <c r="K8741" t="str">
        <v>+</v>
      </c>
      <c r="L8741">
        <f>MAX(VLOOKUP(F8741,N$6:P$15,3,FALSE)/1000,2/3*D8729/1000)+F$16*F8741/1000</f>
        <v>0.192</v>
      </c>
      <c r="M8741" t="str">
        <v>=</v>
      </c>
      <c r="N8741">
        <f>J8741+L8741</f>
        <v>0.7170000000000001</v>
      </c>
      <c r="O8741" t="str">
        <v>+</v>
      </c>
      <c r="P8741">
        <f>D8741-D8740</f>
        <v>0</v>
      </c>
      <c r="Q8741" t="str">
        <v>x</v>
      </c>
      <c r="R8741">
        <f>IF(P8741&gt;0,$F$18*F8741/1000,0)</f>
        <v>0</v>
      </c>
      <c r="S8741" t="str">
        <v>)</v>
      </c>
      <c r="T8741" t="str">
        <v>x</v>
      </c>
      <c r="U8741">
        <f>0.006165*F8741^2</f>
        <v>1.57824</v>
      </c>
      <c r="X8741" t="str">
        <v>x</v>
      </c>
      <c r="Y8741">
        <f>D8730</f>
        <v>1</v>
      </c>
      <c r="Z8741" t="str">
        <v>=</v>
      </c>
      <c r="AA8741">
        <f>IF(AA8742=0,(D8741*N8741+P8741*R8741)*U8741*Y8741,0)</f>
        <v>0</v>
      </c>
    </row>
    <row r="8742">
      <c r="A8742" t="str">
        <f>A8724</f>
        <v>Lantai Attic</v>
      </c>
      <c r="B8742">
        <f>B8724</f>
        <v>27</v>
      </c>
      <c r="D8742">
        <f>IF(AND(D8739=D8740,D8740=D8741,D8739=D8741),D8739,0)</f>
        <v>3</v>
      </c>
      <c r="E8742" t="str">
        <v>D</v>
      </c>
      <c r="F8742">
        <f>IF(AND(F8739=F8740,F8739=F8741,F8740=F8741),F8739,0)</f>
        <v>16</v>
      </c>
      <c r="L8742" t="str">
        <v>Total panjang per balok</v>
      </c>
      <c r="M8742" t="str">
        <v>=</v>
      </c>
      <c r="N8742">
        <f>IF(AND(D8739=D8740,D8739=D8741,D8740=D8741,F8739=F8740,F8739=F8741,F8740=F8741),SUM(N8739:N8741),0)</f>
        <v>2.484</v>
      </c>
      <c r="O8742" t="str">
        <v>+</v>
      </c>
      <c r="P8742">
        <f>IF(N8742&gt;12,ROUNDDOWN(N8742/12,0),0)</f>
        <v>0</v>
      </c>
      <c r="Q8742" t="str">
        <v>x</v>
      </c>
      <c r="R8742">
        <f>IF(P8742&gt;0,MAX(VLOOKUP(F8742,$D$6:$G$15,3,FALSE),600),0)/1000</f>
        <v>0</v>
      </c>
      <c r="T8742" t="str">
        <v>x</v>
      </c>
      <c r="U8742">
        <f>U8741</f>
        <v>1.57824</v>
      </c>
      <c r="V8742" t="str">
        <v>x</v>
      </c>
      <c r="W8742">
        <f>D8742</f>
        <v>3</v>
      </c>
      <c r="X8742" t="str">
        <v>x</v>
      </c>
      <c r="Y8742">
        <f>Y8741</f>
        <v>1</v>
      </c>
      <c r="Z8742" t="str">
        <v>=</v>
      </c>
      <c r="AA8742">
        <f>(N8742+P8742*R8742/1000)*U8742*W8742*Y8742</f>
        <v>11.76104448</v>
      </c>
    </row>
    <row r="8744">
      <c r="A8744" t="str">
        <f>A8724</f>
        <v>Lantai Attic</v>
      </c>
      <c r="B8744">
        <f>B8724</f>
        <v>27</v>
      </c>
      <c r="C8744" t="str">
        <v>Sengkang Tumpuan</v>
      </c>
      <c r="D8744">
        <f>VLOOKUP(D8724,'Detail Balok'!$C$10:$AU$110,31,FALSE)</f>
        <v>0</v>
      </c>
      <c r="E8744" t="str">
        <v>D</v>
      </c>
      <c r="F8744">
        <f>VLOOKUP(D8724,'Detail Balok'!$C$10:$AU$110,33,FALSE)</f>
        <v>10</v>
      </c>
      <c r="G8744" t="str">
        <v>-</v>
      </c>
      <c r="H8744">
        <f>VLOOKUP(D8724,'Detail Balok'!$C$10:$AU$110,35,FALSE)</f>
        <v>100</v>
      </c>
      <c r="J8744">
        <f>(IF(D8744=0,(2*(D8725+G8725))-(F$5*8),IF(D8744=3,(2*(D8725+G8725))-(F$5*8)+(G8725-2*F$5),IF(D8744=4,(2*(D8725+G8725))-(F$5*8)+2*(G8725-2*F$5)))))/1000</f>
        <v>0.98</v>
      </c>
      <c r="K8744" t="str">
        <v>+</v>
      </c>
      <c r="L8744">
        <f>IF(D8744=0,2*MAX(6*F8744,75),(D8744-1)*2*MAX(6*F8744,75))/1000</f>
        <v>0.15</v>
      </c>
      <c r="M8744" t="str">
        <v>=</v>
      </c>
      <c r="N8744">
        <f>J8744+L8744</f>
        <v>1.13</v>
      </c>
      <c r="T8744" t="str">
        <v>x</v>
      </c>
      <c r="U8744">
        <f>0.006165*F8744^2</f>
        <v>0.6165</v>
      </c>
      <c r="V8744" t="str">
        <v>x</v>
      </c>
      <c r="W8744">
        <f>IF(D8727&gt;4*G8725,ROUND(MAX(D8727/4,2*G8725)/H8744,0)+1,ROUND(D8727/H8744,0)+1)</f>
        <v>10</v>
      </c>
      <c r="X8744" t="str">
        <v>x</v>
      </c>
      <c r="Y8744">
        <f>D8730</f>
        <v>1</v>
      </c>
      <c r="Z8744" t="str">
        <v>=</v>
      </c>
      <c r="AA8744">
        <f>N8744*U8744*W8744*Y8744</f>
        <v>6.96645</v>
      </c>
    </row>
    <row r="8745">
      <c r="A8745" t="str">
        <f>A8724</f>
        <v>Lantai Attic</v>
      </c>
      <c r="B8745">
        <f>B8724</f>
        <v>27</v>
      </c>
      <c r="C8745" t="str">
        <v>Sengkang Lapangan</v>
      </c>
      <c r="D8745">
        <f>VLOOKUP(D8724,'Detail Balok'!$C$10:$AU$110,36,FALSE)</f>
        <v>0</v>
      </c>
      <c r="E8745" t="str">
        <v>D</v>
      </c>
      <c r="F8745">
        <f>VLOOKUP(D8724,'Detail Balok'!$C$10:$AU$110,38,FALSE)</f>
        <v>10</v>
      </c>
      <c r="G8745" t="str">
        <v>-</v>
      </c>
      <c r="H8745">
        <f>VLOOKUP(D8724,'Detail Balok'!$C$10:$AU$110,40,FALSE)</f>
        <v>100</v>
      </c>
      <c r="J8745">
        <f>(IF(D8745=0,(2*(D8725+G8725))-(F$5*8),IF(D8745=3,(2*(D8725+G8725))-(F$5*8)+(G8725-2*F$5),IF(D8745=4,(2*(D8725+G8725))-(F$5*8)+2*(G8725-2*F$5)))))/1000</f>
        <v>0.98</v>
      </c>
      <c r="K8745" t="str">
        <v>+</v>
      </c>
      <c r="L8745">
        <f>IF(D8745=0,2*MAX(6*F8745,75),(D8745-1)*2*MAX(6*F8745,75))/1000</f>
        <v>0.15</v>
      </c>
      <c r="M8745" t="str">
        <v>=</v>
      </c>
      <c r="N8745">
        <f>J8745+L8745</f>
        <v>1.13</v>
      </c>
      <c r="T8745" t="str">
        <v>x</v>
      </c>
      <c r="U8745">
        <f>0.006165*F8745^2</f>
        <v>0.6165</v>
      </c>
      <c r="V8745" t="str">
        <v>x</v>
      </c>
      <c r="W8745">
        <f>IF(D8727-MAX(D8727/4,2*G8725)*2&gt;0,ROUND((D8727-MAX(D8727/4,2*G8725)*2)/H8745,0),0)</f>
        <v>3</v>
      </c>
      <c r="X8745" t="str">
        <v>x</v>
      </c>
      <c r="Y8745">
        <f>D8730</f>
        <v>1</v>
      </c>
      <c r="Z8745" t="str">
        <v>=</v>
      </c>
      <c r="AA8745">
        <f>N8745*U8745*W8745*Y8745</f>
        <v>2.0899349999999997</v>
      </c>
    </row>
    <row r="8746">
      <c r="A8746" t="str">
        <f>A8724</f>
        <v>Lantai Attic</v>
      </c>
      <c r="B8746">
        <f>B8724</f>
        <v>27</v>
      </c>
      <c r="C8746" t="str">
        <v>Sengkang Tumpuan</v>
      </c>
      <c r="D8746">
        <f>VLOOKUP(D8724,'Detail Balok'!$C$10:$AU$110,41,FALSE)</f>
        <v>0</v>
      </c>
      <c r="E8746" t="str">
        <v>D</v>
      </c>
      <c r="F8746">
        <f>VLOOKUP(D8724,'Detail Balok'!$C$10:$AU$110,43,FALSE)</f>
        <v>10</v>
      </c>
      <c r="G8746" t="str">
        <v>-</v>
      </c>
      <c r="H8746">
        <f>VLOOKUP(D8724,'Detail Balok'!$C$10:$AU$110,45,FALSE)</f>
        <v>100</v>
      </c>
      <c r="J8746">
        <f>(IF(D8746=0,(2*(D8725+G8725))-(F$5*8),IF(D8746=3,(2*(D8725+G8725))-(F$5*8)+(G8725-2*F$5),IF(D8746=4,(2*(D8725+G8725))-(F$5*8)+2*(G8725-2*F$5)))))/1000</f>
        <v>0.98</v>
      </c>
      <c r="K8746" t="str">
        <v>+</v>
      </c>
      <c r="L8746">
        <f>IF(D8746=0,2*MAX(6*F8746,75),(D8746-1)*2*MAX(6*F8746,75))/1000</f>
        <v>0.15</v>
      </c>
      <c r="M8746" t="str">
        <v>=</v>
      </c>
      <c r="N8746">
        <f>J8746+L8746</f>
        <v>1.13</v>
      </c>
      <c r="T8746" t="str">
        <v>x</v>
      </c>
      <c r="U8746">
        <f>0.006165*F8746^2</f>
        <v>0.6165</v>
      </c>
      <c r="V8746" t="str">
        <v>x</v>
      </c>
      <c r="W8746">
        <f>IF(D8727&gt;4*G8725,ROUND(MAX(D8727/4,2*G8725)/H8746,0)+1,0)</f>
        <v>10</v>
      </c>
      <c r="X8746" t="str">
        <v>x</v>
      </c>
      <c r="Y8746">
        <f>D8730</f>
        <v>1</v>
      </c>
      <c r="Z8746" t="str">
        <v>=</v>
      </c>
      <c r="AA8746">
        <f>N8746*U8746*W8746*Y8746</f>
        <v>6.96645</v>
      </c>
    </row>
    <row r="8748">
      <c r="A8748" t="str">
        <f>A8724</f>
        <v>Lantai Attic</v>
      </c>
      <c r="B8748">
        <f>B8724</f>
        <v>27</v>
      </c>
      <c r="C8748" t="str">
        <v>Kait Horizontal Tump.</v>
      </c>
      <c r="D8748">
        <f>VLOOKUP(D8724,'Detail Balok'!$C$10:$BJ$110,46,FALSE)</f>
        <v>0</v>
      </c>
      <c r="E8748" t="str">
        <v>D</v>
      </c>
      <c r="F8748">
        <f>VLOOKUP(D8724,'Detail Balok'!$C$10:$BJ$110,48,FALSE)</f>
        <v>0</v>
      </c>
      <c r="G8748" t="str">
        <v>-</v>
      </c>
      <c r="H8748">
        <f>VLOOKUP(D8724,'Detail Balok'!$C$10:$BJ$110,50,FALSE)</f>
        <v>100</v>
      </c>
      <c r="J8748">
        <f>(D8725-2*F$5)/1000</f>
        <v>0.12</v>
      </c>
      <c r="K8748" t="str">
        <v>+</v>
      </c>
      <c r="L8748">
        <f>IF(D8748=0,2*MAX(6*F8748,75),(D8748-1)*2*MAX(6*F8748,75))/1000</f>
        <v>0.15</v>
      </c>
      <c r="M8748" t="str">
        <v>=</v>
      </c>
      <c r="N8748">
        <f>J8748+L8748</f>
        <v>0.27</v>
      </c>
      <c r="T8748" t="str">
        <v>x</v>
      </c>
      <c r="U8748">
        <f>0.006165*F8748^2</f>
        <v>0</v>
      </c>
      <c r="V8748" t="str">
        <v>x</v>
      </c>
      <c r="W8748">
        <f>W8744</f>
        <v>10</v>
      </c>
      <c r="X8748" t="str">
        <v>x</v>
      </c>
      <c r="Y8748">
        <f>D8734</f>
        <v>5</v>
      </c>
      <c r="Z8748" t="str">
        <v>=</v>
      </c>
      <c r="AA8748">
        <f>N8748*U8748*W8748*Y8748</f>
        <v>0</v>
      </c>
    </row>
    <row r="8749">
      <c r="A8749" t="str">
        <f>A8724</f>
        <v>Lantai Attic</v>
      </c>
      <c r="B8749">
        <f>B8724</f>
        <v>27</v>
      </c>
      <c r="C8749" t="str">
        <v>Kait Horizontal Lap.</v>
      </c>
      <c r="D8749">
        <f>VLOOKUP(D8724,'Detail Balok'!$C$10:$BJ$110,51,FALSE)</f>
        <v>0</v>
      </c>
      <c r="E8749" t="str">
        <v>D</v>
      </c>
      <c r="F8749">
        <f>VLOOKUP(D8724,'Detail Balok'!$C$10:$BJ$110,53,FALSE)</f>
        <v>0</v>
      </c>
      <c r="G8749" t="str">
        <v>-</v>
      </c>
      <c r="H8749">
        <f>VLOOKUP(D8724,'Detail Balok'!$C$10:$BJ$110,55,FALSE)</f>
        <v>100</v>
      </c>
      <c r="J8749">
        <f>(D8725-2*F$5)/1000</f>
        <v>0.12</v>
      </c>
      <c r="K8749" t="str">
        <v>+</v>
      </c>
      <c r="L8749">
        <f>IF(D8749=0,2*MAX(6*F8749,75),(D8749-1)*2*MAX(6*F8749,75))/1000</f>
        <v>0.15</v>
      </c>
      <c r="M8749" t="str">
        <v>=</v>
      </c>
      <c r="N8749">
        <f>J8749+L8749</f>
        <v>0.27</v>
      </c>
      <c r="T8749" t="str">
        <v>x</v>
      </c>
      <c r="U8749">
        <f>0.006165*F8749^2</f>
        <v>0</v>
      </c>
      <c r="V8749" t="str">
        <v>x</v>
      </c>
      <c r="W8749">
        <f>W8745</f>
        <v>3</v>
      </c>
      <c r="X8749" t="str">
        <v>x</v>
      </c>
      <c r="Y8749">
        <f>D8734</f>
        <v>5</v>
      </c>
      <c r="Z8749" t="str">
        <v>=</v>
      </c>
      <c r="AA8749">
        <f>N8749*U8749*W8749*Y8749</f>
        <v>0</v>
      </c>
    </row>
    <row r="8750">
      <c r="A8750" t="str">
        <f>A8724</f>
        <v>Lantai Attic</v>
      </c>
      <c r="B8750">
        <f>B8724</f>
        <v>27</v>
      </c>
      <c r="C8750" t="str">
        <v>Kait Horizontal Tump.</v>
      </c>
      <c r="D8750">
        <f>VLOOKUP(D8724,'Detail Balok'!$C$10:$BJ$110,56,FALSE)</f>
        <v>0</v>
      </c>
      <c r="E8750" t="str">
        <v>D</v>
      </c>
      <c r="F8750">
        <f>VLOOKUP(D8724,'Detail Balok'!$C$10:$BJ$110,58,FALSE)</f>
        <v>0</v>
      </c>
      <c r="G8750" t="str">
        <v>-</v>
      </c>
      <c r="H8750">
        <f>VLOOKUP(D8724,'Detail Balok'!$C$10:$BJ$110,60,FALSE)</f>
        <v>100</v>
      </c>
      <c r="J8750">
        <f>(D8725-2*F$5)/1000</f>
        <v>0.12</v>
      </c>
      <c r="K8750" t="str">
        <v>+</v>
      </c>
      <c r="L8750">
        <f>IF(D8750=0,2*MAX(6*F8750,75),(D8750-1)*2*MAX(6*F8750,75))/1000</f>
        <v>0.15</v>
      </c>
      <c r="M8750" t="str">
        <v>=</v>
      </c>
      <c r="N8750">
        <f>J8750+L8750</f>
        <v>0.27</v>
      </c>
      <c r="T8750" t="str">
        <v>x</v>
      </c>
      <c r="U8750">
        <f>0.006165*F8750^2</f>
        <v>0</v>
      </c>
      <c r="V8750" t="str">
        <v>x</v>
      </c>
      <c r="W8750">
        <f>W8746</f>
        <v>10</v>
      </c>
      <c r="X8750" t="str">
        <v>x</v>
      </c>
      <c r="Y8750">
        <f>D8734</f>
        <v>5</v>
      </c>
      <c r="Z8750" t="str">
        <v>=</v>
      </c>
      <c r="AA8750">
        <f>N8750*U8750*W8750*Y8750</f>
        <v>0</v>
      </c>
    </row>
    <row r="8754">
      <c r="A8754" t="str">
        <f>A8724</f>
        <v>Lantai Attic</v>
      </c>
      <c r="B8754">
        <f>B8724+1</f>
        <v>28</v>
      </c>
      <c r="C8754" t="str">
        <f>CONCATENATE(A8754," no. ",B8754)</f>
        <v>Lantai Attic no. 28</v>
      </c>
      <c r="D8754" t="str">
        <f>VLOOKUP(C8754,'Data Panjang Balok'!$C$9:$N$424,2,FALSE)</f>
        <v>B2550-1</v>
      </c>
    </row>
    <row r="8755">
      <c r="C8755" t="str">
        <v>Dimensi</v>
      </c>
      <c r="D8755">
        <f>VLOOKUP(D8754,'Detail Balok'!$C$10:$AU$110,2,FALSE)</f>
        <v>250</v>
      </c>
      <c r="F8755" t="str">
        <v>x</v>
      </c>
      <c r="G8755">
        <f>VLOOKUP(D8754,'Detail Balok'!$C$10:$AU$110,3,FALSE)</f>
        <v>500</v>
      </c>
    </row>
    <row r="8756">
      <c r="C8756" t="str">
        <v>Panjang as ke as</v>
      </c>
      <c r="D8756">
        <f>VLOOKUP(C8754,'Data Panjang Balok'!$C$9:$N$424,4,FALSE)</f>
        <v>8100</v>
      </c>
    </row>
    <row r="8757">
      <c r="C8757" t="str">
        <v>Panjang netto</v>
      </c>
      <c r="D8757">
        <f>VLOOKUP(C8754,'Data Panjang Balok'!$C$9:$N$424,7,FALSE)</f>
        <v>8100</v>
      </c>
    </row>
    <row r="8758">
      <c r="C8758" t="str">
        <v>Kolom / balok kiri</v>
      </c>
      <c r="D8758">
        <f>VLOOKUP(C8754,'Data Panjang Balok'!$C$9:$N$424,9,FALSE)</f>
        <v>0</v>
      </c>
    </row>
    <row r="8759">
      <c r="C8759" t="str">
        <v>Kolom / balok kanan</v>
      </c>
      <c r="D8759">
        <f>VLOOKUP(C8754,'Data Panjang Balok'!$C$9:$N$424,10,FALSE)</f>
        <v>0</v>
      </c>
    </row>
    <row r="8760">
      <c r="C8760" t="str">
        <v>Jumlah</v>
      </c>
      <c r="D8760">
        <f>VLOOKUP(C8754,'Data Panjang Balok'!$C$9:$N$424,3,FALSE)</f>
        <v>1</v>
      </c>
    </row>
    <row r="8761">
      <c r="A8761" t="str">
        <f>A8754</f>
        <v>Lantai Attic</v>
      </c>
      <c r="B8761">
        <f>B8754</f>
        <v>28</v>
      </c>
      <c r="C8761" t="str">
        <v>Tul Atas Tumpuan</v>
      </c>
      <c r="D8761">
        <f>VLOOKUP(D8754,'Detail Balok'!$C$10:$AU$110,4,FALSE)</f>
        <v>6</v>
      </c>
      <c r="E8761" t="str">
        <v>D</v>
      </c>
      <c r="F8761">
        <f>VLOOKUP(D8754,'Detail Balok'!$C$10:$AU$110,6,FALSE)</f>
        <v>19</v>
      </c>
      <c r="I8761" t="str">
        <v>(</v>
      </c>
      <c r="J8761">
        <f>+D8756/4/1000</f>
        <v>2.025</v>
      </c>
      <c r="K8761" t="str">
        <v>+</v>
      </c>
      <c r="L8761">
        <f>MAX(VLOOKUP(F8761,N$6:P$15,3,FALSE)/1000,2/3*D8758/1000)+F$16*F8761/1000</f>
        <v>0.228</v>
      </c>
      <c r="M8761" t="str">
        <v>=</v>
      </c>
      <c r="N8761">
        <f>J8761+L8761</f>
        <v>2.253</v>
      </c>
      <c r="O8761" t="str">
        <v>+</v>
      </c>
      <c r="P8761">
        <f>D8761-D8762</f>
        <v>3</v>
      </c>
      <c r="Q8761" t="str">
        <v>x</v>
      </c>
      <c r="R8761">
        <f>IF(P8761&gt;0,$F$18*F8761/1000,0)</f>
        <v>0.285</v>
      </c>
      <c r="S8761" t="str">
        <v>)</v>
      </c>
      <c r="T8761" t="str">
        <v>x</v>
      </c>
      <c r="U8761">
        <f>0.006165*F8761^2</f>
        <v>2.225565</v>
      </c>
      <c r="X8761" t="str">
        <v>x</v>
      </c>
      <c r="Y8761">
        <f>D8760</f>
        <v>1</v>
      </c>
      <c r="Z8761" t="str">
        <v>=</v>
      </c>
      <c r="AA8761">
        <f>IF(AA8764=0,(D8761*N8761+P8761*R8761)*U8761*Y8761,0)</f>
        <v>31.988045745000004</v>
      </c>
    </row>
    <row r="8762">
      <c r="A8762" t="str">
        <f>A8754</f>
        <v>Lantai Attic</v>
      </c>
      <c r="B8762">
        <f>B8754</f>
        <v>28</v>
      </c>
      <c r="C8762" t="str">
        <v>Tul Atas Lapangan</v>
      </c>
      <c r="D8762">
        <f>VLOOKUP(D8754,'Detail Balok'!$C$10:$AU$110,7,FALSE)</f>
        <v>3</v>
      </c>
      <c r="E8762" t="str">
        <v>D</v>
      </c>
      <c r="F8762">
        <f>VLOOKUP(D8754,'Detail Balok'!$C$10:$AU$110,9,FALSE)</f>
        <v>19</v>
      </c>
      <c r="I8762" t="str">
        <v>(</v>
      </c>
      <c r="J8762">
        <f>+D8756/2/1000</f>
        <v>4.05</v>
      </c>
      <c r="K8762" t="str">
        <v>+</v>
      </c>
      <c r="M8762" t="str">
        <v>=</v>
      </c>
      <c r="N8762">
        <f>J8762+L8762</f>
        <v>4.05</v>
      </c>
      <c r="O8762" t="str">
        <v>+</v>
      </c>
      <c r="P8762">
        <f>MAX(D8762-D8761,D8762-D8763)</f>
        <v>0</v>
      </c>
      <c r="Q8762" t="str">
        <v>x</v>
      </c>
      <c r="R8762">
        <f>IF(P8762&gt;0,2*(1-2*$F$19-1/2)*D8757/1000,0)</f>
        <v>0</v>
      </c>
      <c r="S8762" t="str">
        <v>)</v>
      </c>
      <c r="T8762" t="str">
        <v>x</v>
      </c>
      <c r="U8762">
        <f>0.006165*F8762^2</f>
        <v>2.225565</v>
      </c>
      <c r="X8762" t="str">
        <v>x</v>
      </c>
      <c r="Y8762">
        <f>D8760</f>
        <v>1</v>
      </c>
      <c r="Z8762" t="str">
        <v>=</v>
      </c>
      <c r="AA8762">
        <f>IF(AA8764=0,(D8762*N8762+P8762*R8762)*U8762*Y8762,0)</f>
        <v>27.040614749999996</v>
      </c>
    </row>
    <row r="8763">
      <c r="A8763" t="str">
        <f>A8754</f>
        <v>Lantai Attic</v>
      </c>
      <c r="B8763">
        <f>B8754</f>
        <v>28</v>
      </c>
      <c r="C8763" t="str">
        <v>Tul Atas Tumpuan</v>
      </c>
      <c r="D8763">
        <f>VLOOKUP(D8754,'Detail Balok'!$C$10:$AU$110,10,FALSE)</f>
        <v>3</v>
      </c>
      <c r="E8763" t="str">
        <v>D</v>
      </c>
      <c r="F8763">
        <f>VLOOKUP(D8754,'Detail Balok'!$C$10:$AU$110,12,FALSE)</f>
        <v>19</v>
      </c>
      <c r="I8763" t="str">
        <v>(</v>
      </c>
      <c r="J8763">
        <f>+D8756/4/1000</f>
        <v>2.025</v>
      </c>
      <c r="K8763" t="str">
        <v>+</v>
      </c>
      <c r="L8763">
        <f>MAX(VLOOKUP(F8763,N$6:P$15,3,FALSE)/1000,2/3*D8758/1000)+F$16*F8763/1000</f>
        <v>0.228</v>
      </c>
      <c r="M8763" t="str">
        <v>=</v>
      </c>
      <c r="N8763">
        <f>J8763+L8763</f>
        <v>2.253</v>
      </c>
      <c r="O8763" t="str">
        <v>+</v>
      </c>
      <c r="P8763">
        <f>D8763-D8762</f>
        <v>0</v>
      </c>
      <c r="Q8763" t="str">
        <v>x</v>
      </c>
      <c r="R8763">
        <f>IF(P8763&gt;0,$F$18*F8763/1000,0)</f>
        <v>0</v>
      </c>
      <c r="S8763" t="str">
        <v>)</v>
      </c>
      <c r="T8763" t="str">
        <v>x</v>
      </c>
      <c r="U8763">
        <f>0.006165*F8763^2</f>
        <v>2.225565</v>
      </c>
      <c r="X8763" t="str">
        <v>x</v>
      </c>
      <c r="Y8763">
        <f>D8760</f>
        <v>1</v>
      </c>
      <c r="Z8763" t="str">
        <v>=</v>
      </c>
      <c r="AA8763">
        <f>IF(AA8764=0,(D8763*N8763+P8763*R8763)*U8763*Y8763,0)</f>
        <v>15.042593835000002</v>
      </c>
    </row>
    <row r="8764">
      <c r="A8764" t="str">
        <f>A8754</f>
        <v>Lantai Attic</v>
      </c>
      <c r="B8764">
        <f>B8754</f>
        <v>28</v>
      </c>
      <c r="D8764">
        <f>IF(AND(D8761=D8762,D8762=D8763,D8761=D8763),D8761,0)</f>
        <v>0</v>
      </c>
      <c r="E8764" t="str">
        <v>D</v>
      </c>
      <c r="F8764">
        <f>IF(AND(F8761=F8762,F8761=F8763,F8762=F8763),F8761,0)</f>
        <v>19</v>
      </c>
      <c r="L8764" t="str">
        <v>Total panjang per balok</v>
      </c>
      <c r="M8764" t="str">
        <v>=</v>
      </c>
      <c r="N8764">
        <f>IF(AND(D8761=D8762,D8761=D8763,D8762=D8763,F8761=F8762,F8761=F8763,F8762=F8763),SUM(N8761:N8763),0)</f>
        <v>0</v>
      </c>
      <c r="O8764" t="str">
        <v>+</v>
      </c>
      <c r="P8764">
        <f>IF(N8764&gt;12,ROUNDDOWN(N8764/12,0),0)</f>
        <v>0</v>
      </c>
      <c r="Q8764" t="str">
        <v>x</v>
      </c>
      <c r="R8764">
        <f>IF(P8764&gt;0,MAX(VLOOKUP(F8764,$D$6:$G$15,3,FALSE),600),0)/1000</f>
        <v>0</v>
      </c>
      <c r="T8764" t="str">
        <v>x</v>
      </c>
      <c r="U8764">
        <f>U8763</f>
        <v>2.225565</v>
      </c>
      <c r="V8764" t="str">
        <v>x</v>
      </c>
      <c r="W8764">
        <f>D8764</f>
        <v>0</v>
      </c>
      <c r="X8764" t="str">
        <v>x</v>
      </c>
      <c r="Y8764">
        <f>Y8763</f>
        <v>1</v>
      </c>
      <c r="Z8764" t="str">
        <v>=</v>
      </c>
      <c r="AA8764">
        <f>(N8764+P8764*R8764/1000)*U8764*W8764*Y8764</f>
        <v>0</v>
      </c>
    </row>
    <row r="8766">
      <c r="A8766" t="str">
        <f>A8754</f>
        <v>Lantai Attic</v>
      </c>
      <c r="B8766">
        <f>B8754</f>
        <v>28</v>
      </c>
      <c r="C8766" t="str">
        <v>Tul Peminggang</v>
      </c>
      <c r="D8766">
        <f>VLOOKUP(D8754,'Detail Balok'!$C$10:$AU$110,13,FALSE)</f>
        <v>2</v>
      </c>
      <c r="E8766" t="str">
        <v>D</v>
      </c>
      <c r="F8766">
        <f>VLOOKUP(D8754,'Detail Balok'!$C$10:$AU$110,15,FALSE)</f>
        <v>10</v>
      </c>
      <c r="J8766">
        <f>+D8756/1000</f>
        <v>8.1</v>
      </c>
      <c r="K8766" t="str">
        <v>+</v>
      </c>
      <c r="L8766">
        <f>2*$F$16*F8766/1000</f>
        <v>0.24</v>
      </c>
      <c r="M8766" t="str">
        <v>=</v>
      </c>
      <c r="N8766">
        <f>J8766+L8766</f>
        <v>8.34</v>
      </c>
      <c r="O8766" t="str">
        <v>+</v>
      </c>
      <c r="P8766">
        <f>IF(N8766&gt;12,ROUNDDOWN(N8766/12,0),0)</f>
        <v>0</v>
      </c>
      <c r="Q8766" t="str">
        <v>x</v>
      </c>
      <c r="R8766">
        <f>IF(P8766&gt;0,MAX(VLOOKUP(F8766,$D$6:$G$15,3,FALSE),600),0)/1000</f>
        <v>0</v>
      </c>
      <c r="T8766" t="str">
        <v>x</v>
      </c>
      <c r="U8766">
        <f>0.006165*F8766^2</f>
        <v>0.6165</v>
      </c>
      <c r="V8766" t="str">
        <v>x</v>
      </c>
      <c r="W8766">
        <f>+D8766</f>
        <v>2</v>
      </c>
      <c r="X8766" t="str">
        <v>x</v>
      </c>
      <c r="Y8766">
        <f>D8760</f>
        <v>1</v>
      </c>
      <c r="Z8766" t="str">
        <v>=</v>
      </c>
      <c r="AA8766">
        <f>(N8766+P8766*R8766/1000)*U8766*W8766*Y8766</f>
        <v>10.28322</v>
      </c>
    </row>
    <row r="8769">
      <c r="A8769" t="str">
        <f>A8754</f>
        <v>Lantai Attic</v>
      </c>
      <c r="B8769">
        <f>B8754</f>
        <v>28</v>
      </c>
      <c r="C8769" t="str">
        <v>Tul Bawah Tumpuan</v>
      </c>
      <c r="D8769">
        <f>VLOOKUP(D8754,'Detail Balok'!$C$10:$AU$110,22,FALSE)</f>
        <v>3</v>
      </c>
      <c r="E8769" t="str">
        <v>D</v>
      </c>
      <c r="F8769">
        <f>VLOOKUP(D8754,'Detail Balok'!$C$10:$AU$110,24,FALSE)</f>
        <v>19</v>
      </c>
      <c r="I8769" t="str">
        <v>(</v>
      </c>
      <c r="J8769">
        <f>+J8761</f>
        <v>2.025</v>
      </c>
      <c r="K8769" t="str">
        <v>+</v>
      </c>
      <c r="L8769">
        <f>MAX(VLOOKUP(F8769,N$6:P$15,3,FALSE)/1000,2/3*D8759/1000)+F$16*F8769/1000</f>
        <v>0.228</v>
      </c>
      <c r="M8769" t="str">
        <v>=</v>
      </c>
      <c r="N8769">
        <f>J8769+L8769</f>
        <v>2.253</v>
      </c>
      <c r="O8769" t="str">
        <v>+</v>
      </c>
      <c r="P8769">
        <f>D8769-D8770</f>
        <v>-3</v>
      </c>
      <c r="Q8769" t="str">
        <v>x</v>
      </c>
      <c r="R8769">
        <f>IF(P8769&gt;0,$F$18*F8769/1000,0)</f>
        <v>0</v>
      </c>
      <c r="S8769" t="str">
        <v>)</v>
      </c>
      <c r="T8769" t="str">
        <v>x</v>
      </c>
      <c r="U8769">
        <f>0.006165*F8769^2</f>
        <v>2.225565</v>
      </c>
      <c r="X8769" t="str">
        <v>x</v>
      </c>
      <c r="Y8769">
        <f>D8760</f>
        <v>1</v>
      </c>
      <c r="Z8769" t="str">
        <v>=</v>
      </c>
      <c r="AA8769">
        <f>IF(AA8772=0,(D8769*N8769+P8769*R8769)*U8769*Y8769,0)</f>
        <v>15.042593835000002</v>
      </c>
    </row>
    <row r="8770">
      <c r="A8770" t="str">
        <f>A8754</f>
        <v>Lantai Attic</v>
      </c>
      <c r="B8770">
        <f>B8754</f>
        <v>28</v>
      </c>
      <c r="C8770" t="str">
        <v>Tul Bawah Lapangan</v>
      </c>
      <c r="D8770">
        <f>VLOOKUP(D8754,'Detail Balok'!$C$10:$AU$110,25,FALSE)</f>
        <v>6</v>
      </c>
      <c r="E8770" t="str">
        <v>D</v>
      </c>
      <c r="F8770">
        <f>VLOOKUP(D8754,'Detail Balok'!$C$10:$AU$110,27,FALSE)</f>
        <v>19</v>
      </c>
      <c r="I8770" t="str">
        <v>(</v>
      </c>
      <c r="J8770">
        <f>+J8762</f>
        <v>4.05</v>
      </c>
      <c r="K8770" t="str">
        <v>+</v>
      </c>
      <c r="M8770" t="str">
        <v>=</v>
      </c>
      <c r="N8770">
        <f>J8770+L8770</f>
        <v>4.05</v>
      </c>
      <c r="O8770" t="str">
        <v>+</v>
      </c>
      <c r="P8770">
        <f>MAX(D8770-D8769,D8770-D8771)</f>
        <v>3</v>
      </c>
      <c r="Q8770" t="str">
        <v>x</v>
      </c>
      <c r="R8770">
        <f>IF(P8770&gt;0,2*(1-2*$F$19-1/2)*D8757/1000,0)</f>
        <v>1.6199999999999994</v>
      </c>
      <c r="S8770" t="str">
        <v>)</v>
      </c>
      <c r="T8770" t="str">
        <v>x</v>
      </c>
      <c r="U8770">
        <f>0.006165*F8770^2</f>
        <v>2.225565</v>
      </c>
      <c r="X8770" t="str">
        <v>x</v>
      </c>
      <c r="Y8770">
        <f>D8760</f>
        <v>1</v>
      </c>
      <c r="Z8770" t="str">
        <v>=</v>
      </c>
      <c r="AA8770">
        <f>IF(AA8772=0,(D8770*N8770+P8770*R8770)*U8770*Y8770,0)</f>
        <v>64.89747539999999</v>
      </c>
    </row>
    <row r="8771">
      <c r="A8771" t="str">
        <f>A8754</f>
        <v>Lantai Attic</v>
      </c>
      <c r="B8771">
        <f>B8754</f>
        <v>28</v>
      </c>
      <c r="C8771" t="str">
        <v>Tul Bawah Tumpuan</v>
      </c>
      <c r="D8771">
        <f>VLOOKUP(D8754,'Detail Balok'!$C$10:$AU$110,28,FALSE)</f>
        <v>3</v>
      </c>
      <c r="E8771" t="str">
        <v>D</v>
      </c>
      <c r="F8771">
        <f>VLOOKUP(D8754,'Detail Balok'!$C$10:$AU$110,30,FALSE)</f>
        <v>19</v>
      </c>
      <c r="I8771" t="str">
        <v>(</v>
      </c>
      <c r="J8771">
        <f>+J8763</f>
        <v>2.025</v>
      </c>
      <c r="K8771" t="str">
        <v>+</v>
      </c>
      <c r="L8771">
        <f>MAX(VLOOKUP(F8771,N$6:P$15,3,FALSE)/1000,2/3*D8759/1000)+F$16*F8771/1000</f>
        <v>0.228</v>
      </c>
      <c r="M8771" t="str">
        <v>=</v>
      </c>
      <c r="N8771">
        <f>J8771+L8771</f>
        <v>2.253</v>
      </c>
      <c r="O8771" t="str">
        <v>+</v>
      </c>
      <c r="P8771">
        <f>D8771-D8770</f>
        <v>-3</v>
      </c>
      <c r="Q8771" t="str">
        <v>x</v>
      </c>
      <c r="R8771">
        <f>IF(P8771&gt;0,$F$18*F8771/1000,0)</f>
        <v>0</v>
      </c>
      <c r="S8771" t="str">
        <v>)</v>
      </c>
      <c r="T8771" t="str">
        <v>x</v>
      </c>
      <c r="U8771">
        <f>0.006165*F8771^2</f>
        <v>2.225565</v>
      </c>
      <c r="X8771" t="str">
        <v>x</v>
      </c>
      <c r="Y8771">
        <f>D8760</f>
        <v>1</v>
      </c>
      <c r="Z8771" t="str">
        <v>=</v>
      </c>
      <c r="AA8771">
        <f>IF(AA8772=0,(D8771*N8771+P8771*R8771)*U8771*Y8771,0)</f>
        <v>15.042593835000002</v>
      </c>
    </row>
    <row r="8772">
      <c r="A8772" t="str">
        <f>A8754</f>
        <v>Lantai Attic</v>
      </c>
      <c r="B8772">
        <f>B8754</f>
        <v>28</v>
      </c>
      <c r="D8772">
        <f>IF(AND(D8769=D8770,D8770=D8771,D8769=D8771),D8769,0)</f>
        <v>0</v>
      </c>
      <c r="E8772" t="str">
        <v>D</v>
      </c>
      <c r="F8772">
        <f>IF(AND(F8769=F8770,F8769=F8771,F8770=F8771),F8769,0)</f>
        <v>19</v>
      </c>
      <c r="L8772" t="str">
        <v>Total panjang per balok</v>
      </c>
      <c r="M8772" t="str">
        <v>=</v>
      </c>
      <c r="N8772">
        <f>IF(AND(D8769=D8770,D8769=D8771,D8770=D8771,F8769=F8770,F8769=F8771,F8770=F8771),SUM(N8769:N8771),0)</f>
        <v>0</v>
      </c>
      <c r="O8772" t="str">
        <v>+</v>
      </c>
      <c r="P8772">
        <f>IF(N8772&gt;12,ROUNDDOWN(N8772/12,0),0)</f>
        <v>0</v>
      </c>
      <c r="Q8772" t="str">
        <v>x</v>
      </c>
      <c r="R8772">
        <f>IF(P8772&gt;0,MAX(VLOOKUP(F8772,$D$6:$G$15,3,FALSE),600),0)/1000</f>
        <v>0</v>
      </c>
      <c r="T8772" t="str">
        <v>x</v>
      </c>
      <c r="U8772">
        <f>U8771</f>
        <v>2.225565</v>
      </c>
      <c r="V8772" t="str">
        <v>x</v>
      </c>
      <c r="W8772">
        <f>D8772</f>
        <v>0</v>
      </c>
      <c r="X8772" t="str">
        <v>x</v>
      </c>
      <c r="Y8772">
        <f>Y8771</f>
        <v>1</v>
      </c>
      <c r="Z8772" t="str">
        <v>=</v>
      </c>
      <c r="AA8772">
        <f>(N8772+P8772*R8772/1000)*U8772*W8772*Y8772</f>
        <v>0</v>
      </c>
    </row>
    <row r="8774">
      <c r="A8774" t="str">
        <f>A8754</f>
        <v>Lantai Attic</v>
      </c>
      <c r="B8774">
        <f>B8754</f>
        <v>28</v>
      </c>
      <c r="C8774" t="str">
        <v>Sengkang Tumpuan</v>
      </c>
      <c r="D8774">
        <f>VLOOKUP(D8754,'Detail Balok'!$C$10:$AU$110,31,FALSE)</f>
        <v>0</v>
      </c>
      <c r="E8774" t="str">
        <v>D</v>
      </c>
      <c r="F8774">
        <f>VLOOKUP(D8754,'Detail Balok'!$C$10:$AU$110,33,FALSE)</f>
        <v>10</v>
      </c>
      <c r="G8774" t="str">
        <v>-</v>
      </c>
      <c r="H8774">
        <f>VLOOKUP(D8754,'Detail Balok'!$C$10:$AU$110,35,FALSE)</f>
        <v>90</v>
      </c>
      <c r="J8774">
        <f>(IF(D8774=0,(2*(D8755+G8755))-(F$5*8),IF(D8774=3,(2*(D8755+G8755))-(F$5*8)+(G8755-2*F$5),IF(D8774=4,(2*(D8755+G8755))-(F$5*8)+2*(G8755-2*F$5)))))/1000</f>
        <v>1.18</v>
      </c>
      <c r="K8774" t="str">
        <v>+</v>
      </c>
      <c r="L8774">
        <f>IF(D8774=0,2*MAX(6*F8774,75),(D8774-1)*2*MAX(6*F8774,75))/1000</f>
        <v>0.15</v>
      </c>
      <c r="M8774" t="str">
        <v>=</v>
      </c>
      <c r="N8774">
        <f>J8774+L8774</f>
        <v>1.3299999999999998</v>
      </c>
      <c r="T8774" t="str">
        <v>x</v>
      </c>
      <c r="U8774">
        <f>0.006165*F8774^2</f>
        <v>0.6165</v>
      </c>
      <c r="V8774" t="str">
        <v>x</v>
      </c>
      <c r="W8774">
        <f>IF(D8757&gt;4*G8755,ROUND(MAX(D8757/4,2*G8755)/H8774,0)+1,ROUND(D8757/H8774,0)+1)</f>
        <v>24</v>
      </c>
      <c r="X8774" t="str">
        <v>x</v>
      </c>
      <c r="Y8774">
        <f>D8760</f>
        <v>1</v>
      </c>
      <c r="Z8774" t="str">
        <v>=</v>
      </c>
      <c r="AA8774">
        <f>N8774*U8774*W8774*Y8774</f>
        <v>19.67868</v>
      </c>
    </row>
    <row r="8775">
      <c r="A8775" t="str">
        <f>A8754</f>
        <v>Lantai Attic</v>
      </c>
      <c r="B8775">
        <f>B8754</f>
        <v>28</v>
      </c>
      <c r="C8775" t="str">
        <v>Sengkang Lapangan</v>
      </c>
      <c r="D8775">
        <f>VLOOKUP(D8754,'Detail Balok'!$C$10:$AU$110,36,FALSE)</f>
        <v>0</v>
      </c>
      <c r="E8775" t="str">
        <v>D</v>
      </c>
      <c r="F8775">
        <f>VLOOKUP(D8754,'Detail Balok'!$C$10:$AU$110,38,FALSE)</f>
        <v>10</v>
      </c>
      <c r="G8775" t="str">
        <v>-</v>
      </c>
      <c r="H8775">
        <f>VLOOKUP(D8754,'Detail Balok'!$C$10:$AU$110,40,FALSE)</f>
        <v>200</v>
      </c>
      <c r="J8775">
        <f>(IF(D8775=0,(2*(D8755+G8755))-(F$5*8),IF(D8775=3,(2*(D8755+G8755))-(F$5*8)+(G8755-2*F$5),IF(D8775=4,(2*(D8755+G8755))-(F$5*8)+2*(G8755-2*F$5)))))/1000</f>
        <v>1.18</v>
      </c>
      <c r="K8775" t="str">
        <v>+</v>
      </c>
      <c r="L8775">
        <f>IF(D8775=0,2*MAX(6*F8775,75),(D8775-1)*2*MAX(6*F8775,75))/1000</f>
        <v>0.15</v>
      </c>
      <c r="M8775" t="str">
        <v>=</v>
      </c>
      <c r="N8775">
        <f>J8775+L8775</f>
        <v>1.3299999999999998</v>
      </c>
      <c r="T8775" t="str">
        <v>x</v>
      </c>
      <c r="U8775">
        <f>0.006165*F8775^2</f>
        <v>0.6165</v>
      </c>
      <c r="V8775" t="str">
        <v>x</v>
      </c>
      <c r="W8775">
        <f>IF(D8757-MAX(D8757/4,2*G8755)*2&gt;0,ROUND((D8757-MAX(D8757/4,2*G8755)*2)/H8775,0),0)</f>
        <v>20</v>
      </c>
      <c r="X8775" t="str">
        <v>x</v>
      </c>
      <c r="Y8775">
        <f>D8760</f>
        <v>1</v>
      </c>
      <c r="Z8775" t="str">
        <v>=</v>
      </c>
      <c r="AA8775">
        <f>N8775*U8775*W8775*Y8775</f>
        <v>16.398899999999998</v>
      </c>
    </row>
    <row r="8776">
      <c r="A8776" t="str">
        <f>A8754</f>
        <v>Lantai Attic</v>
      </c>
      <c r="B8776">
        <f>B8754</f>
        <v>28</v>
      </c>
      <c r="C8776" t="str">
        <v>Sengkang Tumpuan</v>
      </c>
      <c r="D8776">
        <f>VLOOKUP(D8754,'Detail Balok'!$C$10:$AU$110,41,FALSE)</f>
        <v>0</v>
      </c>
      <c r="E8776" t="str">
        <v>D</v>
      </c>
      <c r="F8776">
        <f>VLOOKUP(D8754,'Detail Balok'!$C$10:$AU$110,43,FALSE)</f>
        <v>10</v>
      </c>
      <c r="G8776" t="str">
        <v>-</v>
      </c>
      <c r="H8776">
        <f>VLOOKUP(D8754,'Detail Balok'!$C$10:$AU$110,45,FALSE)</f>
        <v>90</v>
      </c>
      <c r="J8776">
        <f>(IF(D8776=0,(2*(D8755+G8755))-(F$5*8),IF(D8776=3,(2*(D8755+G8755))-(F$5*8)+(G8755-2*F$5),IF(D8776=4,(2*(D8755+G8755))-(F$5*8)+2*(G8755-2*F$5)))))/1000</f>
        <v>1.18</v>
      </c>
      <c r="K8776" t="str">
        <v>+</v>
      </c>
      <c r="L8776">
        <f>IF(D8776=0,2*MAX(6*F8776,75),(D8776-1)*2*MAX(6*F8776,75))/1000</f>
        <v>0.15</v>
      </c>
      <c r="M8776" t="str">
        <v>=</v>
      </c>
      <c r="N8776">
        <f>J8776+L8776</f>
        <v>1.3299999999999998</v>
      </c>
      <c r="T8776" t="str">
        <v>x</v>
      </c>
      <c r="U8776">
        <f>0.006165*F8776^2</f>
        <v>0.6165</v>
      </c>
      <c r="V8776" t="str">
        <v>x</v>
      </c>
      <c r="W8776">
        <f>IF(D8757&gt;4*G8755,ROUND(MAX(D8757/4,2*G8755)/H8776,0)+1,0)</f>
        <v>24</v>
      </c>
      <c r="X8776" t="str">
        <v>x</v>
      </c>
      <c r="Y8776">
        <f>D8760</f>
        <v>1</v>
      </c>
      <c r="Z8776" t="str">
        <v>=</v>
      </c>
      <c r="AA8776">
        <f>N8776*U8776*W8776*Y8776</f>
        <v>19.67868</v>
      </c>
    </row>
    <row r="8778">
      <c r="A8778" t="str">
        <f>A8754</f>
        <v>Lantai Attic</v>
      </c>
      <c r="B8778">
        <f>B8754</f>
        <v>28</v>
      </c>
      <c r="C8778" t="str">
        <v>Kait Horizontal Tump.</v>
      </c>
      <c r="D8778">
        <f>VLOOKUP(D8754,'Detail Balok'!$C$10:$BJ$110,46,FALSE)</f>
        <v>0</v>
      </c>
      <c r="E8778" t="str">
        <v>D</v>
      </c>
      <c r="F8778">
        <f>VLOOKUP(D8754,'Detail Balok'!$C$10:$BJ$110,48,FALSE)</f>
        <v>0</v>
      </c>
      <c r="G8778" t="str">
        <v>-</v>
      </c>
      <c r="H8778">
        <f>VLOOKUP(D8754,'Detail Balok'!$C$10:$BJ$110,50,FALSE)</f>
        <v>0</v>
      </c>
      <c r="J8778">
        <f>(D8755-2*F$5)/1000</f>
        <v>0.17</v>
      </c>
      <c r="K8778" t="str">
        <v>+</v>
      </c>
      <c r="L8778">
        <f>IF(D8778=0,2*MAX(6*F8778,75),(D8778-1)*2*MAX(6*F8778,75))/1000</f>
        <v>0.15</v>
      </c>
      <c r="M8778" t="str">
        <v>=</v>
      </c>
      <c r="N8778">
        <f>J8778+L8778</f>
        <v>0.32</v>
      </c>
      <c r="T8778" t="str">
        <v>x</v>
      </c>
      <c r="U8778">
        <f>0.006165*F8778^2</f>
        <v>0</v>
      </c>
      <c r="V8778" t="str">
        <v>x</v>
      </c>
      <c r="W8778">
        <f>W8774</f>
        <v>24</v>
      </c>
      <c r="X8778" t="str">
        <v>x</v>
      </c>
      <c r="Y8778">
        <f>D8764</f>
        <v>0</v>
      </c>
      <c r="Z8778" t="str">
        <v>=</v>
      </c>
      <c r="AA8778">
        <f>N8778*U8778*W8778*Y8778</f>
        <v>0</v>
      </c>
    </row>
    <row r="8779">
      <c r="A8779" t="str">
        <f>A8754</f>
        <v>Lantai Attic</v>
      </c>
      <c r="B8779">
        <f>B8754</f>
        <v>28</v>
      </c>
      <c r="C8779" t="str">
        <v>Kait Horizontal Lap.</v>
      </c>
      <c r="D8779">
        <f>VLOOKUP(D8754,'Detail Balok'!$C$10:$BJ$110,51,FALSE)</f>
        <v>0</v>
      </c>
      <c r="E8779" t="str">
        <v>D</v>
      </c>
      <c r="F8779">
        <f>VLOOKUP(D8754,'Detail Balok'!$C$10:$BJ$110,53,FALSE)</f>
        <v>0</v>
      </c>
      <c r="G8779" t="str">
        <v>-</v>
      </c>
      <c r="H8779">
        <f>VLOOKUP(D8754,'Detail Balok'!$C$10:$BJ$110,55,FALSE)</f>
        <v>0</v>
      </c>
      <c r="J8779">
        <f>(D8755-2*F$5)/1000</f>
        <v>0.17</v>
      </c>
      <c r="K8779" t="str">
        <v>+</v>
      </c>
      <c r="L8779">
        <f>IF(D8779=0,2*MAX(6*F8779,75),(D8779-1)*2*MAX(6*F8779,75))/1000</f>
        <v>0.15</v>
      </c>
      <c r="M8779" t="str">
        <v>=</v>
      </c>
      <c r="N8779">
        <f>J8779+L8779</f>
        <v>0.32</v>
      </c>
      <c r="T8779" t="str">
        <v>x</v>
      </c>
      <c r="U8779">
        <f>0.006165*F8779^2</f>
        <v>0</v>
      </c>
      <c r="V8779" t="str">
        <v>x</v>
      </c>
      <c r="W8779">
        <f>W8775</f>
        <v>20</v>
      </c>
      <c r="X8779" t="str">
        <v>x</v>
      </c>
      <c r="Y8779">
        <f>D8764</f>
        <v>0</v>
      </c>
      <c r="Z8779" t="str">
        <v>=</v>
      </c>
      <c r="AA8779">
        <f>N8779*U8779*W8779*Y8779</f>
        <v>0</v>
      </c>
    </row>
    <row r="8780">
      <c r="A8780" t="str">
        <f>A8754</f>
        <v>Lantai Attic</v>
      </c>
      <c r="B8780">
        <f>B8754</f>
        <v>28</v>
      </c>
      <c r="C8780" t="str">
        <v>Kait Horizontal Tump.</v>
      </c>
      <c r="D8780">
        <f>VLOOKUP(D8754,'Detail Balok'!$C$10:$BJ$110,56,FALSE)</f>
        <v>0</v>
      </c>
      <c r="E8780" t="str">
        <v>D</v>
      </c>
      <c r="F8780">
        <f>VLOOKUP(D8754,'Detail Balok'!$C$10:$BJ$110,58,FALSE)</f>
        <v>0</v>
      </c>
      <c r="G8780" t="str">
        <v>-</v>
      </c>
      <c r="H8780">
        <f>VLOOKUP(D8754,'Detail Balok'!$C$10:$BJ$110,60,FALSE)</f>
        <v>0</v>
      </c>
      <c r="J8780">
        <f>(D8755-2*F$5)/1000</f>
        <v>0.17</v>
      </c>
      <c r="K8780" t="str">
        <v>+</v>
      </c>
      <c r="L8780">
        <f>IF(D8780=0,2*MAX(6*F8780,75),(D8780-1)*2*MAX(6*F8780,75))/1000</f>
        <v>0.15</v>
      </c>
      <c r="M8780" t="str">
        <v>=</v>
      </c>
      <c r="N8780">
        <f>J8780+L8780</f>
        <v>0.32</v>
      </c>
      <c r="T8780" t="str">
        <v>x</v>
      </c>
      <c r="U8780">
        <f>0.006165*F8780^2</f>
        <v>0</v>
      </c>
      <c r="V8780" t="str">
        <v>x</v>
      </c>
      <c r="W8780">
        <f>W8776</f>
        <v>24</v>
      </c>
      <c r="X8780" t="str">
        <v>x</v>
      </c>
      <c r="Y8780">
        <f>D8764</f>
        <v>0</v>
      </c>
      <c r="Z8780" t="str">
        <v>=</v>
      </c>
      <c r="AA8780">
        <f>N8780*U8780*W8780*Y8780</f>
        <v>0</v>
      </c>
    </row>
    <row r="8784">
      <c r="A8784" t="str">
        <f>A8754</f>
        <v>Lantai Attic</v>
      </c>
      <c r="B8784">
        <f>B8754+1</f>
        <v>29</v>
      </c>
      <c r="C8784" t="str">
        <f>CONCATENATE(A8784," no. ",B8784)</f>
        <v>Lantai Attic no. 29</v>
      </c>
      <c r="D8784" t="str">
        <f>VLOOKUP(C8784,'Data Panjang Balok'!$C$9:$N$424,2,FALSE)</f>
        <v>B24-1</v>
      </c>
    </row>
    <row r="8785">
      <c r="C8785" t="str">
        <v>Dimensi</v>
      </c>
      <c r="D8785">
        <f>VLOOKUP(D8784,'Detail Balok'!$C$10:$AU$110,2,FALSE)</f>
        <v>200</v>
      </c>
      <c r="F8785" t="str">
        <v>x</v>
      </c>
      <c r="G8785">
        <f>VLOOKUP(D8784,'Detail Balok'!$C$10:$AU$110,3,FALSE)</f>
        <v>400</v>
      </c>
    </row>
    <row r="8786">
      <c r="C8786" t="str">
        <v>Panjang as ke as</v>
      </c>
      <c r="D8786">
        <f>VLOOKUP(C8784,'Data Panjang Balok'!$C$9:$N$424,4,FALSE)</f>
        <v>1785</v>
      </c>
    </row>
    <row r="8787">
      <c r="C8787" t="str">
        <v>Panjang netto</v>
      </c>
      <c r="D8787">
        <f>VLOOKUP(C8784,'Data Panjang Balok'!$C$9:$N$424,7,FALSE)</f>
        <v>1785</v>
      </c>
    </row>
    <row r="8788">
      <c r="C8788" t="str">
        <v>Kolom / balok kiri</v>
      </c>
      <c r="D8788">
        <f>VLOOKUP(C8784,'Data Panjang Balok'!$C$9:$N$424,9,FALSE)</f>
        <v>0</v>
      </c>
    </row>
    <row r="8789">
      <c r="C8789" t="str">
        <v>Kolom / balok kanan</v>
      </c>
      <c r="D8789">
        <f>VLOOKUP(C8784,'Data Panjang Balok'!$C$9:$N$424,10,FALSE)</f>
        <v>0</v>
      </c>
    </row>
    <row r="8790">
      <c r="C8790" t="str">
        <v>Jumlah</v>
      </c>
      <c r="D8790">
        <f>VLOOKUP(C8784,'Data Panjang Balok'!$C$9:$N$424,3,FALSE)</f>
        <v>1</v>
      </c>
    </row>
    <row r="8791">
      <c r="A8791" t="str">
        <f>A8784</f>
        <v>Lantai Attic</v>
      </c>
      <c r="B8791">
        <f>B8784</f>
        <v>29</v>
      </c>
      <c r="C8791" t="str">
        <v>Tul Atas Tumpuan</v>
      </c>
      <c r="D8791">
        <f>VLOOKUP(D8784,'Detail Balok'!$C$10:$AU$110,4,FALSE)</f>
        <v>2</v>
      </c>
      <c r="E8791" t="str">
        <v>D</v>
      </c>
      <c r="F8791">
        <f>VLOOKUP(D8784,'Detail Balok'!$C$10:$AU$110,6,FALSE)</f>
        <v>13</v>
      </c>
      <c r="I8791" t="str">
        <v>(</v>
      </c>
      <c r="J8791">
        <f>+D8786/4/1000</f>
        <v>0.44625</v>
      </c>
      <c r="K8791" t="str">
        <v>+</v>
      </c>
      <c r="L8791">
        <f>MAX(VLOOKUP(F8791,N$6:P$15,3,FALSE)/1000,2/3*D8788/1000)+F$16*F8791/1000</f>
        <v>0.156</v>
      </c>
      <c r="M8791" t="str">
        <v>=</v>
      </c>
      <c r="N8791">
        <f>J8791+L8791</f>
        <v>0.60225</v>
      </c>
      <c r="O8791" t="str">
        <v>+</v>
      </c>
      <c r="P8791">
        <f>D8791-D8792</f>
        <v>0</v>
      </c>
      <c r="Q8791" t="str">
        <v>x</v>
      </c>
      <c r="R8791">
        <f>IF(P8791&gt;0,$F$18*F8791/1000,0)</f>
        <v>0</v>
      </c>
      <c r="S8791" t="str">
        <v>)</v>
      </c>
      <c r="T8791" t="str">
        <v>x</v>
      </c>
      <c r="U8791">
        <f>0.006165*F8791^2</f>
        <v>1.041885</v>
      </c>
      <c r="X8791" t="str">
        <v>x</v>
      </c>
      <c r="Y8791">
        <f>D8790</f>
        <v>1</v>
      </c>
      <c r="Z8791" t="str">
        <v>=</v>
      </c>
      <c r="AA8791">
        <f>IF(AA8794=0,(D8791*N8791+P8791*R8791)*U8791*Y8791,0)</f>
        <v>0</v>
      </c>
    </row>
    <row r="8792">
      <c r="A8792" t="str">
        <f>A8784</f>
        <v>Lantai Attic</v>
      </c>
      <c r="B8792">
        <f>B8784</f>
        <v>29</v>
      </c>
      <c r="C8792" t="str">
        <v>Tul Atas Lapangan</v>
      </c>
      <c r="D8792">
        <f>VLOOKUP(D8784,'Detail Balok'!$C$10:$AU$110,7,FALSE)</f>
        <v>2</v>
      </c>
      <c r="E8792" t="str">
        <v>D</v>
      </c>
      <c r="F8792">
        <f>VLOOKUP(D8784,'Detail Balok'!$C$10:$AU$110,9,FALSE)</f>
        <v>13</v>
      </c>
      <c r="I8792" t="str">
        <v>(</v>
      </c>
      <c r="J8792">
        <f>+D8786/2/1000</f>
        <v>0.8925</v>
      </c>
      <c r="K8792" t="str">
        <v>+</v>
      </c>
      <c r="M8792" t="str">
        <v>=</v>
      </c>
      <c r="N8792">
        <f>J8792+L8792</f>
        <v>0.8925</v>
      </c>
      <c r="O8792" t="str">
        <v>+</v>
      </c>
      <c r="P8792">
        <f>MAX(D8792-D8791,D8792-D8793)</f>
        <v>0</v>
      </c>
      <c r="Q8792" t="str">
        <v>x</v>
      </c>
      <c r="R8792">
        <f>IF(P8792&gt;0,2*(1-2*$F$19-1/2)*D8787/1000,0)</f>
        <v>0</v>
      </c>
      <c r="S8792" t="str">
        <v>)</v>
      </c>
      <c r="T8792" t="str">
        <v>x</v>
      </c>
      <c r="U8792">
        <f>0.006165*F8792^2</f>
        <v>1.041885</v>
      </c>
      <c r="X8792" t="str">
        <v>x</v>
      </c>
      <c r="Y8792">
        <f>D8790</f>
        <v>1</v>
      </c>
      <c r="Z8792" t="str">
        <v>=</v>
      </c>
      <c r="AA8792">
        <f>IF(AA8794=0,(D8792*N8792+P8792*R8792)*U8792*Y8792,0)</f>
        <v>0</v>
      </c>
    </row>
    <row r="8793">
      <c r="A8793" t="str">
        <f>A8784</f>
        <v>Lantai Attic</v>
      </c>
      <c r="B8793">
        <f>B8784</f>
        <v>29</v>
      </c>
      <c r="C8793" t="str">
        <v>Tul Atas Tumpuan</v>
      </c>
      <c r="D8793">
        <f>VLOOKUP(D8784,'Detail Balok'!$C$10:$AU$110,10,FALSE)</f>
        <v>2</v>
      </c>
      <c r="E8793" t="str">
        <v>D</v>
      </c>
      <c r="F8793">
        <f>VLOOKUP(D8784,'Detail Balok'!$C$10:$AU$110,12,FALSE)</f>
        <v>13</v>
      </c>
      <c r="I8793" t="str">
        <v>(</v>
      </c>
      <c r="J8793">
        <f>+D8786/4/1000</f>
        <v>0.44625</v>
      </c>
      <c r="K8793" t="str">
        <v>+</v>
      </c>
      <c r="L8793">
        <f>MAX(VLOOKUP(F8793,N$6:P$15,3,FALSE)/1000,2/3*D8788/1000)+F$16*F8793/1000</f>
        <v>0.156</v>
      </c>
      <c r="M8793" t="str">
        <v>=</v>
      </c>
      <c r="N8793">
        <f>J8793+L8793</f>
        <v>0.60225</v>
      </c>
      <c r="O8793" t="str">
        <v>+</v>
      </c>
      <c r="P8793">
        <f>D8793-D8792</f>
        <v>0</v>
      </c>
      <c r="Q8793" t="str">
        <v>x</v>
      </c>
      <c r="R8793">
        <f>IF(P8793&gt;0,$F$18*F8793/1000,0)</f>
        <v>0</v>
      </c>
      <c r="S8793" t="str">
        <v>)</v>
      </c>
      <c r="T8793" t="str">
        <v>x</v>
      </c>
      <c r="U8793">
        <f>0.006165*F8793^2</f>
        <v>1.041885</v>
      </c>
      <c r="X8793" t="str">
        <v>x</v>
      </c>
      <c r="Y8793">
        <f>D8790</f>
        <v>1</v>
      </c>
      <c r="Z8793" t="str">
        <v>=</v>
      </c>
      <c r="AA8793">
        <f>IF(AA8794=0,(D8793*N8793+P8793*R8793)*U8793*Y8793,0)</f>
        <v>0</v>
      </c>
    </row>
    <row r="8794">
      <c r="A8794" t="str">
        <f>A8784</f>
        <v>Lantai Attic</v>
      </c>
      <c r="B8794">
        <f>B8784</f>
        <v>29</v>
      </c>
      <c r="D8794">
        <f>IF(AND(D8791=D8792,D8792=D8793,D8791=D8793),D8791,0)</f>
        <v>2</v>
      </c>
      <c r="E8794" t="str">
        <v>D</v>
      </c>
      <c r="F8794">
        <f>IF(AND(F8791=F8792,F8791=F8793,F8792=F8793),F8791,0)</f>
        <v>13</v>
      </c>
      <c r="L8794" t="str">
        <v>Total panjang per balok</v>
      </c>
      <c r="M8794" t="str">
        <v>=</v>
      </c>
      <c r="N8794">
        <f>IF(AND(D8791=D8792,D8791=D8793,D8792=D8793,F8791=F8792,F8791=F8793,F8792=F8793),SUM(N8791:N8793),0)</f>
        <v>2.0969999999999995</v>
      </c>
      <c r="O8794" t="str">
        <v>+</v>
      </c>
      <c r="P8794">
        <f>IF(N8794&gt;12,ROUNDDOWN(N8794/12,0),0)</f>
        <v>0</v>
      </c>
      <c r="Q8794" t="str">
        <v>x</v>
      </c>
      <c r="R8794">
        <f>IF(P8794&gt;0,MAX(VLOOKUP(F8794,$D$6:$G$15,3,FALSE),600),0)/1000</f>
        <v>0</v>
      </c>
      <c r="T8794" t="str">
        <v>x</v>
      </c>
      <c r="U8794">
        <f>U8793</f>
        <v>1.041885</v>
      </c>
      <c r="V8794" t="str">
        <v>x</v>
      </c>
      <c r="W8794">
        <f>D8794</f>
        <v>2</v>
      </c>
      <c r="X8794" t="str">
        <v>x</v>
      </c>
      <c r="Y8794">
        <f>Y8793</f>
        <v>1</v>
      </c>
      <c r="Z8794" t="str">
        <v>=</v>
      </c>
      <c r="AA8794">
        <f>(N8794+P8794*R8794/1000)*U8794*W8794*Y8794</f>
        <v>4.369665689999999</v>
      </c>
    </row>
    <row r="8796">
      <c r="A8796" t="str">
        <f>A8784</f>
        <v>Lantai Attic</v>
      </c>
      <c r="B8796">
        <f>B8784</f>
        <v>29</v>
      </c>
      <c r="C8796" t="str">
        <v>Tul Peminggang</v>
      </c>
      <c r="D8796">
        <f>VLOOKUP(D8784,'Detail Balok'!$C$10:$AU$110,13,FALSE)</f>
        <v>0</v>
      </c>
      <c r="E8796" t="str">
        <v>D</v>
      </c>
      <c r="F8796">
        <f>VLOOKUP(D8784,'Detail Balok'!$C$10:$AU$110,15,FALSE)</f>
        <v>6</v>
      </c>
      <c r="J8796">
        <f>+D8786/1000</f>
        <v>1.785</v>
      </c>
      <c r="K8796" t="str">
        <v>+</v>
      </c>
      <c r="L8796">
        <f>2*$F$16*F8796/1000</f>
        <v>0.144</v>
      </c>
      <c r="M8796" t="str">
        <v>=</v>
      </c>
      <c r="N8796">
        <f>J8796+L8796</f>
        <v>1.9289999999999998</v>
      </c>
      <c r="O8796" t="str">
        <v>+</v>
      </c>
      <c r="P8796">
        <f>IF(N8796&gt;12,ROUNDDOWN(N8796/12,0),0)</f>
        <v>0</v>
      </c>
      <c r="Q8796" t="str">
        <v>x</v>
      </c>
      <c r="R8796">
        <f>IF(P8796&gt;0,MAX(VLOOKUP(F8796,$D$6:$G$15,3,FALSE),600),0)/1000</f>
        <v>0</v>
      </c>
      <c r="T8796" t="str">
        <v>x</v>
      </c>
      <c r="U8796">
        <f>0.006165*F8796^2</f>
        <v>0.22194000000000003</v>
      </c>
      <c r="V8796" t="str">
        <v>x</v>
      </c>
      <c r="W8796">
        <f>+D8796</f>
        <v>0</v>
      </c>
      <c r="X8796" t="str">
        <v>x</v>
      </c>
      <c r="Y8796">
        <f>D8790</f>
        <v>1</v>
      </c>
      <c r="Z8796" t="str">
        <v>=</v>
      </c>
      <c r="AA8796">
        <f>(N8796+P8796*R8796/1000)*U8796*W8796*Y8796</f>
        <v>0</v>
      </c>
    </row>
    <row r="8799">
      <c r="A8799" t="str">
        <f>A8784</f>
        <v>Lantai Attic</v>
      </c>
      <c r="B8799">
        <f>B8784</f>
        <v>29</v>
      </c>
      <c r="C8799" t="str">
        <v>Tul Bawah Tumpuan</v>
      </c>
      <c r="D8799">
        <f>VLOOKUP(D8784,'Detail Balok'!$C$10:$AU$110,22,FALSE)</f>
        <v>2</v>
      </c>
      <c r="E8799" t="str">
        <v>D</v>
      </c>
      <c r="F8799">
        <f>VLOOKUP(D8784,'Detail Balok'!$C$10:$AU$110,24,FALSE)</f>
        <v>13</v>
      </c>
      <c r="I8799" t="str">
        <v>(</v>
      </c>
      <c r="J8799">
        <f>+J8791</f>
        <v>0.44625</v>
      </c>
      <c r="K8799" t="str">
        <v>+</v>
      </c>
      <c r="L8799">
        <f>MAX(VLOOKUP(F8799,N$6:P$15,3,FALSE)/1000,2/3*D8789/1000)+F$16*F8799/1000</f>
        <v>0.156</v>
      </c>
      <c r="M8799" t="str">
        <v>=</v>
      </c>
      <c r="N8799">
        <f>J8799+L8799</f>
        <v>0.60225</v>
      </c>
      <c r="O8799" t="str">
        <v>+</v>
      </c>
      <c r="P8799">
        <f>D8799-D8800</f>
        <v>0</v>
      </c>
      <c r="Q8799" t="str">
        <v>x</v>
      </c>
      <c r="R8799">
        <f>IF(P8799&gt;0,$F$18*F8799/1000,0)</f>
        <v>0</v>
      </c>
      <c r="S8799" t="str">
        <v>)</v>
      </c>
      <c r="T8799" t="str">
        <v>x</v>
      </c>
      <c r="U8799">
        <f>0.006165*F8799^2</f>
        <v>1.041885</v>
      </c>
      <c r="X8799" t="str">
        <v>x</v>
      </c>
      <c r="Y8799">
        <f>D8790</f>
        <v>1</v>
      </c>
      <c r="Z8799" t="str">
        <v>=</v>
      </c>
      <c r="AA8799">
        <f>IF(AA8802=0,(D8799*N8799+P8799*R8799)*U8799*Y8799,0)</f>
        <v>0</v>
      </c>
    </row>
    <row r="8800">
      <c r="A8800" t="str">
        <f>A8784</f>
        <v>Lantai Attic</v>
      </c>
      <c r="B8800">
        <f>B8784</f>
        <v>29</v>
      </c>
      <c r="C8800" t="str">
        <v>Tul Bawah Lapangan</v>
      </c>
      <c r="D8800">
        <f>VLOOKUP(D8784,'Detail Balok'!$C$10:$AU$110,25,FALSE)</f>
        <v>2</v>
      </c>
      <c r="E8800" t="str">
        <v>D</v>
      </c>
      <c r="F8800">
        <f>VLOOKUP(D8784,'Detail Balok'!$C$10:$AU$110,27,FALSE)</f>
        <v>13</v>
      </c>
      <c r="I8800" t="str">
        <v>(</v>
      </c>
      <c r="J8800">
        <f>+J8792</f>
        <v>0.8925</v>
      </c>
      <c r="K8800" t="str">
        <v>+</v>
      </c>
      <c r="M8800" t="str">
        <v>=</v>
      </c>
      <c r="N8800">
        <f>J8800+L8800</f>
        <v>0.8925</v>
      </c>
      <c r="O8800" t="str">
        <v>+</v>
      </c>
      <c r="P8800">
        <f>MAX(D8800-D8799,D8800-D8801)</f>
        <v>0</v>
      </c>
      <c r="Q8800" t="str">
        <v>x</v>
      </c>
      <c r="R8800">
        <f>IF(P8800&gt;0,2*(1-2*$F$19-1/2)*D8787/1000,0)</f>
        <v>0</v>
      </c>
      <c r="S8800" t="str">
        <v>)</v>
      </c>
      <c r="T8800" t="str">
        <v>x</v>
      </c>
      <c r="U8800">
        <f>0.006165*F8800^2</f>
        <v>1.041885</v>
      </c>
      <c r="X8800" t="str">
        <v>x</v>
      </c>
      <c r="Y8800">
        <f>D8790</f>
        <v>1</v>
      </c>
      <c r="Z8800" t="str">
        <v>=</v>
      </c>
      <c r="AA8800">
        <f>IF(AA8802=0,(D8800*N8800+P8800*R8800)*U8800*Y8800,0)</f>
        <v>0</v>
      </c>
    </row>
    <row r="8801">
      <c r="A8801" t="str">
        <f>A8784</f>
        <v>Lantai Attic</v>
      </c>
      <c r="B8801">
        <f>B8784</f>
        <v>29</v>
      </c>
      <c r="C8801" t="str">
        <v>Tul Bawah Tumpuan</v>
      </c>
      <c r="D8801">
        <f>VLOOKUP(D8784,'Detail Balok'!$C$10:$AU$110,28,FALSE)</f>
        <v>2</v>
      </c>
      <c r="E8801" t="str">
        <v>D</v>
      </c>
      <c r="F8801">
        <f>VLOOKUP(D8784,'Detail Balok'!$C$10:$AU$110,30,FALSE)</f>
        <v>13</v>
      </c>
      <c r="I8801" t="str">
        <v>(</v>
      </c>
      <c r="J8801">
        <f>+J8793</f>
        <v>0.44625</v>
      </c>
      <c r="K8801" t="str">
        <v>+</v>
      </c>
      <c r="L8801">
        <f>MAX(VLOOKUP(F8801,N$6:P$15,3,FALSE)/1000,2/3*D8789/1000)+F$16*F8801/1000</f>
        <v>0.156</v>
      </c>
      <c r="M8801" t="str">
        <v>=</v>
      </c>
      <c r="N8801">
        <f>J8801+L8801</f>
        <v>0.60225</v>
      </c>
      <c r="O8801" t="str">
        <v>+</v>
      </c>
      <c r="P8801">
        <f>D8801-D8800</f>
        <v>0</v>
      </c>
      <c r="Q8801" t="str">
        <v>x</v>
      </c>
      <c r="R8801">
        <f>IF(P8801&gt;0,$F$18*F8801/1000,0)</f>
        <v>0</v>
      </c>
      <c r="S8801" t="str">
        <v>)</v>
      </c>
      <c r="T8801" t="str">
        <v>x</v>
      </c>
      <c r="U8801">
        <f>0.006165*F8801^2</f>
        <v>1.041885</v>
      </c>
      <c r="X8801" t="str">
        <v>x</v>
      </c>
      <c r="Y8801">
        <f>D8790</f>
        <v>1</v>
      </c>
      <c r="Z8801" t="str">
        <v>=</v>
      </c>
      <c r="AA8801">
        <f>IF(AA8802=0,(D8801*N8801+P8801*R8801)*U8801*Y8801,0)</f>
        <v>0</v>
      </c>
    </row>
    <row r="8802">
      <c r="A8802" t="str">
        <f>A8784</f>
        <v>Lantai Attic</v>
      </c>
      <c r="B8802">
        <f>B8784</f>
        <v>29</v>
      </c>
      <c r="D8802">
        <f>IF(AND(D8799=D8800,D8800=D8801,D8799=D8801),D8799,0)</f>
        <v>2</v>
      </c>
      <c r="E8802" t="str">
        <v>D</v>
      </c>
      <c r="F8802">
        <f>IF(AND(F8799=F8800,F8799=F8801,F8800=F8801),F8799,0)</f>
        <v>13</v>
      </c>
      <c r="L8802" t="str">
        <v>Total panjang per balok</v>
      </c>
      <c r="M8802" t="str">
        <v>=</v>
      </c>
      <c r="N8802">
        <f>IF(AND(D8799=D8800,D8799=D8801,D8800=D8801,F8799=F8800,F8799=F8801,F8800=F8801),SUM(N8799:N8801),0)</f>
        <v>2.0969999999999995</v>
      </c>
      <c r="O8802" t="str">
        <v>+</v>
      </c>
      <c r="P8802">
        <f>IF(N8802&gt;12,ROUNDDOWN(N8802/12,0),0)</f>
        <v>0</v>
      </c>
      <c r="Q8802" t="str">
        <v>x</v>
      </c>
      <c r="R8802">
        <f>IF(P8802&gt;0,MAX(VLOOKUP(F8802,$D$6:$G$15,3,FALSE),600),0)/1000</f>
        <v>0</v>
      </c>
      <c r="T8802" t="str">
        <v>x</v>
      </c>
      <c r="U8802">
        <f>U8801</f>
        <v>1.041885</v>
      </c>
      <c r="V8802" t="str">
        <v>x</v>
      </c>
      <c r="W8802">
        <f>D8802</f>
        <v>2</v>
      </c>
      <c r="X8802" t="str">
        <v>x</v>
      </c>
      <c r="Y8802">
        <f>Y8801</f>
        <v>1</v>
      </c>
      <c r="Z8802" t="str">
        <v>=</v>
      </c>
      <c r="AA8802">
        <f>(N8802+P8802*R8802/1000)*U8802*W8802*Y8802</f>
        <v>4.369665689999999</v>
      </c>
    </row>
    <row r="8804">
      <c r="A8804" t="str">
        <f>A8784</f>
        <v>Lantai Attic</v>
      </c>
      <c r="B8804">
        <f>B8784</f>
        <v>29</v>
      </c>
      <c r="C8804" t="str">
        <v>Sengkang Tumpuan</v>
      </c>
      <c r="D8804">
        <f>VLOOKUP(D8784,'Detail Balok'!$C$10:$AU$110,31,FALSE)</f>
        <v>0</v>
      </c>
      <c r="E8804" t="str">
        <v>D</v>
      </c>
      <c r="F8804">
        <f>VLOOKUP(D8784,'Detail Balok'!$C$10:$AU$110,33,FALSE)</f>
        <v>8</v>
      </c>
      <c r="G8804" t="str">
        <v>-</v>
      </c>
      <c r="H8804">
        <f>VLOOKUP(D8784,'Detail Balok'!$C$10:$AU$110,35,FALSE)</f>
        <v>100</v>
      </c>
      <c r="J8804">
        <f>(IF(D8804=0,(2*(D8785+G8785))-(F$5*8),IF(D8804=3,(2*(D8785+G8785))-(F$5*8)+(G8785-2*F$5),IF(D8804=4,(2*(D8785+G8785))-(F$5*8)+2*(G8785-2*F$5)))))/1000</f>
        <v>0.88</v>
      </c>
      <c r="K8804" t="str">
        <v>+</v>
      </c>
      <c r="L8804">
        <f>IF(D8804=0,2*MAX(6*F8804,75),(D8804-1)*2*MAX(6*F8804,75))/1000</f>
        <v>0.15</v>
      </c>
      <c r="M8804" t="str">
        <v>=</v>
      </c>
      <c r="N8804">
        <f>J8804+L8804</f>
        <v>1.03</v>
      </c>
      <c r="T8804" t="str">
        <v>x</v>
      </c>
      <c r="U8804">
        <f>0.006165*F8804^2</f>
        <v>0.39456</v>
      </c>
      <c r="V8804" t="str">
        <v>x</v>
      </c>
      <c r="W8804">
        <f>IF(D8787&gt;4*G8785,ROUND(MAX(D8787/4,2*G8785)/H8804,0)+1,ROUND(D8787/H8804,0)+1)</f>
        <v>9</v>
      </c>
      <c r="X8804" t="str">
        <v>x</v>
      </c>
      <c r="Y8804">
        <f>D8790</f>
        <v>1</v>
      </c>
      <c r="Z8804" t="str">
        <v>=</v>
      </c>
      <c r="AA8804">
        <f>N8804*U8804*W8804*Y8804</f>
        <v>3.6575712000000005</v>
      </c>
    </row>
    <row r="8805">
      <c r="A8805" t="str">
        <f>A8784</f>
        <v>Lantai Attic</v>
      </c>
      <c r="B8805">
        <f>B8784</f>
        <v>29</v>
      </c>
      <c r="C8805" t="str">
        <v>Sengkang Lapangan</v>
      </c>
      <c r="D8805">
        <f>VLOOKUP(D8784,'Detail Balok'!$C$10:$AU$110,36,FALSE)</f>
        <v>0</v>
      </c>
      <c r="E8805" t="str">
        <v>D</v>
      </c>
      <c r="F8805">
        <f>VLOOKUP(D8784,'Detail Balok'!$C$10:$AU$110,38,FALSE)</f>
        <v>8</v>
      </c>
      <c r="G8805" t="str">
        <v>-</v>
      </c>
      <c r="H8805">
        <f>VLOOKUP(D8784,'Detail Balok'!$C$10:$AU$110,40,FALSE)</f>
        <v>200</v>
      </c>
      <c r="J8805">
        <f>(IF(D8805=0,(2*(D8785+G8785))-(F$5*8),IF(D8805=3,(2*(D8785+G8785))-(F$5*8)+(G8785-2*F$5),IF(D8805=4,(2*(D8785+G8785))-(F$5*8)+2*(G8785-2*F$5)))))/1000</f>
        <v>0.88</v>
      </c>
      <c r="K8805" t="str">
        <v>+</v>
      </c>
      <c r="L8805">
        <f>IF(D8805=0,2*MAX(6*F8805,75),(D8805-1)*2*MAX(6*F8805,75))/1000</f>
        <v>0.15</v>
      </c>
      <c r="M8805" t="str">
        <v>=</v>
      </c>
      <c r="N8805">
        <f>J8805+L8805</f>
        <v>1.03</v>
      </c>
      <c r="T8805" t="str">
        <v>x</v>
      </c>
      <c r="U8805">
        <f>0.006165*F8805^2</f>
        <v>0.39456</v>
      </c>
      <c r="V8805" t="str">
        <v>x</v>
      </c>
      <c r="W8805">
        <f>IF(D8787-MAX(D8787/4,2*G8785)*2&gt;0,ROUND((D8787-MAX(D8787/4,2*G8785)*2)/H8805,0),0)</f>
        <v>1</v>
      </c>
      <c r="X8805" t="str">
        <v>x</v>
      </c>
      <c r="Y8805">
        <f>D8790</f>
        <v>1</v>
      </c>
      <c r="Z8805" t="str">
        <v>=</v>
      </c>
      <c r="AA8805">
        <f>N8805*U8805*W8805*Y8805</f>
        <v>0.40639680000000006</v>
      </c>
    </row>
    <row r="8806">
      <c r="A8806" t="str">
        <f>A8784</f>
        <v>Lantai Attic</v>
      </c>
      <c r="B8806">
        <f>B8784</f>
        <v>29</v>
      </c>
      <c r="C8806" t="str">
        <v>Sengkang Tumpuan</v>
      </c>
      <c r="D8806">
        <f>VLOOKUP(D8784,'Detail Balok'!$C$10:$AU$110,41,FALSE)</f>
        <v>0</v>
      </c>
      <c r="E8806" t="str">
        <v>D</v>
      </c>
      <c r="F8806">
        <f>VLOOKUP(D8784,'Detail Balok'!$C$10:$AU$110,43,FALSE)</f>
        <v>8</v>
      </c>
      <c r="G8806" t="str">
        <v>-</v>
      </c>
      <c r="H8806">
        <f>VLOOKUP(D8784,'Detail Balok'!$C$10:$AU$110,45,FALSE)</f>
        <v>100</v>
      </c>
      <c r="J8806">
        <f>(IF(D8806=0,(2*(D8785+G8785))-(F$5*8),IF(D8806=3,(2*(D8785+G8785))-(F$5*8)+(G8785-2*F$5),IF(D8806=4,(2*(D8785+G8785))-(F$5*8)+2*(G8785-2*F$5)))))/1000</f>
        <v>0.88</v>
      </c>
      <c r="K8806" t="str">
        <v>+</v>
      </c>
      <c r="L8806">
        <f>IF(D8806=0,2*MAX(6*F8806,75),(D8806-1)*2*MAX(6*F8806,75))/1000</f>
        <v>0.15</v>
      </c>
      <c r="M8806" t="str">
        <v>=</v>
      </c>
      <c r="N8806">
        <f>J8806+L8806</f>
        <v>1.03</v>
      </c>
      <c r="T8806" t="str">
        <v>x</v>
      </c>
      <c r="U8806">
        <f>0.006165*F8806^2</f>
        <v>0.39456</v>
      </c>
      <c r="V8806" t="str">
        <v>x</v>
      </c>
      <c r="W8806">
        <f>IF(D8787&gt;4*G8785,ROUND(MAX(D8787/4,2*G8785)/H8806,0)+1,0)</f>
        <v>9</v>
      </c>
      <c r="X8806" t="str">
        <v>x</v>
      </c>
      <c r="Y8806">
        <f>D8790</f>
        <v>1</v>
      </c>
      <c r="Z8806" t="str">
        <v>=</v>
      </c>
      <c r="AA8806">
        <f>N8806*U8806*W8806*Y8806</f>
        <v>3.6575712000000005</v>
      </c>
    </row>
    <row r="8808">
      <c r="A8808" t="str">
        <f>A8784</f>
        <v>Lantai Attic</v>
      </c>
      <c r="B8808">
        <f>B8784</f>
        <v>29</v>
      </c>
      <c r="C8808" t="str">
        <v>Kait Horizontal Tump.</v>
      </c>
      <c r="D8808">
        <f>VLOOKUP(D8784,'Detail Balok'!$C$10:$BJ$110,46,FALSE)</f>
        <v>0</v>
      </c>
      <c r="E8808" t="str">
        <v>D</v>
      </c>
      <c r="F8808">
        <f>VLOOKUP(D8784,'Detail Balok'!$C$10:$BJ$110,48,FALSE)</f>
        <v>0</v>
      </c>
      <c r="G8808" t="str">
        <v>-</v>
      </c>
      <c r="H8808">
        <f>VLOOKUP(D8784,'Detail Balok'!$C$10:$BJ$110,50,FALSE)</f>
        <v>100</v>
      </c>
      <c r="J8808">
        <f>(D8785-2*F$5)/1000</f>
        <v>0.12</v>
      </c>
      <c r="K8808" t="str">
        <v>+</v>
      </c>
      <c r="L8808">
        <f>IF(D8808=0,2*MAX(6*F8808,75),(D8808-1)*2*MAX(6*F8808,75))/1000</f>
        <v>0.15</v>
      </c>
      <c r="M8808" t="str">
        <v>=</v>
      </c>
      <c r="N8808">
        <f>J8808+L8808</f>
        <v>0.27</v>
      </c>
      <c r="T8808" t="str">
        <v>x</v>
      </c>
      <c r="U8808">
        <f>0.006165*F8808^2</f>
        <v>0</v>
      </c>
      <c r="V8808" t="str">
        <v>x</v>
      </c>
      <c r="W8808">
        <f>W8804</f>
        <v>9</v>
      </c>
      <c r="X8808" t="str">
        <v>x</v>
      </c>
      <c r="Y8808">
        <f>D8794</f>
        <v>2</v>
      </c>
      <c r="Z8808" t="str">
        <v>=</v>
      </c>
      <c r="AA8808">
        <f>N8808*U8808*W8808*Y8808</f>
        <v>0</v>
      </c>
    </row>
    <row r="8809">
      <c r="A8809" t="str">
        <f>A8784</f>
        <v>Lantai Attic</v>
      </c>
      <c r="B8809">
        <f>B8784</f>
        <v>29</v>
      </c>
      <c r="C8809" t="str">
        <v>Kait Horizontal Lap.</v>
      </c>
      <c r="D8809">
        <f>VLOOKUP(D8784,'Detail Balok'!$C$10:$BJ$110,51,FALSE)</f>
        <v>0</v>
      </c>
      <c r="E8809" t="str">
        <v>D</v>
      </c>
      <c r="F8809">
        <f>VLOOKUP(D8784,'Detail Balok'!$C$10:$BJ$110,53,FALSE)</f>
        <v>0</v>
      </c>
      <c r="G8809" t="str">
        <v>-</v>
      </c>
      <c r="H8809">
        <f>VLOOKUP(D8784,'Detail Balok'!$C$10:$BJ$110,55,FALSE)</f>
        <v>100</v>
      </c>
      <c r="J8809">
        <f>(D8785-2*F$5)/1000</f>
        <v>0.12</v>
      </c>
      <c r="K8809" t="str">
        <v>+</v>
      </c>
      <c r="L8809">
        <f>IF(D8809=0,2*MAX(6*F8809,75),(D8809-1)*2*MAX(6*F8809,75))/1000</f>
        <v>0.15</v>
      </c>
      <c r="M8809" t="str">
        <v>=</v>
      </c>
      <c r="N8809">
        <f>J8809+L8809</f>
        <v>0.27</v>
      </c>
      <c r="T8809" t="str">
        <v>x</v>
      </c>
      <c r="U8809">
        <f>0.006165*F8809^2</f>
        <v>0</v>
      </c>
      <c r="V8809" t="str">
        <v>x</v>
      </c>
      <c r="W8809">
        <f>W8805</f>
        <v>1</v>
      </c>
      <c r="X8809" t="str">
        <v>x</v>
      </c>
      <c r="Y8809">
        <f>D8794</f>
        <v>2</v>
      </c>
      <c r="Z8809" t="str">
        <v>=</v>
      </c>
      <c r="AA8809">
        <f>N8809*U8809*W8809*Y8809</f>
        <v>0</v>
      </c>
    </row>
    <row r="8810">
      <c r="A8810" t="str">
        <f>A8784</f>
        <v>Lantai Attic</v>
      </c>
      <c r="B8810">
        <f>B8784</f>
        <v>29</v>
      </c>
      <c r="C8810" t="str">
        <v>Kait Horizontal Tump.</v>
      </c>
      <c r="D8810">
        <f>VLOOKUP(D8784,'Detail Balok'!$C$10:$BJ$110,56,FALSE)</f>
        <v>0</v>
      </c>
      <c r="E8810" t="str">
        <v>D</v>
      </c>
      <c r="F8810">
        <f>VLOOKUP(D8784,'Detail Balok'!$C$10:$BJ$110,58,FALSE)</f>
        <v>0</v>
      </c>
      <c r="G8810" t="str">
        <v>-</v>
      </c>
      <c r="H8810">
        <f>VLOOKUP(D8784,'Detail Balok'!$C$10:$BJ$110,60,FALSE)</f>
        <v>100</v>
      </c>
      <c r="J8810">
        <f>(D8785-2*F$5)/1000</f>
        <v>0.12</v>
      </c>
      <c r="K8810" t="str">
        <v>+</v>
      </c>
      <c r="L8810">
        <f>IF(D8810=0,2*MAX(6*F8810,75),(D8810-1)*2*MAX(6*F8810,75))/1000</f>
        <v>0.15</v>
      </c>
      <c r="M8810" t="str">
        <v>=</v>
      </c>
      <c r="N8810">
        <f>J8810+L8810</f>
        <v>0.27</v>
      </c>
      <c r="T8810" t="str">
        <v>x</v>
      </c>
      <c r="U8810">
        <f>0.006165*F8810^2</f>
        <v>0</v>
      </c>
      <c r="V8810" t="str">
        <v>x</v>
      </c>
      <c r="W8810">
        <f>W8806</f>
        <v>9</v>
      </c>
      <c r="X8810" t="str">
        <v>x</v>
      </c>
      <c r="Y8810">
        <f>D8794</f>
        <v>2</v>
      </c>
      <c r="Z8810" t="str">
        <v>=</v>
      </c>
      <c r="AA8810">
        <f>N8810*U8810*W8810*Y8810</f>
        <v>0</v>
      </c>
    </row>
    <row r="8814">
      <c r="A8814" t="str">
        <f>A8784</f>
        <v>Lantai Attic</v>
      </c>
      <c r="B8814">
        <f>B8784+1</f>
        <v>30</v>
      </c>
      <c r="C8814" t="str">
        <f>CONCATENATE(A8814," no. ",B8814)</f>
        <v>Lantai Attic no. 30</v>
      </c>
      <c r="D8814" t="str">
        <f>VLOOKUP(C8814,'Data Panjang Balok'!$C$9:$N$424,2,FALSE)</f>
        <v>B37-1</v>
      </c>
    </row>
    <row r="8815">
      <c r="C8815" t="str">
        <v>Dimensi</v>
      </c>
      <c r="D8815">
        <f>VLOOKUP(D8814,'Detail Balok'!$C$10:$AU$110,2,FALSE)</f>
        <v>300</v>
      </c>
      <c r="F8815" t="str">
        <v>x</v>
      </c>
      <c r="G8815">
        <f>VLOOKUP(D8814,'Detail Balok'!$C$10:$AU$110,3,FALSE)</f>
        <v>700</v>
      </c>
    </row>
    <row r="8816">
      <c r="C8816" t="str">
        <v>Panjang as ke as</v>
      </c>
      <c r="D8816">
        <f>VLOOKUP(C8814,'Data Panjang Balok'!$C$9:$N$424,4,FALSE)</f>
        <v>8415</v>
      </c>
    </row>
    <row r="8817">
      <c r="C8817" t="str">
        <v>Panjang netto</v>
      </c>
      <c r="D8817">
        <f>VLOOKUP(C8814,'Data Panjang Balok'!$C$9:$N$424,7,FALSE)</f>
        <v>8415</v>
      </c>
    </row>
    <row r="8818">
      <c r="C8818" t="str">
        <v>Kolom / balok kiri</v>
      </c>
      <c r="D8818">
        <f>VLOOKUP(C8814,'Data Panjang Balok'!$C$9:$N$424,9,FALSE)</f>
        <v>0</v>
      </c>
    </row>
    <row r="8819">
      <c r="C8819" t="str">
        <v>Kolom / balok kanan</v>
      </c>
      <c r="D8819">
        <f>VLOOKUP(C8814,'Data Panjang Balok'!$C$9:$N$424,10,FALSE)</f>
        <v>0</v>
      </c>
    </row>
    <row r="8820">
      <c r="C8820" t="str">
        <v>Jumlah</v>
      </c>
      <c r="D8820">
        <f>VLOOKUP(C8814,'Data Panjang Balok'!$C$9:$N$424,3,FALSE)</f>
        <v>1</v>
      </c>
    </row>
    <row r="8821">
      <c r="A8821" t="str">
        <f>A8814</f>
        <v>Lantai Attic</v>
      </c>
      <c r="B8821">
        <f>B8814</f>
        <v>30</v>
      </c>
      <c r="C8821" t="str">
        <v>Tul Atas Tumpuan</v>
      </c>
      <c r="D8821">
        <f>VLOOKUP(D8814,'Detail Balok'!$C$10:$AU$110,4,FALSE)</f>
        <v>7</v>
      </c>
      <c r="E8821" t="str">
        <v>D</v>
      </c>
      <c r="F8821">
        <f>VLOOKUP(D8814,'Detail Balok'!$C$10:$AU$110,6,FALSE)</f>
        <v>22</v>
      </c>
      <c r="I8821" t="str">
        <v>(</v>
      </c>
      <c r="J8821">
        <f>+D8816/4/1000</f>
        <v>2.10375</v>
      </c>
      <c r="K8821" t="str">
        <v>+</v>
      </c>
      <c r="L8821">
        <f>MAX(VLOOKUP(F8821,N$6:P$15,3,FALSE)/1000,2/3*D8818/1000)+F$16*F8821/1000</f>
        <v>0.264</v>
      </c>
      <c r="M8821" t="str">
        <v>=</v>
      </c>
      <c r="N8821">
        <f>J8821+L8821</f>
        <v>2.36775</v>
      </c>
      <c r="O8821" t="str">
        <v>+</v>
      </c>
      <c r="P8821">
        <f>D8821-D8822</f>
        <v>5</v>
      </c>
      <c r="Q8821" t="str">
        <v>x</v>
      </c>
      <c r="R8821">
        <f>IF(P8821&gt;0,$F$18*F8821/1000,0)</f>
        <v>0.33</v>
      </c>
      <c r="S8821" t="str">
        <v>)</v>
      </c>
      <c r="T8821" t="str">
        <v>x</v>
      </c>
      <c r="U8821">
        <f>0.006165*F8821^2</f>
        <v>2.98386</v>
      </c>
      <c r="X8821" t="str">
        <v>x</v>
      </c>
      <c r="Y8821">
        <f>D8820</f>
        <v>1</v>
      </c>
      <c r="Z8821" t="str">
        <v>=</v>
      </c>
      <c r="AA8821">
        <f>IF(AA8824=0,(D8821*N8821+P8821*R8821)*U8821*Y8821,0)</f>
        <v>54.37861060499999</v>
      </c>
    </row>
    <row r="8822">
      <c r="A8822" t="str">
        <f>A8814</f>
        <v>Lantai Attic</v>
      </c>
      <c r="B8822">
        <f>B8814</f>
        <v>30</v>
      </c>
      <c r="C8822" t="str">
        <v>Tul Atas Lapangan</v>
      </c>
      <c r="D8822">
        <f>VLOOKUP(D8814,'Detail Balok'!$C$10:$AU$110,7,FALSE)</f>
        <v>2</v>
      </c>
      <c r="E8822" t="str">
        <v>D</v>
      </c>
      <c r="F8822">
        <f>VLOOKUP(D8814,'Detail Balok'!$C$10:$AU$110,9,FALSE)</f>
        <v>22</v>
      </c>
      <c r="I8822" t="str">
        <v>(</v>
      </c>
      <c r="J8822">
        <f>+D8816/2/1000</f>
        <v>4.2075</v>
      </c>
      <c r="K8822" t="str">
        <v>+</v>
      </c>
      <c r="M8822" t="str">
        <v>=</v>
      </c>
      <c r="N8822">
        <f>J8822+L8822</f>
        <v>4.2075</v>
      </c>
      <c r="O8822" t="str">
        <v>+</v>
      </c>
      <c r="P8822">
        <f>MAX(D8822-D8821,D8822-D8823)</f>
        <v>-5</v>
      </c>
      <c r="Q8822" t="str">
        <v>x</v>
      </c>
      <c r="R8822">
        <f>IF(P8822&gt;0,2*(1-2*$F$19-1/2)*D8817/1000,0)</f>
        <v>0</v>
      </c>
      <c r="S8822" t="str">
        <v>)</v>
      </c>
      <c r="T8822" t="str">
        <v>x</v>
      </c>
      <c r="U8822">
        <f>0.006165*F8822^2</f>
        <v>2.98386</v>
      </c>
      <c r="X8822" t="str">
        <v>x</v>
      </c>
      <c r="Y8822">
        <f>D8820</f>
        <v>1</v>
      </c>
      <c r="Z8822" t="str">
        <v>=</v>
      </c>
      <c r="AA8822">
        <f>IF(AA8824=0,(D8822*N8822+P8822*R8822)*U8822*Y8822,0)</f>
        <v>25.109181899999996</v>
      </c>
    </row>
    <row r="8823">
      <c r="A8823" t="str">
        <f>A8814</f>
        <v>Lantai Attic</v>
      </c>
      <c r="B8823">
        <f>B8814</f>
        <v>30</v>
      </c>
      <c r="C8823" t="str">
        <v>Tul Atas Tumpuan</v>
      </c>
      <c r="D8823">
        <f>VLOOKUP(D8814,'Detail Balok'!$C$10:$AU$110,10,FALSE)</f>
        <v>7</v>
      </c>
      <c r="E8823" t="str">
        <v>D</v>
      </c>
      <c r="F8823">
        <f>VLOOKUP(D8814,'Detail Balok'!$C$10:$AU$110,12,FALSE)</f>
        <v>22</v>
      </c>
      <c r="I8823" t="str">
        <v>(</v>
      </c>
      <c r="J8823">
        <f>+D8816/4/1000</f>
        <v>2.10375</v>
      </c>
      <c r="K8823" t="str">
        <v>+</v>
      </c>
      <c r="L8823">
        <f>MAX(VLOOKUP(F8823,N$6:P$15,3,FALSE)/1000,2/3*D8818/1000)+F$16*F8823/1000</f>
        <v>0.264</v>
      </c>
      <c r="M8823" t="str">
        <v>=</v>
      </c>
      <c r="N8823">
        <f>J8823+L8823</f>
        <v>2.36775</v>
      </c>
      <c r="O8823" t="str">
        <v>+</v>
      </c>
      <c r="P8823">
        <f>D8823-D8822</f>
        <v>5</v>
      </c>
      <c r="Q8823" t="str">
        <v>x</v>
      </c>
      <c r="R8823">
        <f>IF(P8823&gt;0,$F$18*F8823/1000,0)</f>
        <v>0.33</v>
      </c>
      <c r="S8823" t="str">
        <v>)</v>
      </c>
      <c r="T8823" t="str">
        <v>x</v>
      </c>
      <c r="U8823">
        <f>0.006165*F8823^2</f>
        <v>2.98386</v>
      </c>
      <c r="X8823" t="str">
        <v>x</v>
      </c>
      <c r="Y8823">
        <f>D8820</f>
        <v>1</v>
      </c>
      <c r="Z8823" t="str">
        <v>=</v>
      </c>
      <c r="AA8823">
        <f>IF(AA8824=0,(D8823*N8823+P8823*R8823)*U8823*Y8823,0)</f>
        <v>54.37861060499999</v>
      </c>
    </row>
    <row r="8824">
      <c r="A8824" t="str">
        <f>A8814</f>
        <v>Lantai Attic</v>
      </c>
      <c r="B8824">
        <f>B8814</f>
        <v>30</v>
      </c>
      <c r="D8824">
        <f>IF(AND(D8821=D8822,D8822=D8823,D8821=D8823),D8821,0)</f>
        <v>0</v>
      </c>
      <c r="E8824" t="str">
        <v>D</v>
      </c>
      <c r="F8824">
        <f>IF(AND(F8821=F8822,F8821=F8823,F8822=F8823),F8821,0)</f>
        <v>22</v>
      </c>
      <c r="L8824" t="str">
        <v>Total panjang per balok</v>
      </c>
      <c r="M8824" t="str">
        <v>=</v>
      </c>
      <c r="N8824">
        <f>IF(AND(D8821=D8822,D8821=D8823,D8822=D8823,F8821=F8822,F8821=F8823,F8822=F8823),SUM(N8821:N8823),0)</f>
        <v>0</v>
      </c>
      <c r="O8824" t="str">
        <v>+</v>
      </c>
      <c r="P8824">
        <f>IF(N8824&gt;12,ROUNDDOWN(N8824/12,0),0)</f>
        <v>0</v>
      </c>
      <c r="Q8824" t="str">
        <v>x</v>
      </c>
      <c r="R8824">
        <f>IF(P8824&gt;0,MAX(VLOOKUP(F8824,$D$6:$G$15,3,FALSE),600),0)/1000</f>
        <v>0</v>
      </c>
      <c r="T8824" t="str">
        <v>x</v>
      </c>
      <c r="U8824">
        <f>U8823</f>
        <v>2.98386</v>
      </c>
      <c r="V8824" t="str">
        <v>x</v>
      </c>
      <c r="W8824">
        <f>D8824</f>
        <v>0</v>
      </c>
      <c r="X8824" t="str">
        <v>x</v>
      </c>
      <c r="Y8824">
        <f>Y8823</f>
        <v>1</v>
      </c>
      <c r="Z8824" t="str">
        <v>=</v>
      </c>
      <c r="AA8824">
        <f>(N8824+P8824*R8824/1000)*U8824*W8824*Y8824</f>
        <v>0</v>
      </c>
    </row>
    <row r="8826">
      <c r="A8826" t="str">
        <f>A8814</f>
        <v>Lantai Attic</v>
      </c>
      <c r="B8826">
        <f>B8814</f>
        <v>30</v>
      </c>
      <c r="C8826" t="str">
        <v>Tul Peminggang</v>
      </c>
      <c r="D8826">
        <f>VLOOKUP(D8814,'Detail Balok'!$C$10:$AU$110,13,FALSE)</f>
        <v>2</v>
      </c>
      <c r="E8826" t="str">
        <v>D</v>
      </c>
      <c r="F8826">
        <f>VLOOKUP(D8814,'Detail Balok'!$C$10:$AU$110,15,FALSE)</f>
        <v>10</v>
      </c>
      <c r="J8826">
        <f>+D8816/1000</f>
        <v>8.415</v>
      </c>
      <c r="K8826" t="str">
        <v>+</v>
      </c>
      <c r="L8826">
        <f>2*$F$16*F8826/1000</f>
        <v>0.24</v>
      </c>
      <c r="M8826" t="str">
        <v>=</v>
      </c>
      <c r="N8826">
        <f>J8826+L8826</f>
        <v>8.655</v>
      </c>
      <c r="O8826" t="str">
        <v>+</v>
      </c>
      <c r="P8826">
        <f>IF(N8826&gt;12,ROUNDDOWN(N8826/12,0),0)</f>
        <v>0</v>
      </c>
      <c r="Q8826" t="str">
        <v>x</v>
      </c>
      <c r="R8826">
        <f>IF(P8826&gt;0,MAX(VLOOKUP(F8826,$D$6:$G$15,3,FALSE),600),0)/1000</f>
        <v>0</v>
      </c>
      <c r="T8826" t="str">
        <v>x</v>
      </c>
      <c r="U8826">
        <f>0.006165*F8826^2</f>
        <v>0.6165</v>
      </c>
      <c r="V8826" t="str">
        <v>x</v>
      </c>
      <c r="W8826">
        <f>+D8826</f>
        <v>2</v>
      </c>
      <c r="X8826" t="str">
        <v>x</v>
      </c>
      <c r="Y8826">
        <f>D8820</f>
        <v>1</v>
      </c>
      <c r="Z8826" t="str">
        <v>=</v>
      </c>
      <c r="AA8826">
        <f>(N8826+P8826*R8826/1000)*U8826*W8826*Y8826</f>
        <v>10.671615</v>
      </c>
    </row>
    <row r="8829">
      <c r="A8829" t="str">
        <f>A8814</f>
        <v>Lantai Attic</v>
      </c>
      <c r="B8829">
        <f>B8814</f>
        <v>30</v>
      </c>
      <c r="C8829" t="str">
        <v>Tul Bawah Tumpuan</v>
      </c>
      <c r="D8829">
        <f>VLOOKUP(D8814,'Detail Balok'!$C$10:$AU$110,22,FALSE)</f>
        <v>4</v>
      </c>
      <c r="E8829" t="str">
        <v>D</v>
      </c>
      <c r="F8829">
        <f>VLOOKUP(D8814,'Detail Balok'!$C$10:$AU$110,24,FALSE)</f>
        <v>22</v>
      </c>
      <c r="I8829" t="str">
        <v>(</v>
      </c>
      <c r="J8829">
        <f>+J8821</f>
        <v>2.10375</v>
      </c>
      <c r="K8829" t="str">
        <v>+</v>
      </c>
      <c r="L8829">
        <f>MAX(VLOOKUP(F8829,N$6:P$15,3,FALSE)/1000,2/3*D8819/1000)+F$16*F8829/1000</f>
        <v>0.264</v>
      </c>
      <c r="M8829" t="str">
        <v>=</v>
      </c>
      <c r="N8829">
        <f>J8829+L8829</f>
        <v>2.36775</v>
      </c>
      <c r="O8829" t="str">
        <v>+</v>
      </c>
      <c r="P8829">
        <f>D8829-D8830</f>
        <v>-2</v>
      </c>
      <c r="Q8829" t="str">
        <v>x</v>
      </c>
      <c r="R8829">
        <f>IF(P8829&gt;0,$F$18*F8829/1000,0)</f>
        <v>0</v>
      </c>
      <c r="S8829" t="str">
        <v>)</v>
      </c>
      <c r="T8829" t="str">
        <v>x</v>
      </c>
      <c r="U8829">
        <f>0.006165*F8829^2</f>
        <v>2.98386</v>
      </c>
      <c r="X8829" t="str">
        <v>x</v>
      </c>
      <c r="Y8829">
        <f>D8820</f>
        <v>1</v>
      </c>
      <c r="Z8829" t="str">
        <v>=</v>
      </c>
      <c r="AA8829">
        <f>IF(AA8832=0,(D8829*N8829+P8829*R8829)*U8829*Y8829,0)</f>
        <v>28.26013806</v>
      </c>
    </row>
    <row r="8830">
      <c r="A8830" t="str">
        <f>A8814</f>
        <v>Lantai Attic</v>
      </c>
      <c r="B8830">
        <f>B8814</f>
        <v>30</v>
      </c>
      <c r="C8830" t="str">
        <v>Tul Bawah Lapangan</v>
      </c>
      <c r="D8830">
        <f>VLOOKUP(D8814,'Detail Balok'!$C$10:$AU$110,25,FALSE)</f>
        <v>6</v>
      </c>
      <c r="E8830" t="str">
        <v>D</v>
      </c>
      <c r="F8830">
        <f>VLOOKUP(D8814,'Detail Balok'!$C$10:$AU$110,27,FALSE)</f>
        <v>22</v>
      </c>
      <c r="I8830" t="str">
        <v>(</v>
      </c>
      <c r="J8830">
        <f>+J8822</f>
        <v>4.2075</v>
      </c>
      <c r="K8830" t="str">
        <v>+</v>
      </c>
      <c r="M8830" t="str">
        <v>=</v>
      </c>
      <c r="N8830">
        <f>J8830+L8830</f>
        <v>4.2075</v>
      </c>
      <c r="O8830" t="str">
        <v>+</v>
      </c>
      <c r="P8830">
        <f>MAX(D8830-D8829,D8830-D8831)</f>
        <v>2</v>
      </c>
      <c r="Q8830" t="str">
        <v>x</v>
      </c>
      <c r="R8830">
        <f>IF(P8830&gt;0,2*(1-2*$F$19-1/2)*D8817/1000,0)</f>
        <v>1.6829999999999996</v>
      </c>
      <c r="S8830" t="str">
        <v>)</v>
      </c>
      <c r="T8830" t="str">
        <v>x</v>
      </c>
      <c r="U8830">
        <f>0.006165*F8830^2</f>
        <v>2.98386</v>
      </c>
      <c r="X8830" t="str">
        <v>x</v>
      </c>
      <c r="Y8830">
        <f>D8820</f>
        <v>1</v>
      </c>
      <c r="Z8830" t="str">
        <v>=</v>
      </c>
      <c r="AA8830">
        <f>IF(AA8832=0,(D8830*N8830+P8830*R8830)*U8830*Y8830,0)</f>
        <v>85.37121846</v>
      </c>
    </row>
    <row r="8831">
      <c r="A8831" t="str">
        <f>A8814</f>
        <v>Lantai Attic</v>
      </c>
      <c r="B8831">
        <f>B8814</f>
        <v>30</v>
      </c>
      <c r="C8831" t="str">
        <v>Tul Bawah Tumpuan</v>
      </c>
      <c r="D8831">
        <f>VLOOKUP(D8814,'Detail Balok'!$C$10:$AU$110,28,FALSE)</f>
        <v>4</v>
      </c>
      <c r="E8831" t="str">
        <v>D</v>
      </c>
      <c r="F8831">
        <f>VLOOKUP(D8814,'Detail Balok'!$C$10:$AU$110,30,FALSE)</f>
        <v>22</v>
      </c>
      <c r="I8831" t="str">
        <v>(</v>
      </c>
      <c r="J8831">
        <f>+J8823</f>
        <v>2.10375</v>
      </c>
      <c r="K8831" t="str">
        <v>+</v>
      </c>
      <c r="L8831">
        <f>MAX(VLOOKUP(F8831,N$6:P$15,3,FALSE)/1000,2/3*D8819/1000)+F$16*F8831/1000</f>
        <v>0.264</v>
      </c>
      <c r="M8831" t="str">
        <v>=</v>
      </c>
      <c r="N8831">
        <f>J8831+L8831</f>
        <v>2.36775</v>
      </c>
      <c r="O8831" t="str">
        <v>+</v>
      </c>
      <c r="P8831">
        <f>D8831-D8830</f>
        <v>-2</v>
      </c>
      <c r="Q8831" t="str">
        <v>x</v>
      </c>
      <c r="R8831">
        <f>IF(P8831&gt;0,$F$18*F8831/1000,0)</f>
        <v>0</v>
      </c>
      <c r="S8831" t="str">
        <v>)</v>
      </c>
      <c r="T8831" t="str">
        <v>x</v>
      </c>
      <c r="U8831">
        <f>0.006165*F8831^2</f>
        <v>2.98386</v>
      </c>
      <c r="X8831" t="str">
        <v>x</v>
      </c>
      <c r="Y8831">
        <f>D8820</f>
        <v>1</v>
      </c>
      <c r="Z8831" t="str">
        <v>=</v>
      </c>
      <c r="AA8831">
        <f>IF(AA8832=0,(D8831*N8831+P8831*R8831)*U8831*Y8831,0)</f>
        <v>28.26013806</v>
      </c>
    </row>
    <row r="8832">
      <c r="A8832" t="str">
        <f>A8814</f>
        <v>Lantai Attic</v>
      </c>
      <c r="B8832">
        <f>B8814</f>
        <v>30</v>
      </c>
      <c r="D8832">
        <f>IF(AND(D8829=D8830,D8830=D8831,D8829=D8831),D8829,0)</f>
        <v>0</v>
      </c>
      <c r="E8832" t="str">
        <v>D</v>
      </c>
      <c r="F8832">
        <f>IF(AND(F8829=F8830,F8829=F8831,F8830=F8831),F8829,0)</f>
        <v>22</v>
      </c>
      <c r="L8832" t="str">
        <v>Total panjang per balok</v>
      </c>
      <c r="M8832" t="str">
        <v>=</v>
      </c>
      <c r="N8832">
        <f>IF(AND(D8829=D8830,D8829=D8831,D8830=D8831,F8829=F8830,F8829=F8831,F8830=F8831),SUM(N8829:N8831),0)</f>
        <v>0</v>
      </c>
      <c r="O8832" t="str">
        <v>+</v>
      </c>
      <c r="P8832">
        <f>IF(N8832&gt;12,ROUNDDOWN(N8832/12,0),0)</f>
        <v>0</v>
      </c>
      <c r="Q8832" t="str">
        <v>x</v>
      </c>
      <c r="R8832">
        <f>IF(P8832&gt;0,MAX(VLOOKUP(F8832,$D$6:$G$15,3,FALSE),600),0)/1000</f>
        <v>0</v>
      </c>
      <c r="T8832" t="str">
        <v>x</v>
      </c>
      <c r="U8832">
        <f>U8831</f>
        <v>2.98386</v>
      </c>
      <c r="V8832" t="str">
        <v>x</v>
      </c>
      <c r="W8832">
        <f>D8832</f>
        <v>0</v>
      </c>
      <c r="X8832" t="str">
        <v>x</v>
      </c>
      <c r="Y8832">
        <f>Y8831</f>
        <v>1</v>
      </c>
      <c r="Z8832" t="str">
        <v>=</v>
      </c>
      <c r="AA8832">
        <f>(N8832+P8832*R8832/1000)*U8832*W8832*Y8832</f>
        <v>0</v>
      </c>
    </row>
    <row r="8834">
      <c r="A8834" t="str">
        <f>A8814</f>
        <v>Lantai Attic</v>
      </c>
      <c r="B8834">
        <f>B8814</f>
        <v>30</v>
      </c>
      <c r="C8834" t="str">
        <v>Sengkang Tumpuan</v>
      </c>
      <c r="D8834">
        <f>VLOOKUP(D8814,'Detail Balok'!$C$10:$AU$110,31,FALSE)</f>
        <v>0</v>
      </c>
      <c r="E8834" t="str">
        <v>D</v>
      </c>
      <c r="F8834">
        <f>VLOOKUP(D8814,'Detail Balok'!$C$10:$AU$110,33,FALSE)</f>
        <v>10</v>
      </c>
      <c r="G8834" t="str">
        <v>-</v>
      </c>
      <c r="H8834">
        <f>VLOOKUP(D8814,'Detail Balok'!$C$10:$AU$110,35,FALSE)</f>
        <v>80</v>
      </c>
      <c r="J8834">
        <f>(IF(D8834=0,(2*(D8815+G8815))-(F$5*8),IF(D8834=3,(2*(D8815+G8815))-(F$5*8)+(G8815-2*F$5),IF(D8834=4,(2*(D8815+G8815))-(F$5*8)+2*(G8815-2*F$5)))))/1000</f>
        <v>1.68</v>
      </c>
      <c r="K8834" t="str">
        <v>+</v>
      </c>
      <c r="L8834">
        <f>IF(D8834=0,2*MAX(6*F8834,75),(D8834-1)*2*MAX(6*F8834,75))/1000</f>
        <v>0.15</v>
      </c>
      <c r="M8834" t="str">
        <v>=</v>
      </c>
      <c r="N8834">
        <f>J8834+L8834</f>
        <v>1.8299999999999998</v>
      </c>
      <c r="T8834" t="str">
        <v>x</v>
      </c>
      <c r="U8834">
        <f>0.006165*F8834^2</f>
        <v>0.6165</v>
      </c>
      <c r="V8834" t="str">
        <v>x</v>
      </c>
      <c r="W8834">
        <f>IF(D8817&gt;4*G8815,ROUND(MAX(D8817/4,2*G8815)/H8834,0)+1,ROUND(D8817/H8834,0)+1)</f>
        <v>27</v>
      </c>
      <c r="X8834" t="str">
        <v>x</v>
      </c>
      <c r="Y8834">
        <f>D8820</f>
        <v>1</v>
      </c>
      <c r="Z8834" t="str">
        <v>=</v>
      </c>
      <c r="AA8834">
        <f>N8834*U8834*W8834*Y8834</f>
        <v>30.461265</v>
      </c>
    </row>
    <row r="8835">
      <c r="A8835" t="str">
        <f>A8814</f>
        <v>Lantai Attic</v>
      </c>
      <c r="B8835">
        <f>B8814</f>
        <v>30</v>
      </c>
      <c r="C8835" t="str">
        <v>Sengkang Lapangan</v>
      </c>
      <c r="D8835">
        <f>VLOOKUP(D8814,'Detail Balok'!$C$10:$AU$110,36,FALSE)</f>
        <v>0</v>
      </c>
      <c r="E8835" t="str">
        <v>D</v>
      </c>
      <c r="F8835">
        <f>VLOOKUP(D8814,'Detail Balok'!$C$10:$AU$110,38,FALSE)</f>
        <v>10</v>
      </c>
      <c r="G8835" t="str">
        <v>-</v>
      </c>
      <c r="H8835">
        <f>VLOOKUP(D8814,'Detail Balok'!$C$10:$AU$110,40,FALSE)</f>
        <v>100</v>
      </c>
      <c r="J8835">
        <f>(IF(D8835=0,(2*(D8815+G8815))-(F$5*8),IF(D8835=3,(2*(D8815+G8815))-(F$5*8)+(G8815-2*F$5),IF(D8835=4,(2*(D8815+G8815))-(F$5*8)+2*(G8815-2*F$5)))))/1000</f>
        <v>1.68</v>
      </c>
      <c r="K8835" t="str">
        <v>+</v>
      </c>
      <c r="L8835">
        <f>IF(D8835=0,2*MAX(6*F8835,75),(D8835-1)*2*MAX(6*F8835,75))/1000</f>
        <v>0.15</v>
      </c>
      <c r="M8835" t="str">
        <v>=</v>
      </c>
      <c r="N8835">
        <f>J8835+L8835</f>
        <v>1.8299999999999998</v>
      </c>
      <c r="T8835" t="str">
        <v>x</v>
      </c>
      <c r="U8835">
        <f>0.006165*F8835^2</f>
        <v>0.6165</v>
      </c>
      <c r="V8835" t="str">
        <v>x</v>
      </c>
      <c r="W8835">
        <f>IF(D8817-MAX(D8817/4,2*G8815)*2&gt;0,ROUND((D8817-MAX(D8817/4,2*G8815)*2)/H8835,0),0)</f>
        <v>42</v>
      </c>
      <c r="X8835" t="str">
        <v>x</v>
      </c>
      <c r="Y8835">
        <f>D8820</f>
        <v>1</v>
      </c>
      <c r="Z8835" t="str">
        <v>=</v>
      </c>
      <c r="AA8835">
        <f>N8835*U8835*W8835*Y8835</f>
        <v>47.384190000000004</v>
      </c>
    </row>
    <row r="8836">
      <c r="A8836" t="str">
        <f>A8814</f>
        <v>Lantai Attic</v>
      </c>
      <c r="B8836">
        <f>B8814</f>
        <v>30</v>
      </c>
      <c r="C8836" t="str">
        <v>Sengkang Tumpuan</v>
      </c>
      <c r="D8836">
        <f>VLOOKUP(D8814,'Detail Balok'!$C$10:$AU$110,41,FALSE)</f>
        <v>0</v>
      </c>
      <c r="E8836" t="str">
        <v>D</v>
      </c>
      <c r="F8836">
        <f>VLOOKUP(D8814,'Detail Balok'!$C$10:$AU$110,43,FALSE)</f>
        <v>10</v>
      </c>
      <c r="G8836" t="str">
        <v>-</v>
      </c>
      <c r="H8836">
        <f>VLOOKUP(D8814,'Detail Balok'!$C$10:$AU$110,45,FALSE)</f>
        <v>80</v>
      </c>
      <c r="J8836">
        <f>(IF(D8836=0,(2*(D8815+G8815))-(F$5*8),IF(D8836=3,(2*(D8815+G8815))-(F$5*8)+(G8815-2*F$5),IF(D8836=4,(2*(D8815+G8815))-(F$5*8)+2*(G8815-2*F$5)))))/1000</f>
        <v>1.68</v>
      </c>
      <c r="K8836" t="str">
        <v>+</v>
      </c>
      <c r="L8836">
        <f>IF(D8836=0,2*MAX(6*F8836,75),(D8836-1)*2*MAX(6*F8836,75))/1000</f>
        <v>0.15</v>
      </c>
      <c r="M8836" t="str">
        <v>=</v>
      </c>
      <c r="N8836">
        <f>J8836+L8836</f>
        <v>1.8299999999999998</v>
      </c>
      <c r="T8836" t="str">
        <v>x</v>
      </c>
      <c r="U8836">
        <f>0.006165*F8836^2</f>
        <v>0.6165</v>
      </c>
      <c r="V8836" t="str">
        <v>x</v>
      </c>
      <c r="W8836">
        <f>IF(D8817&gt;4*G8815,ROUND(MAX(D8817/4,2*G8815)/H8836,0)+1,0)</f>
        <v>27</v>
      </c>
      <c r="X8836" t="str">
        <v>x</v>
      </c>
      <c r="Y8836">
        <f>D8820</f>
        <v>1</v>
      </c>
      <c r="Z8836" t="str">
        <v>=</v>
      </c>
      <c r="AA8836">
        <f>N8836*U8836*W8836*Y8836</f>
        <v>30.461265</v>
      </c>
    </row>
    <row r="8838">
      <c r="A8838" t="str">
        <f>A8814</f>
        <v>Lantai Attic</v>
      </c>
      <c r="B8838">
        <f>B8814</f>
        <v>30</v>
      </c>
      <c r="C8838" t="str">
        <v>Kait Horizontal Tump.</v>
      </c>
      <c r="D8838">
        <f>VLOOKUP(D8814,'Detail Balok'!$C$10:$BJ$110,46,FALSE)</f>
        <v>0</v>
      </c>
      <c r="E8838" t="str">
        <v>D</v>
      </c>
      <c r="F8838">
        <f>VLOOKUP(D8814,'Detail Balok'!$C$10:$BJ$110,48,FALSE)</f>
        <v>0</v>
      </c>
      <c r="G8838" t="str">
        <v>-</v>
      </c>
      <c r="H8838">
        <f>VLOOKUP(D8814,'Detail Balok'!$C$10:$BJ$110,50,FALSE)</f>
        <v>100</v>
      </c>
      <c r="J8838">
        <f>(D8815-2*F$5)/1000</f>
        <v>0.22</v>
      </c>
      <c r="K8838" t="str">
        <v>+</v>
      </c>
      <c r="L8838">
        <f>IF(D8838=0,2*MAX(6*F8838,75),(D8838-1)*2*MAX(6*F8838,75))/1000</f>
        <v>0.15</v>
      </c>
      <c r="M8838" t="str">
        <v>=</v>
      </c>
      <c r="N8838">
        <f>J8838+L8838</f>
        <v>0.37</v>
      </c>
      <c r="T8838" t="str">
        <v>x</v>
      </c>
      <c r="U8838">
        <f>0.006165*F8838^2</f>
        <v>0</v>
      </c>
      <c r="V8838" t="str">
        <v>x</v>
      </c>
      <c r="W8838">
        <f>W8834</f>
        <v>27</v>
      </c>
      <c r="X8838" t="str">
        <v>x</v>
      </c>
      <c r="Y8838">
        <f>D8824</f>
        <v>0</v>
      </c>
      <c r="Z8838" t="str">
        <v>=</v>
      </c>
      <c r="AA8838">
        <f>N8838*U8838*W8838*Y8838</f>
        <v>0</v>
      </c>
    </row>
    <row r="8839">
      <c r="A8839" t="str">
        <f>A8814</f>
        <v>Lantai Attic</v>
      </c>
      <c r="B8839">
        <f>B8814</f>
        <v>30</v>
      </c>
      <c r="C8839" t="str">
        <v>Kait Horizontal Lap.</v>
      </c>
      <c r="D8839">
        <f>VLOOKUP(D8814,'Detail Balok'!$C$10:$BJ$110,51,FALSE)</f>
        <v>0</v>
      </c>
      <c r="E8839" t="str">
        <v>D</v>
      </c>
      <c r="F8839">
        <f>VLOOKUP(D8814,'Detail Balok'!$C$10:$BJ$110,53,FALSE)</f>
        <v>0</v>
      </c>
      <c r="G8839" t="str">
        <v>-</v>
      </c>
      <c r="H8839">
        <f>VLOOKUP(D8814,'Detail Balok'!$C$10:$BJ$110,55,FALSE)</f>
        <v>100</v>
      </c>
      <c r="J8839">
        <f>(D8815-2*F$5)/1000</f>
        <v>0.22</v>
      </c>
      <c r="K8839" t="str">
        <v>+</v>
      </c>
      <c r="L8839">
        <f>IF(D8839=0,2*MAX(6*F8839,75),(D8839-1)*2*MAX(6*F8839,75))/1000</f>
        <v>0.15</v>
      </c>
      <c r="M8839" t="str">
        <v>=</v>
      </c>
      <c r="N8839">
        <f>J8839+L8839</f>
        <v>0.37</v>
      </c>
      <c r="T8839" t="str">
        <v>x</v>
      </c>
      <c r="U8839">
        <f>0.006165*F8839^2</f>
        <v>0</v>
      </c>
      <c r="V8839" t="str">
        <v>x</v>
      </c>
      <c r="W8839">
        <f>W8835</f>
        <v>42</v>
      </c>
      <c r="X8839" t="str">
        <v>x</v>
      </c>
      <c r="Y8839">
        <f>D8824</f>
        <v>0</v>
      </c>
      <c r="Z8839" t="str">
        <v>=</v>
      </c>
      <c r="AA8839">
        <f>N8839*U8839*W8839*Y8839</f>
        <v>0</v>
      </c>
    </row>
    <row r="8840">
      <c r="A8840" t="str">
        <f>A8814</f>
        <v>Lantai Attic</v>
      </c>
      <c r="B8840">
        <f>B8814</f>
        <v>30</v>
      </c>
      <c r="C8840" t="str">
        <v>Kait Horizontal Tump.</v>
      </c>
      <c r="D8840">
        <f>VLOOKUP(D8814,'Detail Balok'!$C$10:$BJ$110,56,FALSE)</f>
        <v>0</v>
      </c>
      <c r="E8840" t="str">
        <v>D</v>
      </c>
      <c r="F8840">
        <f>VLOOKUP(D8814,'Detail Balok'!$C$10:$BJ$110,58,FALSE)</f>
        <v>0</v>
      </c>
      <c r="G8840" t="str">
        <v>-</v>
      </c>
      <c r="H8840">
        <f>VLOOKUP(D8814,'Detail Balok'!$C$10:$BJ$110,60,FALSE)</f>
        <v>100</v>
      </c>
      <c r="J8840">
        <f>(D8815-2*F$5)/1000</f>
        <v>0.22</v>
      </c>
      <c r="K8840" t="str">
        <v>+</v>
      </c>
      <c r="L8840">
        <f>IF(D8840=0,2*MAX(6*F8840,75),(D8840-1)*2*MAX(6*F8840,75))/1000</f>
        <v>0.15</v>
      </c>
      <c r="M8840" t="str">
        <v>=</v>
      </c>
      <c r="N8840">
        <f>J8840+L8840</f>
        <v>0.37</v>
      </c>
      <c r="T8840" t="str">
        <v>x</v>
      </c>
      <c r="U8840">
        <f>0.006165*F8840^2</f>
        <v>0</v>
      </c>
      <c r="V8840" t="str">
        <v>x</v>
      </c>
      <c r="W8840">
        <f>W8836</f>
        <v>27</v>
      </c>
      <c r="X8840" t="str">
        <v>x</v>
      </c>
      <c r="Y8840">
        <f>D8824</f>
        <v>0</v>
      </c>
      <c r="Z8840" t="str">
        <v>=</v>
      </c>
      <c r="AA8840">
        <f>N8840*U8840*W8840*Y8840</f>
        <v>0</v>
      </c>
    </row>
    <row r="8844">
      <c r="A8844" t="str">
        <f>A8814</f>
        <v>Lantai Attic</v>
      </c>
      <c r="B8844">
        <f>B8814+1</f>
        <v>31</v>
      </c>
      <c r="C8844" t="str">
        <f>CONCATENATE(A8844," no. ",B8844)</f>
        <v>Lantai Attic no. 31</v>
      </c>
      <c r="D8844" t="str">
        <f>VLOOKUP(C8844,'Data Panjang Balok'!$C$9:$N$424,2,FALSE)</f>
        <v>B26-4</v>
      </c>
    </row>
    <row r="8845">
      <c r="C8845" t="str">
        <v>Dimensi</v>
      </c>
      <c r="D8845">
        <f>VLOOKUP(D8844,'Detail Balok'!$C$10:$AU$110,2,FALSE)</f>
        <v>200</v>
      </c>
      <c r="F8845" t="str">
        <v>x</v>
      </c>
      <c r="G8845">
        <f>VLOOKUP(D8844,'Detail Balok'!$C$10:$AU$110,3,FALSE)</f>
        <v>600</v>
      </c>
    </row>
    <row r="8846">
      <c r="C8846" t="str">
        <v>Panjang as ke as</v>
      </c>
      <c r="D8846">
        <f>VLOOKUP(C8844,'Data Panjang Balok'!$C$9:$N$424,4,FALSE)</f>
        <v>2900</v>
      </c>
    </row>
    <row r="8847">
      <c r="C8847" t="str">
        <v>Panjang netto</v>
      </c>
      <c r="D8847">
        <f>VLOOKUP(C8844,'Data Panjang Balok'!$C$9:$N$424,7,FALSE)</f>
        <v>2900</v>
      </c>
    </row>
    <row r="8848">
      <c r="C8848" t="str">
        <v>Kolom / balok kiri</v>
      </c>
      <c r="D8848">
        <f>VLOOKUP(C8844,'Data Panjang Balok'!$C$9:$N$424,9,FALSE)</f>
        <v>0</v>
      </c>
    </row>
    <row r="8849">
      <c r="C8849" t="str">
        <v>Kolom / balok kanan</v>
      </c>
      <c r="D8849">
        <f>VLOOKUP(C8844,'Data Panjang Balok'!$C$9:$N$424,10,FALSE)</f>
        <v>0</v>
      </c>
    </row>
    <row r="8850">
      <c r="C8850" t="str">
        <v>Jumlah</v>
      </c>
      <c r="D8850">
        <f>VLOOKUP(C8844,'Data Panjang Balok'!$C$9:$N$424,3,FALSE)</f>
        <v>1</v>
      </c>
    </row>
    <row r="8851">
      <c r="A8851" t="str">
        <f>A8844</f>
        <v>Lantai Attic</v>
      </c>
      <c r="B8851">
        <f>B8844</f>
        <v>31</v>
      </c>
      <c r="C8851" t="str">
        <v>Tul Atas Tumpuan</v>
      </c>
      <c r="D8851">
        <f>VLOOKUP(D8844,'Detail Balok'!$C$10:$AU$110,4,FALSE)</f>
        <v>3</v>
      </c>
      <c r="E8851" t="str">
        <v>D</v>
      </c>
      <c r="F8851">
        <f>VLOOKUP(D8844,'Detail Balok'!$C$10:$AU$110,6,FALSE)</f>
        <v>19</v>
      </c>
      <c r="I8851" t="str">
        <v>(</v>
      </c>
      <c r="J8851">
        <f>+D8846/4/1000</f>
        <v>0.725</v>
      </c>
      <c r="K8851" t="str">
        <v>+</v>
      </c>
      <c r="L8851">
        <f>MAX(VLOOKUP(F8851,N$6:P$15,3,FALSE)/1000,2/3*D8848/1000)+F$16*F8851/1000</f>
        <v>0.228</v>
      </c>
      <c r="M8851" t="str">
        <v>=</v>
      </c>
      <c r="N8851">
        <f>J8851+L8851</f>
        <v>0.953</v>
      </c>
      <c r="O8851" t="str">
        <v>+</v>
      </c>
      <c r="P8851">
        <f>D8851-D8852</f>
        <v>0</v>
      </c>
      <c r="Q8851" t="str">
        <v>x</v>
      </c>
      <c r="R8851">
        <f>IF(P8851&gt;0,$F$18*F8851/1000,0)</f>
        <v>0</v>
      </c>
      <c r="S8851" t="str">
        <v>)</v>
      </c>
      <c r="T8851" t="str">
        <v>x</v>
      </c>
      <c r="U8851">
        <f>0.006165*F8851^2</f>
        <v>2.225565</v>
      </c>
      <c r="X8851" t="str">
        <v>x</v>
      </c>
      <c r="Y8851">
        <f>D8850</f>
        <v>1</v>
      </c>
      <c r="Z8851" t="str">
        <v>=</v>
      </c>
      <c r="AA8851">
        <f>IF(AA8854=0,(D8851*N8851+P8851*R8851)*U8851*Y8851,0)</f>
        <v>0</v>
      </c>
    </row>
    <row r="8852">
      <c r="A8852" t="str">
        <f>A8844</f>
        <v>Lantai Attic</v>
      </c>
      <c r="B8852">
        <f>B8844</f>
        <v>31</v>
      </c>
      <c r="C8852" t="str">
        <v>Tul Atas Lapangan</v>
      </c>
      <c r="D8852">
        <f>VLOOKUP(D8844,'Detail Balok'!$C$10:$AU$110,7,FALSE)</f>
        <v>3</v>
      </c>
      <c r="E8852" t="str">
        <v>D</v>
      </c>
      <c r="F8852">
        <f>VLOOKUP(D8844,'Detail Balok'!$C$10:$AU$110,9,FALSE)</f>
        <v>19</v>
      </c>
      <c r="I8852" t="str">
        <v>(</v>
      </c>
      <c r="J8852">
        <f>+D8846/2/1000</f>
        <v>1.45</v>
      </c>
      <c r="K8852" t="str">
        <v>+</v>
      </c>
      <c r="M8852" t="str">
        <v>=</v>
      </c>
      <c r="N8852">
        <f>J8852+L8852</f>
        <v>1.45</v>
      </c>
      <c r="O8852" t="str">
        <v>+</v>
      </c>
      <c r="P8852">
        <f>MAX(D8852-D8851,D8852-D8853)</f>
        <v>0</v>
      </c>
      <c r="Q8852" t="str">
        <v>x</v>
      </c>
      <c r="R8852">
        <f>IF(P8852&gt;0,2*(1-2*$F$19-1/2)*D8847/1000,0)</f>
        <v>0</v>
      </c>
      <c r="S8852" t="str">
        <v>)</v>
      </c>
      <c r="T8852" t="str">
        <v>x</v>
      </c>
      <c r="U8852">
        <f>0.006165*F8852^2</f>
        <v>2.225565</v>
      </c>
      <c r="X8852" t="str">
        <v>x</v>
      </c>
      <c r="Y8852">
        <f>D8850</f>
        <v>1</v>
      </c>
      <c r="Z8852" t="str">
        <v>=</v>
      </c>
      <c r="AA8852">
        <f>IF(AA8854=0,(D8852*N8852+P8852*R8852)*U8852*Y8852,0)</f>
        <v>0</v>
      </c>
    </row>
    <row r="8853">
      <c r="A8853" t="str">
        <f>A8844</f>
        <v>Lantai Attic</v>
      </c>
      <c r="B8853">
        <f>B8844</f>
        <v>31</v>
      </c>
      <c r="C8853" t="str">
        <v>Tul Atas Tumpuan</v>
      </c>
      <c r="D8853">
        <f>VLOOKUP(D8844,'Detail Balok'!$C$10:$AU$110,10,FALSE)</f>
        <v>3</v>
      </c>
      <c r="E8853" t="str">
        <v>D</v>
      </c>
      <c r="F8853">
        <f>VLOOKUP(D8844,'Detail Balok'!$C$10:$AU$110,12,FALSE)</f>
        <v>19</v>
      </c>
      <c r="I8853" t="str">
        <v>(</v>
      </c>
      <c r="J8853">
        <f>+D8846/4/1000</f>
        <v>0.725</v>
      </c>
      <c r="K8853" t="str">
        <v>+</v>
      </c>
      <c r="L8853">
        <f>MAX(VLOOKUP(F8853,N$6:P$15,3,FALSE)/1000,2/3*D8848/1000)+F$16*F8853/1000</f>
        <v>0.228</v>
      </c>
      <c r="M8853" t="str">
        <v>=</v>
      </c>
      <c r="N8853">
        <f>J8853+L8853</f>
        <v>0.953</v>
      </c>
      <c r="O8853" t="str">
        <v>+</v>
      </c>
      <c r="P8853">
        <f>D8853-D8852</f>
        <v>0</v>
      </c>
      <c r="Q8853" t="str">
        <v>x</v>
      </c>
      <c r="R8853">
        <f>IF(P8853&gt;0,$F$18*F8853/1000,0)</f>
        <v>0</v>
      </c>
      <c r="S8853" t="str">
        <v>)</v>
      </c>
      <c r="T8853" t="str">
        <v>x</v>
      </c>
      <c r="U8853">
        <f>0.006165*F8853^2</f>
        <v>2.225565</v>
      </c>
      <c r="X8853" t="str">
        <v>x</v>
      </c>
      <c r="Y8853">
        <f>D8850</f>
        <v>1</v>
      </c>
      <c r="Z8853" t="str">
        <v>=</v>
      </c>
      <c r="AA8853">
        <f>IF(AA8854=0,(D8853*N8853+P8853*R8853)*U8853*Y8853,0)</f>
        <v>0</v>
      </c>
    </row>
    <row r="8854">
      <c r="A8854" t="str">
        <f>A8844</f>
        <v>Lantai Attic</v>
      </c>
      <c r="B8854">
        <f>B8844</f>
        <v>31</v>
      </c>
      <c r="D8854">
        <f>IF(AND(D8851=D8852,D8852=D8853,D8851=D8853),D8851,0)</f>
        <v>3</v>
      </c>
      <c r="E8854" t="str">
        <v>D</v>
      </c>
      <c r="F8854">
        <f>IF(AND(F8851=F8852,F8851=F8853,F8852=F8853),F8851,0)</f>
        <v>19</v>
      </c>
      <c r="L8854" t="str">
        <v>Total panjang per balok</v>
      </c>
      <c r="M8854" t="str">
        <v>=</v>
      </c>
      <c r="N8854">
        <f>IF(AND(D8851=D8852,D8851=D8853,D8852=D8853,F8851=F8852,F8851=F8853,F8852=F8853),SUM(N8851:N8853),0)</f>
        <v>3.356</v>
      </c>
      <c r="O8854" t="str">
        <v>+</v>
      </c>
      <c r="P8854">
        <f>IF(N8854&gt;12,ROUNDDOWN(N8854/12,0),0)</f>
        <v>0</v>
      </c>
      <c r="Q8854" t="str">
        <v>x</v>
      </c>
      <c r="R8854">
        <f>IF(P8854&gt;0,MAX(VLOOKUP(F8854,$D$6:$G$15,3,FALSE),600),0)/1000</f>
        <v>0</v>
      </c>
      <c r="T8854" t="str">
        <v>x</v>
      </c>
      <c r="U8854">
        <f>U8853</f>
        <v>2.225565</v>
      </c>
      <c r="V8854" t="str">
        <v>x</v>
      </c>
      <c r="W8854">
        <f>D8854</f>
        <v>3</v>
      </c>
      <c r="X8854" t="str">
        <v>x</v>
      </c>
      <c r="Y8854">
        <f>Y8853</f>
        <v>1</v>
      </c>
      <c r="Z8854" t="str">
        <v>=</v>
      </c>
      <c r="AA8854">
        <f>(N8854+P8854*R8854/1000)*U8854*W8854*Y8854</f>
        <v>22.406988419999998</v>
      </c>
    </row>
    <row r="8856">
      <c r="A8856" t="str">
        <f>A8844</f>
        <v>Lantai Attic</v>
      </c>
      <c r="B8856">
        <f>B8844</f>
        <v>31</v>
      </c>
      <c r="C8856" t="str">
        <v>Tul Peminggang</v>
      </c>
      <c r="D8856">
        <f>VLOOKUP(D8844,'Detail Balok'!$C$10:$AU$110,13,FALSE)</f>
        <v>2</v>
      </c>
      <c r="E8856" t="str">
        <v>D</v>
      </c>
      <c r="F8856">
        <f>VLOOKUP(D8844,'Detail Balok'!$C$10:$AU$110,15,FALSE)</f>
        <v>10</v>
      </c>
      <c r="J8856">
        <f>+D8846/1000</f>
        <v>2.9</v>
      </c>
      <c r="K8856" t="str">
        <v>+</v>
      </c>
      <c r="L8856">
        <f>2*$F$16*F8856/1000</f>
        <v>0.24</v>
      </c>
      <c r="M8856" t="str">
        <v>=</v>
      </c>
      <c r="N8856">
        <f>J8856+L8856</f>
        <v>3.1399999999999997</v>
      </c>
      <c r="O8856" t="str">
        <v>+</v>
      </c>
      <c r="P8856">
        <f>IF(N8856&gt;12,ROUNDDOWN(N8856/12,0),0)</f>
        <v>0</v>
      </c>
      <c r="Q8856" t="str">
        <v>x</v>
      </c>
      <c r="R8856">
        <f>IF(P8856&gt;0,MAX(VLOOKUP(F8856,$D$6:$G$15,3,FALSE),600),0)/1000</f>
        <v>0</v>
      </c>
      <c r="T8856" t="str">
        <v>x</v>
      </c>
      <c r="U8856">
        <f>0.006165*F8856^2</f>
        <v>0.6165</v>
      </c>
      <c r="V8856" t="str">
        <v>x</v>
      </c>
      <c r="W8856">
        <f>+D8856</f>
        <v>2</v>
      </c>
      <c r="X8856" t="str">
        <v>x</v>
      </c>
      <c r="Y8856">
        <f>D8850</f>
        <v>1</v>
      </c>
      <c r="Z8856" t="str">
        <v>=</v>
      </c>
      <c r="AA8856">
        <f>(N8856+P8856*R8856/1000)*U8856*W8856*Y8856</f>
        <v>3.87162</v>
      </c>
    </row>
    <row r="8859">
      <c r="A8859" t="str">
        <f>A8844</f>
        <v>Lantai Attic</v>
      </c>
      <c r="B8859">
        <f>B8844</f>
        <v>31</v>
      </c>
      <c r="C8859" t="str">
        <v>Tul Bawah Tumpuan</v>
      </c>
      <c r="D8859">
        <f>VLOOKUP(D8844,'Detail Balok'!$C$10:$AU$110,22,FALSE)</f>
        <v>6</v>
      </c>
      <c r="E8859" t="str">
        <v>D</v>
      </c>
      <c r="F8859">
        <f>VLOOKUP(D8844,'Detail Balok'!$C$10:$AU$110,24,FALSE)</f>
        <v>19</v>
      </c>
      <c r="I8859" t="str">
        <v>(</v>
      </c>
      <c r="J8859">
        <f>+J8851</f>
        <v>0.725</v>
      </c>
      <c r="K8859" t="str">
        <v>+</v>
      </c>
      <c r="L8859">
        <f>MAX(VLOOKUP(F8859,N$6:P$15,3,FALSE)/1000,2/3*D8849/1000)+F$16*F8859/1000</f>
        <v>0.228</v>
      </c>
      <c r="M8859" t="str">
        <v>=</v>
      </c>
      <c r="N8859">
        <f>J8859+L8859</f>
        <v>0.953</v>
      </c>
      <c r="O8859" t="str">
        <v>+</v>
      </c>
      <c r="P8859">
        <f>D8859-D8860</f>
        <v>0</v>
      </c>
      <c r="Q8859" t="str">
        <v>x</v>
      </c>
      <c r="R8859">
        <f>IF(P8859&gt;0,$F$18*F8859/1000,0)</f>
        <v>0</v>
      </c>
      <c r="S8859" t="str">
        <v>)</v>
      </c>
      <c r="T8859" t="str">
        <v>x</v>
      </c>
      <c r="U8859">
        <f>0.006165*F8859^2</f>
        <v>2.225565</v>
      </c>
      <c r="X8859" t="str">
        <v>x</v>
      </c>
      <c r="Y8859">
        <f>D8850</f>
        <v>1</v>
      </c>
      <c r="Z8859" t="str">
        <v>=</v>
      </c>
      <c r="AA8859">
        <f>IF(AA8862=0,(D8859*N8859+P8859*R8859)*U8859*Y8859,0)</f>
        <v>0</v>
      </c>
    </row>
    <row r="8860">
      <c r="A8860" t="str">
        <f>A8844</f>
        <v>Lantai Attic</v>
      </c>
      <c r="B8860">
        <f>B8844</f>
        <v>31</v>
      </c>
      <c r="C8860" t="str">
        <v>Tul Bawah Lapangan</v>
      </c>
      <c r="D8860">
        <f>VLOOKUP(D8844,'Detail Balok'!$C$10:$AU$110,25,FALSE)</f>
        <v>6</v>
      </c>
      <c r="E8860" t="str">
        <v>D</v>
      </c>
      <c r="F8860">
        <f>VLOOKUP(D8844,'Detail Balok'!$C$10:$AU$110,27,FALSE)</f>
        <v>19</v>
      </c>
      <c r="I8860" t="str">
        <v>(</v>
      </c>
      <c r="J8860">
        <f>+J8852</f>
        <v>1.45</v>
      </c>
      <c r="K8860" t="str">
        <v>+</v>
      </c>
      <c r="M8860" t="str">
        <v>=</v>
      </c>
      <c r="N8860">
        <f>J8860+L8860</f>
        <v>1.45</v>
      </c>
      <c r="O8860" t="str">
        <v>+</v>
      </c>
      <c r="P8860">
        <f>MAX(D8860-D8859,D8860-D8861)</f>
        <v>0</v>
      </c>
      <c r="Q8860" t="str">
        <v>x</v>
      </c>
      <c r="R8860">
        <f>IF(P8860&gt;0,2*(1-2*$F$19-1/2)*D8847/1000,0)</f>
        <v>0</v>
      </c>
      <c r="S8860" t="str">
        <v>)</v>
      </c>
      <c r="T8860" t="str">
        <v>x</v>
      </c>
      <c r="U8860">
        <f>0.006165*F8860^2</f>
        <v>2.225565</v>
      </c>
      <c r="X8860" t="str">
        <v>x</v>
      </c>
      <c r="Y8860">
        <f>D8850</f>
        <v>1</v>
      </c>
      <c r="Z8860" t="str">
        <v>=</v>
      </c>
      <c r="AA8860">
        <f>IF(AA8862=0,(D8860*N8860+P8860*R8860)*U8860*Y8860,0)</f>
        <v>0</v>
      </c>
    </row>
    <row r="8861">
      <c r="A8861" t="str">
        <f>A8844</f>
        <v>Lantai Attic</v>
      </c>
      <c r="B8861">
        <f>B8844</f>
        <v>31</v>
      </c>
      <c r="C8861" t="str">
        <v>Tul Bawah Tumpuan</v>
      </c>
      <c r="D8861">
        <f>VLOOKUP(D8844,'Detail Balok'!$C$10:$AU$110,28,FALSE)</f>
        <v>6</v>
      </c>
      <c r="E8861" t="str">
        <v>D</v>
      </c>
      <c r="F8861">
        <f>VLOOKUP(D8844,'Detail Balok'!$C$10:$AU$110,30,FALSE)</f>
        <v>19</v>
      </c>
      <c r="I8861" t="str">
        <v>(</v>
      </c>
      <c r="J8861">
        <f>+J8853</f>
        <v>0.725</v>
      </c>
      <c r="K8861" t="str">
        <v>+</v>
      </c>
      <c r="L8861">
        <f>MAX(VLOOKUP(F8861,N$6:P$15,3,FALSE)/1000,2/3*D8849/1000)+F$16*F8861/1000</f>
        <v>0.228</v>
      </c>
      <c r="M8861" t="str">
        <v>=</v>
      </c>
      <c r="N8861">
        <f>J8861+L8861</f>
        <v>0.953</v>
      </c>
      <c r="O8861" t="str">
        <v>+</v>
      </c>
      <c r="P8861">
        <f>D8861-D8860</f>
        <v>0</v>
      </c>
      <c r="Q8861" t="str">
        <v>x</v>
      </c>
      <c r="R8861">
        <f>IF(P8861&gt;0,$F$18*F8861/1000,0)</f>
        <v>0</v>
      </c>
      <c r="S8861" t="str">
        <v>)</v>
      </c>
      <c r="T8861" t="str">
        <v>x</v>
      </c>
      <c r="U8861">
        <f>0.006165*F8861^2</f>
        <v>2.225565</v>
      </c>
      <c r="X8861" t="str">
        <v>x</v>
      </c>
      <c r="Y8861">
        <f>D8850</f>
        <v>1</v>
      </c>
      <c r="Z8861" t="str">
        <v>=</v>
      </c>
      <c r="AA8861">
        <f>IF(AA8862=0,(D8861*N8861+P8861*R8861)*U8861*Y8861,0)</f>
        <v>0</v>
      </c>
    </row>
    <row r="8862">
      <c r="A8862" t="str">
        <f>A8844</f>
        <v>Lantai Attic</v>
      </c>
      <c r="B8862">
        <f>B8844</f>
        <v>31</v>
      </c>
      <c r="D8862">
        <f>IF(AND(D8859=D8860,D8860=D8861,D8859=D8861),D8859,0)</f>
        <v>6</v>
      </c>
      <c r="E8862" t="str">
        <v>D</v>
      </c>
      <c r="F8862">
        <f>IF(AND(F8859=F8860,F8859=F8861,F8860=F8861),F8859,0)</f>
        <v>19</v>
      </c>
      <c r="L8862" t="str">
        <v>Total panjang per balok</v>
      </c>
      <c r="M8862" t="str">
        <v>=</v>
      </c>
      <c r="N8862">
        <f>IF(AND(D8859=D8860,D8859=D8861,D8860=D8861,F8859=F8860,F8859=F8861,F8860=F8861),SUM(N8859:N8861),0)</f>
        <v>3.356</v>
      </c>
      <c r="O8862" t="str">
        <v>+</v>
      </c>
      <c r="P8862">
        <f>IF(N8862&gt;12,ROUNDDOWN(N8862/12,0),0)</f>
        <v>0</v>
      </c>
      <c r="Q8862" t="str">
        <v>x</v>
      </c>
      <c r="R8862">
        <f>IF(P8862&gt;0,MAX(VLOOKUP(F8862,$D$6:$G$15,3,FALSE),600),0)/1000</f>
        <v>0</v>
      </c>
      <c r="T8862" t="str">
        <v>x</v>
      </c>
      <c r="U8862">
        <f>U8861</f>
        <v>2.225565</v>
      </c>
      <c r="V8862" t="str">
        <v>x</v>
      </c>
      <c r="W8862">
        <f>D8862</f>
        <v>6</v>
      </c>
      <c r="X8862" t="str">
        <v>x</v>
      </c>
      <c r="Y8862">
        <f>Y8861</f>
        <v>1</v>
      </c>
      <c r="Z8862" t="str">
        <v>=</v>
      </c>
      <c r="AA8862">
        <f>(N8862+P8862*R8862/1000)*U8862*W8862*Y8862</f>
        <v>44.813976839999995</v>
      </c>
    </row>
    <row r="8864">
      <c r="A8864" t="str">
        <f>A8844</f>
        <v>Lantai Attic</v>
      </c>
      <c r="B8864">
        <f>B8844</f>
        <v>31</v>
      </c>
      <c r="C8864" t="str">
        <v>Sengkang Tumpuan</v>
      </c>
      <c r="D8864">
        <f>VLOOKUP(D8844,'Detail Balok'!$C$10:$AU$110,31,FALSE)</f>
        <v>3</v>
      </c>
      <c r="E8864" t="str">
        <v>D</v>
      </c>
      <c r="F8864">
        <f>VLOOKUP(D8844,'Detail Balok'!$C$10:$AU$110,33,FALSE)</f>
        <v>10</v>
      </c>
      <c r="G8864" t="str">
        <v>-</v>
      </c>
      <c r="H8864">
        <f>VLOOKUP(D8844,'Detail Balok'!$C$10:$AU$110,35,FALSE)</f>
        <v>80</v>
      </c>
      <c r="J8864">
        <f>(IF(D8864=0,(2*(D8845+G8845))-(F$5*8),IF(D8864=3,(2*(D8845+G8845))-(F$5*8)+(G8845-2*F$5),IF(D8864=4,(2*(D8845+G8845))-(F$5*8)+2*(G8845-2*F$5)))))/1000</f>
        <v>1.8</v>
      </c>
      <c r="K8864" t="str">
        <v>+</v>
      </c>
      <c r="L8864">
        <f>IF(D8864=0,2*MAX(6*F8864,75),(D8864-1)*2*MAX(6*F8864,75))/1000</f>
        <v>0.3</v>
      </c>
      <c r="M8864" t="str">
        <v>=</v>
      </c>
      <c r="N8864">
        <f>J8864+L8864</f>
        <v>2.1</v>
      </c>
      <c r="T8864" t="str">
        <v>x</v>
      </c>
      <c r="U8864">
        <f>0.006165*F8864^2</f>
        <v>0.6165</v>
      </c>
      <c r="V8864" t="str">
        <v>x</v>
      </c>
      <c r="W8864">
        <f>IF(D8847&gt;4*G8845,ROUND(MAX(D8847/4,2*G8845)/H8864,0)+1,ROUND(D8847/H8864,0)+1)</f>
        <v>16</v>
      </c>
      <c r="X8864" t="str">
        <v>x</v>
      </c>
      <c r="Y8864">
        <f>D8850</f>
        <v>1</v>
      </c>
      <c r="Z8864" t="str">
        <v>=</v>
      </c>
      <c r="AA8864">
        <f>N8864*U8864*W8864*Y8864</f>
        <v>20.7144</v>
      </c>
    </row>
    <row r="8865">
      <c r="A8865" t="str">
        <f>A8844</f>
        <v>Lantai Attic</v>
      </c>
      <c r="B8865">
        <f>B8844</f>
        <v>31</v>
      </c>
      <c r="C8865" t="str">
        <v>Sengkang Lapangan</v>
      </c>
      <c r="D8865">
        <f>VLOOKUP(D8844,'Detail Balok'!$C$10:$AU$110,36,FALSE)</f>
        <v>0</v>
      </c>
      <c r="E8865" t="str">
        <v>D</v>
      </c>
      <c r="F8865">
        <f>VLOOKUP(D8844,'Detail Balok'!$C$10:$AU$110,38,FALSE)</f>
        <v>10</v>
      </c>
      <c r="G8865" t="str">
        <v>-</v>
      </c>
      <c r="H8865">
        <f>VLOOKUP(D8844,'Detail Balok'!$C$10:$AU$110,40,FALSE)</f>
        <v>150</v>
      </c>
      <c r="J8865">
        <f>(IF(D8865=0,(2*(D8845+G8845))-(F$5*8),IF(D8865=3,(2*(D8845+G8845))-(F$5*8)+(G8845-2*F$5),IF(D8865=4,(2*(D8845+G8845))-(F$5*8)+2*(G8845-2*F$5)))))/1000</f>
        <v>1.28</v>
      </c>
      <c r="K8865" t="str">
        <v>+</v>
      </c>
      <c r="L8865">
        <f>IF(D8865=0,2*MAX(6*F8865,75),(D8865-1)*2*MAX(6*F8865,75))/1000</f>
        <v>0.15</v>
      </c>
      <c r="M8865" t="str">
        <v>=</v>
      </c>
      <c r="N8865">
        <f>J8865+L8865</f>
        <v>1.43</v>
      </c>
      <c r="T8865" t="str">
        <v>x</v>
      </c>
      <c r="U8865">
        <f>0.006165*F8865^2</f>
        <v>0.6165</v>
      </c>
      <c r="V8865" t="str">
        <v>x</v>
      </c>
      <c r="W8865">
        <f>IF(D8847-MAX(D8847/4,2*G8845)*2&gt;0,ROUND((D8847-MAX(D8847/4,2*G8845)*2)/H8865,0),0)</f>
        <v>3</v>
      </c>
      <c r="X8865" t="str">
        <v>x</v>
      </c>
      <c r="Y8865">
        <f>D8850</f>
        <v>1</v>
      </c>
      <c r="Z8865" t="str">
        <v>=</v>
      </c>
      <c r="AA8865">
        <f>N8865*U8865*W8865*Y8865</f>
        <v>2.644785</v>
      </c>
    </row>
    <row r="8866">
      <c r="A8866" t="str">
        <f>A8844</f>
        <v>Lantai Attic</v>
      </c>
      <c r="B8866">
        <f>B8844</f>
        <v>31</v>
      </c>
      <c r="C8866" t="str">
        <v>Sengkang Tumpuan</v>
      </c>
      <c r="D8866">
        <f>VLOOKUP(D8844,'Detail Balok'!$C$10:$AU$110,41,FALSE)</f>
        <v>3</v>
      </c>
      <c r="E8866" t="str">
        <v>D</v>
      </c>
      <c r="F8866">
        <f>VLOOKUP(D8844,'Detail Balok'!$C$10:$AU$110,43,FALSE)</f>
        <v>10</v>
      </c>
      <c r="G8866" t="str">
        <v>-</v>
      </c>
      <c r="H8866">
        <f>VLOOKUP(D8844,'Detail Balok'!$C$10:$AU$110,45,FALSE)</f>
        <v>80</v>
      </c>
      <c r="J8866">
        <f>(IF(D8866=0,(2*(D8845+G8845))-(F$5*8),IF(D8866=3,(2*(D8845+G8845))-(F$5*8)+(G8845-2*F$5),IF(D8866=4,(2*(D8845+G8845))-(F$5*8)+2*(G8845-2*F$5)))))/1000</f>
        <v>1.8</v>
      </c>
      <c r="K8866" t="str">
        <v>+</v>
      </c>
      <c r="L8866">
        <f>IF(D8866=0,2*MAX(6*F8866,75),(D8866-1)*2*MAX(6*F8866,75))/1000</f>
        <v>0.3</v>
      </c>
      <c r="M8866" t="str">
        <v>=</v>
      </c>
      <c r="N8866">
        <f>J8866+L8866</f>
        <v>2.1</v>
      </c>
      <c r="T8866" t="str">
        <v>x</v>
      </c>
      <c r="U8866">
        <f>0.006165*F8866^2</f>
        <v>0.6165</v>
      </c>
      <c r="V8866" t="str">
        <v>x</v>
      </c>
      <c r="W8866">
        <f>IF(D8847&gt;4*G8845,ROUND(MAX(D8847/4,2*G8845)/H8866,0)+1,0)</f>
        <v>16</v>
      </c>
      <c r="X8866" t="str">
        <v>x</v>
      </c>
      <c r="Y8866">
        <f>D8850</f>
        <v>1</v>
      </c>
      <c r="Z8866" t="str">
        <v>=</v>
      </c>
      <c r="AA8866">
        <f>N8866*U8866*W8866*Y8866</f>
        <v>20.7144</v>
      </c>
    </row>
    <row r="8868">
      <c r="A8868" t="str">
        <f>A8844</f>
        <v>Lantai Attic</v>
      </c>
      <c r="B8868">
        <f>B8844</f>
        <v>31</v>
      </c>
      <c r="C8868" t="str">
        <v>Kait Horizontal Tump.</v>
      </c>
      <c r="D8868">
        <f>VLOOKUP(D8844,'Detail Balok'!$C$10:$BJ$110,46,FALSE)</f>
        <v>0</v>
      </c>
      <c r="E8868" t="str">
        <v>D</v>
      </c>
      <c r="F8868">
        <f>VLOOKUP(D8844,'Detail Balok'!$C$10:$BJ$110,48,FALSE)</f>
        <v>0</v>
      </c>
      <c r="G8868" t="str">
        <v>-</v>
      </c>
      <c r="H8868">
        <f>VLOOKUP(D8844,'Detail Balok'!$C$10:$BJ$110,50,FALSE)</f>
        <v>100</v>
      </c>
      <c r="J8868">
        <f>(D8845-2*F$5)/1000</f>
        <v>0.12</v>
      </c>
      <c r="K8868" t="str">
        <v>+</v>
      </c>
      <c r="L8868">
        <f>IF(D8868=0,2*MAX(6*F8868,75),(D8868-1)*2*MAX(6*F8868,75))/1000</f>
        <v>0.15</v>
      </c>
      <c r="M8868" t="str">
        <v>=</v>
      </c>
      <c r="N8868">
        <f>J8868+L8868</f>
        <v>0.27</v>
      </c>
      <c r="T8868" t="str">
        <v>x</v>
      </c>
      <c r="U8868">
        <f>0.006165*F8868^2</f>
        <v>0</v>
      </c>
      <c r="V8868" t="str">
        <v>x</v>
      </c>
      <c r="W8868">
        <f>W8864</f>
        <v>16</v>
      </c>
      <c r="X8868" t="str">
        <v>x</v>
      </c>
      <c r="Y8868">
        <f>D8854</f>
        <v>3</v>
      </c>
      <c r="Z8868" t="str">
        <v>=</v>
      </c>
      <c r="AA8868">
        <f>N8868*U8868*W8868*Y8868</f>
        <v>0</v>
      </c>
    </row>
    <row r="8869">
      <c r="A8869" t="str">
        <f>A8844</f>
        <v>Lantai Attic</v>
      </c>
      <c r="B8869">
        <f>B8844</f>
        <v>31</v>
      </c>
      <c r="C8869" t="str">
        <v>Kait Horizontal Lap.</v>
      </c>
      <c r="D8869">
        <f>VLOOKUP(D8844,'Detail Balok'!$C$10:$BJ$110,51,FALSE)</f>
        <v>0</v>
      </c>
      <c r="E8869" t="str">
        <v>D</v>
      </c>
      <c r="F8869">
        <f>VLOOKUP(D8844,'Detail Balok'!$C$10:$BJ$110,53,FALSE)</f>
        <v>0</v>
      </c>
      <c r="G8869" t="str">
        <v>-</v>
      </c>
      <c r="H8869">
        <f>VLOOKUP(D8844,'Detail Balok'!$C$10:$BJ$110,55,FALSE)</f>
        <v>100</v>
      </c>
      <c r="J8869">
        <f>(D8845-2*F$5)/1000</f>
        <v>0.12</v>
      </c>
      <c r="K8869" t="str">
        <v>+</v>
      </c>
      <c r="L8869">
        <f>IF(D8869=0,2*MAX(6*F8869,75),(D8869-1)*2*MAX(6*F8869,75))/1000</f>
        <v>0.15</v>
      </c>
      <c r="M8869" t="str">
        <v>=</v>
      </c>
      <c r="N8869">
        <f>J8869+L8869</f>
        <v>0.27</v>
      </c>
      <c r="T8869" t="str">
        <v>x</v>
      </c>
      <c r="U8869">
        <f>0.006165*F8869^2</f>
        <v>0</v>
      </c>
      <c r="V8869" t="str">
        <v>x</v>
      </c>
      <c r="W8869">
        <f>W8865</f>
        <v>3</v>
      </c>
      <c r="X8869" t="str">
        <v>x</v>
      </c>
      <c r="Y8869">
        <f>D8854</f>
        <v>3</v>
      </c>
      <c r="Z8869" t="str">
        <v>=</v>
      </c>
      <c r="AA8869">
        <f>N8869*U8869*W8869*Y8869</f>
        <v>0</v>
      </c>
    </row>
    <row r="8870">
      <c r="A8870" t="str">
        <f>A8844</f>
        <v>Lantai Attic</v>
      </c>
      <c r="B8870">
        <f>B8844</f>
        <v>31</v>
      </c>
      <c r="C8870" t="str">
        <v>Kait Horizontal Tump.</v>
      </c>
      <c r="D8870">
        <f>VLOOKUP(D8844,'Detail Balok'!$C$10:$BJ$110,56,FALSE)</f>
        <v>0</v>
      </c>
      <c r="E8870" t="str">
        <v>D</v>
      </c>
      <c r="F8870">
        <f>VLOOKUP(D8844,'Detail Balok'!$C$10:$BJ$110,58,FALSE)</f>
        <v>0</v>
      </c>
      <c r="G8870" t="str">
        <v>-</v>
      </c>
      <c r="H8870">
        <f>VLOOKUP(D8844,'Detail Balok'!$C$10:$BJ$110,60,FALSE)</f>
        <v>100</v>
      </c>
      <c r="J8870">
        <f>(D8845-2*F$5)/1000</f>
        <v>0.12</v>
      </c>
      <c r="K8870" t="str">
        <v>+</v>
      </c>
      <c r="L8870">
        <f>IF(D8870=0,2*MAX(6*F8870,75),(D8870-1)*2*MAX(6*F8870,75))/1000</f>
        <v>0.15</v>
      </c>
      <c r="M8870" t="str">
        <v>=</v>
      </c>
      <c r="N8870">
        <f>J8870+L8870</f>
        <v>0.27</v>
      </c>
      <c r="T8870" t="str">
        <v>x</v>
      </c>
      <c r="U8870">
        <f>0.006165*F8870^2</f>
        <v>0</v>
      </c>
      <c r="V8870" t="str">
        <v>x</v>
      </c>
      <c r="W8870">
        <f>W8866</f>
        <v>16</v>
      </c>
      <c r="X8870" t="str">
        <v>x</v>
      </c>
      <c r="Y8870">
        <f>D8854</f>
        <v>3</v>
      </c>
      <c r="Z8870" t="str">
        <v>=</v>
      </c>
      <c r="AA8870">
        <f>N8870*U8870*W8870*Y8870</f>
        <v>0</v>
      </c>
    </row>
    <row r="8874">
      <c r="A8874" t="str">
        <f>A8844</f>
        <v>Lantai Attic</v>
      </c>
      <c r="B8874">
        <f>B8844+1</f>
        <v>32</v>
      </c>
      <c r="C8874" t="str">
        <f>CONCATENATE(A8874," no. ",B8874)</f>
        <v>Lantai Attic no. 32</v>
      </c>
      <c r="D8874" t="str">
        <f>VLOOKUP(C8874,'Data Panjang Balok'!$C$9:$N$424,2,FALSE)</f>
        <v>Potongan D</v>
      </c>
    </row>
    <row r="8875">
      <c r="C8875" t="str">
        <v>Dimensi</v>
      </c>
      <c r="D8875">
        <f>VLOOKUP(D8874,'Detail Balok'!$C$10:$AU$110,2,FALSE)</f>
        <v>300</v>
      </c>
      <c r="F8875" t="str">
        <v>x</v>
      </c>
      <c r="G8875">
        <f>VLOOKUP(D8874,'Detail Balok'!$C$10:$AU$110,3,FALSE)</f>
        <v>600</v>
      </c>
    </row>
    <row r="8876">
      <c r="C8876" t="str">
        <v>Panjang as ke as</v>
      </c>
      <c r="D8876">
        <f>VLOOKUP(C8874,'Data Panjang Balok'!$C$9:$N$424,4,FALSE)</f>
        <v>1350</v>
      </c>
    </row>
    <row r="8877">
      <c r="C8877" t="str">
        <v>Panjang netto</v>
      </c>
      <c r="D8877">
        <f>VLOOKUP(C8874,'Data Panjang Balok'!$C$9:$N$424,7,FALSE)</f>
        <v>1350</v>
      </c>
    </row>
    <row r="8878">
      <c r="C8878" t="str">
        <v>Kolom / balok kiri</v>
      </c>
      <c r="D8878">
        <f>VLOOKUP(C8874,'Data Panjang Balok'!$C$9:$N$424,9,FALSE)</f>
        <v>0</v>
      </c>
    </row>
    <row r="8879">
      <c r="C8879" t="str">
        <v>Kolom / balok kanan</v>
      </c>
      <c r="D8879">
        <f>VLOOKUP(C8874,'Data Panjang Balok'!$C$9:$N$424,10,FALSE)</f>
        <v>0</v>
      </c>
    </row>
    <row r="8880">
      <c r="C8880" t="str">
        <v>Jumlah</v>
      </c>
      <c r="D8880">
        <f>VLOOKUP(C8874,'Data Panjang Balok'!$C$9:$N$424,3,FALSE)</f>
        <v>1</v>
      </c>
    </row>
    <row r="8881">
      <c r="A8881" t="str">
        <f>A8874</f>
        <v>Lantai Attic</v>
      </c>
      <c r="B8881">
        <f>B8874</f>
        <v>32</v>
      </c>
      <c r="C8881" t="str">
        <v>Tul Atas Tumpuan</v>
      </c>
      <c r="D8881">
        <f>VLOOKUP(D8874,'Detail Balok'!$C$10:$AU$110,4,FALSE)</f>
        <v>8</v>
      </c>
      <c r="E8881" t="str">
        <v>D</v>
      </c>
      <c r="F8881">
        <f>VLOOKUP(D8874,'Detail Balok'!$C$10:$AU$110,6,FALSE)</f>
        <v>19</v>
      </c>
      <c r="I8881" t="str">
        <v>(</v>
      </c>
      <c r="J8881">
        <f>+D8876/4/1000</f>
        <v>0.3375</v>
      </c>
      <c r="K8881" t="str">
        <v>+</v>
      </c>
      <c r="L8881">
        <f>MAX(VLOOKUP(F8881,N$6:P$15,3,FALSE)/1000,2/3*D8878/1000)+F$16*F8881/1000</f>
        <v>0.228</v>
      </c>
      <c r="M8881" t="str">
        <v>=</v>
      </c>
      <c r="N8881">
        <f>J8881+L8881</f>
        <v>0.5655</v>
      </c>
      <c r="O8881" t="str">
        <v>+</v>
      </c>
      <c r="P8881">
        <f>D8881-D8882</f>
        <v>0</v>
      </c>
      <c r="Q8881" t="str">
        <v>x</v>
      </c>
      <c r="R8881">
        <f>IF(P8881&gt;0,$F$18*F8881/1000,0)</f>
        <v>0</v>
      </c>
      <c r="S8881" t="str">
        <v>)</v>
      </c>
      <c r="T8881" t="str">
        <v>x</v>
      </c>
      <c r="U8881">
        <f>0.006165*F8881^2</f>
        <v>2.225565</v>
      </c>
      <c r="X8881" t="str">
        <v>x</v>
      </c>
      <c r="Y8881">
        <f>D8880</f>
        <v>1</v>
      </c>
      <c r="Z8881" t="str">
        <v>=</v>
      </c>
      <c r="AA8881">
        <f>IF(AA8884=0,(D8881*N8881+P8881*R8881)*U8881*Y8881,0)</f>
        <v>0</v>
      </c>
    </row>
    <row r="8882">
      <c r="A8882" t="str">
        <f>A8874</f>
        <v>Lantai Attic</v>
      </c>
      <c r="B8882">
        <f>B8874</f>
        <v>32</v>
      </c>
      <c r="C8882" t="str">
        <v>Tul Atas Lapangan</v>
      </c>
      <c r="D8882">
        <f>VLOOKUP(D8874,'Detail Balok'!$C$10:$AU$110,7,FALSE)</f>
        <v>8</v>
      </c>
      <c r="E8882" t="str">
        <v>D</v>
      </c>
      <c r="F8882">
        <f>VLOOKUP(D8874,'Detail Balok'!$C$10:$AU$110,9,FALSE)</f>
        <v>19</v>
      </c>
      <c r="I8882" t="str">
        <v>(</v>
      </c>
      <c r="J8882">
        <f>+D8876/2/1000</f>
        <v>0.675</v>
      </c>
      <c r="K8882" t="str">
        <v>+</v>
      </c>
      <c r="M8882" t="str">
        <v>=</v>
      </c>
      <c r="N8882">
        <f>J8882+L8882</f>
        <v>0.675</v>
      </c>
      <c r="O8882" t="str">
        <v>+</v>
      </c>
      <c r="P8882">
        <f>MAX(D8882-D8881,D8882-D8883)</f>
        <v>0</v>
      </c>
      <c r="Q8882" t="str">
        <v>x</v>
      </c>
      <c r="R8882">
        <f>IF(P8882&gt;0,2*(1-2*$F$19-1/2)*D8877/1000,0)</f>
        <v>0</v>
      </c>
      <c r="S8882" t="str">
        <v>)</v>
      </c>
      <c r="T8882" t="str">
        <v>x</v>
      </c>
      <c r="U8882">
        <f>0.006165*F8882^2</f>
        <v>2.225565</v>
      </c>
      <c r="X8882" t="str">
        <v>x</v>
      </c>
      <c r="Y8882">
        <f>D8880</f>
        <v>1</v>
      </c>
      <c r="Z8882" t="str">
        <v>=</v>
      </c>
      <c r="AA8882">
        <f>IF(AA8884=0,(D8882*N8882+P8882*R8882)*U8882*Y8882,0)</f>
        <v>0</v>
      </c>
    </row>
    <row r="8883">
      <c r="A8883" t="str">
        <f>A8874</f>
        <v>Lantai Attic</v>
      </c>
      <c r="B8883">
        <f>B8874</f>
        <v>32</v>
      </c>
      <c r="C8883" t="str">
        <v>Tul Atas Tumpuan</v>
      </c>
      <c r="D8883">
        <f>VLOOKUP(D8874,'Detail Balok'!$C$10:$AU$110,10,FALSE)</f>
        <v>8</v>
      </c>
      <c r="E8883" t="str">
        <v>D</v>
      </c>
      <c r="F8883">
        <f>VLOOKUP(D8874,'Detail Balok'!$C$10:$AU$110,12,FALSE)</f>
        <v>19</v>
      </c>
      <c r="I8883" t="str">
        <v>(</v>
      </c>
      <c r="J8883">
        <f>+D8876/4/1000</f>
        <v>0.3375</v>
      </c>
      <c r="K8883" t="str">
        <v>+</v>
      </c>
      <c r="L8883">
        <f>MAX(VLOOKUP(F8883,N$6:P$15,3,FALSE)/1000,2/3*D8878/1000)+F$16*F8883/1000</f>
        <v>0.228</v>
      </c>
      <c r="M8883" t="str">
        <v>=</v>
      </c>
      <c r="N8883">
        <f>J8883+L8883</f>
        <v>0.5655</v>
      </c>
      <c r="O8883" t="str">
        <v>+</v>
      </c>
      <c r="P8883">
        <f>D8883-D8882</f>
        <v>0</v>
      </c>
      <c r="Q8883" t="str">
        <v>x</v>
      </c>
      <c r="R8883">
        <f>IF(P8883&gt;0,$F$18*F8883/1000,0)</f>
        <v>0</v>
      </c>
      <c r="S8883" t="str">
        <v>)</v>
      </c>
      <c r="T8883" t="str">
        <v>x</v>
      </c>
      <c r="U8883">
        <f>0.006165*F8883^2</f>
        <v>2.225565</v>
      </c>
      <c r="X8883" t="str">
        <v>x</v>
      </c>
      <c r="Y8883">
        <f>D8880</f>
        <v>1</v>
      </c>
      <c r="Z8883" t="str">
        <v>=</v>
      </c>
      <c r="AA8883">
        <f>IF(AA8884=0,(D8883*N8883+P8883*R8883)*U8883*Y8883,0)</f>
        <v>0</v>
      </c>
    </row>
    <row r="8884">
      <c r="A8884" t="str">
        <f>A8874</f>
        <v>Lantai Attic</v>
      </c>
      <c r="B8884">
        <f>B8874</f>
        <v>32</v>
      </c>
      <c r="D8884">
        <f>IF(AND(D8881=D8882,D8882=D8883,D8881=D8883),D8881,0)</f>
        <v>8</v>
      </c>
      <c r="E8884" t="str">
        <v>D</v>
      </c>
      <c r="F8884">
        <f>IF(AND(F8881=F8882,F8881=F8883,F8882=F8883),F8881,0)</f>
        <v>19</v>
      </c>
      <c r="L8884" t="str">
        <v>Total panjang per balok</v>
      </c>
      <c r="M8884" t="str">
        <v>=</v>
      </c>
      <c r="N8884">
        <f>IF(AND(D8881=D8882,D8881=D8883,D8882=D8883,F8881=F8882,F8881=F8883,F8882=F8883),SUM(N8881:N8883),0)</f>
        <v>1.806</v>
      </c>
      <c r="O8884" t="str">
        <v>+</v>
      </c>
      <c r="P8884">
        <f>IF(N8884&gt;12,ROUNDDOWN(N8884/12,0),0)</f>
        <v>0</v>
      </c>
      <c r="Q8884" t="str">
        <v>x</v>
      </c>
      <c r="R8884">
        <f>IF(P8884&gt;0,MAX(VLOOKUP(F8884,$D$6:$G$15,3,FALSE),600),0)/1000</f>
        <v>0</v>
      </c>
      <c r="T8884" t="str">
        <v>x</v>
      </c>
      <c r="U8884">
        <f>U8883</f>
        <v>2.225565</v>
      </c>
      <c r="V8884" t="str">
        <v>x</v>
      </c>
      <c r="W8884">
        <f>D8884</f>
        <v>8</v>
      </c>
      <c r="X8884" t="str">
        <v>x</v>
      </c>
      <c r="Y8884">
        <f>Y8883</f>
        <v>1</v>
      </c>
      <c r="Z8884" t="str">
        <v>=</v>
      </c>
      <c r="AA8884">
        <f>(N8884+P8884*R8884/1000)*U8884*W8884*Y8884</f>
        <v>32.15496312</v>
      </c>
    </row>
    <row r="8886">
      <c r="A8886" t="str">
        <f>A8874</f>
        <v>Lantai Attic</v>
      </c>
      <c r="B8886">
        <f>B8874</f>
        <v>32</v>
      </c>
      <c r="C8886" t="str">
        <v>Tul Peminggang</v>
      </c>
      <c r="D8886">
        <f>VLOOKUP(D8874,'Detail Balok'!$C$10:$AU$110,13,FALSE)</f>
        <v>2</v>
      </c>
      <c r="E8886" t="str">
        <v>D</v>
      </c>
      <c r="F8886">
        <f>VLOOKUP(D8874,'Detail Balok'!$C$10:$AU$110,15,FALSE)</f>
        <v>10</v>
      </c>
      <c r="J8886">
        <f>+D8876/1000</f>
        <v>1.35</v>
      </c>
      <c r="K8886" t="str">
        <v>+</v>
      </c>
      <c r="L8886">
        <f>2*$F$16*F8886/1000</f>
        <v>0.24</v>
      </c>
      <c r="M8886" t="str">
        <v>=</v>
      </c>
      <c r="N8886">
        <f>J8886+L8886</f>
        <v>1.59</v>
      </c>
      <c r="O8886" t="str">
        <v>+</v>
      </c>
      <c r="P8886">
        <f>IF(N8886&gt;12,ROUNDDOWN(N8886/12,0),0)</f>
        <v>0</v>
      </c>
      <c r="Q8886" t="str">
        <v>x</v>
      </c>
      <c r="R8886">
        <f>IF(P8886&gt;0,MAX(VLOOKUP(F8886,$D$6:$G$15,3,FALSE),600),0)/1000</f>
        <v>0</v>
      </c>
      <c r="T8886" t="str">
        <v>x</v>
      </c>
      <c r="U8886">
        <f>0.006165*F8886^2</f>
        <v>0.6165</v>
      </c>
      <c r="V8886" t="str">
        <v>x</v>
      </c>
      <c r="W8886">
        <f>+D8886</f>
        <v>2</v>
      </c>
      <c r="X8886" t="str">
        <v>x</v>
      </c>
      <c r="Y8886">
        <f>D8880</f>
        <v>1</v>
      </c>
      <c r="Z8886" t="str">
        <v>=</v>
      </c>
      <c r="AA8886">
        <f>(N8886+P8886*R8886/1000)*U8886*W8886*Y8886</f>
        <v>1.9604700000000002</v>
      </c>
    </row>
    <row r="8889">
      <c r="A8889" t="str">
        <f>A8874</f>
        <v>Lantai Attic</v>
      </c>
      <c r="B8889">
        <f>B8874</f>
        <v>32</v>
      </c>
      <c r="C8889" t="str">
        <v>Tul Bawah Tumpuan</v>
      </c>
      <c r="D8889">
        <f>VLOOKUP(D8874,'Detail Balok'!$C$10:$AU$110,22,FALSE)</f>
        <v>4</v>
      </c>
      <c r="E8889" t="str">
        <v>D</v>
      </c>
      <c r="F8889">
        <f>VLOOKUP(D8874,'Detail Balok'!$C$10:$AU$110,24,FALSE)</f>
        <v>19</v>
      </c>
      <c r="I8889" t="str">
        <v>(</v>
      </c>
      <c r="J8889">
        <f>+J8881</f>
        <v>0.3375</v>
      </c>
      <c r="K8889" t="str">
        <v>+</v>
      </c>
      <c r="L8889">
        <f>MAX(VLOOKUP(F8889,N$6:P$15,3,FALSE)/1000,2/3*D8879/1000)+F$16*F8889/1000</f>
        <v>0.228</v>
      </c>
      <c r="M8889" t="str">
        <v>=</v>
      </c>
      <c r="N8889">
        <f>J8889+L8889</f>
        <v>0.5655</v>
      </c>
      <c r="O8889" t="str">
        <v>+</v>
      </c>
      <c r="P8889">
        <f>D8889-D8890</f>
        <v>0</v>
      </c>
      <c r="Q8889" t="str">
        <v>x</v>
      </c>
      <c r="R8889">
        <f>IF(P8889&gt;0,$F$18*F8889/1000,0)</f>
        <v>0</v>
      </c>
      <c r="S8889" t="str">
        <v>)</v>
      </c>
      <c r="T8889" t="str">
        <v>x</v>
      </c>
      <c r="U8889">
        <f>0.006165*F8889^2</f>
        <v>2.225565</v>
      </c>
      <c r="X8889" t="str">
        <v>x</v>
      </c>
      <c r="Y8889">
        <f>D8880</f>
        <v>1</v>
      </c>
      <c r="Z8889" t="str">
        <v>=</v>
      </c>
      <c r="AA8889">
        <f>IF(AA8892=0,(D8889*N8889+P8889*R8889)*U8889*Y8889,0)</f>
        <v>0</v>
      </c>
    </row>
    <row r="8890">
      <c r="A8890" t="str">
        <f>A8874</f>
        <v>Lantai Attic</v>
      </c>
      <c r="B8890">
        <f>B8874</f>
        <v>32</v>
      </c>
      <c r="C8890" t="str">
        <v>Tul Bawah Lapangan</v>
      </c>
      <c r="D8890">
        <f>VLOOKUP(D8874,'Detail Balok'!$C$10:$AU$110,25,FALSE)</f>
        <v>4</v>
      </c>
      <c r="E8890" t="str">
        <v>D</v>
      </c>
      <c r="F8890">
        <f>VLOOKUP(D8874,'Detail Balok'!$C$10:$AU$110,27,FALSE)</f>
        <v>19</v>
      </c>
      <c r="I8890" t="str">
        <v>(</v>
      </c>
      <c r="J8890">
        <f>+J8882</f>
        <v>0.675</v>
      </c>
      <c r="K8890" t="str">
        <v>+</v>
      </c>
      <c r="M8890" t="str">
        <v>=</v>
      </c>
      <c r="N8890">
        <f>J8890+L8890</f>
        <v>0.675</v>
      </c>
      <c r="O8890" t="str">
        <v>+</v>
      </c>
      <c r="P8890">
        <f>MAX(D8890-D8889,D8890-D8891)</f>
        <v>0</v>
      </c>
      <c r="Q8890" t="str">
        <v>x</v>
      </c>
      <c r="R8890">
        <f>IF(P8890&gt;0,2*(1-2*$F$19-1/2)*D8877/1000,0)</f>
        <v>0</v>
      </c>
      <c r="S8890" t="str">
        <v>)</v>
      </c>
      <c r="T8890" t="str">
        <v>x</v>
      </c>
      <c r="U8890">
        <f>0.006165*F8890^2</f>
        <v>2.225565</v>
      </c>
      <c r="X8890" t="str">
        <v>x</v>
      </c>
      <c r="Y8890">
        <f>D8880</f>
        <v>1</v>
      </c>
      <c r="Z8890" t="str">
        <v>=</v>
      </c>
      <c r="AA8890">
        <f>IF(AA8892=0,(D8890*N8890+P8890*R8890)*U8890*Y8890,0)</f>
        <v>0</v>
      </c>
    </row>
    <row r="8891">
      <c r="A8891" t="str">
        <f>A8874</f>
        <v>Lantai Attic</v>
      </c>
      <c r="B8891">
        <f>B8874</f>
        <v>32</v>
      </c>
      <c r="C8891" t="str">
        <v>Tul Bawah Tumpuan</v>
      </c>
      <c r="D8891">
        <f>VLOOKUP(D8874,'Detail Balok'!$C$10:$AU$110,28,FALSE)</f>
        <v>4</v>
      </c>
      <c r="E8891" t="str">
        <v>D</v>
      </c>
      <c r="F8891">
        <f>VLOOKUP(D8874,'Detail Balok'!$C$10:$AU$110,30,FALSE)</f>
        <v>19</v>
      </c>
      <c r="I8891" t="str">
        <v>(</v>
      </c>
      <c r="J8891">
        <f>+J8883</f>
        <v>0.3375</v>
      </c>
      <c r="K8891" t="str">
        <v>+</v>
      </c>
      <c r="L8891">
        <f>MAX(VLOOKUP(F8891,N$6:P$15,3,FALSE)/1000,2/3*D8879/1000)+F$16*F8891/1000</f>
        <v>0.228</v>
      </c>
      <c r="M8891" t="str">
        <v>=</v>
      </c>
      <c r="N8891">
        <f>J8891+L8891</f>
        <v>0.5655</v>
      </c>
      <c r="O8891" t="str">
        <v>+</v>
      </c>
      <c r="P8891">
        <f>D8891-D8890</f>
        <v>0</v>
      </c>
      <c r="Q8891" t="str">
        <v>x</v>
      </c>
      <c r="R8891">
        <f>IF(P8891&gt;0,$F$18*F8891/1000,0)</f>
        <v>0</v>
      </c>
      <c r="S8891" t="str">
        <v>)</v>
      </c>
      <c r="T8891" t="str">
        <v>x</v>
      </c>
      <c r="U8891">
        <f>0.006165*F8891^2</f>
        <v>2.225565</v>
      </c>
      <c r="X8891" t="str">
        <v>x</v>
      </c>
      <c r="Y8891">
        <f>D8880</f>
        <v>1</v>
      </c>
      <c r="Z8891" t="str">
        <v>=</v>
      </c>
      <c r="AA8891">
        <f>IF(AA8892=0,(D8891*N8891+P8891*R8891)*U8891*Y8891,0)</f>
        <v>0</v>
      </c>
    </row>
    <row r="8892">
      <c r="A8892" t="str">
        <f>A8874</f>
        <v>Lantai Attic</v>
      </c>
      <c r="B8892">
        <f>B8874</f>
        <v>32</v>
      </c>
      <c r="D8892">
        <f>IF(AND(D8889=D8890,D8890=D8891,D8889=D8891),D8889,0)</f>
        <v>4</v>
      </c>
      <c r="E8892" t="str">
        <v>D</v>
      </c>
      <c r="F8892">
        <f>IF(AND(F8889=F8890,F8889=F8891,F8890=F8891),F8889,0)</f>
        <v>19</v>
      </c>
      <c r="L8892" t="str">
        <v>Total panjang per balok</v>
      </c>
      <c r="M8892" t="str">
        <v>=</v>
      </c>
      <c r="N8892">
        <f>IF(AND(D8889=D8890,D8889=D8891,D8890=D8891,F8889=F8890,F8889=F8891,F8890=F8891),SUM(N8889:N8891),0)</f>
        <v>1.806</v>
      </c>
      <c r="O8892" t="str">
        <v>+</v>
      </c>
      <c r="P8892">
        <f>IF(N8892&gt;12,ROUNDDOWN(N8892/12,0),0)</f>
        <v>0</v>
      </c>
      <c r="Q8892" t="str">
        <v>x</v>
      </c>
      <c r="R8892">
        <f>IF(P8892&gt;0,MAX(VLOOKUP(F8892,$D$6:$G$15,3,FALSE),600),0)/1000</f>
        <v>0</v>
      </c>
      <c r="T8892" t="str">
        <v>x</v>
      </c>
      <c r="U8892">
        <f>U8891</f>
        <v>2.225565</v>
      </c>
      <c r="V8892" t="str">
        <v>x</v>
      </c>
      <c r="W8892">
        <f>D8892</f>
        <v>4</v>
      </c>
      <c r="X8892" t="str">
        <v>x</v>
      </c>
      <c r="Y8892">
        <f>Y8891</f>
        <v>1</v>
      </c>
      <c r="Z8892" t="str">
        <v>=</v>
      </c>
      <c r="AA8892">
        <f>(N8892+P8892*R8892/1000)*U8892*W8892*Y8892</f>
        <v>16.07748156</v>
      </c>
    </row>
    <row r="8894">
      <c r="A8894" t="str">
        <f>A8874</f>
        <v>Lantai Attic</v>
      </c>
      <c r="B8894">
        <f>B8874</f>
        <v>32</v>
      </c>
      <c r="C8894" t="str">
        <v>Sengkang Tumpuan</v>
      </c>
      <c r="D8894">
        <f>VLOOKUP(D8874,'Detail Balok'!$C$10:$AU$110,31,FALSE)</f>
        <v>3</v>
      </c>
      <c r="E8894" t="str">
        <v>D</v>
      </c>
      <c r="F8894">
        <f>VLOOKUP(D8874,'Detail Balok'!$C$10:$AU$110,33,FALSE)</f>
        <v>10</v>
      </c>
      <c r="G8894" t="str">
        <v>-</v>
      </c>
      <c r="H8894">
        <f>VLOOKUP(D8874,'Detail Balok'!$C$10:$AU$110,35,FALSE)</f>
        <v>90</v>
      </c>
      <c r="J8894">
        <f>(IF(D8894=0,(2*(D8875+G8875))-(F$5*8),IF(D8894=3,(2*(D8875+G8875))-(F$5*8)+(G8875-2*F$5),IF(D8894=4,(2*(D8875+G8875))-(F$5*8)+2*(G8875-2*F$5)))))/1000</f>
        <v>2</v>
      </c>
      <c r="K8894" t="str">
        <v>+</v>
      </c>
      <c r="L8894">
        <f>IF(D8894=0,2*MAX(6*F8894,75),(D8894-1)*2*MAX(6*F8894,75))/1000</f>
        <v>0.3</v>
      </c>
      <c r="M8894" t="str">
        <v>=</v>
      </c>
      <c r="N8894">
        <f>J8894+L8894</f>
        <v>2.3</v>
      </c>
      <c r="T8894" t="str">
        <v>x</v>
      </c>
      <c r="U8894">
        <f>0.006165*F8894^2</f>
        <v>0.6165</v>
      </c>
      <c r="V8894" t="str">
        <v>x</v>
      </c>
      <c r="W8894">
        <f>IF(D8877&gt;4*G8875,ROUND(MAX(D8877/4,2*G8875)/H8894,0)+1,ROUND(D8877/H8894,0)+1)</f>
        <v>16</v>
      </c>
      <c r="X8894" t="str">
        <v>x</v>
      </c>
      <c r="Y8894">
        <f>D8880</f>
        <v>1</v>
      </c>
      <c r="Z8894" t="str">
        <v>=</v>
      </c>
      <c r="AA8894">
        <f>N8894*U8894*W8894*Y8894</f>
        <v>22.6872</v>
      </c>
    </row>
    <row r="8895">
      <c r="A8895" t="str">
        <f>A8874</f>
        <v>Lantai Attic</v>
      </c>
      <c r="B8895">
        <f>B8874</f>
        <v>32</v>
      </c>
      <c r="C8895" t="str">
        <v>Sengkang Lapangan</v>
      </c>
      <c r="D8895">
        <f>VLOOKUP(D8874,'Detail Balok'!$C$10:$AU$110,36,FALSE)</f>
        <v>3</v>
      </c>
      <c r="E8895" t="str">
        <v>D</v>
      </c>
      <c r="F8895">
        <f>VLOOKUP(D8874,'Detail Balok'!$C$10:$AU$110,38,FALSE)</f>
        <v>10</v>
      </c>
      <c r="G8895" t="str">
        <v>-</v>
      </c>
      <c r="H8895">
        <f>VLOOKUP(D8874,'Detail Balok'!$C$10:$AU$110,40,FALSE)</f>
        <v>90</v>
      </c>
      <c r="J8895">
        <f>(IF(D8895=0,(2*(D8875+G8875))-(F$5*8),IF(D8895=3,(2*(D8875+G8875))-(F$5*8)+(G8875-2*F$5),IF(D8895=4,(2*(D8875+G8875))-(F$5*8)+2*(G8875-2*F$5)))))/1000</f>
        <v>2</v>
      </c>
      <c r="K8895" t="str">
        <v>+</v>
      </c>
      <c r="L8895">
        <f>IF(D8895=0,2*MAX(6*F8895,75),(D8895-1)*2*MAX(6*F8895,75))/1000</f>
        <v>0.3</v>
      </c>
      <c r="M8895" t="str">
        <v>=</v>
      </c>
      <c r="N8895">
        <f>J8895+L8895</f>
        <v>2.3</v>
      </c>
      <c r="T8895" t="str">
        <v>x</v>
      </c>
      <c r="U8895">
        <f>0.006165*F8895^2</f>
        <v>0.6165</v>
      </c>
      <c r="V8895" t="str">
        <v>x</v>
      </c>
      <c r="W8895">
        <f>IF(D8877-MAX(D8877/4,2*G8875)*2&gt;0,ROUND((D8877-MAX(D8877/4,2*G8875)*2)/H8895,0),0)</f>
        <v>0</v>
      </c>
      <c r="X8895" t="str">
        <v>x</v>
      </c>
      <c r="Y8895">
        <f>D8880</f>
        <v>1</v>
      </c>
      <c r="Z8895" t="str">
        <v>=</v>
      </c>
      <c r="AA8895">
        <f>N8895*U8895*W8895*Y8895</f>
        <v>0</v>
      </c>
    </row>
    <row r="8896">
      <c r="A8896" t="str">
        <f>A8874</f>
        <v>Lantai Attic</v>
      </c>
      <c r="B8896">
        <f>B8874</f>
        <v>32</v>
      </c>
      <c r="C8896" t="str">
        <v>Sengkang Tumpuan</v>
      </c>
      <c r="D8896">
        <f>VLOOKUP(D8874,'Detail Balok'!$C$10:$AU$110,41,FALSE)</f>
        <v>3</v>
      </c>
      <c r="E8896" t="str">
        <v>D</v>
      </c>
      <c r="F8896">
        <f>VLOOKUP(D8874,'Detail Balok'!$C$10:$AU$110,43,FALSE)</f>
        <v>10</v>
      </c>
      <c r="G8896" t="str">
        <v>-</v>
      </c>
      <c r="H8896">
        <f>VLOOKUP(D8874,'Detail Balok'!$C$10:$AU$110,45,FALSE)</f>
        <v>90</v>
      </c>
      <c r="J8896">
        <f>(IF(D8896=0,(2*(D8875+G8875))-(F$5*8),IF(D8896=3,(2*(D8875+G8875))-(F$5*8)+(G8875-2*F$5),IF(D8896=4,(2*(D8875+G8875))-(F$5*8)+2*(G8875-2*F$5)))))/1000</f>
        <v>2</v>
      </c>
      <c r="K8896" t="str">
        <v>+</v>
      </c>
      <c r="L8896">
        <f>IF(D8896=0,2*MAX(6*F8896,75),(D8896-1)*2*MAX(6*F8896,75))/1000</f>
        <v>0.3</v>
      </c>
      <c r="M8896" t="str">
        <v>=</v>
      </c>
      <c r="N8896">
        <f>J8896+L8896</f>
        <v>2.3</v>
      </c>
      <c r="T8896" t="str">
        <v>x</v>
      </c>
      <c r="U8896">
        <f>0.006165*F8896^2</f>
        <v>0.6165</v>
      </c>
      <c r="V8896" t="str">
        <v>x</v>
      </c>
      <c r="W8896">
        <f>IF(D8877&gt;4*G8875,ROUND(MAX(D8877/4,2*G8875)/H8896,0)+1,0)</f>
        <v>0</v>
      </c>
      <c r="X8896" t="str">
        <v>x</v>
      </c>
      <c r="Y8896">
        <f>D8880</f>
        <v>1</v>
      </c>
      <c r="Z8896" t="str">
        <v>=</v>
      </c>
      <c r="AA8896">
        <f>N8896*U8896*W8896*Y8896</f>
        <v>0</v>
      </c>
    </row>
    <row r="8898">
      <c r="A8898" t="str">
        <f>A8874</f>
        <v>Lantai Attic</v>
      </c>
      <c r="B8898">
        <f>B8874</f>
        <v>32</v>
      </c>
      <c r="C8898" t="str">
        <v>Kait Horizontal Tump.</v>
      </c>
      <c r="D8898">
        <f>VLOOKUP(D8874,'Detail Balok'!$C$10:$BJ$110,46,FALSE)</f>
        <v>0</v>
      </c>
      <c r="E8898" t="str">
        <v>D</v>
      </c>
      <c r="F8898">
        <f>VLOOKUP(D8874,'Detail Balok'!$C$10:$BJ$110,48,FALSE)</f>
        <v>0</v>
      </c>
      <c r="G8898" t="str">
        <v>-</v>
      </c>
      <c r="H8898">
        <f>VLOOKUP(D8874,'Detail Balok'!$C$10:$BJ$110,50,FALSE)</f>
        <v>100</v>
      </c>
      <c r="J8898">
        <f>(D8875-2*F$5)/1000</f>
        <v>0.22</v>
      </c>
      <c r="K8898" t="str">
        <v>+</v>
      </c>
      <c r="L8898">
        <f>IF(D8898=0,2*MAX(6*F8898,75),(D8898-1)*2*MAX(6*F8898,75))/1000</f>
        <v>0.15</v>
      </c>
      <c r="M8898" t="str">
        <v>=</v>
      </c>
      <c r="N8898">
        <f>J8898+L8898</f>
        <v>0.37</v>
      </c>
      <c r="T8898" t="str">
        <v>x</v>
      </c>
      <c r="U8898">
        <f>0.006165*F8898^2</f>
        <v>0</v>
      </c>
      <c r="V8898" t="str">
        <v>x</v>
      </c>
      <c r="W8898">
        <f>W8894</f>
        <v>16</v>
      </c>
      <c r="X8898" t="str">
        <v>x</v>
      </c>
      <c r="Y8898">
        <f>D8884</f>
        <v>8</v>
      </c>
      <c r="Z8898" t="str">
        <v>=</v>
      </c>
      <c r="AA8898">
        <f>N8898*U8898*W8898*Y8898</f>
        <v>0</v>
      </c>
    </row>
    <row r="8899">
      <c r="A8899" t="str">
        <f>A8874</f>
        <v>Lantai Attic</v>
      </c>
      <c r="B8899">
        <f>B8874</f>
        <v>32</v>
      </c>
      <c r="C8899" t="str">
        <v>Kait Horizontal Lap.</v>
      </c>
      <c r="D8899">
        <f>VLOOKUP(D8874,'Detail Balok'!$C$10:$BJ$110,51,FALSE)</f>
        <v>0</v>
      </c>
      <c r="E8899" t="str">
        <v>D</v>
      </c>
      <c r="F8899">
        <f>VLOOKUP(D8874,'Detail Balok'!$C$10:$BJ$110,53,FALSE)</f>
        <v>0</v>
      </c>
      <c r="G8899" t="str">
        <v>-</v>
      </c>
      <c r="H8899">
        <f>VLOOKUP(D8874,'Detail Balok'!$C$10:$BJ$110,55,FALSE)</f>
        <v>100</v>
      </c>
      <c r="J8899">
        <f>(D8875-2*F$5)/1000</f>
        <v>0.22</v>
      </c>
      <c r="K8899" t="str">
        <v>+</v>
      </c>
      <c r="L8899">
        <f>IF(D8899=0,2*MAX(6*F8899,75),(D8899-1)*2*MAX(6*F8899,75))/1000</f>
        <v>0.15</v>
      </c>
      <c r="M8899" t="str">
        <v>=</v>
      </c>
      <c r="N8899">
        <f>J8899+L8899</f>
        <v>0.37</v>
      </c>
      <c r="T8899" t="str">
        <v>x</v>
      </c>
      <c r="U8899">
        <f>0.006165*F8899^2</f>
        <v>0</v>
      </c>
      <c r="V8899" t="str">
        <v>x</v>
      </c>
      <c r="W8899">
        <f>W8895</f>
        <v>0</v>
      </c>
      <c r="X8899" t="str">
        <v>x</v>
      </c>
      <c r="Y8899">
        <f>D8884</f>
        <v>8</v>
      </c>
      <c r="Z8899" t="str">
        <v>=</v>
      </c>
      <c r="AA8899">
        <f>N8899*U8899*W8899*Y8899</f>
        <v>0</v>
      </c>
    </row>
    <row r="8900">
      <c r="A8900" t="str">
        <f>A8874</f>
        <v>Lantai Attic</v>
      </c>
      <c r="B8900">
        <f>B8874</f>
        <v>32</v>
      </c>
      <c r="C8900" t="str">
        <v>Kait Horizontal Tump.</v>
      </c>
      <c r="D8900">
        <f>VLOOKUP(D8874,'Detail Balok'!$C$10:$BJ$110,56,FALSE)</f>
        <v>0</v>
      </c>
      <c r="E8900" t="str">
        <v>D</v>
      </c>
      <c r="F8900">
        <f>VLOOKUP(D8874,'Detail Balok'!$C$10:$BJ$110,58,FALSE)</f>
        <v>0</v>
      </c>
      <c r="G8900" t="str">
        <v>-</v>
      </c>
      <c r="H8900">
        <f>VLOOKUP(D8874,'Detail Balok'!$C$10:$BJ$110,60,FALSE)</f>
        <v>100</v>
      </c>
      <c r="J8900">
        <f>(D8875-2*F$5)/1000</f>
        <v>0.22</v>
      </c>
      <c r="K8900" t="str">
        <v>+</v>
      </c>
      <c r="L8900">
        <f>IF(D8900=0,2*MAX(6*F8900,75),(D8900-1)*2*MAX(6*F8900,75))/1000</f>
        <v>0.15</v>
      </c>
      <c r="M8900" t="str">
        <v>=</v>
      </c>
      <c r="N8900">
        <f>J8900+L8900</f>
        <v>0.37</v>
      </c>
      <c r="T8900" t="str">
        <v>x</v>
      </c>
      <c r="U8900">
        <f>0.006165*F8900^2</f>
        <v>0</v>
      </c>
      <c r="V8900" t="str">
        <v>x</v>
      </c>
      <c r="W8900">
        <f>W8896</f>
        <v>0</v>
      </c>
      <c r="X8900" t="str">
        <v>x</v>
      </c>
      <c r="Y8900">
        <f>D8884</f>
        <v>8</v>
      </c>
      <c r="Z8900" t="str">
        <v>=</v>
      </c>
      <c r="AA8900">
        <f>N8900*U8900*W8900*Y8900</f>
        <v>0</v>
      </c>
    </row>
    <row r="8904">
      <c r="A8904" t="str">
        <f>A8874</f>
        <v>Lantai Attic</v>
      </c>
      <c r="B8904">
        <f>B8874+1</f>
        <v>33</v>
      </c>
      <c r="C8904" t="str">
        <f>CONCATENATE(A8904," no. ",B8904)</f>
        <v>Lantai Attic no. 33</v>
      </c>
      <c r="D8904" t="str">
        <f>VLOOKUP(C8904,'Data Panjang Balok'!$C$9:$N$424,2,FALSE)</f>
        <v>B25-5</v>
      </c>
    </row>
    <row r="8905">
      <c r="C8905" t="str">
        <v>Dimensi</v>
      </c>
      <c r="D8905">
        <f>VLOOKUP(D8904,'Detail Balok'!$C$10:$AU$110,2,FALSE)</f>
        <v>200</v>
      </c>
      <c r="F8905" t="str">
        <v>x</v>
      </c>
      <c r="G8905">
        <f>VLOOKUP(D8904,'Detail Balok'!$C$10:$AU$110,3,FALSE)</f>
        <v>500</v>
      </c>
    </row>
    <row r="8906">
      <c r="C8906" t="str">
        <v>Panjang as ke as</v>
      </c>
      <c r="D8906">
        <f>VLOOKUP(C8904,'Data Panjang Balok'!$C$9:$N$424,4,FALSE)</f>
        <v>9750</v>
      </c>
    </row>
    <row r="8907">
      <c r="C8907" t="str">
        <v>Panjang netto</v>
      </c>
      <c r="D8907">
        <f>VLOOKUP(C8904,'Data Panjang Balok'!$C$9:$N$424,7,FALSE)</f>
        <v>9750</v>
      </c>
    </row>
    <row r="8908">
      <c r="C8908" t="str">
        <v>Kolom / balok kiri</v>
      </c>
      <c r="D8908">
        <f>VLOOKUP(C8904,'Data Panjang Balok'!$C$9:$N$424,9,FALSE)</f>
        <v>0</v>
      </c>
    </row>
    <row r="8909">
      <c r="C8909" t="str">
        <v>Kolom / balok kanan</v>
      </c>
      <c r="D8909">
        <f>VLOOKUP(C8904,'Data Panjang Balok'!$C$9:$N$424,10,FALSE)</f>
        <v>0</v>
      </c>
    </row>
    <row r="8910">
      <c r="C8910" t="str">
        <v>Jumlah</v>
      </c>
      <c r="D8910">
        <f>VLOOKUP(C8904,'Data Panjang Balok'!$C$9:$N$424,3,FALSE)</f>
        <v>1</v>
      </c>
    </row>
    <row r="8911">
      <c r="A8911" t="str">
        <f>A8904</f>
        <v>Lantai Attic</v>
      </c>
      <c r="B8911">
        <f>B8904</f>
        <v>33</v>
      </c>
      <c r="C8911" t="str">
        <v>Tul Atas Tumpuan</v>
      </c>
      <c r="D8911">
        <f>VLOOKUP(D8904,'Detail Balok'!$C$10:$AU$110,4,FALSE)</f>
        <v>5</v>
      </c>
      <c r="E8911" t="str">
        <v>D</v>
      </c>
      <c r="F8911">
        <f>VLOOKUP(D8904,'Detail Balok'!$C$10:$AU$110,6,FALSE)</f>
        <v>19</v>
      </c>
      <c r="I8911" t="str">
        <v>(</v>
      </c>
      <c r="J8911">
        <f>+D8906/4/1000</f>
        <v>2.4375</v>
      </c>
      <c r="K8911" t="str">
        <v>+</v>
      </c>
      <c r="L8911">
        <f>MAX(VLOOKUP(F8911,N$6:P$15,3,FALSE)/1000,2/3*D8908/1000)+F$16*F8911/1000</f>
        <v>0.228</v>
      </c>
      <c r="M8911" t="str">
        <v>=</v>
      </c>
      <c r="N8911">
        <f>J8911+L8911</f>
        <v>2.6655</v>
      </c>
      <c r="O8911" t="str">
        <v>+</v>
      </c>
      <c r="P8911">
        <f>D8911-D8912</f>
        <v>3</v>
      </c>
      <c r="Q8911" t="str">
        <v>x</v>
      </c>
      <c r="R8911">
        <f>IF(P8911&gt;0,$F$18*F8911/1000,0)</f>
        <v>0.285</v>
      </c>
      <c r="S8911" t="str">
        <v>)</v>
      </c>
      <c r="T8911" t="str">
        <v>x</v>
      </c>
      <c r="U8911">
        <f>0.006165*F8911^2</f>
        <v>2.225565</v>
      </c>
      <c r="X8911" t="str">
        <v>x</v>
      </c>
      <c r="Y8911">
        <f>D8910</f>
        <v>1</v>
      </c>
      <c r="Z8911" t="str">
        <v>=</v>
      </c>
      <c r="AA8911">
        <f>IF(AA8914=0,(D8911*N8911+P8911*R8911)*U8911*Y8911,0)</f>
        <v>31.5640756125</v>
      </c>
    </row>
    <row r="8912">
      <c r="A8912" t="str">
        <f>A8904</f>
        <v>Lantai Attic</v>
      </c>
      <c r="B8912">
        <f>B8904</f>
        <v>33</v>
      </c>
      <c r="C8912" t="str">
        <v>Tul Atas Lapangan</v>
      </c>
      <c r="D8912">
        <f>VLOOKUP(D8904,'Detail Balok'!$C$10:$AU$110,7,FALSE)</f>
        <v>2</v>
      </c>
      <c r="E8912" t="str">
        <v>D</v>
      </c>
      <c r="F8912">
        <f>VLOOKUP(D8904,'Detail Balok'!$C$10:$AU$110,9,FALSE)</f>
        <v>19</v>
      </c>
      <c r="I8912" t="str">
        <v>(</v>
      </c>
      <c r="J8912">
        <f>+D8906/2/1000</f>
        <v>4.875</v>
      </c>
      <c r="K8912" t="str">
        <v>+</v>
      </c>
      <c r="M8912" t="str">
        <v>=</v>
      </c>
      <c r="N8912">
        <f>J8912+L8912</f>
        <v>4.875</v>
      </c>
      <c r="O8912" t="str">
        <v>+</v>
      </c>
      <c r="P8912">
        <f>MAX(D8912-D8911,D8912-D8913)</f>
        <v>-3</v>
      </c>
      <c r="Q8912" t="str">
        <v>x</v>
      </c>
      <c r="R8912">
        <f>IF(P8912&gt;0,2*(1-2*$F$19-1/2)*D8907/1000,0)</f>
        <v>0</v>
      </c>
      <c r="S8912" t="str">
        <v>)</v>
      </c>
      <c r="T8912" t="str">
        <v>x</v>
      </c>
      <c r="U8912">
        <f>0.006165*F8912^2</f>
        <v>2.225565</v>
      </c>
      <c r="X8912" t="str">
        <v>x</v>
      </c>
      <c r="Y8912">
        <f>D8910</f>
        <v>1</v>
      </c>
      <c r="Z8912" t="str">
        <v>=</v>
      </c>
      <c r="AA8912">
        <f>IF(AA8914=0,(D8912*N8912+P8912*R8912)*U8912*Y8912,0)</f>
        <v>21.69925875</v>
      </c>
    </row>
    <row r="8913">
      <c r="A8913" t="str">
        <f>A8904</f>
        <v>Lantai Attic</v>
      </c>
      <c r="B8913">
        <f>B8904</f>
        <v>33</v>
      </c>
      <c r="C8913" t="str">
        <v>Tul Atas Tumpuan</v>
      </c>
      <c r="D8913">
        <f>VLOOKUP(D8904,'Detail Balok'!$C$10:$AU$110,10,FALSE)</f>
        <v>5</v>
      </c>
      <c r="E8913" t="str">
        <v>D</v>
      </c>
      <c r="F8913">
        <f>VLOOKUP(D8904,'Detail Balok'!$C$10:$AU$110,12,FALSE)</f>
        <v>19</v>
      </c>
      <c r="I8913" t="str">
        <v>(</v>
      </c>
      <c r="J8913">
        <f>+D8906/4/1000</f>
        <v>2.4375</v>
      </c>
      <c r="K8913" t="str">
        <v>+</v>
      </c>
      <c r="L8913">
        <f>MAX(VLOOKUP(F8913,N$6:P$15,3,FALSE)/1000,2/3*D8908/1000)+F$16*F8913/1000</f>
        <v>0.228</v>
      </c>
      <c r="M8913" t="str">
        <v>=</v>
      </c>
      <c r="N8913">
        <f>J8913+L8913</f>
        <v>2.6655</v>
      </c>
      <c r="O8913" t="str">
        <v>+</v>
      </c>
      <c r="P8913">
        <f>D8913-D8912</f>
        <v>3</v>
      </c>
      <c r="Q8913" t="str">
        <v>x</v>
      </c>
      <c r="R8913">
        <f>IF(P8913&gt;0,$F$18*F8913/1000,0)</f>
        <v>0.285</v>
      </c>
      <c r="S8913" t="str">
        <v>)</v>
      </c>
      <c r="T8913" t="str">
        <v>x</v>
      </c>
      <c r="U8913">
        <f>0.006165*F8913^2</f>
        <v>2.225565</v>
      </c>
      <c r="X8913" t="str">
        <v>x</v>
      </c>
      <c r="Y8913">
        <f>D8910</f>
        <v>1</v>
      </c>
      <c r="Z8913" t="str">
        <v>=</v>
      </c>
      <c r="AA8913">
        <f>IF(AA8914=0,(D8913*N8913+P8913*R8913)*U8913*Y8913,0)</f>
        <v>31.5640756125</v>
      </c>
    </row>
    <row r="8914">
      <c r="A8914" t="str">
        <f>A8904</f>
        <v>Lantai Attic</v>
      </c>
      <c r="B8914">
        <f>B8904</f>
        <v>33</v>
      </c>
      <c r="D8914">
        <f>IF(AND(D8911=D8912,D8912=D8913,D8911=D8913),D8911,0)</f>
        <v>0</v>
      </c>
      <c r="E8914" t="str">
        <v>D</v>
      </c>
      <c r="F8914">
        <f>IF(AND(F8911=F8912,F8911=F8913,F8912=F8913),F8911,0)</f>
        <v>19</v>
      </c>
      <c r="L8914" t="str">
        <v>Total panjang per balok</v>
      </c>
      <c r="M8914" t="str">
        <v>=</v>
      </c>
      <c r="N8914">
        <f>IF(AND(D8911=D8912,D8911=D8913,D8912=D8913,F8911=F8912,F8911=F8913,F8912=F8913),SUM(N8911:N8913),0)</f>
        <v>0</v>
      </c>
      <c r="O8914" t="str">
        <v>+</v>
      </c>
      <c r="P8914">
        <f>IF(N8914&gt;12,ROUNDDOWN(N8914/12,0),0)</f>
        <v>0</v>
      </c>
      <c r="Q8914" t="str">
        <v>x</v>
      </c>
      <c r="R8914">
        <f>IF(P8914&gt;0,MAX(VLOOKUP(F8914,$D$6:$G$15,3,FALSE),600),0)/1000</f>
        <v>0</v>
      </c>
      <c r="T8914" t="str">
        <v>x</v>
      </c>
      <c r="U8914">
        <f>U8913</f>
        <v>2.225565</v>
      </c>
      <c r="V8914" t="str">
        <v>x</v>
      </c>
      <c r="W8914">
        <f>D8914</f>
        <v>0</v>
      </c>
      <c r="X8914" t="str">
        <v>x</v>
      </c>
      <c r="Y8914">
        <f>Y8913</f>
        <v>1</v>
      </c>
      <c r="Z8914" t="str">
        <v>=</v>
      </c>
      <c r="AA8914">
        <f>(N8914+P8914*R8914/1000)*U8914*W8914*Y8914</f>
        <v>0</v>
      </c>
    </row>
    <row r="8916">
      <c r="A8916" t="str">
        <f>A8904</f>
        <v>Lantai Attic</v>
      </c>
      <c r="B8916">
        <f>B8904</f>
        <v>33</v>
      </c>
      <c r="C8916" t="str">
        <v>Tul Peminggang</v>
      </c>
      <c r="D8916">
        <f>VLOOKUP(D8904,'Detail Balok'!$C$10:$AU$110,13,FALSE)</f>
        <v>2</v>
      </c>
      <c r="E8916" t="str">
        <v>D</v>
      </c>
      <c r="F8916">
        <f>VLOOKUP(D8904,'Detail Balok'!$C$10:$AU$110,15,FALSE)</f>
        <v>10</v>
      </c>
      <c r="J8916">
        <f>+D8906/1000</f>
        <v>9.75</v>
      </c>
      <c r="K8916" t="str">
        <v>+</v>
      </c>
      <c r="L8916">
        <f>2*$F$16*F8916/1000</f>
        <v>0.24</v>
      </c>
      <c r="M8916" t="str">
        <v>=</v>
      </c>
      <c r="N8916">
        <f>J8916+L8916</f>
        <v>9.99</v>
      </c>
      <c r="O8916" t="str">
        <v>+</v>
      </c>
      <c r="P8916">
        <f>IF(N8916&gt;12,ROUNDDOWN(N8916/12,0),0)</f>
        <v>0</v>
      </c>
      <c r="Q8916" t="str">
        <v>x</v>
      </c>
      <c r="R8916">
        <f>IF(P8916&gt;0,MAX(VLOOKUP(F8916,$D$6:$G$15,3,FALSE),600),0)/1000</f>
        <v>0</v>
      </c>
      <c r="T8916" t="str">
        <v>x</v>
      </c>
      <c r="U8916">
        <f>0.006165*F8916^2</f>
        <v>0.6165</v>
      </c>
      <c r="V8916" t="str">
        <v>x</v>
      </c>
      <c r="W8916">
        <f>+D8916</f>
        <v>2</v>
      </c>
      <c r="X8916" t="str">
        <v>x</v>
      </c>
      <c r="Y8916">
        <f>D8910</f>
        <v>1</v>
      </c>
      <c r="Z8916" t="str">
        <v>=</v>
      </c>
      <c r="AA8916">
        <f>(N8916+P8916*R8916/1000)*U8916*W8916*Y8916</f>
        <v>12.317670000000001</v>
      </c>
    </row>
    <row r="8919">
      <c r="A8919" t="str">
        <f>A8904</f>
        <v>Lantai Attic</v>
      </c>
      <c r="B8919">
        <f>B8904</f>
        <v>33</v>
      </c>
      <c r="C8919" t="str">
        <v>Tul Bawah Tumpuan</v>
      </c>
      <c r="D8919">
        <f>VLOOKUP(D8904,'Detail Balok'!$C$10:$AU$110,22,FALSE)</f>
        <v>3</v>
      </c>
      <c r="E8919" t="str">
        <v>D</v>
      </c>
      <c r="F8919">
        <f>VLOOKUP(D8904,'Detail Balok'!$C$10:$AU$110,24,FALSE)</f>
        <v>19</v>
      </c>
      <c r="I8919" t="str">
        <v>(</v>
      </c>
      <c r="J8919">
        <f>+J8911</f>
        <v>2.4375</v>
      </c>
      <c r="K8919" t="str">
        <v>+</v>
      </c>
      <c r="L8919">
        <f>MAX(VLOOKUP(F8919,N$6:P$15,3,FALSE)/1000,2/3*D8909/1000)+F$16*F8919/1000</f>
        <v>0.228</v>
      </c>
      <c r="M8919" t="str">
        <v>=</v>
      </c>
      <c r="N8919">
        <f>J8919+L8919</f>
        <v>2.6655</v>
      </c>
      <c r="O8919" t="str">
        <v>+</v>
      </c>
      <c r="P8919">
        <f>D8919-D8920</f>
        <v>-2</v>
      </c>
      <c r="Q8919" t="str">
        <v>x</v>
      </c>
      <c r="R8919">
        <f>IF(P8919&gt;0,$F$18*F8919/1000,0)</f>
        <v>0</v>
      </c>
      <c r="S8919" t="str">
        <v>)</v>
      </c>
      <c r="T8919" t="str">
        <v>x</v>
      </c>
      <c r="U8919">
        <f>0.006165*F8919^2</f>
        <v>2.225565</v>
      </c>
      <c r="X8919" t="str">
        <v>x</v>
      </c>
      <c r="Y8919">
        <f>D8910</f>
        <v>1</v>
      </c>
      <c r="Z8919" t="str">
        <v>=</v>
      </c>
      <c r="AA8919">
        <f>IF(AA8922=0,(D8919*N8919+P8919*R8919)*U8919*Y8919,0)</f>
        <v>17.796730522500003</v>
      </c>
    </row>
    <row r="8920">
      <c r="A8920" t="str">
        <f>A8904</f>
        <v>Lantai Attic</v>
      </c>
      <c r="B8920">
        <f>B8904</f>
        <v>33</v>
      </c>
      <c r="C8920" t="str">
        <v>Tul Bawah Lapangan</v>
      </c>
      <c r="D8920">
        <f>VLOOKUP(D8904,'Detail Balok'!$C$10:$AU$110,25,FALSE)</f>
        <v>5</v>
      </c>
      <c r="E8920" t="str">
        <v>D</v>
      </c>
      <c r="F8920">
        <f>VLOOKUP(D8904,'Detail Balok'!$C$10:$AU$110,27,FALSE)</f>
        <v>19</v>
      </c>
      <c r="I8920" t="str">
        <v>(</v>
      </c>
      <c r="J8920">
        <f>+J8912</f>
        <v>4.875</v>
      </c>
      <c r="K8920" t="str">
        <v>+</v>
      </c>
      <c r="M8920" t="str">
        <v>=</v>
      </c>
      <c r="N8920">
        <f>J8920+L8920</f>
        <v>4.875</v>
      </c>
      <c r="O8920" t="str">
        <v>+</v>
      </c>
      <c r="P8920">
        <f>MAX(D8920-D8919,D8920-D8921)</f>
        <v>2</v>
      </c>
      <c r="Q8920" t="str">
        <v>x</v>
      </c>
      <c r="R8920">
        <f>IF(P8920&gt;0,2*(1-2*$F$19-1/2)*D8907/1000,0)</f>
        <v>1.9499999999999995</v>
      </c>
      <c r="S8920" t="str">
        <v>)</v>
      </c>
      <c r="T8920" t="str">
        <v>x</v>
      </c>
      <c r="U8920">
        <f>0.006165*F8920^2</f>
        <v>2.225565</v>
      </c>
      <c r="X8920" t="str">
        <v>x</v>
      </c>
      <c r="Y8920">
        <f>D8910</f>
        <v>1</v>
      </c>
      <c r="Z8920" t="str">
        <v>=</v>
      </c>
      <c r="AA8920">
        <f>IF(AA8922=0,(D8920*N8920+P8920*R8920)*U8920*Y8920,0)</f>
        <v>62.927850375</v>
      </c>
    </row>
    <row r="8921">
      <c r="A8921" t="str">
        <f>A8904</f>
        <v>Lantai Attic</v>
      </c>
      <c r="B8921">
        <f>B8904</f>
        <v>33</v>
      </c>
      <c r="C8921" t="str">
        <v>Tul Bawah Tumpuan</v>
      </c>
      <c r="D8921">
        <f>VLOOKUP(D8904,'Detail Balok'!$C$10:$AU$110,28,FALSE)</f>
        <v>3</v>
      </c>
      <c r="E8921" t="str">
        <v>D</v>
      </c>
      <c r="F8921">
        <f>VLOOKUP(D8904,'Detail Balok'!$C$10:$AU$110,30,FALSE)</f>
        <v>19</v>
      </c>
      <c r="I8921" t="str">
        <v>(</v>
      </c>
      <c r="J8921">
        <f>+J8913</f>
        <v>2.4375</v>
      </c>
      <c r="K8921" t="str">
        <v>+</v>
      </c>
      <c r="L8921">
        <f>MAX(VLOOKUP(F8921,N$6:P$15,3,FALSE)/1000,2/3*D8909/1000)+F$16*F8921/1000</f>
        <v>0.228</v>
      </c>
      <c r="M8921" t="str">
        <v>=</v>
      </c>
      <c r="N8921">
        <f>J8921+L8921</f>
        <v>2.6655</v>
      </c>
      <c r="O8921" t="str">
        <v>+</v>
      </c>
      <c r="P8921">
        <f>D8921-D8920</f>
        <v>-2</v>
      </c>
      <c r="Q8921" t="str">
        <v>x</v>
      </c>
      <c r="R8921">
        <f>IF(P8921&gt;0,$F$18*F8921/1000,0)</f>
        <v>0</v>
      </c>
      <c r="S8921" t="str">
        <v>)</v>
      </c>
      <c r="T8921" t="str">
        <v>x</v>
      </c>
      <c r="U8921">
        <f>0.006165*F8921^2</f>
        <v>2.225565</v>
      </c>
      <c r="X8921" t="str">
        <v>x</v>
      </c>
      <c r="Y8921">
        <f>D8910</f>
        <v>1</v>
      </c>
      <c r="Z8921" t="str">
        <v>=</v>
      </c>
      <c r="AA8921">
        <f>IF(AA8922=0,(D8921*N8921+P8921*R8921)*U8921*Y8921,0)</f>
        <v>17.796730522500003</v>
      </c>
    </row>
    <row r="8922">
      <c r="A8922" t="str">
        <f>A8904</f>
        <v>Lantai Attic</v>
      </c>
      <c r="B8922">
        <f>B8904</f>
        <v>33</v>
      </c>
      <c r="D8922">
        <f>IF(AND(D8919=D8920,D8920=D8921,D8919=D8921),D8919,0)</f>
        <v>0</v>
      </c>
      <c r="E8922" t="str">
        <v>D</v>
      </c>
      <c r="F8922">
        <f>IF(AND(F8919=F8920,F8919=F8921,F8920=F8921),F8919,0)</f>
        <v>19</v>
      </c>
      <c r="L8922" t="str">
        <v>Total panjang per balok</v>
      </c>
      <c r="M8922" t="str">
        <v>=</v>
      </c>
      <c r="N8922">
        <f>IF(AND(D8919=D8920,D8919=D8921,D8920=D8921,F8919=F8920,F8919=F8921,F8920=F8921),SUM(N8919:N8921),0)</f>
        <v>0</v>
      </c>
      <c r="O8922" t="str">
        <v>+</v>
      </c>
      <c r="P8922">
        <f>IF(N8922&gt;12,ROUNDDOWN(N8922/12,0),0)</f>
        <v>0</v>
      </c>
      <c r="Q8922" t="str">
        <v>x</v>
      </c>
      <c r="R8922">
        <f>IF(P8922&gt;0,MAX(VLOOKUP(F8922,$D$6:$G$15,3,FALSE),600),0)/1000</f>
        <v>0</v>
      </c>
      <c r="T8922" t="str">
        <v>x</v>
      </c>
      <c r="U8922">
        <f>U8921</f>
        <v>2.225565</v>
      </c>
      <c r="V8922" t="str">
        <v>x</v>
      </c>
      <c r="W8922">
        <f>D8922</f>
        <v>0</v>
      </c>
      <c r="X8922" t="str">
        <v>x</v>
      </c>
      <c r="Y8922">
        <f>Y8921</f>
        <v>1</v>
      </c>
      <c r="Z8922" t="str">
        <v>=</v>
      </c>
      <c r="AA8922">
        <f>(N8922+P8922*R8922/1000)*U8922*W8922*Y8922</f>
        <v>0</v>
      </c>
    </row>
    <row r="8924">
      <c r="A8924" t="str">
        <f>A8904</f>
        <v>Lantai Attic</v>
      </c>
      <c r="B8924">
        <f>B8904</f>
        <v>33</v>
      </c>
      <c r="C8924" t="str">
        <v>Sengkang Tumpuan</v>
      </c>
      <c r="D8924">
        <f>VLOOKUP(D8904,'Detail Balok'!$C$10:$AU$110,31,FALSE)</f>
        <v>0</v>
      </c>
      <c r="E8924" t="str">
        <v>D</v>
      </c>
      <c r="F8924">
        <f>VLOOKUP(D8904,'Detail Balok'!$C$10:$AU$110,33,FALSE)</f>
        <v>10</v>
      </c>
      <c r="G8924" t="str">
        <v>-</v>
      </c>
      <c r="H8924">
        <f>VLOOKUP(D8904,'Detail Balok'!$C$10:$AU$110,35,FALSE)</f>
        <v>100</v>
      </c>
      <c r="J8924">
        <f>(IF(D8924=0,(2*(D8905+G8905))-(F$5*8),IF(D8924=3,(2*(D8905+G8905))-(F$5*8)+(G8905-2*F$5),IF(D8924=4,(2*(D8905+G8905))-(F$5*8)+2*(G8905-2*F$5)))))/1000</f>
        <v>1.08</v>
      </c>
      <c r="K8924" t="str">
        <v>+</v>
      </c>
      <c r="L8924">
        <f>IF(D8924=0,2*MAX(6*F8924,75),(D8924-1)*2*MAX(6*F8924,75))/1000</f>
        <v>0.15</v>
      </c>
      <c r="M8924" t="str">
        <v>=</v>
      </c>
      <c r="N8924">
        <f>J8924+L8924</f>
        <v>1.23</v>
      </c>
      <c r="T8924" t="str">
        <v>x</v>
      </c>
      <c r="U8924">
        <f>0.006165*F8924^2</f>
        <v>0.6165</v>
      </c>
      <c r="V8924" t="str">
        <v>x</v>
      </c>
      <c r="W8924">
        <f>IF(D8907&gt;4*G8905,ROUND(MAX(D8907/4,2*G8905)/H8924,0)+1,ROUND(D8907/H8924,0)+1)</f>
        <v>25</v>
      </c>
      <c r="X8924" t="str">
        <v>x</v>
      </c>
      <c r="Y8924">
        <f>D8910</f>
        <v>1</v>
      </c>
      <c r="Z8924" t="str">
        <v>=</v>
      </c>
      <c r="AA8924">
        <f>N8924*U8924*W8924*Y8924</f>
        <v>18.957375000000003</v>
      </c>
    </row>
    <row r="8925">
      <c r="A8925" t="str">
        <f>A8904</f>
        <v>Lantai Attic</v>
      </c>
      <c r="B8925">
        <f>B8904</f>
        <v>33</v>
      </c>
      <c r="C8925" t="str">
        <v>Sengkang Lapangan</v>
      </c>
      <c r="D8925">
        <f>VLOOKUP(D8904,'Detail Balok'!$C$10:$AU$110,36,FALSE)</f>
        <v>0</v>
      </c>
      <c r="E8925" t="str">
        <v>D</v>
      </c>
      <c r="F8925">
        <f>VLOOKUP(D8904,'Detail Balok'!$C$10:$AU$110,38,FALSE)</f>
        <v>10</v>
      </c>
      <c r="G8925" t="str">
        <v>-</v>
      </c>
      <c r="H8925">
        <f>VLOOKUP(D8904,'Detail Balok'!$C$10:$AU$110,40,FALSE)</f>
        <v>200</v>
      </c>
      <c r="J8925">
        <f>(IF(D8925=0,(2*(D8905+G8905))-(F$5*8),IF(D8925=3,(2*(D8905+G8905))-(F$5*8)+(G8905-2*F$5),IF(D8925=4,(2*(D8905+G8905))-(F$5*8)+2*(G8905-2*F$5)))))/1000</f>
        <v>1.08</v>
      </c>
      <c r="K8925" t="str">
        <v>+</v>
      </c>
      <c r="L8925">
        <f>IF(D8925=0,2*MAX(6*F8925,75),(D8925-1)*2*MAX(6*F8925,75))/1000</f>
        <v>0.15</v>
      </c>
      <c r="M8925" t="str">
        <v>=</v>
      </c>
      <c r="N8925">
        <f>J8925+L8925</f>
        <v>1.23</v>
      </c>
      <c r="T8925" t="str">
        <v>x</v>
      </c>
      <c r="U8925">
        <f>0.006165*F8925^2</f>
        <v>0.6165</v>
      </c>
      <c r="V8925" t="str">
        <v>x</v>
      </c>
      <c r="W8925">
        <f>IF(D8907-MAX(D8907/4,2*G8905)*2&gt;0,ROUND((D8907-MAX(D8907/4,2*G8905)*2)/H8925,0),0)</f>
        <v>24</v>
      </c>
      <c r="X8925" t="str">
        <v>x</v>
      </c>
      <c r="Y8925">
        <f>D8910</f>
        <v>1</v>
      </c>
      <c r="Z8925" t="str">
        <v>=</v>
      </c>
      <c r="AA8925">
        <f>N8925*U8925*W8925*Y8925</f>
        <v>18.199080000000002</v>
      </c>
    </row>
    <row r="8926">
      <c r="A8926" t="str">
        <f>A8904</f>
        <v>Lantai Attic</v>
      </c>
      <c r="B8926">
        <f>B8904</f>
        <v>33</v>
      </c>
      <c r="C8926" t="str">
        <v>Sengkang Tumpuan</v>
      </c>
      <c r="D8926">
        <f>VLOOKUP(D8904,'Detail Balok'!$C$10:$AU$110,41,FALSE)</f>
        <v>0</v>
      </c>
      <c r="E8926" t="str">
        <v>D</v>
      </c>
      <c r="F8926">
        <f>VLOOKUP(D8904,'Detail Balok'!$C$10:$AU$110,43,FALSE)</f>
        <v>10</v>
      </c>
      <c r="G8926" t="str">
        <v>-</v>
      </c>
      <c r="H8926">
        <f>VLOOKUP(D8904,'Detail Balok'!$C$10:$AU$110,45,FALSE)</f>
        <v>100</v>
      </c>
      <c r="J8926">
        <f>(IF(D8926=0,(2*(D8905+G8905))-(F$5*8),IF(D8926=3,(2*(D8905+G8905))-(F$5*8)+(G8905-2*F$5),IF(D8926=4,(2*(D8905+G8905))-(F$5*8)+2*(G8905-2*F$5)))))/1000</f>
        <v>1.08</v>
      </c>
      <c r="K8926" t="str">
        <v>+</v>
      </c>
      <c r="L8926">
        <f>IF(D8926=0,2*MAX(6*F8926,75),(D8926-1)*2*MAX(6*F8926,75))/1000</f>
        <v>0.15</v>
      </c>
      <c r="M8926" t="str">
        <v>=</v>
      </c>
      <c r="N8926">
        <f>J8926+L8926</f>
        <v>1.23</v>
      </c>
      <c r="T8926" t="str">
        <v>x</v>
      </c>
      <c r="U8926">
        <f>0.006165*F8926^2</f>
        <v>0.6165</v>
      </c>
      <c r="V8926" t="str">
        <v>x</v>
      </c>
      <c r="W8926">
        <f>IF(D8907&gt;4*G8905,ROUND(MAX(D8907/4,2*G8905)/H8926,0)+1,0)</f>
        <v>25</v>
      </c>
      <c r="X8926" t="str">
        <v>x</v>
      </c>
      <c r="Y8926">
        <f>D8910</f>
        <v>1</v>
      </c>
      <c r="Z8926" t="str">
        <v>=</v>
      </c>
      <c r="AA8926">
        <f>N8926*U8926*W8926*Y8926</f>
        <v>18.957375000000003</v>
      </c>
    </row>
    <row r="8928">
      <c r="A8928" t="str">
        <f>A8904</f>
        <v>Lantai Attic</v>
      </c>
      <c r="B8928">
        <f>B8904</f>
        <v>33</v>
      </c>
      <c r="C8928" t="str">
        <v>Kait Horizontal Tump.</v>
      </c>
      <c r="D8928">
        <f>VLOOKUP(D8904,'Detail Balok'!$C$10:$BJ$110,46,FALSE)</f>
        <v>0</v>
      </c>
      <c r="E8928" t="str">
        <v>D</v>
      </c>
      <c r="F8928">
        <f>VLOOKUP(D8904,'Detail Balok'!$C$10:$BJ$110,48,FALSE)</f>
        <v>0</v>
      </c>
      <c r="G8928" t="str">
        <v>-</v>
      </c>
      <c r="H8928">
        <f>VLOOKUP(D8904,'Detail Balok'!$C$10:$BJ$110,50,FALSE)</f>
        <v>100</v>
      </c>
      <c r="J8928">
        <f>(D8905-2*F$5)/1000</f>
        <v>0.12</v>
      </c>
      <c r="K8928" t="str">
        <v>+</v>
      </c>
      <c r="L8928">
        <f>IF(D8928=0,2*MAX(6*F8928,75),(D8928-1)*2*MAX(6*F8928,75))/1000</f>
        <v>0.15</v>
      </c>
      <c r="M8928" t="str">
        <v>=</v>
      </c>
      <c r="N8928">
        <f>J8928+L8928</f>
        <v>0.27</v>
      </c>
      <c r="T8928" t="str">
        <v>x</v>
      </c>
      <c r="U8928">
        <f>0.006165*F8928^2</f>
        <v>0</v>
      </c>
      <c r="V8928" t="str">
        <v>x</v>
      </c>
      <c r="W8928">
        <f>W8924</f>
        <v>25</v>
      </c>
      <c r="X8928" t="str">
        <v>x</v>
      </c>
      <c r="Y8928">
        <f>D8914</f>
        <v>0</v>
      </c>
      <c r="Z8928" t="str">
        <v>=</v>
      </c>
      <c r="AA8928">
        <f>N8928*U8928*W8928*Y8928</f>
        <v>0</v>
      </c>
    </row>
    <row r="8929">
      <c r="A8929" t="str">
        <f>A8904</f>
        <v>Lantai Attic</v>
      </c>
      <c r="B8929">
        <f>B8904</f>
        <v>33</v>
      </c>
      <c r="C8929" t="str">
        <v>Kait Horizontal Lap.</v>
      </c>
      <c r="D8929">
        <f>VLOOKUP(D8904,'Detail Balok'!$C$10:$BJ$110,51,FALSE)</f>
        <v>0</v>
      </c>
      <c r="E8929" t="str">
        <v>D</v>
      </c>
      <c r="F8929">
        <f>VLOOKUP(D8904,'Detail Balok'!$C$10:$BJ$110,53,FALSE)</f>
        <v>0</v>
      </c>
      <c r="G8929" t="str">
        <v>-</v>
      </c>
      <c r="H8929">
        <f>VLOOKUP(D8904,'Detail Balok'!$C$10:$BJ$110,55,FALSE)</f>
        <v>100</v>
      </c>
      <c r="J8929">
        <f>(D8905-2*F$5)/1000</f>
        <v>0.12</v>
      </c>
      <c r="K8929" t="str">
        <v>+</v>
      </c>
      <c r="L8929">
        <f>IF(D8929=0,2*MAX(6*F8929,75),(D8929-1)*2*MAX(6*F8929,75))/1000</f>
        <v>0.15</v>
      </c>
      <c r="M8929" t="str">
        <v>=</v>
      </c>
      <c r="N8929">
        <f>J8929+L8929</f>
        <v>0.27</v>
      </c>
      <c r="T8929" t="str">
        <v>x</v>
      </c>
      <c r="U8929">
        <f>0.006165*F8929^2</f>
        <v>0</v>
      </c>
      <c r="V8929" t="str">
        <v>x</v>
      </c>
      <c r="W8929">
        <f>W8925</f>
        <v>24</v>
      </c>
      <c r="X8929" t="str">
        <v>x</v>
      </c>
      <c r="Y8929">
        <f>D8914</f>
        <v>0</v>
      </c>
      <c r="Z8929" t="str">
        <v>=</v>
      </c>
      <c r="AA8929">
        <f>N8929*U8929*W8929*Y8929</f>
        <v>0</v>
      </c>
    </row>
    <row r="8930">
      <c r="A8930" t="str">
        <f>A8904</f>
        <v>Lantai Attic</v>
      </c>
      <c r="B8930">
        <f>B8904</f>
        <v>33</v>
      </c>
      <c r="C8930" t="str">
        <v>Kait Horizontal Tump.</v>
      </c>
      <c r="D8930">
        <f>VLOOKUP(D8904,'Detail Balok'!$C$10:$BJ$110,56,FALSE)</f>
        <v>0</v>
      </c>
      <c r="E8930" t="str">
        <v>D</v>
      </c>
      <c r="F8930">
        <f>VLOOKUP(D8904,'Detail Balok'!$C$10:$BJ$110,58,FALSE)</f>
        <v>0</v>
      </c>
      <c r="G8930" t="str">
        <v>-</v>
      </c>
      <c r="H8930">
        <f>VLOOKUP(D8904,'Detail Balok'!$C$10:$BJ$110,60,FALSE)</f>
        <v>100</v>
      </c>
      <c r="J8930">
        <f>(D8905-2*F$5)/1000</f>
        <v>0.12</v>
      </c>
      <c r="K8930" t="str">
        <v>+</v>
      </c>
      <c r="L8930">
        <f>IF(D8930=0,2*MAX(6*F8930,75),(D8930-1)*2*MAX(6*F8930,75))/1000</f>
        <v>0.15</v>
      </c>
      <c r="M8930" t="str">
        <v>=</v>
      </c>
      <c r="N8930">
        <f>J8930+L8930</f>
        <v>0.27</v>
      </c>
      <c r="T8930" t="str">
        <v>x</v>
      </c>
      <c r="U8930">
        <f>0.006165*F8930^2</f>
        <v>0</v>
      </c>
      <c r="V8930" t="str">
        <v>x</v>
      </c>
      <c r="W8930">
        <f>W8926</f>
        <v>25</v>
      </c>
      <c r="X8930" t="str">
        <v>x</v>
      </c>
      <c r="Y8930">
        <f>D8914</f>
        <v>0</v>
      </c>
      <c r="Z8930" t="str">
        <v>=</v>
      </c>
      <c r="AA8930">
        <f>N8930*U8930*W8930*Y8930</f>
        <v>0</v>
      </c>
    </row>
    <row r="8934">
      <c r="A8934" t="str">
        <f>A8904</f>
        <v>Lantai Attic</v>
      </c>
      <c r="B8934">
        <f>B8904+1</f>
        <v>34</v>
      </c>
      <c r="C8934" t="str">
        <f>CONCATENATE(A8934," no. ",B8934)</f>
        <v>Lantai Attic no. 34</v>
      </c>
      <c r="D8934" t="str">
        <f>VLOOKUP(C8934,'Data Panjang Balok'!$C$9:$N$424,2,FALSE)</f>
        <v>B245-1</v>
      </c>
    </row>
    <row r="8935">
      <c r="C8935" t="str">
        <v>Dimensi</v>
      </c>
      <c r="D8935">
        <f>VLOOKUP(D8934,'Detail Balok'!$C$10:$AU$110,2,FALSE)</f>
        <v>200</v>
      </c>
      <c r="F8935" t="str">
        <v>x</v>
      </c>
      <c r="G8935">
        <f>VLOOKUP(D8934,'Detail Balok'!$C$10:$AU$110,3,FALSE)</f>
        <v>450</v>
      </c>
    </row>
    <row r="8936">
      <c r="C8936" t="str">
        <v>Panjang as ke as</v>
      </c>
      <c r="D8936">
        <f>VLOOKUP(C8934,'Data Panjang Balok'!$C$9:$N$424,4,FALSE)</f>
        <v>4915</v>
      </c>
    </row>
    <row r="8937">
      <c r="C8937" t="str">
        <v>Panjang netto</v>
      </c>
      <c r="D8937">
        <f>VLOOKUP(C8934,'Data Panjang Balok'!$C$9:$N$424,7,FALSE)</f>
        <v>4915</v>
      </c>
    </row>
    <row r="8938">
      <c r="C8938" t="str">
        <v>Kolom / balok kiri</v>
      </c>
      <c r="D8938">
        <f>VLOOKUP(C8934,'Data Panjang Balok'!$C$9:$N$424,9,FALSE)</f>
        <v>0</v>
      </c>
    </row>
    <row r="8939">
      <c r="C8939" t="str">
        <v>Kolom / balok kanan</v>
      </c>
      <c r="D8939">
        <f>VLOOKUP(C8934,'Data Panjang Balok'!$C$9:$N$424,10,FALSE)</f>
        <v>0</v>
      </c>
    </row>
    <row r="8940">
      <c r="C8940" t="str">
        <v>Jumlah</v>
      </c>
      <c r="D8940">
        <f>VLOOKUP(C8934,'Data Panjang Balok'!$C$9:$N$424,3,FALSE)</f>
        <v>1</v>
      </c>
    </row>
    <row r="8941">
      <c r="A8941" t="str">
        <f>A8934</f>
        <v>Lantai Attic</v>
      </c>
      <c r="B8941">
        <f>B8934</f>
        <v>34</v>
      </c>
      <c r="C8941" t="str">
        <v>Tul Atas Tumpuan</v>
      </c>
      <c r="D8941">
        <f>VLOOKUP(D8934,'Detail Balok'!$C$10:$AU$110,4,FALSE)</f>
        <v>2</v>
      </c>
      <c r="E8941" t="str">
        <v>D</v>
      </c>
      <c r="F8941">
        <f>VLOOKUP(D8934,'Detail Balok'!$C$10:$AU$110,6,FALSE)</f>
        <v>13</v>
      </c>
      <c r="I8941" t="str">
        <v>(</v>
      </c>
      <c r="J8941">
        <f>+D8936/4/1000</f>
        <v>1.22875</v>
      </c>
      <c r="K8941" t="str">
        <v>+</v>
      </c>
      <c r="L8941">
        <f>MAX(VLOOKUP(F8941,N$6:P$15,3,FALSE)/1000,2/3*D8938/1000)+F$16*F8941/1000</f>
        <v>0.156</v>
      </c>
      <c r="M8941" t="str">
        <v>=</v>
      </c>
      <c r="N8941">
        <f>J8941+L8941</f>
        <v>1.38475</v>
      </c>
      <c r="O8941" t="str">
        <v>+</v>
      </c>
      <c r="P8941">
        <f>D8941-D8942</f>
        <v>0</v>
      </c>
      <c r="Q8941" t="str">
        <v>x</v>
      </c>
      <c r="R8941">
        <f>IF(P8941&gt;0,$F$18*F8941/1000,0)</f>
        <v>0</v>
      </c>
      <c r="S8941" t="str">
        <v>)</v>
      </c>
      <c r="T8941" t="str">
        <v>x</v>
      </c>
      <c r="U8941">
        <f>0.006165*F8941^2</f>
        <v>1.041885</v>
      </c>
      <c r="X8941" t="str">
        <v>x</v>
      </c>
      <c r="Y8941">
        <f>D8940</f>
        <v>1</v>
      </c>
      <c r="Z8941" t="str">
        <v>=</v>
      </c>
      <c r="AA8941">
        <f>IF(AA8944=0,(D8941*N8941+P8941*R8941)*U8941*Y8941,0)</f>
        <v>0</v>
      </c>
    </row>
    <row r="8942">
      <c r="A8942" t="str">
        <f>A8934</f>
        <v>Lantai Attic</v>
      </c>
      <c r="B8942">
        <f>B8934</f>
        <v>34</v>
      </c>
      <c r="C8942" t="str">
        <v>Tul Atas Lapangan</v>
      </c>
      <c r="D8942">
        <f>VLOOKUP(D8934,'Detail Balok'!$C$10:$AU$110,7,FALSE)</f>
        <v>2</v>
      </c>
      <c r="E8942" t="str">
        <v>D</v>
      </c>
      <c r="F8942">
        <f>VLOOKUP(D8934,'Detail Balok'!$C$10:$AU$110,9,FALSE)</f>
        <v>13</v>
      </c>
      <c r="I8942" t="str">
        <v>(</v>
      </c>
      <c r="J8942">
        <f>+D8936/2/1000</f>
        <v>2.4575</v>
      </c>
      <c r="K8942" t="str">
        <v>+</v>
      </c>
      <c r="M8942" t="str">
        <v>=</v>
      </c>
      <c r="N8942">
        <f>J8942+L8942</f>
        <v>2.4575</v>
      </c>
      <c r="O8942" t="str">
        <v>+</v>
      </c>
      <c r="P8942">
        <f>MAX(D8942-D8941,D8942-D8943)</f>
        <v>0</v>
      </c>
      <c r="Q8942" t="str">
        <v>x</v>
      </c>
      <c r="R8942">
        <f>IF(P8942&gt;0,2*(1-2*$F$19-1/2)*D8937/1000,0)</f>
        <v>0</v>
      </c>
      <c r="S8942" t="str">
        <v>)</v>
      </c>
      <c r="T8942" t="str">
        <v>x</v>
      </c>
      <c r="U8942">
        <f>0.006165*F8942^2</f>
        <v>1.041885</v>
      </c>
      <c r="X8942" t="str">
        <v>x</v>
      </c>
      <c r="Y8942">
        <f>D8940</f>
        <v>1</v>
      </c>
      <c r="Z8942" t="str">
        <v>=</v>
      </c>
      <c r="AA8942">
        <f>IF(AA8944=0,(D8942*N8942+P8942*R8942)*U8942*Y8942,0)</f>
        <v>0</v>
      </c>
    </row>
    <row r="8943">
      <c r="A8943" t="str">
        <f>A8934</f>
        <v>Lantai Attic</v>
      </c>
      <c r="B8943">
        <f>B8934</f>
        <v>34</v>
      </c>
      <c r="C8943" t="str">
        <v>Tul Atas Tumpuan</v>
      </c>
      <c r="D8943">
        <f>VLOOKUP(D8934,'Detail Balok'!$C$10:$AU$110,10,FALSE)</f>
        <v>2</v>
      </c>
      <c r="E8943" t="str">
        <v>D</v>
      </c>
      <c r="F8943">
        <f>VLOOKUP(D8934,'Detail Balok'!$C$10:$AU$110,12,FALSE)</f>
        <v>13</v>
      </c>
      <c r="I8943" t="str">
        <v>(</v>
      </c>
      <c r="J8943">
        <f>+D8936/4/1000</f>
        <v>1.22875</v>
      </c>
      <c r="K8943" t="str">
        <v>+</v>
      </c>
      <c r="L8943">
        <f>MAX(VLOOKUP(F8943,N$6:P$15,3,FALSE)/1000,2/3*D8938/1000)+F$16*F8943/1000</f>
        <v>0.156</v>
      </c>
      <c r="M8943" t="str">
        <v>=</v>
      </c>
      <c r="N8943">
        <f>J8943+L8943</f>
        <v>1.38475</v>
      </c>
      <c r="O8943" t="str">
        <v>+</v>
      </c>
      <c r="P8943">
        <f>D8943-D8942</f>
        <v>0</v>
      </c>
      <c r="Q8943" t="str">
        <v>x</v>
      </c>
      <c r="R8943">
        <f>IF(P8943&gt;0,$F$18*F8943/1000,0)</f>
        <v>0</v>
      </c>
      <c r="S8943" t="str">
        <v>)</v>
      </c>
      <c r="T8943" t="str">
        <v>x</v>
      </c>
      <c r="U8943">
        <f>0.006165*F8943^2</f>
        <v>1.041885</v>
      </c>
      <c r="X8943" t="str">
        <v>x</v>
      </c>
      <c r="Y8943">
        <f>D8940</f>
        <v>1</v>
      </c>
      <c r="Z8943" t="str">
        <v>=</v>
      </c>
      <c r="AA8943">
        <f>IF(AA8944=0,(D8943*N8943+P8943*R8943)*U8943*Y8943,0)</f>
        <v>0</v>
      </c>
    </row>
    <row r="8944">
      <c r="A8944" t="str">
        <f>A8934</f>
        <v>Lantai Attic</v>
      </c>
      <c r="B8944">
        <f>B8934</f>
        <v>34</v>
      </c>
      <c r="D8944">
        <f>IF(AND(D8941=D8942,D8942=D8943,D8941=D8943),D8941,0)</f>
        <v>2</v>
      </c>
      <c r="E8944" t="str">
        <v>D</v>
      </c>
      <c r="F8944">
        <f>IF(AND(F8941=F8942,F8941=F8943,F8942=F8943),F8941,0)</f>
        <v>13</v>
      </c>
      <c r="L8944" t="str">
        <v>Total panjang per balok</v>
      </c>
      <c r="M8944" t="str">
        <v>=</v>
      </c>
      <c r="N8944">
        <f>IF(AND(D8941=D8942,D8941=D8943,D8942=D8943,F8941=F8942,F8941=F8943,F8942=F8943),SUM(N8941:N8943),0)</f>
        <v>5.227</v>
      </c>
      <c r="O8944" t="str">
        <v>+</v>
      </c>
      <c r="P8944">
        <f>IF(N8944&gt;12,ROUNDDOWN(N8944/12,0),0)</f>
        <v>0</v>
      </c>
      <c r="Q8944" t="str">
        <v>x</v>
      </c>
      <c r="R8944">
        <f>IF(P8944&gt;0,MAX(VLOOKUP(F8944,$D$6:$G$15,3,FALSE),600),0)/1000</f>
        <v>0</v>
      </c>
      <c r="T8944" t="str">
        <v>x</v>
      </c>
      <c r="U8944">
        <f>U8943</f>
        <v>1.041885</v>
      </c>
      <c r="V8944" t="str">
        <v>x</v>
      </c>
      <c r="W8944">
        <f>D8944</f>
        <v>2</v>
      </c>
      <c r="X8944" t="str">
        <v>x</v>
      </c>
      <c r="Y8944">
        <f>Y8943</f>
        <v>1</v>
      </c>
      <c r="Z8944" t="str">
        <v>=</v>
      </c>
      <c r="AA8944">
        <f>(N8944+P8944*R8944/1000)*U8944*W8944*Y8944</f>
        <v>10.89186579</v>
      </c>
    </row>
    <row r="8946">
      <c r="A8946" t="str">
        <f>A8934</f>
        <v>Lantai Attic</v>
      </c>
      <c r="B8946">
        <f>B8934</f>
        <v>34</v>
      </c>
      <c r="C8946" t="str">
        <v>Tul Peminggang</v>
      </c>
      <c r="D8946">
        <f>VLOOKUP(D8934,'Detail Balok'!$C$10:$AU$110,13,FALSE)</f>
        <v>2</v>
      </c>
      <c r="E8946" t="str">
        <v>D</v>
      </c>
      <c r="F8946">
        <f>VLOOKUP(D8934,'Detail Balok'!$C$10:$AU$110,15,FALSE)</f>
        <v>8</v>
      </c>
      <c r="J8946">
        <f>+D8936/1000</f>
        <v>4.915</v>
      </c>
      <c r="K8946" t="str">
        <v>+</v>
      </c>
      <c r="L8946">
        <f>2*$F$16*F8946/1000</f>
        <v>0.192</v>
      </c>
      <c r="M8946" t="str">
        <v>=</v>
      </c>
      <c r="N8946">
        <f>J8946+L8946</f>
        <v>5.107</v>
      </c>
      <c r="O8946" t="str">
        <v>+</v>
      </c>
      <c r="P8946">
        <f>IF(N8946&gt;12,ROUNDDOWN(N8946/12,0),0)</f>
        <v>0</v>
      </c>
      <c r="Q8946" t="str">
        <v>x</v>
      </c>
      <c r="R8946">
        <f>IF(P8946&gt;0,MAX(VLOOKUP(F8946,$D$6:$G$15,3,FALSE),600),0)/1000</f>
        <v>0</v>
      </c>
      <c r="T8946" t="str">
        <v>x</v>
      </c>
      <c r="U8946">
        <f>0.006165*F8946^2</f>
        <v>0.39456</v>
      </c>
      <c r="V8946" t="str">
        <v>x</v>
      </c>
      <c r="W8946">
        <f>+D8946</f>
        <v>2</v>
      </c>
      <c r="X8946" t="str">
        <v>x</v>
      </c>
      <c r="Y8946">
        <f>D8940</f>
        <v>1</v>
      </c>
      <c r="Z8946" t="str">
        <v>=</v>
      </c>
      <c r="AA8946">
        <f>(N8946+P8946*R8946/1000)*U8946*W8946*Y8946</f>
        <v>4.03003584</v>
      </c>
    </row>
    <row r="8949">
      <c r="A8949" t="str">
        <f>A8934</f>
        <v>Lantai Attic</v>
      </c>
      <c r="B8949">
        <f>B8934</f>
        <v>34</v>
      </c>
      <c r="C8949" t="str">
        <v>Tul Bawah Tumpuan</v>
      </c>
      <c r="D8949">
        <f>VLOOKUP(D8934,'Detail Balok'!$C$10:$AU$110,22,FALSE)</f>
        <v>2</v>
      </c>
      <c r="E8949" t="str">
        <v>D</v>
      </c>
      <c r="F8949">
        <f>VLOOKUP(D8934,'Detail Balok'!$C$10:$AU$110,24,FALSE)</f>
        <v>13</v>
      </c>
      <c r="I8949" t="str">
        <v>(</v>
      </c>
      <c r="J8949">
        <f>+J8941</f>
        <v>1.22875</v>
      </c>
      <c r="K8949" t="str">
        <v>+</v>
      </c>
      <c r="L8949">
        <f>MAX(VLOOKUP(F8949,N$6:P$15,3,FALSE)/1000,2/3*D8939/1000)+F$16*F8949/1000</f>
        <v>0.156</v>
      </c>
      <c r="M8949" t="str">
        <v>=</v>
      </c>
      <c r="N8949">
        <f>J8949+L8949</f>
        <v>1.38475</v>
      </c>
      <c r="O8949" t="str">
        <v>+</v>
      </c>
      <c r="P8949">
        <f>D8949-D8950</f>
        <v>0</v>
      </c>
      <c r="Q8949" t="str">
        <v>x</v>
      </c>
      <c r="R8949">
        <f>IF(P8949&gt;0,$F$18*F8949/1000,0)</f>
        <v>0</v>
      </c>
      <c r="S8949" t="str">
        <v>)</v>
      </c>
      <c r="T8949" t="str">
        <v>x</v>
      </c>
      <c r="U8949">
        <f>0.006165*F8949^2</f>
        <v>1.041885</v>
      </c>
      <c r="X8949" t="str">
        <v>x</v>
      </c>
      <c r="Y8949">
        <f>D8940</f>
        <v>1</v>
      </c>
      <c r="Z8949" t="str">
        <v>=</v>
      </c>
      <c r="AA8949">
        <f>IF(AA8952=0,(D8949*N8949+P8949*R8949)*U8949*Y8949,0)</f>
        <v>0</v>
      </c>
    </row>
    <row r="8950">
      <c r="A8950" t="str">
        <f>A8934</f>
        <v>Lantai Attic</v>
      </c>
      <c r="B8950">
        <f>B8934</f>
        <v>34</v>
      </c>
      <c r="C8950" t="str">
        <v>Tul Bawah Lapangan</v>
      </c>
      <c r="D8950">
        <f>VLOOKUP(D8934,'Detail Balok'!$C$10:$AU$110,25,FALSE)</f>
        <v>2</v>
      </c>
      <c r="E8950" t="str">
        <v>D</v>
      </c>
      <c r="F8950">
        <f>VLOOKUP(D8934,'Detail Balok'!$C$10:$AU$110,27,FALSE)</f>
        <v>13</v>
      </c>
      <c r="I8950" t="str">
        <v>(</v>
      </c>
      <c r="J8950">
        <f>+J8942</f>
        <v>2.4575</v>
      </c>
      <c r="K8950" t="str">
        <v>+</v>
      </c>
      <c r="M8950" t="str">
        <v>=</v>
      </c>
      <c r="N8950">
        <f>J8950+L8950</f>
        <v>2.4575</v>
      </c>
      <c r="O8950" t="str">
        <v>+</v>
      </c>
      <c r="P8950">
        <f>MAX(D8950-D8949,D8950-D8951)</f>
        <v>0</v>
      </c>
      <c r="Q8950" t="str">
        <v>x</v>
      </c>
      <c r="R8950">
        <f>IF(P8950&gt;0,2*(1-2*$F$19-1/2)*D8937/1000,0)</f>
        <v>0</v>
      </c>
      <c r="S8950" t="str">
        <v>)</v>
      </c>
      <c r="T8950" t="str">
        <v>x</v>
      </c>
      <c r="U8950">
        <f>0.006165*F8950^2</f>
        <v>1.041885</v>
      </c>
      <c r="X8950" t="str">
        <v>x</v>
      </c>
      <c r="Y8950">
        <f>D8940</f>
        <v>1</v>
      </c>
      <c r="Z8950" t="str">
        <v>=</v>
      </c>
      <c r="AA8950">
        <f>IF(AA8952=0,(D8950*N8950+P8950*R8950)*U8950*Y8950,0)</f>
        <v>0</v>
      </c>
    </row>
    <row r="8951">
      <c r="A8951" t="str">
        <f>A8934</f>
        <v>Lantai Attic</v>
      </c>
      <c r="B8951">
        <f>B8934</f>
        <v>34</v>
      </c>
      <c r="C8951" t="str">
        <v>Tul Bawah Tumpuan</v>
      </c>
      <c r="D8951">
        <f>VLOOKUP(D8934,'Detail Balok'!$C$10:$AU$110,28,FALSE)</f>
        <v>2</v>
      </c>
      <c r="E8951" t="str">
        <v>D</v>
      </c>
      <c r="F8951">
        <f>VLOOKUP(D8934,'Detail Balok'!$C$10:$AU$110,30,FALSE)</f>
        <v>13</v>
      </c>
      <c r="I8951" t="str">
        <v>(</v>
      </c>
      <c r="J8951">
        <f>+J8943</f>
        <v>1.22875</v>
      </c>
      <c r="K8951" t="str">
        <v>+</v>
      </c>
      <c r="L8951">
        <f>MAX(VLOOKUP(F8951,N$6:P$15,3,FALSE)/1000,2/3*D8939/1000)+F$16*F8951/1000</f>
        <v>0.156</v>
      </c>
      <c r="M8951" t="str">
        <v>=</v>
      </c>
      <c r="N8951">
        <f>J8951+L8951</f>
        <v>1.38475</v>
      </c>
      <c r="O8951" t="str">
        <v>+</v>
      </c>
      <c r="P8951">
        <f>D8951-D8950</f>
        <v>0</v>
      </c>
      <c r="Q8951" t="str">
        <v>x</v>
      </c>
      <c r="R8951">
        <f>IF(P8951&gt;0,$F$18*F8951/1000,0)</f>
        <v>0</v>
      </c>
      <c r="S8951" t="str">
        <v>)</v>
      </c>
      <c r="T8951" t="str">
        <v>x</v>
      </c>
      <c r="U8951">
        <f>0.006165*F8951^2</f>
        <v>1.041885</v>
      </c>
      <c r="X8951" t="str">
        <v>x</v>
      </c>
      <c r="Y8951">
        <f>D8940</f>
        <v>1</v>
      </c>
      <c r="Z8951" t="str">
        <v>=</v>
      </c>
      <c r="AA8951">
        <f>IF(AA8952=0,(D8951*N8951+P8951*R8951)*U8951*Y8951,0)</f>
        <v>0</v>
      </c>
    </row>
    <row r="8952">
      <c r="A8952" t="str">
        <f>A8934</f>
        <v>Lantai Attic</v>
      </c>
      <c r="B8952">
        <f>B8934</f>
        <v>34</v>
      </c>
      <c r="D8952">
        <f>IF(AND(D8949=D8950,D8950=D8951,D8949=D8951),D8949,0)</f>
        <v>2</v>
      </c>
      <c r="E8952" t="str">
        <v>D</v>
      </c>
      <c r="F8952">
        <f>IF(AND(F8949=F8950,F8949=F8951,F8950=F8951),F8949,0)</f>
        <v>13</v>
      </c>
      <c r="L8952" t="str">
        <v>Total panjang per balok</v>
      </c>
      <c r="M8952" t="str">
        <v>=</v>
      </c>
      <c r="N8952">
        <f>IF(AND(D8949=D8950,D8949=D8951,D8950=D8951,F8949=F8950,F8949=F8951,F8950=F8951),SUM(N8949:N8951),0)</f>
        <v>5.227</v>
      </c>
      <c r="O8952" t="str">
        <v>+</v>
      </c>
      <c r="P8952">
        <f>IF(N8952&gt;12,ROUNDDOWN(N8952/12,0),0)</f>
        <v>0</v>
      </c>
      <c r="Q8952" t="str">
        <v>x</v>
      </c>
      <c r="R8952">
        <f>IF(P8952&gt;0,MAX(VLOOKUP(F8952,$D$6:$G$15,3,FALSE),600),0)/1000</f>
        <v>0</v>
      </c>
      <c r="T8952" t="str">
        <v>x</v>
      </c>
      <c r="U8952">
        <f>U8951</f>
        <v>1.041885</v>
      </c>
      <c r="V8952" t="str">
        <v>x</v>
      </c>
      <c r="W8952">
        <f>D8952</f>
        <v>2</v>
      </c>
      <c r="X8952" t="str">
        <v>x</v>
      </c>
      <c r="Y8952">
        <f>Y8951</f>
        <v>1</v>
      </c>
      <c r="Z8952" t="str">
        <v>=</v>
      </c>
      <c r="AA8952">
        <f>(N8952+P8952*R8952/1000)*U8952*W8952*Y8952</f>
        <v>10.89186579</v>
      </c>
    </row>
    <row r="8954">
      <c r="A8954" t="str">
        <f>A8934</f>
        <v>Lantai Attic</v>
      </c>
      <c r="B8954">
        <f>B8934</f>
        <v>34</v>
      </c>
      <c r="C8954" t="str">
        <v>Sengkang Tumpuan</v>
      </c>
      <c r="D8954">
        <f>VLOOKUP(D8934,'Detail Balok'!$C$10:$AU$110,31,FALSE)</f>
        <v>0</v>
      </c>
      <c r="E8954" t="str">
        <v>D</v>
      </c>
      <c r="F8954">
        <f>VLOOKUP(D8934,'Detail Balok'!$C$10:$AU$110,33,FALSE)</f>
        <v>8</v>
      </c>
      <c r="G8954" t="str">
        <v>-</v>
      </c>
      <c r="H8954">
        <f>VLOOKUP(D8934,'Detail Balok'!$C$10:$AU$110,35,FALSE)</f>
        <v>100</v>
      </c>
      <c r="J8954">
        <f>(IF(D8954=0,(2*(D8935+G8935))-(F$5*8),IF(D8954=3,(2*(D8935+G8935))-(F$5*8)+(G8935-2*F$5),IF(D8954=4,(2*(D8935+G8935))-(F$5*8)+2*(G8935-2*F$5)))))/1000</f>
        <v>0.98</v>
      </c>
      <c r="K8954" t="str">
        <v>+</v>
      </c>
      <c r="L8954">
        <f>IF(D8954=0,2*MAX(6*F8954,75),(D8954-1)*2*MAX(6*F8954,75))/1000</f>
        <v>0.15</v>
      </c>
      <c r="M8954" t="str">
        <v>=</v>
      </c>
      <c r="N8954">
        <f>J8954+L8954</f>
        <v>1.13</v>
      </c>
      <c r="T8954" t="str">
        <v>x</v>
      </c>
      <c r="U8954">
        <f>0.006165*F8954^2</f>
        <v>0.39456</v>
      </c>
      <c r="V8954" t="str">
        <v>x</v>
      </c>
      <c r="W8954">
        <f>IF(D8937&gt;4*G8935,ROUND(MAX(D8937/4,2*G8935)/H8954,0)+1,ROUND(D8937/H8954,0)+1)</f>
        <v>13</v>
      </c>
      <c r="X8954" t="str">
        <v>x</v>
      </c>
      <c r="Y8954">
        <f>D8940</f>
        <v>1</v>
      </c>
      <c r="Z8954" t="str">
        <v>=</v>
      </c>
      <c r="AA8954">
        <f>N8954*U8954*W8954*Y8954</f>
        <v>5.7960864</v>
      </c>
    </row>
    <row r="8955">
      <c r="A8955" t="str">
        <f>A8934</f>
        <v>Lantai Attic</v>
      </c>
      <c r="B8955">
        <f>B8934</f>
        <v>34</v>
      </c>
      <c r="C8955" t="str">
        <v>Sengkang Lapangan</v>
      </c>
      <c r="D8955">
        <f>VLOOKUP(D8934,'Detail Balok'!$C$10:$AU$110,36,FALSE)</f>
        <v>0</v>
      </c>
      <c r="E8955" t="str">
        <v>D</v>
      </c>
      <c r="F8955">
        <f>VLOOKUP(D8934,'Detail Balok'!$C$10:$AU$110,38,FALSE)</f>
        <v>8</v>
      </c>
      <c r="G8955" t="str">
        <v>-</v>
      </c>
      <c r="H8955">
        <f>VLOOKUP(D8934,'Detail Balok'!$C$10:$AU$110,40,FALSE)</f>
        <v>200</v>
      </c>
      <c r="J8955">
        <f>(IF(D8955=0,(2*(D8935+G8935))-(F$5*8),IF(D8955=3,(2*(D8935+G8935))-(F$5*8)+(G8935-2*F$5),IF(D8955=4,(2*(D8935+G8935))-(F$5*8)+2*(G8935-2*F$5)))))/1000</f>
        <v>0.98</v>
      </c>
      <c r="K8955" t="str">
        <v>+</v>
      </c>
      <c r="L8955">
        <f>IF(D8955=0,2*MAX(6*F8955,75),(D8955-1)*2*MAX(6*F8955,75))/1000</f>
        <v>0.15</v>
      </c>
      <c r="M8955" t="str">
        <v>=</v>
      </c>
      <c r="N8955">
        <f>J8955+L8955</f>
        <v>1.13</v>
      </c>
      <c r="T8955" t="str">
        <v>x</v>
      </c>
      <c r="U8955">
        <f>0.006165*F8955^2</f>
        <v>0.39456</v>
      </c>
      <c r="V8955" t="str">
        <v>x</v>
      </c>
      <c r="W8955">
        <f>IF(D8937-MAX(D8937/4,2*G8935)*2&gt;0,ROUND((D8937-MAX(D8937/4,2*G8935)*2)/H8955,0),0)</f>
        <v>12</v>
      </c>
      <c r="X8955" t="str">
        <v>x</v>
      </c>
      <c r="Y8955">
        <f>D8940</f>
        <v>1</v>
      </c>
      <c r="Z8955" t="str">
        <v>=</v>
      </c>
      <c r="AA8955">
        <f>N8955*U8955*W8955*Y8955</f>
        <v>5.3502336</v>
      </c>
    </row>
    <row r="8956">
      <c r="A8956" t="str">
        <f>A8934</f>
        <v>Lantai Attic</v>
      </c>
      <c r="B8956">
        <f>B8934</f>
        <v>34</v>
      </c>
      <c r="C8956" t="str">
        <v>Sengkang Tumpuan</v>
      </c>
      <c r="D8956">
        <f>VLOOKUP(D8934,'Detail Balok'!$C$10:$AU$110,41,FALSE)</f>
        <v>0</v>
      </c>
      <c r="E8956" t="str">
        <v>D</v>
      </c>
      <c r="F8956">
        <f>VLOOKUP(D8934,'Detail Balok'!$C$10:$AU$110,43,FALSE)</f>
        <v>8</v>
      </c>
      <c r="G8956" t="str">
        <v>-</v>
      </c>
      <c r="H8956">
        <f>VLOOKUP(D8934,'Detail Balok'!$C$10:$AU$110,45,FALSE)</f>
        <v>100</v>
      </c>
      <c r="J8956">
        <f>(IF(D8956=0,(2*(D8935+G8935))-(F$5*8),IF(D8956=3,(2*(D8935+G8935))-(F$5*8)+(G8935-2*F$5),IF(D8956=4,(2*(D8935+G8935))-(F$5*8)+2*(G8935-2*F$5)))))/1000</f>
        <v>0.98</v>
      </c>
      <c r="K8956" t="str">
        <v>+</v>
      </c>
      <c r="L8956">
        <f>IF(D8956=0,2*MAX(6*F8956,75),(D8956-1)*2*MAX(6*F8956,75))/1000</f>
        <v>0.15</v>
      </c>
      <c r="M8956" t="str">
        <v>=</v>
      </c>
      <c r="N8956">
        <f>J8956+L8956</f>
        <v>1.13</v>
      </c>
      <c r="T8956" t="str">
        <v>x</v>
      </c>
      <c r="U8956">
        <f>0.006165*F8956^2</f>
        <v>0.39456</v>
      </c>
      <c r="V8956" t="str">
        <v>x</v>
      </c>
      <c r="W8956">
        <f>IF(D8937&gt;4*G8935,ROUND(MAX(D8937/4,2*G8935)/H8956,0)+1,0)</f>
        <v>13</v>
      </c>
      <c r="X8956" t="str">
        <v>x</v>
      </c>
      <c r="Y8956">
        <f>D8940</f>
        <v>1</v>
      </c>
      <c r="Z8956" t="str">
        <v>=</v>
      </c>
      <c r="AA8956">
        <f>N8956*U8956*W8956*Y8956</f>
        <v>5.7960864</v>
      </c>
    </row>
    <row r="8958">
      <c r="A8958" t="str">
        <f>A8934</f>
        <v>Lantai Attic</v>
      </c>
      <c r="B8958">
        <f>B8934</f>
        <v>34</v>
      </c>
      <c r="C8958" t="str">
        <v>Kait Horizontal Tump.</v>
      </c>
      <c r="D8958">
        <f>VLOOKUP(D8934,'Detail Balok'!$C$10:$BJ$110,46,FALSE)</f>
        <v>0</v>
      </c>
      <c r="E8958" t="str">
        <v>D</v>
      </c>
      <c r="F8958">
        <f>VLOOKUP(D8934,'Detail Balok'!$C$10:$BJ$110,48,FALSE)</f>
        <v>0</v>
      </c>
      <c r="G8958" t="str">
        <v>-</v>
      </c>
      <c r="H8958">
        <f>VLOOKUP(D8934,'Detail Balok'!$C$10:$BJ$110,50,FALSE)</f>
        <v>100</v>
      </c>
      <c r="J8958">
        <f>(D8935-2*F$5)/1000</f>
        <v>0.12</v>
      </c>
      <c r="K8958" t="str">
        <v>+</v>
      </c>
      <c r="L8958">
        <f>IF(D8958=0,2*MAX(6*F8958,75),(D8958-1)*2*MAX(6*F8958,75))/1000</f>
        <v>0.15</v>
      </c>
      <c r="M8958" t="str">
        <v>=</v>
      </c>
      <c r="N8958">
        <f>J8958+L8958</f>
        <v>0.27</v>
      </c>
      <c r="T8958" t="str">
        <v>x</v>
      </c>
      <c r="U8958">
        <f>0.006165*F8958^2</f>
        <v>0</v>
      </c>
      <c r="V8958" t="str">
        <v>x</v>
      </c>
      <c r="W8958">
        <f>W8954</f>
        <v>13</v>
      </c>
      <c r="X8958" t="str">
        <v>x</v>
      </c>
      <c r="Y8958">
        <f>D8944</f>
        <v>2</v>
      </c>
      <c r="Z8958" t="str">
        <v>=</v>
      </c>
      <c r="AA8958">
        <f>N8958*U8958*W8958*Y8958</f>
        <v>0</v>
      </c>
    </row>
    <row r="8959">
      <c r="A8959" t="str">
        <f>A8934</f>
        <v>Lantai Attic</v>
      </c>
      <c r="B8959">
        <f>B8934</f>
        <v>34</v>
      </c>
      <c r="C8959" t="str">
        <v>Kait Horizontal Lap.</v>
      </c>
      <c r="D8959">
        <f>VLOOKUP(D8934,'Detail Balok'!$C$10:$BJ$110,51,FALSE)</f>
        <v>0</v>
      </c>
      <c r="E8959" t="str">
        <v>D</v>
      </c>
      <c r="F8959">
        <f>VLOOKUP(D8934,'Detail Balok'!$C$10:$BJ$110,53,FALSE)</f>
        <v>0</v>
      </c>
      <c r="G8959" t="str">
        <v>-</v>
      </c>
      <c r="H8959">
        <f>VLOOKUP(D8934,'Detail Balok'!$C$10:$BJ$110,55,FALSE)</f>
        <v>100</v>
      </c>
      <c r="J8959">
        <f>(D8935-2*F$5)/1000</f>
        <v>0.12</v>
      </c>
      <c r="K8959" t="str">
        <v>+</v>
      </c>
      <c r="L8959">
        <f>IF(D8959=0,2*MAX(6*F8959,75),(D8959-1)*2*MAX(6*F8959,75))/1000</f>
        <v>0.15</v>
      </c>
      <c r="M8959" t="str">
        <v>=</v>
      </c>
      <c r="N8959">
        <f>J8959+L8959</f>
        <v>0.27</v>
      </c>
      <c r="T8959" t="str">
        <v>x</v>
      </c>
      <c r="U8959">
        <f>0.006165*F8959^2</f>
        <v>0</v>
      </c>
      <c r="V8959" t="str">
        <v>x</v>
      </c>
      <c r="W8959">
        <f>W8955</f>
        <v>12</v>
      </c>
      <c r="X8959" t="str">
        <v>x</v>
      </c>
      <c r="Y8959">
        <f>D8944</f>
        <v>2</v>
      </c>
      <c r="Z8959" t="str">
        <v>=</v>
      </c>
      <c r="AA8959">
        <f>N8959*U8959*W8959*Y8959</f>
        <v>0</v>
      </c>
    </row>
    <row r="8960">
      <c r="A8960" t="str">
        <f>A8934</f>
        <v>Lantai Attic</v>
      </c>
      <c r="B8960">
        <f>B8934</f>
        <v>34</v>
      </c>
      <c r="C8960" t="str">
        <v>Kait Horizontal Tump.</v>
      </c>
      <c r="D8960">
        <f>VLOOKUP(D8934,'Detail Balok'!$C$10:$BJ$110,56,FALSE)</f>
        <v>0</v>
      </c>
      <c r="E8960" t="str">
        <v>D</v>
      </c>
      <c r="F8960">
        <f>VLOOKUP(D8934,'Detail Balok'!$C$10:$BJ$110,58,FALSE)</f>
        <v>0</v>
      </c>
      <c r="G8960" t="str">
        <v>-</v>
      </c>
      <c r="H8960">
        <f>VLOOKUP(D8934,'Detail Balok'!$C$10:$BJ$110,60,FALSE)</f>
        <v>100</v>
      </c>
      <c r="J8960">
        <f>(D8935-2*F$5)/1000</f>
        <v>0.12</v>
      </c>
      <c r="K8960" t="str">
        <v>+</v>
      </c>
      <c r="L8960">
        <f>IF(D8960=0,2*MAX(6*F8960,75),(D8960-1)*2*MAX(6*F8960,75))/1000</f>
        <v>0.15</v>
      </c>
      <c r="M8960" t="str">
        <v>=</v>
      </c>
      <c r="N8960">
        <f>J8960+L8960</f>
        <v>0.27</v>
      </c>
      <c r="T8960" t="str">
        <v>x</v>
      </c>
      <c r="U8960">
        <f>0.006165*F8960^2</f>
        <v>0</v>
      </c>
      <c r="V8960" t="str">
        <v>x</v>
      </c>
      <c r="W8960">
        <f>W8956</f>
        <v>13</v>
      </c>
      <c r="X8960" t="str">
        <v>x</v>
      </c>
      <c r="Y8960">
        <f>D8944</f>
        <v>2</v>
      </c>
      <c r="Z8960" t="str">
        <v>=</v>
      </c>
      <c r="AA8960">
        <f>N8960*U8960*W8960*Y8960</f>
        <v>0</v>
      </c>
    </row>
    <row r="8964">
      <c r="A8964" t="str">
        <f>A8934</f>
        <v>Lantai Attic</v>
      </c>
      <c r="B8964">
        <f>B8934+1</f>
        <v>35</v>
      </c>
      <c r="C8964" t="str">
        <f>CONCATENATE(A8964," no. ",B8964)</f>
        <v>Lantai Attic no. 35</v>
      </c>
      <c r="D8964" t="str">
        <f>VLOOKUP(C8964,'Data Panjang Balok'!$C$9:$N$424,2,FALSE)</f>
        <v>B245-2</v>
      </c>
    </row>
    <row r="8965">
      <c r="C8965" t="str">
        <v>Dimensi</v>
      </c>
      <c r="D8965">
        <f>VLOOKUP(D8964,'Detail Balok'!$C$10:$AU$110,2,FALSE)</f>
        <v>200</v>
      </c>
      <c r="F8965" t="str">
        <v>x</v>
      </c>
      <c r="G8965">
        <f>VLOOKUP(D8964,'Detail Balok'!$C$10:$AU$110,3,FALSE)</f>
        <v>450</v>
      </c>
    </row>
    <row r="8966">
      <c r="C8966" t="str">
        <v>Panjang as ke as</v>
      </c>
      <c r="D8966">
        <f>VLOOKUP(C8964,'Data Panjang Balok'!$C$9:$N$424,4,FALSE)</f>
        <v>6200</v>
      </c>
    </row>
    <row r="8967">
      <c r="C8967" t="str">
        <v>Panjang netto</v>
      </c>
      <c r="D8967">
        <f>VLOOKUP(C8964,'Data Panjang Balok'!$C$9:$N$424,7,FALSE)</f>
        <v>6200</v>
      </c>
    </row>
    <row r="8968">
      <c r="C8968" t="str">
        <v>Kolom / balok kiri</v>
      </c>
      <c r="D8968">
        <f>VLOOKUP(C8964,'Data Panjang Balok'!$C$9:$N$424,9,FALSE)</f>
        <v>0</v>
      </c>
    </row>
    <row r="8969">
      <c r="C8969" t="str">
        <v>Kolom / balok kanan</v>
      </c>
      <c r="D8969">
        <f>VLOOKUP(C8964,'Data Panjang Balok'!$C$9:$N$424,10,FALSE)</f>
        <v>0</v>
      </c>
    </row>
    <row r="8970">
      <c r="C8970" t="str">
        <v>Jumlah</v>
      </c>
      <c r="D8970">
        <f>VLOOKUP(C8964,'Data Panjang Balok'!$C$9:$N$424,3,FALSE)</f>
        <v>1</v>
      </c>
    </row>
    <row r="8971">
      <c r="A8971" t="str">
        <f>A8964</f>
        <v>Lantai Attic</v>
      </c>
      <c r="B8971">
        <f>B8964</f>
        <v>35</v>
      </c>
      <c r="C8971" t="str">
        <v>Tul Atas Tumpuan</v>
      </c>
      <c r="D8971">
        <f>VLOOKUP(D8964,'Detail Balok'!$C$10:$AU$110,4,FALSE)</f>
        <v>3</v>
      </c>
      <c r="E8971" t="str">
        <v>D</v>
      </c>
      <c r="F8971">
        <f>VLOOKUP(D8964,'Detail Balok'!$C$10:$AU$110,6,FALSE)</f>
        <v>13</v>
      </c>
      <c r="I8971" t="str">
        <v>(</v>
      </c>
      <c r="J8971">
        <f>+D8966/4/1000</f>
        <v>1.55</v>
      </c>
      <c r="K8971" t="str">
        <v>+</v>
      </c>
      <c r="L8971">
        <f>MAX(VLOOKUP(F8971,N$6:P$15,3,FALSE)/1000,2/3*D8968/1000)+F$16*F8971/1000</f>
        <v>0.156</v>
      </c>
      <c r="M8971" t="str">
        <v>=</v>
      </c>
      <c r="N8971">
        <f>J8971+L8971</f>
        <v>1.706</v>
      </c>
      <c r="O8971" t="str">
        <v>+</v>
      </c>
      <c r="P8971">
        <f>D8971-D8972</f>
        <v>0</v>
      </c>
      <c r="Q8971" t="str">
        <v>x</v>
      </c>
      <c r="R8971">
        <f>IF(P8971&gt;0,$F$18*F8971/1000,0)</f>
        <v>0</v>
      </c>
      <c r="S8971" t="str">
        <v>)</v>
      </c>
      <c r="T8971" t="str">
        <v>x</v>
      </c>
      <c r="U8971">
        <f>0.006165*F8971^2</f>
        <v>1.041885</v>
      </c>
      <c r="X8971" t="str">
        <v>x</v>
      </c>
      <c r="Y8971">
        <f>D8970</f>
        <v>1</v>
      </c>
      <c r="Z8971" t="str">
        <v>=</v>
      </c>
      <c r="AA8971">
        <f>IF(AA8974=0,(D8971*N8971+P8971*R8971)*U8971*Y8971,0)</f>
        <v>0</v>
      </c>
    </row>
    <row r="8972">
      <c r="A8972" t="str">
        <f>A8964</f>
        <v>Lantai Attic</v>
      </c>
      <c r="B8972">
        <f>B8964</f>
        <v>35</v>
      </c>
      <c r="C8972" t="str">
        <v>Tul Atas Lapangan</v>
      </c>
      <c r="D8972">
        <f>VLOOKUP(D8964,'Detail Balok'!$C$10:$AU$110,7,FALSE)</f>
        <v>3</v>
      </c>
      <c r="E8972" t="str">
        <v>D</v>
      </c>
      <c r="F8972">
        <f>VLOOKUP(D8964,'Detail Balok'!$C$10:$AU$110,9,FALSE)</f>
        <v>13</v>
      </c>
      <c r="I8972" t="str">
        <v>(</v>
      </c>
      <c r="J8972">
        <f>+D8966/2/1000</f>
        <v>3.1</v>
      </c>
      <c r="K8972" t="str">
        <v>+</v>
      </c>
      <c r="M8972" t="str">
        <v>=</v>
      </c>
      <c r="N8972">
        <f>J8972+L8972</f>
        <v>3.1</v>
      </c>
      <c r="O8972" t="str">
        <v>+</v>
      </c>
      <c r="P8972">
        <f>MAX(D8972-D8971,D8972-D8973)</f>
        <v>0</v>
      </c>
      <c r="Q8972" t="str">
        <v>x</v>
      </c>
      <c r="R8972">
        <f>IF(P8972&gt;0,2*(1-2*$F$19-1/2)*D8967/1000,0)</f>
        <v>0</v>
      </c>
      <c r="S8972" t="str">
        <v>)</v>
      </c>
      <c r="T8972" t="str">
        <v>x</v>
      </c>
      <c r="U8972">
        <f>0.006165*F8972^2</f>
        <v>1.041885</v>
      </c>
      <c r="X8972" t="str">
        <v>x</v>
      </c>
      <c r="Y8972">
        <f>D8970</f>
        <v>1</v>
      </c>
      <c r="Z8972" t="str">
        <v>=</v>
      </c>
      <c r="AA8972">
        <f>IF(AA8974=0,(D8972*N8972+P8972*R8972)*U8972*Y8972,0)</f>
        <v>0</v>
      </c>
    </row>
    <row r="8973">
      <c r="A8973" t="str">
        <f>A8964</f>
        <v>Lantai Attic</v>
      </c>
      <c r="B8973">
        <f>B8964</f>
        <v>35</v>
      </c>
      <c r="C8973" t="str">
        <v>Tul Atas Tumpuan</v>
      </c>
      <c r="D8973">
        <f>VLOOKUP(D8964,'Detail Balok'!$C$10:$AU$110,10,FALSE)</f>
        <v>3</v>
      </c>
      <c r="E8973" t="str">
        <v>D</v>
      </c>
      <c r="F8973">
        <f>VLOOKUP(D8964,'Detail Balok'!$C$10:$AU$110,12,FALSE)</f>
        <v>13</v>
      </c>
      <c r="I8973" t="str">
        <v>(</v>
      </c>
      <c r="J8973">
        <f>+D8966/4/1000</f>
        <v>1.55</v>
      </c>
      <c r="K8973" t="str">
        <v>+</v>
      </c>
      <c r="L8973">
        <f>MAX(VLOOKUP(F8973,N$6:P$15,3,FALSE)/1000,2/3*D8968/1000)+F$16*F8973/1000</f>
        <v>0.156</v>
      </c>
      <c r="M8973" t="str">
        <v>=</v>
      </c>
      <c r="N8973">
        <f>J8973+L8973</f>
        <v>1.706</v>
      </c>
      <c r="O8973" t="str">
        <v>+</v>
      </c>
      <c r="P8973">
        <f>D8973-D8972</f>
        <v>0</v>
      </c>
      <c r="Q8973" t="str">
        <v>x</v>
      </c>
      <c r="R8973">
        <f>IF(P8973&gt;0,$F$18*F8973/1000,0)</f>
        <v>0</v>
      </c>
      <c r="S8973" t="str">
        <v>)</v>
      </c>
      <c r="T8973" t="str">
        <v>x</v>
      </c>
      <c r="U8973">
        <f>0.006165*F8973^2</f>
        <v>1.041885</v>
      </c>
      <c r="X8973" t="str">
        <v>x</v>
      </c>
      <c r="Y8973">
        <f>D8970</f>
        <v>1</v>
      </c>
      <c r="Z8973" t="str">
        <v>=</v>
      </c>
      <c r="AA8973">
        <f>IF(AA8974=0,(D8973*N8973+P8973*R8973)*U8973*Y8973,0)</f>
        <v>0</v>
      </c>
    </row>
    <row r="8974">
      <c r="A8974" t="str">
        <f>A8964</f>
        <v>Lantai Attic</v>
      </c>
      <c r="B8974">
        <f>B8964</f>
        <v>35</v>
      </c>
      <c r="D8974">
        <f>IF(AND(D8971=D8972,D8972=D8973,D8971=D8973),D8971,0)</f>
        <v>3</v>
      </c>
      <c r="E8974" t="str">
        <v>D</v>
      </c>
      <c r="F8974">
        <f>IF(AND(F8971=F8972,F8971=F8973,F8972=F8973),F8971,0)</f>
        <v>13</v>
      </c>
      <c r="L8974" t="str">
        <v>Total panjang per balok</v>
      </c>
      <c r="M8974" t="str">
        <v>=</v>
      </c>
      <c r="N8974">
        <f>IF(AND(D8971=D8972,D8971=D8973,D8972=D8973,F8971=F8972,F8971=F8973,F8972=F8973),SUM(N8971:N8973),0)</f>
        <v>6.5120000000000005</v>
      </c>
      <c r="O8974" t="str">
        <v>+</v>
      </c>
      <c r="P8974">
        <f>IF(N8974&gt;12,ROUNDDOWN(N8974/12,0),0)</f>
        <v>0</v>
      </c>
      <c r="Q8974" t="str">
        <v>x</v>
      </c>
      <c r="R8974">
        <f>IF(P8974&gt;0,MAX(VLOOKUP(F8974,$D$6:$G$15,3,FALSE),600),0)/1000</f>
        <v>0</v>
      </c>
      <c r="T8974" t="str">
        <v>x</v>
      </c>
      <c r="U8974">
        <f>U8973</f>
        <v>1.041885</v>
      </c>
      <c r="V8974" t="str">
        <v>x</v>
      </c>
      <c r="W8974">
        <f>D8974</f>
        <v>3</v>
      </c>
      <c r="X8974" t="str">
        <v>x</v>
      </c>
      <c r="Y8974">
        <f>Y8973</f>
        <v>1</v>
      </c>
      <c r="Z8974" t="str">
        <v>=</v>
      </c>
      <c r="AA8974">
        <f>(N8974+P8974*R8974/1000)*U8974*W8974*Y8974</f>
        <v>20.35426536</v>
      </c>
    </row>
    <row r="8976">
      <c r="A8976" t="str">
        <f>A8964</f>
        <v>Lantai Attic</v>
      </c>
      <c r="B8976">
        <f>B8964</f>
        <v>35</v>
      </c>
      <c r="C8976" t="str">
        <v>Tul Peminggang</v>
      </c>
      <c r="D8976">
        <f>VLOOKUP(D8964,'Detail Balok'!$C$10:$AU$110,13,FALSE)</f>
        <v>2</v>
      </c>
      <c r="E8976" t="str">
        <v>D</v>
      </c>
      <c r="F8976">
        <f>VLOOKUP(D8964,'Detail Balok'!$C$10:$AU$110,15,FALSE)</f>
        <v>8</v>
      </c>
      <c r="J8976">
        <f>+D8966/1000</f>
        <v>6.2</v>
      </c>
      <c r="K8976" t="str">
        <v>+</v>
      </c>
      <c r="L8976">
        <f>2*$F$16*F8976/1000</f>
        <v>0.192</v>
      </c>
      <c r="M8976" t="str">
        <v>=</v>
      </c>
      <c r="N8976">
        <f>J8976+L8976</f>
        <v>6.392</v>
      </c>
      <c r="O8976" t="str">
        <v>+</v>
      </c>
      <c r="P8976">
        <f>IF(N8976&gt;12,ROUNDDOWN(N8976/12,0),0)</f>
        <v>0</v>
      </c>
      <c r="Q8976" t="str">
        <v>x</v>
      </c>
      <c r="R8976">
        <f>IF(P8976&gt;0,MAX(VLOOKUP(F8976,$D$6:$G$15,3,FALSE),600),0)/1000</f>
        <v>0</v>
      </c>
      <c r="T8976" t="str">
        <v>x</v>
      </c>
      <c r="U8976">
        <f>0.006165*F8976^2</f>
        <v>0.39456</v>
      </c>
      <c r="V8976" t="str">
        <v>x</v>
      </c>
      <c r="W8976">
        <f>+D8976</f>
        <v>2</v>
      </c>
      <c r="X8976" t="str">
        <v>x</v>
      </c>
      <c r="Y8976">
        <f>D8970</f>
        <v>1</v>
      </c>
      <c r="Z8976" t="str">
        <v>=</v>
      </c>
      <c r="AA8976">
        <f>(N8976+P8976*R8976/1000)*U8976*W8976*Y8976</f>
        <v>5.044055040000001</v>
      </c>
    </row>
    <row r="8979">
      <c r="A8979" t="str">
        <f>A8964</f>
        <v>Lantai Attic</v>
      </c>
      <c r="B8979">
        <f>B8964</f>
        <v>35</v>
      </c>
      <c r="C8979" t="str">
        <v>Tul Bawah Tumpuan</v>
      </c>
      <c r="D8979">
        <f>VLOOKUP(D8964,'Detail Balok'!$C$10:$AU$110,22,FALSE)</f>
        <v>3</v>
      </c>
      <c r="E8979" t="str">
        <v>D</v>
      </c>
      <c r="F8979">
        <f>VLOOKUP(D8964,'Detail Balok'!$C$10:$AU$110,24,FALSE)</f>
        <v>13</v>
      </c>
      <c r="I8979" t="str">
        <v>(</v>
      </c>
      <c r="J8979">
        <f>+J8971</f>
        <v>1.55</v>
      </c>
      <c r="K8979" t="str">
        <v>+</v>
      </c>
      <c r="L8979">
        <f>MAX(VLOOKUP(F8979,N$6:P$15,3,FALSE)/1000,2/3*D8969/1000)+F$16*F8979/1000</f>
        <v>0.156</v>
      </c>
      <c r="M8979" t="str">
        <v>=</v>
      </c>
      <c r="N8979">
        <f>J8979+L8979</f>
        <v>1.706</v>
      </c>
      <c r="O8979" t="str">
        <v>+</v>
      </c>
      <c r="P8979">
        <f>D8979-D8980</f>
        <v>0</v>
      </c>
      <c r="Q8979" t="str">
        <v>x</v>
      </c>
      <c r="R8979">
        <f>IF(P8979&gt;0,$F$18*F8979/1000,0)</f>
        <v>0</v>
      </c>
      <c r="S8979" t="str">
        <v>)</v>
      </c>
      <c r="T8979" t="str">
        <v>x</v>
      </c>
      <c r="U8979">
        <f>0.006165*F8979^2</f>
        <v>1.041885</v>
      </c>
      <c r="X8979" t="str">
        <v>x</v>
      </c>
      <c r="Y8979">
        <f>D8970</f>
        <v>1</v>
      </c>
      <c r="Z8979" t="str">
        <v>=</v>
      </c>
      <c r="AA8979">
        <f>IF(AA8982=0,(D8979*N8979+P8979*R8979)*U8979*Y8979,0)</f>
        <v>0</v>
      </c>
    </row>
    <row r="8980">
      <c r="A8980" t="str">
        <f>A8964</f>
        <v>Lantai Attic</v>
      </c>
      <c r="B8980">
        <f>B8964</f>
        <v>35</v>
      </c>
      <c r="C8980" t="str">
        <v>Tul Bawah Lapangan</v>
      </c>
      <c r="D8980">
        <f>VLOOKUP(D8964,'Detail Balok'!$C$10:$AU$110,25,FALSE)</f>
        <v>3</v>
      </c>
      <c r="E8980" t="str">
        <v>D</v>
      </c>
      <c r="F8980">
        <f>VLOOKUP(D8964,'Detail Balok'!$C$10:$AU$110,27,FALSE)</f>
        <v>13</v>
      </c>
      <c r="I8980" t="str">
        <v>(</v>
      </c>
      <c r="J8980">
        <f>+J8972</f>
        <v>3.1</v>
      </c>
      <c r="K8980" t="str">
        <v>+</v>
      </c>
      <c r="M8980" t="str">
        <v>=</v>
      </c>
      <c r="N8980">
        <f>J8980+L8980</f>
        <v>3.1</v>
      </c>
      <c r="O8980" t="str">
        <v>+</v>
      </c>
      <c r="P8980">
        <f>MAX(D8980-D8979,D8980-D8981)</f>
        <v>0</v>
      </c>
      <c r="Q8980" t="str">
        <v>x</v>
      </c>
      <c r="R8980">
        <f>IF(P8980&gt;0,2*(1-2*$F$19-1/2)*D8967/1000,0)</f>
        <v>0</v>
      </c>
      <c r="S8980" t="str">
        <v>)</v>
      </c>
      <c r="T8980" t="str">
        <v>x</v>
      </c>
      <c r="U8980">
        <f>0.006165*F8980^2</f>
        <v>1.041885</v>
      </c>
      <c r="X8980" t="str">
        <v>x</v>
      </c>
      <c r="Y8980">
        <f>D8970</f>
        <v>1</v>
      </c>
      <c r="Z8980" t="str">
        <v>=</v>
      </c>
      <c r="AA8980">
        <f>IF(AA8982=0,(D8980*N8980+P8980*R8980)*U8980*Y8980,0)</f>
        <v>0</v>
      </c>
    </row>
    <row r="8981">
      <c r="A8981" t="str">
        <f>A8964</f>
        <v>Lantai Attic</v>
      </c>
      <c r="B8981">
        <f>B8964</f>
        <v>35</v>
      </c>
      <c r="C8981" t="str">
        <v>Tul Bawah Tumpuan</v>
      </c>
      <c r="D8981">
        <f>VLOOKUP(D8964,'Detail Balok'!$C$10:$AU$110,28,FALSE)</f>
        <v>3</v>
      </c>
      <c r="E8981" t="str">
        <v>D</v>
      </c>
      <c r="F8981">
        <f>VLOOKUP(D8964,'Detail Balok'!$C$10:$AU$110,30,FALSE)</f>
        <v>13</v>
      </c>
      <c r="I8981" t="str">
        <v>(</v>
      </c>
      <c r="J8981">
        <f>+J8973</f>
        <v>1.55</v>
      </c>
      <c r="K8981" t="str">
        <v>+</v>
      </c>
      <c r="L8981">
        <f>MAX(VLOOKUP(F8981,N$6:P$15,3,FALSE)/1000,2/3*D8969/1000)+F$16*F8981/1000</f>
        <v>0.156</v>
      </c>
      <c r="M8981" t="str">
        <v>=</v>
      </c>
      <c r="N8981">
        <f>J8981+L8981</f>
        <v>1.706</v>
      </c>
      <c r="O8981" t="str">
        <v>+</v>
      </c>
      <c r="P8981">
        <f>D8981-D8980</f>
        <v>0</v>
      </c>
      <c r="Q8981" t="str">
        <v>x</v>
      </c>
      <c r="R8981">
        <f>IF(P8981&gt;0,$F$18*F8981/1000,0)</f>
        <v>0</v>
      </c>
      <c r="S8981" t="str">
        <v>)</v>
      </c>
      <c r="T8981" t="str">
        <v>x</v>
      </c>
      <c r="U8981">
        <f>0.006165*F8981^2</f>
        <v>1.041885</v>
      </c>
      <c r="X8981" t="str">
        <v>x</v>
      </c>
      <c r="Y8981">
        <f>D8970</f>
        <v>1</v>
      </c>
      <c r="Z8981" t="str">
        <v>=</v>
      </c>
      <c r="AA8981">
        <f>IF(AA8982=0,(D8981*N8981+P8981*R8981)*U8981*Y8981,0)</f>
        <v>0</v>
      </c>
    </row>
    <row r="8982">
      <c r="A8982" t="str">
        <f>A8964</f>
        <v>Lantai Attic</v>
      </c>
      <c r="B8982">
        <f>B8964</f>
        <v>35</v>
      </c>
      <c r="D8982">
        <f>IF(AND(D8979=D8980,D8980=D8981,D8979=D8981),D8979,0)</f>
        <v>3</v>
      </c>
      <c r="E8982" t="str">
        <v>D</v>
      </c>
      <c r="F8982">
        <f>IF(AND(F8979=F8980,F8979=F8981,F8980=F8981),F8979,0)</f>
        <v>13</v>
      </c>
      <c r="L8982" t="str">
        <v>Total panjang per balok</v>
      </c>
      <c r="M8982" t="str">
        <v>=</v>
      </c>
      <c r="N8982">
        <f>IF(AND(D8979=D8980,D8979=D8981,D8980=D8981,F8979=F8980,F8979=F8981,F8980=F8981),SUM(N8979:N8981),0)</f>
        <v>6.5120000000000005</v>
      </c>
      <c r="O8982" t="str">
        <v>+</v>
      </c>
      <c r="P8982">
        <f>IF(N8982&gt;12,ROUNDDOWN(N8982/12,0),0)</f>
        <v>0</v>
      </c>
      <c r="Q8982" t="str">
        <v>x</v>
      </c>
      <c r="R8982">
        <f>IF(P8982&gt;0,MAX(VLOOKUP(F8982,$D$6:$G$15,3,FALSE),600),0)/1000</f>
        <v>0</v>
      </c>
      <c r="T8982" t="str">
        <v>x</v>
      </c>
      <c r="U8982">
        <f>U8981</f>
        <v>1.041885</v>
      </c>
      <c r="V8982" t="str">
        <v>x</v>
      </c>
      <c r="W8982">
        <f>D8982</f>
        <v>3</v>
      </c>
      <c r="X8982" t="str">
        <v>x</v>
      </c>
      <c r="Y8982">
        <f>Y8981</f>
        <v>1</v>
      </c>
      <c r="Z8982" t="str">
        <v>=</v>
      </c>
      <c r="AA8982">
        <f>(N8982+P8982*R8982/1000)*U8982*W8982*Y8982</f>
        <v>20.35426536</v>
      </c>
    </row>
    <row r="8984">
      <c r="A8984" t="str">
        <f>A8964</f>
        <v>Lantai Attic</v>
      </c>
      <c r="B8984">
        <f>B8964</f>
        <v>35</v>
      </c>
      <c r="C8984" t="str">
        <v>Sengkang Tumpuan</v>
      </c>
      <c r="D8984">
        <f>VLOOKUP(D8964,'Detail Balok'!$C$10:$AU$110,31,FALSE)</f>
        <v>0</v>
      </c>
      <c r="E8984" t="str">
        <v>D</v>
      </c>
      <c r="F8984">
        <f>VLOOKUP(D8964,'Detail Balok'!$C$10:$AU$110,33,FALSE)</f>
        <v>8</v>
      </c>
      <c r="G8984" t="str">
        <v>-</v>
      </c>
      <c r="H8984">
        <f>VLOOKUP(D8964,'Detail Balok'!$C$10:$AU$110,35,FALSE)</f>
        <v>100</v>
      </c>
      <c r="J8984">
        <f>(IF(D8984=0,(2*(D8965+G8965))-(F$5*8),IF(D8984=3,(2*(D8965+G8965))-(F$5*8)+(G8965-2*F$5),IF(D8984=4,(2*(D8965+G8965))-(F$5*8)+2*(G8965-2*F$5)))))/1000</f>
        <v>0.98</v>
      </c>
      <c r="K8984" t="str">
        <v>+</v>
      </c>
      <c r="L8984">
        <f>IF(D8984=0,2*MAX(6*F8984,75),(D8984-1)*2*MAX(6*F8984,75))/1000</f>
        <v>0.15</v>
      </c>
      <c r="M8984" t="str">
        <v>=</v>
      </c>
      <c r="N8984">
        <f>J8984+L8984</f>
        <v>1.13</v>
      </c>
      <c r="T8984" t="str">
        <v>x</v>
      </c>
      <c r="U8984">
        <f>0.006165*F8984^2</f>
        <v>0.39456</v>
      </c>
      <c r="V8984" t="str">
        <v>x</v>
      </c>
      <c r="W8984">
        <f>IF(D8967&gt;4*G8965,ROUND(MAX(D8967/4,2*G8965)/H8984,0)+1,ROUND(D8967/H8984,0)+1)</f>
        <v>17</v>
      </c>
      <c r="X8984" t="str">
        <v>x</v>
      </c>
      <c r="Y8984">
        <f>D8970</f>
        <v>1</v>
      </c>
      <c r="Z8984" t="str">
        <v>=</v>
      </c>
      <c r="AA8984">
        <f>N8984*U8984*W8984*Y8984</f>
        <v>7.5794976</v>
      </c>
    </row>
    <row r="8985">
      <c r="A8985" t="str">
        <f>A8964</f>
        <v>Lantai Attic</v>
      </c>
      <c r="B8985">
        <f>B8964</f>
        <v>35</v>
      </c>
      <c r="C8985" t="str">
        <v>Sengkang Lapangan</v>
      </c>
      <c r="D8985">
        <f>VLOOKUP(D8964,'Detail Balok'!$C$10:$AU$110,36,FALSE)</f>
        <v>0</v>
      </c>
      <c r="E8985" t="str">
        <v>D</v>
      </c>
      <c r="F8985">
        <f>VLOOKUP(D8964,'Detail Balok'!$C$10:$AU$110,38,FALSE)</f>
        <v>8</v>
      </c>
      <c r="G8985" t="str">
        <v>-</v>
      </c>
      <c r="H8985">
        <f>VLOOKUP(D8964,'Detail Balok'!$C$10:$AU$110,40,FALSE)</f>
        <v>200</v>
      </c>
      <c r="J8985">
        <f>(IF(D8985=0,(2*(D8965+G8965))-(F$5*8),IF(D8985=3,(2*(D8965+G8965))-(F$5*8)+(G8965-2*F$5),IF(D8985=4,(2*(D8965+G8965))-(F$5*8)+2*(G8965-2*F$5)))))/1000</f>
        <v>0.98</v>
      </c>
      <c r="K8985" t="str">
        <v>+</v>
      </c>
      <c r="L8985">
        <f>IF(D8985=0,2*MAX(6*F8985,75),(D8985-1)*2*MAX(6*F8985,75))/1000</f>
        <v>0.15</v>
      </c>
      <c r="M8985" t="str">
        <v>=</v>
      </c>
      <c r="N8985">
        <f>J8985+L8985</f>
        <v>1.13</v>
      </c>
      <c r="T8985" t="str">
        <v>x</v>
      </c>
      <c r="U8985">
        <f>0.006165*F8985^2</f>
        <v>0.39456</v>
      </c>
      <c r="V8985" t="str">
        <v>x</v>
      </c>
      <c r="W8985">
        <f>IF(D8967-MAX(D8967/4,2*G8965)*2&gt;0,ROUND((D8967-MAX(D8967/4,2*G8965)*2)/H8985,0),0)</f>
        <v>16</v>
      </c>
      <c r="X8985" t="str">
        <v>x</v>
      </c>
      <c r="Y8985">
        <f>D8970</f>
        <v>1</v>
      </c>
      <c r="Z8985" t="str">
        <v>=</v>
      </c>
      <c r="AA8985">
        <f>N8985*U8985*W8985*Y8985</f>
        <v>7.1336448</v>
      </c>
    </row>
    <row r="8986">
      <c r="A8986" t="str">
        <f>A8964</f>
        <v>Lantai Attic</v>
      </c>
      <c r="B8986">
        <f>B8964</f>
        <v>35</v>
      </c>
      <c r="C8986" t="str">
        <v>Sengkang Tumpuan</v>
      </c>
      <c r="D8986">
        <f>VLOOKUP(D8964,'Detail Balok'!$C$10:$AU$110,41,FALSE)</f>
        <v>0</v>
      </c>
      <c r="E8986" t="str">
        <v>D</v>
      </c>
      <c r="F8986">
        <f>VLOOKUP(D8964,'Detail Balok'!$C$10:$AU$110,43,FALSE)</f>
        <v>8</v>
      </c>
      <c r="G8986" t="str">
        <v>-</v>
      </c>
      <c r="H8986">
        <f>VLOOKUP(D8964,'Detail Balok'!$C$10:$AU$110,45,FALSE)</f>
        <v>100</v>
      </c>
      <c r="J8986">
        <f>(IF(D8986=0,(2*(D8965+G8965))-(F$5*8),IF(D8986=3,(2*(D8965+G8965))-(F$5*8)+(G8965-2*F$5),IF(D8986=4,(2*(D8965+G8965))-(F$5*8)+2*(G8965-2*F$5)))))/1000</f>
        <v>0.98</v>
      </c>
      <c r="K8986" t="str">
        <v>+</v>
      </c>
      <c r="L8986">
        <f>IF(D8986=0,2*MAX(6*F8986,75),(D8986-1)*2*MAX(6*F8986,75))/1000</f>
        <v>0.15</v>
      </c>
      <c r="M8986" t="str">
        <v>=</v>
      </c>
      <c r="N8986">
        <f>J8986+L8986</f>
        <v>1.13</v>
      </c>
      <c r="T8986" t="str">
        <v>x</v>
      </c>
      <c r="U8986">
        <f>0.006165*F8986^2</f>
        <v>0.39456</v>
      </c>
      <c r="V8986" t="str">
        <v>x</v>
      </c>
      <c r="W8986">
        <f>IF(D8967&gt;4*G8965,ROUND(MAX(D8967/4,2*G8965)/H8986,0)+1,0)</f>
        <v>17</v>
      </c>
      <c r="X8986" t="str">
        <v>x</v>
      </c>
      <c r="Y8986">
        <f>D8970</f>
        <v>1</v>
      </c>
      <c r="Z8986" t="str">
        <v>=</v>
      </c>
      <c r="AA8986">
        <f>N8986*U8986*W8986*Y8986</f>
        <v>7.5794976</v>
      </c>
    </row>
    <row r="8988">
      <c r="A8988" t="str">
        <f>A8964</f>
        <v>Lantai Attic</v>
      </c>
      <c r="B8988">
        <f>B8964</f>
        <v>35</v>
      </c>
      <c r="C8988" t="str">
        <v>Kait Horizontal Tump.</v>
      </c>
      <c r="D8988">
        <f>VLOOKUP(D8964,'Detail Balok'!$C$10:$BJ$110,46,FALSE)</f>
        <v>0</v>
      </c>
      <c r="E8988" t="str">
        <v>D</v>
      </c>
      <c r="F8988">
        <f>VLOOKUP(D8964,'Detail Balok'!$C$10:$BJ$110,48,FALSE)</f>
        <v>0</v>
      </c>
      <c r="G8988" t="str">
        <v>-</v>
      </c>
      <c r="H8988">
        <f>VLOOKUP(D8964,'Detail Balok'!$C$10:$BJ$110,50,FALSE)</f>
        <v>100</v>
      </c>
      <c r="J8988">
        <f>(D8965-2*F$5)/1000</f>
        <v>0.12</v>
      </c>
      <c r="K8988" t="str">
        <v>+</v>
      </c>
      <c r="L8988">
        <f>IF(D8988=0,2*MAX(6*F8988,75),(D8988-1)*2*MAX(6*F8988,75))/1000</f>
        <v>0.15</v>
      </c>
      <c r="M8988" t="str">
        <v>=</v>
      </c>
      <c r="N8988">
        <f>J8988+L8988</f>
        <v>0.27</v>
      </c>
      <c r="T8988" t="str">
        <v>x</v>
      </c>
      <c r="U8988">
        <f>0.006165*F8988^2</f>
        <v>0</v>
      </c>
      <c r="V8988" t="str">
        <v>x</v>
      </c>
      <c r="W8988">
        <f>W8984</f>
        <v>17</v>
      </c>
      <c r="X8988" t="str">
        <v>x</v>
      </c>
      <c r="Y8988">
        <f>D8974</f>
        <v>3</v>
      </c>
      <c r="Z8988" t="str">
        <v>=</v>
      </c>
      <c r="AA8988">
        <f>N8988*U8988*W8988*Y8988</f>
        <v>0</v>
      </c>
    </row>
    <row r="8989">
      <c r="A8989" t="str">
        <f>A8964</f>
        <v>Lantai Attic</v>
      </c>
      <c r="B8989">
        <f>B8964</f>
        <v>35</v>
      </c>
      <c r="C8989" t="str">
        <v>Kait Horizontal Lap.</v>
      </c>
      <c r="D8989">
        <f>VLOOKUP(D8964,'Detail Balok'!$C$10:$BJ$110,51,FALSE)</f>
        <v>0</v>
      </c>
      <c r="E8989" t="str">
        <v>D</v>
      </c>
      <c r="F8989">
        <f>VLOOKUP(D8964,'Detail Balok'!$C$10:$BJ$110,53,FALSE)</f>
        <v>0</v>
      </c>
      <c r="G8989" t="str">
        <v>-</v>
      </c>
      <c r="H8989">
        <f>VLOOKUP(D8964,'Detail Balok'!$C$10:$BJ$110,55,FALSE)</f>
        <v>100</v>
      </c>
      <c r="J8989">
        <f>(D8965-2*F$5)/1000</f>
        <v>0.12</v>
      </c>
      <c r="K8989" t="str">
        <v>+</v>
      </c>
      <c r="L8989">
        <f>IF(D8989=0,2*MAX(6*F8989,75),(D8989-1)*2*MAX(6*F8989,75))/1000</f>
        <v>0.15</v>
      </c>
      <c r="M8989" t="str">
        <v>=</v>
      </c>
      <c r="N8989">
        <f>J8989+L8989</f>
        <v>0.27</v>
      </c>
      <c r="T8989" t="str">
        <v>x</v>
      </c>
      <c r="U8989">
        <f>0.006165*F8989^2</f>
        <v>0</v>
      </c>
      <c r="V8989" t="str">
        <v>x</v>
      </c>
      <c r="W8989">
        <f>W8985</f>
        <v>16</v>
      </c>
      <c r="X8989" t="str">
        <v>x</v>
      </c>
      <c r="Y8989">
        <f>D8974</f>
        <v>3</v>
      </c>
      <c r="Z8989" t="str">
        <v>=</v>
      </c>
      <c r="AA8989">
        <f>N8989*U8989*W8989*Y8989</f>
        <v>0</v>
      </c>
    </row>
    <row r="8990">
      <c r="A8990" t="str">
        <f>A8964</f>
        <v>Lantai Attic</v>
      </c>
      <c r="B8990">
        <f>B8964</f>
        <v>35</v>
      </c>
      <c r="C8990" t="str">
        <v>Kait Horizontal Tump.</v>
      </c>
      <c r="D8990">
        <f>VLOOKUP(D8964,'Detail Balok'!$C$10:$BJ$110,56,FALSE)</f>
        <v>0</v>
      </c>
      <c r="E8990" t="str">
        <v>D</v>
      </c>
      <c r="F8990">
        <f>VLOOKUP(D8964,'Detail Balok'!$C$10:$BJ$110,58,FALSE)</f>
        <v>0</v>
      </c>
      <c r="G8990" t="str">
        <v>-</v>
      </c>
      <c r="H8990">
        <f>VLOOKUP(D8964,'Detail Balok'!$C$10:$BJ$110,60,FALSE)</f>
        <v>100</v>
      </c>
      <c r="J8990">
        <f>(D8965-2*F$5)/1000</f>
        <v>0.12</v>
      </c>
      <c r="K8990" t="str">
        <v>+</v>
      </c>
      <c r="L8990">
        <f>IF(D8990=0,2*MAX(6*F8990,75),(D8990-1)*2*MAX(6*F8990,75))/1000</f>
        <v>0.15</v>
      </c>
      <c r="M8990" t="str">
        <v>=</v>
      </c>
      <c r="N8990">
        <f>J8990+L8990</f>
        <v>0.27</v>
      </c>
      <c r="T8990" t="str">
        <v>x</v>
      </c>
      <c r="U8990">
        <f>0.006165*F8990^2</f>
        <v>0</v>
      </c>
      <c r="V8990" t="str">
        <v>x</v>
      </c>
      <c r="W8990">
        <f>W8986</f>
        <v>17</v>
      </c>
      <c r="X8990" t="str">
        <v>x</v>
      </c>
      <c r="Y8990">
        <f>D8974</f>
        <v>3</v>
      </c>
      <c r="Z8990" t="str">
        <v>=</v>
      </c>
      <c r="AA8990">
        <f>N8990*U8990*W8990*Y8990</f>
        <v>0</v>
      </c>
    </row>
    <row r="8994">
      <c r="A8994" t="str">
        <f>A8964</f>
        <v>Lantai Attic</v>
      </c>
      <c r="B8994">
        <f>B8964+1</f>
        <v>36</v>
      </c>
      <c r="C8994" t="str">
        <f>CONCATENATE(A8994," no. ",B8994)</f>
        <v>Lantai Attic no. 36</v>
      </c>
      <c r="D8994" t="str">
        <f>VLOOKUP(C8994,'Data Panjang Balok'!$C$9:$N$424,2,FALSE)</f>
        <v>B245-4</v>
      </c>
    </row>
    <row r="8995">
      <c r="C8995" t="str">
        <v>Dimensi</v>
      </c>
      <c r="D8995">
        <f>VLOOKUP(D8994,'Detail Balok'!$C$10:$AU$110,2,FALSE)</f>
        <v>200</v>
      </c>
      <c r="F8995" t="str">
        <v>x</v>
      </c>
      <c r="G8995">
        <f>VLOOKUP(D8994,'Detail Balok'!$C$10:$AU$110,3,FALSE)</f>
        <v>450</v>
      </c>
    </row>
    <row r="8996">
      <c r="C8996" t="str">
        <v>Panjang as ke as</v>
      </c>
      <c r="D8996">
        <f>VLOOKUP(C8994,'Data Panjang Balok'!$C$9:$N$424,4,FALSE)</f>
        <v>8200</v>
      </c>
    </row>
    <row r="8997">
      <c r="C8997" t="str">
        <v>Panjang netto</v>
      </c>
      <c r="D8997">
        <f>VLOOKUP(C8994,'Data Panjang Balok'!$C$9:$N$424,7,FALSE)</f>
        <v>8200</v>
      </c>
    </row>
    <row r="8998">
      <c r="C8998" t="str">
        <v>Kolom / balok kiri</v>
      </c>
      <c r="D8998">
        <f>VLOOKUP(C8994,'Data Panjang Balok'!$C$9:$N$424,9,FALSE)</f>
        <v>0</v>
      </c>
    </row>
    <row r="8999">
      <c r="C8999" t="str">
        <v>Kolom / balok kanan</v>
      </c>
      <c r="D8999">
        <f>VLOOKUP(C8994,'Data Panjang Balok'!$C$9:$N$424,10,FALSE)</f>
        <v>0</v>
      </c>
    </row>
    <row r="9000">
      <c r="C9000" t="str">
        <v>Jumlah</v>
      </c>
      <c r="D9000">
        <f>VLOOKUP(C8994,'Data Panjang Balok'!$C$9:$N$424,3,FALSE)</f>
        <v>1</v>
      </c>
    </row>
    <row r="9001">
      <c r="A9001" t="str">
        <f>A8994</f>
        <v>Lantai Attic</v>
      </c>
      <c r="B9001">
        <f>B8994</f>
        <v>36</v>
      </c>
      <c r="C9001" t="str">
        <v>Tul Atas Tumpuan</v>
      </c>
      <c r="D9001">
        <f>VLOOKUP(D8994,'Detail Balok'!$C$10:$AU$110,4,FALSE)</f>
        <v>3</v>
      </c>
      <c r="E9001" t="str">
        <v>D</v>
      </c>
      <c r="F9001">
        <f>VLOOKUP(D8994,'Detail Balok'!$C$10:$AU$110,6,FALSE)</f>
        <v>16</v>
      </c>
      <c r="I9001" t="str">
        <v>(</v>
      </c>
      <c r="J9001">
        <f>+D8996/4/1000</f>
        <v>2.05</v>
      </c>
      <c r="K9001" t="str">
        <v>+</v>
      </c>
      <c r="L9001">
        <f>MAX(VLOOKUP(F9001,N$6:P$15,3,FALSE)/1000,2/3*D8998/1000)+F$16*F9001/1000</f>
        <v>0.192</v>
      </c>
      <c r="M9001" t="str">
        <v>=</v>
      </c>
      <c r="N9001">
        <f>J9001+L9001</f>
        <v>2.242</v>
      </c>
      <c r="O9001" t="str">
        <v>+</v>
      </c>
      <c r="P9001">
        <f>D9001-D9002</f>
        <v>0</v>
      </c>
      <c r="Q9001" t="str">
        <v>x</v>
      </c>
      <c r="R9001">
        <f>IF(P9001&gt;0,$F$18*F9001/1000,0)</f>
        <v>0</v>
      </c>
      <c r="S9001" t="str">
        <v>)</v>
      </c>
      <c r="T9001" t="str">
        <v>x</v>
      </c>
      <c r="U9001">
        <f>0.006165*F9001^2</f>
        <v>1.57824</v>
      </c>
      <c r="X9001" t="str">
        <v>x</v>
      </c>
      <c r="Y9001">
        <f>D9000</f>
        <v>1</v>
      </c>
      <c r="Z9001" t="str">
        <v>=</v>
      </c>
      <c r="AA9001">
        <f>IF(AA9004=0,(D9001*N9001+P9001*R9001)*U9001*Y9001,0)</f>
        <v>0</v>
      </c>
    </row>
    <row r="9002">
      <c r="A9002" t="str">
        <f>A8994</f>
        <v>Lantai Attic</v>
      </c>
      <c r="B9002">
        <f>B8994</f>
        <v>36</v>
      </c>
      <c r="C9002" t="str">
        <v>Tul Atas Lapangan</v>
      </c>
      <c r="D9002">
        <f>VLOOKUP(D8994,'Detail Balok'!$C$10:$AU$110,7,FALSE)</f>
        <v>3</v>
      </c>
      <c r="E9002" t="str">
        <v>D</v>
      </c>
      <c r="F9002">
        <f>VLOOKUP(D8994,'Detail Balok'!$C$10:$AU$110,9,FALSE)</f>
        <v>16</v>
      </c>
      <c r="I9002" t="str">
        <v>(</v>
      </c>
      <c r="J9002">
        <f>+D8996/2/1000</f>
        <v>4.1</v>
      </c>
      <c r="K9002" t="str">
        <v>+</v>
      </c>
      <c r="M9002" t="str">
        <v>=</v>
      </c>
      <c r="N9002">
        <f>J9002+L9002</f>
        <v>4.1</v>
      </c>
      <c r="O9002" t="str">
        <v>+</v>
      </c>
      <c r="P9002">
        <f>MAX(D9002-D9001,D9002-D9003)</f>
        <v>0</v>
      </c>
      <c r="Q9002" t="str">
        <v>x</v>
      </c>
      <c r="R9002">
        <f>IF(P9002&gt;0,2*(1-2*$F$19-1/2)*D8997/1000,0)</f>
        <v>0</v>
      </c>
      <c r="S9002" t="str">
        <v>)</v>
      </c>
      <c r="T9002" t="str">
        <v>x</v>
      </c>
      <c r="U9002">
        <f>0.006165*F9002^2</f>
        <v>1.57824</v>
      </c>
      <c r="X9002" t="str">
        <v>x</v>
      </c>
      <c r="Y9002">
        <f>D9000</f>
        <v>1</v>
      </c>
      <c r="Z9002" t="str">
        <v>=</v>
      </c>
      <c r="AA9002">
        <f>IF(AA9004=0,(D9002*N9002+P9002*R9002)*U9002*Y9002,0)</f>
        <v>0</v>
      </c>
    </row>
    <row r="9003">
      <c r="A9003" t="str">
        <f>A8994</f>
        <v>Lantai Attic</v>
      </c>
      <c r="B9003">
        <f>B8994</f>
        <v>36</v>
      </c>
      <c r="C9003" t="str">
        <v>Tul Atas Tumpuan</v>
      </c>
      <c r="D9003">
        <f>VLOOKUP(D8994,'Detail Balok'!$C$10:$AU$110,10,FALSE)</f>
        <v>3</v>
      </c>
      <c r="E9003" t="str">
        <v>D</v>
      </c>
      <c r="F9003">
        <f>VLOOKUP(D8994,'Detail Balok'!$C$10:$AU$110,12,FALSE)</f>
        <v>16</v>
      </c>
      <c r="I9003" t="str">
        <v>(</v>
      </c>
      <c r="J9003">
        <f>+D8996/4/1000</f>
        <v>2.05</v>
      </c>
      <c r="K9003" t="str">
        <v>+</v>
      </c>
      <c r="L9003">
        <f>MAX(VLOOKUP(F9003,N$6:P$15,3,FALSE)/1000,2/3*D8998/1000)+F$16*F9003/1000</f>
        <v>0.192</v>
      </c>
      <c r="M9003" t="str">
        <v>=</v>
      </c>
      <c r="N9003">
        <f>J9003+L9003</f>
        <v>2.242</v>
      </c>
      <c r="O9003" t="str">
        <v>+</v>
      </c>
      <c r="P9003">
        <f>D9003-D9002</f>
        <v>0</v>
      </c>
      <c r="Q9003" t="str">
        <v>x</v>
      </c>
      <c r="R9003">
        <f>IF(P9003&gt;0,$F$18*F9003/1000,0)</f>
        <v>0</v>
      </c>
      <c r="S9003" t="str">
        <v>)</v>
      </c>
      <c r="T9003" t="str">
        <v>x</v>
      </c>
      <c r="U9003">
        <f>0.006165*F9003^2</f>
        <v>1.57824</v>
      </c>
      <c r="X9003" t="str">
        <v>x</v>
      </c>
      <c r="Y9003">
        <f>D9000</f>
        <v>1</v>
      </c>
      <c r="Z9003" t="str">
        <v>=</v>
      </c>
      <c r="AA9003">
        <f>IF(AA9004=0,(D9003*N9003+P9003*R9003)*U9003*Y9003,0)</f>
        <v>0</v>
      </c>
    </row>
    <row r="9004">
      <c r="A9004" t="str">
        <f>A8994</f>
        <v>Lantai Attic</v>
      </c>
      <c r="B9004">
        <f>B8994</f>
        <v>36</v>
      </c>
      <c r="D9004">
        <f>IF(AND(D9001=D9002,D9002=D9003,D9001=D9003),D9001,0)</f>
        <v>3</v>
      </c>
      <c r="E9004" t="str">
        <v>D</v>
      </c>
      <c r="F9004">
        <f>IF(AND(F9001=F9002,F9001=F9003,F9002=F9003),F9001,0)</f>
        <v>16</v>
      </c>
      <c r="L9004" t="str">
        <v>Total panjang per balok</v>
      </c>
      <c r="M9004" t="str">
        <v>=</v>
      </c>
      <c r="N9004">
        <f>IF(AND(D9001=D9002,D9001=D9003,D9002=D9003,F9001=F9002,F9001=F9003,F9002=F9003),SUM(N9001:N9003),0)</f>
        <v>8.584</v>
      </c>
      <c r="O9004" t="str">
        <v>+</v>
      </c>
      <c r="P9004">
        <f>IF(N9004&gt;12,ROUNDDOWN(N9004/12,0),0)</f>
        <v>0</v>
      </c>
      <c r="Q9004" t="str">
        <v>x</v>
      </c>
      <c r="R9004">
        <f>IF(P9004&gt;0,MAX(VLOOKUP(F9004,$D$6:$G$15,3,FALSE),600),0)/1000</f>
        <v>0</v>
      </c>
      <c r="T9004" t="str">
        <v>x</v>
      </c>
      <c r="U9004">
        <f>U9003</f>
        <v>1.57824</v>
      </c>
      <c r="V9004" t="str">
        <v>x</v>
      </c>
      <c r="W9004">
        <f>D9004</f>
        <v>3</v>
      </c>
      <c r="X9004" t="str">
        <v>x</v>
      </c>
      <c r="Y9004">
        <f>Y9003</f>
        <v>1</v>
      </c>
      <c r="Z9004" t="str">
        <v>=</v>
      </c>
      <c r="AA9004">
        <f>(N9004+P9004*R9004/1000)*U9004*W9004*Y9004</f>
        <v>40.64283648</v>
      </c>
    </row>
    <row r="9006">
      <c r="A9006" t="str">
        <f>A8994</f>
        <v>Lantai Attic</v>
      </c>
      <c r="B9006">
        <f>B8994</f>
        <v>36</v>
      </c>
      <c r="C9006" t="str">
        <v>Tul Peminggang</v>
      </c>
      <c r="D9006">
        <f>VLOOKUP(D8994,'Detail Balok'!$C$10:$AU$110,13,FALSE)</f>
        <v>2</v>
      </c>
      <c r="E9006" t="str">
        <v>D</v>
      </c>
      <c r="F9006">
        <f>VLOOKUP(D8994,'Detail Balok'!$C$10:$AU$110,15,FALSE)</f>
        <v>8</v>
      </c>
      <c r="J9006">
        <f>+D8996/1000</f>
        <v>8.2</v>
      </c>
      <c r="K9006" t="str">
        <v>+</v>
      </c>
      <c r="L9006">
        <f>2*$F$16*F9006/1000</f>
        <v>0.192</v>
      </c>
      <c r="M9006" t="str">
        <v>=</v>
      </c>
      <c r="N9006">
        <f>J9006+L9006</f>
        <v>8.392</v>
      </c>
      <c r="O9006" t="str">
        <v>+</v>
      </c>
      <c r="P9006">
        <f>IF(N9006&gt;12,ROUNDDOWN(N9006/12,0),0)</f>
        <v>0</v>
      </c>
      <c r="Q9006" t="str">
        <v>x</v>
      </c>
      <c r="R9006">
        <f>IF(P9006&gt;0,MAX(VLOOKUP(F9006,$D$6:$G$15,3,FALSE),600),0)/1000</f>
        <v>0</v>
      </c>
      <c r="T9006" t="str">
        <v>x</v>
      </c>
      <c r="U9006">
        <f>0.006165*F9006^2</f>
        <v>0.39456</v>
      </c>
      <c r="V9006" t="str">
        <v>x</v>
      </c>
      <c r="W9006">
        <f>+D9006</f>
        <v>2</v>
      </c>
      <c r="X9006" t="str">
        <v>x</v>
      </c>
      <c r="Y9006">
        <f>D9000</f>
        <v>1</v>
      </c>
      <c r="Z9006" t="str">
        <v>=</v>
      </c>
      <c r="AA9006">
        <f>(N9006+P9006*R9006/1000)*U9006*W9006*Y9006</f>
        <v>6.62229504</v>
      </c>
    </row>
    <row r="9009">
      <c r="A9009" t="str">
        <f>A8994</f>
        <v>Lantai Attic</v>
      </c>
      <c r="B9009">
        <f>B8994</f>
        <v>36</v>
      </c>
      <c r="C9009" t="str">
        <v>Tul Bawah Tumpuan</v>
      </c>
      <c r="D9009">
        <f>VLOOKUP(D8994,'Detail Balok'!$C$10:$AU$110,22,FALSE)</f>
        <v>3</v>
      </c>
      <c r="E9009" t="str">
        <v>D</v>
      </c>
      <c r="F9009">
        <f>VLOOKUP(D8994,'Detail Balok'!$C$10:$AU$110,24,FALSE)</f>
        <v>16</v>
      </c>
      <c r="I9009" t="str">
        <v>(</v>
      </c>
      <c r="J9009">
        <f>+J9001</f>
        <v>2.05</v>
      </c>
      <c r="K9009" t="str">
        <v>+</v>
      </c>
      <c r="L9009">
        <f>MAX(VLOOKUP(F9009,N$6:P$15,3,FALSE)/1000,2/3*D8999/1000)+F$16*F9009/1000</f>
        <v>0.192</v>
      </c>
      <c r="M9009" t="str">
        <v>=</v>
      </c>
      <c r="N9009">
        <f>J9009+L9009</f>
        <v>2.242</v>
      </c>
      <c r="O9009" t="str">
        <v>+</v>
      </c>
      <c r="P9009">
        <f>D9009-D9010</f>
        <v>0</v>
      </c>
      <c r="Q9009" t="str">
        <v>x</v>
      </c>
      <c r="R9009">
        <f>IF(P9009&gt;0,$F$18*F9009/1000,0)</f>
        <v>0</v>
      </c>
      <c r="S9009" t="str">
        <v>)</v>
      </c>
      <c r="T9009" t="str">
        <v>x</v>
      </c>
      <c r="U9009">
        <f>0.006165*F9009^2</f>
        <v>1.57824</v>
      </c>
      <c r="X9009" t="str">
        <v>x</v>
      </c>
      <c r="Y9009">
        <f>D9000</f>
        <v>1</v>
      </c>
      <c r="Z9009" t="str">
        <v>=</v>
      </c>
      <c r="AA9009">
        <f>IF(AA9012=0,(D9009*N9009+P9009*R9009)*U9009*Y9009,0)</f>
        <v>0</v>
      </c>
    </row>
    <row r="9010">
      <c r="A9010" t="str">
        <f>A8994</f>
        <v>Lantai Attic</v>
      </c>
      <c r="B9010">
        <f>B8994</f>
        <v>36</v>
      </c>
      <c r="C9010" t="str">
        <v>Tul Bawah Lapangan</v>
      </c>
      <c r="D9010">
        <f>VLOOKUP(D8994,'Detail Balok'!$C$10:$AU$110,25,FALSE)</f>
        <v>3</v>
      </c>
      <c r="E9010" t="str">
        <v>D</v>
      </c>
      <c r="F9010">
        <f>VLOOKUP(D8994,'Detail Balok'!$C$10:$AU$110,27,FALSE)</f>
        <v>16</v>
      </c>
      <c r="I9010" t="str">
        <v>(</v>
      </c>
      <c r="J9010">
        <f>+J9002</f>
        <v>4.1</v>
      </c>
      <c r="K9010" t="str">
        <v>+</v>
      </c>
      <c r="M9010" t="str">
        <v>=</v>
      </c>
      <c r="N9010">
        <f>J9010+L9010</f>
        <v>4.1</v>
      </c>
      <c r="O9010" t="str">
        <v>+</v>
      </c>
      <c r="P9010">
        <f>MAX(D9010-D9009,D9010-D9011)</f>
        <v>0</v>
      </c>
      <c r="Q9010" t="str">
        <v>x</v>
      </c>
      <c r="R9010">
        <f>IF(P9010&gt;0,2*(1-2*$F$19-1/2)*D8997/1000,0)</f>
        <v>0</v>
      </c>
      <c r="S9010" t="str">
        <v>)</v>
      </c>
      <c r="T9010" t="str">
        <v>x</v>
      </c>
      <c r="U9010">
        <f>0.006165*F9010^2</f>
        <v>1.57824</v>
      </c>
      <c r="X9010" t="str">
        <v>x</v>
      </c>
      <c r="Y9010">
        <f>D9000</f>
        <v>1</v>
      </c>
      <c r="Z9010" t="str">
        <v>=</v>
      </c>
      <c r="AA9010">
        <f>IF(AA9012=0,(D9010*N9010+P9010*R9010)*U9010*Y9010,0)</f>
        <v>0</v>
      </c>
    </row>
    <row r="9011">
      <c r="A9011" t="str">
        <f>A8994</f>
        <v>Lantai Attic</v>
      </c>
      <c r="B9011">
        <f>B8994</f>
        <v>36</v>
      </c>
      <c r="C9011" t="str">
        <v>Tul Bawah Tumpuan</v>
      </c>
      <c r="D9011">
        <f>VLOOKUP(D8994,'Detail Balok'!$C$10:$AU$110,28,FALSE)</f>
        <v>3</v>
      </c>
      <c r="E9011" t="str">
        <v>D</v>
      </c>
      <c r="F9011">
        <f>VLOOKUP(D8994,'Detail Balok'!$C$10:$AU$110,30,FALSE)</f>
        <v>16</v>
      </c>
      <c r="I9011" t="str">
        <v>(</v>
      </c>
      <c r="J9011">
        <f>+J9003</f>
        <v>2.05</v>
      </c>
      <c r="K9011" t="str">
        <v>+</v>
      </c>
      <c r="L9011">
        <f>MAX(VLOOKUP(F9011,N$6:P$15,3,FALSE)/1000,2/3*D8999/1000)+F$16*F9011/1000</f>
        <v>0.192</v>
      </c>
      <c r="M9011" t="str">
        <v>=</v>
      </c>
      <c r="N9011">
        <f>J9011+L9011</f>
        <v>2.242</v>
      </c>
      <c r="O9011" t="str">
        <v>+</v>
      </c>
      <c r="P9011">
        <f>D9011-D9010</f>
        <v>0</v>
      </c>
      <c r="Q9011" t="str">
        <v>x</v>
      </c>
      <c r="R9011">
        <f>IF(P9011&gt;0,$F$18*F9011/1000,0)</f>
        <v>0</v>
      </c>
      <c r="S9011" t="str">
        <v>)</v>
      </c>
      <c r="T9011" t="str">
        <v>x</v>
      </c>
      <c r="U9011">
        <f>0.006165*F9011^2</f>
        <v>1.57824</v>
      </c>
      <c r="X9011" t="str">
        <v>x</v>
      </c>
      <c r="Y9011">
        <f>D9000</f>
        <v>1</v>
      </c>
      <c r="Z9011" t="str">
        <v>=</v>
      </c>
      <c r="AA9011">
        <f>IF(AA9012=0,(D9011*N9011+P9011*R9011)*U9011*Y9011,0)</f>
        <v>0</v>
      </c>
    </row>
    <row r="9012">
      <c r="A9012" t="str">
        <f>A8994</f>
        <v>Lantai Attic</v>
      </c>
      <c r="B9012">
        <f>B8994</f>
        <v>36</v>
      </c>
      <c r="D9012">
        <f>IF(AND(D9009=D9010,D9010=D9011,D9009=D9011),D9009,0)</f>
        <v>3</v>
      </c>
      <c r="E9012" t="str">
        <v>D</v>
      </c>
      <c r="F9012">
        <f>IF(AND(F9009=F9010,F9009=F9011,F9010=F9011),F9009,0)</f>
        <v>16</v>
      </c>
      <c r="L9012" t="str">
        <v>Total panjang per balok</v>
      </c>
      <c r="M9012" t="str">
        <v>=</v>
      </c>
      <c r="N9012">
        <f>IF(AND(D9009=D9010,D9009=D9011,D9010=D9011,F9009=F9010,F9009=F9011,F9010=F9011),SUM(N9009:N9011),0)</f>
        <v>8.584</v>
      </c>
      <c r="O9012" t="str">
        <v>+</v>
      </c>
      <c r="P9012">
        <f>IF(N9012&gt;12,ROUNDDOWN(N9012/12,0),0)</f>
        <v>0</v>
      </c>
      <c r="Q9012" t="str">
        <v>x</v>
      </c>
      <c r="R9012">
        <f>IF(P9012&gt;0,MAX(VLOOKUP(F9012,$D$6:$G$15,3,FALSE),600),0)/1000</f>
        <v>0</v>
      </c>
      <c r="T9012" t="str">
        <v>x</v>
      </c>
      <c r="U9012">
        <f>U9011</f>
        <v>1.57824</v>
      </c>
      <c r="V9012" t="str">
        <v>x</v>
      </c>
      <c r="W9012">
        <f>D9012</f>
        <v>3</v>
      </c>
      <c r="X9012" t="str">
        <v>x</v>
      </c>
      <c r="Y9012">
        <f>Y9011</f>
        <v>1</v>
      </c>
      <c r="Z9012" t="str">
        <v>=</v>
      </c>
      <c r="AA9012">
        <f>(N9012+P9012*R9012/1000)*U9012*W9012*Y9012</f>
        <v>40.64283648</v>
      </c>
    </row>
    <row r="9014">
      <c r="A9014" t="str">
        <f>A8994</f>
        <v>Lantai Attic</v>
      </c>
      <c r="B9014">
        <f>B8994</f>
        <v>36</v>
      </c>
      <c r="C9014" t="str">
        <v>Sengkang Tumpuan</v>
      </c>
      <c r="D9014">
        <f>VLOOKUP(D8994,'Detail Balok'!$C$10:$AU$110,31,FALSE)</f>
        <v>0</v>
      </c>
      <c r="E9014" t="str">
        <v>D</v>
      </c>
      <c r="F9014">
        <f>VLOOKUP(D8994,'Detail Balok'!$C$10:$AU$110,33,FALSE)</f>
        <v>8</v>
      </c>
      <c r="G9014" t="str">
        <v>-</v>
      </c>
      <c r="H9014">
        <f>VLOOKUP(D8994,'Detail Balok'!$C$10:$AU$110,35,FALSE)</f>
        <v>100</v>
      </c>
      <c r="J9014">
        <f>(IF(D9014=0,(2*(D8995+G8995))-(F$5*8),IF(D9014=3,(2*(D8995+G8995))-(F$5*8)+(G8995-2*F$5),IF(D9014=4,(2*(D8995+G8995))-(F$5*8)+2*(G8995-2*F$5)))))/1000</f>
        <v>0.98</v>
      </c>
      <c r="K9014" t="str">
        <v>+</v>
      </c>
      <c r="L9014">
        <f>IF(D9014=0,2*MAX(6*F9014,75),(D9014-1)*2*MAX(6*F9014,75))/1000</f>
        <v>0.15</v>
      </c>
      <c r="M9014" t="str">
        <v>=</v>
      </c>
      <c r="N9014">
        <f>J9014+L9014</f>
        <v>1.13</v>
      </c>
      <c r="T9014" t="str">
        <v>x</v>
      </c>
      <c r="U9014">
        <f>0.006165*F9014^2</f>
        <v>0.39456</v>
      </c>
      <c r="V9014" t="str">
        <v>x</v>
      </c>
      <c r="W9014">
        <f>IF(D8997&gt;4*G8995,ROUND(MAX(D8997/4,2*G8995)/H9014,0)+1,ROUND(D8997/H9014,0)+1)</f>
        <v>22</v>
      </c>
      <c r="X9014" t="str">
        <v>x</v>
      </c>
      <c r="Y9014">
        <f>D9000</f>
        <v>1</v>
      </c>
      <c r="Z9014" t="str">
        <v>=</v>
      </c>
      <c r="AA9014">
        <f>N9014*U9014*W9014*Y9014</f>
        <v>9.8087616</v>
      </c>
    </row>
    <row r="9015">
      <c r="A9015" t="str">
        <f>A8994</f>
        <v>Lantai Attic</v>
      </c>
      <c r="B9015">
        <f>B8994</f>
        <v>36</v>
      </c>
      <c r="C9015" t="str">
        <v>Sengkang Lapangan</v>
      </c>
      <c r="D9015">
        <f>VLOOKUP(D8994,'Detail Balok'!$C$10:$AU$110,36,FALSE)</f>
        <v>0</v>
      </c>
      <c r="E9015" t="str">
        <v>D</v>
      </c>
      <c r="F9015">
        <f>VLOOKUP(D8994,'Detail Balok'!$C$10:$AU$110,38,FALSE)</f>
        <v>8</v>
      </c>
      <c r="G9015" t="str">
        <v>-</v>
      </c>
      <c r="H9015">
        <f>VLOOKUP(D8994,'Detail Balok'!$C$10:$AU$110,40,FALSE)</f>
        <v>200</v>
      </c>
      <c r="J9015">
        <f>(IF(D9015=0,(2*(D8995+G8995))-(F$5*8),IF(D9015=3,(2*(D8995+G8995))-(F$5*8)+(G8995-2*F$5),IF(D9015=4,(2*(D8995+G8995))-(F$5*8)+2*(G8995-2*F$5)))))/1000</f>
        <v>0.98</v>
      </c>
      <c r="K9015" t="str">
        <v>+</v>
      </c>
      <c r="L9015">
        <f>IF(D9015=0,2*MAX(6*F9015,75),(D9015-1)*2*MAX(6*F9015,75))/1000</f>
        <v>0.15</v>
      </c>
      <c r="M9015" t="str">
        <v>=</v>
      </c>
      <c r="N9015">
        <f>J9015+L9015</f>
        <v>1.13</v>
      </c>
      <c r="T9015" t="str">
        <v>x</v>
      </c>
      <c r="U9015">
        <f>0.006165*F9015^2</f>
        <v>0.39456</v>
      </c>
      <c r="V9015" t="str">
        <v>x</v>
      </c>
      <c r="W9015">
        <f>IF(D8997-MAX(D8997/4,2*G8995)*2&gt;0,ROUND((D8997-MAX(D8997/4,2*G8995)*2)/H9015,0),0)</f>
        <v>21</v>
      </c>
      <c r="X9015" t="str">
        <v>x</v>
      </c>
      <c r="Y9015">
        <f>D9000</f>
        <v>1</v>
      </c>
      <c r="Z9015" t="str">
        <v>=</v>
      </c>
      <c r="AA9015">
        <f>N9015*U9015*W9015*Y9015</f>
        <v>9.3629088</v>
      </c>
    </row>
    <row r="9016">
      <c r="A9016" t="str">
        <f>A8994</f>
        <v>Lantai Attic</v>
      </c>
      <c r="B9016">
        <f>B8994</f>
        <v>36</v>
      </c>
      <c r="C9016" t="str">
        <v>Sengkang Tumpuan</v>
      </c>
      <c r="D9016">
        <f>VLOOKUP(D8994,'Detail Balok'!$C$10:$AU$110,41,FALSE)</f>
        <v>0</v>
      </c>
      <c r="E9016" t="str">
        <v>D</v>
      </c>
      <c r="F9016">
        <f>VLOOKUP(D8994,'Detail Balok'!$C$10:$AU$110,43,FALSE)</f>
        <v>8</v>
      </c>
      <c r="G9016" t="str">
        <v>-</v>
      </c>
      <c r="H9016">
        <f>VLOOKUP(D8994,'Detail Balok'!$C$10:$AU$110,45,FALSE)</f>
        <v>100</v>
      </c>
      <c r="J9016">
        <f>(IF(D9016=0,(2*(D8995+G8995))-(F$5*8),IF(D9016=3,(2*(D8995+G8995))-(F$5*8)+(G8995-2*F$5),IF(D9016=4,(2*(D8995+G8995))-(F$5*8)+2*(G8995-2*F$5)))))/1000</f>
        <v>0.98</v>
      </c>
      <c r="K9016" t="str">
        <v>+</v>
      </c>
      <c r="L9016">
        <f>IF(D9016=0,2*MAX(6*F9016,75),(D9016-1)*2*MAX(6*F9016,75))/1000</f>
        <v>0.15</v>
      </c>
      <c r="M9016" t="str">
        <v>=</v>
      </c>
      <c r="N9016">
        <f>J9016+L9016</f>
        <v>1.13</v>
      </c>
      <c r="T9016" t="str">
        <v>x</v>
      </c>
      <c r="U9016">
        <f>0.006165*F9016^2</f>
        <v>0.39456</v>
      </c>
      <c r="V9016" t="str">
        <v>x</v>
      </c>
      <c r="W9016">
        <f>IF(D8997&gt;4*G8995,ROUND(MAX(D8997/4,2*G8995)/H9016,0)+1,0)</f>
        <v>22</v>
      </c>
      <c r="X9016" t="str">
        <v>x</v>
      </c>
      <c r="Y9016">
        <f>D9000</f>
        <v>1</v>
      </c>
      <c r="Z9016" t="str">
        <v>=</v>
      </c>
      <c r="AA9016">
        <f>N9016*U9016*W9016*Y9016</f>
        <v>9.8087616</v>
      </c>
    </row>
    <row r="9018">
      <c r="A9018" t="str">
        <f>A8994</f>
        <v>Lantai Attic</v>
      </c>
      <c r="B9018">
        <f>B8994</f>
        <v>36</v>
      </c>
      <c r="C9018" t="str">
        <v>Kait Horizontal Tump.</v>
      </c>
      <c r="D9018">
        <f>VLOOKUP(D8994,'Detail Balok'!$C$10:$BJ$110,46,FALSE)</f>
        <v>0</v>
      </c>
      <c r="E9018" t="str">
        <v>D</v>
      </c>
      <c r="F9018">
        <f>VLOOKUP(D8994,'Detail Balok'!$C$10:$BJ$110,48,FALSE)</f>
        <v>0</v>
      </c>
      <c r="G9018" t="str">
        <v>-</v>
      </c>
      <c r="H9018">
        <f>VLOOKUP(D8994,'Detail Balok'!$C$10:$BJ$110,50,FALSE)</f>
        <v>100</v>
      </c>
      <c r="J9018">
        <f>(D8995-2*F$5)/1000</f>
        <v>0.12</v>
      </c>
      <c r="K9018" t="str">
        <v>+</v>
      </c>
      <c r="L9018">
        <f>IF(D9018=0,2*MAX(6*F9018,75),(D9018-1)*2*MAX(6*F9018,75))/1000</f>
        <v>0.15</v>
      </c>
      <c r="M9018" t="str">
        <v>=</v>
      </c>
      <c r="N9018">
        <f>J9018+L9018</f>
        <v>0.27</v>
      </c>
      <c r="T9018" t="str">
        <v>x</v>
      </c>
      <c r="U9018">
        <f>0.006165*F9018^2</f>
        <v>0</v>
      </c>
      <c r="V9018" t="str">
        <v>x</v>
      </c>
      <c r="W9018">
        <f>W9014</f>
        <v>22</v>
      </c>
      <c r="X9018" t="str">
        <v>x</v>
      </c>
      <c r="Y9018">
        <f>D9004</f>
        <v>3</v>
      </c>
      <c r="Z9018" t="str">
        <v>=</v>
      </c>
      <c r="AA9018">
        <f>N9018*U9018*W9018*Y9018</f>
        <v>0</v>
      </c>
    </row>
    <row r="9019">
      <c r="A9019" t="str">
        <f>A8994</f>
        <v>Lantai Attic</v>
      </c>
      <c r="B9019">
        <f>B8994</f>
        <v>36</v>
      </c>
      <c r="C9019" t="str">
        <v>Kait Horizontal Lap.</v>
      </c>
      <c r="D9019">
        <f>VLOOKUP(D8994,'Detail Balok'!$C$10:$BJ$110,51,FALSE)</f>
        <v>0</v>
      </c>
      <c r="E9019" t="str">
        <v>D</v>
      </c>
      <c r="F9019">
        <f>VLOOKUP(D8994,'Detail Balok'!$C$10:$BJ$110,53,FALSE)</f>
        <v>0</v>
      </c>
      <c r="G9019" t="str">
        <v>-</v>
      </c>
      <c r="H9019">
        <f>VLOOKUP(D8994,'Detail Balok'!$C$10:$BJ$110,55,FALSE)</f>
        <v>100</v>
      </c>
      <c r="J9019">
        <f>(D8995-2*F$5)/1000</f>
        <v>0.12</v>
      </c>
      <c r="K9019" t="str">
        <v>+</v>
      </c>
      <c r="L9019">
        <f>IF(D9019=0,2*MAX(6*F9019,75),(D9019-1)*2*MAX(6*F9019,75))/1000</f>
        <v>0.15</v>
      </c>
      <c r="M9019" t="str">
        <v>=</v>
      </c>
      <c r="N9019">
        <f>J9019+L9019</f>
        <v>0.27</v>
      </c>
      <c r="T9019" t="str">
        <v>x</v>
      </c>
      <c r="U9019">
        <f>0.006165*F9019^2</f>
        <v>0</v>
      </c>
      <c r="V9019" t="str">
        <v>x</v>
      </c>
      <c r="W9019">
        <f>W9015</f>
        <v>21</v>
      </c>
      <c r="X9019" t="str">
        <v>x</v>
      </c>
      <c r="Y9019">
        <f>D9004</f>
        <v>3</v>
      </c>
      <c r="Z9019" t="str">
        <v>=</v>
      </c>
      <c r="AA9019">
        <f>N9019*U9019*W9019*Y9019</f>
        <v>0</v>
      </c>
    </row>
    <row r="9020">
      <c r="A9020" t="str">
        <f>A8994</f>
        <v>Lantai Attic</v>
      </c>
      <c r="B9020">
        <f>B8994</f>
        <v>36</v>
      </c>
      <c r="C9020" t="str">
        <v>Kait Horizontal Tump.</v>
      </c>
      <c r="D9020">
        <f>VLOOKUP(D8994,'Detail Balok'!$C$10:$BJ$110,56,FALSE)</f>
        <v>0</v>
      </c>
      <c r="E9020" t="str">
        <v>D</v>
      </c>
      <c r="F9020">
        <f>VLOOKUP(D8994,'Detail Balok'!$C$10:$BJ$110,58,FALSE)</f>
        <v>0</v>
      </c>
      <c r="G9020" t="str">
        <v>-</v>
      </c>
      <c r="H9020">
        <f>VLOOKUP(D8994,'Detail Balok'!$C$10:$BJ$110,60,FALSE)</f>
        <v>100</v>
      </c>
      <c r="J9020">
        <f>(D8995-2*F$5)/1000</f>
        <v>0.12</v>
      </c>
      <c r="K9020" t="str">
        <v>+</v>
      </c>
      <c r="L9020">
        <f>IF(D9020=0,2*MAX(6*F9020,75),(D9020-1)*2*MAX(6*F9020,75))/1000</f>
        <v>0.15</v>
      </c>
      <c r="M9020" t="str">
        <v>=</v>
      </c>
      <c r="N9020">
        <f>J9020+L9020</f>
        <v>0.27</v>
      </c>
      <c r="T9020" t="str">
        <v>x</v>
      </c>
      <c r="U9020">
        <f>0.006165*F9020^2</f>
        <v>0</v>
      </c>
      <c r="V9020" t="str">
        <v>x</v>
      </c>
      <c r="W9020">
        <f>W9016</f>
        <v>22</v>
      </c>
      <c r="X9020" t="str">
        <v>x</v>
      </c>
      <c r="Y9020">
        <f>D9004</f>
        <v>3</v>
      </c>
      <c r="Z9020" t="str">
        <v>=</v>
      </c>
      <c r="AA9020">
        <f>N9020*U9020*W9020*Y9020</f>
        <v>0</v>
      </c>
    </row>
    <row r="9024">
      <c r="A9024" t="str">
        <f>A8994</f>
        <v>Lantai Attic</v>
      </c>
      <c r="B9024">
        <f>B8994+1</f>
        <v>37</v>
      </c>
      <c r="C9024" t="str">
        <f>CONCATENATE(A9024," no. ",B9024)</f>
        <v>Lantai Attic no. 37</v>
      </c>
      <c r="D9024" t="str">
        <f>VLOOKUP(C9024,'Data Panjang Balok'!$C$9:$N$424,2,FALSE)</f>
        <v>B174-1</v>
      </c>
    </row>
    <row r="9025">
      <c r="C9025" t="str">
        <v>Dimensi</v>
      </c>
      <c r="D9025">
        <f>VLOOKUP(D9024,'Detail Balok'!$C$10:$AU$110,2,FALSE)</f>
        <v>170</v>
      </c>
      <c r="F9025" t="str">
        <v>x</v>
      </c>
      <c r="G9025">
        <f>VLOOKUP(D9024,'Detail Balok'!$C$10:$AU$110,3,FALSE)</f>
        <v>400</v>
      </c>
    </row>
    <row r="9026">
      <c r="C9026" t="str">
        <v>Panjang as ke as</v>
      </c>
      <c r="D9026">
        <f>VLOOKUP(C9024,'Data Panjang Balok'!$C$9:$N$424,4,FALSE)</f>
        <v>5485</v>
      </c>
    </row>
    <row r="9027">
      <c r="C9027" t="str">
        <v>Panjang netto</v>
      </c>
      <c r="D9027">
        <f>VLOOKUP(C9024,'Data Panjang Balok'!$C$9:$N$424,7,FALSE)</f>
        <v>5485</v>
      </c>
    </row>
    <row r="9028">
      <c r="C9028" t="str">
        <v>Kolom / balok kiri</v>
      </c>
      <c r="D9028">
        <f>VLOOKUP(C9024,'Data Panjang Balok'!$C$9:$N$424,9,FALSE)</f>
        <v>0</v>
      </c>
    </row>
    <row r="9029">
      <c r="C9029" t="str">
        <v>Kolom / balok kanan</v>
      </c>
      <c r="D9029">
        <f>VLOOKUP(C9024,'Data Panjang Balok'!$C$9:$N$424,10,FALSE)</f>
        <v>0</v>
      </c>
    </row>
    <row r="9030">
      <c r="C9030" t="str">
        <v>Jumlah</v>
      </c>
      <c r="D9030">
        <f>VLOOKUP(C9024,'Data Panjang Balok'!$C$9:$N$424,3,FALSE)</f>
        <v>1</v>
      </c>
    </row>
    <row r="9031">
      <c r="A9031" t="str">
        <f>A9024</f>
        <v>Lantai Attic</v>
      </c>
      <c r="B9031">
        <f>B9024</f>
        <v>37</v>
      </c>
      <c r="C9031" t="str">
        <v>Tul Atas Tumpuan</v>
      </c>
      <c r="D9031">
        <f>VLOOKUP(D9024,'Detail Balok'!$C$10:$AU$110,4,FALSE)</f>
        <v>2</v>
      </c>
      <c r="E9031" t="str">
        <v>D</v>
      </c>
      <c r="F9031">
        <f>VLOOKUP(D9024,'Detail Balok'!$C$10:$AU$110,6,FALSE)</f>
        <v>13</v>
      </c>
      <c r="I9031" t="str">
        <v>(</v>
      </c>
      <c r="J9031">
        <f>+D9026/4/1000</f>
        <v>1.37125</v>
      </c>
      <c r="K9031" t="str">
        <v>+</v>
      </c>
      <c r="L9031">
        <f>MAX(VLOOKUP(F9031,N$6:P$15,3,FALSE)/1000,2/3*D9028/1000)+F$16*F9031/1000</f>
        <v>0.156</v>
      </c>
      <c r="M9031" t="str">
        <v>=</v>
      </c>
      <c r="N9031">
        <f>J9031+L9031</f>
        <v>1.52725</v>
      </c>
      <c r="O9031" t="str">
        <v>+</v>
      </c>
      <c r="P9031">
        <f>D9031-D9032</f>
        <v>0</v>
      </c>
      <c r="Q9031" t="str">
        <v>x</v>
      </c>
      <c r="R9031">
        <f>IF(P9031&gt;0,$F$18*F9031/1000,0)</f>
        <v>0</v>
      </c>
      <c r="S9031" t="str">
        <v>)</v>
      </c>
      <c r="T9031" t="str">
        <v>x</v>
      </c>
      <c r="U9031">
        <f>0.006165*F9031^2</f>
        <v>1.041885</v>
      </c>
      <c r="X9031" t="str">
        <v>x</v>
      </c>
      <c r="Y9031">
        <f>D9030</f>
        <v>1</v>
      </c>
      <c r="Z9031" t="str">
        <v>=</v>
      </c>
      <c r="AA9031">
        <f>IF(AA9034=0,(D9031*N9031+P9031*R9031)*U9031*Y9031,0)</f>
        <v>0</v>
      </c>
    </row>
    <row r="9032">
      <c r="A9032" t="str">
        <f>A9024</f>
        <v>Lantai Attic</v>
      </c>
      <c r="B9032">
        <f>B9024</f>
        <v>37</v>
      </c>
      <c r="C9032" t="str">
        <v>Tul Atas Lapangan</v>
      </c>
      <c r="D9032">
        <f>VLOOKUP(D9024,'Detail Balok'!$C$10:$AU$110,7,FALSE)</f>
        <v>2</v>
      </c>
      <c r="E9032" t="str">
        <v>D</v>
      </c>
      <c r="F9032">
        <f>VLOOKUP(D9024,'Detail Balok'!$C$10:$AU$110,9,FALSE)</f>
        <v>13</v>
      </c>
      <c r="I9032" t="str">
        <v>(</v>
      </c>
      <c r="J9032">
        <f>+D9026/2/1000</f>
        <v>2.7425</v>
      </c>
      <c r="K9032" t="str">
        <v>+</v>
      </c>
      <c r="M9032" t="str">
        <v>=</v>
      </c>
      <c r="N9032">
        <f>J9032+L9032</f>
        <v>2.7425</v>
      </c>
      <c r="O9032" t="str">
        <v>+</v>
      </c>
      <c r="P9032">
        <f>MAX(D9032-D9031,D9032-D9033)</f>
        <v>0</v>
      </c>
      <c r="Q9032" t="str">
        <v>x</v>
      </c>
      <c r="R9032">
        <f>IF(P9032&gt;0,2*(1-2*$F$19-1/2)*D9027/1000,0)</f>
        <v>0</v>
      </c>
      <c r="S9032" t="str">
        <v>)</v>
      </c>
      <c r="T9032" t="str">
        <v>x</v>
      </c>
      <c r="U9032">
        <f>0.006165*F9032^2</f>
        <v>1.041885</v>
      </c>
      <c r="X9032" t="str">
        <v>x</v>
      </c>
      <c r="Y9032">
        <f>D9030</f>
        <v>1</v>
      </c>
      <c r="Z9032" t="str">
        <v>=</v>
      </c>
      <c r="AA9032">
        <f>IF(AA9034=0,(D9032*N9032+P9032*R9032)*U9032*Y9032,0)</f>
        <v>0</v>
      </c>
    </row>
    <row r="9033">
      <c r="A9033" t="str">
        <f>A9024</f>
        <v>Lantai Attic</v>
      </c>
      <c r="B9033">
        <f>B9024</f>
        <v>37</v>
      </c>
      <c r="C9033" t="str">
        <v>Tul Atas Tumpuan</v>
      </c>
      <c r="D9033">
        <f>VLOOKUP(D9024,'Detail Balok'!$C$10:$AU$110,10,FALSE)</f>
        <v>2</v>
      </c>
      <c r="E9033" t="str">
        <v>D</v>
      </c>
      <c r="F9033">
        <f>VLOOKUP(D9024,'Detail Balok'!$C$10:$AU$110,12,FALSE)</f>
        <v>13</v>
      </c>
      <c r="I9033" t="str">
        <v>(</v>
      </c>
      <c r="J9033">
        <f>+D9026/4/1000</f>
        <v>1.37125</v>
      </c>
      <c r="K9033" t="str">
        <v>+</v>
      </c>
      <c r="L9033">
        <f>MAX(VLOOKUP(F9033,N$6:P$15,3,FALSE)/1000,2/3*D9028/1000)+F$16*F9033/1000</f>
        <v>0.156</v>
      </c>
      <c r="M9033" t="str">
        <v>=</v>
      </c>
      <c r="N9033">
        <f>J9033+L9033</f>
        <v>1.52725</v>
      </c>
      <c r="O9033" t="str">
        <v>+</v>
      </c>
      <c r="P9033">
        <f>D9033-D9032</f>
        <v>0</v>
      </c>
      <c r="Q9033" t="str">
        <v>x</v>
      </c>
      <c r="R9033">
        <f>IF(P9033&gt;0,$F$18*F9033/1000,0)</f>
        <v>0</v>
      </c>
      <c r="S9033" t="str">
        <v>)</v>
      </c>
      <c r="T9033" t="str">
        <v>x</v>
      </c>
      <c r="U9033">
        <f>0.006165*F9033^2</f>
        <v>1.041885</v>
      </c>
      <c r="X9033" t="str">
        <v>x</v>
      </c>
      <c r="Y9033">
        <f>D9030</f>
        <v>1</v>
      </c>
      <c r="Z9033" t="str">
        <v>=</v>
      </c>
      <c r="AA9033">
        <f>IF(AA9034=0,(D9033*N9033+P9033*R9033)*U9033*Y9033,0)</f>
        <v>0</v>
      </c>
    </row>
    <row r="9034">
      <c r="A9034" t="str">
        <f>A9024</f>
        <v>Lantai Attic</v>
      </c>
      <c r="B9034">
        <f>B9024</f>
        <v>37</v>
      </c>
      <c r="D9034">
        <f>IF(AND(D9031=D9032,D9032=D9033,D9031=D9033),D9031,0)</f>
        <v>2</v>
      </c>
      <c r="E9034" t="str">
        <v>D</v>
      </c>
      <c r="F9034">
        <f>IF(AND(F9031=F9032,F9031=F9033,F9032=F9033),F9031,0)</f>
        <v>13</v>
      </c>
      <c r="L9034" t="str">
        <v>Total panjang per balok</v>
      </c>
      <c r="M9034" t="str">
        <v>=</v>
      </c>
      <c r="N9034">
        <f>IF(AND(D9031=D9032,D9031=D9033,D9032=D9033,F9031=F9032,F9031=F9033,F9032=F9033),SUM(N9031:N9033),0)</f>
        <v>5.797000000000001</v>
      </c>
      <c r="O9034" t="str">
        <v>+</v>
      </c>
      <c r="P9034">
        <f>IF(N9034&gt;12,ROUNDDOWN(N9034/12,0),0)</f>
        <v>0</v>
      </c>
      <c r="Q9034" t="str">
        <v>x</v>
      </c>
      <c r="R9034">
        <f>IF(P9034&gt;0,MAX(VLOOKUP(F9034,$D$6:$G$15,3,FALSE),600),0)/1000</f>
        <v>0</v>
      </c>
      <c r="T9034" t="str">
        <v>x</v>
      </c>
      <c r="U9034">
        <f>U9033</f>
        <v>1.041885</v>
      </c>
      <c r="V9034" t="str">
        <v>x</v>
      </c>
      <c r="W9034">
        <f>D9034</f>
        <v>2</v>
      </c>
      <c r="X9034" t="str">
        <v>x</v>
      </c>
      <c r="Y9034">
        <f>Y9033</f>
        <v>1</v>
      </c>
      <c r="Z9034" t="str">
        <v>=</v>
      </c>
      <c r="AA9034">
        <f>(N9034+P9034*R9034/1000)*U9034*W9034*Y9034</f>
        <v>12.079614690000001</v>
      </c>
    </row>
    <row r="9036">
      <c r="A9036" t="str">
        <f>A9024</f>
        <v>Lantai Attic</v>
      </c>
      <c r="B9036">
        <f>B9024</f>
        <v>37</v>
      </c>
      <c r="C9036" t="str">
        <v>Tul Peminggang</v>
      </c>
      <c r="D9036">
        <f>VLOOKUP(D9024,'Detail Balok'!$C$10:$AU$110,13,FALSE)</f>
        <v>0</v>
      </c>
      <c r="E9036" t="str">
        <v>D</v>
      </c>
      <c r="F9036">
        <f>VLOOKUP(D9024,'Detail Balok'!$C$10:$AU$110,15,FALSE)</f>
        <v>6</v>
      </c>
      <c r="J9036">
        <f>+D9026/1000</f>
        <v>5.485</v>
      </c>
      <c r="K9036" t="str">
        <v>+</v>
      </c>
      <c r="L9036">
        <f>2*$F$16*F9036/1000</f>
        <v>0.144</v>
      </c>
      <c r="M9036" t="str">
        <v>=</v>
      </c>
      <c r="N9036">
        <f>J9036+L9036</f>
        <v>5.6290000000000004</v>
      </c>
      <c r="O9036" t="str">
        <v>+</v>
      </c>
      <c r="P9036">
        <f>IF(N9036&gt;12,ROUNDDOWN(N9036/12,0),0)</f>
        <v>0</v>
      </c>
      <c r="Q9036" t="str">
        <v>x</v>
      </c>
      <c r="R9036">
        <f>IF(P9036&gt;0,MAX(VLOOKUP(F9036,$D$6:$G$15,3,FALSE),600),0)/1000</f>
        <v>0</v>
      </c>
      <c r="T9036" t="str">
        <v>x</v>
      </c>
      <c r="U9036">
        <f>0.006165*F9036^2</f>
        <v>0.22194000000000003</v>
      </c>
      <c r="V9036" t="str">
        <v>x</v>
      </c>
      <c r="W9036">
        <f>+D9036</f>
        <v>0</v>
      </c>
      <c r="X9036" t="str">
        <v>x</v>
      </c>
      <c r="Y9036">
        <f>D9030</f>
        <v>1</v>
      </c>
      <c r="Z9036" t="str">
        <v>=</v>
      </c>
      <c r="AA9036">
        <f>(N9036+P9036*R9036/1000)*U9036*W9036*Y9036</f>
        <v>0</v>
      </c>
    </row>
    <row r="9039">
      <c r="A9039" t="str">
        <f>A9024</f>
        <v>Lantai Attic</v>
      </c>
      <c r="B9039">
        <f>B9024</f>
        <v>37</v>
      </c>
      <c r="C9039" t="str">
        <v>Tul Bawah Tumpuan</v>
      </c>
      <c r="D9039">
        <f>VLOOKUP(D9024,'Detail Balok'!$C$10:$AU$110,22,FALSE)</f>
        <v>2</v>
      </c>
      <c r="E9039" t="str">
        <v>D</v>
      </c>
      <c r="F9039">
        <f>VLOOKUP(D9024,'Detail Balok'!$C$10:$AU$110,24,FALSE)</f>
        <v>13</v>
      </c>
      <c r="I9039" t="str">
        <v>(</v>
      </c>
      <c r="J9039">
        <f>+J9031</f>
        <v>1.37125</v>
      </c>
      <c r="K9039" t="str">
        <v>+</v>
      </c>
      <c r="L9039">
        <f>MAX(VLOOKUP(F9039,N$6:P$15,3,FALSE)/1000,2/3*D9029/1000)+F$16*F9039/1000</f>
        <v>0.156</v>
      </c>
      <c r="M9039" t="str">
        <v>=</v>
      </c>
      <c r="N9039">
        <f>J9039+L9039</f>
        <v>1.52725</v>
      </c>
      <c r="O9039" t="str">
        <v>+</v>
      </c>
      <c r="P9039">
        <f>D9039-D9040</f>
        <v>0</v>
      </c>
      <c r="Q9039" t="str">
        <v>x</v>
      </c>
      <c r="R9039">
        <f>IF(P9039&gt;0,$F$18*F9039/1000,0)</f>
        <v>0</v>
      </c>
      <c r="S9039" t="str">
        <v>)</v>
      </c>
      <c r="T9039" t="str">
        <v>x</v>
      </c>
      <c r="U9039">
        <f>0.006165*F9039^2</f>
        <v>1.041885</v>
      </c>
      <c r="X9039" t="str">
        <v>x</v>
      </c>
      <c r="Y9039">
        <f>D9030</f>
        <v>1</v>
      </c>
      <c r="Z9039" t="str">
        <v>=</v>
      </c>
      <c r="AA9039">
        <f>IF(AA9042=0,(D9039*N9039+P9039*R9039)*U9039*Y9039,0)</f>
        <v>0</v>
      </c>
    </row>
    <row r="9040">
      <c r="A9040" t="str">
        <f>A9024</f>
        <v>Lantai Attic</v>
      </c>
      <c r="B9040">
        <f>B9024</f>
        <v>37</v>
      </c>
      <c r="C9040" t="str">
        <v>Tul Bawah Lapangan</v>
      </c>
      <c r="D9040">
        <f>VLOOKUP(D9024,'Detail Balok'!$C$10:$AU$110,25,FALSE)</f>
        <v>2</v>
      </c>
      <c r="E9040" t="str">
        <v>D</v>
      </c>
      <c r="F9040">
        <f>VLOOKUP(D9024,'Detail Balok'!$C$10:$AU$110,27,FALSE)</f>
        <v>13</v>
      </c>
      <c r="I9040" t="str">
        <v>(</v>
      </c>
      <c r="J9040">
        <f>+J9032</f>
        <v>2.7425</v>
      </c>
      <c r="K9040" t="str">
        <v>+</v>
      </c>
      <c r="M9040" t="str">
        <v>=</v>
      </c>
      <c r="N9040">
        <f>J9040+L9040</f>
        <v>2.7425</v>
      </c>
      <c r="O9040" t="str">
        <v>+</v>
      </c>
      <c r="P9040">
        <f>MAX(D9040-D9039,D9040-D9041)</f>
        <v>0</v>
      </c>
      <c r="Q9040" t="str">
        <v>x</v>
      </c>
      <c r="R9040">
        <f>IF(P9040&gt;0,2*(1-2*$F$19-1/2)*D9027/1000,0)</f>
        <v>0</v>
      </c>
      <c r="S9040" t="str">
        <v>)</v>
      </c>
      <c r="T9040" t="str">
        <v>x</v>
      </c>
      <c r="U9040">
        <f>0.006165*F9040^2</f>
        <v>1.041885</v>
      </c>
      <c r="X9040" t="str">
        <v>x</v>
      </c>
      <c r="Y9040">
        <f>D9030</f>
        <v>1</v>
      </c>
      <c r="Z9040" t="str">
        <v>=</v>
      </c>
      <c r="AA9040">
        <f>IF(AA9042=0,(D9040*N9040+P9040*R9040)*U9040*Y9040,0)</f>
        <v>0</v>
      </c>
    </row>
    <row r="9041">
      <c r="A9041" t="str">
        <f>A9024</f>
        <v>Lantai Attic</v>
      </c>
      <c r="B9041">
        <f>B9024</f>
        <v>37</v>
      </c>
      <c r="C9041" t="str">
        <v>Tul Bawah Tumpuan</v>
      </c>
      <c r="D9041">
        <f>VLOOKUP(D9024,'Detail Balok'!$C$10:$AU$110,28,FALSE)</f>
        <v>2</v>
      </c>
      <c r="E9041" t="str">
        <v>D</v>
      </c>
      <c r="F9041">
        <f>VLOOKUP(D9024,'Detail Balok'!$C$10:$AU$110,30,FALSE)</f>
        <v>13</v>
      </c>
      <c r="I9041" t="str">
        <v>(</v>
      </c>
      <c r="J9041">
        <f>+J9033</f>
        <v>1.37125</v>
      </c>
      <c r="K9041" t="str">
        <v>+</v>
      </c>
      <c r="L9041">
        <f>MAX(VLOOKUP(F9041,N$6:P$15,3,FALSE)/1000,2/3*D9029/1000)+F$16*F9041/1000</f>
        <v>0.156</v>
      </c>
      <c r="M9041" t="str">
        <v>=</v>
      </c>
      <c r="N9041">
        <f>J9041+L9041</f>
        <v>1.52725</v>
      </c>
      <c r="O9041" t="str">
        <v>+</v>
      </c>
      <c r="P9041">
        <f>D9041-D9040</f>
        <v>0</v>
      </c>
      <c r="Q9041" t="str">
        <v>x</v>
      </c>
      <c r="R9041">
        <f>IF(P9041&gt;0,$F$18*F9041/1000,0)</f>
        <v>0</v>
      </c>
      <c r="S9041" t="str">
        <v>)</v>
      </c>
      <c r="T9041" t="str">
        <v>x</v>
      </c>
      <c r="U9041">
        <f>0.006165*F9041^2</f>
        <v>1.041885</v>
      </c>
      <c r="X9041" t="str">
        <v>x</v>
      </c>
      <c r="Y9041">
        <f>D9030</f>
        <v>1</v>
      </c>
      <c r="Z9041" t="str">
        <v>=</v>
      </c>
      <c r="AA9041">
        <f>IF(AA9042=0,(D9041*N9041+P9041*R9041)*U9041*Y9041,0)</f>
        <v>0</v>
      </c>
    </row>
    <row r="9042">
      <c r="A9042" t="str">
        <f>A9024</f>
        <v>Lantai Attic</v>
      </c>
      <c r="B9042">
        <f>B9024</f>
        <v>37</v>
      </c>
      <c r="D9042">
        <f>IF(AND(D9039=D9040,D9040=D9041,D9039=D9041),D9039,0)</f>
        <v>2</v>
      </c>
      <c r="E9042" t="str">
        <v>D</v>
      </c>
      <c r="F9042">
        <f>IF(AND(F9039=F9040,F9039=F9041,F9040=F9041),F9039,0)</f>
        <v>13</v>
      </c>
      <c r="L9042" t="str">
        <v>Total panjang per balok</v>
      </c>
      <c r="M9042" t="str">
        <v>=</v>
      </c>
      <c r="N9042">
        <f>IF(AND(D9039=D9040,D9039=D9041,D9040=D9041,F9039=F9040,F9039=F9041,F9040=F9041),SUM(N9039:N9041),0)</f>
        <v>5.797000000000001</v>
      </c>
      <c r="O9042" t="str">
        <v>+</v>
      </c>
      <c r="P9042">
        <f>IF(N9042&gt;12,ROUNDDOWN(N9042/12,0),0)</f>
        <v>0</v>
      </c>
      <c r="Q9042" t="str">
        <v>x</v>
      </c>
      <c r="R9042">
        <f>IF(P9042&gt;0,MAX(VLOOKUP(F9042,$D$6:$G$15,3,FALSE),600),0)/1000</f>
        <v>0</v>
      </c>
      <c r="T9042" t="str">
        <v>x</v>
      </c>
      <c r="U9042">
        <f>U9041</f>
        <v>1.041885</v>
      </c>
      <c r="V9042" t="str">
        <v>x</v>
      </c>
      <c r="W9042">
        <f>D9042</f>
        <v>2</v>
      </c>
      <c r="X9042" t="str">
        <v>x</v>
      </c>
      <c r="Y9042">
        <f>Y9041</f>
        <v>1</v>
      </c>
      <c r="Z9042" t="str">
        <v>=</v>
      </c>
      <c r="AA9042">
        <f>(N9042+P9042*R9042/1000)*U9042*W9042*Y9042</f>
        <v>12.079614690000001</v>
      </c>
    </row>
    <row r="9044">
      <c r="A9044" t="str">
        <f>A9024</f>
        <v>Lantai Attic</v>
      </c>
      <c r="B9044">
        <f>B9024</f>
        <v>37</v>
      </c>
      <c r="C9044" t="str">
        <v>Sengkang Tumpuan</v>
      </c>
      <c r="D9044">
        <f>VLOOKUP(D9024,'Detail Balok'!$C$10:$AU$110,31,FALSE)</f>
        <v>0</v>
      </c>
      <c r="E9044" t="str">
        <v>D</v>
      </c>
      <c r="F9044">
        <f>VLOOKUP(D9024,'Detail Balok'!$C$10:$AU$110,33,FALSE)</f>
        <v>10</v>
      </c>
      <c r="G9044" t="str">
        <v>-</v>
      </c>
      <c r="H9044">
        <f>VLOOKUP(D9024,'Detail Balok'!$C$10:$AU$110,35,FALSE)</f>
        <v>100</v>
      </c>
      <c r="J9044">
        <f>(IF(D9044=0,(2*(D9025+G9025))-(F$5*8),IF(D9044=3,(2*(D9025+G9025))-(F$5*8)+(G9025-2*F$5),IF(D9044=4,(2*(D9025+G9025))-(F$5*8)+2*(G9025-2*F$5)))))/1000</f>
        <v>0.82</v>
      </c>
      <c r="K9044" t="str">
        <v>+</v>
      </c>
      <c r="L9044">
        <f>IF(D9044=0,2*MAX(6*F9044,75),(D9044-1)*2*MAX(6*F9044,75))/1000</f>
        <v>0.15</v>
      </c>
      <c r="M9044" t="str">
        <v>=</v>
      </c>
      <c r="N9044">
        <f>J9044+L9044</f>
        <v>0.97</v>
      </c>
      <c r="T9044" t="str">
        <v>x</v>
      </c>
      <c r="U9044">
        <f>0.006165*F9044^2</f>
        <v>0.6165</v>
      </c>
      <c r="V9044" t="str">
        <v>x</v>
      </c>
      <c r="W9044">
        <f>IF(D9027&gt;4*G9025,ROUND(MAX(D9027/4,2*G9025)/H9044,0)+1,ROUND(D9027/H9044,0)+1)</f>
        <v>15</v>
      </c>
      <c r="X9044" t="str">
        <v>x</v>
      </c>
      <c r="Y9044">
        <f>D9030</f>
        <v>1</v>
      </c>
      <c r="Z9044" t="str">
        <v>=</v>
      </c>
      <c r="AA9044">
        <f>N9044*U9044*W9044*Y9044</f>
        <v>8.970075</v>
      </c>
    </row>
    <row r="9045">
      <c r="A9045" t="str">
        <f>A9024</f>
        <v>Lantai Attic</v>
      </c>
      <c r="B9045">
        <f>B9024</f>
        <v>37</v>
      </c>
      <c r="C9045" t="str">
        <v>Sengkang Lapangan</v>
      </c>
      <c r="D9045">
        <f>VLOOKUP(D9024,'Detail Balok'!$C$10:$AU$110,36,FALSE)</f>
        <v>0</v>
      </c>
      <c r="E9045" t="str">
        <v>D</v>
      </c>
      <c r="F9045">
        <f>VLOOKUP(D9024,'Detail Balok'!$C$10:$AU$110,38,FALSE)</f>
        <v>10</v>
      </c>
      <c r="G9045" t="str">
        <v>-</v>
      </c>
      <c r="H9045">
        <f>VLOOKUP(D9024,'Detail Balok'!$C$10:$AU$110,40,FALSE)</f>
        <v>200</v>
      </c>
      <c r="J9045">
        <f>(IF(D9045=0,(2*(D9025+G9025))-(F$5*8),IF(D9045=3,(2*(D9025+G9025))-(F$5*8)+(G9025-2*F$5),IF(D9045=4,(2*(D9025+G9025))-(F$5*8)+2*(G9025-2*F$5)))))/1000</f>
        <v>0.82</v>
      </c>
      <c r="K9045" t="str">
        <v>+</v>
      </c>
      <c r="L9045">
        <f>IF(D9045=0,2*MAX(6*F9045,75),(D9045-1)*2*MAX(6*F9045,75))/1000</f>
        <v>0.15</v>
      </c>
      <c r="M9045" t="str">
        <v>=</v>
      </c>
      <c r="N9045">
        <f>J9045+L9045</f>
        <v>0.97</v>
      </c>
      <c r="T9045" t="str">
        <v>x</v>
      </c>
      <c r="U9045">
        <f>0.006165*F9045^2</f>
        <v>0.6165</v>
      </c>
      <c r="V9045" t="str">
        <v>x</v>
      </c>
      <c r="W9045">
        <f>IF(D9027-MAX(D9027/4,2*G9025)*2&gt;0,ROUND((D9027-MAX(D9027/4,2*G9025)*2)/H9045,0),0)</f>
        <v>14</v>
      </c>
      <c r="X9045" t="str">
        <v>x</v>
      </c>
      <c r="Y9045">
        <f>D9030</f>
        <v>1</v>
      </c>
      <c r="Z9045" t="str">
        <v>=</v>
      </c>
      <c r="AA9045">
        <f>N9045*U9045*W9045*Y9045</f>
        <v>8.37207</v>
      </c>
    </row>
    <row r="9046">
      <c r="A9046" t="str">
        <f>A9024</f>
        <v>Lantai Attic</v>
      </c>
      <c r="B9046">
        <f>B9024</f>
        <v>37</v>
      </c>
      <c r="C9046" t="str">
        <v>Sengkang Tumpuan</v>
      </c>
      <c r="D9046">
        <f>VLOOKUP(D9024,'Detail Balok'!$C$10:$AU$110,41,FALSE)</f>
        <v>0</v>
      </c>
      <c r="E9046" t="str">
        <v>D</v>
      </c>
      <c r="F9046">
        <f>VLOOKUP(D9024,'Detail Balok'!$C$10:$AU$110,43,FALSE)</f>
        <v>10</v>
      </c>
      <c r="G9046" t="str">
        <v>-</v>
      </c>
      <c r="H9046">
        <f>VLOOKUP(D9024,'Detail Balok'!$C$10:$AU$110,45,FALSE)</f>
        <v>100</v>
      </c>
      <c r="J9046">
        <f>(IF(D9046=0,(2*(D9025+G9025))-(F$5*8),IF(D9046=3,(2*(D9025+G9025))-(F$5*8)+(G9025-2*F$5),IF(D9046=4,(2*(D9025+G9025))-(F$5*8)+2*(G9025-2*F$5)))))/1000</f>
        <v>0.82</v>
      </c>
      <c r="K9046" t="str">
        <v>+</v>
      </c>
      <c r="L9046">
        <f>IF(D9046=0,2*MAX(6*F9046,75),(D9046-1)*2*MAX(6*F9046,75))/1000</f>
        <v>0.15</v>
      </c>
      <c r="M9046" t="str">
        <v>=</v>
      </c>
      <c r="N9046">
        <f>J9046+L9046</f>
        <v>0.97</v>
      </c>
      <c r="T9046" t="str">
        <v>x</v>
      </c>
      <c r="U9046">
        <f>0.006165*F9046^2</f>
        <v>0.6165</v>
      </c>
      <c r="V9046" t="str">
        <v>x</v>
      </c>
      <c r="W9046">
        <f>IF(D9027&gt;4*G9025,ROUND(MAX(D9027/4,2*G9025)/H9046,0)+1,0)</f>
        <v>15</v>
      </c>
      <c r="X9046" t="str">
        <v>x</v>
      </c>
      <c r="Y9046">
        <f>D9030</f>
        <v>1</v>
      </c>
      <c r="Z9046" t="str">
        <v>=</v>
      </c>
      <c r="AA9046">
        <f>N9046*U9046*W9046*Y9046</f>
        <v>8.970075</v>
      </c>
    </row>
    <row r="9048">
      <c r="A9048" t="str">
        <f>A9024</f>
        <v>Lantai Attic</v>
      </c>
      <c r="B9048">
        <f>B9024</f>
        <v>37</v>
      </c>
      <c r="C9048" t="str">
        <v>Kait Horizontal Tump.</v>
      </c>
      <c r="D9048">
        <f>VLOOKUP(D9024,'Detail Balok'!$C$10:$BJ$110,46,FALSE)</f>
        <v>0</v>
      </c>
      <c r="E9048" t="str">
        <v>D</v>
      </c>
      <c r="F9048">
        <f>VLOOKUP(D9024,'Detail Balok'!$C$10:$BJ$110,48,FALSE)</f>
        <v>0</v>
      </c>
      <c r="G9048" t="str">
        <v>-</v>
      </c>
      <c r="H9048">
        <f>VLOOKUP(D9024,'Detail Balok'!$C$10:$BJ$110,50,FALSE)</f>
        <v>100</v>
      </c>
      <c r="J9048">
        <f>(D9025-2*F$5)/1000</f>
        <v>0.09</v>
      </c>
      <c r="K9048" t="str">
        <v>+</v>
      </c>
      <c r="L9048">
        <f>IF(D9048=0,2*MAX(6*F9048,75),(D9048-1)*2*MAX(6*F9048,75))/1000</f>
        <v>0.15</v>
      </c>
      <c r="M9048" t="str">
        <v>=</v>
      </c>
      <c r="N9048">
        <f>J9048+L9048</f>
        <v>0.24</v>
      </c>
      <c r="T9048" t="str">
        <v>x</v>
      </c>
      <c r="U9048">
        <f>0.006165*F9048^2</f>
        <v>0</v>
      </c>
      <c r="V9048" t="str">
        <v>x</v>
      </c>
      <c r="W9048">
        <f>W9044</f>
        <v>15</v>
      </c>
      <c r="X9048" t="str">
        <v>x</v>
      </c>
      <c r="Y9048">
        <f>D9034</f>
        <v>2</v>
      </c>
      <c r="Z9048" t="str">
        <v>=</v>
      </c>
      <c r="AA9048">
        <f>N9048*U9048*W9048*Y9048</f>
        <v>0</v>
      </c>
    </row>
    <row r="9049">
      <c r="A9049" t="str">
        <f>A9024</f>
        <v>Lantai Attic</v>
      </c>
      <c r="B9049">
        <f>B9024</f>
        <v>37</v>
      </c>
      <c r="C9049" t="str">
        <v>Kait Horizontal Lap.</v>
      </c>
      <c r="D9049">
        <f>VLOOKUP(D9024,'Detail Balok'!$C$10:$BJ$110,51,FALSE)</f>
        <v>0</v>
      </c>
      <c r="E9049" t="str">
        <v>D</v>
      </c>
      <c r="F9049">
        <f>VLOOKUP(D9024,'Detail Balok'!$C$10:$BJ$110,53,FALSE)</f>
        <v>0</v>
      </c>
      <c r="G9049" t="str">
        <v>-</v>
      </c>
      <c r="H9049">
        <f>VLOOKUP(D9024,'Detail Balok'!$C$10:$BJ$110,55,FALSE)</f>
        <v>100</v>
      </c>
      <c r="J9049">
        <f>(D9025-2*F$5)/1000</f>
        <v>0.09</v>
      </c>
      <c r="K9049" t="str">
        <v>+</v>
      </c>
      <c r="L9049">
        <f>IF(D9049=0,2*MAX(6*F9049,75),(D9049-1)*2*MAX(6*F9049,75))/1000</f>
        <v>0.15</v>
      </c>
      <c r="M9049" t="str">
        <v>=</v>
      </c>
      <c r="N9049">
        <f>J9049+L9049</f>
        <v>0.24</v>
      </c>
      <c r="T9049" t="str">
        <v>x</v>
      </c>
      <c r="U9049">
        <f>0.006165*F9049^2</f>
        <v>0</v>
      </c>
      <c r="V9049" t="str">
        <v>x</v>
      </c>
      <c r="W9049">
        <f>W9045</f>
        <v>14</v>
      </c>
      <c r="X9049" t="str">
        <v>x</v>
      </c>
      <c r="Y9049">
        <f>D9034</f>
        <v>2</v>
      </c>
      <c r="Z9049" t="str">
        <v>=</v>
      </c>
      <c r="AA9049">
        <f>N9049*U9049*W9049*Y9049</f>
        <v>0</v>
      </c>
    </row>
    <row r="9050">
      <c r="A9050" t="str">
        <f>A9024</f>
        <v>Lantai Attic</v>
      </c>
      <c r="B9050">
        <f>B9024</f>
        <v>37</v>
      </c>
      <c r="C9050" t="str">
        <v>Kait Horizontal Tump.</v>
      </c>
      <c r="D9050">
        <f>VLOOKUP(D9024,'Detail Balok'!$C$10:$BJ$110,56,FALSE)</f>
        <v>0</v>
      </c>
      <c r="E9050" t="str">
        <v>D</v>
      </c>
      <c r="F9050">
        <f>VLOOKUP(D9024,'Detail Balok'!$C$10:$BJ$110,58,FALSE)</f>
        <v>0</v>
      </c>
      <c r="G9050" t="str">
        <v>-</v>
      </c>
      <c r="H9050">
        <f>VLOOKUP(D9024,'Detail Balok'!$C$10:$BJ$110,60,FALSE)</f>
        <v>100</v>
      </c>
      <c r="J9050">
        <f>(D9025-2*F$5)/1000</f>
        <v>0.09</v>
      </c>
      <c r="K9050" t="str">
        <v>+</v>
      </c>
      <c r="L9050">
        <f>IF(D9050=0,2*MAX(6*F9050,75),(D9050-1)*2*MAX(6*F9050,75))/1000</f>
        <v>0.15</v>
      </c>
      <c r="M9050" t="str">
        <v>=</v>
      </c>
      <c r="N9050">
        <f>J9050+L9050</f>
        <v>0.24</v>
      </c>
      <c r="T9050" t="str">
        <v>x</v>
      </c>
      <c r="U9050">
        <f>0.006165*F9050^2</f>
        <v>0</v>
      </c>
      <c r="V9050" t="str">
        <v>x</v>
      </c>
      <c r="W9050">
        <f>W9046</f>
        <v>15</v>
      </c>
      <c r="X9050" t="str">
        <v>x</v>
      </c>
      <c r="Y9050">
        <f>D9034</f>
        <v>2</v>
      </c>
      <c r="Z9050" t="str">
        <v>=</v>
      </c>
      <c r="AA9050">
        <f>N9050*U9050*W9050*Y9050</f>
        <v>0</v>
      </c>
    </row>
    <row r="9054">
      <c r="A9054" t="str">
        <f>A9024</f>
        <v>Lantai Attic</v>
      </c>
      <c r="B9054">
        <f>B9024+1</f>
        <v>38</v>
      </c>
      <c r="C9054" t="str">
        <f>CONCATENATE(A9054," no. ",B9054)</f>
        <v>Lantai Attic no. 38</v>
      </c>
      <c r="D9054" t="str">
        <f>VLOOKUP(C9054,'Data Panjang Balok'!$C$9:$N$424,2,FALSE)</f>
        <v>B175-1</v>
      </c>
    </row>
    <row r="9055">
      <c r="C9055" t="str">
        <v>Dimensi</v>
      </c>
      <c r="D9055">
        <f>VLOOKUP(D9054,'Detail Balok'!$C$10:$AU$110,2,FALSE)</f>
        <v>170</v>
      </c>
      <c r="F9055" t="str">
        <v>x</v>
      </c>
      <c r="G9055">
        <f>VLOOKUP(D9054,'Detail Balok'!$C$10:$AU$110,3,FALSE)</f>
        <v>500</v>
      </c>
    </row>
    <row r="9056">
      <c r="C9056" t="str">
        <v>Panjang as ke as</v>
      </c>
      <c r="D9056">
        <f>VLOOKUP(C9054,'Data Panjang Balok'!$C$9:$N$424,4,FALSE)</f>
        <v>2100</v>
      </c>
    </row>
    <row r="9057">
      <c r="C9057" t="str">
        <v>Panjang netto</v>
      </c>
      <c r="D9057">
        <f>VLOOKUP(C9054,'Data Panjang Balok'!$C$9:$N$424,7,FALSE)</f>
        <v>2100</v>
      </c>
    </row>
    <row r="9058">
      <c r="C9058" t="str">
        <v>Kolom / balok kiri</v>
      </c>
      <c r="D9058">
        <f>VLOOKUP(C9054,'Data Panjang Balok'!$C$9:$N$424,9,FALSE)</f>
        <v>0</v>
      </c>
    </row>
    <row r="9059">
      <c r="C9059" t="str">
        <v>Kolom / balok kanan</v>
      </c>
      <c r="D9059">
        <f>VLOOKUP(C9054,'Data Panjang Balok'!$C$9:$N$424,10,FALSE)</f>
        <v>0</v>
      </c>
    </row>
    <row r="9060">
      <c r="C9060" t="str">
        <v>Jumlah</v>
      </c>
      <c r="D9060">
        <f>VLOOKUP(C9054,'Data Panjang Balok'!$C$9:$N$424,3,FALSE)</f>
        <v>1</v>
      </c>
    </row>
    <row r="9061">
      <c r="A9061" t="str">
        <f>A9054</f>
        <v>Lantai Attic</v>
      </c>
      <c r="B9061">
        <f>B9054</f>
        <v>38</v>
      </c>
      <c r="C9061" t="str">
        <v>Tul Atas Tumpuan</v>
      </c>
      <c r="D9061">
        <f>VLOOKUP(D9054,'Detail Balok'!$C$10:$AU$110,4,FALSE)</f>
        <v>2</v>
      </c>
      <c r="E9061" t="str">
        <v>D</v>
      </c>
      <c r="F9061">
        <f>VLOOKUP(D9054,'Detail Balok'!$C$10:$AU$110,6,FALSE)</f>
        <v>13</v>
      </c>
      <c r="I9061" t="str">
        <v>(</v>
      </c>
      <c r="J9061">
        <f>+D9056/4/1000</f>
        <v>0.525</v>
      </c>
      <c r="K9061" t="str">
        <v>+</v>
      </c>
      <c r="L9061">
        <f>MAX(VLOOKUP(F9061,N$6:P$15,3,FALSE)/1000,2/3*D9058/1000)+F$16*F9061/1000</f>
        <v>0.156</v>
      </c>
      <c r="M9061" t="str">
        <v>=</v>
      </c>
      <c r="N9061">
        <f>J9061+L9061</f>
        <v>0.681</v>
      </c>
      <c r="O9061" t="str">
        <v>+</v>
      </c>
      <c r="P9061">
        <f>D9061-D9062</f>
        <v>0</v>
      </c>
      <c r="Q9061" t="str">
        <v>x</v>
      </c>
      <c r="R9061">
        <f>IF(P9061&gt;0,$F$18*F9061/1000,0)</f>
        <v>0</v>
      </c>
      <c r="S9061" t="str">
        <v>)</v>
      </c>
      <c r="T9061" t="str">
        <v>x</v>
      </c>
      <c r="U9061">
        <f>0.006165*F9061^2</f>
        <v>1.041885</v>
      </c>
      <c r="X9061" t="str">
        <v>x</v>
      </c>
      <c r="Y9061">
        <f>D9060</f>
        <v>1</v>
      </c>
      <c r="Z9061" t="str">
        <v>=</v>
      </c>
      <c r="AA9061">
        <f>IF(AA9064=0,(D9061*N9061+P9061*R9061)*U9061*Y9061,0)</f>
        <v>0</v>
      </c>
    </row>
    <row r="9062">
      <c r="A9062" t="str">
        <f>A9054</f>
        <v>Lantai Attic</v>
      </c>
      <c r="B9062">
        <f>B9054</f>
        <v>38</v>
      </c>
      <c r="C9062" t="str">
        <v>Tul Atas Lapangan</v>
      </c>
      <c r="D9062">
        <f>VLOOKUP(D9054,'Detail Balok'!$C$10:$AU$110,7,FALSE)</f>
        <v>2</v>
      </c>
      <c r="E9062" t="str">
        <v>D</v>
      </c>
      <c r="F9062">
        <f>VLOOKUP(D9054,'Detail Balok'!$C$10:$AU$110,9,FALSE)</f>
        <v>13</v>
      </c>
      <c r="I9062" t="str">
        <v>(</v>
      </c>
      <c r="J9062">
        <f>+D9056/2/1000</f>
        <v>1.05</v>
      </c>
      <c r="K9062" t="str">
        <v>+</v>
      </c>
      <c r="M9062" t="str">
        <v>=</v>
      </c>
      <c r="N9062">
        <f>J9062+L9062</f>
        <v>1.05</v>
      </c>
      <c r="O9062" t="str">
        <v>+</v>
      </c>
      <c r="P9062">
        <f>MAX(D9062-D9061,D9062-D9063)</f>
        <v>0</v>
      </c>
      <c r="Q9062" t="str">
        <v>x</v>
      </c>
      <c r="R9062">
        <f>IF(P9062&gt;0,2*(1-2*$F$19-1/2)*D9057/1000,0)</f>
        <v>0</v>
      </c>
      <c r="S9062" t="str">
        <v>)</v>
      </c>
      <c r="T9062" t="str">
        <v>x</v>
      </c>
      <c r="U9062">
        <f>0.006165*F9062^2</f>
        <v>1.041885</v>
      </c>
      <c r="X9062" t="str">
        <v>x</v>
      </c>
      <c r="Y9062">
        <f>D9060</f>
        <v>1</v>
      </c>
      <c r="Z9062" t="str">
        <v>=</v>
      </c>
      <c r="AA9062">
        <f>IF(AA9064=0,(D9062*N9062+P9062*R9062)*U9062*Y9062,0)</f>
        <v>0</v>
      </c>
    </row>
    <row r="9063">
      <c r="A9063" t="str">
        <f>A9054</f>
        <v>Lantai Attic</v>
      </c>
      <c r="B9063">
        <f>B9054</f>
        <v>38</v>
      </c>
      <c r="C9063" t="str">
        <v>Tul Atas Tumpuan</v>
      </c>
      <c r="D9063">
        <f>VLOOKUP(D9054,'Detail Balok'!$C$10:$AU$110,10,FALSE)</f>
        <v>2</v>
      </c>
      <c r="E9063" t="str">
        <v>D</v>
      </c>
      <c r="F9063">
        <f>VLOOKUP(D9054,'Detail Balok'!$C$10:$AU$110,12,FALSE)</f>
        <v>13</v>
      </c>
      <c r="I9063" t="str">
        <v>(</v>
      </c>
      <c r="J9063">
        <f>+D9056/4/1000</f>
        <v>0.525</v>
      </c>
      <c r="K9063" t="str">
        <v>+</v>
      </c>
      <c r="L9063">
        <f>MAX(VLOOKUP(F9063,N$6:P$15,3,FALSE)/1000,2/3*D9058/1000)+F$16*F9063/1000</f>
        <v>0.156</v>
      </c>
      <c r="M9063" t="str">
        <v>=</v>
      </c>
      <c r="N9063">
        <f>J9063+L9063</f>
        <v>0.681</v>
      </c>
      <c r="O9063" t="str">
        <v>+</v>
      </c>
      <c r="P9063">
        <f>D9063-D9062</f>
        <v>0</v>
      </c>
      <c r="Q9063" t="str">
        <v>x</v>
      </c>
      <c r="R9063">
        <f>IF(P9063&gt;0,$F$18*F9063/1000,0)</f>
        <v>0</v>
      </c>
      <c r="S9063" t="str">
        <v>)</v>
      </c>
      <c r="T9063" t="str">
        <v>x</v>
      </c>
      <c r="U9063">
        <f>0.006165*F9063^2</f>
        <v>1.041885</v>
      </c>
      <c r="X9063" t="str">
        <v>x</v>
      </c>
      <c r="Y9063">
        <f>D9060</f>
        <v>1</v>
      </c>
      <c r="Z9063" t="str">
        <v>=</v>
      </c>
      <c r="AA9063">
        <f>IF(AA9064=0,(D9063*N9063+P9063*R9063)*U9063*Y9063,0)</f>
        <v>0</v>
      </c>
    </row>
    <row r="9064">
      <c r="A9064" t="str">
        <f>A9054</f>
        <v>Lantai Attic</v>
      </c>
      <c r="B9064">
        <f>B9054</f>
        <v>38</v>
      </c>
      <c r="D9064">
        <f>IF(AND(D9061=D9062,D9062=D9063,D9061=D9063),D9061,0)</f>
        <v>2</v>
      </c>
      <c r="E9064" t="str">
        <v>D</v>
      </c>
      <c r="F9064">
        <f>IF(AND(F9061=F9062,F9061=F9063,F9062=F9063),F9061,0)</f>
        <v>13</v>
      </c>
      <c r="L9064" t="str">
        <v>Total panjang per balok</v>
      </c>
      <c r="M9064" t="str">
        <v>=</v>
      </c>
      <c r="N9064">
        <f>IF(AND(D9061=D9062,D9061=D9063,D9062=D9063,F9061=F9062,F9061=F9063,F9062=F9063),SUM(N9061:N9063),0)</f>
        <v>2.412</v>
      </c>
      <c r="O9064" t="str">
        <v>+</v>
      </c>
      <c r="P9064">
        <f>IF(N9064&gt;12,ROUNDDOWN(N9064/12,0),0)</f>
        <v>0</v>
      </c>
      <c r="Q9064" t="str">
        <v>x</v>
      </c>
      <c r="R9064">
        <f>IF(P9064&gt;0,MAX(VLOOKUP(F9064,$D$6:$G$15,3,FALSE),600),0)/1000</f>
        <v>0</v>
      </c>
      <c r="T9064" t="str">
        <v>x</v>
      </c>
      <c r="U9064">
        <f>U9063</f>
        <v>1.041885</v>
      </c>
      <c r="V9064" t="str">
        <v>x</v>
      </c>
      <c r="W9064">
        <f>D9064</f>
        <v>2</v>
      </c>
      <c r="X9064" t="str">
        <v>x</v>
      </c>
      <c r="Y9064">
        <f>Y9063</f>
        <v>1</v>
      </c>
      <c r="Z9064" t="str">
        <v>=</v>
      </c>
      <c r="AA9064">
        <f>(N9064+P9064*R9064/1000)*U9064*W9064*Y9064</f>
        <v>5.0260532399999995</v>
      </c>
    </row>
    <row r="9066">
      <c r="A9066" t="str">
        <f>A9054</f>
        <v>Lantai Attic</v>
      </c>
      <c r="B9066">
        <f>B9054</f>
        <v>38</v>
      </c>
      <c r="C9066" t="str">
        <v>Tul Peminggang</v>
      </c>
      <c r="D9066">
        <f>VLOOKUP(D9054,'Detail Balok'!$C$10:$AU$110,13,FALSE)</f>
        <v>2</v>
      </c>
      <c r="E9066" t="str">
        <v>D</v>
      </c>
      <c r="F9066">
        <f>VLOOKUP(D9054,'Detail Balok'!$C$10:$AU$110,15,FALSE)</f>
        <v>10</v>
      </c>
      <c r="J9066">
        <f>+D9056/1000</f>
        <v>2.1</v>
      </c>
      <c r="K9066" t="str">
        <v>+</v>
      </c>
      <c r="L9066">
        <f>2*$F$16*F9066/1000</f>
        <v>0.24</v>
      </c>
      <c r="M9066" t="str">
        <v>=</v>
      </c>
      <c r="N9066">
        <f>J9066+L9066</f>
        <v>2.34</v>
      </c>
      <c r="O9066" t="str">
        <v>+</v>
      </c>
      <c r="P9066">
        <f>IF(N9066&gt;12,ROUNDDOWN(N9066/12,0),0)</f>
        <v>0</v>
      </c>
      <c r="Q9066" t="str">
        <v>x</v>
      </c>
      <c r="R9066">
        <f>IF(P9066&gt;0,MAX(VLOOKUP(F9066,$D$6:$G$15,3,FALSE),600),0)/1000</f>
        <v>0</v>
      </c>
      <c r="T9066" t="str">
        <v>x</v>
      </c>
      <c r="U9066">
        <f>0.006165*F9066^2</f>
        <v>0.6165</v>
      </c>
      <c r="V9066" t="str">
        <v>x</v>
      </c>
      <c r="W9066">
        <f>+D9066</f>
        <v>2</v>
      </c>
      <c r="X9066" t="str">
        <v>x</v>
      </c>
      <c r="Y9066">
        <f>D9060</f>
        <v>1</v>
      </c>
      <c r="Z9066" t="str">
        <v>=</v>
      </c>
      <c r="AA9066">
        <f>(N9066+P9066*R9066/1000)*U9066*W9066*Y9066</f>
        <v>2.88522</v>
      </c>
    </row>
    <row r="9069">
      <c r="A9069" t="str">
        <f>A9054</f>
        <v>Lantai Attic</v>
      </c>
      <c r="B9069">
        <f>B9054</f>
        <v>38</v>
      </c>
      <c r="C9069" t="str">
        <v>Tul Bawah Tumpuan</v>
      </c>
      <c r="D9069">
        <f>VLOOKUP(D9054,'Detail Balok'!$C$10:$AU$110,22,FALSE)</f>
        <v>2</v>
      </c>
      <c r="E9069" t="str">
        <v>D</v>
      </c>
      <c r="F9069">
        <f>VLOOKUP(D9054,'Detail Balok'!$C$10:$AU$110,24,FALSE)</f>
        <v>13</v>
      </c>
      <c r="I9069" t="str">
        <v>(</v>
      </c>
      <c r="J9069">
        <f>+J9061</f>
        <v>0.525</v>
      </c>
      <c r="K9069" t="str">
        <v>+</v>
      </c>
      <c r="L9069">
        <f>MAX(VLOOKUP(F9069,N$6:P$15,3,FALSE)/1000,2/3*D9059/1000)+F$16*F9069/1000</f>
        <v>0.156</v>
      </c>
      <c r="M9069" t="str">
        <v>=</v>
      </c>
      <c r="N9069">
        <f>J9069+L9069</f>
        <v>0.681</v>
      </c>
      <c r="O9069" t="str">
        <v>+</v>
      </c>
      <c r="P9069">
        <f>D9069-D9070</f>
        <v>0</v>
      </c>
      <c r="Q9069" t="str">
        <v>x</v>
      </c>
      <c r="R9069">
        <f>IF(P9069&gt;0,$F$18*F9069/1000,0)</f>
        <v>0</v>
      </c>
      <c r="S9069" t="str">
        <v>)</v>
      </c>
      <c r="T9069" t="str">
        <v>x</v>
      </c>
      <c r="U9069">
        <f>0.006165*F9069^2</f>
        <v>1.041885</v>
      </c>
      <c r="X9069" t="str">
        <v>x</v>
      </c>
      <c r="Y9069">
        <f>D9060</f>
        <v>1</v>
      </c>
      <c r="Z9069" t="str">
        <v>=</v>
      </c>
      <c r="AA9069">
        <f>IF(AA9072=0,(D9069*N9069+P9069*R9069)*U9069*Y9069,0)</f>
        <v>0</v>
      </c>
    </row>
    <row r="9070">
      <c r="A9070" t="str">
        <f>A9054</f>
        <v>Lantai Attic</v>
      </c>
      <c r="B9070">
        <f>B9054</f>
        <v>38</v>
      </c>
      <c r="C9070" t="str">
        <v>Tul Bawah Lapangan</v>
      </c>
      <c r="D9070">
        <f>VLOOKUP(D9054,'Detail Balok'!$C$10:$AU$110,25,FALSE)</f>
        <v>2</v>
      </c>
      <c r="E9070" t="str">
        <v>D</v>
      </c>
      <c r="F9070">
        <f>VLOOKUP(D9054,'Detail Balok'!$C$10:$AU$110,27,FALSE)</f>
        <v>13</v>
      </c>
      <c r="I9070" t="str">
        <v>(</v>
      </c>
      <c r="J9070">
        <f>+J9062</f>
        <v>1.05</v>
      </c>
      <c r="K9070" t="str">
        <v>+</v>
      </c>
      <c r="M9070" t="str">
        <v>=</v>
      </c>
      <c r="N9070">
        <f>J9070+L9070</f>
        <v>1.05</v>
      </c>
      <c r="O9070" t="str">
        <v>+</v>
      </c>
      <c r="P9070">
        <f>MAX(D9070-D9069,D9070-D9071)</f>
        <v>0</v>
      </c>
      <c r="Q9070" t="str">
        <v>x</v>
      </c>
      <c r="R9070">
        <f>IF(P9070&gt;0,2*(1-2*$F$19-1/2)*D9057/1000,0)</f>
        <v>0</v>
      </c>
      <c r="S9070" t="str">
        <v>)</v>
      </c>
      <c r="T9070" t="str">
        <v>x</v>
      </c>
      <c r="U9070">
        <f>0.006165*F9070^2</f>
        <v>1.041885</v>
      </c>
      <c r="X9070" t="str">
        <v>x</v>
      </c>
      <c r="Y9070">
        <f>D9060</f>
        <v>1</v>
      </c>
      <c r="Z9070" t="str">
        <v>=</v>
      </c>
      <c r="AA9070">
        <f>IF(AA9072=0,(D9070*N9070+P9070*R9070)*U9070*Y9070,0)</f>
        <v>0</v>
      </c>
    </row>
    <row r="9071">
      <c r="A9071" t="str">
        <f>A9054</f>
        <v>Lantai Attic</v>
      </c>
      <c r="B9071">
        <f>B9054</f>
        <v>38</v>
      </c>
      <c r="C9071" t="str">
        <v>Tul Bawah Tumpuan</v>
      </c>
      <c r="D9071">
        <f>VLOOKUP(D9054,'Detail Balok'!$C$10:$AU$110,28,FALSE)</f>
        <v>2</v>
      </c>
      <c r="E9071" t="str">
        <v>D</v>
      </c>
      <c r="F9071">
        <f>VLOOKUP(D9054,'Detail Balok'!$C$10:$AU$110,30,FALSE)</f>
        <v>13</v>
      </c>
      <c r="I9071" t="str">
        <v>(</v>
      </c>
      <c r="J9071">
        <f>+J9063</f>
        <v>0.525</v>
      </c>
      <c r="K9071" t="str">
        <v>+</v>
      </c>
      <c r="L9071">
        <f>MAX(VLOOKUP(F9071,N$6:P$15,3,FALSE)/1000,2/3*D9059/1000)+F$16*F9071/1000</f>
        <v>0.156</v>
      </c>
      <c r="M9071" t="str">
        <v>=</v>
      </c>
      <c r="N9071">
        <f>J9071+L9071</f>
        <v>0.681</v>
      </c>
      <c r="O9071" t="str">
        <v>+</v>
      </c>
      <c r="P9071">
        <f>D9071-D9070</f>
        <v>0</v>
      </c>
      <c r="Q9071" t="str">
        <v>x</v>
      </c>
      <c r="R9071">
        <f>IF(P9071&gt;0,$F$18*F9071/1000,0)</f>
        <v>0</v>
      </c>
      <c r="S9071" t="str">
        <v>)</v>
      </c>
      <c r="T9071" t="str">
        <v>x</v>
      </c>
      <c r="U9071">
        <f>0.006165*F9071^2</f>
        <v>1.041885</v>
      </c>
      <c r="X9071" t="str">
        <v>x</v>
      </c>
      <c r="Y9071">
        <f>D9060</f>
        <v>1</v>
      </c>
      <c r="Z9071" t="str">
        <v>=</v>
      </c>
      <c r="AA9071">
        <f>IF(AA9072=0,(D9071*N9071+P9071*R9071)*U9071*Y9071,0)</f>
        <v>0</v>
      </c>
    </row>
    <row r="9072">
      <c r="A9072" t="str">
        <f>A9054</f>
        <v>Lantai Attic</v>
      </c>
      <c r="B9072">
        <f>B9054</f>
        <v>38</v>
      </c>
      <c r="D9072">
        <f>IF(AND(D9069=D9070,D9070=D9071,D9069=D9071),D9069,0)</f>
        <v>2</v>
      </c>
      <c r="E9072" t="str">
        <v>D</v>
      </c>
      <c r="F9072">
        <f>IF(AND(F9069=F9070,F9069=F9071,F9070=F9071),F9069,0)</f>
        <v>13</v>
      </c>
      <c r="L9072" t="str">
        <v>Total panjang per balok</v>
      </c>
      <c r="M9072" t="str">
        <v>=</v>
      </c>
      <c r="N9072">
        <f>IF(AND(D9069=D9070,D9069=D9071,D9070=D9071,F9069=F9070,F9069=F9071,F9070=F9071),SUM(N9069:N9071),0)</f>
        <v>2.412</v>
      </c>
      <c r="O9072" t="str">
        <v>+</v>
      </c>
      <c r="P9072">
        <f>IF(N9072&gt;12,ROUNDDOWN(N9072/12,0),0)</f>
        <v>0</v>
      </c>
      <c r="Q9072" t="str">
        <v>x</v>
      </c>
      <c r="R9072">
        <f>IF(P9072&gt;0,MAX(VLOOKUP(F9072,$D$6:$G$15,3,FALSE),600),0)/1000</f>
        <v>0</v>
      </c>
      <c r="T9072" t="str">
        <v>x</v>
      </c>
      <c r="U9072">
        <f>U9071</f>
        <v>1.041885</v>
      </c>
      <c r="V9072" t="str">
        <v>x</v>
      </c>
      <c r="W9072">
        <f>D9072</f>
        <v>2</v>
      </c>
      <c r="X9072" t="str">
        <v>x</v>
      </c>
      <c r="Y9072">
        <f>Y9071</f>
        <v>1</v>
      </c>
      <c r="Z9072" t="str">
        <v>=</v>
      </c>
      <c r="AA9072">
        <f>(N9072+P9072*R9072/1000)*U9072*W9072*Y9072</f>
        <v>5.0260532399999995</v>
      </c>
    </row>
    <row r="9074">
      <c r="A9074" t="str">
        <f>A9054</f>
        <v>Lantai Attic</v>
      </c>
      <c r="B9074">
        <f>B9054</f>
        <v>38</v>
      </c>
      <c r="C9074" t="str">
        <v>Sengkang Tumpuan</v>
      </c>
      <c r="D9074">
        <f>VLOOKUP(D9054,'Detail Balok'!$C$10:$AU$110,31,FALSE)</f>
        <v>0</v>
      </c>
      <c r="E9074" t="str">
        <v>D</v>
      </c>
      <c r="F9074">
        <f>VLOOKUP(D9054,'Detail Balok'!$C$10:$AU$110,33,FALSE)</f>
        <v>10</v>
      </c>
      <c r="G9074" t="str">
        <v>-</v>
      </c>
      <c r="H9074">
        <f>VLOOKUP(D9054,'Detail Balok'!$C$10:$AU$110,35,FALSE)</f>
        <v>80</v>
      </c>
      <c r="J9074">
        <f>(IF(D9074=0,(2*(D9055+G9055))-(F$5*8),IF(D9074=3,(2*(D9055+G9055))-(F$5*8)+(G9055-2*F$5),IF(D9074=4,(2*(D9055+G9055))-(F$5*8)+2*(G9055-2*F$5)))))/1000</f>
        <v>1.02</v>
      </c>
      <c r="K9074" t="str">
        <v>+</v>
      </c>
      <c r="L9074">
        <f>IF(D9074=0,2*MAX(6*F9074,75),(D9074-1)*2*MAX(6*F9074,75))/1000</f>
        <v>0.15</v>
      </c>
      <c r="M9074" t="str">
        <v>=</v>
      </c>
      <c r="N9074">
        <f>J9074+L9074</f>
        <v>1.17</v>
      </c>
      <c r="T9074" t="str">
        <v>x</v>
      </c>
      <c r="U9074">
        <f>0.006165*F9074^2</f>
        <v>0.6165</v>
      </c>
      <c r="V9074" t="str">
        <v>x</v>
      </c>
      <c r="W9074">
        <f>IF(D9057&gt;4*G9055,ROUND(MAX(D9057/4,2*G9055)/H9074,0)+1,ROUND(D9057/H9074,0)+1)</f>
        <v>14</v>
      </c>
      <c r="X9074" t="str">
        <v>x</v>
      </c>
      <c r="Y9074">
        <f>D9060</f>
        <v>1</v>
      </c>
      <c r="Z9074" t="str">
        <v>=</v>
      </c>
      <c r="AA9074">
        <f>N9074*U9074*W9074*Y9074</f>
        <v>10.09827</v>
      </c>
    </row>
    <row r="9075">
      <c r="A9075" t="str">
        <f>A9054</f>
        <v>Lantai Attic</v>
      </c>
      <c r="B9075">
        <f>B9054</f>
        <v>38</v>
      </c>
      <c r="C9075" t="str">
        <v>Sengkang Lapangan</v>
      </c>
      <c r="D9075">
        <f>VLOOKUP(D9054,'Detail Balok'!$C$10:$AU$110,36,FALSE)</f>
        <v>0</v>
      </c>
      <c r="E9075" t="str">
        <v>D</v>
      </c>
      <c r="F9075">
        <f>VLOOKUP(D9054,'Detail Balok'!$C$10:$AU$110,38,FALSE)</f>
        <v>10</v>
      </c>
      <c r="G9075" t="str">
        <v>-</v>
      </c>
      <c r="H9075">
        <f>VLOOKUP(D9054,'Detail Balok'!$C$10:$AU$110,40,FALSE)</f>
        <v>200</v>
      </c>
      <c r="J9075">
        <f>(IF(D9075=0,(2*(D9055+G9055))-(F$5*8),IF(D9075=3,(2*(D9055+G9055))-(F$5*8)+(G9055-2*F$5),IF(D9075=4,(2*(D9055+G9055))-(F$5*8)+2*(G9055-2*F$5)))))/1000</f>
        <v>1.02</v>
      </c>
      <c r="K9075" t="str">
        <v>+</v>
      </c>
      <c r="L9075">
        <f>IF(D9075=0,2*MAX(6*F9075,75),(D9075-1)*2*MAX(6*F9075,75))/1000</f>
        <v>0.15</v>
      </c>
      <c r="M9075" t="str">
        <v>=</v>
      </c>
      <c r="N9075">
        <f>J9075+L9075</f>
        <v>1.17</v>
      </c>
      <c r="T9075" t="str">
        <v>x</v>
      </c>
      <c r="U9075">
        <f>0.006165*F9075^2</f>
        <v>0.6165</v>
      </c>
      <c r="V9075" t="str">
        <v>x</v>
      </c>
      <c r="W9075">
        <f>IF(D9057-MAX(D9057/4,2*G9055)*2&gt;0,ROUND((D9057-MAX(D9057/4,2*G9055)*2)/H9075,0),0)</f>
        <v>1</v>
      </c>
      <c r="X9075" t="str">
        <v>x</v>
      </c>
      <c r="Y9075">
        <f>D9060</f>
        <v>1</v>
      </c>
      <c r="Z9075" t="str">
        <v>=</v>
      </c>
      <c r="AA9075">
        <f>N9075*U9075*W9075*Y9075</f>
        <v>0.721305</v>
      </c>
    </row>
    <row r="9076">
      <c r="A9076" t="str">
        <f>A9054</f>
        <v>Lantai Attic</v>
      </c>
      <c r="B9076">
        <f>B9054</f>
        <v>38</v>
      </c>
      <c r="C9076" t="str">
        <v>Sengkang Tumpuan</v>
      </c>
      <c r="D9076">
        <f>VLOOKUP(D9054,'Detail Balok'!$C$10:$AU$110,41,FALSE)</f>
        <v>0</v>
      </c>
      <c r="E9076" t="str">
        <v>D</v>
      </c>
      <c r="F9076">
        <f>VLOOKUP(D9054,'Detail Balok'!$C$10:$AU$110,43,FALSE)</f>
        <v>10</v>
      </c>
      <c r="G9076" t="str">
        <v>-</v>
      </c>
      <c r="H9076">
        <f>VLOOKUP(D9054,'Detail Balok'!$C$10:$AU$110,45,FALSE)</f>
        <v>80</v>
      </c>
      <c r="J9076">
        <f>(IF(D9076=0,(2*(D9055+G9055))-(F$5*8),IF(D9076=3,(2*(D9055+G9055))-(F$5*8)+(G9055-2*F$5),IF(D9076=4,(2*(D9055+G9055))-(F$5*8)+2*(G9055-2*F$5)))))/1000</f>
        <v>1.02</v>
      </c>
      <c r="K9076" t="str">
        <v>+</v>
      </c>
      <c r="L9076">
        <f>IF(D9076=0,2*MAX(6*F9076,75),(D9076-1)*2*MAX(6*F9076,75))/1000</f>
        <v>0.15</v>
      </c>
      <c r="M9076" t="str">
        <v>=</v>
      </c>
      <c r="N9076">
        <f>J9076+L9076</f>
        <v>1.17</v>
      </c>
      <c r="T9076" t="str">
        <v>x</v>
      </c>
      <c r="U9076">
        <f>0.006165*F9076^2</f>
        <v>0.6165</v>
      </c>
      <c r="V9076" t="str">
        <v>x</v>
      </c>
      <c r="W9076">
        <f>IF(D9057&gt;4*G9055,ROUND(MAX(D9057/4,2*G9055)/H9076,0)+1,0)</f>
        <v>14</v>
      </c>
      <c r="X9076" t="str">
        <v>x</v>
      </c>
      <c r="Y9076">
        <f>D9060</f>
        <v>1</v>
      </c>
      <c r="Z9076" t="str">
        <v>=</v>
      </c>
      <c r="AA9076">
        <f>N9076*U9076*W9076*Y9076</f>
        <v>10.09827</v>
      </c>
    </row>
    <row r="9078">
      <c r="A9078" t="str">
        <f>A9054</f>
        <v>Lantai Attic</v>
      </c>
      <c r="B9078">
        <f>B9054</f>
        <v>38</v>
      </c>
      <c r="C9078" t="str">
        <v>Kait Horizontal Tump.</v>
      </c>
      <c r="D9078">
        <f>VLOOKUP(D9054,'Detail Balok'!$C$10:$BJ$110,46,FALSE)</f>
        <v>0</v>
      </c>
      <c r="E9078" t="str">
        <v>D</v>
      </c>
      <c r="F9078">
        <f>VLOOKUP(D9054,'Detail Balok'!$C$10:$BJ$110,48,FALSE)</f>
        <v>0</v>
      </c>
      <c r="G9078" t="str">
        <v>-</v>
      </c>
      <c r="H9078">
        <f>VLOOKUP(D9054,'Detail Balok'!$C$10:$BJ$110,50,FALSE)</f>
        <v>100</v>
      </c>
      <c r="J9078">
        <f>(D9055-2*F$5)/1000</f>
        <v>0.09</v>
      </c>
      <c r="K9078" t="str">
        <v>+</v>
      </c>
      <c r="L9078">
        <f>IF(D9078=0,2*MAX(6*F9078,75),(D9078-1)*2*MAX(6*F9078,75))/1000</f>
        <v>0.15</v>
      </c>
      <c r="M9078" t="str">
        <v>=</v>
      </c>
      <c r="N9078">
        <f>J9078+L9078</f>
        <v>0.24</v>
      </c>
      <c r="T9078" t="str">
        <v>x</v>
      </c>
      <c r="U9078">
        <f>0.006165*F9078^2</f>
        <v>0</v>
      </c>
      <c r="V9078" t="str">
        <v>x</v>
      </c>
      <c r="W9078">
        <f>W9074</f>
        <v>14</v>
      </c>
      <c r="X9078" t="str">
        <v>x</v>
      </c>
      <c r="Y9078">
        <f>D9064</f>
        <v>2</v>
      </c>
      <c r="Z9078" t="str">
        <v>=</v>
      </c>
      <c r="AA9078">
        <f>N9078*U9078*W9078*Y9078</f>
        <v>0</v>
      </c>
    </row>
    <row r="9079">
      <c r="A9079" t="str">
        <f>A9054</f>
        <v>Lantai Attic</v>
      </c>
      <c r="B9079">
        <f>B9054</f>
        <v>38</v>
      </c>
      <c r="C9079" t="str">
        <v>Kait Horizontal Lap.</v>
      </c>
      <c r="D9079">
        <f>VLOOKUP(D9054,'Detail Balok'!$C$10:$BJ$110,51,FALSE)</f>
        <v>0</v>
      </c>
      <c r="E9079" t="str">
        <v>D</v>
      </c>
      <c r="F9079">
        <f>VLOOKUP(D9054,'Detail Balok'!$C$10:$BJ$110,53,FALSE)</f>
        <v>0</v>
      </c>
      <c r="G9079" t="str">
        <v>-</v>
      </c>
      <c r="H9079">
        <f>VLOOKUP(D9054,'Detail Balok'!$C$10:$BJ$110,55,FALSE)</f>
        <v>100</v>
      </c>
      <c r="J9079">
        <f>(D9055-2*F$5)/1000</f>
        <v>0.09</v>
      </c>
      <c r="K9079" t="str">
        <v>+</v>
      </c>
      <c r="L9079">
        <f>IF(D9079=0,2*MAX(6*F9079,75),(D9079-1)*2*MAX(6*F9079,75))/1000</f>
        <v>0.15</v>
      </c>
      <c r="M9079" t="str">
        <v>=</v>
      </c>
      <c r="N9079">
        <f>J9079+L9079</f>
        <v>0.24</v>
      </c>
      <c r="T9079" t="str">
        <v>x</v>
      </c>
      <c r="U9079">
        <f>0.006165*F9079^2</f>
        <v>0</v>
      </c>
      <c r="V9079" t="str">
        <v>x</v>
      </c>
      <c r="W9079">
        <f>W9075</f>
        <v>1</v>
      </c>
      <c r="X9079" t="str">
        <v>x</v>
      </c>
      <c r="Y9079">
        <f>D9064</f>
        <v>2</v>
      </c>
      <c r="Z9079" t="str">
        <v>=</v>
      </c>
      <c r="AA9079">
        <f>N9079*U9079*W9079*Y9079</f>
        <v>0</v>
      </c>
    </row>
    <row r="9080">
      <c r="A9080" t="str">
        <f>A9054</f>
        <v>Lantai Attic</v>
      </c>
      <c r="B9080">
        <f>B9054</f>
        <v>38</v>
      </c>
      <c r="C9080" t="str">
        <v>Kait Horizontal Tump.</v>
      </c>
      <c r="D9080">
        <f>VLOOKUP(D9054,'Detail Balok'!$C$10:$BJ$110,56,FALSE)</f>
        <v>0</v>
      </c>
      <c r="E9080" t="str">
        <v>D</v>
      </c>
      <c r="F9080">
        <f>VLOOKUP(D9054,'Detail Balok'!$C$10:$BJ$110,58,FALSE)</f>
        <v>0</v>
      </c>
      <c r="G9080" t="str">
        <v>-</v>
      </c>
      <c r="H9080">
        <f>VLOOKUP(D9054,'Detail Balok'!$C$10:$BJ$110,60,FALSE)</f>
        <v>100</v>
      </c>
      <c r="J9080">
        <f>(D9055-2*F$5)/1000</f>
        <v>0.09</v>
      </c>
      <c r="K9080" t="str">
        <v>+</v>
      </c>
      <c r="L9080">
        <f>IF(D9080=0,2*MAX(6*F9080,75),(D9080-1)*2*MAX(6*F9080,75))/1000</f>
        <v>0.15</v>
      </c>
      <c r="M9080" t="str">
        <v>=</v>
      </c>
      <c r="N9080">
        <f>J9080+L9080</f>
        <v>0.24</v>
      </c>
      <c r="T9080" t="str">
        <v>x</v>
      </c>
      <c r="U9080">
        <f>0.006165*F9080^2</f>
        <v>0</v>
      </c>
      <c r="V9080" t="str">
        <v>x</v>
      </c>
      <c r="W9080">
        <f>W9076</f>
        <v>14</v>
      </c>
      <c r="X9080" t="str">
        <v>x</v>
      </c>
      <c r="Y9080">
        <f>D9064</f>
        <v>2</v>
      </c>
      <c r="Z9080" t="str">
        <v>=</v>
      </c>
      <c r="AA9080">
        <f>N9080*U9080*W9080*Y9080</f>
        <v>0</v>
      </c>
    </row>
    <row r="9084">
      <c r="A9084" t="str">
        <f>A9054</f>
        <v>Lantai Attic</v>
      </c>
      <c r="B9084">
        <f>B9054+1</f>
        <v>39</v>
      </c>
      <c r="C9084" t="str">
        <f>CONCATENATE(A9084," no. ",B9084)</f>
        <v>Lantai Attic no. 39</v>
      </c>
      <c r="D9084" t="str">
        <f>VLOOKUP(C9084,'Data Panjang Balok'!$C$9:$N$424,2,FALSE)</f>
        <v>B175-1</v>
      </c>
    </row>
    <row r="9085">
      <c r="C9085" t="str">
        <v>Dimensi</v>
      </c>
      <c r="D9085">
        <f>VLOOKUP(D9084,'Detail Balok'!$C$10:$AU$110,2,FALSE)</f>
        <v>170</v>
      </c>
      <c r="F9085" t="str">
        <v>x</v>
      </c>
      <c r="G9085">
        <f>VLOOKUP(D9084,'Detail Balok'!$C$10:$AU$110,3,FALSE)</f>
        <v>500</v>
      </c>
    </row>
    <row r="9086">
      <c r="C9086" t="str">
        <v>Panjang as ke as</v>
      </c>
      <c r="D9086">
        <f>VLOOKUP(C9084,'Data Panjang Balok'!$C$9:$N$424,4,FALSE)</f>
        <v>2900</v>
      </c>
    </row>
    <row r="9087">
      <c r="C9087" t="str">
        <v>Panjang netto</v>
      </c>
      <c r="D9087">
        <f>VLOOKUP(C9084,'Data Panjang Balok'!$C$9:$N$424,7,FALSE)</f>
        <v>2900</v>
      </c>
    </row>
    <row r="9088">
      <c r="C9088" t="str">
        <v>Kolom / balok kiri</v>
      </c>
      <c r="D9088">
        <f>VLOOKUP(C9084,'Data Panjang Balok'!$C$9:$N$424,9,FALSE)</f>
        <v>0</v>
      </c>
    </row>
    <row r="9089">
      <c r="C9089" t="str">
        <v>Kolom / balok kanan</v>
      </c>
      <c r="D9089">
        <f>VLOOKUP(C9084,'Data Panjang Balok'!$C$9:$N$424,10,FALSE)</f>
        <v>0</v>
      </c>
    </row>
    <row r="9090">
      <c r="C9090" t="str">
        <v>Jumlah</v>
      </c>
      <c r="D9090">
        <f>VLOOKUP(C9084,'Data Panjang Balok'!$C$9:$N$424,3,FALSE)</f>
        <v>1</v>
      </c>
    </row>
    <row r="9091">
      <c r="A9091" t="str">
        <f>A9084</f>
        <v>Lantai Attic</v>
      </c>
      <c r="B9091">
        <f>B9084</f>
        <v>39</v>
      </c>
      <c r="C9091" t="str">
        <v>Tul Atas Tumpuan</v>
      </c>
      <c r="D9091">
        <f>VLOOKUP(D9084,'Detail Balok'!$C$10:$AU$110,4,FALSE)</f>
        <v>2</v>
      </c>
      <c r="E9091" t="str">
        <v>D</v>
      </c>
      <c r="F9091">
        <f>VLOOKUP(D9084,'Detail Balok'!$C$10:$AU$110,6,FALSE)</f>
        <v>13</v>
      </c>
      <c r="I9091" t="str">
        <v>(</v>
      </c>
      <c r="J9091">
        <f>+D9086/4/1000</f>
        <v>0.725</v>
      </c>
      <c r="K9091" t="str">
        <v>+</v>
      </c>
      <c r="L9091">
        <f>MAX(VLOOKUP(F9091,N$6:P$15,3,FALSE)/1000,2/3*D9088/1000)+F$16*F9091/1000</f>
        <v>0.156</v>
      </c>
      <c r="M9091" t="str">
        <v>=</v>
      </c>
      <c r="N9091">
        <f>J9091+L9091</f>
        <v>0.881</v>
      </c>
      <c r="O9091" t="str">
        <v>+</v>
      </c>
      <c r="P9091">
        <f>D9091-D9092</f>
        <v>0</v>
      </c>
      <c r="Q9091" t="str">
        <v>x</v>
      </c>
      <c r="R9091">
        <f>IF(P9091&gt;0,$F$18*F9091/1000,0)</f>
        <v>0</v>
      </c>
      <c r="S9091" t="str">
        <v>)</v>
      </c>
      <c r="T9091" t="str">
        <v>x</v>
      </c>
      <c r="U9091">
        <f>0.006165*F9091^2</f>
        <v>1.041885</v>
      </c>
      <c r="X9091" t="str">
        <v>x</v>
      </c>
      <c r="Y9091">
        <f>D9090</f>
        <v>1</v>
      </c>
      <c r="Z9091" t="str">
        <v>=</v>
      </c>
      <c r="AA9091">
        <f>IF(AA9094=0,(D9091*N9091+P9091*R9091)*U9091*Y9091,0)</f>
        <v>0</v>
      </c>
    </row>
    <row r="9092">
      <c r="A9092" t="str">
        <f>A9084</f>
        <v>Lantai Attic</v>
      </c>
      <c r="B9092">
        <f>B9084</f>
        <v>39</v>
      </c>
      <c r="C9092" t="str">
        <v>Tul Atas Lapangan</v>
      </c>
      <c r="D9092">
        <f>VLOOKUP(D9084,'Detail Balok'!$C$10:$AU$110,7,FALSE)</f>
        <v>2</v>
      </c>
      <c r="E9092" t="str">
        <v>D</v>
      </c>
      <c r="F9092">
        <f>VLOOKUP(D9084,'Detail Balok'!$C$10:$AU$110,9,FALSE)</f>
        <v>13</v>
      </c>
      <c r="I9092" t="str">
        <v>(</v>
      </c>
      <c r="J9092">
        <f>+D9086/2/1000</f>
        <v>1.45</v>
      </c>
      <c r="K9092" t="str">
        <v>+</v>
      </c>
      <c r="M9092" t="str">
        <v>=</v>
      </c>
      <c r="N9092">
        <f>J9092+L9092</f>
        <v>1.45</v>
      </c>
      <c r="O9092" t="str">
        <v>+</v>
      </c>
      <c r="P9092">
        <f>MAX(D9092-D9091,D9092-D9093)</f>
        <v>0</v>
      </c>
      <c r="Q9092" t="str">
        <v>x</v>
      </c>
      <c r="R9092">
        <f>IF(P9092&gt;0,2*(1-2*$F$19-1/2)*D9087/1000,0)</f>
        <v>0</v>
      </c>
      <c r="S9092" t="str">
        <v>)</v>
      </c>
      <c r="T9092" t="str">
        <v>x</v>
      </c>
      <c r="U9092">
        <f>0.006165*F9092^2</f>
        <v>1.041885</v>
      </c>
      <c r="X9092" t="str">
        <v>x</v>
      </c>
      <c r="Y9092">
        <f>D9090</f>
        <v>1</v>
      </c>
      <c r="Z9092" t="str">
        <v>=</v>
      </c>
      <c r="AA9092">
        <f>IF(AA9094=0,(D9092*N9092+P9092*R9092)*U9092*Y9092,0)</f>
        <v>0</v>
      </c>
    </row>
    <row r="9093">
      <c r="A9093" t="str">
        <f>A9084</f>
        <v>Lantai Attic</v>
      </c>
      <c r="B9093">
        <f>B9084</f>
        <v>39</v>
      </c>
      <c r="C9093" t="str">
        <v>Tul Atas Tumpuan</v>
      </c>
      <c r="D9093">
        <f>VLOOKUP(D9084,'Detail Balok'!$C$10:$AU$110,10,FALSE)</f>
        <v>2</v>
      </c>
      <c r="E9093" t="str">
        <v>D</v>
      </c>
      <c r="F9093">
        <f>VLOOKUP(D9084,'Detail Balok'!$C$10:$AU$110,12,FALSE)</f>
        <v>13</v>
      </c>
      <c r="I9093" t="str">
        <v>(</v>
      </c>
      <c r="J9093">
        <f>+D9086/4/1000</f>
        <v>0.725</v>
      </c>
      <c r="K9093" t="str">
        <v>+</v>
      </c>
      <c r="L9093">
        <f>MAX(VLOOKUP(F9093,N$6:P$15,3,FALSE)/1000,2/3*D9088/1000)+F$16*F9093/1000</f>
        <v>0.156</v>
      </c>
      <c r="M9093" t="str">
        <v>=</v>
      </c>
      <c r="N9093">
        <f>J9093+L9093</f>
        <v>0.881</v>
      </c>
      <c r="O9093" t="str">
        <v>+</v>
      </c>
      <c r="P9093">
        <f>D9093-D9092</f>
        <v>0</v>
      </c>
      <c r="Q9093" t="str">
        <v>x</v>
      </c>
      <c r="R9093">
        <f>IF(P9093&gt;0,$F$18*F9093/1000,0)</f>
        <v>0</v>
      </c>
      <c r="S9093" t="str">
        <v>)</v>
      </c>
      <c r="T9093" t="str">
        <v>x</v>
      </c>
      <c r="U9093">
        <f>0.006165*F9093^2</f>
        <v>1.041885</v>
      </c>
      <c r="X9093" t="str">
        <v>x</v>
      </c>
      <c r="Y9093">
        <f>D9090</f>
        <v>1</v>
      </c>
      <c r="Z9093" t="str">
        <v>=</v>
      </c>
      <c r="AA9093">
        <f>IF(AA9094=0,(D9093*N9093+P9093*R9093)*U9093*Y9093,0)</f>
        <v>0</v>
      </c>
    </row>
    <row r="9094">
      <c r="A9094" t="str">
        <f>A9084</f>
        <v>Lantai Attic</v>
      </c>
      <c r="B9094">
        <f>B9084</f>
        <v>39</v>
      </c>
      <c r="D9094">
        <f>IF(AND(D9091=D9092,D9092=D9093,D9091=D9093),D9091,0)</f>
        <v>2</v>
      </c>
      <c r="E9094" t="str">
        <v>D</v>
      </c>
      <c r="F9094">
        <f>IF(AND(F9091=F9092,F9091=F9093,F9092=F9093),F9091,0)</f>
        <v>13</v>
      </c>
      <c r="L9094" t="str">
        <v>Total panjang per balok</v>
      </c>
      <c r="M9094" t="str">
        <v>=</v>
      </c>
      <c r="N9094">
        <f>IF(AND(D9091=D9092,D9091=D9093,D9092=D9093,F9091=F9092,F9091=F9093,F9092=F9093),SUM(N9091:N9093),0)</f>
        <v>3.2119999999999997</v>
      </c>
      <c r="O9094" t="str">
        <v>+</v>
      </c>
      <c r="P9094">
        <f>IF(N9094&gt;12,ROUNDDOWN(N9094/12,0),0)</f>
        <v>0</v>
      </c>
      <c r="Q9094" t="str">
        <v>x</v>
      </c>
      <c r="R9094">
        <f>IF(P9094&gt;0,MAX(VLOOKUP(F9094,$D$6:$G$15,3,FALSE),600),0)/1000</f>
        <v>0</v>
      </c>
      <c r="T9094" t="str">
        <v>x</v>
      </c>
      <c r="U9094">
        <f>U9093</f>
        <v>1.041885</v>
      </c>
      <c r="V9094" t="str">
        <v>x</v>
      </c>
      <c r="W9094">
        <f>D9094</f>
        <v>2</v>
      </c>
      <c r="X9094" t="str">
        <v>x</v>
      </c>
      <c r="Y9094">
        <f>Y9093</f>
        <v>1</v>
      </c>
      <c r="Z9094" t="str">
        <v>=</v>
      </c>
      <c r="AA9094">
        <f>(N9094+P9094*R9094/1000)*U9094*W9094*Y9094</f>
        <v>6.693069239999999</v>
      </c>
    </row>
    <row r="9096">
      <c r="A9096" t="str">
        <f>A9084</f>
        <v>Lantai Attic</v>
      </c>
      <c r="B9096">
        <f>B9084</f>
        <v>39</v>
      </c>
      <c r="C9096" t="str">
        <v>Tul Peminggang</v>
      </c>
      <c r="D9096">
        <f>VLOOKUP(D9084,'Detail Balok'!$C$10:$AU$110,13,FALSE)</f>
        <v>2</v>
      </c>
      <c r="E9096" t="str">
        <v>D</v>
      </c>
      <c r="F9096">
        <f>VLOOKUP(D9084,'Detail Balok'!$C$10:$AU$110,15,FALSE)</f>
        <v>10</v>
      </c>
      <c r="J9096">
        <f>+D9086/1000</f>
        <v>2.9</v>
      </c>
      <c r="K9096" t="str">
        <v>+</v>
      </c>
      <c r="L9096">
        <f>2*$F$16*F9096/1000</f>
        <v>0.24</v>
      </c>
      <c r="M9096" t="str">
        <v>=</v>
      </c>
      <c r="N9096">
        <f>J9096+L9096</f>
        <v>3.1399999999999997</v>
      </c>
      <c r="O9096" t="str">
        <v>+</v>
      </c>
      <c r="P9096">
        <f>IF(N9096&gt;12,ROUNDDOWN(N9096/12,0),0)</f>
        <v>0</v>
      </c>
      <c r="Q9096" t="str">
        <v>x</v>
      </c>
      <c r="R9096">
        <f>IF(P9096&gt;0,MAX(VLOOKUP(F9096,$D$6:$G$15,3,FALSE),600),0)/1000</f>
        <v>0</v>
      </c>
      <c r="T9096" t="str">
        <v>x</v>
      </c>
      <c r="U9096">
        <f>0.006165*F9096^2</f>
        <v>0.6165</v>
      </c>
      <c r="V9096" t="str">
        <v>x</v>
      </c>
      <c r="W9096">
        <f>+D9096</f>
        <v>2</v>
      </c>
      <c r="X9096" t="str">
        <v>x</v>
      </c>
      <c r="Y9096">
        <f>D9090</f>
        <v>1</v>
      </c>
      <c r="Z9096" t="str">
        <v>=</v>
      </c>
      <c r="AA9096">
        <f>(N9096+P9096*R9096/1000)*U9096*W9096*Y9096</f>
        <v>3.87162</v>
      </c>
    </row>
    <row r="9099">
      <c r="A9099" t="str">
        <f>A9084</f>
        <v>Lantai Attic</v>
      </c>
      <c r="B9099">
        <f>B9084</f>
        <v>39</v>
      </c>
      <c r="C9099" t="str">
        <v>Tul Bawah Tumpuan</v>
      </c>
      <c r="D9099">
        <f>VLOOKUP(D9084,'Detail Balok'!$C$10:$AU$110,22,FALSE)</f>
        <v>2</v>
      </c>
      <c r="E9099" t="str">
        <v>D</v>
      </c>
      <c r="F9099">
        <f>VLOOKUP(D9084,'Detail Balok'!$C$10:$AU$110,24,FALSE)</f>
        <v>13</v>
      </c>
      <c r="I9099" t="str">
        <v>(</v>
      </c>
      <c r="J9099">
        <f>+J9091</f>
        <v>0.725</v>
      </c>
      <c r="K9099" t="str">
        <v>+</v>
      </c>
      <c r="L9099">
        <f>MAX(VLOOKUP(F9099,N$6:P$15,3,FALSE)/1000,2/3*D9089/1000)+F$16*F9099/1000</f>
        <v>0.156</v>
      </c>
      <c r="M9099" t="str">
        <v>=</v>
      </c>
      <c r="N9099">
        <f>J9099+L9099</f>
        <v>0.881</v>
      </c>
      <c r="O9099" t="str">
        <v>+</v>
      </c>
      <c r="P9099">
        <f>D9099-D9100</f>
        <v>0</v>
      </c>
      <c r="Q9099" t="str">
        <v>x</v>
      </c>
      <c r="R9099">
        <f>IF(P9099&gt;0,$F$18*F9099/1000,0)</f>
        <v>0</v>
      </c>
      <c r="S9099" t="str">
        <v>)</v>
      </c>
      <c r="T9099" t="str">
        <v>x</v>
      </c>
      <c r="U9099">
        <f>0.006165*F9099^2</f>
        <v>1.041885</v>
      </c>
      <c r="X9099" t="str">
        <v>x</v>
      </c>
      <c r="Y9099">
        <f>D9090</f>
        <v>1</v>
      </c>
      <c r="Z9099" t="str">
        <v>=</v>
      </c>
      <c r="AA9099">
        <f>IF(AA9102=0,(D9099*N9099+P9099*R9099)*U9099*Y9099,0)</f>
        <v>0</v>
      </c>
    </row>
    <row r="9100">
      <c r="A9100" t="str">
        <f>A9084</f>
        <v>Lantai Attic</v>
      </c>
      <c r="B9100">
        <f>B9084</f>
        <v>39</v>
      </c>
      <c r="C9100" t="str">
        <v>Tul Bawah Lapangan</v>
      </c>
      <c r="D9100">
        <f>VLOOKUP(D9084,'Detail Balok'!$C$10:$AU$110,25,FALSE)</f>
        <v>2</v>
      </c>
      <c r="E9100" t="str">
        <v>D</v>
      </c>
      <c r="F9100">
        <f>VLOOKUP(D9084,'Detail Balok'!$C$10:$AU$110,27,FALSE)</f>
        <v>13</v>
      </c>
      <c r="I9100" t="str">
        <v>(</v>
      </c>
      <c r="J9100">
        <f>+J9092</f>
        <v>1.45</v>
      </c>
      <c r="K9100" t="str">
        <v>+</v>
      </c>
      <c r="M9100" t="str">
        <v>=</v>
      </c>
      <c r="N9100">
        <f>J9100+L9100</f>
        <v>1.45</v>
      </c>
      <c r="O9100" t="str">
        <v>+</v>
      </c>
      <c r="P9100">
        <f>MAX(D9100-D9099,D9100-D9101)</f>
        <v>0</v>
      </c>
      <c r="Q9100" t="str">
        <v>x</v>
      </c>
      <c r="R9100">
        <f>IF(P9100&gt;0,2*(1-2*$F$19-1/2)*D9087/1000,0)</f>
        <v>0</v>
      </c>
      <c r="S9100" t="str">
        <v>)</v>
      </c>
      <c r="T9100" t="str">
        <v>x</v>
      </c>
      <c r="U9100">
        <f>0.006165*F9100^2</f>
        <v>1.041885</v>
      </c>
      <c r="X9100" t="str">
        <v>x</v>
      </c>
      <c r="Y9100">
        <f>D9090</f>
        <v>1</v>
      </c>
      <c r="Z9100" t="str">
        <v>=</v>
      </c>
      <c r="AA9100">
        <f>IF(AA9102=0,(D9100*N9100+P9100*R9100)*U9100*Y9100,0)</f>
        <v>0</v>
      </c>
    </row>
    <row r="9101">
      <c r="A9101" t="str">
        <f>A9084</f>
        <v>Lantai Attic</v>
      </c>
      <c r="B9101">
        <f>B9084</f>
        <v>39</v>
      </c>
      <c r="C9101" t="str">
        <v>Tul Bawah Tumpuan</v>
      </c>
      <c r="D9101">
        <f>VLOOKUP(D9084,'Detail Balok'!$C$10:$AU$110,28,FALSE)</f>
        <v>2</v>
      </c>
      <c r="E9101" t="str">
        <v>D</v>
      </c>
      <c r="F9101">
        <f>VLOOKUP(D9084,'Detail Balok'!$C$10:$AU$110,30,FALSE)</f>
        <v>13</v>
      </c>
      <c r="I9101" t="str">
        <v>(</v>
      </c>
      <c r="J9101">
        <f>+J9093</f>
        <v>0.725</v>
      </c>
      <c r="K9101" t="str">
        <v>+</v>
      </c>
      <c r="L9101">
        <f>MAX(VLOOKUP(F9101,N$6:P$15,3,FALSE)/1000,2/3*D9089/1000)+F$16*F9101/1000</f>
        <v>0.156</v>
      </c>
      <c r="M9101" t="str">
        <v>=</v>
      </c>
      <c r="N9101">
        <f>J9101+L9101</f>
        <v>0.881</v>
      </c>
      <c r="O9101" t="str">
        <v>+</v>
      </c>
      <c r="P9101">
        <f>D9101-D9100</f>
        <v>0</v>
      </c>
      <c r="Q9101" t="str">
        <v>x</v>
      </c>
      <c r="R9101">
        <f>IF(P9101&gt;0,$F$18*F9101/1000,0)</f>
        <v>0</v>
      </c>
      <c r="S9101" t="str">
        <v>)</v>
      </c>
      <c r="T9101" t="str">
        <v>x</v>
      </c>
      <c r="U9101">
        <f>0.006165*F9101^2</f>
        <v>1.041885</v>
      </c>
      <c r="X9101" t="str">
        <v>x</v>
      </c>
      <c r="Y9101">
        <f>D9090</f>
        <v>1</v>
      </c>
      <c r="Z9101" t="str">
        <v>=</v>
      </c>
      <c r="AA9101">
        <f>IF(AA9102=0,(D9101*N9101+P9101*R9101)*U9101*Y9101,0)</f>
        <v>0</v>
      </c>
    </row>
    <row r="9102">
      <c r="A9102" t="str">
        <f>A9084</f>
        <v>Lantai Attic</v>
      </c>
      <c r="B9102">
        <f>B9084</f>
        <v>39</v>
      </c>
      <c r="D9102">
        <f>IF(AND(D9099=D9100,D9100=D9101,D9099=D9101),D9099,0)</f>
        <v>2</v>
      </c>
      <c r="E9102" t="str">
        <v>D</v>
      </c>
      <c r="F9102">
        <f>IF(AND(F9099=F9100,F9099=F9101,F9100=F9101),F9099,0)</f>
        <v>13</v>
      </c>
      <c r="L9102" t="str">
        <v>Total panjang per balok</v>
      </c>
      <c r="M9102" t="str">
        <v>=</v>
      </c>
      <c r="N9102">
        <f>IF(AND(D9099=D9100,D9099=D9101,D9100=D9101,F9099=F9100,F9099=F9101,F9100=F9101),SUM(N9099:N9101),0)</f>
        <v>3.2119999999999997</v>
      </c>
      <c r="O9102" t="str">
        <v>+</v>
      </c>
      <c r="P9102">
        <f>IF(N9102&gt;12,ROUNDDOWN(N9102/12,0),0)</f>
        <v>0</v>
      </c>
      <c r="Q9102" t="str">
        <v>x</v>
      </c>
      <c r="R9102">
        <f>IF(P9102&gt;0,MAX(VLOOKUP(F9102,$D$6:$G$15,3,FALSE),600),0)/1000</f>
        <v>0</v>
      </c>
      <c r="T9102" t="str">
        <v>x</v>
      </c>
      <c r="U9102">
        <f>U9101</f>
        <v>1.041885</v>
      </c>
      <c r="V9102" t="str">
        <v>x</v>
      </c>
      <c r="W9102">
        <f>D9102</f>
        <v>2</v>
      </c>
      <c r="X9102" t="str">
        <v>x</v>
      </c>
      <c r="Y9102">
        <f>Y9101</f>
        <v>1</v>
      </c>
      <c r="Z9102" t="str">
        <v>=</v>
      </c>
      <c r="AA9102">
        <f>(N9102+P9102*R9102/1000)*U9102*W9102*Y9102</f>
        <v>6.693069239999999</v>
      </c>
    </row>
    <row r="9104">
      <c r="A9104" t="str">
        <f>A9084</f>
        <v>Lantai Attic</v>
      </c>
      <c r="B9104">
        <f>B9084</f>
        <v>39</v>
      </c>
      <c r="C9104" t="str">
        <v>Sengkang Tumpuan</v>
      </c>
      <c r="D9104">
        <f>VLOOKUP(D9084,'Detail Balok'!$C$10:$AU$110,31,FALSE)</f>
        <v>0</v>
      </c>
      <c r="E9104" t="str">
        <v>D</v>
      </c>
      <c r="F9104">
        <f>VLOOKUP(D9084,'Detail Balok'!$C$10:$AU$110,33,FALSE)</f>
        <v>10</v>
      </c>
      <c r="G9104" t="str">
        <v>-</v>
      </c>
      <c r="H9104">
        <f>VLOOKUP(D9084,'Detail Balok'!$C$10:$AU$110,35,FALSE)</f>
        <v>80</v>
      </c>
      <c r="J9104">
        <f>(IF(D9104=0,(2*(D9085+G9085))-(F$5*8),IF(D9104=3,(2*(D9085+G9085))-(F$5*8)+(G9085-2*F$5),IF(D9104=4,(2*(D9085+G9085))-(F$5*8)+2*(G9085-2*F$5)))))/1000</f>
        <v>1.02</v>
      </c>
      <c r="K9104" t="str">
        <v>+</v>
      </c>
      <c r="L9104">
        <f>IF(D9104=0,2*MAX(6*F9104,75),(D9104-1)*2*MAX(6*F9104,75))/1000</f>
        <v>0.15</v>
      </c>
      <c r="M9104" t="str">
        <v>=</v>
      </c>
      <c r="N9104">
        <f>J9104+L9104</f>
        <v>1.17</v>
      </c>
      <c r="T9104" t="str">
        <v>x</v>
      </c>
      <c r="U9104">
        <f>0.006165*F9104^2</f>
        <v>0.6165</v>
      </c>
      <c r="V9104" t="str">
        <v>x</v>
      </c>
      <c r="W9104">
        <f>IF(D9087&gt;4*G9085,ROUND(MAX(D9087/4,2*G9085)/H9104,0)+1,ROUND(D9087/H9104,0)+1)</f>
        <v>14</v>
      </c>
      <c r="X9104" t="str">
        <v>x</v>
      </c>
      <c r="Y9104">
        <f>D9090</f>
        <v>1</v>
      </c>
      <c r="Z9104" t="str">
        <v>=</v>
      </c>
      <c r="AA9104">
        <f>N9104*U9104*W9104*Y9104</f>
        <v>10.09827</v>
      </c>
    </row>
    <row r="9105">
      <c r="A9105" t="str">
        <f>A9084</f>
        <v>Lantai Attic</v>
      </c>
      <c r="B9105">
        <f>B9084</f>
        <v>39</v>
      </c>
      <c r="C9105" t="str">
        <v>Sengkang Lapangan</v>
      </c>
      <c r="D9105">
        <f>VLOOKUP(D9084,'Detail Balok'!$C$10:$AU$110,36,FALSE)</f>
        <v>0</v>
      </c>
      <c r="E9105" t="str">
        <v>D</v>
      </c>
      <c r="F9105">
        <f>VLOOKUP(D9084,'Detail Balok'!$C$10:$AU$110,38,FALSE)</f>
        <v>10</v>
      </c>
      <c r="G9105" t="str">
        <v>-</v>
      </c>
      <c r="H9105">
        <f>VLOOKUP(D9084,'Detail Balok'!$C$10:$AU$110,40,FALSE)</f>
        <v>200</v>
      </c>
      <c r="J9105">
        <f>(IF(D9105=0,(2*(D9085+G9085))-(F$5*8),IF(D9105=3,(2*(D9085+G9085))-(F$5*8)+(G9085-2*F$5),IF(D9105=4,(2*(D9085+G9085))-(F$5*8)+2*(G9085-2*F$5)))))/1000</f>
        <v>1.02</v>
      </c>
      <c r="K9105" t="str">
        <v>+</v>
      </c>
      <c r="L9105">
        <f>IF(D9105=0,2*MAX(6*F9105,75),(D9105-1)*2*MAX(6*F9105,75))/1000</f>
        <v>0.15</v>
      </c>
      <c r="M9105" t="str">
        <v>=</v>
      </c>
      <c r="N9105">
        <f>J9105+L9105</f>
        <v>1.17</v>
      </c>
      <c r="T9105" t="str">
        <v>x</v>
      </c>
      <c r="U9105">
        <f>0.006165*F9105^2</f>
        <v>0.6165</v>
      </c>
      <c r="V9105" t="str">
        <v>x</v>
      </c>
      <c r="W9105">
        <f>IF(D9087-MAX(D9087/4,2*G9085)*2&gt;0,ROUND((D9087-MAX(D9087/4,2*G9085)*2)/H9105,0),0)</f>
        <v>5</v>
      </c>
      <c r="X9105" t="str">
        <v>x</v>
      </c>
      <c r="Y9105">
        <f>D9090</f>
        <v>1</v>
      </c>
      <c r="Z9105" t="str">
        <v>=</v>
      </c>
      <c r="AA9105">
        <f>N9105*U9105*W9105*Y9105</f>
        <v>3.606525</v>
      </c>
    </row>
    <row r="9106">
      <c r="A9106" t="str">
        <f>A9084</f>
        <v>Lantai Attic</v>
      </c>
      <c r="B9106">
        <f>B9084</f>
        <v>39</v>
      </c>
      <c r="C9106" t="str">
        <v>Sengkang Tumpuan</v>
      </c>
      <c r="D9106">
        <f>VLOOKUP(D9084,'Detail Balok'!$C$10:$AU$110,41,FALSE)</f>
        <v>0</v>
      </c>
      <c r="E9106" t="str">
        <v>D</v>
      </c>
      <c r="F9106">
        <f>VLOOKUP(D9084,'Detail Balok'!$C$10:$AU$110,43,FALSE)</f>
        <v>10</v>
      </c>
      <c r="G9106" t="str">
        <v>-</v>
      </c>
      <c r="H9106">
        <f>VLOOKUP(D9084,'Detail Balok'!$C$10:$AU$110,45,FALSE)</f>
        <v>80</v>
      </c>
      <c r="J9106">
        <f>(IF(D9106=0,(2*(D9085+G9085))-(F$5*8),IF(D9106=3,(2*(D9085+G9085))-(F$5*8)+(G9085-2*F$5),IF(D9106=4,(2*(D9085+G9085))-(F$5*8)+2*(G9085-2*F$5)))))/1000</f>
        <v>1.02</v>
      </c>
      <c r="K9106" t="str">
        <v>+</v>
      </c>
      <c r="L9106">
        <f>IF(D9106=0,2*MAX(6*F9106,75),(D9106-1)*2*MAX(6*F9106,75))/1000</f>
        <v>0.15</v>
      </c>
      <c r="M9106" t="str">
        <v>=</v>
      </c>
      <c r="N9106">
        <f>J9106+L9106</f>
        <v>1.17</v>
      </c>
      <c r="T9106" t="str">
        <v>x</v>
      </c>
      <c r="U9106">
        <f>0.006165*F9106^2</f>
        <v>0.6165</v>
      </c>
      <c r="V9106" t="str">
        <v>x</v>
      </c>
      <c r="W9106">
        <f>IF(D9087&gt;4*G9085,ROUND(MAX(D9087/4,2*G9085)/H9106,0)+1,0)</f>
        <v>14</v>
      </c>
      <c r="X9106" t="str">
        <v>x</v>
      </c>
      <c r="Y9106">
        <f>D9090</f>
        <v>1</v>
      </c>
      <c r="Z9106" t="str">
        <v>=</v>
      </c>
      <c r="AA9106">
        <f>N9106*U9106*W9106*Y9106</f>
        <v>10.09827</v>
      </c>
    </row>
    <row r="9108">
      <c r="A9108" t="str">
        <f>A9084</f>
        <v>Lantai Attic</v>
      </c>
      <c r="B9108">
        <f>B9084</f>
        <v>39</v>
      </c>
      <c r="C9108" t="str">
        <v>Kait Horizontal Tump.</v>
      </c>
      <c r="D9108">
        <f>VLOOKUP(D9084,'Detail Balok'!$C$10:$BJ$110,46,FALSE)</f>
        <v>0</v>
      </c>
      <c r="E9108" t="str">
        <v>D</v>
      </c>
      <c r="F9108">
        <f>VLOOKUP(D9084,'Detail Balok'!$C$10:$BJ$110,48,FALSE)</f>
        <v>0</v>
      </c>
      <c r="G9108" t="str">
        <v>-</v>
      </c>
      <c r="H9108">
        <f>VLOOKUP(D9084,'Detail Balok'!$C$10:$BJ$110,50,FALSE)</f>
        <v>100</v>
      </c>
      <c r="J9108">
        <f>(D9085-2*F$5)/1000</f>
        <v>0.09</v>
      </c>
      <c r="K9108" t="str">
        <v>+</v>
      </c>
      <c r="L9108">
        <f>IF(D9108=0,2*MAX(6*F9108,75),(D9108-1)*2*MAX(6*F9108,75))/1000</f>
        <v>0.15</v>
      </c>
      <c r="M9108" t="str">
        <v>=</v>
      </c>
      <c r="N9108">
        <f>J9108+L9108</f>
        <v>0.24</v>
      </c>
      <c r="T9108" t="str">
        <v>x</v>
      </c>
      <c r="U9108">
        <f>0.006165*F9108^2</f>
        <v>0</v>
      </c>
      <c r="V9108" t="str">
        <v>x</v>
      </c>
      <c r="W9108">
        <f>W9104</f>
        <v>14</v>
      </c>
      <c r="X9108" t="str">
        <v>x</v>
      </c>
      <c r="Y9108">
        <f>D9094</f>
        <v>2</v>
      </c>
      <c r="Z9108" t="str">
        <v>=</v>
      </c>
      <c r="AA9108">
        <f>N9108*U9108*W9108*Y9108</f>
        <v>0</v>
      </c>
    </row>
    <row r="9109">
      <c r="A9109" t="str">
        <f>A9084</f>
        <v>Lantai Attic</v>
      </c>
      <c r="B9109">
        <f>B9084</f>
        <v>39</v>
      </c>
      <c r="C9109" t="str">
        <v>Kait Horizontal Lap.</v>
      </c>
      <c r="D9109">
        <f>VLOOKUP(D9084,'Detail Balok'!$C$10:$BJ$110,51,FALSE)</f>
        <v>0</v>
      </c>
      <c r="E9109" t="str">
        <v>D</v>
      </c>
      <c r="F9109">
        <f>VLOOKUP(D9084,'Detail Balok'!$C$10:$BJ$110,53,FALSE)</f>
        <v>0</v>
      </c>
      <c r="G9109" t="str">
        <v>-</v>
      </c>
      <c r="H9109">
        <f>VLOOKUP(D9084,'Detail Balok'!$C$10:$BJ$110,55,FALSE)</f>
        <v>100</v>
      </c>
      <c r="J9109">
        <f>(D9085-2*F$5)/1000</f>
        <v>0.09</v>
      </c>
      <c r="K9109" t="str">
        <v>+</v>
      </c>
      <c r="L9109">
        <f>IF(D9109=0,2*MAX(6*F9109,75),(D9109-1)*2*MAX(6*F9109,75))/1000</f>
        <v>0.15</v>
      </c>
      <c r="M9109" t="str">
        <v>=</v>
      </c>
      <c r="N9109">
        <f>J9109+L9109</f>
        <v>0.24</v>
      </c>
      <c r="T9109" t="str">
        <v>x</v>
      </c>
      <c r="U9109">
        <f>0.006165*F9109^2</f>
        <v>0</v>
      </c>
      <c r="V9109" t="str">
        <v>x</v>
      </c>
      <c r="W9109">
        <f>W9105</f>
        <v>5</v>
      </c>
      <c r="X9109" t="str">
        <v>x</v>
      </c>
      <c r="Y9109">
        <f>D9094</f>
        <v>2</v>
      </c>
      <c r="Z9109" t="str">
        <v>=</v>
      </c>
      <c r="AA9109">
        <f>N9109*U9109*W9109*Y9109</f>
        <v>0</v>
      </c>
    </row>
    <row r="9110">
      <c r="A9110" t="str">
        <f>A9084</f>
        <v>Lantai Attic</v>
      </c>
      <c r="B9110">
        <f>B9084</f>
        <v>39</v>
      </c>
      <c r="C9110" t="str">
        <v>Kait Horizontal Tump.</v>
      </c>
      <c r="D9110">
        <f>VLOOKUP(D9084,'Detail Balok'!$C$10:$BJ$110,56,FALSE)</f>
        <v>0</v>
      </c>
      <c r="E9110" t="str">
        <v>D</v>
      </c>
      <c r="F9110">
        <f>VLOOKUP(D9084,'Detail Balok'!$C$10:$BJ$110,58,FALSE)</f>
        <v>0</v>
      </c>
      <c r="G9110" t="str">
        <v>-</v>
      </c>
      <c r="H9110">
        <f>VLOOKUP(D9084,'Detail Balok'!$C$10:$BJ$110,60,FALSE)</f>
        <v>100</v>
      </c>
      <c r="J9110">
        <f>(D9085-2*F$5)/1000</f>
        <v>0.09</v>
      </c>
      <c r="K9110" t="str">
        <v>+</v>
      </c>
      <c r="L9110">
        <f>IF(D9110=0,2*MAX(6*F9110,75),(D9110-1)*2*MAX(6*F9110,75))/1000</f>
        <v>0.15</v>
      </c>
      <c r="M9110" t="str">
        <v>=</v>
      </c>
      <c r="N9110">
        <f>J9110+L9110</f>
        <v>0.24</v>
      </c>
      <c r="T9110" t="str">
        <v>x</v>
      </c>
      <c r="U9110">
        <f>0.006165*F9110^2</f>
        <v>0</v>
      </c>
      <c r="V9110" t="str">
        <v>x</v>
      </c>
      <c r="W9110">
        <f>W9106</f>
        <v>14</v>
      </c>
      <c r="X9110" t="str">
        <v>x</v>
      </c>
      <c r="Y9110">
        <f>D9094</f>
        <v>2</v>
      </c>
      <c r="Z9110" t="str">
        <v>=</v>
      </c>
      <c r="AA9110">
        <f>N9110*U9110*W9110*Y9110</f>
        <v>0</v>
      </c>
    </row>
    <row r="9114">
      <c r="A9114" t="str">
        <f>A9084</f>
        <v>Lantai Attic</v>
      </c>
      <c r="B9114">
        <f>B9084+1</f>
        <v>40</v>
      </c>
      <c r="C9114" t="str">
        <f>CONCATENATE(A9114," no. ",B9114)</f>
        <v>Lantai Attic no. 40</v>
      </c>
      <c r="D9114" t="str">
        <f>VLOOKUP(C9114,'Data Panjang Balok'!$C$9:$N$424,2,FALSE)</f>
        <v>BB</v>
      </c>
    </row>
    <row r="9115">
      <c r="C9115" t="str">
        <v>Dimensi</v>
      </c>
      <c r="D9115">
        <f>VLOOKUP(D9114,'Detail Balok'!$C$10:$AU$110,2,FALSE)</f>
        <v>200</v>
      </c>
      <c r="F9115" t="str">
        <v>x</v>
      </c>
      <c r="G9115">
        <f>VLOOKUP(D9114,'Detail Balok'!$C$10:$AU$110,3,FALSE)</f>
        <v>150</v>
      </c>
    </row>
    <row r="9116">
      <c r="C9116" t="str">
        <v>Panjang as ke as</v>
      </c>
      <c r="D9116">
        <f>VLOOKUP(C9114,'Data Panjang Balok'!$C$9:$N$424,4,FALSE)</f>
        <v>900</v>
      </c>
    </row>
    <row r="9117">
      <c r="C9117" t="str">
        <v>Panjang netto</v>
      </c>
      <c r="D9117">
        <f>VLOOKUP(C9114,'Data Panjang Balok'!$C$9:$N$424,7,FALSE)</f>
        <v>900</v>
      </c>
    </row>
    <row r="9118">
      <c r="C9118" t="str">
        <v>Kolom / balok kiri</v>
      </c>
      <c r="D9118">
        <f>VLOOKUP(C9114,'Data Panjang Balok'!$C$9:$N$424,9,FALSE)</f>
        <v>0</v>
      </c>
    </row>
    <row r="9119">
      <c r="C9119" t="str">
        <v>Kolom / balok kanan</v>
      </c>
      <c r="D9119">
        <f>VLOOKUP(C9114,'Data Panjang Balok'!$C$9:$N$424,10,FALSE)</f>
        <v>0</v>
      </c>
    </row>
    <row r="9120">
      <c r="C9120" t="str">
        <v>Jumlah</v>
      </c>
      <c r="D9120">
        <f>VLOOKUP(C9114,'Data Panjang Balok'!$C$9:$N$424,3,FALSE)</f>
        <v>1</v>
      </c>
    </row>
    <row r="9121">
      <c r="A9121" t="str">
        <f>A9114</f>
        <v>Lantai Attic</v>
      </c>
      <c r="B9121">
        <f>B9114</f>
        <v>40</v>
      </c>
      <c r="C9121" t="str">
        <v>Tul Atas Tumpuan</v>
      </c>
      <c r="D9121">
        <f>VLOOKUP(D9114,'Detail Balok'!$C$10:$AU$110,4,FALSE)</f>
        <v>2</v>
      </c>
      <c r="E9121" t="str">
        <v>D</v>
      </c>
      <c r="F9121">
        <f>VLOOKUP(D9114,'Detail Balok'!$C$10:$AU$110,6,FALSE)</f>
        <v>10</v>
      </c>
      <c r="I9121" t="str">
        <v>(</v>
      </c>
      <c r="J9121">
        <f>+D9116/4/1000</f>
        <v>0.225</v>
      </c>
      <c r="K9121" t="str">
        <v>+</v>
      </c>
      <c r="L9121">
        <f>MAX(VLOOKUP(F9121,N$6:P$15,3,FALSE)/1000,2/3*D9118/1000)+F$16*F9121/1000</f>
        <v>0.12</v>
      </c>
      <c r="M9121" t="str">
        <v>=</v>
      </c>
      <c r="N9121">
        <f>J9121+L9121</f>
        <v>0.345</v>
      </c>
      <c r="O9121" t="str">
        <v>+</v>
      </c>
      <c r="P9121">
        <f>D9121-D9122</f>
        <v>0</v>
      </c>
      <c r="Q9121" t="str">
        <v>x</v>
      </c>
      <c r="R9121">
        <f>IF(P9121&gt;0,$F$18*F9121/1000,0)</f>
        <v>0</v>
      </c>
      <c r="S9121" t="str">
        <v>)</v>
      </c>
      <c r="T9121" t="str">
        <v>x</v>
      </c>
      <c r="U9121">
        <f>0.006165*F9121^2</f>
        <v>0.6165</v>
      </c>
      <c r="X9121" t="str">
        <v>x</v>
      </c>
      <c r="Y9121">
        <f>D9120</f>
        <v>1</v>
      </c>
      <c r="Z9121" t="str">
        <v>=</v>
      </c>
      <c r="AA9121">
        <f>IF(AA9124=0,(D9121*N9121+P9121*R9121)*U9121*Y9121,0)</f>
        <v>0</v>
      </c>
    </row>
    <row r="9122">
      <c r="A9122" t="str">
        <f>A9114</f>
        <v>Lantai Attic</v>
      </c>
      <c r="B9122">
        <f>B9114</f>
        <v>40</v>
      </c>
      <c r="C9122" t="str">
        <v>Tul Atas Lapangan</v>
      </c>
      <c r="D9122">
        <f>VLOOKUP(D9114,'Detail Balok'!$C$10:$AU$110,7,FALSE)</f>
        <v>2</v>
      </c>
      <c r="E9122" t="str">
        <v>D</v>
      </c>
      <c r="F9122">
        <f>VLOOKUP(D9114,'Detail Balok'!$C$10:$AU$110,9,FALSE)</f>
        <v>10</v>
      </c>
      <c r="I9122" t="str">
        <v>(</v>
      </c>
      <c r="J9122">
        <f>+D9116/2/1000</f>
        <v>0.45</v>
      </c>
      <c r="K9122" t="str">
        <v>+</v>
      </c>
      <c r="M9122" t="str">
        <v>=</v>
      </c>
      <c r="N9122">
        <f>J9122+L9122</f>
        <v>0.45</v>
      </c>
      <c r="O9122" t="str">
        <v>+</v>
      </c>
      <c r="P9122">
        <f>MAX(D9122-D9121,D9122-D9123)</f>
        <v>0</v>
      </c>
      <c r="Q9122" t="str">
        <v>x</v>
      </c>
      <c r="R9122">
        <f>IF(P9122&gt;0,2*(1-2*$F$19-1/2)*D9117/1000,0)</f>
        <v>0</v>
      </c>
      <c r="S9122" t="str">
        <v>)</v>
      </c>
      <c r="T9122" t="str">
        <v>x</v>
      </c>
      <c r="U9122">
        <f>0.006165*F9122^2</f>
        <v>0.6165</v>
      </c>
      <c r="X9122" t="str">
        <v>x</v>
      </c>
      <c r="Y9122">
        <f>D9120</f>
        <v>1</v>
      </c>
      <c r="Z9122" t="str">
        <v>=</v>
      </c>
      <c r="AA9122">
        <f>IF(AA9124=0,(D9122*N9122+P9122*R9122)*U9122*Y9122,0)</f>
        <v>0</v>
      </c>
    </row>
    <row r="9123">
      <c r="A9123" t="str">
        <f>A9114</f>
        <v>Lantai Attic</v>
      </c>
      <c r="B9123">
        <f>B9114</f>
        <v>40</v>
      </c>
      <c r="C9123" t="str">
        <v>Tul Atas Tumpuan</v>
      </c>
      <c r="D9123">
        <f>VLOOKUP(D9114,'Detail Balok'!$C$10:$AU$110,10,FALSE)</f>
        <v>2</v>
      </c>
      <c r="E9123" t="str">
        <v>D</v>
      </c>
      <c r="F9123">
        <f>VLOOKUP(D9114,'Detail Balok'!$C$10:$AU$110,12,FALSE)</f>
        <v>10</v>
      </c>
      <c r="I9123" t="str">
        <v>(</v>
      </c>
      <c r="J9123">
        <f>+D9116/4/1000</f>
        <v>0.225</v>
      </c>
      <c r="K9123" t="str">
        <v>+</v>
      </c>
      <c r="L9123">
        <f>MAX(VLOOKUP(F9123,N$6:P$15,3,FALSE)/1000,2/3*D9118/1000)+F$16*F9123/1000</f>
        <v>0.12</v>
      </c>
      <c r="M9123" t="str">
        <v>=</v>
      </c>
      <c r="N9123">
        <f>J9123+L9123</f>
        <v>0.345</v>
      </c>
      <c r="O9123" t="str">
        <v>+</v>
      </c>
      <c r="P9123">
        <f>D9123-D9122</f>
        <v>0</v>
      </c>
      <c r="Q9123" t="str">
        <v>x</v>
      </c>
      <c r="R9123">
        <f>IF(P9123&gt;0,$F$18*F9123/1000,0)</f>
        <v>0</v>
      </c>
      <c r="S9123" t="str">
        <v>)</v>
      </c>
      <c r="T9123" t="str">
        <v>x</v>
      </c>
      <c r="U9123">
        <f>0.006165*F9123^2</f>
        <v>0.6165</v>
      </c>
      <c r="X9123" t="str">
        <v>x</v>
      </c>
      <c r="Y9123">
        <f>D9120</f>
        <v>1</v>
      </c>
      <c r="Z9123" t="str">
        <v>=</v>
      </c>
      <c r="AA9123">
        <f>IF(AA9124=0,(D9123*N9123+P9123*R9123)*U9123*Y9123,0)</f>
        <v>0</v>
      </c>
    </row>
    <row r="9124">
      <c r="A9124" t="str">
        <f>A9114</f>
        <v>Lantai Attic</v>
      </c>
      <c r="B9124">
        <f>B9114</f>
        <v>40</v>
      </c>
      <c r="D9124">
        <f>IF(AND(D9121=D9122,D9122=D9123,D9121=D9123),D9121,0)</f>
        <v>2</v>
      </c>
      <c r="E9124" t="str">
        <v>D</v>
      </c>
      <c r="F9124">
        <f>IF(AND(F9121=F9122,F9121=F9123,F9122=F9123),F9121,0)</f>
        <v>10</v>
      </c>
      <c r="L9124" t="str">
        <v>Total panjang per balok</v>
      </c>
      <c r="M9124" t="str">
        <v>=</v>
      </c>
      <c r="N9124">
        <f>IF(AND(D9121=D9122,D9121=D9123,D9122=D9123,F9121=F9122,F9121=F9123,F9122=F9123),SUM(N9121:N9123),0)</f>
        <v>1.14</v>
      </c>
      <c r="O9124" t="str">
        <v>+</v>
      </c>
      <c r="P9124">
        <f>IF(N9124&gt;12,ROUNDDOWN(N9124/12,0),0)</f>
        <v>0</v>
      </c>
      <c r="Q9124" t="str">
        <v>x</v>
      </c>
      <c r="R9124">
        <f>IF(P9124&gt;0,MAX(VLOOKUP(F9124,$D$6:$G$15,3,FALSE),600),0)/1000</f>
        <v>0</v>
      </c>
      <c r="T9124" t="str">
        <v>x</v>
      </c>
      <c r="U9124">
        <f>U9123</f>
        <v>0.6165</v>
      </c>
      <c r="V9124" t="str">
        <v>x</v>
      </c>
      <c r="W9124">
        <f>D9124</f>
        <v>2</v>
      </c>
      <c r="X9124" t="str">
        <v>x</v>
      </c>
      <c r="Y9124">
        <f>Y9123</f>
        <v>1</v>
      </c>
      <c r="Z9124" t="str">
        <v>=</v>
      </c>
      <c r="AA9124">
        <f>(N9124+P9124*R9124/1000)*U9124*W9124*Y9124</f>
        <v>1.40562</v>
      </c>
    </row>
    <row r="9126">
      <c r="A9126" t="str">
        <f>A9114</f>
        <v>Lantai Attic</v>
      </c>
      <c r="B9126">
        <f>B9114</f>
        <v>40</v>
      </c>
      <c r="C9126" t="str">
        <v>Tul Peminggang</v>
      </c>
      <c r="D9126">
        <f>VLOOKUP(D9114,'Detail Balok'!$C$10:$AU$110,13,FALSE)</f>
        <v>0</v>
      </c>
      <c r="E9126" t="str">
        <v>D</v>
      </c>
      <c r="F9126">
        <f>VLOOKUP(D9114,'Detail Balok'!$C$10:$AU$110,15,FALSE)</f>
        <v>6</v>
      </c>
      <c r="J9126">
        <f>+D9116/1000</f>
        <v>0.9</v>
      </c>
      <c r="K9126" t="str">
        <v>+</v>
      </c>
      <c r="L9126">
        <f>2*$F$16*F9126/1000</f>
        <v>0.144</v>
      </c>
      <c r="M9126" t="str">
        <v>=</v>
      </c>
      <c r="N9126">
        <f>J9126+L9126</f>
        <v>1.044</v>
      </c>
      <c r="O9126" t="str">
        <v>+</v>
      </c>
      <c r="P9126">
        <f>IF(N9126&gt;12,ROUNDDOWN(N9126/12,0),0)</f>
        <v>0</v>
      </c>
      <c r="Q9126" t="str">
        <v>x</v>
      </c>
      <c r="R9126">
        <f>IF(P9126&gt;0,MAX(VLOOKUP(F9126,$D$6:$G$15,3,FALSE),600),0)/1000</f>
        <v>0</v>
      </c>
      <c r="T9126" t="str">
        <v>x</v>
      </c>
      <c r="U9126">
        <f>0.006165*F9126^2</f>
        <v>0.22194000000000003</v>
      </c>
      <c r="V9126" t="str">
        <v>x</v>
      </c>
      <c r="W9126">
        <f>+D9126</f>
        <v>0</v>
      </c>
      <c r="X9126" t="str">
        <v>x</v>
      </c>
      <c r="Y9126">
        <f>D9120</f>
        <v>1</v>
      </c>
      <c r="Z9126" t="str">
        <v>=</v>
      </c>
      <c r="AA9126">
        <f>(N9126+P9126*R9126/1000)*U9126*W9126*Y9126</f>
        <v>0</v>
      </c>
    </row>
    <row r="9129">
      <c r="A9129" t="str">
        <f>A9114</f>
        <v>Lantai Attic</v>
      </c>
      <c r="B9129">
        <f>B9114</f>
        <v>40</v>
      </c>
      <c r="C9129" t="str">
        <v>Tul Bawah Tumpuan</v>
      </c>
      <c r="D9129">
        <f>VLOOKUP(D9114,'Detail Balok'!$C$10:$AU$110,22,FALSE)</f>
        <v>2</v>
      </c>
      <c r="E9129" t="str">
        <v>D</v>
      </c>
      <c r="F9129">
        <f>VLOOKUP(D9114,'Detail Balok'!$C$10:$AU$110,24,FALSE)</f>
        <v>10</v>
      </c>
      <c r="I9129" t="str">
        <v>(</v>
      </c>
      <c r="J9129">
        <f>+J9121</f>
        <v>0.225</v>
      </c>
      <c r="K9129" t="str">
        <v>+</v>
      </c>
      <c r="L9129">
        <f>MAX(VLOOKUP(F9129,N$6:P$15,3,FALSE)/1000,2/3*D9119/1000)+F$16*F9129/1000</f>
        <v>0.12</v>
      </c>
      <c r="M9129" t="str">
        <v>=</v>
      </c>
      <c r="N9129">
        <f>J9129+L9129</f>
        <v>0.345</v>
      </c>
      <c r="O9129" t="str">
        <v>+</v>
      </c>
      <c r="P9129">
        <f>D9129-D9130</f>
        <v>0</v>
      </c>
      <c r="Q9129" t="str">
        <v>x</v>
      </c>
      <c r="R9129">
        <f>IF(P9129&gt;0,$F$18*F9129/1000,0)</f>
        <v>0</v>
      </c>
      <c r="S9129" t="str">
        <v>)</v>
      </c>
      <c r="T9129" t="str">
        <v>x</v>
      </c>
      <c r="U9129">
        <f>0.006165*F9129^2</f>
        <v>0.6165</v>
      </c>
      <c r="X9129" t="str">
        <v>x</v>
      </c>
      <c r="Y9129">
        <f>D9120</f>
        <v>1</v>
      </c>
      <c r="Z9129" t="str">
        <v>=</v>
      </c>
      <c r="AA9129">
        <f>IF(AA9132=0,(D9129*N9129+P9129*R9129)*U9129*Y9129,0)</f>
        <v>0</v>
      </c>
    </row>
    <row r="9130">
      <c r="A9130" t="str">
        <f>A9114</f>
        <v>Lantai Attic</v>
      </c>
      <c r="B9130">
        <f>B9114</f>
        <v>40</v>
      </c>
      <c r="C9130" t="str">
        <v>Tul Bawah Lapangan</v>
      </c>
      <c r="D9130">
        <f>VLOOKUP(D9114,'Detail Balok'!$C$10:$AU$110,25,FALSE)</f>
        <v>2</v>
      </c>
      <c r="E9130" t="str">
        <v>D</v>
      </c>
      <c r="F9130">
        <f>VLOOKUP(D9114,'Detail Balok'!$C$10:$AU$110,27,FALSE)</f>
        <v>10</v>
      </c>
      <c r="I9130" t="str">
        <v>(</v>
      </c>
      <c r="J9130">
        <f>+J9122</f>
        <v>0.45</v>
      </c>
      <c r="K9130" t="str">
        <v>+</v>
      </c>
      <c r="M9130" t="str">
        <v>=</v>
      </c>
      <c r="N9130">
        <f>J9130+L9130</f>
        <v>0.45</v>
      </c>
      <c r="O9130" t="str">
        <v>+</v>
      </c>
      <c r="P9130">
        <f>MAX(D9130-D9129,D9130-D9131)</f>
        <v>0</v>
      </c>
      <c r="Q9130" t="str">
        <v>x</v>
      </c>
      <c r="R9130">
        <f>IF(P9130&gt;0,2*(1-2*$F$19-1/2)*D9117/1000,0)</f>
        <v>0</v>
      </c>
      <c r="S9130" t="str">
        <v>)</v>
      </c>
      <c r="T9130" t="str">
        <v>x</v>
      </c>
      <c r="U9130">
        <f>0.006165*F9130^2</f>
        <v>0.6165</v>
      </c>
      <c r="X9130" t="str">
        <v>x</v>
      </c>
      <c r="Y9130">
        <f>D9120</f>
        <v>1</v>
      </c>
      <c r="Z9130" t="str">
        <v>=</v>
      </c>
      <c r="AA9130">
        <f>IF(AA9132=0,(D9130*N9130+P9130*R9130)*U9130*Y9130,0)</f>
        <v>0</v>
      </c>
    </row>
    <row r="9131">
      <c r="A9131" t="str">
        <f>A9114</f>
        <v>Lantai Attic</v>
      </c>
      <c r="B9131">
        <f>B9114</f>
        <v>40</v>
      </c>
      <c r="C9131" t="str">
        <v>Tul Bawah Tumpuan</v>
      </c>
      <c r="D9131">
        <f>VLOOKUP(D9114,'Detail Balok'!$C$10:$AU$110,28,FALSE)</f>
        <v>2</v>
      </c>
      <c r="E9131" t="str">
        <v>D</v>
      </c>
      <c r="F9131">
        <f>VLOOKUP(D9114,'Detail Balok'!$C$10:$AU$110,30,FALSE)</f>
        <v>10</v>
      </c>
      <c r="I9131" t="str">
        <v>(</v>
      </c>
      <c r="J9131">
        <f>+J9123</f>
        <v>0.225</v>
      </c>
      <c r="K9131" t="str">
        <v>+</v>
      </c>
      <c r="L9131">
        <f>MAX(VLOOKUP(F9131,N$6:P$15,3,FALSE)/1000,2/3*D9119/1000)+F$16*F9131/1000</f>
        <v>0.12</v>
      </c>
      <c r="M9131" t="str">
        <v>=</v>
      </c>
      <c r="N9131">
        <f>J9131+L9131</f>
        <v>0.345</v>
      </c>
      <c r="O9131" t="str">
        <v>+</v>
      </c>
      <c r="P9131">
        <f>D9131-D9130</f>
        <v>0</v>
      </c>
      <c r="Q9131" t="str">
        <v>x</v>
      </c>
      <c r="R9131">
        <f>IF(P9131&gt;0,$F$18*F9131/1000,0)</f>
        <v>0</v>
      </c>
      <c r="S9131" t="str">
        <v>)</v>
      </c>
      <c r="T9131" t="str">
        <v>x</v>
      </c>
      <c r="U9131">
        <f>0.006165*F9131^2</f>
        <v>0.6165</v>
      </c>
      <c r="X9131" t="str">
        <v>x</v>
      </c>
      <c r="Y9131">
        <f>D9120</f>
        <v>1</v>
      </c>
      <c r="Z9131" t="str">
        <v>=</v>
      </c>
      <c r="AA9131">
        <f>IF(AA9132=0,(D9131*N9131+P9131*R9131)*U9131*Y9131,0)</f>
        <v>0</v>
      </c>
    </row>
    <row r="9132">
      <c r="A9132" t="str">
        <f>A9114</f>
        <v>Lantai Attic</v>
      </c>
      <c r="B9132">
        <f>B9114</f>
        <v>40</v>
      </c>
      <c r="D9132">
        <f>IF(AND(D9129=D9130,D9130=D9131,D9129=D9131),D9129,0)</f>
        <v>2</v>
      </c>
      <c r="E9132" t="str">
        <v>D</v>
      </c>
      <c r="F9132">
        <f>IF(AND(F9129=F9130,F9129=F9131,F9130=F9131),F9129,0)</f>
        <v>10</v>
      </c>
      <c r="L9132" t="str">
        <v>Total panjang per balok</v>
      </c>
      <c r="M9132" t="str">
        <v>=</v>
      </c>
      <c r="N9132">
        <f>IF(AND(D9129=D9130,D9129=D9131,D9130=D9131,F9129=F9130,F9129=F9131,F9130=F9131),SUM(N9129:N9131),0)</f>
        <v>1.14</v>
      </c>
      <c r="O9132" t="str">
        <v>+</v>
      </c>
      <c r="P9132">
        <f>IF(N9132&gt;12,ROUNDDOWN(N9132/12,0),0)</f>
        <v>0</v>
      </c>
      <c r="Q9132" t="str">
        <v>x</v>
      </c>
      <c r="R9132">
        <f>IF(P9132&gt;0,MAX(VLOOKUP(F9132,$D$6:$G$15,3,FALSE),600),0)/1000</f>
        <v>0</v>
      </c>
      <c r="T9132" t="str">
        <v>x</v>
      </c>
      <c r="U9132">
        <f>U9131</f>
        <v>0.6165</v>
      </c>
      <c r="V9132" t="str">
        <v>x</v>
      </c>
      <c r="W9132">
        <f>D9132</f>
        <v>2</v>
      </c>
      <c r="X9132" t="str">
        <v>x</v>
      </c>
      <c r="Y9132">
        <f>Y9131</f>
        <v>1</v>
      </c>
      <c r="Z9132" t="str">
        <v>=</v>
      </c>
      <c r="AA9132">
        <f>(N9132+P9132*R9132/1000)*U9132*W9132*Y9132</f>
        <v>1.40562</v>
      </c>
    </row>
    <row r="9134">
      <c r="A9134" t="str">
        <f>A9114</f>
        <v>Lantai Attic</v>
      </c>
      <c r="B9134">
        <f>B9114</f>
        <v>40</v>
      </c>
      <c r="C9134" t="str">
        <v>Sengkang Tumpuan</v>
      </c>
      <c r="D9134">
        <f>VLOOKUP(D9114,'Detail Balok'!$C$10:$AU$110,31,FALSE)</f>
        <v>0</v>
      </c>
      <c r="E9134" t="str">
        <v>D</v>
      </c>
      <c r="F9134">
        <f>VLOOKUP(D9114,'Detail Balok'!$C$10:$AU$110,33,FALSE)</f>
        <v>8</v>
      </c>
      <c r="G9134" t="str">
        <v>-</v>
      </c>
      <c r="H9134">
        <f>VLOOKUP(D9114,'Detail Balok'!$C$10:$AU$110,35,FALSE)</f>
        <v>100</v>
      </c>
      <c r="J9134">
        <f>(IF(D9134=0,(2*(D9115+G9115))-(F$5*8),IF(D9134=3,(2*(D9115+G9115))-(F$5*8)+(G9115-2*F$5),IF(D9134=4,(2*(D9115+G9115))-(F$5*8)+2*(G9115-2*F$5)))))/1000</f>
        <v>0.38</v>
      </c>
      <c r="K9134" t="str">
        <v>+</v>
      </c>
      <c r="L9134">
        <f>IF(D9134=0,2*MAX(6*F9134,75),(D9134-1)*2*MAX(6*F9134,75))/1000</f>
        <v>0.15</v>
      </c>
      <c r="M9134" t="str">
        <v>=</v>
      </c>
      <c r="N9134">
        <f>J9134+L9134</f>
        <v>0.53</v>
      </c>
      <c r="T9134" t="str">
        <v>x</v>
      </c>
      <c r="U9134">
        <f>0.006165*F9134^2</f>
        <v>0.39456</v>
      </c>
      <c r="V9134" t="str">
        <v>x</v>
      </c>
      <c r="W9134">
        <f>IF(D9117&gt;4*G9115,ROUND(MAX(D9117/4,2*G9115)/H9134,0)+1,ROUND(D9117/H9134,0)+1)</f>
        <v>4</v>
      </c>
      <c r="X9134" t="str">
        <v>x</v>
      </c>
      <c r="Y9134">
        <f>D9120</f>
        <v>1</v>
      </c>
      <c r="Z9134" t="str">
        <v>=</v>
      </c>
      <c r="AA9134">
        <f>N9134*U9134*W9134*Y9134</f>
        <v>0.8364672000000001</v>
      </c>
    </row>
    <row r="9135">
      <c r="A9135" t="str">
        <f>A9114</f>
        <v>Lantai Attic</v>
      </c>
      <c r="B9135">
        <f>B9114</f>
        <v>40</v>
      </c>
      <c r="C9135" t="str">
        <v>Sengkang Lapangan</v>
      </c>
      <c r="D9135">
        <f>VLOOKUP(D9114,'Detail Balok'!$C$10:$AU$110,36,FALSE)</f>
        <v>0</v>
      </c>
      <c r="E9135" t="str">
        <v>D</v>
      </c>
      <c r="F9135">
        <f>VLOOKUP(D9114,'Detail Balok'!$C$10:$AU$110,38,FALSE)</f>
        <v>8</v>
      </c>
      <c r="G9135" t="str">
        <v>-</v>
      </c>
      <c r="H9135">
        <f>VLOOKUP(D9114,'Detail Balok'!$C$10:$AU$110,40,FALSE)</f>
        <v>100</v>
      </c>
      <c r="J9135">
        <f>(IF(D9135=0,(2*(D9115+G9115))-(F$5*8),IF(D9135=3,(2*(D9115+G9115))-(F$5*8)+(G9115-2*F$5),IF(D9135=4,(2*(D9115+G9115))-(F$5*8)+2*(G9115-2*F$5)))))/1000</f>
        <v>0.38</v>
      </c>
      <c r="K9135" t="str">
        <v>+</v>
      </c>
      <c r="L9135">
        <f>IF(D9135=0,2*MAX(6*F9135,75),(D9135-1)*2*MAX(6*F9135,75))/1000</f>
        <v>0.15</v>
      </c>
      <c r="M9135" t="str">
        <v>=</v>
      </c>
      <c r="N9135">
        <f>J9135+L9135</f>
        <v>0.53</v>
      </c>
      <c r="T9135" t="str">
        <v>x</v>
      </c>
      <c r="U9135">
        <f>0.006165*F9135^2</f>
        <v>0.39456</v>
      </c>
      <c r="V9135" t="str">
        <v>x</v>
      </c>
      <c r="W9135">
        <f>IF(D9117-MAX(D9117/4,2*G9115)*2&gt;0,ROUND((D9117-MAX(D9117/4,2*G9115)*2)/H9135,0),0)</f>
        <v>3</v>
      </c>
      <c r="X9135" t="str">
        <v>x</v>
      </c>
      <c r="Y9135">
        <f>D9120</f>
        <v>1</v>
      </c>
      <c r="Z9135" t="str">
        <v>=</v>
      </c>
      <c r="AA9135">
        <f>N9135*U9135*W9135*Y9135</f>
        <v>0.6273504000000001</v>
      </c>
    </row>
    <row r="9136">
      <c r="A9136" t="str">
        <f>A9114</f>
        <v>Lantai Attic</v>
      </c>
      <c r="B9136">
        <f>B9114</f>
        <v>40</v>
      </c>
      <c r="C9136" t="str">
        <v>Sengkang Tumpuan</v>
      </c>
      <c r="D9136">
        <f>VLOOKUP(D9114,'Detail Balok'!$C$10:$AU$110,41,FALSE)</f>
        <v>0</v>
      </c>
      <c r="E9136" t="str">
        <v>D</v>
      </c>
      <c r="F9136">
        <f>VLOOKUP(D9114,'Detail Balok'!$C$10:$AU$110,43,FALSE)</f>
        <v>8</v>
      </c>
      <c r="G9136" t="str">
        <v>-</v>
      </c>
      <c r="H9136">
        <f>VLOOKUP(D9114,'Detail Balok'!$C$10:$AU$110,45,FALSE)</f>
        <v>100</v>
      </c>
      <c r="J9136">
        <f>(IF(D9136=0,(2*(D9115+G9115))-(F$5*8),IF(D9136=3,(2*(D9115+G9115))-(F$5*8)+(G9115-2*F$5),IF(D9136=4,(2*(D9115+G9115))-(F$5*8)+2*(G9115-2*F$5)))))/1000</f>
        <v>0.38</v>
      </c>
      <c r="K9136" t="str">
        <v>+</v>
      </c>
      <c r="L9136">
        <f>IF(D9136=0,2*MAX(6*F9136,75),(D9136-1)*2*MAX(6*F9136,75))/1000</f>
        <v>0.15</v>
      </c>
      <c r="M9136" t="str">
        <v>=</v>
      </c>
      <c r="N9136">
        <f>J9136+L9136</f>
        <v>0.53</v>
      </c>
      <c r="T9136" t="str">
        <v>x</v>
      </c>
      <c r="U9136">
        <f>0.006165*F9136^2</f>
        <v>0.39456</v>
      </c>
      <c r="V9136" t="str">
        <v>x</v>
      </c>
      <c r="W9136">
        <f>IF(D9117&gt;4*G9115,ROUND(MAX(D9117/4,2*G9115)/H9136,0)+1,0)</f>
        <v>4</v>
      </c>
      <c r="X9136" t="str">
        <v>x</v>
      </c>
      <c r="Y9136">
        <f>D9120</f>
        <v>1</v>
      </c>
      <c r="Z9136" t="str">
        <v>=</v>
      </c>
      <c r="AA9136">
        <f>N9136*U9136*W9136*Y9136</f>
        <v>0.8364672000000001</v>
      </c>
    </row>
    <row r="9138">
      <c r="A9138" t="str">
        <f>A9114</f>
        <v>Lantai Attic</v>
      </c>
      <c r="B9138">
        <f>B9114</f>
        <v>40</v>
      </c>
      <c r="C9138" t="str">
        <v>Kait Horizontal Tump.</v>
      </c>
      <c r="D9138">
        <f>VLOOKUP(D9114,'Detail Balok'!$C$10:$BJ$110,46,FALSE)</f>
        <v>0</v>
      </c>
      <c r="E9138" t="str">
        <v>D</v>
      </c>
      <c r="F9138">
        <f>VLOOKUP(D9114,'Detail Balok'!$C$10:$BJ$110,48,FALSE)</f>
        <v>0</v>
      </c>
      <c r="G9138" t="str">
        <v>-</v>
      </c>
      <c r="H9138">
        <f>VLOOKUP(D9114,'Detail Balok'!$C$10:$BJ$110,50,FALSE)</f>
        <v>100</v>
      </c>
      <c r="J9138">
        <f>(D9115-2*F$5)/1000</f>
        <v>0.12</v>
      </c>
      <c r="K9138" t="str">
        <v>+</v>
      </c>
      <c r="L9138">
        <f>IF(D9138=0,2*MAX(6*F9138,75),(D9138-1)*2*MAX(6*F9138,75))/1000</f>
        <v>0.15</v>
      </c>
      <c r="M9138" t="str">
        <v>=</v>
      </c>
      <c r="N9138">
        <f>J9138+L9138</f>
        <v>0.27</v>
      </c>
      <c r="T9138" t="str">
        <v>x</v>
      </c>
      <c r="U9138">
        <f>0.006165*F9138^2</f>
        <v>0</v>
      </c>
      <c r="V9138" t="str">
        <v>x</v>
      </c>
      <c r="W9138">
        <f>W9134</f>
        <v>4</v>
      </c>
      <c r="X9138" t="str">
        <v>x</v>
      </c>
      <c r="Y9138">
        <f>D9124</f>
        <v>2</v>
      </c>
      <c r="Z9138" t="str">
        <v>=</v>
      </c>
      <c r="AA9138">
        <f>N9138*U9138*W9138*Y9138</f>
        <v>0</v>
      </c>
    </row>
    <row r="9139">
      <c r="A9139" t="str">
        <f>A9114</f>
        <v>Lantai Attic</v>
      </c>
      <c r="B9139">
        <f>B9114</f>
        <v>40</v>
      </c>
      <c r="C9139" t="str">
        <v>Kait Horizontal Lap.</v>
      </c>
      <c r="D9139">
        <f>VLOOKUP(D9114,'Detail Balok'!$C$10:$BJ$110,51,FALSE)</f>
        <v>0</v>
      </c>
      <c r="E9139" t="str">
        <v>D</v>
      </c>
      <c r="F9139">
        <f>VLOOKUP(D9114,'Detail Balok'!$C$10:$BJ$110,53,FALSE)</f>
        <v>0</v>
      </c>
      <c r="G9139" t="str">
        <v>-</v>
      </c>
      <c r="H9139">
        <f>VLOOKUP(D9114,'Detail Balok'!$C$10:$BJ$110,55,FALSE)</f>
        <v>100</v>
      </c>
      <c r="J9139">
        <f>(D9115-2*F$5)/1000</f>
        <v>0.12</v>
      </c>
      <c r="K9139" t="str">
        <v>+</v>
      </c>
      <c r="L9139">
        <f>IF(D9139=0,2*MAX(6*F9139,75),(D9139-1)*2*MAX(6*F9139,75))/1000</f>
        <v>0.15</v>
      </c>
      <c r="M9139" t="str">
        <v>=</v>
      </c>
      <c r="N9139">
        <f>J9139+L9139</f>
        <v>0.27</v>
      </c>
      <c r="T9139" t="str">
        <v>x</v>
      </c>
      <c r="U9139">
        <f>0.006165*F9139^2</f>
        <v>0</v>
      </c>
      <c r="V9139" t="str">
        <v>x</v>
      </c>
      <c r="W9139">
        <f>W9135</f>
        <v>3</v>
      </c>
      <c r="X9139" t="str">
        <v>x</v>
      </c>
      <c r="Y9139">
        <f>D9124</f>
        <v>2</v>
      </c>
      <c r="Z9139" t="str">
        <v>=</v>
      </c>
      <c r="AA9139">
        <f>N9139*U9139*W9139*Y9139</f>
        <v>0</v>
      </c>
    </row>
    <row r="9140">
      <c r="A9140" t="str">
        <f>A9114</f>
        <v>Lantai Attic</v>
      </c>
      <c r="B9140">
        <f>B9114</f>
        <v>40</v>
      </c>
      <c r="C9140" t="str">
        <v>Kait Horizontal Tump.</v>
      </c>
      <c r="D9140">
        <f>VLOOKUP(D9114,'Detail Balok'!$C$10:$BJ$110,56,FALSE)</f>
        <v>0</v>
      </c>
      <c r="E9140" t="str">
        <v>D</v>
      </c>
      <c r="F9140">
        <f>VLOOKUP(D9114,'Detail Balok'!$C$10:$BJ$110,58,FALSE)</f>
        <v>0</v>
      </c>
      <c r="G9140" t="str">
        <v>-</v>
      </c>
      <c r="H9140">
        <f>VLOOKUP(D9114,'Detail Balok'!$C$10:$BJ$110,60,FALSE)</f>
        <v>100</v>
      </c>
      <c r="J9140">
        <f>(D9115-2*F$5)/1000</f>
        <v>0.12</v>
      </c>
      <c r="K9140" t="str">
        <v>+</v>
      </c>
      <c r="L9140">
        <f>IF(D9140=0,2*MAX(6*F9140,75),(D9140-1)*2*MAX(6*F9140,75))/1000</f>
        <v>0.15</v>
      </c>
      <c r="M9140" t="str">
        <v>=</v>
      </c>
      <c r="N9140">
        <f>J9140+L9140</f>
        <v>0.27</v>
      </c>
      <c r="T9140" t="str">
        <v>x</v>
      </c>
      <c r="U9140">
        <f>0.006165*F9140^2</f>
        <v>0</v>
      </c>
      <c r="V9140" t="str">
        <v>x</v>
      </c>
      <c r="W9140">
        <f>W9136</f>
        <v>4</v>
      </c>
      <c r="X9140" t="str">
        <v>x</v>
      </c>
      <c r="Y9140">
        <f>D9124</f>
        <v>2</v>
      </c>
      <c r="Z9140" t="str">
        <v>=</v>
      </c>
      <c r="AA9140">
        <f>N9140*U9140*W9140*Y9140</f>
        <v>0</v>
      </c>
    </row>
    <row r="9144">
      <c r="A9144" t="str">
        <f>A9114</f>
        <v>Lantai Attic</v>
      </c>
      <c r="B9144">
        <f>B9114+1</f>
        <v>41</v>
      </c>
      <c r="C9144" t="str">
        <f>CONCATENATE(A9144," no. ",B9144)</f>
        <v>Lantai Attic no. 41</v>
      </c>
      <c r="D9144" t="str">
        <f>VLOOKUP(C9144,'Data Panjang Balok'!$C$9:$N$424,2,FALSE)</f>
        <v>BB</v>
      </c>
    </row>
    <row r="9145">
      <c r="C9145" t="str">
        <v>Dimensi</v>
      </c>
      <c r="D9145">
        <f>VLOOKUP(D9144,'Detail Balok'!$C$10:$AU$110,2,FALSE)</f>
        <v>200</v>
      </c>
      <c r="F9145" t="str">
        <v>x</v>
      </c>
      <c r="G9145">
        <f>VLOOKUP(D9144,'Detail Balok'!$C$10:$AU$110,3,FALSE)</f>
        <v>150</v>
      </c>
    </row>
    <row r="9146">
      <c r="C9146" t="str">
        <v>Panjang as ke as</v>
      </c>
      <c r="D9146">
        <f>VLOOKUP(C9144,'Data Panjang Balok'!$C$9:$N$424,4,FALSE)</f>
        <v>900</v>
      </c>
    </row>
    <row r="9147">
      <c r="C9147" t="str">
        <v>Panjang netto</v>
      </c>
      <c r="D9147">
        <f>VLOOKUP(C9144,'Data Panjang Balok'!$C$9:$N$424,7,FALSE)</f>
        <v>900</v>
      </c>
    </row>
    <row r="9148">
      <c r="C9148" t="str">
        <v>Kolom / balok kiri</v>
      </c>
      <c r="D9148">
        <f>VLOOKUP(C9144,'Data Panjang Balok'!$C$9:$N$424,9,FALSE)</f>
        <v>0</v>
      </c>
    </row>
    <row r="9149">
      <c r="C9149" t="str">
        <v>Kolom / balok kanan</v>
      </c>
      <c r="D9149">
        <f>VLOOKUP(C9144,'Data Panjang Balok'!$C$9:$N$424,10,FALSE)</f>
        <v>0</v>
      </c>
    </row>
    <row r="9150">
      <c r="C9150" t="str">
        <v>Jumlah</v>
      </c>
      <c r="D9150">
        <f>VLOOKUP(C9144,'Data Panjang Balok'!$C$9:$N$424,3,FALSE)</f>
        <v>1</v>
      </c>
    </row>
    <row r="9151">
      <c r="A9151" t="str">
        <f>A9144</f>
        <v>Lantai Attic</v>
      </c>
      <c r="B9151">
        <f>B9144</f>
        <v>41</v>
      </c>
      <c r="C9151" t="str">
        <v>Tul Atas Tumpuan</v>
      </c>
      <c r="D9151">
        <f>VLOOKUP(D9144,'Detail Balok'!$C$10:$AU$110,4,FALSE)</f>
        <v>2</v>
      </c>
      <c r="E9151" t="str">
        <v>D</v>
      </c>
      <c r="F9151">
        <f>VLOOKUP(D9144,'Detail Balok'!$C$10:$AU$110,6,FALSE)</f>
        <v>10</v>
      </c>
      <c r="I9151" t="str">
        <v>(</v>
      </c>
      <c r="J9151">
        <f>+D9146/4/1000</f>
        <v>0.225</v>
      </c>
      <c r="K9151" t="str">
        <v>+</v>
      </c>
      <c r="L9151">
        <f>MAX(VLOOKUP(F9151,N$6:P$15,3,FALSE)/1000,2/3*D9148/1000)+F$16*F9151/1000</f>
        <v>0.12</v>
      </c>
      <c r="M9151" t="str">
        <v>=</v>
      </c>
      <c r="N9151">
        <f>J9151+L9151</f>
        <v>0.345</v>
      </c>
      <c r="O9151" t="str">
        <v>+</v>
      </c>
      <c r="P9151">
        <f>D9151-D9152</f>
        <v>0</v>
      </c>
      <c r="Q9151" t="str">
        <v>x</v>
      </c>
      <c r="R9151">
        <f>IF(P9151&gt;0,$F$18*F9151/1000,0)</f>
        <v>0</v>
      </c>
      <c r="S9151" t="str">
        <v>)</v>
      </c>
      <c r="T9151" t="str">
        <v>x</v>
      </c>
      <c r="U9151">
        <f>0.006165*F9151^2</f>
        <v>0.6165</v>
      </c>
      <c r="X9151" t="str">
        <v>x</v>
      </c>
      <c r="Y9151">
        <f>D9150</f>
        <v>1</v>
      </c>
      <c r="Z9151" t="str">
        <v>=</v>
      </c>
      <c r="AA9151">
        <f>IF(AA9154=0,(D9151*N9151+P9151*R9151)*U9151*Y9151,0)</f>
        <v>0</v>
      </c>
    </row>
    <row r="9152">
      <c r="A9152" t="str">
        <f>A9144</f>
        <v>Lantai Attic</v>
      </c>
      <c r="B9152">
        <f>B9144</f>
        <v>41</v>
      </c>
      <c r="C9152" t="str">
        <v>Tul Atas Lapangan</v>
      </c>
      <c r="D9152">
        <f>VLOOKUP(D9144,'Detail Balok'!$C$10:$AU$110,7,FALSE)</f>
        <v>2</v>
      </c>
      <c r="E9152" t="str">
        <v>D</v>
      </c>
      <c r="F9152">
        <f>VLOOKUP(D9144,'Detail Balok'!$C$10:$AU$110,9,FALSE)</f>
        <v>10</v>
      </c>
      <c r="I9152" t="str">
        <v>(</v>
      </c>
      <c r="J9152">
        <f>+D9146/2/1000</f>
        <v>0.45</v>
      </c>
      <c r="K9152" t="str">
        <v>+</v>
      </c>
      <c r="M9152" t="str">
        <v>=</v>
      </c>
      <c r="N9152">
        <f>J9152+L9152</f>
        <v>0.45</v>
      </c>
      <c r="O9152" t="str">
        <v>+</v>
      </c>
      <c r="P9152">
        <f>MAX(D9152-D9151,D9152-D9153)</f>
        <v>0</v>
      </c>
      <c r="Q9152" t="str">
        <v>x</v>
      </c>
      <c r="R9152">
        <f>IF(P9152&gt;0,2*(1-2*$F$19-1/2)*D9147/1000,0)</f>
        <v>0</v>
      </c>
      <c r="S9152" t="str">
        <v>)</v>
      </c>
      <c r="T9152" t="str">
        <v>x</v>
      </c>
      <c r="U9152">
        <f>0.006165*F9152^2</f>
        <v>0.6165</v>
      </c>
      <c r="X9152" t="str">
        <v>x</v>
      </c>
      <c r="Y9152">
        <f>D9150</f>
        <v>1</v>
      </c>
      <c r="Z9152" t="str">
        <v>=</v>
      </c>
      <c r="AA9152">
        <f>IF(AA9154=0,(D9152*N9152+P9152*R9152)*U9152*Y9152,0)</f>
        <v>0</v>
      </c>
    </row>
    <row r="9153">
      <c r="A9153" t="str">
        <f>A9144</f>
        <v>Lantai Attic</v>
      </c>
      <c r="B9153">
        <f>B9144</f>
        <v>41</v>
      </c>
      <c r="C9153" t="str">
        <v>Tul Atas Tumpuan</v>
      </c>
      <c r="D9153">
        <f>VLOOKUP(D9144,'Detail Balok'!$C$10:$AU$110,10,FALSE)</f>
        <v>2</v>
      </c>
      <c r="E9153" t="str">
        <v>D</v>
      </c>
      <c r="F9153">
        <f>VLOOKUP(D9144,'Detail Balok'!$C$10:$AU$110,12,FALSE)</f>
        <v>10</v>
      </c>
      <c r="I9153" t="str">
        <v>(</v>
      </c>
      <c r="J9153">
        <f>+D9146/4/1000</f>
        <v>0.225</v>
      </c>
      <c r="K9153" t="str">
        <v>+</v>
      </c>
      <c r="L9153">
        <f>MAX(VLOOKUP(F9153,N$6:P$15,3,FALSE)/1000,2/3*D9148/1000)+F$16*F9153/1000</f>
        <v>0.12</v>
      </c>
      <c r="M9153" t="str">
        <v>=</v>
      </c>
      <c r="N9153">
        <f>J9153+L9153</f>
        <v>0.345</v>
      </c>
      <c r="O9153" t="str">
        <v>+</v>
      </c>
      <c r="P9153">
        <f>D9153-D9152</f>
        <v>0</v>
      </c>
      <c r="Q9153" t="str">
        <v>x</v>
      </c>
      <c r="R9153">
        <f>IF(P9153&gt;0,$F$18*F9153/1000,0)</f>
        <v>0</v>
      </c>
      <c r="S9153" t="str">
        <v>)</v>
      </c>
      <c r="T9153" t="str">
        <v>x</v>
      </c>
      <c r="U9153">
        <f>0.006165*F9153^2</f>
        <v>0.6165</v>
      </c>
      <c r="X9153" t="str">
        <v>x</v>
      </c>
      <c r="Y9153">
        <f>D9150</f>
        <v>1</v>
      </c>
      <c r="Z9153" t="str">
        <v>=</v>
      </c>
      <c r="AA9153">
        <f>IF(AA9154=0,(D9153*N9153+P9153*R9153)*U9153*Y9153,0)</f>
        <v>0</v>
      </c>
    </row>
    <row r="9154">
      <c r="A9154" t="str">
        <f>A9144</f>
        <v>Lantai Attic</v>
      </c>
      <c r="B9154">
        <f>B9144</f>
        <v>41</v>
      </c>
      <c r="D9154">
        <f>IF(AND(D9151=D9152,D9152=D9153,D9151=D9153),D9151,0)</f>
        <v>2</v>
      </c>
      <c r="E9154" t="str">
        <v>D</v>
      </c>
      <c r="F9154">
        <f>IF(AND(F9151=F9152,F9151=F9153,F9152=F9153),F9151,0)</f>
        <v>10</v>
      </c>
      <c r="L9154" t="str">
        <v>Total panjang per balok</v>
      </c>
      <c r="M9154" t="str">
        <v>=</v>
      </c>
      <c r="N9154">
        <f>IF(AND(D9151=D9152,D9151=D9153,D9152=D9153,F9151=F9152,F9151=F9153,F9152=F9153),SUM(N9151:N9153),0)</f>
        <v>1.14</v>
      </c>
      <c r="O9154" t="str">
        <v>+</v>
      </c>
      <c r="P9154">
        <f>IF(N9154&gt;12,ROUNDDOWN(N9154/12,0),0)</f>
        <v>0</v>
      </c>
      <c r="Q9154" t="str">
        <v>x</v>
      </c>
      <c r="R9154">
        <f>IF(P9154&gt;0,MAX(VLOOKUP(F9154,$D$6:$G$15,3,FALSE),600),0)/1000</f>
        <v>0</v>
      </c>
      <c r="T9154" t="str">
        <v>x</v>
      </c>
      <c r="U9154">
        <f>U9153</f>
        <v>0.6165</v>
      </c>
      <c r="V9154" t="str">
        <v>x</v>
      </c>
      <c r="W9154">
        <f>D9154</f>
        <v>2</v>
      </c>
      <c r="X9154" t="str">
        <v>x</v>
      </c>
      <c r="Y9154">
        <f>Y9153</f>
        <v>1</v>
      </c>
      <c r="Z9154" t="str">
        <v>=</v>
      </c>
      <c r="AA9154">
        <f>(N9154+P9154*R9154/1000)*U9154*W9154*Y9154</f>
        <v>1.40562</v>
      </c>
    </row>
    <row r="9156">
      <c r="A9156" t="str">
        <f>A9144</f>
        <v>Lantai Attic</v>
      </c>
      <c r="B9156">
        <f>B9144</f>
        <v>41</v>
      </c>
      <c r="C9156" t="str">
        <v>Tul Peminggang</v>
      </c>
      <c r="D9156">
        <f>VLOOKUP(D9144,'Detail Balok'!$C$10:$AU$110,13,FALSE)</f>
        <v>0</v>
      </c>
      <c r="E9156" t="str">
        <v>D</v>
      </c>
      <c r="F9156">
        <f>VLOOKUP(D9144,'Detail Balok'!$C$10:$AU$110,15,FALSE)</f>
        <v>6</v>
      </c>
      <c r="J9156">
        <f>+D9146/1000</f>
        <v>0.9</v>
      </c>
      <c r="K9156" t="str">
        <v>+</v>
      </c>
      <c r="L9156">
        <f>2*$F$16*F9156/1000</f>
        <v>0.144</v>
      </c>
      <c r="M9156" t="str">
        <v>=</v>
      </c>
      <c r="N9156">
        <f>J9156+L9156</f>
        <v>1.044</v>
      </c>
      <c r="O9156" t="str">
        <v>+</v>
      </c>
      <c r="P9156">
        <f>IF(N9156&gt;12,ROUNDDOWN(N9156/12,0),0)</f>
        <v>0</v>
      </c>
      <c r="Q9156" t="str">
        <v>x</v>
      </c>
      <c r="R9156">
        <f>IF(P9156&gt;0,MAX(VLOOKUP(F9156,$D$6:$G$15,3,FALSE),600),0)/1000</f>
        <v>0</v>
      </c>
      <c r="T9156" t="str">
        <v>x</v>
      </c>
      <c r="U9156">
        <f>0.006165*F9156^2</f>
        <v>0.22194000000000003</v>
      </c>
      <c r="V9156" t="str">
        <v>x</v>
      </c>
      <c r="W9156">
        <f>+D9156</f>
        <v>0</v>
      </c>
      <c r="X9156" t="str">
        <v>x</v>
      </c>
      <c r="Y9156">
        <f>D9150</f>
        <v>1</v>
      </c>
      <c r="Z9156" t="str">
        <v>=</v>
      </c>
      <c r="AA9156">
        <f>(N9156+P9156*R9156/1000)*U9156*W9156*Y9156</f>
        <v>0</v>
      </c>
    </row>
    <row r="9159">
      <c r="A9159" t="str">
        <f>A9144</f>
        <v>Lantai Attic</v>
      </c>
      <c r="B9159">
        <f>B9144</f>
        <v>41</v>
      </c>
      <c r="C9159" t="str">
        <v>Tul Bawah Tumpuan</v>
      </c>
      <c r="D9159">
        <f>VLOOKUP(D9144,'Detail Balok'!$C$10:$AU$110,22,FALSE)</f>
        <v>2</v>
      </c>
      <c r="E9159" t="str">
        <v>D</v>
      </c>
      <c r="F9159">
        <f>VLOOKUP(D9144,'Detail Balok'!$C$10:$AU$110,24,FALSE)</f>
        <v>10</v>
      </c>
      <c r="I9159" t="str">
        <v>(</v>
      </c>
      <c r="J9159">
        <f>+J9151</f>
        <v>0.225</v>
      </c>
      <c r="K9159" t="str">
        <v>+</v>
      </c>
      <c r="L9159">
        <f>MAX(VLOOKUP(F9159,N$6:P$15,3,FALSE)/1000,2/3*D9149/1000)+F$16*F9159/1000</f>
        <v>0.12</v>
      </c>
      <c r="M9159" t="str">
        <v>=</v>
      </c>
      <c r="N9159">
        <f>J9159+L9159</f>
        <v>0.345</v>
      </c>
      <c r="O9159" t="str">
        <v>+</v>
      </c>
      <c r="P9159">
        <f>D9159-D9160</f>
        <v>0</v>
      </c>
      <c r="Q9159" t="str">
        <v>x</v>
      </c>
      <c r="R9159">
        <f>IF(P9159&gt;0,$F$18*F9159/1000,0)</f>
        <v>0</v>
      </c>
      <c r="S9159" t="str">
        <v>)</v>
      </c>
      <c r="T9159" t="str">
        <v>x</v>
      </c>
      <c r="U9159">
        <f>0.006165*F9159^2</f>
        <v>0.6165</v>
      </c>
      <c r="X9159" t="str">
        <v>x</v>
      </c>
      <c r="Y9159">
        <f>D9150</f>
        <v>1</v>
      </c>
      <c r="Z9159" t="str">
        <v>=</v>
      </c>
      <c r="AA9159">
        <f>IF(AA9162=0,(D9159*N9159+P9159*R9159)*U9159*Y9159,0)</f>
        <v>0</v>
      </c>
    </row>
    <row r="9160">
      <c r="A9160" t="str">
        <f>A9144</f>
        <v>Lantai Attic</v>
      </c>
      <c r="B9160">
        <f>B9144</f>
        <v>41</v>
      </c>
      <c r="C9160" t="str">
        <v>Tul Bawah Lapangan</v>
      </c>
      <c r="D9160">
        <f>VLOOKUP(D9144,'Detail Balok'!$C$10:$AU$110,25,FALSE)</f>
        <v>2</v>
      </c>
      <c r="E9160" t="str">
        <v>D</v>
      </c>
      <c r="F9160">
        <f>VLOOKUP(D9144,'Detail Balok'!$C$10:$AU$110,27,FALSE)</f>
        <v>10</v>
      </c>
      <c r="I9160" t="str">
        <v>(</v>
      </c>
      <c r="J9160">
        <f>+J9152</f>
        <v>0.45</v>
      </c>
      <c r="K9160" t="str">
        <v>+</v>
      </c>
      <c r="M9160" t="str">
        <v>=</v>
      </c>
      <c r="N9160">
        <f>J9160+L9160</f>
        <v>0.45</v>
      </c>
      <c r="O9160" t="str">
        <v>+</v>
      </c>
      <c r="P9160">
        <f>MAX(D9160-D9159,D9160-D9161)</f>
        <v>0</v>
      </c>
      <c r="Q9160" t="str">
        <v>x</v>
      </c>
      <c r="R9160">
        <f>IF(P9160&gt;0,2*(1-2*$F$19-1/2)*D9147/1000,0)</f>
        <v>0</v>
      </c>
      <c r="S9160" t="str">
        <v>)</v>
      </c>
      <c r="T9160" t="str">
        <v>x</v>
      </c>
      <c r="U9160">
        <f>0.006165*F9160^2</f>
        <v>0.6165</v>
      </c>
      <c r="X9160" t="str">
        <v>x</v>
      </c>
      <c r="Y9160">
        <f>D9150</f>
        <v>1</v>
      </c>
      <c r="Z9160" t="str">
        <v>=</v>
      </c>
      <c r="AA9160">
        <f>IF(AA9162=0,(D9160*N9160+P9160*R9160)*U9160*Y9160,0)</f>
        <v>0</v>
      </c>
    </row>
    <row r="9161">
      <c r="A9161" t="str">
        <f>A9144</f>
        <v>Lantai Attic</v>
      </c>
      <c r="B9161">
        <f>B9144</f>
        <v>41</v>
      </c>
      <c r="C9161" t="str">
        <v>Tul Bawah Tumpuan</v>
      </c>
      <c r="D9161">
        <f>VLOOKUP(D9144,'Detail Balok'!$C$10:$AU$110,28,FALSE)</f>
        <v>2</v>
      </c>
      <c r="E9161" t="str">
        <v>D</v>
      </c>
      <c r="F9161">
        <f>VLOOKUP(D9144,'Detail Balok'!$C$10:$AU$110,30,FALSE)</f>
        <v>10</v>
      </c>
      <c r="I9161" t="str">
        <v>(</v>
      </c>
      <c r="J9161">
        <f>+J9153</f>
        <v>0.225</v>
      </c>
      <c r="K9161" t="str">
        <v>+</v>
      </c>
      <c r="L9161">
        <f>MAX(VLOOKUP(F9161,N$6:P$15,3,FALSE)/1000,2/3*D9149/1000)+F$16*F9161/1000</f>
        <v>0.12</v>
      </c>
      <c r="M9161" t="str">
        <v>=</v>
      </c>
      <c r="N9161">
        <f>J9161+L9161</f>
        <v>0.345</v>
      </c>
      <c r="O9161" t="str">
        <v>+</v>
      </c>
      <c r="P9161">
        <f>D9161-D9160</f>
        <v>0</v>
      </c>
      <c r="Q9161" t="str">
        <v>x</v>
      </c>
      <c r="R9161">
        <f>IF(P9161&gt;0,$F$18*F9161/1000,0)</f>
        <v>0</v>
      </c>
      <c r="S9161" t="str">
        <v>)</v>
      </c>
      <c r="T9161" t="str">
        <v>x</v>
      </c>
      <c r="U9161">
        <f>0.006165*F9161^2</f>
        <v>0.6165</v>
      </c>
      <c r="X9161" t="str">
        <v>x</v>
      </c>
      <c r="Y9161">
        <f>D9150</f>
        <v>1</v>
      </c>
      <c r="Z9161" t="str">
        <v>=</v>
      </c>
      <c r="AA9161">
        <f>IF(AA9162=0,(D9161*N9161+P9161*R9161)*U9161*Y9161,0)</f>
        <v>0</v>
      </c>
    </row>
    <row r="9162">
      <c r="A9162" t="str">
        <f>A9144</f>
        <v>Lantai Attic</v>
      </c>
      <c r="B9162">
        <f>B9144</f>
        <v>41</v>
      </c>
      <c r="D9162">
        <f>IF(AND(D9159=D9160,D9160=D9161,D9159=D9161),D9159,0)</f>
        <v>2</v>
      </c>
      <c r="E9162" t="str">
        <v>D</v>
      </c>
      <c r="F9162">
        <f>IF(AND(F9159=F9160,F9159=F9161,F9160=F9161),F9159,0)</f>
        <v>10</v>
      </c>
      <c r="L9162" t="str">
        <v>Total panjang per balok</v>
      </c>
      <c r="M9162" t="str">
        <v>=</v>
      </c>
      <c r="N9162">
        <f>IF(AND(D9159=D9160,D9159=D9161,D9160=D9161,F9159=F9160,F9159=F9161,F9160=F9161),SUM(N9159:N9161),0)</f>
        <v>1.14</v>
      </c>
      <c r="O9162" t="str">
        <v>+</v>
      </c>
      <c r="P9162">
        <f>IF(N9162&gt;12,ROUNDDOWN(N9162/12,0),0)</f>
        <v>0</v>
      </c>
      <c r="Q9162" t="str">
        <v>x</v>
      </c>
      <c r="R9162">
        <f>IF(P9162&gt;0,MAX(VLOOKUP(F9162,$D$6:$G$15,3,FALSE),600),0)/1000</f>
        <v>0</v>
      </c>
      <c r="T9162" t="str">
        <v>x</v>
      </c>
      <c r="U9162">
        <f>U9161</f>
        <v>0.6165</v>
      </c>
      <c r="V9162" t="str">
        <v>x</v>
      </c>
      <c r="W9162">
        <f>D9162</f>
        <v>2</v>
      </c>
      <c r="X9162" t="str">
        <v>x</v>
      </c>
      <c r="Y9162">
        <f>Y9161</f>
        <v>1</v>
      </c>
      <c r="Z9162" t="str">
        <v>=</v>
      </c>
      <c r="AA9162">
        <f>(N9162+P9162*R9162/1000)*U9162*W9162*Y9162</f>
        <v>1.40562</v>
      </c>
    </row>
    <row r="9164">
      <c r="A9164" t="str">
        <f>A9144</f>
        <v>Lantai Attic</v>
      </c>
      <c r="B9164">
        <f>B9144</f>
        <v>41</v>
      </c>
      <c r="C9164" t="str">
        <v>Sengkang Tumpuan</v>
      </c>
      <c r="D9164">
        <f>VLOOKUP(D9144,'Detail Balok'!$C$10:$AU$110,31,FALSE)</f>
        <v>0</v>
      </c>
      <c r="E9164" t="str">
        <v>D</v>
      </c>
      <c r="F9164">
        <f>VLOOKUP(D9144,'Detail Balok'!$C$10:$AU$110,33,FALSE)</f>
        <v>8</v>
      </c>
      <c r="G9164" t="str">
        <v>-</v>
      </c>
      <c r="H9164">
        <f>VLOOKUP(D9144,'Detail Balok'!$C$10:$AU$110,35,FALSE)</f>
        <v>100</v>
      </c>
      <c r="J9164">
        <f>(IF(D9164=0,(2*(D9145+G9145))-(F$5*8),IF(D9164=3,(2*(D9145+G9145))-(F$5*8)+(G9145-2*F$5),IF(D9164=4,(2*(D9145+G9145))-(F$5*8)+2*(G9145-2*F$5)))))/1000</f>
        <v>0.38</v>
      </c>
      <c r="K9164" t="str">
        <v>+</v>
      </c>
      <c r="L9164">
        <f>IF(D9164=0,2*MAX(6*F9164,75),(D9164-1)*2*MAX(6*F9164,75))/1000</f>
        <v>0.15</v>
      </c>
      <c r="M9164" t="str">
        <v>=</v>
      </c>
      <c r="N9164">
        <f>J9164+L9164</f>
        <v>0.53</v>
      </c>
      <c r="T9164" t="str">
        <v>x</v>
      </c>
      <c r="U9164">
        <f>0.006165*F9164^2</f>
        <v>0.39456</v>
      </c>
      <c r="V9164" t="str">
        <v>x</v>
      </c>
      <c r="W9164">
        <f>IF(D9147&gt;4*G9145,ROUND(MAX(D9147/4,2*G9145)/H9164,0)+1,ROUND(D9147/H9164,0)+1)</f>
        <v>4</v>
      </c>
      <c r="X9164" t="str">
        <v>x</v>
      </c>
      <c r="Y9164">
        <f>D9150</f>
        <v>1</v>
      </c>
      <c r="Z9164" t="str">
        <v>=</v>
      </c>
      <c r="AA9164">
        <f>N9164*U9164*W9164*Y9164</f>
        <v>0.8364672000000001</v>
      </c>
    </row>
    <row r="9165">
      <c r="A9165" t="str">
        <f>A9144</f>
        <v>Lantai Attic</v>
      </c>
      <c r="B9165">
        <f>B9144</f>
        <v>41</v>
      </c>
      <c r="C9165" t="str">
        <v>Sengkang Lapangan</v>
      </c>
      <c r="D9165">
        <f>VLOOKUP(D9144,'Detail Balok'!$C$10:$AU$110,36,FALSE)</f>
        <v>0</v>
      </c>
      <c r="E9165" t="str">
        <v>D</v>
      </c>
      <c r="F9165">
        <f>VLOOKUP(D9144,'Detail Balok'!$C$10:$AU$110,38,FALSE)</f>
        <v>8</v>
      </c>
      <c r="G9165" t="str">
        <v>-</v>
      </c>
      <c r="H9165">
        <f>VLOOKUP(D9144,'Detail Balok'!$C$10:$AU$110,40,FALSE)</f>
        <v>100</v>
      </c>
      <c r="J9165">
        <f>(IF(D9165=0,(2*(D9145+G9145))-(F$5*8),IF(D9165=3,(2*(D9145+G9145))-(F$5*8)+(G9145-2*F$5),IF(D9165=4,(2*(D9145+G9145))-(F$5*8)+2*(G9145-2*F$5)))))/1000</f>
        <v>0.38</v>
      </c>
      <c r="K9165" t="str">
        <v>+</v>
      </c>
      <c r="L9165">
        <f>IF(D9165=0,2*MAX(6*F9165,75),(D9165-1)*2*MAX(6*F9165,75))/1000</f>
        <v>0.15</v>
      </c>
      <c r="M9165" t="str">
        <v>=</v>
      </c>
      <c r="N9165">
        <f>J9165+L9165</f>
        <v>0.53</v>
      </c>
      <c r="T9165" t="str">
        <v>x</v>
      </c>
      <c r="U9165">
        <f>0.006165*F9165^2</f>
        <v>0.39456</v>
      </c>
      <c r="V9165" t="str">
        <v>x</v>
      </c>
      <c r="W9165">
        <f>IF(D9147-MAX(D9147/4,2*G9145)*2&gt;0,ROUND((D9147-MAX(D9147/4,2*G9145)*2)/H9165,0),0)</f>
        <v>3</v>
      </c>
      <c r="X9165" t="str">
        <v>x</v>
      </c>
      <c r="Y9165">
        <f>D9150</f>
        <v>1</v>
      </c>
      <c r="Z9165" t="str">
        <v>=</v>
      </c>
      <c r="AA9165">
        <f>N9165*U9165*W9165*Y9165</f>
        <v>0.6273504000000001</v>
      </c>
    </row>
    <row r="9166">
      <c r="A9166" t="str">
        <f>A9144</f>
        <v>Lantai Attic</v>
      </c>
      <c r="B9166">
        <f>B9144</f>
        <v>41</v>
      </c>
      <c r="C9166" t="str">
        <v>Sengkang Tumpuan</v>
      </c>
      <c r="D9166">
        <f>VLOOKUP(D9144,'Detail Balok'!$C$10:$AU$110,41,FALSE)</f>
        <v>0</v>
      </c>
      <c r="E9166" t="str">
        <v>D</v>
      </c>
      <c r="F9166">
        <f>VLOOKUP(D9144,'Detail Balok'!$C$10:$AU$110,43,FALSE)</f>
        <v>8</v>
      </c>
      <c r="G9166" t="str">
        <v>-</v>
      </c>
      <c r="H9166">
        <f>VLOOKUP(D9144,'Detail Balok'!$C$10:$AU$110,45,FALSE)</f>
        <v>100</v>
      </c>
      <c r="J9166">
        <f>(IF(D9166=0,(2*(D9145+G9145))-(F$5*8),IF(D9166=3,(2*(D9145+G9145))-(F$5*8)+(G9145-2*F$5),IF(D9166=4,(2*(D9145+G9145))-(F$5*8)+2*(G9145-2*F$5)))))/1000</f>
        <v>0.38</v>
      </c>
      <c r="K9166" t="str">
        <v>+</v>
      </c>
      <c r="L9166">
        <f>IF(D9166=0,2*MAX(6*F9166,75),(D9166-1)*2*MAX(6*F9166,75))/1000</f>
        <v>0.15</v>
      </c>
      <c r="M9166" t="str">
        <v>=</v>
      </c>
      <c r="N9166">
        <f>J9166+L9166</f>
        <v>0.53</v>
      </c>
      <c r="T9166" t="str">
        <v>x</v>
      </c>
      <c r="U9166">
        <f>0.006165*F9166^2</f>
        <v>0.39456</v>
      </c>
      <c r="V9166" t="str">
        <v>x</v>
      </c>
      <c r="W9166">
        <f>IF(D9147&gt;4*G9145,ROUND(MAX(D9147/4,2*G9145)/H9166,0)+1,0)</f>
        <v>4</v>
      </c>
      <c r="X9166" t="str">
        <v>x</v>
      </c>
      <c r="Y9166">
        <f>D9150</f>
        <v>1</v>
      </c>
      <c r="Z9166" t="str">
        <v>=</v>
      </c>
      <c r="AA9166">
        <f>N9166*U9166*W9166*Y9166</f>
        <v>0.8364672000000001</v>
      </c>
    </row>
    <row r="9168">
      <c r="A9168" t="str">
        <f>A9144</f>
        <v>Lantai Attic</v>
      </c>
      <c r="B9168">
        <f>B9144</f>
        <v>41</v>
      </c>
      <c r="C9168" t="str">
        <v>Kait Horizontal Tump.</v>
      </c>
      <c r="D9168">
        <f>VLOOKUP(D9144,'Detail Balok'!$C$10:$BJ$110,46,FALSE)</f>
        <v>0</v>
      </c>
      <c r="E9168" t="str">
        <v>D</v>
      </c>
      <c r="F9168">
        <f>VLOOKUP(D9144,'Detail Balok'!$C$10:$BJ$110,48,FALSE)</f>
        <v>0</v>
      </c>
      <c r="G9168" t="str">
        <v>-</v>
      </c>
      <c r="H9168">
        <f>VLOOKUP(D9144,'Detail Balok'!$C$10:$BJ$110,50,FALSE)</f>
        <v>100</v>
      </c>
      <c r="J9168">
        <f>(D9145-2*F$5)/1000</f>
        <v>0.12</v>
      </c>
      <c r="K9168" t="str">
        <v>+</v>
      </c>
      <c r="L9168">
        <f>IF(D9168=0,2*MAX(6*F9168,75),(D9168-1)*2*MAX(6*F9168,75))/1000</f>
        <v>0.15</v>
      </c>
      <c r="M9168" t="str">
        <v>=</v>
      </c>
      <c r="N9168">
        <f>J9168+L9168</f>
        <v>0.27</v>
      </c>
      <c r="T9168" t="str">
        <v>x</v>
      </c>
      <c r="U9168">
        <f>0.006165*F9168^2</f>
        <v>0</v>
      </c>
      <c r="V9168" t="str">
        <v>x</v>
      </c>
      <c r="W9168">
        <f>W9164</f>
        <v>4</v>
      </c>
      <c r="X9168" t="str">
        <v>x</v>
      </c>
      <c r="Y9168">
        <f>D9154</f>
        <v>2</v>
      </c>
      <c r="Z9168" t="str">
        <v>=</v>
      </c>
      <c r="AA9168">
        <f>N9168*U9168*W9168*Y9168</f>
        <v>0</v>
      </c>
    </row>
    <row r="9169">
      <c r="A9169" t="str">
        <f>A9144</f>
        <v>Lantai Attic</v>
      </c>
      <c r="B9169">
        <f>B9144</f>
        <v>41</v>
      </c>
      <c r="C9169" t="str">
        <v>Kait Horizontal Lap.</v>
      </c>
      <c r="D9169">
        <f>VLOOKUP(D9144,'Detail Balok'!$C$10:$BJ$110,51,FALSE)</f>
        <v>0</v>
      </c>
      <c r="E9169" t="str">
        <v>D</v>
      </c>
      <c r="F9169">
        <f>VLOOKUP(D9144,'Detail Balok'!$C$10:$BJ$110,53,FALSE)</f>
        <v>0</v>
      </c>
      <c r="G9169" t="str">
        <v>-</v>
      </c>
      <c r="H9169">
        <f>VLOOKUP(D9144,'Detail Balok'!$C$10:$BJ$110,55,FALSE)</f>
        <v>100</v>
      </c>
      <c r="J9169">
        <f>(D9145-2*F$5)/1000</f>
        <v>0.12</v>
      </c>
      <c r="K9169" t="str">
        <v>+</v>
      </c>
      <c r="L9169">
        <f>IF(D9169=0,2*MAX(6*F9169,75),(D9169-1)*2*MAX(6*F9169,75))/1000</f>
        <v>0.15</v>
      </c>
      <c r="M9169" t="str">
        <v>=</v>
      </c>
      <c r="N9169">
        <f>J9169+L9169</f>
        <v>0.27</v>
      </c>
      <c r="T9169" t="str">
        <v>x</v>
      </c>
      <c r="U9169">
        <f>0.006165*F9169^2</f>
        <v>0</v>
      </c>
      <c r="V9169" t="str">
        <v>x</v>
      </c>
      <c r="W9169">
        <f>W9165</f>
        <v>3</v>
      </c>
      <c r="X9169" t="str">
        <v>x</v>
      </c>
      <c r="Y9169">
        <f>D9154</f>
        <v>2</v>
      </c>
      <c r="Z9169" t="str">
        <v>=</v>
      </c>
      <c r="AA9169">
        <f>N9169*U9169*W9169*Y9169</f>
        <v>0</v>
      </c>
    </row>
    <row r="9170">
      <c r="A9170" t="str">
        <f>A9144</f>
        <v>Lantai Attic</v>
      </c>
      <c r="B9170">
        <f>B9144</f>
        <v>41</v>
      </c>
      <c r="C9170" t="str">
        <v>Kait Horizontal Tump.</v>
      </c>
      <c r="D9170">
        <f>VLOOKUP(D9144,'Detail Balok'!$C$10:$BJ$110,56,FALSE)</f>
        <v>0</v>
      </c>
      <c r="E9170" t="str">
        <v>D</v>
      </c>
      <c r="F9170">
        <f>VLOOKUP(D9144,'Detail Balok'!$C$10:$BJ$110,58,FALSE)</f>
        <v>0</v>
      </c>
      <c r="G9170" t="str">
        <v>-</v>
      </c>
      <c r="H9170">
        <f>VLOOKUP(D9144,'Detail Balok'!$C$10:$BJ$110,60,FALSE)</f>
        <v>100</v>
      </c>
      <c r="J9170">
        <f>(D9145-2*F$5)/1000</f>
        <v>0.12</v>
      </c>
      <c r="K9170" t="str">
        <v>+</v>
      </c>
      <c r="L9170">
        <f>IF(D9170=0,2*MAX(6*F9170,75),(D9170-1)*2*MAX(6*F9170,75))/1000</f>
        <v>0.15</v>
      </c>
      <c r="M9170" t="str">
        <v>=</v>
      </c>
      <c r="N9170">
        <f>J9170+L9170</f>
        <v>0.27</v>
      </c>
      <c r="T9170" t="str">
        <v>x</v>
      </c>
      <c r="U9170">
        <f>0.006165*F9170^2</f>
        <v>0</v>
      </c>
      <c r="V9170" t="str">
        <v>x</v>
      </c>
      <c r="W9170">
        <f>W9166</f>
        <v>4</v>
      </c>
      <c r="X9170" t="str">
        <v>x</v>
      </c>
      <c r="Y9170">
        <f>D9154</f>
        <v>2</v>
      </c>
      <c r="Z9170" t="str">
        <v>=</v>
      </c>
      <c r="AA9170">
        <f>N9170*U9170*W9170*Y9170</f>
        <v>0</v>
      </c>
    </row>
    <row r="9174">
      <c r="A9174" t="str">
        <f>A9144</f>
        <v>Lantai Attic</v>
      </c>
      <c r="B9174">
        <f>B9144+1</f>
        <v>42</v>
      </c>
      <c r="C9174" t="str">
        <f>CONCATENATE(A9174," no. ",B9174)</f>
        <v>Lantai Attic no. 42</v>
      </c>
      <c r="D9174" t="str">
        <f>VLOOKUP(C9174,'Data Panjang Balok'!$C$9:$N$424,2,FALSE)</f>
        <v>B245-4</v>
      </c>
    </row>
    <row r="9175">
      <c r="C9175" t="str">
        <v>Dimensi</v>
      </c>
      <c r="D9175">
        <f>VLOOKUP(D9174,'Detail Balok'!$C$10:$AU$110,2,FALSE)</f>
        <v>200</v>
      </c>
      <c r="F9175" t="str">
        <v>x</v>
      </c>
      <c r="G9175">
        <f>VLOOKUP(D9174,'Detail Balok'!$C$10:$AU$110,3,FALSE)</f>
        <v>450</v>
      </c>
    </row>
    <row r="9176">
      <c r="C9176" t="str">
        <v>Panjang as ke as</v>
      </c>
      <c r="D9176">
        <f>VLOOKUP(C9174,'Data Panjang Balok'!$C$9:$N$424,4,FALSE)</f>
        <v>6200</v>
      </c>
    </row>
    <row r="9177">
      <c r="C9177" t="str">
        <v>Panjang netto</v>
      </c>
      <c r="D9177">
        <f>VLOOKUP(C9174,'Data Panjang Balok'!$C$9:$N$424,7,FALSE)</f>
        <v>6200</v>
      </c>
    </row>
    <row r="9178">
      <c r="C9178" t="str">
        <v>Kolom / balok kiri</v>
      </c>
      <c r="D9178">
        <f>VLOOKUP(C9174,'Data Panjang Balok'!$C$9:$N$424,9,FALSE)</f>
        <v>0</v>
      </c>
    </row>
    <row r="9179">
      <c r="C9179" t="str">
        <v>Kolom / balok kanan</v>
      </c>
      <c r="D9179">
        <f>VLOOKUP(C9174,'Data Panjang Balok'!$C$9:$N$424,10,FALSE)</f>
        <v>0</v>
      </c>
    </row>
    <row r="9180">
      <c r="C9180" t="str">
        <v>Jumlah</v>
      </c>
      <c r="D9180">
        <f>VLOOKUP(C9174,'Data Panjang Balok'!$C$9:$N$424,3,FALSE)</f>
        <v>1</v>
      </c>
    </row>
    <row r="9181">
      <c r="A9181" t="str">
        <f>A9174</f>
        <v>Lantai Attic</v>
      </c>
      <c r="B9181">
        <f>B9174</f>
        <v>42</v>
      </c>
      <c r="C9181" t="str">
        <v>Tul Atas Tumpuan</v>
      </c>
      <c r="D9181">
        <f>VLOOKUP(D9174,'Detail Balok'!$C$10:$AU$110,4,FALSE)</f>
        <v>3</v>
      </c>
      <c r="E9181" t="str">
        <v>D</v>
      </c>
      <c r="F9181">
        <f>VLOOKUP(D9174,'Detail Balok'!$C$10:$AU$110,6,FALSE)</f>
        <v>16</v>
      </c>
      <c r="I9181" t="str">
        <v>(</v>
      </c>
      <c r="J9181">
        <f>+D9176/4/1000</f>
        <v>1.55</v>
      </c>
      <c r="K9181" t="str">
        <v>+</v>
      </c>
      <c r="L9181">
        <f>MAX(VLOOKUP(F9181,N$6:P$15,3,FALSE)/1000,2/3*D9178/1000)+F$16*F9181/1000</f>
        <v>0.192</v>
      </c>
      <c r="M9181" t="str">
        <v>=</v>
      </c>
      <c r="N9181">
        <f>J9181+L9181</f>
        <v>1.742</v>
      </c>
      <c r="O9181" t="str">
        <v>+</v>
      </c>
      <c r="P9181">
        <f>D9181-D9182</f>
        <v>0</v>
      </c>
      <c r="Q9181" t="str">
        <v>x</v>
      </c>
      <c r="R9181">
        <f>IF(P9181&gt;0,$F$18*F9181/1000,0)</f>
        <v>0</v>
      </c>
      <c r="S9181" t="str">
        <v>)</v>
      </c>
      <c r="T9181" t="str">
        <v>x</v>
      </c>
      <c r="U9181">
        <f>0.006165*F9181^2</f>
        <v>1.57824</v>
      </c>
      <c r="X9181" t="str">
        <v>x</v>
      </c>
      <c r="Y9181">
        <f>D9180</f>
        <v>1</v>
      </c>
      <c r="Z9181" t="str">
        <v>=</v>
      </c>
      <c r="AA9181">
        <f>IF(AA9184=0,(D9181*N9181+P9181*R9181)*U9181*Y9181,0)</f>
        <v>0</v>
      </c>
    </row>
    <row r="9182">
      <c r="A9182" t="str">
        <f>A9174</f>
        <v>Lantai Attic</v>
      </c>
      <c r="B9182">
        <f>B9174</f>
        <v>42</v>
      </c>
      <c r="C9182" t="str">
        <v>Tul Atas Lapangan</v>
      </c>
      <c r="D9182">
        <f>VLOOKUP(D9174,'Detail Balok'!$C$10:$AU$110,7,FALSE)</f>
        <v>3</v>
      </c>
      <c r="E9182" t="str">
        <v>D</v>
      </c>
      <c r="F9182">
        <f>VLOOKUP(D9174,'Detail Balok'!$C$10:$AU$110,9,FALSE)</f>
        <v>16</v>
      </c>
      <c r="I9182" t="str">
        <v>(</v>
      </c>
      <c r="J9182">
        <f>+D9176/2/1000</f>
        <v>3.1</v>
      </c>
      <c r="K9182" t="str">
        <v>+</v>
      </c>
      <c r="M9182" t="str">
        <v>=</v>
      </c>
      <c r="N9182">
        <f>J9182+L9182</f>
        <v>3.1</v>
      </c>
      <c r="O9182" t="str">
        <v>+</v>
      </c>
      <c r="P9182">
        <f>MAX(D9182-D9181,D9182-D9183)</f>
        <v>0</v>
      </c>
      <c r="Q9182" t="str">
        <v>x</v>
      </c>
      <c r="R9182">
        <f>IF(P9182&gt;0,2*(1-2*$F$19-1/2)*D9177/1000,0)</f>
        <v>0</v>
      </c>
      <c r="S9182" t="str">
        <v>)</v>
      </c>
      <c r="T9182" t="str">
        <v>x</v>
      </c>
      <c r="U9182">
        <f>0.006165*F9182^2</f>
        <v>1.57824</v>
      </c>
      <c r="X9182" t="str">
        <v>x</v>
      </c>
      <c r="Y9182">
        <f>D9180</f>
        <v>1</v>
      </c>
      <c r="Z9182" t="str">
        <v>=</v>
      </c>
      <c r="AA9182">
        <f>IF(AA9184=0,(D9182*N9182+P9182*R9182)*U9182*Y9182,0)</f>
        <v>0</v>
      </c>
    </row>
    <row r="9183">
      <c r="A9183" t="str">
        <f>A9174</f>
        <v>Lantai Attic</v>
      </c>
      <c r="B9183">
        <f>B9174</f>
        <v>42</v>
      </c>
      <c r="C9183" t="str">
        <v>Tul Atas Tumpuan</v>
      </c>
      <c r="D9183">
        <f>VLOOKUP(D9174,'Detail Balok'!$C$10:$AU$110,10,FALSE)</f>
        <v>3</v>
      </c>
      <c r="E9183" t="str">
        <v>D</v>
      </c>
      <c r="F9183">
        <f>VLOOKUP(D9174,'Detail Balok'!$C$10:$AU$110,12,FALSE)</f>
        <v>16</v>
      </c>
      <c r="I9183" t="str">
        <v>(</v>
      </c>
      <c r="J9183">
        <f>+D9176/4/1000</f>
        <v>1.55</v>
      </c>
      <c r="K9183" t="str">
        <v>+</v>
      </c>
      <c r="L9183">
        <f>MAX(VLOOKUP(F9183,N$6:P$15,3,FALSE)/1000,2/3*D9178/1000)+F$16*F9183/1000</f>
        <v>0.192</v>
      </c>
      <c r="M9183" t="str">
        <v>=</v>
      </c>
      <c r="N9183">
        <f>J9183+L9183</f>
        <v>1.742</v>
      </c>
      <c r="O9183" t="str">
        <v>+</v>
      </c>
      <c r="P9183">
        <f>D9183-D9182</f>
        <v>0</v>
      </c>
      <c r="Q9183" t="str">
        <v>x</v>
      </c>
      <c r="R9183">
        <f>IF(P9183&gt;0,$F$18*F9183/1000,0)</f>
        <v>0</v>
      </c>
      <c r="S9183" t="str">
        <v>)</v>
      </c>
      <c r="T9183" t="str">
        <v>x</v>
      </c>
      <c r="U9183">
        <f>0.006165*F9183^2</f>
        <v>1.57824</v>
      </c>
      <c r="X9183" t="str">
        <v>x</v>
      </c>
      <c r="Y9183">
        <f>D9180</f>
        <v>1</v>
      </c>
      <c r="Z9183" t="str">
        <v>=</v>
      </c>
      <c r="AA9183">
        <f>IF(AA9184=0,(D9183*N9183+P9183*R9183)*U9183*Y9183,0)</f>
        <v>0</v>
      </c>
    </row>
    <row r="9184">
      <c r="A9184" t="str">
        <f>A9174</f>
        <v>Lantai Attic</v>
      </c>
      <c r="B9184">
        <f>B9174</f>
        <v>42</v>
      </c>
      <c r="D9184">
        <f>IF(AND(D9181=D9182,D9182=D9183,D9181=D9183),D9181,0)</f>
        <v>3</v>
      </c>
      <c r="E9184" t="str">
        <v>D</v>
      </c>
      <c r="F9184">
        <f>IF(AND(F9181=F9182,F9181=F9183,F9182=F9183),F9181,0)</f>
        <v>16</v>
      </c>
      <c r="L9184" t="str">
        <v>Total panjang per balok</v>
      </c>
      <c r="M9184" t="str">
        <v>=</v>
      </c>
      <c r="N9184">
        <f>IF(AND(D9181=D9182,D9181=D9183,D9182=D9183,F9181=F9182,F9181=F9183,F9182=F9183),SUM(N9181:N9183),0)</f>
        <v>6.5840000000000005</v>
      </c>
      <c r="O9184" t="str">
        <v>+</v>
      </c>
      <c r="P9184">
        <f>IF(N9184&gt;12,ROUNDDOWN(N9184/12,0),0)</f>
        <v>0</v>
      </c>
      <c r="Q9184" t="str">
        <v>x</v>
      </c>
      <c r="R9184">
        <f>IF(P9184&gt;0,MAX(VLOOKUP(F9184,$D$6:$G$15,3,FALSE),600),0)/1000</f>
        <v>0</v>
      </c>
      <c r="T9184" t="str">
        <v>x</v>
      </c>
      <c r="U9184">
        <f>U9183</f>
        <v>1.57824</v>
      </c>
      <c r="V9184" t="str">
        <v>x</v>
      </c>
      <c r="W9184">
        <f>D9184</f>
        <v>3</v>
      </c>
      <c r="X9184" t="str">
        <v>x</v>
      </c>
      <c r="Y9184">
        <f>Y9183</f>
        <v>1</v>
      </c>
      <c r="Z9184" t="str">
        <v>=</v>
      </c>
      <c r="AA9184">
        <f>(N9184+P9184*R9184/1000)*U9184*W9184*Y9184</f>
        <v>31.173396480000005</v>
      </c>
    </row>
    <row r="9186">
      <c r="A9186" t="str">
        <f>A9174</f>
        <v>Lantai Attic</v>
      </c>
      <c r="B9186">
        <f>B9174</f>
        <v>42</v>
      </c>
      <c r="C9186" t="str">
        <v>Tul Peminggang</v>
      </c>
      <c r="D9186">
        <f>VLOOKUP(D9174,'Detail Balok'!$C$10:$AU$110,13,FALSE)</f>
        <v>2</v>
      </c>
      <c r="E9186" t="str">
        <v>D</v>
      </c>
      <c r="F9186">
        <f>VLOOKUP(D9174,'Detail Balok'!$C$10:$AU$110,15,FALSE)</f>
        <v>8</v>
      </c>
      <c r="J9186">
        <f>+D9176/1000</f>
        <v>6.2</v>
      </c>
      <c r="K9186" t="str">
        <v>+</v>
      </c>
      <c r="L9186">
        <f>2*$F$16*F9186/1000</f>
        <v>0.192</v>
      </c>
      <c r="M9186" t="str">
        <v>=</v>
      </c>
      <c r="N9186">
        <f>J9186+L9186</f>
        <v>6.392</v>
      </c>
      <c r="O9186" t="str">
        <v>+</v>
      </c>
      <c r="P9186">
        <f>IF(N9186&gt;12,ROUNDDOWN(N9186/12,0),0)</f>
        <v>0</v>
      </c>
      <c r="Q9186" t="str">
        <v>x</v>
      </c>
      <c r="R9186">
        <f>IF(P9186&gt;0,MAX(VLOOKUP(F9186,$D$6:$G$15,3,FALSE),600),0)/1000</f>
        <v>0</v>
      </c>
      <c r="T9186" t="str">
        <v>x</v>
      </c>
      <c r="U9186">
        <f>0.006165*F9186^2</f>
        <v>0.39456</v>
      </c>
      <c r="V9186" t="str">
        <v>x</v>
      </c>
      <c r="W9186">
        <f>+D9186</f>
        <v>2</v>
      </c>
      <c r="X9186" t="str">
        <v>x</v>
      </c>
      <c r="Y9186">
        <f>D9180</f>
        <v>1</v>
      </c>
      <c r="Z9186" t="str">
        <v>=</v>
      </c>
      <c r="AA9186">
        <f>(N9186+P9186*R9186/1000)*U9186*W9186*Y9186</f>
        <v>5.044055040000001</v>
      </c>
    </row>
    <row r="9189">
      <c r="A9189" t="str">
        <f>A9174</f>
        <v>Lantai Attic</v>
      </c>
      <c r="B9189">
        <f>B9174</f>
        <v>42</v>
      </c>
      <c r="C9189" t="str">
        <v>Tul Bawah Tumpuan</v>
      </c>
      <c r="D9189">
        <f>VLOOKUP(D9174,'Detail Balok'!$C$10:$AU$110,22,FALSE)</f>
        <v>3</v>
      </c>
      <c r="E9189" t="str">
        <v>D</v>
      </c>
      <c r="F9189">
        <f>VLOOKUP(D9174,'Detail Balok'!$C$10:$AU$110,24,FALSE)</f>
        <v>16</v>
      </c>
      <c r="I9189" t="str">
        <v>(</v>
      </c>
      <c r="J9189">
        <f>+J9181</f>
        <v>1.55</v>
      </c>
      <c r="K9189" t="str">
        <v>+</v>
      </c>
      <c r="L9189">
        <f>MAX(VLOOKUP(F9189,N$6:P$15,3,FALSE)/1000,2/3*D9179/1000)+F$16*F9189/1000</f>
        <v>0.192</v>
      </c>
      <c r="M9189" t="str">
        <v>=</v>
      </c>
      <c r="N9189">
        <f>J9189+L9189</f>
        <v>1.742</v>
      </c>
      <c r="O9189" t="str">
        <v>+</v>
      </c>
      <c r="P9189">
        <f>D9189-D9190</f>
        <v>0</v>
      </c>
      <c r="Q9189" t="str">
        <v>x</v>
      </c>
      <c r="R9189">
        <f>IF(P9189&gt;0,$F$18*F9189/1000,0)</f>
        <v>0</v>
      </c>
      <c r="S9189" t="str">
        <v>)</v>
      </c>
      <c r="T9189" t="str">
        <v>x</v>
      </c>
      <c r="U9189">
        <f>0.006165*F9189^2</f>
        <v>1.57824</v>
      </c>
      <c r="X9189" t="str">
        <v>x</v>
      </c>
      <c r="Y9189">
        <f>D9180</f>
        <v>1</v>
      </c>
      <c r="Z9189" t="str">
        <v>=</v>
      </c>
      <c r="AA9189">
        <f>IF(AA9192=0,(D9189*N9189+P9189*R9189)*U9189*Y9189,0)</f>
        <v>0</v>
      </c>
    </row>
    <row r="9190">
      <c r="A9190" t="str">
        <f>A9174</f>
        <v>Lantai Attic</v>
      </c>
      <c r="B9190">
        <f>B9174</f>
        <v>42</v>
      </c>
      <c r="C9190" t="str">
        <v>Tul Bawah Lapangan</v>
      </c>
      <c r="D9190">
        <f>VLOOKUP(D9174,'Detail Balok'!$C$10:$AU$110,25,FALSE)</f>
        <v>3</v>
      </c>
      <c r="E9190" t="str">
        <v>D</v>
      </c>
      <c r="F9190">
        <f>VLOOKUP(D9174,'Detail Balok'!$C$10:$AU$110,27,FALSE)</f>
        <v>16</v>
      </c>
      <c r="I9190" t="str">
        <v>(</v>
      </c>
      <c r="J9190">
        <f>+J9182</f>
        <v>3.1</v>
      </c>
      <c r="K9190" t="str">
        <v>+</v>
      </c>
      <c r="M9190" t="str">
        <v>=</v>
      </c>
      <c r="N9190">
        <f>J9190+L9190</f>
        <v>3.1</v>
      </c>
      <c r="O9190" t="str">
        <v>+</v>
      </c>
      <c r="P9190">
        <f>MAX(D9190-D9189,D9190-D9191)</f>
        <v>0</v>
      </c>
      <c r="Q9190" t="str">
        <v>x</v>
      </c>
      <c r="R9190">
        <f>IF(P9190&gt;0,2*(1-2*$F$19-1/2)*D9177/1000,0)</f>
        <v>0</v>
      </c>
      <c r="S9190" t="str">
        <v>)</v>
      </c>
      <c r="T9190" t="str">
        <v>x</v>
      </c>
      <c r="U9190">
        <f>0.006165*F9190^2</f>
        <v>1.57824</v>
      </c>
      <c r="X9190" t="str">
        <v>x</v>
      </c>
      <c r="Y9190">
        <f>D9180</f>
        <v>1</v>
      </c>
      <c r="Z9190" t="str">
        <v>=</v>
      </c>
      <c r="AA9190">
        <f>IF(AA9192=0,(D9190*N9190+P9190*R9190)*U9190*Y9190,0)</f>
        <v>0</v>
      </c>
    </row>
    <row r="9191">
      <c r="A9191" t="str">
        <f>A9174</f>
        <v>Lantai Attic</v>
      </c>
      <c r="B9191">
        <f>B9174</f>
        <v>42</v>
      </c>
      <c r="C9191" t="str">
        <v>Tul Bawah Tumpuan</v>
      </c>
      <c r="D9191">
        <f>VLOOKUP(D9174,'Detail Balok'!$C$10:$AU$110,28,FALSE)</f>
        <v>3</v>
      </c>
      <c r="E9191" t="str">
        <v>D</v>
      </c>
      <c r="F9191">
        <f>VLOOKUP(D9174,'Detail Balok'!$C$10:$AU$110,30,FALSE)</f>
        <v>16</v>
      </c>
      <c r="I9191" t="str">
        <v>(</v>
      </c>
      <c r="J9191">
        <f>+J9183</f>
        <v>1.55</v>
      </c>
      <c r="K9191" t="str">
        <v>+</v>
      </c>
      <c r="L9191">
        <f>MAX(VLOOKUP(F9191,N$6:P$15,3,FALSE)/1000,2/3*D9179/1000)+F$16*F9191/1000</f>
        <v>0.192</v>
      </c>
      <c r="M9191" t="str">
        <v>=</v>
      </c>
      <c r="N9191">
        <f>J9191+L9191</f>
        <v>1.742</v>
      </c>
      <c r="O9191" t="str">
        <v>+</v>
      </c>
      <c r="P9191">
        <f>D9191-D9190</f>
        <v>0</v>
      </c>
      <c r="Q9191" t="str">
        <v>x</v>
      </c>
      <c r="R9191">
        <f>IF(P9191&gt;0,$F$18*F9191/1000,0)</f>
        <v>0</v>
      </c>
      <c r="S9191" t="str">
        <v>)</v>
      </c>
      <c r="T9191" t="str">
        <v>x</v>
      </c>
      <c r="U9191">
        <f>0.006165*F9191^2</f>
        <v>1.57824</v>
      </c>
      <c r="X9191" t="str">
        <v>x</v>
      </c>
      <c r="Y9191">
        <f>D9180</f>
        <v>1</v>
      </c>
      <c r="Z9191" t="str">
        <v>=</v>
      </c>
      <c r="AA9191">
        <f>IF(AA9192=0,(D9191*N9191+P9191*R9191)*U9191*Y9191,0)</f>
        <v>0</v>
      </c>
    </row>
    <row r="9192">
      <c r="A9192" t="str">
        <f>A9174</f>
        <v>Lantai Attic</v>
      </c>
      <c r="B9192">
        <f>B9174</f>
        <v>42</v>
      </c>
      <c r="D9192">
        <f>IF(AND(D9189=D9190,D9190=D9191,D9189=D9191),D9189,0)</f>
        <v>3</v>
      </c>
      <c r="E9192" t="str">
        <v>D</v>
      </c>
      <c r="F9192">
        <f>IF(AND(F9189=F9190,F9189=F9191,F9190=F9191),F9189,0)</f>
        <v>16</v>
      </c>
      <c r="L9192" t="str">
        <v>Total panjang per balok</v>
      </c>
      <c r="M9192" t="str">
        <v>=</v>
      </c>
      <c r="N9192">
        <f>IF(AND(D9189=D9190,D9189=D9191,D9190=D9191,F9189=F9190,F9189=F9191,F9190=F9191),SUM(N9189:N9191),0)</f>
        <v>6.5840000000000005</v>
      </c>
      <c r="O9192" t="str">
        <v>+</v>
      </c>
      <c r="P9192">
        <f>IF(N9192&gt;12,ROUNDDOWN(N9192/12,0),0)</f>
        <v>0</v>
      </c>
      <c r="Q9192" t="str">
        <v>x</v>
      </c>
      <c r="R9192">
        <f>IF(P9192&gt;0,MAX(VLOOKUP(F9192,$D$6:$G$15,3,FALSE),600),0)/1000</f>
        <v>0</v>
      </c>
      <c r="T9192" t="str">
        <v>x</v>
      </c>
      <c r="U9192">
        <f>U9191</f>
        <v>1.57824</v>
      </c>
      <c r="V9192" t="str">
        <v>x</v>
      </c>
      <c r="W9192">
        <f>D9192</f>
        <v>3</v>
      </c>
      <c r="X9192" t="str">
        <v>x</v>
      </c>
      <c r="Y9192">
        <f>Y9191</f>
        <v>1</v>
      </c>
      <c r="Z9192" t="str">
        <v>=</v>
      </c>
      <c r="AA9192">
        <f>(N9192+P9192*R9192/1000)*U9192*W9192*Y9192</f>
        <v>31.173396480000005</v>
      </c>
    </row>
    <row r="9194">
      <c r="A9194" t="str">
        <f>A9174</f>
        <v>Lantai Attic</v>
      </c>
      <c r="B9194">
        <f>B9174</f>
        <v>42</v>
      </c>
      <c r="C9194" t="str">
        <v>Sengkang Tumpuan</v>
      </c>
      <c r="D9194">
        <f>VLOOKUP(D9174,'Detail Balok'!$C$10:$AU$110,31,FALSE)</f>
        <v>0</v>
      </c>
      <c r="E9194" t="str">
        <v>D</v>
      </c>
      <c r="F9194">
        <f>VLOOKUP(D9174,'Detail Balok'!$C$10:$AU$110,33,FALSE)</f>
        <v>8</v>
      </c>
      <c r="G9194" t="str">
        <v>-</v>
      </c>
      <c r="H9194">
        <f>VLOOKUP(D9174,'Detail Balok'!$C$10:$AU$110,35,FALSE)</f>
        <v>100</v>
      </c>
      <c r="J9194">
        <f>(IF(D9194=0,(2*(D9175+G9175))-(F$5*8),IF(D9194=3,(2*(D9175+G9175))-(F$5*8)+(G9175-2*F$5),IF(D9194=4,(2*(D9175+G9175))-(F$5*8)+2*(G9175-2*F$5)))))/1000</f>
        <v>0.98</v>
      </c>
      <c r="K9194" t="str">
        <v>+</v>
      </c>
      <c r="L9194">
        <f>IF(D9194=0,2*MAX(6*F9194,75),(D9194-1)*2*MAX(6*F9194,75))/1000</f>
        <v>0.15</v>
      </c>
      <c r="M9194" t="str">
        <v>=</v>
      </c>
      <c r="N9194">
        <f>J9194+L9194</f>
        <v>1.13</v>
      </c>
      <c r="T9194" t="str">
        <v>x</v>
      </c>
      <c r="U9194">
        <f>0.006165*F9194^2</f>
        <v>0.39456</v>
      </c>
      <c r="V9194" t="str">
        <v>x</v>
      </c>
      <c r="W9194">
        <f>IF(D9177&gt;4*G9175,ROUND(MAX(D9177/4,2*G9175)/H9194,0)+1,ROUND(D9177/H9194,0)+1)</f>
        <v>17</v>
      </c>
      <c r="X9194" t="str">
        <v>x</v>
      </c>
      <c r="Y9194">
        <f>D9180</f>
        <v>1</v>
      </c>
      <c r="Z9194" t="str">
        <v>=</v>
      </c>
      <c r="AA9194">
        <f>N9194*U9194*W9194*Y9194</f>
        <v>7.5794976</v>
      </c>
    </row>
    <row r="9195">
      <c r="A9195" t="str">
        <f>A9174</f>
        <v>Lantai Attic</v>
      </c>
      <c r="B9195">
        <f>B9174</f>
        <v>42</v>
      </c>
      <c r="C9195" t="str">
        <v>Sengkang Lapangan</v>
      </c>
      <c r="D9195">
        <f>VLOOKUP(D9174,'Detail Balok'!$C$10:$AU$110,36,FALSE)</f>
        <v>0</v>
      </c>
      <c r="E9195" t="str">
        <v>D</v>
      </c>
      <c r="F9195">
        <f>VLOOKUP(D9174,'Detail Balok'!$C$10:$AU$110,38,FALSE)</f>
        <v>8</v>
      </c>
      <c r="G9195" t="str">
        <v>-</v>
      </c>
      <c r="H9195">
        <f>VLOOKUP(D9174,'Detail Balok'!$C$10:$AU$110,40,FALSE)</f>
        <v>200</v>
      </c>
      <c r="J9195">
        <f>(IF(D9195=0,(2*(D9175+G9175))-(F$5*8),IF(D9195=3,(2*(D9175+G9175))-(F$5*8)+(G9175-2*F$5),IF(D9195=4,(2*(D9175+G9175))-(F$5*8)+2*(G9175-2*F$5)))))/1000</f>
        <v>0.98</v>
      </c>
      <c r="K9195" t="str">
        <v>+</v>
      </c>
      <c r="L9195">
        <f>IF(D9195=0,2*MAX(6*F9195,75),(D9195-1)*2*MAX(6*F9195,75))/1000</f>
        <v>0.15</v>
      </c>
      <c r="M9195" t="str">
        <v>=</v>
      </c>
      <c r="N9195">
        <f>J9195+L9195</f>
        <v>1.13</v>
      </c>
      <c r="T9195" t="str">
        <v>x</v>
      </c>
      <c r="U9195">
        <f>0.006165*F9195^2</f>
        <v>0.39456</v>
      </c>
      <c r="V9195" t="str">
        <v>x</v>
      </c>
      <c r="W9195">
        <f>IF(D9177-MAX(D9177/4,2*G9175)*2&gt;0,ROUND((D9177-MAX(D9177/4,2*G9175)*2)/H9195,0),0)</f>
        <v>16</v>
      </c>
      <c r="X9195" t="str">
        <v>x</v>
      </c>
      <c r="Y9195">
        <f>D9180</f>
        <v>1</v>
      </c>
      <c r="Z9195" t="str">
        <v>=</v>
      </c>
      <c r="AA9195">
        <f>N9195*U9195*W9195*Y9195</f>
        <v>7.1336448</v>
      </c>
    </row>
    <row r="9196">
      <c r="A9196" t="str">
        <f>A9174</f>
        <v>Lantai Attic</v>
      </c>
      <c r="B9196">
        <f>B9174</f>
        <v>42</v>
      </c>
      <c r="C9196" t="str">
        <v>Sengkang Tumpuan</v>
      </c>
      <c r="D9196">
        <f>VLOOKUP(D9174,'Detail Balok'!$C$10:$AU$110,41,FALSE)</f>
        <v>0</v>
      </c>
      <c r="E9196" t="str">
        <v>D</v>
      </c>
      <c r="F9196">
        <f>VLOOKUP(D9174,'Detail Balok'!$C$10:$AU$110,43,FALSE)</f>
        <v>8</v>
      </c>
      <c r="G9196" t="str">
        <v>-</v>
      </c>
      <c r="H9196">
        <f>VLOOKUP(D9174,'Detail Balok'!$C$10:$AU$110,45,FALSE)</f>
        <v>100</v>
      </c>
      <c r="J9196">
        <f>(IF(D9196=0,(2*(D9175+G9175))-(F$5*8),IF(D9196=3,(2*(D9175+G9175))-(F$5*8)+(G9175-2*F$5),IF(D9196=4,(2*(D9175+G9175))-(F$5*8)+2*(G9175-2*F$5)))))/1000</f>
        <v>0.98</v>
      </c>
      <c r="K9196" t="str">
        <v>+</v>
      </c>
      <c r="L9196">
        <f>IF(D9196=0,2*MAX(6*F9196,75),(D9196-1)*2*MAX(6*F9196,75))/1000</f>
        <v>0.15</v>
      </c>
      <c r="M9196" t="str">
        <v>=</v>
      </c>
      <c r="N9196">
        <f>J9196+L9196</f>
        <v>1.13</v>
      </c>
      <c r="T9196" t="str">
        <v>x</v>
      </c>
      <c r="U9196">
        <f>0.006165*F9196^2</f>
        <v>0.39456</v>
      </c>
      <c r="V9196" t="str">
        <v>x</v>
      </c>
      <c r="W9196">
        <f>IF(D9177&gt;4*G9175,ROUND(MAX(D9177/4,2*G9175)/H9196,0)+1,0)</f>
        <v>17</v>
      </c>
      <c r="X9196" t="str">
        <v>x</v>
      </c>
      <c r="Y9196">
        <f>D9180</f>
        <v>1</v>
      </c>
      <c r="Z9196" t="str">
        <v>=</v>
      </c>
      <c r="AA9196">
        <f>N9196*U9196*W9196*Y9196</f>
        <v>7.5794976</v>
      </c>
    </row>
    <row r="9198">
      <c r="A9198" t="str">
        <f>A9174</f>
        <v>Lantai Attic</v>
      </c>
      <c r="B9198">
        <f>B9174</f>
        <v>42</v>
      </c>
      <c r="C9198" t="str">
        <v>Kait Horizontal Tump.</v>
      </c>
      <c r="D9198">
        <f>VLOOKUP(D9174,'Detail Balok'!$C$10:$BJ$110,46,FALSE)</f>
        <v>0</v>
      </c>
      <c r="E9198" t="str">
        <v>D</v>
      </c>
      <c r="F9198">
        <f>VLOOKUP(D9174,'Detail Balok'!$C$10:$BJ$110,48,FALSE)</f>
        <v>0</v>
      </c>
      <c r="G9198" t="str">
        <v>-</v>
      </c>
      <c r="H9198">
        <f>VLOOKUP(D9174,'Detail Balok'!$C$10:$BJ$110,50,FALSE)</f>
        <v>100</v>
      </c>
      <c r="J9198">
        <f>(D9175-2*F$5)/1000</f>
        <v>0.12</v>
      </c>
      <c r="K9198" t="str">
        <v>+</v>
      </c>
      <c r="L9198">
        <f>IF(D9198=0,2*MAX(6*F9198,75),(D9198-1)*2*MAX(6*F9198,75))/1000</f>
        <v>0.15</v>
      </c>
      <c r="M9198" t="str">
        <v>=</v>
      </c>
      <c r="N9198">
        <f>J9198+L9198</f>
        <v>0.27</v>
      </c>
      <c r="T9198" t="str">
        <v>x</v>
      </c>
      <c r="U9198">
        <f>0.006165*F9198^2</f>
        <v>0</v>
      </c>
      <c r="V9198" t="str">
        <v>x</v>
      </c>
      <c r="W9198">
        <f>W9194</f>
        <v>17</v>
      </c>
      <c r="X9198" t="str">
        <v>x</v>
      </c>
      <c r="Y9198">
        <f>D9184</f>
        <v>3</v>
      </c>
      <c r="Z9198" t="str">
        <v>=</v>
      </c>
      <c r="AA9198">
        <f>N9198*U9198*W9198*Y9198</f>
        <v>0</v>
      </c>
    </row>
    <row r="9199">
      <c r="A9199" t="str">
        <f>A9174</f>
        <v>Lantai Attic</v>
      </c>
      <c r="B9199">
        <f>B9174</f>
        <v>42</v>
      </c>
      <c r="C9199" t="str">
        <v>Kait Horizontal Lap.</v>
      </c>
      <c r="D9199">
        <f>VLOOKUP(D9174,'Detail Balok'!$C$10:$BJ$110,51,FALSE)</f>
        <v>0</v>
      </c>
      <c r="E9199" t="str">
        <v>D</v>
      </c>
      <c r="F9199">
        <f>VLOOKUP(D9174,'Detail Balok'!$C$10:$BJ$110,53,FALSE)</f>
        <v>0</v>
      </c>
      <c r="G9199" t="str">
        <v>-</v>
      </c>
      <c r="H9199">
        <f>VLOOKUP(D9174,'Detail Balok'!$C$10:$BJ$110,55,FALSE)</f>
        <v>100</v>
      </c>
      <c r="J9199">
        <f>(D9175-2*F$5)/1000</f>
        <v>0.12</v>
      </c>
      <c r="K9199" t="str">
        <v>+</v>
      </c>
      <c r="L9199">
        <f>IF(D9199=0,2*MAX(6*F9199,75),(D9199-1)*2*MAX(6*F9199,75))/1000</f>
        <v>0.15</v>
      </c>
      <c r="M9199" t="str">
        <v>=</v>
      </c>
      <c r="N9199">
        <f>J9199+L9199</f>
        <v>0.27</v>
      </c>
      <c r="T9199" t="str">
        <v>x</v>
      </c>
      <c r="U9199">
        <f>0.006165*F9199^2</f>
        <v>0</v>
      </c>
      <c r="V9199" t="str">
        <v>x</v>
      </c>
      <c r="W9199">
        <f>W9195</f>
        <v>16</v>
      </c>
      <c r="X9199" t="str">
        <v>x</v>
      </c>
      <c r="Y9199">
        <f>D9184</f>
        <v>3</v>
      </c>
      <c r="Z9199" t="str">
        <v>=</v>
      </c>
      <c r="AA9199">
        <f>N9199*U9199*W9199*Y9199</f>
        <v>0</v>
      </c>
    </row>
    <row r="9200">
      <c r="A9200" t="str">
        <f>A9174</f>
        <v>Lantai Attic</v>
      </c>
      <c r="B9200">
        <f>B9174</f>
        <v>42</v>
      </c>
      <c r="C9200" t="str">
        <v>Kait Horizontal Tump.</v>
      </c>
      <c r="D9200">
        <f>VLOOKUP(D9174,'Detail Balok'!$C$10:$BJ$110,56,FALSE)</f>
        <v>0</v>
      </c>
      <c r="E9200" t="str">
        <v>D</v>
      </c>
      <c r="F9200">
        <f>VLOOKUP(D9174,'Detail Balok'!$C$10:$BJ$110,58,FALSE)</f>
        <v>0</v>
      </c>
      <c r="G9200" t="str">
        <v>-</v>
      </c>
      <c r="H9200">
        <f>VLOOKUP(D9174,'Detail Balok'!$C$10:$BJ$110,60,FALSE)</f>
        <v>100</v>
      </c>
      <c r="J9200">
        <f>(D9175-2*F$5)/1000</f>
        <v>0.12</v>
      </c>
      <c r="K9200" t="str">
        <v>+</v>
      </c>
      <c r="L9200">
        <f>IF(D9200=0,2*MAX(6*F9200,75),(D9200-1)*2*MAX(6*F9200,75))/1000</f>
        <v>0.15</v>
      </c>
      <c r="M9200" t="str">
        <v>=</v>
      </c>
      <c r="N9200">
        <f>J9200+L9200</f>
        <v>0.27</v>
      </c>
      <c r="T9200" t="str">
        <v>x</v>
      </c>
      <c r="U9200">
        <f>0.006165*F9200^2</f>
        <v>0</v>
      </c>
      <c r="V9200" t="str">
        <v>x</v>
      </c>
      <c r="W9200">
        <f>W9196</f>
        <v>17</v>
      </c>
      <c r="X9200" t="str">
        <v>x</v>
      </c>
      <c r="Y9200">
        <f>D9184</f>
        <v>3</v>
      </c>
      <c r="Z9200" t="str">
        <v>=</v>
      </c>
      <c r="AA9200">
        <f>N9200*U9200*W9200*Y9200</f>
        <v>0</v>
      </c>
    </row>
    <row r="9204">
      <c r="A9204" t="str">
        <f>A9174</f>
        <v>Lantai Attic</v>
      </c>
      <c r="B9204">
        <f>B9174+1</f>
        <v>43</v>
      </c>
      <c r="C9204" t="str">
        <f>CONCATENATE(A9204," no. ",B9204)</f>
        <v>Lantai Attic no. 43</v>
      </c>
      <c r="D9204" t="str">
        <f>VLOOKUP(C9204,'Data Panjang Balok'!$C$9:$N$424,2,FALSE)</f>
        <v>Potongan F</v>
      </c>
    </row>
    <row r="9205">
      <c r="C9205" t="str">
        <v>Dimensi</v>
      </c>
      <c r="D9205">
        <f>VLOOKUP(D9204,'Detail Balok'!$C$10:$AU$110,2,FALSE)</f>
        <v>200</v>
      </c>
      <c r="F9205" t="str">
        <v>x</v>
      </c>
      <c r="G9205">
        <f>VLOOKUP(D9204,'Detail Balok'!$C$10:$AU$110,3,FALSE)</f>
        <v>450</v>
      </c>
    </row>
    <row r="9206">
      <c r="C9206" t="str">
        <v>Panjang as ke as</v>
      </c>
      <c r="D9206">
        <f>VLOOKUP(C9204,'Data Panjang Balok'!$C$9:$N$424,4,FALSE)</f>
        <v>2700</v>
      </c>
    </row>
    <row r="9207">
      <c r="C9207" t="str">
        <v>Panjang netto</v>
      </c>
      <c r="D9207">
        <f>VLOOKUP(C9204,'Data Panjang Balok'!$C$9:$N$424,7,FALSE)</f>
        <v>2700</v>
      </c>
    </row>
    <row r="9208">
      <c r="C9208" t="str">
        <v>Kolom / balok kiri</v>
      </c>
      <c r="D9208">
        <f>VLOOKUP(C9204,'Data Panjang Balok'!$C$9:$N$424,9,FALSE)</f>
        <v>0</v>
      </c>
    </row>
    <row r="9209">
      <c r="C9209" t="str">
        <v>Kolom / balok kanan</v>
      </c>
      <c r="D9209">
        <f>VLOOKUP(C9204,'Data Panjang Balok'!$C$9:$N$424,10,FALSE)</f>
        <v>0</v>
      </c>
    </row>
    <row r="9210">
      <c r="C9210" t="str">
        <v>Jumlah</v>
      </c>
      <c r="D9210">
        <f>VLOOKUP(C9204,'Data Panjang Balok'!$C$9:$N$424,3,FALSE)</f>
        <v>1</v>
      </c>
    </row>
    <row r="9211">
      <c r="A9211" t="str">
        <f>A9204</f>
        <v>Lantai Attic</v>
      </c>
      <c r="B9211">
        <f>B9204</f>
        <v>43</v>
      </c>
      <c r="C9211" t="str">
        <v>Tul Atas Tumpuan</v>
      </c>
      <c r="D9211">
        <f>VLOOKUP(D9204,'Detail Balok'!$C$10:$AU$110,4,FALSE)</f>
        <v>5</v>
      </c>
      <c r="E9211" t="str">
        <v>D</v>
      </c>
      <c r="F9211">
        <f>VLOOKUP(D9204,'Detail Balok'!$C$10:$AU$110,6,FALSE)</f>
        <v>16</v>
      </c>
      <c r="I9211" t="str">
        <v>(</v>
      </c>
      <c r="J9211">
        <f>+D9206/4/1000</f>
        <v>0.675</v>
      </c>
      <c r="K9211" t="str">
        <v>+</v>
      </c>
      <c r="L9211">
        <f>MAX(VLOOKUP(F9211,N$6:P$15,3,FALSE)/1000,2/3*D9208/1000)+F$16*F9211/1000</f>
        <v>0.192</v>
      </c>
      <c r="M9211" t="str">
        <v>=</v>
      </c>
      <c r="N9211">
        <f>J9211+L9211</f>
        <v>0.867</v>
      </c>
      <c r="O9211" t="str">
        <v>+</v>
      </c>
      <c r="P9211">
        <f>D9211-D9212</f>
        <v>0</v>
      </c>
      <c r="Q9211" t="str">
        <v>x</v>
      </c>
      <c r="R9211">
        <f>IF(P9211&gt;0,$F$18*F9211/1000,0)</f>
        <v>0</v>
      </c>
      <c r="S9211" t="str">
        <v>)</v>
      </c>
      <c r="T9211" t="str">
        <v>x</v>
      </c>
      <c r="U9211">
        <f>0.006165*F9211^2</f>
        <v>1.57824</v>
      </c>
      <c r="X9211" t="str">
        <v>x</v>
      </c>
      <c r="Y9211">
        <f>D9210</f>
        <v>1</v>
      </c>
      <c r="Z9211" t="str">
        <v>=</v>
      </c>
      <c r="AA9211">
        <f>IF(AA9214=0,(D9211*N9211+P9211*R9211)*U9211*Y9211,0)</f>
        <v>0</v>
      </c>
    </row>
    <row r="9212">
      <c r="A9212" t="str">
        <f>A9204</f>
        <v>Lantai Attic</v>
      </c>
      <c r="B9212">
        <f>B9204</f>
        <v>43</v>
      </c>
      <c r="C9212" t="str">
        <v>Tul Atas Lapangan</v>
      </c>
      <c r="D9212">
        <f>VLOOKUP(D9204,'Detail Balok'!$C$10:$AU$110,7,FALSE)</f>
        <v>5</v>
      </c>
      <c r="E9212" t="str">
        <v>D</v>
      </c>
      <c r="F9212">
        <f>VLOOKUP(D9204,'Detail Balok'!$C$10:$AU$110,9,FALSE)</f>
        <v>16</v>
      </c>
      <c r="I9212" t="str">
        <v>(</v>
      </c>
      <c r="J9212">
        <f>+D9206/2/1000</f>
        <v>1.35</v>
      </c>
      <c r="K9212" t="str">
        <v>+</v>
      </c>
      <c r="M9212" t="str">
        <v>=</v>
      </c>
      <c r="N9212">
        <f>J9212+L9212</f>
        <v>1.35</v>
      </c>
      <c r="O9212" t="str">
        <v>+</v>
      </c>
      <c r="P9212">
        <f>MAX(D9212-D9211,D9212-D9213)</f>
        <v>0</v>
      </c>
      <c r="Q9212" t="str">
        <v>x</v>
      </c>
      <c r="R9212">
        <f>IF(P9212&gt;0,2*(1-2*$F$19-1/2)*D9207/1000,0)</f>
        <v>0</v>
      </c>
      <c r="S9212" t="str">
        <v>)</v>
      </c>
      <c r="T9212" t="str">
        <v>x</v>
      </c>
      <c r="U9212">
        <f>0.006165*F9212^2</f>
        <v>1.57824</v>
      </c>
      <c r="X9212" t="str">
        <v>x</v>
      </c>
      <c r="Y9212">
        <f>D9210</f>
        <v>1</v>
      </c>
      <c r="Z9212" t="str">
        <v>=</v>
      </c>
      <c r="AA9212">
        <f>IF(AA9214=0,(D9212*N9212+P9212*R9212)*U9212*Y9212,0)</f>
        <v>0</v>
      </c>
    </row>
    <row r="9213">
      <c r="A9213" t="str">
        <f>A9204</f>
        <v>Lantai Attic</v>
      </c>
      <c r="B9213">
        <f>B9204</f>
        <v>43</v>
      </c>
      <c r="C9213" t="str">
        <v>Tul Atas Tumpuan</v>
      </c>
      <c r="D9213">
        <f>VLOOKUP(D9204,'Detail Balok'!$C$10:$AU$110,10,FALSE)</f>
        <v>5</v>
      </c>
      <c r="E9213" t="str">
        <v>D</v>
      </c>
      <c r="F9213">
        <f>VLOOKUP(D9204,'Detail Balok'!$C$10:$AU$110,12,FALSE)</f>
        <v>16</v>
      </c>
      <c r="I9213" t="str">
        <v>(</v>
      </c>
      <c r="J9213">
        <f>+D9206/4/1000</f>
        <v>0.675</v>
      </c>
      <c r="K9213" t="str">
        <v>+</v>
      </c>
      <c r="L9213">
        <f>MAX(VLOOKUP(F9213,N$6:P$15,3,FALSE)/1000,2/3*D9208/1000)+F$16*F9213/1000</f>
        <v>0.192</v>
      </c>
      <c r="M9213" t="str">
        <v>=</v>
      </c>
      <c r="N9213">
        <f>J9213+L9213</f>
        <v>0.867</v>
      </c>
      <c r="O9213" t="str">
        <v>+</v>
      </c>
      <c r="P9213">
        <f>D9213-D9212</f>
        <v>0</v>
      </c>
      <c r="Q9213" t="str">
        <v>x</v>
      </c>
      <c r="R9213">
        <f>IF(P9213&gt;0,$F$18*F9213/1000,0)</f>
        <v>0</v>
      </c>
      <c r="S9213" t="str">
        <v>)</v>
      </c>
      <c r="T9213" t="str">
        <v>x</v>
      </c>
      <c r="U9213">
        <f>0.006165*F9213^2</f>
        <v>1.57824</v>
      </c>
      <c r="X9213" t="str">
        <v>x</v>
      </c>
      <c r="Y9213">
        <f>D9210</f>
        <v>1</v>
      </c>
      <c r="Z9213" t="str">
        <v>=</v>
      </c>
      <c r="AA9213">
        <f>IF(AA9214=0,(D9213*N9213+P9213*R9213)*U9213*Y9213,0)</f>
        <v>0</v>
      </c>
    </row>
    <row r="9214">
      <c r="A9214" t="str">
        <f>A9204</f>
        <v>Lantai Attic</v>
      </c>
      <c r="B9214">
        <f>B9204</f>
        <v>43</v>
      </c>
      <c r="D9214">
        <f>IF(AND(D9211=D9212,D9212=D9213,D9211=D9213),D9211,0)</f>
        <v>5</v>
      </c>
      <c r="E9214" t="str">
        <v>D</v>
      </c>
      <c r="F9214">
        <f>IF(AND(F9211=F9212,F9211=F9213,F9212=F9213),F9211,0)</f>
        <v>16</v>
      </c>
      <c r="L9214" t="str">
        <v>Total panjang per balok</v>
      </c>
      <c r="M9214" t="str">
        <v>=</v>
      </c>
      <c r="N9214">
        <f>IF(AND(D9211=D9212,D9211=D9213,D9212=D9213,F9211=F9212,F9211=F9213,F9212=F9213),SUM(N9211:N9213),0)</f>
        <v>3.084</v>
      </c>
      <c r="O9214" t="str">
        <v>+</v>
      </c>
      <c r="P9214">
        <f>IF(N9214&gt;12,ROUNDDOWN(N9214/12,0),0)</f>
        <v>0</v>
      </c>
      <c r="Q9214" t="str">
        <v>x</v>
      </c>
      <c r="R9214">
        <f>IF(P9214&gt;0,MAX(VLOOKUP(F9214,$D$6:$G$15,3,FALSE),600),0)/1000</f>
        <v>0</v>
      </c>
      <c r="T9214" t="str">
        <v>x</v>
      </c>
      <c r="U9214">
        <f>U9213</f>
        <v>1.57824</v>
      </c>
      <c r="V9214" t="str">
        <v>x</v>
      </c>
      <c r="W9214">
        <f>D9214</f>
        <v>5</v>
      </c>
      <c r="X9214" t="str">
        <v>x</v>
      </c>
      <c r="Y9214">
        <f>Y9213</f>
        <v>1</v>
      </c>
      <c r="Z9214" t="str">
        <v>=</v>
      </c>
      <c r="AA9214">
        <f>(N9214+P9214*R9214/1000)*U9214*W9214*Y9214</f>
        <v>24.336460800000005</v>
      </c>
    </row>
    <row r="9216">
      <c r="A9216" t="str">
        <f>A9204</f>
        <v>Lantai Attic</v>
      </c>
      <c r="B9216">
        <f>B9204</f>
        <v>43</v>
      </c>
      <c r="C9216" t="str">
        <v>Tul Peminggang</v>
      </c>
      <c r="D9216">
        <f>VLOOKUP(D9204,'Detail Balok'!$C$10:$AU$110,13,FALSE)</f>
        <v>2</v>
      </c>
      <c r="E9216" t="str">
        <v>D</v>
      </c>
      <c r="F9216">
        <f>VLOOKUP(D9204,'Detail Balok'!$C$10:$AU$110,15,FALSE)</f>
        <v>10</v>
      </c>
      <c r="J9216">
        <f>+D9206/1000</f>
        <v>2.7</v>
      </c>
      <c r="K9216" t="str">
        <v>+</v>
      </c>
      <c r="L9216">
        <f>2*$F$16*F9216/1000</f>
        <v>0.24</v>
      </c>
      <c r="M9216" t="str">
        <v>=</v>
      </c>
      <c r="N9216">
        <f>J9216+L9216</f>
        <v>2.9400000000000004</v>
      </c>
      <c r="O9216" t="str">
        <v>+</v>
      </c>
      <c r="P9216">
        <f>IF(N9216&gt;12,ROUNDDOWN(N9216/12,0),0)</f>
        <v>0</v>
      </c>
      <c r="Q9216" t="str">
        <v>x</v>
      </c>
      <c r="R9216">
        <f>IF(P9216&gt;0,MAX(VLOOKUP(F9216,$D$6:$G$15,3,FALSE),600),0)/1000</f>
        <v>0</v>
      </c>
      <c r="T9216" t="str">
        <v>x</v>
      </c>
      <c r="U9216">
        <f>0.006165*F9216^2</f>
        <v>0.6165</v>
      </c>
      <c r="V9216" t="str">
        <v>x</v>
      </c>
      <c r="W9216">
        <f>+D9216</f>
        <v>2</v>
      </c>
      <c r="X9216" t="str">
        <v>x</v>
      </c>
      <c r="Y9216">
        <f>D9210</f>
        <v>1</v>
      </c>
      <c r="Z9216" t="str">
        <v>=</v>
      </c>
      <c r="AA9216">
        <f>(N9216+P9216*R9216/1000)*U9216*W9216*Y9216</f>
        <v>3.6250200000000006</v>
      </c>
    </row>
    <row r="9219">
      <c r="A9219" t="str">
        <f>A9204</f>
        <v>Lantai Attic</v>
      </c>
      <c r="B9219">
        <f>B9204</f>
        <v>43</v>
      </c>
      <c r="C9219" t="str">
        <v>Tul Bawah Tumpuan</v>
      </c>
      <c r="D9219">
        <f>VLOOKUP(D9204,'Detail Balok'!$C$10:$AU$110,22,FALSE)</f>
        <v>3</v>
      </c>
      <c r="E9219" t="str">
        <v>D</v>
      </c>
      <c r="F9219">
        <f>VLOOKUP(D9204,'Detail Balok'!$C$10:$AU$110,24,FALSE)</f>
        <v>16</v>
      </c>
      <c r="I9219" t="str">
        <v>(</v>
      </c>
      <c r="J9219">
        <f>+J9211</f>
        <v>0.675</v>
      </c>
      <c r="K9219" t="str">
        <v>+</v>
      </c>
      <c r="L9219">
        <f>MAX(VLOOKUP(F9219,N$6:P$15,3,FALSE)/1000,2/3*D9209/1000)+F$16*F9219/1000</f>
        <v>0.192</v>
      </c>
      <c r="M9219" t="str">
        <v>=</v>
      </c>
      <c r="N9219">
        <f>J9219+L9219</f>
        <v>0.867</v>
      </c>
      <c r="O9219" t="str">
        <v>+</v>
      </c>
      <c r="P9219">
        <f>D9219-D9220</f>
        <v>0</v>
      </c>
      <c r="Q9219" t="str">
        <v>x</v>
      </c>
      <c r="R9219">
        <f>IF(P9219&gt;0,$F$18*F9219/1000,0)</f>
        <v>0</v>
      </c>
      <c r="S9219" t="str">
        <v>)</v>
      </c>
      <c r="T9219" t="str">
        <v>x</v>
      </c>
      <c r="U9219">
        <f>0.006165*F9219^2</f>
        <v>1.57824</v>
      </c>
      <c r="X9219" t="str">
        <v>x</v>
      </c>
      <c r="Y9219">
        <f>D9210</f>
        <v>1</v>
      </c>
      <c r="Z9219" t="str">
        <v>=</v>
      </c>
      <c r="AA9219">
        <f>IF(AA9222=0,(D9219*N9219+P9219*R9219)*U9219*Y9219,0)</f>
        <v>0</v>
      </c>
    </row>
    <row r="9220">
      <c r="A9220" t="str">
        <f>A9204</f>
        <v>Lantai Attic</v>
      </c>
      <c r="B9220">
        <f>B9204</f>
        <v>43</v>
      </c>
      <c r="C9220" t="str">
        <v>Tul Bawah Lapangan</v>
      </c>
      <c r="D9220">
        <f>VLOOKUP(D9204,'Detail Balok'!$C$10:$AU$110,25,FALSE)</f>
        <v>3</v>
      </c>
      <c r="E9220" t="str">
        <v>D</v>
      </c>
      <c r="F9220">
        <f>VLOOKUP(D9204,'Detail Balok'!$C$10:$AU$110,27,FALSE)</f>
        <v>16</v>
      </c>
      <c r="I9220" t="str">
        <v>(</v>
      </c>
      <c r="J9220">
        <f>+J9212</f>
        <v>1.35</v>
      </c>
      <c r="K9220" t="str">
        <v>+</v>
      </c>
      <c r="M9220" t="str">
        <v>=</v>
      </c>
      <c r="N9220">
        <f>J9220+L9220</f>
        <v>1.35</v>
      </c>
      <c r="O9220" t="str">
        <v>+</v>
      </c>
      <c r="P9220">
        <f>MAX(D9220-D9219,D9220-D9221)</f>
        <v>0</v>
      </c>
      <c r="Q9220" t="str">
        <v>x</v>
      </c>
      <c r="R9220">
        <f>IF(P9220&gt;0,2*(1-2*$F$19-1/2)*D9207/1000,0)</f>
        <v>0</v>
      </c>
      <c r="S9220" t="str">
        <v>)</v>
      </c>
      <c r="T9220" t="str">
        <v>x</v>
      </c>
      <c r="U9220">
        <f>0.006165*F9220^2</f>
        <v>1.57824</v>
      </c>
      <c r="X9220" t="str">
        <v>x</v>
      </c>
      <c r="Y9220">
        <f>D9210</f>
        <v>1</v>
      </c>
      <c r="Z9220" t="str">
        <v>=</v>
      </c>
      <c r="AA9220">
        <f>IF(AA9222=0,(D9220*N9220+P9220*R9220)*U9220*Y9220,0)</f>
        <v>0</v>
      </c>
    </row>
    <row r="9221">
      <c r="A9221" t="str">
        <f>A9204</f>
        <v>Lantai Attic</v>
      </c>
      <c r="B9221">
        <f>B9204</f>
        <v>43</v>
      </c>
      <c r="C9221" t="str">
        <v>Tul Bawah Tumpuan</v>
      </c>
      <c r="D9221">
        <f>VLOOKUP(D9204,'Detail Balok'!$C$10:$AU$110,28,FALSE)</f>
        <v>3</v>
      </c>
      <c r="E9221" t="str">
        <v>D</v>
      </c>
      <c r="F9221">
        <f>VLOOKUP(D9204,'Detail Balok'!$C$10:$AU$110,30,FALSE)</f>
        <v>16</v>
      </c>
      <c r="I9221" t="str">
        <v>(</v>
      </c>
      <c r="J9221">
        <f>+J9213</f>
        <v>0.675</v>
      </c>
      <c r="K9221" t="str">
        <v>+</v>
      </c>
      <c r="L9221">
        <f>MAX(VLOOKUP(F9221,N$6:P$15,3,FALSE)/1000,2/3*D9209/1000)+F$16*F9221/1000</f>
        <v>0.192</v>
      </c>
      <c r="M9221" t="str">
        <v>=</v>
      </c>
      <c r="N9221">
        <f>J9221+L9221</f>
        <v>0.867</v>
      </c>
      <c r="O9221" t="str">
        <v>+</v>
      </c>
      <c r="P9221">
        <f>D9221-D9220</f>
        <v>0</v>
      </c>
      <c r="Q9221" t="str">
        <v>x</v>
      </c>
      <c r="R9221">
        <f>IF(P9221&gt;0,$F$18*F9221/1000,0)</f>
        <v>0</v>
      </c>
      <c r="S9221" t="str">
        <v>)</v>
      </c>
      <c r="T9221" t="str">
        <v>x</v>
      </c>
      <c r="U9221">
        <f>0.006165*F9221^2</f>
        <v>1.57824</v>
      </c>
      <c r="X9221" t="str">
        <v>x</v>
      </c>
      <c r="Y9221">
        <f>D9210</f>
        <v>1</v>
      </c>
      <c r="Z9221" t="str">
        <v>=</v>
      </c>
      <c r="AA9221">
        <f>IF(AA9222=0,(D9221*N9221+P9221*R9221)*U9221*Y9221,0)</f>
        <v>0</v>
      </c>
    </row>
    <row r="9222">
      <c r="A9222" t="str">
        <f>A9204</f>
        <v>Lantai Attic</v>
      </c>
      <c r="B9222">
        <f>B9204</f>
        <v>43</v>
      </c>
      <c r="D9222">
        <f>IF(AND(D9219=D9220,D9220=D9221,D9219=D9221),D9219,0)</f>
        <v>3</v>
      </c>
      <c r="E9222" t="str">
        <v>D</v>
      </c>
      <c r="F9222">
        <f>IF(AND(F9219=F9220,F9219=F9221,F9220=F9221),F9219,0)</f>
        <v>16</v>
      </c>
      <c r="L9222" t="str">
        <v>Total panjang per balok</v>
      </c>
      <c r="M9222" t="str">
        <v>=</v>
      </c>
      <c r="N9222">
        <f>IF(AND(D9219=D9220,D9219=D9221,D9220=D9221,F9219=F9220,F9219=F9221,F9220=F9221),SUM(N9219:N9221),0)</f>
        <v>3.084</v>
      </c>
      <c r="O9222" t="str">
        <v>+</v>
      </c>
      <c r="P9222">
        <f>IF(N9222&gt;12,ROUNDDOWN(N9222/12,0),0)</f>
        <v>0</v>
      </c>
      <c r="Q9222" t="str">
        <v>x</v>
      </c>
      <c r="R9222">
        <f>IF(P9222&gt;0,MAX(VLOOKUP(F9222,$D$6:$G$15,3,FALSE),600),0)/1000</f>
        <v>0</v>
      </c>
      <c r="T9222" t="str">
        <v>x</v>
      </c>
      <c r="U9222">
        <f>U9221</f>
        <v>1.57824</v>
      </c>
      <c r="V9222" t="str">
        <v>x</v>
      </c>
      <c r="W9222">
        <f>D9222</f>
        <v>3</v>
      </c>
      <c r="X9222" t="str">
        <v>x</v>
      </c>
      <c r="Y9222">
        <f>Y9221</f>
        <v>1</v>
      </c>
      <c r="Z9222" t="str">
        <v>=</v>
      </c>
      <c r="AA9222">
        <f>(N9222+P9222*R9222/1000)*U9222*W9222*Y9222</f>
        <v>14.601876480000001</v>
      </c>
    </row>
    <row r="9224">
      <c r="A9224" t="str">
        <f>A9204</f>
        <v>Lantai Attic</v>
      </c>
      <c r="B9224">
        <f>B9204</f>
        <v>43</v>
      </c>
      <c r="C9224" t="str">
        <v>Sengkang Tumpuan</v>
      </c>
      <c r="D9224">
        <f>VLOOKUP(D9204,'Detail Balok'!$C$10:$AU$110,31,FALSE)</f>
        <v>0</v>
      </c>
      <c r="E9224" t="str">
        <v>D</v>
      </c>
      <c r="F9224">
        <f>VLOOKUP(D9204,'Detail Balok'!$C$10:$AU$110,33,FALSE)</f>
        <v>10</v>
      </c>
      <c r="G9224" t="str">
        <v>-</v>
      </c>
      <c r="H9224">
        <f>VLOOKUP(D9204,'Detail Balok'!$C$10:$AU$110,35,FALSE)</f>
        <v>100</v>
      </c>
      <c r="J9224">
        <f>(IF(D9224=0,(2*(D9205+G9205))-(F$5*8),IF(D9224=3,(2*(D9205+G9205))-(F$5*8)+(G9205-2*F$5),IF(D9224=4,(2*(D9205+G9205))-(F$5*8)+2*(G9205-2*F$5)))))/1000</f>
        <v>0.98</v>
      </c>
      <c r="K9224" t="str">
        <v>+</v>
      </c>
      <c r="L9224">
        <f>IF(D9224=0,2*MAX(6*F9224,75),(D9224-1)*2*MAX(6*F9224,75))/1000</f>
        <v>0.15</v>
      </c>
      <c r="M9224" t="str">
        <v>=</v>
      </c>
      <c r="N9224">
        <f>J9224+L9224</f>
        <v>1.13</v>
      </c>
      <c r="T9224" t="str">
        <v>x</v>
      </c>
      <c r="U9224">
        <f>0.006165*F9224^2</f>
        <v>0.6165</v>
      </c>
      <c r="V9224" t="str">
        <v>x</v>
      </c>
      <c r="W9224">
        <f>IF(D9207&gt;4*G9205,ROUND(MAX(D9207/4,2*G9205)/H9224,0)+1,ROUND(D9207/H9224,0)+1)</f>
        <v>10</v>
      </c>
      <c r="X9224" t="str">
        <v>x</v>
      </c>
      <c r="Y9224">
        <f>D9210</f>
        <v>1</v>
      </c>
      <c r="Z9224" t="str">
        <v>=</v>
      </c>
      <c r="AA9224">
        <f>N9224*U9224*W9224*Y9224</f>
        <v>6.96645</v>
      </c>
    </row>
    <row r="9225">
      <c r="A9225" t="str">
        <f>A9204</f>
        <v>Lantai Attic</v>
      </c>
      <c r="B9225">
        <f>B9204</f>
        <v>43</v>
      </c>
      <c r="C9225" t="str">
        <v>Sengkang Lapangan</v>
      </c>
      <c r="D9225">
        <f>VLOOKUP(D9204,'Detail Balok'!$C$10:$AU$110,36,FALSE)</f>
        <v>0</v>
      </c>
      <c r="E9225" t="str">
        <v>D</v>
      </c>
      <c r="F9225">
        <f>VLOOKUP(D9204,'Detail Balok'!$C$10:$AU$110,38,FALSE)</f>
        <v>10</v>
      </c>
      <c r="G9225" t="str">
        <v>-</v>
      </c>
      <c r="H9225">
        <f>VLOOKUP(D9204,'Detail Balok'!$C$10:$AU$110,40,FALSE)</f>
        <v>100</v>
      </c>
      <c r="J9225">
        <f>(IF(D9225=0,(2*(D9205+G9205))-(F$5*8),IF(D9225=3,(2*(D9205+G9205))-(F$5*8)+(G9205-2*F$5),IF(D9225=4,(2*(D9205+G9205))-(F$5*8)+2*(G9205-2*F$5)))))/1000</f>
        <v>0.98</v>
      </c>
      <c r="K9225" t="str">
        <v>+</v>
      </c>
      <c r="L9225">
        <f>IF(D9225=0,2*MAX(6*F9225,75),(D9225-1)*2*MAX(6*F9225,75))/1000</f>
        <v>0.15</v>
      </c>
      <c r="M9225" t="str">
        <v>=</v>
      </c>
      <c r="N9225">
        <f>J9225+L9225</f>
        <v>1.13</v>
      </c>
      <c r="T9225" t="str">
        <v>x</v>
      </c>
      <c r="U9225">
        <f>0.006165*F9225^2</f>
        <v>0.6165</v>
      </c>
      <c r="V9225" t="str">
        <v>x</v>
      </c>
      <c r="W9225">
        <f>IF(D9207-MAX(D9207/4,2*G9205)*2&gt;0,ROUND((D9207-MAX(D9207/4,2*G9205)*2)/H9225,0),0)</f>
        <v>9</v>
      </c>
      <c r="X9225" t="str">
        <v>x</v>
      </c>
      <c r="Y9225">
        <f>D9210</f>
        <v>1</v>
      </c>
      <c r="Z9225" t="str">
        <v>=</v>
      </c>
      <c r="AA9225">
        <f>N9225*U9225*W9225*Y9225</f>
        <v>6.269805</v>
      </c>
    </row>
    <row r="9226">
      <c r="A9226" t="str">
        <f>A9204</f>
        <v>Lantai Attic</v>
      </c>
      <c r="B9226">
        <f>B9204</f>
        <v>43</v>
      </c>
      <c r="C9226" t="str">
        <v>Sengkang Tumpuan</v>
      </c>
      <c r="D9226">
        <f>VLOOKUP(D9204,'Detail Balok'!$C$10:$AU$110,41,FALSE)</f>
        <v>0</v>
      </c>
      <c r="E9226" t="str">
        <v>D</v>
      </c>
      <c r="F9226">
        <f>VLOOKUP(D9204,'Detail Balok'!$C$10:$AU$110,43,FALSE)</f>
        <v>10</v>
      </c>
      <c r="G9226" t="str">
        <v>-</v>
      </c>
      <c r="H9226">
        <f>VLOOKUP(D9204,'Detail Balok'!$C$10:$AU$110,45,FALSE)</f>
        <v>100</v>
      </c>
      <c r="J9226">
        <f>(IF(D9226=0,(2*(D9205+G9205))-(F$5*8),IF(D9226=3,(2*(D9205+G9205))-(F$5*8)+(G9205-2*F$5),IF(D9226=4,(2*(D9205+G9205))-(F$5*8)+2*(G9205-2*F$5)))))/1000</f>
        <v>0.98</v>
      </c>
      <c r="K9226" t="str">
        <v>+</v>
      </c>
      <c r="L9226">
        <f>IF(D9226=0,2*MAX(6*F9226,75),(D9226-1)*2*MAX(6*F9226,75))/1000</f>
        <v>0.15</v>
      </c>
      <c r="M9226" t="str">
        <v>=</v>
      </c>
      <c r="N9226">
        <f>J9226+L9226</f>
        <v>1.13</v>
      </c>
      <c r="T9226" t="str">
        <v>x</v>
      </c>
      <c r="U9226">
        <f>0.006165*F9226^2</f>
        <v>0.6165</v>
      </c>
      <c r="V9226" t="str">
        <v>x</v>
      </c>
      <c r="W9226">
        <f>IF(D9207&gt;4*G9205,ROUND(MAX(D9207/4,2*G9205)/H9226,0)+1,0)</f>
        <v>10</v>
      </c>
      <c r="X9226" t="str">
        <v>x</v>
      </c>
      <c r="Y9226">
        <f>D9210</f>
        <v>1</v>
      </c>
      <c r="Z9226" t="str">
        <v>=</v>
      </c>
      <c r="AA9226">
        <f>N9226*U9226*W9226*Y9226</f>
        <v>6.96645</v>
      </c>
    </row>
    <row r="9228">
      <c r="A9228" t="str">
        <f>A9204</f>
        <v>Lantai Attic</v>
      </c>
      <c r="B9228">
        <f>B9204</f>
        <v>43</v>
      </c>
      <c r="C9228" t="str">
        <v>Kait Horizontal Tump.</v>
      </c>
      <c r="D9228">
        <f>VLOOKUP(D9204,'Detail Balok'!$C$10:$BJ$110,46,FALSE)</f>
        <v>0</v>
      </c>
      <c r="E9228" t="str">
        <v>D</v>
      </c>
      <c r="F9228">
        <f>VLOOKUP(D9204,'Detail Balok'!$C$10:$BJ$110,48,FALSE)</f>
        <v>0</v>
      </c>
      <c r="G9228" t="str">
        <v>-</v>
      </c>
      <c r="H9228">
        <f>VLOOKUP(D9204,'Detail Balok'!$C$10:$BJ$110,50,FALSE)</f>
        <v>100</v>
      </c>
      <c r="J9228">
        <f>(D9205-2*F$5)/1000</f>
        <v>0.12</v>
      </c>
      <c r="K9228" t="str">
        <v>+</v>
      </c>
      <c r="L9228">
        <f>IF(D9228=0,2*MAX(6*F9228,75),(D9228-1)*2*MAX(6*F9228,75))/1000</f>
        <v>0.15</v>
      </c>
      <c r="M9228" t="str">
        <v>=</v>
      </c>
      <c r="N9228">
        <f>J9228+L9228</f>
        <v>0.27</v>
      </c>
      <c r="T9228" t="str">
        <v>x</v>
      </c>
      <c r="U9228">
        <f>0.006165*F9228^2</f>
        <v>0</v>
      </c>
      <c r="V9228" t="str">
        <v>x</v>
      </c>
      <c r="W9228">
        <f>W9224</f>
        <v>10</v>
      </c>
      <c r="X9228" t="str">
        <v>x</v>
      </c>
      <c r="Y9228">
        <f>D9214</f>
        <v>5</v>
      </c>
      <c r="Z9228" t="str">
        <v>=</v>
      </c>
      <c r="AA9228">
        <f>N9228*U9228*W9228*Y9228</f>
        <v>0</v>
      </c>
    </row>
    <row r="9229">
      <c r="A9229" t="str">
        <f>A9204</f>
        <v>Lantai Attic</v>
      </c>
      <c r="B9229">
        <f>B9204</f>
        <v>43</v>
      </c>
      <c r="C9229" t="str">
        <v>Kait Horizontal Lap.</v>
      </c>
      <c r="D9229">
        <f>VLOOKUP(D9204,'Detail Balok'!$C$10:$BJ$110,51,FALSE)</f>
        <v>0</v>
      </c>
      <c r="E9229" t="str">
        <v>D</v>
      </c>
      <c r="F9229">
        <f>VLOOKUP(D9204,'Detail Balok'!$C$10:$BJ$110,53,FALSE)</f>
        <v>0</v>
      </c>
      <c r="G9229" t="str">
        <v>-</v>
      </c>
      <c r="H9229">
        <f>VLOOKUP(D9204,'Detail Balok'!$C$10:$BJ$110,55,FALSE)</f>
        <v>100</v>
      </c>
      <c r="J9229">
        <f>(D9205-2*F$5)/1000</f>
        <v>0.12</v>
      </c>
      <c r="K9229" t="str">
        <v>+</v>
      </c>
      <c r="L9229">
        <f>IF(D9229=0,2*MAX(6*F9229,75),(D9229-1)*2*MAX(6*F9229,75))/1000</f>
        <v>0.15</v>
      </c>
      <c r="M9229" t="str">
        <v>=</v>
      </c>
      <c r="N9229">
        <f>J9229+L9229</f>
        <v>0.27</v>
      </c>
      <c r="T9229" t="str">
        <v>x</v>
      </c>
      <c r="U9229">
        <f>0.006165*F9229^2</f>
        <v>0</v>
      </c>
      <c r="V9229" t="str">
        <v>x</v>
      </c>
      <c r="W9229">
        <f>W9225</f>
        <v>9</v>
      </c>
      <c r="X9229" t="str">
        <v>x</v>
      </c>
      <c r="Y9229">
        <f>D9214</f>
        <v>5</v>
      </c>
      <c r="Z9229" t="str">
        <v>=</v>
      </c>
      <c r="AA9229">
        <f>N9229*U9229*W9229*Y9229</f>
        <v>0</v>
      </c>
    </row>
    <row r="9230">
      <c r="A9230" t="str">
        <f>A9204</f>
        <v>Lantai Attic</v>
      </c>
      <c r="B9230">
        <f>B9204</f>
        <v>43</v>
      </c>
      <c r="C9230" t="str">
        <v>Kait Horizontal Tump.</v>
      </c>
      <c r="D9230">
        <f>VLOOKUP(D9204,'Detail Balok'!$C$10:$BJ$110,56,FALSE)</f>
        <v>0</v>
      </c>
      <c r="E9230" t="str">
        <v>D</v>
      </c>
      <c r="F9230">
        <f>VLOOKUP(D9204,'Detail Balok'!$C$10:$BJ$110,58,FALSE)</f>
        <v>0</v>
      </c>
      <c r="G9230" t="str">
        <v>-</v>
      </c>
      <c r="H9230">
        <f>VLOOKUP(D9204,'Detail Balok'!$C$10:$BJ$110,60,FALSE)</f>
        <v>100</v>
      </c>
      <c r="J9230">
        <f>(D9205-2*F$5)/1000</f>
        <v>0.12</v>
      </c>
      <c r="K9230" t="str">
        <v>+</v>
      </c>
      <c r="L9230">
        <f>IF(D9230=0,2*MAX(6*F9230,75),(D9230-1)*2*MAX(6*F9230,75))/1000</f>
        <v>0.15</v>
      </c>
      <c r="M9230" t="str">
        <v>=</v>
      </c>
      <c r="N9230">
        <f>J9230+L9230</f>
        <v>0.27</v>
      </c>
      <c r="T9230" t="str">
        <v>x</v>
      </c>
      <c r="U9230">
        <f>0.006165*F9230^2</f>
        <v>0</v>
      </c>
      <c r="V9230" t="str">
        <v>x</v>
      </c>
      <c r="W9230">
        <f>W9226</f>
        <v>10</v>
      </c>
      <c r="X9230" t="str">
        <v>x</v>
      </c>
      <c r="Y9230">
        <f>D9214</f>
        <v>5</v>
      </c>
      <c r="Z9230" t="str">
        <v>=</v>
      </c>
      <c r="AA9230">
        <f>N9230*U9230*W9230*Y9230</f>
        <v>0</v>
      </c>
    </row>
    <row r="9234">
      <c r="A9234" t="str">
        <f>A9204</f>
        <v>Lantai Attic</v>
      </c>
      <c r="B9234">
        <f>B9204+1</f>
        <v>44</v>
      </c>
      <c r="C9234" t="str">
        <f>CONCATENATE(A9234," no. ",B9234)</f>
        <v>Lantai Attic no. 44</v>
      </c>
      <c r="D9234" t="str">
        <f>VLOOKUP(C9234,'Data Panjang Balok'!$C$9:$N$424,2,FALSE)</f>
        <v>B24-4</v>
      </c>
    </row>
    <row r="9235">
      <c r="C9235" t="str">
        <v>Dimensi</v>
      </c>
      <c r="D9235">
        <f>VLOOKUP(D9234,'Detail Balok'!$C$10:$AU$110,2,FALSE)</f>
        <v>200</v>
      </c>
      <c r="F9235" t="str">
        <v>x</v>
      </c>
      <c r="G9235">
        <f>VLOOKUP(D9234,'Detail Balok'!$C$10:$AU$110,3,FALSE)</f>
        <v>400</v>
      </c>
    </row>
    <row r="9236">
      <c r="C9236" t="str">
        <v>Panjang as ke as</v>
      </c>
      <c r="D9236">
        <f>VLOOKUP(C9234,'Data Panjang Balok'!$C$9:$N$424,4,FALSE)</f>
        <v>5600</v>
      </c>
    </row>
    <row r="9237">
      <c r="C9237" t="str">
        <v>Panjang netto</v>
      </c>
      <c r="D9237">
        <f>VLOOKUP(C9234,'Data Panjang Balok'!$C$9:$N$424,7,FALSE)</f>
        <v>5600</v>
      </c>
    </row>
    <row r="9238">
      <c r="C9238" t="str">
        <v>Kolom / balok kiri</v>
      </c>
      <c r="D9238">
        <f>VLOOKUP(C9234,'Data Panjang Balok'!$C$9:$N$424,9,FALSE)</f>
        <v>0</v>
      </c>
    </row>
    <row r="9239">
      <c r="C9239" t="str">
        <v>Kolom / balok kanan</v>
      </c>
      <c r="D9239">
        <f>VLOOKUP(C9234,'Data Panjang Balok'!$C$9:$N$424,10,FALSE)</f>
        <v>0</v>
      </c>
    </row>
    <row r="9240">
      <c r="C9240" t="str">
        <v>Jumlah</v>
      </c>
      <c r="D9240">
        <f>VLOOKUP(C9234,'Data Panjang Balok'!$C$9:$N$424,3,FALSE)</f>
        <v>1</v>
      </c>
    </row>
    <row r="9241">
      <c r="A9241" t="str">
        <f>A9234</f>
        <v>Lantai Attic</v>
      </c>
      <c r="B9241">
        <f>B9234</f>
        <v>44</v>
      </c>
      <c r="C9241" t="str">
        <v>Tul Atas Tumpuan</v>
      </c>
      <c r="D9241">
        <f>VLOOKUP(D9234,'Detail Balok'!$C$10:$AU$110,4,FALSE)</f>
        <v>4</v>
      </c>
      <c r="E9241" t="str">
        <v>D</v>
      </c>
      <c r="F9241">
        <f>VLOOKUP(D9234,'Detail Balok'!$C$10:$AU$110,6,FALSE)</f>
        <v>16</v>
      </c>
      <c r="I9241" t="str">
        <v>(</v>
      </c>
      <c r="J9241">
        <f>+D9236/4/1000</f>
        <v>1.4</v>
      </c>
      <c r="K9241" t="str">
        <v>+</v>
      </c>
      <c r="L9241">
        <f>MAX(VLOOKUP(F9241,N$6:P$15,3,FALSE)/1000,2/3*D9238/1000)+F$16*F9241/1000</f>
        <v>0.192</v>
      </c>
      <c r="M9241" t="str">
        <v>=</v>
      </c>
      <c r="N9241">
        <f>J9241+L9241</f>
        <v>1.5919999999999999</v>
      </c>
      <c r="O9241" t="str">
        <v>+</v>
      </c>
      <c r="P9241">
        <f>D9241-D9242</f>
        <v>2</v>
      </c>
      <c r="Q9241" t="str">
        <v>x</v>
      </c>
      <c r="R9241">
        <f>IF(P9241&gt;0,$F$18*F9241/1000,0)</f>
        <v>0.24</v>
      </c>
      <c r="S9241" t="str">
        <v>)</v>
      </c>
      <c r="T9241" t="str">
        <v>x</v>
      </c>
      <c r="U9241">
        <f>0.006165*F9241^2</f>
        <v>1.57824</v>
      </c>
      <c r="X9241" t="str">
        <v>x</v>
      </c>
      <c r="Y9241">
        <f>D9240</f>
        <v>1</v>
      </c>
      <c r="Z9241" t="str">
        <v>=</v>
      </c>
      <c r="AA9241">
        <f>IF(AA9244=0,(D9241*N9241+P9241*R9241)*U9241*Y9241,0)</f>
        <v>10.80778752</v>
      </c>
    </row>
    <row r="9242">
      <c r="A9242" t="str">
        <f>A9234</f>
        <v>Lantai Attic</v>
      </c>
      <c r="B9242">
        <f>B9234</f>
        <v>44</v>
      </c>
      <c r="C9242" t="str">
        <v>Tul Atas Lapangan</v>
      </c>
      <c r="D9242">
        <f>VLOOKUP(D9234,'Detail Balok'!$C$10:$AU$110,7,FALSE)</f>
        <v>2</v>
      </c>
      <c r="E9242" t="str">
        <v>D</v>
      </c>
      <c r="F9242">
        <f>VLOOKUP(D9234,'Detail Balok'!$C$10:$AU$110,9,FALSE)</f>
        <v>16</v>
      </c>
      <c r="I9242" t="str">
        <v>(</v>
      </c>
      <c r="J9242">
        <f>+D9236/2/1000</f>
        <v>2.8</v>
      </c>
      <c r="K9242" t="str">
        <v>+</v>
      </c>
      <c r="M9242" t="str">
        <v>=</v>
      </c>
      <c r="N9242">
        <f>J9242+L9242</f>
        <v>2.8</v>
      </c>
      <c r="O9242" t="str">
        <v>+</v>
      </c>
      <c r="P9242">
        <f>MAX(D9242-D9241,D9242-D9243)</f>
        <v>-2</v>
      </c>
      <c r="Q9242" t="str">
        <v>x</v>
      </c>
      <c r="R9242">
        <f>IF(P9242&gt;0,2*(1-2*$F$19-1/2)*D9237/1000,0)</f>
        <v>0</v>
      </c>
      <c r="S9242" t="str">
        <v>)</v>
      </c>
      <c r="T9242" t="str">
        <v>x</v>
      </c>
      <c r="U9242">
        <f>0.006165*F9242^2</f>
        <v>1.57824</v>
      </c>
      <c r="X9242" t="str">
        <v>x</v>
      </c>
      <c r="Y9242">
        <f>D9240</f>
        <v>1</v>
      </c>
      <c r="Z9242" t="str">
        <v>=</v>
      </c>
      <c r="AA9242">
        <f>IF(AA9244=0,(D9242*N9242+P9242*R9242)*U9242*Y9242,0)</f>
        <v>8.838144</v>
      </c>
    </row>
    <row r="9243">
      <c r="A9243" t="str">
        <f>A9234</f>
        <v>Lantai Attic</v>
      </c>
      <c r="B9243">
        <f>B9234</f>
        <v>44</v>
      </c>
      <c r="C9243" t="str">
        <v>Tul Atas Tumpuan</v>
      </c>
      <c r="D9243">
        <f>VLOOKUP(D9234,'Detail Balok'!$C$10:$AU$110,10,FALSE)</f>
        <v>4</v>
      </c>
      <c r="E9243" t="str">
        <v>D</v>
      </c>
      <c r="F9243">
        <f>VLOOKUP(D9234,'Detail Balok'!$C$10:$AU$110,12,FALSE)</f>
        <v>16</v>
      </c>
      <c r="I9243" t="str">
        <v>(</v>
      </c>
      <c r="J9243">
        <f>+D9236/4/1000</f>
        <v>1.4</v>
      </c>
      <c r="K9243" t="str">
        <v>+</v>
      </c>
      <c r="L9243">
        <f>MAX(VLOOKUP(F9243,N$6:P$15,3,FALSE)/1000,2/3*D9238/1000)+F$16*F9243/1000</f>
        <v>0.192</v>
      </c>
      <c r="M9243" t="str">
        <v>=</v>
      </c>
      <c r="N9243">
        <f>J9243+L9243</f>
        <v>1.5919999999999999</v>
      </c>
      <c r="O9243" t="str">
        <v>+</v>
      </c>
      <c r="P9243">
        <f>D9243-D9242</f>
        <v>2</v>
      </c>
      <c r="Q9243" t="str">
        <v>x</v>
      </c>
      <c r="R9243">
        <f>IF(P9243&gt;0,$F$18*F9243/1000,0)</f>
        <v>0.24</v>
      </c>
      <c r="S9243" t="str">
        <v>)</v>
      </c>
      <c r="T9243" t="str">
        <v>x</v>
      </c>
      <c r="U9243">
        <f>0.006165*F9243^2</f>
        <v>1.57824</v>
      </c>
      <c r="X9243" t="str">
        <v>x</v>
      </c>
      <c r="Y9243">
        <f>D9240</f>
        <v>1</v>
      </c>
      <c r="Z9243" t="str">
        <v>=</v>
      </c>
      <c r="AA9243">
        <f>IF(AA9244=0,(D9243*N9243+P9243*R9243)*U9243*Y9243,0)</f>
        <v>10.80778752</v>
      </c>
    </row>
    <row r="9244">
      <c r="A9244" t="str">
        <f>A9234</f>
        <v>Lantai Attic</v>
      </c>
      <c r="B9244">
        <f>B9234</f>
        <v>44</v>
      </c>
      <c r="D9244">
        <f>IF(AND(D9241=D9242,D9242=D9243,D9241=D9243),D9241,0)</f>
        <v>0</v>
      </c>
      <c r="E9244" t="str">
        <v>D</v>
      </c>
      <c r="F9244">
        <f>IF(AND(F9241=F9242,F9241=F9243,F9242=F9243),F9241,0)</f>
        <v>16</v>
      </c>
      <c r="L9244" t="str">
        <v>Total panjang per balok</v>
      </c>
      <c r="M9244" t="str">
        <v>=</v>
      </c>
      <c r="N9244">
        <f>IF(AND(D9241=D9242,D9241=D9243,D9242=D9243,F9241=F9242,F9241=F9243,F9242=F9243),SUM(N9241:N9243),0)</f>
        <v>0</v>
      </c>
      <c r="O9244" t="str">
        <v>+</v>
      </c>
      <c r="P9244">
        <f>IF(N9244&gt;12,ROUNDDOWN(N9244/12,0),0)</f>
        <v>0</v>
      </c>
      <c r="Q9244" t="str">
        <v>x</v>
      </c>
      <c r="R9244">
        <f>IF(P9244&gt;0,MAX(VLOOKUP(F9244,$D$6:$G$15,3,FALSE),600),0)/1000</f>
        <v>0</v>
      </c>
      <c r="T9244" t="str">
        <v>x</v>
      </c>
      <c r="U9244">
        <f>U9243</f>
        <v>1.57824</v>
      </c>
      <c r="V9244" t="str">
        <v>x</v>
      </c>
      <c r="W9244">
        <f>D9244</f>
        <v>0</v>
      </c>
      <c r="X9244" t="str">
        <v>x</v>
      </c>
      <c r="Y9244">
        <f>Y9243</f>
        <v>1</v>
      </c>
      <c r="Z9244" t="str">
        <v>=</v>
      </c>
      <c r="AA9244">
        <f>(N9244+P9244*R9244/1000)*U9244*W9244*Y9244</f>
        <v>0</v>
      </c>
    </row>
    <row r="9246">
      <c r="A9246" t="str">
        <f>A9234</f>
        <v>Lantai Attic</v>
      </c>
      <c r="B9246">
        <f>B9234</f>
        <v>44</v>
      </c>
      <c r="C9246" t="str">
        <v>Tul Peminggang</v>
      </c>
      <c r="D9246">
        <f>VLOOKUP(D9234,'Detail Balok'!$C$10:$AU$110,13,FALSE)</f>
        <v>0</v>
      </c>
      <c r="E9246" t="str">
        <v>D</v>
      </c>
      <c r="F9246">
        <f>VLOOKUP(D9234,'Detail Balok'!$C$10:$AU$110,15,FALSE)</f>
        <v>6</v>
      </c>
      <c r="J9246">
        <f>+D9236/1000</f>
        <v>5.6</v>
      </c>
      <c r="K9246" t="str">
        <v>+</v>
      </c>
      <c r="L9246">
        <f>2*$F$16*F9246/1000</f>
        <v>0.144</v>
      </c>
      <c r="M9246" t="str">
        <v>=</v>
      </c>
      <c r="N9246">
        <f>J9246+L9246</f>
        <v>5.744</v>
      </c>
      <c r="O9246" t="str">
        <v>+</v>
      </c>
      <c r="P9246">
        <f>IF(N9246&gt;12,ROUNDDOWN(N9246/12,0),0)</f>
        <v>0</v>
      </c>
      <c r="Q9246" t="str">
        <v>x</v>
      </c>
      <c r="R9246">
        <f>IF(P9246&gt;0,MAX(VLOOKUP(F9246,$D$6:$G$15,3,FALSE),600),0)/1000</f>
        <v>0</v>
      </c>
      <c r="T9246" t="str">
        <v>x</v>
      </c>
      <c r="U9246">
        <f>0.006165*F9246^2</f>
        <v>0.22194000000000003</v>
      </c>
      <c r="V9246" t="str">
        <v>x</v>
      </c>
      <c r="W9246">
        <f>+D9246</f>
        <v>0</v>
      </c>
      <c r="X9246" t="str">
        <v>x</v>
      </c>
      <c r="Y9246">
        <f>D9240</f>
        <v>1</v>
      </c>
      <c r="Z9246" t="str">
        <v>=</v>
      </c>
      <c r="AA9246">
        <f>(N9246+P9246*R9246/1000)*U9246*W9246*Y9246</f>
        <v>0</v>
      </c>
    </row>
    <row r="9249">
      <c r="A9249" t="str">
        <f>A9234</f>
        <v>Lantai Attic</v>
      </c>
      <c r="B9249">
        <f>B9234</f>
        <v>44</v>
      </c>
      <c r="C9249" t="str">
        <v>Tul Bawah Tumpuan</v>
      </c>
      <c r="D9249">
        <f>VLOOKUP(D9234,'Detail Balok'!$C$10:$AU$110,22,FALSE)</f>
        <v>2</v>
      </c>
      <c r="E9249" t="str">
        <v>D</v>
      </c>
      <c r="F9249">
        <f>VLOOKUP(D9234,'Detail Balok'!$C$10:$AU$110,24,FALSE)</f>
        <v>16</v>
      </c>
      <c r="I9249" t="str">
        <v>(</v>
      </c>
      <c r="J9249">
        <f>+J9241</f>
        <v>1.4</v>
      </c>
      <c r="K9249" t="str">
        <v>+</v>
      </c>
      <c r="L9249">
        <f>MAX(VLOOKUP(F9249,N$6:P$15,3,FALSE)/1000,2/3*D9239/1000)+F$16*F9249/1000</f>
        <v>0.192</v>
      </c>
      <c r="M9249" t="str">
        <v>=</v>
      </c>
      <c r="N9249">
        <f>J9249+L9249</f>
        <v>1.5919999999999999</v>
      </c>
      <c r="O9249" t="str">
        <v>+</v>
      </c>
      <c r="P9249">
        <f>D9249-D9250</f>
        <v>-2</v>
      </c>
      <c r="Q9249" t="str">
        <v>x</v>
      </c>
      <c r="R9249">
        <f>IF(P9249&gt;0,$F$18*F9249/1000,0)</f>
        <v>0</v>
      </c>
      <c r="S9249" t="str">
        <v>)</v>
      </c>
      <c r="T9249" t="str">
        <v>x</v>
      </c>
      <c r="U9249">
        <f>0.006165*F9249^2</f>
        <v>1.57824</v>
      </c>
      <c r="X9249" t="str">
        <v>x</v>
      </c>
      <c r="Y9249">
        <f>D9240</f>
        <v>1</v>
      </c>
      <c r="Z9249" t="str">
        <v>=</v>
      </c>
      <c r="AA9249">
        <f>IF(AA9252=0,(D9249*N9249+P9249*R9249)*U9249*Y9249,0)</f>
        <v>5.02511616</v>
      </c>
    </row>
    <row r="9250">
      <c r="A9250" t="str">
        <f>A9234</f>
        <v>Lantai Attic</v>
      </c>
      <c r="B9250">
        <f>B9234</f>
        <v>44</v>
      </c>
      <c r="C9250" t="str">
        <v>Tul Bawah Lapangan</v>
      </c>
      <c r="D9250">
        <f>VLOOKUP(D9234,'Detail Balok'!$C$10:$AU$110,25,FALSE)</f>
        <v>4</v>
      </c>
      <c r="E9250" t="str">
        <v>D</v>
      </c>
      <c r="F9250">
        <f>VLOOKUP(D9234,'Detail Balok'!$C$10:$AU$110,27,FALSE)</f>
        <v>16</v>
      </c>
      <c r="I9250" t="str">
        <v>(</v>
      </c>
      <c r="J9250">
        <f>+J9242</f>
        <v>2.8</v>
      </c>
      <c r="K9250" t="str">
        <v>+</v>
      </c>
      <c r="M9250" t="str">
        <v>=</v>
      </c>
      <c r="N9250">
        <f>J9250+L9250</f>
        <v>2.8</v>
      </c>
      <c r="O9250" t="str">
        <v>+</v>
      </c>
      <c r="P9250">
        <f>MAX(D9250-D9249,D9250-D9251)</f>
        <v>2</v>
      </c>
      <c r="Q9250" t="str">
        <v>x</v>
      </c>
      <c r="R9250">
        <f>IF(P9250&gt;0,2*(1-2*$F$19-1/2)*D9237/1000,0)</f>
        <v>1.1199999999999997</v>
      </c>
      <c r="S9250" t="str">
        <v>)</v>
      </c>
      <c r="T9250" t="str">
        <v>x</v>
      </c>
      <c r="U9250">
        <f>0.006165*F9250^2</f>
        <v>1.57824</v>
      </c>
      <c r="X9250" t="str">
        <v>x</v>
      </c>
      <c r="Y9250">
        <f>D9240</f>
        <v>1</v>
      </c>
      <c r="Z9250" t="str">
        <v>=</v>
      </c>
      <c r="AA9250">
        <f>IF(AA9252=0,(D9250*N9250+P9250*R9250)*U9250*Y9250,0)</f>
        <v>21.211545599999997</v>
      </c>
    </row>
    <row r="9251">
      <c r="A9251" t="str">
        <f>A9234</f>
        <v>Lantai Attic</v>
      </c>
      <c r="B9251">
        <f>B9234</f>
        <v>44</v>
      </c>
      <c r="C9251" t="str">
        <v>Tul Bawah Tumpuan</v>
      </c>
      <c r="D9251">
        <f>VLOOKUP(D9234,'Detail Balok'!$C$10:$AU$110,28,FALSE)</f>
        <v>2</v>
      </c>
      <c r="E9251" t="str">
        <v>D</v>
      </c>
      <c r="F9251">
        <f>VLOOKUP(D9234,'Detail Balok'!$C$10:$AU$110,30,FALSE)</f>
        <v>16</v>
      </c>
      <c r="I9251" t="str">
        <v>(</v>
      </c>
      <c r="J9251">
        <f>+J9243</f>
        <v>1.4</v>
      </c>
      <c r="K9251" t="str">
        <v>+</v>
      </c>
      <c r="L9251">
        <f>MAX(VLOOKUP(F9251,N$6:P$15,3,FALSE)/1000,2/3*D9239/1000)+F$16*F9251/1000</f>
        <v>0.192</v>
      </c>
      <c r="M9251" t="str">
        <v>=</v>
      </c>
      <c r="N9251">
        <f>J9251+L9251</f>
        <v>1.5919999999999999</v>
      </c>
      <c r="O9251" t="str">
        <v>+</v>
      </c>
      <c r="P9251">
        <f>D9251-D9250</f>
        <v>-2</v>
      </c>
      <c r="Q9251" t="str">
        <v>x</v>
      </c>
      <c r="R9251">
        <f>IF(P9251&gt;0,$F$18*F9251/1000,0)</f>
        <v>0</v>
      </c>
      <c r="S9251" t="str">
        <v>)</v>
      </c>
      <c r="T9251" t="str">
        <v>x</v>
      </c>
      <c r="U9251">
        <f>0.006165*F9251^2</f>
        <v>1.57824</v>
      </c>
      <c r="X9251" t="str">
        <v>x</v>
      </c>
      <c r="Y9251">
        <f>D9240</f>
        <v>1</v>
      </c>
      <c r="Z9251" t="str">
        <v>=</v>
      </c>
      <c r="AA9251">
        <f>IF(AA9252=0,(D9251*N9251+P9251*R9251)*U9251*Y9251,0)</f>
        <v>5.02511616</v>
      </c>
    </row>
    <row r="9252">
      <c r="A9252" t="str">
        <f>A9234</f>
        <v>Lantai Attic</v>
      </c>
      <c r="B9252">
        <f>B9234</f>
        <v>44</v>
      </c>
      <c r="D9252">
        <f>IF(AND(D9249=D9250,D9250=D9251,D9249=D9251),D9249,0)</f>
        <v>0</v>
      </c>
      <c r="E9252" t="str">
        <v>D</v>
      </c>
      <c r="F9252">
        <f>IF(AND(F9249=F9250,F9249=F9251,F9250=F9251),F9249,0)</f>
        <v>16</v>
      </c>
      <c r="L9252" t="str">
        <v>Total panjang per balok</v>
      </c>
      <c r="M9252" t="str">
        <v>=</v>
      </c>
      <c r="N9252">
        <f>IF(AND(D9249=D9250,D9249=D9251,D9250=D9251,F9249=F9250,F9249=F9251,F9250=F9251),SUM(N9249:N9251),0)</f>
        <v>0</v>
      </c>
      <c r="O9252" t="str">
        <v>+</v>
      </c>
      <c r="P9252">
        <f>IF(N9252&gt;12,ROUNDDOWN(N9252/12,0),0)</f>
        <v>0</v>
      </c>
      <c r="Q9252" t="str">
        <v>x</v>
      </c>
      <c r="R9252">
        <f>IF(P9252&gt;0,MAX(VLOOKUP(F9252,$D$6:$G$15,3,FALSE),600),0)/1000</f>
        <v>0</v>
      </c>
      <c r="T9252" t="str">
        <v>x</v>
      </c>
      <c r="U9252">
        <f>U9251</f>
        <v>1.57824</v>
      </c>
      <c r="V9252" t="str">
        <v>x</v>
      </c>
      <c r="W9252">
        <f>D9252</f>
        <v>0</v>
      </c>
      <c r="X9252" t="str">
        <v>x</v>
      </c>
      <c r="Y9252">
        <f>Y9251</f>
        <v>1</v>
      </c>
      <c r="Z9252" t="str">
        <v>=</v>
      </c>
      <c r="AA9252">
        <f>(N9252+P9252*R9252/1000)*U9252*W9252*Y9252</f>
        <v>0</v>
      </c>
    </row>
    <row r="9254">
      <c r="A9254" t="str">
        <f>A9234</f>
        <v>Lantai Attic</v>
      </c>
      <c r="B9254">
        <f>B9234</f>
        <v>44</v>
      </c>
      <c r="C9254" t="str">
        <v>Sengkang Tumpuan</v>
      </c>
      <c r="D9254">
        <f>VLOOKUP(D9234,'Detail Balok'!$C$10:$AU$110,31,FALSE)</f>
        <v>0</v>
      </c>
      <c r="E9254" t="str">
        <v>D</v>
      </c>
      <c r="F9254">
        <f>VLOOKUP(D9234,'Detail Balok'!$C$10:$AU$110,33,FALSE)</f>
        <v>8</v>
      </c>
      <c r="G9254" t="str">
        <v>-</v>
      </c>
      <c r="H9254">
        <f>VLOOKUP(D9234,'Detail Balok'!$C$10:$AU$110,35,FALSE)</f>
        <v>80</v>
      </c>
      <c r="J9254">
        <f>(IF(D9254=0,(2*(D9235+G9235))-(F$5*8),IF(D9254=3,(2*(D9235+G9235))-(F$5*8)+(G9235-2*F$5),IF(D9254=4,(2*(D9235+G9235))-(F$5*8)+2*(G9235-2*F$5)))))/1000</f>
        <v>0.88</v>
      </c>
      <c r="K9254" t="str">
        <v>+</v>
      </c>
      <c r="L9254">
        <f>IF(D9254=0,2*MAX(6*F9254,75),(D9254-1)*2*MAX(6*F9254,75))/1000</f>
        <v>0.15</v>
      </c>
      <c r="M9254" t="str">
        <v>=</v>
      </c>
      <c r="N9254">
        <f>J9254+L9254</f>
        <v>1.03</v>
      </c>
      <c r="T9254" t="str">
        <v>x</v>
      </c>
      <c r="U9254">
        <f>0.006165*F9254^2</f>
        <v>0.39456</v>
      </c>
      <c r="V9254" t="str">
        <v>x</v>
      </c>
      <c r="W9254">
        <f>IF(D9237&gt;4*G9235,ROUND(MAX(D9237/4,2*G9235)/H9254,0)+1,ROUND(D9237/H9254,0)+1)</f>
        <v>19</v>
      </c>
      <c r="X9254" t="str">
        <v>x</v>
      </c>
      <c r="Y9254">
        <f>D9240</f>
        <v>1</v>
      </c>
      <c r="Z9254" t="str">
        <v>=</v>
      </c>
      <c r="AA9254">
        <f>N9254*U9254*W9254*Y9254</f>
        <v>7.721539200000001</v>
      </c>
    </row>
    <row r="9255">
      <c r="A9255" t="str">
        <f>A9234</f>
        <v>Lantai Attic</v>
      </c>
      <c r="B9255">
        <f>B9234</f>
        <v>44</v>
      </c>
      <c r="C9255" t="str">
        <v>Sengkang Lapangan</v>
      </c>
      <c r="D9255">
        <f>VLOOKUP(D9234,'Detail Balok'!$C$10:$AU$110,36,FALSE)</f>
        <v>0</v>
      </c>
      <c r="E9255" t="str">
        <v>D</v>
      </c>
      <c r="F9255">
        <f>VLOOKUP(D9234,'Detail Balok'!$C$10:$AU$110,38,FALSE)</f>
        <v>8</v>
      </c>
      <c r="G9255" t="str">
        <v>-</v>
      </c>
      <c r="H9255">
        <f>VLOOKUP(D9234,'Detail Balok'!$C$10:$AU$110,40,FALSE)</f>
        <v>200</v>
      </c>
      <c r="J9255">
        <f>(IF(D9255=0,(2*(D9235+G9235))-(F$5*8),IF(D9255=3,(2*(D9235+G9235))-(F$5*8)+(G9235-2*F$5),IF(D9255=4,(2*(D9235+G9235))-(F$5*8)+2*(G9235-2*F$5)))))/1000</f>
        <v>0.88</v>
      </c>
      <c r="K9255" t="str">
        <v>+</v>
      </c>
      <c r="L9255">
        <f>IF(D9255=0,2*MAX(6*F9255,75),(D9255-1)*2*MAX(6*F9255,75))/1000</f>
        <v>0.15</v>
      </c>
      <c r="M9255" t="str">
        <v>=</v>
      </c>
      <c r="N9255">
        <f>J9255+L9255</f>
        <v>1.03</v>
      </c>
      <c r="T9255" t="str">
        <v>x</v>
      </c>
      <c r="U9255">
        <f>0.006165*F9255^2</f>
        <v>0.39456</v>
      </c>
      <c r="V9255" t="str">
        <v>x</v>
      </c>
      <c r="W9255">
        <f>IF(D9237-MAX(D9237/4,2*G9235)*2&gt;0,ROUND((D9237-MAX(D9237/4,2*G9235)*2)/H9255,0),0)</f>
        <v>14</v>
      </c>
      <c r="X9255" t="str">
        <v>x</v>
      </c>
      <c r="Y9255">
        <f>D9240</f>
        <v>1</v>
      </c>
      <c r="Z9255" t="str">
        <v>=</v>
      </c>
      <c r="AA9255">
        <f>N9255*U9255*W9255*Y9255</f>
        <v>5.689555200000001</v>
      </c>
    </row>
    <row r="9256">
      <c r="A9256" t="str">
        <f>A9234</f>
        <v>Lantai Attic</v>
      </c>
      <c r="B9256">
        <f>B9234</f>
        <v>44</v>
      </c>
      <c r="C9256" t="str">
        <v>Sengkang Tumpuan</v>
      </c>
      <c r="D9256">
        <f>VLOOKUP(D9234,'Detail Balok'!$C$10:$AU$110,41,FALSE)</f>
        <v>0</v>
      </c>
      <c r="E9256" t="str">
        <v>D</v>
      </c>
      <c r="F9256">
        <f>VLOOKUP(D9234,'Detail Balok'!$C$10:$AU$110,43,FALSE)</f>
        <v>8</v>
      </c>
      <c r="G9256" t="str">
        <v>-</v>
      </c>
      <c r="H9256">
        <f>VLOOKUP(D9234,'Detail Balok'!$C$10:$AU$110,45,FALSE)</f>
        <v>80</v>
      </c>
      <c r="J9256">
        <f>(IF(D9256=0,(2*(D9235+G9235))-(F$5*8),IF(D9256=3,(2*(D9235+G9235))-(F$5*8)+(G9235-2*F$5),IF(D9256=4,(2*(D9235+G9235))-(F$5*8)+2*(G9235-2*F$5)))))/1000</f>
        <v>0.88</v>
      </c>
      <c r="K9256" t="str">
        <v>+</v>
      </c>
      <c r="L9256">
        <f>IF(D9256=0,2*MAX(6*F9256,75),(D9256-1)*2*MAX(6*F9256,75))/1000</f>
        <v>0.15</v>
      </c>
      <c r="M9256" t="str">
        <v>=</v>
      </c>
      <c r="N9256">
        <f>J9256+L9256</f>
        <v>1.03</v>
      </c>
      <c r="T9256" t="str">
        <v>x</v>
      </c>
      <c r="U9256">
        <f>0.006165*F9256^2</f>
        <v>0.39456</v>
      </c>
      <c r="V9256" t="str">
        <v>x</v>
      </c>
      <c r="W9256">
        <f>IF(D9237&gt;4*G9235,ROUND(MAX(D9237/4,2*G9235)/H9256,0)+1,0)</f>
        <v>19</v>
      </c>
      <c r="X9256" t="str">
        <v>x</v>
      </c>
      <c r="Y9256">
        <f>D9240</f>
        <v>1</v>
      </c>
      <c r="Z9256" t="str">
        <v>=</v>
      </c>
      <c r="AA9256">
        <f>N9256*U9256*W9256*Y9256</f>
        <v>7.721539200000001</v>
      </c>
    </row>
    <row r="9258">
      <c r="A9258" t="str">
        <f>A9234</f>
        <v>Lantai Attic</v>
      </c>
      <c r="B9258">
        <f>B9234</f>
        <v>44</v>
      </c>
      <c r="C9258" t="str">
        <v>Kait Horizontal Tump.</v>
      </c>
      <c r="D9258">
        <f>VLOOKUP(D9234,'Detail Balok'!$C$10:$BJ$110,46,FALSE)</f>
        <v>0</v>
      </c>
      <c r="E9258" t="str">
        <v>D</v>
      </c>
      <c r="F9258">
        <f>VLOOKUP(D9234,'Detail Balok'!$C$10:$BJ$110,48,FALSE)</f>
        <v>0</v>
      </c>
      <c r="G9258" t="str">
        <v>-</v>
      </c>
      <c r="H9258">
        <f>VLOOKUP(D9234,'Detail Balok'!$C$10:$BJ$110,50,FALSE)</f>
        <v>100</v>
      </c>
      <c r="J9258">
        <f>(D9235-2*F$5)/1000</f>
        <v>0.12</v>
      </c>
      <c r="K9258" t="str">
        <v>+</v>
      </c>
      <c r="L9258">
        <f>IF(D9258=0,2*MAX(6*F9258,75),(D9258-1)*2*MAX(6*F9258,75))/1000</f>
        <v>0.15</v>
      </c>
      <c r="M9258" t="str">
        <v>=</v>
      </c>
      <c r="N9258">
        <f>J9258+L9258</f>
        <v>0.27</v>
      </c>
      <c r="T9258" t="str">
        <v>x</v>
      </c>
      <c r="U9258">
        <f>0.006165*F9258^2</f>
        <v>0</v>
      </c>
      <c r="V9258" t="str">
        <v>x</v>
      </c>
      <c r="W9258">
        <f>W9254</f>
        <v>19</v>
      </c>
      <c r="X9258" t="str">
        <v>x</v>
      </c>
      <c r="Y9258">
        <f>D9244</f>
        <v>0</v>
      </c>
      <c r="Z9258" t="str">
        <v>=</v>
      </c>
      <c r="AA9258">
        <f>N9258*U9258*W9258*Y9258</f>
        <v>0</v>
      </c>
    </row>
    <row r="9259">
      <c r="A9259" t="str">
        <f>A9234</f>
        <v>Lantai Attic</v>
      </c>
      <c r="B9259">
        <f>B9234</f>
        <v>44</v>
      </c>
      <c r="C9259" t="str">
        <v>Kait Horizontal Lap.</v>
      </c>
      <c r="D9259">
        <f>VLOOKUP(D9234,'Detail Balok'!$C$10:$BJ$110,51,FALSE)</f>
        <v>0</v>
      </c>
      <c r="E9259" t="str">
        <v>D</v>
      </c>
      <c r="F9259">
        <f>VLOOKUP(D9234,'Detail Balok'!$C$10:$BJ$110,53,FALSE)</f>
        <v>0</v>
      </c>
      <c r="G9259" t="str">
        <v>-</v>
      </c>
      <c r="H9259">
        <f>VLOOKUP(D9234,'Detail Balok'!$C$10:$BJ$110,55,FALSE)</f>
        <v>100</v>
      </c>
      <c r="J9259">
        <f>(D9235-2*F$5)/1000</f>
        <v>0.12</v>
      </c>
      <c r="K9259" t="str">
        <v>+</v>
      </c>
      <c r="L9259">
        <f>IF(D9259=0,2*MAX(6*F9259,75),(D9259-1)*2*MAX(6*F9259,75))/1000</f>
        <v>0.15</v>
      </c>
      <c r="M9259" t="str">
        <v>=</v>
      </c>
      <c r="N9259">
        <f>J9259+L9259</f>
        <v>0.27</v>
      </c>
      <c r="T9259" t="str">
        <v>x</v>
      </c>
      <c r="U9259">
        <f>0.006165*F9259^2</f>
        <v>0</v>
      </c>
      <c r="V9259" t="str">
        <v>x</v>
      </c>
      <c r="W9259">
        <f>W9255</f>
        <v>14</v>
      </c>
      <c r="X9259" t="str">
        <v>x</v>
      </c>
      <c r="Y9259">
        <f>D9244</f>
        <v>0</v>
      </c>
      <c r="Z9259" t="str">
        <v>=</v>
      </c>
      <c r="AA9259">
        <f>N9259*U9259*W9259*Y9259</f>
        <v>0</v>
      </c>
    </row>
    <row r="9260">
      <c r="A9260" t="str">
        <f>A9234</f>
        <v>Lantai Attic</v>
      </c>
      <c r="B9260">
        <f>B9234</f>
        <v>44</v>
      </c>
      <c r="C9260" t="str">
        <v>Kait Horizontal Tump.</v>
      </c>
      <c r="D9260">
        <f>VLOOKUP(D9234,'Detail Balok'!$C$10:$BJ$110,56,FALSE)</f>
        <v>0</v>
      </c>
      <c r="E9260" t="str">
        <v>D</v>
      </c>
      <c r="F9260">
        <f>VLOOKUP(D9234,'Detail Balok'!$C$10:$BJ$110,58,FALSE)</f>
        <v>0</v>
      </c>
      <c r="G9260" t="str">
        <v>-</v>
      </c>
      <c r="H9260">
        <f>VLOOKUP(D9234,'Detail Balok'!$C$10:$BJ$110,60,FALSE)</f>
        <v>100</v>
      </c>
      <c r="J9260">
        <f>(D9235-2*F$5)/1000</f>
        <v>0.12</v>
      </c>
      <c r="K9260" t="str">
        <v>+</v>
      </c>
      <c r="L9260">
        <f>IF(D9260=0,2*MAX(6*F9260,75),(D9260-1)*2*MAX(6*F9260,75))/1000</f>
        <v>0.15</v>
      </c>
      <c r="M9260" t="str">
        <v>=</v>
      </c>
      <c r="N9260">
        <f>J9260+L9260</f>
        <v>0.27</v>
      </c>
      <c r="T9260" t="str">
        <v>x</v>
      </c>
      <c r="U9260">
        <f>0.006165*F9260^2</f>
        <v>0</v>
      </c>
      <c r="V9260" t="str">
        <v>x</v>
      </c>
      <c r="W9260">
        <f>W9256</f>
        <v>19</v>
      </c>
      <c r="X9260" t="str">
        <v>x</v>
      </c>
      <c r="Y9260">
        <f>D9244</f>
        <v>0</v>
      </c>
      <c r="Z9260" t="str">
        <v>=</v>
      </c>
      <c r="AA9260">
        <f>N9260*U9260*W9260*Y9260</f>
        <v>0</v>
      </c>
    </row>
    <row r="9264">
      <c r="A9264" t="str">
        <f>A9234</f>
        <v>Lantai Attic</v>
      </c>
      <c r="B9264">
        <f>B9234+1</f>
        <v>45</v>
      </c>
      <c r="C9264" t="str">
        <f>CONCATENATE(A9264," no. ",B9264)</f>
        <v>Lantai Attic no. 45</v>
      </c>
      <c r="D9264" t="str">
        <f>VLOOKUP(C9264,'Data Panjang Balok'!$C$9:$N$424,2,FALSE)</f>
        <v>B24-4</v>
      </c>
    </row>
    <row r="9265">
      <c r="C9265" t="str">
        <v>Dimensi</v>
      </c>
      <c r="D9265">
        <f>VLOOKUP(D9264,'Detail Balok'!$C$10:$AU$110,2,FALSE)</f>
        <v>200</v>
      </c>
      <c r="F9265" t="str">
        <v>x</v>
      </c>
      <c r="G9265">
        <f>VLOOKUP(D9264,'Detail Balok'!$C$10:$AU$110,3,FALSE)</f>
        <v>400</v>
      </c>
    </row>
    <row r="9266">
      <c r="C9266" t="str">
        <v>Panjang as ke as</v>
      </c>
      <c r="D9266">
        <f>VLOOKUP(C9264,'Data Panjang Balok'!$C$9:$N$424,4,FALSE)</f>
        <v>3100</v>
      </c>
    </row>
    <row r="9267">
      <c r="C9267" t="str">
        <v>Panjang netto</v>
      </c>
      <c r="D9267">
        <f>VLOOKUP(C9264,'Data Panjang Balok'!$C$9:$N$424,7,FALSE)</f>
        <v>3100</v>
      </c>
    </row>
    <row r="9268">
      <c r="C9268" t="str">
        <v>Kolom / balok kiri</v>
      </c>
      <c r="D9268">
        <f>VLOOKUP(C9264,'Data Panjang Balok'!$C$9:$N$424,9,FALSE)</f>
        <v>0</v>
      </c>
    </row>
    <row r="9269">
      <c r="C9269" t="str">
        <v>Kolom / balok kanan</v>
      </c>
      <c r="D9269">
        <f>VLOOKUP(C9264,'Data Panjang Balok'!$C$9:$N$424,10,FALSE)</f>
        <v>0</v>
      </c>
    </row>
    <row r="9270">
      <c r="C9270" t="str">
        <v>Jumlah</v>
      </c>
      <c r="D9270">
        <f>VLOOKUP(C9264,'Data Panjang Balok'!$C$9:$N$424,3,FALSE)</f>
        <v>1</v>
      </c>
    </row>
    <row r="9271">
      <c r="A9271" t="str">
        <f>A9264</f>
        <v>Lantai Attic</v>
      </c>
      <c r="B9271">
        <f>B9264</f>
        <v>45</v>
      </c>
      <c r="C9271" t="str">
        <v>Tul Atas Tumpuan</v>
      </c>
      <c r="D9271">
        <f>VLOOKUP(D9264,'Detail Balok'!$C$10:$AU$110,4,FALSE)</f>
        <v>4</v>
      </c>
      <c r="E9271" t="str">
        <v>D</v>
      </c>
      <c r="F9271">
        <f>VLOOKUP(D9264,'Detail Balok'!$C$10:$AU$110,6,FALSE)</f>
        <v>16</v>
      </c>
      <c r="I9271" t="str">
        <v>(</v>
      </c>
      <c r="J9271">
        <f>+D9266/4/1000</f>
        <v>0.775</v>
      </c>
      <c r="K9271" t="str">
        <v>+</v>
      </c>
      <c r="L9271">
        <f>MAX(VLOOKUP(F9271,N$6:P$15,3,FALSE)/1000,2/3*D9268/1000)+F$16*F9271/1000</f>
        <v>0.192</v>
      </c>
      <c r="M9271" t="str">
        <v>=</v>
      </c>
      <c r="N9271">
        <f>J9271+L9271</f>
        <v>0.9670000000000001</v>
      </c>
      <c r="O9271" t="str">
        <v>+</v>
      </c>
      <c r="P9271">
        <f>D9271-D9272</f>
        <v>2</v>
      </c>
      <c r="Q9271" t="str">
        <v>x</v>
      </c>
      <c r="R9271">
        <f>IF(P9271&gt;0,$F$18*F9271/1000,0)</f>
        <v>0.24</v>
      </c>
      <c r="S9271" t="str">
        <v>)</v>
      </c>
      <c r="T9271" t="str">
        <v>x</v>
      </c>
      <c r="U9271">
        <f>0.006165*F9271^2</f>
        <v>1.57824</v>
      </c>
      <c r="X9271" t="str">
        <v>x</v>
      </c>
      <c r="Y9271">
        <f>D9270</f>
        <v>1</v>
      </c>
      <c r="Z9271" t="str">
        <v>=</v>
      </c>
      <c r="AA9271">
        <f>IF(AA9274=0,(D9271*N9271+P9271*R9271)*U9271*Y9271,0)</f>
        <v>6.862187520000002</v>
      </c>
    </row>
    <row r="9272">
      <c r="A9272" t="str">
        <f>A9264</f>
        <v>Lantai Attic</v>
      </c>
      <c r="B9272">
        <f>B9264</f>
        <v>45</v>
      </c>
      <c r="C9272" t="str">
        <v>Tul Atas Lapangan</v>
      </c>
      <c r="D9272">
        <f>VLOOKUP(D9264,'Detail Balok'!$C$10:$AU$110,7,FALSE)</f>
        <v>2</v>
      </c>
      <c r="E9272" t="str">
        <v>D</v>
      </c>
      <c r="F9272">
        <f>VLOOKUP(D9264,'Detail Balok'!$C$10:$AU$110,9,FALSE)</f>
        <v>16</v>
      </c>
      <c r="I9272" t="str">
        <v>(</v>
      </c>
      <c r="J9272">
        <f>+D9266/2/1000</f>
        <v>1.55</v>
      </c>
      <c r="K9272" t="str">
        <v>+</v>
      </c>
      <c r="M9272" t="str">
        <v>=</v>
      </c>
      <c r="N9272">
        <f>J9272+L9272</f>
        <v>1.55</v>
      </c>
      <c r="O9272" t="str">
        <v>+</v>
      </c>
      <c r="P9272">
        <f>MAX(D9272-D9271,D9272-D9273)</f>
        <v>-2</v>
      </c>
      <c r="Q9272" t="str">
        <v>x</v>
      </c>
      <c r="R9272">
        <f>IF(P9272&gt;0,2*(1-2*$F$19-1/2)*D9267/1000,0)</f>
        <v>0</v>
      </c>
      <c r="S9272" t="str">
        <v>)</v>
      </c>
      <c r="T9272" t="str">
        <v>x</v>
      </c>
      <c r="U9272">
        <f>0.006165*F9272^2</f>
        <v>1.57824</v>
      </c>
      <c r="X9272" t="str">
        <v>x</v>
      </c>
      <c r="Y9272">
        <f>D9270</f>
        <v>1</v>
      </c>
      <c r="Z9272" t="str">
        <v>=</v>
      </c>
      <c r="AA9272">
        <f>IF(AA9274=0,(D9272*N9272+P9272*R9272)*U9272*Y9272,0)</f>
        <v>4.892544</v>
      </c>
    </row>
    <row r="9273">
      <c r="A9273" t="str">
        <f>A9264</f>
        <v>Lantai Attic</v>
      </c>
      <c r="B9273">
        <f>B9264</f>
        <v>45</v>
      </c>
      <c r="C9273" t="str">
        <v>Tul Atas Tumpuan</v>
      </c>
      <c r="D9273">
        <f>VLOOKUP(D9264,'Detail Balok'!$C$10:$AU$110,10,FALSE)</f>
        <v>4</v>
      </c>
      <c r="E9273" t="str">
        <v>D</v>
      </c>
      <c r="F9273">
        <f>VLOOKUP(D9264,'Detail Balok'!$C$10:$AU$110,12,FALSE)</f>
        <v>16</v>
      </c>
      <c r="I9273" t="str">
        <v>(</v>
      </c>
      <c r="J9273">
        <f>+D9266/4/1000</f>
        <v>0.775</v>
      </c>
      <c r="K9273" t="str">
        <v>+</v>
      </c>
      <c r="L9273">
        <f>MAX(VLOOKUP(F9273,N$6:P$15,3,FALSE)/1000,2/3*D9268/1000)+F$16*F9273/1000</f>
        <v>0.192</v>
      </c>
      <c r="M9273" t="str">
        <v>=</v>
      </c>
      <c r="N9273">
        <f>J9273+L9273</f>
        <v>0.9670000000000001</v>
      </c>
      <c r="O9273" t="str">
        <v>+</v>
      </c>
      <c r="P9273">
        <f>D9273-D9272</f>
        <v>2</v>
      </c>
      <c r="Q9273" t="str">
        <v>x</v>
      </c>
      <c r="R9273">
        <f>IF(P9273&gt;0,$F$18*F9273/1000,0)</f>
        <v>0.24</v>
      </c>
      <c r="S9273" t="str">
        <v>)</v>
      </c>
      <c r="T9273" t="str">
        <v>x</v>
      </c>
      <c r="U9273">
        <f>0.006165*F9273^2</f>
        <v>1.57824</v>
      </c>
      <c r="X9273" t="str">
        <v>x</v>
      </c>
      <c r="Y9273">
        <f>D9270</f>
        <v>1</v>
      </c>
      <c r="Z9273" t="str">
        <v>=</v>
      </c>
      <c r="AA9273">
        <f>IF(AA9274=0,(D9273*N9273+P9273*R9273)*U9273*Y9273,0)</f>
        <v>6.862187520000002</v>
      </c>
    </row>
    <row r="9274">
      <c r="A9274" t="str">
        <f>A9264</f>
        <v>Lantai Attic</v>
      </c>
      <c r="B9274">
        <f>B9264</f>
        <v>45</v>
      </c>
      <c r="D9274">
        <f>IF(AND(D9271=D9272,D9272=D9273,D9271=D9273),D9271,0)</f>
        <v>0</v>
      </c>
      <c r="E9274" t="str">
        <v>D</v>
      </c>
      <c r="F9274">
        <f>IF(AND(F9271=F9272,F9271=F9273,F9272=F9273),F9271,0)</f>
        <v>16</v>
      </c>
      <c r="L9274" t="str">
        <v>Total panjang per balok</v>
      </c>
      <c r="M9274" t="str">
        <v>=</v>
      </c>
      <c r="N9274">
        <f>IF(AND(D9271=D9272,D9271=D9273,D9272=D9273,F9271=F9272,F9271=F9273,F9272=F9273),SUM(N9271:N9273),0)</f>
        <v>0</v>
      </c>
      <c r="O9274" t="str">
        <v>+</v>
      </c>
      <c r="P9274">
        <f>IF(N9274&gt;12,ROUNDDOWN(N9274/12,0),0)</f>
        <v>0</v>
      </c>
      <c r="Q9274" t="str">
        <v>x</v>
      </c>
      <c r="R9274">
        <f>IF(P9274&gt;0,MAX(VLOOKUP(F9274,$D$6:$G$15,3,FALSE),600),0)/1000</f>
        <v>0</v>
      </c>
      <c r="T9274" t="str">
        <v>x</v>
      </c>
      <c r="U9274">
        <f>U9273</f>
        <v>1.57824</v>
      </c>
      <c r="V9274" t="str">
        <v>x</v>
      </c>
      <c r="W9274">
        <f>D9274</f>
        <v>0</v>
      </c>
      <c r="X9274" t="str">
        <v>x</v>
      </c>
      <c r="Y9274">
        <f>Y9273</f>
        <v>1</v>
      </c>
      <c r="Z9274" t="str">
        <v>=</v>
      </c>
      <c r="AA9274">
        <f>(N9274+P9274*R9274/1000)*U9274*W9274*Y9274</f>
        <v>0</v>
      </c>
    </row>
    <row r="9276">
      <c r="A9276" t="str">
        <f>A9264</f>
        <v>Lantai Attic</v>
      </c>
      <c r="B9276">
        <f>B9264</f>
        <v>45</v>
      </c>
      <c r="C9276" t="str">
        <v>Tul Peminggang</v>
      </c>
      <c r="D9276">
        <f>VLOOKUP(D9264,'Detail Balok'!$C$10:$AU$110,13,FALSE)</f>
        <v>0</v>
      </c>
      <c r="E9276" t="str">
        <v>D</v>
      </c>
      <c r="F9276">
        <f>VLOOKUP(D9264,'Detail Balok'!$C$10:$AU$110,15,FALSE)</f>
        <v>6</v>
      </c>
      <c r="J9276">
        <f>+D9266/1000</f>
        <v>3.1</v>
      </c>
      <c r="K9276" t="str">
        <v>+</v>
      </c>
      <c r="L9276">
        <f>2*$F$16*F9276/1000</f>
        <v>0.144</v>
      </c>
      <c r="M9276" t="str">
        <v>=</v>
      </c>
      <c r="N9276">
        <f>J9276+L9276</f>
        <v>3.244</v>
      </c>
      <c r="O9276" t="str">
        <v>+</v>
      </c>
      <c r="P9276">
        <f>IF(N9276&gt;12,ROUNDDOWN(N9276/12,0),0)</f>
        <v>0</v>
      </c>
      <c r="Q9276" t="str">
        <v>x</v>
      </c>
      <c r="R9276">
        <f>IF(P9276&gt;0,MAX(VLOOKUP(F9276,$D$6:$G$15,3,FALSE),600),0)/1000</f>
        <v>0</v>
      </c>
      <c r="T9276" t="str">
        <v>x</v>
      </c>
      <c r="U9276">
        <f>0.006165*F9276^2</f>
        <v>0.22194000000000003</v>
      </c>
      <c r="V9276" t="str">
        <v>x</v>
      </c>
      <c r="W9276">
        <f>+D9276</f>
        <v>0</v>
      </c>
      <c r="X9276" t="str">
        <v>x</v>
      </c>
      <c r="Y9276">
        <f>D9270</f>
        <v>1</v>
      </c>
      <c r="Z9276" t="str">
        <v>=</v>
      </c>
      <c r="AA9276">
        <f>(N9276+P9276*R9276/1000)*U9276*W9276*Y9276</f>
        <v>0</v>
      </c>
    </row>
    <row r="9279">
      <c r="A9279" t="str">
        <f>A9264</f>
        <v>Lantai Attic</v>
      </c>
      <c r="B9279">
        <f>B9264</f>
        <v>45</v>
      </c>
      <c r="C9279" t="str">
        <v>Tul Bawah Tumpuan</v>
      </c>
      <c r="D9279">
        <f>VLOOKUP(D9264,'Detail Balok'!$C$10:$AU$110,22,FALSE)</f>
        <v>2</v>
      </c>
      <c r="E9279" t="str">
        <v>D</v>
      </c>
      <c r="F9279">
        <f>VLOOKUP(D9264,'Detail Balok'!$C$10:$AU$110,24,FALSE)</f>
        <v>16</v>
      </c>
      <c r="I9279" t="str">
        <v>(</v>
      </c>
      <c r="J9279">
        <f>+J9271</f>
        <v>0.775</v>
      </c>
      <c r="K9279" t="str">
        <v>+</v>
      </c>
      <c r="L9279">
        <f>MAX(VLOOKUP(F9279,N$6:P$15,3,FALSE)/1000,2/3*D9269/1000)+F$16*F9279/1000</f>
        <v>0.192</v>
      </c>
      <c r="M9279" t="str">
        <v>=</v>
      </c>
      <c r="N9279">
        <f>J9279+L9279</f>
        <v>0.9670000000000001</v>
      </c>
      <c r="O9279" t="str">
        <v>+</v>
      </c>
      <c r="P9279">
        <f>D9279-D9280</f>
        <v>-2</v>
      </c>
      <c r="Q9279" t="str">
        <v>x</v>
      </c>
      <c r="R9279">
        <f>IF(P9279&gt;0,$F$18*F9279/1000,0)</f>
        <v>0</v>
      </c>
      <c r="S9279" t="str">
        <v>)</v>
      </c>
      <c r="T9279" t="str">
        <v>x</v>
      </c>
      <c r="U9279">
        <f>0.006165*F9279^2</f>
        <v>1.57824</v>
      </c>
      <c r="X9279" t="str">
        <v>x</v>
      </c>
      <c r="Y9279">
        <f>D9270</f>
        <v>1</v>
      </c>
      <c r="Z9279" t="str">
        <v>=</v>
      </c>
      <c r="AA9279">
        <f>IF(AA9282=0,(D9279*N9279+P9279*R9279)*U9279*Y9279,0)</f>
        <v>3.0523161600000006</v>
      </c>
    </row>
    <row r="9280">
      <c r="A9280" t="str">
        <f>A9264</f>
        <v>Lantai Attic</v>
      </c>
      <c r="B9280">
        <f>B9264</f>
        <v>45</v>
      </c>
      <c r="C9280" t="str">
        <v>Tul Bawah Lapangan</v>
      </c>
      <c r="D9280">
        <f>VLOOKUP(D9264,'Detail Balok'!$C$10:$AU$110,25,FALSE)</f>
        <v>4</v>
      </c>
      <c r="E9280" t="str">
        <v>D</v>
      </c>
      <c r="F9280">
        <f>VLOOKUP(D9264,'Detail Balok'!$C$10:$AU$110,27,FALSE)</f>
        <v>16</v>
      </c>
      <c r="I9280" t="str">
        <v>(</v>
      </c>
      <c r="J9280">
        <f>+J9272</f>
        <v>1.55</v>
      </c>
      <c r="K9280" t="str">
        <v>+</v>
      </c>
      <c r="M9280" t="str">
        <v>=</v>
      </c>
      <c r="N9280">
        <f>J9280+L9280</f>
        <v>1.55</v>
      </c>
      <c r="O9280" t="str">
        <v>+</v>
      </c>
      <c r="P9280">
        <f>MAX(D9280-D9279,D9280-D9281)</f>
        <v>2</v>
      </c>
      <c r="Q9280" t="str">
        <v>x</v>
      </c>
      <c r="R9280">
        <f>IF(P9280&gt;0,2*(1-2*$F$19-1/2)*D9267/1000,0)</f>
        <v>0.6199999999999999</v>
      </c>
      <c r="S9280" t="str">
        <v>)</v>
      </c>
      <c r="T9280" t="str">
        <v>x</v>
      </c>
      <c r="U9280">
        <f>0.006165*F9280^2</f>
        <v>1.57824</v>
      </c>
      <c r="X9280" t="str">
        <v>x</v>
      </c>
      <c r="Y9280">
        <f>D9270</f>
        <v>1</v>
      </c>
      <c r="Z9280" t="str">
        <v>=</v>
      </c>
      <c r="AA9280">
        <f>IF(AA9282=0,(D9280*N9280+P9280*R9280)*U9280*Y9280,0)</f>
        <v>11.7421056</v>
      </c>
    </row>
    <row r="9281">
      <c r="A9281" t="str">
        <f>A9264</f>
        <v>Lantai Attic</v>
      </c>
      <c r="B9281">
        <f>B9264</f>
        <v>45</v>
      </c>
      <c r="C9281" t="str">
        <v>Tul Bawah Tumpuan</v>
      </c>
      <c r="D9281">
        <f>VLOOKUP(D9264,'Detail Balok'!$C$10:$AU$110,28,FALSE)</f>
        <v>2</v>
      </c>
      <c r="E9281" t="str">
        <v>D</v>
      </c>
      <c r="F9281">
        <f>VLOOKUP(D9264,'Detail Balok'!$C$10:$AU$110,30,FALSE)</f>
        <v>16</v>
      </c>
      <c r="I9281" t="str">
        <v>(</v>
      </c>
      <c r="J9281">
        <f>+J9273</f>
        <v>0.775</v>
      </c>
      <c r="K9281" t="str">
        <v>+</v>
      </c>
      <c r="L9281">
        <f>MAX(VLOOKUP(F9281,N$6:P$15,3,FALSE)/1000,2/3*D9269/1000)+F$16*F9281/1000</f>
        <v>0.192</v>
      </c>
      <c r="M9281" t="str">
        <v>=</v>
      </c>
      <c r="N9281">
        <f>J9281+L9281</f>
        <v>0.9670000000000001</v>
      </c>
      <c r="O9281" t="str">
        <v>+</v>
      </c>
      <c r="P9281">
        <f>D9281-D9280</f>
        <v>-2</v>
      </c>
      <c r="Q9281" t="str">
        <v>x</v>
      </c>
      <c r="R9281">
        <f>IF(P9281&gt;0,$F$18*F9281/1000,0)</f>
        <v>0</v>
      </c>
      <c r="S9281" t="str">
        <v>)</v>
      </c>
      <c r="T9281" t="str">
        <v>x</v>
      </c>
      <c r="U9281">
        <f>0.006165*F9281^2</f>
        <v>1.57824</v>
      </c>
      <c r="X9281" t="str">
        <v>x</v>
      </c>
      <c r="Y9281">
        <f>D9270</f>
        <v>1</v>
      </c>
      <c r="Z9281" t="str">
        <v>=</v>
      </c>
      <c r="AA9281">
        <f>IF(AA9282=0,(D9281*N9281+P9281*R9281)*U9281*Y9281,0)</f>
        <v>3.0523161600000006</v>
      </c>
    </row>
    <row r="9282">
      <c r="A9282" t="str">
        <f>A9264</f>
        <v>Lantai Attic</v>
      </c>
      <c r="B9282">
        <f>B9264</f>
        <v>45</v>
      </c>
      <c r="D9282">
        <f>IF(AND(D9279=D9280,D9280=D9281,D9279=D9281),D9279,0)</f>
        <v>0</v>
      </c>
      <c r="E9282" t="str">
        <v>D</v>
      </c>
      <c r="F9282">
        <f>IF(AND(F9279=F9280,F9279=F9281,F9280=F9281),F9279,0)</f>
        <v>16</v>
      </c>
      <c r="L9282" t="str">
        <v>Total panjang per balok</v>
      </c>
      <c r="M9282" t="str">
        <v>=</v>
      </c>
      <c r="N9282">
        <f>IF(AND(D9279=D9280,D9279=D9281,D9280=D9281,F9279=F9280,F9279=F9281,F9280=F9281),SUM(N9279:N9281),0)</f>
        <v>0</v>
      </c>
      <c r="O9282" t="str">
        <v>+</v>
      </c>
      <c r="P9282">
        <f>IF(N9282&gt;12,ROUNDDOWN(N9282/12,0),0)</f>
        <v>0</v>
      </c>
      <c r="Q9282" t="str">
        <v>x</v>
      </c>
      <c r="R9282">
        <f>IF(P9282&gt;0,MAX(VLOOKUP(F9282,$D$6:$G$15,3,FALSE),600),0)/1000</f>
        <v>0</v>
      </c>
      <c r="T9282" t="str">
        <v>x</v>
      </c>
      <c r="U9282">
        <f>U9281</f>
        <v>1.57824</v>
      </c>
      <c r="V9282" t="str">
        <v>x</v>
      </c>
      <c r="W9282">
        <f>D9282</f>
        <v>0</v>
      </c>
      <c r="X9282" t="str">
        <v>x</v>
      </c>
      <c r="Y9282">
        <f>Y9281</f>
        <v>1</v>
      </c>
      <c r="Z9282" t="str">
        <v>=</v>
      </c>
      <c r="AA9282">
        <f>(N9282+P9282*R9282/1000)*U9282*W9282*Y9282</f>
        <v>0</v>
      </c>
    </row>
    <row r="9284">
      <c r="A9284" t="str">
        <f>A9264</f>
        <v>Lantai Attic</v>
      </c>
      <c r="B9284">
        <f>B9264</f>
        <v>45</v>
      </c>
      <c r="C9284" t="str">
        <v>Sengkang Tumpuan</v>
      </c>
      <c r="D9284">
        <f>VLOOKUP(D9264,'Detail Balok'!$C$10:$AU$110,31,FALSE)</f>
        <v>0</v>
      </c>
      <c r="E9284" t="str">
        <v>D</v>
      </c>
      <c r="F9284">
        <f>VLOOKUP(D9264,'Detail Balok'!$C$10:$AU$110,33,FALSE)</f>
        <v>8</v>
      </c>
      <c r="G9284" t="str">
        <v>-</v>
      </c>
      <c r="H9284">
        <f>VLOOKUP(D9264,'Detail Balok'!$C$10:$AU$110,35,FALSE)</f>
        <v>80</v>
      </c>
      <c r="J9284">
        <f>(IF(D9284=0,(2*(D9265+G9265))-(F$5*8),IF(D9284=3,(2*(D9265+G9265))-(F$5*8)+(G9265-2*F$5),IF(D9284=4,(2*(D9265+G9265))-(F$5*8)+2*(G9265-2*F$5)))))/1000</f>
        <v>0.88</v>
      </c>
      <c r="K9284" t="str">
        <v>+</v>
      </c>
      <c r="L9284">
        <f>IF(D9284=0,2*MAX(6*F9284,75),(D9284-1)*2*MAX(6*F9284,75))/1000</f>
        <v>0.15</v>
      </c>
      <c r="M9284" t="str">
        <v>=</v>
      </c>
      <c r="N9284">
        <f>J9284+L9284</f>
        <v>1.03</v>
      </c>
      <c r="T9284" t="str">
        <v>x</v>
      </c>
      <c r="U9284">
        <f>0.006165*F9284^2</f>
        <v>0.39456</v>
      </c>
      <c r="V9284" t="str">
        <v>x</v>
      </c>
      <c r="W9284">
        <f>IF(D9267&gt;4*G9265,ROUND(MAX(D9267/4,2*G9265)/H9284,0)+1,ROUND(D9267/H9284,0)+1)</f>
        <v>11</v>
      </c>
      <c r="X9284" t="str">
        <v>x</v>
      </c>
      <c r="Y9284">
        <f>D9270</f>
        <v>1</v>
      </c>
      <c r="Z9284" t="str">
        <v>=</v>
      </c>
      <c r="AA9284">
        <f>N9284*U9284*W9284*Y9284</f>
        <v>4.4703648000000005</v>
      </c>
    </row>
    <row r="9285">
      <c r="A9285" t="str">
        <f>A9264</f>
        <v>Lantai Attic</v>
      </c>
      <c r="B9285">
        <f>B9264</f>
        <v>45</v>
      </c>
      <c r="C9285" t="str">
        <v>Sengkang Lapangan</v>
      </c>
      <c r="D9285">
        <f>VLOOKUP(D9264,'Detail Balok'!$C$10:$AU$110,36,FALSE)</f>
        <v>0</v>
      </c>
      <c r="E9285" t="str">
        <v>D</v>
      </c>
      <c r="F9285">
        <f>VLOOKUP(D9264,'Detail Balok'!$C$10:$AU$110,38,FALSE)</f>
        <v>8</v>
      </c>
      <c r="G9285" t="str">
        <v>-</v>
      </c>
      <c r="H9285">
        <f>VLOOKUP(D9264,'Detail Balok'!$C$10:$AU$110,40,FALSE)</f>
        <v>200</v>
      </c>
      <c r="J9285">
        <f>(IF(D9285=0,(2*(D9265+G9265))-(F$5*8),IF(D9285=3,(2*(D9265+G9265))-(F$5*8)+(G9265-2*F$5),IF(D9285=4,(2*(D9265+G9265))-(F$5*8)+2*(G9265-2*F$5)))))/1000</f>
        <v>0.88</v>
      </c>
      <c r="K9285" t="str">
        <v>+</v>
      </c>
      <c r="L9285">
        <f>IF(D9285=0,2*MAX(6*F9285,75),(D9285-1)*2*MAX(6*F9285,75))/1000</f>
        <v>0.15</v>
      </c>
      <c r="M9285" t="str">
        <v>=</v>
      </c>
      <c r="N9285">
        <f>J9285+L9285</f>
        <v>1.03</v>
      </c>
      <c r="T9285" t="str">
        <v>x</v>
      </c>
      <c r="U9285">
        <f>0.006165*F9285^2</f>
        <v>0.39456</v>
      </c>
      <c r="V9285" t="str">
        <v>x</v>
      </c>
      <c r="W9285">
        <f>IF(D9267-MAX(D9267/4,2*G9265)*2&gt;0,ROUND((D9267-MAX(D9267/4,2*G9265)*2)/H9285,0),0)</f>
        <v>8</v>
      </c>
      <c r="X9285" t="str">
        <v>x</v>
      </c>
      <c r="Y9285">
        <f>D9270</f>
        <v>1</v>
      </c>
      <c r="Z9285" t="str">
        <v>=</v>
      </c>
      <c r="AA9285">
        <f>N9285*U9285*W9285*Y9285</f>
        <v>3.2511744000000005</v>
      </c>
    </row>
    <row r="9286">
      <c r="A9286" t="str">
        <f>A9264</f>
        <v>Lantai Attic</v>
      </c>
      <c r="B9286">
        <f>B9264</f>
        <v>45</v>
      </c>
      <c r="C9286" t="str">
        <v>Sengkang Tumpuan</v>
      </c>
      <c r="D9286">
        <f>VLOOKUP(D9264,'Detail Balok'!$C$10:$AU$110,41,FALSE)</f>
        <v>0</v>
      </c>
      <c r="E9286" t="str">
        <v>D</v>
      </c>
      <c r="F9286">
        <f>VLOOKUP(D9264,'Detail Balok'!$C$10:$AU$110,43,FALSE)</f>
        <v>8</v>
      </c>
      <c r="G9286" t="str">
        <v>-</v>
      </c>
      <c r="H9286">
        <f>VLOOKUP(D9264,'Detail Balok'!$C$10:$AU$110,45,FALSE)</f>
        <v>80</v>
      </c>
      <c r="J9286">
        <f>(IF(D9286=0,(2*(D9265+G9265))-(F$5*8),IF(D9286=3,(2*(D9265+G9265))-(F$5*8)+(G9265-2*F$5),IF(D9286=4,(2*(D9265+G9265))-(F$5*8)+2*(G9265-2*F$5)))))/1000</f>
        <v>0.88</v>
      </c>
      <c r="K9286" t="str">
        <v>+</v>
      </c>
      <c r="L9286">
        <f>IF(D9286=0,2*MAX(6*F9286,75),(D9286-1)*2*MAX(6*F9286,75))/1000</f>
        <v>0.15</v>
      </c>
      <c r="M9286" t="str">
        <v>=</v>
      </c>
      <c r="N9286">
        <f>J9286+L9286</f>
        <v>1.03</v>
      </c>
      <c r="T9286" t="str">
        <v>x</v>
      </c>
      <c r="U9286">
        <f>0.006165*F9286^2</f>
        <v>0.39456</v>
      </c>
      <c r="V9286" t="str">
        <v>x</v>
      </c>
      <c r="W9286">
        <f>IF(D9267&gt;4*G9265,ROUND(MAX(D9267/4,2*G9265)/H9286,0)+1,0)</f>
        <v>11</v>
      </c>
      <c r="X9286" t="str">
        <v>x</v>
      </c>
      <c r="Y9286">
        <f>D9270</f>
        <v>1</v>
      </c>
      <c r="Z9286" t="str">
        <v>=</v>
      </c>
      <c r="AA9286">
        <f>N9286*U9286*W9286*Y9286</f>
        <v>4.4703648000000005</v>
      </c>
    </row>
    <row r="9288">
      <c r="A9288" t="str">
        <f>A9264</f>
        <v>Lantai Attic</v>
      </c>
      <c r="B9288">
        <f>B9264</f>
        <v>45</v>
      </c>
      <c r="C9288" t="str">
        <v>Kait Horizontal Tump.</v>
      </c>
      <c r="D9288">
        <f>VLOOKUP(D9264,'Detail Balok'!$C$10:$BJ$110,46,FALSE)</f>
        <v>0</v>
      </c>
      <c r="E9288" t="str">
        <v>D</v>
      </c>
      <c r="F9288">
        <f>VLOOKUP(D9264,'Detail Balok'!$C$10:$BJ$110,48,FALSE)</f>
        <v>0</v>
      </c>
      <c r="G9288" t="str">
        <v>-</v>
      </c>
      <c r="H9288">
        <f>VLOOKUP(D9264,'Detail Balok'!$C$10:$BJ$110,50,FALSE)</f>
        <v>100</v>
      </c>
      <c r="J9288">
        <f>(D9265-2*F$5)/1000</f>
        <v>0.12</v>
      </c>
      <c r="K9288" t="str">
        <v>+</v>
      </c>
      <c r="L9288">
        <f>IF(D9288=0,2*MAX(6*F9288,75),(D9288-1)*2*MAX(6*F9288,75))/1000</f>
        <v>0.15</v>
      </c>
      <c r="M9288" t="str">
        <v>=</v>
      </c>
      <c r="N9288">
        <f>J9288+L9288</f>
        <v>0.27</v>
      </c>
      <c r="T9288" t="str">
        <v>x</v>
      </c>
      <c r="U9288">
        <f>0.006165*F9288^2</f>
        <v>0</v>
      </c>
      <c r="V9288" t="str">
        <v>x</v>
      </c>
      <c r="W9288">
        <f>W9284</f>
        <v>11</v>
      </c>
      <c r="X9288" t="str">
        <v>x</v>
      </c>
      <c r="Y9288">
        <f>D9274</f>
        <v>0</v>
      </c>
      <c r="Z9288" t="str">
        <v>=</v>
      </c>
      <c r="AA9288">
        <f>N9288*U9288*W9288*Y9288</f>
        <v>0</v>
      </c>
    </row>
    <row r="9289">
      <c r="A9289" t="str">
        <f>A9264</f>
        <v>Lantai Attic</v>
      </c>
      <c r="B9289">
        <f>B9264</f>
        <v>45</v>
      </c>
      <c r="C9289" t="str">
        <v>Kait Horizontal Lap.</v>
      </c>
      <c r="D9289">
        <f>VLOOKUP(D9264,'Detail Balok'!$C$10:$BJ$110,51,FALSE)</f>
        <v>0</v>
      </c>
      <c r="E9289" t="str">
        <v>D</v>
      </c>
      <c r="F9289">
        <f>VLOOKUP(D9264,'Detail Balok'!$C$10:$BJ$110,53,FALSE)</f>
        <v>0</v>
      </c>
      <c r="G9289" t="str">
        <v>-</v>
      </c>
      <c r="H9289">
        <f>VLOOKUP(D9264,'Detail Balok'!$C$10:$BJ$110,55,FALSE)</f>
        <v>100</v>
      </c>
      <c r="J9289">
        <f>(D9265-2*F$5)/1000</f>
        <v>0.12</v>
      </c>
      <c r="K9289" t="str">
        <v>+</v>
      </c>
      <c r="L9289">
        <f>IF(D9289=0,2*MAX(6*F9289,75),(D9289-1)*2*MAX(6*F9289,75))/1000</f>
        <v>0.15</v>
      </c>
      <c r="M9289" t="str">
        <v>=</v>
      </c>
      <c r="N9289">
        <f>J9289+L9289</f>
        <v>0.27</v>
      </c>
      <c r="T9289" t="str">
        <v>x</v>
      </c>
      <c r="U9289">
        <f>0.006165*F9289^2</f>
        <v>0</v>
      </c>
      <c r="V9289" t="str">
        <v>x</v>
      </c>
      <c r="W9289">
        <f>W9285</f>
        <v>8</v>
      </c>
      <c r="X9289" t="str">
        <v>x</v>
      </c>
      <c r="Y9289">
        <f>D9274</f>
        <v>0</v>
      </c>
      <c r="Z9289" t="str">
        <v>=</v>
      </c>
      <c r="AA9289">
        <f>N9289*U9289*W9289*Y9289</f>
        <v>0</v>
      </c>
    </row>
    <row r="9290">
      <c r="A9290" t="str">
        <f>A9264</f>
        <v>Lantai Attic</v>
      </c>
      <c r="B9290">
        <f>B9264</f>
        <v>45</v>
      </c>
      <c r="C9290" t="str">
        <v>Kait Horizontal Tump.</v>
      </c>
      <c r="D9290">
        <f>VLOOKUP(D9264,'Detail Balok'!$C$10:$BJ$110,56,FALSE)</f>
        <v>0</v>
      </c>
      <c r="E9290" t="str">
        <v>D</v>
      </c>
      <c r="F9290">
        <f>VLOOKUP(D9264,'Detail Balok'!$C$10:$BJ$110,58,FALSE)</f>
        <v>0</v>
      </c>
      <c r="G9290" t="str">
        <v>-</v>
      </c>
      <c r="H9290">
        <f>VLOOKUP(D9264,'Detail Balok'!$C$10:$BJ$110,60,FALSE)</f>
        <v>100</v>
      </c>
      <c r="J9290">
        <f>(D9265-2*F$5)/1000</f>
        <v>0.12</v>
      </c>
      <c r="K9290" t="str">
        <v>+</v>
      </c>
      <c r="L9290">
        <f>IF(D9290=0,2*MAX(6*F9290,75),(D9290-1)*2*MAX(6*F9290,75))/1000</f>
        <v>0.15</v>
      </c>
      <c r="M9290" t="str">
        <v>=</v>
      </c>
      <c r="N9290">
        <f>J9290+L9290</f>
        <v>0.27</v>
      </c>
      <c r="T9290" t="str">
        <v>x</v>
      </c>
      <c r="U9290">
        <f>0.006165*F9290^2</f>
        <v>0</v>
      </c>
      <c r="V9290" t="str">
        <v>x</v>
      </c>
      <c r="W9290">
        <f>W9286</f>
        <v>11</v>
      </c>
      <c r="X9290" t="str">
        <v>x</v>
      </c>
      <c r="Y9290">
        <f>D9274</f>
        <v>0</v>
      </c>
      <c r="Z9290" t="str">
        <v>=</v>
      </c>
      <c r="AA9290">
        <f>N9290*U9290*W9290*Y9290</f>
        <v>0</v>
      </c>
    </row>
    <row r="9294">
      <c r="A9294" t="str">
        <f>A9264</f>
        <v>Lantai Attic</v>
      </c>
      <c r="B9294">
        <f>B9264+1</f>
        <v>46</v>
      </c>
      <c r="C9294" t="str">
        <f>CONCATENATE(A9294," no. ",B9294)</f>
        <v>Lantai Attic no. 46</v>
      </c>
      <c r="D9294" t="str">
        <f>VLOOKUP(C9294,'Data Panjang Balok'!$C$9:$N$424,2,FALSE)</f>
        <v>Potongan J</v>
      </c>
    </row>
    <row r="9295">
      <c r="C9295" t="str">
        <v>Dimensi</v>
      </c>
      <c r="D9295">
        <f>VLOOKUP(D9294,'Detail Balok'!$C$10:$AU$110,2,FALSE)</f>
        <v>200</v>
      </c>
      <c r="F9295" t="str">
        <v>x</v>
      </c>
      <c r="G9295">
        <f>VLOOKUP(D9294,'Detail Balok'!$C$10:$AU$110,3,FALSE)</f>
        <v>500</v>
      </c>
    </row>
    <row r="9296">
      <c r="C9296" t="str">
        <v>Panjang as ke as</v>
      </c>
      <c r="D9296">
        <f>VLOOKUP(C9294,'Data Panjang Balok'!$C$9:$N$424,4,FALSE)</f>
        <v>2000</v>
      </c>
    </row>
    <row r="9297">
      <c r="C9297" t="str">
        <v>Panjang netto</v>
      </c>
      <c r="D9297">
        <f>VLOOKUP(C9294,'Data Panjang Balok'!$C$9:$N$424,7,FALSE)</f>
        <v>2000</v>
      </c>
    </row>
    <row r="9298">
      <c r="C9298" t="str">
        <v>Kolom / balok kiri</v>
      </c>
      <c r="D9298">
        <f>VLOOKUP(C9294,'Data Panjang Balok'!$C$9:$N$424,9,FALSE)</f>
        <v>0</v>
      </c>
    </row>
    <row r="9299">
      <c r="C9299" t="str">
        <v>Kolom / balok kanan</v>
      </c>
      <c r="D9299">
        <f>VLOOKUP(C9294,'Data Panjang Balok'!$C$9:$N$424,10,FALSE)</f>
        <v>0</v>
      </c>
    </row>
    <row r="9300">
      <c r="C9300" t="str">
        <v>Jumlah</v>
      </c>
      <c r="D9300">
        <f>VLOOKUP(C9294,'Data Panjang Balok'!$C$9:$N$424,3,FALSE)</f>
        <v>1</v>
      </c>
    </row>
    <row r="9301">
      <c r="A9301" t="str">
        <f>A9294</f>
        <v>Lantai Attic</v>
      </c>
      <c r="B9301">
        <f>B9294</f>
        <v>46</v>
      </c>
      <c r="C9301" t="str">
        <v>Tul Atas Tumpuan</v>
      </c>
      <c r="D9301">
        <f>VLOOKUP(D9294,'Detail Balok'!$C$10:$AU$110,4,FALSE)</f>
        <v>5</v>
      </c>
      <c r="E9301" t="str">
        <v>D</v>
      </c>
      <c r="F9301">
        <f>VLOOKUP(D9294,'Detail Balok'!$C$10:$AU$110,6,FALSE)</f>
        <v>19</v>
      </c>
      <c r="I9301" t="str">
        <v>(</v>
      </c>
      <c r="J9301">
        <f>+D9296/4/1000</f>
        <v>0.5</v>
      </c>
      <c r="K9301" t="str">
        <v>+</v>
      </c>
      <c r="L9301">
        <f>MAX(VLOOKUP(F9301,N$6:P$15,3,FALSE)/1000,2/3*D9298/1000)+F$16*F9301/1000</f>
        <v>0.228</v>
      </c>
      <c r="M9301" t="str">
        <v>=</v>
      </c>
      <c r="N9301">
        <f>J9301+L9301</f>
        <v>0.728</v>
      </c>
      <c r="O9301" t="str">
        <v>+</v>
      </c>
      <c r="P9301">
        <f>D9301-D9302</f>
        <v>0</v>
      </c>
      <c r="Q9301" t="str">
        <v>x</v>
      </c>
      <c r="R9301">
        <f>IF(P9301&gt;0,$F$18*F9301/1000,0)</f>
        <v>0</v>
      </c>
      <c r="S9301" t="str">
        <v>)</v>
      </c>
      <c r="T9301" t="str">
        <v>x</v>
      </c>
      <c r="U9301">
        <f>0.006165*F9301^2</f>
        <v>2.225565</v>
      </c>
      <c r="X9301" t="str">
        <v>x</v>
      </c>
      <c r="Y9301">
        <f>D9300</f>
        <v>1</v>
      </c>
      <c r="Z9301" t="str">
        <v>=</v>
      </c>
      <c r="AA9301">
        <f>IF(AA9304=0,(D9301*N9301+P9301*R9301)*U9301*Y9301,0)</f>
        <v>0</v>
      </c>
    </row>
    <row r="9302">
      <c r="A9302" t="str">
        <f>A9294</f>
        <v>Lantai Attic</v>
      </c>
      <c r="B9302">
        <f>B9294</f>
        <v>46</v>
      </c>
      <c r="C9302" t="str">
        <v>Tul Atas Lapangan</v>
      </c>
      <c r="D9302">
        <f>VLOOKUP(D9294,'Detail Balok'!$C$10:$AU$110,7,FALSE)</f>
        <v>5</v>
      </c>
      <c r="E9302" t="str">
        <v>D</v>
      </c>
      <c r="F9302">
        <f>VLOOKUP(D9294,'Detail Balok'!$C$10:$AU$110,9,FALSE)</f>
        <v>19</v>
      </c>
      <c r="I9302" t="str">
        <v>(</v>
      </c>
      <c r="J9302">
        <f>+D9296/2/1000</f>
        <v>1</v>
      </c>
      <c r="K9302" t="str">
        <v>+</v>
      </c>
      <c r="M9302" t="str">
        <v>=</v>
      </c>
      <c r="N9302">
        <f>J9302+L9302</f>
        <v>1</v>
      </c>
      <c r="O9302" t="str">
        <v>+</v>
      </c>
      <c r="P9302">
        <f>MAX(D9302-D9301,D9302-D9303)</f>
        <v>0</v>
      </c>
      <c r="Q9302" t="str">
        <v>x</v>
      </c>
      <c r="R9302">
        <f>IF(P9302&gt;0,2*(1-2*$F$19-1/2)*D9297/1000,0)</f>
        <v>0</v>
      </c>
      <c r="S9302" t="str">
        <v>)</v>
      </c>
      <c r="T9302" t="str">
        <v>x</v>
      </c>
      <c r="U9302">
        <f>0.006165*F9302^2</f>
        <v>2.225565</v>
      </c>
      <c r="X9302" t="str">
        <v>x</v>
      </c>
      <c r="Y9302">
        <f>D9300</f>
        <v>1</v>
      </c>
      <c r="Z9302" t="str">
        <v>=</v>
      </c>
      <c r="AA9302">
        <f>IF(AA9304=0,(D9302*N9302+P9302*R9302)*U9302*Y9302,0)</f>
        <v>0</v>
      </c>
    </row>
    <row r="9303">
      <c r="A9303" t="str">
        <f>A9294</f>
        <v>Lantai Attic</v>
      </c>
      <c r="B9303">
        <f>B9294</f>
        <v>46</v>
      </c>
      <c r="C9303" t="str">
        <v>Tul Atas Tumpuan</v>
      </c>
      <c r="D9303">
        <f>VLOOKUP(D9294,'Detail Balok'!$C$10:$AU$110,10,FALSE)</f>
        <v>5</v>
      </c>
      <c r="E9303" t="str">
        <v>D</v>
      </c>
      <c r="F9303">
        <f>VLOOKUP(D9294,'Detail Balok'!$C$10:$AU$110,12,FALSE)</f>
        <v>19</v>
      </c>
      <c r="I9303" t="str">
        <v>(</v>
      </c>
      <c r="J9303">
        <f>+D9296/4/1000</f>
        <v>0.5</v>
      </c>
      <c r="K9303" t="str">
        <v>+</v>
      </c>
      <c r="L9303">
        <f>MAX(VLOOKUP(F9303,N$6:P$15,3,FALSE)/1000,2/3*D9298/1000)+F$16*F9303/1000</f>
        <v>0.228</v>
      </c>
      <c r="M9303" t="str">
        <v>=</v>
      </c>
      <c r="N9303">
        <f>J9303+L9303</f>
        <v>0.728</v>
      </c>
      <c r="O9303" t="str">
        <v>+</v>
      </c>
      <c r="P9303">
        <f>D9303-D9302</f>
        <v>0</v>
      </c>
      <c r="Q9303" t="str">
        <v>x</v>
      </c>
      <c r="R9303">
        <f>IF(P9303&gt;0,$F$18*F9303/1000,0)</f>
        <v>0</v>
      </c>
      <c r="S9303" t="str">
        <v>)</v>
      </c>
      <c r="T9303" t="str">
        <v>x</v>
      </c>
      <c r="U9303">
        <f>0.006165*F9303^2</f>
        <v>2.225565</v>
      </c>
      <c r="X9303" t="str">
        <v>x</v>
      </c>
      <c r="Y9303">
        <f>D9300</f>
        <v>1</v>
      </c>
      <c r="Z9303" t="str">
        <v>=</v>
      </c>
      <c r="AA9303">
        <f>IF(AA9304=0,(D9303*N9303+P9303*R9303)*U9303*Y9303,0)</f>
        <v>0</v>
      </c>
    </row>
    <row r="9304">
      <c r="A9304" t="str">
        <f>A9294</f>
        <v>Lantai Attic</v>
      </c>
      <c r="B9304">
        <f>B9294</f>
        <v>46</v>
      </c>
      <c r="D9304">
        <f>IF(AND(D9301=D9302,D9302=D9303,D9301=D9303),D9301,0)</f>
        <v>5</v>
      </c>
      <c r="E9304" t="str">
        <v>D</v>
      </c>
      <c r="F9304">
        <f>IF(AND(F9301=F9302,F9301=F9303,F9302=F9303),F9301,0)</f>
        <v>19</v>
      </c>
      <c r="L9304" t="str">
        <v>Total panjang per balok</v>
      </c>
      <c r="M9304" t="str">
        <v>=</v>
      </c>
      <c r="N9304">
        <f>IF(AND(D9301=D9302,D9301=D9303,D9302=D9303,F9301=F9302,F9301=F9303,F9302=F9303),SUM(N9301:N9303),0)</f>
        <v>2.456</v>
      </c>
      <c r="O9304" t="str">
        <v>+</v>
      </c>
      <c r="P9304">
        <f>IF(N9304&gt;12,ROUNDDOWN(N9304/12,0),0)</f>
        <v>0</v>
      </c>
      <c r="Q9304" t="str">
        <v>x</v>
      </c>
      <c r="R9304">
        <f>IF(P9304&gt;0,MAX(VLOOKUP(F9304,$D$6:$G$15,3,FALSE),600),0)/1000</f>
        <v>0</v>
      </c>
      <c r="T9304" t="str">
        <v>x</v>
      </c>
      <c r="U9304">
        <f>U9303</f>
        <v>2.225565</v>
      </c>
      <c r="V9304" t="str">
        <v>x</v>
      </c>
      <c r="W9304">
        <f>D9304</f>
        <v>5</v>
      </c>
      <c r="X9304" t="str">
        <v>x</v>
      </c>
      <c r="Y9304">
        <f>Y9303</f>
        <v>1</v>
      </c>
      <c r="Z9304" t="str">
        <v>=</v>
      </c>
      <c r="AA9304">
        <f>(N9304+P9304*R9304/1000)*U9304*W9304*Y9304</f>
        <v>27.3299382</v>
      </c>
    </row>
    <row r="9306">
      <c r="A9306" t="str">
        <f>A9294</f>
        <v>Lantai Attic</v>
      </c>
      <c r="B9306">
        <f>B9294</f>
        <v>46</v>
      </c>
      <c r="C9306" t="str">
        <v>Tul Peminggang</v>
      </c>
      <c r="D9306">
        <f>VLOOKUP(D9294,'Detail Balok'!$C$10:$AU$110,13,FALSE)</f>
        <v>2</v>
      </c>
      <c r="E9306" t="str">
        <v>D</v>
      </c>
      <c r="F9306">
        <f>VLOOKUP(D9294,'Detail Balok'!$C$10:$AU$110,15,FALSE)</f>
        <v>10</v>
      </c>
      <c r="J9306">
        <f>+D9296/1000</f>
        <v>2</v>
      </c>
      <c r="K9306" t="str">
        <v>+</v>
      </c>
      <c r="L9306">
        <f>2*$F$16*F9306/1000</f>
        <v>0.24</v>
      </c>
      <c r="M9306" t="str">
        <v>=</v>
      </c>
      <c r="N9306">
        <f>J9306+L9306</f>
        <v>2.24</v>
      </c>
      <c r="O9306" t="str">
        <v>+</v>
      </c>
      <c r="P9306">
        <f>IF(N9306&gt;12,ROUNDDOWN(N9306/12,0),0)</f>
        <v>0</v>
      </c>
      <c r="Q9306" t="str">
        <v>x</v>
      </c>
      <c r="R9306">
        <f>IF(P9306&gt;0,MAX(VLOOKUP(F9306,$D$6:$G$15,3,FALSE),600),0)/1000</f>
        <v>0</v>
      </c>
      <c r="T9306" t="str">
        <v>x</v>
      </c>
      <c r="U9306">
        <f>0.006165*F9306^2</f>
        <v>0.6165</v>
      </c>
      <c r="V9306" t="str">
        <v>x</v>
      </c>
      <c r="W9306">
        <f>+D9306</f>
        <v>2</v>
      </c>
      <c r="X9306" t="str">
        <v>x</v>
      </c>
      <c r="Y9306">
        <f>D9300</f>
        <v>1</v>
      </c>
      <c r="Z9306" t="str">
        <v>=</v>
      </c>
      <c r="AA9306">
        <f>(N9306+P9306*R9306/1000)*U9306*W9306*Y9306</f>
        <v>2.7619200000000004</v>
      </c>
    </row>
    <row r="9309">
      <c r="A9309" t="str">
        <f>A9294</f>
        <v>Lantai Attic</v>
      </c>
      <c r="B9309">
        <f>B9294</f>
        <v>46</v>
      </c>
      <c r="C9309" t="str">
        <v>Tul Bawah Tumpuan</v>
      </c>
      <c r="D9309">
        <f>VLOOKUP(D9294,'Detail Balok'!$C$10:$AU$110,22,FALSE)</f>
        <v>2</v>
      </c>
      <c r="E9309" t="str">
        <v>D</v>
      </c>
      <c r="F9309">
        <f>VLOOKUP(D9294,'Detail Balok'!$C$10:$AU$110,24,FALSE)</f>
        <v>19</v>
      </c>
      <c r="I9309" t="str">
        <v>(</v>
      </c>
      <c r="J9309">
        <f>+J9301</f>
        <v>0.5</v>
      </c>
      <c r="K9309" t="str">
        <v>+</v>
      </c>
      <c r="L9309">
        <f>MAX(VLOOKUP(F9309,N$6:P$15,3,FALSE)/1000,2/3*D9299/1000)+F$16*F9309/1000</f>
        <v>0.228</v>
      </c>
      <c r="M9309" t="str">
        <v>=</v>
      </c>
      <c r="N9309">
        <f>J9309+L9309</f>
        <v>0.728</v>
      </c>
      <c r="O9309" t="str">
        <v>+</v>
      </c>
      <c r="P9309">
        <f>D9309-D9310</f>
        <v>0</v>
      </c>
      <c r="Q9309" t="str">
        <v>x</v>
      </c>
      <c r="R9309">
        <f>IF(P9309&gt;0,$F$18*F9309/1000,0)</f>
        <v>0</v>
      </c>
      <c r="S9309" t="str">
        <v>)</v>
      </c>
      <c r="T9309" t="str">
        <v>x</v>
      </c>
      <c r="U9309">
        <f>0.006165*F9309^2</f>
        <v>2.225565</v>
      </c>
      <c r="X9309" t="str">
        <v>x</v>
      </c>
      <c r="Y9309">
        <f>D9300</f>
        <v>1</v>
      </c>
      <c r="Z9309" t="str">
        <v>=</v>
      </c>
      <c r="AA9309">
        <f>IF(AA9312=0,(D9309*N9309+P9309*R9309)*U9309*Y9309,0)</f>
        <v>0</v>
      </c>
    </row>
    <row r="9310">
      <c r="A9310" t="str">
        <f>A9294</f>
        <v>Lantai Attic</v>
      </c>
      <c r="B9310">
        <f>B9294</f>
        <v>46</v>
      </c>
      <c r="C9310" t="str">
        <v>Tul Bawah Lapangan</v>
      </c>
      <c r="D9310">
        <f>VLOOKUP(D9294,'Detail Balok'!$C$10:$AU$110,25,FALSE)</f>
        <v>2</v>
      </c>
      <c r="E9310" t="str">
        <v>D</v>
      </c>
      <c r="F9310">
        <f>VLOOKUP(D9294,'Detail Balok'!$C$10:$AU$110,27,FALSE)</f>
        <v>19</v>
      </c>
      <c r="I9310" t="str">
        <v>(</v>
      </c>
      <c r="J9310">
        <f>+J9302</f>
        <v>1</v>
      </c>
      <c r="K9310" t="str">
        <v>+</v>
      </c>
      <c r="M9310" t="str">
        <v>=</v>
      </c>
      <c r="N9310">
        <f>J9310+L9310</f>
        <v>1</v>
      </c>
      <c r="O9310" t="str">
        <v>+</v>
      </c>
      <c r="P9310">
        <f>MAX(D9310-D9309,D9310-D9311)</f>
        <v>0</v>
      </c>
      <c r="Q9310" t="str">
        <v>x</v>
      </c>
      <c r="R9310">
        <f>IF(P9310&gt;0,2*(1-2*$F$19-1/2)*D9297/1000,0)</f>
        <v>0</v>
      </c>
      <c r="S9310" t="str">
        <v>)</v>
      </c>
      <c r="T9310" t="str">
        <v>x</v>
      </c>
      <c r="U9310">
        <f>0.006165*F9310^2</f>
        <v>2.225565</v>
      </c>
      <c r="X9310" t="str">
        <v>x</v>
      </c>
      <c r="Y9310">
        <f>D9300</f>
        <v>1</v>
      </c>
      <c r="Z9310" t="str">
        <v>=</v>
      </c>
      <c r="AA9310">
        <f>IF(AA9312=0,(D9310*N9310+P9310*R9310)*U9310*Y9310,0)</f>
        <v>0</v>
      </c>
    </row>
    <row r="9311">
      <c r="A9311" t="str">
        <f>A9294</f>
        <v>Lantai Attic</v>
      </c>
      <c r="B9311">
        <f>B9294</f>
        <v>46</v>
      </c>
      <c r="C9311" t="str">
        <v>Tul Bawah Tumpuan</v>
      </c>
      <c r="D9311">
        <f>VLOOKUP(D9294,'Detail Balok'!$C$10:$AU$110,28,FALSE)</f>
        <v>2</v>
      </c>
      <c r="E9311" t="str">
        <v>D</v>
      </c>
      <c r="F9311">
        <f>VLOOKUP(D9294,'Detail Balok'!$C$10:$AU$110,30,FALSE)</f>
        <v>19</v>
      </c>
      <c r="I9311" t="str">
        <v>(</v>
      </c>
      <c r="J9311">
        <f>+J9303</f>
        <v>0.5</v>
      </c>
      <c r="K9311" t="str">
        <v>+</v>
      </c>
      <c r="L9311">
        <f>MAX(VLOOKUP(F9311,N$6:P$15,3,FALSE)/1000,2/3*D9299/1000)+F$16*F9311/1000</f>
        <v>0.228</v>
      </c>
      <c r="M9311" t="str">
        <v>=</v>
      </c>
      <c r="N9311">
        <f>J9311+L9311</f>
        <v>0.728</v>
      </c>
      <c r="O9311" t="str">
        <v>+</v>
      </c>
      <c r="P9311">
        <f>D9311-D9310</f>
        <v>0</v>
      </c>
      <c r="Q9311" t="str">
        <v>x</v>
      </c>
      <c r="R9311">
        <f>IF(P9311&gt;0,$F$18*F9311/1000,0)</f>
        <v>0</v>
      </c>
      <c r="S9311" t="str">
        <v>)</v>
      </c>
      <c r="T9311" t="str">
        <v>x</v>
      </c>
      <c r="U9311">
        <f>0.006165*F9311^2</f>
        <v>2.225565</v>
      </c>
      <c r="X9311" t="str">
        <v>x</v>
      </c>
      <c r="Y9311">
        <f>D9300</f>
        <v>1</v>
      </c>
      <c r="Z9311" t="str">
        <v>=</v>
      </c>
      <c r="AA9311">
        <f>IF(AA9312=0,(D9311*N9311+P9311*R9311)*U9311*Y9311,0)</f>
        <v>0</v>
      </c>
    </row>
    <row r="9312">
      <c r="A9312" t="str">
        <f>A9294</f>
        <v>Lantai Attic</v>
      </c>
      <c r="B9312">
        <f>B9294</f>
        <v>46</v>
      </c>
      <c r="D9312">
        <f>IF(AND(D9309=D9310,D9310=D9311,D9309=D9311),D9309,0)</f>
        <v>2</v>
      </c>
      <c r="E9312" t="str">
        <v>D</v>
      </c>
      <c r="F9312">
        <f>IF(AND(F9309=F9310,F9309=F9311,F9310=F9311),F9309,0)</f>
        <v>19</v>
      </c>
      <c r="L9312" t="str">
        <v>Total panjang per balok</v>
      </c>
      <c r="M9312" t="str">
        <v>=</v>
      </c>
      <c r="N9312">
        <f>IF(AND(D9309=D9310,D9309=D9311,D9310=D9311,F9309=F9310,F9309=F9311,F9310=F9311),SUM(N9309:N9311),0)</f>
        <v>2.456</v>
      </c>
      <c r="O9312" t="str">
        <v>+</v>
      </c>
      <c r="P9312">
        <f>IF(N9312&gt;12,ROUNDDOWN(N9312/12,0),0)</f>
        <v>0</v>
      </c>
      <c r="Q9312" t="str">
        <v>x</v>
      </c>
      <c r="R9312">
        <f>IF(P9312&gt;0,MAX(VLOOKUP(F9312,$D$6:$G$15,3,FALSE),600),0)/1000</f>
        <v>0</v>
      </c>
      <c r="T9312" t="str">
        <v>x</v>
      </c>
      <c r="U9312">
        <f>U9311</f>
        <v>2.225565</v>
      </c>
      <c r="V9312" t="str">
        <v>x</v>
      </c>
      <c r="W9312">
        <f>D9312</f>
        <v>2</v>
      </c>
      <c r="X9312" t="str">
        <v>x</v>
      </c>
      <c r="Y9312">
        <f>Y9311</f>
        <v>1</v>
      </c>
      <c r="Z9312" t="str">
        <v>=</v>
      </c>
      <c r="AA9312">
        <f>(N9312+P9312*R9312/1000)*U9312*W9312*Y9312</f>
        <v>10.93197528</v>
      </c>
    </row>
    <row r="9314">
      <c r="A9314" t="str">
        <f>A9294</f>
        <v>Lantai Attic</v>
      </c>
      <c r="B9314">
        <f>B9294</f>
        <v>46</v>
      </c>
      <c r="C9314" t="str">
        <v>Sengkang Tumpuan</v>
      </c>
      <c r="D9314">
        <f>VLOOKUP(D9294,'Detail Balok'!$C$10:$AU$110,31,FALSE)</f>
        <v>0</v>
      </c>
      <c r="E9314" t="str">
        <v>D</v>
      </c>
      <c r="F9314">
        <f>VLOOKUP(D9294,'Detail Balok'!$C$10:$AU$110,33,FALSE)</f>
        <v>10</v>
      </c>
      <c r="G9314" t="str">
        <v>-</v>
      </c>
      <c r="H9314">
        <f>VLOOKUP(D9294,'Detail Balok'!$C$10:$AU$110,35,FALSE)</f>
        <v>200</v>
      </c>
      <c r="J9314">
        <f>(IF(D9314=0,(2*(D9295+G9295))-(F$5*8),IF(D9314=3,(2*(D9295+G9295))-(F$5*8)+(G9295-2*F$5),IF(D9314=4,(2*(D9295+G9295))-(F$5*8)+2*(G9295-2*F$5)))))/1000</f>
        <v>1.08</v>
      </c>
      <c r="K9314" t="str">
        <v>+</v>
      </c>
      <c r="L9314">
        <f>IF(D9314=0,2*MAX(6*F9314,75),(D9314-1)*2*MAX(6*F9314,75))/1000</f>
        <v>0.15</v>
      </c>
      <c r="M9314" t="str">
        <v>=</v>
      </c>
      <c r="N9314">
        <f>J9314+L9314</f>
        <v>1.23</v>
      </c>
      <c r="T9314" t="str">
        <v>x</v>
      </c>
      <c r="U9314">
        <f>0.006165*F9314^2</f>
        <v>0.6165</v>
      </c>
      <c r="V9314" t="str">
        <v>x</v>
      </c>
      <c r="W9314">
        <f>IF(D9297&gt;4*G9295,ROUND(MAX(D9297/4,2*G9295)/H9314,0)+1,ROUND(D9297/H9314,0)+1)</f>
        <v>11</v>
      </c>
      <c r="X9314" t="str">
        <v>x</v>
      </c>
      <c r="Y9314">
        <f>D9300</f>
        <v>1</v>
      </c>
      <c r="Z9314" t="str">
        <v>=</v>
      </c>
      <c r="AA9314">
        <f>N9314*U9314*W9314*Y9314</f>
        <v>8.341245</v>
      </c>
    </row>
    <row r="9315">
      <c r="A9315" t="str">
        <f>A9294</f>
        <v>Lantai Attic</v>
      </c>
      <c r="B9315">
        <f>B9294</f>
        <v>46</v>
      </c>
      <c r="C9315" t="str">
        <v>Sengkang Lapangan</v>
      </c>
      <c r="D9315">
        <f>VLOOKUP(D9294,'Detail Balok'!$C$10:$AU$110,36,FALSE)</f>
        <v>0</v>
      </c>
      <c r="E9315" t="str">
        <v>D</v>
      </c>
      <c r="F9315">
        <f>VLOOKUP(D9294,'Detail Balok'!$C$10:$AU$110,38,FALSE)</f>
        <v>10</v>
      </c>
      <c r="G9315" t="str">
        <v>-</v>
      </c>
      <c r="H9315">
        <f>VLOOKUP(D9294,'Detail Balok'!$C$10:$AU$110,40,FALSE)</f>
        <v>200</v>
      </c>
      <c r="J9315">
        <f>(IF(D9315=0,(2*(D9295+G9295))-(F$5*8),IF(D9315=3,(2*(D9295+G9295))-(F$5*8)+(G9295-2*F$5),IF(D9315=4,(2*(D9295+G9295))-(F$5*8)+2*(G9295-2*F$5)))))/1000</f>
        <v>1.08</v>
      </c>
      <c r="K9315" t="str">
        <v>+</v>
      </c>
      <c r="L9315">
        <f>IF(D9315=0,2*MAX(6*F9315,75),(D9315-1)*2*MAX(6*F9315,75))/1000</f>
        <v>0.15</v>
      </c>
      <c r="M9315" t="str">
        <v>=</v>
      </c>
      <c r="N9315">
        <f>J9315+L9315</f>
        <v>1.23</v>
      </c>
      <c r="T9315" t="str">
        <v>x</v>
      </c>
      <c r="U9315">
        <f>0.006165*F9315^2</f>
        <v>0.6165</v>
      </c>
      <c r="V9315" t="str">
        <v>x</v>
      </c>
      <c r="W9315">
        <f>IF(D9297-MAX(D9297/4,2*G9295)*2&gt;0,ROUND((D9297-MAX(D9297/4,2*G9295)*2)/H9315,0),0)</f>
        <v>0</v>
      </c>
      <c r="X9315" t="str">
        <v>x</v>
      </c>
      <c r="Y9315">
        <f>D9300</f>
        <v>1</v>
      </c>
      <c r="Z9315" t="str">
        <v>=</v>
      </c>
      <c r="AA9315">
        <f>N9315*U9315*W9315*Y9315</f>
        <v>0</v>
      </c>
    </row>
    <row r="9316">
      <c r="A9316" t="str">
        <f>A9294</f>
        <v>Lantai Attic</v>
      </c>
      <c r="B9316">
        <f>B9294</f>
        <v>46</v>
      </c>
      <c r="C9316" t="str">
        <v>Sengkang Tumpuan</v>
      </c>
      <c r="D9316">
        <f>VLOOKUP(D9294,'Detail Balok'!$C$10:$AU$110,41,FALSE)</f>
        <v>0</v>
      </c>
      <c r="E9316" t="str">
        <v>D</v>
      </c>
      <c r="F9316">
        <f>VLOOKUP(D9294,'Detail Balok'!$C$10:$AU$110,43,FALSE)</f>
        <v>10</v>
      </c>
      <c r="G9316" t="str">
        <v>-</v>
      </c>
      <c r="H9316">
        <f>VLOOKUP(D9294,'Detail Balok'!$C$10:$AU$110,45,FALSE)</f>
        <v>200</v>
      </c>
      <c r="J9316">
        <f>(IF(D9316=0,(2*(D9295+G9295))-(F$5*8),IF(D9316=3,(2*(D9295+G9295))-(F$5*8)+(G9295-2*F$5),IF(D9316=4,(2*(D9295+G9295))-(F$5*8)+2*(G9295-2*F$5)))))/1000</f>
        <v>1.08</v>
      </c>
      <c r="K9316" t="str">
        <v>+</v>
      </c>
      <c r="L9316">
        <f>IF(D9316=0,2*MAX(6*F9316,75),(D9316-1)*2*MAX(6*F9316,75))/1000</f>
        <v>0.15</v>
      </c>
      <c r="M9316" t="str">
        <v>=</v>
      </c>
      <c r="N9316">
        <f>J9316+L9316</f>
        <v>1.23</v>
      </c>
      <c r="T9316" t="str">
        <v>x</v>
      </c>
      <c r="U9316">
        <f>0.006165*F9316^2</f>
        <v>0.6165</v>
      </c>
      <c r="V9316" t="str">
        <v>x</v>
      </c>
      <c r="W9316">
        <f>IF(D9297&gt;4*G9295,ROUND(MAX(D9297/4,2*G9295)/H9316,0)+1,0)</f>
        <v>0</v>
      </c>
      <c r="X9316" t="str">
        <v>x</v>
      </c>
      <c r="Y9316">
        <f>D9300</f>
        <v>1</v>
      </c>
      <c r="Z9316" t="str">
        <v>=</v>
      </c>
      <c r="AA9316">
        <f>N9316*U9316*W9316*Y9316</f>
        <v>0</v>
      </c>
    </row>
    <row r="9318">
      <c r="A9318" t="str">
        <f>A9294</f>
        <v>Lantai Attic</v>
      </c>
      <c r="B9318">
        <f>B9294</f>
        <v>46</v>
      </c>
      <c r="C9318" t="str">
        <v>Kait Horizontal Tump.</v>
      </c>
      <c r="D9318">
        <f>VLOOKUP(D9294,'Detail Balok'!$C$10:$BJ$110,46,FALSE)</f>
        <v>0</v>
      </c>
      <c r="E9318" t="str">
        <v>D</v>
      </c>
      <c r="F9318">
        <f>VLOOKUP(D9294,'Detail Balok'!$C$10:$BJ$110,48,FALSE)</f>
        <v>0</v>
      </c>
      <c r="G9318" t="str">
        <v>-</v>
      </c>
      <c r="H9318">
        <f>VLOOKUP(D9294,'Detail Balok'!$C$10:$BJ$110,50,FALSE)</f>
        <v>100</v>
      </c>
      <c r="J9318">
        <f>(D9295-2*F$5)/1000</f>
        <v>0.12</v>
      </c>
      <c r="K9318" t="str">
        <v>+</v>
      </c>
      <c r="L9318">
        <f>IF(D9318=0,2*MAX(6*F9318,75),(D9318-1)*2*MAX(6*F9318,75))/1000</f>
        <v>0.15</v>
      </c>
      <c r="M9318" t="str">
        <v>=</v>
      </c>
      <c r="N9318">
        <f>J9318+L9318</f>
        <v>0.27</v>
      </c>
      <c r="T9318" t="str">
        <v>x</v>
      </c>
      <c r="U9318">
        <f>0.006165*F9318^2</f>
        <v>0</v>
      </c>
      <c r="V9318" t="str">
        <v>x</v>
      </c>
      <c r="W9318">
        <f>W9314</f>
        <v>11</v>
      </c>
      <c r="X9318" t="str">
        <v>x</v>
      </c>
      <c r="Y9318">
        <f>D9304</f>
        <v>5</v>
      </c>
      <c r="Z9318" t="str">
        <v>=</v>
      </c>
      <c r="AA9318">
        <f>N9318*U9318*W9318*Y9318</f>
        <v>0</v>
      </c>
    </row>
    <row r="9319">
      <c r="A9319" t="str">
        <f>A9294</f>
        <v>Lantai Attic</v>
      </c>
      <c r="B9319">
        <f>B9294</f>
        <v>46</v>
      </c>
      <c r="C9319" t="str">
        <v>Kait Horizontal Lap.</v>
      </c>
      <c r="D9319">
        <f>VLOOKUP(D9294,'Detail Balok'!$C$10:$BJ$110,51,FALSE)</f>
        <v>0</v>
      </c>
      <c r="E9319" t="str">
        <v>D</v>
      </c>
      <c r="F9319">
        <f>VLOOKUP(D9294,'Detail Balok'!$C$10:$BJ$110,53,FALSE)</f>
        <v>0</v>
      </c>
      <c r="G9319" t="str">
        <v>-</v>
      </c>
      <c r="H9319">
        <f>VLOOKUP(D9294,'Detail Balok'!$C$10:$BJ$110,55,FALSE)</f>
        <v>100</v>
      </c>
      <c r="J9319">
        <f>(D9295-2*F$5)/1000</f>
        <v>0.12</v>
      </c>
      <c r="K9319" t="str">
        <v>+</v>
      </c>
      <c r="L9319">
        <f>IF(D9319=0,2*MAX(6*F9319,75),(D9319-1)*2*MAX(6*F9319,75))/1000</f>
        <v>0.15</v>
      </c>
      <c r="M9319" t="str">
        <v>=</v>
      </c>
      <c r="N9319">
        <f>J9319+L9319</f>
        <v>0.27</v>
      </c>
      <c r="T9319" t="str">
        <v>x</v>
      </c>
      <c r="U9319">
        <f>0.006165*F9319^2</f>
        <v>0</v>
      </c>
      <c r="V9319" t="str">
        <v>x</v>
      </c>
      <c r="W9319">
        <f>W9315</f>
        <v>0</v>
      </c>
      <c r="X9319" t="str">
        <v>x</v>
      </c>
      <c r="Y9319">
        <f>D9304</f>
        <v>5</v>
      </c>
      <c r="Z9319" t="str">
        <v>=</v>
      </c>
      <c r="AA9319">
        <f>N9319*U9319*W9319*Y9319</f>
        <v>0</v>
      </c>
    </row>
    <row r="9320">
      <c r="A9320" t="str">
        <f>A9294</f>
        <v>Lantai Attic</v>
      </c>
      <c r="B9320">
        <f>B9294</f>
        <v>46</v>
      </c>
      <c r="C9320" t="str">
        <v>Kait Horizontal Tump.</v>
      </c>
      <c r="D9320">
        <f>VLOOKUP(D9294,'Detail Balok'!$C$10:$BJ$110,56,FALSE)</f>
        <v>0</v>
      </c>
      <c r="E9320" t="str">
        <v>D</v>
      </c>
      <c r="F9320">
        <f>VLOOKUP(D9294,'Detail Balok'!$C$10:$BJ$110,58,FALSE)</f>
        <v>0</v>
      </c>
      <c r="G9320" t="str">
        <v>-</v>
      </c>
      <c r="H9320">
        <f>VLOOKUP(D9294,'Detail Balok'!$C$10:$BJ$110,60,FALSE)</f>
        <v>100</v>
      </c>
      <c r="J9320">
        <f>(D9295-2*F$5)/1000</f>
        <v>0.12</v>
      </c>
      <c r="K9320" t="str">
        <v>+</v>
      </c>
      <c r="L9320">
        <f>IF(D9320=0,2*MAX(6*F9320,75),(D9320-1)*2*MAX(6*F9320,75))/1000</f>
        <v>0.15</v>
      </c>
      <c r="M9320" t="str">
        <v>=</v>
      </c>
      <c r="N9320">
        <f>J9320+L9320</f>
        <v>0.27</v>
      </c>
      <c r="T9320" t="str">
        <v>x</v>
      </c>
      <c r="U9320">
        <f>0.006165*F9320^2</f>
        <v>0</v>
      </c>
      <c r="V9320" t="str">
        <v>x</v>
      </c>
      <c r="W9320">
        <f>W9316</f>
        <v>0</v>
      </c>
      <c r="X9320" t="str">
        <v>x</v>
      </c>
      <c r="Y9320">
        <f>D9304</f>
        <v>5</v>
      </c>
      <c r="Z9320" t="str">
        <v>=</v>
      </c>
      <c r="AA9320">
        <f>N9320*U9320*W9320*Y9320</f>
        <v>0</v>
      </c>
    </row>
    <row r="9324">
      <c r="A9324" t="str">
        <f>A9294</f>
        <v>Lantai Attic</v>
      </c>
      <c r="B9324">
        <f>B9294+1</f>
        <v>47</v>
      </c>
      <c r="C9324" t="str">
        <f>CONCATENATE(A9324," no. ",B9324)</f>
        <v>Lantai Attic no. 47</v>
      </c>
      <c r="D9324" t="str">
        <f>VLOOKUP(C9324,'Data Panjang Balok'!$C$9:$N$424,2,FALSE)</f>
        <v>B24-1</v>
      </c>
    </row>
    <row r="9325">
      <c r="C9325" t="str">
        <v>Dimensi</v>
      </c>
      <c r="D9325">
        <f>VLOOKUP(D9324,'Detail Balok'!$C$10:$AU$110,2,FALSE)</f>
        <v>200</v>
      </c>
      <c r="F9325" t="str">
        <v>x</v>
      </c>
      <c r="G9325">
        <f>VLOOKUP(D9324,'Detail Balok'!$C$10:$AU$110,3,FALSE)</f>
        <v>400</v>
      </c>
    </row>
    <row r="9326">
      <c r="C9326" t="str">
        <v>Panjang as ke as</v>
      </c>
      <c r="D9326">
        <f>VLOOKUP(C9324,'Data Panjang Balok'!$C$9:$N$424,4,FALSE)</f>
        <v>2000</v>
      </c>
    </row>
    <row r="9327">
      <c r="C9327" t="str">
        <v>Panjang netto</v>
      </c>
      <c r="D9327">
        <f>VLOOKUP(C9324,'Data Panjang Balok'!$C$9:$N$424,7,FALSE)</f>
        <v>2000</v>
      </c>
    </row>
    <row r="9328">
      <c r="C9328" t="str">
        <v>Kolom / balok kiri</v>
      </c>
      <c r="D9328">
        <f>VLOOKUP(C9324,'Data Panjang Balok'!$C$9:$N$424,9,FALSE)</f>
        <v>0</v>
      </c>
    </row>
    <row r="9329">
      <c r="C9329" t="str">
        <v>Kolom / balok kanan</v>
      </c>
      <c r="D9329">
        <f>VLOOKUP(C9324,'Data Panjang Balok'!$C$9:$N$424,10,FALSE)</f>
        <v>0</v>
      </c>
    </row>
    <row r="9330">
      <c r="C9330" t="str">
        <v>Jumlah</v>
      </c>
      <c r="D9330">
        <f>VLOOKUP(C9324,'Data Panjang Balok'!$C$9:$N$424,3,FALSE)</f>
        <v>1</v>
      </c>
    </row>
    <row r="9331">
      <c r="A9331" t="str">
        <f>A9324</f>
        <v>Lantai Attic</v>
      </c>
      <c r="B9331">
        <f>B9324</f>
        <v>47</v>
      </c>
      <c r="C9331" t="str">
        <v>Tul Atas Tumpuan</v>
      </c>
      <c r="D9331">
        <f>VLOOKUP(D9324,'Detail Balok'!$C$10:$AU$110,4,FALSE)</f>
        <v>2</v>
      </c>
      <c r="E9331" t="str">
        <v>D</v>
      </c>
      <c r="F9331">
        <f>VLOOKUP(D9324,'Detail Balok'!$C$10:$AU$110,6,FALSE)</f>
        <v>13</v>
      </c>
      <c r="I9331" t="str">
        <v>(</v>
      </c>
      <c r="J9331">
        <f>+D9326/4/1000</f>
        <v>0.5</v>
      </c>
      <c r="K9331" t="str">
        <v>+</v>
      </c>
      <c r="L9331">
        <f>MAX(VLOOKUP(F9331,N$6:P$15,3,FALSE)/1000,2/3*D9328/1000)+F$16*F9331/1000</f>
        <v>0.156</v>
      </c>
      <c r="M9331" t="str">
        <v>=</v>
      </c>
      <c r="N9331">
        <f>J9331+L9331</f>
        <v>0.656</v>
      </c>
      <c r="O9331" t="str">
        <v>+</v>
      </c>
      <c r="P9331">
        <f>D9331-D9332</f>
        <v>0</v>
      </c>
      <c r="Q9331" t="str">
        <v>x</v>
      </c>
      <c r="R9331">
        <f>IF(P9331&gt;0,$F$18*F9331/1000,0)</f>
        <v>0</v>
      </c>
      <c r="S9331" t="str">
        <v>)</v>
      </c>
      <c r="T9331" t="str">
        <v>x</v>
      </c>
      <c r="U9331">
        <f>0.006165*F9331^2</f>
        <v>1.041885</v>
      </c>
      <c r="X9331" t="str">
        <v>x</v>
      </c>
      <c r="Y9331">
        <f>D9330</f>
        <v>1</v>
      </c>
      <c r="Z9331" t="str">
        <v>=</v>
      </c>
      <c r="AA9331">
        <f>IF(AA9334=0,(D9331*N9331+P9331*R9331)*U9331*Y9331,0)</f>
        <v>0</v>
      </c>
    </row>
    <row r="9332">
      <c r="A9332" t="str">
        <f>A9324</f>
        <v>Lantai Attic</v>
      </c>
      <c r="B9332">
        <f>B9324</f>
        <v>47</v>
      </c>
      <c r="C9332" t="str">
        <v>Tul Atas Lapangan</v>
      </c>
      <c r="D9332">
        <f>VLOOKUP(D9324,'Detail Balok'!$C$10:$AU$110,7,FALSE)</f>
        <v>2</v>
      </c>
      <c r="E9332" t="str">
        <v>D</v>
      </c>
      <c r="F9332">
        <f>VLOOKUP(D9324,'Detail Balok'!$C$10:$AU$110,9,FALSE)</f>
        <v>13</v>
      </c>
      <c r="I9332" t="str">
        <v>(</v>
      </c>
      <c r="J9332">
        <f>+D9326/2/1000</f>
        <v>1</v>
      </c>
      <c r="K9332" t="str">
        <v>+</v>
      </c>
      <c r="M9332" t="str">
        <v>=</v>
      </c>
      <c r="N9332">
        <f>J9332+L9332</f>
        <v>1</v>
      </c>
      <c r="O9332" t="str">
        <v>+</v>
      </c>
      <c r="P9332">
        <f>MAX(D9332-D9331,D9332-D9333)</f>
        <v>0</v>
      </c>
      <c r="Q9332" t="str">
        <v>x</v>
      </c>
      <c r="R9332">
        <f>IF(P9332&gt;0,2*(1-2*$F$19-1/2)*D9327/1000,0)</f>
        <v>0</v>
      </c>
      <c r="S9332" t="str">
        <v>)</v>
      </c>
      <c r="T9332" t="str">
        <v>x</v>
      </c>
      <c r="U9332">
        <f>0.006165*F9332^2</f>
        <v>1.041885</v>
      </c>
      <c r="X9332" t="str">
        <v>x</v>
      </c>
      <c r="Y9332">
        <f>D9330</f>
        <v>1</v>
      </c>
      <c r="Z9332" t="str">
        <v>=</v>
      </c>
      <c r="AA9332">
        <f>IF(AA9334=0,(D9332*N9332+P9332*R9332)*U9332*Y9332,0)</f>
        <v>0</v>
      </c>
    </row>
    <row r="9333">
      <c r="A9333" t="str">
        <f>A9324</f>
        <v>Lantai Attic</v>
      </c>
      <c r="B9333">
        <f>B9324</f>
        <v>47</v>
      </c>
      <c r="C9333" t="str">
        <v>Tul Atas Tumpuan</v>
      </c>
      <c r="D9333">
        <f>VLOOKUP(D9324,'Detail Balok'!$C$10:$AU$110,10,FALSE)</f>
        <v>2</v>
      </c>
      <c r="E9333" t="str">
        <v>D</v>
      </c>
      <c r="F9333">
        <f>VLOOKUP(D9324,'Detail Balok'!$C$10:$AU$110,12,FALSE)</f>
        <v>13</v>
      </c>
      <c r="I9333" t="str">
        <v>(</v>
      </c>
      <c r="J9333">
        <f>+D9326/4/1000</f>
        <v>0.5</v>
      </c>
      <c r="K9333" t="str">
        <v>+</v>
      </c>
      <c r="L9333">
        <f>MAX(VLOOKUP(F9333,N$6:P$15,3,FALSE)/1000,2/3*D9328/1000)+F$16*F9333/1000</f>
        <v>0.156</v>
      </c>
      <c r="M9333" t="str">
        <v>=</v>
      </c>
      <c r="N9333">
        <f>J9333+L9333</f>
        <v>0.656</v>
      </c>
      <c r="O9333" t="str">
        <v>+</v>
      </c>
      <c r="P9333">
        <f>D9333-D9332</f>
        <v>0</v>
      </c>
      <c r="Q9333" t="str">
        <v>x</v>
      </c>
      <c r="R9333">
        <f>IF(P9333&gt;0,$F$18*F9333/1000,0)</f>
        <v>0</v>
      </c>
      <c r="S9333" t="str">
        <v>)</v>
      </c>
      <c r="T9333" t="str">
        <v>x</v>
      </c>
      <c r="U9333">
        <f>0.006165*F9333^2</f>
        <v>1.041885</v>
      </c>
      <c r="X9333" t="str">
        <v>x</v>
      </c>
      <c r="Y9333">
        <f>D9330</f>
        <v>1</v>
      </c>
      <c r="Z9333" t="str">
        <v>=</v>
      </c>
      <c r="AA9333">
        <f>IF(AA9334=0,(D9333*N9333+P9333*R9333)*U9333*Y9333,0)</f>
        <v>0</v>
      </c>
    </row>
    <row r="9334">
      <c r="A9334" t="str">
        <f>A9324</f>
        <v>Lantai Attic</v>
      </c>
      <c r="B9334">
        <f>B9324</f>
        <v>47</v>
      </c>
      <c r="D9334">
        <f>IF(AND(D9331=D9332,D9332=D9333,D9331=D9333),D9331,0)</f>
        <v>2</v>
      </c>
      <c r="E9334" t="str">
        <v>D</v>
      </c>
      <c r="F9334">
        <f>IF(AND(F9331=F9332,F9331=F9333,F9332=F9333),F9331,0)</f>
        <v>13</v>
      </c>
      <c r="L9334" t="str">
        <v>Total panjang per balok</v>
      </c>
      <c r="M9334" t="str">
        <v>=</v>
      </c>
      <c r="N9334">
        <f>IF(AND(D9331=D9332,D9331=D9333,D9332=D9333,F9331=F9332,F9331=F9333,F9332=F9333),SUM(N9331:N9333),0)</f>
        <v>2.3120000000000003</v>
      </c>
      <c r="O9334" t="str">
        <v>+</v>
      </c>
      <c r="P9334">
        <f>IF(N9334&gt;12,ROUNDDOWN(N9334/12,0),0)</f>
        <v>0</v>
      </c>
      <c r="Q9334" t="str">
        <v>x</v>
      </c>
      <c r="R9334">
        <f>IF(P9334&gt;0,MAX(VLOOKUP(F9334,$D$6:$G$15,3,FALSE),600),0)/1000</f>
        <v>0</v>
      </c>
      <c r="T9334" t="str">
        <v>x</v>
      </c>
      <c r="U9334">
        <f>U9333</f>
        <v>1.041885</v>
      </c>
      <c r="V9334" t="str">
        <v>x</v>
      </c>
      <c r="W9334">
        <f>D9334</f>
        <v>2</v>
      </c>
      <c r="X9334" t="str">
        <v>x</v>
      </c>
      <c r="Y9334">
        <f>Y9333</f>
        <v>1</v>
      </c>
      <c r="Z9334" t="str">
        <v>=</v>
      </c>
      <c r="AA9334">
        <f>(N9334+P9334*R9334/1000)*U9334*W9334*Y9334</f>
        <v>4.81767624</v>
      </c>
    </row>
    <row r="9336">
      <c r="A9336" t="str">
        <f>A9324</f>
        <v>Lantai Attic</v>
      </c>
      <c r="B9336">
        <f>B9324</f>
        <v>47</v>
      </c>
      <c r="C9336" t="str">
        <v>Tul Peminggang</v>
      </c>
      <c r="D9336">
        <f>VLOOKUP(D9324,'Detail Balok'!$C$10:$AU$110,13,FALSE)</f>
        <v>0</v>
      </c>
      <c r="E9336" t="str">
        <v>D</v>
      </c>
      <c r="F9336">
        <f>VLOOKUP(D9324,'Detail Balok'!$C$10:$AU$110,15,FALSE)</f>
        <v>6</v>
      </c>
      <c r="J9336">
        <f>+D9326/1000</f>
        <v>2</v>
      </c>
      <c r="K9336" t="str">
        <v>+</v>
      </c>
      <c r="L9336">
        <f>2*$F$16*F9336/1000</f>
        <v>0.144</v>
      </c>
      <c r="M9336" t="str">
        <v>=</v>
      </c>
      <c r="N9336">
        <f>J9336+L9336</f>
        <v>2.144</v>
      </c>
      <c r="O9336" t="str">
        <v>+</v>
      </c>
      <c r="P9336">
        <f>IF(N9336&gt;12,ROUNDDOWN(N9336/12,0),0)</f>
        <v>0</v>
      </c>
      <c r="Q9336" t="str">
        <v>x</v>
      </c>
      <c r="R9336">
        <f>IF(P9336&gt;0,MAX(VLOOKUP(F9336,$D$6:$G$15,3,FALSE),600),0)/1000</f>
        <v>0</v>
      </c>
      <c r="T9336" t="str">
        <v>x</v>
      </c>
      <c r="U9336">
        <f>0.006165*F9336^2</f>
        <v>0.22194000000000003</v>
      </c>
      <c r="V9336" t="str">
        <v>x</v>
      </c>
      <c r="W9336">
        <f>+D9336</f>
        <v>0</v>
      </c>
      <c r="X9336" t="str">
        <v>x</v>
      </c>
      <c r="Y9336">
        <f>D9330</f>
        <v>1</v>
      </c>
      <c r="Z9336" t="str">
        <v>=</v>
      </c>
      <c r="AA9336">
        <f>(N9336+P9336*R9336/1000)*U9336*W9336*Y9336</f>
        <v>0</v>
      </c>
    </row>
    <row r="9339">
      <c r="A9339" t="str">
        <f>A9324</f>
        <v>Lantai Attic</v>
      </c>
      <c r="B9339">
        <f>B9324</f>
        <v>47</v>
      </c>
      <c r="C9339" t="str">
        <v>Tul Bawah Tumpuan</v>
      </c>
      <c r="D9339">
        <f>VLOOKUP(D9324,'Detail Balok'!$C$10:$AU$110,22,FALSE)</f>
        <v>2</v>
      </c>
      <c r="E9339" t="str">
        <v>D</v>
      </c>
      <c r="F9339">
        <f>VLOOKUP(D9324,'Detail Balok'!$C$10:$AU$110,24,FALSE)</f>
        <v>13</v>
      </c>
      <c r="I9339" t="str">
        <v>(</v>
      </c>
      <c r="J9339">
        <f>+J9331</f>
        <v>0.5</v>
      </c>
      <c r="K9339" t="str">
        <v>+</v>
      </c>
      <c r="L9339">
        <f>MAX(VLOOKUP(F9339,N$6:P$15,3,FALSE)/1000,2/3*D9329/1000)+F$16*F9339/1000</f>
        <v>0.156</v>
      </c>
      <c r="M9339" t="str">
        <v>=</v>
      </c>
      <c r="N9339">
        <f>J9339+L9339</f>
        <v>0.656</v>
      </c>
      <c r="O9339" t="str">
        <v>+</v>
      </c>
      <c r="P9339">
        <f>D9339-D9340</f>
        <v>0</v>
      </c>
      <c r="Q9339" t="str">
        <v>x</v>
      </c>
      <c r="R9339">
        <f>IF(P9339&gt;0,$F$18*F9339/1000,0)</f>
        <v>0</v>
      </c>
      <c r="S9339" t="str">
        <v>)</v>
      </c>
      <c r="T9339" t="str">
        <v>x</v>
      </c>
      <c r="U9339">
        <f>0.006165*F9339^2</f>
        <v>1.041885</v>
      </c>
      <c r="X9339" t="str">
        <v>x</v>
      </c>
      <c r="Y9339">
        <f>D9330</f>
        <v>1</v>
      </c>
      <c r="Z9339" t="str">
        <v>=</v>
      </c>
      <c r="AA9339">
        <f>IF(AA9342=0,(D9339*N9339+P9339*R9339)*U9339*Y9339,0)</f>
        <v>0</v>
      </c>
    </row>
    <row r="9340">
      <c r="A9340" t="str">
        <f>A9324</f>
        <v>Lantai Attic</v>
      </c>
      <c r="B9340">
        <f>B9324</f>
        <v>47</v>
      </c>
      <c r="C9340" t="str">
        <v>Tul Bawah Lapangan</v>
      </c>
      <c r="D9340">
        <f>VLOOKUP(D9324,'Detail Balok'!$C$10:$AU$110,25,FALSE)</f>
        <v>2</v>
      </c>
      <c r="E9340" t="str">
        <v>D</v>
      </c>
      <c r="F9340">
        <f>VLOOKUP(D9324,'Detail Balok'!$C$10:$AU$110,27,FALSE)</f>
        <v>13</v>
      </c>
      <c r="I9340" t="str">
        <v>(</v>
      </c>
      <c r="J9340">
        <f>+J9332</f>
        <v>1</v>
      </c>
      <c r="K9340" t="str">
        <v>+</v>
      </c>
      <c r="M9340" t="str">
        <v>=</v>
      </c>
      <c r="N9340">
        <f>J9340+L9340</f>
        <v>1</v>
      </c>
      <c r="O9340" t="str">
        <v>+</v>
      </c>
      <c r="P9340">
        <f>MAX(D9340-D9339,D9340-D9341)</f>
        <v>0</v>
      </c>
      <c r="Q9340" t="str">
        <v>x</v>
      </c>
      <c r="R9340">
        <f>IF(P9340&gt;0,2*(1-2*$F$19-1/2)*D9327/1000,0)</f>
        <v>0</v>
      </c>
      <c r="S9340" t="str">
        <v>)</v>
      </c>
      <c r="T9340" t="str">
        <v>x</v>
      </c>
      <c r="U9340">
        <f>0.006165*F9340^2</f>
        <v>1.041885</v>
      </c>
      <c r="X9340" t="str">
        <v>x</v>
      </c>
      <c r="Y9340">
        <f>D9330</f>
        <v>1</v>
      </c>
      <c r="Z9340" t="str">
        <v>=</v>
      </c>
      <c r="AA9340">
        <f>IF(AA9342=0,(D9340*N9340+P9340*R9340)*U9340*Y9340,0)</f>
        <v>0</v>
      </c>
    </row>
    <row r="9341">
      <c r="A9341" t="str">
        <f>A9324</f>
        <v>Lantai Attic</v>
      </c>
      <c r="B9341">
        <f>B9324</f>
        <v>47</v>
      </c>
      <c r="C9341" t="str">
        <v>Tul Bawah Tumpuan</v>
      </c>
      <c r="D9341">
        <f>VLOOKUP(D9324,'Detail Balok'!$C$10:$AU$110,28,FALSE)</f>
        <v>2</v>
      </c>
      <c r="E9341" t="str">
        <v>D</v>
      </c>
      <c r="F9341">
        <f>VLOOKUP(D9324,'Detail Balok'!$C$10:$AU$110,30,FALSE)</f>
        <v>13</v>
      </c>
      <c r="I9341" t="str">
        <v>(</v>
      </c>
      <c r="J9341">
        <f>+J9333</f>
        <v>0.5</v>
      </c>
      <c r="K9341" t="str">
        <v>+</v>
      </c>
      <c r="L9341">
        <f>MAX(VLOOKUP(F9341,N$6:P$15,3,FALSE)/1000,2/3*D9329/1000)+F$16*F9341/1000</f>
        <v>0.156</v>
      </c>
      <c r="M9341" t="str">
        <v>=</v>
      </c>
      <c r="N9341">
        <f>J9341+L9341</f>
        <v>0.656</v>
      </c>
      <c r="O9341" t="str">
        <v>+</v>
      </c>
      <c r="P9341">
        <f>D9341-D9340</f>
        <v>0</v>
      </c>
      <c r="Q9341" t="str">
        <v>x</v>
      </c>
      <c r="R9341">
        <f>IF(P9341&gt;0,$F$18*F9341/1000,0)</f>
        <v>0</v>
      </c>
      <c r="S9341" t="str">
        <v>)</v>
      </c>
      <c r="T9341" t="str">
        <v>x</v>
      </c>
      <c r="U9341">
        <f>0.006165*F9341^2</f>
        <v>1.041885</v>
      </c>
      <c r="X9341" t="str">
        <v>x</v>
      </c>
      <c r="Y9341">
        <f>D9330</f>
        <v>1</v>
      </c>
      <c r="Z9341" t="str">
        <v>=</v>
      </c>
      <c r="AA9341">
        <f>IF(AA9342=0,(D9341*N9341+P9341*R9341)*U9341*Y9341,0)</f>
        <v>0</v>
      </c>
    </row>
    <row r="9342">
      <c r="A9342" t="str">
        <f>A9324</f>
        <v>Lantai Attic</v>
      </c>
      <c r="B9342">
        <f>B9324</f>
        <v>47</v>
      </c>
      <c r="D9342">
        <f>IF(AND(D9339=D9340,D9340=D9341,D9339=D9341),D9339,0)</f>
        <v>2</v>
      </c>
      <c r="E9342" t="str">
        <v>D</v>
      </c>
      <c r="F9342">
        <f>IF(AND(F9339=F9340,F9339=F9341,F9340=F9341),F9339,0)</f>
        <v>13</v>
      </c>
      <c r="L9342" t="str">
        <v>Total panjang per balok</v>
      </c>
      <c r="M9342" t="str">
        <v>=</v>
      </c>
      <c r="N9342">
        <f>IF(AND(D9339=D9340,D9339=D9341,D9340=D9341,F9339=F9340,F9339=F9341,F9340=F9341),SUM(N9339:N9341),0)</f>
        <v>2.3120000000000003</v>
      </c>
      <c r="O9342" t="str">
        <v>+</v>
      </c>
      <c r="P9342">
        <f>IF(N9342&gt;12,ROUNDDOWN(N9342/12,0),0)</f>
        <v>0</v>
      </c>
      <c r="Q9342" t="str">
        <v>x</v>
      </c>
      <c r="R9342">
        <f>IF(P9342&gt;0,MAX(VLOOKUP(F9342,$D$6:$G$15,3,FALSE),600),0)/1000</f>
        <v>0</v>
      </c>
      <c r="T9342" t="str">
        <v>x</v>
      </c>
      <c r="U9342">
        <f>U9341</f>
        <v>1.041885</v>
      </c>
      <c r="V9342" t="str">
        <v>x</v>
      </c>
      <c r="W9342">
        <f>D9342</f>
        <v>2</v>
      </c>
      <c r="X9342" t="str">
        <v>x</v>
      </c>
      <c r="Y9342">
        <f>Y9341</f>
        <v>1</v>
      </c>
      <c r="Z9342" t="str">
        <v>=</v>
      </c>
      <c r="AA9342">
        <f>(N9342+P9342*R9342/1000)*U9342*W9342*Y9342</f>
        <v>4.81767624</v>
      </c>
    </row>
    <row r="9344">
      <c r="A9344" t="str">
        <f>A9324</f>
        <v>Lantai Attic</v>
      </c>
      <c r="B9344">
        <f>B9324</f>
        <v>47</v>
      </c>
      <c r="C9344" t="str">
        <v>Sengkang Tumpuan</v>
      </c>
      <c r="D9344">
        <f>VLOOKUP(D9324,'Detail Balok'!$C$10:$AU$110,31,FALSE)</f>
        <v>0</v>
      </c>
      <c r="E9344" t="str">
        <v>D</v>
      </c>
      <c r="F9344">
        <f>VLOOKUP(D9324,'Detail Balok'!$C$10:$AU$110,33,FALSE)</f>
        <v>8</v>
      </c>
      <c r="G9344" t="str">
        <v>-</v>
      </c>
      <c r="H9344">
        <f>VLOOKUP(D9324,'Detail Balok'!$C$10:$AU$110,35,FALSE)</f>
        <v>100</v>
      </c>
      <c r="J9344">
        <f>(IF(D9344=0,(2*(D9325+G9325))-(F$5*8),IF(D9344=3,(2*(D9325+G9325))-(F$5*8)+(G9325-2*F$5),IF(D9344=4,(2*(D9325+G9325))-(F$5*8)+2*(G9325-2*F$5)))))/1000</f>
        <v>0.88</v>
      </c>
      <c r="K9344" t="str">
        <v>+</v>
      </c>
      <c r="L9344">
        <f>IF(D9344=0,2*MAX(6*F9344,75),(D9344-1)*2*MAX(6*F9344,75))/1000</f>
        <v>0.15</v>
      </c>
      <c r="M9344" t="str">
        <v>=</v>
      </c>
      <c r="N9344">
        <f>J9344+L9344</f>
        <v>1.03</v>
      </c>
      <c r="T9344" t="str">
        <v>x</v>
      </c>
      <c r="U9344">
        <f>0.006165*F9344^2</f>
        <v>0.39456</v>
      </c>
      <c r="V9344" t="str">
        <v>x</v>
      </c>
      <c r="W9344">
        <f>IF(D9327&gt;4*G9325,ROUND(MAX(D9327/4,2*G9325)/H9344,0)+1,ROUND(D9327/H9344,0)+1)</f>
        <v>9</v>
      </c>
      <c r="X9344" t="str">
        <v>x</v>
      </c>
      <c r="Y9344">
        <f>D9330</f>
        <v>1</v>
      </c>
      <c r="Z9344" t="str">
        <v>=</v>
      </c>
      <c r="AA9344">
        <f>N9344*U9344*W9344*Y9344</f>
        <v>3.6575712000000005</v>
      </c>
    </row>
    <row r="9345">
      <c r="A9345" t="str">
        <f>A9324</f>
        <v>Lantai Attic</v>
      </c>
      <c r="B9345">
        <f>B9324</f>
        <v>47</v>
      </c>
      <c r="C9345" t="str">
        <v>Sengkang Lapangan</v>
      </c>
      <c r="D9345">
        <f>VLOOKUP(D9324,'Detail Balok'!$C$10:$AU$110,36,FALSE)</f>
        <v>0</v>
      </c>
      <c r="E9345" t="str">
        <v>D</v>
      </c>
      <c r="F9345">
        <f>VLOOKUP(D9324,'Detail Balok'!$C$10:$AU$110,38,FALSE)</f>
        <v>8</v>
      </c>
      <c r="G9345" t="str">
        <v>-</v>
      </c>
      <c r="H9345">
        <f>VLOOKUP(D9324,'Detail Balok'!$C$10:$AU$110,40,FALSE)</f>
        <v>200</v>
      </c>
      <c r="J9345">
        <f>(IF(D9345=0,(2*(D9325+G9325))-(F$5*8),IF(D9345=3,(2*(D9325+G9325))-(F$5*8)+(G9325-2*F$5),IF(D9345=4,(2*(D9325+G9325))-(F$5*8)+2*(G9325-2*F$5)))))/1000</f>
        <v>0.88</v>
      </c>
      <c r="K9345" t="str">
        <v>+</v>
      </c>
      <c r="L9345">
        <f>IF(D9345=0,2*MAX(6*F9345,75),(D9345-1)*2*MAX(6*F9345,75))/1000</f>
        <v>0.15</v>
      </c>
      <c r="M9345" t="str">
        <v>=</v>
      </c>
      <c r="N9345">
        <f>J9345+L9345</f>
        <v>1.03</v>
      </c>
      <c r="T9345" t="str">
        <v>x</v>
      </c>
      <c r="U9345">
        <f>0.006165*F9345^2</f>
        <v>0.39456</v>
      </c>
      <c r="V9345" t="str">
        <v>x</v>
      </c>
      <c r="W9345">
        <f>IF(D9327-MAX(D9327/4,2*G9325)*2&gt;0,ROUND((D9327-MAX(D9327/4,2*G9325)*2)/H9345,0),0)</f>
        <v>2</v>
      </c>
      <c r="X9345" t="str">
        <v>x</v>
      </c>
      <c r="Y9345">
        <f>D9330</f>
        <v>1</v>
      </c>
      <c r="Z9345" t="str">
        <v>=</v>
      </c>
      <c r="AA9345">
        <f>N9345*U9345*W9345*Y9345</f>
        <v>0.8127936000000001</v>
      </c>
    </row>
    <row r="9346">
      <c r="A9346" t="str">
        <f>A9324</f>
        <v>Lantai Attic</v>
      </c>
      <c r="B9346">
        <f>B9324</f>
        <v>47</v>
      </c>
      <c r="C9346" t="str">
        <v>Sengkang Tumpuan</v>
      </c>
      <c r="D9346">
        <f>VLOOKUP(D9324,'Detail Balok'!$C$10:$AU$110,41,FALSE)</f>
        <v>0</v>
      </c>
      <c r="E9346" t="str">
        <v>D</v>
      </c>
      <c r="F9346">
        <f>VLOOKUP(D9324,'Detail Balok'!$C$10:$AU$110,43,FALSE)</f>
        <v>8</v>
      </c>
      <c r="G9346" t="str">
        <v>-</v>
      </c>
      <c r="H9346">
        <f>VLOOKUP(D9324,'Detail Balok'!$C$10:$AU$110,45,FALSE)</f>
        <v>100</v>
      </c>
      <c r="J9346">
        <f>(IF(D9346=0,(2*(D9325+G9325))-(F$5*8),IF(D9346=3,(2*(D9325+G9325))-(F$5*8)+(G9325-2*F$5),IF(D9346=4,(2*(D9325+G9325))-(F$5*8)+2*(G9325-2*F$5)))))/1000</f>
        <v>0.88</v>
      </c>
      <c r="K9346" t="str">
        <v>+</v>
      </c>
      <c r="L9346">
        <f>IF(D9346=0,2*MAX(6*F9346,75),(D9346-1)*2*MAX(6*F9346,75))/1000</f>
        <v>0.15</v>
      </c>
      <c r="M9346" t="str">
        <v>=</v>
      </c>
      <c r="N9346">
        <f>J9346+L9346</f>
        <v>1.03</v>
      </c>
      <c r="T9346" t="str">
        <v>x</v>
      </c>
      <c r="U9346">
        <f>0.006165*F9346^2</f>
        <v>0.39456</v>
      </c>
      <c r="V9346" t="str">
        <v>x</v>
      </c>
      <c r="W9346">
        <f>IF(D9327&gt;4*G9325,ROUND(MAX(D9327/4,2*G9325)/H9346,0)+1,0)</f>
        <v>9</v>
      </c>
      <c r="X9346" t="str">
        <v>x</v>
      </c>
      <c r="Y9346">
        <f>D9330</f>
        <v>1</v>
      </c>
      <c r="Z9346" t="str">
        <v>=</v>
      </c>
      <c r="AA9346">
        <f>N9346*U9346*W9346*Y9346</f>
        <v>3.6575712000000005</v>
      </c>
    </row>
    <row r="9348">
      <c r="A9348" t="str">
        <f>A9324</f>
        <v>Lantai Attic</v>
      </c>
      <c r="B9348">
        <f>B9324</f>
        <v>47</v>
      </c>
      <c r="C9348" t="str">
        <v>Kait Horizontal Tump.</v>
      </c>
      <c r="D9348">
        <f>VLOOKUP(D9324,'Detail Balok'!$C$10:$BJ$110,46,FALSE)</f>
        <v>0</v>
      </c>
      <c r="E9348" t="str">
        <v>D</v>
      </c>
      <c r="F9348">
        <f>VLOOKUP(D9324,'Detail Balok'!$C$10:$BJ$110,48,FALSE)</f>
        <v>0</v>
      </c>
      <c r="G9348" t="str">
        <v>-</v>
      </c>
      <c r="H9348">
        <f>VLOOKUP(D9324,'Detail Balok'!$C$10:$BJ$110,50,FALSE)</f>
        <v>100</v>
      </c>
      <c r="J9348">
        <f>(D9325-2*F$5)/1000</f>
        <v>0.12</v>
      </c>
      <c r="K9348" t="str">
        <v>+</v>
      </c>
      <c r="L9348">
        <f>IF(D9348=0,2*MAX(6*F9348,75),(D9348-1)*2*MAX(6*F9348,75))/1000</f>
        <v>0.15</v>
      </c>
      <c r="M9348" t="str">
        <v>=</v>
      </c>
      <c r="N9348">
        <f>J9348+L9348</f>
        <v>0.27</v>
      </c>
      <c r="T9348" t="str">
        <v>x</v>
      </c>
      <c r="U9348">
        <f>0.006165*F9348^2</f>
        <v>0</v>
      </c>
      <c r="V9348" t="str">
        <v>x</v>
      </c>
      <c r="W9348">
        <f>W9344</f>
        <v>9</v>
      </c>
      <c r="X9348" t="str">
        <v>x</v>
      </c>
      <c r="Y9348">
        <f>D9334</f>
        <v>2</v>
      </c>
      <c r="Z9348" t="str">
        <v>=</v>
      </c>
      <c r="AA9348">
        <f>N9348*U9348*W9348*Y9348</f>
        <v>0</v>
      </c>
    </row>
    <row r="9349">
      <c r="A9349" t="str">
        <f>A9324</f>
        <v>Lantai Attic</v>
      </c>
      <c r="B9349">
        <f>B9324</f>
        <v>47</v>
      </c>
      <c r="C9349" t="str">
        <v>Kait Horizontal Lap.</v>
      </c>
      <c r="D9349">
        <f>VLOOKUP(D9324,'Detail Balok'!$C$10:$BJ$110,51,FALSE)</f>
        <v>0</v>
      </c>
      <c r="E9349" t="str">
        <v>D</v>
      </c>
      <c r="F9349">
        <f>VLOOKUP(D9324,'Detail Balok'!$C$10:$BJ$110,53,FALSE)</f>
        <v>0</v>
      </c>
      <c r="G9349" t="str">
        <v>-</v>
      </c>
      <c r="H9349">
        <f>VLOOKUP(D9324,'Detail Balok'!$C$10:$BJ$110,55,FALSE)</f>
        <v>100</v>
      </c>
      <c r="J9349">
        <f>(D9325-2*F$5)/1000</f>
        <v>0.12</v>
      </c>
      <c r="K9349" t="str">
        <v>+</v>
      </c>
      <c r="L9349">
        <f>IF(D9349=0,2*MAX(6*F9349,75),(D9349-1)*2*MAX(6*F9349,75))/1000</f>
        <v>0.15</v>
      </c>
      <c r="M9349" t="str">
        <v>=</v>
      </c>
      <c r="N9349">
        <f>J9349+L9349</f>
        <v>0.27</v>
      </c>
      <c r="T9349" t="str">
        <v>x</v>
      </c>
      <c r="U9349">
        <f>0.006165*F9349^2</f>
        <v>0</v>
      </c>
      <c r="V9349" t="str">
        <v>x</v>
      </c>
      <c r="W9349">
        <f>W9345</f>
        <v>2</v>
      </c>
      <c r="X9349" t="str">
        <v>x</v>
      </c>
      <c r="Y9349">
        <f>D9334</f>
        <v>2</v>
      </c>
      <c r="Z9349" t="str">
        <v>=</v>
      </c>
      <c r="AA9349">
        <f>N9349*U9349*W9349*Y9349</f>
        <v>0</v>
      </c>
    </row>
    <row r="9350">
      <c r="A9350" t="str">
        <f>A9324</f>
        <v>Lantai Attic</v>
      </c>
      <c r="B9350">
        <f>B9324</f>
        <v>47</v>
      </c>
      <c r="C9350" t="str">
        <v>Kait Horizontal Tump.</v>
      </c>
      <c r="D9350">
        <f>VLOOKUP(D9324,'Detail Balok'!$C$10:$BJ$110,56,FALSE)</f>
        <v>0</v>
      </c>
      <c r="E9350" t="str">
        <v>D</v>
      </c>
      <c r="F9350">
        <f>VLOOKUP(D9324,'Detail Balok'!$C$10:$BJ$110,58,FALSE)</f>
        <v>0</v>
      </c>
      <c r="G9350" t="str">
        <v>-</v>
      </c>
      <c r="H9350">
        <f>VLOOKUP(D9324,'Detail Balok'!$C$10:$BJ$110,60,FALSE)</f>
        <v>100</v>
      </c>
      <c r="J9350">
        <f>(D9325-2*F$5)/1000</f>
        <v>0.12</v>
      </c>
      <c r="K9350" t="str">
        <v>+</v>
      </c>
      <c r="L9350">
        <f>IF(D9350=0,2*MAX(6*F9350,75),(D9350-1)*2*MAX(6*F9350,75))/1000</f>
        <v>0.15</v>
      </c>
      <c r="M9350" t="str">
        <v>=</v>
      </c>
      <c r="N9350">
        <f>J9350+L9350</f>
        <v>0.27</v>
      </c>
      <c r="T9350" t="str">
        <v>x</v>
      </c>
      <c r="U9350">
        <f>0.006165*F9350^2</f>
        <v>0</v>
      </c>
      <c r="V9350" t="str">
        <v>x</v>
      </c>
      <c r="W9350">
        <f>W9346</f>
        <v>9</v>
      </c>
      <c r="X9350" t="str">
        <v>x</v>
      </c>
      <c r="Y9350">
        <f>D9334</f>
        <v>2</v>
      </c>
      <c r="Z9350" t="str">
        <v>=</v>
      </c>
      <c r="AA9350">
        <f>N9350*U9350*W9350*Y9350</f>
        <v>0</v>
      </c>
    </row>
    <row r="9354">
      <c r="A9354" t="str">
        <f>A9324</f>
        <v>Lantai Attic</v>
      </c>
      <c r="B9354">
        <f>B9324+1</f>
        <v>48</v>
      </c>
      <c r="C9354" t="str">
        <f>CONCATENATE(A9354," no. ",B9354)</f>
        <v>Lantai Attic no. 48</v>
      </c>
      <c r="D9354" t="str">
        <f>VLOOKUP(C9354,'Data Panjang Balok'!$C$9:$N$424,2,FALSE)</f>
        <v>B245-1</v>
      </c>
    </row>
    <row r="9355">
      <c r="C9355" t="str">
        <v>Dimensi</v>
      </c>
      <c r="D9355">
        <f>VLOOKUP(D9354,'Detail Balok'!$C$10:$AU$110,2,FALSE)</f>
        <v>200</v>
      </c>
      <c r="F9355" t="str">
        <v>x</v>
      </c>
      <c r="G9355">
        <f>VLOOKUP(D9354,'Detail Balok'!$C$10:$AU$110,3,FALSE)</f>
        <v>450</v>
      </c>
    </row>
    <row r="9356">
      <c r="C9356" t="str">
        <v>Panjang as ke as</v>
      </c>
      <c r="D9356">
        <f>VLOOKUP(C9354,'Data Panjang Balok'!$C$9:$N$424,4,FALSE)</f>
        <v>5100</v>
      </c>
    </row>
    <row r="9357">
      <c r="C9357" t="str">
        <v>Panjang netto</v>
      </c>
      <c r="D9357">
        <f>VLOOKUP(C9354,'Data Panjang Balok'!$C$9:$N$424,7,FALSE)</f>
        <v>5100</v>
      </c>
    </row>
    <row r="9358">
      <c r="C9358" t="str">
        <v>Kolom / balok kiri</v>
      </c>
      <c r="D9358">
        <f>VLOOKUP(C9354,'Data Panjang Balok'!$C$9:$N$424,9,FALSE)</f>
        <v>0</v>
      </c>
    </row>
    <row r="9359">
      <c r="C9359" t="str">
        <v>Kolom / balok kanan</v>
      </c>
      <c r="D9359">
        <f>VLOOKUP(C9354,'Data Panjang Balok'!$C$9:$N$424,10,FALSE)</f>
        <v>0</v>
      </c>
    </row>
    <row r="9360">
      <c r="C9360" t="str">
        <v>Jumlah</v>
      </c>
      <c r="D9360">
        <f>VLOOKUP(C9354,'Data Panjang Balok'!$C$9:$N$424,3,FALSE)</f>
        <v>1</v>
      </c>
    </row>
    <row r="9361">
      <c r="A9361" t="str">
        <f>A9354</f>
        <v>Lantai Attic</v>
      </c>
      <c r="B9361">
        <f>B9354</f>
        <v>48</v>
      </c>
      <c r="C9361" t="str">
        <v>Tul Atas Tumpuan</v>
      </c>
      <c r="D9361">
        <f>VLOOKUP(D9354,'Detail Balok'!$C$10:$AU$110,4,FALSE)</f>
        <v>2</v>
      </c>
      <c r="E9361" t="str">
        <v>D</v>
      </c>
      <c r="F9361">
        <f>VLOOKUP(D9354,'Detail Balok'!$C$10:$AU$110,6,FALSE)</f>
        <v>13</v>
      </c>
      <c r="I9361" t="str">
        <v>(</v>
      </c>
      <c r="J9361">
        <f>+D9356/4/1000</f>
        <v>1.275</v>
      </c>
      <c r="K9361" t="str">
        <v>+</v>
      </c>
      <c r="L9361">
        <f>MAX(VLOOKUP(F9361,N$6:P$15,3,FALSE)/1000,2/3*D9358/1000)+F$16*F9361/1000</f>
        <v>0.156</v>
      </c>
      <c r="M9361" t="str">
        <v>=</v>
      </c>
      <c r="N9361">
        <f>J9361+L9361</f>
        <v>1.4309999999999998</v>
      </c>
      <c r="O9361" t="str">
        <v>+</v>
      </c>
      <c r="P9361">
        <f>D9361-D9362</f>
        <v>0</v>
      </c>
      <c r="Q9361" t="str">
        <v>x</v>
      </c>
      <c r="R9361">
        <f>IF(P9361&gt;0,$F$18*F9361/1000,0)</f>
        <v>0</v>
      </c>
      <c r="S9361" t="str">
        <v>)</v>
      </c>
      <c r="T9361" t="str">
        <v>x</v>
      </c>
      <c r="U9361">
        <f>0.006165*F9361^2</f>
        <v>1.041885</v>
      </c>
      <c r="X9361" t="str">
        <v>x</v>
      </c>
      <c r="Y9361">
        <f>D9360</f>
        <v>1</v>
      </c>
      <c r="Z9361" t="str">
        <v>=</v>
      </c>
      <c r="AA9361">
        <f>IF(AA9364=0,(D9361*N9361+P9361*R9361)*U9361*Y9361,0)</f>
        <v>0</v>
      </c>
    </row>
    <row r="9362">
      <c r="A9362" t="str">
        <f>A9354</f>
        <v>Lantai Attic</v>
      </c>
      <c r="B9362">
        <f>B9354</f>
        <v>48</v>
      </c>
      <c r="C9362" t="str">
        <v>Tul Atas Lapangan</v>
      </c>
      <c r="D9362">
        <f>VLOOKUP(D9354,'Detail Balok'!$C$10:$AU$110,7,FALSE)</f>
        <v>2</v>
      </c>
      <c r="E9362" t="str">
        <v>D</v>
      </c>
      <c r="F9362">
        <f>VLOOKUP(D9354,'Detail Balok'!$C$10:$AU$110,9,FALSE)</f>
        <v>13</v>
      </c>
      <c r="I9362" t="str">
        <v>(</v>
      </c>
      <c r="J9362">
        <f>+D9356/2/1000</f>
        <v>2.55</v>
      </c>
      <c r="K9362" t="str">
        <v>+</v>
      </c>
      <c r="M9362" t="str">
        <v>=</v>
      </c>
      <c r="N9362">
        <f>J9362+L9362</f>
        <v>2.55</v>
      </c>
      <c r="O9362" t="str">
        <v>+</v>
      </c>
      <c r="P9362">
        <f>MAX(D9362-D9361,D9362-D9363)</f>
        <v>0</v>
      </c>
      <c r="Q9362" t="str">
        <v>x</v>
      </c>
      <c r="R9362">
        <f>IF(P9362&gt;0,2*(1-2*$F$19-1/2)*D9357/1000,0)</f>
        <v>0</v>
      </c>
      <c r="S9362" t="str">
        <v>)</v>
      </c>
      <c r="T9362" t="str">
        <v>x</v>
      </c>
      <c r="U9362">
        <f>0.006165*F9362^2</f>
        <v>1.041885</v>
      </c>
      <c r="X9362" t="str">
        <v>x</v>
      </c>
      <c r="Y9362">
        <f>D9360</f>
        <v>1</v>
      </c>
      <c r="Z9362" t="str">
        <v>=</v>
      </c>
      <c r="AA9362">
        <f>IF(AA9364=0,(D9362*N9362+P9362*R9362)*U9362*Y9362,0)</f>
        <v>0</v>
      </c>
    </row>
    <row r="9363">
      <c r="A9363" t="str">
        <f>A9354</f>
        <v>Lantai Attic</v>
      </c>
      <c r="B9363">
        <f>B9354</f>
        <v>48</v>
      </c>
      <c r="C9363" t="str">
        <v>Tul Atas Tumpuan</v>
      </c>
      <c r="D9363">
        <f>VLOOKUP(D9354,'Detail Balok'!$C$10:$AU$110,10,FALSE)</f>
        <v>2</v>
      </c>
      <c r="E9363" t="str">
        <v>D</v>
      </c>
      <c r="F9363">
        <f>VLOOKUP(D9354,'Detail Balok'!$C$10:$AU$110,12,FALSE)</f>
        <v>13</v>
      </c>
      <c r="I9363" t="str">
        <v>(</v>
      </c>
      <c r="J9363">
        <f>+D9356/4/1000</f>
        <v>1.275</v>
      </c>
      <c r="K9363" t="str">
        <v>+</v>
      </c>
      <c r="L9363">
        <f>MAX(VLOOKUP(F9363,N$6:P$15,3,FALSE)/1000,2/3*D9358/1000)+F$16*F9363/1000</f>
        <v>0.156</v>
      </c>
      <c r="M9363" t="str">
        <v>=</v>
      </c>
      <c r="N9363">
        <f>J9363+L9363</f>
        <v>1.4309999999999998</v>
      </c>
      <c r="O9363" t="str">
        <v>+</v>
      </c>
      <c r="P9363">
        <f>D9363-D9362</f>
        <v>0</v>
      </c>
      <c r="Q9363" t="str">
        <v>x</v>
      </c>
      <c r="R9363">
        <f>IF(P9363&gt;0,$F$18*F9363/1000,0)</f>
        <v>0</v>
      </c>
      <c r="S9363" t="str">
        <v>)</v>
      </c>
      <c r="T9363" t="str">
        <v>x</v>
      </c>
      <c r="U9363">
        <f>0.006165*F9363^2</f>
        <v>1.041885</v>
      </c>
      <c r="X9363" t="str">
        <v>x</v>
      </c>
      <c r="Y9363">
        <f>D9360</f>
        <v>1</v>
      </c>
      <c r="Z9363" t="str">
        <v>=</v>
      </c>
      <c r="AA9363">
        <f>IF(AA9364=0,(D9363*N9363+P9363*R9363)*U9363*Y9363,0)</f>
        <v>0</v>
      </c>
    </row>
    <row r="9364">
      <c r="A9364" t="str">
        <f>A9354</f>
        <v>Lantai Attic</v>
      </c>
      <c r="B9364">
        <f>B9354</f>
        <v>48</v>
      </c>
      <c r="D9364">
        <f>IF(AND(D9361=D9362,D9362=D9363,D9361=D9363),D9361,0)</f>
        <v>2</v>
      </c>
      <c r="E9364" t="str">
        <v>D</v>
      </c>
      <c r="F9364">
        <f>IF(AND(F9361=F9362,F9361=F9363,F9362=F9363),F9361,0)</f>
        <v>13</v>
      </c>
      <c r="L9364" t="str">
        <v>Total panjang per balok</v>
      </c>
      <c r="M9364" t="str">
        <v>=</v>
      </c>
      <c r="N9364">
        <f>IF(AND(D9361=D9362,D9361=D9363,D9362=D9363,F9361=F9362,F9361=F9363,F9362=F9363),SUM(N9361:N9363),0)</f>
        <v>5.412</v>
      </c>
      <c r="O9364" t="str">
        <v>+</v>
      </c>
      <c r="P9364">
        <f>IF(N9364&gt;12,ROUNDDOWN(N9364/12,0),0)</f>
        <v>0</v>
      </c>
      <c r="Q9364" t="str">
        <v>x</v>
      </c>
      <c r="R9364">
        <f>IF(P9364&gt;0,MAX(VLOOKUP(F9364,$D$6:$G$15,3,FALSE),600),0)/1000</f>
        <v>0</v>
      </c>
      <c r="T9364" t="str">
        <v>x</v>
      </c>
      <c r="U9364">
        <f>U9363</f>
        <v>1.041885</v>
      </c>
      <c r="V9364" t="str">
        <v>x</v>
      </c>
      <c r="W9364">
        <f>D9364</f>
        <v>2</v>
      </c>
      <c r="X9364" t="str">
        <v>x</v>
      </c>
      <c r="Y9364">
        <f>Y9363</f>
        <v>1</v>
      </c>
      <c r="Z9364" t="str">
        <v>=</v>
      </c>
      <c r="AA9364">
        <f>(N9364+P9364*R9364/1000)*U9364*W9364*Y9364</f>
        <v>11.27736324</v>
      </c>
    </row>
    <row r="9366">
      <c r="A9366" t="str">
        <f>A9354</f>
        <v>Lantai Attic</v>
      </c>
      <c r="B9366">
        <f>B9354</f>
        <v>48</v>
      </c>
      <c r="C9366" t="str">
        <v>Tul Peminggang</v>
      </c>
      <c r="D9366">
        <f>VLOOKUP(D9354,'Detail Balok'!$C$10:$AU$110,13,FALSE)</f>
        <v>2</v>
      </c>
      <c r="E9366" t="str">
        <v>D</v>
      </c>
      <c r="F9366">
        <f>VLOOKUP(D9354,'Detail Balok'!$C$10:$AU$110,15,FALSE)</f>
        <v>8</v>
      </c>
      <c r="J9366">
        <f>+D9356/1000</f>
        <v>5.1</v>
      </c>
      <c r="K9366" t="str">
        <v>+</v>
      </c>
      <c r="L9366">
        <f>2*$F$16*F9366/1000</f>
        <v>0.192</v>
      </c>
      <c r="M9366" t="str">
        <v>=</v>
      </c>
      <c r="N9366">
        <f>J9366+L9366</f>
        <v>5.292</v>
      </c>
      <c r="O9366" t="str">
        <v>+</v>
      </c>
      <c r="P9366">
        <f>IF(N9366&gt;12,ROUNDDOWN(N9366/12,0),0)</f>
        <v>0</v>
      </c>
      <c r="Q9366" t="str">
        <v>x</v>
      </c>
      <c r="R9366">
        <f>IF(P9366&gt;0,MAX(VLOOKUP(F9366,$D$6:$G$15,3,FALSE),600),0)/1000</f>
        <v>0</v>
      </c>
      <c r="T9366" t="str">
        <v>x</v>
      </c>
      <c r="U9366">
        <f>0.006165*F9366^2</f>
        <v>0.39456</v>
      </c>
      <c r="V9366" t="str">
        <v>x</v>
      </c>
      <c r="W9366">
        <f>+D9366</f>
        <v>2</v>
      </c>
      <c r="X9366" t="str">
        <v>x</v>
      </c>
      <c r="Y9366">
        <f>D9360</f>
        <v>1</v>
      </c>
      <c r="Z9366" t="str">
        <v>=</v>
      </c>
      <c r="AA9366">
        <f>(N9366+P9366*R9366/1000)*U9366*W9366*Y9366</f>
        <v>4.1760230400000005</v>
      </c>
    </row>
    <row r="9369">
      <c r="A9369" t="str">
        <f>A9354</f>
        <v>Lantai Attic</v>
      </c>
      <c r="B9369">
        <f>B9354</f>
        <v>48</v>
      </c>
      <c r="C9369" t="str">
        <v>Tul Bawah Tumpuan</v>
      </c>
      <c r="D9369">
        <f>VLOOKUP(D9354,'Detail Balok'!$C$10:$AU$110,22,FALSE)</f>
        <v>2</v>
      </c>
      <c r="E9369" t="str">
        <v>D</v>
      </c>
      <c r="F9369">
        <f>VLOOKUP(D9354,'Detail Balok'!$C$10:$AU$110,24,FALSE)</f>
        <v>13</v>
      </c>
      <c r="I9369" t="str">
        <v>(</v>
      </c>
      <c r="J9369">
        <f>+J9361</f>
        <v>1.275</v>
      </c>
      <c r="K9369" t="str">
        <v>+</v>
      </c>
      <c r="L9369">
        <f>MAX(VLOOKUP(F9369,N$6:P$15,3,FALSE)/1000,2/3*D9359/1000)+F$16*F9369/1000</f>
        <v>0.156</v>
      </c>
      <c r="M9369" t="str">
        <v>=</v>
      </c>
      <c r="N9369">
        <f>J9369+L9369</f>
        <v>1.4309999999999998</v>
      </c>
      <c r="O9369" t="str">
        <v>+</v>
      </c>
      <c r="P9369">
        <f>D9369-D9370</f>
        <v>0</v>
      </c>
      <c r="Q9369" t="str">
        <v>x</v>
      </c>
      <c r="R9369">
        <f>IF(P9369&gt;0,$F$18*F9369/1000,0)</f>
        <v>0</v>
      </c>
      <c r="S9369" t="str">
        <v>)</v>
      </c>
      <c r="T9369" t="str">
        <v>x</v>
      </c>
      <c r="U9369">
        <f>0.006165*F9369^2</f>
        <v>1.041885</v>
      </c>
      <c r="X9369" t="str">
        <v>x</v>
      </c>
      <c r="Y9369">
        <f>D9360</f>
        <v>1</v>
      </c>
      <c r="Z9369" t="str">
        <v>=</v>
      </c>
      <c r="AA9369">
        <f>IF(AA9372=0,(D9369*N9369+P9369*R9369)*U9369*Y9369,0)</f>
        <v>0</v>
      </c>
    </row>
    <row r="9370">
      <c r="A9370" t="str">
        <f>A9354</f>
        <v>Lantai Attic</v>
      </c>
      <c r="B9370">
        <f>B9354</f>
        <v>48</v>
      </c>
      <c r="C9370" t="str">
        <v>Tul Bawah Lapangan</v>
      </c>
      <c r="D9370">
        <f>VLOOKUP(D9354,'Detail Balok'!$C$10:$AU$110,25,FALSE)</f>
        <v>2</v>
      </c>
      <c r="E9370" t="str">
        <v>D</v>
      </c>
      <c r="F9370">
        <f>VLOOKUP(D9354,'Detail Balok'!$C$10:$AU$110,27,FALSE)</f>
        <v>13</v>
      </c>
      <c r="I9370" t="str">
        <v>(</v>
      </c>
      <c r="J9370">
        <f>+J9362</f>
        <v>2.55</v>
      </c>
      <c r="K9370" t="str">
        <v>+</v>
      </c>
      <c r="M9370" t="str">
        <v>=</v>
      </c>
      <c r="N9370">
        <f>J9370+L9370</f>
        <v>2.55</v>
      </c>
      <c r="O9370" t="str">
        <v>+</v>
      </c>
      <c r="P9370">
        <f>MAX(D9370-D9369,D9370-D9371)</f>
        <v>0</v>
      </c>
      <c r="Q9370" t="str">
        <v>x</v>
      </c>
      <c r="R9370">
        <f>IF(P9370&gt;0,2*(1-2*$F$19-1/2)*D9357/1000,0)</f>
        <v>0</v>
      </c>
      <c r="S9370" t="str">
        <v>)</v>
      </c>
      <c r="T9370" t="str">
        <v>x</v>
      </c>
      <c r="U9370">
        <f>0.006165*F9370^2</f>
        <v>1.041885</v>
      </c>
      <c r="X9370" t="str">
        <v>x</v>
      </c>
      <c r="Y9370">
        <f>D9360</f>
        <v>1</v>
      </c>
      <c r="Z9370" t="str">
        <v>=</v>
      </c>
      <c r="AA9370">
        <f>IF(AA9372=0,(D9370*N9370+P9370*R9370)*U9370*Y9370,0)</f>
        <v>0</v>
      </c>
    </row>
    <row r="9371">
      <c r="A9371" t="str">
        <f>A9354</f>
        <v>Lantai Attic</v>
      </c>
      <c r="B9371">
        <f>B9354</f>
        <v>48</v>
      </c>
      <c r="C9371" t="str">
        <v>Tul Bawah Tumpuan</v>
      </c>
      <c r="D9371">
        <f>VLOOKUP(D9354,'Detail Balok'!$C$10:$AU$110,28,FALSE)</f>
        <v>2</v>
      </c>
      <c r="E9371" t="str">
        <v>D</v>
      </c>
      <c r="F9371">
        <f>VLOOKUP(D9354,'Detail Balok'!$C$10:$AU$110,30,FALSE)</f>
        <v>13</v>
      </c>
      <c r="I9371" t="str">
        <v>(</v>
      </c>
      <c r="J9371">
        <f>+J9363</f>
        <v>1.275</v>
      </c>
      <c r="K9371" t="str">
        <v>+</v>
      </c>
      <c r="L9371">
        <f>MAX(VLOOKUP(F9371,N$6:P$15,3,FALSE)/1000,2/3*D9359/1000)+F$16*F9371/1000</f>
        <v>0.156</v>
      </c>
      <c r="M9371" t="str">
        <v>=</v>
      </c>
      <c r="N9371">
        <f>J9371+L9371</f>
        <v>1.4309999999999998</v>
      </c>
      <c r="O9371" t="str">
        <v>+</v>
      </c>
      <c r="P9371">
        <f>D9371-D9370</f>
        <v>0</v>
      </c>
      <c r="Q9371" t="str">
        <v>x</v>
      </c>
      <c r="R9371">
        <f>IF(P9371&gt;0,$F$18*F9371/1000,0)</f>
        <v>0</v>
      </c>
      <c r="S9371" t="str">
        <v>)</v>
      </c>
      <c r="T9371" t="str">
        <v>x</v>
      </c>
      <c r="U9371">
        <f>0.006165*F9371^2</f>
        <v>1.041885</v>
      </c>
      <c r="X9371" t="str">
        <v>x</v>
      </c>
      <c r="Y9371">
        <f>D9360</f>
        <v>1</v>
      </c>
      <c r="Z9371" t="str">
        <v>=</v>
      </c>
      <c r="AA9371">
        <f>IF(AA9372=0,(D9371*N9371+P9371*R9371)*U9371*Y9371,0)</f>
        <v>0</v>
      </c>
    </row>
    <row r="9372">
      <c r="A9372" t="str">
        <f>A9354</f>
        <v>Lantai Attic</v>
      </c>
      <c r="B9372">
        <f>B9354</f>
        <v>48</v>
      </c>
      <c r="D9372">
        <f>IF(AND(D9369=D9370,D9370=D9371,D9369=D9371),D9369,0)</f>
        <v>2</v>
      </c>
      <c r="E9372" t="str">
        <v>D</v>
      </c>
      <c r="F9372">
        <f>IF(AND(F9369=F9370,F9369=F9371,F9370=F9371),F9369,0)</f>
        <v>13</v>
      </c>
      <c r="L9372" t="str">
        <v>Total panjang per balok</v>
      </c>
      <c r="M9372" t="str">
        <v>=</v>
      </c>
      <c r="N9372">
        <f>IF(AND(D9369=D9370,D9369=D9371,D9370=D9371,F9369=F9370,F9369=F9371,F9370=F9371),SUM(N9369:N9371),0)</f>
        <v>5.412</v>
      </c>
      <c r="O9372" t="str">
        <v>+</v>
      </c>
      <c r="P9372">
        <f>IF(N9372&gt;12,ROUNDDOWN(N9372/12,0),0)</f>
        <v>0</v>
      </c>
      <c r="Q9372" t="str">
        <v>x</v>
      </c>
      <c r="R9372">
        <f>IF(P9372&gt;0,MAX(VLOOKUP(F9372,$D$6:$G$15,3,FALSE),600),0)/1000</f>
        <v>0</v>
      </c>
      <c r="T9372" t="str">
        <v>x</v>
      </c>
      <c r="U9372">
        <f>U9371</f>
        <v>1.041885</v>
      </c>
      <c r="V9372" t="str">
        <v>x</v>
      </c>
      <c r="W9372">
        <f>D9372</f>
        <v>2</v>
      </c>
      <c r="X9372" t="str">
        <v>x</v>
      </c>
      <c r="Y9372">
        <f>Y9371</f>
        <v>1</v>
      </c>
      <c r="Z9372" t="str">
        <v>=</v>
      </c>
      <c r="AA9372">
        <f>(N9372+P9372*R9372/1000)*U9372*W9372*Y9372</f>
        <v>11.27736324</v>
      </c>
    </row>
    <row r="9374">
      <c r="A9374" t="str">
        <f>A9354</f>
        <v>Lantai Attic</v>
      </c>
      <c r="B9374">
        <f>B9354</f>
        <v>48</v>
      </c>
      <c r="C9374" t="str">
        <v>Sengkang Tumpuan</v>
      </c>
      <c r="D9374">
        <f>VLOOKUP(D9354,'Detail Balok'!$C$10:$AU$110,31,FALSE)</f>
        <v>0</v>
      </c>
      <c r="E9374" t="str">
        <v>D</v>
      </c>
      <c r="F9374">
        <f>VLOOKUP(D9354,'Detail Balok'!$C$10:$AU$110,33,FALSE)</f>
        <v>8</v>
      </c>
      <c r="G9374" t="str">
        <v>-</v>
      </c>
      <c r="H9374">
        <f>VLOOKUP(D9354,'Detail Balok'!$C$10:$AU$110,35,FALSE)</f>
        <v>100</v>
      </c>
      <c r="J9374">
        <f>(IF(D9374=0,(2*(D9355+G9355))-(F$5*8),IF(D9374=3,(2*(D9355+G9355))-(F$5*8)+(G9355-2*F$5),IF(D9374=4,(2*(D9355+G9355))-(F$5*8)+2*(G9355-2*F$5)))))/1000</f>
        <v>0.98</v>
      </c>
      <c r="K9374" t="str">
        <v>+</v>
      </c>
      <c r="L9374">
        <f>IF(D9374=0,2*MAX(6*F9374,75),(D9374-1)*2*MAX(6*F9374,75))/1000</f>
        <v>0.15</v>
      </c>
      <c r="M9374" t="str">
        <v>=</v>
      </c>
      <c r="N9374">
        <f>J9374+L9374</f>
        <v>1.13</v>
      </c>
      <c r="T9374" t="str">
        <v>x</v>
      </c>
      <c r="U9374">
        <f>0.006165*F9374^2</f>
        <v>0.39456</v>
      </c>
      <c r="V9374" t="str">
        <v>x</v>
      </c>
      <c r="W9374">
        <f>IF(D9357&gt;4*G9355,ROUND(MAX(D9357/4,2*G9355)/H9374,0)+1,ROUND(D9357/H9374,0)+1)</f>
        <v>14</v>
      </c>
      <c r="X9374" t="str">
        <v>x</v>
      </c>
      <c r="Y9374">
        <f>D9360</f>
        <v>1</v>
      </c>
      <c r="Z9374" t="str">
        <v>=</v>
      </c>
      <c r="AA9374">
        <f>N9374*U9374*W9374*Y9374</f>
        <v>6.2419392</v>
      </c>
    </row>
    <row r="9375">
      <c r="A9375" t="str">
        <f>A9354</f>
        <v>Lantai Attic</v>
      </c>
      <c r="B9375">
        <f>B9354</f>
        <v>48</v>
      </c>
      <c r="C9375" t="str">
        <v>Sengkang Lapangan</v>
      </c>
      <c r="D9375">
        <f>VLOOKUP(D9354,'Detail Balok'!$C$10:$AU$110,36,FALSE)</f>
        <v>0</v>
      </c>
      <c r="E9375" t="str">
        <v>D</v>
      </c>
      <c r="F9375">
        <f>VLOOKUP(D9354,'Detail Balok'!$C$10:$AU$110,38,FALSE)</f>
        <v>8</v>
      </c>
      <c r="G9375" t="str">
        <v>-</v>
      </c>
      <c r="H9375">
        <f>VLOOKUP(D9354,'Detail Balok'!$C$10:$AU$110,40,FALSE)</f>
        <v>200</v>
      </c>
      <c r="J9375">
        <f>(IF(D9375=0,(2*(D9355+G9355))-(F$5*8),IF(D9375=3,(2*(D9355+G9355))-(F$5*8)+(G9355-2*F$5),IF(D9375=4,(2*(D9355+G9355))-(F$5*8)+2*(G9355-2*F$5)))))/1000</f>
        <v>0.98</v>
      </c>
      <c r="K9375" t="str">
        <v>+</v>
      </c>
      <c r="L9375">
        <f>IF(D9375=0,2*MAX(6*F9375,75),(D9375-1)*2*MAX(6*F9375,75))/1000</f>
        <v>0.15</v>
      </c>
      <c r="M9375" t="str">
        <v>=</v>
      </c>
      <c r="N9375">
        <f>J9375+L9375</f>
        <v>1.13</v>
      </c>
      <c r="T9375" t="str">
        <v>x</v>
      </c>
      <c r="U9375">
        <f>0.006165*F9375^2</f>
        <v>0.39456</v>
      </c>
      <c r="V9375" t="str">
        <v>x</v>
      </c>
      <c r="W9375">
        <f>IF(D9357-MAX(D9357/4,2*G9355)*2&gt;0,ROUND((D9357-MAX(D9357/4,2*G9355)*2)/H9375,0),0)</f>
        <v>13</v>
      </c>
      <c r="X9375" t="str">
        <v>x</v>
      </c>
      <c r="Y9375">
        <f>D9360</f>
        <v>1</v>
      </c>
      <c r="Z9375" t="str">
        <v>=</v>
      </c>
      <c r="AA9375">
        <f>N9375*U9375*W9375*Y9375</f>
        <v>5.7960864</v>
      </c>
    </row>
    <row r="9376">
      <c r="A9376" t="str">
        <f>A9354</f>
        <v>Lantai Attic</v>
      </c>
      <c r="B9376">
        <f>B9354</f>
        <v>48</v>
      </c>
      <c r="C9376" t="str">
        <v>Sengkang Tumpuan</v>
      </c>
      <c r="D9376">
        <f>VLOOKUP(D9354,'Detail Balok'!$C$10:$AU$110,41,FALSE)</f>
        <v>0</v>
      </c>
      <c r="E9376" t="str">
        <v>D</v>
      </c>
      <c r="F9376">
        <f>VLOOKUP(D9354,'Detail Balok'!$C$10:$AU$110,43,FALSE)</f>
        <v>8</v>
      </c>
      <c r="G9376" t="str">
        <v>-</v>
      </c>
      <c r="H9376">
        <f>VLOOKUP(D9354,'Detail Balok'!$C$10:$AU$110,45,FALSE)</f>
        <v>100</v>
      </c>
      <c r="J9376">
        <f>(IF(D9376=0,(2*(D9355+G9355))-(F$5*8),IF(D9376=3,(2*(D9355+G9355))-(F$5*8)+(G9355-2*F$5),IF(D9376=4,(2*(D9355+G9355))-(F$5*8)+2*(G9355-2*F$5)))))/1000</f>
        <v>0.98</v>
      </c>
      <c r="K9376" t="str">
        <v>+</v>
      </c>
      <c r="L9376">
        <f>IF(D9376=0,2*MAX(6*F9376,75),(D9376-1)*2*MAX(6*F9376,75))/1000</f>
        <v>0.15</v>
      </c>
      <c r="M9376" t="str">
        <v>=</v>
      </c>
      <c r="N9376">
        <f>J9376+L9376</f>
        <v>1.13</v>
      </c>
      <c r="T9376" t="str">
        <v>x</v>
      </c>
      <c r="U9376">
        <f>0.006165*F9376^2</f>
        <v>0.39456</v>
      </c>
      <c r="V9376" t="str">
        <v>x</v>
      </c>
      <c r="W9376">
        <f>IF(D9357&gt;4*G9355,ROUND(MAX(D9357/4,2*G9355)/H9376,0)+1,0)</f>
        <v>14</v>
      </c>
      <c r="X9376" t="str">
        <v>x</v>
      </c>
      <c r="Y9376">
        <f>D9360</f>
        <v>1</v>
      </c>
      <c r="Z9376" t="str">
        <v>=</v>
      </c>
      <c r="AA9376">
        <f>N9376*U9376*W9376*Y9376</f>
        <v>6.2419392</v>
      </c>
    </row>
    <row r="9378">
      <c r="A9378" t="str">
        <f>A9354</f>
        <v>Lantai Attic</v>
      </c>
      <c r="B9378">
        <f>B9354</f>
        <v>48</v>
      </c>
      <c r="C9378" t="str">
        <v>Kait Horizontal Tump.</v>
      </c>
      <c r="D9378">
        <f>VLOOKUP(D9354,'Detail Balok'!$C$10:$BJ$110,46,FALSE)</f>
        <v>0</v>
      </c>
      <c r="E9378" t="str">
        <v>D</v>
      </c>
      <c r="F9378">
        <f>VLOOKUP(D9354,'Detail Balok'!$C$10:$BJ$110,48,FALSE)</f>
        <v>0</v>
      </c>
      <c r="G9378" t="str">
        <v>-</v>
      </c>
      <c r="H9378">
        <f>VLOOKUP(D9354,'Detail Balok'!$C$10:$BJ$110,50,FALSE)</f>
        <v>100</v>
      </c>
      <c r="J9378">
        <f>(D9355-2*F$5)/1000</f>
        <v>0.12</v>
      </c>
      <c r="K9378" t="str">
        <v>+</v>
      </c>
      <c r="L9378">
        <f>IF(D9378=0,2*MAX(6*F9378,75),(D9378-1)*2*MAX(6*F9378,75))/1000</f>
        <v>0.15</v>
      </c>
      <c r="M9378" t="str">
        <v>=</v>
      </c>
      <c r="N9378">
        <f>J9378+L9378</f>
        <v>0.27</v>
      </c>
      <c r="T9378" t="str">
        <v>x</v>
      </c>
      <c r="U9378">
        <f>0.006165*F9378^2</f>
        <v>0</v>
      </c>
      <c r="V9378" t="str">
        <v>x</v>
      </c>
      <c r="W9378">
        <f>W9374</f>
        <v>14</v>
      </c>
      <c r="X9378" t="str">
        <v>x</v>
      </c>
      <c r="Y9378">
        <f>D9364</f>
        <v>2</v>
      </c>
      <c r="Z9378" t="str">
        <v>=</v>
      </c>
      <c r="AA9378">
        <f>N9378*U9378*W9378*Y9378</f>
        <v>0</v>
      </c>
    </row>
    <row r="9379">
      <c r="A9379" t="str">
        <f>A9354</f>
        <v>Lantai Attic</v>
      </c>
      <c r="B9379">
        <f>B9354</f>
        <v>48</v>
      </c>
      <c r="C9379" t="str">
        <v>Kait Horizontal Lap.</v>
      </c>
      <c r="D9379">
        <f>VLOOKUP(D9354,'Detail Balok'!$C$10:$BJ$110,51,FALSE)</f>
        <v>0</v>
      </c>
      <c r="E9379" t="str">
        <v>D</v>
      </c>
      <c r="F9379">
        <f>VLOOKUP(D9354,'Detail Balok'!$C$10:$BJ$110,53,FALSE)</f>
        <v>0</v>
      </c>
      <c r="G9379" t="str">
        <v>-</v>
      </c>
      <c r="H9379">
        <f>VLOOKUP(D9354,'Detail Balok'!$C$10:$BJ$110,55,FALSE)</f>
        <v>100</v>
      </c>
      <c r="J9379">
        <f>(D9355-2*F$5)/1000</f>
        <v>0.12</v>
      </c>
      <c r="K9379" t="str">
        <v>+</v>
      </c>
      <c r="L9379">
        <f>IF(D9379=0,2*MAX(6*F9379,75),(D9379-1)*2*MAX(6*F9379,75))/1000</f>
        <v>0.15</v>
      </c>
      <c r="M9379" t="str">
        <v>=</v>
      </c>
      <c r="N9379">
        <f>J9379+L9379</f>
        <v>0.27</v>
      </c>
      <c r="T9379" t="str">
        <v>x</v>
      </c>
      <c r="U9379">
        <f>0.006165*F9379^2</f>
        <v>0</v>
      </c>
      <c r="V9379" t="str">
        <v>x</v>
      </c>
      <c r="W9379">
        <f>W9375</f>
        <v>13</v>
      </c>
      <c r="X9379" t="str">
        <v>x</v>
      </c>
      <c r="Y9379">
        <f>D9364</f>
        <v>2</v>
      </c>
      <c r="Z9379" t="str">
        <v>=</v>
      </c>
      <c r="AA9379">
        <f>N9379*U9379*W9379*Y9379</f>
        <v>0</v>
      </c>
    </row>
    <row r="9380">
      <c r="A9380" t="str">
        <f>A9354</f>
        <v>Lantai Attic</v>
      </c>
      <c r="B9380">
        <f>B9354</f>
        <v>48</v>
      </c>
      <c r="C9380" t="str">
        <v>Kait Horizontal Tump.</v>
      </c>
      <c r="D9380">
        <f>VLOOKUP(D9354,'Detail Balok'!$C$10:$BJ$110,56,FALSE)</f>
        <v>0</v>
      </c>
      <c r="E9380" t="str">
        <v>D</v>
      </c>
      <c r="F9380">
        <f>VLOOKUP(D9354,'Detail Balok'!$C$10:$BJ$110,58,FALSE)</f>
        <v>0</v>
      </c>
      <c r="G9380" t="str">
        <v>-</v>
      </c>
      <c r="H9380">
        <f>VLOOKUP(D9354,'Detail Balok'!$C$10:$BJ$110,60,FALSE)</f>
        <v>100</v>
      </c>
      <c r="J9380">
        <f>(D9355-2*F$5)/1000</f>
        <v>0.12</v>
      </c>
      <c r="K9380" t="str">
        <v>+</v>
      </c>
      <c r="L9380">
        <f>IF(D9380=0,2*MAX(6*F9380,75),(D9380-1)*2*MAX(6*F9380,75))/1000</f>
        <v>0.15</v>
      </c>
      <c r="M9380" t="str">
        <v>=</v>
      </c>
      <c r="N9380">
        <f>J9380+L9380</f>
        <v>0.27</v>
      </c>
      <c r="T9380" t="str">
        <v>x</v>
      </c>
      <c r="U9380">
        <f>0.006165*F9380^2</f>
        <v>0</v>
      </c>
      <c r="V9380" t="str">
        <v>x</v>
      </c>
      <c r="W9380">
        <f>W9376</f>
        <v>14</v>
      </c>
      <c r="X9380" t="str">
        <v>x</v>
      </c>
      <c r="Y9380">
        <f>D9364</f>
        <v>2</v>
      </c>
      <c r="Z9380" t="str">
        <v>=</v>
      </c>
      <c r="AA9380">
        <f>N9380*U9380*W9380*Y9380</f>
        <v>0</v>
      </c>
    </row>
    <row r="9384">
      <c r="A9384" t="str">
        <f>A9354</f>
        <v>Lantai Attic</v>
      </c>
      <c r="B9384">
        <f>B9354+1</f>
        <v>49</v>
      </c>
      <c r="C9384" t="str">
        <f>CONCATENATE(A9384," no. ",B9384)</f>
        <v>Lantai Attic no. 49</v>
      </c>
      <c r="D9384" t="str">
        <f>VLOOKUP(C9384,'Data Panjang Balok'!$C$9:$N$424,2,FALSE)</f>
        <v>B245-4</v>
      </c>
    </row>
    <row r="9385">
      <c r="C9385" t="str">
        <v>Dimensi</v>
      </c>
      <c r="D9385">
        <f>VLOOKUP(D9384,'Detail Balok'!$C$10:$AU$110,2,FALSE)</f>
        <v>200</v>
      </c>
      <c r="F9385" t="str">
        <v>x</v>
      </c>
      <c r="G9385">
        <f>VLOOKUP(D9384,'Detail Balok'!$C$10:$AU$110,3,FALSE)</f>
        <v>450</v>
      </c>
    </row>
    <row r="9386">
      <c r="C9386" t="str">
        <v>Panjang as ke as</v>
      </c>
      <c r="D9386">
        <f>VLOOKUP(C9384,'Data Panjang Balok'!$C$9:$N$424,4,FALSE)</f>
        <v>3300</v>
      </c>
    </row>
    <row r="9387">
      <c r="C9387" t="str">
        <v>Panjang netto</v>
      </c>
      <c r="D9387">
        <f>VLOOKUP(C9384,'Data Panjang Balok'!$C$9:$N$424,7,FALSE)</f>
        <v>3300</v>
      </c>
    </row>
    <row r="9388">
      <c r="C9388" t="str">
        <v>Kolom / balok kiri</v>
      </c>
      <c r="D9388">
        <f>VLOOKUP(C9384,'Data Panjang Balok'!$C$9:$N$424,9,FALSE)</f>
        <v>0</v>
      </c>
    </row>
    <row r="9389">
      <c r="C9389" t="str">
        <v>Kolom / balok kanan</v>
      </c>
      <c r="D9389">
        <f>VLOOKUP(C9384,'Data Panjang Balok'!$C$9:$N$424,10,FALSE)</f>
        <v>0</v>
      </c>
    </row>
    <row r="9390">
      <c r="C9390" t="str">
        <v>Jumlah</v>
      </c>
      <c r="D9390">
        <f>VLOOKUP(C9384,'Data Panjang Balok'!$C$9:$N$424,3,FALSE)</f>
        <v>1</v>
      </c>
    </row>
    <row r="9391">
      <c r="A9391" t="str">
        <f>A9384</f>
        <v>Lantai Attic</v>
      </c>
      <c r="B9391">
        <f>B9384</f>
        <v>49</v>
      </c>
      <c r="C9391" t="str">
        <v>Tul Atas Tumpuan</v>
      </c>
      <c r="D9391">
        <f>VLOOKUP(D9384,'Detail Balok'!$C$10:$AU$110,4,FALSE)</f>
        <v>3</v>
      </c>
      <c r="E9391" t="str">
        <v>D</v>
      </c>
      <c r="F9391">
        <f>VLOOKUP(D9384,'Detail Balok'!$C$10:$AU$110,6,FALSE)</f>
        <v>16</v>
      </c>
      <c r="I9391" t="str">
        <v>(</v>
      </c>
      <c r="J9391">
        <f>+D9386/4/1000</f>
        <v>0.825</v>
      </c>
      <c r="K9391" t="str">
        <v>+</v>
      </c>
      <c r="L9391">
        <f>MAX(VLOOKUP(F9391,N$6:P$15,3,FALSE)/1000,2/3*D9388/1000)+F$16*F9391/1000</f>
        <v>0.192</v>
      </c>
      <c r="M9391" t="str">
        <v>=</v>
      </c>
      <c r="N9391">
        <f>J9391+L9391</f>
        <v>1.017</v>
      </c>
      <c r="O9391" t="str">
        <v>+</v>
      </c>
      <c r="P9391">
        <f>D9391-D9392</f>
        <v>0</v>
      </c>
      <c r="Q9391" t="str">
        <v>x</v>
      </c>
      <c r="R9391">
        <f>IF(P9391&gt;0,$F$18*F9391/1000,0)</f>
        <v>0</v>
      </c>
      <c r="S9391" t="str">
        <v>)</v>
      </c>
      <c r="T9391" t="str">
        <v>x</v>
      </c>
      <c r="U9391">
        <f>0.006165*F9391^2</f>
        <v>1.57824</v>
      </c>
      <c r="X9391" t="str">
        <v>x</v>
      </c>
      <c r="Y9391">
        <f>D9390</f>
        <v>1</v>
      </c>
      <c r="Z9391" t="str">
        <v>=</v>
      </c>
      <c r="AA9391">
        <f>IF(AA9394=0,(D9391*N9391+P9391*R9391)*U9391*Y9391,0)</f>
        <v>0</v>
      </c>
    </row>
    <row r="9392">
      <c r="A9392" t="str">
        <f>A9384</f>
        <v>Lantai Attic</v>
      </c>
      <c r="B9392">
        <f>B9384</f>
        <v>49</v>
      </c>
      <c r="C9392" t="str">
        <v>Tul Atas Lapangan</v>
      </c>
      <c r="D9392">
        <f>VLOOKUP(D9384,'Detail Balok'!$C$10:$AU$110,7,FALSE)</f>
        <v>3</v>
      </c>
      <c r="E9392" t="str">
        <v>D</v>
      </c>
      <c r="F9392">
        <f>VLOOKUP(D9384,'Detail Balok'!$C$10:$AU$110,9,FALSE)</f>
        <v>16</v>
      </c>
      <c r="I9392" t="str">
        <v>(</v>
      </c>
      <c r="J9392">
        <f>+D9386/2/1000</f>
        <v>1.65</v>
      </c>
      <c r="K9392" t="str">
        <v>+</v>
      </c>
      <c r="M9392" t="str">
        <v>=</v>
      </c>
      <c r="N9392">
        <f>J9392+L9392</f>
        <v>1.65</v>
      </c>
      <c r="O9392" t="str">
        <v>+</v>
      </c>
      <c r="P9392">
        <f>MAX(D9392-D9391,D9392-D9393)</f>
        <v>0</v>
      </c>
      <c r="Q9392" t="str">
        <v>x</v>
      </c>
      <c r="R9392">
        <f>IF(P9392&gt;0,2*(1-2*$F$19-1/2)*D9387/1000,0)</f>
        <v>0</v>
      </c>
      <c r="S9392" t="str">
        <v>)</v>
      </c>
      <c r="T9392" t="str">
        <v>x</v>
      </c>
      <c r="U9392">
        <f>0.006165*F9392^2</f>
        <v>1.57824</v>
      </c>
      <c r="X9392" t="str">
        <v>x</v>
      </c>
      <c r="Y9392">
        <f>D9390</f>
        <v>1</v>
      </c>
      <c r="Z9392" t="str">
        <v>=</v>
      </c>
      <c r="AA9392">
        <f>IF(AA9394=0,(D9392*N9392+P9392*R9392)*U9392*Y9392,0)</f>
        <v>0</v>
      </c>
    </row>
    <row r="9393">
      <c r="A9393" t="str">
        <f>A9384</f>
        <v>Lantai Attic</v>
      </c>
      <c r="B9393">
        <f>B9384</f>
        <v>49</v>
      </c>
      <c r="C9393" t="str">
        <v>Tul Atas Tumpuan</v>
      </c>
      <c r="D9393">
        <f>VLOOKUP(D9384,'Detail Balok'!$C$10:$AU$110,10,FALSE)</f>
        <v>3</v>
      </c>
      <c r="E9393" t="str">
        <v>D</v>
      </c>
      <c r="F9393">
        <f>VLOOKUP(D9384,'Detail Balok'!$C$10:$AU$110,12,FALSE)</f>
        <v>16</v>
      </c>
      <c r="I9393" t="str">
        <v>(</v>
      </c>
      <c r="J9393">
        <f>+D9386/4/1000</f>
        <v>0.825</v>
      </c>
      <c r="K9393" t="str">
        <v>+</v>
      </c>
      <c r="L9393">
        <f>MAX(VLOOKUP(F9393,N$6:P$15,3,FALSE)/1000,2/3*D9388/1000)+F$16*F9393/1000</f>
        <v>0.192</v>
      </c>
      <c r="M9393" t="str">
        <v>=</v>
      </c>
      <c r="N9393">
        <f>J9393+L9393</f>
        <v>1.017</v>
      </c>
      <c r="O9393" t="str">
        <v>+</v>
      </c>
      <c r="P9393">
        <f>D9393-D9392</f>
        <v>0</v>
      </c>
      <c r="Q9393" t="str">
        <v>x</v>
      </c>
      <c r="R9393">
        <f>IF(P9393&gt;0,$F$18*F9393/1000,0)</f>
        <v>0</v>
      </c>
      <c r="S9393" t="str">
        <v>)</v>
      </c>
      <c r="T9393" t="str">
        <v>x</v>
      </c>
      <c r="U9393">
        <f>0.006165*F9393^2</f>
        <v>1.57824</v>
      </c>
      <c r="X9393" t="str">
        <v>x</v>
      </c>
      <c r="Y9393">
        <f>D9390</f>
        <v>1</v>
      </c>
      <c r="Z9393" t="str">
        <v>=</v>
      </c>
      <c r="AA9393">
        <f>IF(AA9394=0,(D9393*N9393+P9393*R9393)*U9393*Y9393,0)</f>
        <v>0</v>
      </c>
    </row>
    <row r="9394">
      <c r="A9394" t="str">
        <f>A9384</f>
        <v>Lantai Attic</v>
      </c>
      <c r="B9394">
        <f>B9384</f>
        <v>49</v>
      </c>
      <c r="D9394">
        <f>IF(AND(D9391=D9392,D9392=D9393,D9391=D9393),D9391,0)</f>
        <v>3</v>
      </c>
      <c r="E9394" t="str">
        <v>D</v>
      </c>
      <c r="F9394">
        <f>IF(AND(F9391=F9392,F9391=F9393,F9392=F9393),F9391,0)</f>
        <v>16</v>
      </c>
      <c r="L9394" t="str">
        <v>Total panjang per balok</v>
      </c>
      <c r="M9394" t="str">
        <v>=</v>
      </c>
      <c r="N9394">
        <f>IF(AND(D9391=D9392,D9391=D9393,D9392=D9393,F9391=F9392,F9391=F9393,F9392=F9393),SUM(N9391:N9393),0)</f>
        <v>3.6839999999999997</v>
      </c>
      <c r="O9394" t="str">
        <v>+</v>
      </c>
      <c r="P9394">
        <f>IF(N9394&gt;12,ROUNDDOWN(N9394/12,0),0)</f>
        <v>0</v>
      </c>
      <c r="Q9394" t="str">
        <v>x</v>
      </c>
      <c r="R9394">
        <f>IF(P9394&gt;0,MAX(VLOOKUP(F9394,$D$6:$G$15,3,FALSE),600),0)/1000</f>
        <v>0</v>
      </c>
      <c r="T9394" t="str">
        <v>x</v>
      </c>
      <c r="U9394">
        <f>U9393</f>
        <v>1.57824</v>
      </c>
      <c r="V9394" t="str">
        <v>x</v>
      </c>
      <c r="W9394">
        <f>D9394</f>
        <v>3</v>
      </c>
      <c r="X9394" t="str">
        <v>x</v>
      </c>
      <c r="Y9394">
        <f>Y9393</f>
        <v>1</v>
      </c>
      <c r="Z9394" t="str">
        <v>=</v>
      </c>
      <c r="AA9394">
        <f>(N9394+P9394*R9394/1000)*U9394*W9394*Y9394</f>
        <v>17.44270848</v>
      </c>
    </row>
    <row r="9396">
      <c r="A9396" t="str">
        <f>A9384</f>
        <v>Lantai Attic</v>
      </c>
      <c r="B9396">
        <f>B9384</f>
        <v>49</v>
      </c>
      <c r="C9396" t="str">
        <v>Tul Peminggang</v>
      </c>
      <c r="D9396">
        <f>VLOOKUP(D9384,'Detail Balok'!$C$10:$AU$110,13,FALSE)</f>
        <v>2</v>
      </c>
      <c r="E9396" t="str">
        <v>D</v>
      </c>
      <c r="F9396">
        <f>VLOOKUP(D9384,'Detail Balok'!$C$10:$AU$110,15,FALSE)</f>
        <v>8</v>
      </c>
      <c r="J9396">
        <f>+D9386/1000</f>
        <v>3.3</v>
      </c>
      <c r="K9396" t="str">
        <v>+</v>
      </c>
      <c r="L9396">
        <f>2*$F$16*F9396/1000</f>
        <v>0.192</v>
      </c>
      <c r="M9396" t="str">
        <v>=</v>
      </c>
      <c r="N9396">
        <f>J9396+L9396</f>
        <v>3.492</v>
      </c>
      <c r="O9396" t="str">
        <v>+</v>
      </c>
      <c r="P9396">
        <f>IF(N9396&gt;12,ROUNDDOWN(N9396/12,0),0)</f>
        <v>0</v>
      </c>
      <c r="Q9396" t="str">
        <v>x</v>
      </c>
      <c r="R9396">
        <f>IF(P9396&gt;0,MAX(VLOOKUP(F9396,$D$6:$G$15,3,FALSE),600),0)/1000</f>
        <v>0</v>
      </c>
      <c r="T9396" t="str">
        <v>x</v>
      </c>
      <c r="U9396">
        <f>0.006165*F9396^2</f>
        <v>0.39456</v>
      </c>
      <c r="V9396" t="str">
        <v>x</v>
      </c>
      <c r="W9396">
        <f>+D9396</f>
        <v>2</v>
      </c>
      <c r="X9396" t="str">
        <v>x</v>
      </c>
      <c r="Y9396">
        <f>D9390</f>
        <v>1</v>
      </c>
      <c r="Z9396" t="str">
        <v>=</v>
      </c>
      <c r="AA9396">
        <f>(N9396+P9396*R9396/1000)*U9396*W9396*Y9396</f>
        <v>2.75560704</v>
      </c>
    </row>
    <row r="9399">
      <c r="A9399" t="str">
        <f>A9384</f>
        <v>Lantai Attic</v>
      </c>
      <c r="B9399">
        <f>B9384</f>
        <v>49</v>
      </c>
      <c r="C9399" t="str">
        <v>Tul Bawah Tumpuan</v>
      </c>
      <c r="D9399">
        <f>VLOOKUP(D9384,'Detail Balok'!$C$10:$AU$110,22,FALSE)</f>
        <v>3</v>
      </c>
      <c r="E9399" t="str">
        <v>D</v>
      </c>
      <c r="F9399">
        <f>VLOOKUP(D9384,'Detail Balok'!$C$10:$AU$110,24,FALSE)</f>
        <v>16</v>
      </c>
      <c r="I9399" t="str">
        <v>(</v>
      </c>
      <c r="J9399">
        <f>+J9391</f>
        <v>0.825</v>
      </c>
      <c r="K9399" t="str">
        <v>+</v>
      </c>
      <c r="L9399">
        <f>MAX(VLOOKUP(F9399,N$6:P$15,3,FALSE)/1000,2/3*D9389/1000)+F$16*F9399/1000</f>
        <v>0.192</v>
      </c>
      <c r="M9399" t="str">
        <v>=</v>
      </c>
      <c r="N9399">
        <f>J9399+L9399</f>
        <v>1.017</v>
      </c>
      <c r="O9399" t="str">
        <v>+</v>
      </c>
      <c r="P9399">
        <f>D9399-D9400</f>
        <v>0</v>
      </c>
      <c r="Q9399" t="str">
        <v>x</v>
      </c>
      <c r="R9399">
        <f>IF(P9399&gt;0,$F$18*F9399/1000,0)</f>
        <v>0</v>
      </c>
      <c r="S9399" t="str">
        <v>)</v>
      </c>
      <c r="T9399" t="str">
        <v>x</v>
      </c>
      <c r="U9399">
        <f>0.006165*F9399^2</f>
        <v>1.57824</v>
      </c>
      <c r="X9399" t="str">
        <v>x</v>
      </c>
      <c r="Y9399">
        <f>D9390</f>
        <v>1</v>
      </c>
      <c r="Z9399" t="str">
        <v>=</v>
      </c>
      <c r="AA9399">
        <f>IF(AA9402=0,(D9399*N9399+P9399*R9399)*U9399*Y9399,0)</f>
        <v>0</v>
      </c>
    </row>
    <row r="9400">
      <c r="A9400" t="str">
        <f>A9384</f>
        <v>Lantai Attic</v>
      </c>
      <c r="B9400">
        <f>B9384</f>
        <v>49</v>
      </c>
      <c r="C9400" t="str">
        <v>Tul Bawah Lapangan</v>
      </c>
      <c r="D9400">
        <f>VLOOKUP(D9384,'Detail Balok'!$C$10:$AU$110,25,FALSE)</f>
        <v>3</v>
      </c>
      <c r="E9400" t="str">
        <v>D</v>
      </c>
      <c r="F9400">
        <f>VLOOKUP(D9384,'Detail Balok'!$C$10:$AU$110,27,FALSE)</f>
        <v>16</v>
      </c>
      <c r="I9400" t="str">
        <v>(</v>
      </c>
      <c r="J9400">
        <f>+J9392</f>
        <v>1.65</v>
      </c>
      <c r="K9400" t="str">
        <v>+</v>
      </c>
      <c r="M9400" t="str">
        <v>=</v>
      </c>
      <c r="N9400">
        <f>J9400+L9400</f>
        <v>1.65</v>
      </c>
      <c r="O9400" t="str">
        <v>+</v>
      </c>
      <c r="P9400">
        <f>MAX(D9400-D9399,D9400-D9401)</f>
        <v>0</v>
      </c>
      <c r="Q9400" t="str">
        <v>x</v>
      </c>
      <c r="R9400">
        <f>IF(P9400&gt;0,2*(1-2*$F$19-1/2)*D9387/1000,0)</f>
        <v>0</v>
      </c>
      <c r="S9400" t="str">
        <v>)</v>
      </c>
      <c r="T9400" t="str">
        <v>x</v>
      </c>
      <c r="U9400">
        <f>0.006165*F9400^2</f>
        <v>1.57824</v>
      </c>
      <c r="X9400" t="str">
        <v>x</v>
      </c>
      <c r="Y9400">
        <f>D9390</f>
        <v>1</v>
      </c>
      <c r="Z9400" t="str">
        <v>=</v>
      </c>
      <c r="AA9400">
        <f>IF(AA9402=0,(D9400*N9400+P9400*R9400)*U9400*Y9400,0)</f>
        <v>0</v>
      </c>
    </row>
    <row r="9401">
      <c r="A9401" t="str">
        <f>A9384</f>
        <v>Lantai Attic</v>
      </c>
      <c r="B9401">
        <f>B9384</f>
        <v>49</v>
      </c>
      <c r="C9401" t="str">
        <v>Tul Bawah Tumpuan</v>
      </c>
      <c r="D9401">
        <f>VLOOKUP(D9384,'Detail Balok'!$C$10:$AU$110,28,FALSE)</f>
        <v>3</v>
      </c>
      <c r="E9401" t="str">
        <v>D</v>
      </c>
      <c r="F9401">
        <f>VLOOKUP(D9384,'Detail Balok'!$C$10:$AU$110,30,FALSE)</f>
        <v>16</v>
      </c>
      <c r="I9401" t="str">
        <v>(</v>
      </c>
      <c r="J9401">
        <f>+J9393</f>
        <v>0.825</v>
      </c>
      <c r="K9401" t="str">
        <v>+</v>
      </c>
      <c r="L9401">
        <f>MAX(VLOOKUP(F9401,N$6:P$15,3,FALSE)/1000,2/3*D9389/1000)+F$16*F9401/1000</f>
        <v>0.192</v>
      </c>
      <c r="M9401" t="str">
        <v>=</v>
      </c>
      <c r="N9401">
        <f>J9401+L9401</f>
        <v>1.017</v>
      </c>
      <c r="O9401" t="str">
        <v>+</v>
      </c>
      <c r="P9401">
        <f>D9401-D9400</f>
        <v>0</v>
      </c>
      <c r="Q9401" t="str">
        <v>x</v>
      </c>
      <c r="R9401">
        <f>IF(P9401&gt;0,$F$18*F9401/1000,0)</f>
        <v>0</v>
      </c>
      <c r="S9401" t="str">
        <v>)</v>
      </c>
      <c r="T9401" t="str">
        <v>x</v>
      </c>
      <c r="U9401">
        <f>0.006165*F9401^2</f>
        <v>1.57824</v>
      </c>
      <c r="X9401" t="str">
        <v>x</v>
      </c>
      <c r="Y9401">
        <f>D9390</f>
        <v>1</v>
      </c>
      <c r="Z9401" t="str">
        <v>=</v>
      </c>
      <c r="AA9401">
        <f>IF(AA9402=0,(D9401*N9401+P9401*R9401)*U9401*Y9401,0)</f>
        <v>0</v>
      </c>
    </row>
    <row r="9402">
      <c r="A9402" t="str">
        <f>A9384</f>
        <v>Lantai Attic</v>
      </c>
      <c r="B9402">
        <f>B9384</f>
        <v>49</v>
      </c>
      <c r="D9402">
        <f>IF(AND(D9399=D9400,D9400=D9401,D9399=D9401),D9399,0)</f>
        <v>3</v>
      </c>
      <c r="E9402" t="str">
        <v>D</v>
      </c>
      <c r="F9402">
        <f>IF(AND(F9399=F9400,F9399=F9401,F9400=F9401),F9399,0)</f>
        <v>16</v>
      </c>
      <c r="L9402" t="str">
        <v>Total panjang per balok</v>
      </c>
      <c r="M9402" t="str">
        <v>=</v>
      </c>
      <c r="N9402">
        <f>IF(AND(D9399=D9400,D9399=D9401,D9400=D9401,F9399=F9400,F9399=F9401,F9400=F9401),SUM(N9399:N9401),0)</f>
        <v>3.6839999999999997</v>
      </c>
      <c r="O9402" t="str">
        <v>+</v>
      </c>
      <c r="P9402">
        <f>IF(N9402&gt;12,ROUNDDOWN(N9402/12,0),0)</f>
        <v>0</v>
      </c>
      <c r="Q9402" t="str">
        <v>x</v>
      </c>
      <c r="R9402">
        <f>IF(P9402&gt;0,MAX(VLOOKUP(F9402,$D$6:$G$15,3,FALSE),600),0)/1000</f>
        <v>0</v>
      </c>
      <c r="T9402" t="str">
        <v>x</v>
      </c>
      <c r="U9402">
        <f>U9401</f>
        <v>1.57824</v>
      </c>
      <c r="V9402" t="str">
        <v>x</v>
      </c>
      <c r="W9402">
        <f>D9402</f>
        <v>3</v>
      </c>
      <c r="X9402" t="str">
        <v>x</v>
      </c>
      <c r="Y9402">
        <f>Y9401</f>
        <v>1</v>
      </c>
      <c r="Z9402" t="str">
        <v>=</v>
      </c>
      <c r="AA9402">
        <f>(N9402+P9402*R9402/1000)*U9402*W9402*Y9402</f>
        <v>17.44270848</v>
      </c>
    </row>
    <row r="9404">
      <c r="A9404" t="str">
        <f>A9384</f>
        <v>Lantai Attic</v>
      </c>
      <c r="B9404">
        <f>B9384</f>
        <v>49</v>
      </c>
      <c r="C9404" t="str">
        <v>Sengkang Tumpuan</v>
      </c>
      <c r="D9404">
        <f>VLOOKUP(D9384,'Detail Balok'!$C$10:$AU$110,31,FALSE)</f>
        <v>0</v>
      </c>
      <c r="E9404" t="str">
        <v>D</v>
      </c>
      <c r="F9404">
        <f>VLOOKUP(D9384,'Detail Balok'!$C$10:$AU$110,33,FALSE)</f>
        <v>8</v>
      </c>
      <c r="G9404" t="str">
        <v>-</v>
      </c>
      <c r="H9404">
        <f>VLOOKUP(D9384,'Detail Balok'!$C$10:$AU$110,35,FALSE)</f>
        <v>100</v>
      </c>
      <c r="J9404">
        <f>(IF(D9404=0,(2*(D9385+G9385))-(F$5*8),IF(D9404=3,(2*(D9385+G9385))-(F$5*8)+(G9385-2*F$5),IF(D9404=4,(2*(D9385+G9385))-(F$5*8)+2*(G9385-2*F$5)))))/1000</f>
        <v>0.98</v>
      </c>
      <c r="K9404" t="str">
        <v>+</v>
      </c>
      <c r="L9404">
        <f>IF(D9404=0,2*MAX(6*F9404,75),(D9404-1)*2*MAX(6*F9404,75))/1000</f>
        <v>0.15</v>
      </c>
      <c r="M9404" t="str">
        <v>=</v>
      </c>
      <c r="N9404">
        <f>J9404+L9404</f>
        <v>1.13</v>
      </c>
      <c r="T9404" t="str">
        <v>x</v>
      </c>
      <c r="U9404">
        <f>0.006165*F9404^2</f>
        <v>0.39456</v>
      </c>
      <c r="V9404" t="str">
        <v>x</v>
      </c>
      <c r="W9404">
        <f>IF(D9387&gt;4*G9385,ROUND(MAX(D9387/4,2*G9385)/H9404,0)+1,ROUND(D9387/H9404,0)+1)</f>
        <v>10</v>
      </c>
      <c r="X9404" t="str">
        <v>x</v>
      </c>
      <c r="Y9404">
        <f>D9390</f>
        <v>1</v>
      </c>
      <c r="Z9404" t="str">
        <v>=</v>
      </c>
      <c r="AA9404">
        <f>N9404*U9404*W9404*Y9404</f>
        <v>4.458528</v>
      </c>
    </row>
    <row r="9405">
      <c r="A9405" t="str">
        <f>A9384</f>
        <v>Lantai Attic</v>
      </c>
      <c r="B9405">
        <f>B9384</f>
        <v>49</v>
      </c>
      <c r="C9405" t="str">
        <v>Sengkang Lapangan</v>
      </c>
      <c r="D9405">
        <f>VLOOKUP(D9384,'Detail Balok'!$C$10:$AU$110,36,FALSE)</f>
        <v>0</v>
      </c>
      <c r="E9405" t="str">
        <v>D</v>
      </c>
      <c r="F9405">
        <f>VLOOKUP(D9384,'Detail Balok'!$C$10:$AU$110,38,FALSE)</f>
        <v>8</v>
      </c>
      <c r="G9405" t="str">
        <v>-</v>
      </c>
      <c r="H9405">
        <f>VLOOKUP(D9384,'Detail Balok'!$C$10:$AU$110,40,FALSE)</f>
        <v>200</v>
      </c>
      <c r="J9405">
        <f>(IF(D9405=0,(2*(D9385+G9385))-(F$5*8),IF(D9405=3,(2*(D9385+G9385))-(F$5*8)+(G9385-2*F$5),IF(D9405=4,(2*(D9385+G9385))-(F$5*8)+2*(G9385-2*F$5)))))/1000</f>
        <v>0.98</v>
      </c>
      <c r="K9405" t="str">
        <v>+</v>
      </c>
      <c r="L9405">
        <f>IF(D9405=0,2*MAX(6*F9405,75),(D9405-1)*2*MAX(6*F9405,75))/1000</f>
        <v>0.15</v>
      </c>
      <c r="M9405" t="str">
        <v>=</v>
      </c>
      <c r="N9405">
        <f>J9405+L9405</f>
        <v>1.13</v>
      </c>
      <c r="T9405" t="str">
        <v>x</v>
      </c>
      <c r="U9405">
        <f>0.006165*F9405^2</f>
        <v>0.39456</v>
      </c>
      <c r="V9405" t="str">
        <v>x</v>
      </c>
      <c r="W9405">
        <f>IF(D9387-MAX(D9387/4,2*G9385)*2&gt;0,ROUND((D9387-MAX(D9387/4,2*G9385)*2)/H9405,0),0)</f>
        <v>8</v>
      </c>
      <c r="X9405" t="str">
        <v>x</v>
      </c>
      <c r="Y9405">
        <f>D9390</f>
        <v>1</v>
      </c>
      <c r="Z9405" t="str">
        <v>=</v>
      </c>
      <c r="AA9405">
        <f>N9405*U9405*W9405*Y9405</f>
        <v>3.5668224</v>
      </c>
    </row>
    <row r="9406">
      <c r="A9406" t="str">
        <f>A9384</f>
        <v>Lantai Attic</v>
      </c>
      <c r="B9406">
        <f>B9384</f>
        <v>49</v>
      </c>
      <c r="C9406" t="str">
        <v>Sengkang Tumpuan</v>
      </c>
      <c r="D9406">
        <f>VLOOKUP(D9384,'Detail Balok'!$C$10:$AU$110,41,FALSE)</f>
        <v>0</v>
      </c>
      <c r="E9406" t="str">
        <v>D</v>
      </c>
      <c r="F9406">
        <f>VLOOKUP(D9384,'Detail Balok'!$C$10:$AU$110,43,FALSE)</f>
        <v>8</v>
      </c>
      <c r="G9406" t="str">
        <v>-</v>
      </c>
      <c r="H9406">
        <f>VLOOKUP(D9384,'Detail Balok'!$C$10:$AU$110,45,FALSE)</f>
        <v>100</v>
      </c>
      <c r="J9406">
        <f>(IF(D9406=0,(2*(D9385+G9385))-(F$5*8),IF(D9406=3,(2*(D9385+G9385))-(F$5*8)+(G9385-2*F$5),IF(D9406=4,(2*(D9385+G9385))-(F$5*8)+2*(G9385-2*F$5)))))/1000</f>
        <v>0.98</v>
      </c>
      <c r="K9406" t="str">
        <v>+</v>
      </c>
      <c r="L9406">
        <f>IF(D9406=0,2*MAX(6*F9406,75),(D9406-1)*2*MAX(6*F9406,75))/1000</f>
        <v>0.15</v>
      </c>
      <c r="M9406" t="str">
        <v>=</v>
      </c>
      <c r="N9406">
        <f>J9406+L9406</f>
        <v>1.13</v>
      </c>
      <c r="T9406" t="str">
        <v>x</v>
      </c>
      <c r="U9406">
        <f>0.006165*F9406^2</f>
        <v>0.39456</v>
      </c>
      <c r="V9406" t="str">
        <v>x</v>
      </c>
      <c r="W9406">
        <f>IF(D9387&gt;4*G9385,ROUND(MAX(D9387/4,2*G9385)/H9406,0)+1,0)</f>
        <v>10</v>
      </c>
      <c r="X9406" t="str">
        <v>x</v>
      </c>
      <c r="Y9406">
        <f>D9390</f>
        <v>1</v>
      </c>
      <c r="Z9406" t="str">
        <v>=</v>
      </c>
      <c r="AA9406">
        <f>N9406*U9406*W9406*Y9406</f>
        <v>4.458528</v>
      </c>
    </row>
    <row r="9408">
      <c r="A9408" t="str">
        <f>A9384</f>
        <v>Lantai Attic</v>
      </c>
      <c r="B9408">
        <f>B9384</f>
        <v>49</v>
      </c>
      <c r="C9408" t="str">
        <v>Kait Horizontal Tump.</v>
      </c>
      <c r="D9408">
        <f>VLOOKUP(D9384,'Detail Balok'!$C$10:$BJ$110,46,FALSE)</f>
        <v>0</v>
      </c>
      <c r="E9408" t="str">
        <v>D</v>
      </c>
      <c r="F9408">
        <f>VLOOKUP(D9384,'Detail Balok'!$C$10:$BJ$110,48,FALSE)</f>
        <v>0</v>
      </c>
      <c r="G9408" t="str">
        <v>-</v>
      </c>
      <c r="H9408">
        <f>VLOOKUP(D9384,'Detail Balok'!$C$10:$BJ$110,50,FALSE)</f>
        <v>100</v>
      </c>
      <c r="J9408">
        <f>(D9385-2*F$5)/1000</f>
        <v>0.12</v>
      </c>
      <c r="K9408" t="str">
        <v>+</v>
      </c>
      <c r="L9408">
        <f>IF(D9408=0,2*MAX(6*F9408,75),(D9408-1)*2*MAX(6*F9408,75))/1000</f>
        <v>0.15</v>
      </c>
      <c r="M9408" t="str">
        <v>=</v>
      </c>
      <c r="N9408">
        <f>J9408+L9408</f>
        <v>0.27</v>
      </c>
      <c r="T9408" t="str">
        <v>x</v>
      </c>
      <c r="U9408">
        <f>0.006165*F9408^2</f>
        <v>0</v>
      </c>
      <c r="V9408" t="str">
        <v>x</v>
      </c>
      <c r="W9408">
        <f>W9404</f>
        <v>10</v>
      </c>
      <c r="X9408" t="str">
        <v>x</v>
      </c>
      <c r="Y9408">
        <f>D9394</f>
        <v>3</v>
      </c>
      <c r="Z9408" t="str">
        <v>=</v>
      </c>
      <c r="AA9408">
        <f>N9408*U9408*W9408*Y9408</f>
        <v>0</v>
      </c>
    </row>
    <row r="9409">
      <c r="A9409" t="str">
        <f>A9384</f>
        <v>Lantai Attic</v>
      </c>
      <c r="B9409">
        <f>B9384</f>
        <v>49</v>
      </c>
      <c r="C9409" t="str">
        <v>Kait Horizontal Lap.</v>
      </c>
      <c r="D9409">
        <f>VLOOKUP(D9384,'Detail Balok'!$C$10:$BJ$110,51,FALSE)</f>
        <v>0</v>
      </c>
      <c r="E9409" t="str">
        <v>D</v>
      </c>
      <c r="F9409">
        <f>VLOOKUP(D9384,'Detail Balok'!$C$10:$BJ$110,53,FALSE)</f>
        <v>0</v>
      </c>
      <c r="G9409" t="str">
        <v>-</v>
      </c>
      <c r="H9409">
        <f>VLOOKUP(D9384,'Detail Balok'!$C$10:$BJ$110,55,FALSE)</f>
        <v>100</v>
      </c>
      <c r="J9409">
        <f>(D9385-2*F$5)/1000</f>
        <v>0.12</v>
      </c>
      <c r="K9409" t="str">
        <v>+</v>
      </c>
      <c r="L9409">
        <f>IF(D9409=0,2*MAX(6*F9409,75),(D9409-1)*2*MAX(6*F9409,75))/1000</f>
        <v>0.15</v>
      </c>
      <c r="M9409" t="str">
        <v>=</v>
      </c>
      <c r="N9409">
        <f>J9409+L9409</f>
        <v>0.27</v>
      </c>
      <c r="T9409" t="str">
        <v>x</v>
      </c>
      <c r="U9409">
        <f>0.006165*F9409^2</f>
        <v>0</v>
      </c>
      <c r="V9409" t="str">
        <v>x</v>
      </c>
      <c r="W9409">
        <f>W9405</f>
        <v>8</v>
      </c>
      <c r="X9409" t="str">
        <v>x</v>
      </c>
      <c r="Y9409">
        <f>D9394</f>
        <v>3</v>
      </c>
      <c r="Z9409" t="str">
        <v>=</v>
      </c>
      <c r="AA9409">
        <f>N9409*U9409*W9409*Y9409</f>
        <v>0</v>
      </c>
    </row>
    <row r="9410">
      <c r="A9410" t="str">
        <f>A9384</f>
        <v>Lantai Attic</v>
      </c>
      <c r="B9410">
        <f>B9384</f>
        <v>49</v>
      </c>
      <c r="C9410" t="str">
        <v>Kait Horizontal Tump.</v>
      </c>
      <c r="D9410">
        <f>VLOOKUP(D9384,'Detail Balok'!$C$10:$BJ$110,56,FALSE)</f>
        <v>0</v>
      </c>
      <c r="E9410" t="str">
        <v>D</v>
      </c>
      <c r="F9410">
        <f>VLOOKUP(D9384,'Detail Balok'!$C$10:$BJ$110,58,FALSE)</f>
        <v>0</v>
      </c>
      <c r="G9410" t="str">
        <v>-</v>
      </c>
      <c r="H9410">
        <f>VLOOKUP(D9384,'Detail Balok'!$C$10:$BJ$110,60,FALSE)</f>
        <v>100</v>
      </c>
      <c r="J9410">
        <f>(D9385-2*F$5)/1000</f>
        <v>0.12</v>
      </c>
      <c r="K9410" t="str">
        <v>+</v>
      </c>
      <c r="L9410">
        <f>IF(D9410=0,2*MAX(6*F9410,75),(D9410-1)*2*MAX(6*F9410,75))/1000</f>
        <v>0.15</v>
      </c>
      <c r="M9410" t="str">
        <v>=</v>
      </c>
      <c r="N9410">
        <f>J9410+L9410</f>
        <v>0.27</v>
      </c>
      <c r="T9410" t="str">
        <v>x</v>
      </c>
      <c r="U9410">
        <f>0.006165*F9410^2</f>
        <v>0</v>
      </c>
      <c r="V9410" t="str">
        <v>x</v>
      </c>
      <c r="W9410">
        <f>W9406</f>
        <v>10</v>
      </c>
      <c r="X9410" t="str">
        <v>x</v>
      </c>
      <c r="Y9410">
        <f>D9394</f>
        <v>3</v>
      </c>
      <c r="Z9410" t="str">
        <v>=</v>
      </c>
      <c r="AA9410">
        <f>N9410*U9410*W9410*Y9410</f>
        <v>0</v>
      </c>
    </row>
    <row r="9414">
      <c r="A9414" t="str">
        <f>A9384</f>
        <v>Lantai Attic</v>
      </c>
      <c r="B9414">
        <f>B9384+1</f>
        <v>50</v>
      </c>
      <c r="C9414" t="str">
        <f>CONCATENATE(A9414," no. ",B9414)</f>
        <v>Lantai Attic no. 50</v>
      </c>
      <c r="D9414" t="str">
        <f>VLOOKUP(C9414,'Data Panjang Balok'!$C$9:$N$424,2,FALSE)</f>
        <v>B245-3</v>
      </c>
    </row>
    <row r="9415">
      <c r="C9415" t="str">
        <v>Dimensi</v>
      </c>
      <c r="D9415">
        <f>VLOOKUP(D9414,'Detail Balok'!$C$10:$AU$110,2,FALSE)</f>
        <v>200</v>
      </c>
      <c r="F9415" t="str">
        <v>x</v>
      </c>
      <c r="G9415">
        <f>VLOOKUP(D9414,'Detail Balok'!$C$10:$AU$110,3,FALSE)</f>
        <v>450</v>
      </c>
    </row>
    <row r="9416">
      <c r="C9416" t="str">
        <v>Panjang as ke as</v>
      </c>
      <c r="D9416">
        <f>VLOOKUP(C9414,'Data Panjang Balok'!$C$9:$N$424,4,FALSE)</f>
        <v>2000</v>
      </c>
    </row>
    <row r="9417">
      <c r="C9417" t="str">
        <v>Panjang netto</v>
      </c>
      <c r="D9417">
        <f>VLOOKUP(C9414,'Data Panjang Balok'!$C$9:$N$424,7,FALSE)</f>
        <v>2000</v>
      </c>
    </row>
    <row r="9418">
      <c r="C9418" t="str">
        <v>Kolom / balok kiri</v>
      </c>
      <c r="D9418">
        <f>VLOOKUP(C9414,'Data Panjang Balok'!$C$9:$N$424,9,FALSE)</f>
        <v>0</v>
      </c>
    </row>
    <row r="9419">
      <c r="C9419" t="str">
        <v>Kolom / balok kanan</v>
      </c>
      <c r="D9419">
        <f>VLOOKUP(C9414,'Data Panjang Balok'!$C$9:$N$424,10,FALSE)</f>
        <v>0</v>
      </c>
    </row>
    <row r="9420">
      <c r="C9420" t="str">
        <v>Jumlah</v>
      </c>
      <c r="D9420">
        <f>VLOOKUP(C9414,'Data Panjang Balok'!$C$9:$N$424,3,FALSE)</f>
        <v>1</v>
      </c>
    </row>
    <row r="9421">
      <c r="A9421" t="str">
        <f>A9414</f>
        <v>Lantai Attic</v>
      </c>
      <c r="B9421">
        <f>B9414</f>
        <v>50</v>
      </c>
      <c r="C9421" t="str">
        <v>Tul Atas Tumpuan</v>
      </c>
      <c r="D9421">
        <f>VLOOKUP(D9414,'Detail Balok'!$C$10:$AU$110,4,FALSE)</f>
        <v>2</v>
      </c>
      <c r="E9421" t="str">
        <v>D</v>
      </c>
      <c r="F9421">
        <f>VLOOKUP(D9414,'Detail Balok'!$C$10:$AU$110,6,FALSE)</f>
        <v>16</v>
      </c>
      <c r="I9421" t="str">
        <v>(</v>
      </c>
      <c r="J9421">
        <f>+D9416/4/1000</f>
        <v>0.5</v>
      </c>
      <c r="K9421" t="str">
        <v>+</v>
      </c>
      <c r="L9421">
        <f>MAX(VLOOKUP(F9421,N$6:P$15,3,FALSE)/1000,2/3*D9418/1000)+F$16*F9421/1000</f>
        <v>0.192</v>
      </c>
      <c r="M9421" t="str">
        <v>=</v>
      </c>
      <c r="N9421">
        <f>J9421+L9421</f>
        <v>0.692</v>
      </c>
      <c r="O9421" t="str">
        <v>+</v>
      </c>
      <c r="P9421">
        <f>D9421-D9422</f>
        <v>0</v>
      </c>
      <c r="Q9421" t="str">
        <v>x</v>
      </c>
      <c r="R9421">
        <f>IF(P9421&gt;0,$F$18*F9421/1000,0)</f>
        <v>0</v>
      </c>
      <c r="S9421" t="str">
        <v>)</v>
      </c>
      <c r="T9421" t="str">
        <v>x</v>
      </c>
      <c r="U9421">
        <f>0.006165*F9421^2</f>
        <v>1.57824</v>
      </c>
      <c r="X9421" t="str">
        <v>x</v>
      </c>
      <c r="Y9421">
        <f>D9420</f>
        <v>1</v>
      </c>
      <c r="Z9421" t="str">
        <v>=</v>
      </c>
      <c r="AA9421">
        <f>IF(AA9424=0,(D9421*N9421+P9421*R9421)*U9421*Y9421,0)</f>
        <v>0</v>
      </c>
    </row>
    <row r="9422">
      <c r="A9422" t="str">
        <f>A9414</f>
        <v>Lantai Attic</v>
      </c>
      <c r="B9422">
        <f>B9414</f>
        <v>50</v>
      </c>
      <c r="C9422" t="str">
        <v>Tul Atas Lapangan</v>
      </c>
      <c r="D9422">
        <f>VLOOKUP(D9414,'Detail Balok'!$C$10:$AU$110,7,FALSE)</f>
        <v>2</v>
      </c>
      <c r="E9422" t="str">
        <v>D</v>
      </c>
      <c r="F9422">
        <f>VLOOKUP(D9414,'Detail Balok'!$C$10:$AU$110,9,FALSE)</f>
        <v>16</v>
      </c>
      <c r="I9422" t="str">
        <v>(</v>
      </c>
      <c r="J9422">
        <f>+D9416/2/1000</f>
        <v>1</v>
      </c>
      <c r="K9422" t="str">
        <v>+</v>
      </c>
      <c r="M9422" t="str">
        <v>=</v>
      </c>
      <c r="N9422">
        <f>J9422+L9422</f>
        <v>1</v>
      </c>
      <c r="O9422" t="str">
        <v>+</v>
      </c>
      <c r="P9422">
        <f>MAX(D9422-D9421,D9422-D9423)</f>
        <v>0</v>
      </c>
      <c r="Q9422" t="str">
        <v>x</v>
      </c>
      <c r="R9422">
        <f>IF(P9422&gt;0,2*(1-2*$F$19-1/2)*D9417/1000,0)</f>
        <v>0</v>
      </c>
      <c r="S9422" t="str">
        <v>)</v>
      </c>
      <c r="T9422" t="str">
        <v>x</v>
      </c>
      <c r="U9422">
        <f>0.006165*F9422^2</f>
        <v>1.57824</v>
      </c>
      <c r="X9422" t="str">
        <v>x</v>
      </c>
      <c r="Y9422">
        <f>D9420</f>
        <v>1</v>
      </c>
      <c r="Z9422" t="str">
        <v>=</v>
      </c>
      <c r="AA9422">
        <f>IF(AA9424=0,(D9422*N9422+P9422*R9422)*U9422*Y9422,0)</f>
        <v>0</v>
      </c>
    </row>
    <row r="9423">
      <c r="A9423" t="str">
        <f>A9414</f>
        <v>Lantai Attic</v>
      </c>
      <c r="B9423">
        <f>B9414</f>
        <v>50</v>
      </c>
      <c r="C9423" t="str">
        <v>Tul Atas Tumpuan</v>
      </c>
      <c r="D9423">
        <f>VLOOKUP(D9414,'Detail Balok'!$C$10:$AU$110,10,FALSE)</f>
        <v>2</v>
      </c>
      <c r="E9423" t="str">
        <v>D</v>
      </c>
      <c r="F9423">
        <f>VLOOKUP(D9414,'Detail Balok'!$C$10:$AU$110,12,FALSE)</f>
        <v>16</v>
      </c>
      <c r="I9423" t="str">
        <v>(</v>
      </c>
      <c r="J9423">
        <f>+D9416/4/1000</f>
        <v>0.5</v>
      </c>
      <c r="K9423" t="str">
        <v>+</v>
      </c>
      <c r="L9423">
        <f>MAX(VLOOKUP(F9423,N$6:P$15,3,FALSE)/1000,2/3*D9418/1000)+F$16*F9423/1000</f>
        <v>0.192</v>
      </c>
      <c r="M9423" t="str">
        <v>=</v>
      </c>
      <c r="N9423">
        <f>J9423+L9423</f>
        <v>0.692</v>
      </c>
      <c r="O9423" t="str">
        <v>+</v>
      </c>
      <c r="P9423">
        <f>D9423-D9422</f>
        <v>0</v>
      </c>
      <c r="Q9423" t="str">
        <v>x</v>
      </c>
      <c r="R9423">
        <f>IF(P9423&gt;0,$F$18*F9423/1000,0)</f>
        <v>0</v>
      </c>
      <c r="S9423" t="str">
        <v>)</v>
      </c>
      <c r="T9423" t="str">
        <v>x</v>
      </c>
      <c r="U9423">
        <f>0.006165*F9423^2</f>
        <v>1.57824</v>
      </c>
      <c r="X9423" t="str">
        <v>x</v>
      </c>
      <c r="Y9423">
        <f>D9420</f>
        <v>1</v>
      </c>
      <c r="Z9423" t="str">
        <v>=</v>
      </c>
      <c r="AA9423">
        <f>IF(AA9424=0,(D9423*N9423+P9423*R9423)*U9423*Y9423,0)</f>
        <v>0</v>
      </c>
    </row>
    <row r="9424">
      <c r="A9424" t="str">
        <f>A9414</f>
        <v>Lantai Attic</v>
      </c>
      <c r="B9424">
        <f>B9414</f>
        <v>50</v>
      </c>
      <c r="D9424">
        <f>IF(AND(D9421=D9422,D9422=D9423,D9421=D9423),D9421,0)</f>
        <v>2</v>
      </c>
      <c r="E9424" t="str">
        <v>D</v>
      </c>
      <c r="F9424">
        <f>IF(AND(F9421=F9422,F9421=F9423,F9422=F9423),F9421,0)</f>
        <v>16</v>
      </c>
      <c r="L9424" t="str">
        <v>Total panjang per balok</v>
      </c>
      <c r="M9424" t="str">
        <v>=</v>
      </c>
      <c r="N9424">
        <f>IF(AND(D9421=D9422,D9421=D9423,D9422=D9423,F9421=F9422,F9421=F9423,F9422=F9423),SUM(N9421:N9423),0)</f>
        <v>2.384</v>
      </c>
      <c r="O9424" t="str">
        <v>+</v>
      </c>
      <c r="P9424">
        <f>IF(N9424&gt;12,ROUNDDOWN(N9424/12,0),0)</f>
        <v>0</v>
      </c>
      <c r="Q9424" t="str">
        <v>x</v>
      </c>
      <c r="R9424">
        <f>IF(P9424&gt;0,MAX(VLOOKUP(F9424,$D$6:$G$15,3,FALSE),600),0)/1000</f>
        <v>0</v>
      </c>
      <c r="T9424" t="str">
        <v>x</v>
      </c>
      <c r="U9424">
        <f>U9423</f>
        <v>1.57824</v>
      </c>
      <c r="V9424" t="str">
        <v>x</v>
      </c>
      <c r="W9424">
        <f>D9424</f>
        <v>2</v>
      </c>
      <c r="X9424" t="str">
        <v>x</v>
      </c>
      <c r="Y9424">
        <f>Y9423</f>
        <v>1</v>
      </c>
      <c r="Z9424" t="str">
        <v>=</v>
      </c>
      <c r="AA9424">
        <f>(N9424+P9424*R9424/1000)*U9424*W9424*Y9424</f>
        <v>7.52504832</v>
      </c>
    </row>
    <row r="9426">
      <c r="A9426" t="str">
        <f>A9414</f>
        <v>Lantai Attic</v>
      </c>
      <c r="B9426">
        <f>B9414</f>
        <v>50</v>
      </c>
      <c r="C9426" t="str">
        <v>Tul Peminggang</v>
      </c>
      <c r="D9426">
        <f>VLOOKUP(D9414,'Detail Balok'!$C$10:$AU$110,13,FALSE)</f>
        <v>2</v>
      </c>
      <c r="E9426" t="str">
        <v>D</v>
      </c>
      <c r="F9426">
        <f>VLOOKUP(D9414,'Detail Balok'!$C$10:$AU$110,15,FALSE)</f>
        <v>10</v>
      </c>
      <c r="J9426">
        <f>+D9416/1000</f>
        <v>2</v>
      </c>
      <c r="K9426" t="str">
        <v>+</v>
      </c>
      <c r="L9426">
        <f>2*$F$16*F9426/1000</f>
        <v>0.24</v>
      </c>
      <c r="M9426" t="str">
        <v>=</v>
      </c>
      <c r="N9426">
        <f>J9426+L9426</f>
        <v>2.24</v>
      </c>
      <c r="O9426" t="str">
        <v>+</v>
      </c>
      <c r="P9426">
        <f>IF(N9426&gt;12,ROUNDDOWN(N9426/12,0),0)</f>
        <v>0</v>
      </c>
      <c r="Q9426" t="str">
        <v>x</v>
      </c>
      <c r="R9426">
        <f>IF(P9426&gt;0,MAX(VLOOKUP(F9426,$D$6:$G$15,3,FALSE),600),0)/1000</f>
        <v>0</v>
      </c>
      <c r="T9426" t="str">
        <v>x</v>
      </c>
      <c r="U9426">
        <f>0.006165*F9426^2</f>
        <v>0.6165</v>
      </c>
      <c r="V9426" t="str">
        <v>x</v>
      </c>
      <c r="W9426">
        <f>+D9426</f>
        <v>2</v>
      </c>
      <c r="X9426" t="str">
        <v>x</v>
      </c>
      <c r="Y9426">
        <f>D9420</f>
        <v>1</v>
      </c>
      <c r="Z9426" t="str">
        <v>=</v>
      </c>
      <c r="AA9426">
        <f>(N9426+P9426*R9426/1000)*U9426*W9426*Y9426</f>
        <v>2.7619200000000004</v>
      </c>
    </row>
    <row r="9429">
      <c r="A9429" t="str">
        <f>A9414</f>
        <v>Lantai Attic</v>
      </c>
      <c r="B9429">
        <f>B9414</f>
        <v>50</v>
      </c>
      <c r="C9429" t="str">
        <v>Tul Bawah Tumpuan</v>
      </c>
      <c r="D9429">
        <f>VLOOKUP(D9414,'Detail Balok'!$C$10:$AU$110,22,FALSE)</f>
        <v>2</v>
      </c>
      <c r="E9429" t="str">
        <v>D</v>
      </c>
      <c r="F9429">
        <f>VLOOKUP(D9414,'Detail Balok'!$C$10:$AU$110,24,FALSE)</f>
        <v>16</v>
      </c>
      <c r="I9429" t="str">
        <v>(</v>
      </c>
      <c r="J9429">
        <f>+J9421</f>
        <v>0.5</v>
      </c>
      <c r="K9429" t="str">
        <v>+</v>
      </c>
      <c r="L9429">
        <f>MAX(VLOOKUP(F9429,N$6:P$15,3,FALSE)/1000,2/3*D9419/1000)+F$16*F9429/1000</f>
        <v>0.192</v>
      </c>
      <c r="M9429" t="str">
        <v>=</v>
      </c>
      <c r="N9429">
        <f>J9429+L9429</f>
        <v>0.692</v>
      </c>
      <c r="O9429" t="str">
        <v>+</v>
      </c>
      <c r="P9429">
        <f>D9429-D9430</f>
        <v>0</v>
      </c>
      <c r="Q9429" t="str">
        <v>x</v>
      </c>
      <c r="R9429">
        <f>IF(P9429&gt;0,$F$18*F9429/1000,0)</f>
        <v>0</v>
      </c>
      <c r="S9429" t="str">
        <v>)</v>
      </c>
      <c r="T9429" t="str">
        <v>x</v>
      </c>
      <c r="U9429">
        <f>0.006165*F9429^2</f>
        <v>1.57824</v>
      </c>
      <c r="X9429" t="str">
        <v>x</v>
      </c>
      <c r="Y9429">
        <f>D9420</f>
        <v>1</v>
      </c>
      <c r="Z9429" t="str">
        <v>=</v>
      </c>
      <c r="AA9429">
        <f>IF(AA9432=0,(D9429*N9429+P9429*R9429)*U9429*Y9429,0)</f>
        <v>0</v>
      </c>
    </row>
    <row r="9430">
      <c r="A9430" t="str">
        <f>A9414</f>
        <v>Lantai Attic</v>
      </c>
      <c r="B9430">
        <f>B9414</f>
        <v>50</v>
      </c>
      <c r="C9430" t="str">
        <v>Tul Bawah Lapangan</v>
      </c>
      <c r="D9430">
        <f>VLOOKUP(D9414,'Detail Balok'!$C$10:$AU$110,25,FALSE)</f>
        <v>2</v>
      </c>
      <c r="E9430" t="str">
        <v>D</v>
      </c>
      <c r="F9430">
        <f>VLOOKUP(D9414,'Detail Balok'!$C$10:$AU$110,27,FALSE)</f>
        <v>16</v>
      </c>
      <c r="I9430" t="str">
        <v>(</v>
      </c>
      <c r="J9430">
        <f>+J9422</f>
        <v>1</v>
      </c>
      <c r="K9430" t="str">
        <v>+</v>
      </c>
      <c r="M9430" t="str">
        <v>=</v>
      </c>
      <c r="N9430">
        <f>J9430+L9430</f>
        <v>1</v>
      </c>
      <c r="O9430" t="str">
        <v>+</v>
      </c>
      <c r="P9430">
        <f>MAX(D9430-D9429,D9430-D9431)</f>
        <v>0</v>
      </c>
      <c r="Q9430" t="str">
        <v>x</v>
      </c>
      <c r="R9430">
        <f>IF(P9430&gt;0,2*(1-2*$F$19-1/2)*D9417/1000,0)</f>
        <v>0</v>
      </c>
      <c r="S9430" t="str">
        <v>)</v>
      </c>
      <c r="T9430" t="str">
        <v>x</v>
      </c>
      <c r="U9430">
        <f>0.006165*F9430^2</f>
        <v>1.57824</v>
      </c>
      <c r="X9430" t="str">
        <v>x</v>
      </c>
      <c r="Y9430">
        <f>D9420</f>
        <v>1</v>
      </c>
      <c r="Z9430" t="str">
        <v>=</v>
      </c>
      <c r="AA9430">
        <f>IF(AA9432=0,(D9430*N9430+P9430*R9430)*U9430*Y9430,0)</f>
        <v>0</v>
      </c>
    </row>
    <row r="9431">
      <c r="A9431" t="str">
        <f>A9414</f>
        <v>Lantai Attic</v>
      </c>
      <c r="B9431">
        <f>B9414</f>
        <v>50</v>
      </c>
      <c r="C9431" t="str">
        <v>Tul Bawah Tumpuan</v>
      </c>
      <c r="D9431">
        <f>VLOOKUP(D9414,'Detail Balok'!$C$10:$AU$110,28,FALSE)</f>
        <v>2</v>
      </c>
      <c r="E9431" t="str">
        <v>D</v>
      </c>
      <c r="F9431">
        <f>VLOOKUP(D9414,'Detail Balok'!$C$10:$AU$110,30,FALSE)</f>
        <v>16</v>
      </c>
      <c r="I9431" t="str">
        <v>(</v>
      </c>
      <c r="J9431">
        <f>+J9423</f>
        <v>0.5</v>
      </c>
      <c r="K9431" t="str">
        <v>+</v>
      </c>
      <c r="L9431">
        <f>MAX(VLOOKUP(F9431,N$6:P$15,3,FALSE)/1000,2/3*D9419/1000)+F$16*F9431/1000</f>
        <v>0.192</v>
      </c>
      <c r="M9431" t="str">
        <v>=</v>
      </c>
      <c r="N9431">
        <f>J9431+L9431</f>
        <v>0.692</v>
      </c>
      <c r="O9431" t="str">
        <v>+</v>
      </c>
      <c r="P9431">
        <f>D9431-D9430</f>
        <v>0</v>
      </c>
      <c r="Q9431" t="str">
        <v>x</v>
      </c>
      <c r="R9431">
        <f>IF(P9431&gt;0,$F$18*F9431/1000,0)</f>
        <v>0</v>
      </c>
      <c r="S9431" t="str">
        <v>)</v>
      </c>
      <c r="T9431" t="str">
        <v>x</v>
      </c>
      <c r="U9431">
        <f>0.006165*F9431^2</f>
        <v>1.57824</v>
      </c>
      <c r="X9431" t="str">
        <v>x</v>
      </c>
      <c r="Y9431">
        <f>D9420</f>
        <v>1</v>
      </c>
      <c r="Z9431" t="str">
        <v>=</v>
      </c>
      <c r="AA9431">
        <f>IF(AA9432=0,(D9431*N9431+P9431*R9431)*U9431*Y9431,0)</f>
        <v>0</v>
      </c>
    </row>
    <row r="9432">
      <c r="A9432" t="str">
        <f>A9414</f>
        <v>Lantai Attic</v>
      </c>
      <c r="B9432">
        <f>B9414</f>
        <v>50</v>
      </c>
      <c r="D9432">
        <f>IF(AND(D9429=D9430,D9430=D9431,D9429=D9431),D9429,0)</f>
        <v>2</v>
      </c>
      <c r="E9432" t="str">
        <v>D</v>
      </c>
      <c r="F9432">
        <f>IF(AND(F9429=F9430,F9429=F9431,F9430=F9431),F9429,0)</f>
        <v>16</v>
      </c>
      <c r="L9432" t="str">
        <v>Total panjang per balok</v>
      </c>
      <c r="M9432" t="str">
        <v>=</v>
      </c>
      <c r="N9432">
        <f>IF(AND(D9429=D9430,D9429=D9431,D9430=D9431,F9429=F9430,F9429=F9431,F9430=F9431),SUM(N9429:N9431),0)</f>
        <v>2.384</v>
      </c>
      <c r="O9432" t="str">
        <v>+</v>
      </c>
      <c r="P9432">
        <f>IF(N9432&gt;12,ROUNDDOWN(N9432/12,0),0)</f>
        <v>0</v>
      </c>
      <c r="Q9432" t="str">
        <v>x</v>
      </c>
      <c r="R9432">
        <f>IF(P9432&gt;0,MAX(VLOOKUP(F9432,$D$6:$G$15,3,FALSE),600),0)/1000</f>
        <v>0</v>
      </c>
      <c r="T9432" t="str">
        <v>x</v>
      </c>
      <c r="U9432">
        <f>U9431</f>
        <v>1.57824</v>
      </c>
      <c r="V9432" t="str">
        <v>x</v>
      </c>
      <c r="W9432">
        <f>D9432</f>
        <v>2</v>
      </c>
      <c r="X9432" t="str">
        <v>x</v>
      </c>
      <c r="Y9432">
        <f>Y9431</f>
        <v>1</v>
      </c>
      <c r="Z9432" t="str">
        <v>=</v>
      </c>
      <c r="AA9432">
        <f>(N9432+P9432*R9432/1000)*U9432*W9432*Y9432</f>
        <v>7.52504832</v>
      </c>
    </row>
    <row r="9434">
      <c r="A9434" t="str">
        <f>A9414</f>
        <v>Lantai Attic</v>
      </c>
      <c r="B9434">
        <f>B9414</f>
        <v>50</v>
      </c>
      <c r="C9434" t="str">
        <v>Sengkang Tumpuan</v>
      </c>
      <c r="D9434">
        <f>VLOOKUP(D9414,'Detail Balok'!$C$10:$AU$110,31,FALSE)</f>
        <v>0</v>
      </c>
      <c r="E9434" t="str">
        <v>D</v>
      </c>
      <c r="F9434">
        <f>VLOOKUP(D9414,'Detail Balok'!$C$10:$AU$110,33,FALSE)</f>
        <v>10</v>
      </c>
      <c r="G9434" t="str">
        <v>-</v>
      </c>
      <c r="H9434">
        <f>VLOOKUP(D9414,'Detail Balok'!$C$10:$AU$110,35,FALSE)</f>
        <v>90</v>
      </c>
      <c r="J9434">
        <f>(IF(D9434=0,(2*(D9415+G9415))-(F$5*8),IF(D9434=3,(2*(D9415+G9415))-(F$5*8)+(G9415-2*F$5),IF(D9434=4,(2*(D9415+G9415))-(F$5*8)+2*(G9415-2*F$5)))))/1000</f>
        <v>0.98</v>
      </c>
      <c r="K9434" t="str">
        <v>+</v>
      </c>
      <c r="L9434">
        <f>IF(D9434=0,2*MAX(6*F9434,75),(D9434-1)*2*MAX(6*F9434,75))/1000</f>
        <v>0.15</v>
      </c>
      <c r="M9434" t="str">
        <v>=</v>
      </c>
      <c r="N9434">
        <f>J9434+L9434</f>
        <v>1.13</v>
      </c>
      <c r="T9434" t="str">
        <v>x</v>
      </c>
      <c r="U9434">
        <f>0.006165*F9434^2</f>
        <v>0.6165</v>
      </c>
      <c r="V9434" t="str">
        <v>x</v>
      </c>
      <c r="W9434">
        <f>IF(D9417&gt;4*G9415,ROUND(MAX(D9417/4,2*G9415)/H9434,0)+1,ROUND(D9417/H9434,0)+1)</f>
        <v>11</v>
      </c>
      <c r="X9434" t="str">
        <v>x</v>
      </c>
      <c r="Y9434">
        <f>D9420</f>
        <v>1</v>
      </c>
      <c r="Z9434" t="str">
        <v>=</v>
      </c>
      <c r="AA9434">
        <f>N9434*U9434*W9434*Y9434</f>
        <v>7.663094999999999</v>
      </c>
    </row>
    <row r="9435">
      <c r="A9435" t="str">
        <f>A9414</f>
        <v>Lantai Attic</v>
      </c>
      <c r="B9435">
        <f>B9414</f>
        <v>50</v>
      </c>
      <c r="C9435" t="str">
        <v>Sengkang Lapangan</v>
      </c>
      <c r="D9435">
        <f>VLOOKUP(D9414,'Detail Balok'!$C$10:$AU$110,36,FALSE)</f>
        <v>0</v>
      </c>
      <c r="E9435" t="str">
        <v>D</v>
      </c>
      <c r="F9435">
        <f>VLOOKUP(D9414,'Detail Balok'!$C$10:$AU$110,38,FALSE)</f>
        <v>10</v>
      </c>
      <c r="G9435" t="str">
        <v>-</v>
      </c>
      <c r="H9435">
        <f>VLOOKUP(D9414,'Detail Balok'!$C$10:$AU$110,40,FALSE)</f>
        <v>175</v>
      </c>
      <c r="J9435">
        <f>(IF(D9435=0,(2*(D9415+G9415))-(F$5*8),IF(D9435=3,(2*(D9415+G9415))-(F$5*8)+(G9415-2*F$5),IF(D9435=4,(2*(D9415+G9415))-(F$5*8)+2*(G9415-2*F$5)))))/1000</f>
        <v>0.98</v>
      </c>
      <c r="K9435" t="str">
        <v>+</v>
      </c>
      <c r="L9435">
        <f>IF(D9435=0,2*MAX(6*F9435,75),(D9435-1)*2*MAX(6*F9435,75))/1000</f>
        <v>0.15</v>
      </c>
      <c r="M9435" t="str">
        <v>=</v>
      </c>
      <c r="N9435">
        <f>J9435+L9435</f>
        <v>1.13</v>
      </c>
      <c r="T9435" t="str">
        <v>x</v>
      </c>
      <c r="U9435">
        <f>0.006165*F9435^2</f>
        <v>0.6165</v>
      </c>
      <c r="V9435" t="str">
        <v>x</v>
      </c>
      <c r="W9435">
        <f>IF(D9417-MAX(D9417/4,2*G9415)*2&gt;0,ROUND((D9417-MAX(D9417/4,2*G9415)*2)/H9435,0),0)</f>
        <v>1</v>
      </c>
      <c r="X9435" t="str">
        <v>x</v>
      </c>
      <c r="Y9435">
        <f>D9420</f>
        <v>1</v>
      </c>
      <c r="Z9435" t="str">
        <v>=</v>
      </c>
      <c r="AA9435">
        <f>N9435*U9435*W9435*Y9435</f>
        <v>0.696645</v>
      </c>
    </row>
    <row r="9436">
      <c r="A9436" t="str">
        <f>A9414</f>
        <v>Lantai Attic</v>
      </c>
      <c r="B9436">
        <f>B9414</f>
        <v>50</v>
      </c>
      <c r="C9436" t="str">
        <v>Sengkang Tumpuan</v>
      </c>
      <c r="D9436">
        <f>VLOOKUP(D9414,'Detail Balok'!$C$10:$AU$110,41,FALSE)</f>
        <v>0</v>
      </c>
      <c r="E9436" t="str">
        <v>D</v>
      </c>
      <c r="F9436">
        <f>VLOOKUP(D9414,'Detail Balok'!$C$10:$AU$110,43,FALSE)</f>
        <v>10</v>
      </c>
      <c r="G9436" t="str">
        <v>-</v>
      </c>
      <c r="H9436">
        <f>VLOOKUP(D9414,'Detail Balok'!$C$10:$AU$110,45,FALSE)</f>
        <v>90</v>
      </c>
      <c r="J9436">
        <f>(IF(D9436=0,(2*(D9415+G9415))-(F$5*8),IF(D9436=3,(2*(D9415+G9415))-(F$5*8)+(G9415-2*F$5),IF(D9436=4,(2*(D9415+G9415))-(F$5*8)+2*(G9415-2*F$5)))))/1000</f>
        <v>0.98</v>
      </c>
      <c r="K9436" t="str">
        <v>+</v>
      </c>
      <c r="L9436">
        <f>IF(D9436=0,2*MAX(6*F9436,75),(D9436-1)*2*MAX(6*F9436,75))/1000</f>
        <v>0.15</v>
      </c>
      <c r="M9436" t="str">
        <v>=</v>
      </c>
      <c r="N9436">
        <f>J9436+L9436</f>
        <v>1.13</v>
      </c>
      <c r="T9436" t="str">
        <v>x</v>
      </c>
      <c r="U9436">
        <f>0.006165*F9436^2</f>
        <v>0.6165</v>
      </c>
      <c r="V9436" t="str">
        <v>x</v>
      </c>
      <c r="W9436">
        <f>IF(D9417&gt;4*G9415,ROUND(MAX(D9417/4,2*G9415)/H9436,0)+1,0)</f>
        <v>11</v>
      </c>
      <c r="X9436" t="str">
        <v>x</v>
      </c>
      <c r="Y9436">
        <f>D9420</f>
        <v>1</v>
      </c>
      <c r="Z9436" t="str">
        <v>=</v>
      </c>
      <c r="AA9436">
        <f>N9436*U9436*W9436*Y9436</f>
        <v>7.663094999999999</v>
      </c>
    </row>
    <row r="9438">
      <c r="A9438" t="str">
        <f>A9414</f>
        <v>Lantai Attic</v>
      </c>
      <c r="B9438">
        <f>B9414</f>
        <v>50</v>
      </c>
      <c r="C9438" t="str">
        <v>Kait Horizontal Tump.</v>
      </c>
      <c r="D9438">
        <f>VLOOKUP(D9414,'Detail Balok'!$C$10:$BJ$110,46,FALSE)</f>
        <v>0</v>
      </c>
      <c r="E9438" t="str">
        <v>D</v>
      </c>
      <c r="F9438">
        <f>VLOOKUP(D9414,'Detail Balok'!$C$10:$BJ$110,48,FALSE)</f>
        <v>0</v>
      </c>
      <c r="G9438" t="str">
        <v>-</v>
      </c>
      <c r="H9438">
        <f>VLOOKUP(D9414,'Detail Balok'!$C$10:$BJ$110,50,FALSE)</f>
        <v>100</v>
      </c>
      <c r="J9438">
        <f>(D9415-2*F$5)/1000</f>
        <v>0.12</v>
      </c>
      <c r="K9438" t="str">
        <v>+</v>
      </c>
      <c r="L9438">
        <f>IF(D9438=0,2*MAX(6*F9438,75),(D9438-1)*2*MAX(6*F9438,75))/1000</f>
        <v>0.15</v>
      </c>
      <c r="M9438" t="str">
        <v>=</v>
      </c>
      <c r="N9438">
        <f>J9438+L9438</f>
        <v>0.27</v>
      </c>
      <c r="T9438" t="str">
        <v>x</v>
      </c>
      <c r="U9438">
        <f>0.006165*F9438^2</f>
        <v>0</v>
      </c>
      <c r="V9438" t="str">
        <v>x</v>
      </c>
      <c r="W9438">
        <f>W9434</f>
        <v>11</v>
      </c>
      <c r="X9438" t="str">
        <v>x</v>
      </c>
      <c r="Y9438">
        <f>D9424</f>
        <v>2</v>
      </c>
      <c r="Z9438" t="str">
        <v>=</v>
      </c>
      <c r="AA9438">
        <f>N9438*U9438*W9438*Y9438</f>
        <v>0</v>
      </c>
    </row>
    <row r="9439">
      <c r="A9439" t="str">
        <f>A9414</f>
        <v>Lantai Attic</v>
      </c>
      <c r="B9439">
        <f>B9414</f>
        <v>50</v>
      </c>
      <c r="C9439" t="str">
        <v>Kait Horizontal Lap.</v>
      </c>
      <c r="D9439">
        <f>VLOOKUP(D9414,'Detail Balok'!$C$10:$BJ$110,51,FALSE)</f>
        <v>0</v>
      </c>
      <c r="E9439" t="str">
        <v>D</v>
      </c>
      <c r="F9439">
        <f>VLOOKUP(D9414,'Detail Balok'!$C$10:$BJ$110,53,FALSE)</f>
        <v>0</v>
      </c>
      <c r="G9439" t="str">
        <v>-</v>
      </c>
      <c r="H9439">
        <f>VLOOKUP(D9414,'Detail Balok'!$C$10:$BJ$110,55,FALSE)</f>
        <v>100</v>
      </c>
      <c r="J9439">
        <f>(D9415-2*F$5)/1000</f>
        <v>0.12</v>
      </c>
      <c r="K9439" t="str">
        <v>+</v>
      </c>
      <c r="L9439">
        <f>IF(D9439=0,2*MAX(6*F9439,75),(D9439-1)*2*MAX(6*F9439,75))/1000</f>
        <v>0.15</v>
      </c>
      <c r="M9439" t="str">
        <v>=</v>
      </c>
      <c r="N9439">
        <f>J9439+L9439</f>
        <v>0.27</v>
      </c>
      <c r="T9439" t="str">
        <v>x</v>
      </c>
      <c r="U9439">
        <f>0.006165*F9439^2</f>
        <v>0</v>
      </c>
      <c r="V9439" t="str">
        <v>x</v>
      </c>
      <c r="W9439">
        <f>W9435</f>
        <v>1</v>
      </c>
      <c r="X9439" t="str">
        <v>x</v>
      </c>
      <c r="Y9439">
        <f>D9424</f>
        <v>2</v>
      </c>
      <c r="Z9439" t="str">
        <v>=</v>
      </c>
      <c r="AA9439">
        <f>N9439*U9439*W9439*Y9439</f>
        <v>0</v>
      </c>
    </row>
    <row r="9440">
      <c r="A9440" t="str">
        <f>A9414</f>
        <v>Lantai Attic</v>
      </c>
      <c r="B9440">
        <f>B9414</f>
        <v>50</v>
      </c>
      <c r="C9440" t="str">
        <v>Kait Horizontal Tump.</v>
      </c>
      <c r="D9440">
        <f>VLOOKUP(D9414,'Detail Balok'!$C$10:$BJ$110,56,FALSE)</f>
        <v>0</v>
      </c>
      <c r="E9440" t="str">
        <v>D</v>
      </c>
      <c r="F9440">
        <f>VLOOKUP(D9414,'Detail Balok'!$C$10:$BJ$110,58,FALSE)</f>
        <v>0</v>
      </c>
      <c r="G9440" t="str">
        <v>-</v>
      </c>
      <c r="H9440">
        <f>VLOOKUP(D9414,'Detail Balok'!$C$10:$BJ$110,60,FALSE)</f>
        <v>100</v>
      </c>
      <c r="J9440">
        <f>(D9415-2*F$5)/1000</f>
        <v>0.12</v>
      </c>
      <c r="K9440" t="str">
        <v>+</v>
      </c>
      <c r="L9440">
        <f>IF(D9440=0,2*MAX(6*F9440,75),(D9440-1)*2*MAX(6*F9440,75))/1000</f>
        <v>0.15</v>
      </c>
      <c r="M9440" t="str">
        <v>=</v>
      </c>
      <c r="N9440">
        <f>J9440+L9440</f>
        <v>0.27</v>
      </c>
      <c r="T9440" t="str">
        <v>x</v>
      </c>
      <c r="U9440">
        <f>0.006165*F9440^2</f>
        <v>0</v>
      </c>
      <c r="V9440" t="str">
        <v>x</v>
      </c>
      <c r="W9440">
        <f>W9436</f>
        <v>11</v>
      </c>
      <c r="X9440" t="str">
        <v>x</v>
      </c>
      <c r="Y9440">
        <f>D9424</f>
        <v>2</v>
      </c>
      <c r="Z9440" t="str">
        <v>=</v>
      </c>
      <c r="AA9440">
        <f>N9440*U9440*W9440*Y9440</f>
        <v>0</v>
      </c>
    </row>
    <row r="9444">
      <c r="A9444" t="str">
        <f>A9414</f>
        <v>Lantai Attic</v>
      </c>
      <c r="B9444">
        <f>B9414+1</f>
        <v>51</v>
      </c>
      <c r="C9444" t="str">
        <f>CONCATENATE(A9444," no. ",B9444)</f>
        <v>Lantai Attic no. 51</v>
      </c>
      <c r="D9444" t="str">
        <f>VLOOKUP(C9444,'Data Panjang Balok'!$C$9:$N$424,2,FALSE)</f>
        <v>B245-1</v>
      </c>
    </row>
    <row r="9445">
      <c r="C9445" t="str">
        <v>Dimensi</v>
      </c>
      <c r="D9445">
        <f>VLOOKUP(D9444,'Detail Balok'!$C$10:$AU$110,2,FALSE)</f>
        <v>200</v>
      </c>
      <c r="F9445" t="str">
        <v>x</v>
      </c>
      <c r="G9445">
        <f>VLOOKUP(D9444,'Detail Balok'!$C$10:$AU$110,3,FALSE)</f>
        <v>450</v>
      </c>
    </row>
    <row r="9446">
      <c r="C9446" t="str">
        <v>Panjang as ke as</v>
      </c>
      <c r="D9446">
        <f>VLOOKUP(C9444,'Data Panjang Balok'!$C$9:$N$424,4,FALSE)</f>
        <v>5300</v>
      </c>
    </row>
    <row r="9447">
      <c r="C9447" t="str">
        <v>Panjang netto</v>
      </c>
      <c r="D9447">
        <f>VLOOKUP(C9444,'Data Panjang Balok'!$C$9:$N$424,7,FALSE)</f>
        <v>5300</v>
      </c>
    </row>
    <row r="9448">
      <c r="C9448" t="str">
        <v>Kolom / balok kiri</v>
      </c>
      <c r="D9448">
        <f>VLOOKUP(C9444,'Data Panjang Balok'!$C$9:$N$424,9,FALSE)</f>
        <v>0</v>
      </c>
    </row>
    <row r="9449">
      <c r="C9449" t="str">
        <v>Kolom / balok kanan</v>
      </c>
      <c r="D9449">
        <f>VLOOKUP(C9444,'Data Panjang Balok'!$C$9:$N$424,10,FALSE)</f>
        <v>0</v>
      </c>
    </row>
    <row r="9450">
      <c r="C9450" t="str">
        <v>Jumlah</v>
      </c>
      <c r="D9450">
        <f>VLOOKUP(C9444,'Data Panjang Balok'!$C$9:$N$424,3,FALSE)</f>
        <v>1</v>
      </c>
    </row>
    <row r="9451">
      <c r="A9451" t="str">
        <f>A9444</f>
        <v>Lantai Attic</v>
      </c>
      <c r="B9451">
        <f>B9444</f>
        <v>51</v>
      </c>
      <c r="C9451" t="str">
        <v>Tul Atas Tumpuan</v>
      </c>
      <c r="D9451">
        <f>VLOOKUP(D9444,'Detail Balok'!$C$10:$AU$110,4,FALSE)</f>
        <v>2</v>
      </c>
      <c r="E9451" t="str">
        <v>D</v>
      </c>
      <c r="F9451">
        <f>VLOOKUP(D9444,'Detail Balok'!$C$10:$AU$110,6,FALSE)</f>
        <v>13</v>
      </c>
      <c r="I9451" t="str">
        <v>(</v>
      </c>
      <c r="J9451">
        <f>+D9446/4/1000</f>
        <v>1.325</v>
      </c>
      <c r="K9451" t="str">
        <v>+</v>
      </c>
      <c r="L9451">
        <f>MAX(VLOOKUP(F9451,N$6:P$15,3,FALSE)/1000,2/3*D9448/1000)+F$16*F9451/1000</f>
        <v>0.156</v>
      </c>
      <c r="M9451" t="str">
        <v>=</v>
      </c>
      <c r="N9451">
        <f>J9451+L9451</f>
        <v>1.4809999999999999</v>
      </c>
      <c r="O9451" t="str">
        <v>+</v>
      </c>
      <c r="P9451">
        <f>D9451-D9452</f>
        <v>0</v>
      </c>
      <c r="Q9451" t="str">
        <v>x</v>
      </c>
      <c r="R9451">
        <f>IF(P9451&gt;0,$F$18*F9451/1000,0)</f>
        <v>0</v>
      </c>
      <c r="S9451" t="str">
        <v>)</v>
      </c>
      <c r="T9451" t="str">
        <v>x</v>
      </c>
      <c r="U9451">
        <f>0.006165*F9451^2</f>
        <v>1.041885</v>
      </c>
      <c r="X9451" t="str">
        <v>x</v>
      </c>
      <c r="Y9451">
        <f>D9450</f>
        <v>1</v>
      </c>
      <c r="Z9451" t="str">
        <v>=</v>
      </c>
      <c r="AA9451">
        <f>IF(AA9454=0,(D9451*N9451+P9451*R9451)*U9451*Y9451,0)</f>
        <v>0</v>
      </c>
    </row>
    <row r="9452">
      <c r="A9452" t="str">
        <f>A9444</f>
        <v>Lantai Attic</v>
      </c>
      <c r="B9452">
        <f>B9444</f>
        <v>51</v>
      </c>
      <c r="C9452" t="str">
        <v>Tul Atas Lapangan</v>
      </c>
      <c r="D9452">
        <f>VLOOKUP(D9444,'Detail Balok'!$C$10:$AU$110,7,FALSE)</f>
        <v>2</v>
      </c>
      <c r="E9452" t="str">
        <v>D</v>
      </c>
      <c r="F9452">
        <f>VLOOKUP(D9444,'Detail Balok'!$C$10:$AU$110,9,FALSE)</f>
        <v>13</v>
      </c>
      <c r="I9452" t="str">
        <v>(</v>
      </c>
      <c r="J9452">
        <f>+D9446/2/1000</f>
        <v>2.65</v>
      </c>
      <c r="K9452" t="str">
        <v>+</v>
      </c>
      <c r="M9452" t="str">
        <v>=</v>
      </c>
      <c r="N9452">
        <f>J9452+L9452</f>
        <v>2.65</v>
      </c>
      <c r="O9452" t="str">
        <v>+</v>
      </c>
      <c r="P9452">
        <f>MAX(D9452-D9451,D9452-D9453)</f>
        <v>0</v>
      </c>
      <c r="Q9452" t="str">
        <v>x</v>
      </c>
      <c r="R9452">
        <f>IF(P9452&gt;0,2*(1-2*$F$19-1/2)*D9447/1000,0)</f>
        <v>0</v>
      </c>
      <c r="S9452" t="str">
        <v>)</v>
      </c>
      <c r="T9452" t="str">
        <v>x</v>
      </c>
      <c r="U9452">
        <f>0.006165*F9452^2</f>
        <v>1.041885</v>
      </c>
      <c r="X9452" t="str">
        <v>x</v>
      </c>
      <c r="Y9452">
        <f>D9450</f>
        <v>1</v>
      </c>
      <c r="Z9452" t="str">
        <v>=</v>
      </c>
      <c r="AA9452">
        <f>IF(AA9454=0,(D9452*N9452+P9452*R9452)*U9452*Y9452,0)</f>
        <v>0</v>
      </c>
    </row>
    <row r="9453">
      <c r="A9453" t="str">
        <f>A9444</f>
        <v>Lantai Attic</v>
      </c>
      <c r="B9453">
        <f>B9444</f>
        <v>51</v>
      </c>
      <c r="C9453" t="str">
        <v>Tul Atas Tumpuan</v>
      </c>
      <c r="D9453">
        <f>VLOOKUP(D9444,'Detail Balok'!$C$10:$AU$110,10,FALSE)</f>
        <v>2</v>
      </c>
      <c r="E9453" t="str">
        <v>D</v>
      </c>
      <c r="F9453">
        <f>VLOOKUP(D9444,'Detail Balok'!$C$10:$AU$110,12,FALSE)</f>
        <v>13</v>
      </c>
      <c r="I9453" t="str">
        <v>(</v>
      </c>
      <c r="J9453">
        <f>+D9446/4/1000</f>
        <v>1.325</v>
      </c>
      <c r="K9453" t="str">
        <v>+</v>
      </c>
      <c r="L9453">
        <f>MAX(VLOOKUP(F9453,N$6:P$15,3,FALSE)/1000,2/3*D9448/1000)+F$16*F9453/1000</f>
        <v>0.156</v>
      </c>
      <c r="M9453" t="str">
        <v>=</v>
      </c>
      <c r="N9453">
        <f>J9453+L9453</f>
        <v>1.4809999999999999</v>
      </c>
      <c r="O9453" t="str">
        <v>+</v>
      </c>
      <c r="P9453">
        <f>D9453-D9452</f>
        <v>0</v>
      </c>
      <c r="Q9453" t="str">
        <v>x</v>
      </c>
      <c r="R9453">
        <f>IF(P9453&gt;0,$F$18*F9453/1000,0)</f>
        <v>0</v>
      </c>
      <c r="S9453" t="str">
        <v>)</v>
      </c>
      <c r="T9453" t="str">
        <v>x</v>
      </c>
      <c r="U9453">
        <f>0.006165*F9453^2</f>
        <v>1.041885</v>
      </c>
      <c r="X9453" t="str">
        <v>x</v>
      </c>
      <c r="Y9453">
        <f>D9450</f>
        <v>1</v>
      </c>
      <c r="Z9453" t="str">
        <v>=</v>
      </c>
      <c r="AA9453">
        <f>IF(AA9454=0,(D9453*N9453+P9453*R9453)*U9453*Y9453,0)</f>
        <v>0</v>
      </c>
    </row>
    <row r="9454">
      <c r="A9454" t="str">
        <f>A9444</f>
        <v>Lantai Attic</v>
      </c>
      <c r="B9454">
        <f>B9444</f>
        <v>51</v>
      </c>
      <c r="D9454">
        <f>IF(AND(D9451=D9452,D9452=D9453,D9451=D9453),D9451,0)</f>
        <v>2</v>
      </c>
      <c r="E9454" t="str">
        <v>D</v>
      </c>
      <c r="F9454">
        <f>IF(AND(F9451=F9452,F9451=F9453,F9452=F9453),F9451,0)</f>
        <v>13</v>
      </c>
      <c r="L9454" t="str">
        <v>Total panjang per balok</v>
      </c>
      <c r="M9454" t="str">
        <v>=</v>
      </c>
      <c r="N9454">
        <f>IF(AND(D9451=D9452,D9451=D9453,D9452=D9453,F9451=F9452,F9451=F9453,F9452=F9453),SUM(N9451:N9453),0)</f>
        <v>5.612</v>
      </c>
      <c r="O9454" t="str">
        <v>+</v>
      </c>
      <c r="P9454">
        <f>IF(N9454&gt;12,ROUNDDOWN(N9454/12,0),0)</f>
        <v>0</v>
      </c>
      <c r="Q9454" t="str">
        <v>x</v>
      </c>
      <c r="R9454">
        <f>IF(P9454&gt;0,MAX(VLOOKUP(F9454,$D$6:$G$15,3,FALSE),600),0)/1000</f>
        <v>0</v>
      </c>
      <c r="T9454" t="str">
        <v>x</v>
      </c>
      <c r="U9454">
        <f>U9453</f>
        <v>1.041885</v>
      </c>
      <c r="V9454" t="str">
        <v>x</v>
      </c>
      <c r="W9454">
        <f>D9454</f>
        <v>2</v>
      </c>
      <c r="X9454" t="str">
        <v>x</v>
      </c>
      <c r="Y9454">
        <f>Y9453</f>
        <v>1</v>
      </c>
      <c r="Z9454" t="str">
        <v>=</v>
      </c>
      <c r="AA9454">
        <f>(N9454+P9454*R9454/1000)*U9454*W9454*Y9454</f>
        <v>11.694117239999999</v>
      </c>
    </row>
    <row r="9456">
      <c r="A9456" t="str">
        <f>A9444</f>
        <v>Lantai Attic</v>
      </c>
      <c r="B9456">
        <f>B9444</f>
        <v>51</v>
      </c>
      <c r="C9456" t="str">
        <v>Tul Peminggang</v>
      </c>
      <c r="D9456">
        <f>VLOOKUP(D9444,'Detail Balok'!$C$10:$AU$110,13,FALSE)</f>
        <v>2</v>
      </c>
      <c r="E9456" t="str">
        <v>D</v>
      </c>
      <c r="F9456">
        <f>VLOOKUP(D9444,'Detail Balok'!$C$10:$AU$110,15,FALSE)</f>
        <v>8</v>
      </c>
      <c r="J9456">
        <f>+D9446/1000</f>
        <v>5.3</v>
      </c>
      <c r="K9456" t="str">
        <v>+</v>
      </c>
      <c r="L9456">
        <f>2*$F$16*F9456/1000</f>
        <v>0.192</v>
      </c>
      <c r="M9456" t="str">
        <v>=</v>
      </c>
      <c r="N9456">
        <f>J9456+L9456</f>
        <v>5.492</v>
      </c>
      <c r="O9456" t="str">
        <v>+</v>
      </c>
      <c r="P9456">
        <f>IF(N9456&gt;12,ROUNDDOWN(N9456/12,0),0)</f>
        <v>0</v>
      </c>
      <c r="Q9456" t="str">
        <v>x</v>
      </c>
      <c r="R9456">
        <f>IF(P9456&gt;0,MAX(VLOOKUP(F9456,$D$6:$G$15,3,FALSE),600),0)/1000</f>
        <v>0</v>
      </c>
      <c r="T9456" t="str">
        <v>x</v>
      </c>
      <c r="U9456">
        <f>0.006165*F9456^2</f>
        <v>0.39456</v>
      </c>
      <c r="V9456" t="str">
        <v>x</v>
      </c>
      <c r="W9456">
        <f>+D9456</f>
        <v>2</v>
      </c>
      <c r="X9456" t="str">
        <v>x</v>
      </c>
      <c r="Y9456">
        <f>D9450</f>
        <v>1</v>
      </c>
      <c r="Z9456" t="str">
        <v>=</v>
      </c>
      <c r="AA9456">
        <f>(N9456+P9456*R9456/1000)*U9456*W9456*Y9456</f>
        <v>4.33384704</v>
      </c>
    </row>
    <row r="9459">
      <c r="A9459" t="str">
        <f>A9444</f>
        <v>Lantai Attic</v>
      </c>
      <c r="B9459">
        <f>B9444</f>
        <v>51</v>
      </c>
      <c r="C9459" t="str">
        <v>Tul Bawah Tumpuan</v>
      </c>
      <c r="D9459">
        <f>VLOOKUP(D9444,'Detail Balok'!$C$10:$AU$110,22,FALSE)</f>
        <v>2</v>
      </c>
      <c r="E9459" t="str">
        <v>D</v>
      </c>
      <c r="F9459">
        <f>VLOOKUP(D9444,'Detail Balok'!$C$10:$AU$110,24,FALSE)</f>
        <v>13</v>
      </c>
      <c r="I9459" t="str">
        <v>(</v>
      </c>
      <c r="J9459">
        <f>+J9451</f>
        <v>1.325</v>
      </c>
      <c r="K9459" t="str">
        <v>+</v>
      </c>
      <c r="L9459">
        <f>MAX(VLOOKUP(F9459,N$6:P$15,3,FALSE)/1000,2/3*D9449/1000)+F$16*F9459/1000</f>
        <v>0.156</v>
      </c>
      <c r="M9459" t="str">
        <v>=</v>
      </c>
      <c r="N9459">
        <f>J9459+L9459</f>
        <v>1.4809999999999999</v>
      </c>
      <c r="O9459" t="str">
        <v>+</v>
      </c>
      <c r="P9459">
        <f>D9459-D9460</f>
        <v>0</v>
      </c>
      <c r="Q9459" t="str">
        <v>x</v>
      </c>
      <c r="R9459">
        <f>IF(P9459&gt;0,$F$18*F9459/1000,0)</f>
        <v>0</v>
      </c>
      <c r="S9459" t="str">
        <v>)</v>
      </c>
      <c r="T9459" t="str">
        <v>x</v>
      </c>
      <c r="U9459">
        <f>0.006165*F9459^2</f>
        <v>1.041885</v>
      </c>
      <c r="X9459" t="str">
        <v>x</v>
      </c>
      <c r="Y9459">
        <f>D9450</f>
        <v>1</v>
      </c>
      <c r="Z9459" t="str">
        <v>=</v>
      </c>
      <c r="AA9459">
        <f>IF(AA9462=0,(D9459*N9459+P9459*R9459)*U9459*Y9459,0)</f>
        <v>0</v>
      </c>
    </row>
    <row r="9460">
      <c r="A9460" t="str">
        <f>A9444</f>
        <v>Lantai Attic</v>
      </c>
      <c r="B9460">
        <f>B9444</f>
        <v>51</v>
      </c>
      <c r="C9460" t="str">
        <v>Tul Bawah Lapangan</v>
      </c>
      <c r="D9460">
        <f>VLOOKUP(D9444,'Detail Balok'!$C$10:$AU$110,25,FALSE)</f>
        <v>2</v>
      </c>
      <c r="E9460" t="str">
        <v>D</v>
      </c>
      <c r="F9460">
        <f>VLOOKUP(D9444,'Detail Balok'!$C$10:$AU$110,27,FALSE)</f>
        <v>13</v>
      </c>
      <c r="I9460" t="str">
        <v>(</v>
      </c>
      <c r="J9460">
        <f>+J9452</f>
        <v>2.65</v>
      </c>
      <c r="K9460" t="str">
        <v>+</v>
      </c>
      <c r="M9460" t="str">
        <v>=</v>
      </c>
      <c r="N9460">
        <f>J9460+L9460</f>
        <v>2.65</v>
      </c>
      <c r="O9460" t="str">
        <v>+</v>
      </c>
      <c r="P9460">
        <f>MAX(D9460-D9459,D9460-D9461)</f>
        <v>0</v>
      </c>
      <c r="Q9460" t="str">
        <v>x</v>
      </c>
      <c r="R9460">
        <f>IF(P9460&gt;0,2*(1-2*$F$19-1/2)*D9447/1000,0)</f>
        <v>0</v>
      </c>
      <c r="S9460" t="str">
        <v>)</v>
      </c>
      <c r="T9460" t="str">
        <v>x</v>
      </c>
      <c r="U9460">
        <f>0.006165*F9460^2</f>
        <v>1.041885</v>
      </c>
      <c r="X9460" t="str">
        <v>x</v>
      </c>
      <c r="Y9460">
        <f>D9450</f>
        <v>1</v>
      </c>
      <c r="Z9460" t="str">
        <v>=</v>
      </c>
      <c r="AA9460">
        <f>IF(AA9462=0,(D9460*N9460+P9460*R9460)*U9460*Y9460,0)</f>
        <v>0</v>
      </c>
    </row>
    <row r="9461">
      <c r="A9461" t="str">
        <f>A9444</f>
        <v>Lantai Attic</v>
      </c>
      <c r="B9461">
        <f>B9444</f>
        <v>51</v>
      </c>
      <c r="C9461" t="str">
        <v>Tul Bawah Tumpuan</v>
      </c>
      <c r="D9461">
        <f>VLOOKUP(D9444,'Detail Balok'!$C$10:$AU$110,28,FALSE)</f>
        <v>2</v>
      </c>
      <c r="E9461" t="str">
        <v>D</v>
      </c>
      <c r="F9461">
        <f>VLOOKUP(D9444,'Detail Balok'!$C$10:$AU$110,30,FALSE)</f>
        <v>13</v>
      </c>
      <c r="I9461" t="str">
        <v>(</v>
      </c>
      <c r="J9461">
        <f>+J9453</f>
        <v>1.325</v>
      </c>
      <c r="K9461" t="str">
        <v>+</v>
      </c>
      <c r="L9461">
        <f>MAX(VLOOKUP(F9461,N$6:P$15,3,FALSE)/1000,2/3*D9449/1000)+F$16*F9461/1000</f>
        <v>0.156</v>
      </c>
      <c r="M9461" t="str">
        <v>=</v>
      </c>
      <c r="N9461">
        <f>J9461+L9461</f>
        <v>1.4809999999999999</v>
      </c>
      <c r="O9461" t="str">
        <v>+</v>
      </c>
      <c r="P9461">
        <f>D9461-D9460</f>
        <v>0</v>
      </c>
      <c r="Q9461" t="str">
        <v>x</v>
      </c>
      <c r="R9461">
        <f>IF(P9461&gt;0,$F$18*F9461/1000,0)</f>
        <v>0</v>
      </c>
      <c r="S9461" t="str">
        <v>)</v>
      </c>
      <c r="T9461" t="str">
        <v>x</v>
      </c>
      <c r="U9461">
        <f>0.006165*F9461^2</f>
        <v>1.041885</v>
      </c>
      <c r="X9461" t="str">
        <v>x</v>
      </c>
      <c r="Y9461">
        <f>D9450</f>
        <v>1</v>
      </c>
      <c r="Z9461" t="str">
        <v>=</v>
      </c>
      <c r="AA9461">
        <f>IF(AA9462=0,(D9461*N9461+P9461*R9461)*U9461*Y9461,0)</f>
        <v>0</v>
      </c>
    </row>
    <row r="9462">
      <c r="A9462" t="str">
        <f>A9444</f>
        <v>Lantai Attic</v>
      </c>
      <c r="B9462">
        <f>B9444</f>
        <v>51</v>
      </c>
      <c r="D9462">
        <f>IF(AND(D9459=D9460,D9460=D9461,D9459=D9461),D9459,0)</f>
        <v>2</v>
      </c>
      <c r="E9462" t="str">
        <v>D</v>
      </c>
      <c r="F9462">
        <f>IF(AND(F9459=F9460,F9459=F9461,F9460=F9461),F9459,0)</f>
        <v>13</v>
      </c>
      <c r="L9462" t="str">
        <v>Total panjang per balok</v>
      </c>
      <c r="M9462" t="str">
        <v>=</v>
      </c>
      <c r="N9462">
        <f>IF(AND(D9459=D9460,D9459=D9461,D9460=D9461,F9459=F9460,F9459=F9461,F9460=F9461),SUM(N9459:N9461),0)</f>
        <v>5.612</v>
      </c>
      <c r="O9462" t="str">
        <v>+</v>
      </c>
      <c r="P9462">
        <f>IF(N9462&gt;12,ROUNDDOWN(N9462/12,0),0)</f>
        <v>0</v>
      </c>
      <c r="Q9462" t="str">
        <v>x</v>
      </c>
      <c r="R9462">
        <f>IF(P9462&gt;0,MAX(VLOOKUP(F9462,$D$6:$G$15,3,FALSE),600),0)/1000</f>
        <v>0</v>
      </c>
      <c r="T9462" t="str">
        <v>x</v>
      </c>
      <c r="U9462">
        <f>U9461</f>
        <v>1.041885</v>
      </c>
      <c r="V9462" t="str">
        <v>x</v>
      </c>
      <c r="W9462">
        <f>D9462</f>
        <v>2</v>
      </c>
      <c r="X9462" t="str">
        <v>x</v>
      </c>
      <c r="Y9462">
        <f>Y9461</f>
        <v>1</v>
      </c>
      <c r="Z9462" t="str">
        <v>=</v>
      </c>
      <c r="AA9462">
        <f>(N9462+P9462*R9462/1000)*U9462*W9462*Y9462</f>
        <v>11.694117239999999</v>
      </c>
    </row>
    <row r="9464">
      <c r="A9464" t="str">
        <f>A9444</f>
        <v>Lantai Attic</v>
      </c>
      <c r="B9464">
        <f>B9444</f>
        <v>51</v>
      </c>
      <c r="C9464" t="str">
        <v>Sengkang Tumpuan</v>
      </c>
      <c r="D9464">
        <f>VLOOKUP(D9444,'Detail Balok'!$C$10:$AU$110,31,FALSE)</f>
        <v>0</v>
      </c>
      <c r="E9464" t="str">
        <v>D</v>
      </c>
      <c r="F9464">
        <f>VLOOKUP(D9444,'Detail Balok'!$C$10:$AU$110,33,FALSE)</f>
        <v>8</v>
      </c>
      <c r="G9464" t="str">
        <v>-</v>
      </c>
      <c r="H9464">
        <f>VLOOKUP(D9444,'Detail Balok'!$C$10:$AU$110,35,FALSE)</f>
        <v>100</v>
      </c>
      <c r="J9464">
        <f>(IF(D9464=0,(2*(D9445+G9445))-(F$5*8),IF(D9464=3,(2*(D9445+G9445))-(F$5*8)+(G9445-2*F$5),IF(D9464=4,(2*(D9445+G9445))-(F$5*8)+2*(G9445-2*F$5)))))/1000</f>
        <v>0.98</v>
      </c>
      <c r="K9464" t="str">
        <v>+</v>
      </c>
      <c r="L9464">
        <f>IF(D9464=0,2*MAX(6*F9464,75),(D9464-1)*2*MAX(6*F9464,75))/1000</f>
        <v>0.15</v>
      </c>
      <c r="M9464" t="str">
        <v>=</v>
      </c>
      <c r="N9464">
        <f>J9464+L9464</f>
        <v>1.13</v>
      </c>
      <c r="T9464" t="str">
        <v>x</v>
      </c>
      <c r="U9464">
        <f>0.006165*F9464^2</f>
        <v>0.39456</v>
      </c>
      <c r="V9464" t="str">
        <v>x</v>
      </c>
      <c r="W9464">
        <f>IF(D9447&gt;4*G9445,ROUND(MAX(D9447/4,2*G9445)/H9464,0)+1,ROUND(D9447/H9464,0)+1)</f>
        <v>14</v>
      </c>
      <c r="X9464" t="str">
        <v>x</v>
      </c>
      <c r="Y9464">
        <f>D9450</f>
        <v>1</v>
      </c>
      <c r="Z9464" t="str">
        <v>=</v>
      </c>
      <c r="AA9464">
        <f>N9464*U9464*W9464*Y9464</f>
        <v>6.2419392</v>
      </c>
    </row>
    <row r="9465">
      <c r="A9465" t="str">
        <f>A9444</f>
        <v>Lantai Attic</v>
      </c>
      <c r="B9465">
        <f>B9444</f>
        <v>51</v>
      </c>
      <c r="C9465" t="str">
        <v>Sengkang Lapangan</v>
      </c>
      <c r="D9465">
        <f>VLOOKUP(D9444,'Detail Balok'!$C$10:$AU$110,36,FALSE)</f>
        <v>0</v>
      </c>
      <c r="E9465" t="str">
        <v>D</v>
      </c>
      <c r="F9465">
        <f>VLOOKUP(D9444,'Detail Balok'!$C$10:$AU$110,38,FALSE)</f>
        <v>8</v>
      </c>
      <c r="G9465" t="str">
        <v>-</v>
      </c>
      <c r="H9465">
        <f>VLOOKUP(D9444,'Detail Balok'!$C$10:$AU$110,40,FALSE)</f>
        <v>200</v>
      </c>
      <c r="J9465">
        <f>(IF(D9465=0,(2*(D9445+G9445))-(F$5*8),IF(D9465=3,(2*(D9445+G9445))-(F$5*8)+(G9445-2*F$5),IF(D9465=4,(2*(D9445+G9445))-(F$5*8)+2*(G9445-2*F$5)))))/1000</f>
        <v>0.98</v>
      </c>
      <c r="K9465" t="str">
        <v>+</v>
      </c>
      <c r="L9465">
        <f>IF(D9465=0,2*MAX(6*F9465,75),(D9465-1)*2*MAX(6*F9465,75))/1000</f>
        <v>0.15</v>
      </c>
      <c r="M9465" t="str">
        <v>=</v>
      </c>
      <c r="N9465">
        <f>J9465+L9465</f>
        <v>1.13</v>
      </c>
      <c r="T9465" t="str">
        <v>x</v>
      </c>
      <c r="U9465">
        <f>0.006165*F9465^2</f>
        <v>0.39456</v>
      </c>
      <c r="V9465" t="str">
        <v>x</v>
      </c>
      <c r="W9465">
        <f>IF(D9447-MAX(D9447/4,2*G9445)*2&gt;0,ROUND((D9447-MAX(D9447/4,2*G9445)*2)/H9465,0),0)</f>
        <v>13</v>
      </c>
      <c r="X9465" t="str">
        <v>x</v>
      </c>
      <c r="Y9465">
        <f>D9450</f>
        <v>1</v>
      </c>
      <c r="Z9465" t="str">
        <v>=</v>
      </c>
      <c r="AA9465">
        <f>N9465*U9465*W9465*Y9465</f>
        <v>5.7960864</v>
      </c>
    </row>
    <row r="9466">
      <c r="A9466" t="str">
        <f>A9444</f>
        <v>Lantai Attic</v>
      </c>
      <c r="B9466">
        <f>B9444</f>
        <v>51</v>
      </c>
      <c r="C9466" t="str">
        <v>Sengkang Tumpuan</v>
      </c>
      <c r="D9466">
        <f>VLOOKUP(D9444,'Detail Balok'!$C$10:$AU$110,41,FALSE)</f>
        <v>0</v>
      </c>
      <c r="E9466" t="str">
        <v>D</v>
      </c>
      <c r="F9466">
        <f>VLOOKUP(D9444,'Detail Balok'!$C$10:$AU$110,43,FALSE)</f>
        <v>8</v>
      </c>
      <c r="G9466" t="str">
        <v>-</v>
      </c>
      <c r="H9466">
        <f>VLOOKUP(D9444,'Detail Balok'!$C$10:$AU$110,45,FALSE)</f>
        <v>100</v>
      </c>
      <c r="J9466">
        <f>(IF(D9466=0,(2*(D9445+G9445))-(F$5*8),IF(D9466=3,(2*(D9445+G9445))-(F$5*8)+(G9445-2*F$5),IF(D9466=4,(2*(D9445+G9445))-(F$5*8)+2*(G9445-2*F$5)))))/1000</f>
        <v>0.98</v>
      </c>
      <c r="K9466" t="str">
        <v>+</v>
      </c>
      <c r="L9466">
        <f>IF(D9466=0,2*MAX(6*F9466,75),(D9466-1)*2*MAX(6*F9466,75))/1000</f>
        <v>0.15</v>
      </c>
      <c r="M9466" t="str">
        <v>=</v>
      </c>
      <c r="N9466">
        <f>J9466+L9466</f>
        <v>1.13</v>
      </c>
      <c r="T9466" t="str">
        <v>x</v>
      </c>
      <c r="U9466">
        <f>0.006165*F9466^2</f>
        <v>0.39456</v>
      </c>
      <c r="V9466" t="str">
        <v>x</v>
      </c>
      <c r="W9466">
        <f>IF(D9447&gt;4*G9445,ROUND(MAX(D9447/4,2*G9445)/H9466,0)+1,0)</f>
        <v>14</v>
      </c>
      <c r="X9466" t="str">
        <v>x</v>
      </c>
      <c r="Y9466">
        <f>D9450</f>
        <v>1</v>
      </c>
      <c r="Z9466" t="str">
        <v>=</v>
      </c>
      <c r="AA9466">
        <f>N9466*U9466*W9466*Y9466</f>
        <v>6.2419392</v>
      </c>
    </row>
    <row r="9468">
      <c r="A9468" t="str">
        <f>A9444</f>
        <v>Lantai Attic</v>
      </c>
      <c r="B9468">
        <f>B9444</f>
        <v>51</v>
      </c>
      <c r="C9468" t="str">
        <v>Kait Horizontal Tump.</v>
      </c>
      <c r="D9468">
        <f>VLOOKUP(D9444,'Detail Balok'!$C$10:$BJ$110,46,FALSE)</f>
        <v>0</v>
      </c>
      <c r="E9468" t="str">
        <v>D</v>
      </c>
      <c r="F9468">
        <f>VLOOKUP(D9444,'Detail Balok'!$C$10:$BJ$110,48,FALSE)</f>
        <v>0</v>
      </c>
      <c r="G9468" t="str">
        <v>-</v>
      </c>
      <c r="H9468">
        <f>VLOOKUP(D9444,'Detail Balok'!$C$10:$BJ$110,50,FALSE)</f>
        <v>100</v>
      </c>
      <c r="J9468">
        <f>(D9445-2*F$5)/1000</f>
        <v>0.12</v>
      </c>
      <c r="K9468" t="str">
        <v>+</v>
      </c>
      <c r="L9468">
        <f>IF(D9468=0,2*MAX(6*F9468,75),(D9468-1)*2*MAX(6*F9468,75))/1000</f>
        <v>0.15</v>
      </c>
      <c r="M9468" t="str">
        <v>=</v>
      </c>
      <c r="N9468">
        <f>J9468+L9468</f>
        <v>0.27</v>
      </c>
      <c r="T9468" t="str">
        <v>x</v>
      </c>
      <c r="U9468">
        <f>0.006165*F9468^2</f>
        <v>0</v>
      </c>
      <c r="V9468" t="str">
        <v>x</v>
      </c>
      <c r="W9468">
        <f>W9464</f>
        <v>14</v>
      </c>
      <c r="X9468" t="str">
        <v>x</v>
      </c>
      <c r="Y9468">
        <f>D9454</f>
        <v>2</v>
      </c>
      <c r="Z9468" t="str">
        <v>=</v>
      </c>
      <c r="AA9468">
        <f>N9468*U9468*W9468*Y9468</f>
        <v>0</v>
      </c>
    </row>
    <row r="9469">
      <c r="A9469" t="str">
        <f>A9444</f>
        <v>Lantai Attic</v>
      </c>
      <c r="B9469">
        <f>B9444</f>
        <v>51</v>
      </c>
      <c r="C9469" t="str">
        <v>Kait Horizontal Lap.</v>
      </c>
      <c r="D9469">
        <f>VLOOKUP(D9444,'Detail Balok'!$C$10:$BJ$110,51,FALSE)</f>
        <v>0</v>
      </c>
      <c r="E9469" t="str">
        <v>D</v>
      </c>
      <c r="F9469">
        <f>VLOOKUP(D9444,'Detail Balok'!$C$10:$BJ$110,53,FALSE)</f>
        <v>0</v>
      </c>
      <c r="G9469" t="str">
        <v>-</v>
      </c>
      <c r="H9469">
        <f>VLOOKUP(D9444,'Detail Balok'!$C$10:$BJ$110,55,FALSE)</f>
        <v>100</v>
      </c>
      <c r="J9469">
        <f>(D9445-2*F$5)/1000</f>
        <v>0.12</v>
      </c>
      <c r="K9469" t="str">
        <v>+</v>
      </c>
      <c r="L9469">
        <f>IF(D9469=0,2*MAX(6*F9469,75),(D9469-1)*2*MAX(6*F9469,75))/1000</f>
        <v>0.15</v>
      </c>
      <c r="M9469" t="str">
        <v>=</v>
      </c>
      <c r="N9469">
        <f>J9469+L9469</f>
        <v>0.27</v>
      </c>
      <c r="T9469" t="str">
        <v>x</v>
      </c>
      <c r="U9469">
        <f>0.006165*F9469^2</f>
        <v>0</v>
      </c>
      <c r="V9469" t="str">
        <v>x</v>
      </c>
      <c r="W9469">
        <f>W9465</f>
        <v>13</v>
      </c>
      <c r="X9469" t="str">
        <v>x</v>
      </c>
      <c r="Y9469">
        <f>D9454</f>
        <v>2</v>
      </c>
      <c r="Z9469" t="str">
        <v>=</v>
      </c>
      <c r="AA9469">
        <f>N9469*U9469*W9469*Y9469</f>
        <v>0</v>
      </c>
    </row>
    <row r="9470">
      <c r="A9470" t="str">
        <f>A9444</f>
        <v>Lantai Attic</v>
      </c>
      <c r="B9470">
        <f>B9444</f>
        <v>51</v>
      </c>
      <c r="C9470" t="str">
        <v>Kait Horizontal Tump.</v>
      </c>
      <c r="D9470">
        <f>VLOOKUP(D9444,'Detail Balok'!$C$10:$BJ$110,56,FALSE)</f>
        <v>0</v>
      </c>
      <c r="E9470" t="str">
        <v>D</v>
      </c>
      <c r="F9470">
        <f>VLOOKUP(D9444,'Detail Balok'!$C$10:$BJ$110,58,FALSE)</f>
        <v>0</v>
      </c>
      <c r="G9470" t="str">
        <v>-</v>
      </c>
      <c r="H9470">
        <f>VLOOKUP(D9444,'Detail Balok'!$C$10:$BJ$110,60,FALSE)</f>
        <v>100</v>
      </c>
      <c r="J9470">
        <f>(D9445-2*F$5)/1000</f>
        <v>0.12</v>
      </c>
      <c r="K9470" t="str">
        <v>+</v>
      </c>
      <c r="L9470">
        <f>IF(D9470=0,2*MAX(6*F9470,75),(D9470-1)*2*MAX(6*F9470,75))/1000</f>
        <v>0.15</v>
      </c>
      <c r="M9470" t="str">
        <v>=</v>
      </c>
      <c r="N9470">
        <f>J9470+L9470</f>
        <v>0.27</v>
      </c>
      <c r="T9470" t="str">
        <v>x</v>
      </c>
      <c r="U9470">
        <f>0.006165*F9470^2</f>
        <v>0</v>
      </c>
      <c r="V9470" t="str">
        <v>x</v>
      </c>
      <c r="W9470">
        <f>W9466</f>
        <v>14</v>
      </c>
      <c r="X9470" t="str">
        <v>x</v>
      </c>
      <c r="Y9470">
        <f>D9454</f>
        <v>2</v>
      </c>
      <c r="Z9470" t="str">
        <v>=</v>
      </c>
      <c r="AA9470">
        <f>N9470*U9470*W9470*Y9470</f>
        <v>0</v>
      </c>
    </row>
    <row r="9474">
      <c r="A9474" t="str">
        <f>A9444</f>
        <v>Lantai Attic</v>
      </c>
      <c r="B9474">
        <f>B9444+1</f>
        <v>52</v>
      </c>
      <c r="C9474" t="str">
        <f>CONCATENATE(A9474," no. ",B9474)</f>
        <v>Lantai Attic no. 52</v>
      </c>
      <c r="D9474" t="str">
        <f>VLOOKUP(C9474,'Data Panjang Balok'!$C$9:$N$424,2,FALSE)</f>
        <v>B245-5</v>
      </c>
    </row>
    <row r="9475">
      <c r="C9475" t="str">
        <v>Dimensi</v>
      </c>
      <c r="D9475">
        <f>VLOOKUP(D9474,'Detail Balok'!$C$10:$AU$110,2,FALSE)</f>
        <v>200</v>
      </c>
      <c r="F9475" t="str">
        <v>x</v>
      </c>
      <c r="G9475">
        <f>VLOOKUP(D9474,'Detail Balok'!$C$10:$AU$110,3,FALSE)</f>
        <v>450</v>
      </c>
    </row>
    <row r="9476">
      <c r="C9476" t="str">
        <v>Panjang as ke as</v>
      </c>
      <c r="D9476">
        <f>VLOOKUP(C9474,'Data Panjang Balok'!$C$9:$N$424,4,FALSE)</f>
        <v>5300</v>
      </c>
    </row>
    <row r="9477">
      <c r="C9477" t="str">
        <v>Panjang netto</v>
      </c>
      <c r="D9477">
        <f>VLOOKUP(C9474,'Data Panjang Balok'!$C$9:$N$424,7,FALSE)</f>
        <v>5300</v>
      </c>
    </row>
    <row r="9478">
      <c r="C9478" t="str">
        <v>Kolom / balok kiri</v>
      </c>
      <c r="D9478">
        <f>VLOOKUP(C9474,'Data Panjang Balok'!$C$9:$N$424,9,FALSE)</f>
        <v>0</v>
      </c>
    </row>
    <row r="9479">
      <c r="C9479" t="str">
        <v>Kolom / balok kanan</v>
      </c>
      <c r="D9479">
        <f>VLOOKUP(C9474,'Data Panjang Balok'!$C$9:$N$424,10,FALSE)</f>
        <v>0</v>
      </c>
    </row>
    <row r="9480">
      <c r="C9480" t="str">
        <v>Jumlah</v>
      </c>
      <c r="D9480">
        <f>VLOOKUP(C9474,'Data Panjang Balok'!$C$9:$N$424,3,FALSE)</f>
        <v>1</v>
      </c>
    </row>
    <row r="9481">
      <c r="A9481" t="str">
        <f>A9474</f>
        <v>Lantai Attic</v>
      </c>
      <c r="B9481">
        <f>B9474</f>
        <v>52</v>
      </c>
      <c r="C9481" t="str">
        <v>Tul Atas Tumpuan</v>
      </c>
      <c r="D9481">
        <f>VLOOKUP(D9474,'Detail Balok'!$C$10:$AU$110,4,FALSE)</f>
        <v>3</v>
      </c>
      <c r="E9481" t="str">
        <v>D</v>
      </c>
      <c r="F9481">
        <f>VLOOKUP(D9474,'Detail Balok'!$C$10:$AU$110,6,FALSE)</f>
        <v>16</v>
      </c>
      <c r="I9481" t="str">
        <v>(</v>
      </c>
      <c r="J9481">
        <f>+D9476/4/1000</f>
        <v>1.325</v>
      </c>
      <c r="K9481" t="str">
        <v>+</v>
      </c>
      <c r="L9481">
        <f>MAX(VLOOKUP(F9481,N$6:P$15,3,FALSE)/1000,2/3*D9478/1000)+F$16*F9481/1000</f>
        <v>0.192</v>
      </c>
      <c r="M9481" t="str">
        <v>=</v>
      </c>
      <c r="N9481">
        <f>J9481+L9481</f>
        <v>1.517</v>
      </c>
      <c r="O9481" t="str">
        <v>+</v>
      </c>
      <c r="P9481">
        <f>D9481-D9482</f>
        <v>0</v>
      </c>
      <c r="Q9481" t="str">
        <v>x</v>
      </c>
      <c r="R9481">
        <f>IF(P9481&gt;0,$F$18*F9481/1000,0)</f>
        <v>0</v>
      </c>
      <c r="S9481" t="str">
        <v>)</v>
      </c>
      <c r="T9481" t="str">
        <v>x</v>
      </c>
      <c r="U9481">
        <f>0.006165*F9481^2</f>
        <v>1.57824</v>
      </c>
      <c r="X9481" t="str">
        <v>x</v>
      </c>
      <c r="Y9481">
        <f>D9480</f>
        <v>1</v>
      </c>
      <c r="Z9481" t="str">
        <v>=</v>
      </c>
      <c r="AA9481">
        <f>IF(AA9484=0,(D9481*N9481+P9481*R9481)*U9481*Y9481,0)</f>
        <v>0</v>
      </c>
    </row>
    <row r="9482">
      <c r="A9482" t="str">
        <f>A9474</f>
        <v>Lantai Attic</v>
      </c>
      <c r="B9482">
        <f>B9474</f>
        <v>52</v>
      </c>
      <c r="C9482" t="str">
        <v>Tul Atas Lapangan</v>
      </c>
      <c r="D9482">
        <f>VLOOKUP(D9474,'Detail Balok'!$C$10:$AU$110,7,FALSE)</f>
        <v>3</v>
      </c>
      <c r="E9482" t="str">
        <v>D</v>
      </c>
      <c r="F9482">
        <f>VLOOKUP(D9474,'Detail Balok'!$C$10:$AU$110,9,FALSE)</f>
        <v>16</v>
      </c>
      <c r="I9482" t="str">
        <v>(</v>
      </c>
      <c r="J9482">
        <f>+D9476/2/1000</f>
        <v>2.65</v>
      </c>
      <c r="K9482" t="str">
        <v>+</v>
      </c>
      <c r="M9482" t="str">
        <v>=</v>
      </c>
      <c r="N9482">
        <f>J9482+L9482</f>
        <v>2.65</v>
      </c>
      <c r="O9482" t="str">
        <v>+</v>
      </c>
      <c r="P9482">
        <f>MAX(D9482-D9481,D9482-D9483)</f>
        <v>0</v>
      </c>
      <c r="Q9482" t="str">
        <v>x</v>
      </c>
      <c r="R9482">
        <f>IF(P9482&gt;0,2*(1-2*$F$19-1/2)*D9477/1000,0)</f>
        <v>0</v>
      </c>
      <c r="S9482" t="str">
        <v>)</v>
      </c>
      <c r="T9482" t="str">
        <v>x</v>
      </c>
      <c r="U9482">
        <f>0.006165*F9482^2</f>
        <v>1.57824</v>
      </c>
      <c r="X9482" t="str">
        <v>x</v>
      </c>
      <c r="Y9482">
        <f>D9480</f>
        <v>1</v>
      </c>
      <c r="Z9482" t="str">
        <v>=</v>
      </c>
      <c r="AA9482">
        <f>IF(AA9484=0,(D9482*N9482+P9482*R9482)*U9482*Y9482,0)</f>
        <v>0</v>
      </c>
    </row>
    <row r="9483">
      <c r="A9483" t="str">
        <f>A9474</f>
        <v>Lantai Attic</v>
      </c>
      <c r="B9483">
        <f>B9474</f>
        <v>52</v>
      </c>
      <c r="C9483" t="str">
        <v>Tul Atas Tumpuan</v>
      </c>
      <c r="D9483">
        <f>VLOOKUP(D9474,'Detail Balok'!$C$10:$AU$110,10,FALSE)</f>
        <v>3</v>
      </c>
      <c r="E9483" t="str">
        <v>D</v>
      </c>
      <c r="F9483">
        <f>VLOOKUP(D9474,'Detail Balok'!$C$10:$AU$110,12,FALSE)</f>
        <v>16</v>
      </c>
      <c r="I9483" t="str">
        <v>(</v>
      </c>
      <c r="J9483">
        <f>+D9476/4/1000</f>
        <v>1.325</v>
      </c>
      <c r="K9483" t="str">
        <v>+</v>
      </c>
      <c r="L9483">
        <f>MAX(VLOOKUP(F9483,N$6:P$15,3,FALSE)/1000,2/3*D9478/1000)+F$16*F9483/1000</f>
        <v>0.192</v>
      </c>
      <c r="M9483" t="str">
        <v>=</v>
      </c>
      <c r="N9483">
        <f>J9483+L9483</f>
        <v>1.517</v>
      </c>
      <c r="O9483" t="str">
        <v>+</v>
      </c>
      <c r="P9483">
        <f>D9483-D9482</f>
        <v>0</v>
      </c>
      <c r="Q9483" t="str">
        <v>x</v>
      </c>
      <c r="R9483">
        <f>IF(P9483&gt;0,$F$18*F9483/1000,0)</f>
        <v>0</v>
      </c>
      <c r="S9483" t="str">
        <v>)</v>
      </c>
      <c r="T9483" t="str">
        <v>x</v>
      </c>
      <c r="U9483">
        <f>0.006165*F9483^2</f>
        <v>1.57824</v>
      </c>
      <c r="X9483" t="str">
        <v>x</v>
      </c>
      <c r="Y9483">
        <f>D9480</f>
        <v>1</v>
      </c>
      <c r="Z9483" t="str">
        <v>=</v>
      </c>
      <c r="AA9483">
        <f>IF(AA9484=0,(D9483*N9483+P9483*R9483)*U9483*Y9483,0)</f>
        <v>0</v>
      </c>
    </row>
    <row r="9484">
      <c r="A9484" t="str">
        <f>A9474</f>
        <v>Lantai Attic</v>
      </c>
      <c r="B9484">
        <f>B9474</f>
        <v>52</v>
      </c>
      <c r="D9484">
        <f>IF(AND(D9481=D9482,D9482=D9483,D9481=D9483),D9481,0)</f>
        <v>3</v>
      </c>
      <c r="E9484" t="str">
        <v>D</v>
      </c>
      <c r="F9484">
        <f>IF(AND(F9481=F9482,F9481=F9483,F9482=F9483),F9481,0)</f>
        <v>16</v>
      </c>
      <c r="L9484" t="str">
        <v>Total panjang per balok</v>
      </c>
      <c r="M9484" t="str">
        <v>=</v>
      </c>
      <c r="N9484">
        <f>IF(AND(D9481=D9482,D9481=D9483,D9482=D9483,F9481=F9482,F9481=F9483,F9482=F9483),SUM(N9481:N9483),0)</f>
        <v>5.683999999999999</v>
      </c>
      <c r="O9484" t="str">
        <v>+</v>
      </c>
      <c r="P9484">
        <f>IF(N9484&gt;12,ROUNDDOWN(N9484/12,0),0)</f>
        <v>0</v>
      </c>
      <c r="Q9484" t="str">
        <v>x</v>
      </c>
      <c r="R9484">
        <f>IF(P9484&gt;0,MAX(VLOOKUP(F9484,$D$6:$G$15,3,FALSE),600),0)/1000</f>
        <v>0</v>
      </c>
      <c r="T9484" t="str">
        <v>x</v>
      </c>
      <c r="U9484">
        <f>U9483</f>
        <v>1.57824</v>
      </c>
      <c r="V9484" t="str">
        <v>x</v>
      </c>
      <c r="W9484">
        <f>D9484</f>
        <v>3</v>
      </c>
      <c r="X9484" t="str">
        <v>x</v>
      </c>
      <c r="Y9484">
        <f>Y9483</f>
        <v>1</v>
      </c>
      <c r="Z9484" t="str">
        <v>=</v>
      </c>
      <c r="AA9484">
        <f>(N9484+P9484*R9484/1000)*U9484*W9484*Y9484</f>
        <v>26.912148479999995</v>
      </c>
    </row>
    <row r="9486">
      <c r="A9486" t="str">
        <f>A9474</f>
        <v>Lantai Attic</v>
      </c>
      <c r="B9486">
        <f>B9474</f>
        <v>52</v>
      </c>
      <c r="C9486" t="str">
        <v>Tul Peminggang</v>
      </c>
      <c r="D9486">
        <f>VLOOKUP(D9474,'Detail Balok'!$C$10:$AU$110,13,FALSE)</f>
        <v>2</v>
      </c>
      <c r="E9486" t="str">
        <v>D</v>
      </c>
      <c r="F9486">
        <f>VLOOKUP(D9474,'Detail Balok'!$C$10:$AU$110,15,FALSE)</f>
        <v>10</v>
      </c>
      <c r="J9486">
        <f>+D9476/1000</f>
        <v>5.3</v>
      </c>
      <c r="K9486" t="str">
        <v>+</v>
      </c>
      <c r="L9486">
        <f>2*$F$16*F9486/1000</f>
        <v>0.24</v>
      </c>
      <c r="M9486" t="str">
        <v>=</v>
      </c>
      <c r="N9486">
        <f>J9486+L9486</f>
        <v>5.54</v>
      </c>
      <c r="O9486" t="str">
        <v>+</v>
      </c>
      <c r="P9486">
        <f>IF(N9486&gt;12,ROUNDDOWN(N9486/12,0),0)</f>
        <v>0</v>
      </c>
      <c r="Q9486" t="str">
        <v>x</v>
      </c>
      <c r="R9486">
        <f>IF(P9486&gt;0,MAX(VLOOKUP(F9486,$D$6:$G$15,3,FALSE),600),0)/1000</f>
        <v>0</v>
      </c>
      <c r="T9486" t="str">
        <v>x</v>
      </c>
      <c r="U9486">
        <f>0.006165*F9486^2</f>
        <v>0.6165</v>
      </c>
      <c r="V9486" t="str">
        <v>x</v>
      </c>
      <c r="W9486">
        <f>+D9486</f>
        <v>2</v>
      </c>
      <c r="X9486" t="str">
        <v>x</v>
      </c>
      <c r="Y9486">
        <f>D9480</f>
        <v>1</v>
      </c>
      <c r="Z9486" t="str">
        <v>=</v>
      </c>
      <c r="AA9486">
        <f>(N9486+P9486*R9486/1000)*U9486*W9486*Y9486</f>
        <v>6.830820000000001</v>
      </c>
    </row>
    <row r="9489">
      <c r="A9489" t="str">
        <f>A9474</f>
        <v>Lantai Attic</v>
      </c>
      <c r="B9489">
        <f>B9474</f>
        <v>52</v>
      </c>
      <c r="C9489" t="str">
        <v>Tul Bawah Tumpuan</v>
      </c>
      <c r="D9489">
        <f>VLOOKUP(D9474,'Detail Balok'!$C$10:$AU$110,22,FALSE)</f>
        <v>4</v>
      </c>
      <c r="E9489" t="str">
        <v>D</v>
      </c>
      <c r="F9489">
        <f>VLOOKUP(D9474,'Detail Balok'!$C$10:$AU$110,24,FALSE)</f>
        <v>16</v>
      </c>
      <c r="I9489" t="str">
        <v>(</v>
      </c>
      <c r="J9489">
        <f>+J9481</f>
        <v>1.325</v>
      </c>
      <c r="K9489" t="str">
        <v>+</v>
      </c>
      <c r="L9489">
        <f>MAX(VLOOKUP(F9489,N$6:P$15,3,FALSE)/1000,2/3*D9479/1000)+F$16*F9489/1000</f>
        <v>0.192</v>
      </c>
      <c r="M9489" t="str">
        <v>=</v>
      </c>
      <c r="N9489">
        <f>J9489+L9489</f>
        <v>1.517</v>
      </c>
      <c r="O9489" t="str">
        <v>+</v>
      </c>
      <c r="P9489">
        <f>D9489-D9490</f>
        <v>0</v>
      </c>
      <c r="Q9489" t="str">
        <v>x</v>
      </c>
      <c r="R9489">
        <f>IF(P9489&gt;0,$F$18*F9489/1000,0)</f>
        <v>0</v>
      </c>
      <c r="S9489" t="str">
        <v>)</v>
      </c>
      <c r="T9489" t="str">
        <v>x</v>
      </c>
      <c r="U9489">
        <f>0.006165*F9489^2</f>
        <v>1.57824</v>
      </c>
      <c r="X9489" t="str">
        <v>x</v>
      </c>
      <c r="Y9489">
        <f>D9480</f>
        <v>1</v>
      </c>
      <c r="Z9489" t="str">
        <v>=</v>
      </c>
      <c r="AA9489">
        <f>IF(AA9492=0,(D9489*N9489+P9489*R9489)*U9489*Y9489,0)</f>
        <v>0</v>
      </c>
    </row>
    <row r="9490">
      <c r="A9490" t="str">
        <f>A9474</f>
        <v>Lantai Attic</v>
      </c>
      <c r="B9490">
        <f>B9474</f>
        <v>52</v>
      </c>
      <c r="C9490" t="str">
        <v>Tul Bawah Lapangan</v>
      </c>
      <c r="D9490">
        <f>VLOOKUP(D9474,'Detail Balok'!$C$10:$AU$110,25,FALSE)</f>
        <v>4</v>
      </c>
      <c r="E9490" t="str">
        <v>D</v>
      </c>
      <c r="F9490">
        <f>VLOOKUP(D9474,'Detail Balok'!$C$10:$AU$110,27,FALSE)</f>
        <v>16</v>
      </c>
      <c r="I9490" t="str">
        <v>(</v>
      </c>
      <c r="J9490">
        <f>+J9482</f>
        <v>2.65</v>
      </c>
      <c r="K9490" t="str">
        <v>+</v>
      </c>
      <c r="M9490" t="str">
        <v>=</v>
      </c>
      <c r="N9490">
        <f>J9490+L9490</f>
        <v>2.65</v>
      </c>
      <c r="O9490" t="str">
        <v>+</v>
      </c>
      <c r="P9490">
        <f>MAX(D9490-D9489,D9490-D9491)</f>
        <v>0</v>
      </c>
      <c r="Q9490" t="str">
        <v>x</v>
      </c>
      <c r="R9490">
        <f>IF(P9490&gt;0,2*(1-2*$F$19-1/2)*D9477/1000,0)</f>
        <v>0</v>
      </c>
      <c r="S9490" t="str">
        <v>)</v>
      </c>
      <c r="T9490" t="str">
        <v>x</v>
      </c>
      <c r="U9490">
        <f>0.006165*F9490^2</f>
        <v>1.57824</v>
      </c>
      <c r="X9490" t="str">
        <v>x</v>
      </c>
      <c r="Y9490">
        <f>D9480</f>
        <v>1</v>
      </c>
      <c r="Z9490" t="str">
        <v>=</v>
      </c>
      <c r="AA9490">
        <f>IF(AA9492=0,(D9490*N9490+P9490*R9490)*U9490*Y9490,0)</f>
        <v>0</v>
      </c>
    </row>
    <row r="9491">
      <c r="A9491" t="str">
        <f>A9474</f>
        <v>Lantai Attic</v>
      </c>
      <c r="B9491">
        <f>B9474</f>
        <v>52</v>
      </c>
      <c r="C9491" t="str">
        <v>Tul Bawah Tumpuan</v>
      </c>
      <c r="D9491">
        <f>VLOOKUP(D9474,'Detail Balok'!$C$10:$AU$110,28,FALSE)</f>
        <v>4</v>
      </c>
      <c r="E9491" t="str">
        <v>D</v>
      </c>
      <c r="F9491">
        <f>VLOOKUP(D9474,'Detail Balok'!$C$10:$AU$110,30,FALSE)</f>
        <v>16</v>
      </c>
      <c r="I9491" t="str">
        <v>(</v>
      </c>
      <c r="J9491">
        <f>+J9483</f>
        <v>1.325</v>
      </c>
      <c r="K9491" t="str">
        <v>+</v>
      </c>
      <c r="L9491">
        <f>MAX(VLOOKUP(F9491,N$6:P$15,3,FALSE)/1000,2/3*D9479/1000)+F$16*F9491/1000</f>
        <v>0.192</v>
      </c>
      <c r="M9491" t="str">
        <v>=</v>
      </c>
      <c r="N9491">
        <f>J9491+L9491</f>
        <v>1.517</v>
      </c>
      <c r="O9491" t="str">
        <v>+</v>
      </c>
      <c r="P9491">
        <f>D9491-D9490</f>
        <v>0</v>
      </c>
      <c r="Q9491" t="str">
        <v>x</v>
      </c>
      <c r="R9491">
        <f>IF(P9491&gt;0,$F$18*F9491/1000,0)</f>
        <v>0</v>
      </c>
      <c r="S9491" t="str">
        <v>)</v>
      </c>
      <c r="T9491" t="str">
        <v>x</v>
      </c>
      <c r="U9491">
        <f>0.006165*F9491^2</f>
        <v>1.57824</v>
      </c>
      <c r="X9491" t="str">
        <v>x</v>
      </c>
      <c r="Y9491">
        <f>D9480</f>
        <v>1</v>
      </c>
      <c r="Z9491" t="str">
        <v>=</v>
      </c>
      <c r="AA9491">
        <f>IF(AA9492=0,(D9491*N9491+P9491*R9491)*U9491*Y9491,0)</f>
        <v>0</v>
      </c>
    </row>
    <row r="9492">
      <c r="A9492" t="str">
        <f>A9474</f>
        <v>Lantai Attic</v>
      </c>
      <c r="B9492">
        <f>B9474</f>
        <v>52</v>
      </c>
      <c r="D9492">
        <f>IF(AND(D9489=D9490,D9490=D9491,D9489=D9491),D9489,0)</f>
        <v>4</v>
      </c>
      <c r="E9492" t="str">
        <v>D</v>
      </c>
      <c r="F9492">
        <f>IF(AND(F9489=F9490,F9489=F9491,F9490=F9491),F9489,0)</f>
        <v>16</v>
      </c>
      <c r="L9492" t="str">
        <v>Total panjang per balok</v>
      </c>
      <c r="M9492" t="str">
        <v>=</v>
      </c>
      <c r="N9492">
        <f>IF(AND(D9489=D9490,D9489=D9491,D9490=D9491,F9489=F9490,F9489=F9491,F9490=F9491),SUM(N9489:N9491),0)</f>
        <v>5.683999999999999</v>
      </c>
      <c r="O9492" t="str">
        <v>+</v>
      </c>
      <c r="P9492">
        <f>IF(N9492&gt;12,ROUNDDOWN(N9492/12,0),0)</f>
        <v>0</v>
      </c>
      <c r="Q9492" t="str">
        <v>x</v>
      </c>
      <c r="R9492">
        <f>IF(P9492&gt;0,MAX(VLOOKUP(F9492,$D$6:$G$15,3,FALSE),600),0)/1000</f>
        <v>0</v>
      </c>
      <c r="T9492" t="str">
        <v>x</v>
      </c>
      <c r="U9492">
        <f>U9491</f>
        <v>1.57824</v>
      </c>
      <c r="V9492" t="str">
        <v>x</v>
      </c>
      <c r="W9492">
        <f>D9492</f>
        <v>4</v>
      </c>
      <c r="X9492" t="str">
        <v>x</v>
      </c>
      <c r="Y9492">
        <f>Y9491</f>
        <v>1</v>
      </c>
      <c r="Z9492" t="str">
        <v>=</v>
      </c>
      <c r="AA9492">
        <f>(N9492+P9492*R9492/1000)*U9492*W9492*Y9492</f>
        <v>35.882864639999994</v>
      </c>
    </row>
    <row r="9494">
      <c r="A9494" t="str">
        <f>A9474</f>
        <v>Lantai Attic</v>
      </c>
      <c r="B9494">
        <f>B9474</f>
        <v>52</v>
      </c>
      <c r="C9494" t="str">
        <v>Sengkang Tumpuan</v>
      </c>
      <c r="D9494">
        <f>VLOOKUP(D9474,'Detail Balok'!$C$10:$AU$110,31,FALSE)</f>
        <v>0</v>
      </c>
      <c r="E9494" t="str">
        <v>D</v>
      </c>
      <c r="F9494">
        <f>VLOOKUP(D9474,'Detail Balok'!$C$10:$AU$110,33,FALSE)</f>
        <v>10</v>
      </c>
      <c r="G9494" t="str">
        <v>-</v>
      </c>
      <c r="H9494">
        <f>VLOOKUP(D9474,'Detail Balok'!$C$10:$AU$110,35,FALSE)</f>
        <v>80</v>
      </c>
      <c r="J9494">
        <f>(IF(D9494=0,(2*(D9475+G9475))-(F$5*8),IF(D9494=3,(2*(D9475+G9475))-(F$5*8)+(G9475-2*F$5),IF(D9494=4,(2*(D9475+G9475))-(F$5*8)+2*(G9475-2*F$5)))))/1000</f>
        <v>0.98</v>
      </c>
      <c r="K9494" t="str">
        <v>+</v>
      </c>
      <c r="L9494">
        <f>IF(D9494=0,2*MAX(6*F9494,75),(D9494-1)*2*MAX(6*F9494,75))/1000</f>
        <v>0.15</v>
      </c>
      <c r="M9494" t="str">
        <v>=</v>
      </c>
      <c r="N9494">
        <f>J9494+L9494</f>
        <v>1.13</v>
      </c>
      <c r="T9494" t="str">
        <v>x</v>
      </c>
      <c r="U9494">
        <f>0.006165*F9494^2</f>
        <v>0.6165</v>
      </c>
      <c r="V9494" t="str">
        <v>x</v>
      </c>
      <c r="W9494">
        <f>IF(D9477&gt;4*G9475,ROUND(MAX(D9477/4,2*G9475)/H9494,0)+1,ROUND(D9477/H9494,0)+1)</f>
        <v>18</v>
      </c>
      <c r="X9494" t="str">
        <v>x</v>
      </c>
      <c r="Y9494">
        <f>D9480</f>
        <v>1</v>
      </c>
      <c r="Z9494" t="str">
        <v>=</v>
      </c>
      <c r="AA9494">
        <f>N9494*U9494*W9494*Y9494</f>
        <v>12.53961</v>
      </c>
    </row>
    <row r="9495">
      <c r="A9495" t="str">
        <f>A9474</f>
        <v>Lantai Attic</v>
      </c>
      <c r="B9495">
        <f>B9474</f>
        <v>52</v>
      </c>
      <c r="C9495" t="str">
        <v>Sengkang Lapangan</v>
      </c>
      <c r="D9495">
        <f>VLOOKUP(D9474,'Detail Balok'!$C$10:$AU$110,36,FALSE)</f>
        <v>0</v>
      </c>
      <c r="E9495" t="str">
        <v>D</v>
      </c>
      <c r="F9495">
        <f>VLOOKUP(D9474,'Detail Balok'!$C$10:$AU$110,38,FALSE)</f>
        <v>10</v>
      </c>
      <c r="G9495" t="str">
        <v>-</v>
      </c>
      <c r="H9495">
        <f>VLOOKUP(D9474,'Detail Balok'!$C$10:$AU$110,40,FALSE)</f>
        <v>200</v>
      </c>
      <c r="J9495">
        <f>(IF(D9495=0,(2*(D9475+G9475))-(F$5*8),IF(D9495=3,(2*(D9475+G9475))-(F$5*8)+(G9475-2*F$5),IF(D9495=4,(2*(D9475+G9475))-(F$5*8)+2*(G9475-2*F$5)))))/1000</f>
        <v>0.98</v>
      </c>
      <c r="K9495" t="str">
        <v>+</v>
      </c>
      <c r="L9495">
        <f>IF(D9495=0,2*MAX(6*F9495,75),(D9495-1)*2*MAX(6*F9495,75))/1000</f>
        <v>0.15</v>
      </c>
      <c r="M9495" t="str">
        <v>=</v>
      </c>
      <c r="N9495">
        <f>J9495+L9495</f>
        <v>1.13</v>
      </c>
      <c r="T9495" t="str">
        <v>x</v>
      </c>
      <c r="U9495">
        <f>0.006165*F9495^2</f>
        <v>0.6165</v>
      </c>
      <c r="V9495" t="str">
        <v>x</v>
      </c>
      <c r="W9495">
        <f>IF(D9477-MAX(D9477/4,2*G9475)*2&gt;0,ROUND((D9477-MAX(D9477/4,2*G9475)*2)/H9495,0),0)</f>
        <v>13</v>
      </c>
      <c r="X9495" t="str">
        <v>x</v>
      </c>
      <c r="Y9495">
        <f>D9480</f>
        <v>1</v>
      </c>
      <c r="Z9495" t="str">
        <v>=</v>
      </c>
      <c r="AA9495">
        <f>N9495*U9495*W9495*Y9495</f>
        <v>9.056384999999999</v>
      </c>
    </row>
    <row r="9496">
      <c r="A9496" t="str">
        <f>A9474</f>
        <v>Lantai Attic</v>
      </c>
      <c r="B9496">
        <f>B9474</f>
        <v>52</v>
      </c>
      <c r="C9496" t="str">
        <v>Sengkang Tumpuan</v>
      </c>
      <c r="D9496">
        <f>VLOOKUP(D9474,'Detail Balok'!$C$10:$AU$110,41,FALSE)</f>
        <v>0</v>
      </c>
      <c r="E9496" t="str">
        <v>D</v>
      </c>
      <c r="F9496">
        <f>VLOOKUP(D9474,'Detail Balok'!$C$10:$AU$110,43,FALSE)</f>
        <v>10</v>
      </c>
      <c r="G9496" t="str">
        <v>-</v>
      </c>
      <c r="H9496">
        <f>VLOOKUP(D9474,'Detail Balok'!$C$10:$AU$110,45,FALSE)</f>
        <v>80</v>
      </c>
      <c r="J9496">
        <f>(IF(D9496=0,(2*(D9475+G9475))-(F$5*8),IF(D9496=3,(2*(D9475+G9475))-(F$5*8)+(G9475-2*F$5),IF(D9496=4,(2*(D9475+G9475))-(F$5*8)+2*(G9475-2*F$5)))))/1000</f>
        <v>0.98</v>
      </c>
      <c r="K9496" t="str">
        <v>+</v>
      </c>
      <c r="L9496">
        <f>IF(D9496=0,2*MAX(6*F9496,75),(D9496-1)*2*MAX(6*F9496,75))/1000</f>
        <v>0.15</v>
      </c>
      <c r="M9496" t="str">
        <v>=</v>
      </c>
      <c r="N9496">
        <f>J9496+L9496</f>
        <v>1.13</v>
      </c>
      <c r="T9496" t="str">
        <v>x</v>
      </c>
      <c r="U9496">
        <f>0.006165*F9496^2</f>
        <v>0.6165</v>
      </c>
      <c r="V9496" t="str">
        <v>x</v>
      </c>
      <c r="W9496">
        <f>IF(D9477&gt;4*G9475,ROUND(MAX(D9477/4,2*G9475)/H9496,0)+1,0)</f>
        <v>18</v>
      </c>
      <c r="X9496" t="str">
        <v>x</v>
      </c>
      <c r="Y9496">
        <f>D9480</f>
        <v>1</v>
      </c>
      <c r="Z9496" t="str">
        <v>=</v>
      </c>
      <c r="AA9496">
        <f>N9496*U9496*W9496*Y9496</f>
        <v>12.53961</v>
      </c>
    </row>
    <row r="9498">
      <c r="A9498" t="str">
        <f>A9474</f>
        <v>Lantai Attic</v>
      </c>
      <c r="B9498">
        <f>B9474</f>
        <v>52</v>
      </c>
      <c r="C9498" t="str">
        <v>Kait Horizontal Tump.</v>
      </c>
      <c r="D9498">
        <f>VLOOKUP(D9474,'Detail Balok'!$C$10:$BJ$110,46,FALSE)</f>
        <v>0</v>
      </c>
      <c r="E9498" t="str">
        <v>D</v>
      </c>
      <c r="F9498">
        <f>VLOOKUP(D9474,'Detail Balok'!$C$10:$BJ$110,48,FALSE)</f>
        <v>0</v>
      </c>
      <c r="G9498" t="str">
        <v>-</v>
      </c>
      <c r="H9498">
        <f>VLOOKUP(D9474,'Detail Balok'!$C$10:$BJ$110,50,FALSE)</f>
        <v>100</v>
      </c>
      <c r="J9498">
        <f>(D9475-2*F$5)/1000</f>
        <v>0.12</v>
      </c>
      <c r="K9498" t="str">
        <v>+</v>
      </c>
      <c r="L9498">
        <f>IF(D9498=0,2*MAX(6*F9498,75),(D9498-1)*2*MAX(6*F9498,75))/1000</f>
        <v>0.15</v>
      </c>
      <c r="M9498" t="str">
        <v>=</v>
      </c>
      <c r="N9498">
        <f>J9498+L9498</f>
        <v>0.27</v>
      </c>
      <c r="T9498" t="str">
        <v>x</v>
      </c>
      <c r="U9498">
        <f>0.006165*F9498^2</f>
        <v>0</v>
      </c>
      <c r="V9498" t="str">
        <v>x</v>
      </c>
      <c r="W9498">
        <f>W9494</f>
        <v>18</v>
      </c>
      <c r="X9498" t="str">
        <v>x</v>
      </c>
      <c r="Y9498">
        <f>D9484</f>
        <v>3</v>
      </c>
      <c r="Z9498" t="str">
        <v>=</v>
      </c>
      <c r="AA9498">
        <f>N9498*U9498*W9498*Y9498</f>
        <v>0</v>
      </c>
    </row>
    <row r="9499">
      <c r="A9499" t="str">
        <f>A9474</f>
        <v>Lantai Attic</v>
      </c>
      <c r="B9499">
        <f>B9474</f>
        <v>52</v>
      </c>
      <c r="C9499" t="str">
        <v>Kait Horizontal Lap.</v>
      </c>
      <c r="D9499">
        <f>VLOOKUP(D9474,'Detail Balok'!$C$10:$BJ$110,51,FALSE)</f>
        <v>0</v>
      </c>
      <c r="E9499" t="str">
        <v>D</v>
      </c>
      <c r="F9499">
        <f>VLOOKUP(D9474,'Detail Balok'!$C$10:$BJ$110,53,FALSE)</f>
        <v>0</v>
      </c>
      <c r="G9499" t="str">
        <v>-</v>
      </c>
      <c r="H9499">
        <f>VLOOKUP(D9474,'Detail Balok'!$C$10:$BJ$110,55,FALSE)</f>
        <v>100</v>
      </c>
      <c r="J9499">
        <f>(D9475-2*F$5)/1000</f>
        <v>0.12</v>
      </c>
      <c r="K9499" t="str">
        <v>+</v>
      </c>
      <c r="L9499">
        <f>IF(D9499=0,2*MAX(6*F9499,75),(D9499-1)*2*MAX(6*F9499,75))/1000</f>
        <v>0.15</v>
      </c>
      <c r="M9499" t="str">
        <v>=</v>
      </c>
      <c r="N9499">
        <f>J9499+L9499</f>
        <v>0.27</v>
      </c>
      <c r="T9499" t="str">
        <v>x</v>
      </c>
      <c r="U9499">
        <f>0.006165*F9499^2</f>
        <v>0</v>
      </c>
      <c r="V9499" t="str">
        <v>x</v>
      </c>
      <c r="W9499">
        <f>W9495</f>
        <v>13</v>
      </c>
      <c r="X9499" t="str">
        <v>x</v>
      </c>
      <c r="Y9499">
        <f>D9484</f>
        <v>3</v>
      </c>
      <c r="Z9499" t="str">
        <v>=</v>
      </c>
      <c r="AA9499">
        <f>N9499*U9499*W9499*Y9499</f>
        <v>0</v>
      </c>
    </row>
    <row r="9500">
      <c r="A9500" t="str">
        <f>A9474</f>
        <v>Lantai Attic</v>
      </c>
      <c r="B9500">
        <f>B9474</f>
        <v>52</v>
      </c>
      <c r="C9500" t="str">
        <v>Kait Horizontal Tump.</v>
      </c>
      <c r="D9500">
        <f>VLOOKUP(D9474,'Detail Balok'!$C$10:$BJ$110,56,FALSE)</f>
        <v>0</v>
      </c>
      <c r="E9500" t="str">
        <v>D</v>
      </c>
      <c r="F9500">
        <f>VLOOKUP(D9474,'Detail Balok'!$C$10:$BJ$110,58,FALSE)</f>
        <v>0</v>
      </c>
      <c r="G9500" t="str">
        <v>-</v>
      </c>
      <c r="H9500">
        <f>VLOOKUP(D9474,'Detail Balok'!$C$10:$BJ$110,60,FALSE)</f>
        <v>100</v>
      </c>
      <c r="J9500">
        <f>(D9475-2*F$5)/1000</f>
        <v>0.12</v>
      </c>
      <c r="K9500" t="str">
        <v>+</v>
      </c>
      <c r="L9500">
        <f>IF(D9500=0,2*MAX(6*F9500,75),(D9500-1)*2*MAX(6*F9500,75))/1000</f>
        <v>0.15</v>
      </c>
      <c r="M9500" t="str">
        <v>=</v>
      </c>
      <c r="N9500">
        <f>J9500+L9500</f>
        <v>0.27</v>
      </c>
      <c r="T9500" t="str">
        <v>x</v>
      </c>
      <c r="U9500">
        <f>0.006165*F9500^2</f>
        <v>0</v>
      </c>
      <c r="V9500" t="str">
        <v>x</v>
      </c>
      <c r="W9500">
        <f>W9496</f>
        <v>18</v>
      </c>
      <c r="X9500" t="str">
        <v>x</v>
      </c>
      <c r="Y9500">
        <f>D9484</f>
        <v>3</v>
      </c>
      <c r="Z9500" t="str">
        <v>=</v>
      </c>
      <c r="AA9500">
        <f>N9500*U9500*W9500*Y9500</f>
        <v>0</v>
      </c>
    </row>
    <row r="9504">
      <c r="A9504" t="str">
        <f>A9474</f>
        <v>Lantai Attic</v>
      </c>
      <c r="B9504">
        <f>B9474+1</f>
        <v>53</v>
      </c>
      <c r="C9504" t="str">
        <f>CONCATENATE(A9504," no. ",B9504)</f>
        <v>Lantai Attic no. 53</v>
      </c>
      <c r="D9504" t="str">
        <f>VLOOKUP(C9504,'Data Panjang Balok'!$C$9:$N$424,2,FALSE)</f>
        <v>B245-4</v>
      </c>
    </row>
    <row r="9505">
      <c r="C9505" t="str">
        <v>Dimensi</v>
      </c>
      <c r="D9505">
        <f>VLOOKUP(D9504,'Detail Balok'!$C$10:$AU$110,2,FALSE)</f>
        <v>200</v>
      </c>
      <c r="F9505" t="str">
        <v>x</v>
      </c>
      <c r="G9505">
        <f>VLOOKUP(D9504,'Detail Balok'!$C$10:$AU$110,3,FALSE)</f>
        <v>450</v>
      </c>
    </row>
    <row r="9506">
      <c r="C9506" t="str">
        <v>Panjang as ke as</v>
      </c>
      <c r="D9506">
        <f>VLOOKUP(C9504,'Data Panjang Balok'!$C$9:$N$424,4,FALSE)</f>
        <v>5300</v>
      </c>
    </row>
    <row r="9507">
      <c r="C9507" t="str">
        <v>Panjang netto</v>
      </c>
      <c r="D9507">
        <f>VLOOKUP(C9504,'Data Panjang Balok'!$C$9:$N$424,7,FALSE)</f>
        <v>5300</v>
      </c>
    </row>
    <row r="9508">
      <c r="C9508" t="str">
        <v>Kolom / balok kiri</v>
      </c>
      <c r="D9508">
        <f>VLOOKUP(C9504,'Data Panjang Balok'!$C$9:$N$424,9,FALSE)</f>
        <v>0</v>
      </c>
    </row>
    <row r="9509">
      <c r="C9509" t="str">
        <v>Kolom / balok kanan</v>
      </c>
      <c r="D9509">
        <f>VLOOKUP(C9504,'Data Panjang Balok'!$C$9:$N$424,10,FALSE)</f>
        <v>0</v>
      </c>
    </row>
    <row r="9510">
      <c r="C9510" t="str">
        <v>Jumlah</v>
      </c>
      <c r="D9510">
        <f>VLOOKUP(C9504,'Data Panjang Balok'!$C$9:$N$424,3,FALSE)</f>
        <v>1</v>
      </c>
    </row>
    <row r="9511">
      <c r="A9511" t="str">
        <f>A9504</f>
        <v>Lantai Attic</v>
      </c>
      <c r="B9511">
        <f>B9504</f>
        <v>53</v>
      </c>
      <c r="C9511" t="str">
        <v>Tul Atas Tumpuan</v>
      </c>
      <c r="D9511">
        <f>VLOOKUP(D9504,'Detail Balok'!$C$10:$AU$110,4,FALSE)</f>
        <v>3</v>
      </c>
      <c r="E9511" t="str">
        <v>D</v>
      </c>
      <c r="F9511">
        <f>VLOOKUP(D9504,'Detail Balok'!$C$10:$AU$110,6,FALSE)</f>
        <v>16</v>
      </c>
      <c r="I9511" t="str">
        <v>(</v>
      </c>
      <c r="J9511">
        <f>+D9506/4/1000</f>
        <v>1.325</v>
      </c>
      <c r="K9511" t="str">
        <v>+</v>
      </c>
      <c r="L9511">
        <f>MAX(VLOOKUP(F9511,N$6:P$15,3,FALSE)/1000,2/3*D9508/1000)+F$16*F9511/1000</f>
        <v>0.192</v>
      </c>
      <c r="M9511" t="str">
        <v>=</v>
      </c>
      <c r="N9511">
        <f>J9511+L9511</f>
        <v>1.517</v>
      </c>
      <c r="O9511" t="str">
        <v>+</v>
      </c>
      <c r="P9511">
        <f>D9511-D9512</f>
        <v>0</v>
      </c>
      <c r="Q9511" t="str">
        <v>x</v>
      </c>
      <c r="R9511">
        <f>IF(P9511&gt;0,$F$18*F9511/1000,0)</f>
        <v>0</v>
      </c>
      <c r="S9511" t="str">
        <v>)</v>
      </c>
      <c r="T9511" t="str">
        <v>x</v>
      </c>
      <c r="U9511">
        <f>0.006165*F9511^2</f>
        <v>1.57824</v>
      </c>
      <c r="X9511" t="str">
        <v>x</v>
      </c>
      <c r="Y9511">
        <f>D9510</f>
        <v>1</v>
      </c>
      <c r="Z9511" t="str">
        <v>=</v>
      </c>
      <c r="AA9511">
        <f>IF(AA9514=0,(D9511*N9511+P9511*R9511)*U9511*Y9511,0)</f>
        <v>0</v>
      </c>
    </row>
    <row r="9512">
      <c r="A9512" t="str">
        <f>A9504</f>
        <v>Lantai Attic</v>
      </c>
      <c r="B9512">
        <f>B9504</f>
        <v>53</v>
      </c>
      <c r="C9512" t="str">
        <v>Tul Atas Lapangan</v>
      </c>
      <c r="D9512">
        <f>VLOOKUP(D9504,'Detail Balok'!$C$10:$AU$110,7,FALSE)</f>
        <v>3</v>
      </c>
      <c r="E9512" t="str">
        <v>D</v>
      </c>
      <c r="F9512">
        <f>VLOOKUP(D9504,'Detail Balok'!$C$10:$AU$110,9,FALSE)</f>
        <v>16</v>
      </c>
      <c r="I9512" t="str">
        <v>(</v>
      </c>
      <c r="J9512">
        <f>+D9506/2/1000</f>
        <v>2.65</v>
      </c>
      <c r="K9512" t="str">
        <v>+</v>
      </c>
      <c r="M9512" t="str">
        <v>=</v>
      </c>
      <c r="N9512">
        <f>J9512+L9512</f>
        <v>2.65</v>
      </c>
      <c r="O9512" t="str">
        <v>+</v>
      </c>
      <c r="P9512">
        <f>MAX(D9512-D9511,D9512-D9513)</f>
        <v>0</v>
      </c>
      <c r="Q9512" t="str">
        <v>x</v>
      </c>
      <c r="R9512">
        <f>IF(P9512&gt;0,2*(1-2*$F$19-1/2)*D9507/1000,0)</f>
        <v>0</v>
      </c>
      <c r="S9512" t="str">
        <v>)</v>
      </c>
      <c r="T9512" t="str">
        <v>x</v>
      </c>
      <c r="U9512">
        <f>0.006165*F9512^2</f>
        <v>1.57824</v>
      </c>
      <c r="X9512" t="str">
        <v>x</v>
      </c>
      <c r="Y9512">
        <f>D9510</f>
        <v>1</v>
      </c>
      <c r="Z9512" t="str">
        <v>=</v>
      </c>
      <c r="AA9512">
        <f>IF(AA9514=0,(D9512*N9512+P9512*R9512)*U9512*Y9512,0)</f>
        <v>0</v>
      </c>
    </row>
    <row r="9513">
      <c r="A9513" t="str">
        <f>A9504</f>
        <v>Lantai Attic</v>
      </c>
      <c r="B9513">
        <f>B9504</f>
        <v>53</v>
      </c>
      <c r="C9513" t="str">
        <v>Tul Atas Tumpuan</v>
      </c>
      <c r="D9513">
        <f>VLOOKUP(D9504,'Detail Balok'!$C$10:$AU$110,10,FALSE)</f>
        <v>3</v>
      </c>
      <c r="E9513" t="str">
        <v>D</v>
      </c>
      <c r="F9513">
        <f>VLOOKUP(D9504,'Detail Balok'!$C$10:$AU$110,12,FALSE)</f>
        <v>16</v>
      </c>
      <c r="I9513" t="str">
        <v>(</v>
      </c>
      <c r="J9513">
        <f>+D9506/4/1000</f>
        <v>1.325</v>
      </c>
      <c r="K9513" t="str">
        <v>+</v>
      </c>
      <c r="L9513">
        <f>MAX(VLOOKUP(F9513,N$6:P$15,3,FALSE)/1000,2/3*D9508/1000)+F$16*F9513/1000</f>
        <v>0.192</v>
      </c>
      <c r="M9513" t="str">
        <v>=</v>
      </c>
      <c r="N9513">
        <f>J9513+L9513</f>
        <v>1.517</v>
      </c>
      <c r="O9513" t="str">
        <v>+</v>
      </c>
      <c r="P9513">
        <f>D9513-D9512</f>
        <v>0</v>
      </c>
      <c r="Q9513" t="str">
        <v>x</v>
      </c>
      <c r="R9513">
        <f>IF(P9513&gt;0,$F$18*F9513/1000,0)</f>
        <v>0</v>
      </c>
      <c r="S9513" t="str">
        <v>)</v>
      </c>
      <c r="T9513" t="str">
        <v>x</v>
      </c>
      <c r="U9513">
        <f>0.006165*F9513^2</f>
        <v>1.57824</v>
      </c>
      <c r="X9513" t="str">
        <v>x</v>
      </c>
      <c r="Y9513">
        <f>D9510</f>
        <v>1</v>
      </c>
      <c r="Z9513" t="str">
        <v>=</v>
      </c>
      <c r="AA9513">
        <f>IF(AA9514=0,(D9513*N9513+P9513*R9513)*U9513*Y9513,0)</f>
        <v>0</v>
      </c>
    </row>
    <row r="9514">
      <c r="A9514" t="str">
        <f>A9504</f>
        <v>Lantai Attic</v>
      </c>
      <c r="B9514">
        <f>B9504</f>
        <v>53</v>
      </c>
      <c r="D9514">
        <f>IF(AND(D9511=D9512,D9512=D9513,D9511=D9513),D9511,0)</f>
        <v>3</v>
      </c>
      <c r="E9514" t="str">
        <v>D</v>
      </c>
      <c r="F9514">
        <f>IF(AND(F9511=F9512,F9511=F9513,F9512=F9513),F9511,0)</f>
        <v>16</v>
      </c>
      <c r="L9514" t="str">
        <v>Total panjang per balok</v>
      </c>
      <c r="M9514" t="str">
        <v>=</v>
      </c>
      <c r="N9514">
        <f>IF(AND(D9511=D9512,D9511=D9513,D9512=D9513,F9511=F9512,F9511=F9513,F9512=F9513),SUM(N9511:N9513),0)</f>
        <v>5.683999999999999</v>
      </c>
      <c r="O9514" t="str">
        <v>+</v>
      </c>
      <c r="P9514">
        <f>IF(N9514&gt;12,ROUNDDOWN(N9514/12,0),0)</f>
        <v>0</v>
      </c>
      <c r="Q9514" t="str">
        <v>x</v>
      </c>
      <c r="R9514">
        <f>IF(P9514&gt;0,MAX(VLOOKUP(F9514,$D$6:$G$15,3,FALSE),600),0)/1000</f>
        <v>0</v>
      </c>
      <c r="T9514" t="str">
        <v>x</v>
      </c>
      <c r="U9514">
        <f>U9513</f>
        <v>1.57824</v>
      </c>
      <c r="V9514" t="str">
        <v>x</v>
      </c>
      <c r="W9514">
        <f>D9514</f>
        <v>3</v>
      </c>
      <c r="X9514" t="str">
        <v>x</v>
      </c>
      <c r="Y9514">
        <f>Y9513</f>
        <v>1</v>
      </c>
      <c r="Z9514" t="str">
        <v>=</v>
      </c>
      <c r="AA9514">
        <f>(N9514+P9514*R9514/1000)*U9514*W9514*Y9514</f>
        <v>26.912148479999995</v>
      </c>
    </row>
    <row r="9516">
      <c r="A9516" t="str">
        <f>A9504</f>
        <v>Lantai Attic</v>
      </c>
      <c r="B9516">
        <f>B9504</f>
        <v>53</v>
      </c>
      <c r="C9516" t="str">
        <v>Tul Peminggang</v>
      </c>
      <c r="D9516">
        <f>VLOOKUP(D9504,'Detail Balok'!$C$10:$AU$110,13,FALSE)</f>
        <v>2</v>
      </c>
      <c r="E9516" t="str">
        <v>D</v>
      </c>
      <c r="F9516">
        <f>VLOOKUP(D9504,'Detail Balok'!$C$10:$AU$110,15,FALSE)</f>
        <v>8</v>
      </c>
      <c r="J9516">
        <f>+D9506/1000</f>
        <v>5.3</v>
      </c>
      <c r="K9516" t="str">
        <v>+</v>
      </c>
      <c r="L9516">
        <f>2*$F$16*F9516/1000</f>
        <v>0.192</v>
      </c>
      <c r="M9516" t="str">
        <v>=</v>
      </c>
      <c r="N9516">
        <f>J9516+L9516</f>
        <v>5.492</v>
      </c>
      <c r="O9516" t="str">
        <v>+</v>
      </c>
      <c r="P9516">
        <f>IF(N9516&gt;12,ROUNDDOWN(N9516/12,0),0)</f>
        <v>0</v>
      </c>
      <c r="Q9516" t="str">
        <v>x</v>
      </c>
      <c r="R9516">
        <f>IF(P9516&gt;0,MAX(VLOOKUP(F9516,$D$6:$G$15,3,FALSE),600),0)/1000</f>
        <v>0</v>
      </c>
      <c r="T9516" t="str">
        <v>x</v>
      </c>
      <c r="U9516">
        <f>0.006165*F9516^2</f>
        <v>0.39456</v>
      </c>
      <c r="V9516" t="str">
        <v>x</v>
      </c>
      <c r="W9516">
        <f>+D9516</f>
        <v>2</v>
      </c>
      <c r="X9516" t="str">
        <v>x</v>
      </c>
      <c r="Y9516">
        <f>D9510</f>
        <v>1</v>
      </c>
      <c r="Z9516" t="str">
        <v>=</v>
      </c>
      <c r="AA9516">
        <f>(N9516+P9516*R9516/1000)*U9516*W9516*Y9516</f>
        <v>4.33384704</v>
      </c>
    </row>
    <row r="9519">
      <c r="A9519" t="str">
        <f>A9504</f>
        <v>Lantai Attic</v>
      </c>
      <c r="B9519">
        <f>B9504</f>
        <v>53</v>
      </c>
      <c r="C9519" t="str">
        <v>Tul Bawah Tumpuan</v>
      </c>
      <c r="D9519">
        <f>VLOOKUP(D9504,'Detail Balok'!$C$10:$AU$110,22,FALSE)</f>
        <v>3</v>
      </c>
      <c r="E9519" t="str">
        <v>D</v>
      </c>
      <c r="F9519">
        <f>VLOOKUP(D9504,'Detail Balok'!$C$10:$AU$110,24,FALSE)</f>
        <v>16</v>
      </c>
      <c r="I9519" t="str">
        <v>(</v>
      </c>
      <c r="J9519">
        <f>+J9511</f>
        <v>1.325</v>
      </c>
      <c r="K9519" t="str">
        <v>+</v>
      </c>
      <c r="L9519">
        <f>MAX(VLOOKUP(F9519,N$6:P$15,3,FALSE)/1000,2/3*D9509/1000)+F$16*F9519/1000</f>
        <v>0.192</v>
      </c>
      <c r="M9519" t="str">
        <v>=</v>
      </c>
      <c r="N9519">
        <f>J9519+L9519</f>
        <v>1.517</v>
      </c>
      <c r="O9519" t="str">
        <v>+</v>
      </c>
      <c r="P9519">
        <f>D9519-D9520</f>
        <v>0</v>
      </c>
      <c r="Q9519" t="str">
        <v>x</v>
      </c>
      <c r="R9519">
        <f>IF(P9519&gt;0,$F$18*F9519/1000,0)</f>
        <v>0</v>
      </c>
      <c r="S9519" t="str">
        <v>)</v>
      </c>
      <c r="T9519" t="str">
        <v>x</v>
      </c>
      <c r="U9519">
        <f>0.006165*F9519^2</f>
        <v>1.57824</v>
      </c>
      <c r="X9519" t="str">
        <v>x</v>
      </c>
      <c r="Y9519">
        <f>D9510</f>
        <v>1</v>
      </c>
      <c r="Z9519" t="str">
        <v>=</v>
      </c>
      <c r="AA9519">
        <f>IF(AA9522=0,(D9519*N9519+P9519*R9519)*U9519*Y9519,0)</f>
        <v>0</v>
      </c>
    </row>
    <row r="9520">
      <c r="A9520" t="str">
        <f>A9504</f>
        <v>Lantai Attic</v>
      </c>
      <c r="B9520">
        <f>B9504</f>
        <v>53</v>
      </c>
      <c r="C9520" t="str">
        <v>Tul Bawah Lapangan</v>
      </c>
      <c r="D9520">
        <f>VLOOKUP(D9504,'Detail Balok'!$C$10:$AU$110,25,FALSE)</f>
        <v>3</v>
      </c>
      <c r="E9520" t="str">
        <v>D</v>
      </c>
      <c r="F9520">
        <f>VLOOKUP(D9504,'Detail Balok'!$C$10:$AU$110,27,FALSE)</f>
        <v>16</v>
      </c>
      <c r="I9520" t="str">
        <v>(</v>
      </c>
      <c r="J9520">
        <f>+J9512</f>
        <v>2.65</v>
      </c>
      <c r="K9520" t="str">
        <v>+</v>
      </c>
      <c r="M9520" t="str">
        <v>=</v>
      </c>
      <c r="N9520">
        <f>J9520+L9520</f>
        <v>2.65</v>
      </c>
      <c r="O9520" t="str">
        <v>+</v>
      </c>
      <c r="P9520">
        <f>MAX(D9520-D9519,D9520-D9521)</f>
        <v>0</v>
      </c>
      <c r="Q9520" t="str">
        <v>x</v>
      </c>
      <c r="R9520">
        <f>IF(P9520&gt;0,2*(1-2*$F$19-1/2)*D9507/1000,0)</f>
        <v>0</v>
      </c>
      <c r="S9520" t="str">
        <v>)</v>
      </c>
      <c r="T9520" t="str">
        <v>x</v>
      </c>
      <c r="U9520">
        <f>0.006165*F9520^2</f>
        <v>1.57824</v>
      </c>
      <c r="X9520" t="str">
        <v>x</v>
      </c>
      <c r="Y9520">
        <f>D9510</f>
        <v>1</v>
      </c>
      <c r="Z9520" t="str">
        <v>=</v>
      </c>
      <c r="AA9520">
        <f>IF(AA9522=0,(D9520*N9520+P9520*R9520)*U9520*Y9520,0)</f>
        <v>0</v>
      </c>
    </row>
    <row r="9521">
      <c r="A9521" t="str">
        <f>A9504</f>
        <v>Lantai Attic</v>
      </c>
      <c r="B9521">
        <f>B9504</f>
        <v>53</v>
      </c>
      <c r="C9521" t="str">
        <v>Tul Bawah Tumpuan</v>
      </c>
      <c r="D9521">
        <f>VLOOKUP(D9504,'Detail Balok'!$C$10:$AU$110,28,FALSE)</f>
        <v>3</v>
      </c>
      <c r="E9521" t="str">
        <v>D</v>
      </c>
      <c r="F9521">
        <f>VLOOKUP(D9504,'Detail Balok'!$C$10:$AU$110,30,FALSE)</f>
        <v>16</v>
      </c>
      <c r="I9521" t="str">
        <v>(</v>
      </c>
      <c r="J9521">
        <f>+J9513</f>
        <v>1.325</v>
      </c>
      <c r="K9521" t="str">
        <v>+</v>
      </c>
      <c r="L9521">
        <f>MAX(VLOOKUP(F9521,N$6:P$15,3,FALSE)/1000,2/3*D9509/1000)+F$16*F9521/1000</f>
        <v>0.192</v>
      </c>
      <c r="M9521" t="str">
        <v>=</v>
      </c>
      <c r="N9521">
        <f>J9521+L9521</f>
        <v>1.517</v>
      </c>
      <c r="O9521" t="str">
        <v>+</v>
      </c>
      <c r="P9521">
        <f>D9521-D9520</f>
        <v>0</v>
      </c>
      <c r="Q9521" t="str">
        <v>x</v>
      </c>
      <c r="R9521">
        <f>IF(P9521&gt;0,$F$18*F9521/1000,0)</f>
        <v>0</v>
      </c>
      <c r="S9521" t="str">
        <v>)</v>
      </c>
      <c r="T9521" t="str">
        <v>x</v>
      </c>
      <c r="U9521">
        <f>0.006165*F9521^2</f>
        <v>1.57824</v>
      </c>
      <c r="X9521" t="str">
        <v>x</v>
      </c>
      <c r="Y9521">
        <f>D9510</f>
        <v>1</v>
      </c>
      <c r="Z9521" t="str">
        <v>=</v>
      </c>
      <c r="AA9521">
        <f>IF(AA9522=0,(D9521*N9521+P9521*R9521)*U9521*Y9521,0)</f>
        <v>0</v>
      </c>
    </row>
    <row r="9522">
      <c r="A9522" t="str">
        <f>A9504</f>
        <v>Lantai Attic</v>
      </c>
      <c r="B9522">
        <f>B9504</f>
        <v>53</v>
      </c>
      <c r="D9522">
        <f>IF(AND(D9519=D9520,D9520=D9521,D9519=D9521),D9519,0)</f>
        <v>3</v>
      </c>
      <c r="E9522" t="str">
        <v>D</v>
      </c>
      <c r="F9522">
        <f>IF(AND(F9519=F9520,F9519=F9521,F9520=F9521),F9519,0)</f>
        <v>16</v>
      </c>
      <c r="L9522" t="str">
        <v>Total panjang per balok</v>
      </c>
      <c r="M9522" t="str">
        <v>=</v>
      </c>
      <c r="N9522">
        <f>IF(AND(D9519=D9520,D9519=D9521,D9520=D9521,F9519=F9520,F9519=F9521,F9520=F9521),SUM(N9519:N9521),0)</f>
        <v>5.683999999999999</v>
      </c>
      <c r="O9522" t="str">
        <v>+</v>
      </c>
      <c r="P9522">
        <f>IF(N9522&gt;12,ROUNDDOWN(N9522/12,0),0)</f>
        <v>0</v>
      </c>
      <c r="Q9522" t="str">
        <v>x</v>
      </c>
      <c r="R9522">
        <f>IF(P9522&gt;0,MAX(VLOOKUP(F9522,$D$6:$G$15,3,FALSE),600),0)/1000</f>
        <v>0</v>
      </c>
      <c r="T9522" t="str">
        <v>x</v>
      </c>
      <c r="U9522">
        <f>U9521</f>
        <v>1.57824</v>
      </c>
      <c r="V9522" t="str">
        <v>x</v>
      </c>
      <c r="W9522">
        <f>D9522</f>
        <v>3</v>
      </c>
      <c r="X9522" t="str">
        <v>x</v>
      </c>
      <c r="Y9522">
        <f>Y9521</f>
        <v>1</v>
      </c>
      <c r="Z9522" t="str">
        <v>=</v>
      </c>
      <c r="AA9522">
        <f>(N9522+P9522*R9522/1000)*U9522*W9522*Y9522</f>
        <v>26.912148479999995</v>
      </c>
    </row>
    <row r="9524">
      <c r="A9524" t="str">
        <f>A9504</f>
        <v>Lantai Attic</v>
      </c>
      <c r="B9524">
        <f>B9504</f>
        <v>53</v>
      </c>
      <c r="C9524" t="str">
        <v>Sengkang Tumpuan</v>
      </c>
      <c r="D9524">
        <f>VLOOKUP(D9504,'Detail Balok'!$C$10:$AU$110,31,FALSE)</f>
        <v>0</v>
      </c>
      <c r="E9524" t="str">
        <v>D</v>
      </c>
      <c r="F9524">
        <f>VLOOKUP(D9504,'Detail Balok'!$C$10:$AU$110,33,FALSE)</f>
        <v>8</v>
      </c>
      <c r="G9524" t="str">
        <v>-</v>
      </c>
      <c r="H9524">
        <f>VLOOKUP(D9504,'Detail Balok'!$C$10:$AU$110,35,FALSE)</f>
        <v>100</v>
      </c>
      <c r="J9524">
        <f>(IF(D9524=0,(2*(D9505+G9505))-(F$5*8),IF(D9524=3,(2*(D9505+G9505))-(F$5*8)+(G9505-2*F$5),IF(D9524=4,(2*(D9505+G9505))-(F$5*8)+2*(G9505-2*F$5)))))/1000</f>
        <v>0.98</v>
      </c>
      <c r="K9524" t="str">
        <v>+</v>
      </c>
      <c r="L9524">
        <f>IF(D9524=0,2*MAX(6*F9524,75),(D9524-1)*2*MAX(6*F9524,75))/1000</f>
        <v>0.15</v>
      </c>
      <c r="M9524" t="str">
        <v>=</v>
      </c>
      <c r="N9524">
        <f>J9524+L9524</f>
        <v>1.13</v>
      </c>
      <c r="T9524" t="str">
        <v>x</v>
      </c>
      <c r="U9524">
        <f>0.006165*F9524^2</f>
        <v>0.39456</v>
      </c>
      <c r="V9524" t="str">
        <v>x</v>
      </c>
      <c r="W9524">
        <f>IF(D9507&gt;4*G9505,ROUND(MAX(D9507/4,2*G9505)/H9524,0)+1,ROUND(D9507/H9524,0)+1)</f>
        <v>14</v>
      </c>
      <c r="X9524" t="str">
        <v>x</v>
      </c>
      <c r="Y9524">
        <f>D9510</f>
        <v>1</v>
      </c>
      <c r="Z9524" t="str">
        <v>=</v>
      </c>
      <c r="AA9524">
        <f>N9524*U9524*W9524*Y9524</f>
        <v>6.2419392</v>
      </c>
    </row>
    <row r="9525">
      <c r="A9525" t="str">
        <f>A9504</f>
        <v>Lantai Attic</v>
      </c>
      <c r="B9525">
        <f>B9504</f>
        <v>53</v>
      </c>
      <c r="C9525" t="str">
        <v>Sengkang Lapangan</v>
      </c>
      <c r="D9525">
        <f>VLOOKUP(D9504,'Detail Balok'!$C$10:$AU$110,36,FALSE)</f>
        <v>0</v>
      </c>
      <c r="E9525" t="str">
        <v>D</v>
      </c>
      <c r="F9525">
        <f>VLOOKUP(D9504,'Detail Balok'!$C$10:$AU$110,38,FALSE)</f>
        <v>8</v>
      </c>
      <c r="G9525" t="str">
        <v>-</v>
      </c>
      <c r="H9525">
        <f>VLOOKUP(D9504,'Detail Balok'!$C$10:$AU$110,40,FALSE)</f>
        <v>200</v>
      </c>
      <c r="J9525">
        <f>(IF(D9525=0,(2*(D9505+G9505))-(F$5*8),IF(D9525=3,(2*(D9505+G9505))-(F$5*8)+(G9505-2*F$5),IF(D9525=4,(2*(D9505+G9505))-(F$5*8)+2*(G9505-2*F$5)))))/1000</f>
        <v>0.98</v>
      </c>
      <c r="K9525" t="str">
        <v>+</v>
      </c>
      <c r="L9525">
        <f>IF(D9525=0,2*MAX(6*F9525,75),(D9525-1)*2*MAX(6*F9525,75))/1000</f>
        <v>0.15</v>
      </c>
      <c r="M9525" t="str">
        <v>=</v>
      </c>
      <c r="N9525">
        <f>J9525+L9525</f>
        <v>1.13</v>
      </c>
      <c r="T9525" t="str">
        <v>x</v>
      </c>
      <c r="U9525">
        <f>0.006165*F9525^2</f>
        <v>0.39456</v>
      </c>
      <c r="V9525" t="str">
        <v>x</v>
      </c>
      <c r="W9525">
        <f>IF(D9507-MAX(D9507/4,2*G9505)*2&gt;0,ROUND((D9507-MAX(D9507/4,2*G9505)*2)/H9525,0),0)</f>
        <v>13</v>
      </c>
      <c r="X9525" t="str">
        <v>x</v>
      </c>
      <c r="Y9525">
        <f>D9510</f>
        <v>1</v>
      </c>
      <c r="Z9525" t="str">
        <v>=</v>
      </c>
      <c r="AA9525">
        <f>N9525*U9525*W9525*Y9525</f>
        <v>5.7960864</v>
      </c>
    </row>
    <row r="9526">
      <c r="A9526" t="str">
        <f>A9504</f>
        <v>Lantai Attic</v>
      </c>
      <c r="B9526">
        <f>B9504</f>
        <v>53</v>
      </c>
      <c r="C9526" t="str">
        <v>Sengkang Tumpuan</v>
      </c>
      <c r="D9526">
        <f>VLOOKUP(D9504,'Detail Balok'!$C$10:$AU$110,41,FALSE)</f>
        <v>0</v>
      </c>
      <c r="E9526" t="str">
        <v>D</v>
      </c>
      <c r="F9526">
        <f>VLOOKUP(D9504,'Detail Balok'!$C$10:$AU$110,43,FALSE)</f>
        <v>8</v>
      </c>
      <c r="G9526" t="str">
        <v>-</v>
      </c>
      <c r="H9526">
        <f>VLOOKUP(D9504,'Detail Balok'!$C$10:$AU$110,45,FALSE)</f>
        <v>100</v>
      </c>
      <c r="J9526">
        <f>(IF(D9526=0,(2*(D9505+G9505))-(F$5*8),IF(D9526=3,(2*(D9505+G9505))-(F$5*8)+(G9505-2*F$5),IF(D9526=4,(2*(D9505+G9505))-(F$5*8)+2*(G9505-2*F$5)))))/1000</f>
        <v>0.98</v>
      </c>
      <c r="K9526" t="str">
        <v>+</v>
      </c>
      <c r="L9526">
        <f>IF(D9526=0,2*MAX(6*F9526,75),(D9526-1)*2*MAX(6*F9526,75))/1000</f>
        <v>0.15</v>
      </c>
      <c r="M9526" t="str">
        <v>=</v>
      </c>
      <c r="N9526">
        <f>J9526+L9526</f>
        <v>1.13</v>
      </c>
      <c r="T9526" t="str">
        <v>x</v>
      </c>
      <c r="U9526">
        <f>0.006165*F9526^2</f>
        <v>0.39456</v>
      </c>
      <c r="V9526" t="str">
        <v>x</v>
      </c>
      <c r="W9526">
        <f>IF(D9507&gt;4*G9505,ROUND(MAX(D9507/4,2*G9505)/H9526,0)+1,0)</f>
        <v>14</v>
      </c>
      <c r="X9526" t="str">
        <v>x</v>
      </c>
      <c r="Y9526">
        <f>D9510</f>
        <v>1</v>
      </c>
      <c r="Z9526" t="str">
        <v>=</v>
      </c>
      <c r="AA9526">
        <f>N9526*U9526*W9526*Y9526</f>
        <v>6.2419392</v>
      </c>
    </row>
    <row r="9528">
      <c r="A9528" t="str">
        <f>A9504</f>
        <v>Lantai Attic</v>
      </c>
      <c r="B9528">
        <f>B9504</f>
        <v>53</v>
      </c>
      <c r="C9528" t="str">
        <v>Kait Horizontal Tump.</v>
      </c>
      <c r="D9528">
        <f>VLOOKUP(D9504,'Detail Balok'!$C$10:$BJ$110,46,FALSE)</f>
        <v>0</v>
      </c>
      <c r="E9528" t="str">
        <v>D</v>
      </c>
      <c r="F9528">
        <f>VLOOKUP(D9504,'Detail Balok'!$C$10:$BJ$110,48,FALSE)</f>
        <v>0</v>
      </c>
      <c r="G9528" t="str">
        <v>-</v>
      </c>
      <c r="H9528">
        <f>VLOOKUP(D9504,'Detail Balok'!$C$10:$BJ$110,50,FALSE)</f>
        <v>100</v>
      </c>
      <c r="J9528">
        <f>(D9505-2*F$5)/1000</f>
        <v>0.12</v>
      </c>
      <c r="K9528" t="str">
        <v>+</v>
      </c>
      <c r="L9528">
        <f>IF(D9528=0,2*MAX(6*F9528,75),(D9528-1)*2*MAX(6*F9528,75))/1000</f>
        <v>0.15</v>
      </c>
      <c r="M9528" t="str">
        <v>=</v>
      </c>
      <c r="N9528">
        <f>J9528+L9528</f>
        <v>0.27</v>
      </c>
      <c r="T9528" t="str">
        <v>x</v>
      </c>
      <c r="U9528">
        <f>0.006165*F9528^2</f>
        <v>0</v>
      </c>
      <c r="V9528" t="str">
        <v>x</v>
      </c>
      <c r="W9528">
        <f>W9524</f>
        <v>14</v>
      </c>
      <c r="X9528" t="str">
        <v>x</v>
      </c>
      <c r="Y9528">
        <f>D9514</f>
        <v>3</v>
      </c>
      <c r="Z9528" t="str">
        <v>=</v>
      </c>
      <c r="AA9528">
        <f>N9528*U9528*W9528*Y9528</f>
        <v>0</v>
      </c>
    </row>
    <row r="9529">
      <c r="A9529" t="str">
        <f>A9504</f>
        <v>Lantai Attic</v>
      </c>
      <c r="B9529">
        <f>B9504</f>
        <v>53</v>
      </c>
      <c r="C9529" t="str">
        <v>Kait Horizontal Lap.</v>
      </c>
      <c r="D9529">
        <f>VLOOKUP(D9504,'Detail Balok'!$C$10:$BJ$110,51,FALSE)</f>
        <v>0</v>
      </c>
      <c r="E9529" t="str">
        <v>D</v>
      </c>
      <c r="F9529">
        <f>VLOOKUP(D9504,'Detail Balok'!$C$10:$BJ$110,53,FALSE)</f>
        <v>0</v>
      </c>
      <c r="G9529" t="str">
        <v>-</v>
      </c>
      <c r="H9529">
        <f>VLOOKUP(D9504,'Detail Balok'!$C$10:$BJ$110,55,FALSE)</f>
        <v>100</v>
      </c>
      <c r="J9529">
        <f>(D9505-2*F$5)/1000</f>
        <v>0.12</v>
      </c>
      <c r="K9529" t="str">
        <v>+</v>
      </c>
      <c r="L9529">
        <f>IF(D9529=0,2*MAX(6*F9529,75),(D9529-1)*2*MAX(6*F9529,75))/1000</f>
        <v>0.15</v>
      </c>
      <c r="M9529" t="str">
        <v>=</v>
      </c>
      <c r="N9529">
        <f>J9529+L9529</f>
        <v>0.27</v>
      </c>
      <c r="T9529" t="str">
        <v>x</v>
      </c>
      <c r="U9529">
        <f>0.006165*F9529^2</f>
        <v>0</v>
      </c>
      <c r="V9529" t="str">
        <v>x</v>
      </c>
      <c r="W9529">
        <f>W9525</f>
        <v>13</v>
      </c>
      <c r="X9529" t="str">
        <v>x</v>
      </c>
      <c r="Y9529">
        <f>D9514</f>
        <v>3</v>
      </c>
      <c r="Z9529" t="str">
        <v>=</v>
      </c>
      <c r="AA9529">
        <f>N9529*U9529*W9529*Y9529</f>
        <v>0</v>
      </c>
    </row>
    <row r="9530">
      <c r="A9530" t="str">
        <f>A9504</f>
        <v>Lantai Attic</v>
      </c>
      <c r="B9530">
        <f>B9504</f>
        <v>53</v>
      </c>
      <c r="C9530" t="str">
        <v>Kait Horizontal Tump.</v>
      </c>
      <c r="D9530">
        <f>VLOOKUP(D9504,'Detail Balok'!$C$10:$BJ$110,56,FALSE)</f>
        <v>0</v>
      </c>
      <c r="E9530" t="str">
        <v>D</v>
      </c>
      <c r="F9530">
        <f>VLOOKUP(D9504,'Detail Balok'!$C$10:$BJ$110,58,FALSE)</f>
        <v>0</v>
      </c>
      <c r="G9530" t="str">
        <v>-</v>
      </c>
      <c r="H9530">
        <f>VLOOKUP(D9504,'Detail Balok'!$C$10:$BJ$110,60,FALSE)</f>
        <v>100</v>
      </c>
      <c r="J9530">
        <f>(D9505-2*F$5)/1000</f>
        <v>0.12</v>
      </c>
      <c r="K9530" t="str">
        <v>+</v>
      </c>
      <c r="L9530">
        <f>IF(D9530=0,2*MAX(6*F9530,75),(D9530-1)*2*MAX(6*F9530,75))/1000</f>
        <v>0.15</v>
      </c>
      <c r="M9530" t="str">
        <v>=</v>
      </c>
      <c r="N9530">
        <f>J9530+L9530</f>
        <v>0.27</v>
      </c>
      <c r="T9530" t="str">
        <v>x</v>
      </c>
      <c r="U9530">
        <f>0.006165*F9530^2</f>
        <v>0</v>
      </c>
      <c r="V9530" t="str">
        <v>x</v>
      </c>
      <c r="W9530">
        <f>W9526</f>
        <v>14</v>
      </c>
      <c r="X9530" t="str">
        <v>x</v>
      </c>
      <c r="Y9530">
        <f>D9514</f>
        <v>3</v>
      </c>
      <c r="Z9530" t="str">
        <v>=</v>
      </c>
      <c r="AA9530">
        <f>N9530*U9530*W9530*Y9530</f>
        <v>0</v>
      </c>
    </row>
    <row r="9534">
      <c r="A9534" t="str">
        <f>A9504</f>
        <v>Lantai Attic</v>
      </c>
      <c r="B9534">
        <f>B9504+1</f>
        <v>54</v>
      </c>
      <c r="C9534" t="str">
        <f>CONCATENATE(A9534," no. ",B9534)</f>
        <v>Lantai Attic no. 54</v>
      </c>
      <c r="D9534" t="str">
        <f>VLOOKUP(C9534,'Data Panjang Balok'!$C$9:$N$424,2,FALSE)</f>
        <v>B25-2</v>
      </c>
    </row>
    <row r="9535">
      <c r="C9535" t="str">
        <v>Dimensi</v>
      </c>
      <c r="D9535">
        <f>VLOOKUP(D9534,'Detail Balok'!$C$10:$AU$110,2,FALSE)</f>
        <v>200</v>
      </c>
      <c r="F9535" t="str">
        <v>x</v>
      </c>
      <c r="G9535">
        <f>VLOOKUP(D9534,'Detail Balok'!$C$10:$AU$110,3,FALSE)</f>
        <v>500</v>
      </c>
    </row>
    <row r="9536">
      <c r="C9536" t="str">
        <v>Panjang as ke as</v>
      </c>
      <c r="D9536">
        <f>VLOOKUP(C9534,'Data Panjang Balok'!$C$9:$N$424,4,FALSE)</f>
        <v>5100</v>
      </c>
    </row>
    <row r="9537">
      <c r="C9537" t="str">
        <v>Panjang netto</v>
      </c>
      <c r="D9537">
        <f>VLOOKUP(C9534,'Data Panjang Balok'!$C$9:$N$424,7,FALSE)</f>
        <v>5100</v>
      </c>
    </row>
    <row r="9538">
      <c r="C9538" t="str">
        <v>Kolom / balok kiri</v>
      </c>
      <c r="D9538">
        <f>VLOOKUP(C9534,'Data Panjang Balok'!$C$9:$N$424,9,FALSE)</f>
        <v>0</v>
      </c>
    </row>
    <row r="9539">
      <c r="C9539" t="str">
        <v>Kolom / balok kanan</v>
      </c>
      <c r="D9539">
        <f>VLOOKUP(C9534,'Data Panjang Balok'!$C$9:$N$424,10,FALSE)</f>
        <v>0</v>
      </c>
    </row>
    <row r="9540">
      <c r="C9540" t="str">
        <v>Jumlah</v>
      </c>
      <c r="D9540">
        <f>VLOOKUP(C9534,'Data Panjang Balok'!$C$9:$N$424,3,FALSE)</f>
        <v>1</v>
      </c>
    </row>
    <row r="9541">
      <c r="A9541" t="str">
        <f>A9534</f>
        <v>Lantai Attic</v>
      </c>
      <c r="B9541">
        <f>B9534</f>
        <v>54</v>
      </c>
      <c r="C9541" t="str">
        <v>Tul Atas Tumpuan</v>
      </c>
      <c r="D9541">
        <f>VLOOKUP(D9534,'Detail Balok'!$C$10:$AU$110,4,FALSE)</f>
        <v>3</v>
      </c>
      <c r="E9541" t="str">
        <v>D</v>
      </c>
      <c r="F9541">
        <f>VLOOKUP(D9534,'Detail Balok'!$C$10:$AU$110,6,FALSE)</f>
        <v>16</v>
      </c>
      <c r="I9541" t="str">
        <v>(</v>
      </c>
      <c r="J9541">
        <f>+D9536/4/1000</f>
        <v>1.275</v>
      </c>
      <c r="K9541" t="str">
        <v>+</v>
      </c>
      <c r="L9541">
        <f>MAX(VLOOKUP(F9541,N$6:P$15,3,FALSE)/1000,2/3*D9538/1000)+F$16*F9541/1000</f>
        <v>0.192</v>
      </c>
      <c r="M9541" t="str">
        <v>=</v>
      </c>
      <c r="N9541">
        <f>J9541+L9541</f>
        <v>1.4669999999999999</v>
      </c>
      <c r="O9541" t="str">
        <v>+</v>
      </c>
      <c r="P9541">
        <f>D9541-D9542</f>
        <v>0</v>
      </c>
      <c r="Q9541" t="str">
        <v>x</v>
      </c>
      <c r="R9541">
        <f>IF(P9541&gt;0,$F$18*F9541/1000,0)</f>
        <v>0</v>
      </c>
      <c r="S9541" t="str">
        <v>)</v>
      </c>
      <c r="T9541" t="str">
        <v>x</v>
      </c>
      <c r="U9541">
        <f>0.006165*F9541^2</f>
        <v>1.57824</v>
      </c>
      <c r="X9541" t="str">
        <v>x</v>
      </c>
      <c r="Y9541">
        <f>D9540</f>
        <v>1</v>
      </c>
      <c r="Z9541" t="str">
        <v>=</v>
      </c>
      <c r="AA9541">
        <f>IF(AA9544=0,(D9541*N9541+P9541*R9541)*U9541*Y9541,0)</f>
        <v>0</v>
      </c>
    </row>
    <row r="9542">
      <c r="A9542" t="str">
        <f>A9534</f>
        <v>Lantai Attic</v>
      </c>
      <c r="B9542">
        <f>B9534</f>
        <v>54</v>
      </c>
      <c r="C9542" t="str">
        <v>Tul Atas Lapangan</v>
      </c>
      <c r="D9542">
        <f>VLOOKUP(D9534,'Detail Balok'!$C$10:$AU$110,7,FALSE)</f>
        <v>3</v>
      </c>
      <c r="E9542" t="str">
        <v>D</v>
      </c>
      <c r="F9542">
        <f>VLOOKUP(D9534,'Detail Balok'!$C$10:$AU$110,9,FALSE)</f>
        <v>16</v>
      </c>
      <c r="I9542" t="str">
        <v>(</v>
      </c>
      <c r="J9542">
        <f>+D9536/2/1000</f>
        <v>2.55</v>
      </c>
      <c r="K9542" t="str">
        <v>+</v>
      </c>
      <c r="M9542" t="str">
        <v>=</v>
      </c>
      <c r="N9542">
        <f>J9542+L9542</f>
        <v>2.55</v>
      </c>
      <c r="O9542" t="str">
        <v>+</v>
      </c>
      <c r="P9542">
        <f>MAX(D9542-D9541,D9542-D9543)</f>
        <v>0</v>
      </c>
      <c r="Q9542" t="str">
        <v>x</v>
      </c>
      <c r="R9542">
        <f>IF(P9542&gt;0,2*(1-2*$F$19-1/2)*D9537/1000,0)</f>
        <v>0</v>
      </c>
      <c r="S9542" t="str">
        <v>)</v>
      </c>
      <c r="T9542" t="str">
        <v>x</v>
      </c>
      <c r="U9542">
        <f>0.006165*F9542^2</f>
        <v>1.57824</v>
      </c>
      <c r="X9542" t="str">
        <v>x</v>
      </c>
      <c r="Y9542">
        <f>D9540</f>
        <v>1</v>
      </c>
      <c r="Z9542" t="str">
        <v>=</v>
      </c>
      <c r="AA9542">
        <f>IF(AA9544=0,(D9542*N9542+P9542*R9542)*U9542*Y9542,0)</f>
        <v>0</v>
      </c>
    </row>
    <row r="9543">
      <c r="A9543" t="str">
        <f>A9534</f>
        <v>Lantai Attic</v>
      </c>
      <c r="B9543">
        <f>B9534</f>
        <v>54</v>
      </c>
      <c r="C9543" t="str">
        <v>Tul Atas Tumpuan</v>
      </c>
      <c r="D9543">
        <f>VLOOKUP(D9534,'Detail Balok'!$C$10:$AU$110,10,FALSE)</f>
        <v>3</v>
      </c>
      <c r="E9543" t="str">
        <v>D</v>
      </c>
      <c r="F9543">
        <f>VLOOKUP(D9534,'Detail Balok'!$C$10:$AU$110,12,FALSE)</f>
        <v>16</v>
      </c>
      <c r="I9543" t="str">
        <v>(</v>
      </c>
      <c r="J9543">
        <f>+D9536/4/1000</f>
        <v>1.275</v>
      </c>
      <c r="K9543" t="str">
        <v>+</v>
      </c>
      <c r="L9543">
        <f>MAX(VLOOKUP(F9543,N$6:P$15,3,FALSE)/1000,2/3*D9538/1000)+F$16*F9543/1000</f>
        <v>0.192</v>
      </c>
      <c r="M9543" t="str">
        <v>=</v>
      </c>
      <c r="N9543">
        <f>J9543+L9543</f>
        <v>1.4669999999999999</v>
      </c>
      <c r="O9543" t="str">
        <v>+</v>
      </c>
      <c r="P9543">
        <f>D9543-D9542</f>
        <v>0</v>
      </c>
      <c r="Q9543" t="str">
        <v>x</v>
      </c>
      <c r="R9543">
        <f>IF(P9543&gt;0,$F$18*F9543/1000,0)</f>
        <v>0</v>
      </c>
      <c r="S9543" t="str">
        <v>)</v>
      </c>
      <c r="T9543" t="str">
        <v>x</v>
      </c>
      <c r="U9543">
        <f>0.006165*F9543^2</f>
        <v>1.57824</v>
      </c>
      <c r="X9543" t="str">
        <v>x</v>
      </c>
      <c r="Y9543">
        <f>D9540</f>
        <v>1</v>
      </c>
      <c r="Z9543" t="str">
        <v>=</v>
      </c>
      <c r="AA9543">
        <f>IF(AA9544=0,(D9543*N9543+P9543*R9543)*U9543*Y9543,0)</f>
        <v>0</v>
      </c>
    </row>
    <row r="9544">
      <c r="A9544" t="str">
        <f>A9534</f>
        <v>Lantai Attic</v>
      </c>
      <c r="B9544">
        <f>B9534</f>
        <v>54</v>
      </c>
      <c r="D9544">
        <f>IF(AND(D9541=D9542,D9542=D9543,D9541=D9543),D9541,0)</f>
        <v>3</v>
      </c>
      <c r="E9544" t="str">
        <v>D</v>
      </c>
      <c r="F9544">
        <f>IF(AND(F9541=F9542,F9541=F9543,F9542=F9543),F9541,0)</f>
        <v>16</v>
      </c>
      <c r="L9544" t="str">
        <v>Total panjang per balok</v>
      </c>
      <c r="M9544" t="str">
        <v>=</v>
      </c>
      <c r="N9544">
        <f>IF(AND(D9541=D9542,D9541=D9543,D9542=D9543,F9541=F9542,F9541=F9543,F9542=F9543),SUM(N9541:N9543),0)</f>
        <v>5.483999999999999</v>
      </c>
      <c r="O9544" t="str">
        <v>+</v>
      </c>
      <c r="P9544">
        <f>IF(N9544&gt;12,ROUNDDOWN(N9544/12,0),0)</f>
        <v>0</v>
      </c>
      <c r="Q9544" t="str">
        <v>x</v>
      </c>
      <c r="R9544">
        <f>IF(P9544&gt;0,MAX(VLOOKUP(F9544,$D$6:$G$15,3,FALSE),600),0)/1000</f>
        <v>0</v>
      </c>
      <c r="T9544" t="str">
        <v>x</v>
      </c>
      <c r="U9544">
        <f>U9543</f>
        <v>1.57824</v>
      </c>
      <c r="V9544" t="str">
        <v>x</v>
      </c>
      <c r="W9544">
        <f>D9544</f>
        <v>3</v>
      </c>
      <c r="X9544" t="str">
        <v>x</v>
      </c>
      <c r="Y9544">
        <f>Y9543</f>
        <v>1</v>
      </c>
      <c r="Z9544" t="str">
        <v>=</v>
      </c>
      <c r="AA9544">
        <f>(N9544+P9544*R9544/1000)*U9544*W9544*Y9544</f>
        <v>25.965204479999997</v>
      </c>
    </row>
    <row r="9546">
      <c r="A9546" t="str">
        <f>A9534</f>
        <v>Lantai Attic</v>
      </c>
      <c r="B9546">
        <f>B9534</f>
        <v>54</v>
      </c>
      <c r="C9546" t="str">
        <v>Tul Peminggang</v>
      </c>
      <c r="D9546">
        <f>VLOOKUP(D9534,'Detail Balok'!$C$10:$AU$110,13,FALSE)</f>
        <v>2</v>
      </c>
      <c r="E9546" t="str">
        <v>D</v>
      </c>
      <c r="F9546">
        <f>VLOOKUP(D9534,'Detail Balok'!$C$10:$AU$110,15,FALSE)</f>
        <v>10</v>
      </c>
      <c r="J9546">
        <f>+D9536/1000</f>
        <v>5.1</v>
      </c>
      <c r="K9546" t="str">
        <v>+</v>
      </c>
      <c r="L9546">
        <f>2*$F$16*F9546/1000</f>
        <v>0.24</v>
      </c>
      <c r="M9546" t="str">
        <v>=</v>
      </c>
      <c r="N9546">
        <f>J9546+L9546</f>
        <v>5.34</v>
      </c>
      <c r="O9546" t="str">
        <v>+</v>
      </c>
      <c r="P9546">
        <f>IF(N9546&gt;12,ROUNDDOWN(N9546/12,0),0)</f>
        <v>0</v>
      </c>
      <c r="Q9546" t="str">
        <v>x</v>
      </c>
      <c r="R9546">
        <f>IF(P9546&gt;0,MAX(VLOOKUP(F9546,$D$6:$G$15,3,FALSE),600),0)/1000</f>
        <v>0</v>
      </c>
      <c r="T9546" t="str">
        <v>x</v>
      </c>
      <c r="U9546">
        <f>0.006165*F9546^2</f>
        <v>0.6165</v>
      </c>
      <c r="V9546" t="str">
        <v>x</v>
      </c>
      <c r="W9546">
        <f>+D9546</f>
        <v>2</v>
      </c>
      <c r="X9546" t="str">
        <v>x</v>
      </c>
      <c r="Y9546">
        <f>D9540</f>
        <v>1</v>
      </c>
      <c r="Z9546" t="str">
        <v>=</v>
      </c>
      <c r="AA9546">
        <f>(N9546+P9546*R9546/1000)*U9546*W9546*Y9546</f>
        <v>6.58422</v>
      </c>
    </row>
    <row r="9549">
      <c r="A9549" t="str">
        <f>A9534</f>
        <v>Lantai Attic</v>
      </c>
      <c r="B9549">
        <f>B9534</f>
        <v>54</v>
      </c>
      <c r="C9549" t="str">
        <v>Tul Bawah Tumpuan</v>
      </c>
      <c r="D9549">
        <f>VLOOKUP(D9534,'Detail Balok'!$C$10:$AU$110,22,FALSE)</f>
        <v>3</v>
      </c>
      <c r="E9549" t="str">
        <v>D</v>
      </c>
      <c r="F9549">
        <f>VLOOKUP(D9534,'Detail Balok'!$C$10:$AU$110,24,FALSE)</f>
        <v>16</v>
      </c>
      <c r="I9549" t="str">
        <v>(</v>
      </c>
      <c r="J9549">
        <f>+J9541</f>
        <v>1.275</v>
      </c>
      <c r="K9549" t="str">
        <v>+</v>
      </c>
      <c r="L9549">
        <f>MAX(VLOOKUP(F9549,N$6:P$15,3,FALSE)/1000,2/3*D9539/1000)+F$16*F9549/1000</f>
        <v>0.192</v>
      </c>
      <c r="M9549" t="str">
        <v>=</v>
      </c>
      <c r="N9549">
        <f>J9549+L9549</f>
        <v>1.4669999999999999</v>
      </c>
      <c r="O9549" t="str">
        <v>+</v>
      </c>
      <c r="P9549">
        <f>D9549-D9550</f>
        <v>0</v>
      </c>
      <c r="Q9549" t="str">
        <v>x</v>
      </c>
      <c r="R9549">
        <f>IF(P9549&gt;0,$F$18*F9549/1000,0)</f>
        <v>0</v>
      </c>
      <c r="S9549" t="str">
        <v>)</v>
      </c>
      <c r="T9549" t="str">
        <v>x</v>
      </c>
      <c r="U9549">
        <f>0.006165*F9549^2</f>
        <v>1.57824</v>
      </c>
      <c r="X9549" t="str">
        <v>x</v>
      </c>
      <c r="Y9549">
        <f>D9540</f>
        <v>1</v>
      </c>
      <c r="Z9549" t="str">
        <v>=</v>
      </c>
      <c r="AA9549">
        <f>IF(AA9552=0,(D9549*N9549+P9549*R9549)*U9549*Y9549,0)</f>
        <v>0</v>
      </c>
    </row>
    <row r="9550">
      <c r="A9550" t="str">
        <f>A9534</f>
        <v>Lantai Attic</v>
      </c>
      <c r="B9550">
        <f>B9534</f>
        <v>54</v>
      </c>
      <c r="C9550" t="str">
        <v>Tul Bawah Lapangan</v>
      </c>
      <c r="D9550">
        <f>VLOOKUP(D9534,'Detail Balok'!$C$10:$AU$110,25,FALSE)</f>
        <v>3</v>
      </c>
      <c r="E9550" t="str">
        <v>D</v>
      </c>
      <c r="F9550">
        <f>VLOOKUP(D9534,'Detail Balok'!$C$10:$AU$110,27,FALSE)</f>
        <v>16</v>
      </c>
      <c r="I9550" t="str">
        <v>(</v>
      </c>
      <c r="J9550">
        <f>+J9542</f>
        <v>2.55</v>
      </c>
      <c r="K9550" t="str">
        <v>+</v>
      </c>
      <c r="M9550" t="str">
        <v>=</v>
      </c>
      <c r="N9550">
        <f>J9550+L9550</f>
        <v>2.55</v>
      </c>
      <c r="O9550" t="str">
        <v>+</v>
      </c>
      <c r="P9550">
        <f>MAX(D9550-D9549,D9550-D9551)</f>
        <v>0</v>
      </c>
      <c r="Q9550" t="str">
        <v>x</v>
      </c>
      <c r="R9550">
        <f>IF(P9550&gt;0,2*(1-2*$F$19-1/2)*D9537/1000,0)</f>
        <v>0</v>
      </c>
      <c r="S9550" t="str">
        <v>)</v>
      </c>
      <c r="T9550" t="str">
        <v>x</v>
      </c>
      <c r="U9550">
        <f>0.006165*F9550^2</f>
        <v>1.57824</v>
      </c>
      <c r="X9550" t="str">
        <v>x</v>
      </c>
      <c r="Y9550">
        <f>D9540</f>
        <v>1</v>
      </c>
      <c r="Z9550" t="str">
        <v>=</v>
      </c>
      <c r="AA9550">
        <f>IF(AA9552=0,(D9550*N9550+P9550*R9550)*U9550*Y9550,0)</f>
        <v>0</v>
      </c>
    </row>
    <row r="9551">
      <c r="A9551" t="str">
        <f>A9534</f>
        <v>Lantai Attic</v>
      </c>
      <c r="B9551">
        <f>B9534</f>
        <v>54</v>
      </c>
      <c r="C9551" t="str">
        <v>Tul Bawah Tumpuan</v>
      </c>
      <c r="D9551">
        <f>VLOOKUP(D9534,'Detail Balok'!$C$10:$AU$110,28,FALSE)</f>
        <v>3</v>
      </c>
      <c r="E9551" t="str">
        <v>D</v>
      </c>
      <c r="F9551">
        <f>VLOOKUP(D9534,'Detail Balok'!$C$10:$AU$110,30,FALSE)</f>
        <v>16</v>
      </c>
      <c r="I9551" t="str">
        <v>(</v>
      </c>
      <c r="J9551">
        <f>+J9543</f>
        <v>1.275</v>
      </c>
      <c r="K9551" t="str">
        <v>+</v>
      </c>
      <c r="L9551">
        <f>MAX(VLOOKUP(F9551,N$6:P$15,3,FALSE)/1000,2/3*D9539/1000)+F$16*F9551/1000</f>
        <v>0.192</v>
      </c>
      <c r="M9551" t="str">
        <v>=</v>
      </c>
      <c r="N9551">
        <f>J9551+L9551</f>
        <v>1.4669999999999999</v>
      </c>
      <c r="O9551" t="str">
        <v>+</v>
      </c>
      <c r="P9551">
        <f>D9551-D9550</f>
        <v>0</v>
      </c>
      <c r="Q9551" t="str">
        <v>x</v>
      </c>
      <c r="R9551">
        <f>IF(P9551&gt;0,$F$18*F9551/1000,0)</f>
        <v>0</v>
      </c>
      <c r="S9551" t="str">
        <v>)</v>
      </c>
      <c r="T9551" t="str">
        <v>x</v>
      </c>
      <c r="U9551">
        <f>0.006165*F9551^2</f>
        <v>1.57824</v>
      </c>
      <c r="X9551" t="str">
        <v>x</v>
      </c>
      <c r="Y9551">
        <f>D9540</f>
        <v>1</v>
      </c>
      <c r="Z9551" t="str">
        <v>=</v>
      </c>
      <c r="AA9551">
        <f>IF(AA9552=0,(D9551*N9551+P9551*R9551)*U9551*Y9551,0)</f>
        <v>0</v>
      </c>
    </row>
    <row r="9552">
      <c r="A9552" t="str">
        <f>A9534</f>
        <v>Lantai Attic</v>
      </c>
      <c r="B9552">
        <f>B9534</f>
        <v>54</v>
      </c>
      <c r="D9552">
        <f>IF(AND(D9549=D9550,D9550=D9551,D9549=D9551),D9549,0)</f>
        <v>3</v>
      </c>
      <c r="E9552" t="str">
        <v>D</v>
      </c>
      <c r="F9552">
        <f>IF(AND(F9549=F9550,F9549=F9551,F9550=F9551),F9549,0)</f>
        <v>16</v>
      </c>
      <c r="L9552" t="str">
        <v>Total panjang per balok</v>
      </c>
      <c r="M9552" t="str">
        <v>=</v>
      </c>
      <c r="N9552">
        <f>IF(AND(D9549=D9550,D9549=D9551,D9550=D9551,F9549=F9550,F9549=F9551,F9550=F9551),SUM(N9549:N9551),0)</f>
        <v>5.483999999999999</v>
      </c>
      <c r="O9552" t="str">
        <v>+</v>
      </c>
      <c r="P9552">
        <f>IF(N9552&gt;12,ROUNDDOWN(N9552/12,0),0)</f>
        <v>0</v>
      </c>
      <c r="Q9552" t="str">
        <v>x</v>
      </c>
      <c r="R9552">
        <f>IF(P9552&gt;0,MAX(VLOOKUP(F9552,$D$6:$G$15,3,FALSE),600),0)/1000</f>
        <v>0</v>
      </c>
      <c r="T9552" t="str">
        <v>x</v>
      </c>
      <c r="U9552">
        <f>U9551</f>
        <v>1.57824</v>
      </c>
      <c r="V9552" t="str">
        <v>x</v>
      </c>
      <c r="W9552">
        <f>D9552</f>
        <v>3</v>
      </c>
      <c r="X9552" t="str">
        <v>x</v>
      </c>
      <c r="Y9552">
        <f>Y9551</f>
        <v>1</v>
      </c>
      <c r="Z9552" t="str">
        <v>=</v>
      </c>
      <c r="AA9552">
        <f>(N9552+P9552*R9552/1000)*U9552*W9552*Y9552</f>
        <v>25.965204479999997</v>
      </c>
    </row>
    <row r="9554">
      <c r="A9554" t="str">
        <f>A9534</f>
        <v>Lantai Attic</v>
      </c>
      <c r="B9554">
        <f>B9534</f>
        <v>54</v>
      </c>
      <c r="C9554" t="str">
        <v>Sengkang Tumpuan</v>
      </c>
      <c r="D9554">
        <f>VLOOKUP(D9534,'Detail Balok'!$C$10:$AU$110,31,FALSE)</f>
        <v>0</v>
      </c>
      <c r="E9554" t="str">
        <v>D</v>
      </c>
      <c r="F9554">
        <f>VLOOKUP(D9534,'Detail Balok'!$C$10:$AU$110,33,FALSE)</f>
        <v>10</v>
      </c>
      <c r="G9554" t="str">
        <v>-</v>
      </c>
      <c r="H9554">
        <f>VLOOKUP(D9534,'Detail Balok'!$C$10:$AU$110,35,FALSE)</f>
        <v>75</v>
      </c>
      <c r="J9554">
        <f>(IF(D9554=0,(2*(D9535+G9535))-(F$5*8),IF(D9554=3,(2*(D9535+G9535))-(F$5*8)+(G9535-2*F$5),IF(D9554=4,(2*(D9535+G9535))-(F$5*8)+2*(G9535-2*F$5)))))/1000</f>
        <v>1.08</v>
      </c>
      <c r="K9554" t="str">
        <v>+</v>
      </c>
      <c r="L9554">
        <f>IF(D9554=0,2*MAX(6*F9554,75),(D9554-1)*2*MAX(6*F9554,75))/1000</f>
        <v>0.15</v>
      </c>
      <c r="M9554" t="str">
        <v>=</v>
      </c>
      <c r="N9554">
        <f>J9554+L9554</f>
        <v>1.23</v>
      </c>
      <c r="T9554" t="str">
        <v>x</v>
      </c>
      <c r="U9554">
        <f>0.006165*F9554^2</f>
        <v>0.6165</v>
      </c>
      <c r="V9554" t="str">
        <v>x</v>
      </c>
      <c r="W9554">
        <f>IF(D9537&gt;4*G9535,ROUND(MAX(D9537/4,2*G9535)/H9554,0)+1,ROUND(D9537/H9554,0)+1)</f>
        <v>18</v>
      </c>
      <c r="X9554" t="str">
        <v>x</v>
      </c>
      <c r="Y9554">
        <f>D9540</f>
        <v>1</v>
      </c>
      <c r="Z9554" t="str">
        <v>=</v>
      </c>
      <c r="AA9554">
        <f>N9554*U9554*W9554*Y9554</f>
        <v>13.649310000000002</v>
      </c>
    </row>
    <row r="9555">
      <c r="A9555" t="str">
        <f>A9534</f>
        <v>Lantai Attic</v>
      </c>
      <c r="B9555">
        <f>B9534</f>
        <v>54</v>
      </c>
      <c r="C9555" t="str">
        <v>Sengkang Lapangan</v>
      </c>
      <c r="D9555">
        <f>VLOOKUP(D9534,'Detail Balok'!$C$10:$AU$110,36,FALSE)</f>
        <v>0</v>
      </c>
      <c r="E9555" t="str">
        <v>D</v>
      </c>
      <c r="F9555">
        <f>VLOOKUP(D9534,'Detail Balok'!$C$10:$AU$110,38,FALSE)</f>
        <v>10</v>
      </c>
      <c r="G9555" t="str">
        <v>-</v>
      </c>
      <c r="H9555">
        <f>VLOOKUP(D9534,'Detail Balok'!$C$10:$AU$110,40,FALSE)</f>
        <v>125</v>
      </c>
      <c r="J9555">
        <f>(IF(D9555=0,(2*(D9535+G9535))-(F$5*8),IF(D9555=3,(2*(D9535+G9535))-(F$5*8)+(G9535-2*F$5),IF(D9555=4,(2*(D9535+G9535))-(F$5*8)+2*(G9535-2*F$5)))))/1000</f>
        <v>1.08</v>
      </c>
      <c r="K9555" t="str">
        <v>+</v>
      </c>
      <c r="L9555">
        <f>IF(D9555=0,2*MAX(6*F9555,75),(D9555-1)*2*MAX(6*F9555,75))/1000</f>
        <v>0.15</v>
      </c>
      <c r="M9555" t="str">
        <v>=</v>
      </c>
      <c r="N9555">
        <f>J9555+L9555</f>
        <v>1.23</v>
      </c>
      <c r="T9555" t="str">
        <v>x</v>
      </c>
      <c r="U9555">
        <f>0.006165*F9555^2</f>
        <v>0.6165</v>
      </c>
      <c r="V9555" t="str">
        <v>x</v>
      </c>
      <c r="W9555">
        <f>IF(D9537-MAX(D9537/4,2*G9535)*2&gt;0,ROUND((D9537-MAX(D9537/4,2*G9535)*2)/H9555,0),0)</f>
        <v>20</v>
      </c>
      <c r="X9555" t="str">
        <v>x</v>
      </c>
      <c r="Y9555">
        <f>D9540</f>
        <v>1</v>
      </c>
      <c r="Z9555" t="str">
        <v>=</v>
      </c>
      <c r="AA9555">
        <f>N9555*U9555*W9555*Y9555</f>
        <v>15.1659</v>
      </c>
    </row>
    <row r="9556">
      <c r="A9556" t="str">
        <f>A9534</f>
        <v>Lantai Attic</v>
      </c>
      <c r="B9556">
        <f>B9534</f>
        <v>54</v>
      </c>
      <c r="C9556" t="str">
        <v>Sengkang Tumpuan</v>
      </c>
      <c r="D9556">
        <f>VLOOKUP(D9534,'Detail Balok'!$C$10:$AU$110,41,FALSE)</f>
        <v>0</v>
      </c>
      <c r="E9556" t="str">
        <v>D</v>
      </c>
      <c r="F9556">
        <f>VLOOKUP(D9534,'Detail Balok'!$C$10:$AU$110,43,FALSE)</f>
        <v>10</v>
      </c>
      <c r="G9556" t="str">
        <v>-</v>
      </c>
      <c r="H9556">
        <f>VLOOKUP(D9534,'Detail Balok'!$C$10:$AU$110,45,FALSE)</f>
        <v>75</v>
      </c>
      <c r="J9556">
        <f>(IF(D9556=0,(2*(D9535+G9535))-(F$5*8),IF(D9556=3,(2*(D9535+G9535))-(F$5*8)+(G9535-2*F$5),IF(D9556=4,(2*(D9535+G9535))-(F$5*8)+2*(G9535-2*F$5)))))/1000</f>
        <v>1.08</v>
      </c>
      <c r="K9556" t="str">
        <v>+</v>
      </c>
      <c r="L9556">
        <f>IF(D9556=0,2*MAX(6*F9556,75),(D9556-1)*2*MAX(6*F9556,75))/1000</f>
        <v>0.15</v>
      </c>
      <c r="M9556" t="str">
        <v>=</v>
      </c>
      <c r="N9556">
        <f>J9556+L9556</f>
        <v>1.23</v>
      </c>
      <c r="T9556" t="str">
        <v>x</v>
      </c>
      <c r="U9556">
        <f>0.006165*F9556^2</f>
        <v>0.6165</v>
      </c>
      <c r="V9556" t="str">
        <v>x</v>
      </c>
      <c r="W9556">
        <f>IF(D9537&gt;4*G9535,ROUND(MAX(D9537/4,2*G9535)/H9556,0)+1,0)</f>
        <v>18</v>
      </c>
      <c r="X9556" t="str">
        <v>x</v>
      </c>
      <c r="Y9556">
        <f>D9540</f>
        <v>1</v>
      </c>
      <c r="Z9556" t="str">
        <v>=</v>
      </c>
      <c r="AA9556">
        <f>N9556*U9556*W9556*Y9556</f>
        <v>13.649310000000002</v>
      </c>
    </row>
    <row r="9558">
      <c r="A9558" t="str">
        <f>A9534</f>
        <v>Lantai Attic</v>
      </c>
      <c r="B9558">
        <f>B9534</f>
        <v>54</v>
      </c>
      <c r="C9558" t="str">
        <v>Kait Horizontal Tump.</v>
      </c>
      <c r="D9558">
        <f>VLOOKUP(D9534,'Detail Balok'!$C$10:$BJ$110,46,FALSE)</f>
        <v>0</v>
      </c>
      <c r="E9558" t="str">
        <v>D</v>
      </c>
      <c r="F9558">
        <f>VLOOKUP(D9534,'Detail Balok'!$C$10:$BJ$110,48,FALSE)</f>
        <v>0</v>
      </c>
      <c r="G9558" t="str">
        <v>-</v>
      </c>
      <c r="H9558">
        <f>VLOOKUP(D9534,'Detail Balok'!$C$10:$BJ$110,50,FALSE)</f>
        <v>100</v>
      </c>
      <c r="J9558">
        <f>(D9535-2*F$5)/1000</f>
        <v>0.12</v>
      </c>
      <c r="K9558" t="str">
        <v>+</v>
      </c>
      <c r="L9558">
        <f>IF(D9558=0,2*MAX(6*F9558,75),(D9558-1)*2*MAX(6*F9558,75))/1000</f>
        <v>0.15</v>
      </c>
      <c r="M9558" t="str">
        <v>=</v>
      </c>
      <c r="N9558">
        <f>J9558+L9558</f>
        <v>0.27</v>
      </c>
      <c r="T9558" t="str">
        <v>x</v>
      </c>
      <c r="U9558">
        <f>0.006165*F9558^2</f>
        <v>0</v>
      </c>
      <c r="V9558" t="str">
        <v>x</v>
      </c>
      <c r="W9558">
        <f>W9554</f>
        <v>18</v>
      </c>
      <c r="X9558" t="str">
        <v>x</v>
      </c>
      <c r="Y9558">
        <f>D9544</f>
        <v>3</v>
      </c>
      <c r="Z9558" t="str">
        <v>=</v>
      </c>
      <c r="AA9558">
        <f>N9558*U9558*W9558*Y9558</f>
        <v>0</v>
      </c>
    </row>
    <row r="9559">
      <c r="A9559" t="str">
        <f>A9534</f>
        <v>Lantai Attic</v>
      </c>
      <c r="B9559">
        <f>B9534</f>
        <v>54</v>
      </c>
      <c r="C9559" t="str">
        <v>Kait Horizontal Lap.</v>
      </c>
      <c r="D9559">
        <f>VLOOKUP(D9534,'Detail Balok'!$C$10:$BJ$110,51,FALSE)</f>
        <v>0</v>
      </c>
      <c r="E9559" t="str">
        <v>D</v>
      </c>
      <c r="F9559">
        <f>VLOOKUP(D9534,'Detail Balok'!$C$10:$BJ$110,53,FALSE)</f>
        <v>0</v>
      </c>
      <c r="G9559" t="str">
        <v>-</v>
      </c>
      <c r="H9559">
        <f>VLOOKUP(D9534,'Detail Balok'!$C$10:$BJ$110,55,FALSE)</f>
        <v>100</v>
      </c>
      <c r="J9559">
        <f>(D9535-2*F$5)/1000</f>
        <v>0.12</v>
      </c>
      <c r="K9559" t="str">
        <v>+</v>
      </c>
      <c r="L9559">
        <f>IF(D9559=0,2*MAX(6*F9559,75),(D9559-1)*2*MAX(6*F9559,75))/1000</f>
        <v>0.15</v>
      </c>
      <c r="M9559" t="str">
        <v>=</v>
      </c>
      <c r="N9559">
        <f>J9559+L9559</f>
        <v>0.27</v>
      </c>
      <c r="T9559" t="str">
        <v>x</v>
      </c>
      <c r="U9559">
        <f>0.006165*F9559^2</f>
        <v>0</v>
      </c>
      <c r="V9559" t="str">
        <v>x</v>
      </c>
      <c r="W9559">
        <f>W9555</f>
        <v>20</v>
      </c>
      <c r="X9559" t="str">
        <v>x</v>
      </c>
      <c r="Y9559">
        <f>D9544</f>
        <v>3</v>
      </c>
      <c r="Z9559" t="str">
        <v>=</v>
      </c>
      <c r="AA9559">
        <f>N9559*U9559*W9559*Y9559</f>
        <v>0</v>
      </c>
    </row>
    <row r="9560">
      <c r="A9560" t="str">
        <f>A9534</f>
        <v>Lantai Attic</v>
      </c>
      <c r="B9560">
        <f>B9534</f>
        <v>54</v>
      </c>
      <c r="C9560" t="str">
        <v>Kait Horizontal Tump.</v>
      </c>
      <c r="D9560">
        <f>VLOOKUP(D9534,'Detail Balok'!$C$10:$BJ$110,56,FALSE)</f>
        <v>0</v>
      </c>
      <c r="E9560" t="str">
        <v>D</v>
      </c>
      <c r="F9560">
        <f>VLOOKUP(D9534,'Detail Balok'!$C$10:$BJ$110,58,FALSE)</f>
        <v>0</v>
      </c>
      <c r="G9560" t="str">
        <v>-</v>
      </c>
      <c r="H9560">
        <f>VLOOKUP(D9534,'Detail Balok'!$C$10:$BJ$110,60,FALSE)</f>
        <v>100</v>
      </c>
      <c r="J9560">
        <f>(D9535-2*F$5)/1000</f>
        <v>0.12</v>
      </c>
      <c r="K9560" t="str">
        <v>+</v>
      </c>
      <c r="L9560">
        <f>IF(D9560=0,2*MAX(6*F9560,75),(D9560-1)*2*MAX(6*F9560,75))/1000</f>
        <v>0.15</v>
      </c>
      <c r="M9560" t="str">
        <v>=</v>
      </c>
      <c r="N9560">
        <f>J9560+L9560</f>
        <v>0.27</v>
      </c>
      <c r="T9560" t="str">
        <v>x</v>
      </c>
      <c r="U9560">
        <f>0.006165*F9560^2</f>
        <v>0</v>
      </c>
      <c r="V9560" t="str">
        <v>x</v>
      </c>
      <c r="W9560">
        <f>W9556</f>
        <v>18</v>
      </c>
      <c r="X9560" t="str">
        <v>x</v>
      </c>
      <c r="Y9560">
        <f>D9544</f>
        <v>3</v>
      </c>
      <c r="Z9560" t="str">
        <v>=</v>
      </c>
      <c r="AA9560">
        <f>N9560*U9560*W9560*Y9560</f>
        <v>0</v>
      </c>
    </row>
    <row r="9564">
      <c r="A9564" t="str">
        <f>A9534</f>
        <v>Lantai Attic</v>
      </c>
      <c r="B9564">
        <f>B9534+1</f>
        <v>55</v>
      </c>
      <c r="C9564" t="str">
        <f>CONCATENATE(A9564," no. ",B9564)</f>
        <v>Lantai Attic no. 55</v>
      </c>
      <c r="D9564" t="str">
        <f>VLOOKUP(C9564,'Data Panjang Balok'!$C$9:$N$424,2,FALSE)</f>
        <v>B23-1</v>
      </c>
    </row>
    <row r="9565">
      <c r="C9565" t="str">
        <v>Dimensi</v>
      </c>
      <c r="D9565">
        <f>VLOOKUP(D9564,'Detail Balok'!$C$10:$AU$110,2,FALSE)</f>
        <v>200</v>
      </c>
      <c r="F9565" t="str">
        <v>x</v>
      </c>
      <c r="G9565">
        <f>VLOOKUP(D9564,'Detail Balok'!$C$10:$AU$110,3,FALSE)</f>
        <v>300</v>
      </c>
    </row>
    <row r="9566">
      <c r="C9566" t="str">
        <v>Panjang as ke as</v>
      </c>
      <c r="D9566">
        <f>VLOOKUP(C9564,'Data Panjang Balok'!$C$9:$N$424,4,FALSE)</f>
        <v>2000</v>
      </c>
    </row>
    <row r="9567">
      <c r="C9567" t="str">
        <v>Panjang netto</v>
      </c>
      <c r="D9567">
        <f>VLOOKUP(C9564,'Data Panjang Balok'!$C$9:$N$424,7,FALSE)</f>
        <v>2000</v>
      </c>
    </row>
    <row r="9568">
      <c r="C9568" t="str">
        <v>Kolom / balok kiri</v>
      </c>
      <c r="D9568">
        <f>VLOOKUP(C9564,'Data Panjang Balok'!$C$9:$N$424,9,FALSE)</f>
        <v>0</v>
      </c>
    </row>
    <row r="9569">
      <c r="C9569" t="str">
        <v>Kolom / balok kanan</v>
      </c>
      <c r="D9569">
        <f>VLOOKUP(C9564,'Data Panjang Balok'!$C$9:$N$424,10,FALSE)</f>
        <v>0</v>
      </c>
    </row>
    <row r="9570">
      <c r="C9570" t="str">
        <v>Jumlah</v>
      </c>
      <c r="D9570">
        <f>VLOOKUP(C9564,'Data Panjang Balok'!$C$9:$N$424,3,FALSE)</f>
        <v>1</v>
      </c>
    </row>
    <row r="9571">
      <c r="A9571" t="str">
        <f>A9564</f>
        <v>Lantai Attic</v>
      </c>
      <c r="B9571">
        <f>B9564</f>
        <v>55</v>
      </c>
      <c r="C9571" t="str">
        <v>Tul Atas Tumpuan</v>
      </c>
      <c r="D9571">
        <f>VLOOKUP(D9564,'Detail Balok'!$C$10:$AU$110,4,FALSE)</f>
        <v>2</v>
      </c>
      <c r="E9571" t="str">
        <v>D</v>
      </c>
      <c r="F9571">
        <f>VLOOKUP(D9564,'Detail Balok'!$C$10:$AU$110,6,FALSE)</f>
        <v>13</v>
      </c>
      <c r="I9571" t="str">
        <v>(</v>
      </c>
      <c r="J9571">
        <f>+D9566/4/1000</f>
        <v>0.5</v>
      </c>
      <c r="K9571" t="str">
        <v>+</v>
      </c>
      <c r="L9571">
        <f>MAX(VLOOKUP(F9571,N$6:P$15,3,FALSE)/1000,2/3*D9568/1000)+F$16*F9571/1000</f>
        <v>0.156</v>
      </c>
      <c r="M9571" t="str">
        <v>=</v>
      </c>
      <c r="N9571">
        <f>J9571+L9571</f>
        <v>0.656</v>
      </c>
      <c r="O9571" t="str">
        <v>+</v>
      </c>
      <c r="P9571">
        <f>D9571-D9572</f>
        <v>0</v>
      </c>
      <c r="Q9571" t="str">
        <v>x</v>
      </c>
      <c r="R9571">
        <f>IF(P9571&gt;0,$F$18*F9571/1000,0)</f>
        <v>0</v>
      </c>
      <c r="S9571" t="str">
        <v>)</v>
      </c>
      <c r="T9571" t="str">
        <v>x</v>
      </c>
      <c r="U9571">
        <f>0.006165*F9571^2</f>
        <v>1.041885</v>
      </c>
      <c r="X9571" t="str">
        <v>x</v>
      </c>
      <c r="Y9571">
        <f>D9570</f>
        <v>1</v>
      </c>
      <c r="Z9571" t="str">
        <v>=</v>
      </c>
      <c r="AA9571">
        <f>IF(AA9574=0,(D9571*N9571+P9571*R9571)*U9571*Y9571,0)</f>
        <v>0</v>
      </c>
    </row>
    <row r="9572">
      <c r="A9572" t="str">
        <f>A9564</f>
        <v>Lantai Attic</v>
      </c>
      <c r="B9572">
        <f>B9564</f>
        <v>55</v>
      </c>
      <c r="C9572" t="str">
        <v>Tul Atas Lapangan</v>
      </c>
      <c r="D9572">
        <f>VLOOKUP(D9564,'Detail Balok'!$C$10:$AU$110,7,FALSE)</f>
        <v>2</v>
      </c>
      <c r="E9572" t="str">
        <v>D</v>
      </c>
      <c r="F9572">
        <f>VLOOKUP(D9564,'Detail Balok'!$C$10:$AU$110,9,FALSE)</f>
        <v>13</v>
      </c>
      <c r="I9572" t="str">
        <v>(</v>
      </c>
      <c r="J9572">
        <f>+D9566/2/1000</f>
        <v>1</v>
      </c>
      <c r="K9572" t="str">
        <v>+</v>
      </c>
      <c r="M9572" t="str">
        <v>=</v>
      </c>
      <c r="N9572">
        <f>J9572+L9572</f>
        <v>1</v>
      </c>
      <c r="O9572" t="str">
        <v>+</v>
      </c>
      <c r="P9572">
        <f>MAX(D9572-D9571,D9572-D9573)</f>
        <v>0</v>
      </c>
      <c r="Q9572" t="str">
        <v>x</v>
      </c>
      <c r="R9572">
        <f>IF(P9572&gt;0,2*(1-2*$F$19-1/2)*D9567/1000,0)</f>
        <v>0</v>
      </c>
      <c r="S9572" t="str">
        <v>)</v>
      </c>
      <c r="T9572" t="str">
        <v>x</v>
      </c>
      <c r="U9572">
        <f>0.006165*F9572^2</f>
        <v>1.041885</v>
      </c>
      <c r="X9572" t="str">
        <v>x</v>
      </c>
      <c r="Y9572">
        <f>D9570</f>
        <v>1</v>
      </c>
      <c r="Z9572" t="str">
        <v>=</v>
      </c>
      <c r="AA9572">
        <f>IF(AA9574=0,(D9572*N9572+P9572*R9572)*U9572*Y9572,0)</f>
        <v>0</v>
      </c>
    </row>
    <row r="9573">
      <c r="A9573" t="str">
        <f>A9564</f>
        <v>Lantai Attic</v>
      </c>
      <c r="B9573">
        <f>B9564</f>
        <v>55</v>
      </c>
      <c r="C9573" t="str">
        <v>Tul Atas Tumpuan</v>
      </c>
      <c r="D9573">
        <f>VLOOKUP(D9564,'Detail Balok'!$C$10:$AU$110,10,FALSE)</f>
        <v>2</v>
      </c>
      <c r="E9573" t="str">
        <v>D</v>
      </c>
      <c r="F9573">
        <f>VLOOKUP(D9564,'Detail Balok'!$C$10:$AU$110,12,FALSE)</f>
        <v>13</v>
      </c>
      <c r="I9573" t="str">
        <v>(</v>
      </c>
      <c r="J9573">
        <f>+D9566/4/1000</f>
        <v>0.5</v>
      </c>
      <c r="K9573" t="str">
        <v>+</v>
      </c>
      <c r="L9573">
        <f>MAX(VLOOKUP(F9573,N$6:P$15,3,FALSE)/1000,2/3*D9568/1000)+F$16*F9573/1000</f>
        <v>0.156</v>
      </c>
      <c r="M9573" t="str">
        <v>=</v>
      </c>
      <c r="N9573">
        <f>J9573+L9573</f>
        <v>0.656</v>
      </c>
      <c r="O9573" t="str">
        <v>+</v>
      </c>
      <c r="P9573">
        <f>D9573-D9572</f>
        <v>0</v>
      </c>
      <c r="Q9573" t="str">
        <v>x</v>
      </c>
      <c r="R9573">
        <f>IF(P9573&gt;0,$F$18*F9573/1000,0)</f>
        <v>0</v>
      </c>
      <c r="S9573" t="str">
        <v>)</v>
      </c>
      <c r="T9573" t="str">
        <v>x</v>
      </c>
      <c r="U9573">
        <f>0.006165*F9573^2</f>
        <v>1.041885</v>
      </c>
      <c r="X9573" t="str">
        <v>x</v>
      </c>
      <c r="Y9573">
        <f>D9570</f>
        <v>1</v>
      </c>
      <c r="Z9573" t="str">
        <v>=</v>
      </c>
      <c r="AA9573">
        <f>IF(AA9574=0,(D9573*N9573+P9573*R9573)*U9573*Y9573,0)</f>
        <v>0</v>
      </c>
    </row>
    <row r="9574">
      <c r="A9574" t="str">
        <f>A9564</f>
        <v>Lantai Attic</v>
      </c>
      <c r="B9574">
        <f>B9564</f>
        <v>55</v>
      </c>
      <c r="D9574">
        <f>IF(AND(D9571=D9572,D9572=D9573,D9571=D9573),D9571,0)</f>
        <v>2</v>
      </c>
      <c r="E9574" t="str">
        <v>D</v>
      </c>
      <c r="F9574">
        <f>IF(AND(F9571=F9572,F9571=F9573,F9572=F9573),F9571,0)</f>
        <v>13</v>
      </c>
      <c r="L9574" t="str">
        <v>Total panjang per balok</v>
      </c>
      <c r="M9574" t="str">
        <v>=</v>
      </c>
      <c r="N9574">
        <f>IF(AND(D9571=D9572,D9571=D9573,D9572=D9573,F9571=F9572,F9571=F9573,F9572=F9573),SUM(N9571:N9573),0)</f>
        <v>2.3120000000000003</v>
      </c>
      <c r="O9574" t="str">
        <v>+</v>
      </c>
      <c r="P9574">
        <f>IF(N9574&gt;12,ROUNDDOWN(N9574/12,0),0)</f>
        <v>0</v>
      </c>
      <c r="Q9574" t="str">
        <v>x</v>
      </c>
      <c r="R9574">
        <f>IF(P9574&gt;0,MAX(VLOOKUP(F9574,$D$6:$G$15,3,FALSE),600),0)/1000</f>
        <v>0</v>
      </c>
      <c r="T9574" t="str">
        <v>x</v>
      </c>
      <c r="U9574">
        <f>U9573</f>
        <v>1.041885</v>
      </c>
      <c r="V9574" t="str">
        <v>x</v>
      </c>
      <c r="W9574">
        <f>D9574</f>
        <v>2</v>
      </c>
      <c r="X9574" t="str">
        <v>x</v>
      </c>
      <c r="Y9574">
        <f>Y9573</f>
        <v>1</v>
      </c>
      <c r="Z9574" t="str">
        <v>=</v>
      </c>
      <c r="AA9574">
        <f>(N9574+P9574*R9574/1000)*U9574*W9574*Y9574</f>
        <v>4.81767624</v>
      </c>
    </row>
    <row r="9576">
      <c r="A9576" t="str">
        <f>A9564</f>
        <v>Lantai Attic</v>
      </c>
      <c r="B9576">
        <f>B9564</f>
        <v>55</v>
      </c>
      <c r="C9576" t="str">
        <v>Tul Peminggang</v>
      </c>
      <c r="D9576">
        <f>VLOOKUP(D9564,'Detail Balok'!$C$10:$AU$110,13,FALSE)</f>
        <v>0</v>
      </c>
      <c r="E9576" t="str">
        <v>D</v>
      </c>
      <c r="F9576">
        <f>VLOOKUP(D9564,'Detail Balok'!$C$10:$AU$110,15,FALSE)</f>
        <v>6</v>
      </c>
      <c r="J9576">
        <f>+D9566/1000</f>
        <v>2</v>
      </c>
      <c r="K9576" t="str">
        <v>+</v>
      </c>
      <c r="L9576">
        <f>2*$F$16*F9576/1000</f>
        <v>0.144</v>
      </c>
      <c r="M9576" t="str">
        <v>=</v>
      </c>
      <c r="N9576">
        <f>J9576+L9576</f>
        <v>2.144</v>
      </c>
      <c r="O9576" t="str">
        <v>+</v>
      </c>
      <c r="P9576">
        <f>IF(N9576&gt;12,ROUNDDOWN(N9576/12,0),0)</f>
        <v>0</v>
      </c>
      <c r="Q9576" t="str">
        <v>x</v>
      </c>
      <c r="R9576">
        <f>IF(P9576&gt;0,MAX(VLOOKUP(F9576,$D$6:$G$15,3,FALSE),600),0)/1000</f>
        <v>0</v>
      </c>
      <c r="T9576" t="str">
        <v>x</v>
      </c>
      <c r="U9576">
        <f>0.006165*F9576^2</f>
        <v>0.22194000000000003</v>
      </c>
      <c r="V9576" t="str">
        <v>x</v>
      </c>
      <c r="W9576">
        <f>+D9576</f>
        <v>0</v>
      </c>
      <c r="X9576" t="str">
        <v>x</v>
      </c>
      <c r="Y9576">
        <f>D9570</f>
        <v>1</v>
      </c>
      <c r="Z9576" t="str">
        <v>=</v>
      </c>
      <c r="AA9576">
        <f>(N9576+P9576*R9576/1000)*U9576*W9576*Y9576</f>
        <v>0</v>
      </c>
    </row>
    <row r="9579">
      <c r="A9579" t="str">
        <f>A9564</f>
        <v>Lantai Attic</v>
      </c>
      <c r="B9579">
        <f>B9564</f>
        <v>55</v>
      </c>
      <c r="C9579" t="str">
        <v>Tul Bawah Tumpuan</v>
      </c>
      <c r="D9579">
        <f>VLOOKUP(D9564,'Detail Balok'!$C$10:$AU$110,22,FALSE)</f>
        <v>2</v>
      </c>
      <c r="E9579" t="str">
        <v>D</v>
      </c>
      <c r="F9579">
        <f>VLOOKUP(D9564,'Detail Balok'!$C$10:$AU$110,24,FALSE)</f>
        <v>13</v>
      </c>
      <c r="I9579" t="str">
        <v>(</v>
      </c>
      <c r="J9579">
        <f>+J9571</f>
        <v>0.5</v>
      </c>
      <c r="K9579" t="str">
        <v>+</v>
      </c>
      <c r="L9579">
        <f>MAX(VLOOKUP(F9579,N$6:P$15,3,FALSE)/1000,2/3*D9569/1000)+F$16*F9579/1000</f>
        <v>0.156</v>
      </c>
      <c r="M9579" t="str">
        <v>=</v>
      </c>
      <c r="N9579">
        <f>J9579+L9579</f>
        <v>0.656</v>
      </c>
      <c r="O9579" t="str">
        <v>+</v>
      </c>
      <c r="P9579">
        <f>D9579-D9580</f>
        <v>0</v>
      </c>
      <c r="Q9579" t="str">
        <v>x</v>
      </c>
      <c r="R9579">
        <f>IF(P9579&gt;0,$F$18*F9579/1000,0)</f>
        <v>0</v>
      </c>
      <c r="S9579" t="str">
        <v>)</v>
      </c>
      <c r="T9579" t="str">
        <v>x</v>
      </c>
      <c r="U9579">
        <f>0.006165*F9579^2</f>
        <v>1.041885</v>
      </c>
      <c r="X9579" t="str">
        <v>x</v>
      </c>
      <c r="Y9579">
        <f>D9570</f>
        <v>1</v>
      </c>
      <c r="Z9579" t="str">
        <v>=</v>
      </c>
      <c r="AA9579">
        <f>IF(AA9582=0,(D9579*N9579+P9579*R9579)*U9579*Y9579,0)</f>
        <v>0</v>
      </c>
    </row>
    <row r="9580">
      <c r="A9580" t="str">
        <f>A9564</f>
        <v>Lantai Attic</v>
      </c>
      <c r="B9580">
        <f>B9564</f>
        <v>55</v>
      </c>
      <c r="C9580" t="str">
        <v>Tul Bawah Lapangan</v>
      </c>
      <c r="D9580">
        <f>VLOOKUP(D9564,'Detail Balok'!$C$10:$AU$110,25,FALSE)</f>
        <v>2</v>
      </c>
      <c r="E9580" t="str">
        <v>D</v>
      </c>
      <c r="F9580">
        <f>VLOOKUP(D9564,'Detail Balok'!$C$10:$AU$110,27,FALSE)</f>
        <v>13</v>
      </c>
      <c r="I9580" t="str">
        <v>(</v>
      </c>
      <c r="J9580">
        <f>+J9572</f>
        <v>1</v>
      </c>
      <c r="K9580" t="str">
        <v>+</v>
      </c>
      <c r="M9580" t="str">
        <v>=</v>
      </c>
      <c r="N9580">
        <f>J9580+L9580</f>
        <v>1</v>
      </c>
      <c r="O9580" t="str">
        <v>+</v>
      </c>
      <c r="P9580">
        <f>MAX(D9580-D9579,D9580-D9581)</f>
        <v>0</v>
      </c>
      <c r="Q9580" t="str">
        <v>x</v>
      </c>
      <c r="R9580">
        <f>IF(P9580&gt;0,2*(1-2*$F$19-1/2)*D9567/1000,0)</f>
        <v>0</v>
      </c>
      <c r="S9580" t="str">
        <v>)</v>
      </c>
      <c r="T9580" t="str">
        <v>x</v>
      </c>
      <c r="U9580">
        <f>0.006165*F9580^2</f>
        <v>1.041885</v>
      </c>
      <c r="X9580" t="str">
        <v>x</v>
      </c>
      <c r="Y9580">
        <f>D9570</f>
        <v>1</v>
      </c>
      <c r="Z9580" t="str">
        <v>=</v>
      </c>
      <c r="AA9580">
        <f>IF(AA9582=0,(D9580*N9580+P9580*R9580)*U9580*Y9580,0)</f>
        <v>0</v>
      </c>
    </row>
    <row r="9581">
      <c r="A9581" t="str">
        <f>A9564</f>
        <v>Lantai Attic</v>
      </c>
      <c r="B9581">
        <f>B9564</f>
        <v>55</v>
      </c>
      <c r="C9581" t="str">
        <v>Tul Bawah Tumpuan</v>
      </c>
      <c r="D9581">
        <f>VLOOKUP(D9564,'Detail Balok'!$C$10:$AU$110,28,FALSE)</f>
        <v>2</v>
      </c>
      <c r="E9581" t="str">
        <v>D</v>
      </c>
      <c r="F9581">
        <f>VLOOKUP(D9564,'Detail Balok'!$C$10:$AU$110,30,FALSE)</f>
        <v>13</v>
      </c>
      <c r="I9581" t="str">
        <v>(</v>
      </c>
      <c r="J9581">
        <f>+J9573</f>
        <v>0.5</v>
      </c>
      <c r="K9581" t="str">
        <v>+</v>
      </c>
      <c r="L9581">
        <f>MAX(VLOOKUP(F9581,N$6:P$15,3,FALSE)/1000,2/3*D9569/1000)+F$16*F9581/1000</f>
        <v>0.156</v>
      </c>
      <c r="M9581" t="str">
        <v>=</v>
      </c>
      <c r="N9581">
        <f>J9581+L9581</f>
        <v>0.656</v>
      </c>
      <c r="O9581" t="str">
        <v>+</v>
      </c>
      <c r="P9581">
        <f>D9581-D9580</f>
        <v>0</v>
      </c>
      <c r="Q9581" t="str">
        <v>x</v>
      </c>
      <c r="R9581">
        <f>IF(P9581&gt;0,$F$18*F9581/1000,0)</f>
        <v>0</v>
      </c>
      <c r="S9581" t="str">
        <v>)</v>
      </c>
      <c r="T9581" t="str">
        <v>x</v>
      </c>
      <c r="U9581">
        <f>0.006165*F9581^2</f>
        <v>1.041885</v>
      </c>
      <c r="X9581" t="str">
        <v>x</v>
      </c>
      <c r="Y9581">
        <f>D9570</f>
        <v>1</v>
      </c>
      <c r="Z9581" t="str">
        <v>=</v>
      </c>
      <c r="AA9581">
        <f>IF(AA9582=0,(D9581*N9581+P9581*R9581)*U9581*Y9581,0)</f>
        <v>0</v>
      </c>
    </row>
    <row r="9582">
      <c r="A9582" t="str">
        <f>A9564</f>
        <v>Lantai Attic</v>
      </c>
      <c r="B9582">
        <f>B9564</f>
        <v>55</v>
      </c>
      <c r="D9582">
        <f>IF(AND(D9579=D9580,D9580=D9581,D9579=D9581),D9579,0)</f>
        <v>2</v>
      </c>
      <c r="E9582" t="str">
        <v>D</v>
      </c>
      <c r="F9582">
        <f>IF(AND(F9579=F9580,F9579=F9581,F9580=F9581),F9579,0)</f>
        <v>13</v>
      </c>
      <c r="L9582" t="str">
        <v>Total panjang per balok</v>
      </c>
      <c r="M9582" t="str">
        <v>=</v>
      </c>
      <c r="N9582">
        <f>IF(AND(D9579=D9580,D9579=D9581,D9580=D9581,F9579=F9580,F9579=F9581,F9580=F9581),SUM(N9579:N9581),0)</f>
        <v>2.3120000000000003</v>
      </c>
      <c r="O9582" t="str">
        <v>+</v>
      </c>
      <c r="P9582">
        <f>IF(N9582&gt;12,ROUNDDOWN(N9582/12,0),0)</f>
        <v>0</v>
      </c>
      <c r="Q9582" t="str">
        <v>x</v>
      </c>
      <c r="R9582">
        <f>IF(P9582&gt;0,MAX(VLOOKUP(F9582,$D$6:$G$15,3,FALSE),600),0)/1000</f>
        <v>0</v>
      </c>
      <c r="T9582" t="str">
        <v>x</v>
      </c>
      <c r="U9582">
        <f>U9581</f>
        <v>1.041885</v>
      </c>
      <c r="V9582" t="str">
        <v>x</v>
      </c>
      <c r="W9582">
        <f>D9582</f>
        <v>2</v>
      </c>
      <c r="X9582" t="str">
        <v>x</v>
      </c>
      <c r="Y9582">
        <f>Y9581</f>
        <v>1</v>
      </c>
      <c r="Z9582" t="str">
        <v>=</v>
      </c>
      <c r="AA9582">
        <f>(N9582+P9582*R9582/1000)*U9582*W9582*Y9582</f>
        <v>4.81767624</v>
      </c>
    </row>
    <row r="9584">
      <c r="A9584" t="str">
        <f>A9564</f>
        <v>Lantai Attic</v>
      </c>
      <c r="B9584">
        <f>B9564</f>
        <v>55</v>
      </c>
      <c r="C9584" t="str">
        <v>Sengkang Tumpuan</v>
      </c>
      <c r="D9584">
        <f>VLOOKUP(D9564,'Detail Balok'!$C$10:$AU$110,31,FALSE)</f>
        <v>0</v>
      </c>
      <c r="E9584" t="str">
        <v>D</v>
      </c>
      <c r="F9584">
        <f>VLOOKUP(D9564,'Detail Balok'!$C$10:$AU$110,33,FALSE)</f>
        <v>8</v>
      </c>
      <c r="G9584" t="str">
        <v>-</v>
      </c>
      <c r="H9584">
        <f>VLOOKUP(D9564,'Detail Balok'!$C$10:$AU$110,35,FALSE)</f>
        <v>100</v>
      </c>
      <c r="J9584">
        <f>(IF(D9584=0,(2*(D9565+G9565))-(F$5*8),IF(D9584=3,(2*(D9565+G9565))-(F$5*8)+(G9565-2*F$5),IF(D9584=4,(2*(D9565+G9565))-(F$5*8)+2*(G9565-2*F$5)))))/1000</f>
        <v>0.68</v>
      </c>
      <c r="K9584" t="str">
        <v>+</v>
      </c>
      <c r="L9584">
        <f>IF(D9584=0,2*MAX(6*F9584,75),(D9584-1)*2*MAX(6*F9584,75))/1000</f>
        <v>0.15</v>
      </c>
      <c r="M9584" t="str">
        <v>=</v>
      </c>
      <c r="N9584">
        <f>J9584+L9584</f>
        <v>0.8300000000000001</v>
      </c>
      <c r="T9584" t="str">
        <v>x</v>
      </c>
      <c r="U9584">
        <f>0.006165*F9584^2</f>
        <v>0.39456</v>
      </c>
      <c r="V9584" t="str">
        <v>x</v>
      </c>
      <c r="W9584">
        <f>IF(D9567&gt;4*G9565,ROUND(MAX(D9567/4,2*G9565)/H9584,0)+1,ROUND(D9567/H9584,0)+1)</f>
        <v>7</v>
      </c>
      <c r="X9584" t="str">
        <v>x</v>
      </c>
      <c r="Y9584">
        <f>D9570</f>
        <v>1</v>
      </c>
      <c r="Z9584" t="str">
        <v>=</v>
      </c>
      <c r="AA9584">
        <f>N9584*U9584*W9584*Y9584</f>
        <v>2.2923936</v>
      </c>
    </row>
    <row r="9585">
      <c r="A9585" t="str">
        <f>A9564</f>
        <v>Lantai Attic</v>
      </c>
      <c r="B9585">
        <f>B9564</f>
        <v>55</v>
      </c>
      <c r="C9585" t="str">
        <v>Sengkang Lapangan</v>
      </c>
      <c r="D9585">
        <f>VLOOKUP(D9564,'Detail Balok'!$C$10:$AU$110,36,FALSE)</f>
        <v>0</v>
      </c>
      <c r="E9585" t="str">
        <v>D</v>
      </c>
      <c r="F9585">
        <f>VLOOKUP(D9564,'Detail Balok'!$C$10:$AU$110,38,FALSE)</f>
        <v>8</v>
      </c>
      <c r="G9585" t="str">
        <v>-</v>
      </c>
      <c r="H9585">
        <f>VLOOKUP(D9564,'Detail Balok'!$C$10:$AU$110,40,FALSE)</f>
        <v>150</v>
      </c>
      <c r="J9585">
        <f>(IF(D9585=0,(2*(D9565+G9565))-(F$5*8),IF(D9585=3,(2*(D9565+G9565))-(F$5*8)+(G9565-2*F$5),IF(D9585=4,(2*(D9565+G9565))-(F$5*8)+2*(G9565-2*F$5)))))/1000</f>
        <v>0.68</v>
      </c>
      <c r="K9585" t="str">
        <v>+</v>
      </c>
      <c r="L9585">
        <f>IF(D9585=0,2*MAX(6*F9585,75),(D9585-1)*2*MAX(6*F9585,75))/1000</f>
        <v>0.15</v>
      </c>
      <c r="M9585" t="str">
        <v>=</v>
      </c>
      <c r="N9585">
        <f>J9585+L9585</f>
        <v>0.8300000000000001</v>
      </c>
      <c r="T9585" t="str">
        <v>x</v>
      </c>
      <c r="U9585">
        <f>0.006165*F9585^2</f>
        <v>0.39456</v>
      </c>
      <c r="V9585" t="str">
        <v>x</v>
      </c>
      <c r="W9585">
        <f>IF(D9567-MAX(D9567/4,2*G9565)*2&gt;0,ROUND((D9567-MAX(D9567/4,2*G9565)*2)/H9585,0),0)</f>
        <v>5</v>
      </c>
      <c r="X9585" t="str">
        <v>x</v>
      </c>
      <c r="Y9585">
        <f>D9570</f>
        <v>1</v>
      </c>
      <c r="Z9585" t="str">
        <v>=</v>
      </c>
      <c r="AA9585">
        <f>N9585*U9585*W9585*Y9585</f>
        <v>1.6374240000000002</v>
      </c>
    </row>
    <row r="9586">
      <c r="A9586" t="str">
        <f>A9564</f>
        <v>Lantai Attic</v>
      </c>
      <c r="B9586">
        <f>B9564</f>
        <v>55</v>
      </c>
      <c r="C9586" t="str">
        <v>Sengkang Tumpuan</v>
      </c>
      <c r="D9586">
        <f>VLOOKUP(D9564,'Detail Balok'!$C$10:$AU$110,41,FALSE)</f>
        <v>0</v>
      </c>
      <c r="E9586" t="str">
        <v>D</v>
      </c>
      <c r="F9586">
        <f>VLOOKUP(D9564,'Detail Balok'!$C$10:$AU$110,43,FALSE)</f>
        <v>8</v>
      </c>
      <c r="G9586" t="str">
        <v>-</v>
      </c>
      <c r="H9586">
        <f>VLOOKUP(D9564,'Detail Balok'!$C$10:$AU$110,45,FALSE)</f>
        <v>100</v>
      </c>
      <c r="J9586">
        <f>(IF(D9586=0,(2*(D9565+G9565))-(F$5*8),IF(D9586=3,(2*(D9565+G9565))-(F$5*8)+(G9565-2*F$5),IF(D9586=4,(2*(D9565+G9565))-(F$5*8)+2*(G9565-2*F$5)))))/1000</f>
        <v>0.68</v>
      </c>
      <c r="K9586" t="str">
        <v>+</v>
      </c>
      <c r="L9586">
        <f>IF(D9586=0,2*MAX(6*F9586,75),(D9586-1)*2*MAX(6*F9586,75))/1000</f>
        <v>0.15</v>
      </c>
      <c r="M9586" t="str">
        <v>=</v>
      </c>
      <c r="N9586">
        <f>J9586+L9586</f>
        <v>0.8300000000000001</v>
      </c>
      <c r="T9586" t="str">
        <v>x</v>
      </c>
      <c r="U9586">
        <f>0.006165*F9586^2</f>
        <v>0.39456</v>
      </c>
      <c r="V9586" t="str">
        <v>x</v>
      </c>
      <c r="W9586">
        <f>IF(D9567&gt;4*G9565,ROUND(MAX(D9567/4,2*G9565)/H9586,0)+1,0)</f>
        <v>7</v>
      </c>
      <c r="X9586" t="str">
        <v>x</v>
      </c>
      <c r="Y9586">
        <f>D9570</f>
        <v>1</v>
      </c>
      <c r="Z9586" t="str">
        <v>=</v>
      </c>
      <c r="AA9586">
        <f>N9586*U9586*W9586*Y9586</f>
        <v>2.2923936</v>
      </c>
    </row>
    <row r="9588">
      <c r="A9588" t="str">
        <f>A9564</f>
        <v>Lantai Attic</v>
      </c>
      <c r="B9588">
        <f>B9564</f>
        <v>55</v>
      </c>
      <c r="C9588" t="str">
        <v>Kait Horizontal Tump.</v>
      </c>
      <c r="D9588">
        <f>VLOOKUP(D9564,'Detail Balok'!$C$10:$BJ$110,46,FALSE)</f>
        <v>0</v>
      </c>
      <c r="E9588" t="str">
        <v>D</v>
      </c>
      <c r="F9588">
        <f>VLOOKUP(D9564,'Detail Balok'!$C$10:$BJ$110,48,FALSE)</f>
        <v>0</v>
      </c>
      <c r="G9588" t="str">
        <v>-</v>
      </c>
      <c r="H9588">
        <f>VLOOKUP(D9564,'Detail Balok'!$C$10:$BJ$110,50,FALSE)</f>
        <v>100</v>
      </c>
      <c r="J9588">
        <f>(D9565-2*F$5)/1000</f>
        <v>0.12</v>
      </c>
      <c r="K9588" t="str">
        <v>+</v>
      </c>
      <c r="L9588">
        <f>IF(D9588=0,2*MAX(6*F9588,75),(D9588-1)*2*MAX(6*F9588,75))/1000</f>
        <v>0.15</v>
      </c>
      <c r="M9588" t="str">
        <v>=</v>
      </c>
      <c r="N9588">
        <f>J9588+L9588</f>
        <v>0.27</v>
      </c>
      <c r="T9588" t="str">
        <v>x</v>
      </c>
      <c r="U9588">
        <f>0.006165*F9588^2</f>
        <v>0</v>
      </c>
      <c r="V9588" t="str">
        <v>x</v>
      </c>
      <c r="W9588">
        <f>W9584</f>
        <v>7</v>
      </c>
      <c r="X9588" t="str">
        <v>x</v>
      </c>
      <c r="Y9588">
        <f>D9574</f>
        <v>2</v>
      </c>
      <c r="Z9588" t="str">
        <v>=</v>
      </c>
      <c r="AA9588">
        <f>N9588*U9588*W9588*Y9588</f>
        <v>0</v>
      </c>
    </row>
    <row r="9589">
      <c r="A9589" t="str">
        <f>A9564</f>
        <v>Lantai Attic</v>
      </c>
      <c r="B9589">
        <f>B9564</f>
        <v>55</v>
      </c>
      <c r="C9589" t="str">
        <v>Kait Horizontal Lap.</v>
      </c>
      <c r="D9589">
        <f>VLOOKUP(D9564,'Detail Balok'!$C$10:$BJ$110,51,FALSE)</f>
        <v>0</v>
      </c>
      <c r="E9589" t="str">
        <v>D</v>
      </c>
      <c r="F9589">
        <f>VLOOKUP(D9564,'Detail Balok'!$C$10:$BJ$110,53,FALSE)</f>
        <v>0</v>
      </c>
      <c r="G9589" t="str">
        <v>-</v>
      </c>
      <c r="H9589">
        <f>VLOOKUP(D9564,'Detail Balok'!$C$10:$BJ$110,55,FALSE)</f>
        <v>100</v>
      </c>
      <c r="J9589">
        <f>(D9565-2*F$5)/1000</f>
        <v>0.12</v>
      </c>
      <c r="K9589" t="str">
        <v>+</v>
      </c>
      <c r="L9589">
        <f>IF(D9589=0,2*MAX(6*F9589,75),(D9589-1)*2*MAX(6*F9589,75))/1000</f>
        <v>0.15</v>
      </c>
      <c r="M9589" t="str">
        <v>=</v>
      </c>
      <c r="N9589">
        <f>J9589+L9589</f>
        <v>0.27</v>
      </c>
      <c r="T9589" t="str">
        <v>x</v>
      </c>
      <c r="U9589">
        <f>0.006165*F9589^2</f>
        <v>0</v>
      </c>
      <c r="V9589" t="str">
        <v>x</v>
      </c>
      <c r="W9589">
        <f>W9585</f>
        <v>5</v>
      </c>
      <c r="X9589" t="str">
        <v>x</v>
      </c>
      <c r="Y9589">
        <f>D9574</f>
        <v>2</v>
      </c>
      <c r="Z9589" t="str">
        <v>=</v>
      </c>
      <c r="AA9589">
        <f>N9589*U9589*W9589*Y9589</f>
        <v>0</v>
      </c>
    </row>
    <row r="9590">
      <c r="A9590" t="str">
        <f>A9564</f>
        <v>Lantai Attic</v>
      </c>
      <c r="B9590">
        <f>B9564</f>
        <v>55</v>
      </c>
      <c r="C9590" t="str">
        <v>Kait Horizontal Tump.</v>
      </c>
      <c r="D9590">
        <f>VLOOKUP(D9564,'Detail Balok'!$C$10:$BJ$110,56,FALSE)</f>
        <v>0</v>
      </c>
      <c r="E9590" t="str">
        <v>D</v>
      </c>
      <c r="F9590">
        <f>VLOOKUP(D9564,'Detail Balok'!$C$10:$BJ$110,58,FALSE)</f>
        <v>0</v>
      </c>
      <c r="G9590" t="str">
        <v>-</v>
      </c>
      <c r="H9590">
        <f>VLOOKUP(D9564,'Detail Balok'!$C$10:$BJ$110,60,FALSE)</f>
        <v>100</v>
      </c>
      <c r="J9590">
        <f>(D9565-2*F$5)/1000</f>
        <v>0.12</v>
      </c>
      <c r="K9590" t="str">
        <v>+</v>
      </c>
      <c r="L9590">
        <f>IF(D9590=0,2*MAX(6*F9590,75),(D9590-1)*2*MAX(6*F9590,75))/1000</f>
        <v>0.15</v>
      </c>
      <c r="M9590" t="str">
        <v>=</v>
      </c>
      <c r="N9590">
        <f>J9590+L9590</f>
        <v>0.27</v>
      </c>
      <c r="T9590" t="str">
        <v>x</v>
      </c>
      <c r="U9590">
        <f>0.006165*F9590^2</f>
        <v>0</v>
      </c>
      <c r="V9590" t="str">
        <v>x</v>
      </c>
      <c r="W9590">
        <f>W9586</f>
        <v>7</v>
      </c>
      <c r="X9590" t="str">
        <v>x</v>
      </c>
      <c r="Y9590">
        <f>D9574</f>
        <v>2</v>
      </c>
      <c r="Z9590" t="str">
        <v>=</v>
      </c>
      <c r="AA9590">
        <f>N9590*U9590*W9590*Y9590</f>
        <v>0</v>
      </c>
    </row>
    <row r="9594">
      <c r="A9594" t="str">
        <f>A9564</f>
        <v>Lantai Attic</v>
      </c>
      <c r="B9594">
        <f>B9564+1</f>
        <v>56</v>
      </c>
      <c r="C9594" t="str">
        <f>CONCATENATE(A9594," no. ",B9594)</f>
        <v>Lantai Attic no. 56</v>
      </c>
      <c r="D9594" t="str">
        <f>VLOOKUP(C9594,'Data Panjang Balok'!$C$9:$N$424,2,FALSE)</f>
        <v>B25-1</v>
      </c>
    </row>
    <row r="9595">
      <c r="C9595" t="str">
        <v>Dimensi</v>
      </c>
      <c r="D9595">
        <f>VLOOKUP(D9594,'Detail Balok'!$C$10:$AU$110,2,FALSE)</f>
        <v>200</v>
      </c>
      <c r="F9595" t="str">
        <v>x</v>
      </c>
      <c r="G9595">
        <f>VLOOKUP(D9594,'Detail Balok'!$C$10:$AU$110,3,FALSE)</f>
        <v>500</v>
      </c>
    </row>
    <row r="9596">
      <c r="C9596" t="str">
        <v>Panjang as ke as</v>
      </c>
      <c r="D9596">
        <f>VLOOKUP(C9594,'Data Panjang Balok'!$C$9:$N$424,4,FALSE)</f>
        <v>2500</v>
      </c>
    </row>
    <row r="9597">
      <c r="C9597" t="str">
        <v>Panjang netto</v>
      </c>
      <c r="D9597">
        <f>VLOOKUP(C9594,'Data Panjang Balok'!$C$9:$N$424,7,FALSE)</f>
        <v>2500</v>
      </c>
    </row>
    <row r="9598">
      <c r="C9598" t="str">
        <v>Kolom / balok kiri</v>
      </c>
      <c r="D9598">
        <f>VLOOKUP(C9594,'Data Panjang Balok'!$C$9:$N$424,9,FALSE)</f>
        <v>0</v>
      </c>
    </row>
    <row r="9599">
      <c r="C9599" t="str">
        <v>Kolom / balok kanan</v>
      </c>
      <c r="D9599">
        <f>VLOOKUP(C9594,'Data Panjang Balok'!$C$9:$N$424,10,FALSE)</f>
        <v>0</v>
      </c>
    </row>
    <row r="9600">
      <c r="C9600" t="str">
        <v>Jumlah</v>
      </c>
      <c r="D9600">
        <f>VLOOKUP(C9594,'Data Panjang Balok'!$C$9:$N$424,3,FALSE)</f>
        <v>1</v>
      </c>
    </row>
    <row r="9601">
      <c r="A9601" t="str">
        <f>A9594</f>
        <v>Lantai Attic</v>
      </c>
      <c r="B9601">
        <f>B9594</f>
        <v>56</v>
      </c>
      <c r="C9601" t="str">
        <v>Tul Atas Tumpuan</v>
      </c>
      <c r="D9601">
        <f>VLOOKUP(D9594,'Detail Balok'!$C$10:$AU$110,4,FALSE)</f>
        <v>2</v>
      </c>
      <c r="E9601" t="str">
        <v>D</v>
      </c>
      <c r="F9601">
        <f>VLOOKUP(D9594,'Detail Balok'!$C$10:$AU$110,6,FALSE)</f>
        <v>16</v>
      </c>
      <c r="I9601" t="str">
        <v>(</v>
      </c>
      <c r="J9601">
        <f>+D9596/4/1000</f>
        <v>0.625</v>
      </c>
      <c r="K9601" t="str">
        <v>+</v>
      </c>
      <c r="L9601">
        <f>MAX(VLOOKUP(F9601,N$6:P$15,3,FALSE)/1000,2/3*D9598/1000)+F$16*F9601/1000</f>
        <v>0.192</v>
      </c>
      <c r="M9601" t="str">
        <v>=</v>
      </c>
      <c r="N9601">
        <f>J9601+L9601</f>
        <v>0.817</v>
      </c>
      <c r="O9601" t="str">
        <v>+</v>
      </c>
      <c r="P9601">
        <f>D9601-D9602</f>
        <v>0</v>
      </c>
      <c r="Q9601" t="str">
        <v>x</v>
      </c>
      <c r="R9601">
        <f>IF(P9601&gt;0,$F$18*F9601/1000,0)</f>
        <v>0</v>
      </c>
      <c r="S9601" t="str">
        <v>)</v>
      </c>
      <c r="T9601" t="str">
        <v>x</v>
      </c>
      <c r="U9601">
        <f>0.006165*F9601^2</f>
        <v>1.57824</v>
      </c>
      <c r="X9601" t="str">
        <v>x</v>
      </c>
      <c r="Y9601">
        <f>D9600</f>
        <v>1</v>
      </c>
      <c r="Z9601" t="str">
        <v>=</v>
      </c>
      <c r="AA9601">
        <f>IF(AA9604=0,(D9601*N9601+P9601*R9601)*U9601*Y9601,0)</f>
        <v>0</v>
      </c>
    </row>
    <row r="9602">
      <c r="A9602" t="str">
        <f>A9594</f>
        <v>Lantai Attic</v>
      </c>
      <c r="B9602">
        <f>B9594</f>
        <v>56</v>
      </c>
      <c r="C9602" t="str">
        <v>Tul Atas Lapangan</v>
      </c>
      <c r="D9602">
        <f>VLOOKUP(D9594,'Detail Balok'!$C$10:$AU$110,7,FALSE)</f>
        <v>2</v>
      </c>
      <c r="E9602" t="str">
        <v>D</v>
      </c>
      <c r="F9602">
        <f>VLOOKUP(D9594,'Detail Balok'!$C$10:$AU$110,9,FALSE)</f>
        <v>16</v>
      </c>
      <c r="I9602" t="str">
        <v>(</v>
      </c>
      <c r="J9602">
        <f>+D9596/2/1000</f>
        <v>1.25</v>
      </c>
      <c r="K9602" t="str">
        <v>+</v>
      </c>
      <c r="M9602" t="str">
        <v>=</v>
      </c>
      <c r="N9602">
        <f>J9602+L9602</f>
        <v>1.25</v>
      </c>
      <c r="O9602" t="str">
        <v>+</v>
      </c>
      <c r="P9602">
        <f>MAX(D9602-D9601,D9602-D9603)</f>
        <v>0</v>
      </c>
      <c r="Q9602" t="str">
        <v>x</v>
      </c>
      <c r="R9602">
        <f>IF(P9602&gt;0,2*(1-2*$F$19-1/2)*D9597/1000,0)</f>
        <v>0</v>
      </c>
      <c r="S9602" t="str">
        <v>)</v>
      </c>
      <c r="T9602" t="str">
        <v>x</v>
      </c>
      <c r="U9602">
        <f>0.006165*F9602^2</f>
        <v>1.57824</v>
      </c>
      <c r="X9602" t="str">
        <v>x</v>
      </c>
      <c r="Y9602">
        <f>D9600</f>
        <v>1</v>
      </c>
      <c r="Z9602" t="str">
        <v>=</v>
      </c>
      <c r="AA9602">
        <f>IF(AA9604=0,(D9602*N9602+P9602*R9602)*U9602*Y9602,0)</f>
        <v>0</v>
      </c>
    </row>
    <row r="9603">
      <c r="A9603" t="str">
        <f>A9594</f>
        <v>Lantai Attic</v>
      </c>
      <c r="B9603">
        <f>B9594</f>
        <v>56</v>
      </c>
      <c r="C9603" t="str">
        <v>Tul Atas Tumpuan</v>
      </c>
      <c r="D9603">
        <f>VLOOKUP(D9594,'Detail Balok'!$C$10:$AU$110,10,FALSE)</f>
        <v>2</v>
      </c>
      <c r="E9603" t="str">
        <v>D</v>
      </c>
      <c r="F9603">
        <f>VLOOKUP(D9594,'Detail Balok'!$C$10:$AU$110,12,FALSE)</f>
        <v>16</v>
      </c>
      <c r="I9603" t="str">
        <v>(</v>
      </c>
      <c r="J9603">
        <f>+D9596/4/1000</f>
        <v>0.625</v>
      </c>
      <c r="K9603" t="str">
        <v>+</v>
      </c>
      <c r="L9603">
        <f>MAX(VLOOKUP(F9603,N$6:P$15,3,FALSE)/1000,2/3*D9598/1000)+F$16*F9603/1000</f>
        <v>0.192</v>
      </c>
      <c r="M9603" t="str">
        <v>=</v>
      </c>
      <c r="N9603">
        <f>J9603+L9603</f>
        <v>0.817</v>
      </c>
      <c r="O9603" t="str">
        <v>+</v>
      </c>
      <c r="P9603">
        <f>D9603-D9602</f>
        <v>0</v>
      </c>
      <c r="Q9603" t="str">
        <v>x</v>
      </c>
      <c r="R9603">
        <f>IF(P9603&gt;0,$F$18*F9603/1000,0)</f>
        <v>0</v>
      </c>
      <c r="S9603" t="str">
        <v>)</v>
      </c>
      <c r="T9603" t="str">
        <v>x</v>
      </c>
      <c r="U9603">
        <f>0.006165*F9603^2</f>
        <v>1.57824</v>
      </c>
      <c r="X9603" t="str">
        <v>x</v>
      </c>
      <c r="Y9603">
        <f>D9600</f>
        <v>1</v>
      </c>
      <c r="Z9603" t="str">
        <v>=</v>
      </c>
      <c r="AA9603">
        <f>IF(AA9604=0,(D9603*N9603+P9603*R9603)*U9603*Y9603,0)</f>
        <v>0</v>
      </c>
    </row>
    <row r="9604">
      <c r="A9604" t="str">
        <f>A9594</f>
        <v>Lantai Attic</v>
      </c>
      <c r="B9604">
        <f>B9594</f>
        <v>56</v>
      </c>
      <c r="D9604">
        <f>IF(AND(D9601=D9602,D9602=D9603,D9601=D9603),D9601,0)</f>
        <v>2</v>
      </c>
      <c r="E9604" t="str">
        <v>D</v>
      </c>
      <c r="F9604">
        <f>IF(AND(F9601=F9602,F9601=F9603,F9602=F9603),F9601,0)</f>
        <v>16</v>
      </c>
      <c r="L9604" t="str">
        <v>Total panjang per balok</v>
      </c>
      <c r="M9604" t="str">
        <v>=</v>
      </c>
      <c r="N9604">
        <f>IF(AND(D9601=D9602,D9601=D9603,D9602=D9603,F9601=F9602,F9601=F9603,F9602=F9603),SUM(N9601:N9603),0)</f>
        <v>2.8840000000000003</v>
      </c>
      <c r="O9604" t="str">
        <v>+</v>
      </c>
      <c r="P9604">
        <f>IF(N9604&gt;12,ROUNDDOWN(N9604/12,0),0)</f>
        <v>0</v>
      </c>
      <c r="Q9604" t="str">
        <v>x</v>
      </c>
      <c r="R9604">
        <f>IF(P9604&gt;0,MAX(VLOOKUP(F9604,$D$6:$G$15,3,FALSE),600),0)/1000</f>
        <v>0</v>
      </c>
      <c r="T9604" t="str">
        <v>x</v>
      </c>
      <c r="U9604">
        <f>U9603</f>
        <v>1.57824</v>
      </c>
      <c r="V9604" t="str">
        <v>x</v>
      </c>
      <c r="W9604">
        <f>D9604</f>
        <v>2</v>
      </c>
      <c r="X9604" t="str">
        <v>x</v>
      </c>
      <c r="Y9604">
        <f>Y9603</f>
        <v>1</v>
      </c>
      <c r="Z9604" t="str">
        <v>=</v>
      </c>
      <c r="AA9604">
        <f>(N9604+P9604*R9604/1000)*U9604*W9604*Y9604</f>
        <v>9.10328832</v>
      </c>
    </row>
    <row r="9606">
      <c r="A9606" t="str">
        <f>A9594</f>
        <v>Lantai Attic</v>
      </c>
      <c r="B9606">
        <f>B9594</f>
        <v>56</v>
      </c>
      <c r="C9606" t="str">
        <v>Tul Peminggang</v>
      </c>
      <c r="D9606">
        <f>VLOOKUP(D9594,'Detail Balok'!$C$10:$AU$110,13,FALSE)</f>
        <v>2</v>
      </c>
      <c r="E9606" t="str">
        <v>D</v>
      </c>
      <c r="F9606">
        <f>VLOOKUP(D9594,'Detail Balok'!$C$10:$AU$110,15,FALSE)</f>
        <v>10</v>
      </c>
      <c r="J9606">
        <f>+D9596/1000</f>
        <v>2.5</v>
      </c>
      <c r="K9606" t="str">
        <v>+</v>
      </c>
      <c r="L9606">
        <f>2*$F$16*F9606/1000</f>
        <v>0.24</v>
      </c>
      <c r="M9606" t="str">
        <v>=</v>
      </c>
      <c r="N9606">
        <f>J9606+L9606</f>
        <v>2.74</v>
      </c>
      <c r="O9606" t="str">
        <v>+</v>
      </c>
      <c r="P9606">
        <f>IF(N9606&gt;12,ROUNDDOWN(N9606/12,0),0)</f>
        <v>0</v>
      </c>
      <c r="Q9606" t="str">
        <v>x</v>
      </c>
      <c r="R9606">
        <f>IF(P9606&gt;0,MAX(VLOOKUP(F9606,$D$6:$G$15,3,FALSE),600),0)/1000</f>
        <v>0</v>
      </c>
      <c r="T9606" t="str">
        <v>x</v>
      </c>
      <c r="U9606">
        <f>0.006165*F9606^2</f>
        <v>0.6165</v>
      </c>
      <c r="V9606" t="str">
        <v>x</v>
      </c>
      <c r="W9606">
        <f>+D9606</f>
        <v>2</v>
      </c>
      <c r="X9606" t="str">
        <v>x</v>
      </c>
      <c r="Y9606">
        <f>D9600</f>
        <v>1</v>
      </c>
      <c r="Z9606" t="str">
        <v>=</v>
      </c>
      <c r="AA9606">
        <f>(N9606+P9606*R9606/1000)*U9606*W9606*Y9606</f>
        <v>3.3784200000000006</v>
      </c>
    </row>
    <row r="9609">
      <c r="A9609" t="str">
        <f>A9594</f>
        <v>Lantai Attic</v>
      </c>
      <c r="B9609">
        <f>B9594</f>
        <v>56</v>
      </c>
      <c r="C9609" t="str">
        <v>Tul Bawah Tumpuan</v>
      </c>
      <c r="D9609">
        <f>VLOOKUP(D9594,'Detail Balok'!$C$10:$AU$110,22,FALSE)</f>
        <v>2</v>
      </c>
      <c r="E9609" t="str">
        <v>D</v>
      </c>
      <c r="F9609">
        <f>VLOOKUP(D9594,'Detail Balok'!$C$10:$AU$110,24,FALSE)</f>
        <v>16</v>
      </c>
      <c r="I9609" t="str">
        <v>(</v>
      </c>
      <c r="J9609">
        <f>+J9601</f>
        <v>0.625</v>
      </c>
      <c r="K9609" t="str">
        <v>+</v>
      </c>
      <c r="L9609">
        <f>MAX(VLOOKUP(F9609,N$6:P$15,3,FALSE)/1000,2/3*D9599/1000)+F$16*F9609/1000</f>
        <v>0.192</v>
      </c>
      <c r="M9609" t="str">
        <v>=</v>
      </c>
      <c r="N9609">
        <f>J9609+L9609</f>
        <v>0.817</v>
      </c>
      <c r="O9609" t="str">
        <v>+</v>
      </c>
      <c r="P9609">
        <f>D9609-D9610</f>
        <v>0</v>
      </c>
      <c r="Q9609" t="str">
        <v>x</v>
      </c>
      <c r="R9609">
        <f>IF(P9609&gt;0,$F$18*F9609/1000,0)</f>
        <v>0</v>
      </c>
      <c r="S9609" t="str">
        <v>)</v>
      </c>
      <c r="T9609" t="str">
        <v>x</v>
      </c>
      <c r="U9609">
        <f>0.006165*F9609^2</f>
        <v>1.57824</v>
      </c>
      <c r="X9609" t="str">
        <v>x</v>
      </c>
      <c r="Y9609">
        <f>D9600</f>
        <v>1</v>
      </c>
      <c r="Z9609" t="str">
        <v>=</v>
      </c>
      <c r="AA9609">
        <f>IF(AA9612=0,(D9609*N9609+P9609*R9609)*U9609*Y9609,0)</f>
        <v>0</v>
      </c>
    </row>
    <row r="9610">
      <c r="A9610" t="str">
        <f>A9594</f>
        <v>Lantai Attic</v>
      </c>
      <c r="B9610">
        <f>B9594</f>
        <v>56</v>
      </c>
      <c r="C9610" t="str">
        <v>Tul Bawah Lapangan</v>
      </c>
      <c r="D9610">
        <f>VLOOKUP(D9594,'Detail Balok'!$C$10:$AU$110,25,FALSE)</f>
        <v>2</v>
      </c>
      <c r="E9610" t="str">
        <v>D</v>
      </c>
      <c r="F9610">
        <f>VLOOKUP(D9594,'Detail Balok'!$C$10:$AU$110,27,FALSE)</f>
        <v>16</v>
      </c>
      <c r="I9610" t="str">
        <v>(</v>
      </c>
      <c r="J9610">
        <f>+J9602</f>
        <v>1.25</v>
      </c>
      <c r="K9610" t="str">
        <v>+</v>
      </c>
      <c r="M9610" t="str">
        <v>=</v>
      </c>
      <c r="N9610">
        <f>J9610+L9610</f>
        <v>1.25</v>
      </c>
      <c r="O9610" t="str">
        <v>+</v>
      </c>
      <c r="P9610">
        <f>MAX(D9610-D9609,D9610-D9611)</f>
        <v>0</v>
      </c>
      <c r="Q9610" t="str">
        <v>x</v>
      </c>
      <c r="R9610">
        <f>IF(P9610&gt;0,2*(1-2*$F$19-1/2)*D9597/1000,0)</f>
        <v>0</v>
      </c>
      <c r="S9610" t="str">
        <v>)</v>
      </c>
      <c r="T9610" t="str">
        <v>x</v>
      </c>
      <c r="U9610">
        <f>0.006165*F9610^2</f>
        <v>1.57824</v>
      </c>
      <c r="X9610" t="str">
        <v>x</v>
      </c>
      <c r="Y9610">
        <f>D9600</f>
        <v>1</v>
      </c>
      <c r="Z9610" t="str">
        <v>=</v>
      </c>
      <c r="AA9610">
        <f>IF(AA9612=0,(D9610*N9610+P9610*R9610)*U9610*Y9610,0)</f>
        <v>0</v>
      </c>
    </row>
    <row r="9611">
      <c r="A9611" t="str">
        <f>A9594</f>
        <v>Lantai Attic</v>
      </c>
      <c r="B9611">
        <f>B9594</f>
        <v>56</v>
      </c>
      <c r="C9611" t="str">
        <v>Tul Bawah Tumpuan</v>
      </c>
      <c r="D9611">
        <f>VLOOKUP(D9594,'Detail Balok'!$C$10:$AU$110,28,FALSE)</f>
        <v>2</v>
      </c>
      <c r="E9611" t="str">
        <v>D</v>
      </c>
      <c r="F9611">
        <f>VLOOKUP(D9594,'Detail Balok'!$C$10:$AU$110,30,FALSE)</f>
        <v>16</v>
      </c>
      <c r="I9611" t="str">
        <v>(</v>
      </c>
      <c r="J9611">
        <f>+J9603</f>
        <v>0.625</v>
      </c>
      <c r="K9611" t="str">
        <v>+</v>
      </c>
      <c r="L9611">
        <f>MAX(VLOOKUP(F9611,N$6:P$15,3,FALSE)/1000,2/3*D9599/1000)+F$16*F9611/1000</f>
        <v>0.192</v>
      </c>
      <c r="M9611" t="str">
        <v>=</v>
      </c>
      <c r="N9611">
        <f>J9611+L9611</f>
        <v>0.817</v>
      </c>
      <c r="O9611" t="str">
        <v>+</v>
      </c>
      <c r="P9611">
        <f>D9611-D9610</f>
        <v>0</v>
      </c>
      <c r="Q9611" t="str">
        <v>x</v>
      </c>
      <c r="R9611">
        <f>IF(P9611&gt;0,$F$18*F9611/1000,0)</f>
        <v>0</v>
      </c>
      <c r="S9611" t="str">
        <v>)</v>
      </c>
      <c r="T9611" t="str">
        <v>x</v>
      </c>
      <c r="U9611">
        <f>0.006165*F9611^2</f>
        <v>1.57824</v>
      </c>
      <c r="X9611" t="str">
        <v>x</v>
      </c>
      <c r="Y9611">
        <f>D9600</f>
        <v>1</v>
      </c>
      <c r="Z9611" t="str">
        <v>=</v>
      </c>
      <c r="AA9611">
        <f>IF(AA9612=0,(D9611*N9611+P9611*R9611)*U9611*Y9611,0)</f>
        <v>0</v>
      </c>
    </row>
    <row r="9612">
      <c r="A9612" t="str">
        <f>A9594</f>
        <v>Lantai Attic</v>
      </c>
      <c r="B9612">
        <f>B9594</f>
        <v>56</v>
      </c>
      <c r="D9612">
        <f>IF(AND(D9609=D9610,D9610=D9611,D9609=D9611),D9609,0)</f>
        <v>2</v>
      </c>
      <c r="E9612" t="str">
        <v>D</v>
      </c>
      <c r="F9612">
        <f>IF(AND(F9609=F9610,F9609=F9611,F9610=F9611),F9609,0)</f>
        <v>16</v>
      </c>
      <c r="L9612" t="str">
        <v>Total panjang per balok</v>
      </c>
      <c r="M9612" t="str">
        <v>=</v>
      </c>
      <c r="N9612">
        <f>IF(AND(D9609=D9610,D9609=D9611,D9610=D9611,F9609=F9610,F9609=F9611,F9610=F9611),SUM(N9609:N9611),0)</f>
        <v>2.8840000000000003</v>
      </c>
      <c r="O9612" t="str">
        <v>+</v>
      </c>
      <c r="P9612">
        <f>IF(N9612&gt;12,ROUNDDOWN(N9612/12,0),0)</f>
        <v>0</v>
      </c>
      <c r="Q9612" t="str">
        <v>x</v>
      </c>
      <c r="R9612">
        <f>IF(P9612&gt;0,MAX(VLOOKUP(F9612,$D$6:$G$15,3,FALSE),600),0)/1000</f>
        <v>0</v>
      </c>
      <c r="T9612" t="str">
        <v>x</v>
      </c>
      <c r="U9612">
        <f>U9611</f>
        <v>1.57824</v>
      </c>
      <c r="V9612" t="str">
        <v>x</v>
      </c>
      <c r="W9612">
        <f>D9612</f>
        <v>2</v>
      </c>
      <c r="X9612" t="str">
        <v>x</v>
      </c>
      <c r="Y9612">
        <f>Y9611</f>
        <v>1</v>
      </c>
      <c r="Z9612" t="str">
        <v>=</v>
      </c>
      <c r="AA9612">
        <f>(N9612+P9612*R9612/1000)*U9612*W9612*Y9612</f>
        <v>9.10328832</v>
      </c>
    </row>
    <row r="9614">
      <c r="A9614" t="str">
        <f>A9594</f>
        <v>Lantai Attic</v>
      </c>
      <c r="B9614">
        <f>B9594</f>
        <v>56</v>
      </c>
      <c r="C9614" t="str">
        <v>Sengkang Tumpuan</v>
      </c>
      <c r="D9614">
        <f>VLOOKUP(D9594,'Detail Balok'!$C$10:$AU$110,31,FALSE)</f>
        <v>0</v>
      </c>
      <c r="E9614" t="str">
        <v>D</v>
      </c>
      <c r="F9614">
        <f>VLOOKUP(D9594,'Detail Balok'!$C$10:$AU$110,33,FALSE)</f>
        <v>10</v>
      </c>
      <c r="G9614" t="str">
        <v>-</v>
      </c>
      <c r="H9614">
        <f>VLOOKUP(D9594,'Detail Balok'!$C$10:$AU$110,35,FALSE)</f>
        <v>100</v>
      </c>
      <c r="J9614">
        <f>(IF(D9614=0,(2*(D9595+G9595))-(F$5*8),IF(D9614=3,(2*(D9595+G9595))-(F$5*8)+(G9595-2*F$5),IF(D9614=4,(2*(D9595+G9595))-(F$5*8)+2*(G9595-2*F$5)))))/1000</f>
        <v>1.08</v>
      </c>
      <c r="K9614" t="str">
        <v>+</v>
      </c>
      <c r="L9614">
        <f>IF(D9614=0,2*MAX(6*F9614,75),(D9614-1)*2*MAX(6*F9614,75))/1000</f>
        <v>0.15</v>
      </c>
      <c r="M9614" t="str">
        <v>=</v>
      </c>
      <c r="N9614">
        <f>J9614+L9614</f>
        <v>1.23</v>
      </c>
      <c r="T9614" t="str">
        <v>x</v>
      </c>
      <c r="U9614">
        <f>0.006165*F9614^2</f>
        <v>0.6165</v>
      </c>
      <c r="V9614" t="str">
        <v>x</v>
      </c>
      <c r="W9614">
        <f>IF(D9597&gt;4*G9595,ROUND(MAX(D9597/4,2*G9595)/H9614,0)+1,ROUND(D9597/H9614,0)+1)</f>
        <v>11</v>
      </c>
      <c r="X9614" t="str">
        <v>x</v>
      </c>
      <c r="Y9614">
        <f>D9600</f>
        <v>1</v>
      </c>
      <c r="Z9614" t="str">
        <v>=</v>
      </c>
      <c r="AA9614">
        <f>N9614*U9614*W9614*Y9614</f>
        <v>8.341245</v>
      </c>
    </row>
    <row r="9615">
      <c r="A9615" t="str">
        <f>A9594</f>
        <v>Lantai Attic</v>
      </c>
      <c r="B9615">
        <f>B9594</f>
        <v>56</v>
      </c>
      <c r="C9615" t="str">
        <v>Sengkang Lapangan</v>
      </c>
      <c r="D9615">
        <f>VLOOKUP(D9594,'Detail Balok'!$C$10:$AU$110,36,FALSE)</f>
        <v>0</v>
      </c>
      <c r="E9615" t="str">
        <v>D</v>
      </c>
      <c r="F9615">
        <f>VLOOKUP(D9594,'Detail Balok'!$C$10:$AU$110,38,FALSE)</f>
        <v>10</v>
      </c>
      <c r="G9615" t="str">
        <v>-</v>
      </c>
      <c r="H9615">
        <f>VLOOKUP(D9594,'Detail Balok'!$C$10:$AU$110,40,FALSE)</f>
        <v>200</v>
      </c>
      <c r="J9615">
        <f>(IF(D9615=0,(2*(D9595+G9595))-(F$5*8),IF(D9615=3,(2*(D9595+G9595))-(F$5*8)+(G9595-2*F$5),IF(D9615=4,(2*(D9595+G9595))-(F$5*8)+2*(G9595-2*F$5)))))/1000</f>
        <v>1.08</v>
      </c>
      <c r="K9615" t="str">
        <v>+</v>
      </c>
      <c r="L9615">
        <f>IF(D9615=0,2*MAX(6*F9615,75),(D9615-1)*2*MAX(6*F9615,75))/1000</f>
        <v>0.15</v>
      </c>
      <c r="M9615" t="str">
        <v>=</v>
      </c>
      <c r="N9615">
        <f>J9615+L9615</f>
        <v>1.23</v>
      </c>
      <c r="T9615" t="str">
        <v>x</v>
      </c>
      <c r="U9615">
        <f>0.006165*F9615^2</f>
        <v>0.6165</v>
      </c>
      <c r="V9615" t="str">
        <v>x</v>
      </c>
      <c r="W9615">
        <f>IF(D9597-MAX(D9597/4,2*G9595)*2&gt;0,ROUND((D9597-MAX(D9597/4,2*G9595)*2)/H9615,0),0)</f>
        <v>3</v>
      </c>
      <c r="X9615" t="str">
        <v>x</v>
      </c>
      <c r="Y9615">
        <f>D9600</f>
        <v>1</v>
      </c>
      <c r="Z9615" t="str">
        <v>=</v>
      </c>
      <c r="AA9615">
        <f>N9615*U9615*W9615*Y9615</f>
        <v>2.2748850000000003</v>
      </c>
    </row>
    <row r="9616">
      <c r="A9616" t="str">
        <f>A9594</f>
        <v>Lantai Attic</v>
      </c>
      <c r="B9616">
        <f>B9594</f>
        <v>56</v>
      </c>
      <c r="C9616" t="str">
        <v>Sengkang Tumpuan</v>
      </c>
      <c r="D9616">
        <f>VLOOKUP(D9594,'Detail Balok'!$C$10:$AU$110,41,FALSE)</f>
        <v>0</v>
      </c>
      <c r="E9616" t="str">
        <v>D</v>
      </c>
      <c r="F9616">
        <f>VLOOKUP(D9594,'Detail Balok'!$C$10:$AU$110,43,FALSE)</f>
        <v>10</v>
      </c>
      <c r="G9616" t="str">
        <v>-</v>
      </c>
      <c r="H9616">
        <f>VLOOKUP(D9594,'Detail Balok'!$C$10:$AU$110,45,FALSE)</f>
        <v>100</v>
      </c>
      <c r="J9616">
        <f>(IF(D9616=0,(2*(D9595+G9595))-(F$5*8),IF(D9616=3,(2*(D9595+G9595))-(F$5*8)+(G9595-2*F$5),IF(D9616=4,(2*(D9595+G9595))-(F$5*8)+2*(G9595-2*F$5)))))/1000</f>
        <v>1.08</v>
      </c>
      <c r="K9616" t="str">
        <v>+</v>
      </c>
      <c r="L9616">
        <f>IF(D9616=0,2*MAX(6*F9616,75),(D9616-1)*2*MAX(6*F9616,75))/1000</f>
        <v>0.15</v>
      </c>
      <c r="M9616" t="str">
        <v>=</v>
      </c>
      <c r="N9616">
        <f>J9616+L9616</f>
        <v>1.23</v>
      </c>
      <c r="T9616" t="str">
        <v>x</v>
      </c>
      <c r="U9616">
        <f>0.006165*F9616^2</f>
        <v>0.6165</v>
      </c>
      <c r="V9616" t="str">
        <v>x</v>
      </c>
      <c r="W9616">
        <f>IF(D9597&gt;4*G9595,ROUND(MAX(D9597/4,2*G9595)/H9616,0)+1,0)</f>
        <v>11</v>
      </c>
      <c r="X9616" t="str">
        <v>x</v>
      </c>
      <c r="Y9616">
        <f>D9600</f>
        <v>1</v>
      </c>
      <c r="Z9616" t="str">
        <v>=</v>
      </c>
      <c r="AA9616">
        <f>N9616*U9616*W9616*Y9616</f>
        <v>8.341245</v>
      </c>
    </row>
    <row r="9618">
      <c r="A9618" t="str">
        <f>A9594</f>
        <v>Lantai Attic</v>
      </c>
      <c r="B9618">
        <f>B9594</f>
        <v>56</v>
      </c>
      <c r="C9618" t="str">
        <v>Kait Horizontal Tump.</v>
      </c>
      <c r="D9618">
        <f>VLOOKUP(D9594,'Detail Balok'!$C$10:$BJ$110,46,FALSE)</f>
        <v>0</v>
      </c>
      <c r="E9618" t="str">
        <v>D</v>
      </c>
      <c r="F9618">
        <f>VLOOKUP(D9594,'Detail Balok'!$C$10:$BJ$110,48,FALSE)</f>
        <v>0</v>
      </c>
      <c r="G9618" t="str">
        <v>-</v>
      </c>
      <c r="H9618">
        <f>VLOOKUP(D9594,'Detail Balok'!$C$10:$BJ$110,50,FALSE)</f>
        <v>100</v>
      </c>
      <c r="J9618">
        <f>(D9595-2*F$5)/1000</f>
        <v>0.12</v>
      </c>
      <c r="K9618" t="str">
        <v>+</v>
      </c>
      <c r="L9618">
        <f>IF(D9618=0,2*MAX(6*F9618,75),(D9618-1)*2*MAX(6*F9618,75))/1000</f>
        <v>0.15</v>
      </c>
      <c r="M9618" t="str">
        <v>=</v>
      </c>
      <c r="N9618">
        <f>J9618+L9618</f>
        <v>0.27</v>
      </c>
      <c r="T9618" t="str">
        <v>x</v>
      </c>
      <c r="U9618">
        <f>0.006165*F9618^2</f>
        <v>0</v>
      </c>
      <c r="V9618" t="str">
        <v>x</v>
      </c>
      <c r="W9618">
        <f>W9614</f>
        <v>11</v>
      </c>
      <c r="X9618" t="str">
        <v>x</v>
      </c>
      <c r="Y9618">
        <f>D9604</f>
        <v>2</v>
      </c>
      <c r="Z9618" t="str">
        <v>=</v>
      </c>
      <c r="AA9618">
        <f>N9618*U9618*W9618*Y9618</f>
        <v>0</v>
      </c>
    </row>
    <row r="9619">
      <c r="A9619" t="str">
        <f>A9594</f>
        <v>Lantai Attic</v>
      </c>
      <c r="B9619">
        <f>B9594</f>
        <v>56</v>
      </c>
      <c r="C9619" t="str">
        <v>Kait Horizontal Lap.</v>
      </c>
      <c r="D9619">
        <f>VLOOKUP(D9594,'Detail Balok'!$C$10:$BJ$110,51,FALSE)</f>
        <v>0</v>
      </c>
      <c r="E9619" t="str">
        <v>D</v>
      </c>
      <c r="F9619">
        <f>VLOOKUP(D9594,'Detail Balok'!$C$10:$BJ$110,53,FALSE)</f>
        <v>0</v>
      </c>
      <c r="G9619" t="str">
        <v>-</v>
      </c>
      <c r="H9619">
        <f>VLOOKUP(D9594,'Detail Balok'!$C$10:$BJ$110,55,FALSE)</f>
        <v>100</v>
      </c>
      <c r="J9619">
        <f>(D9595-2*F$5)/1000</f>
        <v>0.12</v>
      </c>
      <c r="K9619" t="str">
        <v>+</v>
      </c>
      <c r="L9619">
        <f>IF(D9619=0,2*MAX(6*F9619,75),(D9619-1)*2*MAX(6*F9619,75))/1000</f>
        <v>0.15</v>
      </c>
      <c r="M9619" t="str">
        <v>=</v>
      </c>
      <c r="N9619">
        <f>J9619+L9619</f>
        <v>0.27</v>
      </c>
      <c r="T9619" t="str">
        <v>x</v>
      </c>
      <c r="U9619">
        <f>0.006165*F9619^2</f>
        <v>0</v>
      </c>
      <c r="V9619" t="str">
        <v>x</v>
      </c>
      <c r="W9619">
        <f>W9615</f>
        <v>3</v>
      </c>
      <c r="X9619" t="str">
        <v>x</v>
      </c>
      <c r="Y9619">
        <f>D9604</f>
        <v>2</v>
      </c>
      <c r="Z9619" t="str">
        <v>=</v>
      </c>
      <c r="AA9619">
        <f>N9619*U9619*W9619*Y9619</f>
        <v>0</v>
      </c>
    </row>
    <row r="9620">
      <c r="A9620" t="str">
        <f>A9594</f>
        <v>Lantai Attic</v>
      </c>
      <c r="B9620">
        <f>B9594</f>
        <v>56</v>
      </c>
      <c r="C9620" t="str">
        <v>Kait Horizontal Tump.</v>
      </c>
      <c r="D9620">
        <f>VLOOKUP(D9594,'Detail Balok'!$C$10:$BJ$110,56,FALSE)</f>
        <v>0</v>
      </c>
      <c r="E9620" t="str">
        <v>D</v>
      </c>
      <c r="F9620">
        <f>VLOOKUP(D9594,'Detail Balok'!$C$10:$BJ$110,58,FALSE)</f>
        <v>0</v>
      </c>
      <c r="G9620" t="str">
        <v>-</v>
      </c>
      <c r="H9620">
        <f>VLOOKUP(D9594,'Detail Balok'!$C$10:$BJ$110,60,FALSE)</f>
        <v>100</v>
      </c>
      <c r="J9620">
        <f>(D9595-2*F$5)/1000</f>
        <v>0.12</v>
      </c>
      <c r="K9620" t="str">
        <v>+</v>
      </c>
      <c r="L9620">
        <f>IF(D9620=0,2*MAX(6*F9620,75),(D9620-1)*2*MAX(6*F9620,75))/1000</f>
        <v>0.15</v>
      </c>
      <c r="M9620" t="str">
        <v>=</v>
      </c>
      <c r="N9620">
        <f>J9620+L9620</f>
        <v>0.27</v>
      </c>
      <c r="T9620" t="str">
        <v>x</v>
      </c>
      <c r="U9620">
        <f>0.006165*F9620^2</f>
        <v>0</v>
      </c>
      <c r="V9620" t="str">
        <v>x</v>
      </c>
      <c r="W9620">
        <f>W9616</f>
        <v>11</v>
      </c>
      <c r="X9620" t="str">
        <v>x</v>
      </c>
      <c r="Y9620">
        <f>D9604</f>
        <v>2</v>
      </c>
      <c r="Z9620" t="str">
        <v>=</v>
      </c>
      <c r="AA9620">
        <f>N9620*U9620*W9620*Y9620</f>
        <v>0</v>
      </c>
    </row>
    <row r="9624">
      <c r="A9624" t="str">
        <f>A9594</f>
        <v>Lantai Attic</v>
      </c>
      <c r="B9624">
        <f>B9594+1</f>
        <v>57</v>
      </c>
      <c r="C9624" t="str">
        <f>CONCATENATE(A9624," no. ",B9624)</f>
        <v>Lantai Attic no. 57</v>
      </c>
      <c r="D9624" t="str">
        <f>VLOOKUP(C9624,'Data Panjang Balok'!$C$9:$N$424,2,FALSE)</f>
        <v>B25-3</v>
      </c>
    </row>
    <row r="9625">
      <c r="C9625" t="str">
        <v>Dimensi</v>
      </c>
      <c r="D9625">
        <f>VLOOKUP(D9624,'Detail Balok'!$C$10:$AU$110,2,FALSE)</f>
        <v>200</v>
      </c>
      <c r="F9625" t="str">
        <v>x</v>
      </c>
      <c r="G9625">
        <f>VLOOKUP(D9624,'Detail Balok'!$C$10:$AU$110,3,FALSE)</f>
        <v>500</v>
      </c>
    </row>
    <row r="9626">
      <c r="C9626" t="str">
        <v>Panjang as ke as</v>
      </c>
      <c r="D9626">
        <f>VLOOKUP(C9624,'Data Panjang Balok'!$C$9:$N$424,4,FALSE)</f>
        <v>3885</v>
      </c>
    </row>
    <row r="9627">
      <c r="C9627" t="str">
        <v>Panjang netto</v>
      </c>
      <c r="D9627">
        <f>VLOOKUP(C9624,'Data Panjang Balok'!$C$9:$N$424,7,FALSE)</f>
        <v>3885</v>
      </c>
    </row>
    <row r="9628">
      <c r="C9628" t="str">
        <v>Kolom / balok kiri</v>
      </c>
      <c r="D9628">
        <f>VLOOKUP(C9624,'Data Panjang Balok'!$C$9:$N$424,9,FALSE)</f>
        <v>0</v>
      </c>
    </row>
    <row r="9629">
      <c r="C9629" t="str">
        <v>Kolom / balok kanan</v>
      </c>
      <c r="D9629">
        <f>VLOOKUP(C9624,'Data Panjang Balok'!$C$9:$N$424,10,FALSE)</f>
        <v>0</v>
      </c>
    </row>
    <row r="9630">
      <c r="C9630" t="str">
        <v>Jumlah</v>
      </c>
      <c r="D9630">
        <f>VLOOKUP(C9624,'Data Panjang Balok'!$C$9:$N$424,3,FALSE)</f>
        <v>1</v>
      </c>
    </row>
    <row r="9631">
      <c r="A9631" t="str">
        <f>A9624</f>
        <v>Lantai Attic</v>
      </c>
      <c r="B9631">
        <f>B9624</f>
        <v>57</v>
      </c>
      <c r="C9631" t="str">
        <v>Tul Atas Tumpuan</v>
      </c>
      <c r="D9631">
        <f>VLOOKUP(D9624,'Detail Balok'!$C$10:$AU$110,4,FALSE)</f>
        <v>5</v>
      </c>
      <c r="E9631" t="str">
        <v>D</v>
      </c>
      <c r="F9631">
        <f>VLOOKUP(D9624,'Detail Balok'!$C$10:$AU$110,6,FALSE)</f>
        <v>16</v>
      </c>
      <c r="I9631" t="str">
        <v>(</v>
      </c>
      <c r="J9631">
        <f>+D9626/4/1000</f>
        <v>0.97125</v>
      </c>
      <c r="K9631" t="str">
        <v>+</v>
      </c>
      <c r="L9631">
        <f>MAX(VLOOKUP(F9631,N$6:P$15,3,FALSE)/1000,2/3*D9628/1000)+F$16*F9631/1000</f>
        <v>0.192</v>
      </c>
      <c r="M9631" t="str">
        <v>=</v>
      </c>
      <c r="N9631">
        <f>J9631+L9631</f>
        <v>1.16325</v>
      </c>
      <c r="O9631" t="str">
        <v>+</v>
      </c>
      <c r="P9631">
        <f>D9631-D9632</f>
        <v>3</v>
      </c>
      <c r="Q9631" t="str">
        <v>x</v>
      </c>
      <c r="R9631">
        <f>IF(P9631&gt;0,$F$18*F9631/1000,0)</f>
        <v>0.24</v>
      </c>
      <c r="S9631" t="str">
        <v>)</v>
      </c>
      <c r="T9631" t="str">
        <v>x</v>
      </c>
      <c r="U9631">
        <f>0.006165*F9631^2</f>
        <v>1.57824</v>
      </c>
      <c r="X9631" t="str">
        <v>x</v>
      </c>
      <c r="Y9631">
        <f>D9630</f>
        <v>1</v>
      </c>
      <c r="Z9631" t="str">
        <v>=</v>
      </c>
      <c r="AA9631">
        <f>IF(AA9634=0,(D9631*N9631+P9631*R9631)*U9631*Y9631,0)</f>
        <v>10.315771199999999</v>
      </c>
    </row>
    <row r="9632">
      <c r="A9632" t="str">
        <f>A9624</f>
        <v>Lantai Attic</v>
      </c>
      <c r="B9632">
        <f>B9624</f>
        <v>57</v>
      </c>
      <c r="C9632" t="str">
        <v>Tul Atas Lapangan</v>
      </c>
      <c r="D9632">
        <f>VLOOKUP(D9624,'Detail Balok'!$C$10:$AU$110,7,FALSE)</f>
        <v>2</v>
      </c>
      <c r="E9632" t="str">
        <v>D</v>
      </c>
      <c r="F9632">
        <f>VLOOKUP(D9624,'Detail Balok'!$C$10:$AU$110,9,FALSE)</f>
        <v>16</v>
      </c>
      <c r="I9632" t="str">
        <v>(</v>
      </c>
      <c r="J9632">
        <f>+D9626/2/1000</f>
        <v>1.9425</v>
      </c>
      <c r="K9632" t="str">
        <v>+</v>
      </c>
      <c r="M9632" t="str">
        <v>=</v>
      </c>
      <c r="N9632">
        <f>J9632+L9632</f>
        <v>1.9425</v>
      </c>
      <c r="O9632" t="str">
        <v>+</v>
      </c>
      <c r="P9632">
        <f>MAX(D9632-D9631,D9632-D9633)</f>
        <v>-3</v>
      </c>
      <c r="Q9632" t="str">
        <v>x</v>
      </c>
      <c r="R9632">
        <f>IF(P9632&gt;0,2*(1-2*$F$19-1/2)*D9627/1000,0)</f>
        <v>0</v>
      </c>
      <c r="S9632" t="str">
        <v>)</v>
      </c>
      <c r="T9632" t="str">
        <v>x</v>
      </c>
      <c r="U9632">
        <f>0.006165*F9632^2</f>
        <v>1.57824</v>
      </c>
      <c r="X9632" t="str">
        <v>x</v>
      </c>
      <c r="Y9632">
        <f>D9630</f>
        <v>1</v>
      </c>
      <c r="Z9632" t="str">
        <v>=</v>
      </c>
      <c r="AA9632">
        <f>IF(AA9634=0,(D9632*N9632+P9632*R9632)*U9632*Y9632,0)</f>
        <v>6.1314624</v>
      </c>
    </row>
    <row r="9633">
      <c r="A9633" t="str">
        <f>A9624</f>
        <v>Lantai Attic</v>
      </c>
      <c r="B9633">
        <f>B9624</f>
        <v>57</v>
      </c>
      <c r="C9633" t="str">
        <v>Tul Atas Tumpuan</v>
      </c>
      <c r="D9633">
        <f>VLOOKUP(D9624,'Detail Balok'!$C$10:$AU$110,10,FALSE)</f>
        <v>5</v>
      </c>
      <c r="E9633" t="str">
        <v>D</v>
      </c>
      <c r="F9633">
        <f>VLOOKUP(D9624,'Detail Balok'!$C$10:$AU$110,12,FALSE)</f>
        <v>16</v>
      </c>
      <c r="I9633" t="str">
        <v>(</v>
      </c>
      <c r="J9633">
        <f>+D9626/4/1000</f>
        <v>0.97125</v>
      </c>
      <c r="K9633" t="str">
        <v>+</v>
      </c>
      <c r="L9633">
        <f>MAX(VLOOKUP(F9633,N$6:P$15,3,FALSE)/1000,2/3*D9628/1000)+F$16*F9633/1000</f>
        <v>0.192</v>
      </c>
      <c r="M9633" t="str">
        <v>=</v>
      </c>
      <c r="N9633">
        <f>J9633+L9633</f>
        <v>1.16325</v>
      </c>
      <c r="O9633" t="str">
        <v>+</v>
      </c>
      <c r="P9633">
        <f>D9633-D9632</f>
        <v>3</v>
      </c>
      <c r="Q9633" t="str">
        <v>x</v>
      </c>
      <c r="R9633">
        <f>IF(P9633&gt;0,$F$18*F9633/1000,0)</f>
        <v>0.24</v>
      </c>
      <c r="S9633" t="str">
        <v>)</v>
      </c>
      <c r="T9633" t="str">
        <v>x</v>
      </c>
      <c r="U9633">
        <f>0.006165*F9633^2</f>
        <v>1.57824</v>
      </c>
      <c r="X9633" t="str">
        <v>x</v>
      </c>
      <c r="Y9633">
        <f>D9630</f>
        <v>1</v>
      </c>
      <c r="Z9633" t="str">
        <v>=</v>
      </c>
      <c r="AA9633">
        <f>IF(AA9634=0,(D9633*N9633+P9633*R9633)*U9633*Y9633,0)</f>
        <v>10.315771199999999</v>
      </c>
    </row>
    <row r="9634">
      <c r="A9634" t="str">
        <f>A9624</f>
        <v>Lantai Attic</v>
      </c>
      <c r="B9634">
        <f>B9624</f>
        <v>57</v>
      </c>
      <c r="D9634">
        <f>IF(AND(D9631=D9632,D9632=D9633,D9631=D9633),D9631,0)</f>
        <v>0</v>
      </c>
      <c r="E9634" t="str">
        <v>D</v>
      </c>
      <c r="F9634">
        <f>IF(AND(F9631=F9632,F9631=F9633,F9632=F9633),F9631,0)</f>
        <v>16</v>
      </c>
      <c r="L9634" t="str">
        <v>Total panjang per balok</v>
      </c>
      <c r="M9634" t="str">
        <v>=</v>
      </c>
      <c r="N9634">
        <f>IF(AND(D9631=D9632,D9631=D9633,D9632=D9633,F9631=F9632,F9631=F9633,F9632=F9633),SUM(N9631:N9633),0)</f>
        <v>0</v>
      </c>
      <c r="O9634" t="str">
        <v>+</v>
      </c>
      <c r="P9634">
        <f>IF(N9634&gt;12,ROUNDDOWN(N9634/12,0),0)</f>
        <v>0</v>
      </c>
      <c r="Q9634" t="str">
        <v>x</v>
      </c>
      <c r="R9634">
        <f>IF(P9634&gt;0,MAX(VLOOKUP(F9634,$D$6:$G$15,3,FALSE),600),0)/1000</f>
        <v>0</v>
      </c>
      <c r="T9634" t="str">
        <v>x</v>
      </c>
      <c r="U9634">
        <f>U9633</f>
        <v>1.57824</v>
      </c>
      <c r="V9634" t="str">
        <v>x</v>
      </c>
      <c r="W9634">
        <f>D9634</f>
        <v>0</v>
      </c>
      <c r="X9634" t="str">
        <v>x</v>
      </c>
      <c r="Y9634">
        <f>Y9633</f>
        <v>1</v>
      </c>
      <c r="Z9634" t="str">
        <v>=</v>
      </c>
      <c r="AA9634">
        <f>(N9634+P9634*R9634/1000)*U9634*W9634*Y9634</f>
        <v>0</v>
      </c>
    </row>
    <row r="9636">
      <c r="A9636" t="str">
        <f>A9624</f>
        <v>Lantai Attic</v>
      </c>
      <c r="B9636">
        <f>B9624</f>
        <v>57</v>
      </c>
      <c r="C9636" t="str">
        <v>Tul Peminggang</v>
      </c>
      <c r="D9636">
        <f>VLOOKUP(D9624,'Detail Balok'!$C$10:$AU$110,13,FALSE)</f>
        <v>2</v>
      </c>
      <c r="E9636" t="str">
        <v>D</v>
      </c>
      <c r="F9636">
        <f>VLOOKUP(D9624,'Detail Balok'!$C$10:$AU$110,15,FALSE)</f>
        <v>10</v>
      </c>
      <c r="J9636">
        <f>+D9626/1000</f>
        <v>3.885</v>
      </c>
      <c r="K9636" t="str">
        <v>+</v>
      </c>
      <c r="L9636">
        <f>2*$F$16*F9636/1000</f>
        <v>0.24</v>
      </c>
      <c r="M9636" t="str">
        <v>=</v>
      </c>
      <c r="N9636">
        <f>J9636+L9636</f>
        <v>4.125</v>
      </c>
      <c r="O9636" t="str">
        <v>+</v>
      </c>
      <c r="P9636">
        <f>IF(N9636&gt;12,ROUNDDOWN(N9636/12,0),0)</f>
        <v>0</v>
      </c>
      <c r="Q9636" t="str">
        <v>x</v>
      </c>
      <c r="R9636">
        <f>IF(P9636&gt;0,MAX(VLOOKUP(F9636,$D$6:$G$15,3,FALSE),600),0)/1000</f>
        <v>0</v>
      </c>
      <c r="T9636" t="str">
        <v>x</v>
      </c>
      <c r="U9636">
        <f>0.006165*F9636^2</f>
        <v>0.6165</v>
      </c>
      <c r="V9636" t="str">
        <v>x</v>
      </c>
      <c r="W9636">
        <f>+D9636</f>
        <v>2</v>
      </c>
      <c r="X9636" t="str">
        <v>x</v>
      </c>
      <c r="Y9636">
        <f>D9630</f>
        <v>1</v>
      </c>
      <c r="Z9636" t="str">
        <v>=</v>
      </c>
      <c r="AA9636">
        <f>(N9636+P9636*R9636/1000)*U9636*W9636*Y9636</f>
        <v>5.086125</v>
      </c>
    </row>
    <row r="9639">
      <c r="A9639" t="str">
        <f>A9624</f>
        <v>Lantai Attic</v>
      </c>
      <c r="B9639">
        <f>B9624</f>
        <v>57</v>
      </c>
      <c r="C9639" t="str">
        <v>Tul Bawah Tumpuan</v>
      </c>
      <c r="D9639">
        <f>VLOOKUP(D9624,'Detail Balok'!$C$10:$AU$110,22,FALSE)</f>
        <v>3</v>
      </c>
      <c r="E9639" t="str">
        <v>D</v>
      </c>
      <c r="F9639">
        <f>VLOOKUP(D9624,'Detail Balok'!$C$10:$AU$110,24,FALSE)</f>
        <v>16</v>
      </c>
      <c r="I9639" t="str">
        <v>(</v>
      </c>
      <c r="J9639">
        <f>+J9631</f>
        <v>0.97125</v>
      </c>
      <c r="K9639" t="str">
        <v>+</v>
      </c>
      <c r="L9639">
        <f>MAX(VLOOKUP(F9639,N$6:P$15,3,FALSE)/1000,2/3*D9629/1000)+F$16*F9639/1000</f>
        <v>0.192</v>
      </c>
      <c r="M9639" t="str">
        <v>=</v>
      </c>
      <c r="N9639">
        <f>J9639+L9639</f>
        <v>1.16325</v>
      </c>
      <c r="O9639" t="str">
        <v>+</v>
      </c>
      <c r="P9639">
        <f>D9639-D9640</f>
        <v>-2</v>
      </c>
      <c r="Q9639" t="str">
        <v>x</v>
      </c>
      <c r="R9639">
        <f>IF(P9639&gt;0,$F$18*F9639/1000,0)</f>
        <v>0</v>
      </c>
      <c r="S9639" t="str">
        <v>)</v>
      </c>
      <c r="T9639" t="str">
        <v>x</v>
      </c>
      <c r="U9639">
        <f>0.006165*F9639^2</f>
        <v>1.57824</v>
      </c>
      <c r="X9639" t="str">
        <v>x</v>
      </c>
      <c r="Y9639">
        <f>D9630</f>
        <v>1</v>
      </c>
      <c r="Z9639" t="str">
        <v>=</v>
      </c>
      <c r="AA9639">
        <f>IF(AA9642=0,(D9639*N9639+P9639*R9639)*U9639*Y9639,0)</f>
        <v>5.50766304</v>
      </c>
    </row>
    <row r="9640">
      <c r="A9640" t="str">
        <f>A9624</f>
        <v>Lantai Attic</v>
      </c>
      <c r="B9640">
        <f>B9624</f>
        <v>57</v>
      </c>
      <c r="C9640" t="str">
        <v>Tul Bawah Lapangan</v>
      </c>
      <c r="D9640">
        <f>VLOOKUP(D9624,'Detail Balok'!$C$10:$AU$110,25,FALSE)</f>
        <v>5</v>
      </c>
      <c r="E9640" t="str">
        <v>D</v>
      </c>
      <c r="F9640">
        <f>VLOOKUP(D9624,'Detail Balok'!$C$10:$AU$110,27,FALSE)</f>
        <v>16</v>
      </c>
      <c r="I9640" t="str">
        <v>(</v>
      </c>
      <c r="J9640">
        <f>+J9632</f>
        <v>1.9425</v>
      </c>
      <c r="K9640" t="str">
        <v>+</v>
      </c>
      <c r="M9640" t="str">
        <v>=</v>
      </c>
      <c r="N9640">
        <f>J9640+L9640</f>
        <v>1.9425</v>
      </c>
      <c r="O9640" t="str">
        <v>+</v>
      </c>
      <c r="P9640">
        <f>MAX(D9640-D9639,D9640-D9641)</f>
        <v>2</v>
      </c>
      <c r="Q9640" t="str">
        <v>x</v>
      </c>
      <c r="R9640">
        <f>IF(P9640&gt;0,2*(1-2*$F$19-1/2)*D9627/1000,0)</f>
        <v>0.7769999999999998</v>
      </c>
      <c r="S9640" t="str">
        <v>)</v>
      </c>
      <c r="T9640" t="str">
        <v>x</v>
      </c>
      <c r="U9640">
        <f>0.006165*F9640^2</f>
        <v>1.57824</v>
      </c>
      <c r="X9640" t="str">
        <v>x</v>
      </c>
      <c r="Y9640">
        <f>D9630</f>
        <v>1</v>
      </c>
      <c r="Z9640" t="str">
        <v>=</v>
      </c>
      <c r="AA9640">
        <f>IF(AA9642=0,(D9640*N9640+P9640*R9640)*U9640*Y9640,0)</f>
        <v>17.781240959999998</v>
      </c>
    </row>
    <row r="9641">
      <c r="A9641" t="str">
        <f>A9624</f>
        <v>Lantai Attic</v>
      </c>
      <c r="B9641">
        <f>B9624</f>
        <v>57</v>
      </c>
      <c r="C9641" t="str">
        <v>Tul Bawah Tumpuan</v>
      </c>
      <c r="D9641">
        <f>VLOOKUP(D9624,'Detail Balok'!$C$10:$AU$110,28,FALSE)</f>
        <v>3</v>
      </c>
      <c r="E9641" t="str">
        <v>D</v>
      </c>
      <c r="F9641">
        <f>VLOOKUP(D9624,'Detail Balok'!$C$10:$AU$110,30,FALSE)</f>
        <v>16</v>
      </c>
      <c r="I9641" t="str">
        <v>(</v>
      </c>
      <c r="J9641">
        <f>+J9633</f>
        <v>0.97125</v>
      </c>
      <c r="K9641" t="str">
        <v>+</v>
      </c>
      <c r="L9641">
        <f>MAX(VLOOKUP(F9641,N$6:P$15,3,FALSE)/1000,2/3*D9629/1000)+F$16*F9641/1000</f>
        <v>0.192</v>
      </c>
      <c r="M9641" t="str">
        <v>=</v>
      </c>
      <c r="N9641">
        <f>J9641+L9641</f>
        <v>1.16325</v>
      </c>
      <c r="O9641" t="str">
        <v>+</v>
      </c>
      <c r="P9641">
        <f>D9641-D9640</f>
        <v>-2</v>
      </c>
      <c r="Q9641" t="str">
        <v>x</v>
      </c>
      <c r="R9641">
        <f>IF(P9641&gt;0,$F$18*F9641/1000,0)</f>
        <v>0</v>
      </c>
      <c r="S9641" t="str">
        <v>)</v>
      </c>
      <c r="T9641" t="str">
        <v>x</v>
      </c>
      <c r="U9641">
        <f>0.006165*F9641^2</f>
        <v>1.57824</v>
      </c>
      <c r="X9641" t="str">
        <v>x</v>
      </c>
      <c r="Y9641">
        <f>D9630</f>
        <v>1</v>
      </c>
      <c r="Z9641" t="str">
        <v>=</v>
      </c>
      <c r="AA9641">
        <f>IF(AA9642=0,(D9641*N9641+P9641*R9641)*U9641*Y9641,0)</f>
        <v>5.50766304</v>
      </c>
    </row>
    <row r="9642">
      <c r="A9642" t="str">
        <f>A9624</f>
        <v>Lantai Attic</v>
      </c>
      <c r="B9642">
        <f>B9624</f>
        <v>57</v>
      </c>
      <c r="D9642">
        <f>IF(AND(D9639=D9640,D9640=D9641,D9639=D9641),D9639,0)</f>
        <v>0</v>
      </c>
      <c r="E9642" t="str">
        <v>D</v>
      </c>
      <c r="F9642">
        <f>IF(AND(F9639=F9640,F9639=F9641,F9640=F9641),F9639,0)</f>
        <v>16</v>
      </c>
      <c r="L9642" t="str">
        <v>Total panjang per balok</v>
      </c>
      <c r="M9642" t="str">
        <v>=</v>
      </c>
      <c r="N9642">
        <f>IF(AND(D9639=D9640,D9639=D9641,D9640=D9641,F9639=F9640,F9639=F9641,F9640=F9641),SUM(N9639:N9641),0)</f>
        <v>0</v>
      </c>
      <c r="O9642" t="str">
        <v>+</v>
      </c>
      <c r="P9642">
        <f>IF(N9642&gt;12,ROUNDDOWN(N9642/12,0),0)</f>
        <v>0</v>
      </c>
      <c r="Q9642" t="str">
        <v>x</v>
      </c>
      <c r="R9642">
        <f>IF(P9642&gt;0,MAX(VLOOKUP(F9642,$D$6:$G$15,3,FALSE),600),0)/1000</f>
        <v>0</v>
      </c>
      <c r="T9642" t="str">
        <v>x</v>
      </c>
      <c r="U9642">
        <f>U9641</f>
        <v>1.57824</v>
      </c>
      <c r="V9642" t="str">
        <v>x</v>
      </c>
      <c r="W9642">
        <f>D9642</f>
        <v>0</v>
      </c>
      <c r="X9642" t="str">
        <v>x</v>
      </c>
      <c r="Y9642">
        <f>Y9641</f>
        <v>1</v>
      </c>
      <c r="Z9642" t="str">
        <v>=</v>
      </c>
      <c r="AA9642">
        <f>(N9642+P9642*R9642/1000)*U9642*W9642*Y9642</f>
        <v>0</v>
      </c>
    </row>
    <row r="9644">
      <c r="A9644" t="str">
        <f>A9624</f>
        <v>Lantai Attic</v>
      </c>
      <c r="B9644">
        <f>B9624</f>
        <v>57</v>
      </c>
      <c r="C9644" t="str">
        <v>Sengkang Tumpuan</v>
      </c>
      <c r="D9644">
        <f>VLOOKUP(D9624,'Detail Balok'!$C$10:$AU$110,31,FALSE)</f>
        <v>0</v>
      </c>
      <c r="E9644" t="str">
        <v>D</v>
      </c>
      <c r="F9644">
        <f>VLOOKUP(D9624,'Detail Balok'!$C$10:$AU$110,33,FALSE)</f>
        <v>10</v>
      </c>
      <c r="G9644" t="str">
        <v>-</v>
      </c>
      <c r="H9644">
        <f>VLOOKUP(D9624,'Detail Balok'!$C$10:$AU$110,35,FALSE)</f>
        <v>90</v>
      </c>
      <c r="J9644">
        <f>(IF(D9644=0,(2*(D9625+G9625))-(F$5*8),IF(D9644=3,(2*(D9625+G9625))-(F$5*8)+(G9625-2*F$5),IF(D9644=4,(2*(D9625+G9625))-(F$5*8)+2*(G9625-2*F$5)))))/1000</f>
        <v>1.08</v>
      </c>
      <c r="K9644" t="str">
        <v>+</v>
      </c>
      <c r="L9644">
        <f>IF(D9644=0,2*MAX(6*F9644,75),(D9644-1)*2*MAX(6*F9644,75))/1000</f>
        <v>0.15</v>
      </c>
      <c r="M9644" t="str">
        <v>=</v>
      </c>
      <c r="N9644">
        <f>J9644+L9644</f>
        <v>1.23</v>
      </c>
      <c r="T9644" t="str">
        <v>x</v>
      </c>
      <c r="U9644">
        <f>0.006165*F9644^2</f>
        <v>0.6165</v>
      </c>
      <c r="V9644" t="str">
        <v>x</v>
      </c>
      <c r="W9644">
        <f>IF(D9627&gt;4*G9625,ROUND(MAX(D9627/4,2*G9625)/H9644,0)+1,ROUND(D9627/H9644,0)+1)</f>
        <v>12</v>
      </c>
      <c r="X9644" t="str">
        <v>x</v>
      </c>
      <c r="Y9644">
        <f>D9630</f>
        <v>1</v>
      </c>
      <c r="Z9644" t="str">
        <v>=</v>
      </c>
      <c r="AA9644">
        <f>N9644*U9644*W9644*Y9644</f>
        <v>9.099540000000001</v>
      </c>
    </row>
    <row r="9645">
      <c r="A9645" t="str">
        <f>A9624</f>
        <v>Lantai Attic</v>
      </c>
      <c r="B9645">
        <f>B9624</f>
        <v>57</v>
      </c>
      <c r="C9645" t="str">
        <v>Sengkang Lapangan</v>
      </c>
      <c r="D9645">
        <f>VLOOKUP(D9624,'Detail Balok'!$C$10:$AU$110,36,FALSE)</f>
        <v>0</v>
      </c>
      <c r="E9645" t="str">
        <v>D</v>
      </c>
      <c r="F9645">
        <f>VLOOKUP(D9624,'Detail Balok'!$C$10:$AU$110,38,FALSE)</f>
        <v>10</v>
      </c>
      <c r="G9645" t="str">
        <v>-</v>
      </c>
      <c r="H9645">
        <f>VLOOKUP(D9624,'Detail Balok'!$C$10:$AU$110,40,FALSE)</f>
        <v>200</v>
      </c>
      <c r="J9645">
        <f>(IF(D9645=0,(2*(D9625+G9625))-(F$5*8),IF(D9645=3,(2*(D9625+G9625))-(F$5*8)+(G9625-2*F$5),IF(D9645=4,(2*(D9625+G9625))-(F$5*8)+2*(G9625-2*F$5)))))/1000</f>
        <v>1.08</v>
      </c>
      <c r="K9645" t="str">
        <v>+</v>
      </c>
      <c r="L9645">
        <f>IF(D9645=0,2*MAX(6*F9645,75),(D9645-1)*2*MAX(6*F9645,75))/1000</f>
        <v>0.15</v>
      </c>
      <c r="M9645" t="str">
        <v>=</v>
      </c>
      <c r="N9645">
        <f>J9645+L9645</f>
        <v>1.23</v>
      </c>
      <c r="T9645" t="str">
        <v>x</v>
      </c>
      <c r="U9645">
        <f>0.006165*F9645^2</f>
        <v>0.6165</v>
      </c>
      <c r="V9645" t="str">
        <v>x</v>
      </c>
      <c r="W9645">
        <f>IF(D9627-MAX(D9627/4,2*G9625)*2&gt;0,ROUND((D9627-MAX(D9627/4,2*G9625)*2)/H9645,0),0)</f>
        <v>9</v>
      </c>
      <c r="X9645" t="str">
        <v>x</v>
      </c>
      <c r="Y9645">
        <f>D9630</f>
        <v>1</v>
      </c>
      <c r="Z9645" t="str">
        <v>=</v>
      </c>
      <c r="AA9645">
        <f>N9645*U9645*W9645*Y9645</f>
        <v>6.824655000000001</v>
      </c>
    </row>
    <row r="9646">
      <c r="A9646" t="str">
        <f>A9624</f>
        <v>Lantai Attic</v>
      </c>
      <c r="B9646">
        <f>B9624</f>
        <v>57</v>
      </c>
      <c r="C9646" t="str">
        <v>Sengkang Tumpuan</v>
      </c>
      <c r="D9646">
        <f>VLOOKUP(D9624,'Detail Balok'!$C$10:$AU$110,41,FALSE)</f>
        <v>0</v>
      </c>
      <c r="E9646" t="str">
        <v>D</v>
      </c>
      <c r="F9646">
        <f>VLOOKUP(D9624,'Detail Balok'!$C$10:$AU$110,43,FALSE)</f>
        <v>10</v>
      </c>
      <c r="G9646" t="str">
        <v>-</v>
      </c>
      <c r="H9646">
        <f>VLOOKUP(D9624,'Detail Balok'!$C$10:$AU$110,45,FALSE)</f>
        <v>90</v>
      </c>
      <c r="J9646">
        <f>(IF(D9646=0,(2*(D9625+G9625))-(F$5*8),IF(D9646=3,(2*(D9625+G9625))-(F$5*8)+(G9625-2*F$5),IF(D9646=4,(2*(D9625+G9625))-(F$5*8)+2*(G9625-2*F$5)))))/1000</f>
        <v>1.08</v>
      </c>
      <c r="K9646" t="str">
        <v>+</v>
      </c>
      <c r="L9646">
        <f>IF(D9646=0,2*MAX(6*F9646,75),(D9646-1)*2*MAX(6*F9646,75))/1000</f>
        <v>0.15</v>
      </c>
      <c r="M9646" t="str">
        <v>=</v>
      </c>
      <c r="N9646">
        <f>J9646+L9646</f>
        <v>1.23</v>
      </c>
      <c r="T9646" t="str">
        <v>x</v>
      </c>
      <c r="U9646">
        <f>0.006165*F9646^2</f>
        <v>0.6165</v>
      </c>
      <c r="V9646" t="str">
        <v>x</v>
      </c>
      <c r="W9646">
        <f>IF(D9627&gt;4*G9625,ROUND(MAX(D9627/4,2*G9625)/H9646,0)+1,0)</f>
        <v>12</v>
      </c>
      <c r="X9646" t="str">
        <v>x</v>
      </c>
      <c r="Y9646">
        <f>D9630</f>
        <v>1</v>
      </c>
      <c r="Z9646" t="str">
        <v>=</v>
      </c>
      <c r="AA9646">
        <f>N9646*U9646*W9646*Y9646</f>
        <v>9.099540000000001</v>
      </c>
    </row>
    <row r="9648">
      <c r="A9648" t="str">
        <f>A9624</f>
        <v>Lantai Attic</v>
      </c>
      <c r="B9648">
        <f>B9624</f>
        <v>57</v>
      </c>
      <c r="C9648" t="str">
        <v>Kait Horizontal Tump.</v>
      </c>
      <c r="D9648">
        <f>VLOOKUP(D9624,'Detail Balok'!$C$10:$BJ$110,46,FALSE)</f>
        <v>0</v>
      </c>
      <c r="E9648" t="str">
        <v>D</v>
      </c>
      <c r="F9648">
        <f>VLOOKUP(D9624,'Detail Balok'!$C$10:$BJ$110,48,FALSE)</f>
        <v>0</v>
      </c>
      <c r="G9648" t="str">
        <v>-</v>
      </c>
      <c r="H9648">
        <f>VLOOKUP(D9624,'Detail Balok'!$C$10:$BJ$110,50,FALSE)</f>
        <v>100</v>
      </c>
      <c r="J9648">
        <f>(D9625-2*F$5)/1000</f>
        <v>0.12</v>
      </c>
      <c r="K9648" t="str">
        <v>+</v>
      </c>
      <c r="L9648">
        <f>IF(D9648=0,2*MAX(6*F9648,75),(D9648-1)*2*MAX(6*F9648,75))/1000</f>
        <v>0.15</v>
      </c>
      <c r="M9648" t="str">
        <v>=</v>
      </c>
      <c r="N9648">
        <f>J9648+L9648</f>
        <v>0.27</v>
      </c>
      <c r="T9648" t="str">
        <v>x</v>
      </c>
      <c r="U9648">
        <f>0.006165*F9648^2</f>
        <v>0</v>
      </c>
      <c r="V9648" t="str">
        <v>x</v>
      </c>
      <c r="W9648">
        <f>W9644</f>
        <v>12</v>
      </c>
      <c r="X9648" t="str">
        <v>x</v>
      </c>
      <c r="Y9648">
        <f>D9634</f>
        <v>0</v>
      </c>
      <c r="Z9648" t="str">
        <v>=</v>
      </c>
      <c r="AA9648">
        <f>N9648*U9648*W9648*Y9648</f>
        <v>0</v>
      </c>
    </row>
    <row r="9649">
      <c r="A9649" t="str">
        <f>A9624</f>
        <v>Lantai Attic</v>
      </c>
      <c r="B9649">
        <f>B9624</f>
        <v>57</v>
      </c>
      <c r="C9649" t="str">
        <v>Kait Horizontal Lap.</v>
      </c>
      <c r="D9649">
        <f>VLOOKUP(D9624,'Detail Balok'!$C$10:$BJ$110,51,FALSE)</f>
        <v>0</v>
      </c>
      <c r="E9649" t="str">
        <v>D</v>
      </c>
      <c r="F9649">
        <f>VLOOKUP(D9624,'Detail Balok'!$C$10:$BJ$110,53,FALSE)</f>
        <v>0</v>
      </c>
      <c r="G9649" t="str">
        <v>-</v>
      </c>
      <c r="H9649">
        <f>VLOOKUP(D9624,'Detail Balok'!$C$10:$BJ$110,55,FALSE)</f>
        <v>100</v>
      </c>
      <c r="J9649">
        <f>(D9625-2*F$5)/1000</f>
        <v>0.12</v>
      </c>
      <c r="K9649" t="str">
        <v>+</v>
      </c>
      <c r="L9649">
        <f>IF(D9649=0,2*MAX(6*F9649,75),(D9649-1)*2*MAX(6*F9649,75))/1000</f>
        <v>0.15</v>
      </c>
      <c r="M9649" t="str">
        <v>=</v>
      </c>
      <c r="N9649">
        <f>J9649+L9649</f>
        <v>0.27</v>
      </c>
      <c r="T9649" t="str">
        <v>x</v>
      </c>
      <c r="U9649">
        <f>0.006165*F9649^2</f>
        <v>0</v>
      </c>
      <c r="V9649" t="str">
        <v>x</v>
      </c>
      <c r="W9649">
        <f>W9645</f>
        <v>9</v>
      </c>
      <c r="X9649" t="str">
        <v>x</v>
      </c>
      <c r="Y9649">
        <f>D9634</f>
        <v>0</v>
      </c>
      <c r="Z9649" t="str">
        <v>=</v>
      </c>
      <c r="AA9649">
        <f>N9649*U9649*W9649*Y9649</f>
        <v>0</v>
      </c>
    </row>
    <row r="9650">
      <c r="A9650" t="str">
        <f>A9624</f>
        <v>Lantai Attic</v>
      </c>
      <c r="B9650">
        <f>B9624</f>
        <v>57</v>
      </c>
      <c r="C9650" t="str">
        <v>Kait Horizontal Tump.</v>
      </c>
      <c r="D9650">
        <f>VLOOKUP(D9624,'Detail Balok'!$C$10:$BJ$110,56,FALSE)</f>
        <v>0</v>
      </c>
      <c r="E9650" t="str">
        <v>D</v>
      </c>
      <c r="F9650">
        <f>VLOOKUP(D9624,'Detail Balok'!$C$10:$BJ$110,58,FALSE)</f>
        <v>0</v>
      </c>
      <c r="G9650" t="str">
        <v>-</v>
      </c>
      <c r="H9650">
        <f>VLOOKUP(D9624,'Detail Balok'!$C$10:$BJ$110,60,FALSE)</f>
        <v>100</v>
      </c>
      <c r="J9650">
        <f>(D9625-2*F$5)/1000</f>
        <v>0.12</v>
      </c>
      <c r="K9650" t="str">
        <v>+</v>
      </c>
      <c r="L9650">
        <f>IF(D9650=0,2*MAX(6*F9650,75),(D9650-1)*2*MAX(6*F9650,75))/1000</f>
        <v>0.15</v>
      </c>
      <c r="M9650" t="str">
        <v>=</v>
      </c>
      <c r="N9650">
        <f>J9650+L9650</f>
        <v>0.27</v>
      </c>
      <c r="T9650" t="str">
        <v>x</v>
      </c>
      <c r="U9650">
        <f>0.006165*F9650^2</f>
        <v>0</v>
      </c>
      <c r="V9650" t="str">
        <v>x</v>
      </c>
      <c r="W9650">
        <f>W9646</f>
        <v>12</v>
      </c>
      <c r="X9650" t="str">
        <v>x</v>
      </c>
      <c r="Y9650">
        <f>D9634</f>
        <v>0</v>
      </c>
      <c r="Z9650" t="str">
        <v>=</v>
      </c>
      <c r="AA9650">
        <f>N9650*U9650*W9650*Y9650</f>
        <v>0</v>
      </c>
    </row>
    <row r="9654">
      <c r="A9654" t="str">
        <f>A9624</f>
        <v>Lantai Attic</v>
      </c>
      <c r="B9654">
        <f>B9624+1</f>
        <v>58</v>
      </c>
      <c r="C9654" t="str">
        <f>CONCATENATE(A9654," no. ",B9654)</f>
        <v>Lantai Attic no. 58</v>
      </c>
      <c r="D9654" t="str">
        <f>VLOOKUP(C9654,'Data Panjang Balok'!$C$9:$N$424,2,FALSE)</f>
        <v>Potongan E</v>
      </c>
    </row>
    <row r="9655">
      <c r="C9655" t="str">
        <v>Dimensi</v>
      </c>
      <c r="D9655">
        <f>VLOOKUP(D9654,'Detail Balok'!$C$10:$AU$110,2,FALSE)</f>
        <v>400</v>
      </c>
      <c r="F9655" t="str">
        <v>x</v>
      </c>
      <c r="G9655">
        <f>VLOOKUP(D9654,'Detail Balok'!$C$10:$AU$110,3,FALSE)</f>
        <v>600</v>
      </c>
    </row>
    <row r="9656">
      <c r="C9656" t="str">
        <v>Panjang as ke as</v>
      </c>
      <c r="D9656">
        <f>VLOOKUP(C9654,'Data Panjang Balok'!$C$9:$N$424,4,FALSE)</f>
        <v>1765</v>
      </c>
    </row>
    <row r="9657">
      <c r="C9657" t="str">
        <v>Panjang netto</v>
      </c>
      <c r="D9657">
        <f>VLOOKUP(C9654,'Data Panjang Balok'!$C$9:$N$424,7,FALSE)</f>
        <v>1765</v>
      </c>
    </row>
    <row r="9658">
      <c r="C9658" t="str">
        <v>Kolom / balok kiri</v>
      </c>
      <c r="D9658">
        <f>VLOOKUP(C9654,'Data Panjang Balok'!$C$9:$N$424,9,FALSE)</f>
        <v>0</v>
      </c>
    </row>
    <row r="9659">
      <c r="C9659" t="str">
        <v>Kolom / balok kanan</v>
      </c>
      <c r="D9659">
        <f>VLOOKUP(C9654,'Data Panjang Balok'!$C$9:$N$424,10,FALSE)</f>
        <v>0</v>
      </c>
    </row>
    <row r="9660">
      <c r="C9660" t="str">
        <v>Jumlah</v>
      </c>
      <c r="D9660">
        <f>VLOOKUP(C9654,'Data Panjang Balok'!$C$9:$N$424,3,FALSE)</f>
        <v>1</v>
      </c>
    </row>
    <row r="9661">
      <c r="A9661" t="str">
        <f>A9654</f>
        <v>Lantai Attic</v>
      </c>
      <c r="B9661">
        <f>B9654</f>
        <v>58</v>
      </c>
      <c r="C9661" t="str">
        <v>Tul Atas Tumpuan</v>
      </c>
      <c r="D9661">
        <f>VLOOKUP(D9654,'Detail Balok'!$C$10:$AU$110,4,FALSE)</f>
        <v>8</v>
      </c>
      <c r="E9661" t="str">
        <v>D</v>
      </c>
      <c r="F9661">
        <f>VLOOKUP(D9654,'Detail Balok'!$C$10:$AU$110,6,FALSE)</f>
        <v>19</v>
      </c>
      <c r="I9661" t="str">
        <v>(</v>
      </c>
      <c r="J9661">
        <f>+D9656/4/1000</f>
        <v>0.44125</v>
      </c>
      <c r="K9661" t="str">
        <v>+</v>
      </c>
      <c r="L9661">
        <f>MAX(VLOOKUP(F9661,N$6:P$15,3,FALSE)/1000,2/3*D9658/1000)+F$16*F9661/1000</f>
        <v>0.228</v>
      </c>
      <c r="M9661" t="str">
        <v>=</v>
      </c>
      <c r="N9661">
        <f>J9661+L9661</f>
        <v>0.66925</v>
      </c>
      <c r="O9661" t="str">
        <v>+</v>
      </c>
      <c r="P9661">
        <f>D9661-D9662</f>
        <v>0</v>
      </c>
      <c r="Q9661" t="str">
        <v>x</v>
      </c>
      <c r="R9661">
        <f>IF(P9661&gt;0,$F$18*F9661/1000,0)</f>
        <v>0</v>
      </c>
      <c r="S9661" t="str">
        <v>)</v>
      </c>
      <c r="T9661" t="str">
        <v>x</v>
      </c>
      <c r="U9661">
        <f>0.006165*F9661^2</f>
        <v>2.225565</v>
      </c>
      <c r="X9661" t="str">
        <v>x</v>
      </c>
      <c r="Y9661">
        <f>D9660</f>
        <v>1</v>
      </c>
      <c r="Z9661" t="str">
        <v>=</v>
      </c>
      <c r="AA9661">
        <f>IF(AA9664=0,(D9661*N9661+P9661*R9661)*U9661*Y9661,0)</f>
        <v>0</v>
      </c>
    </row>
    <row r="9662">
      <c r="A9662" t="str">
        <f>A9654</f>
        <v>Lantai Attic</v>
      </c>
      <c r="B9662">
        <f>B9654</f>
        <v>58</v>
      </c>
      <c r="C9662" t="str">
        <v>Tul Atas Lapangan</v>
      </c>
      <c r="D9662">
        <f>VLOOKUP(D9654,'Detail Balok'!$C$10:$AU$110,7,FALSE)</f>
        <v>8</v>
      </c>
      <c r="E9662" t="str">
        <v>D</v>
      </c>
      <c r="F9662">
        <f>VLOOKUP(D9654,'Detail Balok'!$C$10:$AU$110,9,FALSE)</f>
        <v>19</v>
      </c>
      <c r="I9662" t="str">
        <v>(</v>
      </c>
      <c r="J9662">
        <f>+D9656/2/1000</f>
        <v>0.8825</v>
      </c>
      <c r="K9662" t="str">
        <v>+</v>
      </c>
      <c r="M9662" t="str">
        <v>=</v>
      </c>
      <c r="N9662">
        <f>J9662+L9662</f>
        <v>0.8825</v>
      </c>
      <c r="O9662" t="str">
        <v>+</v>
      </c>
      <c r="P9662">
        <f>MAX(D9662-D9661,D9662-D9663)</f>
        <v>0</v>
      </c>
      <c r="Q9662" t="str">
        <v>x</v>
      </c>
      <c r="R9662">
        <f>IF(P9662&gt;0,2*(1-2*$F$19-1/2)*D9657/1000,0)</f>
        <v>0</v>
      </c>
      <c r="S9662" t="str">
        <v>)</v>
      </c>
      <c r="T9662" t="str">
        <v>x</v>
      </c>
      <c r="U9662">
        <f>0.006165*F9662^2</f>
        <v>2.225565</v>
      </c>
      <c r="X9662" t="str">
        <v>x</v>
      </c>
      <c r="Y9662">
        <f>D9660</f>
        <v>1</v>
      </c>
      <c r="Z9662" t="str">
        <v>=</v>
      </c>
      <c r="AA9662">
        <f>IF(AA9664=0,(D9662*N9662+P9662*R9662)*U9662*Y9662,0)</f>
        <v>0</v>
      </c>
    </row>
    <row r="9663">
      <c r="A9663" t="str">
        <f>A9654</f>
        <v>Lantai Attic</v>
      </c>
      <c r="B9663">
        <f>B9654</f>
        <v>58</v>
      </c>
      <c r="C9663" t="str">
        <v>Tul Atas Tumpuan</v>
      </c>
      <c r="D9663">
        <f>VLOOKUP(D9654,'Detail Balok'!$C$10:$AU$110,10,FALSE)</f>
        <v>8</v>
      </c>
      <c r="E9663" t="str">
        <v>D</v>
      </c>
      <c r="F9663">
        <f>VLOOKUP(D9654,'Detail Balok'!$C$10:$AU$110,12,FALSE)</f>
        <v>19</v>
      </c>
      <c r="I9663" t="str">
        <v>(</v>
      </c>
      <c r="J9663">
        <f>+D9656/4/1000</f>
        <v>0.44125</v>
      </c>
      <c r="K9663" t="str">
        <v>+</v>
      </c>
      <c r="L9663">
        <f>MAX(VLOOKUP(F9663,N$6:P$15,3,FALSE)/1000,2/3*D9658/1000)+F$16*F9663/1000</f>
        <v>0.228</v>
      </c>
      <c r="M9663" t="str">
        <v>=</v>
      </c>
      <c r="N9663">
        <f>J9663+L9663</f>
        <v>0.66925</v>
      </c>
      <c r="O9663" t="str">
        <v>+</v>
      </c>
      <c r="P9663">
        <f>D9663-D9662</f>
        <v>0</v>
      </c>
      <c r="Q9663" t="str">
        <v>x</v>
      </c>
      <c r="R9663">
        <f>IF(P9663&gt;0,$F$18*F9663/1000,0)</f>
        <v>0</v>
      </c>
      <c r="S9663" t="str">
        <v>)</v>
      </c>
      <c r="T9663" t="str">
        <v>x</v>
      </c>
      <c r="U9663">
        <f>0.006165*F9663^2</f>
        <v>2.225565</v>
      </c>
      <c r="X9663" t="str">
        <v>x</v>
      </c>
      <c r="Y9663">
        <f>D9660</f>
        <v>1</v>
      </c>
      <c r="Z9663" t="str">
        <v>=</v>
      </c>
      <c r="AA9663">
        <f>IF(AA9664=0,(D9663*N9663+P9663*R9663)*U9663*Y9663,0)</f>
        <v>0</v>
      </c>
    </row>
    <row r="9664">
      <c r="A9664" t="str">
        <f>A9654</f>
        <v>Lantai Attic</v>
      </c>
      <c r="B9664">
        <f>B9654</f>
        <v>58</v>
      </c>
      <c r="D9664">
        <f>IF(AND(D9661=D9662,D9662=D9663,D9661=D9663),D9661,0)</f>
        <v>8</v>
      </c>
      <c r="E9664" t="str">
        <v>D</v>
      </c>
      <c r="F9664">
        <f>IF(AND(F9661=F9662,F9661=F9663,F9662=F9663),F9661,0)</f>
        <v>19</v>
      </c>
      <c r="L9664" t="str">
        <v>Total panjang per balok</v>
      </c>
      <c r="M9664" t="str">
        <v>=</v>
      </c>
      <c r="N9664">
        <f>IF(AND(D9661=D9662,D9661=D9663,D9662=D9663,F9661=F9662,F9661=F9663,F9662=F9663),SUM(N9661:N9663),0)</f>
        <v>2.221</v>
      </c>
      <c r="O9664" t="str">
        <v>+</v>
      </c>
      <c r="P9664">
        <f>IF(N9664&gt;12,ROUNDDOWN(N9664/12,0),0)</f>
        <v>0</v>
      </c>
      <c r="Q9664" t="str">
        <v>x</v>
      </c>
      <c r="R9664">
        <f>IF(P9664&gt;0,MAX(VLOOKUP(F9664,$D$6:$G$15,3,FALSE),600),0)/1000</f>
        <v>0</v>
      </c>
      <c r="T9664" t="str">
        <v>x</v>
      </c>
      <c r="U9664">
        <f>U9663</f>
        <v>2.225565</v>
      </c>
      <c r="V9664" t="str">
        <v>x</v>
      </c>
      <c r="W9664">
        <f>D9664</f>
        <v>8</v>
      </c>
      <c r="X9664" t="str">
        <v>x</v>
      </c>
      <c r="Y9664">
        <f>Y9663</f>
        <v>1</v>
      </c>
      <c r="Z9664" t="str">
        <v>=</v>
      </c>
      <c r="AA9664">
        <f>(N9664+P9664*R9664/1000)*U9664*W9664*Y9664</f>
        <v>39.54383892</v>
      </c>
    </row>
    <row r="9666">
      <c r="A9666" t="str">
        <f>A9654</f>
        <v>Lantai Attic</v>
      </c>
      <c r="B9666">
        <f>B9654</f>
        <v>58</v>
      </c>
      <c r="C9666" t="str">
        <v>Tul Peminggang</v>
      </c>
      <c r="D9666">
        <f>VLOOKUP(D9654,'Detail Balok'!$C$10:$AU$110,13,FALSE)</f>
        <v>2</v>
      </c>
      <c r="E9666" t="str">
        <v>D</v>
      </c>
      <c r="F9666">
        <f>VLOOKUP(D9654,'Detail Balok'!$C$10:$AU$110,15,FALSE)</f>
        <v>10</v>
      </c>
      <c r="J9666">
        <f>+D9656/1000</f>
        <v>1.765</v>
      </c>
      <c r="K9666" t="str">
        <v>+</v>
      </c>
      <c r="L9666">
        <f>2*$F$16*F9666/1000</f>
        <v>0.24</v>
      </c>
      <c r="M9666" t="str">
        <v>=</v>
      </c>
      <c r="N9666">
        <f>J9666+L9666</f>
        <v>2.005</v>
      </c>
      <c r="O9666" t="str">
        <v>+</v>
      </c>
      <c r="P9666">
        <f>IF(N9666&gt;12,ROUNDDOWN(N9666/12,0),0)</f>
        <v>0</v>
      </c>
      <c r="Q9666" t="str">
        <v>x</v>
      </c>
      <c r="R9666">
        <f>IF(P9666&gt;0,MAX(VLOOKUP(F9666,$D$6:$G$15,3,FALSE),600),0)/1000</f>
        <v>0</v>
      </c>
      <c r="T9666" t="str">
        <v>x</v>
      </c>
      <c r="U9666">
        <f>0.006165*F9666^2</f>
        <v>0.6165</v>
      </c>
      <c r="V9666" t="str">
        <v>x</v>
      </c>
      <c r="W9666">
        <f>+D9666</f>
        <v>2</v>
      </c>
      <c r="X9666" t="str">
        <v>x</v>
      </c>
      <c r="Y9666">
        <f>D9660</f>
        <v>1</v>
      </c>
      <c r="Z9666" t="str">
        <v>=</v>
      </c>
      <c r="AA9666">
        <f>(N9666+P9666*R9666/1000)*U9666*W9666*Y9666</f>
        <v>2.472165</v>
      </c>
    </row>
    <row r="9669">
      <c r="A9669" t="str">
        <f>A9654</f>
        <v>Lantai Attic</v>
      </c>
      <c r="B9669">
        <f>B9654</f>
        <v>58</v>
      </c>
      <c r="C9669" t="str">
        <v>Tul Bawah Tumpuan</v>
      </c>
      <c r="D9669">
        <f>VLOOKUP(D9654,'Detail Balok'!$C$10:$AU$110,22,FALSE)</f>
        <v>4</v>
      </c>
      <c r="E9669" t="str">
        <v>D</v>
      </c>
      <c r="F9669">
        <f>VLOOKUP(D9654,'Detail Balok'!$C$10:$AU$110,24,FALSE)</f>
        <v>19</v>
      </c>
      <c r="I9669" t="str">
        <v>(</v>
      </c>
      <c r="J9669">
        <f>+J9661</f>
        <v>0.44125</v>
      </c>
      <c r="K9669" t="str">
        <v>+</v>
      </c>
      <c r="L9669">
        <f>MAX(VLOOKUP(F9669,N$6:P$15,3,FALSE)/1000,2/3*D9659/1000)+F$16*F9669/1000</f>
        <v>0.228</v>
      </c>
      <c r="M9669" t="str">
        <v>=</v>
      </c>
      <c r="N9669">
        <f>J9669+L9669</f>
        <v>0.66925</v>
      </c>
      <c r="O9669" t="str">
        <v>+</v>
      </c>
      <c r="P9669">
        <f>D9669-D9670</f>
        <v>0</v>
      </c>
      <c r="Q9669" t="str">
        <v>x</v>
      </c>
      <c r="R9669">
        <f>IF(P9669&gt;0,$F$18*F9669/1000,0)</f>
        <v>0</v>
      </c>
      <c r="S9669" t="str">
        <v>)</v>
      </c>
      <c r="T9669" t="str">
        <v>x</v>
      </c>
      <c r="U9669">
        <f>0.006165*F9669^2</f>
        <v>2.225565</v>
      </c>
      <c r="X9669" t="str">
        <v>x</v>
      </c>
      <c r="Y9669">
        <f>D9660</f>
        <v>1</v>
      </c>
      <c r="Z9669" t="str">
        <v>=</v>
      </c>
      <c r="AA9669">
        <f>IF(AA9672=0,(D9669*N9669+P9669*R9669)*U9669*Y9669,0)</f>
        <v>0</v>
      </c>
    </row>
    <row r="9670">
      <c r="A9670" t="str">
        <f>A9654</f>
        <v>Lantai Attic</v>
      </c>
      <c r="B9670">
        <f>B9654</f>
        <v>58</v>
      </c>
      <c r="C9670" t="str">
        <v>Tul Bawah Lapangan</v>
      </c>
      <c r="D9670">
        <f>VLOOKUP(D9654,'Detail Balok'!$C$10:$AU$110,25,FALSE)</f>
        <v>4</v>
      </c>
      <c r="E9670" t="str">
        <v>D</v>
      </c>
      <c r="F9670">
        <f>VLOOKUP(D9654,'Detail Balok'!$C$10:$AU$110,27,FALSE)</f>
        <v>19</v>
      </c>
      <c r="I9670" t="str">
        <v>(</v>
      </c>
      <c r="J9670">
        <f>+J9662</f>
        <v>0.8825</v>
      </c>
      <c r="K9670" t="str">
        <v>+</v>
      </c>
      <c r="M9670" t="str">
        <v>=</v>
      </c>
      <c r="N9670">
        <f>J9670+L9670</f>
        <v>0.8825</v>
      </c>
      <c r="O9670" t="str">
        <v>+</v>
      </c>
      <c r="P9670">
        <f>MAX(D9670-D9669,D9670-D9671)</f>
        <v>0</v>
      </c>
      <c r="Q9670" t="str">
        <v>x</v>
      </c>
      <c r="R9670">
        <f>IF(P9670&gt;0,2*(1-2*$F$19-1/2)*D9657/1000,0)</f>
        <v>0</v>
      </c>
      <c r="S9670" t="str">
        <v>)</v>
      </c>
      <c r="T9670" t="str">
        <v>x</v>
      </c>
      <c r="U9670">
        <f>0.006165*F9670^2</f>
        <v>2.225565</v>
      </c>
      <c r="X9670" t="str">
        <v>x</v>
      </c>
      <c r="Y9670">
        <f>D9660</f>
        <v>1</v>
      </c>
      <c r="Z9670" t="str">
        <v>=</v>
      </c>
      <c r="AA9670">
        <f>IF(AA9672=0,(D9670*N9670+P9670*R9670)*U9670*Y9670,0)</f>
        <v>0</v>
      </c>
    </row>
    <row r="9671">
      <c r="A9671" t="str">
        <f>A9654</f>
        <v>Lantai Attic</v>
      </c>
      <c r="B9671">
        <f>B9654</f>
        <v>58</v>
      </c>
      <c r="C9671" t="str">
        <v>Tul Bawah Tumpuan</v>
      </c>
      <c r="D9671">
        <f>VLOOKUP(D9654,'Detail Balok'!$C$10:$AU$110,28,FALSE)</f>
        <v>4</v>
      </c>
      <c r="E9671" t="str">
        <v>D</v>
      </c>
      <c r="F9671">
        <f>VLOOKUP(D9654,'Detail Balok'!$C$10:$AU$110,30,FALSE)</f>
        <v>19</v>
      </c>
      <c r="I9671" t="str">
        <v>(</v>
      </c>
      <c r="J9671">
        <f>+J9663</f>
        <v>0.44125</v>
      </c>
      <c r="K9671" t="str">
        <v>+</v>
      </c>
      <c r="L9671">
        <f>MAX(VLOOKUP(F9671,N$6:P$15,3,FALSE)/1000,2/3*D9659/1000)+F$16*F9671/1000</f>
        <v>0.228</v>
      </c>
      <c r="M9671" t="str">
        <v>=</v>
      </c>
      <c r="N9671">
        <f>J9671+L9671</f>
        <v>0.66925</v>
      </c>
      <c r="O9671" t="str">
        <v>+</v>
      </c>
      <c r="P9671">
        <f>D9671-D9670</f>
        <v>0</v>
      </c>
      <c r="Q9671" t="str">
        <v>x</v>
      </c>
      <c r="R9671">
        <f>IF(P9671&gt;0,$F$18*F9671/1000,0)</f>
        <v>0</v>
      </c>
      <c r="S9671" t="str">
        <v>)</v>
      </c>
      <c r="T9671" t="str">
        <v>x</v>
      </c>
      <c r="U9671">
        <f>0.006165*F9671^2</f>
        <v>2.225565</v>
      </c>
      <c r="X9671" t="str">
        <v>x</v>
      </c>
      <c r="Y9671">
        <f>D9660</f>
        <v>1</v>
      </c>
      <c r="Z9671" t="str">
        <v>=</v>
      </c>
      <c r="AA9671">
        <f>IF(AA9672=0,(D9671*N9671+P9671*R9671)*U9671*Y9671,0)</f>
        <v>0</v>
      </c>
    </row>
    <row r="9672">
      <c r="A9672" t="str">
        <f>A9654</f>
        <v>Lantai Attic</v>
      </c>
      <c r="B9672">
        <f>B9654</f>
        <v>58</v>
      </c>
      <c r="D9672">
        <f>IF(AND(D9669=D9670,D9670=D9671,D9669=D9671),D9669,0)</f>
        <v>4</v>
      </c>
      <c r="E9672" t="str">
        <v>D</v>
      </c>
      <c r="F9672">
        <f>IF(AND(F9669=F9670,F9669=F9671,F9670=F9671),F9669,0)</f>
        <v>19</v>
      </c>
      <c r="L9672" t="str">
        <v>Total panjang per balok</v>
      </c>
      <c r="M9672" t="str">
        <v>=</v>
      </c>
      <c r="N9672">
        <f>IF(AND(D9669=D9670,D9669=D9671,D9670=D9671,F9669=F9670,F9669=F9671,F9670=F9671),SUM(N9669:N9671),0)</f>
        <v>2.221</v>
      </c>
      <c r="O9672" t="str">
        <v>+</v>
      </c>
      <c r="P9672">
        <f>IF(N9672&gt;12,ROUNDDOWN(N9672/12,0),0)</f>
        <v>0</v>
      </c>
      <c r="Q9672" t="str">
        <v>x</v>
      </c>
      <c r="R9672">
        <f>IF(P9672&gt;0,MAX(VLOOKUP(F9672,$D$6:$G$15,3,FALSE),600),0)/1000</f>
        <v>0</v>
      </c>
      <c r="T9672" t="str">
        <v>x</v>
      </c>
      <c r="U9672">
        <f>U9671</f>
        <v>2.225565</v>
      </c>
      <c r="V9672" t="str">
        <v>x</v>
      </c>
      <c r="W9672">
        <f>D9672</f>
        <v>4</v>
      </c>
      <c r="X9672" t="str">
        <v>x</v>
      </c>
      <c r="Y9672">
        <f>Y9671</f>
        <v>1</v>
      </c>
      <c r="Z9672" t="str">
        <v>=</v>
      </c>
      <c r="AA9672">
        <f>(N9672+P9672*R9672/1000)*U9672*W9672*Y9672</f>
        <v>19.77191946</v>
      </c>
    </row>
    <row r="9674">
      <c r="A9674" t="str">
        <f>A9654</f>
        <v>Lantai Attic</v>
      </c>
      <c r="B9674">
        <f>B9654</f>
        <v>58</v>
      </c>
      <c r="C9674" t="str">
        <v>Sengkang Tumpuan</v>
      </c>
      <c r="D9674">
        <f>VLOOKUP(D9654,'Detail Balok'!$C$10:$AU$110,31,FALSE)</f>
        <v>0</v>
      </c>
      <c r="E9674" t="str">
        <v>D</v>
      </c>
      <c r="F9674">
        <f>VLOOKUP(D9654,'Detail Balok'!$C$10:$AU$110,33,FALSE)</f>
        <v>13</v>
      </c>
      <c r="G9674" t="str">
        <v>-</v>
      </c>
      <c r="H9674">
        <f>VLOOKUP(D9654,'Detail Balok'!$C$10:$AU$110,35,FALSE)</f>
        <v>90</v>
      </c>
      <c r="J9674">
        <f>(IF(D9674=0,(2*(D9655+G9655))-(F$5*8),IF(D9674=3,(2*(D9655+G9655))-(F$5*8)+(G9655-2*F$5),IF(D9674=4,(2*(D9655+G9655))-(F$5*8)+2*(G9655-2*F$5)))))/1000</f>
        <v>1.68</v>
      </c>
      <c r="K9674" t="str">
        <v>+</v>
      </c>
      <c r="L9674">
        <f>IF(D9674=0,2*MAX(6*F9674,75),(D9674-1)*2*MAX(6*F9674,75))/1000</f>
        <v>0.156</v>
      </c>
      <c r="M9674" t="str">
        <v>=</v>
      </c>
      <c r="N9674">
        <f>J9674+L9674</f>
        <v>1.8359999999999999</v>
      </c>
      <c r="T9674" t="str">
        <v>x</v>
      </c>
      <c r="U9674">
        <f>0.006165*F9674^2</f>
        <v>1.041885</v>
      </c>
      <c r="V9674" t="str">
        <v>x</v>
      </c>
      <c r="W9674">
        <f>IF(D9657&gt;4*G9655,ROUND(MAX(D9657/4,2*G9655)/H9674,0)+1,ROUND(D9657/H9674,0)+1)</f>
        <v>21</v>
      </c>
      <c r="X9674" t="str">
        <v>x</v>
      </c>
      <c r="Y9674">
        <f>D9660</f>
        <v>1</v>
      </c>
      <c r="Z9674" t="str">
        <v>=</v>
      </c>
      <c r="AA9674">
        <f>N9674*U9674*W9674*Y9674</f>
        <v>40.17091805999999</v>
      </c>
    </row>
    <row r="9675">
      <c r="A9675" t="str">
        <f>A9654</f>
        <v>Lantai Attic</v>
      </c>
      <c r="B9675">
        <f>B9654</f>
        <v>58</v>
      </c>
      <c r="C9675" t="str">
        <v>Sengkang Lapangan</v>
      </c>
      <c r="D9675">
        <f>VLOOKUP(D9654,'Detail Balok'!$C$10:$AU$110,36,FALSE)</f>
        <v>0</v>
      </c>
      <c r="E9675" t="str">
        <v>D</v>
      </c>
      <c r="F9675">
        <f>VLOOKUP(D9654,'Detail Balok'!$C$10:$AU$110,38,FALSE)</f>
        <v>13</v>
      </c>
      <c r="G9675" t="str">
        <v>-</v>
      </c>
      <c r="H9675">
        <f>VLOOKUP(D9654,'Detail Balok'!$C$10:$AU$110,40,FALSE)</f>
        <v>90</v>
      </c>
      <c r="J9675">
        <f>(IF(D9675=0,(2*(D9655+G9655))-(F$5*8),IF(D9675=3,(2*(D9655+G9655))-(F$5*8)+(G9655-2*F$5),IF(D9675=4,(2*(D9655+G9655))-(F$5*8)+2*(G9655-2*F$5)))))/1000</f>
        <v>1.68</v>
      </c>
      <c r="K9675" t="str">
        <v>+</v>
      </c>
      <c r="L9675">
        <f>IF(D9675=0,2*MAX(6*F9675,75),(D9675-1)*2*MAX(6*F9675,75))/1000</f>
        <v>0.156</v>
      </c>
      <c r="M9675" t="str">
        <v>=</v>
      </c>
      <c r="N9675">
        <f>J9675+L9675</f>
        <v>1.8359999999999999</v>
      </c>
      <c r="T9675" t="str">
        <v>x</v>
      </c>
      <c r="U9675">
        <f>0.006165*F9675^2</f>
        <v>1.041885</v>
      </c>
      <c r="V9675" t="str">
        <v>x</v>
      </c>
      <c r="W9675">
        <f>IF(D9657-MAX(D9657/4,2*G9655)*2&gt;0,ROUND((D9657-MAX(D9657/4,2*G9655)*2)/H9675,0),0)</f>
        <v>0</v>
      </c>
      <c r="X9675" t="str">
        <v>x</v>
      </c>
      <c r="Y9675">
        <f>D9660</f>
        <v>1</v>
      </c>
      <c r="Z9675" t="str">
        <v>=</v>
      </c>
      <c r="AA9675">
        <f>N9675*U9675*W9675*Y9675</f>
        <v>0</v>
      </c>
    </row>
    <row r="9676">
      <c r="A9676" t="str">
        <f>A9654</f>
        <v>Lantai Attic</v>
      </c>
      <c r="B9676">
        <f>B9654</f>
        <v>58</v>
      </c>
      <c r="C9676" t="str">
        <v>Sengkang Tumpuan</v>
      </c>
      <c r="D9676">
        <f>VLOOKUP(D9654,'Detail Balok'!$C$10:$AU$110,41,FALSE)</f>
        <v>0</v>
      </c>
      <c r="E9676" t="str">
        <v>D</v>
      </c>
      <c r="F9676">
        <f>VLOOKUP(D9654,'Detail Balok'!$C$10:$AU$110,43,FALSE)</f>
        <v>13</v>
      </c>
      <c r="G9676" t="str">
        <v>-</v>
      </c>
      <c r="H9676">
        <f>VLOOKUP(D9654,'Detail Balok'!$C$10:$AU$110,45,FALSE)</f>
        <v>90</v>
      </c>
      <c r="J9676">
        <f>(IF(D9676=0,(2*(D9655+G9655))-(F$5*8),IF(D9676=3,(2*(D9655+G9655))-(F$5*8)+(G9655-2*F$5),IF(D9676=4,(2*(D9655+G9655))-(F$5*8)+2*(G9655-2*F$5)))))/1000</f>
        <v>1.68</v>
      </c>
      <c r="K9676" t="str">
        <v>+</v>
      </c>
      <c r="L9676">
        <f>IF(D9676=0,2*MAX(6*F9676,75),(D9676-1)*2*MAX(6*F9676,75))/1000</f>
        <v>0.156</v>
      </c>
      <c r="M9676" t="str">
        <v>=</v>
      </c>
      <c r="N9676">
        <f>J9676+L9676</f>
        <v>1.8359999999999999</v>
      </c>
      <c r="T9676" t="str">
        <v>x</v>
      </c>
      <c r="U9676">
        <f>0.006165*F9676^2</f>
        <v>1.041885</v>
      </c>
      <c r="V9676" t="str">
        <v>x</v>
      </c>
      <c r="W9676">
        <f>IF(D9657&gt;4*G9655,ROUND(MAX(D9657/4,2*G9655)/H9676,0)+1,0)</f>
        <v>0</v>
      </c>
      <c r="X9676" t="str">
        <v>x</v>
      </c>
      <c r="Y9676">
        <f>D9660</f>
        <v>1</v>
      </c>
      <c r="Z9676" t="str">
        <v>=</v>
      </c>
      <c r="AA9676">
        <f>N9676*U9676*W9676*Y9676</f>
        <v>0</v>
      </c>
    </row>
    <row r="9678">
      <c r="A9678" t="str">
        <f>A9654</f>
        <v>Lantai Attic</v>
      </c>
      <c r="B9678">
        <f>B9654</f>
        <v>58</v>
      </c>
      <c r="C9678" t="str">
        <v>Kait Horizontal Tump.</v>
      </c>
      <c r="D9678">
        <f>VLOOKUP(D9654,'Detail Balok'!$C$10:$BJ$110,46,FALSE)</f>
        <v>0</v>
      </c>
      <c r="E9678" t="str">
        <v>D</v>
      </c>
      <c r="F9678">
        <f>VLOOKUP(D9654,'Detail Balok'!$C$10:$BJ$110,48,FALSE)</f>
        <v>0</v>
      </c>
      <c r="G9678" t="str">
        <v>-</v>
      </c>
      <c r="H9678">
        <f>VLOOKUP(D9654,'Detail Balok'!$C$10:$BJ$110,50,FALSE)</f>
        <v>100</v>
      </c>
      <c r="J9678">
        <f>(D9655-2*F$5)/1000</f>
        <v>0.32</v>
      </c>
      <c r="K9678" t="str">
        <v>+</v>
      </c>
      <c r="L9678">
        <f>IF(D9678=0,2*MAX(6*F9678,75),(D9678-1)*2*MAX(6*F9678,75))/1000</f>
        <v>0.15</v>
      </c>
      <c r="M9678" t="str">
        <v>=</v>
      </c>
      <c r="N9678">
        <f>J9678+L9678</f>
        <v>0.47</v>
      </c>
      <c r="T9678" t="str">
        <v>x</v>
      </c>
      <c r="U9678">
        <f>0.006165*F9678^2</f>
        <v>0</v>
      </c>
      <c r="V9678" t="str">
        <v>x</v>
      </c>
      <c r="W9678">
        <f>W9674</f>
        <v>21</v>
      </c>
      <c r="X9678" t="str">
        <v>x</v>
      </c>
      <c r="Y9678">
        <f>D9664</f>
        <v>8</v>
      </c>
      <c r="Z9678" t="str">
        <v>=</v>
      </c>
      <c r="AA9678">
        <f>N9678*U9678*W9678*Y9678</f>
        <v>0</v>
      </c>
    </row>
    <row r="9679">
      <c r="A9679" t="str">
        <f>A9654</f>
        <v>Lantai Attic</v>
      </c>
      <c r="B9679">
        <f>B9654</f>
        <v>58</v>
      </c>
      <c r="C9679" t="str">
        <v>Kait Horizontal Lap.</v>
      </c>
      <c r="D9679">
        <f>VLOOKUP(D9654,'Detail Balok'!$C$10:$BJ$110,51,FALSE)</f>
        <v>0</v>
      </c>
      <c r="E9679" t="str">
        <v>D</v>
      </c>
      <c r="F9679">
        <f>VLOOKUP(D9654,'Detail Balok'!$C$10:$BJ$110,53,FALSE)</f>
        <v>0</v>
      </c>
      <c r="G9679" t="str">
        <v>-</v>
      </c>
      <c r="H9679">
        <f>VLOOKUP(D9654,'Detail Balok'!$C$10:$BJ$110,55,FALSE)</f>
        <v>100</v>
      </c>
      <c r="J9679">
        <f>(D9655-2*F$5)/1000</f>
        <v>0.32</v>
      </c>
      <c r="K9679" t="str">
        <v>+</v>
      </c>
      <c r="L9679">
        <f>IF(D9679=0,2*MAX(6*F9679,75),(D9679-1)*2*MAX(6*F9679,75))/1000</f>
        <v>0.15</v>
      </c>
      <c r="M9679" t="str">
        <v>=</v>
      </c>
      <c r="N9679">
        <f>J9679+L9679</f>
        <v>0.47</v>
      </c>
      <c r="T9679" t="str">
        <v>x</v>
      </c>
      <c r="U9679">
        <f>0.006165*F9679^2</f>
        <v>0</v>
      </c>
      <c r="V9679" t="str">
        <v>x</v>
      </c>
      <c r="W9679">
        <f>W9675</f>
        <v>0</v>
      </c>
      <c r="X9679" t="str">
        <v>x</v>
      </c>
      <c r="Y9679">
        <f>D9664</f>
        <v>8</v>
      </c>
      <c r="Z9679" t="str">
        <v>=</v>
      </c>
      <c r="AA9679">
        <f>N9679*U9679*W9679*Y9679</f>
        <v>0</v>
      </c>
    </row>
    <row r="9680">
      <c r="A9680" t="str">
        <f>A9654</f>
        <v>Lantai Attic</v>
      </c>
      <c r="B9680">
        <f>B9654</f>
        <v>58</v>
      </c>
      <c r="C9680" t="str">
        <v>Kait Horizontal Tump.</v>
      </c>
      <c r="D9680">
        <f>VLOOKUP(D9654,'Detail Balok'!$C$10:$BJ$110,56,FALSE)</f>
        <v>0</v>
      </c>
      <c r="E9680" t="str">
        <v>D</v>
      </c>
      <c r="F9680">
        <f>VLOOKUP(D9654,'Detail Balok'!$C$10:$BJ$110,58,FALSE)</f>
        <v>0</v>
      </c>
      <c r="G9680" t="str">
        <v>-</v>
      </c>
      <c r="H9680">
        <f>VLOOKUP(D9654,'Detail Balok'!$C$10:$BJ$110,60,FALSE)</f>
        <v>100</v>
      </c>
      <c r="J9680">
        <f>(D9655-2*F$5)/1000</f>
        <v>0.32</v>
      </c>
      <c r="K9680" t="str">
        <v>+</v>
      </c>
      <c r="L9680">
        <f>IF(D9680=0,2*MAX(6*F9680,75),(D9680-1)*2*MAX(6*F9680,75))/1000</f>
        <v>0.15</v>
      </c>
      <c r="M9680" t="str">
        <v>=</v>
      </c>
      <c r="N9680">
        <f>J9680+L9680</f>
        <v>0.47</v>
      </c>
      <c r="T9680" t="str">
        <v>x</v>
      </c>
      <c r="U9680">
        <f>0.006165*F9680^2</f>
        <v>0</v>
      </c>
      <c r="V9680" t="str">
        <v>x</v>
      </c>
      <c r="W9680">
        <f>W9676</f>
        <v>0</v>
      </c>
      <c r="X9680" t="str">
        <v>x</v>
      </c>
      <c r="Y9680">
        <f>D9664</f>
        <v>8</v>
      </c>
      <c r="Z9680" t="str">
        <v>=</v>
      </c>
      <c r="AA9680">
        <f>N9680*U9680*W9680*Y9680</f>
        <v>0</v>
      </c>
    </row>
    <row r="9684">
      <c r="A9684" t="str">
        <f>A9654</f>
        <v>Lantai Attic</v>
      </c>
      <c r="B9684">
        <f>B9654+1</f>
        <v>59</v>
      </c>
      <c r="C9684" t="str">
        <f>CONCATENATE(A9684," no. ",B9684)</f>
        <v>Lantai Attic no. 59</v>
      </c>
      <c r="D9684" t="str">
        <f>VLOOKUP(C9684,'Data Panjang Balok'!$C$9:$N$424,2,FALSE)</f>
        <v>B25-5</v>
      </c>
    </row>
    <row r="9685">
      <c r="C9685" t="str">
        <v>Dimensi</v>
      </c>
      <c r="D9685">
        <f>VLOOKUP(D9684,'Detail Balok'!$C$10:$AU$110,2,FALSE)</f>
        <v>200</v>
      </c>
      <c r="F9685" t="str">
        <v>x</v>
      </c>
      <c r="G9685">
        <f>VLOOKUP(D9684,'Detail Balok'!$C$10:$AU$110,3,FALSE)</f>
        <v>500</v>
      </c>
    </row>
    <row r="9686">
      <c r="C9686" t="str">
        <v>Panjang as ke as</v>
      </c>
      <c r="D9686">
        <f>VLOOKUP(C9684,'Data Panjang Balok'!$C$9:$N$424,4,FALSE)</f>
        <v>8850</v>
      </c>
    </row>
    <row r="9687">
      <c r="C9687" t="str">
        <v>Panjang netto</v>
      </c>
      <c r="D9687">
        <f>VLOOKUP(C9684,'Data Panjang Balok'!$C$9:$N$424,7,FALSE)</f>
        <v>8850</v>
      </c>
    </row>
    <row r="9688">
      <c r="C9688" t="str">
        <v>Kolom / balok kiri</v>
      </c>
      <c r="D9688">
        <f>VLOOKUP(C9684,'Data Panjang Balok'!$C$9:$N$424,9,FALSE)</f>
        <v>0</v>
      </c>
    </row>
    <row r="9689">
      <c r="C9689" t="str">
        <v>Kolom / balok kanan</v>
      </c>
      <c r="D9689">
        <f>VLOOKUP(C9684,'Data Panjang Balok'!$C$9:$N$424,10,FALSE)</f>
        <v>0</v>
      </c>
    </row>
    <row r="9690">
      <c r="C9690" t="str">
        <v>Jumlah</v>
      </c>
      <c r="D9690">
        <f>VLOOKUP(C9684,'Data Panjang Balok'!$C$9:$N$424,3,FALSE)</f>
        <v>1</v>
      </c>
    </row>
    <row r="9691">
      <c r="A9691" t="str">
        <f>A9684</f>
        <v>Lantai Attic</v>
      </c>
      <c r="B9691">
        <f>B9684</f>
        <v>59</v>
      </c>
      <c r="C9691" t="str">
        <v>Tul Atas Tumpuan</v>
      </c>
      <c r="D9691">
        <f>VLOOKUP(D9684,'Detail Balok'!$C$10:$AU$110,4,FALSE)</f>
        <v>5</v>
      </c>
      <c r="E9691" t="str">
        <v>D</v>
      </c>
      <c r="F9691">
        <f>VLOOKUP(D9684,'Detail Balok'!$C$10:$AU$110,6,FALSE)</f>
        <v>19</v>
      </c>
      <c r="I9691" t="str">
        <v>(</v>
      </c>
      <c r="J9691">
        <f>+D9686/4/1000</f>
        <v>2.2125</v>
      </c>
      <c r="K9691" t="str">
        <v>+</v>
      </c>
      <c r="L9691">
        <f>MAX(VLOOKUP(F9691,N$6:P$15,3,FALSE)/1000,2/3*D9688/1000)+F$16*F9691/1000</f>
        <v>0.228</v>
      </c>
      <c r="M9691" t="str">
        <v>=</v>
      </c>
      <c r="N9691">
        <f>J9691+L9691</f>
        <v>2.4405</v>
      </c>
      <c r="O9691" t="str">
        <v>+</v>
      </c>
      <c r="P9691">
        <f>D9691-D9692</f>
        <v>3</v>
      </c>
      <c r="Q9691" t="str">
        <v>x</v>
      </c>
      <c r="R9691">
        <f>IF(P9691&gt;0,$F$18*F9691/1000,0)</f>
        <v>0.285</v>
      </c>
      <c r="S9691" t="str">
        <v>)</v>
      </c>
      <c r="T9691" t="str">
        <v>x</v>
      </c>
      <c r="U9691">
        <f>0.006165*F9691^2</f>
        <v>2.225565</v>
      </c>
      <c r="X9691" t="str">
        <v>x</v>
      </c>
      <c r="Y9691">
        <f>D9690</f>
        <v>1</v>
      </c>
      <c r="Z9691" t="str">
        <v>=</v>
      </c>
      <c r="AA9691">
        <f>IF(AA9694=0,(D9691*N9691+P9691*R9691)*U9691*Y9691,0)</f>
        <v>29.060314987500004</v>
      </c>
    </row>
    <row r="9692">
      <c r="A9692" t="str">
        <f>A9684</f>
        <v>Lantai Attic</v>
      </c>
      <c r="B9692">
        <f>B9684</f>
        <v>59</v>
      </c>
      <c r="C9692" t="str">
        <v>Tul Atas Lapangan</v>
      </c>
      <c r="D9692">
        <f>VLOOKUP(D9684,'Detail Balok'!$C$10:$AU$110,7,FALSE)</f>
        <v>2</v>
      </c>
      <c r="E9692" t="str">
        <v>D</v>
      </c>
      <c r="F9692">
        <f>VLOOKUP(D9684,'Detail Balok'!$C$10:$AU$110,9,FALSE)</f>
        <v>19</v>
      </c>
      <c r="I9692" t="str">
        <v>(</v>
      </c>
      <c r="J9692">
        <f>+D9686/2/1000</f>
        <v>4.425</v>
      </c>
      <c r="K9692" t="str">
        <v>+</v>
      </c>
      <c r="M9692" t="str">
        <v>=</v>
      </c>
      <c r="N9692">
        <f>J9692+L9692</f>
        <v>4.425</v>
      </c>
      <c r="O9692" t="str">
        <v>+</v>
      </c>
      <c r="P9692">
        <f>MAX(D9692-D9691,D9692-D9693)</f>
        <v>-3</v>
      </c>
      <c r="Q9692" t="str">
        <v>x</v>
      </c>
      <c r="R9692">
        <f>IF(P9692&gt;0,2*(1-2*$F$19-1/2)*D9687/1000,0)</f>
        <v>0</v>
      </c>
      <c r="S9692" t="str">
        <v>)</v>
      </c>
      <c r="T9692" t="str">
        <v>x</v>
      </c>
      <c r="U9692">
        <f>0.006165*F9692^2</f>
        <v>2.225565</v>
      </c>
      <c r="X9692" t="str">
        <v>x</v>
      </c>
      <c r="Y9692">
        <f>D9690</f>
        <v>1</v>
      </c>
      <c r="Z9692" t="str">
        <v>=</v>
      </c>
      <c r="AA9692">
        <f>IF(AA9694=0,(D9692*N9692+P9692*R9692)*U9692*Y9692,0)</f>
        <v>19.69625025</v>
      </c>
    </row>
    <row r="9693">
      <c r="A9693" t="str">
        <f>A9684</f>
        <v>Lantai Attic</v>
      </c>
      <c r="B9693">
        <f>B9684</f>
        <v>59</v>
      </c>
      <c r="C9693" t="str">
        <v>Tul Atas Tumpuan</v>
      </c>
      <c r="D9693">
        <f>VLOOKUP(D9684,'Detail Balok'!$C$10:$AU$110,10,FALSE)</f>
        <v>5</v>
      </c>
      <c r="E9693" t="str">
        <v>D</v>
      </c>
      <c r="F9693">
        <f>VLOOKUP(D9684,'Detail Balok'!$C$10:$AU$110,12,FALSE)</f>
        <v>19</v>
      </c>
      <c r="I9693" t="str">
        <v>(</v>
      </c>
      <c r="J9693">
        <f>+D9686/4/1000</f>
        <v>2.2125</v>
      </c>
      <c r="K9693" t="str">
        <v>+</v>
      </c>
      <c r="L9693">
        <f>MAX(VLOOKUP(F9693,N$6:P$15,3,FALSE)/1000,2/3*D9688/1000)+F$16*F9693/1000</f>
        <v>0.228</v>
      </c>
      <c r="M9693" t="str">
        <v>=</v>
      </c>
      <c r="N9693">
        <f>J9693+L9693</f>
        <v>2.4405</v>
      </c>
      <c r="O9693" t="str">
        <v>+</v>
      </c>
      <c r="P9693">
        <f>D9693-D9692</f>
        <v>3</v>
      </c>
      <c r="Q9693" t="str">
        <v>x</v>
      </c>
      <c r="R9693">
        <f>IF(P9693&gt;0,$F$18*F9693/1000,0)</f>
        <v>0.285</v>
      </c>
      <c r="S9693" t="str">
        <v>)</v>
      </c>
      <c r="T9693" t="str">
        <v>x</v>
      </c>
      <c r="U9693">
        <f>0.006165*F9693^2</f>
        <v>2.225565</v>
      </c>
      <c r="X9693" t="str">
        <v>x</v>
      </c>
      <c r="Y9693">
        <f>D9690</f>
        <v>1</v>
      </c>
      <c r="Z9693" t="str">
        <v>=</v>
      </c>
      <c r="AA9693">
        <f>IF(AA9694=0,(D9693*N9693+P9693*R9693)*U9693*Y9693,0)</f>
        <v>29.060314987500004</v>
      </c>
    </row>
    <row r="9694">
      <c r="A9694" t="str">
        <f>A9684</f>
        <v>Lantai Attic</v>
      </c>
      <c r="B9694">
        <f>B9684</f>
        <v>59</v>
      </c>
      <c r="D9694">
        <f>IF(AND(D9691=D9692,D9692=D9693,D9691=D9693),D9691,0)</f>
        <v>0</v>
      </c>
      <c r="E9694" t="str">
        <v>D</v>
      </c>
      <c r="F9694">
        <f>IF(AND(F9691=F9692,F9691=F9693,F9692=F9693),F9691,0)</f>
        <v>19</v>
      </c>
      <c r="L9694" t="str">
        <v>Total panjang per balok</v>
      </c>
      <c r="M9694" t="str">
        <v>=</v>
      </c>
      <c r="N9694">
        <f>IF(AND(D9691=D9692,D9691=D9693,D9692=D9693,F9691=F9692,F9691=F9693,F9692=F9693),SUM(N9691:N9693),0)</f>
        <v>0</v>
      </c>
      <c r="O9694" t="str">
        <v>+</v>
      </c>
      <c r="P9694">
        <f>IF(N9694&gt;12,ROUNDDOWN(N9694/12,0),0)</f>
        <v>0</v>
      </c>
      <c r="Q9694" t="str">
        <v>x</v>
      </c>
      <c r="R9694">
        <f>IF(P9694&gt;0,MAX(VLOOKUP(F9694,$D$6:$G$15,3,FALSE),600),0)/1000</f>
        <v>0</v>
      </c>
      <c r="T9694" t="str">
        <v>x</v>
      </c>
      <c r="U9694">
        <f>U9693</f>
        <v>2.225565</v>
      </c>
      <c r="V9694" t="str">
        <v>x</v>
      </c>
      <c r="W9694">
        <f>D9694</f>
        <v>0</v>
      </c>
      <c r="X9694" t="str">
        <v>x</v>
      </c>
      <c r="Y9694">
        <f>Y9693</f>
        <v>1</v>
      </c>
      <c r="Z9694" t="str">
        <v>=</v>
      </c>
      <c r="AA9694">
        <f>(N9694+P9694*R9694/1000)*U9694*W9694*Y9694</f>
        <v>0</v>
      </c>
    </row>
    <row r="9696">
      <c r="A9696" t="str">
        <f>A9684</f>
        <v>Lantai Attic</v>
      </c>
      <c r="B9696">
        <f>B9684</f>
        <v>59</v>
      </c>
      <c r="C9696" t="str">
        <v>Tul Peminggang</v>
      </c>
      <c r="D9696">
        <f>VLOOKUP(D9684,'Detail Balok'!$C$10:$AU$110,13,FALSE)</f>
        <v>2</v>
      </c>
      <c r="E9696" t="str">
        <v>D</v>
      </c>
      <c r="F9696">
        <f>VLOOKUP(D9684,'Detail Balok'!$C$10:$AU$110,15,FALSE)</f>
        <v>10</v>
      </c>
      <c r="J9696">
        <f>+D9686/1000</f>
        <v>8.85</v>
      </c>
      <c r="K9696" t="str">
        <v>+</v>
      </c>
      <c r="L9696">
        <f>2*$F$16*F9696/1000</f>
        <v>0.24</v>
      </c>
      <c r="M9696" t="str">
        <v>=</v>
      </c>
      <c r="N9696">
        <f>J9696+L9696</f>
        <v>9.09</v>
      </c>
      <c r="O9696" t="str">
        <v>+</v>
      </c>
      <c r="P9696">
        <f>IF(N9696&gt;12,ROUNDDOWN(N9696/12,0),0)</f>
        <v>0</v>
      </c>
      <c r="Q9696" t="str">
        <v>x</v>
      </c>
      <c r="R9696">
        <f>IF(P9696&gt;0,MAX(VLOOKUP(F9696,$D$6:$G$15,3,FALSE),600),0)/1000</f>
        <v>0</v>
      </c>
      <c r="T9696" t="str">
        <v>x</v>
      </c>
      <c r="U9696">
        <f>0.006165*F9696^2</f>
        <v>0.6165</v>
      </c>
      <c r="V9696" t="str">
        <v>x</v>
      </c>
      <c r="W9696">
        <f>+D9696</f>
        <v>2</v>
      </c>
      <c r="X9696" t="str">
        <v>x</v>
      </c>
      <c r="Y9696">
        <f>D9690</f>
        <v>1</v>
      </c>
      <c r="Z9696" t="str">
        <v>=</v>
      </c>
      <c r="AA9696">
        <f>(N9696+P9696*R9696/1000)*U9696*W9696*Y9696</f>
        <v>11.207970000000001</v>
      </c>
    </row>
    <row r="9699">
      <c r="A9699" t="str">
        <f>A9684</f>
        <v>Lantai Attic</v>
      </c>
      <c r="B9699">
        <f>B9684</f>
        <v>59</v>
      </c>
      <c r="C9699" t="str">
        <v>Tul Bawah Tumpuan</v>
      </c>
      <c r="D9699">
        <f>VLOOKUP(D9684,'Detail Balok'!$C$10:$AU$110,22,FALSE)</f>
        <v>3</v>
      </c>
      <c r="E9699" t="str">
        <v>D</v>
      </c>
      <c r="F9699">
        <f>VLOOKUP(D9684,'Detail Balok'!$C$10:$AU$110,24,FALSE)</f>
        <v>19</v>
      </c>
      <c r="I9699" t="str">
        <v>(</v>
      </c>
      <c r="J9699">
        <f>+J9691</f>
        <v>2.2125</v>
      </c>
      <c r="K9699" t="str">
        <v>+</v>
      </c>
      <c r="L9699">
        <f>MAX(VLOOKUP(F9699,N$6:P$15,3,FALSE)/1000,2/3*D9689/1000)+F$16*F9699/1000</f>
        <v>0.228</v>
      </c>
      <c r="M9699" t="str">
        <v>=</v>
      </c>
      <c r="N9699">
        <f>J9699+L9699</f>
        <v>2.4405</v>
      </c>
      <c r="O9699" t="str">
        <v>+</v>
      </c>
      <c r="P9699">
        <f>D9699-D9700</f>
        <v>-2</v>
      </c>
      <c r="Q9699" t="str">
        <v>x</v>
      </c>
      <c r="R9699">
        <f>IF(P9699&gt;0,$F$18*F9699/1000,0)</f>
        <v>0</v>
      </c>
      <c r="S9699" t="str">
        <v>)</v>
      </c>
      <c r="T9699" t="str">
        <v>x</v>
      </c>
      <c r="U9699">
        <f>0.006165*F9699^2</f>
        <v>2.225565</v>
      </c>
      <c r="X9699" t="str">
        <v>x</v>
      </c>
      <c r="Y9699">
        <f>D9690</f>
        <v>1</v>
      </c>
      <c r="Z9699" t="str">
        <v>=</v>
      </c>
      <c r="AA9699">
        <f>IF(AA9702=0,(D9699*N9699+P9699*R9699)*U9699*Y9699,0)</f>
        <v>16.2944741475</v>
      </c>
    </row>
    <row r="9700">
      <c r="A9700" t="str">
        <f>A9684</f>
        <v>Lantai Attic</v>
      </c>
      <c r="B9700">
        <f>B9684</f>
        <v>59</v>
      </c>
      <c r="C9700" t="str">
        <v>Tul Bawah Lapangan</v>
      </c>
      <c r="D9700">
        <f>VLOOKUP(D9684,'Detail Balok'!$C$10:$AU$110,25,FALSE)</f>
        <v>5</v>
      </c>
      <c r="E9700" t="str">
        <v>D</v>
      </c>
      <c r="F9700">
        <f>VLOOKUP(D9684,'Detail Balok'!$C$10:$AU$110,27,FALSE)</f>
        <v>19</v>
      </c>
      <c r="I9700" t="str">
        <v>(</v>
      </c>
      <c r="J9700">
        <f>+J9692</f>
        <v>4.425</v>
      </c>
      <c r="K9700" t="str">
        <v>+</v>
      </c>
      <c r="M9700" t="str">
        <v>=</v>
      </c>
      <c r="N9700">
        <f>J9700+L9700</f>
        <v>4.425</v>
      </c>
      <c r="O9700" t="str">
        <v>+</v>
      </c>
      <c r="P9700">
        <f>MAX(D9700-D9699,D9700-D9701)</f>
        <v>2</v>
      </c>
      <c r="Q9700" t="str">
        <v>x</v>
      </c>
      <c r="R9700">
        <f>IF(P9700&gt;0,2*(1-2*$F$19-1/2)*D9687/1000,0)</f>
        <v>1.7699999999999996</v>
      </c>
      <c r="S9700" t="str">
        <v>)</v>
      </c>
      <c r="T9700" t="str">
        <v>x</v>
      </c>
      <c r="U9700">
        <f>0.006165*F9700^2</f>
        <v>2.225565</v>
      </c>
      <c r="X9700" t="str">
        <v>x</v>
      </c>
      <c r="Y9700">
        <f>D9690</f>
        <v>1</v>
      </c>
      <c r="Z9700" t="str">
        <v>=</v>
      </c>
      <c r="AA9700">
        <f>IF(AA9702=0,(D9700*N9700+P9700*R9700)*U9700*Y9700,0)</f>
        <v>57.119125724999996</v>
      </c>
    </row>
    <row r="9701">
      <c r="A9701" t="str">
        <f>A9684</f>
        <v>Lantai Attic</v>
      </c>
      <c r="B9701">
        <f>B9684</f>
        <v>59</v>
      </c>
      <c r="C9701" t="str">
        <v>Tul Bawah Tumpuan</v>
      </c>
      <c r="D9701">
        <f>VLOOKUP(D9684,'Detail Balok'!$C$10:$AU$110,28,FALSE)</f>
        <v>3</v>
      </c>
      <c r="E9701" t="str">
        <v>D</v>
      </c>
      <c r="F9701">
        <f>VLOOKUP(D9684,'Detail Balok'!$C$10:$AU$110,30,FALSE)</f>
        <v>19</v>
      </c>
      <c r="I9701" t="str">
        <v>(</v>
      </c>
      <c r="J9701">
        <f>+J9693</f>
        <v>2.2125</v>
      </c>
      <c r="K9701" t="str">
        <v>+</v>
      </c>
      <c r="L9701">
        <f>MAX(VLOOKUP(F9701,N$6:P$15,3,FALSE)/1000,2/3*D9689/1000)+F$16*F9701/1000</f>
        <v>0.228</v>
      </c>
      <c r="M9701" t="str">
        <v>=</v>
      </c>
      <c r="N9701">
        <f>J9701+L9701</f>
        <v>2.4405</v>
      </c>
      <c r="O9701" t="str">
        <v>+</v>
      </c>
      <c r="P9701">
        <f>D9701-D9700</f>
        <v>-2</v>
      </c>
      <c r="Q9701" t="str">
        <v>x</v>
      </c>
      <c r="R9701">
        <f>IF(P9701&gt;0,$F$18*F9701/1000,0)</f>
        <v>0</v>
      </c>
      <c r="S9701" t="str">
        <v>)</v>
      </c>
      <c r="T9701" t="str">
        <v>x</v>
      </c>
      <c r="U9701">
        <f>0.006165*F9701^2</f>
        <v>2.225565</v>
      </c>
      <c r="X9701" t="str">
        <v>x</v>
      </c>
      <c r="Y9701">
        <f>D9690</f>
        <v>1</v>
      </c>
      <c r="Z9701" t="str">
        <v>=</v>
      </c>
      <c r="AA9701">
        <f>IF(AA9702=0,(D9701*N9701+P9701*R9701)*U9701*Y9701,0)</f>
        <v>16.2944741475</v>
      </c>
    </row>
    <row r="9702">
      <c r="A9702" t="str">
        <f>A9684</f>
        <v>Lantai Attic</v>
      </c>
      <c r="B9702">
        <f>B9684</f>
        <v>59</v>
      </c>
      <c r="D9702">
        <f>IF(AND(D9699=D9700,D9700=D9701,D9699=D9701),D9699,0)</f>
        <v>0</v>
      </c>
      <c r="E9702" t="str">
        <v>D</v>
      </c>
      <c r="F9702">
        <f>IF(AND(F9699=F9700,F9699=F9701,F9700=F9701),F9699,0)</f>
        <v>19</v>
      </c>
      <c r="L9702" t="str">
        <v>Total panjang per balok</v>
      </c>
      <c r="M9702" t="str">
        <v>=</v>
      </c>
      <c r="N9702">
        <f>IF(AND(D9699=D9700,D9699=D9701,D9700=D9701,F9699=F9700,F9699=F9701,F9700=F9701),SUM(N9699:N9701),0)</f>
        <v>0</v>
      </c>
      <c r="O9702" t="str">
        <v>+</v>
      </c>
      <c r="P9702">
        <f>IF(N9702&gt;12,ROUNDDOWN(N9702/12,0),0)</f>
        <v>0</v>
      </c>
      <c r="Q9702" t="str">
        <v>x</v>
      </c>
      <c r="R9702">
        <f>IF(P9702&gt;0,MAX(VLOOKUP(F9702,$D$6:$G$15,3,FALSE),600),0)/1000</f>
        <v>0</v>
      </c>
      <c r="T9702" t="str">
        <v>x</v>
      </c>
      <c r="U9702">
        <f>U9701</f>
        <v>2.225565</v>
      </c>
      <c r="V9702" t="str">
        <v>x</v>
      </c>
      <c r="W9702">
        <f>D9702</f>
        <v>0</v>
      </c>
      <c r="X9702" t="str">
        <v>x</v>
      </c>
      <c r="Y9702">
        <f>Y9701</f>
        <v>1</v>
      </c>
      <c r="Z9702" t="str">
        <v>=</v>
      </c>
      <c r="AA9702">
        <f>(N9702+P9702*R9702/1000)*U9702*W9702*Y9702</f>
        <v>0</v>
      </c>
    </row>
    <row r="9704">
      <c r="A9704" t="str">
        <f>A9684</f>
        <v>Lantai Attic</v>
      </c>
      <c r="B9704">
        <f>B9684</f>
        <v>59</v>
      </c>
      <c r="C9704" t="str">
        <v>Sengkang Tumpuan</v>
      </c>
      <c r="D9704">
        <f>VLOOKUP(D9684,'Detail Balok'!$C$10:$AU$110,31,FALSE)</f>
        <v>0</v>
      </c>
      <c r="E9704" t="str">
        <v>D</v>
      </c>
      <c r="F9704">
        <f>VLOOKUP(D9684,'Detail Balok'!$C$10:$AU$110,33,FALSE)</f>
        <v>10</v>
      </c>
      <c r="G9704" t="str">
        <v>-</v>
      </c>
      <c r="H9704">
        <f>VLOOKUP(D9684,'Detail Balok'!$C$10:$AU$110,35,FALSE)</f>
        <v>100</v>
      </c>
      <c r="J9704">
        <f>(IF(D9704=0,(2*(D9685+G9685))-(F$5*8),IF(D9704=3,(2*(D9685+G9685))-(F$5*8)+(G9685-2*F$5),IF(D9704=4,(2*(D9685+G9685))-(F$5*8)+2*(G9685-2*F$5)))))/1000</f>
        <v>1.08</v>
      </c>
      <c r="K9704" t="str">
        <v>+</v>
      </c>
      <c r="L9704">
        <f>IF(D9704=0,2*MAX(6*F9704,75),(D9704-1)*2*MAX(6*F9704,75))/1000</f>
        <v>0.15</v>
      </c>
      <c r="M9704" t="str">
        <v>=</v>
      </c>
      <c r="N9704">
        <f>J9704+L9704</f>
        <v>1.23</v>
      </c>
      <c r="T9704" t="str">
        <v>x</v>
      </c>
      <c r="U9704">
        <f>0.006165*F9704^2</f>
        <v>0.6165</v>
      </c>
      <c r="V9704" t="str">
        <v>x</v>
      </c>
      <c r="W9704">
        <f>IF(D9687&gt;4*G9685,ROUND(MAX(D9687/4,2*G9685)/H9704,0)+1,ROUND(D9687/H9704,0)+1)</f>
        <v>23</v>
      </c>
      <c r="X9704" t="str">
        <v>x</v>
      </c>
      <c r="Y9704">
        <f>D9690</f>
        <v>1</v>
      </c>
      <c r="Z9704" t="str">
        <v>=</v>
      </c>
      <c r="AA9704">
        <f>N9704*U9704*W9704*Y9704</f>
        <v>17.440785</v>
      </c>
    </row>
    <row r="9705">
      <c r="A9705" t="str">
        <f>A9684</f>
        <v>Lantai Attic</v>
      </c>
      <c r="B9705">
        <f>B9684</f>
        <v>59</v>
      </c>
      <c r="C9705" t="str">
        <v>Sengkang Lapangan</v>
      </c>
      <c r="D9705">
        <f>VLOOKUP(D9684,'Detail Balok'!$C$10:$AU$110,36,FALSE)</f>
        <v>0</v>
      </c>
      <c r="E9705" t="str">
        <v>D</v>
      </c>
      <c r="F9705">
        <f>VLOOKUP(D9684,'Detail Balok'!$C$10:$AU$110,38,FALSE)</f>
        <v>10</v>
      </c>
      <c r="G9705" t="str">
        <v>-</v>
      </c>
      <c r="H9705">
        <f>VLOOKUP(D9684,'Detail Balok'!$C$10:$AU$110,40,FALSE)</f>
        <v>200</v>
      </c>
      <c r="J9705">
        <f>(IF(D9705=0,(2*(D9685+G9685))-(F$5*8),IF(D9705=3,(2*(D9685+G9685))-(F$5*8)+(G9685-2*F$5),IF(D9705=4,(2*(D9685+G9685))-(F$5*8)+2*(G9685-2*F$5)))))/1000</f>
        <v>1.08</v>
      </c>
      <c r="K9705" t="str">
        <v>+</v>
      </c>
      <c r="L9705">
        <f>IF(D9705=0,2*MAX(6*F9705,75),(D9705-1)*2*MAX(6*F9705,75))/1000</f>
        <v>0.15</v>
      </c>
      <c r="M9705" t="str">
        <v>=</v>
      </c>
      <c r="N9705">
        <f>J9705+L9705</f>
        <v>1.23</v>
      </c>
      <c r="T9705" t="str">
        <v>x</v>
      </c>
      <c r="U9705">
        <f>0.006165*F9705^2</f>
        <v>0.6165</v>
      </c>
      <c r="V9705" t="str">
        <v>x</v>
      </c>
      <c r="W9705">
        <f>IF(D9687-MAX(D9687/4,2*G9685)*2&gt;0,ROUND((D9687-MAX(D9687/4,2*G9685)*2)/H9705,0),0)</f>
        <v>22</v>
      </c>
      <c r="X9705" t="str">
        <v>x</v>
      </c>
      <c r="Y9705">
        <f>D9690</f>
        <v>1</v>
      </c>
      <c r="Z9705" t="str">
        <v>=</v>
      </c>
      <c r="AA9705">
        <f>N9705*U9705*W9705*Y9705</f>
        <v>16.68249</v>
      </c>
    </row>
    <row r="9706">
      <c r="A9706" t="str">
        <f>A9684</f>
        <v>Lantai Attic</v>
      </c>
      <c r="B9706">
        <f>B9684</f>
        <v>59</v>
      </c>
      <c r="C9706" t="str">
        <v>Sengkang Tumpuan</v>
      </c>
      <c r="D9706">
        <f>VLOOKUP(D9684,'Detail Balok'!$C$10:$AU$110,41,FALSE)</f>
        <v>0</v>
      </c>
      <c r="E9706" t="str">
        <v>D</v>
      </c>
      <c r="F9706">
        <f>VLOOKUP(D9684,'Detail Balok'!$C$10:$AU$110,43,FALSE)</f>
        <v>10</v>
      </c>
      <c r="G9706" t="str">
        <v>-</v>
      </c>
      <c r="H9706">
        <f>VLOOKUP(D9684,'Detail Balok'!$C$10:$AU$110,45,FALSE)</f>
        <v>100</v>
      </c>
      <c r="J9706">
        <f>(IF(D9706=0,(2*(D9685+G9685))-(F$5*8),IF(D9706=3,(2*(D9685+G9685))-(F$5*8)+(G9685-2*F$5),IF(D9706=4,(2*(D9685+G9685))-(F$5*8)+2*(G9685-2*F$5)))))/1000</f>
        <v>1.08</v>
      </c>
      <c r="K9706" t="str">
        <v>+</v>
      </c>
      <c r="L9706">
        <f>IF(D9706=0,2*MAX(6*F9706,75),(D9706-1)*2*MAX(6*F9706,75))/1000</f>
        <v>0.15</v>
      </c>
      <c r="M9706" t="str">
        <v>=</v>
      </c>
      <c r="N9706">
        <f>J9706+L9706</f>
        <v>1.23</v>
      </c>
      <c r="T9706" t="str">
        <v>x</v>
      </c>
      <c r="U9706">
        <f>0.006165*F9706^2</f>
        <v>0.6165</v>
      </c>
      <c r="V9706" t="str">
        <v>x</v>
      </c>
      <c r="W9706">
        <f>IF(D9687&gt;4*G9685,ROUND(MAX(D9687/4,2*G9685)/H9706,0)+1,0)</f>
        <v>23</v>
      </c>
      <c r="X9706" t="str">
        <v>x</v>
      </c>
      <c r="Y9706">
        <f>D9690</f>
        <v>1</v>
      </c>
      <c r="Z9706" t="str">
        <v>=</v>
      </c>
      <c r="AA9706">
        <f>N9706*U9706*W9706*Y9706</f>
        <v>17.440785</v>
      </c>
    </row>
    <row r="9708">
      <c r="A9708" t="str">
        <f>A9684</f>
        <v>Lantai Attic</v>
      </c>
      <c r="B9708">
        <f>B9684</f>
        <v>59</v>
      </c>
      <c r="C9708" t="str">
        <v>Kait Horizontal Tump.</v>
      </c>
      <c r="D9708">
        <f>VLOOKUP(D9684,'Detail Balok'!$C$10:$BJ$110,46,FALSE)</f>
        <v>0</v>
      </c>
      <c r="E9708" t="str">
        <v>D</v>
      </c>
      <c r="F9708">
        <f>VLOOKUP(D9684,'Detail Balok'!$C$10:$BJ$110,48,FALSE)</f>
        <v>0</v>
      </c>
      <c r="G9708" t="str">
        <v>-</v>
      </c>
      <c r="H9708">
        <f>VLOOKUP(D9684,'Detail Balok'!$C$10:$BJ$110,50,FALSE)</f>
        <v>100</v>
      </c>
      <c r="J9708">
        <f>(D9685-2*F$5)/1000</f>
        <v>0.12</v>
      </c>
      <c r="K9708" t="str">
        <v>+</v>
      </c>
      <c r="L9708">
        <f>IF(D9708=0,2*MAX(6*F9708,75),(D9708-1)*2*MAX(6*F9708,75))/1000</f>
        <v>0.15</v>
      </c>
      <c r="M9708" t="str">
        <v>=</v>
      </c>
      <c r="N9708">
        <f>J9708+L9708</f>
        <v>0.27</v>
      </c>
      <c r="T9708" t="str">
        <v>x</v>
      </c>
      <c r="U9708">
        <f>0.006165*F9708^2</f>
        <v>0</v>
      </c>
      <c r="V9708" t="str">
        <v>x</v>
      </c>
      <c r="W9708">
        <f>W9704</f>
        <v>23</v>
      </c>
      <c r="X9708" t="str">
        <v>x</v>
      </c>
      <c r="Y9708">
        <f>D9694</f>
        <v>0</v>
      </c>
      <c r="Z9708" t="str">
        <v>=</v>
      </c>
      <c r="AA9708">
        <f>N9708*U9708*W9708*Y9708</f>
        <v>0</v>
      </c>
    </row>
    <row r="9709">
      <c r="A9709" t="str">
        <f>A9684</f>
        <v>Lantai Attic</v>
      </c>
      <c r="B9709">
        <f>B9684</f>
        <v>59</v>
      </c>
      <c r="C9709" t="str">
        <v>Kait Horizontal Lap.</v>
      </c>
      <c r="D9709">
        <f>VLOOKUP(D9684,'Detail Balok'!$C$10:$BJ$110,51,FALSE)</f>
        <v>0</v>
      </c>
      <c r="E9709" t="str">
        <v>D</v>
      </c>
      <c r="F9709">
        <f>VLOOKUP(D9684,'Detail Balok'!$C$10:$BJ$110,53,FALSE)</f>
        <v>0</v>
      </c>
      <c r="G9709" t="str">
        <v>-</v>
      </c>
      <c r="H9709">
        <f>VLOOKUP(D9684,'Detail Balok'!$C$10:$BJ$110,55,FALSE)</f>
        <v>100</v>
      </c>
      <c r="J9709">
        <f>(D9685-2*F$5)/1000</f>
        <v>0.12</v>
      </c>
      <c r="K9709" t="str">
        <v>+</v>
      </c>
      <c r="L9709">
        <f>IF(D9709=0,2*MAX(6*F9709,75),(D9709-1)*2*MAX(6*F9709,75))/1000</f>
        <v>0.15</v>
      </c>
      <c r="M9709" t="str">
        <v>=</v>
      </c>
      <c r="N9709">
        <f>J9709+L9709</f>
        <v>0.27</v>
      </c>
      <c r="T9709" t="str">
        <v>x</v>
      </c>
      <c r="U9709">
        <f>0.006165*F9709^2</f>
        <v>0</v>
      </c>
      <c r="V9709" t="str">
        <v>x</v>
      </c>
      <c r="W9709">
        <f>W9705</f>
        <v>22</v>
      </c>
      <c r="X9709" t="str">
        <v>x</v>
      </c>
      <c r="Y9709">
        <f>D9694</f>
        <v>0</v>
      </c>
      <c r="Z9709" t="str">
        <v>=</v>
      </c>
      <c r="AA9709">
        <f>N9709*U9709*W9709*Y9709</f>
        <v>0</v>
      </c>
    </row>
    <row r="9710">
      <c r="A9710" t="str">
        <f>A9684</f>
        <v>Lantai Attic</v>
      </c>
      <c r="B9710">
        <f>B9684</f>
        <v>59</v>
      </c>
      <c r="C9710" t="str">
        <v>Kait Horizontal Tump.</v>
      </c>
      <c r="D9710">
        <f>VLOOKUP(D9684,'Detail Balok'!$C$10:$BJ$110,56,FALSE)</f>
        <v>0</v>
      </c>
      <c r="E9710" t="str">
        <v>D</v>
      </c>
      <c r="F9710">
        <f>VLOOKUP(D9684,'Detail Balok'!$C$10:$BJ$110,58,FALSE)</f>
        <v>0</v>
      </c>
      <c r="G9710" t="str">
        <v>-</v>
      </c>
      <c r="H9710">
        <f>VLOOKUP(D9684,'Detail Balok'!$C$10:$BJ$110,60,FALSE)</f>
        <v>100</v>
      </c>
      <c r="J9710">
        <f>(D9685-2*F$5)/1000</f>
        <v>0.12</v>
      </c>
      <c r="K9710" t="str">
        <v>+</v>
      </c>
      <c r="L9710">
        <f>IF(D9710=0,2*MAX(6*F9710,75),(D9710-1)*2*MAX(6*F9710,75))/1000</f>
        <v>0.15</v>
      </c>
      <c r="M9710" t="str">
        <v>=</v>
      </c>
      <c r="N9710">
        <f>J9710+L9710</f>
        <v>0.27</v>
      </c>
      <c r="T9710" t="str">
        <v>x</v>
      </c>
      <c r="U9710">
        <f>0.006165*F9710^2</f>
        <v>0</v>
      </c>
      <c r="V9710" t="str">
        <v>x</v>
      </c>
      <c r="W9710">
        <f>W9706</f>
        <v>23</v>
      </c>
      <c r="X9710" t="str">
        <v>x</v>
      </c>
      <c r="Y9710">
        <f>D9694</f>
        <v>0</v>
      </c>
      <c r="Z9710" t="str">
        <v>=</v>
      </c>
      <c r="AA9710">
        <f>N9710*U9710*W9710*Y9710</f>
        <v>0</v>
      </c>
    </row>
    <row r="9714">
      <c r="A9714" t="str">
        <f>A9684</f>
        <v>Lantai Attic</v>
      </c>
      <c r="B9714">
        <f>B9684+1</f>
        <v>60</v>
      </c>
      <c r="C9714" t="str">
        <f>CONCATENATE(A9714," no. ",B9714)</f>
        <v>Lantai Attic no. 60</v>
      </c>
      <c r="D9714" t="str">
        <f>VLOOKUP(C9714,'Data Panjang Balok'!$C$9:$N$424,2,FALSE)</f>
        <v>B24-6</v>
      </c>
    </row>
    <row r="9715">
      <c r="C9715" t="str">
        <v>Dimensi</v>
      </c>
      <c r="D9715">
        <f>VLOOKUP(D9714,'Detail Balok'!$C$10:$AU$110,2,FALSE)</f>
        <v>200</v>
      </c>
      <c r="F9715" t="str">
        <v>x</v>
      </c>
      <c r="G9715">
        <f>VLOOKUP(D9714,'Detail Balok'!$C$10:$AU$110,3,FALSE)</f>
        <v>400</v>
      </c>
    </row>
    <row r="9716">
      <c r="C9716" t="str">
        <v>Panjang as ke as</v>
      </c>
      <c r="D9716">
        <f>VLOOKUP(C9714,'Data Panjang Balok'!$C$9:$N$424,4,FALSE)</f>
        <v>2000</v>
      </c>
    </row>
    <row r="9717">
      <c r="C9717" t="str">
        <v>Panjang netto</v>
      </c>
      <c r="D9717">
        <f>VLOOKUP(C9714,'Data Panjang Balok'!$C$9:$N$424,7,FALSE)</f>
        <v>2000</v>
      </c>
    </row>
    <row r="9718">
      <c r="C9718" t="str">
        <v>Kolom / balok kiri</v>
      </c>
      <c r="D9718">
        <f>VLOOKUP(C9714,'Data Panjang Balok'!$C$9:$N$424,9,FALSE)</f>
        <v>0</v>
      </c>
    </row>
    <row r="9719">
      <c r="C9719" t="str">
        <v>Kolom / balok kanan</v>
      </c>
      <c r="D9719">
        <f>VLOOKUP(C9714,'Data Panjang Balok'!$C$9:$N$424,10,FALSE)</f>
        <v>0</v>
      </c>
    </row>
    <row r="9720">
      <c r="C9720" t="str">
        <v>Jumlah</v>
      </c>
      <c r="D9720">
        <f>VLOOKUP(C9714,'Data Panjang Balok'!$C$9:$N$424,3,FALSE)</f>
        <v>1</v>
      </c>
    </row>
    <row r="9721">
      <c r="A9721" t="str">
        <f>A9714</f>
        <v>Lantai Attic</v>
      </c>
      <c r="B9721">
        <f>B9714</f>
        <v>60</v>
      </c>
      <c r="C9721" t="str">
        <v>Tul Atas Tumpuan</v>
      </c>
      <c r="D9721">
        <f>VLOOKUP(D9714,'Detail Balok'!$C$10:$AU$110,4,FALSE)</f>
        <v>3</v>
      </c>
      <c r="E9721" t="str">
        <v>D</v>
      </c>
      <c r="F9721">
        <f>VLOOKUP(D9714,'Detail Balok'!$C$10:$AU$110,6,FALSE)</f>
        <v>19</v>
      </c>
      <c r="I9721" t="str">
        <v>(</v>
      </c>
      <c r="J9721">
        <f>+D9716/4/1000</f>
        <v>0.5</v>
      </c>
      <c r="K9721" t="str">
        <v>+</v>
      </c>
      <c r="L9721">
        <f>MAX(VLOOKUP(F9721,N$6:P$15,3,FALSE)/1000,2/3*D9718/1000)+F$16*F9721/1000</f>
        <v>0.228</v>
      </c>
      <c r="M9721" t="str">
        <v>=</v>
      </c>
      <c r="N9721">
        <f>J9721+L9721</f>
        <v>0.728</v>
      </c>
      <c r="O9721" t="str">
        <v>+</v>
      </c>
      <c r="P9721">
        <f>D9721-D9722</f>
        <v>0</v>
      </c>
      <c r="Q9721" t="str">
        <v>x</v>
      </c>
      <c r="R9721">
        <f>IF(P9721&gt;0,$F$18*F9721/1000,0)</f>
        <v>0</v>
      </c>
      <c r="S9721" t="str">
        <v>)</v>
      </c>
      <c r="T9721" t="str">
        <v>x</v>
      </c>
      <c r="U9721">
        <f>0.006165*F9721^2</f>
        <v>2.225565</v>
      </c>
      <c r="X9721" t="str">
        <v>x</v>
      </c>
      <c r="Y9721">
        <f>D9720</f>
        <v>1</v>
      </c>
      <c r="Z9721" t="str">
        <v>=</v>
      </c>
      <c r="AA9721">
        <f>IF(AA9724=0,(D9721*N9721+P9721*R9721)*U9721*Y9721,0)</f>
        <v>0</v>
      </c>
    </row>
    <row r="9722">
      <c r="A9722" t="str">
        <f>A9714</f>
        <v>Lantai Attic</v>
      </c>
      <c r="B9722">
        <f>B9714</f>
        <v>60</v>
      </c>
      <c r="C9722" t="str">
        <v>Tul Atas Lapangan</v>
      </c>
      <c r="D9722">
        <f>VLOOKUP(D9714,'Detail Balok'!$C$10:$AU$110,7,FALSE)</f>
        <v>3</v>
      </c>
      <c r="E9722" t="str">
        <v>D</v>
      </c>
      <c r="F9722">
        <f>VLOOKUP(D9714,'Detail Balok'!$C$10:$AU$110,9,FALSE)</f>
        <v>19</v>
      </c>
      <c r="I9722" t="str">
        <v>(</v>
      </c>
      <c r="J9722">
        <f>+D9716/2/1000</f>
        <v>1</v>
      </c>
      <c r="K9722" t="str">
        <v>+</v>
      </c>
      <c r="M9722" t="str">
        <v>=</v>
      </c>
      <c r="N9722">
        <f>J9722+L9722</f>
        <v>1</v>
      </c>
      <c r="O9722" t="str">
        <v>+</v>
      </c>
      <c r="P9722">
        <f>MAX(D9722-D9721,D9722-D9723)</f>
        <v>0</v>
      </c>
      <c r="Q9722" t="str">
        <v>x</v>
      </c>
      <c r="R9722">
        <f>IF(P9722&gt;0,2*(1-2*$F$19-1/2)*D9717/1000,0)</f>
        <v>0</v>
      </c>
      <c r="S9722" t="str">
        <v>)</v>
      </c>
      <c r="T9722" t="str">
        <v>x</v>
      </c>
      <c r="U9722">
        <f>0.006165*F9722^2</f>
        <v>2.225565</v>
      </c>
      <c r="X9722" t="str">
        <v>x</v>
      </c>
      <c r="Y9722">
        <f>D9720</f>
        <v>1</v>
      </c>
      <c r="Z9722" t="str">
        <v>=</v>
      </c>
      <c r="AA9722">
        <f>IF(AA9724=0,(D9722*N9722+P9722*R9722)*U9722*Y9722,0)</f>
        <v>0</v>
      </c>
    </row>
    <row r="9723">
      <c r="A9723" t="str">
        <f>A9714</f>
        <v>Lantai Attic</v>
      </c>
      <c r="B9723">
        <f>B9714</f>
        <v>60</v>
      </c>
      <c r="C9723" t="str">
        <v>Tul Atas Tumpuan</v>
      </c>
      <c r="D9723">
        <f>VLOOKUP(D9714,'Detail Balok'!$C$10:$AU$110,10,FALSE)</f>
        <v>3</v>
      </c>
      <c r="E9723" t="str">
        <v>D</v>
      </c>
      <c r="F9723">
        <f>VLOOKUP(D9714,'Detail Balok'!$C$10:$AU$110,12,FALSE)</f>
        <v>19</v>
      </c>
      <c r="I9723" t="str">
        <v>(</v>
      </c>
      <c r="J9723">
        <f>+D9716/4/1000</f>
        <v>0.5</v>
      </c>
      <c r="K9723" t="str">
        <v>+</v>
      </c>
      <c r="L9723">
        <f>MAX(VLOOKUP(F9723,N$6:P$15,3,FALSE)/1000,2/3*D9718/1000)+F$16*F9723/1000</f>
        <v>0.228</v>
      </c>
      <c r="M9723" t="str">
        <v>=</v>
      </c>
      <c r="N9723">
        <f>J9723+L9723</f>
        <v>0.728</v>
      </c>
      <c r="O9723" t="str">
        <v>+</v>
      </c>
      <c r="P9723">
        <f>D9723-D9722</f>
        <v>0</v>
      </c>
      <c r="Q9723" t="str">
        <v>x</v>
      </c>
      <c r="R9723">
        <f>IF(P9723&gt;0,$F$18*F9723/1000,0)</f>
        <v>0</v>
      </c>
      <c r="S9723" t="str">
        <v>)</v>
      </c>
      <c r="T9723" t="str">
        <v>x</v>
      </c>
      <c r="U9723">
        <f>0.006165*F9723^2</f>
        <v>2.225565</v>
      </c>
      <c r="X9723" t="str">
        <v>x</v>
      </c>
      <c r="Y9723">
        <f>D9720</f>
        <v>1</v>
      </c>
      <c r="Z9723" t="str">
        <v>=</v>
      </c>
      <c r="AA9723">
        <f>IF(AA9724=0,(D9723*N9723+P9723*R9723)*U9723*Y9723,0)</f>
        <v>0</v>
      </c>
    </row>
    <row r="9724">
      <c r="A9724" t="str">
        <f>A9714</f>
        <v>Lantai Attic</v>
      </c>
      <c r="B9724">
        <f>B9714</f>
        <v>60</v>
      </c>
      <c r="D9724">
        <f>IF(AND(D9721=D9722,D9722=D9723,D9721=D9723),D9721,0)</f>
        <v>3</v>
      </c>
      <c r="E9724" t="str">
        <v>D</v>
      </c>
      <c r="F9724">
        <f>IF(AND(F9721=F9722,F9721=F9723,F9722=F9723),F9721,0)</f>
        <v>19</v>
      </c>
      <c r="L9724" t="str">
        <v>Total panjang per balok</v>
      </c>
      <c r="M9724" t="str">
        <v>=</v>
      </c>
      <c r="N9724">
        <f>IF(AND(D9721=D9722,D9721=D9723,D9722=D9723,F9721=F9722,F9721=F9723,F9722=F9723),SUM(N9721:N9723),0)</f>
        <v>2.456</v>
      </c>
      <c r="O9724" t="str">
        <v>+</v>
      </c>
      <c r="P9724">
        <f>IF(N9724&gt;12,ROUNDDOWN(N9724/12,0),0)</f>
        <v>0</v>
      </c>
      <c r="Q9724" t="str">
        <v>x</v>
      </c>
      <c r="R9724">
        <f>IF(P9724&gt;0,MAX(VLOOKUP(F9724,$D$6:$G$15,3,FALSE),600),0)/1000</f>
        <v>0</v>
      </c>
      <c r="T9724" t="str">
        <v>x</v>
      </c>
      <c r="U9724">
        <f>U9723</f>
        <v>2.225565</v>
      </c>
      <c r="V9724" t="str">
        <v>x</v>
      </c>
      <c r="W9724">
        <f>D9724</f>
        <v>3</v>
      </c>
      <c r="X9724" t="str">
        <v>x</v>
      </c>
      <c r="Y9724">
        <f>Y9723</f>
        <v>1</v>
      </c>
      <c r="Z9724" t="str">
        <v>=</v>
      </c>
      <c r="AA9724">
        <f>(N9724+P9724*R9724/1000)*U9724*W9724*Y9724</f>
        <v>16.397962919999998</v>
      </c>
    </row>
    <row r="9726">
      <c r="A9726" t="str">
        <f>A9714</f>
        <v>Lantai Attic</v>
      </c>
      <c r="B9726">
        <f>B9714</f>
        <v>60</v>
      </c>
      <c r="C9726" t="str">
        <v>Tul Peminggang</v>
      </c>
      <c r="D9726">
        <f>VLOOKUP(D9714,'Detail Balok'!$C$10:$AU$110,13,FALSE)</f>
        <v>0</v>
      </c>
      <c r="E9726" t="str">
        <v>D</v>
      </c>
      <c r="F9726">
        <f>VLOOKUP(D9714,'Detail Balok'!$C$10:$AU$110,15,FALSE)</f>
        <v>6</v>
      </c>
      <c r="J9726">
        <f>+D9716/1000</f>
        <v>2</v>
      </c>
      <c r="K9726" t="str">
        <v>+</v>
      </c>
      <c r="L9726">
        <f>2*$F$16*F9726/1000</f>
        <v>0.144</v>
      </c>
      <c r="M9726" t="str">
        <v>=</v>
      </c>
      <c r="N9726">
        <f>J9726+L9726</f>
        <v>2.144</v>
      </c>
      <c r="O9726" t="str">
        <v>+</v>
      </c>
      <c r="P9726">
        <f>IF(N9726&gt;12,ROUNDDOWN(N9726/12,0),0)</f>
        <v>0</v>
      </c>
      <c r="Q9726" t="str">
        <v>x</v>
      </c>
      <c r="R9726">
        <f>IF(P9726&gt;0,MAX(VLOOKUP(F9726,$D$6:$G$15,3,FALSE),600),0)/1000</f>
        <v>0</v>
      </c>
      <c r="T9726" t="str">
        <v>x</v>
      </c>
      <c r="U9726">
        <f>0.006165*F9726^2</f>
        <v>0.22194000000000003</v>
      </c>
      <c r="V9726" t="str">
        <v>x</v>
      </c>
      <c r="W9726">
        <f>+D9726</f>
        <v>0</v>
      </c>
      <c r="X9726" t="str">
        <v>x</v>
      </c>
      <c r="Y9726">
        <f>D9720</f>
        <v>1</v>
      </c>
      <c r="Z9726" t="str">
        <v>=</v>
      </c>
      <c r="AA9726">
        <f>(N9726+P9726*R9726/1000)*U9726*W9726*Y9726</f>
        <v>0</v>
      </c>
    </row>
    <row r="9729">
      <c r="A9729" t="str">
        <f>A9714</f>
        <v>Lantai Attic</v>
      </c>
      <c r="B9729">
        <f>B9714</f>
        <v>60</v>
      </c>
      <c r="C9729" t="str">
        <v>Tul Bawah Tumpuan</v>
      </c>
      <c r="D9729">
        <f>VLOOKUP(D9714,'Detail Balok'!$C$10:$AU$110,22,FALSE)</f>
        <v>2</v>
      </c>
      <c r="E9729" t="str">
        <v>D</v>
      </c>
      <c r="F9729">
        <f>VLOOKUP(D9714,'Detail Balok'!$C$10:$AU$110,24,FALSE)</f>
        <v>19</v>
      </c>
      <c r="I9729" t="str">
        <v>(</v>
      </c>
      <c r="J9729">
        <f>+J9721</f>
        <v>0.5</v>
      </c>
      <c r="K9729" t="str">
        <v>+</v>
      </c>
      <c r="L9729">
        <f>MAX(VLOOKUP(F9729,N$6:P$15,3,FALSE)/1000,2/3*D9719/1000)+F$16*F9729/1000</f>
        <v>0.228</v>
      </c>
      <c r="M9729" t="str">
        <v>=</v>
      </c>
      <c r="N9729">
        <f>J9729+L9729</f>
        <v>0.728</v>
      </c>
      <c r="O9729" t="str">
        <v>+</v>
      </c>
      <c r="P9729">
        <f>D9729-D9730</f>
        <v>0</v>
      </c>
      <c r="Q9729" t="str">
        <v>x</v>
      </c>
      <c r="R9729">
        <f>IF(P9729&gt;0,$F$18*F9729/1000,0)</f>
        <v>0</v>
      </c>
      <c r="S9729" t="str">
        <v>)</v>
      </c>
      <c r="T9729" t="str">
        <v>x</v>
      </c>
      <c r="U9729">
        <f>0.006165*F9729^2</f>
        <v>2.225565</v>
      </c>
      <c r="X9729" t="str">
        <v>x</v>
      </c>
      <c r="Y9729">
        <f>D9720</f>
        <v>1</v>
      </c>
      <c r="Z9729" t="str">
        <v>=</v>
      </c>
      <c r="AA9729">
        <f>IF(AA9732=0,(D9729*N9729+P9729*R9729)*U9729*Y9729,0)</f>
        <v>0</v>
      </c>
    </row>
    <row r="9730">
      <c r="A9730" t="str">
        <f>A9714</f>
        <v>Lantai Attic</v>
      </c>
      <c r="B9730">
        <f>B9714</f>
        <v>60</v>
      </c>
      <c r="C9730" t="str">
        <v>Tul Bawah Lapangan</v>
      </c>
      <c r="D9730">
        <f>VLOOKUP(D9714,'Detail Balok'!$C$10:$AU$110,25,FALSE)</f>
        <v>2</v>
      </c>
      <c r="E9730" t="str">
        <v>D</v>
      </c>
      <c r="F9730">
        <f>VLOOKUP(D9714,'Detail Balok'!$C$10:$AU$110,27,FALSE)</f>
        <v>19</v>
      </c>
      <c r="I9730" t="str">
        <v>(</v>
      </c>
      <c r="J9730">
        <f>+J9722</f>
        <v>1</v>
      </c>
      <c r="K9730" t="str">
        <v>+</v>
      </c>
      <c r="M9730" t="str">
        <v>=</v>
      </c>
      <c r="N9730">
        <f>J9730+L9730</f>
        <v>1</v>
      </c>
      <c r="O9730" t="str">
        <v>+</v>
      </c>
      <c r="P9730">
        <f>MAX(D9730-D9729,D9730-D9731)</f>
        <v>0</v>
      </c>
      <c r="Q9730" t="str">
        <v>x</v>
      </c>
      <c r="R9730">
        <f>IF(P9730&gt;0,2*(1-2*$F$19-1/2)*D9717/1000,0)</f>
        <v>0</v>
      </c>
      <c r="S9730" t="str">
        <v>)</v>
      </c>
      <c r="T9730" t="str">
        <v>x</v>
      </c>
      <c r="U9730">
        <f>0.006165*F9730^2</f>
        <v>2.225565</v>
      </c>
      <c r="X9730" t="str">
        <v>x</v>
      </c>
      <c r="Y9730">
        <f>D9720</f>
        <v>1</v>
      </c>
      <c r="Z9730" t="str">
        <v>=</v>
      </c>
      <c r="AA9730">
        <f>IF(AA9732=0,(D9730*N9730+P9730*R9730)*U9730*Y9730,0)</f>
        <v>0</v>
      </c>
    </row>
    <row r="9731">
      <c r="A9731" t="str">
        <f>A9714</f>
        <v>Lantai Attic</v>
      </c>
      <c r="B9731">
        <f>B9714</f>
        <v>60</v>
      </c>
      <c r="C9731" t="str">
        <v>Tul Bawah Tumpuan</v>
      </c>
      <c r="D9731">
        <f>VLOOKUP(D9714,'Detail Balok'!$C$10:$AU$110,28,FALSE)</f>
        <v>2</v>
      </c>
      <c r="E9731" t="str">
        <v>D</v>
      </c>
      <c r="F9731">
        <f>VLOOKUP(D9714,'Detail Balok'!$C$10:$AU$110,30,FALSE)</f>
        <v>19</v>
      </c>
      <c r="I9731" t="str">
        <v>(</v>
      </c>
      <c r="J9731">
        <f>+J9723</f>
        <v>0.5</v>
      </c>
      <c r="K9731" t="str">
        <v>+</v>
      </c>
      <c r="L9731">
        <f>MAX(VLOOKUP(F9731,N$6:P$15,3,FALSE)/1000,2/3*D9719/1000)+F$16*F9731/1000</f>
        <v>0.228</v>
      </c>
      <c r="M9731" t="str">
        <v>=</v>
      </c>
      <c r="N9731">
        <f>J9731+L9731</f>
        <v>0.728</v>
      </c>
      <c r="O9731" t="str">
        <v>+</v>
      </c>
      <c r="P9731">
        <f>D9731-D9730</f>
        <v>0</v>
      </c>
      <c r="Q9731" t="str">
        <v>x</v>
      </c>
      <c r="R9731">
        <f>IF(P9731&gt;0,$F$18*F9731/1000,0)</f>
        <v>0</v>
      </c>
      <c r="S9731" t="str">
        <v>)</v>
      </c>
      <c r="T9731" t="str">
        <v>x</v>
      </c>
      <c r="U9731">
        <f>0.006165*F9731^2</f>
        <v>2.225565</v>
      </c>
      <c r="X9731" t="str">
        <v>x</v>
      </c>
      <c r="Y9731">
        <f>D9720</f>
        <v>1</v>
      </c>
      <c r="Z9731" t="str">
        <v>=</v>
      </c>
      <c r="AA9731">
        <f>IF(AA9732=0,(D9731*N9731+P9731*R9731)*U9731*Y9731,0)</f>
        <v>0</v>
      </c>
    </row>
    <row r="9732">
      <c r="A9732" t="str">
        <f>A9714</f>
        <v>Lantai Attic</v>
      </c>
      <c r="B9732">
        <f>B9714</f>
        <v>60</v>
      </c>
      <c r="D9732">
        <f>IF(AND(D9729=D9730,D9730=D9731,D9729=D9731),D9729,0)</f>
        <v>2</v>
      </c>
      <c r="E9732" t="str">
        <v>D</v>
      </c>
      <c r="F9732">
        <f>IF(AND(F9729=F9730,F9729=F9731,F9730=F9731),F9729,0)</f>
        <v>19</v>
      </c>
      <c r="L9732" t="str">
        <v>Total panjang per balok</v>
      </c>
      <c r="M9732" t="str">
        <v>=</v>
      </c>
      <c r="N9732">
        <f>IF(AND(D9729=D9730,D9729=D9731,D9730=D9731,F9729=F9730,F9729=F9731,F9730=F9731),SUM(N9729:N9731),0)</f>
        <v>2.456</v>
      </c>
      <c r="O9732" t="str">
        <v>+</v>
      </c>
      <c r="P9732">
        <f>IF(N9732&gt;12,ROUNDDOWN(N9732/12,0),0)</f>
        <v>0</v>
      </c>
      <c r="Q9732" t="str">
        <v>x</v>
      </c>
      <c r="R9732">
        <f>IF(P9732&gt;0,MAX(VLOOKUP(F9732,$D$6:$G$15,3,FALSE),600),0)/1000</f>
        <v>0</v>
      </c>
      <c r="T9732" t="str">
        <v>x</v>
      </c>
      <c r="U9732">
        <f>U9731</f>
        <v>2.225565</v>
      </c>
      <c r="V9732" t="str">
        <v>x</v>
      </c>
      <c r="W9732">
        <f>D9732</f>
        <v>2</v>
      </c>
      <c r="X9732" t="str">
        <v>x</v>
      </c>
      <c r="Y9732">
        <f>Y9731</f>
        <v>1</v>
      </c>
      <c r="Z9732" t="str">
        <v>=</v>
      </c>
      <c r="AA9732">
        <f>(N9732+P9732*R9732/1000)*U9732*W9732*Y9732</f>
        <v>10.93197528</v>
      </c>
    </row>
    <row r="9734">
      <c r="A9734" t="str">
        <f>A9714</f>
        <v>Lantai Attic</v>
      </c>
      <c r="B9734">
        <f>B9714</f>
        <v>60</v>
      </c>
      <c r="C9734" t="str">
        <v>Sengkang Tumpuan</v>
      </c>
      <c r="D9734">
        <f>VLOOKUP(D9714,'Detail Balok'!$C$10:$AU$110,31,FALSE)</f>
        <v>0</v>
      </c>
      <c r="E9734" t="str">
        <v>D</v>
      </c>
      <c r="F9734">
        <f>VLOOKUP(D9714,'Detail Balok'!$C$10:$AU$110,33,FALSE)</f>
        <v>10</v>
      </c>
      <c r="G9734" t="str">
        <v>-</v>
      </c>
      <c r="H9734">
        <f>VLOOKUP(D9714,'Detail Balok'!$C$10:$AU$110,35,FALSE)</f>
        <v>100</v>
      </c>
      <c r="J9734">
        <f>(IF(D9734=0,(2*(D9715+G9715))-(F$5*8),IF(D9734=3,(2*(D9715+G9715))-(F$5*8)+(G9715-2*F$5),IF(D9734=4,(2*(D9715+G9715))-(F$5*8)+2*(G9715-2*F$5)))))/1000</f>
        <v>0.88</v>
      </c>
      <c r="K9734" t="str">
        <v>+</v>
      </c>
      <c r="L9734">
        <f>IF(D9734=0,2*MAX(6*F9734,75),(D9734-1)*2*MAX(6*F9734,75))/1000</f>
        <v>0.15</v>
      </c>
      <c r="M9734" t="str">
        <v>=</v>
      </c>
      <c r="N9734">
        <f>J9734+L9734</f>
        <v>1.03</v>
      </c>
      <c r="T9734" t="str">
        <v>x</v>
      </c>
      <c r="U9734">
        <f>0.006165*F9734^2</f>
        <v>0.6165</v>
      </c>
      <c r="V9734" t="str">
        <v>x</v>
      </c>
      <c r="W9734">
        <f>IF(D9717&gt;4*G9715,ROUND(MAX(D9717/4,2*G9715)/H9734,0)+1,ROUND(D9717/H9734,0)+1)</f>
        <v>9</v>
      </c>
      <c r="X9734" t="str">
        <v>x</v>
      </c>
      <c r="Y9734">
        <f>D9720</f>
        <v>1</v>
      </c>
      <c r="Z9734" t="str">
        <v>=</v>
      </c>
      <c r="AA9734">
        <f>N9734*U9734*W9734*Y9734</f>
        <v>5.714955000000001</v>
      </c>
    </row>
    <row r="9735">
      <c r="A9735" t="str">
        <f>A9714</f>
        <v>Lantai Attic</v>
      </c>
      <c r="B9735">
        <f>B9714</f>
        <v>60</v>
      </c>
      <c r="C9735" t="str">
        <v>Sengkang Lapangan</v>
      </c>
      <c r="D9735">
        <f>VLOOKUP(D9714,'Detail Balok'!$C$10:$AU$110,36,FALSE)</f>
        <v>0</v>
      </c>
      <c r="E9735" t="str">
        <v>D</v>
      </c>
      <c r="F9735">
        <f>VLOOKUP(D9714,'Detail Balok'!$C$10:$AU$110,38,FALSE)</f>
        <v>10</v>
      </c>
      <c r="G9735" t="str">
        <v>-</v>
      </c>
      <c r="H9735">
        <f>VLOOKUP(D9714,'Detail Balok'!$C$10:$AU$110,40,FALSE)</f>
        <v>200</v>
      </c>
      <c r="J9735">
        <f>(IF(D9735=0,(2*(D9715+G9715))-(F$5*8),IF(D9735=3,(2*(D9715+G9715))-(F$5*8)+(G9715-2*F$5),IF(D9735=4,(2*(D9715+G9715))-(F$5*8)+2*(G9715-2*F$5)))))/1000</f>
        <v>0.88</v>
      </c>
      <c r="K9735" t="str">
        <v>+</v>
      </c>
      <c r="L9735">
        <f>IF(D9735=0,2*MAX(6*F9735,75),(D9735-1)*2*MAX(6*F9735,75))/1000</f>
        <v>0.15</v>
      </c>
      <c r="M9735" t="str">
        <v>=</v>
      </c>
      <c r="N9735">
        <f>J9735+L9735</f>
        <v>1.03</v>
      </c>
      <c r="T9735" t="str">
        <v>x</v>
      </c>
      <c r="U9735">
        <f>0.006165*F9735^2</f>
        <v>0.6165</v>
      </c>
      <c r="V9735" t="str">
        <v>x</v>
      </c>
      <c r="W9735">
        <f>IF(D9717-MAX(D9717/4,2*G9715)*2&gt;0,ROUND((D9717-MAX(D9717/4,2*G9715)*2)/H9735,0),0)</f>
        <v>2</v>
      </c>
      <c r="X9735" t="str">
        <v>x</v>
      </c>
      <c r="Y9735">
        <f>D9720</f>
        <v>1</v>
      </c>
      <c r="Z9735" t="str">
        <v>=</v>
      </c>
      <c r="AA9735">
        <f>N9735*U9735*W9735*Y9735</f>
        <v>1.2699900000000002</v>
      </c>
    </row>
    <row r="9736">
      <c r="A9736" t="str">
        <f>A9714</f>
        <v>Lantai Attic</v>
      </c>
      <c r="B9736">
        <f>B9714</f>
        <v>60</v>
      </c>
      <c r="C9736" t="str">
        <v>Sengkang Tumpuan</v>
      </c>
      <c r="D9736">
        <f>VLOOKUP(D9714,'Detail Balok'!$C$10:$AU$110,41,FALSE)</f>
        <v>0</v>
      </c>
      <c r="E9736" t="str">
        <v>D</v>
      </c>
      <c r="F9736">
        <f>VLOOKUP(D9714,'Detail Balok'!$C$10:$AU$110,43,FALSE)</f>
        <v>10</v>
      </c>
      <c r="G9736" t="str">
        <v>-</v>
      </c>
      <c r="H9736">
        <f>VLOOKUP(D9714,'Detail Balok'!$C$10:$AU$110,45,FALSE)</f>
        <v>100</v>
      </c>
      <c r="J9736">
        <f>(IF(D9736=0,(2*(D9715+G9715))-(F$5*8),IF(D9736=3,(2*(D9715+G9715))-(F$5*8)+(G9715-2*F$5),IF(D9736=4,(2*(D9715+G9715))-(F$5*8)+2*(G9715-2*F$5)))))/1000</f>
        <v>0.88</v>
      </c>
      <c r="K9736" t="str">
        <v>+</v>
      </c>
      <c r="L9736">
        <f>IF(D9736=0,2*MAX(6*F9736,75),(D9736-1)*2*MAX(6*F9736,75))/1000</f>
        <v>0.15</v>
      </c>
      <c r="M9736" t="str">
        <v>=</v>
      </c>
      <c r="N9736">
        <f>J9736+L9736</f>
        <v>1.03</v>
      </c>
      <c r="T9736" t="str">
        <v>x</v>
      </c>
      <c r="U9736">
        <f>0.006165*F9736^2</f>
        <v>0.6165</v>
      </c>
      <c r="V9736" t="str">
        <v>x</v>
      </c>
      <c r="W9736">
        <f>IF(D9717&gt;4*G9715,ROUND(MAX(D9717/4,2*G9715)/H9736,0)+1,0)</f>
        <v>9</v>
      </c>
      <c r="X9736" t="str">
        <v>x</v>
      </c>
      <c r="Y9736">
        <f>D9720</f>
        <v>1</v>
      </c>
      <c r="Z9736" t="str">
        <v>=</v>
      </c>
      <c r="AA9736">
        <f>N9736*U9736*W9736*Y9736</f>
        <v>5.714955000000001</v>
      </c>
    </row>
    <row r="9738">
      <c r="A9738" t="str">
        <f>A9714</f>
        <v>Lantai Attic</v>
      </c>
      <c r="B9738">
        <f>B9714</f>
        <v>60</v>
      </c>
      <c r="C9738" t="str">
        <v>Kait Horizontal Tump.</v>
      </c>
      <c r="D9738">
        <f>VLOOKUP(D9714,'Detail Balok'!$C$10:$BJ$110,46,FALSE)</f>
        <v>0</v>
      </c>
      <c r="E9738" t="str">
        <v>D</v>
      </c>
      <c r="F9738">
        <f>VLOOKUP(D9714,'Detail Balok'!$C$10:$BJ$110,48,FALSE)</f>
        <v>0</v>
      </c>
      <c r="G9738" t="str">
        <v>-</v>
      </c>
      <c r="H9738">
        <f>VLOOKUP(D9714,'Detail Balok'!$C$10:$BJ$110,50,FALSE)</f>
        <v>100</v>
      </c>
      <c r="J9738">
        <f>(D9715-2*F$5)/1000</f>
        <v>0.12</v>
      </c>
      <c r="K9738" t="str">
        <v>+</v>
      </c>
      <c r="L9738">
        <f>IF(D9738=0,2*MAX(6*F9738,75),(D9738-1)*2*MAX(6*F9738,75))/1000</f>
        <v>0.15</v>
      </c>
      <c r="M9738" t="str">
        <v>=</v>
      </c>
      <c r="N9738">
        <f>J9738+L9738</f>
        <v>0.27</v>
      </c>
      <c r="T9738" t="str">
        <v>x</v>
      </c>
      <c r="U9738">
        <f>0.006165*F9738^2</f>
        <v>0</v>
      </c>
      <c r="V9738" t="str">
        <v>x</v>
      </c>
      <c r="W9738">
        <f>W9734</f>
        <v>9</v>
      </c>
      <c r="X9738" t="str">
        <v>x</v>
      </c>
      <c r="Y9738">
        <f>D9724</f>
        <v>3</v>
      </c>
      <c r="Z9738" t="str">
        <v>=</v>
      </c>
      <c r="AA9738">
        <f>N9738*U9738*W9738*Y9738</f>
        <v>0</v>
      </c>
    </row>
    <row r="9739">
      <c r="A9739" t="str">
        <f>A9714</f>
        <v>Lantai Attic</v>
      </c>
      <c r="B9739">
        <f>B9714</f>
        <v>60</v>
      </c>
      <c r="C9739" t="str">
        <v>Kait Horizontal Lap.</v>
      </c>
      <c r="D9739">
        <f>VLOOKUP(D9714,'Detail Balok'!$C$10:$BJ$110,51,FALSE)</f>
        <v>0</v>
      </c>
      <c r="E9739" t="str">
        <v>D</v>
      </c>
      <c r="F9739">
        <f>VLOOKUP(D9714,'Detail Balok'!$C$10:$BJ$110,53,FALSE)</f>
        <v>0</v>
      </c>
      <c r="G9739" t="str">
        <v>-</v>
      </c>
      <c r="H9739">
        <f>VLOOKUP(D9714,'Detail Balok'!$C$10:$BJ$110,55,FALSE)</f>
        <v>100</v>
      </c>
      <c r="J9739">
        <f>(D9715-2*F$5)/1000</f>
        <v>0.12</v>
      </c>
      <c r="K9739" t="str">
        <v>+</v>
      </c>
      <c r="L9739">
        <f>IF(D9739=0,2*MAX(6*F9739,75),(D9739-1)*2*MAX(6*F9739,75))/1000</f>
        <v>0.15</v>
      </c>
      <c r="M9739" t="str">
        <v>=</v>
      </c>
      <c r="N9739">
        <f>J9739+L9739</f>
        <v>0.27</v>
      </c>
      <c r="T9739" t="str">
        <v>x</v>
      </c>
      <c r="U9739">
        <f>0.006165*F9739^2</f>
        <v>0</v>
      </c>
      <c r="V9739" t="str">
        <v>x</v>
      </c>
      <c r="W9739">
        <f>W9735</f>
        <v>2</v>
      </c>
      <c r="X9739" t="str">
        <v>x</v>
      </c>
      <c r="Y9739">
        <f>D9724</f>
        <v>3</v>
      </c>
      <c r="Z9739" t="str">
        <v>=</v>
      </c>
      <c r="AA9739">
        <f>N9739*U9739*W9739*Y9739</f>
        <v>0</v>
      </c>
    </row>
    <row r="9740">
      <c r="A9740" t="str">
        <f>A9714</f>
        <v>Lantai Attic</v>
      </c>
      <c r="B9740">
        <f>B9714</f>
        <v>60</v>
      </c>
      <c r="C9740" t="str">
        <v>Kait Horizontal Tump.</v>
      </c>
      <c r="D9740">
        <f>VLOOKUP(D9714,'Detail Balok'!$C$10:$BJ$110,56,FALSE)</f>
        <v>0</v>
      </c>
      <c r="E9740" t="str">
        <v>D</v>
      </c>
      <c r="F9740">
        <f>VLOOKUP(D9714,'Detail Balok'!$C$10:$BJ$110,58,FALSE)</f>
        <v>0</v>
      </c>
      <c r="G9740" t="str">
        <v>-</v>
      </c>
      <c r="H9740">
        <f>VLOOKUP(D9714,'Detail Balok'!$C$10:$BJ$110,60,FALSE)</f>
        <v>100</v>
      </c>
      <c r="J9740">
        <f>(D9715-2*F$5)/1000</f>
        <v>0.12</v>
      </c>
      <c r="K9740" t="str">
        <v>+</v>
      </c>
      <c r="L9740">
        <f>IF(D9740=0,2*MAX(6*F9740,75),(D9740-1)*2*MAX(6*F9740,75))/1000</f>
        <v>0.15</v>
      </c>
      <c r="M9740" t="str">
        <v>=</v>
      </c>
      <c r="N9740">
        <f>J9740+L9740</f>
        <v>0.27</v>
      </c>
      <c r="T9740" t="str">
        <v>x</v>
      </c>
      <c r="U9740">
        <f>0.006165*F9740^2</f>
        <v>0</v>
      </c>
      <c r="V9740" t="str">
        <v>x</v>
      </c>
      <c r="W9740">
        <f>W9736</f>
        <v>9</v>
      </c>
      <c r="X9740" t="str">
        <v>x</v>
      </c>
      <c r="Y9740">
        <f>D9724</f>
        <v>3</v>
      </c>
      <c r="Z9740" t="str">
        <v>=</v>
      </c>
      <c r="AA9740">
        <f>N9740*U9740*W9740*Y9740</f>
        <v>0</v>
      </c>
    </row>
    <row r="9744">
      <c r="A9744" t="str">
        <f>A9714</f>
        <v>Lantai Attic</v>
      </c>
      <c r="B9744">
        <f>B9714+1</f>
        <v>61</v>
      </c>
      <c r="C9744" t="str">
        <f>CONCATENATE(A9744," no. ",B9744)</f>
        <v>Lantai Attic no. 61</v>
      </c>
      <c r="D9744" t="str">
        <f>VLOOKUP(C9744,'Data Panjang Balok'!$C$9:$N$424,2,FALSE)</f>
        <v>B25-2</v>
      </c>
    </row>
    <row r="9745">
      <c r="C9745" t="str">
        <v>Dimensi</v>
      </c>
      <c r="D9745">
        <f>VLOOKUP(D9744,'Detail Balok'!$C$10:$AU$110,2,FALSE)</f>
        <v>200</v>
      </c>
      <c r="F9745" t="str">
        <v>x</v>
      </c>
      <c r="G9745">
        <f>VLOOKUP(D9744,'Detail Balok'!$C$10:$AU$110,3,FALSE)</f>
        <v>500</v>
      </c>
    </row>
    <row r="9746">
      <c r="C9746" t="str">
        <v>Panjang as ke as</v>
      </c>
      <c r="D9746">
        <f>VLOOKUP(C9744,'Data Panjang Balok'!$C$9:$N$424,4,FALSE)</f>
        <v>8100</v>
      </c>
    </row>
    <row r="9747">
      <c r="C9747" t="str">
        <v>Panjang netto</v>
      </c>
      <c r="D9747">
        <f>VLOOKUP(C9744,'Data Panjang Balok'!$C$9:$N$424,7,FALSE)</f>
        <v>8100</v>
      </c>
    </row>
    <row r="9748">
      <c r="C9748" t="str">
        <v>Kolom / balok kiri</v>
      </c>
      <c r="D9748">
        <f>VLOOKUP(C9744,'Data Panjang Balok'!$C$9:$N$424,9,FALSE)</f>
        <v>0</v>
      </c>
    </row>
    <row r="9749">
      <c r="C9749" t="str">
        <v>Kolom / balok kanan</v>
      </c>
      <c r="D9749">
        <f>VLOOKUP(C9744,'Data Panjang Balok'!$C$9:$N$424,10,FALSE)</f>
        <v>0</v>
      </c>
    </row>
    <row r="9750">
      <c r="C9750" t="str">
        <v>Jumlah</v>
      </c>
      <c r="D9750">
        <f>VLOOKUP(C9744,'Data Panjang Balok'!$C$9:$N$424,3,FALSE)</f>
        <v>1</v>
      </c>
    </row>
    <row r="9751">
      <c r="A9751" t="str">
        <f>A9744</f>
        <v>Lantai Attic</v>
      </c>
      <c r="B9751">
        <f>B9744</f>
        <v>61</v>
      </c>
      <c r="C9751" t="str">
        <v>Tul Atas Tumpuan</v>
      </c>
      <c r="D9751">
        <f>VLOOKUP(D9744,'Detail Balok'!$C$10:$AU$110,4,FALSE)</f>
        <v>3</v>
      </c>
      <c r="E9751" t="str">
        <v>D</v>
      </c>
      <c r="F9751">
        <f>VLOOKUP(D9744,'Detail Balok'!$C$10:$AU$110,6,FALSE)</f>
        <v>16</v>
      </c>
      <c r="I9751" t="str">
        <v>(</v>
      </c>
      <c r="J9751">
        <f>+D9746/4/1000</f>
        <v>2.025</v>
      </c>
      <c r="K9751" t="str">
        <v>+</v>
      </c>
      <c r="L9751">
        <f>MAX(VLOOKUP(F9751,N$6:P$15,3,FALSE)/1000,2/3*D9748/1000)+F$16*F9751/1000</f>
        <v>0.192</v>
      </c>
      <c r="M9751" t="str">
        <v>=</v>
      </c>
      <c r="N9751">
        <f>J9751+L9751</f>
        <v>2.217</v>
      </c>
      <c r="O9751" t="str">
        <v>+</v>
      </c>
      <c r="P9751">
        <f>D9751-D9752</f>
        <v>0</v>
      </c>
      <c r="Q9751" t="str">
        <v>x</v>
      </c>
      <c r="R9751">
        <f>IF(P9751&gt;0,$F$18*F9751/1000,0)</f>
        <v>0</v>
      </c>
      <c r="S9751" t="str">
        <v>)</v>
      </c>
      <c r="T9751" t="str">
        <v>x</v>
      </c>
      <c r="U9751">
        <f>0.006165*F9751^2</f>
        <v>1.57824</v>
      </c>
      <c r="X9751" t="str">
        <v>x</v>
      </c>
      <c r="Y9751">
        <f>D9750</f>
        <v>1</v>
      </c>
      <c r="Z9751" t="str">
        <v>=</v>
      </c>
      <c r="AA9751">
        <f>IF(AA9754=0,(D9751*N9751+P9751*R9751)*U9751*Y9751,0)</f>
        <v>0</v>
      </c>
    </row>
    <row r="9752">
      <c r="A9752" t="str">
        <f>A9744</f>
        <v>Lantai Attic</v>
      </c>
      <c r="B9752">
        <f>B9744</f>
        <v>61</v>
      </c>
      <c r="C9752" t="str">
        <v>Tul Atas Lapangan</v>
      </c>
      <c r="D9752">
        <f>VLOOKUP(D9744,'Detail Balok'!$C$10:$AU$110,7,FALSE)</f>
        <v>3</v>
      </c>
      <c r="E9752" t="str">
        <v>D</v>
      </c>
      <c r="F9752">
        <f>VLOOKUP(D9744,'Detail Balok'!$C$10:$AU$110,9,FALSE)</f>
        <v>16</v>
      </c>
      <c r="I9752" t="str">
        <v>(</v>
      </c>
      <c r="J9752">
        <f>+D9746/2/1000</f>
        <v>4.05</v>
      </c>
      <c r="K9752" t="str">
        <v>+</v>
      </c>
      <c r="M9752" t="str">
        <v>=</v>
      </c>
      <c r="N9752">
        <f>J9752+L9752</f>
        <v>4.05</v>
      </c>
      <c r="O9752" t="str">
        <v>+</v>
      </c>
      <c r="P9752">
        <f>MAX(D9752-D9751,D9752-D9753)</f>
        <v>0</v>
      </c>
      <c r="Q9752" t="str">
        <v>x</v>
      </c>
      <c r="R9752">
        <f>IF(P9752&gt;0,2*(1-2*$F$19-1/2)*D9747/1000,0)</f>
        <v>0</v>
      </c>
      <c r="S9752" t="str">
        <v>)</v>
      </c>
      <c r="T9752" t="str">
        <v>x</v>
      </c>
      <c r="U9752">
        <f>0.006165*F9752^2</f>
        <v>1.57824</v>
      </c>
      <c r="X9752" t="str">
        <v>x</v>
      </c>
      <c r="Y9752">
        <f>D9750</f>
        <v>1</v>
      </c>
      <c r="Z9752" t="str">
        <v>=</v>
      </c>
      <c r="AA9752">
        <f>IF(AA9754=0,(D9752*N9752+P9752*R9752)*U9752*Y9752,0)</f>
        <v>0</v>
      </c>
    </row>
    <row r="9753">
      <c r="A9753" t="str">
        <f>A9744</f>
        <v>Lantai Attic</v>
      </c>
      <c r="B9753">
        <f>B9744</f>
        <v>61</v>
      </c>
      <c r="C9753" t="str">
        <v>Tul Atas Tumpuan</v>
      </c>
      <c r="D9753">
        <f>VLOOKUP(D9744,'Detail Balok'!$C$10:$AU$110,10,FALSE)</f>
        <v>3</v>
      </c>
      <c r="E9753" t="str">
        <v>D</v>
      </c>
      <c r="F9753">
        <f>VLOOKUP(D9744,'Detail Balok'!$C$10:$AU$110,12,FALSE)</f>
        <v>16</v>
      </c>
      <c r="I9753" t="str">
        <v>(</v>
      </c>
      <c r="J9753">
        <f>+D9746/4/1000</f>
        <v>2.025</v>
      </c>
      <c r="K9753" t="str">
        <v>+</v>
      </c>
      <c r="L9753">
        <f>MAX(VLOOKUP(F9753,N$6:P$15,3,FALSE)/1000,2/3*D9748/1000)+F$16*F9753/1000</f>
        <v>0.192</v>
      </c>
      <c r="M9753" t="str">
        <v>=</v>
      </c>
      <c r="N9753">
        <f>J9753+L9753</f>
        <v>2.217</v>
      </c>
      <c r="O9753" t="str">
        <v>+</v>
      </c>
      <c r="P9753">
        <f>D9753-D9752</f>
        <v>0</v>
      </c>
      <c r="Q9753" t="str">
        <v>x</v>
      </c>
      <c r="R9753">
        <f>IF(P9753&gt;0,$F$18*F9753/1000,0)</f>
        <v>0</v>
      </c>
      <c r="S9753" t="str">
        <v>)</v>
      </c>
      <c r="T9753" t="str">
        <v>x</v>
      </c>
      <c r="U9753">
        <f>0.006165*F9753^2</f>
        <v>1.57824</v>
      </c>
      <c r="X9753" t="str">
        <v>x</v>
      </c>
      <c r="Y9753">
        <f>D9750</f>
        <v>1</v>
      </c>
      <c r="Z9753" t="str">
        <v>=</v>
      </c>
      <c r="AA9753">
        <f>IF(AA9754=0,(D9753*N9753+P9753*R9753)*U9753*Y9753,0)</f>
        <v>0</v>
      </c>
    </row>
    <row r="9754">
      <c r="A9754" t="str">
        <f>A9744</f>
        <v>Lantai Attic</v>
      </c>
      <c r="B9754">
        <f>B9744</f>
        <v>61</v>
      </c>
      <c r="D9754">
        <f>IF(AND(D9751=D9752,D9752=D9753,D9751=D9753),D9751,0)</f>
        <v>3</v>
      </c>
      <c r="E9754" t="str">
        <v>D</v>
      </c>
      <c r="F9754">
        <f>IF(AND(F9751=F9752,F9751=F9753,F9752=F9753),F9751,0)</f>
        <v>16</v>
      </c>
      <c r="L9754" t="str">
        <v>Total panjang per balok</v>
      </c>
      <c r="M9754" t="str">
        <v>=</v>
      </c>
      <c r="N9754">
        <f>IF(AND(D9751=D9752,D9751=D9753,D9752=D9753,F9751=F9752,F9751=F9753,F9752=F9753),SUM(N9751:N9753),0)</f>
        <v>8.484</v>
      </c>
      <c r="O9754" t="str">
        <v>+</v>
      </c>
      <c r="P9754">
        <f>IF(N9754&gt;12,ROUNDDOWN(N9754/12,0),0)</f>
        <v>0</v>
      </c>
      <c r="Q9754" t="str">
        <v>x</v>
      </c>
      <c r="R9754">
        <f>IF(P9754&gt;0,MAX(VLOOKUP(F9754,$D$6:$G$15,3,FALSE),600),0)/1000</f>
        <v>0</v>
      </c>
      <c r="T9754" t="str">
        <v>x</v>
      </c>
      <c r="U9754">
        <f>U9753</f>
        <v>1.57824</v>
      </c>
      <c r="V9754" t="str">
        <v>x</v>
      </c>
      <c r="W9754">
        <f>D9754</f>
        <v>3</v>
      </c>
      <c r="X9754" t="str">
        <v>x</v>
      </c>
      <c r="Y9754">
        <f>Y9753</f>
        <v>1</v>
      </c>
      <c r="Z9754" t="str">
        <v>=</v>
      </c>
      <c r="AA9754">
        <f>(N9754+P9754*R9754/1000)*U9754*W9754*Y9754</f>
        <v>40.16936448</v>
      </c>
    </row>
    <row r="9756">
      <c r="A9756" t="str">
        <f>A9744</f>
        <v>Lantai Attic</v>
      </c>
      <c r="B9756">
        <f>B9744</f>
        <v>61</v>
      </c>
      <c r="C9756" t="str">
        <v>Tul Peminggang</v>
      </c>
      <c r="D9756">
        <f>VLOOKUP(D9744,'Detail Balok'!$C$10:$AU$110,13,FALSE)</f>
        <v>2</v>
      </c>
      <c r="E9756" t="str">
        <v>D</v>
      </c>
      <c r="F9756">
        <f>VLOOKUP(D9744,'Detail Balok'!$C$10:$AU$110,15,FALSE)</f>
        <v>10</v>
      </c>
      <c r="J9756">
        <f>+D9746/1000</f>
        <v>8.1</v>
      </c>
      <c r="K9756" t="str">
        <v>+</v>
      </c>
      <c r="L9756">
        <f>2*$F$16*F9756/1000</f>
        <v>0.24</v>
      </c>
      <c r="M9756" t="str">
        <v>=</v>
      </c>
      <c r="N9756">
        <f>J9756+L9756</f>
        <v>8.34</v>
      </c>
      <c r="O9756" t="str">
        <v>+</v>
      </c>
      <c r="P9756">
        <f>IF(N9756&gt;12,ROUNDDOWN(N9756/12,0),0)</f>
        <v>0</v>
      </c>
      <c r="Q9756" t="str">
        <v>x</v>
      </c>
      <c r="R9756">
        <f>IF(P9756&gt;0,MAX(VLOOKUP(F9756,$D$6:$G$15,3,FALSE),600),0)/1000</f>
        <v>0</v>
      </c>
      <c r="T9756" t="str">
        <v>x</v>
      </c>
      <c r="U9756">
        <f>0.006165*F9756^2</f>
        <v>0.6165</v>
      </c>
      <c r="V9756" t="str">
        <v>x</v>
      </c>
      <c r="W9756">
        <f>+D9756</f>
        <v>2</v>
      </c>
      <c r="X9756" t="str">
        <v>x</v>
      </c>
      <c r="Y9756">
        <f>D9750</f>
        <v>1</v>
      </c>
      <c r="Z9756" t="str">
        <v>=</v>
      </c>
      <c r="AA9756">
        <f>(N9756+P9756*R9756/1000)*U9756*W9756*Y9756</f>
        <v>10.28322</v>
      </c>
    </row>
    <row r="9759">
      <c r="A9759" t="str">
        <f>A9744</f>
        <v>Lantai Attic</v>
      </c>
      <c r="B9759">
        <f>B9744</f>
        <v>61</v>
      </c>
      <c r="C9759" t="str">
        <v>Tul Bawah Tumpuan</v>
      </c>
      <c r="D9759">
        <f>VLOOKUP(D9744,'Detail Balok'!$C$10:$AU$110,22,FALSE)</f>
        <v>3</v>
      </c>
      <c r="E9759" t="str">
        <v>D</v>
      </c>
      <c r="F9759">
        <f>VLOOKUP(D9744,'Detail Balok'!$C$10:$AU$110,24,FALSE)</f>
        <v>16</v>
      </c>
      <c r="I9759" t="str">
        <v>(</v>
      </c>
      <c r="J9759">
        <f>+J9751</f>
        <v>2.025</v>
      </c>
      <c r="K9759" t="str">
        <v>+</v>
      </c>
      <c r="L9759">
        <f>MAX(VLOOKUP(F9759,N$6:P$15,3,FALSE)/1000,2/3*D9749/1000)+F$16*F9759/1000</f>
        <v>0.192</v>
      </c>
      <c r="M9759" t="str">
        <v>=</v>
      </c>
      <c r="N9759">
        <f>J9759+L9759</f>
        <v>2.217</v>
      </c>
      <c r="O9759" t="str">
        <v>+</v>
      </c>
      <c r="P9759">
        <f>D9759-D9760</f>
        <v>0</v>
      </c>
      <c r="Q9759" t="str">
        <v>x</v>
      </c>
      <c r="R9759">
        <f>IF(P9759&gt;0,$F$18*F9759/1000,0)</f>
        <v>0</v>
      </c>
      <c r="S9759" t="str">
        <v>)</v>
      </c>
      <c r="T9759" t="str">
        <v>x</v>
      </c>
      <c r="U9759">
        <f>0.006165*F9759^2</f>
        <v>1.57824</v>
      </c>
      <c r="X9759" t="str">
        <v>x</v>
      </c>
      <c r="Y9759">
        <f>D9750</f>
        <v>1</v>
      </c>
      <c r="Z9759" t="str">
        <v>=</v>
      </c>
      <c r="AA9759">
        <f>IF(AA9762=0,(D9759*N9759+P9759*R9759)*U9759*Y9759,0)</f>
        <v>0</v>
      </c>
    </row>
    <row r="9760">
      <c r="A9760" t="str">
        <f>A9744</f>
        <v>Lantai Attic</v>
      </c>
      <c r="B9760">
        <f>B9744</f>
        <v>61</v>
      </c>
      <c r="C9760" t="str">
        <v>Tul Bawah Lapangan</v>
      </c>
      <c r="D9760">
        <f>VLOOKUP(D9744,'Detail Balok'!$C$10:$AU$110,25,FALSE)</f>
        <v>3</v>
      </c>
      <c r="E9760" t="str">
        <v>D</v>
      </c>
      <c r="F9760">
        <f>VLOOKUP(D9744,'Detail Balok'!$C$10:$AU$110,27,FALSE)</f>
        <v>16</v>
      </c>
      <c r="I9760" t="str">
        <v>(</v>
      </c>
      <c r="J9760">
        <f>+J9752</f>
        <v>4.05</v>
      </c>
      <c r="K9760" t="str">
        <v>+</v>
      </c>
      <c r="M9760" t="str">
        <v>=</v>
      </c>
      <c r="N9760">
        <f>J9760+L9760</f>
        <v>4.05</v>
      </c>
      <c r="O9760" t="str">
        <v>+</v>
      </c>
      <c r="P9760">
        <f>MAX(D9760-D9759,D9760-D9761)</f>
        <v>0</v>
      </c>
      <c r="Q9760" t="str">
        <v>x</v>
      </c>
      <c r="R9760">
        <f>IF(P9760&gt;0,2*(1-2*$F$19-1/2)*D9747/1000,0)</f>
        <v>0</v>
      </c>
      <c r="S9760" t="str">
        <v>)</v>
      </c>
      <c r="T9760" t="str">
        <v>x</v>
      </c>
      <c r="U9760">
        <f>0.006165*F9760^2</f>
        <v>1.57824</v>
      </c>
      <c r="X9760" t="str">
        <v>x</v>
      </c>
      <c r="Y9760">
        <f>D9750</f>
        <v>1</v>
      </c>
      <c r="Z9760" t="str">
        <v>=</v>
      </c>
      <c r="AA9760">
        <f>IF(AA9762=0,(D9760*N9760+P9760*R9760)*U9760*Y9760,0)</f>
        <v>0</v>
      </c>
    </row>
    <row r="9761">
      <c r="A9761" t="str">
        <f>A9744</f>
        <v>Lantai Attic</v>
      </c>
      <c r="B9761">
        <f>B9744</f>
        <v>61</v>
      </c>
      <c r="C9761" t="str">
        <v>Tul Bawah Tumpuan</v>
      </c>
      <c r="D9761">
        <f>VLOOKUP(D9744,'Detail Balok'!$C$10:$AU$110,28,FALSE)</f>
        <v>3</v>
      </c>
      <c r="E9761" t="str">
        <v>D</v>
      </c>
      <c r="F9761">
        <f>VLOOKUP(D9744,'Detail Balok'!$C$10:$AU$110,30,FALSE)</f>
        <v>16</v>
      </c>
      <c r="I9761" t="str">
        <v>(</v>
      </c>
      <c r="J9761">
        <f>+J9753</f>
        <v>2.025</v>
      </c>
      <c r="K9761" t="str">
        <v>+</v>
      </c>
      <c r="L9761">
        <f>MAX(VLOOKUP(F9761,N$6:P$15,3,FALSE)/1000,2/3*D9749/1000)+F$16*F9761/1000</f>
        <v>0.192</v>
      </c>
      <c r="M9761" t="str">
        <v>=</v>
      </c>
      <c r="N9761">
        <f>J9761+L9761</f>
        <v>2.217</v>
      </c>
      <c r="O9761" t="str">
        <v>+</v>
      </c>
      <c r="P9761">
        <f>D9761-D9760</f>
        <v>0</v>
      </c>
      <c r="Q9761" t="str">
        <v>x</v>
      </c>
      <c r="R9761">
        <f>IF(P9761&gt;0,$F$18*F9761/1000,0)</f>
        <v>0</v>
      </c>
      <c r="S9761" t="str">
        <v>)</v>
      </c>
      <c r="T9761" t="str">
        <v>x</v>
      </c>
      <c r="U9761">
        <f>0.006165*F9761^2</f>
        <v>1.57824</v>
      </c>
      <c r="X9761" t="str">
        <v>x</v>
      </c>
      <c r="Y9761">
        <f>D9750</f>
        <v>1</v>
      </c>
      <c r="Z9761" t="str">
        <v>=</v>
      </c>
      <c r="AA9761">
        <f>IF(AA9762=0,(D9761*N9761+P9761*R9761)*U9761*Y9761,0)</f>
        <v>0</v>
      </c>
    </row>
    <row r="9762">
      <c r="A9762" t="str">
        <f>A9744</f>
        <v>Lantai Attic</v>
      </c>
      <c r="B9762">
        <f>B9744</f>
        <v>61</v>
      </c>
      <c r="D9762">
        <f>IF(AND(D9759=D9760,D9760=D9761,D9759=D9761),D9759,0)</f>
        <v>3</v>
      </c>
      <c r="E9762" t="str">
        <v>D</v>
      </c>
      <c r="F9762">
        <f>IF(AND(F9759=F9760,F9759=F9761,F9760=F9761),F9759,0)</f>
        <v>16</v>
      </c>
      <c r="L9762" t="str">
        <v>Total panjang per balok</v>
      </c>
      <c r="M9762" t="str">
        <v>=</v>
      </c>
      <c r="N9762">
        <f>IF(AND(D9759=D9760,D9759=D9761,D9760=D9761,F9759=F9760,F9759=F9761,F9760=F9761),SUM(N9759:N9761),0)</f>
        <v>8.484</v>
      </c>
      <c r="O9762" t="str">
        <v>+</v>
      </c>
      <c r="P9762">
        <f>IF(N9762&gt;12,ROUNDDOWN(N9762/12,0),0)</f>
        <v>0</v>
      </c>
      <c r="Q9762" t="str">
        <v>x</v>
      </c>
      <c r="R9762">
        <f>IF(P9762&gt;0,MAX(VLOOKUP(F9762,$D$6:$G$15,3,FALSE),600),0)/1000</f>
        <v>0</v>
      </c>
      <c r="T9762" t="str">
        <v>x</v>
      </c>
      <c r="U9762">
        <f>U9761</f>
        <v>1.57824</v>
      </c>
      <c r="V9762" t="str">
        <v>x</v>
      </c>
      <c r="W9762">
        <f>D9762</f>
        <v>3</v>
      </c>
      <c r="X9762" t="str">
        <v>x</v>
      </c>
      <c r="Y9762">
        <f>Y9761</f>
        <v>1</v>
      </c>
      <c r="Z9762" t="str">
        <v>=</v>
      </c>
      <c r="AA9762">
        <f>(N9762+P9762*R9762/1000)*U9762*W9762*Y9762</f>
        <v>40.16936448</v>
      </c>
    </row>
    <row r="9764">
      <c r="A9764" t="str">
        <f>A9744</f>
        <v>Lantai Attic</v>
      </c>
      <c r="B9764">
        <f>B9744</f>
        <v>61</v>
      </c>
      <c r="C9764" t="str">
        <v>Sengkang Tumpuan</v>
      </c>
      <c r="D9764">
        <f>VLOOKUP(D9744,'Detail Balok'!$C$10:$AU$110,31,FALSE)</f>
        <v>0</v>
      </c>
      <c r="E9764" t="str">
        <v>D</v>
      </c>
      <c r="F9764">
        <f>VLOOKUP(D9744,'Detail Balok'!$C$10:$AU$110,33,FALSE)</f>
        <v>10</v>
      </c>
      <c r="G9764" t="str">
        <v>-</v>
      </c>
      <c r="H9764">
        <f>VLOOKUP(D9744,'Detail Balok'!$C$10:$AU$110,35,FALSE)</f>
        <v>75</v>
      </c>
      <c r="J9764">
        <f>(IF(D9764=0,(2*(D9745+G9745))-(F$5*8),IF(D9764=3,(2*(D9745+G9745))-(F$5*8)+(G9745-2*F$5),IF(D9764=4,(2*(D9745+G9745))-(F$5*8)+2*(G9745-2*F$5)))))/1000</f>
        <v>1.08</v>
      </c>
      <c r="K9764" t="str">
        <v>+</v>
      </c>
      <c r="L9764">
        <f>IF(D9764=0,2*MAX(6*F9764,75),(D9764-1)*2*MAX(6*F9764,75))/1000</f>
        <v>0.15</v>
      </c>
      <c r="M9764" t="str">
        <v>=</v>
      </c>
      <c r="N9764">
        <f>J9764+L9764</f>
        <v>1.23</v>
      </c>
      <c r="T9764" t="str">
        <v>x</v>
      </c>
      <c r="U9764">
        <f>0.006165*F9764^2</f>
        <v>0.6165</v>
      </c>
      <c r="V9764" t="str">
        <v>x</v>
      </c>
      <c r="W9764">
        <f>IF(D9747&gt;4*G9745,ROUND(MAX(D9747/4,2*G9745)/H9764,0)+1,ROUND(D9747/H9764,0)+1)</f>
        <v>28</v>
      </c>
      <c r="X9764" t="str">
        <v>x</v>
      </c>
      <c r="Y9764">
        <f>D9750</f>
        <v>1</v>
      </c>
      <c r="Z9764" t="str">
        <v>=</v>
      </c>
      <c r="AA9764">
        <f>N9764*U9764*W9764*Y9764</f>
        <v>21.23226</v>
      </c>
    </row>
    <row r="9765">
      <c r="A9765" t="str">
        <f>A9744</f>
        <v>Lantai Attic</v>
      </c>
      <c r="B9765">
        <f>B9744</f>
        <v>61</v>
      </c>
      <c r="C9765" t="str">
        <v>Sengkang Lapangan</v>
      </c>
      <c r="D9765">
        <f>VLOOKUP(D9744,'Detail Balok'!$C$10:$AU$110,36,FALSE)</f>
        <v>0</v>
      </c>
      <c r="E9765" t="str">
        <v>D</v>
      </c>
      <c r="F9765">
        <f>VLOOKUP(D9744,'Detail Balok'!$C$10:$AU$110,38,FALSE)</f>
        <v>10</v>
      </c>
      <c r="G9765" t="str">
        <v>-</v>
      </c>
      <c r="H9765">
        <f>VLOOKUP(D9744,'Detail Balok'!$C$10:$AU$110,40,FALSE)</f>
        <v>125</v>
      </c>
      <c r="J9765">
        <f>(IF(D9765=0,(2*(D9745+G9745))-(F$5*8),IF(D9765=3,(2*(D9745+G9745))-(F$5*8)+(G9745-2*F$5),IF(D9765=4,(2*(D9745+G9745))-(F$5*8)+2*(G9745-2*F$5)))))/1000</f>
        <v>1.08</v>
      </c>
      <c r="K9765" t="str">
        <v>+</v>
      </c>
      <c r="L9765">
        <f>IF(D9765=0,2*MAX(6*F9765,75),(D9765-1)*2*MAX(6*F9765,75))/1000</f>
        <v>0.15</v>
      </c>
      <c r="M9765" t="str">
        <v>=</v>
      </c>
      <c r="N9765">
        <f>J9765+L9765</f>
        <v>1.23</v>
      </c>
      <c r="T9765" t="str">
        <v>x</v>
      </c>
      <c r="U9765">
        <f>0.006165*F9765^2</f>
        <v>0.6165</v>
      </c>
      <c r="V9765" t="str">
        <v>x</v>
      </c>
      <c r="W9765">
        <f>IF(D9747-MAX(D9747/4,2*G9745)*2&gt;0,ROUND((D9747-MAX(D9747/4,2*G9745)*2)/H9765,0),0)</f>
        <v>32</v>
      </c>
      <c r="X9765" t="str">
        <v>x</v>
      </c>
      <c r="Y9765">
        <f>D9750</f>
        <v>1</v>
      </c>
      <c r="Z9765" t="str">
        <v>=</v>
      </c>
      <c r="AA9765">
        <f>N9765*U9765*W9765*Y9765</f>
        <v>24.26544</v>
      </c>
    </row>
    <row r="9766">
      <c r="A9766" t="str">
        <f>A9744</f>
        <v>Lantai Attic</v>
      </c>
      <c r="B9766">
        <f>B9744</f>
        <v>61</v>
      </c>
      <c r="C9766" t="str">
        <v>Sengkang Tumpuan</v>
      </c>
      <c r="D9766">
        <f>VLOOKUP(D9744,'Detail Balok'!$C$10:$AU$110,41,FALSE)</f>
        <v>0</v>
      </c>
      <c r="E9766" t="str">
        <v>D</v>
      </c>
      <c r="F9766">
        <f>VLOOKUP(D9744,'Detail Balok'!$C$10:$AU$110,43,FALSE)</f>
        <v>10</v>
      </c>
      <c r="G9766" t="str">
        <v>-</v>
      </c>
      <c r="H9766">
        <f>VLOOKUP(D9744,'Detail Balok'!$C$10:$AU$110,45,FALSE)</f>
        <v>75</v>
      </c>
      <c r="J9766">
        <f>(IF(D9766=0,(2*(D9745+G9745))-(F$5*8),IF(D9766=3,(2*(D9745+G9745))-(F$5*8)+(G9745-2*F$5),IF(D9766=4,(2*(D9745+G9745))-(F$5*8)+2*(G9745-2*F$5)))))/1000</f>
        <v>1.08</v>
      </c>
      <c r="K9766" t="str">
        <v>+</v>
      </c>
      <c r="L9766">
        <f>IF(D9766=0,2*MAX(6*F9766,75),(D9766-1)*2*MAX(6*F9766,75))/1000</f>
        <v>0.15</v>
      </c>
      <c r="M9766" t="str">
        <v>=</v>
      </c>
      <c r="N9766">
        <f>J9766+L9766</f>
        <v>1.23</v>
      </c>
      <c r="T9766" t="str">
        <v>x</v>
      </c>
      <c r="U9766">
        <f>0.006165*F9766^2</f>
        <v>0.6165</v>
      </c>
      <c r="V9766" t="str">
        <v>x</v>
      </c>
      <c r="W9766">
        <f>IF(D9747&gt;4*G9745,ROUND(MAX(D9747/4,2*G9745)/H9766,0)+1,0)</f>
        <v>28</v>
      </c>
      <c r="X9766" t="str">
        <v>x</v>
      </c>
      <c r="Y9766">
        <f>D9750</f>
        <v>1</v>
      </c>
      <c r="Z9766" t="str">
        <v>=</v>
      </c>
      <c r="AA9766">
        <f>N9766*U9766*W9766*Y9766</f>
        <v>21.23226</v>
      </c>
    </row>
    <row r="9768">
      <c r="A9768" t="str">
        <f>A9744</f>
        <v>Lantai Attic</v>
      </c>
      <c r="B9768">
        <f>B9744</f>
        <v>61</v>
      </c>
      <c r="C9768" t="str">
        <v>Kait Horizontal Tump.</v>
      </c>
      <c r="D9768">
        <f>VLOOKUP(D9744,'Detail Balok'!$C$10:$BJ$110,46,FALSE)</f>
        <v>0</v>
      </c>
      <c r="E9768" t="str">
        <v>D</v>
      </c>
      <c r="F9768">
        <f>VLOOKUP(D9744,'Detail Balok'!$C$10:$BJ$110,48,FALSE)</f>
        <v>0</v>
      </c>
      <c r="G9768" t="str">
        <v>-</v>
      </c>
      <c r="H9768">
        <f>VLOOKUP(D9744,'Detail Balok'!$C$10:$BJ$110,50,FALSE)</f>
        <v>100</v>
      </c>
      <c r="J9768">
        <f>(D9745-2*F$5)/1000</f>
        <v>0.12</v>
      </c>
      <c r="K9768" t="str">
        <v>+</v>
      </c>
      <c r="L9768">
        <f>IF(D9768=0,2*MAX(6*F9768,75),(D9768-1)*2*MAX(6*F9768,75))/1000</f>
        <v>0.15</v>
      </c>
      <c r="M9768" t="str">
        <v>=</v>
      </c>
      <c r="N9768">
        <f>J9768+L9768</f>
        <v>0.27</v>
      </c>
      <c r="T9768" t="str">
        <v>x</v>
      </c>
      <c r="U9768">
        <f>0.006165*F9768^2</f>
        <v>0</v>
      </c>
      <c r="V9768" t="str">
        <v>x</v>
      </c>
      <c r="W9768">
        <f>W9764</f>
        <v>28</v>
      </c>
      <c r="X9768" t="str">
        <v>x</v>
      </c>
      <c r="Y9768">
        <f>D9754</f>
        <v>3</v>
      </c>
      <c r="Z9768" t="str">
        <v>=</v>
      </c>
      <c r="AA9768">
        <f>N9768*U9768*W9768*Y9768</f>
        <v>0</v>
      </c>
    </row>
    <row r="9769">
      <c r="A9769" t="str">
        <f>A9744</f>
        <v>Lantai Attic</v>
      </c>
      <c r="B9769">
        <f>B9744</f>
        <v>61</v>
      </c>
      <c r="C9769" t="str">
        <v>Kait Horizontal Lap.</v>
      </c>
      <c r="D9769">
        <f>VLOOKUP(D9744,'Detail Balok'!$C$10:$BJ$110,51,FALSE)</f>
        <v>0</v>
      </c>
      <c r="E9769" t="str">
        <v>D</v>
      </c>
      <c r="F9769">
        <f>VLOOKUP(D9744,'Detail Balok'!$C$10:$BJ$110,53,FALSE)</f>
        <v>0</v>
      </c>
      <c r="G9769" t="str">
        <v>-</v>
      </c>
      <c r="H9769">
        <f>VLOOKUP(D9744,'Detail Balok'!$C$10:$BJ$110,55,FALSE)</f>
        <v>100</v>
      </c>
      <c r="J9769">
        <f>(D9745-2*F$5)/1000</f>
        <v>0.12</v>
      </c>
      <c r="K9769" t="str">
        <v>+</v>
      </c>
      <c r="L9769">
        <f>IF(D9769=0,2*MAX(6*F9769,75),(D9769-1)*2*MAX(6*F9769,75))/1000</f>
        <v>0.15</v>
      </c>
      <c r="M9769" t="str">
        <v>=</v>
      </c>
      <c r="N9769">
        <f>J9769+L9769</f>
        <v>0.27</v>
      </c>
      <c r="T9769" t="str">
        <v>x</v>
      </c>
      <c r="U9769">
        <f>0.006165*F9769^2</f>
        <v>0</v>
      </c>
      <c r="V9769" t="str">
        <v>x</v>
      </c>
      <c r="W9769">
        <f>W9765</f>
        <v>32</v>
      </c>
      <c r="X9769" t="str">
        <v>x</v>
      </c>
      <c r="Y9769">
        <f>D9754</f>
        <v>3</v>
      </c>
      <c r="Z9769" t="str">
        <v>=</v>
      </c>
      <c r="AA9769">
        <f>N9769*U9769*W9769*Y9769</f>
        <v>0</v>
      </c>
    </row>
    <row r="9770">
      <c r="A9770" t="str">
        <f>A9744</f>
        <v>Lantai Attic</v>
      </c>
      <c r="B9770">
        <f>B9744</f>
        <v>61</v>
      </c>
      <c r="C9770" t="str">
        <v>Kait Horizontal Tump.</v>
      </c>
      <c r="D9770">
        <f>VLOOKUP(D9744,'Detail Balok'!$C$10:$BJ$110,56,FALSE)</f>
        <v>0</v>
      </c>
      <c r="E9770" t="str">
        <v>D</v>
      </c>
      <c r="F9770">
        <f>VLOOKUP(D9744,'Detail Balok'!$C$10:$BJ$110,58,FALSE)</f>
        <v>0</v>
      </c>
      <c r="G9770" t="str">
        <v>-</v>
      </c>
      <c r="H9770">
        <f>VLOOKUP(D9744,'Detail Balok'!$C$10:$BJ$110,60,FALSE)</f>
        <v>100</v>
      </c>
      <c r="J9770">
        <f>(D9745-2*F$5)/1000</f>
        <v>0.12</v>
      </c>
      <c r="K9770" t="str">
        <v>+</v>
      </c>
      <c r="L9770">
        <f>IF(D9770=0,2*MAX(6*F9770,75),(D9770-1)*2*MAX(6*F9770,75))/1000</f>
        <v>0.15</v>
      </c>
      <c r="M9770" t="str">
        <v>=</v>
      </c>
      <c r="N9770">
        <f>J9770+L9770</f>
        <v>0.27</v>
      </c>
      <c r="T9770" t="str">
        <v>x</v>
      </c>
      <c r="U9770">
        <f>0.006165*F9770^2</f>
        <v>0</v>
      </c>
      <c r="V9770" t="str">
        <v>x</v>
      </c>
      <c r="W9770">
        <f>W9766</f>
        <v>28</v>
      </c>
      <c r="X9770" t="str">
        <v>x</v>
      </c>
      <c r="Y9770">
        <f>D9754</f>
        <v>3</v>
      </c>
      <c r="Z9770" t="str">
        <v>=</v>
      </c>
      <c r="AA9770">
        <f>N9770*U9770*W9770*Y9770</f>
        <v>0</v>
      </c>
    </row>
    <row r="9774">
      <c r="A9774" t="str">
        <f>A9744</f>
        <v>Lantai Attic</v>
      </c>
      <c r="B9774">
        <f>B9744+1</f>
        <v>62</v>
      </c>
      <c r="C9774" t="str">
        <f>CONCATENATE(A9774," no. ",B9774)</f>
        <v>Lantai Attic no. 62</v>
      </c>
      <c r="D9774" t="str">
        <f>VLOOKUP(C9774,'Data Panjang Balok'!$C$9:$N$424,2,FALSE)</f>
        <v>B25-3</v>
      </c>
    </row>
    <row r="9775">
      <c r="C9775" t="str">
        <v>Dimensi</v>
      </c>
      <c r="D9775">
        <f>VLOOKUP(D9774,'Detail Balok'!$C$10:$AU$110,2,FALSE)</f>
        <v>200</v>
      </c>
      <c r="F9775" t="str">
        <v>x</v>
      </c>
      <c r="G9775">
        <f>VLOOKUP(D9774,'Detail Balok'!$C$10:$AU$110,3,FALSE)</f>
        <v>500</v>
      </c>
    </row>
    <row r="9776">
      <c r="C9776" t="str">
        <v>Panjang as ke as</v>
      </c>
      <c r="D9776">
        <f>VLOOKUP(C9774,'Data Panjang Balok'!$C$9:$N$424,4,FALSE)</f>
        <v>9000</v>
      </c>
    </row>
    <row r="9777">
      <c r="C9777" t="str">
        <v>Panjang netto</v>
      </c>
      <c r="D9777">
        <f>VLOOKUP(C9774,'Data Panjang Balok'!$C$9:$N$424,7,FALSE)</f>
        <v>9000</v>
      </c>
    </row>
    <row r="9778">
      <c r="C9778" t="str">
        <v>Kolom / balok kiri</v>
      </c>
      <c r="D9778">
        <f>VLOOKUP(C9774,'Data Panjang Balok'!$C$9:$N$424,9,FALSE)</f>
        <v>0</v>
      </c>
    </row>
    <row r="9779">
      <c r="C9779" t="str">
        <v>Kolom / balok kanan</v>
      </c>
      <c r="D9779">
        <f>VLOOKUP(C9774,'Data Panjang Balok'!$C$9:$N$424,10,FALSE)</f>
        <v>0</v>
      </c>
    </row>
    <row r="9780">
      <c r="C9780" t="str">
        <v>Jumlah</v>
      </c>
      <c r="D9780">
        <f>VLOOKUP(C9774,'Data Panjang Balok'!$C$9:$N$424,3,FALSE)</f>
        <v>1</v>
      </c>
    </row>
    <row r="9781">
      <c r="A9781" t="str">
        <f>A9774</f>
        <v>Lantai Attic</v>
      </c>
      <c r="B9781">
        <f>B9774</f>
        <v>62</v>
      </c>
      <c r="C9781" t="str">
        <v>Tul Atas Tumpuan</v>
      </c>
      <c r="D9781">
        <f>VLOOKUP(D9774,'Detail Balok'!$C$10:$AU$110,4,FALSE)</f>
        <v>5</v>
      </c>
      <c r="E9781" t="str">
        <v>D</v>
      </c>
      <c r="F9781">
        <f>VLOOKUP(D9774,'Detail Balok'!$C$10:$AU$110,6,FALSE)</f>
        <v>16</v>
      </c>
      <c r="I9781" t="str">
        <v>(</v>
      </c>
      <c r="J9781">
        <f>+D9776/4/1000</f>
        <v>2.25</v>
      </c>
      <c r="K9781" t="str">
        <v>+</v>
      </c>
      <c r="L9781">
        <f>MAX(VLOOKUP(F9781,N$6:P$15,3,FALSE)/1000,2/3*D9778/1000)+F$16*F9781/1000</f>
        <v>0.192</v>
      </c>
      <c r="M9781" t="str">
        <v>=</v>
      </c>
      <c r="N9781">
        <f>J9781+L9781</f>
        <v>2.442</v>
      </c>
      <c r="O9781" t="str">
        <v>+</v>
      </c>
      <c r="P9781">
        <f>D9781-D9782</f>
        <v>3</v>
      </c>
      <c r="Q9781" t="str">
        <v>x</v>
      </c>
      <c r="R9781">
        <f>IF(P9781&gt;0,$F$18*F9781/1000,0)</f>
        <v>0.24</v>
      </c>
      <c r="S9781" t="str">
        <v>)</v>
      </c>
      <c r="T9781" t="str">
        <v>x</v>
      </c>
      <c r="U9781">
        <f>0.006165*F9781^2</f>
        <v>1.57824</v>
      </c>
      <c r="X9781" t="str">
        <v>x</v>
      </c>
      <c r="Y9781">
        <f>D9780</f>
        <v>1</v>
      </c>
      <c r="Z9781" t="str">
        <v>=</v>
      </c>
      <c r="AA9781">
        <f>IF(AA9784=0,(D9781*N9781+P9781*R9781)*U9781*Y9781,0)</f>
        <v>20.406643200000005</v>
      </c>
    </row>
    <row r="9782">
      <c r="A9782" t="str">
        <f>A9774</f>
        <v>Lantai Attic</v>
      </c>
      <c r="B9782">
        <f>B9774</f>
        <v>62</v>
      </c>
      <c r="C9782" t="str">
        <v>Tul Atas Lapangan</v>
      </c>
      <c r="D9782">
        <f>VLOOKUP(D9774,'Detail Balok'!$C$10:$AU$110,7,FALSE)</f>
        <v>2</v>
      </c>
      <c r="E9782" t="str">
        <v>D</v>
      </c>
      <c r="F9782">
        <f>VLOOKUP(D9774,'Detail Balok'!$C$10:$AU$110,9,FALSE)</f>
        <v>16</v>
      </c>
      <c r="I9782" t="str">
        <v>(</v>
      </c>
      <c r="J9782">
        <f>+D9776/2/1000</f>
        <v>4.5</v>
      </c>
      <c r="K9782" t="str">
        <v>+</v>
      </c>
      <c r="M9782" t="str">
        <v>=</v>
      </c>
      <c r="N9782">
        <f>J9782+L9782</f>
        <v>4.5</v>
      </c>
      <c r="O9782" t="str">
        <v>+</v>
      </c>
      <c r="P9782">
        <f>MAX(D9782-D9781,D9782-D9783)</f>
        <v>-3</v>
      </c>
      <c r="Q9782" t="str">
        <v>x</v>
      </c>
      <c r="R9782">
        <f>IF(P9782&gt;0,2*(1-2*$F$19-1/2)*D9777/1000,0)</f>
        <v>0</v>
      </c>
      <c r="S9782" t="str">
        <v>)</v>
      </c>
      <c r="T9782" t="str">
        <v>x</v>
      </c>
      <c r="U9782">
        <f>0.006165*F9782^2</f>
        <v>1.57824</v>
      </c>
      <c r="X9782" t="str">
        <v>x</v>
      </c>
      <c r="Y9782">
        <f>D9780</f>
        <v>1</v>
      </c>
      <c r="Z9782" t="str">
        <v>=</v>
      </c>
      <c r="AA9782">
        <f>IF(AA9784=0,(D9782*N9782+P9782*R9782)*U9782*Y9782,0)</f>
        <v>14.204160000000002</v>
      </c>
    </row>
    <row r="9783">
      <c r="A9783" t="str">
        <f>A9774</f>
        <v>Lantai Attic</v>
      </c>
      <c r="B9783">
        <f>B9774</f>
        <v>62</v>
      </c>
      <c r="C9783" t="str">
        <v>Tul Atas Tumpuan</v>
      </c>
      <c r="D9783">
        <f>VLOOKUP(D9774,'Detail Balok'!$C$10:$AU$110,10,FALSE)</f>
        <v>5</v>
      </c>
      <c r="E9783" t="str">
        <v>D</v>
      </c>
      <c r="F9783">
        <f>VLOOKUP(D9774,'Detail Balok'!$C$10:$AU$110,12,FALSE)</f>
        <v>16</v>
      </c>
      <c r="I9783" t="str">
        <v>(</v>
      </c>
      <c r="J9783">
        <f>+D9776/4/1000</f>
        <v>2.25</v>
      </c>
      <c r="K9783" t="str">
        <v>+</v>
      </c>
      <c r="L9783">
        <f>MAX(VLOOKUP(F9783,N$6:P$15,3,FALSE)/1000,2/3*D9778/1000)+F$16*F9783/1000</f>
        <v>0.192</v>
      </c>
      <c r="M9783" t="str">
        <v>=</v>
      </c>
      <c r="N9783">
        <f>J9783+L9783</f>
        <v>2.442</v>
      </c>
      <c r="O9783" t="str">
        <v>+</v>
      </c>
      <c r="P9783">
        <f>D9783-D9782</f>
        <v>3</v>
      </c>
      <c r="Q9783" t="str">
        <v>x</v>
      </c>
      <c r="R9783">
        <f>IF(P9783&gt;0,$F$18*F9783/1000,0)</f>
        <v>0.24</v>
      </c>
      <c r="S9783" t="str">
        <v>)</v>
      </c>
      <c r="T9783" t="str">
        <v>x</v>
      </c>
      <c r="U9783">
        <f>0.006165*F9783^2</f>
        <v>1.57824</v>
      </c>
      <c r="X9783" t="str">
        <v>x</v>
      </c>
      <c r="Y9783">
        <f>D9780</f>
        <v>1</v>
      </c>
      <c r="Z9783" t="str">
        <v>=</v>
      </c>
      <c r="AA9783">
        <f>IF(AA9784=0,(D9783*N9783+P9783*R9783)*U9783*Y9783,0)</f>
        <v>20.406643200000005</v>
      </c>
    </row>
    <row r="9784">
      <c r="A9784" t="str">
        <f>A9774</f>
        <v>Lantai Attic</v>
      </c>
      <c r="B9784">
        <f>B9774</f>
        <v>62</v>
      </c>
      <c r="D9784">
        <f>IF(AND(D9781=D9782,D9782=D9783,D9781=D9783),D9781,0)</f>
        <v>0</v>
      </c>
      <c r="E9784" t="str">
        <v>D</v>
      </c>
      <c r="F9784">
        <f>IF(AND(F9781=F9782,F9781=F9783,F9782=F9783),F9781,0)</f>
        <v>16</v>
      </c>
      <c r="L9784" t="str">
        <v>Total panjang per balok</v>
      </c>
      <c r="M9784" t="str">
        <v>=</v>
      </c>
      <c r="N9784">
        <f>IF(AND(D9781=D9782,D9781=D9783,D9782=D9783,F9781=F9782,F9781=F9783,F9782=F9783),SUM(N9781:N9783),0)</f>
        <v>0</v>
      </c>
      <c r="O9784" t="str">
        <v>+</v>
      </c>
      <c r="P9784">
        <f>IF(N9784&gt;12,ROUNDDOWN(N9784/12,0),0)</f>
        <v>0</v>
      </c>
      <c r="Q9784" t="str">
        <v>x</v>
      </c>
      <c r="R9784">
        <f>IF(P9784&gt;0,MAX(VLOOKUP(F9784,$D$6:$G$15,3,FALSE),600),0)/1000</f>
        <v>0</v>
      </c>
      <c r="T9784" t="str">
        <v>x</v>
      </c>
      <c r="U9784">
        <f>U9783</f>
        <v>1.57824</v>
      </c>
      <c r="V9784" t="str">
        <v>x</v>
      </c>
      <c r="W9784">
        <f>D9784</f>
        <v>0</v>
      </c>
      <c r="X9784" t="str">
        <v>x</v>
      </c>
      <c r="Y9784">
        <f>Y9783</f>
        <v>1</v>
      </c>
      <c r="Z9784" t="str">
        <v>=</v>
      </c>
      <c r="AA9784">
        <f>(N9784+P9784*R9784/1000)*U9784*W9784*Y9784</f>
        <v>0</v>
      </c>
    </row>
    <row r="9786">
      <c r="A9786" t="str">
        <f>A9774</f>
        <v>Lantai Attic</v>
      </c>
      <c r="B9786">
        <f>B9774</f>
        <v>62</v>
      </c>
      <c r="C9786" t="str">
        <v>Tul Peminggang</v>
      </c>
      <c r="D9786">
        <f>VLOOKUP(D9774,'Detail Balok'!$C$10:$AU$110,13,FALSE)</f>
        <v>2</v>
      </c>
      <c r="E9786" t="str">
        <v>D</v>
      </c>
      <c r="F9786">
        <f>VLOOKUP(D9774,'Detail Balok'!$C$10:$AU$110,15,FALSE)</f>
        <v>10</v>
      </c>
      <c r="J9786">
        <f>+D9776/1000</f>
        <v>9</v>
      </c>
      <c r="K9786" t="str">
        <v>+</v>
      </c>
      <c r="L9786">
        <f>2*$F$16*F9786/1000</f>
        <v>0.24</v>
      </c>
      <c r="M9786" t="str">
        <v>=</v>
      </c>
      <c r="N9786">
        <f>J9786+L9786</f>
        <v>9.24</v>
      </c>
      <c r="O9786" t="str">
        <v>+</v>
      </c>
      <c r="P9786">
        <f>IF(N9786&gt;12,ROUNDDOWN(N9786/12,0),0)</f>
        <v>0</v>
      </c>
      <c r="Q9786" t="str">
        <v>x</v>
      </c>
      <c r="R9786">
        <f>IF(P9786&gt;0,MAX(VLOOKUP(F9786,$D$6:$G$15,3,FALSE),600),0)/1000</f>
        <v>0</v>
      </c>
      <c r="T9786" t="str">
        <v>x</v>
      </c>
      <c r="U9786">
        <f>0.006165*F9786^2</f>
        <v>0.6165</v>
      </c>
      <c r="V9786" t="str">
        <v>x</v>
      </c>
      <c r="W9786">
        <f>+D9786</f>
        <v>2</v>
      </c>
      <c r="X9786" t="str">
        <v>x</v>
      </c>
      <c r="Y9786">
        <f>D9780</f>
        <v>1</v>
      </c>
      <c r="Z9786" t="str">
        <v>=</v>
      </c>
      <c r="AA9786">
        <f>(N9786+P9786*R9786/1000)*U9786*W9786*Y9786</f>
        <v>11.392920000000002</v>
      </c>
    </row>
    <row r="9789">
      <c r="A9789" t="str">
        <f>A9774</f>
        <v>Lantai Attic</v>
      </c>
      <c r="B9789">
        <f>B9774</f>
        <v>62</v>
      </c>
      <c r="C9789" t="str">
        <v>Tul Bawah Tumpuan</v>
      </c>
      <c r="D9789">
        <f>VLOOKUP(D9774,'Detail Balok'!$C$10:$AU$110,22,FALSE)</f>
        <v>3</v>
      </c>
      <c r="E9789" t="str">
        <v>D</v>
      </c>
      <c r="F9789">
        <f>VLOOKUP(D9774,'Detail Balok'!$C$10:$AU$110,24,FALSE)</f>
        <v>16</v>
      </c>
      <c r="I9789" t="str">
        <v>(</v>
      </c>
      <c r="J9789">
        <f>+J9781</f>
        <v>2.25</v>
      </c>
      <c r="K9789" t="str">
        <v>+</v>
      </c>
      <c r="L9789">
        <f>MAX(VLOOKUP(F9789,N$6:P$15,3,FALSE)/1000,2/3*D9779/1000)+F$16*F9789/1000</f>
        <v>0.192</v>
      </c>
      <c r="M9789" t="str">
        <v>=</v>
      </c>
      <c r="N9789">
        <f>J9789+L9789</f>
        <v>2.442</v>
      </c>
      <c r="O9789" t="str">
        <v>+</v>
      </c>
      <c r="P9789">
        <f>D9789-D9790</f>
        <v>-2</v>
      </c>
      <c r="Q9789" t="str">
        <v>x</v>
      </c>
      <c r="R9789">
        <f>IF(P9789&gt;0,$F$18*F9789/1000,0)</f>
        <v>0</v>
      </c>
      <c r="S9789" t="str">
        <v>)</v>
      </c>
      <c r="T9789" t="str">
        <v>x</v>
      </c>
      <c r="U9789">
        <f>0.006165*F9789^2</f>
        <v>1.57824</v>
      </c>
      <c r="X9789" t="str">
        <v>x</v>
      </c>
      <c r="Y9789">
        <f>D9780</f>
        <v>1</v>
      </c>
      <c r="Z9789" t="str">
        <v>=</v>
      </c>
      <c r="AA9789">
        <f>IF(AA9792=0,(D9789*N9789+P9789*R9789)*U9789*Y9789,0)</f>
        <v>11.56218624</v>
      </c>
    </row>
    <row r="9790">
      <c r="A9790" t="str">
        <f>A9774</f>
        <v>Lantai Attic</v>
      </c>
      <c r="B9790">
        <f>B9774</f>
        <v>62</v>
      </c>
      <c r="C9790" t="str">
        <v>Tul Bawah Lapangan</v>
      </c>
      <c r="D9790">
        <f>VLOOKUP(D9774,'Detail Balok'!$C$10:$AU$110,25,FALSE)</f>
        <v>5</v>
      </c>
      <c r="E9790" t="str">
        <v>D</v>
      </c>
      <c r="F9790">
        <f>VLOOKUP(D9774,'Detail Balok'!$C$10:$AU$110,27,FALSE)</f>
        <v>16</v>
      </c>
      <c r="I9790" t="str">
        <v>(</v>
      </c>
      <c r="J9790">
        <f>+J9782</f>
        <v>4.5</v>
      </c>
      <c r="K9790" t="str">
        <v>+</v>
      </c>
      <c r="M9790" t="str">
        <v>=</v>
      </c>
      <c r="N9790">
        <f>J9790+L9790</f>
        <v>4.5</v>
      </c>
      <c r="O9790" t="str">
        <v>+</v>
      </c>
      <c r="P9790">
        <f>MAX(D9790-D9789,D9790-D9791)</f>
        <v>2</v>
      </c>
      <c r="Q9790" t="str">
        <v>x</v>
      </c>
      <c r="R9790">
        <f>IF(P9790&gt;0,2*(1-2*$F$19-1/2)*D9777/1000,0)</f>
        <v>1.7999999999999996</v>
      </c>
      <c r="S9790" t="str">
        <v>)</v>
      </c>
      <c r="T9790" t="str">
        <v>x</v>
      </c>
      <c r="U9790">
        <f>0.006165*F9790^2</f>
        <v>1.57824</v>
      </c>
      <c r="X9790" t="str">
        <v>x</v>
      </c>
      <c r="Y9790">
        <f>D9780</f>
        <v>1</v>
      </c>
      <c r="Z9790" t="str">
        <v>=</v>
      </c>
      <c r="AA9790">
        <f>IF(AA9792=0,(D9790*N9790+P9790*R9790)*U9790*Y9790,0)</f>
        <v>41.192064</v>
      </c>
    </row>
    <row r="9791">
      <c r="A9791" t="str">
        <f>A9774</f>
        <v>Lantai Attic</v>
      </c>
      <c r="B9791">
        <f>B9774</f>
        <v>62</v>
      </c>
      <c r="C9791" t="str">
        <v>Tul Bawah Tumpuan</v>
      </c>
      <c r="D9791">
        <f>VLOOKUP(D9774,'Detail Balok'!$C$10:$AU$110,28,FALSE)</f>
        <v>3</v>
      </c>
      <c r="E9791" t="str">
        <v>D</v>
      </c>
      <c r="F9791">
        <f>VLOOKUP(D9774,'Detail Balok'!$C$10:$AU$110,30,FALSE)</f>
        <v>16</v>
      </c>
      <c r="I9791" t="str">
        <v>(</v>
      </c>
      <c r="J9791">
        <f>+J9783</f>
        <v>2.25</v>
      </c>
      <c r="K9791" t="str">
        <v>+</v>
      </c>
      <c r="L9791">
        <f>MAX(VLOOKUP(F9791,N$6:P$15,3,FALSE)/1000,2/3*D9779/1000)+F$16*F9791/1000</f>
        <v>0.192</v>
      </c>
      <c r="M9791" t="str">
        <v>=</v>
      </c>
      <c r="N9791">
        <f>J9791+L9791</f>
        <v>2.442</v>
      </c>
      <c r="O9791" t="str">
        <v>+</v>
      </c>
      <c r="P9791">
        <f>D9791-D9790</f>
        <v>-2</v>
      </c>
      <c r="Q9791" t="str">
        <v>x</v>
      </c>
      <c r="R9791">
        <f>IF(P9791&gt;0,$F$18*F9791/1000,0)</f>
        <v>0</v>
      </c>
      <c r="S9791" t="str">
        <v>)</v>
      </c>
      <c r="T9791" t="str">
        <v>x</v>
      </c>
      <c r="U9791">
        <f>0.006165*F9791^2</f>
        <v>1.57824</v>
      </c>
      <c r="X9791" t="str">
        <v>x</v>
      </c>
      <c r="Y9791">
        <f>D9780</f>
        <v>1</v>
      </c>
      <c r="Z9791" t="str">
        <v>=</v>
      </c>
      <c r="AA9791">
        <f>IF(AA9792=0,(D9791*N9791+P9791*R9791)*U9791*Y9791,0)</f>
        <v>11.56218624</v>
      </c>
    </row>
    <row r="9792">
      <c r="A9792" t="str">
        <f>A9774</f>
        <v>Lantai Attic</v>
      </c>
      <c r="B9792">
        <f>B9774</f>
        <v>62</v>
      </c>
      <c r="D9792">
        <f>IF(AND(D9789=D9790,D9790=D9791,D9789=D9791),D9789,0)</f>
        <v>0</v>
      </c>
      <c r="E9792" t="str">
        <v>D</v>
      </c>
      <c r="F9792">
        <f>IF(AND(F9789=F9790,F9789=F9791,F9790=F9791),F9789,0)</f>
        <v>16</v>
      </c>
      <c r="L9792" t="str">
        <v>Total panjang per balok</v>
      </c>
      <c r="M9792" t="str">
        <v>=</v>
      </c>
      <c r="N9792">
        <f>IF(AND(D9789=D9790,D9789=D9791,D9790=D9791,F9789=F9790,F9789=F9791,F9790=F9791),SUM(N9789:N9791),0)</f>
        <v>0</v>
      </c>
      <c r="O9792" t="str">
        <v>+</v>
      </c>
      <c r="P9792">
        <f>IF(N9792&gt;12,ROUNDDOWN(N9792/12,0),0)</f>
        <v>0</v>
      </c>
      <c r="Q9792" t="str">
        <v>x</v>
      </c>
      <c r="R9792">
        <f>IF(P9792&gt;0,MAX(VLOOKUP(F9792,$D$6:$G$15,3,FALSE),600),0)/1000</f>
        <v>0</v>
      </c>
      <c r="T9792" t="str">
        <v>x</v>
      </c>
      <c r="U9792">
        <f>U9791</f>
        <v>1.57824</v>
      </c>
      <c r="V9792" t="str">
        <v>x</v>
      </c>
      <c r="W9792">
        <f>D9792</f>
        <v>0</v>
      </c>
      <c r="X9792" t="str">
        <v>x</v>
      </c>
      <c r="Y9792">
        <f>Y9791</f>
        <v>1</v>
      </c>
      <c r="Z9792" t="str">
        <v>=</v>
      </c>
      <c r="AA9792">
        <f>(N9792+P9792*R9792/1000)*U9792*W9792*Y9792</f>
        <v>0</v>
      </c>
    </row>
    <row r="9794">
      <c r="A9794" t="str">
        <f>A9774</f>
        <v>Lantai Attic</v>
      </c>
      <c r="B9794">
        <f>B9774</f>
        <v>62</v>
      </c>
      <c r="C9794" t="str">
        <v>Sengkang Tumpuan</v>
      </c>
      <c r="D9794">
        <f>VLOOKUP(D9774,'Detail Balok'!$C$10:$AU$110,31,FALSE)</f>
        <v>0</v>
      </c>
      <c r="E9794" t="str">
        <v>D</v>
      </c>
      <c r="F9794">
        <f>VLOOKUP(D9774,'Detail Balok'!$C$10:$AU$110,33,FALSE)</f>
        <v>10</v>
      </c>
      <c r="G9794" t="str">
        <v>-</v>
      </c>
      <c r="H9794">
        <f>VLOOKUP(D9774,'Detail Balok'!$C$10:$AU$110,35,FALSE)</f>
        <v>90</v>
      </c>
      <c r="J9794">
        <f>(IF(D9794=0,(2*(D9775+G9775))-(F$5*8),IF(D9794=3,(2*(D9775+G9775))-(F$5*8)+(G9775-2*F$5),IF(D9794=4,(2*(D9775+G9775))-(F$5*8)+2*(G9775-2*F$5)))))/1000</f>
        <v>1.08</v>
      </c>
      <c r="K9794" t="str">
        <v>+</v>
      </c>
      <c r="L9794">
        <f>IF(D9794=0,2*MAX(6*F9794,75),(D9794-1)*2*MAX(6*F9794,75))/1000</f>
        <v>0.15</v>
      </c>
      <c r="M9794" t="str">
        <v>=</v>
      </c>
      <c r="N9794">
        <f>J9794+L9794</f>
        <v>1.23</v>
      </c>
      <c r="T9794" t="str">
        <v>x</v>
      </c>
      <c r="U9794">
        <f>0.006165*F9794^2</f>
        <v>0.6165</v>
      </c>
      <c r="V9794" t="str">
        <v>x</v>
      </c>
      <c r="W9794">
        <f>IF(D9777&gt;4*G9775,ROUND(MAX(D9777/4,2*G9775)/H9794,0)+1,ROUND(D9777/H9794,0)+1)</f>
        <v>26</v>
      </c>
      <c r="X9794" t="str">
        <v>x</v>
      </c>
      <c r="Y9794">
        <f>D9780</f>
        <v>1</v>
      </c>
      <c r="Z9794" t="str">
        <v>=</v>
      </c>
      <c r="AA9794">
        <f>N9794*U9794*W9794*Y9794</f>
        <v>19.715670000000003</v>
      </c>
    </row>
    <row r="9795">
      <c r="A9795" t="str">
        <f>A9774</f>
        <v>Lantai Attic</v>
      </c>
      <c r="B9795">
        <f>B9774</f>
        <v>62</v>
      </c>
      <c r="C9795" t="str">
        <v>Sengkang Lapangan</v>
      </c>
      <c r="D9795">
        <f>VLOOKUP(D9774,'Detail Balok'!$C$10:$AU$110,36,FALSE)</f>
        <v>0</v>
      </c>
      <c r="E9795" t="str">
        <v>D</v>
      </c>
      <c r="F9795">
        <f>VLOOKUP(D9774,'Detail Balok'!$C$10:$AU$110,38,FALSE)</f>
        <v>10</v>
      </c>
      <c r="G9795" t="str">
        <v>-</v>
      </c>
      <c r="H9795">
        <f>VLOOKUP(D9774,'Detail Balok'!$C$10:$AU$110,40,FALSE)</f>
        <v>200</v>
      </c>
      <c r="J9795">
        <f>(IF(D9795=0,(2*(D9775+G9775))-(F$5*8),IF(D9795=3,(2*(D9775+G9775))-(F$5*8)+(G9775-2*F$5),IF(D9795=4,(2*(D9775+G9775))-(F$5*8)+2*(G9775-2*F$5)))))/1000</f>
        <v>1.08</v>
      </c>
      <c r="K9795" t="str">
        <v>+</v>
      </c>
      <c r="L9795">
        <f>IF(D9795=0,2*MAX(6*F9795,75),(D9795-1)*2*MAX(6*F9795,75))/1000</f>
        <v>0.15</v>
      </c>
      <c r="M9795" t="str">
        <v>=</v>
      </c>
      <c r="N9795">
        <f>J9795+L9795</f>
        <v>1.23</v>
      </c>
      <c r="T9795" t="str">
        <v>x</v>
      </c>
      <c r="U9795">
        <f>0.006165*F9795^2</f>
        <v>0.6165</v>
      </c>
      <c r="V9795" t="str">
        <v>x</v>
      </c>
      <c r="W9795">
        <f>IF(D9777-MAX(D9777/4,2*G9775)*2&gt;0,ROUND((D9777-MAX(D9777/4,2*G9775)*2)/H9795,0),0)</f>
        <v>23</v>
      </c>
      <c r="X9795" t="str">
        <v>x</v>
      </c>
      <c r="Y9795">
        <f>D9780</f>
        <v>1</v>
      </c>
      <c r="Z9795" t="str">
        <v>=</v>
      </c>
      <c r="AA9795">
        <f>N9795*U9795*W9795*Y9795</f>
        <v>17.440785</v>
      </c>
    </row>
    <row r="9796">
      <c r="A9796" t="str">
        <f>A9774</f>
        <v>Lantai Attic</v>
      </c>
      <c r="B9796">
        <f>B9774</f>
        <v>62</v>
      </c>
      <c r="C9796" t="str">
        <v>Sengkang Tumpuan</v>
      </c>
      <c r="D9796">
        <f>VLOOKUP(D9774,'Detail Balok'!$C$10:$AU$110,41,FALSE)</f>
        <v>0</v>
      </c>
      <c r="E9796" t="str">
        <v>D</v>
      </c>
      <c r="F9796">
        <f>VLOOKUP(D9774,'Detail Balok'!$C$10:$AU$110,43,FALSE)</f>
        <v>10</v>
      </c>
      <c r="G9796" t="str">
        <v>-</v>
      </c>
      <c r="H9796">
        <f>VLOOKUP(D9774,'Detail Balok'!$C$10:$AU$110,45,FALSE)</f>
        <v>90</v>
      </c>
      <c r="J9796">
        <f>(IF(D9796=0,(2*(D9775+G9775))-(F$5*8),IF(D9796=3,(2*(D9775+G9775))-(F$5*8)+(G9775-2*F$5),IF(D9796=4,(2*(D9775+G9775))-(F$5*8)+2*(G9775-2*F$5)))))/1000</f>
        <v>1.08</v>
      </c>
      <c r="K9796" t="str">
        <v>+</v>
      </c>
      <c r="L9796">
        <f>IF(D9796=0,2*MAX(6*F9796,75),(D9796-1)*2*MAX(6*F9796,75))/1000</f>
        <v>0.15</v>
      </c>
      <c r="M9796" t="str">
        <v>=</v>
      </c>
      <c r="N9796">
        <f>J9796+L9796</f>
        <v>1.23</v>
      </c>
      <c r="T9796" t="str">
        <v>x</v>
      </c>
      <c r="U9796">
        <f>0.006165*F9796^2</f>
        <v>0.6165</v>
      </c>
      <c r="V9796" t="str">
        <v>x</v>
      </c>
      <c r="W9796">
        <f>IF(D9777&gt;4*G9775,ROUND(MAX(D9777/4,2*G9775)/H9796,0)+1,0)</f>
        <v>26</v>
      </c>
      <c r="X9796" t="str">
        <v>x</v>
      </c>
      <c r="Y9796">
        <f>D9780</f>
        <v>1</v>
      </c>
      <c r="Z9796" t="str">
        <v>=</v>
      </c>
      <c r="AA9796">
        <f>N9796*U9796*W9796*Y9796</f>
        <v>19.715670000000003</v>
      </c>
    </row>
    <row r="9798">
      <c r="A9798" t="str">
        <f>A9774</f>
        <v>Lantai Attic</v>
      </c>
      <c r="B9798">
        <f>B9774</f>
        <v>62</v>
      </c>
      <c r="C9798" t="str">
        <v>Kait Horizontal Tump.</v>
      </c>
      <c r="D9798">
        <f>VLOOKUP(D9774,'Detail Balok'!$C$10:$BJ$110,46,FALSE)</f>
        <v>0</v>
      </c>
      <c r="E9798" t="str">
        <v>D</v>
      </c>
      <c r="F9798">
        <f>VLOOKUP(D9774,'Detail Balok'!$C$10:$BJ$110,48,FALSE)</f>
        <v>0</v>
      </c>
      <c r="G9798" t="str">
        <v>-</v>
      </c>
      <c r="H9798">
        <f>VLOOKUP(D9774,'Detail Balok'!$C$10:$BJ$110,50,FALSE)</f>
        <v>100</v>
      </c>
      <c r="J9798">
        <f>(D9775-2*F$5)/1000</f>
        <v>0.12</v>
      </c>
      <c r="K9798" t="str">
        <v>+</v>
      </c>
      <c r="L9798">
        <f>IF(D9798=0,2*MAX(6*F9798,75),(D9798-1)*2*MAX(6*F9798,75))/1000</f>
        <v>0.15</v>
      </c>
      <c r="M9798" t="str">
        <v>=</v>
      </c>
      <c r="N9798">
        <f>J9798+L9798</f>
        <v>0.27</v>
      </c>
      <c r="T9798" t="str">
        <v>x</v>
      </c>
      <c r="U9798">
        <f>0.006165*F9798^2</f>
        <v>0</v>
      </c>
      <c r="V9798" t="str">
        <v>x</v>
      </c>
      <c r="W9798">
        <f>W9794</f>
        <v>26</v>
      </c>
      <c r="X9798" t="str">
        <v>x</v>
      </c>
      <c r="Y9798">
        <f>D9784</f>
        <v>0</v>
      </c>
      <c r="Z9798" t="str">
        <v>=</v>
      </c>
      <c r="AA9798">
        <f>N9798*U9798*W9798*Y9798</f>
        <v>0</v>
      </c>
    </row>
    <row r="9799">
      <c r="A9799" t="str">
        <f>A9774</f>
        <v>Lantai Attic</v>
      </c>
      <c r="B9799">
        <f>B9774</f>
        <v>62</v>
      </c>
      <c r="C9799" t="str">
        <v>Kait Horizontal Lap.</v>
      </c>
      <c r="D9799">
        <f>VLOOKUP(D9774,'Detail Balok'!$C$10:$BJ$110,51,FALSE)</f>
        <v>0</v>
      </c>
      <c r="E9799" t="str">
        <v>D</v>
      </c>
      <c r="F9799">
        <f>VLOOKUP(D9774,'Detail Balok'!$C$10:$BJ$110,53,FALSE)</f>
        <v>0</v>
      </c>
      <c r="G9799" t="str">
        <v>-</v>
      </c>
      <c r="H9799">
        <f>VLOOKUP(D9774,'Detail Balok'!$C$10:$BJ$110,55,FALSE)</f>
        <v>100</v>
      </c>
      <c r="J9799">
        <f>(D9775-2*F$5)/1000</f>
        <v>0.12</v>
      </c>
      <c r="K9799" t="str">
        <v>+</v>
      </c>
      <c r="L9799">
        <f>IF(D9799=0,2*MAX(6*F9799,75),(D9799-1)*2*MAX(6*F9799,75))/1000</f>
        <v>0.15</v>
      </c>
      <c r="M9799" t="str">
        <v>=</v>
      </c>
      <c r="N9799">
        <f>J9799+L9799</f>
        <v>0.27</v>
      </c>
      <c r="T9799" t="str">
        <v>x</v>
      </c>
      <c r="U9799">
        <f>0.006165*F9799^2</f>
        <v>0</v>
      </c>
      <c r="V9799" t="str">
        <v>x</v>
      </c>
      <c r="W9799">
        <f>W9795</f>
        <v>23</v>
      </c>
      <c r="X9799" t="str">
        <v>x</v>
      </c>
      <c r="Y9799">
        <f>D9784</f>
        <v>0</v>
      </c>
      <c r="Z9799" t="str">
        <v>=</v>
      </c>
      <c r="AA9799">
        <f>N9799*U9799*W9799*Y9799</f>
        <v>0</v>
      </c>
    </row>
    <row r="9800">
      <c r="A9800" t="str">
        <f>A9774</f>
        <v>Lantai Attic</v>
      </c>
      <c r="B9800">
        <f>B9774</f>
        <v>62</v>
      </c>
      <c r="C9800" t="str">
        <v>Kait Horizontal Tump.</v>
      </c>
      <c r="D9800">
        <f>VLOOKUP(D9774,'Detail Balok'!$C$10:$BJ$110,56,FALSE)</f>
        <v>0</v>
      </c>
      <c r="E9800" t="str">
        <v>D</v>
      </c>
      <c r="F9800">
        <f>VLOOKUP(D9774,'Detail Balok'!$C$10:$BJ$110,58,FALSE)</f>
        <v>0</v>
      </c>
      <c r="G9800" t="str">
        <v>-</v>
      </c>
      <c r="H9800">
        <f>VLOOKUP(D9774,'Detail Balok'!$C$10:$BJ$110,60,FALSE)</f>
        <v>100</v>
      </c>
      <c r="J9800">
        <f>(D9775-2*F$5)/1000</f>
        <v>0.12</v>
      </c>
      <c r="K9800" t="str">
        <v>+</v>
      </c>
      <c r="L9800">
        <f>IF(D9800=0,2*MAX(6*F9800,75),(D9800-1)*2*MAX(6*F9800,75))/1000</f>
        <v>0.15</v>
      </c>
      <c r="M9800" t="str">
        <v>=</v>
      </c>
      <c r="N9800">
        <f>J9800+L9800</f>
        <v>0.27</v>
      </c>
      <c r="T9800" t="str">
        <v>x</v>
      </c>
      <c r="U9800">
        <f>0.006165*F9800^2</f>
        <v>0</v>
      </c>
      <c r="V9800" t="str">
        <v>x</v>
      </c>
      <c r="W9800">
        <f>W9796</f>
        <v>26</v>
      </c>
      <c r="X9800" t="str">
        <v>x</v>
      </c>
      <c r="Y9800">
        <f>D9784</f>
        <v>0</v>
      </c>
      <c r="Z9800" t="str">
        <v>=</v>
      </c>
      <c r="AA9800">
        <f>N9800*U9800*W9800*Y9800</f>
        <v>0</v>
      </c>
    </row>
    <row r="9804">
      <c r="A9804" t="str">
        <f>A9774</f>
        <v>Lantai Attic</v>
      </c>
      <c r="B9804">
        <f>B9774+1</f>
        <v>63</v>
      </c>
      <c r="C9804" t="str">
        <f>CONCATENATE(A9804," no. ",B9804)</f>
        <v>Lantai Attic no. 63</v>
      </c>
      <c r="D9804" t="str">
        <f>VLOOKUP(C9804,'Data Panjang Balok'!$C$9:$N$424,2,FALSE)</f>
        <v>B245-3</v>
      </c>
    </row>
    <row r="9805">
      <c r="C9805" t="str">
        <v>Dimensi</v>
      </c>
      <c r="D9805">
        <f>VLOOKUP(D9804,'Detail Balok'!$C$10:$AU$110,2,FALSE)</f>
        <v>200</v>
      </c>
      <c r="F9805" t="str">
        <v>x</v>
      </c>
      <c r="G9805">
        <f>VLOOKUP(D9804,'Detail Balok'!$C$10:$AU$110,3,FALSE)</f>
        <v>450</v>
      </c>
    </row>
    <row r="9806">
      <c r="C9806" t="str">
        <v>Panjang as ke as</v>
      </c>
      <c r="D9806">
        <f>VLOOKUP(C9804,'Data Panjang Balok'!$C$9:$N$424,4,FALSE)</f>
        <v>2000</v>
      </c>
    </row>
    <row r="9807">
      <c r="C9807" t="str">
        <v>Panjang netto</v>
      </c>
      <c r="D9807">
        <f>VLOOKUP(C9804,'Data Panjang Balok'!$C$9:$N$424,7,FALSE)</f>
        <v>2000</v>
      </c>
    </row>
    <row r="9808">
      <c r="C9808" t="str">
        <v>Kolom / balok kiri</v>
      </c>
      <c r="D9808">
        <f>VLOOKUP(C9804,'Data Panjang Balok'!$C$9:$N$424,9,FALSE)</f>
        <v>0</v>
      </c>
    </row>
    <row r="9809">
      <c r="C9809" t="str">
        <v>Kolom / balok kanan</v>
      </c>
      <c r="D9809">
        <f>VLOOKUP(C9804,'Data Panjang Balok'!$C$9:$N$424,10,FALSE)</f>
        <v>0</v>
      </c>
    </row>
    <row r="9810">
      <c r="C9810" t="str">
        <v>Jumlah</v>
      </c>
      <c r="D9810">
        <f>VLOOKUP(C9804,'Data Panjang Balok'!$C$9:$N$424,3,FALSE)</f>
        <v>1</v>
      </c>
    </row>
    <row r="9811">
      <c r="A9811" t="str">
        <f>A9804</f>
        <v>Lantai Attic</v>
      </c>
      <c r="B9811">
        <f>B9804</f>
        <v>63</v>
      </c>
      <c r="C9811" t="str">
        <v>Tul Atas Tumpuan</v>
      </c>
      <c r="D9811">
        <f>VLOOKUP(D9804,'Detail Balok'!$C$10:$AU$110,4,FALSE)</f>
        <v>2</v>
      </c>
      <c r="E9811" t="str">
        <v>D</v>
      </c>
      <c r="F9811">
        <f>VLOOKUP(D9804,'Detail Balok'!$C$10:$AU$110,6,FALSE)</f>
        <v>16</v>
      </c>
      <c r="I9811" t="str">
        <v>(</v>
      </c>
      <c r="J9811">
        <f>+D9806/4/1000</f>
        <v>0.5</v>
      </c>
      <c r="K9811" t="str">
        <v>+</v>
      </c>
      <c r="L9811">
        <f>MAX(VLOOKUP(F9811,N$6:P$15,3,FALSE)/1000,2/3*D9808/1000)+F$16*F9811/1000</f>
        <v>0.192</v>
      </c>
      <c r="M9811" t="str">
        <v>=</v>
      </c>
      <c r="N9811">
        <f>J9811+L9811</f>
        <v>0.692</v>
      </c>
      <c r="O9811" t="str">
        <v>+</v>
      </c>
      <c r="P9811">
        <f>D9811-D9812</f>
        <v>0</v>
      </c>
      <c r="Q9811" t="str">
        <v>x</v>
      </c>
      <c r="R9811">
        <f>IF(P9811&gt;0,$F$18*F9811/1000,0)</f>
        <v>0</v>
      </c>
      <c r="S9811" t="str">
        <v>)</v>
      </c>
      <c r="T9811" t="str">
        <v>x</v>
      </c>
      <c r="U9811">
        <f>0.006165*F9811^2</f>
        <v>1.57824</v>
      </c>
      <c r="X9811" t="str">
        <v>x</v>
      </c>
      <c r="Y9811">
        <f>D9810</f>
        <v>1</v>
      </c>
      <c r="Z9811" t="str">
        <v>=</v>
      </c>
      <c r="AA9811">
        <f>IF(AA9814=0,(D9811*N9811+P9811*R9811)*U9811*Y9811,0)</f>
        <v>0</v>
      </c>
    </row>
    <row r="9812">
      <c r="A9812" t="str">
        <f>A9804</f>
        <v>Lantai Attic</v>
      </c>
      <c r="B9812">
        <f>B9804</f>
        <v>63</v>
      </c>
      <c r="C9812" t="str">
        <v>Tul Atas Lapangan</v>
      </c>
      <c r="D9812">
        <f>VLOOKUP(D9804,'Detail Balok'!$C$10:$AU$110,7,FALSE)</f>
        <v>2</v>
      </c>
      <c r="E9812" t="str">
        <v>D</v>
      </c>
      <c r="F9812">
        <f>VLOOKUP(D9804,'Detail Balok'!$C$10:$AU$110,9,FALSE)</f>
        <v>16</v>
      </c>
      <c r="I9812" t="str">
        <v>(</v>
      </c>
      <c r="J9812">
        <f>+D9806/2/1000</f>
        <v>1</v>
      </c>
      <c r="K9812" t="str">
        <v>+</v>
      </c>
      <c r="M9812" t="str">
        <v>=</v>
      </c>
      <c r="N9812">
        <f>J9812+L9812</f>
        <v>1</v>
      </c>
      <c r="O9812" t="str">
        <v>+</v>
      </c>
      <c r="P9812">
        <f>MAX(D9812-D9811,D9812-D9813)</f>
        <v>0</v>
      </c>
      <c r="Q9812" t="str">
        <v>x</v>
      </c>
      <c r="R9812">
        <f>IF(P9812&gt;0,2*(1-2*$F$19-1/2)*D9807/1000,0)</f>
        <v>0</v>
      </c>
      <c r="S9812" t="str">
        <v>)</v>
      </c>
      <c r="T9812" t="str">
        <v>x</v>
      </c>
      <c r="U9812">
        <f>0.006165*F9812^2</f>
        <v>1.57824</v>
      </c>
      <c r="X9812" t="str">
        <v>x</v>
      </c>
      <c r="Y9812">
        <f>D9810</f>
        <v>1</v>
      </c>
      <c r="Z9812" t="str">
        <v>=</v>
      </c>
      <c r="AA9812">
        <f>IF(AA9814=0,(D9812*N9812+P9812*R9812)*U9812*Y9812,0)</f>
        <v>0</v>
      </c>
    </row>
    <row r="9813">
      <c r="A9813" t="str">
        <f>A9804</f>
        <v>Lantai Attic</v>
      </c>
      <c r="B9813">
        <f>B9804</f>
        <v>63</v>
      </c>
      <c r="C9813" t="str">
        <v>Tul Atas Tumpuan</v>
      </c>
      <c r="D9813">
        <f>VLOOKUP(D9804,'Detail Balok'!$C$10:$AU$110,10,FALSE)</f>
        <v>2</v>
      </c>
      <c r="E9813" t="str">
        <v>D</v>
      </c>
      <c r="F9813">
        <f>VLOOKUP(D9804,'Detail Balok'!$C$10:$AU$110,12,FALSE)</f>
        <v>16</v>
      </c>
      <c r="I9813" t="str">
        <v>(</v>
      </c>
      <c r="J9813">
        <f>+D9806/4/1000</f>
        <v>0.5</v>
      </c>
      <c r="K9813" t="str">
        <v>+</v>
      </c>
      <c r="L9813">
        <f>MAX(VLOOKUP(F9813,N$6:P$15,3,FALSE)/1000,2/3*D9808/1000)+F$16*F9813/1000</f>
        <v>0.192</v>
      </c>
      <c r="M9813" t="str">
        <v>=</v>
      </c>
      <c r="N9813">
        <f>J9813+L9813</f>
        <v>0.692</v>
      </c>
      <c r="O9813" t="str">
        <v>+</v>
      </c>
      <c r="P9813">
        <f>D9813-D9812</f>
        <v>0</v>
      </c>
      <c r="Q9813" t="str">
        <v>x</v>
      </c>
      <c r="R9813">
        <f>IF(P9813&gt;0,$F$18*F9813/1000,0)</f>
        <v>0</v>
      </c>
      <c r="S9813" t="str">
        <v>)</v>
      </c>
      <c r="T9813" t="str">
        <v>x</v>
      </c>
      <c r="U9813">
        <f>0.006165*F9813^2</f>
        <v>1.57824</v>
      </c>
      <c r="X9813" t="str">
        <v>x</v>
      </c>
      <c r="Y9813">
        <f>D9810</f>
        <v>1</v>
      </c>
      <c r="Z9813" t="str">
        <v>=</v>
      </c>
      <c r="AA9813">
        <f>IF(AA9814=0,(D9813*N9813+P9813*R9813)*U9813*Y9813,0)</f>
        <v>0</v>
      </c>
    </row>
    <row r="9814">
      <c r="A9814" t="str">
        <f>A9804</f>
        <v>Lantai Attic</v>
      </c>
      <c r="B9814">
        <f>B9804</f>
        <v>63</v>
      </c>
      <c r="D9814">
        <f>IF(AND(D9811=D9812,D9812=D9813,D9811=D9813),D9811,0)</f>
        <v>2</v>
      </c>
      <c r="E9814" t="str">
        <v>D</v>
      </c>
      <c r="F9814">
        <f>IF(AND(F9811=F9812,F9811=F9813,F9812=F9813),F9811,0)</f>
        <v>16</v>
      </c>
      <c r="L9814" t="str">
        <v>Total panjang per balok</v>
      </c>
      <c r="M9814" t="str">
        <v>=</v>
      </c>
      <c r="N9814">
        <f>IF(AND(D9811=D9812,D9811=D9813,D9812=D9813,F9811=F9812,F9811=F9813,F9812=F9813),SUM(N9811:N9813),0)</f>
        <v>2.384</v>
      </c>
      <c r="O9814" t="str">
        <v>+</v>
      </c>
      <c r="P9814">
        <f>IF(N9814&gt;12,ROUNDDOWN(N9814/12,0),0)</f>
        <v>0</v>
      </c>
      <c r="Q9814" t="str">
        <v>x</v>
      </c>
      <c r="R9814">
        <f>IF(P9814&gt;0,MAX(VLOOKUP(F9814,$D$6:$G$15,3,FALSE),600),0)/1000</f>
        <v>0</v>
      </c>
      <c r="T9814" t="str">
        <v>x</v>
      </c>
      <c r="U9814">
        <f>U9813</f>
        <v>1.57824</v>
      </c>
      <c r="V9814" t="str">
        <v>x</v>
      </c>
      <c r="W9814">
        <f>D9814</f>
        <v>2</v>
      </c>
      <c r="X9814" t="str">
        <v>x</v>
      </c>
      <c r="Y9814">
        <f>Y9813</f>
        <v>1</v>
      </c>
      <c r="Z9814" t="str">
        <v>=</v>
      </c>
      <c r="AA9814">
        <f>(N9814+P9814*R9814/1000)*U9814*W9814*Y9814</f>
        <v>7.52504832</v>
      </c>
    </row>
    <row r="9816">
      <c r="A9816" t="str">
        <f>A9804</f>
        <v>Lantai Attic</v>
      </c>
      <c r="B9816">
        <f>B9804</f>
        <v>63</v>
      </c>
      <c r="C9816" t="str">
        <v>Tul Peminggang</v>
      </c>
      <c r="D9816">
        <f>VLOOKUP(D9804,'Detail Balok'!$C$10:$AU$110,13,FALSE)</f>
        <v>2</v>
      </c>
      <c r="E9816" t="str">
        <v>D</v>
      </c>
      <c r="F9816">
        <f>VLOOKUP(D9804,'Detail Balok'!$C$10:$AU$110,15,FALSE)</f>
        <v>10</v>
      </c>
      <c r="J9816">
        <f>+D9806/1000</f>
        <v>2</v>
      </c>
      <c r="K9816" t="str">
        <v>+</v>
      </c>
      <c r="L9816">
        <f>2*$F$16*F9816/1000</f>
        <v>0.24</v>
      </c>
      <c r="M9816" t="str">
        <v>=</v>
      </c>
      <c r="N9816">
        <f>J9816+L9816</f>
        <v>2.24</v>
      </c>
      <c r="O9816" t="str">
        <v>+</v>
      </c>
      <c r="P9816">
        <f>IF(N9816&gt;12,ROUNDDOWN(N9816/12,0),0)</f>
        <v>0</v>
      </c>
      <c r="Q9816" t="str">
        <v>x</v>
      </c>
      <c r="R9816">
        <f>IF(P9816&gt;0,MAX(VLOOKUP(F9816,$D$6:$G$15,3,FALSE),600),0)/1000</f>
        <v>0</v>
      </c>
      <c r="T9816" t="str">
        <v>x</v>
      </c>
      <c r="U9816">
        <f>0.006165*F9816^2</f>
        <v>0.6165</v>
      </c>
      <c r="V9816" t="str">
        <v>x</v>
      </c>
      <c r="W9816">
        <f>+D9816</f>
        <v>2</v>
      </c>
      <c r="X9816" t="str">
        <v>x</v>
      </c>
      <c r="Y9816">
        <f>D9810</f>
        <v>1</v>
      </c>
      <c r="Z9816" t="str">
        <v>=</v>
      </c>
      <c r="AA9816">
        <f>(N9816+P9816*R9816/1000)*U9816*W9816*Y9816</f>
        <v>2.7619200000000004</v>
      </c>
    </row>
    <row r="9819">
      <c r="A9819" t="str">
        <f>A9804</f>
        <v>Lantai Attic</v>
      </c>
      <c r="B9819">
        <f>B9804</f>
        <v>63</v>
      </c>
      <c r="C9819" t="str">
        <v>Tul Bawah Tumpuan</v>
      </c>
      <c r="D9819">
        <f>VLOOKUP(D9804,'Detail Balok'!$C$10:$AU$110,22,FALSE)</f>
        <v>2</v>
      </c>
      <c r="E9819" t="str">
        <v>D</v>
      </c>
      <c r="F9819">
        <f>VLOOKUP(D9804,'Detail Balok'!$C$10:$AU$110,24,FALSE)</f>
        <v>16</v>
      </c>
      <c r="I9819" t="str">
        <v>(</v>
      </c>
      <c r="J9819">
        <f>+J9811</f>
        <v>0.5</v>
      </c>
      <c r="K9819" t="str">
        <v>+</v>
      </c>
      <c r="L9819">
        <f>MAX(VLOOKUP(F9819,N$6:P$15,3,FALSE)/1000,2/3*D9809/1000)+F$16*F9819/1000</f>
        <v>0.192</v>
      </c>
      <c r="M9819" t="str">
        <v>=</v>
      </c>
      <c r="N9819">
        <f>J9819+L9819</f>
        <v>0.692</v>
      </c>
      <c r="O9819" t="str">
        <v>+</v>
      </c>
      <c r="P9819">
        <f>D9819-D9820</f>
        <v>0</v>
      </c>
      <c r="Q9819" t="str">
        <v>x</v>
      </c>
      <c r="R9819">
        <f>IF(P9819&gt;0,$F$18*F9819/1000,0)</f>
        <v>0</v>
      </c>
      <c r="S9819" t="str">
        <v>)</v>
      </c>
      <c r="T9819" t="str">
        <v>x</v>
      </c>
      <c r="U9819">
        <f>0.006165*F9819^2</f>
        <v>1.57824</v>
      </c>
      <c r="X9819" t="str">
        <v>x</v>
      </c>
      <c r="Y9819">
        <f>D9810</f>
        <v>1</v>
      </c>
      <c r="Z9819" t="str">
        <v>=</v>
      </c>
      <c r="AA9819">
        <f>IF(AA9822=0,(D9819*N9819+P9819*R9819)*U9819*Y9819,0)</f>
        <v>0</v>
      </c>
    </row>
    <row r="9820">
      <c r="A9820" t="str">
        <f>A9804</f>
        <v>Lantai Attic</v>
      </c>
      <c r="B9820">
        <f>B9804</f>
        <v>63</v>
      </c>
      <c r="C9820" t="str">
        <v>Tul Bawah Lapangan</v>
      </c>
      <c r="D9820">
        <f>VLOOKUP(D9804,'Detail Balok'!$C$10:$AU$110,25,FALSE)</f>
        <v>2</v>
      </c>
      <c r="E9820" t="str">
        <v>D</v>
      </c>
      <c r="F9820">
        <f>VLOOKUP(D9804,'Detail Balok'!$C$10:$AU$110,27,FALSE)</f>
        <v>16</v>
      </c>
      <c r="I9820" t="str">
        <v>(</v>
      </c>
      <c r="J9820">
        <f>+J9812</f>
        <v>1</v>
      </c>
      <c r="K9820" t="str">
        <v>+</v>
      </c>
      <c r="M9820" t="str">
        <v>=</v>
      </c>
      <c r="N9820">
        <f>J9820+L9820</f>
        <v>1</v>
      </c>
      <c r="O9820" t="str">
        <v>+</v>
      </c>
      <c r="P9820">
        <f>MAX(D9820-D9819,D9820-D9821)</f>
        <v>0</v>
      </c>
      <c r="Q9820" t="str">
        <v>x</v>
      </c>
      <c r="R9820">
        <f>IF(P9820&gt;0,2*(1-2*$F$19-1/2)*D9807/1000,0)</f>
        <v>0</v>
      </c>
      <c r="S9820" t="str">
        <v>)</v>
      </c>
      <c r="T9820" t="str">
        <v>x</v>
      </c>
      <c r="U9820">
        <f>0.006165*F9820^2</f>
        <v>1.57824</v>
      </c>
      <c r="X9820" t="str">
        <v>x</v>
      </c>
      <c r="Y9820">
        <f>D9810</f>
        <v>1</v>
      </c>
      <c r="Z9820" t="str">
        <v>=</v>
      </c>
      <c r="AA9820">
        <f>IF(AA9822=0,(D9820*N9820+P9820*R9820)*U9820*Y9820,0)</f>
        <v>0</v>
      </c>
    </row>
    <row r="9821">
      <c r="A9821" t="str">
        <f>A9804</f>
        <v>Lantai Attic</v>
      </c>
      <c r="B9821">
        <f>B9804</f>
        <v>63</v>
      </c>
      <c r="C9821" t="str">
        <v>Tul Bawah Tumpuan</v>
      </c>
      <c r="D9821">
        <f>VLOOKUP(D9804,'Detail Balok'!$C$10:$AU$110,28,FALSE)</f>
        <v>2</v>
      </c>
      <c r="E9821" t="str">
        <v>D</v>
      </c>
      <c r="F9821">
        <f>VLOOKUP(D9804,'Detail Balok'!$C$10:$AU$110,30,FALSE)</f>
        <v>16</v>
      </c>
      <c r="I9821" t="str">
        <v>(</v>
      </c>
      <c r="J9821">
        <f>+J9813</f>
        <v>0.5</v>
      </c>
      <c r="K9821" t="str">
        <v>+</v>
      </c>
      <c r="L9821">
        <f>MAX(VLOOKUP(F9821,N$6:P$15,3,FALSE)/1000,2/3*D9809/1000)+F$16*F9821/1000</f>
        <v>0.192</v>
      </c>
      <c r="M9821" t="str">
        <v>=</v>
      </c>
      <c r="N9821">
        <f>J9821+L9821</f>
        <v>0.692</v>
      </c>
      <c r="O9821" t="str">
        <v>+</v>
      </c>
      <c r="P9821">
        <f>D9821-D9820</f>
        <v>0</v>
      </c>
      <c r="Q9821" t="str">
        <v>x</v>
      </c>
      <c r="R9821">
        <f>IF(P9821&gt;0,$F$18*F9821/1000,0)</f>
        <v>0</v>
      </c>
      <c r="S9821" t="str">
        <v>)</v>
      </c>
      <c r="T9821" t="str">
        <v>x</v>
      </c>
      <c r="U9821">
        <f>0.006165*F9821^2</f>
        <v>1.57824</v>
      </c>
      <c r="X9821" t="str">
        <v>x</v>
      </c>
      <c r="Y9821">
        <f>D9810</f>
        <v>1</v>
      </c>
      <c r="Z9821" t="str">
        <v>=</v>
      </c>
      <c r="AA9821">
        <f>IF(AA9822=0,(D9821*N9821+P9821*R9821)*U9821*Y9821,0)</f>
        <v>0</v>
      </c>
    </row>
    <row r="9822">
      <c r="A9822" t="str">
        <f>A9804</f>
        <v>Lantai Attic</v>
      </c>
      <c r="B9822">
        <f>B9804</f>
        <v>63</v>
      </c>
      <c r="D9822">
        <f>IF(AND(D9819=D9820,D9820=D9821,D9819=D9821),D9819,0)</f>
        <v>2</v>
      </c>
      <c r="E9822" t="str">
        <v>D</v>
      </c>
      <c r="F9822">
        <f>IF(AND(F9819=F9820,F9819=F9821,F9820=F9821),F9819,0)</f>
        <v>16</v>
      </c>
      <c r="L9822" t="str">
        <v>Total panjang per balok</v>
      </c>
      <c r="M9822" t="str">
        <v>=</v>
      </c>
      <c r="N9822">
        <f>IF(AND(D9819=D9820,D9819=D9821,D9820=D9821,F9819=F9820,F9819=F9821,F9820=F9821),SUM(N9819:N9821),0)</f>
        <v>2.384</v>
      </c>
      <c r="O9822" t="str">
        <v>+</v>
      </c>
      <c r="P9822">
        <f>IF(N9822&gt;12,ROUNDDOWN(N9822/12,0),0)</f>
        <v>0</v>
      </c>
      <c r="Q9822" t="str">
        <v>x</v>
      </c>
      <c r="R9822">
        <f>IF(P9822&gt;0,MAX(VLOOKUP(F9822,$D$6:$G$15,3,FALSE),600),0)/1000</f>
        <v>0</v>
      </c>
      <c r="T9822" t="str">
        <v>x</v>
      </c>
      <c r="U9822">
        <f>U9821</f>
        <v>1.57824</v>
      </c>
      <c r="V9822" t="str">
        <v>x</v>
      </c>
      <c r="W9822">
        <f>D9822</f>
        <v>2</v>
      </c>
      <c r="X9822" t="str">
        <v>x</v>
      </c>
      <c r="Y9822">
        <f>Y9821</f>
        <v>1</v>
      </c>
      <c r="Z9822" t="str">
        <v>=</v>
      </c>
      <c r="AA9822">
        <f>(N9822+P9822*R9822/1000)*U9822*W9822*Y9822</f>
        <v>7.52504832</v>
      </c>
    </row>
    <row r="9824">
      <c r="A9824" t="str">
        <f>A9804</f>
        <v>Lantai Attic</v>
      </c>
      <c r="B9824">
        <f>B9804</f>
        <v>63</v>
      </c>
      <c r="C9824" t="str">
        <v>Sengkang Tumpuan</v>
      </c>
      <c r="D9824">
        <f>VLOOKUP(D9804,'Detail Balok'!$C$10:$AU$110,31,FALSE)</f>
        <v>0</v>
      </c>
      <c r="E9824" t="str">
        <v>D</v>
      </c>
      <c r="F9824">
        <f>VLOOKUP(D9804,'Detail Balok'!$C$10:$AU$110,33,FALSE)</f>
        <v>10</v>
      </c>
      <c r="G9824" t="str">
        <v>-</v>
      </c>
      <c r="H9824">
        <f>VLOOKUP(D9804,'Detail Balok'!$C$10:$AU$110,35,FALSE)</f>
        <v>90</v>
      </c>
      <c r="J9824">
        <f>(IF(D9824=0,(2*(D9805+G9805))-(F$5*8),IF(D9824=3,(2*(D9805+G9805))-(F$5*8)+(G9805-2*F$5),IF(D9824=4,(2*(D9805+G9805))-(F$5*8)+2*(G9805-2*F$5)))))/1000</f>
        <v>0.98</v>
      </c>
      <c r="K9824" t="str">
        <v>+</v>
      </c>
      <c r="L9824">
        <f>IF(D9824=0,2*MAX(6*F9824,75),(D9824-1)*2*MAX(6*F9824,75))/1000</f>
        <v>0.15</v>
      </c>
      <c r="M9824" t="str">
        <v>=</v>
      </c>
      <c r="N9824">
        <f>J9824+L9824</f>
        <v>1.13</v>
      </c>
      <c r="T9824" t="str">
        <v>x</v>
      </c>
      <c r="U9824">
        <f>0.006165*F9824^2</f>
        <v>0.6165</v>
      </c>
      <c r="V9824" t="str">
        <v>x</v>
      </c>
      <c r="W9824">
        <f>IF(D9807&gt;4*G9805,ROUND(MAX(D9807/4,2*G9805)/H9824,0)+1,ROUND(D9807/H9824,0)+1)</f>
        <v>11</v>
      </c>
      <c r="X9824" t="str">
        <v>x</v>
      </c>
      <c r="Y9824">
        <f>D9810</f>
        <v>1</v>
      </c>
      <c r="Z9824" t="str">
        <v>=</v>
      </c>
      <c r="AA9824">
        <f>N9824*U9824*W9824*Y9824</f>
        <v>7.663094999999999</v>
      </c>
    </row>
    <row r="9825">
      <c r="A9825" t="str">
        <f>A9804</f>
        <v>Lantai Attic</v>
      </c>
      <c r="B9825">
        <f>B9804</f>
        <v>63</v>
      </c>
      <c r="C9825" t="str">
        <v>Sengkang Lapangan</v>
      </c>
      <c r="D9825">
        <f>VLOOKUP(D9804,'Detail Balok'!$C$10:$AU$110,36,FALSE)</f>
        <v>0</v>
      </c>
      <c r="E9825" t="str">
        <v>D</v>
      </c>
      <c r="F9825">
        <f>VLOOKUP(D9804,'Detail Balok'!$C$10:$AU$110,38,FALSE)</f>
        <v>10</v>
      </c>
      <c r="G9825" t="str">
        <v>-</v>
      </c>
      <c r="H9825">
        <f>VLOOKUP(D9804,'Detail Balok'!$C$10:$AU$110,40,FALSE)</f>
        <v>175</v>
      </c>
      <c r="J9825">
        <f>(IF(D9825=0,(2*(D9805+G9805))-(F$5*8),IF(D9825=3,(2*(D9805+G9805))-(F$5*8)+(G9805-2*F$5),IF(D9825=4,(2*(D9805+G9805))-(F$5*8)+2*(G9805-2*F$5)))))/1000</f>
        <v>0.98</v>
      </c>
      <c r="K9825" t="str">
        <v>+</v>
      </c>
      <c r="L9825">
        <f>IF(D9825=0,2*MAX(6*F9825,75),(D9825-1)*2*MAX(6*F9825,75))/1000</f>
        <v>0.15</v>
      </c>
      <c r="M9825" t="str">
        <v>=</v>
      </c>
      <c r="N9825">
        <f>J9825+L9825</f>
        <v>1.13</v>
      </c>
      <c r="T9825" t="str">
        <v>x</v>
      </c>
      <c r="U9825">
        <f>0.006165*F9825^2</f>
        <v>0.6165</v>
      </c>
      <c r="V9825" t="str">
        <v>x</v>
      </c>
      <c r="W9825">
        <f>IF(D9807-MAX(D9807/4,2*G9805)*2&gt;0,ROUND((D9807-MAX(D9807/4,2*G9805)*2)/H9825,0),0)</f>
        <v>1</v>
      </c>
      <c r="X9825" t="str">
        <v>x</v>
      </c>
      <c r="Y9825">
        <f>D9810</f>
        <v>1</v>
      </c>
      <c r="Z9825" t="str">
        <v>=</v>
      </c>
      <c r="AA9825">
        <f>N9825*U9825*W9825*Y9825</f>
        <v>0.696645</v>
      </c>
    </row>
    <row r="9826">
      <c r="A9826" t="str">
        <f>A9804</f>
        <v>Lantai Attic</v>
      </c>
      <c r="B9826">
        <f>B9804</f>
        <v>63</v>
      </c>
      <c r="C9826" t="str">
        <v>Sengkang Tumpuan</v>
      </c>
      <c r="D9826">
        <f>VLOOKUP(D9804,'Detail Balok'!$C$10:$AU$110,41,FALSE)</f>
        <v>0</v>
      </c>
      <c r="E9826" t="str">
        <v>D</v>
      </c>
      <c r="F9826">
        <f>VLOOKUP(D9804,'Detail Balok'!$C$10:$AU$110,43,FALSE)</f>
        <v>10</v>
      </c>
      <c r="G9826" t="str">
        <v>-</v>
      </c>
      <c r="H9826">
        <f>VLOOKUP(D9804,'Detail Balok'!$C$10:$AU$110,45,FALSE)</f>
        <v>90</v>
      </c>
      <c r="J9826">
        <f>(IF(D9826=0,(2*(D9805+G9805))-(F$5*8),IF(D9826=3,(2*(D9805+G9805))-(F$5*8)+(G9805-2*F$5),IF(D9826=4,(2*(D9805+G9805))-(F$5*8)+2*(G9805-2*F$5)))))/1000</f>
        <v>0.98</v>
      </c>
      <c r="K9826" t="str">
        <v>+</v>
      </c>
      <c r="L9826">
        <f>IF(D9826=0,2*MAX(6*F9826,75),(D9826-1)*2*MAX(6*F9826,75))/1000</f>
        <v>0.15</v>
      </c>
      <c r="M9826" t="str">
        <v>=</v>
      </c>
      <c r="N9826">
        <f>J9826+L9826</f>
        <v>1.13</v>
      </c>
      <c r="T9826" t="str">
        <v>x</v>
      </c>
      <c r="U9826">
        <f>0.006165*F9826^2</f>
        <v>0.6165</v>
      </c>
      <c r="V9826" t="str">
        <v>x</v>
      </c>
      <c r="W9826">
        <f>IF(D9807&gt;4*G9805,ROUND(MAX(D9807/4,2*G9805)/H9826,0)+1,0)</f>
        <v>11</v>
      </c>
      <c r="X9826" t="str">
        <v>x</v>
      </c>
      <c r="Y9826">
        <f>D9810</f>
        <v>1</v>
      </c>
      <c r="Z9826" t="str">
        <v>=</v>
      </c>
      <c r="AA9826">
        <f>N9826*U9826*W9826*Y9826</f>
        <v>7.663094999999999</v>
      </c>
    </row>
    <row r="9828">
      <c r="A9828" t="str">
        <f>A9804</f>
        <v>Lantai Attic</v>
      </c>
      <c r="B9828">
        <f>B9804</f>
        <v>63</v>
      </c>
      <c r="C9828" t="str">
        <v>Kait Horizontal Tump.</v>
      </c>
      <c r="D9828">
        <f>VLOOKUP(D9804,'Detail Balok'!$C$10:$BJ$110,46,FALSE)</f>
        <v>0</v>
      </c>
      <c r="E9828" t="str">
        <v>D</v>
      </c>
      <c r="F9828">
        <f>VLOOKUP(D9804,'Detail Balok'!$C$10:$BJ$110,48,FALSE)</f>
        <v>0</v>
      </c>
      <c r="G9828" t="str">
        <v>-</v>
      </c>
      <c r="H9828">
        <f>VLOOKUP(D9804,'Detail Balok'!$C$10:$BJ$110,50,FALSE)</f>
        <v>100</v>
      </c>
      <c r="J9828">
        <f>(D9805-2*F$5)/1000</f>
        <v>0.12</v>
      </c>
      <c r="K9828" t="str">
        <v>+</v>
      </c>
      <c r="L9828">
        <f>IF(D9828=0,2*MAX(6*F9828,75),(D9828-1)*2*MAX(6*F9828,75))/1000</f>
        <v>0.15</v>
      </c>
      <c r="M9828" t="str">
        <v>=</v>
      </c>
      <c r="N9828">
        <f>J9828+L9828</f>
        <v>0.27</v>
      </c>
      <c r="T9828" t="str">
        <v>x</v>
      </c>
      <c r="U9828">
        <f>0.006165*F9828^2</f>
        <v>0</v>
      </c>
      <c r="V9828" t="str">
        <v>x</v>
      </c>
      <c r="W9828">
        <f>W9824</f>
        <v>11</v>
      </c>
      <c r="X9828" t="str">
        <v>x</v>
      </c>
      <c r="Y9828">
        <f>D9814</f>
        <v>2</v>
      </c>
      <c r="Z9828" t="str">
        <v>=</v>
      </c>
      <c r="AA9828">
        <f>N9828*U9828*W9828*Y9828</f>
        <v>0</v>
      </c>
    </row>
    <row r="9829">
      <c r="A9829" t="str">
        <f>A9804</f>
        <v>Lantai Attic</v>
      </c>
      <c r="B9829">
        <f>B9804</f>
        <v>63</v>
      </c>
      <c r="C9829" t="str">
        <v>Kait Horizontal Lap.</v>
      </c>
      <c r="D9829">
        <f>VLOOKUP(D9804,'Detail Balok'!$C$10:$BJ$110,51,FALSE)</f>
        <v>0</v>
      </c>
      <c r="E9829" t="str">
        <v>D</v>
      </c>
      <c r="F9829">
        <f>VLOOKUP(D9804,'Detail Balok'!$C$10:$BJ$110,53,FALSE)</f>
        <v>0</v>
      </c>
      <c r="G9829" t="str">
        <v>-</v>
      </c>
      <c r="H9829">
        <f>VLOOKUP(D9804,'Detail Balok'!$C$10:$BJ$110,55,FALSE)</f>
        <v>100</v>
      </c>
      <c r="J9829">
        <f>(D9805-2*F$5)/1000</f>
        <v>0.12</v>
      </c>
      <c r="K9829" t="str">
        <v>+</v>
      </c>
      <c r="L9829">
        <f>IF(D9829=0,2*MAX(6*F9829,75),(D9829-1)*2*MAX(6*F9829,75))/1000</f>
        <v>0.15</v>
      </c>
      <c r="M9829" t="str">
        <v>=</v>
      </c>
      <c r="N9829">
        <f>J9829+L9829</f>
        <v>0.27</v>
      </c>
      <c r="T9829" t="str">
        <v>x</v>
      </c>
      <c r="U9829">
        <f>0.006165*F9829^2</f>
        <v>0</v>
      </c>
      <c r="V9829" t="str">
        <v>x</v>
      </c>
      <c r="W9829">
        <f>W9825</f>
        <v>1</v>
      </c>
      <c r="X9829" t="str">
        <v>x</v>
      </c>
      <c r="Y9829">
        <f>D9814</f>
        <v>2</v>
      </c>
      <c r="Z9829" t="str">
        <v>=</v>
      </c>
      <c r="AA9829">
        <f>N9829*U9829*W9829*Y9829</f>
        <v>0</v>
      </c>
    </row>
    <row r="9830">
      <c r="A9830" t="str">
        <f>A9804</f>
        <v>Lantai Attic</v>
      </c>
      <c r="B9830">
        <f>B9804</f>
        <v>63</v>
      </c>
      <c r="C9830" t="str">
        <v>Kait Horizontal Tump.</v>
      </c>
      <c r="D9830">
        <f>VLOOKUP(D9804,'Detail Balok'!$C$10:$BJ$110,56,FALSE)</f>
        <v>0</v>
      </c>
      <c r="E9830" t="str">
        <v>D</v>
      </c>
      <c r="F9830">
        <f>VLOOKUP(D9804,'Detail Balok'!$C$10:$BJ$110,58,FALSE)</f>
        <v>0</v>
      </c>
      <c r="G9830" t="str">
        <v>-</v>
      </c>
      <c r="H9830">
        <f>VLOOKUP(D9804,'Detail Balok'!$C$10:$BJ$110,60,FALSE)</f>
        <v>100</v>
      </c>
      <c r="J9830">
        <f>(D9805-2*F$5)/1000</f>
        <v>0.12</v>
      </c>
      <c r="K9830" t="str">
        <v>+</v>
      </c>
      <c r="L9830">
        <f>IF(D9830=0,2*MAX(6*F9830,75),(D9830-1)*2*MAX(6*F9830,75))/1000</f>
        <v>0.15</v>
      </c>
      <c r="M9830" t="str">
        <v>=</v>
      </c>
      <c r="N9830">
        <f>J9830+L9830</f>
        <v>0.27</v>
      </c>
      <c r="T9830" t="str">
        <v>x</v>
      </c>
      <c r="U9830">
        <f>0.006165*F9830^2</f>
        <v>0</v>
      </c>
      <c r="V9830" t="str">
        <v>x</v>
      </c>
      <c r="W9830">
        <f>W9826</f>
        <v>11</v>
      </c>
      <c r="X9830" t="str">
        <v>x</v>
      </c>
      <c r="Y9830">
        <f>D9814</f>
        <v>2</v>
      </c>
      <c r="Z9830" t="str">
        <v>=</v>
      </c>
      <c r="AA9830">
        <f>N9830*U9830*W9830*Y9830</f>
        <v>0</v>
      </c>
    </row>
    <row r="9834">
      <c r="A9834" t="str">
        <f>A9804</f>
        <v>Lantai Attic</v>
      </c>
      <c r="B9834">
        <f>B9804+1</f>
        <v>64</v>
      </c>
      <c r="C9834" t="str">
        <f>CONCATENATE(A9834," no. ",B9834)</f>
        <v>Lantai Attic no. 64</v>
      </c>
      <c r="D9834" t="str">
        <f>VLOOKUP(C9834,'Data Panjang Balok'!$C$9:$N$424,2,FALSE)</f>
        <v>B25-2</v>
      </c>
    </row>
    <row r="9835">
      <c r="C9835" t="str">
        <v>Dimensi</v>
      </c>
      <c r="D9835">
        <f>VLOOKUP(D9834,'Detail Balok'!$C$10:$AU$110,2,FALSE)</f>
        <v>200</v>
      </c>
      <c r="F9835" t="str">
        <v>x</v>
      </c>
      <c r="G9835">
        <f>VLOOKUP(D9834,'Detail Balok'!$C$10:$AU$110,3,FALSE)</f>
        <v>500</v>
      </c>
    </row>
    <row r="9836">
      <c r="C9836" t="str">
        <v>Panjang as ke as</v>
      </c>
      <c r="D9836">
        <f>VLOOKUP(C9834,'Data Panjang Balok'!$C$9:$N$424,4,FALSE)</f>
        <v>8100</v>
      </c>
    </row>
    <row r="9837">
      <c r="C9837" t="str">
        <v>Panjang netto</v>
      </c>
      <c r="D9837">
        <f>VLOOKUP(C9834,'Data Panjang Balok'!$C$9:$N$424,7,FALSE)</f>
        <v>8100</v>
      </c>
    </row>
    <row r="9838">
      <c r="C9838" t="str">
        <v>Kolom / balok kiri</v>
      </c>
      <c r="D9838">
        <f>VLOOKUP(C9834,'Data Panjang Balok'!$C$9:$N$424,9,FALSE)</f>
        <v>0</v>
      </c>
    </row>
    <row r="9839">
      <c r="C9839" t="str">
        <v>Kolom / balok kanan</v>
      </c>
      <c r="D9839">
        <f>VLOOKUP(C9834,'Data Panjang Balok'!$C$9:$N$424,10,FALSE)</f>
        <v>0</v>
      </c>
    </row>
    <row r="9840">
      <c r="C9840" t="str">
        <v>Jumlah</v>
      </c>
      <c r="D9840">
        <f>VLOOKUP(C9834,'Data Panjang Balok'!$C$9:$N$424,3,FALSE)</f>
        <v>1</v>
      </c>
    </row>
    <row r="9841">
      <c r="A9841" t="str">
        <f>A9834</f>
        <v>Lantai Attic</v>
      </c>
      <c r="B9841">
        <f>B9834</f>
        <v>64</v>
      </c>
      <c r="C9841" t="str">
        <v>Tul Atas Tumpuan</v>
      </c>
      <c r="D9841">
        <f>VLOOKUP(D9834,'Detail Balok'!$C$10:$AU$110,4,FALSE)</f>
        <v>3</v>
      </c>
      <c r="E9841" t="str">
        <v>D</v>
      </c>
      <c r="F9841">
        <f>VLOOKUP(D9834,'Detail Balok'!$C$10:$AU$110,6,FALSE)</f>
        <v>16</v>
      </c>
      <c r="I9841" t="str">
        <v>(</v>
      </c>
      <c r="J9841">
        <f>+D9836/4/1000</f>
        <v>2.025</v>
      </c>
      <c r="K9841" t="str">
        <v>+</v>
      </c>
      <c r="L9841">
        <f>MAX(VLOOKUP(F9841,N$6:P$15,3,FALSE)/1000,2/3*D9838/1000)+F$16*F9841/1000</f>
        <v>0.192</v>
      </c>
      <c r="M9841" t="str">
        <v>=</v>
      </c>
      <c r="N9841">
        <f>J9841+L9841</f>
        <v>2.217</v>
      </c>
      <c r="O9841" t="str">
        <v>+</v>
      </c>
      <c r="P9841">
        <f>D9841-D9842</f>
        <v>0</v>
      </c>
      <c r="Q9841" t="str">
        <v>x</v>
      </c>
      <c r="R9841">
        <f>IF(P9841&gt;0,$F$18*F9841/1000,0)</f>
        <v>0</v>
      </c>
      <c r="S9841" t="str">
        <v>)</v>
      </c>
      <c r="T9841" t="str">
        <v>x</v>
      </c>
      <c r="U9841">
        <f>0.006165*F9841^2</f>
        <v>1.57824</v>
      </c>
      <c r="X9841" t="str">
        <v>x</v>
      </c>
      <c r="Y9841">
        <f>D9840</f>
        <v>1</v>
      </c>
      <c r="Z9841" t="str">
        <v>=</v>
      </c>
      <c r="AA9841">
        <f>IF(AA9844=0,(D9841*N9841+P9841*R9841)*U9841*Y9841,0)</f>
        <v>0</v>
      </c>
    </row>
    <row r="9842">
      <c r="A9842" t="str">
        <f>A9834</f>
        <v>Lantai Attic</v>
      </c>
      <c r="B9842">
        <f>B9834</f>
        <v>64</v>
      </c>
      <c r="C9842" t="str">
        <v>Tul Atas Lapangan</v>
      </c>
      <c r="D9842">
        <f>VLOOKUP(D9834,'Detail Balok'!$C$10:$AU$110,7,FALSE)</f>
        <v>3</v>
      </c>
      <c r="E9842" t="str">
        <v>D</v>
      </c>
      <c r="F9842">
        <f>VLOOKUP(D9834,'Detail Balok'!$C$10:$AU$110,9,FALSE)</f>
        <v>16</v>
      </c>
      <c r="I9842" t="str">
        <v>(</v>
      </c>
      <c r="J9842">
        <f>+D9836/2/1000</f>
        <v>4.05</v>
      </c>
      <c r="K9842" t="str">
        <v>+</v>
      </c>
      <c r="M9842" t="str">
        <v>=</v>
      </c>
      <c r="N9842">
        <f>J9842+L9842</f>
        <v>4.05</v>
      </c>
      <c r="O9842" t="str">
        <v>+</v>
      </c>
      <c r="P9842">
        <f>MAX(D9842-D9841,D9842-D9843)</f>
        <v>0</v>
      </c>
      <c r="Q9842" t="str">
        <v>x</v>
      </c>
      <c r="R9842">
        <f>IF(P9842&gt;0,2*(1-2*$F$19-1/2)*D9837/1000,0)</f>
        <v>0</v>
      </c>
      <c r="S9842" t="str">
        <v>)</v>
      </c>
      <c r="T9842" t="str">
        <v>x</v>
      </c>
      <c r="U9842">
        <f>0.006165*F9842^2</f>
        <v>1.57824</v>
      </c>
      <c r="X9842" t="str">
        <v>x</v>
      </c>
      <c r="Y9842">
        <f>D9840</f>
        <v>1</v>
      </c>
      <c r="Z9842" t="str">
        <v>=</v>
      </c>
      <c r="AA9842">
        <f>IF(AA9844=0,(D9842*N9842+P9842*R9842)*U9842*Y9842,0)</f>
        <v>0</v>
      </c>
    </row>
    <row r="9843">
      <c r="A9843" t="str">
        <f>A9834</f>
        <v>Lantai Attic</v>
      </c>
      <c r="B9843">
        <f>B9834</f>
        <v>64</v>
      </c>
      <c r="C9843" t="str">
        <v>Tul Atas Tumpuan</v>
      </c>
      <c r="D9843">
        <f>VLOOKUP(D9834,'Detail Balok'!$C$10:$AU$110,10,FALSE)</f>
        <v>3</v>
      </c>
      <c r="E9843" t="str">
        <v>D</v>
      </c>
      <c r="F9843">
        <f>VLOOKUP(D9834,'Detail Balok'!$C$10:$AU$110,12,FALSE)</f>
        <v>16</v>
      </c>
      <c r="I9843" t="str">
        <v>(</v>
      </c>
      <c r="J9843">
        <f>+D9836/4/1000</f>
        <v>2.025</v>
      </c>
      <c r="K9843" t="str">
        <v>+</v>
      </c>
      <c r="L9843">
        <f>MAX(VLOOKUP(F9843,N$6:P$15,3,FALSE)/1000,2/3*D9838/1000)+F$16*F9843/1000</f>
        <v>0.192</v>
      </c>
      <c r="M9843" t="str">
        <v>=</v>
      </c>
      <c r="N9843">
        <f>J9843+L9843</f>
        <v>2.217</v>
      </c>
      <c r="O9843" t="str">
        <v>+</v>
      </c>
      <c r="P9843">
        <f>D9843-D9842</f>
        <v>0</v>
      </c>
      <c r="Q9843" t="str">
        <v>x</v>
      </c>
      <c r="R9843">
        <f>IF(P9843&gt;0,$F$18*F9843/1000,0)</f>
        <v>0</v>
      </c>
      <c r="S9843" t="str">
        <v>)</v>
      </c>
      <c r="T9843" t="str">
        <v>x</v>
      </c>
      <c r="U9843">
        <f>0.006165*F9843^2</f>
        <v>1.57824</v>
      </c>
      <c r="X9843" t="str">
        <v>x</v>
      </c>
      <c r="Y9843">
        <f>D9840</f>
        <v>1</v>
      </c>
      <c r="Z9843" t="str">
        <v>=</v>
      </c>
      <c r="AA9843">
        <f>IF(AA9844=0,(D9843*N9843+P9843*R9843)*U9843*Y9843,0)</f>
        <v>0</v>
      </c>
    </row>
    <row r="9844">
      <c r="A9844" t="str">
        <f>A9834</f>
        <v>Lantai Attic</v>
      </c>
      <c r="B9844">
        <f>B9834</f>
        <v>64</v>
      </c>
      <c r="D9844">
        <f>IF(AND(D9841=D9842,D9842=D9843,D9841=D9843),D9841,0)</f>
        <v>3</v>
      </c>
      <c r="E9844" t="str">
        <v>D</v>
      </c>
      <c r="F9844">
        <f>IF(AND(F9841=F9842,F9841=F9843,F9842=F9843),F9841,0)</f>
        <v>16</v>
      </c>
      <c r="L9844" t="str">
        <v>Total panjang per balok</v>
      </c>
      <c r="M9844" t="str">
        <v>=</v>
      </c>
      <c r="N9844">
        <f>IF(AND(D9841=D9842,D9841=D9843,D9842=D9843,F9841=F9842,F9841=F9843,F9842=F9843),SUM(N9841:N9843),0)</f>
        <v>8.484</v>
      </c>
      <c r="O9844" t="str">
        <v>+</v>
      </c>
      <c r="P9844">
        <f>IF(N9844&gt;12,ROUNDDOWN(N9844/12,0),0)</f>
        <v>0</v>
      </c>
      <c r="Q9844" t="str">
        <v>x</v>
      </c>
      <c r="R9844">
        <f>IF(P9844&gt;0,MAX(VLOOKUP(F9844,$D$6:$G$15,3,FALSE),600),0)/1000</f>
        <v>0</v>
      </c>
      <c r="T9844" t="str">
        <v>x</v>
      </c>
      <c r="U9844">
        <f>U9843</f>
        <v>1.57824</v>
      </c>
      <c r="V9844" t="str">
        <v>x</v>
      </c>
      <c r="W9844">
        <f>D9844</f>
        <v>3</v>
      </c>
      <c r="X9844" t="str">
        <v>x</v>
      </c>
      <c r="Y9844">
        <f>Y9843</f>
        <v>1</v>
      </c>
      <c r="Z9844" t="str">
        <v>=</v>
      </c>
      <c r="AA9844">
        <f>(N9844+P9844*R9844/1000)*U9844*W9844*Y9844</f>
        <v>40.16936448</v>
      </c>
    </row>
    <row r="9846">
      <c r="A9846" t="str">
        <f>A9834</f>
        <v>Lantai Attic</v>
      </c>
      <c r="B9846">
        <f>B9834</f>
        <v>64</v>
      </c>
      <c r="C9846" t="str">
        <v>Tul Peminggang</v>
      </c>
      <c r="D9846">
        <f>VLOOKUP(D9834,'Detail Balok'!$C$10:$AU$110,13,FALSE)</f>
        <v>2</v>
      </c>
      <c r="E9846" t="str">
        <v>D</v>
      </c>
      <c r="F9846">
        <f>VLOOKUP(D9834,'Detail Balok'!$C$10:$AU$110,15,FALSE)</f>
        <v>10</v>
      </c>
      <c r="J9846">
        <f>+D9836/1000</f>
        <v>8.1</v>
      </c>
      <c r="K9846" t="str">
        <v>+</v>
      </c>
      <c r="L9846">
        <f>2*$F$16*F9846/1000</f>
        <v>0.24</v>
      </c>
      <c r="M9846" t="str">
        <v>=</v>
      </c>
      <c r="N9846">
        <f>J9846+L9846</f>
        <v>8.34</v>
      </c>
      <c r="O9846" t="str">
        <v>+</v>
      </c>
      <c r="P9846">
        <f>IF(N9846&gt;12,ROUNDDOWN(N9846/12,0),0)</f>
        <v>0</v>
      </c>
      <c r="Q9846" t="str">
        <v>x</v>
      </c>
      <c r="R9846">
        <f>IF(P9846&gt;0,MAX(VLOOKUP(F9846,$D$6:$G$15,3,FALSE),600),0)/1000</f>
        <v>0</v>
      </c>
      <c r="T9846" t="str">
        <v>x</v>
      </c>
      <c r="U9846">
        <f>0.006165*F9846^2</f>
        <v>0.6165</v>
      </c>
      <c r="V9846" t="str">
        <v>x</v>
      </c>
      <c r="W9846">
        <f>+D9846</f>
        <v>2</v>
      </c>
      <c r="X9846" t="str">
        <v>x</v>
      </c>
      <c r="Y9846">
        <f>D9840</f>
        <v>1</v>
      </c>
      <c r="Z9846" t="str">
        <v>=</v>
      </c>
      <c r="AA9846">
        <f>(N9846+P9846*R9846/1000)*U9846*W9846*Y9846</f>
        <v>10.28322</v>
      </c>
    </row>
    <row r="9849">
      <c r="A9849" t="str">
        <f>A9834</f>
        <v>Lantai Attic</v>
      </c>
      <c r="B9849">
        <f>B9834</f>
        <v>64</v>
      </c>
      <c r="C9849" t="str">
        <v>Tul Bawah Tumpuan</v>
      </c>
      <c r="D9849">
        <f>VLOOKUP(D9834,'Detail Balok'!$C$10:$AU$110,22,FALSE)</f>
        <v>3</v>
      </c>
      <c r="E9849" t="str">
        <v>D</v>
      </c>
      <c r="F9849">
        <f>VLOOKUP(D9834,'Detail Balok'!$C$10:$AU$110,24,FALSE)</f>
        <v>16</v>
      </c>
      <c r="I9849" t="str">
        <v>(</v>
      </c>
      <c r="J9849">
        <f>+J9841</f>
        <v>2.025</v>
      </c>
      <c r="K9849" t="str">
        <v>+</v>
      </c>
      <c r="L9849">
        <f>MAX(VLOOKUP(F9849,N$6:P$15,3,FALSE)/1000,2/3*D9839/1000)+F$16*F9849/1000</f>
        <v>0.192</v>
      </c>
      <c r="M9849" t="str">
        <v>=</v>
      </c>
      <c r="N9849">
        <f>J9849+L9849</f>
        <v>2.217</v>
      </c>
      <c r="O9849" t="str">
        <v>+</v>
      </c>
      <c r="P9849">
        <f>D9849-D9850</f>
        <v>0</v>
      </c>
      <c r="Q9849" t="str">
        <v>x</v>
      </c>
      <c r="R9849">
        <f>IF(P9849&gt;0,$F$18*F9849/1000,0)</f>
        <v>0</v>
      </c>
      <c r="S9849" t="str">
        <v>)</v>
      </c>
      <c r="T9849" t="str">
        <v>x</v>
      </c>
      <c r="U9849">
        <f>0.006165*F9849^2</f>
        <v>1.57824</v>
      </c>
      <c r="X9849" t="str">
        <v>x</v>
      </c>
      <c r="Y9849">
        <f>D9840</f>
        <v>1</v>
      </c>
      <c r="Z9849" t="str">
        <v>=</v>
      </c>
      <c r="AA9849">
        <f>IF(AA9852=0,(D9849*N9849+P9849*R9849)*U9849*Y9849,0)</f>
        <v>0</v>
      </c>
    </row>
    <row r="9850">
      <c r="A9850" t="str">
        <f>A9834</f>
        <v>Lantai Attic</v>
      </c>
      <c r="B9850">
        <f>B9834</f>
        <v>64</v>
      </c>
      <c r="C9850" t="str">
        <v>Tul Bawah Lapangan</v>
      </c>
      <c r="D9850">
        <f>VLOOKUP(D9834,'Detail Balok'!$C$10:$AU$110,25,FALSE)</f>
        <v>3</v>
      </c>
      <c r="E9850" t="str">
        <v>D</v>
      </c>
      <c r="F9850">
        <f>VLOOKUP(D9834,'Detail Balok'!$C$10:$AU$110,27,FALSE)</f>
        <v>16</v>
      </c>
      <c r="I9850" t="str">
        <v>(</v>
      </c>
      <c r="J9850">
        <f>+J9842</f>
        <v>4.05</v>
      </c>
      <c r="K9850" t="str">
        <v>+</v>
      </c>
      <c r="M9850" t="str">
        <v>=</v>
      </c>
      <c r="N9850">
        <f>J9850+L9850</f>
        <v>4.05</v>
      </c>
      <c r="O9850" t="str">
        <v>+</v>
      </c>
      <c r="P9850">
        <f>MAX(D9850-D9849,D9850-D9851)</f>
        <v>0</v>
      </c>
      <c r="Q9850" t="str">
        <v>x</v>
      </c>
      <c r="R9850">
        <f>IF(P9850&gt;0,2*(1-2*$F$19-1/2)*D9837/1000,0)</f>
        <v>0</v>
      </c>
      <c r="S9850" t="str">
        <v>)</v>
      </c>
      <c r="T9850" t="str">
        <v>x</v>
      </c>
      <c r="U9850">
        <f>0.006165*F9850^2</f>
        <v>1.57824</v>
      </c>
      <c r="X9850" t="str">
        <v>x</v>
      </c>
      <c r="Y9850">
        <f>D9840</f>
        <v>1</v>
      </c>
      <c r="Z9850" t="str">
        <v>=</v>
      </c>
      <c r="AA9850">
        <f>IF(AA9852=0,(D9850*N9850+P9850*R9850)*U9850*Y9850,0)</f>
        <v>0</v>
      </c>
    </row>
    <row r="9851">
      <c r="A9851" t="str">
        <f>A9834</f>
        <v>Lantai Attic</v>
      </c>
      <c r="B9851">
        <f>B9834</f>
        <v>64</v>
      </c>
      <c r="C9851" t="str">
        <v>Tul Bawah Tumpuan</v>
      </c>
      <c r="D9851">
        <f>VLOOKUP(D9834,'Detail Balok'!$C$10:$AU$110,28,FALSE)</f>
        <v>3</v>
      </c>
      <c r="E9851" t="str">
        <v>D</v>
      </c>
      <c r="F9851">
        <f>VLOOKUP(D9834,'Detail Balok'!$C$10:$AU$110,30,FALSE)</f>
        <v>16</v>
      </c>
      <c r="I9851" t="str">
        <v>(</v>
      </c>
      <c r="J9851">
        <f>+J9843</f>
        <v>2.025</v>
      </c>
      <c r="K9851" t="str">
        <v>+</v>
      </c>
      <c r="L9851">
        <f>MAX(VLOOKUP(F9851,N$6:P$15,3,FALSE)/1000,2/3*D9839/1000)+F$16*F9851/1000</f>
        <v>0.192</v>
      </c>
      <c r="M9851" t="str">
        <v>=</v>
      </c>
      <c r="N9851">
        <f>J9851+L9851</f>
        <v>2.217</v>
      </c>
      <c r="O9851" t="str">
        <v>+</v>
      </c>
      <c r="P9851">
        <f>D9851-D9850</f>
        <v>0</v>
      </c>
      <c r="Q9851" t="str">
        <v>x</v>
      </c>
      <c r="R9851">
        <f>IF(P9851&gt;0,$F$18*F9851/1000,0)</f>
        <v>0</v>
      </c>
      <c r="S9851" t="str">
        <v>)</v>
      </c>
      <c r="T9851" t="str">
        <v>x</v>
      </c>
      <c r="U9851">
        <f>0.006165*F9851^2</f>
        <v>1.57824</v>
      </c>
      <c r="X9851" t="str">
        <v>x</v>
      </c>
      <c r="Y9851">
        <f>D9840</f>
        <v>1</v>
      </c>
      <c r="Z9851" t="str">
        <v>=</v>
      </c>
      <c r="AA9851">
        <f>IF(AA9852=0,(D9851*N9851+P9851*R9851)*U9851*Y9851,0)</f>
        <v>0</v>
      </c>
    </row>
    <row r="9852">
      <c r="A9852" t="str">
        <f>A9834</f>
        <v>Lantai Attic</v>
      </c>
      <c r="B9852">
        <f>B9834</f>
        <v>64</v>
      </c>
      <c r="D9852">
        <f>IF(AND(D9849=D9850,D9850=D9851,D9849=D9851),D9849,0)</f>
        <v>3</v>
      </c>
      <c r="E9852" t="str">
        <v>D</v>
      </c>
      <c r="F9852">
        <f>IF(AND(F9849=F9850,F9849=F9851,F9850=F9851),F9849,0)</f>
        <v>16</v>
      </c>
      <c r="L9852" t="str">
        <v>Total panjang per balok</v>
      </c>
      <c r="M9852" t="str">
        <v>=</v>
      </c>
      <c r="N9852">
        <f>IF(AND(D9849=D9850,D9849=D9851,D9850=D9851,F9849=F9850,F9849=F9851,F9850=F9851),SUM(N9849:N9851),0)</f>
        <v>8.484</v>
      </c>
      <c r="O9852" t="str">
        <v>+</v>
      </c>
      <c r="P9852">
        <f>IF(N9852&gt;12,ROUNDDOWN(N9852/12,0),0)</f>
        <v>0</v>
      </c>
      <c r="Q9852" t="str">
        <v>x</v>
      </c>
      <c r="R9852">
        <f>IF(P9852&gt;0,MAX(VLOOKUP(F9852,$D$6:$G$15,3,FALSE),600),0)/1000</f>
        <v>0</v>
      </c>
      <c r="T9852" t="str">
        <v>x</v>
      </c>
      <c r="U9852">
        <f>U9851</f>
        <v>1.57824</v>
      </c>
      <c r="V9852" t="str">
        <v>x</v>
      </c>
      <c r="W9852">
        <f>D9852</f>
        <v>3</v>
      </c>
      <c r="X9852" t="str">
        <v>x</v>
      </c>
      <c r="Y9852">
        <f>Y9851</f>
        <v>1</v>
      </c>
      <c r="Z9852" t="str">
        <v>=</v>
      </c>
      <c r="AA9852">
        <f>(N9852+P9852*R9852/1000)*U9852*W9852*Y9852</f>
        <v>40.16936448</v>
      </c>
    </row>
    <row r="9854">
      <c r="A9854" t="str">
        <f>A9834</f>
        <v>Lantai Attic</v>
      </c>
      <c r="B9854">
        <f>B9834</f>
        <v>64</v>
      </c>
      <c r="C9854" t="str">
        <v>Sengkang Tumpuan</v>
      </c>
      <c r="D9854">
        <f>VLOOKUP(D9834,'Detail Balok'!$C$10:$AU$110,31,FALSE)</f>
        <v>0</v>
      </c>
      <c r="E9854" t="str">
        <v>D</v>
      </c>
      <c r="F9854">
        <f>VLOOKUP(D9834,'Detail Balok'!$C$10:$AU$110,33,FALSE)</f>
        <v>10</v>
      </c>
      <c r="G9854" t="str">
        <v>-</v>
      </c>
      <c r="H9854">
        <f>VLOOKUP(D9834,'Detail Balok'!$C$10:$AU$110,35,FALSE)</f>
        <v>75</v>
      </c>
      <c r="J9854">
        <f>(IF(D9854=0,(2*(D9835+G9835))-(F$5*8),IF(D9854=3,(2*(D9835+G9835))-(F$5*8)+(G9835-2*F$5),IF(D9854=4,(2*(D9835+G9835))-(F$5*8)+2*(G9835-2*F$5)))))/1000</f>
        <v>1.08</v>
      </c>
      <c r="K9854" t="str">
        <v>+</v>
      </c>
      <c r="L9854">
        <f>IF(D9854=0,2*MAX(6*F9854,75),(D9854-1)*2*MAX(6*F9854,75))/1000</f>
        <v>0.15</v>
      </c>
      <c r="M9854" t="str">
        <v>=</v>
      </c>
      <c r="N9854">
        <f>J9854+L9854</f>
        <v>1.23</v>
      </c>
      <c r="T9854" t="str">
        <v>x</v>
      </c>
      <c r="U9854">
        <f>0.006165*F9854^2</f>
        <v>0.6165</v>
      </c>
      <c r="V9854" t="str">
        <v>x</v>
      </c>
      <c r="W9854">
        <f>IF(D9837&gt;4*G9835,ROUND(MAX(D9837/4,2*G9835)/H9854,0)+1,ROUND(D9837/H9854,0)+1)</f>
        <v>28</v>
      </c>
      <c r="X9854" t="str">
        <v>x</v>
      </c>
      <c r="Y9854">
        <f>D9840</f>
        <v>1</v>
      </c>
      <c r="Z9854" t="str">
        <v>=</v>
      </c>
      <c r="AA9854">
        <f>N9854*U9854*W9854*Y9854</f>
        <v>21.23226</v>
      </c>
    </row>
    <row r="9855">
      <c r="A9855" t="str">
        <f>A9834</f>
        <v>Lantai Attic</v>
      </c>
      <c r="B9855">
        <f>B9834</f>
        <v>64</v>
      </c>
      <c r="C9855" t="str">
        <v>Sengkang Lapangan</v>
      </c>
      <c r="D9855">
        <f>VLOOKUP(D9834,'Detail Balok'!$C$10:$AU$110,36,FALSE)</f>
        <v>0</v>
      </c>
      <c r="E9855" t="str">
        <v>D</v>
      </c>
      <c r="F9855">
        <f>VLOOKUP(D9834,'Detail Balok'!$C$10:$AU$110,38,FALSE)</f>
        <v>10</v>
      </c>
      <c r="G9855" t="str">
        <v>-</v>
      </c>
      <c r="H9855">
        <f>VLOOKUP(D9834,'Detail Balok'!$C$10:$AU$110,40,FALSE)</f>
        <v>125</v>
      </c>
      <c r="J9855">
        <f>(IF(D9855=0,(2*(D9835+G9835))-(F$5*8),IF(D9855=3,(2*(D9835+G9835))-(F$5*8)+(G9835-2*F$5),IF(D9855=4,(2*(D9835+G9835))-(F$5*8)+2*(G9835-2*F$5)))))/1000</f>
        <v>1.08</v>
      </c>
      <c r="K9855" t="str">
        <v>+</v>
      </c>
      <c r="L9855">
        <f>IF(D9855=0,2*MAX(6*F9855,75),(D9855-1)*2*MAX(6*F9855,75))/1000</f>
        <v>0.15</v>
      </c>
      <c r="M9855" t="str">
        <v>=</v>
      </c>
      <c r="N9855">
        <f>J9855+L9855</f>
        <v>1.23</v>
      </c>
      <c r="T9855" t="str">
        <v>x</v>
      </c>
      <c r="U9855">
        <f>0.006165*F9855^2</f>
        <v>0.6165</v>
      </c>
      <c r="V9855" t="str">
        <v>x</v>
      </c>
      <c r="W9855">
        <f>IF(D9837-MAX(D9837/4,2*G9835)*2&gt;0,ROUND((D9837-MAX(D9837/4,2*G9835)*2)/H9855,0),0)</f>
        <v>32</v>
      </c>
      <c r="X9855" t="str">
        <v>x</v>
      </c>
      <c r="Y9855">
        <f>D9840</f>
        <v>1</v>
      </c>
      <c r="Z9855" t="str">
        <v>=</v>
      </c>
      <c r="AA9855">
        <f>N9855*U9855*W9855*Y9855</f>
        <v>24.26544</v>
      </c>
    </row>
    <row r="9856">
      <c r="A9856" t="str">
        <f>A9834</f>
        <v>Lantai Attic</v>
      </c>
      <c r="B9856">
        <f>B9834</f>
        <v>64</v>
      </c>
      <c r="C9856" t="str">
        <v>Sengkang Tumpuan</v>
      </c>
      <c r="D9856">
        <f>VLOOKUP(D9834,'Detail Balok'!$C$10:$AU$110,41,FALSE)</f>
        <v>0</v>
      </c>
      <c r="E9856" t="str">
        <v>D</v>
      </c>
      <c r="F9856">
        <f>VLOOKUP(D9834,'Detail Balok'!$C$10:$AU$110,43,FALSE)</f>
        <v>10</v>
      </c>
      <c r="G9856" t="str">
        <v>-</v>
      </c>
      <c r="H9856">
        <f>VLOOKUP(D9834,'Detail Balok'!$C$10:$AU$110,45,FALSE)</f>
        <v>75</v>
      </c>
      <c r="J9856">
        <f>(IF(D9856=0,(2*(D9835+G9835))-(F$5*8),IF(D9856=3,(2*(D9835+G9835))-(F$5*8)+(G9835-2*F$5),IF(D9856=4,(2*(D9835+G9835))-(F$5*8)+2*(G9835-2*F$5)))))/1000</f>
        <v>1.08</v>
      </c>
      <c r="K9856" t="str">
        <v>+</v>
      </c>
      <c r="L9856">
        <f>IF(D9856=0,2*MAX(6*F9856,75),(D9856-1)*2*MAX(6*F9856,75))/1000</f>
        <v>0.15</v>
      </c>
      <c r="M9856" t="str">
        <v>=</v>
      </c>
      <c r="N9856">
        <f>J9856+L9856</f>
        <v>1.23</v>
      </c>
      <c r="T9856" t="str">
        <v>x</v>
      </c>
      <c r="U9856">
        <f>0.006165*F9856^2</f>
        <v>0.6165</v>
      </c>
      <c r="V9856" t="str">
        <v>x</v>
      </c>
      <c r="W9856">
        <f>IF(D9837&gt;4*G9835,ROUND(MAX(D9837/4,2*G9835)/H9856,0)+1,0)</f>
        <v>28</v>
      </c>
      <c r="X9856" t="str">
        <v>x</v>
      </c>
      <c r="Y9856">
        <f>D9840</f>
        <v>1</v>
      </c>
      <c r="Z9856" t="str">
        <v>=</v>
      </c>
      <c r="AA9856">
        <f>N9856*U9856*W9856*Y9856</f>
        <v>21.23226</v>
      </c>
    </row>
    <row r="9858">
      <c r="A9858" t="str">
        <f>A9834</f>
        <v>Lantai Attic</v>
      </c>
      <c r="B9858">
        <f>B9834</f>
        <v>64</v>
      </c>
      <c r="C9858" t="str">
        <v>Kait Horizontal Tump.</v>
      </c>
      <c r="D9858">
        <f>VLOOKUP(D9834,'Detail Balok'!$C$10:$BJ$110,46,FALSE)</f>
        <v>0</v>
      </c>
      <c r="E9858" t="str">
        <v>D</v>
      </c>
      <c r="F9858">
        <f>VLOOKUP(D9834,'Detail Balok'!$C$10:$BJ$110,48,FALSE)</f>
        <v>0</v>
      </c>
      <c r="G9858" t="str">
        <v>-</v>
      </c>
      <c r="H9858">
        <f>VLOOKUP(D9834,'Detail Balok'!$C$10:$BJ$110,50,FALSE)</f>
        <v>100</v>
      </c>
      <c r="J9858">
        <f>(D9835-2*F$5)/1000</f>
        <v>0.12</v>
      </c>
      <c r="K9858" t="str">
        <v>+</v>
      </c>
      <c r="L9858">
        <f>IF(D9858=0,2*MAX(6*F9858,75),(D9858-1)*2*MAX(6*F9858,75))/1000</f>
        <v>0.15</v>
      </c>
      <c r="M9858" t="str">
        <v>=</v>
      </c>
      <c r="N9858">
        <f>J9858+L9858</f>
        <v>0.27</v>
      </c>
      <c r="T9858" t="str">
        <v>x</v>
      </c>
      <c r="U9858">
        <f>0.006165*F9858^2</f>
        <v>0</v>
      </c>
      <c r="V9858" t="str">
        <v>x</v>
      </c>
      <c r="W9858">
        <f>W9854</f>
        <v>28</v>
      </c>
      <c r="X9858" t="str">
        <v>x</v>
      </c>
      <c r="Y9858">
        <f>D9844</f>
        <v>3</v>
      </c>
      <c r="Z9858" t="str">
        <v>=</v>
      </c>
      <c r="AA9858">
        <f>N9858*U9858*W9858*Y9858</f>
        <v>0</v>
      </c>
    </row>
    <row r="9859">
      <c r="A9859" t="str">
        <f>A9834</f>
        <v>Lantai Attic</v>
      </c>
      <c r="B9859">
        <f>B9834</f>
        <v>64</v>
      </c>
      <c r="C9859" t="str">
        <v>Kait Horizontal Lap.</v>
      </c>
      <c r="D9859">
        <f>VLOOKUP(D9834,'Detail Balok'!$C$10:$BJ$110,51,FALSE)</f>
        <v>0</v>
      </c>
      <c r="E9859" t="str">
        <v>D</v>
      </c>
      <c r="F9859">
        <f>VLOOKUP(D9834,'Detail Balok'!$C$10:$BJ$110,53,FALSE)</f>
        <v>0</v>
      </c>
      <c r="G9859" t="str">
        <v>-</v>
      </c>
      <c r="H9859">
        <f>VLOOKUP(D9834,'Detail Balok'!$C$10:$BJ$110,55,FALSE)</f>
        <v>100</v>
      </c>
      <c r="J9859">
        <f>(D9835-2*F$5)/1000</f>
        <v>0.12</v>
      </c>
      <c r="K9859" t="str">
        <v>+</v>
      </c>
      <c r="L9859">
        <f>IF(D9859=0,2*MAX(6*F9859,75),(D9859-1)*2*MAX(6*F9859,75))/1000</f>
        <v>0.15</v>
      </c>
      <c r="M9859" t="str">
        <v>=</v>
      </c>
      <c r="N9859">
        <f>J9859+L9859</f>
        <v>0.27</v>
      </c>
      <c r="T9859" t="str">
        <v>x</v>
      </c>
      <c r="U9859">
        <f>0.006165*F9859^2</f>
        <v>0</v>
      </c>
      <c r="V9859" t="str">
        <v>x</v>
      </c>
      <c r="W9859">
        <f>W9855</f>
        <v>32</v>
      </c>
      <c r="X9859" t="str">
        <v>x</v>
      </c>
      <c r="Y9859">
        <f>D9844</f>
        <v>3</v>
      </c>
      <c r="Z9859" t="str">
        <v>=</v>
      </c>
      <c r="AA9859">
        <f>N9859*U9859*W9859*Y9859</f>
        <v>0</v>
      </c>
    </row>
    <row r="9860">
      <c r="A9860" t="str">
        <f>A9834</f>
        <v>Lantai Attic</v>
      </c>
      <c r="B9860">
        <f>B9834</f>
        <v>64</v>
      </c>
      <c r="C9860" t="str">
        <v>Kait Horizontal Tump.</v>
      </c>
      <c r="D9860">
        <f>VLOOKUP(D9834,'Detail Balok'!$C$10:$BJ$110,56,FALSE)</f>
        <v>0</v>
      </c>
      <c r="E9860" t="str">
        <v>D</v>
      </c>
      <c r="F9860">
        <f>VLOOKUP(D9834,'Detail Balok'!$C$10:$BJ$110,58,FALSE)</f>
        <v>0</v>
      </c>
      <c r="G9860" t="str">
        <v>-</v>
      </c>
      <c r="H9860">
        <f>VLOOKUP(D9834,'Detail Balok'!$C$10:$BJ$110,60,FALSE)</f>
        <v>100</v>
      </c>
      <c r="J9860">
        <f>(D9835-2*F$5)/1000</f>
        <v>0.12</v>
      </c>
      <c r="K9860" t="str">
        <v>+</v>
      </c>
      <c r="L9860">
        <f>IF(D9860=0,2*MAX(6*F9860,75),(D9860-1)*2*MAX(6*F9860,75))/1000</f>
        <v>0.15</v>
      </c>
      <c r="M9860" t="str">
        <v>=</v>
      </c>
      <c r="N9860">
        <f>J9860+L9860</f>
        <v>0.27</v>
      </c>
      <c r="T9860" t="str">
        <v>x</v>
      </c>
      <c r="U9860">
        <f>0.006165*F9860^2</f>
        <v>0</v>
      </c>
      <c r="V9860" t="str">
        <v>x</v>
      </c>
      <c r="W9860">
        <f>W9856</f>
        <v>28</v>
      </c>
      <c r="X9860" t="str">
        <v>x</v>
      </c>
      <c r="Y9860">
        <f>D9844</f>
        <v>3</v>
      </c>
      <c r="Z9860" t="str">
        <v>=</v>
      </c>
      <c r="AA9860">
        <f>N9860*U9860*W9860*Y9860</f>
        <v>0</v>
      </c>
    </row>
    <row r="9864">
      <c r="A9864" t="str">
        <f>A9834</f>
        <v>Lantai Attic</v>
      </c>
      <c r="B9864">
        <f>B9834+1</f>
        <v>65</v>
      </c>
      <c r="C9864" t="str">
        <f>CONCATENATE(A9864," no. ",B9864)</f>
        <v>Lantai Attic no. 65</v>
      </c>
      <c r="D9864" t="str">
        <f>VLOOKUP(C9864,'Data Panjang Balok'!$C$9:$N$424,2,FALSE)</f>
        <v>Potongan C</v>
      </c>
    </row>
    <row r="9865">
      <c r="C9865" t="str">
        <v>Dimensi</v>
      </c>
      <c r="D9865">
        <f>VLOOKUP(D9864,'Detail Balok'!$C$10:$AU$110,2,FALSE)</f>
        <v>200</v>
      </c>
      <c r="F9865" t="str">
        <v>x</v>
      </c>
      <c r="G9865">
        <f>VLOOKUP(D9864,'Detail Balok'!$C$10:$AU$110,3,FALSE)</f>
        <v>500</v>
      </c>
    </row>
    <row r="9866">
      <c r="C9866" t="str">
        <v>Panjang as ke as</v>
      </c>
      <c r="D9866">
        <f>VLOOKUP(C9864,'Data Panjang Balok'!$C$9:$N$424,4,FALSE)</f>
        <v>3000</v>
      </c>
    </row>
    <row r="9867">
      <c r="C9867" t="str">
        <v>Panjang netto</v>
      </c>
      <c r="D9867">
        <f>VLOOKUP(C9864,'Data Panjang Balok'!$C$9:$N$424,7,FALSE)</f>
        <v>3000</v>
      </c>
    </row>
    <row r="9868">
      <c r="C9868" t="str">
        <v>Kolom / balok kiri</v>
      </c>
      <c r="D9868">
        <f>VLOOKUP(C9864,'Data Panjang Balok'!$C$9:$N$424,9,FALSE)</f>
        <v>0</v>
      </c>
    </row>
    <row r="9869">
      <c r="C9869" t="str">
        <v>Kolom / balok kanan</v>
      </c>
      <c r="D9869">
        <f>VLOOKUP(C9864,'Data Panjang Balok'!$C$9:$N$424,10,FALSE)</f>
        <v>0</v>
      </c>
    </row>
    <row r="9870">
      <c r="C9870" t="str">
        <v>Jumlah</v>
      </c>
      <c r="D9870">
        <f>VLOOKUP(C9864,'Data Panjang Balok'!$C$9:$N$424,3,FALSE)</f>
        <v>1</v>
      </c>
    </row>
    <row r="9871">
      <c r="A9871" t="str">
        <f>A9864</f>
        <v>Lantai Attic</v>
      </c>
      <c r="B9871">
        <f>B9864</f>
        <v>65</v>
      </c>
      <c r="C9871" t="str">
        <v>Tul Atas Tumpuan</v>
      </c>
      <c r="D9871">
        <f>VLOOKUP(D9864,'Detail Balok'!$C$10:$AU$110,4,FALSE)</f>
        <v>5</v>
      </c>
      <c r="E9871" t="str">
        <v>D</v>
      </c>
      <c r="F9871">
        <f>VLOOKUP(D9864,'Detail Balok'!$C$10:$AU$110,6,FALSE)</f>
        <v>19</v>
      </c>
      <c r="I9871" t="str">
        <v>(</v>
      </c>
      <c r="J9871">
        <f>+D9866/4/1000</f>
        <v>0.75</v>
      </c>
      <c r="K9871" t="str">
        <v>+</v>
      </c>
      <c r="L9871">
        <f>MAX(VLOOKUP(F9871,N$6:P$15,3,FALSE)/1000,2/3*D9868/1000)+F$16*F9871/1000</f>
        <v>0.228</v>
      </c>
      <c r="M9871" t="str">
        <v>=</v>
      </c>
      <c r="N9871">
        <f>J9871+L9871</f>
        <v>0.978</v>
      </c>
      <c r="O9871" t="str">
        <v>+</v>
      </c>
      <c r="P9871">
        <f>D9871-D9872</f>
        <v>0</v>
      </c>
      <c r="Q9871" t="str">
        <v>x</v>
      </c>
      <c r="R9871">
        <f>IF(P9871&gt;0,$F$18*F9871/1000,0)</f>
        <v>0</v>
      </c>
      <c r="S9871" t="str">
        <v>)</v>
      </c>
      <c r="T9871" t="str">
        <v>x</v>
      </c>
      <c r="U9871">
        <f>0.006165*F9871^2</f>
        <v>2.225565</v>
      </c>
      <c r="X9871" t="str">
        <v>x</v>
      </c>
      <c r="Y9871">
        <f>D9870</f>
        <v>1</v>
      </c>
      <c r="Z9871" t="str">
        <v>=</v>
      </c>
      <c r="AA9871">
        <f>IF(AA9874=0,(D9871*N9871+P9871*R9871)*U9871*Y9871,0)</f>
        <v>0</v>
      </c>
    </row>
    <row r="9872">
      <c r="A9872" t="str">
        <f>A9864</f>
        <v>Lantai Attic</v>
      </c>
      <c r="B9872">
        <f>B9864</f>
        <v>65</v>
      </c>
      <c r="C9872" t="str">
        <v>Tul Atas Lapangan</v>
      </c>
      <c r="D9872">
        <f>VLOOKUP(D9864,'Detail Balok'!$C$10:$AU$110,7,FALSE)</f>
        <v>5</v>
      </c>
      <c r="E9872" t="str">
        <v>D</v>
      </c>
      <c r="F9872">
        <f>VLOOKUP(D9864,'Detail Balok'!$C$10:$AU$110,9,FALSE)</f>
        <v>19</v>
      </c>
      <c r="I9872" t="str">
        <v>(</v>
      </c>
      <c r="J9872">
        <f>+D9866/2/1000</f>
        <v>1.5</v>
      </c>
      <c r="K9872" t="str">
        <v>+</v>
      </c>
      <c r="M9872" t="str">
        <v>=</v>
      </c>
      <c r="N9872">
        <f>J9872+L9872</f>
        <v>1.5</v>
      </c>
      <c r="O9872" t="str">
        <v>+</v>
      </c>
      <c r="P9872">
        <f>MAX(D9872-D9871,D9872-D9873)</f>
        <v>0</v>
      </c>
      <c r="Q9872" t="str">
        <v>x</v>
      </c>
      <c r="R9872">
        <f>IF(P9872&gt;0,2*(1-2*$F$19-1/2)*D9867/1000,0)</f>
        <v>0</v>
      </c>
      <c r="S9872" t="str">
        <v>)</v>
      </c>
      <c r="T9872" t="str">
        <v>x</v>
      </c>
      <c r="U9872">
        <f>0.006165*F9872^2</f>
        <v>2.225565</v>
      </c>
      <c r="X9872" t="str">
        <v>x</v>
      </c>
      <c r="Y9872">
        <f>D9870</f>
        <v>1</v>
      </c>
      <c r="Z9872" t="str">
        <v>=</v>
      </c>
      <c r="AA9872">
        <f>IF(AA9874=0,(D9872*N9872+P9872*R9872)*U9872*Y9872,0)</f>
        <v>0</v>
      </c>
    </row>
    <row r="9873">
      <c r="A9873" t="str">
        <f>A9864</f>
        <v>Lantai Attic</v>
      </c>
      <c r="B9873">
        <f>B9864</f>
        <v>65</v>
      </c>
      <c r="C9873" t="str">
        <v>Tul Atas Tumpuan</v>
      </c>
      <c r="D9873">
        <f>VLOOKUP(D9864,'Detail Balok'!$C$10:$AU$110,10,FALSE)</f>
        <v>5</v>
      </c>
      <c r="E9873" t="str">
        <v>D</v>
      </c>
      <c r="F9873">
        <f>VLOOKUP(D9864,'Detail Balok'!$C$10:$AU$110,12,FALSE)</f>
        <v>19</v>
      </c>
      <c r="I9873" t="str">
        <v>(</v>
      </c>
      <c r="J9873">
        <f>+D9866/4/1000</f>
        <v>0.75</v>
      </c>
      <c r="K9873" t="str">
        <v>+</v>
      </c>
      <c r="L9873">
        <f>MAX(VLOOKUP(F9873,N$6:P$15,3,FALSE)/1000,2/3*D9868/1000)+F$16*F9873/1000</f>
        <v>0.228</v>
      </c>
      <c r="M9873" t="str">
        <v>=</v>
      </c>
      <c r="N9873">
        <f>J9873+L9873</f>
        <v>0.978</v>
      </c>
      <c r="O9873" t="str">
        <v>+</v>
      </c>
      <c r="P9873">
        <f>D9873-D9872</f>
        <v>0</v>
      </c>
      <c r="Q9873" t="str">
        <v>x</v>
      </c>
      <c r="R9873">
        <f>IF(P9873&gt;0,$F$18*F9873/1000,0)</f>
        <v>0</v>
      </c>
      <c r="S9873" t="str">
        <v>)</v>
      </c>
      <c r="T9873" t="str">
        <v>x</v>
      </c>
      <c r="U9873">
        <f>0.006165*F9873^2</f>
        <v>2.225565</v>
      </c>
      <c r="X9873" t="str">
        <v>x</v>
      </c>
      <c r="Y9873">
        <f>D9870</f>
        <v>1</v>
      </c>
      <c r="Z9873" t="str">
        <v>=</v>
      </c>
      <c r="AA9873">
        <f>IF(AA9874=0,(D9873*N9873+P9873*R9873)*U9873*Y9873,0)</f>
        <v>0</v>
      </c>
    </row>
    <row r="9874">
      <c r="A9874" t="str">
        <f>A9864</f>
        <v>Lantai Attic</v>
      </c>
      <c r="B9874">
        <f>B9864</f>
        <v>65</v>
      </c>
      <c r="D9874">
        <f>IF(AND(D9871=D9872,D9872=D9873,D9871=D9873),D9871,0)</f>
        <v>5</v>
      </c>
      <c r="E9874" t="str">
        <v>D</v>
      </c>
      <c r="F9874">
        <f>IF(AND(F9871=F9872,F9871=F9873,F9872=F9873),F9871,0)</f>
        <v>19</v>
      </c>
      <c r="L9874" t="str">
        <v>Total panjang per balok</v>
      </c>
      <c r="M9874" t="str">
        <v>=</v>
      </c>
      <c r="N9874">
        <f>IF(AND(D9871=D9872,D9871=D9873,D9872=D9873,F9871=F9872,F9871=F9873,F9872=F9873),SUM(N9871:N9873),0)</f>
        <v>3.4559999999999995</v>
      </c>
      <c r="O9874" t="str">
        <v>+</v>
      </c>
      <c r="P9874">
        <f>IF(N9874&gt;12,ROUNDDOWN(N9874/12,0),0)</f>
        <v>0</v>
      </c>
      <c r="Q9874" t="str">
        <v>x</v>
      </c>
      <c r="R9874">
        <f>IF(P9874&gt;0,MAX(VLOOKUP(F9874,$D$6:$G$15,3,FALSE),600),0)/1000</f>
        <v>0</v>
      </c>
      <c r="T9874" t="str">
        <v>x</v>
      </c>
      <c r="U9874">
        <f>U9873</f>
        <v>2.225565</v>
      </c>
      <c r="V9874" t="str">
        <v>x</v>
      </c>
      <c r="W9874">
        <f>D9874</f>
        <v>5</v>
      </c>
      <c r="X9874" t="str">
        <v>x</v>
      </c>
      <c r="Y9874">
        <f>Y9873</f>
        <v>1</v>
      </c>
      <c r="Z9874" t="str">
        <v>=</v>
      </c>
      <c r="AA9874">
        <f>(N9874+P9874*R9874/1000)*U9874*W9874*Y9874</f>
        <v>38.457763199999995</v>
      </c>
    </row>
    <row r="9876">
      <c r="A9876" t="str">
        <f>A9864</f>
        <v>Lantai Attic</v>
      </c>
      <c r="B9876">
        <f>B9864</f>
        <v>65</v>
      </c>
      <c r="C9876" t="str">
        <v>Tul Peminggang</v>
      </c>
      <c r="D9876">
        <f>VLOOKUP(D9864,'Detail Balok'!$C$10:$AU$110,13,FALSE)</f>
        <v>2</v>
      </c>
      <c r="E9876" t="str">
        <v>D</v>
      </c>
      <c r="F9876">
        <f>VLOOKUP(D9864,'Detail Balok'!$C$10:$AU$110,15,FALSE)</f>
        <v>10</v>
      </c>
      <c r="J9876">
        <f>+D9866/1000</f>
        <v>3</v>
      </c>
      <c r="K9876" t="str">
        <v>+</v>
      </c>
      <c r="L9876">
        <f>2*$F$16*F9876/1000</f>
        <v>0.24</v>
      </c>
      <c r="M9876" t="str">
        <v>=</v>
      </c>
      <c r="N9876">
        <f>J9876+L9876</f>
        <v>3.24</v>
      </c>
      <c r="O9876" t="str">
        <v>+</v>
      </c>
      <c r="P9876">
        <f>IF(N9876&gt;12,ROUNDDOWN(N9876/12,0),0)</f>
        <v>0</v>
      </c>
      <c r="Q9876" t="str">
        <v>x</v>
      </c>
      <c r="R9876">
        <f>IF(P9876&gt;0,MAX(VLOOKUP(F9876,$D$6:$G$15,3,FALSE),600),0)/1000</f>
        <v>0</v>
      </c>
      <c r="T9876" t="str">
        <v>x</v>
      </c>
      <c r="U9876">
        <f>0.006165*F9876^2</f>
        <v>0.6165</v>
      </c>
      <c r="V9876" t="str">
        <v>x</v>
      </c>
      <c r="W9876">
        <f>+D9876</f>
        <v>2</v>
      </c>
      <c r="X9876" t="str">
        <v>x</v>
      </c>
      <c r="Y9876">
        <f>D9870</f>
        <v>1</v>
      </c>
      <c r="Z9876" t="str">
        <v>=</v>
      </c>
      <c r="AA9876">
        <f>(N9876+P9876*R9876/1000)*U9876*W9876*Y9876</f>
        <v>3.9949200000000005</v>
      </c>
    </row>
    <row r="9879">
      <c r="A9879" t="str">
        <f>A9864</f>
        <v>Lantai Attic</v>
      </c>
      <c r="B9879">
        <f>B9864</f>
        <v>65</v>
      </c>
      <c r="C9879" t="str">
        <v>Tul Bawah Tumpuan</v>
      </c>
      <c r="D9879">
        <f>VLOOKUP(D9864,'Detail Balok'!$C$10:$AU$110,22,FALSE)</f>
        <v>4</v>
      </c>
      <c r="E9879" t="str">
        <v>D</v>
      </c>
      <c r="F9879">
        <f>VLOOKUP(D9864,'Detail Balok'!$C$10:$AU$110,24,FALSE)</f>
        <v>19</v>
      </c>
      <c r="I9879" t="str">
        <v>(</v>
      </c>
      <c r="J9879">
        <f>+J9871</f>
        <v>0.75</v>
      </c>
      <c r="K9879" t="str">
        <v>+</v>
      </c>
      <c r="L9879">
        <f>MAX(VLOOKUP(F9879,N$6:P$15,3,FALSE)/1000,2/3*D9869/1000)+F$16*F9879/1000</f>
        <v>0.228</v>
      </c>
      <c r="M9879" t="str">
        <v>=</v>
      </c>
      <c r="N9879">
        <f>J9879+L9879</f>
        <v>0.978</v>
      </c>
      <c r="O9879" t="str">
        <v>+</v>
      </c>
      <c r="P9879">
        <f>D9879-D9880</f>
        <v>0</v>
      </c>
      <c r="Q9879" t="str">
        <v>x</v>
      </c>
      <c r="R9879">
        <f>IF(P9879&gt;0,$F$18*F9879/1000,0)</f>
        <v>0</v>
      </c>
      <c r="S9879" t="str">
        <v>)</v>
      </c>
      <c r="T9879" t="str">
        <v>x</v>
      </c>
      <c r="U9879">
        <f>0.006165*F9879^2</f>
        <v>2.225565</v>
      </c>
      <c r="X9879" t="str">
        <v>x</v>
      </c>
      <c r="Y9879">
        <f>D9870</f>
        <v>1</v>
      </c>
      <c r="Z9879" t="str">
        <v>=</v>
      </c>
      <c r="AA9879">
        <f>IF(AA9882=0,(D9879*N9879+P9879*R9879)*U9879*Y9879,0)</f>
        <v>0</v>
      </c>
    </row>
    <row r="9880">
      <c r="A9880" t="str">
        <f>A9864</f>
        <v>Lantai Attic</v>
      </c>
      <c r="B9880">
        <f>B9864</f>
        <v>65</v>
      </c>
      <c r="C9880" t="str">
        <v>Tul Bawah Lapangan</v>
      </c>
      <c r="D9880">
        <f>VLOOKUP(D9864,'Detail Balok'!$C$10:$AU$110,25,FALSE)</f>
        <v>4</v>
      </c>
      <c r="E9880" t="str">
        <v>D</v>
      </c>
      <c r="F9880">
        <f>VLOOKUP(D9864,'Detail Balok'!$C$10:$AU$110,27,FALSE)</f>
        <v>19</v>
      </c>
      <c r="I9880" t="str">
        <v>(</v>
      </c>
      <c r="J9880">
        <f>+J9872</f>
        <v>1.5</v>
      </c>
      <c r="K9880" t="str">
        <v>+</v>
      </c>
      <c r="M9880" t="str">
        <v>=</v>
      </c>
      <c r="N9880">
        <f>J9880+L9880</f>
        <v>1.5</v>
      </c>
      <c r="O9880" t="str">
        <v>+</v>
      </c>
      <c r="P9880">
        <f>MAX(D9880-D9879,D9880-D9881)</f>
        <v>0</v>
      </c>
      <c r="Q9880" t="str">
        <v>x</v>
      </c>
      <c r="R9880">
        <f>IF(P9880&gt;0,2*(1-2*$F$19-1/2)*D9867/1000,0)</f>
        <v>0</v>
      </c>
      <c r="S9880" t="str">
        <v>)</v>
      </c>
      <c r="T9880" t="str">
        <v>x</v>
      </c>
      <c r="U9880">
        <f>0.006165*F9880^2</f>
        <v>2.225565</v>
      </c>
      <c r="X9880" t="str">
        <v>x</v>
      </c>
      <c r="Y9880">
        <f>D9870</f>
        <v>1</v>
      </c>
      <c r="Z9880" t="str">
        <v>=</v>
      </c>
      <c r="AA9880">
        <f>IF(AA9882=0,(D9880*N9880+P9880*R9880)*U9880*Y9880,0)</f>
        <v>0</v>
      </c>
    </row>
    <row r="9881">
      <c r="A9881" t="str">
        <f>A9864</f>
        <v>Lantai Attic</v>
      </c>
      <c r="B9881">
        <f>B9864</f>
        <v>65</v>
      </c>
      <c r="C9881" t="str">
        <v>Tul Bawah Tumpuan</v>
      </c>
      <c r="D9881">
        <f>VLOOKUP(D9864,'Detail Balok'!$C$10:$AU$110,28,FALSE)</f>
        <v>4</v>
      </c>
      <c r="E9881" t="str">
        <v>D</v>
      </c>
      <c r="F9881">
        <f>VLOOKUP(D9864,'Detail Balok'!$C$10:$AU$110,30,FALSE)</f>
        <v>19</v>
      </c>
      <c r="I9881" t="str">
        <v>(</v>
      </c>
      <c r="J9881">
        <f>+J9873</f>
        <v>0.75</v>
      </c>
      <c r="K9881" t="str">
        <v>+</v>
      </c>
      <c r="L9881">
        <f>MAX(VLOOKUP(F9881,N$6:P$15,3,FALSE)/1000,2/3*D9869/1000)+F$16*F9881/1000</f>
        <v>0.228</v>
      </c>
      <c r="M9881" t="str">
        <v>=</v>
      </c>
      <c r="N9881">
        <f>J9881+L9881</f>
        <v>0.978</v>
      </c>
      <c r="O9881" t="str">
        <v>+</v>
      </c>
      <c r="P9881">
        <f>D9881-D9880</f>
        <v>0</v>
      </c>
      <c r="Q9881" t="str">
        <v>x</v>
      </c>
      <c r="R9881">
        <f>IF(P9881&gt;0,$F$18*F9881/1000,0)</f>
        <v>0</v>
      </c>
      <c r="S9881" t="str">
        <v>)</v>
      </c>
      <c r="T9881" t="str">
        <v>x</v>
      </c>
      <c r="U9881">
        <f>0.006165*F9881^2</f>
        <v>2.225565</v>
      </c>
      <c r="X9881" t="str">
        <v>x</v>
      </c>
      <c r="Y9881">
        <f>D9870</f>
        <v>1</v>
      </c>
      <c r="Z9881" t="str">
        <v>=</v>
      </c>
      <c r="AA9881">
        <f>IF(AA9882=0,(D9881*N9881+P9881*R9881)*U9881*Y9881,0)</f>
        <v>0</v>
      </c>
    </row>
    <row r="9882">
      <c r="A9882" t="str">
        <f>A9864</f>
        <v>Lantai Attic</v>
      </c>
      <c r="B9882">
        <f>B9864</f>
        <v>65</v>
      </c>
      <c r="D9882">
        <f>IF(AND(D9879=D9880,D9880=D9881,D9879=D9881),D9879,0)</f>
        <v>4</v>
      </c>
      <c r="E9882" t="str">
        <v>D</v>
      </c>
      <c r="F9882">
        <f>IF(AND(F9879=F9880,F9879=F9881,F9880=F9881),F9879,0)</f>
        <v>19</v>
      </c>
      <c r="L9882" t="str">
        <v>Total panjang per balok</v>
      </c>
      <c r="M9882" t="str">
        <v>=</v>
      </c>
      <c r="N9882">
        <f>IF(AND(D9879=D9880,D9879=D9881,D9880=D9881,F9879=F9880,F9879=F9881,F9880=F9881),SUM(N9879:N9881),0)</f>
        <v>3.4559999999999995</v>
      </c>
      <c r="O9882" t="str">
        <v>+</v>
      </c>
      <c r="P9882">
        <f>IF(N9882&gt;12,ROUNDDOWN(N9882/12,0),0)</f>
        <v>0</v>
      </c>
      <c r="Q9882" t="str">
        <v>x</v>
      </c>
      <c r="R9882">
        <f>IF(P9882&gt;0,MAX(VLOOKUP(F9882,$D$6:$G$15,3,FALSE),600),0)/1000</f>
        <v>0</v>
      </c>
      <c r="T9882" t="str">
        <v>x</v>
      </c>
      <c r="U9882">
        <f>U9881</f>
        <v>2.225565</v>
      </c>
      <c r="V9882" t="str">
        <v>x</v>
      </c>
      <c r="W9882">
        <f>D9882</f>
        <v>4</v>
      </c>
      <c r="X9882" t="str">
        <v>x</v>
      </c>
      <c r="Y9882">
        <f>Y9881</f>
        <v>1</v>
      </c>
      <c r="Z9882" t="str">
        <v>=</v>
      </c>
      <c r="AA9882">
        <f>(N9882+P9882*R9882/1000)*U9882*W9882*Y9882</f>
        <v>30.766210559999998</v>
      </c>
    </row>
    <row r="9884">
      <c r="A9884" t="str">
        <f>A9864</f>
        <v>Lantai Attic</v>
      </c>
      <c r="B9884">
        <f>B9864</f>
        <v>65</v>
      </c>
      <c r="C9884" t="str">
        <v>Sengkang Tumpuan</v>
      </c>
      <c r="D9884">
        <f>VLOOKUP(D9864,'Detail Balok'!$C$10:$AU$110,31,FALSE)</f>
        <v>0</v>
      </c>
      <c r="E9884" t="str">
        <v>D</v>
      </c>
      <c r="F9884">
        <f>VLOOKUP(D9864,'Detail Balok'!$C$10:$AU$110,33,FALSE)</f>
        <v>10</v>
      </c>
      <c r="G9884" t="str">
        <v>-</v>
      </c>
      <c r="H9884">
        <f>VLOOKUP(D9864,'Detail Balok'!$C$10:$AU$110,35,FALSE)</f>
        <v>75</v>
      </c>
      <c r="J9884">
        <f>(IF(D9884=0,(2*(D9865+G9865))-(F$5*8),IF(D9884=3,(2*(D9865+G9865))-(F$5*8)+(G9865-2*F$5),IF(D9884=4,(2*(D9865+G9865))-(F$5*8)+2*(G9865-2*F$5)))))/1000</f>
        <v>1.08</v>
      </c>
      <c r="K9884" t="str">
        <v>+</v>
      </c>
      <c r="L9884">
        <f>IF(D9884=0,2*MAX(6*F9884,75),(D9884-1)*2*MAX(6*F9884,75))/1000</f>
        <v>0.15</v>
      </c>
      <c r="M9884" t="str">
        <v>=</v>
      </c>
      <c r="N9884">
        <f>J9884+L9884</f>
        <v>1.23</v>
      </c>
      <c r="T9884" t="str">
        <v>x</v>
      </c>
      <c r="U9884">
        <f>0.006165*F9884^2</f>
        <v>0.6165</v>
      </c>
      <c r="V9884" t="str">
        <v>x</v>
      </c>
      <c r="W9884">
        <f>IF(D9867&gt;4*G9865,ROUND(MAX(D9867/4,2*G9865)/H9884,0)+1,ROUND(D9867/H9884,0)+1)</f>
        <v>14</v>
      </c>
      <c r="X9884" t="str">
        <v>x</v>
      </c>
      <c r="Y9884">
        <f>D9870</f>
        <v>1</v>
      </c>
      <c r="Z9884" t="str">
        <v>=</v>
      </c>
      <c r="AA9884">
        <f>N9884*U9884*W9884*Y9884</f>
        <v>10.61613</v>
      </c>
    </row>
    <row r="9885">
      <c r="A9885" t="str">
        <f>A9864</f>
        <v>Lantai Attic</v>
      </c>
      <c r="B9885">
        <f>B9864</f>
        <v>65</v>
      </c>
      <c r="C9885" t="str">
        <v>Sengkang Lapangan</v>
      </c>
      <c r="D9885">
        <f>VLOOKUP(D9864,'Detail Balok'!$C$10:$AU$110,36,FALSE)</f>
        <v>0</v>
      </c>
      <c r="E9885" t="str">
        <v>D</v>
      </c>
      <c r="F9885">
        <f>VLOOKUP(D9864,'Detail Balok'!$C$10:$AU$110,38,FALSE)</f>
        <v>10</v>
      </c>
      <c r="G9885" t="str">
        <v>-</v>
      </c>
      <c r="H9885">
        <f>VLOOKUP(D9864,'Detail Balok'!$C$10:$AU$110,40,FALSE)</f>
        <v>75</v>
      </c>
      <c r="J9885">
        <f>(IF(D9885=0,(2*(D9865+G9865))-(F$5*8),IF(D9885=3,(2*(D9865+G9865))-(F$5*8)+(G9865-2*F$5),IF(D9885=4,(2*(D9865+G9865))-(F$5*8)+2*(G9865-2*F$5)))))/1000</f>
        <v>1.08</v>
      </c>
      <c r="K9885" t="str">
        <v>+</v>
      </c>
      <c r="L9885">
        <f>IF(D9885=0,2*MAX(6*F9885,75),(D9885-1)*2*MAX(6*F9885,75))/1000</f>
        <v>0.15</v>
      </c>
      <c r="M9885" t="str">
        <v>=</v>
      </c>
      <c r="N9885">
        <f>J9885+L9885</f>
        <v>1.23</v>
      </c>
      <c r="T9885" t="str">
        <v>x</v>
      </c>
      <c r="U9885">
        <f>0.006165*F9885^2</f>
        <v>0.6165</v>
      </c>
      <c r="V9885" t="str">
        <v>x</v>
      </c>
      <c r="W9885">
        <f>IF(D9867-MAX(D9867/4,2*G9865)*2&gt;0,ROUND((D9867-MAX(D9867/4,2*G9865)*2)/H9885,0),0)</f>
        <v>13</v>
      </c>
      <c r="X9885" t="str">
        <v>x</v>
      </c>
      <c r="Y9885">
        <f>D9870</f>
        <v>1</v>
      </c>
      <c r="Z9885" t="str">
        <v>=</v>
      </c>
      <c r="AA9885">
        <f>N9885*U9885*W9885*Y9885</f>
        <v>9.857835000000001</v>
      </c>
    </row>
    <row r="9886">
      <c r="A9886" t="str">
        <f>A9864</f>
        <v>Lantai Attic</v>
      </c>
      <c r="B9886">
        <f>B9864</f>
        <v>65</v>
      </c>
      <c r="C9886" t="str">
        <v>Sengkang Tumpuan</v>
      </c>
      <c r="D9886">
        <f>VLOOKUP(D9864,'Detail Balok'!$C$10:$AU$110,41,FALSE)</f>
        <v>0</v>
      </c>
      <c r="E9886" t="str">
        <v>D</v>
      </c>
      <c r="F9886">
        <f>VLOOKUP(D9864,'Detail Balok'!$C$10:$AU$110,43,FALSE)</f>
        <v>10</v>
      </c>
      <c r="G9886" t="str">
        <v>-</v>
      </c>
      <c r="H9886">
        <f>VLOOKUP(D9864,'Detail Balok'!$C$10:$AU$110,45,FALSE)</f>
        <v>75</v>
      </c>
      <c r="J9886">
        <f>(IF(D9886=0,(2*(D9865+G9865))-(F$5*8),IF(D9886=3,(2*(D9865+G9865))-(F$5*8)+(G9865-2*F$5),IF(D9886=4,(2*(D9865+G9865))-(F$5*8)+2*(G9865-2*F$5)))))/1000</f>
        <v>1.08</v>
      </c>
      <c r="K9886" t="str">
        <v>+</v>
      </c>
      <c r="L9886">
        <f>IF(D9886=0,2*MAX(6*F9886,75),(D9886-1)*2*MAX(6*F9886,75))/1000</f>
        <v>0.15</v>
      </c>
      <c r="M9886" t="str">
        <v>=</v>
      </c>
      <c r="N9886">
        <f>J9886+L9886</f>
        <v>1.23</v>
      </c>
      <c r="T9886" t="str">
        <v>x</v>
      </c>
      <c r="U9886">
        <f>0.006165*F9886^2</f>
        <v>0.6165</v>
      </c>
      <c r="V9886" t="str">
        <v>x</v>
      </c>
      <c r="W9886">
        <f>IF(D9867&gt;4*G9865,ROUND(MAX(D9867/4,2*G9865)/H9886,0)+1,0)</f>
        <v>14</v>
      </c>
      <c r="X9886" t="str">
        <v>x</v>
      </c>
      <c r="Y9886">
        <f>D9870</f>
        <v>1</v>
      </c>
      <c r="Z9886" t="str">
        <v>=</v>
      </c>
      <c r="AA9886">
        <f>N9886*U9886*W9886*Y9886</f>
        <v>10.61613</v>
      </c>
    </row>
    <row r="9888">
      <c r="A9888" t="str">
        <f>A9864</f>
        <v>Lantai Attic</v>
      </c>
      <c r="B9888">
        <f>B9864</f>
        <v>65</v>
      </c>
      <c r="C9888" t="str">
        <v>Kait Horizontal Tump.</v>
      </c>
      <c r="D9888">
        <f>VLOOKUP(D9864,'Detail Balok'!$C$10:$BJ$110,46,FALSE)</f>
        <v>0</v>
      </c>
      <c r="E9888" t="str">
        <v>D</v>
      </c>
      <c r="F9888">
        <f>VLOOKUP(D9864,'Detail Balok'!$C$10:$BJ$110,48,FALSE)</f>
        <v>0</v>
      </c>
      <c r="G9888" t="str">
        <v>-</v>
      </c>
      <c r="H9888">
        <f>VLOOKUP(D9864,'Detail Balok'!$C$10:$BJ$110,50,FALSE)</f>
        <v>100</v>
      </c>
      <c r="J9888">
        <f>(D9865-2*F$5)/1000</f>
        <v>0.12</v>
      </c>
      <c r="K9888" t="str">
        <v>+</v>
      </c>
      <c r="L9888">
        <f>IF(D9888=0,2*MAX(6*F9888,75),(D9888-1)*2*MAX(6*F9888,75))/1000</f>
        <v>0.15</v>
      </c>
      <c r="M9888" t="str">
        <v>=</v>
      </c>
      <c r="N9888">
        <f>J9888+L9888</f>
        <v>0.27</v>
      </c>
      <c r="T9888" t="str">
        <v>x</v>
      </c>
      <c r="U9888">
        <f>0.006165*F9888^2</f>
        <v>0</v>
      </c>
      <c r="V9888" t="str">
        <v>x</v>
      </c>
      <c r="W9888">
        <f>W9884</f>
        <v>14</v>
      </c>
      <c r="X9888" t="str">
        <v>x</v>
      </c>
      <c r="Y9888">
        <f>D9874</f>
        <v>5</v>
      </c>
      <c r="Z9888" t="str">
        <v>=</v>
      </c>
      <c r="AA9888">
        <f>N9888*U9888*W9888*Y9888</f>
        <v>0</v>
      </c>
    </row>
    <row r="9889">
      <c r="A9889" t="str">
        <f>A9864</f>
        <v>Lantai Attic</v>
      </c>
      <c r="B9889">
        <f>B9864</f>
        <v>65</v>
      </c>
      <c r="C9889" t="str">
        <v>Kait Horizontal Lap.</v>
      </c>
      <c r="D9889">
        <f>VLOOKUP(D9864,'Detail Balok'!$C$10:$BJ$110,51,FALSE)</f>
        <v>0</v>
      </c>
      <c r="E9889" t="str">
        <v>D</v>
      </c>
      <c r="F9889">
        <f>VLOOKUP(D9864,'Detail Balok'!$C$10:$BJ$110,53,FALSE)</f>
        <v>0</v>
      </c>
      <c r="G9889" t="str">
        <v>-</v>
      </c>
      <c r="H9889">
        <f>VLOOKUP(D9864,'Detail Balok'!$C$10:$BJ$110,55,FALSE)</f>
        <v>100</v>
      </c>
      <c r="J9889">
        <f>(D9865-2*F$5)/1000</f>
        <v>0.12</v>
      </c>
      <c r="K9889" t="str">
        <v>+</v>
      </c>
      <c r="L9889">
        <f>IF(D9889=0,2*MAX(6*F9889,75),(D9889-1)*2*MAX(6*F9889,75))/1000</f>
        <v>0.15</v>
      </c>
      <c r="M9889" t="str">
        <v>=</v>
      </c>
      <c r="N9889">
        <f>J9889+L9889</f>
        <v>0.27</v>
      </c>
      <c r="T9889" t="str">
        <v>x</v>
      </c>
      <c r="U9889">
        <f>0.006165*F9889^2</f>
        <v>0</v>
      </c>
      <c r="V9889" t="str">
        <v>x</v>
      </c>
      <c r="W9889">
        <f>W9885</f>
        <v>13</v>
      </c>
      <c r="X9889" t="str">
        <v>x</v>
      </c>
      <c r="Y9889">
        <f>D9874</f>
        <v>5</v>
      </c>
      <c r="Z9889" t="str">
        <v>=</v>
      </c>
      <c r="AA9889">
        <f>N9889*U9889*W9889*Y9889</f>
        <v>0</v>
      </c>
    </row>
    <row r="9890">
      <c r="A9890" t="str">
        <f>A9864</f>
        <v>Lantai Attic</v>
      </c>
      <c r="B9890">
        <f>B9864</f>
        <v>65</v>
      </c>
      <c r="C9890" t="str">
        <v>Kait Horizontal Tump.</v>
      </c>
      <c r="D9890">
        <f>VLOOKUP(D9864,'Detail Balok'!$C$10:$BJ$110,56,FALSE)</f>
        <v>0</v>
      </c>
      <c r="E9890" t="str">
        <v>D</v>
      </c>
      <c r="F9890">
        <f>VLOOKUP(D9864,'Detail Balok'!$C$10:$BJ$110,58,FALSE)</f>
        <v>0</v>
      </c>
      <c r="G9890" t="str">
        <v>-</v>
      </c>
      <c r="H9890">
        <f>VLOOKUP(D9864,'Detail Balok'!$C$10:$BJ$110,60,FALSE)</f>
        <v>100</v>
      </c>
      <c r="J9890">
        <f>(D9865-2*F$5)/1000</f>
        <v>0.12</v>
      </c>
      <c r="K9890" t="str">
        <v>+</v>
      </c>
      <c r="L9890">
        <f>IF(D9890=0,2*MAX(6*F9890,75),(D9890-1)*2*MAX(6*F9890,75))/1000</f>
        <v>0.15</v>
      </c>
      <c r="M9890" t="str">
        <v>=</v>
      </c>
      <c r="N9890">
        <f>J9890+L9890</f>
        <v>0.27</v>
      </c>
      <c r="T9890" t="str">
        <v>x</v>
      </c>
      <c r="U9890">
        <f>0.006165*F9890^2</f>
        <v>0</v>
      </c>
      <c r="V9890" t="str">
        <v>x</v>
      </c>
      <c r="W9890">
        <f>W9886</f>
        <v>14</v>
      </c>
      <c r="X9890" t="str">
        <v>x</v>
      </c>
      <c r="Y9890">
        <f>D9874</f>
        <v>5</v>
      </c>
      <c r="Z9890" t="str">
        <v>=</v>
      </c>
      <c r="AA9890">
        <f>N9890*U9890*W9890*Y9890</f>
        <v>0</v>
      </c>
    </row>
    <row r="9894">
      <c r="A9894" t="str">
        <f>A9864</f>
        <v>Lantai Attic</v>
      </c>
      <c r="B9894">
        <f>B9864+1</f>
        <v>66</v>
      </c>
      <c r="C9894" t="str">
        <f>CONCATENATE(A9894," no. ",B9894)</f>
        <v>Lantai Attic no. 66</v>
      </c>
      <c r="D9894" t="str">
        <f>VLOOKUP(C9894,'Data Panjang Balok'!$C$9:$N$424,2,FALSE)</f>
        <v>B35-2</v>
      </c>
    </row>
    <row r="9895">
      <c r="C9895" t="str">
        <v>Dimensi</v>
      </c>
      <c r="D9895">
        <f>VLOOKUP(D9894,'Detail Balok'!$C$10:$AU$110,2,FALSE)</f>
        <v>300</v>
      </c>
      <c r="F9895" t="str">
        <v>x</v>
      </c>
      <c r="G9895">
        <f>VLOOKUP(D9894,'Detail Balok'!$C$10:$AU$110,3,FALSE)</f>
        <v>500</v>
      </c>
    </row>
    <row r="9896">
      <c r="C9896" t="str">
        <v>Panjang as ke as</v>
      </c>
      <c r="D9896">
        <f>VLOOKUP(C9894,'Data Panjang Balok'!$C$9:$N$424,4,FALSE)</f>
        <v>8000</v>
      </c>
    </row>
    <row r="9897">
      <c r="C9897" t="str">
        <v>Panjang netto</v>
      </c>
      <c r="D9897">
        <f>VLOOKUP(C9894,'Data Panjang Balok'!$C$9:$N$424,7,FALSE)</f>
        <v>8000</v>
      </c>
    </row>
    <row r="9898">
      <c r="C9898" t="str">
        <v>Kolom / balok kiri</v>
      </c>
      <c r="D9898">
        <f>VLOOKUP(C9894,'Data Panjang Balok'!$C$9:$N$424,9,FALSE)</f>
        <v>0</v>
      </c>
    </row>
    <row r="9899">
      <c r="C9899" t="str">
        <v>Kolom / balok kanan</v>
      </c>
      <c r="D9899">
        <f>VLOOKUP(C9894,'Data Panjang Balok'!$C$9:$N$424,10,FALSE)</f>
        <v>0</v>
      </c>
    </row>
    <row r="9900">
      <c r="C9900" t="str">
        <v>Jumlah</v>
      </c>
      <c r="D9900">
        <f>VLOOKUP(C9894,'Data Panjang Balok'!$C$9:$N$424,3,FALSE)</f>
        <v>1</v>
      </c>
    </row>
    <row r="9901">
      <c r="A9901" t="str">
        <f>A9894</f>
        <v>Lantai Attic</v>
      </c>
      <c r="B9901">
        <f>B9894</f>
        <v>66</v>
      </c>
      <c r="C9901" t="str">
        <v>Tul Atas Tumpuan</v>
      </c>
      <c r="D9901">
        <f>VLOOKUP(D9894,'Detail Balok'!$C$10:$AU$110,4,FALSE)</f>
        <v>6</v>
      </c>
      <c r="E9901" t="str">
        <v>D</v>
      </c>
      <c r="F9901">
        <f>VLOOKUP(D9894,'Detail Balok'!$C$10:$AU$110,6,FALSE)</f>
        <v>19</v>
      </c>
      <c r="I9901" t="str">
        <v>(</v>
      </c>
      <c r="J9901">
        <f>+D9896/4/1000</f>
        <v>2</v>
      </c>
      <c r="K9901" t="str">
        <v>+</v>
      </c>
      <c r="L9901">
        <f>MAX(VLOOKUP(F9901,N$6:P$15,3,FALSE)/1000,2/3*D9898/1000)+F$16*F9901/1000</f>
        <v>0.228</v>
      </c>
      <c r="M9901" t="str">
        <v>=</v>
      </c>
      <c r="N9901">
        <f>J9901+L9901</f>
        <v>2.228</v>
      </c>
      <c r="O9901" t="str">
        <v>+</v>
      </c>
      <c r="P9901">
        <f>D9901-D9902</f>
        <v>4</v>
      </c>
      <c r="Q9901" t="str">
        <v>x</v>
      </c>
      <c r="R9901">
        <f>IF(P9901&gt;0,$F$18*F9901/1000,0)</f>
        <v>0.285</v>
      </c>
      <c r="S9901" t="str">
        <v>)</v>
      </c>
      <c r="T9901" t="str">
        <v>x</v>
      </c>
      <c r="U9901">
        <f>0.006165*F9901^2</f>
        <v>2.225565</v>
      </c>
      <c r="X9901" t="str">
        <v>x</v>
      </c>
      <c r="Y9901">
        <f>D9900</f>
        <v>1</v>
      </c>
      <c r="Z9901" t="str">
        <v>=</v>
      </c>
      <c r="AA9901">
        <f>IF(AA9904=0,(D9901*N9901+P9901*R9901)*U9901*Y9901,0)</f>
        <v>32.28849702000001</v>
      </c>
    </row>
    <row r="9902">
      <c r="A9902" t="str">
        <f>A9894</f>
        <v>Lantai Attic</v>
      </c>
      <c r="B9902">
        <f>B9894</f>
        <v>66</v>
      </c>
      <c r="C9902" t="str">
        <v>Tul Atas Lapangan</v>
      </c>
      <c r="D9902">
        <f>VLOOKUP(D9894,'Detail Balok'!$C$10:$AU$110,7,FALSE)</f>
        <v>2</v>
      </c>
      <c r="E9902" t="str">
        <v>D</v>
      </c>
      <c r="F9902">
        <f>VLOOKUP(D9894,'Detail Balok'!$C$10:$AU$110,9,FALSE)</f>
        <v>19</v>
      </c>
      <c r="I9902" t="str">
        <v>(</v>
      </c>
      <c r="J9902">
        <f>+D9896/2/1000</f>
        <v>4</v>
      </c>
      <c r="K9902" t="str">
        <v>+</v>
      </c>
      <c r="M9902" t="str">
        <v>=</v>
      </c>
      <c r="N9902">
        <f>J9902+L9902</f>
        <v>4</v>
      </c>
      <c r="O9902" t="str">
        <v>+</v>
      </c>
      <c r="P9902">
        <f>MAX(D9902-D9901,D9902-D9903)</f>
        <v>-4</v>
      </c>
      <c r="Q9902" t="str">
        <v>x</v>
      </c>
      <c r="R9902">
        <f>IF(P9902&gt;0,2*(1-2*$F$19-1/2)*D9897/1000,0)</f>
        <v>0</v>
      </c>
      <c r="S9902" t="str">
        <v>)</v>
      </c>
      <c r="T9902" t="str">
        <v>x</v>
      </c>
      <c r="U9902">
        <f>0.006165*F9902^2</f>
        <v>2.225565</v>
      </c>
      <c r="X9902" t="str">
        <v>x</v>
      </c>
      <c r="Y9902">
        <f>D9900</f>
        <v>1</v>
      </c>
      <c r="Z9902" t="str">
        <v>=</v>
      </c>
      <c r="AA9902">
        <f>IF(AA9904=0,(D9902*N9902+P9902*R9902)*U9902*Y9902,0)</f>
        <v>17.80452</v>
      </c>
    </row>
    <row r="9903">
      <c r="A9903" t="str">
        <f>A9894</f>
        <v>Lantai Attic</v>
      </c>
      <c r="B9903">
        <f>B9894</f>
        <v>66</v>
      </c>
      <c r="C9903" t="str">
        <v>Tul Atas Tumpuan</v>
      </c>
      <c r="D9903">
        <f>VLOOKUP(D9894,'Detail Balok'!$C$10:$AU$110,10,FALSE)</f>
        <v>6</v>
      </c>
      <c r="E9903" t="str">
        <v>D</v>
      </c>
      <c r="F9903">
        <f>VLOOKUP(D9894,'Detail Balok'!$C$10:$AU$110,12,FALSE)</f>
        <v>19</v>
      </c>
      <c r="I9903" t="str">
        <v>(</v>
      </c>
      <c r="J9903">
        <f>+D9896/4/1000</f>
        <v>2</v>
      </c>
      <c r="K9903" t="str">
        <v>+</v>
      </c>
      <c r="L9903">
        <f>MAX(VLOOKUP(F9903,N$6:P$15,3,FALSE)/1000,2/3*D9898/1000)+F$16*F9903/1000</f>
        <v>0.228</v>
      </c>
      <c r="M9903" t="str">
        <v>=</v>
      </c>
      <c r="N9903">
        <f>J9903+L9903</f>
        <v>2.228</v>
      </c>
      <c r="O9903" t="str">
        <v>+</v>
      </c>
      <c r="P9903">
        <f>D9903-D9902</f>
        <v>4</v>
      </c>
      <c r="Q9903" t="str">
        <v>x</v>
      </c>
      <c r="R9903">
        <f>IF(P9903&gt;0,$F$18*F9903/1000,0)</f>
        <v>0.285</v>
      </c>
      <c r="S9903" t="str">
        <v>)</v>
      </c>
      <c r="T9903" t="str">
        <v>x</v>
      </c>
      <c r="U9903">
        <f>0.006165*F9903^2</f>
        <v>2.225565</v>
      </c>
      <c r="X9903" t="str">
        <v>x</v>
      </c>
      <c r="Y9903">
        <f>D9900</f>
        <v>1</v>
      </c>
      <c r="Z9903" t="str">
        <v>=</v>
      </c>
      <c r="AA9903">
        <f>IF(AA9904=0,(D9903*N9903+P9903*R9903)*U9903*Y9903,0)</f>
        <v>32.28849702000001</v>
      </c>
    </row>
    <row r="9904">
      <c r="A9904" t="str">
        <f>A9894</f>
        <v>Lantai Attic</v>
      </c>
      <c r="B9904">
        <f>B9894</f>
        <v>66</v>
      </c>
      <c r="D9904">
        <f>IF(AND(D9901=D9902,D9902=D9903,D9901=D9903),D9901,0)</f>
        <v>0</v>
      </c>
      <c r="E9904" t="str">
        <v>D</v>
      </c>
      <c r="F9904">
        <f>IF(AND(F9901=F9902,F9901=F9903,F9902=F9903),F9901,0)</f>
        <v>19</v>
      </c>
      <c r="L9904" t="str">
        <v>Total panjang per balok</v>
      </c>
      <c r="M9904" t="str">
        <v>=</v>
      </c>
      <c r="N9904">
        <f>IF(AND(D9901=D9902,D9901=D9903,D9902=D9903,F9901=F9902,F9901=F9903,F9902=F9903),SUM(N9901:N9903),0)</f>
        <v>0</v>
      </c>
      <c r="O9904" t="str">
        <v>+</v>
      </c>
      <c r="P9904">
        <f>IF(N9904&gt;12,ROUNDDOWN(N9904/12,0),0)</f>
        <v>0</v>
      </c>
      <c r="Q9904" t="str">
        <v>x</v>
      </c>
      <c r="R9904">
        <f>IF(P9904&gt;0,MAX(VLOOKUP(F9904,$D$6:$G$15,3,FALSE),600),0)/1000</f>
        <v>0</v>
      </c>
      <c r="T9904" t="str">
        <v>x</v>
      </c>
      <c r="U9904">
        <f>U9903</f>
        <v>2.225565</v>
      </c>
      <c r="V9904" t="str">
        <v>x</v>
      </c>
      <c r="W9904">
        <f>D9904</f>
        <v>0</v>
      </c>
      <c r="X9904" t="str">
        <v>x</v>
      </c>
      <c r="Y9904">
        <f>Y9903</f>
        <v>1</v>
      </c>
      <c r="Z9904" t="str">
        <v>=</v>
      </c>
      <c r="AA9904">
        <f>(N9904+P9904*R9904/1000)*U9904*W9904*Y9904</f>
        <v>0</v>
      </c>
    </row>
    <row r="9906">
      <c r="A9906" t="str">
        <f>A9894</f>
        <v>Lantai Attic</v>
      </c>
      <c r="B9906">
        <f>B9894</f>
        <v>66</v>
      </c>
      <c r="C9906" t="str">
        <v>Tul Peminggang</v>
      </c>
      <c r="D9906">
        <f>VLOOKUP(D9894,'Detail Balok'!$C$10:$AU$110,13,FALSE)</f>
        <v>2</v>
      </c>
      <c r="E9906" t="str">
        <v>D</v>
      </c>
      <c r="F9906">
        <f>VLOOKUP(D9894,'Detail Balok'!$C$10:$AU$110,15,FALSE)</f>
        <v>10</v>
      </c>
      <c r="J9906">
        <f>+D9896/1000</f>
        <v>8</v>
      </c>
      <c r="K9906" t="str">
        <v>+</v>
      </c>
      <c r="L9906">
        <f>2*$F$16*F9906/1000</f>
        <v>0.24</v>
      </c>
      <c r="M9906" t="str">
        <v>=</v>
      </c>
      <c r="N9906">
        <f>J9906+L9906</f>
        <v>8.24</v>
      </c>
      <c r="O9906" t="str">
        <v>+</v>
      </c>
      <c r="P9906">
        <f>IF(N9906&gt;12,ROUNDDOWN(N9906/12,0),0)</f>
        <v>0</v>
      </c>
      <c r="Q9906" t="str">
        <v>x</v>
      </c>
      <c r="R9906">
        <f>IF(P9906&gt;0,MAX(VLOOKUP(F9906,$D$6:$G$15,3,FALSE),600),0)/1000</f>
        <v>0</v>
      </c>
      <c r="T9906" t="str">
        <v>x</v>
      </c>
      <c r="U9906">
        <f>0.006165*F9906^2</f>
        <v>0.6165</v>
      </c>
      <c r="V9906" t="str">
        <v>x</v>
      </c>
      <c r="W9906">
        <f>+D9906</f>
        <v>2</v>
      </c>
      <c r="X9906" t="str">
        <v>x</v>
      </c>
      <c r="Y9906">
        <f>D9900</f>
        <v>1</v>
      </c>
      <c r="Z9906" t="str">
        <v>=</v>
      </c>
      <c r="AA9906">
        <f>(N9906+P9906*R9906/1000)*U9906*W9906*Y9906</f>
        <v>10.159920000000001</v>
      </c>
    </row>
    <row r="9909">
      <c r="A9909" t="str">
        <f>A9894</f>
        <v>Lantai Attic</v>
      </c>
      <c r="B9909">
        <f>B9894</f>
        <v>66</v>
      </c>
      <c r="C9909" t="str">
        <v>Tul Bawah Tumpuan</v>
      </c>
      <c r="D9909">
        <f>VLOOKUP(D9894,'Detail Balok'!$C$10:$AU$110,22,FALSE)</f>
        <v>5</v>
      </c>
      <c r="E9909" t="str">
        <v>D</v>
      </c>
      <c r="F9909">
        <f>VLOOKUP(D9894,'Detail Balok'!$C$10:$AU$110,24,FALSE)</f>
        <v>19</v>
      </c>
      <c r="I9909" t="str">
        <v>(</v>
      </c>
      <c r="J9909">
        <f>+J9901</f>
        <v>2</v>
      </c>
      <c r="K9909" t="str">
        <v>+</v>
      </c>
      <c r="L9909">
        <f>MAX(VLOOKUP(F9909,N$6:P$15,3,FALSE)/1000,2/3*D9899/1000)+F$16*F9909/1000</f>
        <v>0.228</v>
      </c>
      <c r="M9909" t="str">
        <v>=</v>
      </c>
      <c r="N9909">
        <f>J9909+L9909</f>
        <v>2.228</v>
      </c>
      <c r="O9909" t="str">
        <v>+</v>
      </c>
      <c r="P9909">
        <f>D9909-D9910</f>
        <v>0</v>
      </c>
      <c r="Q9909" t="str">
        <v>x</v>
      </c>
      <c r="R9909">
        <f>IF(P9909&gt;0,$F$18*F9909/1000,0)</f>
        <v>0</v>
      </c>
      <c r="S9909" t="str">
        <v>)</v>
      </c>
      <c r="T9909" t="str">
        <v>x</v>
      </c>
      <c r="U9909">
        <f>0.006165*F9909^2</f>
        <v>2.225565</v>
      </c>
      <c r="X9909" t="str">
        <v>x</v>
      </c>
      <c r="Y9909">
        <f>D9900</f>
        <v>1</v>
      </c>
      <c r="Z9909" t="str">
        <v>=</v>
      </c>
      <c r="AA9909">
        <f>IF(AA9912=0,(D9909*N9909+P9909*R9909)*U9909*Y9909,0)</f>
        <v>0</v>
      </c>
    </row>
    <row r="9910">
      <c r="A9910" t="str">
        <f>A9894</f>
        <v>Lantai Attic</v>
      </c>
      <c r="B9910">
        <f>B9894</f>
        <v>66</v>
      </c>
      <c r="C9910" t="str">
        <v>Tul Bawah Lapangan</v>
      </c>
      <c r="D9910">
        <f>VLOOKUP(D9894,'Detail Balok'!$C$10:$AU$110,25,FALSE)</f>
        <v>5</v>
      </c>
      <c r="E9910" t="str">
        <v>D</v>
      </c>
      <c r="F9910">
        <f>VLOOKUP(D9894,'Detail Balok'!$C$10:$AU$110,27,FALSE)</f>
        <v>19</v>
      </c>
      <c r="I9910" t="str">
        <v>(</v>
      </c>
      <c r="J9910">
        <f>+J9902</f>
        <v>4</v>
      </c>
      <c r="K9910" t="str">
        <v>+</v>
      </c>
      <c r="M9910" t="str">
        <v>=</v>
      </c>
      <c r="N9910">
        <f>J9910+L9910</f>
        <v>4</v>
      </c>
      <c r="O9910" t="str">
        <v>+</v>
      </c>
      <c r="P9910">
        <f>MAX(D9910-D9909,D9910-D9911)</f>
        <v>0</v>
      </c>
      <c r="Q9910" t="str">
        <v>x</v>
      </c>
      <c r="R9910">
        <f>IF(P9910&gt;0,2*(1-2*$F$19-1/2)*D9897/1000,0)</f>
        <v>0</v>
      </c>
      <c r="S9910" t="str">
        <v>)</v>
      </c>
      <c r="T9910" t="str">
        <v>x</v>
      </c>
      <c r="U9910">
        <f>0.006165*F9910^2</f>
        <v>2.225565</v>
      </c>
      <c r="X9910" t="str">
        <v>x</v>
      </c>
      <c r="Y9910">
        <f>D9900</f>
        <v>1</v>
      </c>
      <c r="Z9910" t="str">
        <v>=</v>
      </c>
      <c r="AA9910">
        <f>IF(AA9912=0,(D9910*N9910+P9910*R9910)*U9910*Y9910,0)</f>
        <v>0</v>
      </c>
    </row>
    <row r="9911">
      <c r="A9911" t="str">
        <f>A9894</f>
        <v>Lantai Attic</v>
      </c>
      <c r="B9911">
        <f>B9894</f>
        <v>66</v>
      </c>
      <c r="C9911" t="str">
        <v>Tul Bawah Tumpuan</v>
      </c>
      <c r="D9911">
        <f>VLOOKUP(D9894,'Detail Balok'!$C$10:$AU$110,28,FALSE)</f>
        <v>5</v>
      </c>
      <c r="E9911" t="str">
        <v>D</v>
      </c>
      <c r="F9911">
        <f>VLOOKUP(D9894,'Detail Balok'!$C$10:$AU$110,30,FALSE)</f>
        <v>19</v>
      </c>
      <c r="I9911" t="str">
        <v>(</v>
      </c>
      <c r="J9911">
        <f>+J9903</f>
        <v>2</v>
      </c>
      <c r="K9911" t="str">
        <v>+</v>
      </c>
      <c r="L9911">
        <f>MAX(VLOOKUP(F9911,N$6:P$15,3,FALSE)/1000,2/3*D9899/1000)+F$16*F9911/1000</f>
        <v>0.228</v>
      </c>
      <c r="M9911" t="str">
        <v>=</v>
      </c>
      <c r="N9911">
        <f>J9911+L9911</f>
        <v>2.228</v>
      </c>
      <c r="O9911" t="str">
        <v>+</v>
      </c>
      <c r="P9911">
        <f>D9911-D9910</f>
        <v>0</v>
      </c>
      <c r="Q9911" t="str">
        <v>x</v>
      </c>
      <c r="R9911">
        <f>IF(P9911&gt;0,$F$18*F9911/1000,0)</f>
        <v>0</v>
      </c>
      <c r="S9911" t="str">
        <v>)</v>
      </c>
      <c r="T9911" t="str">
        <v>x</v>
      </c>
      <c r="U9911">
        <f>0.006165*F9911^2</f>
        <v>2.225565</v>
      </c>
      <c r="X9911" t="str">
        <v>x</v>
      </c>
      <c r="Y9911">
        <f>D9900</f>
        <v>1</v>
      </c>
      <c r="Z9911" t="str">
        <v>=</v>
      </c>
      <c r="AA9911">
        <f>IF(AA9912=0,(D9911*N9911+P9911*R9911)*U9911*Y9911,0)</f>
        <v>0</v>
      </c>
    </row>
    <row r="9912">
      <c r="A9912" t="str">
        <f>A9894</f>
        <v>Lantai Attic</v>
      </c>
      <c r="B9912">
        <f>B9894</f>
        <v>66</v>
      </c>
      <c r="D9912">
        <f>IF(AND(D9909=D9910,D9910=D9911,D9909=D9911),D9909,0)</f>
        <v>5</v>
      </c>
      <c r="E9912" t="str">
        <v>D</v>
      </c>
      <c r="F9912">
        <f>IF(AND(F9909=F9910,F9909=F9911,F9910=F9911),F9909,0)</f>
        <v>19</v>
      </c>
      <c r="L9912" t="str">
        <v>Total panjang per balok</v>
      </c>
      <c r="M9912" t="str">
        <v>=</v>
      </c>
      <c r="N9912">
        <f>IF(AND(D9909=D9910,D9909=D9911,D9910=D9911,F9909=F9910,F9909=F9911,F9910=F9911),SUM(N9909:N9911),0)</f>
        <v>8.456</v>
      </c>
      <c r="O9912" t="str">
        <v>+</v>
      </c>
      <c r="P9912">
        <f>IF(N9912&gt;12,ROUNDDOWN(N9912/12,0),0)</f>
        <v>0</v>
      </c>
      <c r="Q9912" t="str">
        <v>x</v>
      </c>
      <c r="R9912">
        <f>IF(P9912&gt;0,MAX(VLOOKUP(F9912,$D$6:$G$15,3,FALSE),600),0)/1000</f>
        <v>0</v>
      </c>
      <c r="T9912" t="str">
        <v>x</v>
      </c>
      <c r="U9912">
        <f>U9911</f>
        <v>2.225565</v>
      </c>
      <c r="V9912" t="str">
        <v>x</v>
      </c>
      <c r="W9912">
        <f>D9912</f>
        <v>5</v>
      </c>
      <c r="X9912" t="str">
        <v>x</v>
      </c>
      <c r="Y9912">
        <f>Y9911</f>
        <v>1</v>
      </c>
      <c r="Z9912" t="str">
        <v>=</v>
      </c>
      <c r="AA9912">
        <f>(N9912+P9912*R9912/1000)*U9912*W9912*Y9912</f>
        <v>94.0968882</v>
      </c>
    </row>
    <row r="9914">
      <c r="A9914" t="str">
        <f>A9894</f>
        <v>Lantai Attic</v>
      </c>
      <c r="B9914">
        <f>B9894</f>
        <v>66</v>
      </c>
      <c r="C9914" t="str">
        <v>Sengkang Tumpuan</v>
      </c>
      <c r="D9914">
        <f>VLOOKUP(D9894,'Detail Balok'!$C$10:$AU$110,31,FALSE)</f>
        <v>0</v>
      </c>
      <c r="E9914" t="str">
        <v>D</v>
      </c>
      <c r="F9914">
        <f>VLOOKUP(D9894,'Detail Balok'!$C$10:$AU$110,33,FALSE)</f>
        <v>10</v>
      </c>
      <c r="G9914" t="str">
        <v>-</v>
      </c>
      <c r="H9914">
        <f>VLOOKUP(D9894,'Detail Balok'!$C$10:$AU$110,35,FALSE)</f>
        <v>90</v>
      </c>
      <c r="J9914">
        <f>(IF(D9914=0,(2*(D9895+G9895))-(F$5*8),IF(D9914=3,(2*(D9895+G9895))-(F$5*8)+(G9895-2*F$5),IF(D9914=4,(2*(D9895+G9895))-(F$5*8)+2*(G9895-2*F$5)))))/1000</f>
        <v>1.28</v>
      </c>
      <c r="K9914" t="str">
        <v>+</v>
      </c>
      <c r="L9914">
        <f>IF(D9914=0,2*MAX(6*F9914,75),(D9914-1)*2*MAX(6*F9914,75))/1000</f>
        <v>0.15</v>
      </c>
      <c r="M9914" t="str">
        <v>=</v>
      </c>
      <c r="N9914">
        <f>J9914+L9914</f>
        <v>1.43</v>
      </c>
      <c r="T9914" t="str">
        <v>x</v>
      </c>
      <c r="U9914">
        <f>0.006165*F9914^2</f>
        <v>0.6165</v>
      </c>
      <c r="V9914" t="str">
        <v>x</v>
      </c>
      <c r="W9914">
        <f>IF(D9897&gt;4*G9895,ROUND(MAX(D9897/4,2*G9895)/H9914,0)+1,ROUND(D9897/H9914,0)+1)</f>
        <v>23</v>
      </c>
      <c r="X9914" t="str">
        <v>x</v>
      </c>
      <c r="Y9914">
        <f>D9900</f>
        <v>1</v>
      </c>
      <c r="Z9914" t="str">
        <v>=</v>
      </c>
      <c r="AA9914">
        <f>N9914*U9914*W9914*Y9914</f>
        <v>20.276685</v>
      </c>
    </row>
    <row r="9915">
      <c r="A9915" t="str">
        <f>A9894</f>
        <v>Lantai Attic</v>
      </c>
      <c r="B9915">
        <f>B9894</f>
        <v>66</v>
      </c>
      <c r="C9915" t="str">
        <v>Sengkang Lapangan</v>
      </c>
      <c r="D9915">
        <f>VLOOKUP(D9894,'Detail Balok'!$C$10:$AU$110,36,FALSE)</f>
        <v>0</v>
      </c>
      <c r="E9915" t="str">
        <v>D</v>
      </c>
      <c r="F9915">
        <f>VLOOKUP(D9894,'Detail Balok'!$C$10:$AU$110,38,FALSE)</f>
        <v>10</v>
      </c>
      <c r="G9915" t="str">
        <v>-</v>
      </c>
      <c r="H9915">
        <f>VLOOKUP(D9894,'Detail Balok'!$C$10:$AU$110,40,FALSE)</f>
        <v>200</v>
      </c>
      <c r="J9915">
        <f>(IF(D9915=0,(2*(D9895+G9895))-(F$5*8),IF(D9915=3,(2*(D9895+G9895))-(F$5*8)+(G9895-2*F$5),IF(D9915=4,(2*(D9895+G9895))-(F$5*8)+2*(G9895-2*F$5)))))/1000</f>
        <v>1.28</v>
      </c>
      <c r="K9915" t="str">
        <v>+</v>
      </c>
      <c r="L9915">
        <f>IF(D9915=0,2*MAX(6*F9915,75),(D9915-1)*2*MAX(6*F9915,75))/1000</f>
        <v>0.15</v>
      </c>
      <c r="M9915" t="str">
        <v>=</v>
      </c>
      <c r="N9915">
        <f>J9915+L9915</f>
        <v>1.43</v>
      </c>
      <c r="T9915" t="str">
        <v>x</v>
      </c>
      <c r="U9915">
        <f>0.006165*F9915^2</f>
        <v>0.6165</v>
      </c>
      <c r="V9915" t="str">
        <v>x</v>
      </c>
      <c r="W9915">
        <f>IF(D9897-MAX(D9897/4,2*G9895)*2&gt;0,ROUND((D9897-MAX(D9897/4,2*G9895)*2)/H9915,0),0)</f>
        <v>20</v>
      </c>
      <c r="X9915" t="str">
        <v>x</v>
      </c>
      <c r="Y9915">
        <f>D9900</f>
        <v>1</v>
      </c>
      <c r="Z9915" t="str">
        <v>=</v>
      </c>
      <c r="AA9915">
        <f>N9915*U9915*W9915*Y9915</f>
        <v>17.6319</v>
      </c>
    </row>
    <row r="9916">
      <c r="A9916" t="str">
        <f>A9894</f>
        <v>Lantai Attic</v>
      </c>
      <c r="B9916">
        <f>B9894</f>
        <v>66</v>
      </c>
      <c r="C9916" t="str">
        <v>Sengkang Tumpuan</v>
      </c>
      <c r="D9916">
        <f>VLOOKUP(D9894,'Detail Balok'!$C$10:$AU$110,41,FALSE)</f>
        <v>0</v>
      </c>
      <c r="E9916" t="str">
        <v>D</v>
      </c>
      <c r="F9916">
        <f>VLOOKUP(D9894,'Detail Balok'!$C$10:$AU$110,43,FALSE)</f>
        <v>10</v>
      </c>
      <c r="G9916" t="str">
        <v>-</v>
      </c>
      <c r="H9916">
        <f>VLOOKUP(D9894,'Detail Balok'!$C$10:$AU$110,45,FALSE)</f>
        <v>90</v>
      </c>
      <c r="J9916">
        <f>(IF(D9916=0,(2*(D9895+G9895))-(F$5*8),IF(D9916=3,(2*(D9895+G9895))-(F$5*8)+(G9895-2*F$5),IF(D9916=4,(2*(D9895+G9895))-(F$5*8)+2*(G9895-2*F$5)))))/1000</f>
        <v>1.28</v>
      </c>
      <c r="K9916" t="str">
        <v>+</v>
      </c>
      <c r="L9916">
        <f>IF(D9916=0,2*MAX(6*F9916,75),(D9916-1)*2*MAX(6*F9916,75))/1000</f>
        <v>0.15</v>
      </c>
      <c r="M9916" t="str">
        <v>=</v>
      </c>
      <c r="N9916">
        <f>J9916+L9916</f>
        <v>1.43</v>
      </c>
      <c r="T9916" t="str">
        <v>x</v>
      </c>
      <c r="U9916">
        <f>0.006165*F9916^2</f>
        <v>0.6165</v>
      </c>
      <c r="V9916" t="str">
        <v>x</v>
      </c>
      <c r="W9916">
        <f>IF(D9897&gt;4*G9895,ROUND(MAX(D9897/4,2*G9895)/H9916,0)+1,0)</f>
        <v>23</v>
      </c>
      <c r="X9916" t="str">
        <v>x</v>
      </c>
      <c r="Y9916">
        <f>D9900</f>
        <v>1</v>
      </c>
      <c r="Z9916" t="str">
        <v>=</v>
      </c>
      <c r="AA9916">
        <f>N9916*U9916*W9916*Y9916</f>
        <v>20.276685</v>
      </c>
    </row>
    <row r="9918">
      <c r="A9918" t="str">
        <f>A9894</f>
        <v>Lantai Attic</v>
      </c>
      <c r="B9918">
        <f>B9894</f>
        <v>66</v>
      </c>
      <c r="C9918" t="str">
        <v>Kait Horizontal Tump.</v>
      </c>
      <c r="D9918">
        <f>VLOOKUP(D9894,'Detail Balok'!$C$10:$BJ$110,46,FALSE)</f>
        <v>0</v>
      </c>
      <c r="E9918" t="str">
        <v>D</v>
      </c>
      <c r="F9918">
        <f>VLOOKUP(D9894,'Detail Balok'!$C$10:$BJ$110,48,FALSE)</f>
        <v>0</v>
      </c>
      <c r="G9918" t="str">
        <v>-</v>
      </c>
      <c r="H9918">
        <f>VLOOKUP(D9894,'Detail Balok'!$C$10:$BJ$110,50,FALSE)</f>
        <v>100</v>
      </c>
      <c r="J9918">
        <f>(D9895-2*F$5)/1000</f>
        <v>0.22</v>
      </c>
      <c r="K9918" t="str">
        <v>+</v>
      </c>
      <c r="L9918">
        <f>IF(D9918=0,2*MAX(6*F9918,75),(D9918-1)*2*MAX(6*F9918,75))/1000</f>
        <v>0.15</v>
      </c>
      <c r="M9918" t="str">
        <v>=</v>
      </c>
      <c r="N9918">
        <f>J9918+L9918</f>
        <v>0.37</v>
      </c>
      <c r="T9918" t="str">
        <v>x</v>
      </c>
      <c r="U9918">
        <f>0.006165*F9918^2</f>
        <v>0</v>
      </c>
      <c r="V9918" t="str">
        <v>x</v>
      </c>
      <c r="W9918">
        <f>W9914</f>
        <v>23</v>
      </c>
      <c r="X9918" t="str">
        <v>x</v>
      </c>
      <c r="Y9918">
        <f>D9904</f>
        <v>0</v>
      </c>
      <c r="Z9918" t="str">
        <v>=</v>
      </c>
      <c r="AA9918">
        <f>N9918*U9918*W9918*Y9918</f>
        <v>0</v>
      </c>
    </row>
    <row r="9919">
      <c r="A9919" t="str">
        <f>A9894</f>
        <v>Lantai Attic</v>
      </c>
      <c r="B9919">
        <f>B9894</f>
        <v>66</v>
      </c>
      <c r="C9919" t="str">
        <v>Kait Horizontal Lap.</v>
      </c>
      <c r="D9919">
        <f>VLOOKUP(D9894,'Detail Balok'!$C$10:$BJ$110,51,FALSE)</f>
        <v>0</v>
      </c>
      <c r="E9919" t="str">
        <v>D</v>
      </c>
      <c r="F9919">
        <f>VLOOKUP(D9894,'Detail Balok'!$C$10:$BJ$110,53,FALSE)</f>
        <v>0</v>
      </c>
      <c r="G9919" t="str">
        <v>-</v>
      </c>
      <c r="H9919">
        <f>VLOOKUP(D9894,'Detail Balok'!$C$10:$BJ$110,55,FALSE)</f>
        <v>100</v>
      </c>
      <c r="J9919">
        <f>(D9895-2*F$5)/1000</f>
        <v>0.22</v>
      </c>
      <c r="K9919" t="str">
        <v>+</v>
      </c>
      <c r="L9919">
        <f>IF(D9919=0,2*MAX(6*F9919,75),(D9919-1)*2*MAX(6*F9919,75))/1000</f>
        <v>0.15</v>
      </c>
      <c r="M9919" t="str">
        <v>=</v>
      </c>
      <c r="N9919">
        <f>J9919+L9919</f>
        <v>0.37</v>
      </c>
      <c r="T9919" t="str">
        <v>x</v>
      </c>
      <c r="U9919">
        <f>0.006165*F9919^2</f>
        <v>0</v>
      </c>
      <c r="V9919" t="str">
        <v>x</v>
      </c>
      <c r="W9919">
        <f>W9915</f>
        <v>20</v>
      </c>
      <c r="X9919" t="str">
        <v>x</v>
      </c>
      <c r="Y9919">
        <f>D9904</f>
        <v>0</v>
      </c>
      <c r="Z9919" t="str">
        <v>=</v>
      </c>
      <c r="AA9919">
        <f>N9919*U9919*W9919*Y9919</f>
        <v>0</v>
      </c>
    </row>
    <row r="9920">
      <c r="A9920" t="str">
        <f>A9894</f>
        <v>Lantai Attic</v>
      </c>
      <c r="B9920">
        <f>B9894</f>
        <v>66</v>
      </c>
      <c r="C9920" t="str">
        <v>Kait Horizontal Tump.</v>
      </c>
      <c r="D9920">
        <f>VLOOKUP(D9894,'Detail Balok'!$C$10:$BJ$110,56,FALSE)</f>
        <v>0</v>
      </c>
      <c r="E9920" t="str">
        <v>D</v>
      </c>
      <c r="F9920">
        <f>VLOOKUP(D9894,'Detail Balok'!$C$10:$BJ$110,58,FALSE)</f>
        <v>0</v>
      </c>
      <c r="G9920" t="str">
        <v>-</v>
      </c>
      <c r="H9920">
        <f>VLOOKUP(D9894,'Detail Balok'!$C$10:$BJ$110,60,FALSE)</f>
        <v>100</v>
      </c>
      <c r="J9920">
        <f>(D9895-2*F$5)/1000</f>
        <v>0.22</v>
      </c>
      <c r="K9920" t="str">
        <v>+</v>
      </c>
      <c r="L9920">
        <f>IF(D9920=0,2*MAX(6*F9920,75),(D9920-1)*2*MAX(6*F9920,75))/1000</f>
        <v>0.15</v>
      </c>
      <c r="M9920" t="str">
        <v>=</v>
      </c>
      <c r="N9920">
        <f>J9920+L9920</f>
        <v>0.37</v>
      </c>
      <c r="T9920" t="str">
        <v>x</v>
      </c>
      <c r="U9920">
        <f>0.006165*F9920^2</f>
        <v>0</v>
      </c>
      <c r="V9920" t="str">
        <v>x</v>
      </c>
      <c r="W9920">
        <f>W9916</f>
        <v>23</v>
      </c>
      <c r="X9920" t="str">
        <v>x</v>
      </c>
      <c r="Y9920">
        <f>D9904</f>
        <v>0</v>
      </c>
      <c r="Z9920" t="str">
        <v>=</v>
      </c>
      <c r="AA9920">
        <f>N9920*U9920*W9920*Y9920</f>
        <v>0</v>
      </c>
    </row>
    <row r="9924">
      <c r="A9924" t="str">
        <f>A9894</f>
        <v>Lantai Attic</v>
      </c>
      <c r="B9924">
        <f>B9894+1</f>
        <v>67</v>
      </c>
      <c r="C9924" t="str">
        <f>CONCATENATE(A9924," no. ",B9924)</f>
        <v>Lantai Attic no. 67</v>
      </c>
      <c r="D9924" t="str">
        <f>VLOOKUP(C9924,'Data Panjang Balok'!$C$9:$N$424,2,FALSE)</f>
        <v>B25-4</v>
      </c>
    </row>
    <row r="9925">
      <c r="C9925" t="str">
        <v>Dimensi</v>
      </c>
      <c r="D9925">
        <f>VLOOKUP(D9924,'Detail Balok'!$C$10:$AU$110,2,FALSE)</f>
        <v>200</v>
      </c>
      <c r="F9925" t="str">
        <v>x</v>
      </c>
      <c r="G9925">
        <f>VLOOKUP(D9924,'Detail Balok'!$C$10:$AU$110,3,FALSE)</f>
        <v>500</v>
      </c>
    </row>
    <row r="9926">
      <c r="C9926" t="str">
        <v>Panjang as ke as</v>
      </c>
      <c r="D9926">
        <f>VLOOKUP(C9924,'Data Panjang Balok'!$C$9:$N$424,4,FALSE)</f>
        <v>8150</v>
      </c>
    </row>
    <row r="9927">
      <c r="C9927" t="str">
        <v>Panjang netto</v>
      </c>
      <c r="D9927">
        <f>VLOOKUP(C9924,'Data Panjang Balok'!$C$9:$N$424,7,FALSE)</f>
        <v>8150</v>
      </c>
    </row>
    <row r="9928">
      <c r="C9928" t="str">
        <v>Kolom / balok kiri</v>
      </c>
      <c r="D9928">
        <f>VLOOKUP(C9924,'Data Panjang Balok'!$C$9:$N$424,9,FALSE)</f>
        <v>0</v>
      </c>
    </row>
    <row r="9929">
      <c r="C9929" t="str">
        <v>Kolom / balok kanan</v>
      </c>
      <c r="D9929">
        <f>VLOOKUP(C9924,'Data Panjang Balok'!$C$9:$N$424,10,FALSE)</f>
        <v>0</v>
      </c>
    </row>
    <row r="9930">
      <c r="C9930" t="str">
        <v>Jumlah</v>
      </c>
      <c r="D9930">
        <f>VLOOKUP(C9924,'Data Panjang Balok'!$C$9:$N$424,3,FALSE)</f>
        <v>1</v>
      </c>
    </row>
    <row r="9931">
      <c r="A9931" t="str">
        <f>A9924</f>
        <v>Lantai Attic</v>
      </c>
      <c r="B9931">
        <f>B9924</f>
        <v>67</v>
      </c>
      <c r="C9931" t="str">
        <v>Tul Atas Tumpuan</v>
      </c>
      <c r="D9931">
        <f>VLOOKUP(D9924,'Detail Balok'!$C$10:$AU$110,4,FALSE)</f>
        <v>6</v>
      </c>
      <c r="E9931" t="str">
        <v>D</v>
      </c>
      <c r="F9931">
        <f>VLOOKUP(D9924,'Detail Balok'!$C$10:$AU$110,6,FALSE)</f>
        <v>16</v>
      </c>
      <c r="I9931" t="str">
        <v>(</v>
      </c>
      <c r="J9931">
        <f>+D9926/4/1000</f>
        <v>2.0375</v>
      </c>
      <c r="K9931" t="str">
        <v>+</v>
      </c>
      <c r="L9931">
        <f>MAX(VLOOKUP(F9931,N$6:P$15,3,FALSE)/1000,2/3*D9928/1000)+F$16*F9931/1000</f>
        <v>0.192</v>
      </c>
      <c r="M9931" t="str">
        <v>=</v>
      </c>
      <c r="N9931">
        <f>J9931+L9931</f>
        <v>2.2295000000000003</v>
      </c>
      <c r="O9931" t="str">
        <v>+</v>
      </c>
      <c r="P9931">
        <f>D9931-D9932</f>
        <v>2</v>
      </c>
      <c r="Q9931" t="str">
        <v>x</v>
      </c>
      <c r="R9931">
        <f>IF(P9931&gt;0,$F$18*F9931/1000,0)</f>
        <v>0.24</v>
      </c>
      <c r="S9931" t="str">
        <v>)</v>
      </c>
      <c r="T9931" t="str">
        <v>x</v>
      </c>
      <c r="U9931">
        <f>0.006165*F9931^2</f>
        <v>1.57824</v>
      </c>
      <c r="X9931" t="str">
        <v>x</v>
      </c>
      <c r="Y9931">
        <f>D9930</f>
        <v>1</v>
      </c>
      <c r="Z9931" t="str">
        <v>=</v>
      </c>
      <c r="AA9931">
        <f>IF(AA9934=0,(D9931*N9931+P9931*R9931)*U9931*Y9931,0)</f>
        <v>21.869671680000007</v>
      </c>
    </row>
    <row r="9932">
      <c r="A9932" t="str">
        <f>A9924</f>
        <v>Lantai Attic</v>
      </c>
      <c r="B9932">
        <f>B9924</f>
        <v>67</v>
      </c>
      <c r="C9932" t="str">
        <v>Tul Atas Lapangan</v>
      </c>
      <c r="D9932">
        <f>VLOOKUP(D9924,'Detail Balok'!$C$10:$AU$110,7,FALSE)</f>
        <v>4</v>
      </c>
      <c r="E9932" t="str">
        <v>D</v>
      </c>
      <c r="F9932">
        <f>VLOOKUP(D9924,'Detail Balok'!$C$10:$AU$110,9,FALSE)</f>
        <v>16</v>
      </c>
      <c r="I9932" t="str">
        <v>(</v>
      </c>
      <c r="J9932">
        <f>+D9926/2/1000</f>
        <v>4.075</v>
      </c>
      <c r="K9932" t="str">
        <v>+</v>
      </c>
      <c r="M9932" t="str">
        <v>=</v>
      </c>
      <c r="N9932">
        <f>J9932+L9932</f>
        <v>4.075</v>
      </c>
      <c r="O9932" t="str">
        <v>+</v>
      </c>
      <c r="P9932">
        <f>MAX(D9932-D9931,D9932-D9933)</f>
        <v>0</v>
      </c>
      <c r="Q9932" t="str">
        <v>x</v>
      </c>
      <c r="R9932">
        <f>IF(P9932&gt;0,2*(1-2*$F$19-1/2)*D9927/1000,0)</f>
        <v>0</v>
      </c>
      <c r="S9932" t="str">
        <v>)</v>
      </c>
      <c r="T9932" t="str">
        <v>x</v>
      </c>
      <c r="U9932">
        <f>0.006165*F9932^2</f>
        <v>1.57824</v>
      </c>
      <c r="X9932" t="str">
        <v>x</v>
      </c>
      <c r="Y9932">
        <f>D9930</f>
        <v>1</v>
      </c>
      <c r="Z9932" t="str">
        <v>=</v>
      </c>
      <c r="AA9932">
        <f>IF(AA9934=0,(D9932*N9932+P9932*R9932)*U9932*Y9932,0)</f>
        <v>25.725312000000002</v>
      </c>
    </row>
    <row r="9933">
      <c r="A9933" t="str">
        <f>A9924</f>
        <v>Lantai Attic</v>
      </c>
      <c r="B9933">
        <f>B9924</f>
        <v>67</v>
      </c>
      <c r="C9933" t="str">
        <v>Tul Atas Tumpuan</v>
      </c>
      <c r="D9933">
        <f>VLOOKUP(D9924,'Detail Balok'!$C$10:$AU$110,10,FALSE)</f>
        <v>4</v>
      </c>
      <c r="E9933" t="str">
        <v>D</v>
      </c>
      <c r="F9933">
        <f>VLOOKUP(D9924,'Detail Balok'!$C$10:$AU$110,12,FALSE)</f>
        <v>16</v>
      </c>
      <c r="I9933" t="str">
        <v>(</v>
      </c>
      <c r="J9933">
        <f>+D9926/4/1000</f>
        <v>2.0375</v>
      </c>
      <c r="K9933" t="str">
        <v>+</v>
      </c>
      <c r="L9933">
        <f>MAX(VLOOKUP(F9933,N$6:P$15,3,FALSE)/1000,2/3*D9928/1000)+F$16*F9933/1000</f>
        <v>0.192</v>
      </c>
      <c r="M9933" t="str">
        <v>=</v>
      </c>
      <c r="N9933">
        <f>J9933+L9933</f>
        <v>2.2295000000000003</v>
      </c>
      <c r="O9933" t="str">
        <v>+</v>
      </c>
      <c r="P9933">
        <f>D9933-D9932</f>
        <v>0</v>
      </c>
      <c r="Q9933" t="str">
        <v>x</v>
      </c>
      <c r="R9933">
        <f>IF(P9933&gt;0,$F$18*F9933/1000,0)</f>
        <v>0</v>
      </c>
      <c r="S9933" t="str">
        <v>)</v>
      </c>
      <c r="T9933" t="str">
        <v>x</v>
      </c>
      <c r="U9933">
        <f>0.006165*F9933^2</f>
        <v>1.57824</v>
      </c>
      <c r="X9933" t="str">
        <v>x</v>
      </c>
      <c r="Y9933">
        <f>D9930</f>
        <v>1</v>
      </c>
      <c r="Z9933" t="str">
        <v>=</v>
      </c>
      <c r="AA9933">
        <f>IF(AA9934=0,(D9933*N9933+P9933*R9933)*U9933*Y9933,0)</f>
        <v>14.074744320000002</v>
      </c>
    </row>
    <row r="9934">
      <c r="A9934" t="str">
        <f>A9924</f>
        <v>Lantai Attic</v>
      </c>
      <c r="B9934">
        <f>B9924</f>
        <v>67</v>
      </c>
      <c r="D9934">
        <f>IF(AND(D9931=D9932,D9932=D9933,D9931=D9933),D9931,0)</f>
        <v>0</v>
      </c>
      <c r="E9934" t="str">
        <v>D</v>
      </c>
      <c r="F9934">
        <f>IF(AND(F9931=F9932,F9931=F9933,F9932=F9933),F9931,0)</f>
        <v>16</v>
      </c>
      <c r="L9934" t="str">
        <v>Total panjang per balok</v>
      </c>
      <c r="M9934" t="str">
        <v>=</v>
      </c>
      <c r="N9934">
        <f>IF(AND(D9931=D9932,D9931=D9933,D9932=D9933,F9931=F9932,F9931=F9933,F9932=F9933),SUM(N9931:N9933),0)</f>
        <v>0</v>
      </c>
      <c r="O9934" t="str">
        <v>+</v>
      </c>
      <c r="P9934">
        <f>IF(N9934&gt;12,ROUNDDOWN(N9934/12,0),0)</f>
        <v>0</v>
      </c>
      <c r="Q9934" t="str">
        <v>x</v>
      </c>
      <c r="R9934">
        <f>IF(P9934&gt;0,MAX(VLOOKUP(F9934,$D$6:$G$15,3,FALSE),600),0)/1000</f>
        <v>0</v>
      </c>
      <c r="T9934" t="str">
        <v>x</v>
      </c>
      <c r="U9934">
        <f>U9933</f>
        <v>1.57824</v>
      </c>
      <c r="V9934" t="str">
        <v>x</v>
      </c>
      <c r="W9934">
        <f>D9934</f>
        <v>0</v>
      </c>
      <c r="X9934" t="str">
        <v>x</v>
      </c>
      <c r="Y9934">
        <f>Y9933</f>
        <v>1</v>
      </c>
      <c r="Z9934" t="str">
        <v>=</v>
      </c>
      <c r="AA9934">
        <f>(N9934+P9934*R9934/1000)*U9934*W9934*Y9934</f>
        <v>0</v>
      </c>
    </row>
    <row r="9936">
      <c r="A9936" t="str">
        <f>A9924</f>
        <v>Lantai Attic</v>
      </c>
      <c r="B9936">
        <f>B9924</f>
        <v>67</v>
      </c>
      <c r="C9936" t="str">
        <v>Tul Peminggang</v>
      </c>
      <c r="D9936">
        <f>VLOOKUP(D9924,'Detail Balok'!$C$10:$AU$110,13,FALSE)</f>
        <v>2</v>
      </c>
      <c r="E9936" t="str">
        <v>D</v>
      </c>
      <c r="F9936">
        <f>VLOOKUP(D9924,'Detail Balok'!$C$10:$AU$110,15,FALSE)</f>
        <v>10</v>
      </c>
      <c r="J9936">
        <f>+D9926/1000</f>
        <v>8.15</v>
      </c>
      <c r="K9936" t="str">
        <v>+</v>
      </c>
      <c r="L9936">
        <f>2*$F$16*F9936/1000</f>
        <v>0.24</v>
      </c>
      <c r="M9936" t="str">
        <v>=</v>
      </c>
      <c r="N9936">
        <f>J9936+L9936</f>
        <v>8.39</v>
      </c>
      <c r="O9936" t="str">
        <v>+</v>
      </c>
      <c r="P9936">
        <f>IF(N9936&gt;12,ROUNDDOWN(N9936/12,0),0)</f>
        <v>0</v>
      </c>
      <c r="Q9936" t="str">
        <v>x</v>
      </c>
      <c r="R9936">
        <f>IF(P9936&gt;0,MAX(VLOOKUP(F9936,$D$6:$G$15,3,FALSE),600),0)/1000</f>
        <v>0</v>
      </c>
      <c r="T9936" t="str">
        <v>x</v>
      </c>
      <c r="U9936">
        <f>0.006165*F9936^2</f>
        <v>0.6165</v>
      </c>
      <c r="V9936" t="str">
        <v>x</v>
      </c>
      <c r="W9936">
        <f>+D9936</f>
        <v>2</v>
      </c>
      <c r="X9936" t="str">
        <v>x</v>
      </c>
      <c r="Y9936">
        <f>D9930</f>
        <v>1</v>
      </c>
      <c r="Z9936" t="str">
        <v>=</v>
      </c>
      <c r="AA9936">
        <f>(N9936+P9936*R9936/1000)*U9936*W9936*Y9936</f>
        <v>10.344870000000002</v>
      </c>
    </row>
    <row r="9939">
      <c r="A9939" t="str">
        <f>A9924</f>
        <v>Lantai Attic</v>
      </c>
      <c r="B9939">
        <f>B9924</f>
        <v>67</v>
      </c>
      <c r="C9939" t="str">
        <v>Tul Bawah Tumpuan</v>
      </c>
      <c r="D9939">
        <f>VLOOKUP(D9924,'Detail Balok'!$C$10:$AU$110,22,FALSE)</f>
        <v>5</v>
      </c>
      <c r="E9939" t="str">
        <v>D</v>
      </c>
      <c r="F9939">
        <f>VLOOKUP(D9924,'Detail Balok'!$C$10:$AU$110,24,FALSE)</f>
        <v>16</v>
      </c>
      <c r="I9939" t="str">
        <v>(</v>
      </c>
      <c r="J9939">
        <f>+J9931</f>
        <v>2.0375</v>
      </c>
      <c r="K9939" t="str">
        <v>+</v>
      </c>
      <c r="L9939">
        <f>MAX(VLOOKUP(F9939,N$6:P$15,3,FALSE)/1000,2/3*D9929/1000)+F$16*F9939/1000</f>
        <v>0.192</v>
      </c>
      <c r="M9939" t="str">
        <v>=</v>
      </c>
      <c r="N9939">
        <f>J9939+L9939</f>
        <v>2.2295000000000003</v>
      </c>
      <c r="O9939" t="str">
        <v>+</v>
      </c>
      <c r="P9939">
        <f>D9939-D9940</f>
        <v>0</v>
      </c>
      <c r="Q9939" t="str">
        <v>x</v>
      </c>
      <c r="R9939">
        <f>IF(P9939&gt;0,$F$18*F9939/1000,0)</f>
        <v>0</v>
      </c>
      <c r="S9939" t="str">
        <v>)</v>
      </c>
      <c r="T9939" t="str">
        <v>x</v>
      </c>
      <c r="U9939">
        <f>0.006165*F9939^2</f>
        <v>1.57824</v>
      </c>
      <c r="X9939" t="str">
        <v>x</v>
      </c>
      <c r="Y9939">
        <f>D9930</f>
        <v>1</v>
      </c>
      <c r="Z9939" t="str">
        <v>=</v>
      </c>
      <c r="AA9939">
        <f>IF(AA9942=0,(D9939*N9939+P9939*R9939)*U9939*Y9939,0)</f>
        <v>0</v>
      </c>
    </row>
    <row r="9940">
      <c r="A9940" t="str">
        <f>A9924</f>
        <v>Lantai Attic</v>
      </c>
      <c r="B9940">
        <f>B9924</f>
        <v>67</v>
      </c>
      <c r="C9940" t="str">
        <v>Tul Bawah Lapangan</v>
      </c>
      <c r="D9940">
        <f>VLOOKUP(D9924,'Detail Balok'!$C$10:$AU$110,25,FALSE)</f>
        <v>5</v>
      </c>
      <c r="E9940" t="str">
        <v>D</v>
      </c>
      <c r="F9940">
        <f>VLOOKUP(D9924,'Detail Balok'!$C$10:$AU$110,27,FALSE)</f>
        <v>16</v>
      </c>
      <c r="I9940" t="str">
        <v>(</v>
      </c>
      <c r="J9940">
        <f>+J9932</f>
        <v>4.075</v>
      </c>
      <c r="K9940" t="str">
        <v>+</v>
      </c>
      <c r="M9940" t="str">
        <v>=</v>
      </c>
      <c r="N9940">
        <f>J9940+L9940</f>
        <v>4.075</v>
      </c>
      <c r="O9940" t="str">
        <v>+</v>
      </c>
      <c r="P9940">
        <f>MAX(D9940-D9939,D9940-D9941)</f>
        <v>0</v>
      </c>
      <c r="Q9940" t="str">
        <v>x</v>
      </c>
      <c r="R9940">
        <f>IF(P9940&gt;0,2*(1-2*$F$19-1/2)*D9927/1000,0)</f>
        <v>0</v>
      </c>
      <c r="S9940" t="str">
        <v>)</v>
      </c>
      <c r="T9940" t="str">
        <v>x</v>
      </c>
      <c r="U9940">
        <f>0.006165*F9940^2</f>
        <v>1.57824</v>
      </c>
      <c r="X9940" t="str">
        <v>x</v>
      </c>
      <c r="Y9940">
        <f>D9930</f>
        <v>1</v>
      </c>
      <c r="Z9940" t="str">
        <v>=</v>
      </c>
      <c r="AA9940">
        <f>IF(AA9942=0,(D9940*N9940+P9940*R9940)*U9940*Y9940,0)</f>
        <v>0</v>
      </c>
    </row>
    <row r="9941">
      <c r="A9941" t="str">
        <f>A9924</f>
        <v>Lantai Attic</v>
      </c>
      <c r="B9941">
        <f>B9924</f>
        <v>67</v>
      </c>
      <c r="C9941" t="str">
        <v>Tul Bawah Tumpuan</v>
      </c>
      <c r="D9941">
        <f>VLOOKUP(D9924,'Detail Balok'!$C$10:$AU$110,28,FALSE)</f>
        <v>5</v>
      </c>
      <c r="E9941" t="str">
        <v>D</v>
      </c>
      <c r="F9941">
        <f>VLOOKUP(D9924,'Detail Balok'!$C$10:$AU$110,30,FALSE)</f>
        <v>16</v>
      </c>
      <c r="I9941" t="str">
        <v>(</v>
      </c>
      <c r="J9941">
        <f>+J9933</f>
        <v>2.0375</v>
      </c>
      <c r="K9941" t="str">
        <v>+</v>
      </c>
      <c r="L9941">
        <f>MAX(VLOOKUP(F9941,N$6:P$15,3,FALSE)/1000,2/3*D9929/1000)+F$16*F9941/1000</f>
        <v>0.192</v>
      </c>
      <c r="M9941" t="str">
        <v>=</v>
      </c>
      <c r="N9941">
        <f>J9941+L9941</f>
        <v>2.2295000000000003</v>
      </c>
      <c r="O9941" t="str">
        <v>+</v>
      </c>
      <c r="P9941">
        <f>D9941-D9940</f>
        <v>0</v>
      </c>
      <c r="Q9941" t="str">
        <v>x</v>
      </c>
      <c r="R9941">
        <f>IF(P9941&gt;0,$F$18*F9941/1000,0)</f>
        <v>0</v>
      </c>
      <c r="S9941" t="str">
        <v>)</v>
      </c>
      <c r="T9941" t="str">
        <v>x</v>
      </c>
      <c r="U9941">
        <f>0.006165*F9941^2</f>
        <v>1.57824</v>
      </c>
      <c r="X9941" t="str">
        <v>x</v>
      </c>
      <c r="Y9941">
        <f>D9930</f>
        <v>1</v>
      </c>
      <c r="Z9941" t="str">
        <v>=</v>
      </c>
      <c r="AA9941">
        <f>IF(AA9942=0,(D9941*N9941+P9941*R9941)*U9941*Y9941,0)</f>
        <v>0</v>
      </c>
    </row>
    <row r="9942">
      <c r="A9942" t="str">
        <f>A9924</f>
        <v>Lantai Attic</v>
      </c>
      <c r="B9942">
        <f>B9924</f>
        <v>67</v>
      </c>
      <c r="D9942">
        <f>IF(AND(D9939=D9940,D9940=D9941,D9939=D9941),D9939,0)</f>
        <v>5</v>
      </c>
      <c r="E9942" t="str">
        <v>D</v>
      </c>
      <c r="F9942">
        <f>IF(AND(F9939=F9940,F9939=F9941,F9940=F9941),F9939,0)</f>
        <v>16</v>
      </c>
      <c r="L9942" t="str">
        <v>Total panjang per balok</v>
      </c>
      <c r="M9942" t="str">
        <v>=</v>
      </c>
      <c r="N9942">
        <f>IF(AND(D9939=D9940,D9939=D9941,D9940=D9941,F9939=F9940,F9939=F9941,F9940=F9941),SUM(N9939:N9941),0)</f>
        <v>8.534</v>
      </c>
      <c r="O9942" t="str">
        <v>+</v>
      </c>
      <c r="P9942">
        <f>IF(N9942&gt;12,ROUNDDOWN(N9942/12,0),0)</f>
        <v>0</v>
      </c>
      <c r="Q9942" t="str">
        <v>x</v>
      </c>
      <c r="R9942">
        <f>IF(P9942&gt;0,MAX(VLOOKUP(F9942,$D$6:$G$15,3,FALSE),600),0)/1000</f>
        <v>0</v>
      </c>
      <c r="T9942" t="str">
        <v>x</v>
      </c>
      <c r="U9942">
        <f>U9941</f>
        <v>1.57824</v>
      </c>
      <c r="V9942" t="str">
        <v>x</v>
      </c>
      <c r="W9942">
        <f>D9942</f>
        <v>5</v>
      </c>
      <c r="X9942" t="str">
        <v>x</v>
      </c>
      <c r="Y9942">
        <f>Y9941</f>
        <v>1</v>
      </c>
      <c r="Z9942" t="str">
        <v>=</v>
      </c>
      <c r="AA9942">
        <f>(N9942+P9942*R9942/1000)*U9942*W9942*Y9942</f>
        <v>67.34350080000002</v>
      </c>
    </row>
    <row r="9944">
      <c r="A9944" t="str">
        <f>A9924</f>
        <v>Lantai Attic</v>
      </c>
      <c r="B9944">
        <f>B9924</f>
        <v>67</v>
      </c>
      <c r="C9944" t="str">
        <v>Sengkang Tumpuan</v>
      </c>
      <c r="D9944">
        <f>VLOOKUP(D9924,'Detail Balok'!$C$10:$AU$110,31,FALSE)</f>
        <v>0</v>
      </c>
      <c r="E9944" t="str">
        <v>D</v>
      </c>
      <c r="F9944">
        <f>VLOOKUP(D9924,'Detail Balok'!$C$10:$AU$110,33,FALSE)</f>
        <v>10</v>
      </c>
      <c r="G9944" t="str">
        <v>-</v>
      </c>
      <c r="H9944">
        <f>VLOOKUP(D9924,'Detail Balok'!$C$10:$AU$110,35,FALSE)</f>
        <v>90</v>
      </c>
      <c r="J9944">
        <f>(IF(D9944=0,(2*(D9925+G9925))-(F$5*8),IF(D9944=3,(2*(D9925+G9925))-(F$5*8)+(G9925-2*F$5),IF(D9944=4,(2*(D9925+G9925))-(F$5*8)+2*(G9925-2*F$5)))))/1000</f>
        <v>1.08</v>
      </c>
      <c r="K9944" t="str">
        <v>+</v>
      </c>
      <c r="L9944">
        <f>IF(D9944=0,2*MAX(6*F9944,75),(D9944-1)*2*MAX(6*F9944,75))/1000</f>
        <v>0.15</v>
      </c>
      <c r="M9944" t="str">
        <v>=</v>
      </c>
      <c r="N9944">
        <f>J9944+L9944</f>
        <v>1.23</v>
      </c>
      <c r="T9944" t="str">
        <v>x</v>
      </c>
      <c r="U9944">
        <f>0.006165*F9944^2</f>
        <v>0.6165</v>
      </c>
      <c r="V9944" t="str">
        <v>x</v>
      </c>
      <c r="W9944">
        <f>IF(D9927&gt;4*G9925,ROUND(MAX(D9927/4,2*G9925)/H9944,0)+1,ROUND(D9927/H9944,0)+1)</f>
        <v>24</v>
      </c>
      <c r="X9944" t="str">
        <v>x</v>
      </c>
      <c r="Y9944">
        <f>D9930</f>
        <v>1</v>
      </c>
      <c r="Z9944" t="str">
        <v>=</v>
      </c>
      <c r="AA9944">
        <f>N9944*U9944*W9944*Y9944</f>
        <v>18.199080000000002</v>
      </c>
    </row>
    <row r="9945">
      <c r="A9945" t="str">
        <f>A9924</f>
        <v>Lantai Attic</v>
      </c>
      <c r="B9945">
        <f>B9924</f>
        <v>67</v>
      </c>
      <c r="C9945" t="str">
        <v>Sengkang Lapangan</v>
      </c>
      <c r="D9945">
        <f>VLOOKUP(D9924,'Detail Balok'!$C$10:$AU$110,36,FALSE)</f>
        <v>0</v>
      </c>
      <c r="E9945" t="str">
        <v>D</v>
      </c>
      <c r="F9945">
        <f>VLOOKUP(D9924,'Detail Balok'!$C$10:$AU$110,38,FALSE)</f>
        <v>10</v>
      </c>
      <c r="G9945" t="str">
        <v>-</v>
      </c>
      <c r="H9945">
        <f>VLOOKUP(D9924,'Detail Balok'!$C$10:$AU$110,40,FALSE)</f>
        <v>200</v>
      </c>
      <c r="J9945">
        <f>(IF(D9945=0,(2*(D9925+G9925))-(F$5*8),IF(D9945=3,(2*(D9925+G9925))-(F$5*8)+(G9925-2*F$5),IF(D9945=4,(2*(D9925+G9925))-(F$5*8)+2*(G9925-2*F$5)))))/1000</f>
        <v>1.08</v>
      </c>
      <c r="K9945" t="str">
        <v>+</v>
      </c>
      <c r="L9945">
        <f>IF(D9945=0,2*MAX(6*F9945,75),(D9945-1)*2*MAX(6*F9945,75))/1000</f>
        <v>0.15</v>
      </c>
      <c r="M9945" t="str">
        <v>=</v>
      </c>
      <c r="N9945">
        <f>J9945+L9945</f>
        <v>1.23</v>
      </c>
      <c r="T9945" t="str">
        <v>x</v>
      </c>
      <c r="U9945">
        <f>0.006165*F9945^2</f>
        <v>0.6165</v>
      </c>
      <c r="V9945" t="str">
        <v>x</v>
      </c>
      <c r="W9945">
        <f>IF(D9927-MAX(D9927/4,2*G9925)*2&gt;0,ROUND((D9927-MAX(D9927/4,2*G9925)*2)/H9945,0),0)</f>
        <v>20</v>
      </c>
      <c r="X9945" t="str">
        <v>x</v>
      </c>
      <c r="Y9945">
        <f>D9930</f>
        <v>1</v>
      </c>
      <c r="Z9945" t="str">
        <v>=</v>
      </c>
      <c r="AA9945">
        <f>N9945*U9945*W9945*Y9945</f>
        <v>15.1659</v>
      </c>
    </row>
    <row r="9946">
      <c r="A9946" t="str">
        <f>A9924</f>
        <v>Lantai Attic</v>
      </c>
      <c r="B9946">
        <f>B9924</f>
        <v>67</v>
      </c>
      <c r="C9946" t="str">
        <v>Sengkang Tumpuan</v>
      </c>
      <c r="D9946">
        <f>VLOOKUP(D9924,'Detail Balok'!$C$10:$AU$110,41,FALSE)</f>
        <v>0</v>
      </c>
      <c r="E9946" t="str">
        <v>D</v>
      </c>
      <c r="F9946">
        <f>VLOOKUP(D9924,'Detail Balok'!$C$10:$AU$110,43,FALSE)</f>
        <v>10</v>
      </c>
      <c r="G9946" t="str">
        <v>-</v>
      </c>
      <c r="H9946">
        <f>VLOOKUP(D9924,'Detail Balok'!$C$10:$AU$110,45,FALSE)</f>
        <v>90</v>
      </c>
      <c r="J9946">
        <f>(IF(D9946=0,(2*(D9925+G9925))-(F$5*8),IF(D9946=3,(2*(D9925+G9925))-(F$5*8)+(G9925-2*F$5),IF(D9946=4,(2*(D9925+G9925))-(F$5*8)+2*(G9925-2*F$5)))))/1000</f>
        <v>1.08</v>
      </c>
      <c r="K9946" t="str">
        <v>+</v>
      </c>
      <c r="L9946">
        <f>IF(D9946=0,2*MAX(6*F9946,75),(D9946-1)*2*MAX(6*F9946,75))/1000</f>
        <v>0.15</v>
      </c>
      <c r="M9946" t="str">
        <v>=</v>
      </c>
      <c r="N9946">
        <f>J9946+L9946</f>
        <v>1.23</v>
      </c>
      <c r="T9946" t="str">
        <v>x</v>
      </c>
      <c r="U9946">
        <f>0.006165*F9946^2</f>
        <v>0.6165</v>
      </c>
      <c r="V9946" t="str">
        <v>x</v>
      </c>
      <c r="W9946">
        <f>IF(D9927&gt;4*G9925,ROUND(MAX(D9927/4,2*G9925)/H9946,0)+1,0)</f>
        <v>24</v>
      </c>
      <c r="X9946" t="str">
        <v>x</v>
      </c>
      <c r="Y9946">
        <f>D9930</f>
        <v>1</v>
      </c>
      <c r="Z9946" t="str">
        <v>=</v>
      </c>
      <c r="AA9946">
        <f>N9946*U9946*W9946*Y9946</f>
        <v>18.199080000000002</v>
      </c>
    </row>
    <row r="9948">
      <c r="A9948" t="str">
        <f>A9924</f>
        <v>Lantai Attic</v>
      </c>
      <c r="B9948">
        <f>B9924</f>
        <v>67</v>
      </c>
      <c r="C9948" t="str">
        <v>Kait Horizontal Tump.</v>
      </c>
      <c r="D9948">
        <f>VLOOKUP(D9924,'Detail Balok'!$C$10:$BJ$110,46,FALSE)</f>
        <v>0</v>
      </c>
      <c r="E9948" t="str">
        <v>D</v>
      </c>
      <c r="F9948">
        <f>VLOOKUP(D9924,'Detail Balok'!$C$10:$BJ$110,48,FALSE)</f>
        <v>0</v>
      </c>
      <c r="G9948" t="str">
        <v>-</v>
      </c>
      <c r="H9948">
        <f>VLOOKUP(D9924,'Detail Balok'!$C$10:$BJ$110,50,FALSE)</f>
        <v>100</v>
      </c>
      <c r="J9948">
        <f>(D9925-2*F$5)/1000</f>
        <v>0.12</v>
      </c>
      <c r="K9948" t="str">
        <v>+</v>
      </c>
      <c r="L9948">
        <f>IF(D9948=0,2*MAX(6*F9948,75),(D9948-1)*2*MAX(6*F9948,75))/1000</f>
        <v>0.15</v>
      </c>
      <c r="M9948" t="str">
        <v>=</v>
      </c>
      <c r="N9948">
        <f>J9948+L9948</f>
        <v>0.27</v>
      </c>
      <c r="T9948" t="str">
        <v>x</v>
      </c>
      <c r="U9948">
        <f>0.006165*F9948^2</f>
        <v>0</v>
      </c>
      <c r="V9948" t="str">
        <v>x</v>
      </c>
      <c r="W9948">
        <f>W9944</f>
        <v>24</v>
      </c>
      <c r="X9948" t="str">
        <v>x</v>
      </c>
      <c r="Y9948">
        <f>D9934</f>
        <v>0</v>
      </c>
      <c r="Z9948" t="str">
        <v>=</v>
      </c>
      <c r="AA9948">
        <f>N9948*U9948*W9948*Y9948</f>
        <v>0</v>
      </c>
    </row>
    <row r="9949">
      <c r="A9949" t="str">
        <f>A9924</f>
        <v>Lantai Attic</v>
      </c>
      <c r="B9949">
        <f>B9924</f>
        <v>67</v>
      </c>
      <c r="C9949" t="str">
        <v>Kait Horizontal Lap.</v>
      </c>
      <c r="D9949">
        <f>VLOOKUP(D9924,'Detail Balok'!$C$10:$BJ$110,51,FALSE)</f>
        <v>0</v>
      </c>
      <c r="E9949" t="str">
        <v>D</v>
      </c>
      <c r="F9949">
        <f>VLOOKUP(D9924,'Detail Balok'!$C$10:$BJ$110,53,FALSE)</f>
        <v>0</v>
      </c>
      <c r="G9949" t="str">
        <v>-</v>
      </c>
      <c r="H9949">
        <f>VLOOKUP(D9924,'Detail Balok'!$C$10:$BJ$110,55,FALSE)</f>
        <v>100</v>
      </c>
      <c r="J9949">
        <f>(D9925-2*F$5)/1000</f>
        <v>0.12</v>
      </c>
      <c r="K9949" t="str">
        <v>+</v>
      </c>
      <c r="L9949">
        <f>IF(D9949=0,2*MAX(6*F9949,75),(D9949-1)*2*MAX(6*F9949,75))/1000</f>
        <v>0.15</v>
      </c>
      <c r="M9949" t="str">
        <v>=</v>
      </c>
      <c r="N9949">
        <f>J9949+L9949</f>
        <v>0.27</v>
      </c>
      <c r="T9949" t="str">
        <v>x</v>
      </c>
      <c r="U9949">
        <f>0.006165*F9949^2</f>
        <v>0</v>
      </c>
      <c r="V9949" t="str">
        <v>x</v>
      </c>
      <c r="W9949">
        <f>W9945</f>
        <v>20</v>
      </c>
      <c r="X9949" t="str">
        <v>x</v>
      </c>
      <c r="Y9949">
        <f>D9934</f>
        <v>0</v>
      </c>
      <c r="Z9949" t="str">
        <v>=</v>
      </c>
      <c r="AA9949">
        <f>N9949*U9949*W9949*Y9949</f>
        <v>0</v>
      </c>
    </row>
    <row r="9950">
      <c r="A9950" t="str">
        <f>A9924</f>
        <v>Lantai Attic</v>
      </c>
      <c r="B9950">
        <f>B9924</f>
        <v>67</v>
      </c>
      <c r="C9950" t="str">
        <v>Kait Horizontal Tump.</v>
      </c>
      <c r="D9950">
        <f>VLOOKUP(D9924,'Detail Balok'!$C$10:$BJ$110,56,FALSE)</f>
        <v>0</v>
      </c>
      <c r="E9950" t="str">
        <v>D</v>
      </c>
      <c r="F9950">
        <f>VLOOKUP(D9924,'Detail Balok'!$C$10:$BJ$110,58,FALSE)</f>
        <v>0</v>
      </c>
      <c r="G9950" t="str">
        <v>-</v>
      </c>
      <c r="H9950">
        <f>VLOOKUP(D9924,'Detail Balok'!$C$10:$BJ$110,60,FALSE)</f>
        <v>100</v>
      </c>
      <c r="J9950">
        <f>(D9925-2*F$5)/1000</f>
        <v>0.12</v>
      </c>
      <c r="K9950" t="str">
        <v>+</v>
      </c>
      <c r="L9950">
        <f>IF(D9950=0,2*MAX(6*F9950,75),(D9950-1)*2*MAX(6*F9950,75))/1000</f>
        <v>0.15</v>
      </c>
      <c r="M9950" t="str">
        <v>=</v>
      </c>
      <c r="N9950">
        <f>J9950+L9950</f>
        <v>0.27</v>
      </c>
      <c r="T9950" t="str">
        <v>x</v>
      </c>
      <c r="U9950">
        <f>0.006165*F9950^2</f>
        <v>0</v>
      </c>
      <c r="V9950" t="str">
        <v>x</v>
      </c>
      <c r="W9950">
        <f>W9946</f>
        <v>24</v>
      </c>
      <c r="X9950" t="str">
        <v>x</v>
      </c>
      <c r="Y9950">
        <f>D9934</f>
        <v>0</v>
      </c>
      <c r="Z9950" t="str">
        <v>=</v>
      </c>
      <c r="AA9950">
        <f>N9950*U9950*W9950*Y9950</f>
        <v>0</v>
      </c>
    </row>
    <row r="9954">
      <c r="A9954" t="str">
        <f>A9924</f>
        <v>Lantai Attic</v>
      </c>
      <c r="B9954">
        <f>B9924+1</f>
        <v>68</v>
      </c>
      <c r="C9954" t="str">
        <f>CONCATENATE(A9954," no. ",B9954)</f>
        <v>Lantai Attic no. 68</v>
      </c>
      <c r="D9954" t="str">
        <f>VLOOKUP(C9954,'Data Panjang Balok'!$C$9:$N$424,2,FALSE)</f>
        <v>B23-2</v>
      </c>
    </row>
    <row r="9955">
      <c r="C9955" t="str">
        <v>Dimensi</v>
      </c>
      <c r="D9955">
        <f>VLOOKUP(D9954,'Detail Balok'!$C$10:$AU$110,2,FALSE)</f>
        <v>200</v>
      </c>
      <c r="F9955" t="str">
        <v>x</v>
      </c>
      <c r="G9955">
        <f>VLOOKUP(D9954,'Detail Balok'!$C$10:$AU$110,3,FALSE)</f>
        <v>300</v>
      </c>
    </row>
    <row r="9956">
      <c r="C9956" t="str">
        <v>Panjang as ke as</v>
      </c>
      <c r="D9956">
        <f>VLOOKUP(C9954,'Data Panjang Balok'!$C$9:$N$424,4,FALSE)</f>
        <v>3300</v>
      </c>
    </row>
    <row r="9957">
      <c r="C9957" t="str">
        <v>Panjang netto</v>
      </c>
      <c r="D9957">
        <f>VLOOKUP(C9954,'Data Panjang Balok'!$C$9:$N$424,7,FALSE)</f>
        <v>3300</v>
      </c>
    </row>
    <row r="9958">
      <c r="C9958" t="str">
        <v>Kolom / balok kiri</v>
      </c>
      <c r="D9958">
        <f>VLOOKUP(C9954,'Data Panjang Balok'!$C$9:$N$424,9,FALSE)</f>
        <v>0</v>
      </c>
    </row>
    <row r="9959">
      <c r="C9959" t="str">
        <v>Kolom / balok kanan</v>
      </c>
      <c r="D9959">
        <f>VLOOKUP(C9954,'Data Panjang Balok'!$C$9:$N$424,10,FALSE)</f>
        <v>0</v>
      </c>
    </row>
    <row r="9960">
      <c r="C9960" t="str">
        <v>Jumlah</v>
      </c>
      <c r="D9960">
        <f>VLOOKUP(C9954,'Data Panjang Balok'!$C$9:$N$424,3,FALSE)</f>
        <v>1</v>
      </c>
    </row>
    <row r="9961">
      <c r="A9961" t="str">
        <f>A9954</f>
        <v>Lantai Attic</v>
      </c>
      <c r="B9961">
        <f>B9954</f>
        <v>68</v>
      </c>
      <c r="C9961" t="str">
        <v>Tul Atas Tumpuan</v>
      </c>
      <c r="D9961">
        <f>VLOOKUP(D9954,'Detail Balok'!$C$10:$AU$110,4,FALSE)</f>
        <v>4</v>
      </c>
      <c r="E9961" t="str">
        <v>D</v>
      </c>
      <c r="F9961">
        <f>VLOOKUP(D9954,'Detail Balok'!$C$10:$AU$110,6,FALSE)</f>
        <v>13</v>
      </c>
      <c r="I9961" t="str">
        <v>(</v>
      </c>
      <c r="J9961">
        <f>+D9956/4/1000</f>
        <v>0.825</v>
      </c>
      <c r="K9961" t="str">
        <v>+</v>
      </c>
      <c r="L9961">
        <f>MAX(VLOOKUP(F9961,N$6:P$15,3,FALSE)/1000,2/3*D9958/1000)+F$16*F9961/1000</f>
        <v>0.156</v>
      </c>
      <c r="M9961" t="str">
        <v>=</v>
      </c>
      <c r="N9961">
        <f>J9961+L9961</f>
        <v>0.981</v>
      </c>
      <c r="O9961" t="str">
        <v>+</v>
      </c>
      <c r="P9961">
        <f>D9961-D9962</f>
        <v>2</v>
      </c>
      <c r="Q9961" t="str">
        <v>x</v>
      </c>
      <c r="R9961">
        <f>IF(P9961&gt;0,$F$18*F9961/1000,0)</f>
        <v>0.195</v>
      </c>
      <c r="S9961" t="str">
        <v>)</v>
      </c>
      <c r="T9961" t="str">
        <v>x</v>
      </c>
      <c r="U9961">
        <f>0.006165*F9961^2</f>
        <v>1.041885</v>
      </c>
      <c r="X9961" t="str">
        <v>x</v>
      </c>
      <c r="Y9961">
        <f>D9960</f>
        <v>1</v>
      </c>
      <c r="Z9961" t="str">
        <v>=</v>
      </c>
      <c r="AA9961">
        <f>IF(AA9964=0,(D9961*N9961+P9961*R9961)*U9961*Y9961,0)</f>
        <v>4.4946918899999995</v>
      </c>
    </row>
    <row r="9962">
      <c r="A9962" t="str">
        <f>A9954</f>
        <v>Lantai Attic</v>
      </c>
      <c r="B9962">
        <f>B9954</f>
        <v>68</v>
      </c>
      <c r="C9962" t="str">
        <v>Tul Atas Lapangan</v>
      </c>
      <c r="D9962">
        <f>VLOOKUP(D9954,'Detail Balok'!$C$10:$AU$110,7,FALSE)</f>
        <v>2</v>
      </c>
      <c r="E9962" t="str">
        <v>D</v>
      </c>
      <c r="F9962">
        <f>VLOOKUP(D9954,'Detail Balok'!$C$10:$AU$110,9,FALSE)</f>
        <v>13</v>
      </c>
      <c r="I9962" t="str">
        <v>(</v>
      </c>
      <c r="J9962">
        <f>+D9956/2/1000</f>
        <v>1.65</v>
      </c>
      <c r="K9962" t="str">
        <v>+</v>
      </c>
      <c r="M9962" t="str">
        <v>=</v>
      </c>
      <c r="N9962">
        <f>J9962+L9962</f>
        <v>1.65</v>
      </c>
      <c r="O9962" t="str">
        <v>+</v>
      </c>
      <c r="P9962">
        <f>MAX(D9962-D9961,D9962-D9963)</f>
        <v>-2</v>
      </c>
      <c r="Q9962" t="str">
        <v>x</v>
      </c>
      <c r="R9962">
        <f>IF(P9962&gt;0,2*(1-2*$F$19-1/2)*D9957/1000,0)</f>
        <v>0</v>
      </c>
      <c r="S9962" t="str">
        <v>)</v>
      </c>
      <c r="T9962" t="str">
        <v>x</v>
      </c>
      <c r="U9962">
        <f>0.006165*F9962^2</f>
        <v>1.041885</v>
      </c>
      <c r="X9962" t="str">
        <v>x</v>
      </c>
      <c r="Y9962">
        <f>D9960</f>
        <v>1</v>
      </c>
      <c r="Z9962" t="str">
        <v>=</v>
      </c>
      <c r="AA9962">
        <f>IF(AA9964=0,(D9962*N9962+P9962*R9962)*U9962*Y9962,0)</f>
        <v>3.4382204999999995</v>
      </c>
    </row>
    <row r="9963">
      <c r="A9963" t="str">
        <f>A9954</f>
        <v>Lantai Attic</v>
      </c>
      <c r="B9963">
        <f>B9954</f>
        <v>68</v>
      </c>
      <c r="C9963" t="str">
        <v>Tul Atas Tumpuan</v>
      </c>
      <c r="D9963">
        <f>VLOOKUP(D9954,'Detail Balok'!$C$10:$AU$110,10,FALSE)</f>
        <v>4</v>
      </c>
      <c r="E9963" t="str">
        <v>D</v>
      </c>
      <c r="F9963">
        <f>VLOOKUP(D9954,'Detail Balok'!$C$10:$AU$110,12,FALSE)</f>
        <v>13</v>
      </c>
      <c r="I9963" t="str">
        <v>(</v>
      </c>
      <c r="J9963">
        <f>+D9956/4/1000</f>
        <v>0.825</v>
      </c>
      <c r="K9963" t="str">
        <v>+</v>
      </c>
      <c r="L9963">
        <f>MAX(VLOOKUP(F9963,N$6:P$15,3,FALSE)/1000,2/3*D9958/1000)+F$16*F9963/1000</f>
        <v>0.156</v>
      </c>
      <c r="M9963" t="str">
        <v>=</v>
      </c>
      <c r="N9963">
        <f>J9963+L9963</f>
        <v>0.981</v>
      </c>
      <c r="O9963" t="str">
        <v>+</v>
      </c>
      <c r="P9963">
        <f>D9963-D9962</f>
        <v>2</v>
      </c>
      <c r="Q9963" t="str">
        <v>x</v>
      </c>
      <c r="R9963">
        <f>IF(P9963&gt;0,$F$18*F9963/1000,0)</f>
        <v>0.195</v>
      </c>
      <c r="S9963" t="str">
        <v>)</v>
      </c>
      <c r="T9963" t="str">
        <v>x</v>
      </c>
      <c r="U9963">
        <f>0.006165*F9963^2</f>
        <v>1.041885</v>
      </c>
      <c r="X9963" t="str">
        <v>x</v>
      </c>
      <c r="Y9963">
        <f>D9960</f>
        <v>1</v>
      </c>
      <c r="Z9963" t="str">
        <v>=</v>
      </c>
      <c r="AA9963">
        <f>IF(AA9964=0,(D9963*N9963+P9963*R9963)*U9963*Y9963,0)</f>
        <v>4.4946918899999995</v>
      </c>
    </row>
    <row r="9964">
      <c r="A9964" t="str">
        <f>A9954</f>
        <v>Lantai Attic</v>
      </c>
      <c r="B9964">
        <f>B9954</f>
        <v>68</v>
      </c>
      <c r="D9964">
        <f>IF(AND(D9961=D9962,D9962=D9963,D9961=D9963),D9961,0)</f>
        <v>0</v>
      </c>
      <c r="E9964" t="str">
        <v>D</v>
      </c>
      <c r="F9964">
        <f>IF(AND(F9961=F9962,F9961=F9963,F9962=F9963),F9961,0)</f>
        <v>13</v>
      </c>
      <c r="L9964" t="str">
        <v>Total panjang per balok</v>
      </c>
      <c r="M9964" t="str">
        <v>=</v>
      </c>
      <c r="N9964">
        <f>IF(AND(D9961=D9962,D9961=D9963,D9962=D9963,F9961=F9962,F9961=F9963,F9962=F9963),SUM(N9961:N9963),0)</f>
        <v>0</v>
      </c>
      <c r="O9964" t="str">
        <v>+</v>
      </c>
      <c r="P9964">
        <f>IF(N9964&gt;12,ROUNDDOWN(N9964/12,0),0)</f>
        <v>0</v>
      </c>
      <c r="Q9964" t="str">
        <v>x</v>
      </c>
      <c r="R9964">
        <f>IF(P9964&gt;0,MAX(VLOOKUP(F9964,$D$6:$G$15,3,FALSE),600),0)/1000</f>
        <v>0</v>
      </c>
      <c r="T9964" t="str">
        <v>x</v>
      </c>
      <c r="U9964">
        <f>U9963</f>
        <v>1.041885</v>
      </c>
      <c r="V9964" t="str">
        <v>x</v>
      </c>
      <c r="W9964">
        <f>D9964</f>
        <v>0</v>
      </c>
      <c r="X9964" t="str">
        <v>x</v>
      </c>
      <c r="Y9964">
        <f>Y9963</f>
        <v>1</v>
      </c>
      <c r="Z9964" t="str">
        <v>=</v>
      </c>
      <c r="AA9964">
        <f>(N9964+P9964*R9964/1000)*U9964*W9964*Y9964</f>
        <v>0</v>
      </c>
    </row>
    <row r="9966">
      <c r="A9966" t="str">
        <f>A9954</f>
        <v>Lantai Attic</v>
      </c>
      <c r="B9966">
        <f>B9954</f>
        <v>68</v>
      </c>
      <c r="C9966" t="str">
        <v>Tul Peminggang</v>
      </c>
      <c r="D9966">
        <f>VLOOKUP(D9954,'Detail Balok'!$C$10:$AU$110,13,FALSE)</f>
        <v>0</v>
      </c>
      <c r="E9966" t="str">
        <v>D</v>
      </c>
      <c r="F9966">
        <f>VLOOKUP(D9954,'Detail Balok'!$C$10:$AU$110,15,FALSE)</f>
        <v>6</v>
      </c>
      <c r="J9966">
        <f>+D9956/1000</f>
        <v>3.3</v>
      </c>
      <c r="K9966" t="str">
        <v>+</v>
      </c>
      <c r="L9966">
        <f>2*$F$16*F9966/1000</f>
        <v>0.144</v>
      </c>
      <c r="M9966" t="str">
        <v>=</v>
      </c>
      <c r="N9966">
        <f>J9966+L9966</f>
        <v>3.444</v>
      </c>
      <c r="O9966" t="str">
        <v>+</v>
      </c>
      <c r="P9966">
        <f>IF(N9966&gt;12,ROUNDDOWN(N9966/12,0),0)</f>
        <v>0</v>
      </c>
      <c r="Q9966" t="str">
        <v>x</v>
      </c>
      <c r="R9966">
        <f>IF(P9966&gt;0,MAX(VLOOKUP(F9966,$D$6:$G$15,3,FALSE),600),0)/1000</f>
        <v>0</v>
      </c>
      <c r="T9966" t="str">
        <v>x</v>
      </c>
      <c r="U9966">
        <f>0.006165*F9966^2</f>
        <v>0.22194000000000003</v>
      </c>
      <c r="V9966" t="str">
        <v>x</v>
      </c>
      <c r="W9966">
        <f>+D9966</f>
        <v>0</v>
      </c>
      <c r="X9966" t="str">
        <v>x</v>
      </c>
      <c r="Y9966">
        <f>D9960</f>
        <v>1</v>
      </c>
      <c r="Z9966" t="str">
        <v>=</v>
      </c>
      <c r="AA9966">
        <f>(N9966+P9966*R9966/1000)*U9966*W9966*Y9966</f>
        <v>0</v>
      </c>
    </row>
    <row r="9969">
      <c r="A9969" t="str">
        <f>A9954</f>
        <v>Lantai Attic</v>
      </c>
      <c r="B9969">
        <f>B9954</f>
        <v>68</v>
      </c>
      <c r="C9969" t="str">
        <v>Tul Bawah Tumpuan</v>
      </c>
      <c r="D9969">
        <f>VLOOKUP(D9954,'Detail Balok'!$C$10:$AU$110,22,FALSE)</f>
        <v>2</v>
      </c>
      <c r="E9969" t="str">
        <v>D</v>
      </c>
      <c r="F9969">
        <f>VLOOKUP(D9954,'Detail Balok'!$C$10:$AU$110,24,FALSE)</f>
        <v>13</v>
      </c>
      <c r="I9969" t="str">
        <v>(</v>
      </c>
      <c r="J9969">
        <f>+J9961</f>
        <v>0.825</v>
      </c>
      <c r="K9969" t="str">
        <v>+</v>
      </c>
      <c r="L9969">
        <f>MAX(VLOOKUP(F9969,N$6:P$15,3,FALSE)/1000,2/3*D9959/1000)+F$16*F9969/1000</f>
        <v>0.156</v>
      </c>
      <c r="M9969" t="str">
        <v>=</v>
      </c>
      <c r="N9969">
        <f>J9969+L9969</f>
        <v>0.981</v>
      </c>
      <c r="O9969" t="str">
        <v>+</v>
      </c>
      <c r="P9969">
        <f>D9969-D9970</f>
        <v>0</v>
      </c>
      <c r="Q9969" t="str">
        <v>x</v>
      </c>
      <c r="R9969">
        <f>IF(P9969&gt;0,$F$18*F9969/1000,0)</f>
        <v>0</v>
      </c>
      <c r="S9969" t="str">
        <v>)</v>
      </c>
      <c r="T9969" t="str">
        <v>x</v>
      </c>
      <c r="U9969">
        <f>0.006165*F9969^2</f>
        <v>1.041885</v>
      </c>
      <c r="X9969" t="str">
        <v>x</v>
      </c>
      <c r="Y9969">
        <f>D9960</f>
        <v>1</v>
      </c>
      <c r="Z9969" t="str">
        <v>=</v>
      </c>
      <c r="AA9969">
        <f>IF(AA9972=0,(D9969*N9969+P9969*R9969)*U9969*Y9969,0)</f>
        <v>0</v>
      </c>
    </row>
    <row r="9970">
      <c r="A9970" t="str">
        <f>A9954</f>
        <v>Lantai Attic</v>
      </c>
      <c r="B9970">
        <f>B9954</f>
        <v>68</v>
      </c>
      <c r="C9970" t="str">
        <v>Tul Bawah Lapangan</v>
      </c>
      <c r="D9970">
        <f>VLOOKUP(D9954,'Detail Balok'!$C$10:$AU$110,25,FALSE)</f>
        <v>2</v>
      </c>
      <c r="E9970" t="str">
        <v>D</v>
      </c>
      <c r="F9970">
        <f>VLOOKUP(D9954,'Detail Balok'!$C$10:$AU$110,27,FALSE)</f>
        <v>13</v>
      </c>
      <c r="I9970" t="str">
        <v>(</v>
      </c>
      <c r="J9970">
        <f>+J9962</f>
        <v>1.65</v>
      </c>
      <c r="K9970" t="str">
        <v>+</v>
      </c>
      <c r="M9970" t="str">
        <v>=</v>
      </c>
      <c r="N9970">
        <f>J9970+L9970</f>
        <v>1.65</v>
      </c>
      <c r="O9970" t="str">
        <v>+</v>
      </c>
      <c r="P9970">
        <f>MAX(D9970-D9969,D9970-D9971)</f>
        <v>0</v>
      </c>
      <c r="Q9970" t="str">
        <v>x</v>
      </c>
      <c r="R9970">
        <f>IF(P9970&gt;0,2*(1-2*$F$19-1/2)*D9957/1000,0)</f>
        <v>0</v>
      </c>
      <c r="S9970" t="str">
        <v>)</v>
      </c>
      <c r="T9970" t="str">
        <v>x</v>
      </c>
      <c r="U9970">
        <f>0.006165*F9970^2</f>
        <v>1.041885</v>
      </c>
      <c r="X9970" t="str">
        <v>x</v>
      </c>
      <c r="Y9970">
        <f>D9960</f>
        <v>1</v>
      </c>
      <c r="Z9970" t="str">
        <v>=</v>
      </c>
      <c r="AA9970">
        <f>IF(AA9972=0,(D9970*N9970+P9970*R9970)*U9970*Y9970,0)</f>
        <v>0</v>
      </c>
    </row>
    <row r="9971">
      <c r="A9971" t="str">
        <f>A9954</f>
        <v>Lantai Attic</v>
      </c>
      <c r="B9971">
        <f>B9954</f>
        <v>68</v>
      </c>
      <c r="C9971" t="str">
        <v>Tul Bawah Tumpuan</v>
      </c>
      <c r="D9971">
        <f>VLOOKUP(D9954,'Detail Balok'!$C$10:$AU$110,28,FALSE)</f>
        <v>2</v>
      </c>
      <c r="E9971" t="str">
        <v>D</v>
      </c>
      <c r="F9971">
        <f>VLOOKUP(D9954,'Detail Balok'!$C$10:$AU$110,30,FALSE)</f>
        <v>13</v>
      </c>
      <c r="I9971" t="str">
        <v>(</v>
      </c>
      <c r="J9971">
        <f>+J9963</f>
        <v>0.825</v>
      </c>
      <c r="K9971" t="str">
        <v>+</v>
      </c>
      <c r="L9971">
        <f>MAX(VLOOKUP(F9971,N$6:P$15,3,FALSE)/1000,2/3*D9959/1000)+F$16*F9971/1000</f>
        <v>0.156</v>
      </c>
      <c r="M9971" t="str">
        <v>=</v>
      </c>
      <c r="N9971">
        <f>J9971+L9971</f>
        <v>0.981</v>
      </c>
      <c r="O9971" t="str">
        <v>+</v>
      </c>
      <c r="P9971">
        <f>D9971-D9970</f>
        <v>0</v>
      </c>
      <c r="Q9971" t="str">
        <v>x</v>
      </c>
      <c r="R9971">
        <f>IF(P9971&gt;0,$F$18*F9971/1000,0)</f>
        <v>0</v>
      </c>
      <c r="S9971" t="str">
        <v>)</v>
      </c>
      <c r="T9971" t="str">
        <v>x</v>
      </c>
      <c r="U9971">
        <f>0.006165*F9971^2</f>
        <v>1.041885</v>
      </c>
      <c r="X9971" t="str">
        <v>x</v>
      </c>
      <c r="Y9971">
        <f>D9960</f>
        <v>1</v>
      </c>
      <c r="Z9971" t="str">
        <v>=</v>
      </c>
      <c r="AA9971">
        <f>IF(AA9972=0,(D9971*N9971+P9971*R9971)*U9971*Y9971,0)</f>
        <v>0</v>
      </c>
    </row>
    <row r="9972">
      <c r="A9972" t="str">
        <f>A9954</f>
        <v>Lantai Attic</v>
      </c>
      <c r="B9972">
        <f>B9954</f>
        <v>68</v>
      </c>
      <c r="D9972">
        <f>IF(AND(D9969=D9970,D9970=D9971,D9969=D9971),D9969,0)</f>
        <v>2</v>
      </c>
      <c r="E9972" t="str">
        <v>D</v>
      </c>
      <c r="F9972">
        <f>IF(AND(F9969=F9970,F9969=F9971,F9970=F9971),F9969,0)</f>
        <v>13</v>
      </c>
      <c r="L9972" t="str">
        <v>Total panjang per balok</v>
      </c>
      <c r="M9972" t="str">
        <v>=</v>
      </c>
      <c r="N9972">
        <f>IF(AND(D9969=D9970,D9969=D9971,D9970=D9971,F9969=F9970,F9969=F9971,F9970=F9971),SUM(N9969:N9971),0)</f>
        <v>3.6119999999999997</v>
      </c>
      <c r="O9972" t="str">
        <v>+</v>
      </c>
      <c r="P9972">
        <f>IF(N9972&gt;12,ROUNDDOWN(N9972/12,0),0)</f>
        <v>0</v>
      </c>
      <c r="Q9972" t="str">
        <v>x</v>
      </c>
      <c r="R9972">
        <f>IF(P9972&gt;0,MAX(VLOOKUP(F9972,$D$6:$G$15,3,FALSE),600),0)/1000</f>
        <v>0</v>
      </c>
      <c r="T9972" t="str">
        <v>x</v>
      </c>
      <c r="U9972">
        <f>U9971</f>
        <v>1.041885</v>
      </c>
      <c r="V9972" t="str">
        <v>x</v>
      </c>
      <c r="W9972">
        <f>D9972</f>
        <v>2</v>
      </c>
      <c r="X9972" t="str">
        <v>x</v>
      </c>
      <c r="Y9972">
        <f>Y9971</f>
        <v>1</v>
      </c>
      <c r="Z9972" t="str">
        <v>=</v>
      </c>
      <c r="AA9972">
        <f>(N9972+P9972*R9972/1000)*U9972*W9972*Y9972</f>
        <v>7.526577239999999</v>
      </c>
    </row>
    <row r="9974">
      <c r="A9974" t="str">
        <f>A9954</f>
        <v>Lantai Attic</v>
      </c>
      <c r="B9974">
        <f>B9954</f>
        <v>68</v>
      </c>
      <c r="C9974" t="str">
        <v>Sengkang Tumpuan</v>
      </c>
      <c r="D9974">
        <f>VLOOKUP(D9954,'Detail Balok'!$C$10:$AU$110,31,FALSE)</f>
        <v>0</v>
      </c>
      <c r="E9974" t="str">
        <v>D</v>
      </c>
      <c r="F9974">
        <f>VLOOKUP(D9954,'Detail Balok'!$C$10:$AU$110,33,FALSE)</f>
        <v>8</v>
      </c>
      <c r="G9974" t="str">
        <v>-</v>
      </c>
      <c r="H9974">
        <f>VLOOKUP(D9954,'Detail Balok'!$C$10:$AU$110,35,FALSE)</f>
        <v>100</v>
      </c>
      <c r="J9974">
        <f>(IF(D9974=0,(2*(D9955+G9955))-(F$5*8),IF(D9974=3,(2*(D9955+G9955))-(F$5*8)+(G9955-2*F$5),IF(D9974=4,(2*(D9955+G9955))-(F$5*8)+2*(G9955-2*F$5)))))/1000</f>
        <v>0.68</v>
      </c>
      <c r="K9974" t="str">
        <v>+</v>
      </c>
      <c r="L9974">
        <f>IF(D9974=0,2*MAX(6*F9974,75),(D9974-1)*2*MAX(6*F9974,75))/1000</f>
        <v>0.15</v>
      </c>
      <c r="M9974" t="str">
        <v>=</v>
      </c>
      <c r="N9974">
        <f>J9974+L9974</f>
        <v>0.8300000000000001</v>
      </c>
      <c r="T9974" t="str">
        <v>x</v>
      </c>
      <c r="U9974">
        <f>0.006165*F9974^2</f>
        <v>0.39456</v>
      </c>
      <c r="V9974" t="str">
        <v>x</v>
      </c>
      <c r="W9974">
        <f>IF(D9957&gt;4*G9955,ROUND(MAX(D9957/4,2*G9955)/H9974,0)+1,ROUND(D9957/H9974,0)+1)</f>
        <v>9</v>
      </c>
      <c r="X9974" t="str">
        <v>x</v>
      </c>
      <c r="Y9974">
        <f>D9960</f>
        <v>1</v>
      </c>
      <c r="Z9974" t="str">
        <v>=</v>
      </c>
      <c r="AA9974">
        <f>N9974*U9974*W9974*Y9974</f>
        <v>2.9473632000000003</v>
      </c>
    </row>
    <row r="9975">
      <c r="A9975" t="str">
        <f>A9954</f>
        <v>Lantai Attic</v>
      </c>
      <c r="B9975">
        <f>B9954</f>
        <v>68</v>
      </c>
      <c r="C9975" t="str">
        <v>Sengkang Lapangan</v>
      </c>
      <c r="D9975">
        <f>VLOOKUP(D9954,'Detail Balok'!$C$10:$AU$110,36,FALSE)</f>
        <v>0</v>
      </c>
      <c r="E9975" t="str">
        <v>D</v>
      </c>
      <c r="F9975">
        <f>VLOOKUP(D9954,'Detail Balok'!$C$10:$AU$110,38,FALSE)</f>
        <v>8</v>
      </c>
      <c r="G9975" t="str">
        <v>-</v>
      </c>
      <c r="H9975">
        <f>VLOOKUP(D9954,'Detail Balok'!$C$10:$AU$110,40,FALSE)</f>
        <v>150</v>
      </c>
      <c r="J9975">
        <f>(IF(D9975=0,(2*(D9955+G9955))-(F$5*8),IF(D9975=3,(2*(D9955+G9955))-(F$5*8)+(G9955-2*F$5),IF(D9975=4,(2*(D9955+G9955))-(F$5*8)+2*(G9955-2*F$5)))))/1000</f>
        <v>0.68</v>
      </c>
      <c r="K9975" t="str">
        <v>+</v>
      </c>
      <c r="L9975">
        <f>IF(D9975=0,2*MAX(6*F9975,75),(D9975-1)*2*MAX(6*F9975,75))/1000</f>
        <v>0.15</v>
      </c>
      <c r="M9975" t="str">
        <v>=</v>
      </c>
      <c r="N9975">
        <f>J9975+L9975</f>
        <v>0.8300000000000001</v>
      </c>
      <c r="T9975" t="str">
        <v>x</v>
      </c>
      <c r="U9975">
        <f>0.006165*F9975^2</f>
        <v>0.39456</v>
      </c>
      <c r="V9975" t="str">
        <v>x</v>
      </c>
      <c r="W9975">
        <f>IF(D9957-MAX(D9957/4,2*G9955)*2&gt;0,ROUND((D9957-MAX(D9957/4,2*G9955)*2)/H9975,0),0)</f>
        <v>11</v>
      </c>
      <c r="X9975" t="str">
        <v>x</v>
      </c>
      <c r="Y9975">
        <f>D9960</f>
        <v>1</v>
      </c>
      <c r="Z9975" t="str">
        <v>=</v>
      </c>
      <c r="AA9975">
        <f>N9975*U9975*W9975*Y9975</f>
        <v>3.6023328</v>
      </c>
    </row>
    <row r="9976">
      <c r="A9976" t="str">
        <f>A9954</f>
        <v>Lantai Attic</v>
      </c>
      <c r="B9976">
        <f>B9954</f>
        <v>68</v>
      </c>
      <c r="C9976" t="str">
        <v>Sengkang Tumpuan</v>
      </c>
      <c r="D9976">
        <f>VLOOKUP(D9954,'Detail Balok'!$C$10:$AU$110,41,FALSE)</f>
        <v>0</v>
      </c>
      <c r="E9976" t="str">
        <v>D</v>
      </c>
      <c r="F9976">
        <f>VLOOKUP(D9954,'Detail Balok'!$C$10:$AU$110,43,FALSE)</f>
        <v>8</v>
      </c>
      <c r="G9976" t="str">
        <v>-</v>
      </c>
      <c r="H9976">
        <f>VLOOKUP(D9954,'Detail Balok'!$C$10:$AU$110,45,FALSE)</f>
        <v>100</v>
      </c>
      <c r="J9976">
        <f>(IF(D9976=0,(2*(D9955+G9955))-(F$5*8),IF(D9976=3,(2*(D9955+G9955))-(F$5*8)+(G9955-2*F$5),IF(D9976=4,(2*(D9955+G9955))-(F$5*8)+2*(G9955-2*F$5)))))/1000</f>
        <v>0.68</v>
      </c>
      <c r="K9976" t="str">
        <v>+</v>
      </c>
      <c r="L9976">
        <f>IF(D9976=0,2*MAX(6*F9976,75),(D9976-1)*2*MAX(6*F9976,75))/1000</f>
        <v>0.15</v>
      </c>
      <c r="M9976" t="str">
        <v>=</v>
      </c>
      <c r="N9976">
        <f>J9976+L9976</f>
        <v>0.8300000000000001</v>
      </c>
      <c r="T9976" t="str">
        <v>x</v>
      </c>
      <c r="U9976">
        <f>0.006165*F9976^2</f>
        <v>0.39456</v>
      </c>
      <c r="V9976" t="str">
        <v>x</v>
      </c>
      <c r="W9976">
        <f>IF(D9957&gt;4*G9955,ROUND(MAX(D9957/4,2*G9955)/H9976,0)+1,0)</f>
        <v>9</v>
      </c>
      <c r="X9976" t="str">
        <v>x</v>
      </c>
      <c r="Y9976">
        <f>D9960</f>
        <v>1</v>
      </c>
      <c r="Z9976" t="str">
        <v>=</v>
      </c>
      <c r="AA9976">
        <f>N9976*U9976*W9976*Y9976</f>
        <v>2.9473632000000003</v>
      </c>
    </row>
    <row r="9978">
      <c r="A9978" t="str">
        <f>A9954</f>
        <v>Lantai Attic</v>
      </c>
      <c r="B9978">
        <f>B9954</f>
        <v>68</v>
      </c>
      <c r="C9978" t="str">
        <v>Kait Horizontal Tump.</v>
      </c>
      <c r="D9978">
        <f>VLOOKUP(D9954,'Detail Balok'!$C$10:$BJ$110,46,FALSE)</f>
        <v>0</v>
      </c>
      <c r="E9978" t="str">
        <v>D</v>
      </c>
      <c r="F9978">
        <f>VLOOKUP(D9954,'Detail Balok'!$C$10:$BJ$110,48,FALSE)</f>
        <v>0</v>
      </c>
      <c r="G9978" t="str">
        <v>-</v>
      </c>
      <c r="H9978">
        <f>VLOOKUP(D9954,'Detail Balok'!$C$10:$BJ$110,50,FALSE)</f>
        <v>100</v>
      </c>
      <c r="J9978">
        <f>(D9955-2*F$5)/1000</f>
        <v>0.12</v>
      </c>
      <c r="K9978" t="str">
        <v>+</v>
      </c>
      <c r="L9978">
        <f>IF(D9978=0,2*MAX(6*F9978,75),(D9978-1)*2*MAX(6*F9978,75))/1000</f>
        <v>0.15</v>
      </c>
      <c r="M9978" t="str">
        <v>=</v>
      </c>
      <c r="N9978">
        <f>J9978+L9978</f>
        <v>0.27</v>
      </c>
      <c r="T9978" t="str">
        <v>x</v>
      </c>
      <c r="U9978">
        <f>0.006165*F9978^2</f>
        <v>0</v>
      </c>
      <c r="V9978" t="str">
        <v>x</v>
      </c>
      <c r="W9978">
        <f>W9974</f>
        <v>9</v>
      </c>
      <c r="X9978" t="str">
        <v>x</v>
      </c>
      <c r="Y9978">
        <f>D9964</f>
        <v>0</v>
      </c>
      <c r="Z9978" t="str">
        <v>=</v>
      </c>
      <c r="AA9978">
        <f>N9978*U9978*W9978*Y9978</f>
        <v>0</v>
      </c>
    </row>
    <row r="9979">
      <c r="A9979" t="str">
        <f>A9954</f>
        <v>Lantai Attic</v>
      </c>
      <c r="B9979">
        <f>B9954</f>
        <v>68</v>
      </c>
      <c r="C9979" t="str">
        <v>Kait Horizontal Lap.</v>
      </c>
      <c r="D9979">
        <f>VLOOKUP(D9954,'Detail Balok'!$C$10:$BJ$110,51,FALSE)</f>
        <v>0</v>
      </c>
      <c r="E9979" t="str">
        <v>D</v>
      </c>
      <c r="F9979">
        <f>VLOOKUP(D9954,'Detail Balok'!$C$10:$BJ$110,53,FALSE)</f>
        <v>0</v>
      </c>
      <c r="G9979" t="str">
        <v>-</v>
      </c>
      <c r="H9979">
        <f>VLOOKUP(D9954,'Detail Balok'!$C$10:$BJ$110,55,FALSE)</f>
        <v>100</v>
      </c>
      <c r="J9979">
        <f>(D9955-2*F$5)/1000</f>
        <v>0.12</v>
      </c>
      <c r="K9979" t="str">
        <v>+</v>
      </c>
      <c r="L9979">
        <f>IF(D9979=0,2*MAX(6*F9979,75),(D9979-1)*2*MAX(6*F9979,75))/1000</f>
        <v>0.15</v>
      </c>
      <c r="M9979" t="str">
        <v>=</v>
      </c>
      <c r="N9979">
        <f>J9979+L9979</f>
        <v>0.27</v>
      </c>
      <c r="T9979" t="str">
        <v>x</v>
      </c>
      <c r="U9979">
        <f>0.006165*F9979^2</f>
        <v>0</v>
      </c>
      <c r="V9979" t="str">
        <v>x</v>
      </c>
      <c r="W9979">
        <f>W9975</f>
        <v>11</v>
      </c>
      <c r="X9979" t="str">
        <v>x</v>
      </c>
      <c r="Y9979">
        <f>D9964</f>
        <v>0</v>
      </c>
      <c r="Z9979" t="str">
        <v>=</v>
      </c>
      <c r="AA9979">
        <f>N9979*U9979*W9979*Y9979</f>
        <v>0</v>
      </c>
    </row>
    <row r="9980">
      <c r="A9980" t="str">
        <f>A9954</f>
        <v>Lantai Attic</v>
      </c>
      <c r="B9980">
        <f>B9954</f>
        <v>68</v>
      </c>
      <c r="C9980" t="str">
        <v>Kait Horizontal Tump.</v>
      </c>
      <c r="D9980">
        <f>VLOOKUP(D9954,'Detail Balok'!$C$10:$BJ$110,56,FALSE)</f>
        <v>0</v>
      </c>
      <c r="E9980" t="str">
        <v>D</v>
      </c>
      <c r="F9980">
        <f>VLOOKUP(D9954,'Detail Balok'!$C$10:$BJ$110,58,FALSE)</f>
        <v>0</v>
      </c>
      <c r="G9980" t="str">
        <v>-</v>
      </c>
      <c r="H9980">
        <f>VLOOKUP(D9954,'Detail Balok'!$C$10:$BJ$110,60,FALSE)</f>
        <v>100</v>
      </c>
      <c r="J9980">
        <f>(D9955-2*F$5)/1000</f>
        <v>0.12</v>
      </c>
      <c r="K9980" t="str">
        <v>+</v>
      </c>
      <c r="L9980">
        <f>IF(D9980=0,2*MAX(6*F9980,75),(D9980-1)*2*MAX(6*F9980,75))/1000</f>
        <v>0.15</v>
      </c>
      <c r="M9980" t="str">
        <v>=</v>
      </c>
      <c r="N9980">
        <f>J9980+L9980</f>
        <v>0.27</v>
      </c>
      <c r="T9980" t="str">
        <v>x</v>
      </c>
      <c r="U9980">
        <f>0.006165*F9980^2</f>
        <v>0</v>
      </c>
      <c r="V9980" t="str">
        <v>x</v>
      </c>
      <c r="W9980">
        <f>W9976</f>
        <v>9</v>
      </c>
      <c r="X9980" t="str">
        <v>x</v>
      </c>
      <c r="Y9980">
        <f>D9964</f>
        <v>0</v>
      </c>
      <c r="Z9980" t="str">
        <v>=</v>
      </c>
      <c r="AA9980">
        <f>N9980*U9980*W9980*Y9980</f>
        <v>0</v>
      </c>
    </row>
    <row r="9984">
      <c r="A9984" t="str">
        <f>A9954</f>
        <v>Lantai Attic</v>
      </c>
      <c r="B9984">
        <f>B9954+1</f>
        <v>69</v>
      </c>
      <c r="C9984" t="str">
        <f>CONCATENATE(A9984," no. ",B9984)</f>
        <v>Lantai Attic no. 69</v>
      </c>
      <c r="D9984" t="str">
        <f>VLOOKUP(C9984,'Data Panjang Balok'!$C$9:$N$424,2,FALSE)</f>
        <v>CL26-1</v>
      </c>
    </row>
    <row r="9985">
      <c r="C9985" t="str">
        <v>Dimensi</v>
      </c>
      <c r="D9985">
        <f>VLOOKUP(D9984,'Detail Balok'!$C$10:$AU$110,2,FALSE)</f>
        <v>200</v>
      </c>
      <c r="F9985" t="str">
        <v>x</v>
      </c>
      <c r="G9985">
        <f>VLOOKUP(D9984,'Detail Balok'!$C$10:$AU$110,3,FALSE)</f>
        <v>600</v>
      </c>
    </row>
    <row r="9986">
      <c r="C9986" t="str">
        <v>Panjang as ke as</v>
      </c>
      <c r="D9986">
        <f>VLOOKUP(C9984,'Data Panjang Balok'!$C$9:$N$424,4,FALSE)</f>
        <v>1035</v>
      </c>
    </row>
    <row r="9987">
      <c r="C9987" t="str">
        <v>Panjang netto</v>
      </c>
      <c r="D9987">
        <f>VLOOKUP(C9984,'Data Panjang Balok'!$C$9:$N$424,7,FALSE)</f>
        <v>1035</v>
      </c>
    </row>
    <row r="9988">
      <c r="C9988" t="str">
        <v>Kolom / balok kiri</v>
      </c>
      <c r="D9988">
        <f>VLOOKUP(C9984,'Data Panjang Balok'!$C$9:$N$424,9,FALSE)</f>
        <v>0</v>
      </c>
    </row>
    <row r="9989">
      <c r="C9989" t="str">
        <v>Kolom / balok kanan</v>
      </c>
      <c r="D9989">
        <f>VLOOKUP(C9984,'Data Panjang Balok'!$C$9:$N$424,10,FALSE)</f>
        <v>0</v>
      </c>
    </row>
    <row r="9990">
      <c r="C9990" t="str">
        <v>Jumlah</v>
      </c>
      <c r="D9990">
        <f>VLOOKUP(C9984,'Data Panjang Balok'!$C$9:$N$424,3,FALSE)</f>
        <v>1</v>
      </c>
    </row>
    <row r="9991">
      <c r="A9991" t="str">
        <f>A9984</f>
        <v>Lantai Attic</v>
      </c>
      <c r="B9991">
        <f>B9984</f>
        <v>69</v>
      </c>
      <c r="C9991" t="str">
        <v>Tul Atas Tumpuan</v>
      </c>
      <c r="D9991">
        <f>VLOOKUP(D9984,'Detail Balok'!$C$10:$AU$110,4,FALSE)</f>
        <v>5</v>
      </c>
      <c r="E9991" t="str">
        <v>D</v>
      </c>
      <c r="F9991">
        <f>VLOOKUP(D9984,'Detail Balok'!$C$10:$AU$110,6,FALSE)</f>
        <v>16</v>
      </c>
      <c r="I9991" t="str">
        <v>(</v>
      </c>
      <c r="J9991">
        <f>+D9986/4/1000</f>
        <v>0.25875</v>
      </c>
      <c r="K9991" t="str">
        <v>+</v>
      </c>
      <c r="L9991">
        <f>MAX(VLOOKUP(F9991,N$6:P$15,3,FALSE)/1000,2/3*D9988/1000)+F$16*F9991/1000</f>
        <v>0.192</v>
      </c>
      <c r="M9991" t="str">
        <v>=</v>
      </c>
      <c r="N9991">
        <f>J9991+L9991</f>
        <v>0.45075</v>
      </c>
      <c r="O9991" t="str">
        <v>+</v>
      </c>
      <c r="P9991">
        <f>D9991-D9992</f>
        <v>2</v>
      </c>
      <c r="Q9991" t="str">
        <v>x</v>
      </c>
      <c r="R9991">
        <f>IF(P9991&gt;0,$F$18*F9991/1000,0)</f>
        <v>0.24</v>
      </c>
      <c r="S9991" t="str">
        <v>)</v>
      </c>
      <c r="T9991" t="str">
        <v>x</v>
      </c>
      <c r="U9991">
        <f>0.006165*F9991^2</f>
        <v>1.57824</v>
      </c>
      <c r="X9991" t="str">
        <v>x</v>
      </c>
      <c r="Y9991">
        <f>D9990</f>
        <v>1</v>
      </c>
      <c r="Z9991" t="str">
        <v>=</v>
      </c>
      <c r="AA9991">
        <f>IF(AA9994=0,(D9991*N9991+P9991*R9991)*U9991*Y9991,0)</f>
        <v>4.314513600000001</v>
      </c>
    </row>
    <row r="9992">
      <c r="A9992" t="str">
        <f>A9984</f>
        <v>Lantai Attic</v>
      </c>
      <c r="B9992">
        <f>B9984</f>
        <v>69</v>
      </c>
      <c r="C9992" t="str">
        <v>Tul Atas Lapangan</v>
      </c>
      <c r="D9992">
        <f>VLOOKUP(D9984,'Detail Balok'!$C$10:$AU$110,7,FALSE)</f>
        <v>3</v>
      </c>
      <c r="E9992" t="str">
        <v>D</v>
      </c>
      <c r="F9992">
        <f>VLOOKUP(D9984,'Detail Balok'!$C$10:$AU$110,9,FALSE)</f>
        <v>16</v>
      </c>
      <c r="I9992" t="str">
        <v>(</v>
      </c>
      <c r="J9992">
        <f>+D9986/2/1000</f>
        <v>0.5175</v>
      </c>
      <c r="K9992" t="str">
        <v>+</v>
      </c>
      <c r="M9992" t="str">
        <v>=</v>
      </c>
      <c r="N9992">
        <f>J9992+L9992</f>
        <v>0.5175</v>
      </c>
      <c r="O9992" t="str">
        <v>+</v>
      </c>
      <c r="P9992">
        <f>MAX(D9992-D9991,D9992-D9993)</f>
        <v>-2</v>
      </c>
      <c r="Q9992" t="str">
        <v>x</v>
      </c>
      <c r="R9992">
        <f>IF(P9992&gt;0,2*(1-2*$F$19-1/2)*D9987/1000,0)</f>
        <v>0</v>
      </c>
      <c r="S9992" t="str">
        <v>)</v>
      </c>
      <c r="T9992" t="str">
        <v>x</v>
      </c>
      <c r="U9992">
        <f>0.006165*F9992^2</f>
        <v>1.57824</v>
      </c>
      <c r="X9992" t="str">
        <v>x</v>
      </c>
      <c r="Y9992">
        <f>D9990</f>
        <v>1</v>
      </c>
      <c r="Z9992" t="str">
        <v>=</v>
      </c>
      <c r="AA9992">
        <f>IF(AA9994=0,(D9992*N9992+P9992*R9992)*U9992*Y9992,0)</f>
        <v>2.4502175999999998</v>
      </c>
    </row>
    <row r="9993">
      <c r="A9993" t="str">
        <f>A9984</f>
        <v>Lantai Attic</v>
      </c>
      <c r="B9993">
        <f>B9984</f>
        <v>69</v>
      </c>
      <c r="C9993" t="str">
        <v>Tul Atas Tumpuan</v>
      </c>
      <c r="D9993">
        <f>VLOOKUP(D9984,'Detail Balok'!$C$10:$AU$110,10,FALSE)</f>
        <v>5</v>
      </c>
      <c r="E9993" t="str">
        <v>D</v>
      </c>
      <c r="F9993">
        <f>VLOOKUP(D9984,'Detail Balok'!$C$10:$AU$110,12,FALSE)</f>
        <v>16</v>
      </c>
      <c r="I9993" t="str">
        <v>(</v>
      </c>
      <c r="J9993">
        <f>+D9986/4/1000</f>
        <v>0.25875</v>
      </c>
      <c r="K9993" t="str">
        <v>+</v>
      </c>
      <c r="L9993">
        <f>MAX(VLOOKUP(F9993,N$6:P$15,3,FALSE)/1000,2/3*D9988/1000)+F$16*F9993/1000</f>
        <v>0.192</v>
      </c>
      <c r="M9993" t="str">
        <v>=</v>
      </c>
      <c r="N9993">
        <f>J9993+L9993</f>
        <v>0.45075</v>
      </c>
      <c r="O9993" t="str">
        <v>+</v>
      </c>
      <c r="P9993">
        <f>D9993-D9992</f>
        <v>2</v>
      </c>
      <c r="Q9993" t="str">
        <v>x</v>
      </c>
      <c r="R9993">
        <f>IF(P9993&gt;0,$F$18*F9993/1000,0)</f>
        <v>0.24</v>
      </c>
      <c r="S9993" t="str">
        <v>)</v>
      </c>
      <c r="T9993" t="str">
        <v>x</v>
      </c>
      <c r="U9993">
        <f>0.006165*F9993^2</f>
        <v>1.57824</v>
      </c>
      <c r="X9993" t="str">
        <v>x</v>
      </c>
      <c r="Y9993">
        <f>D9990</f>
        <v>1</v>
      </c>
      <c r="Z9993" t="str">
        <v>=</v>
      </c>
      <c r="AA9993">
        <f>IF(AA9994=0,(D9993*N9993+P9993*R9993)*U9993*Y9993,0)</f>
        <v>4.314513600000001</v>
      </c>
    </row>
    <row r="9994">
      <c r="A9994" t="str">
        <f>A9984</f>
        <v>Lantai Attic</v>
      </c>
      <c r="B9994">
        <f>B9984</f>
        <v>69</v>
      </c>
      <c r="D9994">
        <f>IF(AND(D9991=D9992,D9992=D9993,D9991=D9993),D9991,0)</f>
        <v>0</v>
      </c>
      <c r="E9994" t="str">
        <v>D</v>
      </c>
      <c r="F9994">
        <f>IF(AND(F9991=F9992,F9991=F9993,F9992=F9993),F9991,0)</f>
        <v>16</v>
      </c>
      <c r="L9994" t="str">
        <v>Total panjang per balok</v>
      </c>
      <c r="M9994" t="str">
        <v>=</v>
      </c>
      <c r="N9994">
        <f>IF(AND(D9991=D9992,D9991=D9993,D9992=D9993,F9991=F9992,F9991=F9993,F9992=F9993),SUM(N9991:N9993),0)</f>
        <v>0</v>
      </c>
      <c r="O9994" t="str">
        <v>+</v>
      </c>
      <c r="P9994">
        <f>IF(N9994&gt;12,ROUNDDOWN(N9994/12,0),0)</f>
        <v>0</v>
      </c>
      <c r="Q9994" t="str">
        <v>x</v>
      </c>
      <c r="R9994">
        <f>IF(P9994&gt;0,MAX(VLOOKUP(F9994,$D$6:$G$15,3,FALSE),600),0)/1000</f>
        <v>0</v>
      </c>
      <c r="T9994" t="str">
        <v>x</v>
      </c>
      <c r="U9994">
        <f>U9993</f>
        <v>1.57824</v>
      </c>
      <c r="V9994" t="str">
        <v>x</v>
      </c>
      <c r="W9994">
        <f>D9994</f>
        <v>0</v>
      </c>
      <c r="X9994" t="str">
        <v>x</v>
      </c>
      <c r="Y9994">
        <f>Y9993</f>
        <v>1</v>
      </c>
      <c r="Z9994" t="str">
        <v>=</v>
      </c>
      <c r="AA9994">
        <f>(N9994+P9994*R9994/1000)*U9994*W9994*Y9994</f>
        <v>0</v>
      </c>
    </row>
    <row r="9996">
      <c r="A9996" t="str">
        <f>A9984</f>
        <v>Lantai Attic</v>
      </c>
      <c r="B9996">
        <f>B9984</f>
        <v>69</v>
      </c>
      <c r="C9996" t="str">
        <v>Tul Peminggang</v>
      </c>
      <c r="D9996">
        <f>VLOOKUP(D9984,'Detail Balok'!$C$10:$AU$110,13,FALSE)</f>
        <v>2</v>
      </c>
      <c r="E9996" t="str">
        <v>D</v>
      </c>
      <c r="F9996">
        <f>VLOOKUP(D9984,'Detail Balok'!$C$10:$AU$110,15,FALSE)</f>
        <v>10</v>
      </c>
      <c r="J9996">
        <f>+D9986/1000</f>
        <v>1.035</v>
      </c>
      <c r="K9996" t="str">
        <v>+</v>
      </c>
      <c r="L9996">
        <f>2*$F$16*F9996/1000</f>
        <v>0.24</v>
      </c>
      <c r="M9996" t="str">
        <v>=</v>
      </c>
      <c r="N9996">
        <f>J9996+L9996</f>
        <v>1.275</v>
      </c>
      <c r="O9996" t="str">
        <v>+</v>
      </c>
      <c r="P9996">
        <f>IF(N9996&gt;12,ROUNDDOWN(N9996/12,0),0)</f>
        <v>0</v>
      </c>
      <c r="Q9996" t="str">
        <v>x</v>
      </c>
      <c r="R9996">
        <f>IF(P9996&gt;0,MAX(VLOOKUP(F9996,$D$6:$G$15,3,FALSE),600),0)/1000</f>
        <v>0</v>
      </c>
      <c r="T9996" t="str">
        <v>x</v>
      </c>
      <c r="U9996">
        <f>0.006165*F9996^2</f>
        <v>0.6165</v>
      </c>
      <c r="V9996" t="str">
        <v>x</v>
      </c>
      <c r="W9996">
        <f>+D9996</f>
        <v>2</v>
      </c>
      <c r="X9996" t="str">
        <v>x</v>
      </c>
      <c r="Y9996">
        <f>D9990</f>
        <v>1</v>
      </c>
      <c r="Z9996" t="str">
        <v>=</v>
      </c>
      <c r="AA9996">
        <f>(N9996+P9996*R9996/1000)*U9996*W9996*Y9996</f>
        <v>1.5720750000000001</v>
      </c>
    </row>
    <row r="9999">
      <c r="A9999" t="str">
        <f>A9984</f>
        <v>Lantai Attic</v>
      </c>
      <c r="B9999">
        <f>B9984</f>
        <v>69</v>
      </c>
      <c r="C9999" t="str">
        <v>Tul Bawah Tumpuan</v>
      </c>
      <c r="D9999">
        <f>VLOOKUP(D9984,'Detail Balok'!$C$10:$AU$110,22,FALSE)</f>
        <v>3</v>
      </c>
      <c r="E9999" t="str">
        <v>D</v>
      </c>
      <c r="F9999">
        <f>VLOOKUP(D9984,'Detail Balok'!$C$10:$AU$110,24,FALSE)</f>
        <v>16</v>
      </c>
      <c r="I9999" t="str">
        <v>(</v>
      </c>
      <c r="J9999">
        <f>+J9991</f>
        <v>0.25875</v>
      </c>
      <c r="K9999" t="str">
        <v>+</v>
      </c>
      <c r="L9999">
        <f>MAX(VLOOKUP(F9999,N$6:P$15,3,FALSE)/1000,2/3*D9989/1000)+F$16*F9999/1000</f>
        <v>0.192</v>
      </c>
      <c r="M9999" t="str">
        <v>=</v>
      </c>
      <c r="N9999">
        <f>J9999+L9999</f>
        <v>0.45075</v>
      </c>
      <c r="O9999" t="str">
        <v>+</v>
      </c>
      <c r="P9999">
        <f>D9999-D10000</f>
        <v>0</v>
      </c>
      <c r="Q9999" t="str">
        <v>x</v>
      </c>
      <c r="R9999">
        <f>IF(P9999&gt;0,$F$18*F9999/1000,0)</f>
        <v>0</v>
      </c>
      <c r="S9999" t="str">
        <v>)</v>
      </c>
      <c r="T9999" t="str">
        <v>x</v>
      </c>
      <c r="U9999">
        <f>0.006165*F9999^2</f>
        <v>1.57824</v>
      </c>
      <c r="X9999" t="str">
        <v>x</v>
      </c>
      <c r="Y9999">
        <f>D9990</f>
        <v>1</v>
      </c>
      <c r="Z9999" t="str">
        <v>=</v>
      </c>
      <c r="AA9999">
        <f>IF(AA10002=0,(D9999*N9999+P9999*R9999)*U9999*Y9999,0)</f>
        <v>0</v>
      </c>
    </row>
    <row r="10000">
      <c r="A10000" t="str">
        <f>A9984</f>
        <v>Lantai Attic</v>
      </c>
      <c r="B10000">
        <f>B9984</f>
        <v>69</v>
      </c>
      <c r="C10000" t="str">
        <v>Tul Bawah Lapangan</v>
      </c>
      <c r="D10000">
        <f>VLOOKUP(D9984,'Detail Balok'!$C$10:$AU$110,25,FALSE)</f>
        <v>3</v>
      </c>
      <c r="E10000" t="str">
        <v>D</v>
      </c>
      <c r="F10000">
        <f>VLOOKUP(D9984,'Detail Balok'!$C$10:$AU$110,27,FALSE)</f>
        <v>16</v>
      </c>
      <c r="I10000" t="str">
        <v>(</v>
      </c>
      <c r="J10000">
        <f>+J9992</f>
        <v>0.5175</v>
      </c>
      <c r="K10000" t="str">
        <v>+</v>
      </c>
      <c r="M10000" t="str">
        <v>=</v>
      </c>
      <c r="N10000">
        <f>J10000+L10000</f>
        <v>0.5175</v>
      </c>
      <c r="O10000" t="str">
        <v>+</v>
      </c>
      <c r="P10000">
        <f>MAX(D10000-D9999,D10000-D10001)</f>
        <v>0</v>
      </c>
      <c r="Q10000" t="str">
        <v>x</v>
      </c>
      <c r="R10000">
        <f>IF(P10000&gt;0,2*(1-2*$F$19-1/2)*D9987/1000,0)</f>
        <v>0</v>
      </c>
      <c r="S10000" t="str">
        <v>)</v>
      </c>
      <c r="T10000" t="str">
        <v>x</v>
      </c>
      <c r="U10000">
        <f>0.006165*F10000^2</f>
        <v>1.57824</v>
      </c>
      <c r="X10000" t="str">
        <v>x</v>
      </c>
      <c r="Y10000">
        <f>D9990</f>
        <v>1</v>
      </c>
      <c r="Z10000" t="str">
        <v>=</v>
      </c>
      <c r="AA10000">
        <f>IF(AA10002=0,(D10000*N10000+P10000*R10000)*U10000*Y10000,0)</f>
        <v>0</v>
      </c>
    </row>
    <row r="10001">
      <c r="A10001" t="str">
        <f>A9984</f>
        <v>Lantai Attic</v>
      </c>
      <c r="B10001">
        <f>B9984</f>
        <v>69</v>
      </c>
      <c r="C10001" t="str">
        <v>Tul Bawah Tumpuan</v>
      </c>
      <c r="D10001">
        <f>VLOOKUP(D9984,'Detail Balok'!$C$10:$AU$110,28,FALSE)</f>
        <v>3</v>
      </c>
      <c r="E10001" t="str">
        <v>D</v>
      </c>
      <c r="F10001">
        <f>VLOOKUP(D9984,'Detail Balok'!$C$10:$AU$110,30,FALSE)</f>
        <v>16</v>
      </c>
      <c r="I10001" t="str">
        <v>(</v>
      </c>
      <c r="J10001">
        <f>+J9993</f>
        <v>0.25875</v>
      </c>
      <c r="K10001" t="str">
        <v>+</v>
      </c>
      <c r="L10001">
        <f>MAX(VLOOKUP(F10001,N$6:P$15,3,FALSE)/1000,2/3*D9989/1000)+F$16*F10001/1000</f>
        <v>0.192</v>
      </c>
      <c r="M10001" t="str">
        <v>=</v>
      </c>
      <c r="N10001">
        <f>J10001+L10001</f>
        <v>0.45075</v>
      </c>
      <c r="O10001" t="str">
        <v>+</v>
      </c>
      <c r="P10001">
        <f>D10001-D10000</f>
        <v>0</v>
      </c>
      <c r="Q10001" t="str">
        <v>x</v>
      </c>
      <c r="R10001">
        <f>IF(P10001&gt;0,$F$18*F10001/1000,0)</f>
        <v>0</v>
      </c>
      <c r="S10001" t="str">
        <v>)</v>
      </c>
      <c r="T10001" t="str">
        <v>x</v>
      </c>
      <c r="U10001">
        <f>0.006165*F10001^2</f>
        <v>1.57824</v>
      </c>
      <c r="X10001" t="str">
        <v>x</v>
      </c>
      <c r="Y10001">
        <f>D9990</f>
        <v>1</v>
      </c>
      <c r="Z10001" t="str">
        <v>=</v>
      </c>
      <c r="AA10001">
        <f>IF(AA10002=0,(D10001*N10001+P10001*R10001)*U10001*Y10001,0)</f>
        <v>0</v>
      </c>
    </row>
    <row r="10002">
      <c r="A10002" t="str">
        <f>A9984</f>
        <v>Lantai Attic</v>
      </c>
      <c r="B10002">
        <f>B9984</f>
        <v>69</v>
      </c>
      <c r="D10002">
        <f>IF(AND(D9999=D10000,D10000=D10001,D9999=D10001),D9999,0)</f>
        <v>3</v>
      </c>
      <c r="E10002" t="str">
        <v>D</v>
      </c>
      <c r="F10002">
        <f>IF(AND(F9999=F10000,F9999=F10001,F10000=F10001),F9999,0)</f>
        <v>16</v>
      </c>
      <c r="L10002" t="str">
        <v>Total panjang per balok</v>
      </c>
      <c r="M10002" t="str">
        <v>=</v>
      </c>
      <c r="N10002">
        <f>IF(AND(D9999=D10000,D9999=D10001,D10000=D10001,F9999=F10000,F9999=F10001,F10000=F10001),SUM(N9999:N10001),0)</f>
        <v>1.419</v>
      </c>
      <c r="O10002" t="str">
        <v>+</v>
      </c>
      <c r="P10002">
        <f>IF(N10002&gt;12,ROUNDDOWN(N10002/12,0),0)</f>
        <v>0</v>
      </c>
      <c r="Q10002" t="str">
        <v>x</v>
      </c>
      <c r="R10002">
        <f>IF(P10002&gt;0,MAX(VLOOKUP(F10002,$D$6:$G$15,3,FALSE),600),0)/1000</f>
        <v>0</v>
      </c>
      <c r="T10002" t="str">
        <v>x</v>
      </c>
      <c r="U10002">
        <f>U10001</f>
        <v>1.57824</v>
      </c>
      <c r="V10002" t="str">
        <v>x</v>
      </c>
      <c r="W10002">
        <f>D10002</f>
        <v>3</v>
      </c>
      <c r="X10002" t="str">
        <v>x</v>
      </c>
      <c r="Y10002">
        <f>Y10001</f>
        <v>1</v>
      </c>
      <c r="Z10002" t="str">
        <v>=</v>
      </c>
      <c r="AA10002">
        <f>(N10002+P10002*R10002/1000)*U10002*W10002*Y10002</f>
        <v>6.7185676800000005</v>
      </c>
    </row>
    <row r="10004">
      <c r="A10004" t="str">
        <f>A9984</f>
        <v>Lantai Attic</v>
      </c>
      <c r="B10004">
        <f>B9984</f>
        <v>69</v>
      </c>
      <c r="C10004" t="str">
        <v>Sengkang Tumpuan</v>
      </c>
      <c r="D10004">
        <f>VLOOKUP(D9984,'Detail Balok'!$C$10:$AU$110,31,FALSE)</f>
        <v>0</v>
      </c>
      <c r="E10004" t="str">
        <v>D</v>
      </c>
      <c r="F10004">
        <f>VLOOKUP(D9984,'Detail Balok'!$C$10:$AU$110,33,FALSE)</f>
        <v>10</v>
      </c>
      <c r="G10004" t="str">
        <v>-</v>
      </c>
      <c r="H10004">
        <f>VLOOKUP(D9984,'Detail Balok'!$C$10:$AU$110,35,FALSE)</f>
        <v>150</v>
      </c>
      <c r="J10004">
        <f>(IF(D10004=0,(2*(D9985+G9985))-(F$5*8),IF(D10004=3,(2*(D9985+G9985))-(F$5*8)+(G9985-2*F$5),IF(D10004=4,(2*(D9985+G9985))-(F$5*8)+2*(G9985-2*F$5)))))/1000</f>
        <v>1.28</v>
      </c>
      <c r="K10004" t="str">
        <v>+</v>
      </c>
      <c r="L10004">
        <f>IF(D10004=0,2*MAX(6*F10004,75),(D10004-1)*2*MAX(6*F10004,75))/1000</f>
        <v>0.15</v>
      </c>
      <c r="M10004" t="str">
        <v>=</v>
      </c>
      <c r="N10004">
        <f>J10004+L10004</f>
        <v>1.43</v>
      </c>
      <c r="T10004" t="str">
        <v>x</v>
      </c>
      <c r="U10004">
        <f>0.006165*F10004^2</f>
        <v>0.6165</v>
      </c>
      <c r="V10004" t="str">
        <v>x</v>
      </c>
      <c r="W10004">
        <f>IF(D9987&gt;4*G9985,ROUND(MAX(D9987/4,2*G9985)/H10004,0)+1,ROUND(D9987/H10004,0)+1)</f>
        <v>8</v>
      </c>
      <c r="X10004" t="str">
        <v>x</v>
      </c>
      <c r="Y10004">
        <f>D9990</f>
        <v>1</v>
      </c>
      <c r="Z10004" t="str">
        <v>=</v>
      </c>
      <c r="AA10004">
        <f>N10004*U10004*W10004*Y10004</f>
        <v>7.05276</v>
      </c>
    </row>
    <row r="10005">
      <c r="A10005" t="str">
        <f>A9984</f>
        <v>Lantai Attic</v>
      </c>
      <c r="B10005">
        <f>B9984</f>
        <v>69</v>
      </c>
      <c r="C10005" t="str">
        <v>Sengkang Lapangan</v>
      </c>
      <c r="D10005">
        <f>VLOOKUP(D9984,'Detail Balok'!$C$10:$AU$110,36,FALSE)</f>
        <v>0</v>
      </c>
      <c r="E10005" t="str">
        <v>D</v>
      </c>
      <c r="F10005">
        <f>VLOOKUP(D9984,'Detail Balok'!$C$10:$AU$110,38,FALSE)</f>
        <v>10</v>
      </c>
      <c r="G10005" t="str">
        <v>-</v>
      </c>
      <c r="H10005">
        <f>VLOOKUP(D9984,'Detail Balok'!$C$10:$AU$110,40,FALSE)</f>
        <v>150</v>
      </c>
      <c r="J10005">
        <f>(IF(D10005=0,(2*(D9985+G9985))-(F$5*8),IF(D10005=3,(2*(D9985+G9985))-(F$5*8)+(G9985-2*F$5),IF(D10005=4,(2*(D9985+G9985))-(F$5*8)+2*(G9985-2*F$5)))))/1000</f>
        <v>1.28</v>
      </c>
      <c r="K10005" t="str">
        <v>+</v>
      </c>
      <c r="L10005">
        <f>IF(D10005=0,2*MAX(6*F10005,75),(D10005-1)*2*MAX(6*F10005,75))/1000</f>
        <v>0.15</v>
      </c>
      <c r="M10005" t="str">
        <v>=</v>
      </c>
      <c r="N10005">
        <f>J10005+L10005</f>
        <v>1.43</v>
      </c>
      <c r="T10005" t="str">
        <v>x</v>
      </c>
      <c r="U10005">
        <f>0.006165*F10005^2</f>
        <v>0.6165</v>
      </c>
      <c r="V10005" t="str">
        <v>x</v>
      </c>
      <c r="W10005">
        <f>IF(D9987-MAX(D9987/4,2*G9985)*2&gt;0,ROUND((D9987-MAX(D9987/4,2*G9985)*2)/H10005,0),0)</f>
        <v>0</v>
      </c>
      <c r="X10005" t="str">
        <v>x</v>
      </c>
      <c r="Y10005">
        <f>D9990</f>
        <v>1</v>
      </c>
      <c r="Z10005" t="str">
        <v>=</v>
      </c>
      <c r="AA10005">
        <f>N10005*U10005*W10005*Y10005</f>
        <v>0</v>
      </c>
    </row>
    <row r="10006">
      <c r="A10006" t="str">
        <f>A9984</f>
        <v>Lantai Attic</v>
      </c>
      <c r="B10006">
        <f>B9984</f>
        <v>69</v>
      </c>
      <c r="C10006" t="str">
        <v>Sengkang Tumpuan</v>
      </c>
      <c r="D10006">
        <f>VLOOKUP(D9984,'Detail Balok'!$C$10:$AU$110,41,FALSE)</f>
        <v>0</v>
      </c>
      <c r="E10006" t="str">
        <v>D</v>
      </c>
      <c r="F10006">
        <f>VLOOKUP(D9984,'Detail Balok'!$C$10:$AU$110,43,FALSE)</f>
        <v>10</v>
      </c>
      <c r="G10006" t="str">
        <v>-</v>
      </c>
      <c r="H10006">
        <f>VLOOKUP(D9984,'Detail Balok'!$C$10:$AU$110,45,FALSE)</f>
        <v>150</v>
      </c>
      <c r="J10006">
        <f>(IF(D10006=0,(2*(D9985+G9985))-(F$5*8),IF(D10006=3,(2*(D9985+G9985))-(F$5*8)+(G9985-2*F$5),IF(D10006=4,(2*(D9985+G9985))-(F$5*8)+2*(G9985-2*F$5)))))/1000</f>
        <v>1.28</v>
      </c>
      <c r="K10006" t="str">
        <v>+</v>
      </c>
      <c r="L10006">
        <f>IF(D10006=0,2*MAX(6*F10006,75),(D10006-1)*2*MAX(6*F10006,75))/1000</f>
        <v>0.15</v>
      </c>
      <c r="M10006" t="str">
        <v>=</v>
      </c>
      <c r="N10006">
        <f>J10006+L10006</f>
        <v>1.43</v>
      </c>
      <c r="T10006" t="str">
        <v>x</v>
      </c>
      <c r="U10006">
        <f>0.006165*F10006^2</f>
        <v>0.6165</v>
      </c>
      <c r="V10006" t="str">
        <v>x</v>
      </c>
      <c r="W10006">
        <f>IF(D9987&gt;4*G9985,ROUND(MAX(D9987/4,2*G9985)/H10006,0)+1,0)</f>
        <v>0</v>
      </c>
      <c r="X10006" t="str">
        <v>x</v>
      </c>
      <c r="Y10006">
        <f>D9990</f>
        <v>1</v>
      </c>
      <c r="Z10006" t="str">
        <v>=</v>
      </c>
      <c r="AA10006">
        <f>N10006*U10006*W10006*Y10006</f>
        <v>0</v>
      </c>
    </row>
    <row r="10008">
      <c r="A10008" t="str">
        <f>A9984</f>
        <v>Lantai Attic</v>
      </c>
      <c r="B10008">
        <f>B9984</f>
        <v>69</v>
      </c>
      <c r="C10008" t="str">
        <v>Kait Horizontal Tump.</v>
      </c>
      <c r="D10008">
        <f>VLOOKUP(D9984,'Detail Balok'!$C$10:$BJ$110,46,FALSE)</f>
        <v>0</v>
      </c>
      <c r="E10008" t="str">
        <v>D</v>
      </c>
      <c r="F10008">
        <f>VLOOKUP(D9984,'Detail Balok'!$C$10:$BJ$110,48,FALSE)</f>
        <v>0</v>
      </c>
      <c r="G10008" t="str">
        <v>-</v>
      </c>
      <c r="H10008">
        <f>VLOOKUP(D9984,'Detail Balok'!$C$10:$BJ$110,50,FALSE)</f>
        <v>100</v>
      </c>
      <c r="J10008">
        <f>(D9985-2*F$5)/1000</f>
        <v>0.12</v>
      </c>
      <c r="K10008" t="str">
        <v>+</v>
      </c>
      <c r="L10008">
        <f>IF(D10008=0,2*MAX(6*F10008,75),(D10008-1)*2*MAX(6*F10008,75))/1000</f>
        <v>0.15</v>
      </c>
      <c r="M10008" t="str">
        <v>=</v>
      </c>
      <c r="N10008">
        <f>J10008+L10008</f>
        <v>0.27</v>
      </c>
      <c r="T10008" t="str">
        <v>x</v>
      </c>
      <c r="U10008">
        <f>0.006165*F10008^2</f>
        <v>0</v>
      </c>
      <c r="V10008" t="str">
        <v>x</v>
      </c>
      <c r="W10008">
        <f>W10004</f>
        <v>8</v>
      </c>
      <c r="X10008" t="str">
        <v>x</v>
      </c>
      <c r="Y10008">
        <f>D9994</f>
        <v>0</v>
      </c>
      <c r="Z10008" t="str">
        <v>=</v>
      </c>
      <c r="AA10008">
        <f>N10008*U10008*W10008*Y10008</f>
        <v>0</v>
      </c>
    </row>
    <row r="10009">
      <c r="A10009" t="str">
        <f>A9984</f>
        <v>Lantai Attic</v>
      </c>
      <c r="B10009">
        <f>B9984</f>
        <v>69</v>
      </c>
      <c r="C10009" t="str">
        <v>Kait Horizontal Lap.</v>
      </c>
      <c r="D10009">
        <f>VLOOKUP(D9984,'Detail Balok'!$C$10:$BJ$110,51,FALSE)</f>
        <v>0</v>
      </c>
      <c r="E10009" t="str">
        <v>D</v>
      </c>
      <c r="F10009">
        <f>VLOOKUP(D9984,'Detail Balok'!$C$10:$BJ$110,53,FALSE)</f>
        <v>0</v>
      </c>
      <c r="G10009" t="str">
        <v>-</v>
      </c>
      <c r="H10009">
        <f>VLOOKUP(D9984,'Detail Balok'!$C$10:$BJ$110,55,FALSE)</f>
        <v>100</v>
      </c>
      <c r="J10009">
        <f>(D9985-2*F$5)/1000</f>
        <v>0.12</v>
      </c>
      <c r="K10009" t="str">
        <v>+</v>
      </c>
      <c r="L10009">
        <f>IF(D10009=0,2*MAX(6*F10009,75),(D10009-1)*2*MAX(6*F10009,75))/1000</f>
        <v>0.15</v>
      </c>
      <c r="M10009" t="str">
        <v>=</v>
      </c>
      <c r="N10009">
        <f>J10009+L10009</f>
        <v>0.27</v>
      </c>
      <c r="T10009" t="str">
        <v>x</v>
      </c>
      <c r="U10009">
        <f>0.006165*F10009^2</f>
        <v>0</v>
      </c>
      <c r="V10009" t="str">
        <v>x</v>
      </c>
      <c r="W10009">
        <f>W10005</f>
        <v>0</v>
      </c>
      <c r="X10009" t="str">
        <v>x</v>
      </c>
      <c r="Y10009">
        <f>D9994</f>
        <v>0</v>
      </c>
      <c r="Z10009" t="str">
        <v>=</v>
      </c>
      <c r="AA10009">
        <f>N10009*U10009*W10009*Y10009</f>
        <v>0</v>
      </c>
    </row>
    <row r="10010">
      <c r="A10010" t="str">
        <f>A9984</f>
        <v>Lantai Attic</v>
      </c>
      <c r="B10010">
        <f>B9984</f>
        <v>69</v>
      </c>
      <c r="C10010" t="str">
        <v>Kait Horizontal Tump.</v>
      </c>
      <c r="D10010">
        <f>VLOOKUP(D9984,'Detail Balok'!$C$10:$BJ$110,56,FALSE)</f>
        <v>0</v>
      </c>
      <c r="E10010" t="str">
        <v>D</v>
      </c>
      <c r="F10010">
        <f>VLOOKUP(D9984,'Detail Balok'!$C$10:$BJ$110,58,FALSE)</f>
        <v>0</v>
      </c>
      <c r="G10010" t="str">
        <v>-</v>
      </c>
      <c r="H10010">
        <f>VLOOKUP(D9984,'Detail Balok'!$C$10:$BJ$110,60,FALSE)</f>
        <v>100</v>
      </c>
      <c r="J10010">
        <f>(D9985-2*F$5)/1000</f>
        <v>0.12</v>
      </c>
      <c r="K10010" t="str">
        <v>+</v>
      </c>
      <c r="L10010">
        <f>IF(D10010=0,2*MAX(6*F10010,75),(D10010-1)*2*MAX(6*F10010,75))/1000</f>
        <v>0.15</v>
      </c>
      <c r="M10010" t="str">
        <v>=</v>
      </c>
      <c r="N10010">
        <f>J10010+L10010</f>
        <v>0.27</v>
      </c>
      <c r="T10010" t="str">
        <v>x</v>
      </c>
      <c r="U10010">
        <f>0.006165*F10010^2</f>
        <v>0</v>
      </c>
      <c r="V10010" t="str">
        <v>x</v>
      </c>
      <c r="W10010">
        <f>W10006</f>
        <v>0</v>
      </c>
      <c r="X10010" t="str">
        <v>x</v>
      </c>
      <c r="Y10010">
        <f>D9994</f>
        <v>0</v>
      </c>
      <c r="Z10010" t="str">
        <v>=</v>
      </c>
      <c r="AA10010">
        <f>N10010*U10010*W10010*Y10010</f>
        <v>0</v>
      </c>
    </row>
    <row r="10014">
      <c r="A10014" t="str">
        <f>A9984</f>
        <v>Lantai Attic</v>
      </c>
      <c r="B10014">
        <f>B9984+1</f>
        <v>70</v>
      </c>
      <c r="C10014" t="str">
        <f>CONCATENATE(A10014," no. ",B10014)</f>
        <v>Lantai Attic no. 70</v>
      </c>
      <c r="D10014" t="str">
        <f>VLOOKUP(C10014,'Data Panjang Balok'!$C$9:$N$424,2,FALSE)</f>
        <v>B25-2</v>
      </c>
    </row>
    <row r="10015">
      <c r="C10015" t="str">
        <v>Dimensi</v>
      </c>
      <c r="D10015">
        <f>VLOOKUP(D10014,'Detail Balok'!$C$10:$AU$110,2,FALSE)</f>
        <v>200</v>
      </c>
      <c r="F10015" t="str">
        <v>x</v>
      </c>
      <c r="G10015">
        <f>VLOOKUP(D10014,'Detail Balok'!$C$10:$AU$110,3,FALSE)</f>
        <v>500</v>
      </c>
    </row>
    <row r="10016">
      <c r="C10016" t="str">
        <v>Panjang as ke as</v>
      </c>
      <c r="D10016">
        <f>VLOOKUP(C10014,'Data Panjang Balok'!$C$9:$N$424,4,FALSE)</f>
        <v>2765</v>
      </c>
    </row>
    <row r="10017">
      <c r="C10017" t="str">
        <v>Panjang netto</v>
      </c>
      <c r="D10017">
        <f>VLOOKUP(C10014,'Data Panjang Balok'!$C$9:$N$424,7,FALSE)</f>
        <v>2765</v>
      </c>
    </row>
    <row r="10018">
      <c r="C10018" t="str">
        <v>Kolom / balok kiri</v>
      </c>
      <c r="D10018">
        <f>VLOOKUP(C10014,'Data Panjang Balok'!$C$9:$N$424,9,FALSE)</f>
        <v>0</v>
      </c>
    </row>
    <row r="10019">
      <c r="C10019" t="str">
        <v>Kolom / balok kanan</v>
      </c>
      <c r="D10019">
        <f>VLOOKUP(C10014,'Data Panjang Balok'!$C$9:$N$424,10,FALSE)</f>
        <v>0</v>
      </c>
    </row>
    <row r="10020">
      <c r="C10020" t="str">
        <v>Jumlah</v>
      </c>
      <c r="D10020">
        <f>VLOOKUP(C10014,'Data Panjang Balok'!$C$9:$N$424,3,FALSE)</f>
        <v>1</v>
      </c>
    </row>
    <row r="10021">
      <c r="A10021" t="str">
        <f>A10014</f>
        <v>Lantai Attic</v>
      </c>
      <c r="B10021">
        <f>B10014</f>
        <v>70</v>
      </c>
      <c r="C10021" t="str">
        <v>Tul Atas Tumpuan</v>
      </c>
      <c r="D10021">
        <f>VLOOKUP(D10014,'Detail Balok'!$C$10:$AU$110,4,FALSE)</f>
        <v>3</v>
      </c>
      <c r="E10021" t="str">
        <v>D</v>
      </c>
      <c r="F10021">
        <f>VLOOKUP(D10014,'Detail Balok'!$C$10:$AU$110,6,FALSE)</f>
        <v>16</v>
      </c>
      <c r="I10021" t="str">
        <v>(</v>
      </c>
      <c r="J10021">
        <f>+D10016/4/1000</f>
        <v>0.69125</v>
      </c>
      <c r="K10021" t="str">
        <v>+</v>
      </c>
      <c r="L10021">
        <f>MAX(VLOOKUP(F10021,N$6:P$15,3,FALSE)/1000,2/3*D10018/1000)+F$16*F10021/1000</f>
        <v>0.192</v>
      </c>
      <c r="M10021" t="str">
        <v>=</v>
      </c>
      <c r="N10021">
        <f>J10021+L10021</f>
        <v>0.8832500000000001</v>
      </c>
      <c r="O10021" t="str">
        <v>+</v>
      </c>
      <c r="P10021">
        <f>D10021-D10022</f>
        <v>0</v>
      </c>
      <c r="Q10021" t="str">
        <v>x</v>
      </c>
      <c r="R10021">
        <f>IF(P10021&gt;0,$F$18*F10021/1000,0)</f>
        <v>0</v>
      </c>
      <c r="S10021" t="str">
        <v>)</v>
      </c>
      <c r="T10021" t="str">
        <v>x</v>
      </c>
      <c r="U10021">
        <f>0.006165*F10021^2</f>
        <v>1.57824</v>
      </c>
      <c r="X10021" t="str">
        <v>x</v>
      </c>
      <c r="Y10021">
        <f>D10020</f>
        <v>1</v>
      </c>
      <c r="Z10021" t="str">
        <v>=</v>
      </c>
      <c r="AA10021">
        <f>IF(AA10024=0,(D10021*N10021+P10021*R10021)*U10021*Y10021,0)</f>
        <v>0</v>
      </c>
    </row>
    <row r="10022">
      <c r="A10022" t="str">
        <f>A10014</f>
        <v>Lantai Attic</v>
      </c>
      <c r="B10022">
        <f>B10014</f>
        <v>70</v>
      </c>
      <c r="C10022" t="str">
        <v>Tul Atas Lapangan</v>
      </c>
      <c r="D10022">
        <f>VLOOKUP(D10014,'Detail Balok'!$C$10:$AU$110,7,FALSE)</f>
        <v>3</v>
      </c>
      <c r="E10022" t="str">
        <v>D</v>
      </c>
      <c r="F10022">
        <f>VLOOKUP(D10014,'Detail Balok'!$C$10:$AU$110,9,FALSE)</f>
        <v>16</v>
      </c>
      <c r="I10022" t="str">
        <v>(</v>
      </c>
      <c r="J10022">
        <f>+D10016/2/1000</f>
        <v>1.3825</v>
      </c>
      <c r="K10022" t="str">
        <v>+</v>
      </c>
      <c r="M10022" t="str">
        <v>=</v>
      </c>
      <c r="N10022">
        <f>J10022+L10022</f>
        <v>1.3825</v>
      </c>
      <c r="O10022" t="str">
        <v>+</v>
      </c>
      <c r="P10022">
        <f>MAX(D10022-D10021,D10022-D10023)</f>
        <v>0</v>
      </c>
      <c r="Q10022" t="str">
        <v>x</v>
      </c>
      <c r="R10022">
        <f>IF(P10022&gt;0,2*(1-2*$F$19-1/2)*D10017/1000,0)</f>
        <v>0</v>
      </c>
      <c r="S10022" t="str">
        <v>)</v>
      </c>
      <c r="T10022" t="str">
        <v>x</v>
      </c>
      <c r="U10022">
        <f>0.006165*F10022^2</f>
        <v>1.57824</v>
      </c>
      <c r="X10022" t="str">
        <v>x</v>
      </c>
      <c r="Y10022">
        <f>D10020</f>
        <v>1</v>
      </c>
      <c r="Z10022" t="str">
        <v>=</v>
      </c>
      <c r="AA10022">
        <f>IF(AA10024=0,(D10022*N10022+P10022*R10022)*U10022*Y10022,0)</f>
        <v>0</v>
      </c>
    </row>
    <row r="10023">
      <c r="A10023" t="str">
        <f>A10014</f>
        <v>Lantai Attic</v>
      </c>
      <c r="B10023">
        <f>B10014</f>
        <v>70</v>
      </c>
      <c r="C10023" t="str">
        <v>Tul Atas Tumpuan</v>
      </c>
      <c r="D10023">
        <f>VLOOKUP(D10014,'Detail Balok'!$C$10:$AU$110,10,FALSE)</f>
        <v>3</v>
      </c>
      <c r="E10023" t="str">
        <v>D</v>
      </c>
      <c r="F10023">
        <f>VLOOKUP(D10014,'Detail Balok'!$C$10:$AU$110,12,FALSE)</f>
        <v>16</v>
      </c>
      <c r="I10023" t="str">
        <v>(</v>
      </c>
      <c r="J10023">
        <f>+D10016/4/1000</f>
        <v>0.69125</v>
      </c>
      <c r="K10023" t="str">
        <v>+</v>
      </c>
      <c r="L10023">
        <f>MAX(VLOOKUP(F10023,N$6:P$15,3,FALSE)/1000,2/3*D10018/1000)+F$16*F10023/1000</f>
        <v>0.192</v>
      </c>
      <c r="M10023" t="str">
        <v>=</v>
      </c>
      <c r="N10023">
        <f>J10023+L10023</f>
        <v>0.8832500000000001</v>
      </c>
      <c r="O10023" t="str">
        <v>+</v>
      </c>
      <c r="P10023">
        <f>D10023-D10022</f>
        <v>0</v>
      </c>
      <c r="Q10023" t="str">
        <v>x</v>
      </c>
      <c r="R10023">
        <f>IF(P10023&gt;0,$F$18*F10023/1000,0)</f>
        <v>0</v>
      </c>
      <c r="S10023" t="str">
        <v>)</v>
      </c>
      <c r="T10023" t="str">
        <v>x</v>
      </c>
      <c r="U10023">
        <f>0.006165*F10023^2</f>
        <v>1.57824</v>
      </c>
      <c r="X10023" t="str">
        <v>x</v>
      </c>
      <c r="Y10023">
        <f>D10020</f>
        <v>1</v>
      </c>
      <c r="Z10023" t="str">
        <v>=</v>
      </c>
      <c r="AA10023">
        <f>IF(AA10024=0,(D10023*N10023+P10023*R10023)*U10023*Y10023,0)</f>
        <v>0</v>
      </c>
    </row>
    <row r="10024">
      <c r="A10024" t="str">
        <f>A10014</f>
        <v>Lantai Attic</v>
      </c>
      <c r="B10024">
        <f>B10014</f>
        <v>70</v>
      </c>
      <c r="D10024">
        <f>IF(AND(D10021=D10022,D10022=D10023,D10021=D10023),D10021,0)</f>
        <v>3</v>
      </c>
      <c r="E10024" t="str">
        <v>D</v>
      </c>
      <c r="F10024">
        <f>IF(AND(F10021=F10022,F10021=F10023,F10022=F10023),F10021,0)</f>
        <v>16</v>
      </c>
      <c r="L10024" t="str">
        <v>Total panjang per balok</v>
      </c>
      <c r="M10024" t="str">
        <v>=</v>
      </c>
      <c r="N10024">
        <f>IF(AND(D10021=D10022,D10021=D10023,D10022=D10023,F10021=F10022,F10021=F10023,F10022=F10023),SUM(N10021:N10023),0)</f>
        <v>3.149</v>
      </c>
      <c r="O10024" t="str">
        <v>+</v>
      </c>
      <c r="P10024">
        <f>IF(N10024&gt;12,ROUNDDOWN(N10024/12,0),0)</f>
        <v>0</v>
      </c>
      <c r="Q10024" t="str">
        <v>x</v>
      </c>
      <c r="R10024">
        <f>IF(P10024&gt;0,MAX(VLOOKUP(F10024,$D$6:$G$15,3,FALSE),600),0)/1000</f>
        <v>0</v>
      </c>
      <c r="T10024" t="str">
        <v>x</v>
      </c>
      <c r="U10024">
        <f>U10023</f>
        <v>1.57824</v>
      </c>
      <c r="V10024" t="str">
        <v>x</v>
      </c>
      <c r="W10024">
        <f>D10024</f>
        <v>3</v>
      </c>
      <c r="X10024" t="str">
        <v>x</v>
      </c>
      <c r="Y10024">
        <f>Y10023</f>
        <v>1</v>
      </c>
      <c r="Z10024" t="str">
        <v>=</v>
      </c>
      <c r="AA10024">
        <f>(N10024+P10024*R10024/1000)*U10024*W10024*Y10024</f>
        <v>14.909633280000001</v>
      </c>
    </row>
    <row r="10026">
      <c r="A10026" t="str">
        <f>A10014</f>
        <v>Lantai Attic</v>
      </c>
      <c r="B10026">
        <f>B10014</f>
        <v>70</v>
      </c>
      <c r="C10026" t="str">
        <v>Tul Peminggang</v>
      </c>
      <c r="D10026">
        <f>VLOOKUP(D10014,'Detail Balok'!$C$10:$AU$110,13,FALSE)</f>
        <v>2</v>
      </c>
      <c r="E10026" t="str">
        <v>D</v>
      </c>
      <c r="F10026">
        <f>VLOOKUP(D10014,'Detail Balok'!$C$10:$AU$110,15,FALSE)</f>
        <v>10</v>
      </c>
      <c r="J10026">
        <f>+D10016/1000</f>
        <v>2.765</v>
      </c>
      <c r="K10026" t="str">
        <v>+</v>
      </c>
      <c r="L10026">
        <f>2*$F$16*F10026/1000</f>
        <v>0.24</v>
      </c>
      <c r="M10026" t="str">
        <v>=</v>
      </c>
      <c r="N10026">
        <f>J10026+L10026</f>
        <v>3.005</v>
      </c>
      <c r="O10026" t="str">
        <v>+</v>
      </c>
      <c r="P10026">
        <f>IF(N10026&gt;12,ROUNDDOWN(N10026/12,0),0)</f>
        <v>0</v>
      </c>
      <c r="Q10026" t="str">
        <v>x</v>
      </c>
      <c r="R10026">
        <f>IF(P10026&gt;0,MAX(VLOOKUP(F10026,$D$6:$G$15,3,FALSE),600),0)/1000</f>
        <v>0</v>
      </c>
      <c r="T10026" t="str">
        <v>x</v>
      </c>
      <c r="U10026">
        <f>0.006165*F10026^2</f>
        <v>0.6165</v>
      </c>
      <c r="V10026" t="str">
        <v>x</v>
      </c>
      <c r="W10026">
        <f>+D10026</f>
        <v>2</v>
      </c>
      <c r="X10026" t="str">
        <v>x</v>
      </c>
      <c r="Y10026">
        <f>D10020</f>
        <v>1</v>
      </c>
      <c r="Z10026" t="str">
        <v>=</v>
      </c>
      <c r="AA10026">
        <f>(N10026+P10026*R10026/1000)*U10026*W10026*Y10026</f>
        <v>3.705165</v>
      </c>
    </row>
    <row r="10029">
      <c r="A10029" t="str">
        <f>A10014</f>
        <v>Lantai Attic</v>
      </c>
      <c r="B10029">
        <f>B10014</f>
        <v>70</v>
      </c>
      <c r="C10029" t="str">
        <v>Tul Bawah Tumpuan</v>
      </c>
      <c r="D10029">
        <f>VLOOKUP(D10014,'Detail Balok'!$C$10:$AU$110,22,FALSE)</f>
        <v>3</v>
      </c>
      <c r="E10029" t="str">
        <v>D</v>
      </c>
      <c r="F10029">
        <f>VLOOKUP(D10014,'Detail Balok'!$C$10:$AU$110,24,FALSE)</f>
        <v>16</v>
      </c>
      <c r="I10029" t="str">
        <v>(</v>
      </c>
      <c r="J10029">
        <f>+J10021</f>
        <v>0.69125</v>
      </c>
      <c r="K10029" t="str">
        <v>+</v>
      </c>
      <c r="L10029">
        <f>MAX(VLOOKUP(F10029,N$6:P$15,3,FALSE)/1000,2/3*D10019/1000)+F$16*F10029/1000</f>
        <v>0.192</v>
      </c>
      <c r="M10029" t="str">
        <v>=</v>
      </c>
      <c r="N10029">
        <f>J10029+L10029</f>
        <v>0.8832500000000001</v>
      </c>
      <c r="O10029" t="str">
        <v>+</v>
      </c>
      <c r="P10029">
        <f>D10029-D10030</f>
        <v>0</v>
      </c>
      <c r="Q10029" t="str">
        <v>x</v>
      </c>
      <c r="R10029">
        <f>IF(P10029&gt;0,$F$18*F10029/1000,0)</f>
        <v>0</v>
      </c>
      <c r="S10029" t="str">
        <v>)</v>
      </c>
      <c r="T10029" t="str">
        <v>x</v>
      </c>
      <c r="U10029">
        <f>0.006165*F10029^2</f>
        <v>1.57824</v>
      </c>
      <c r="X10029" t="str">
        <v>x</v>
      </c>
      <c r="Y10029">
        <f>D10020</f>
        <v>1</v>
      </c>
      <c r="Z10029" t="str">
        <v>=</v>
      </c>
      <c r="AA10029">
        <f>IF(AA10032=0,(D10029*N10029+P10029*R10029)*U10029*Y10029,0)</f>
        <v>0</v>
      </c>
    </row>
    <row r="10030">
      <c r="A10030" t="str">
        <f>A10014</f>
        <v>Lantai Attic</v>
      </c>
      <c r="B10030">
        <f>B10014</f>
        <v>70</v>
      </c>
      <c r="C10030" t="str">
        <v>Tul Bawah Lapangan</v>
      </c>
      <c r="D10030">
        <f>VLOOKUP(D10014,'Detail Balok'!$C$10:$AU$110,25,FALSE)</f>
        <v>3</v>
      </c>
      <c r="E10030" t="str">
        <v>D</v>
      </c>
      <c r="F10030">
        <f>VLOOKUP(D10014,'Detail Balok'!$C$10:$AU$110,27,FALSE)</f>
        <v>16</v>
      </c>
      <c r="I10030" t="str">
        <v>(</v>
      </c>
      <c r="J10030">
        <f>+J10022</f>
        <v>1.3825</v>
      </c>
      <c r="K10030" t="str">
        <v>+</v>
      </c>
      <c r="M10030" t="str">
        <v>=</v>
      </c>
      <c r="N10030">
        <f>J10030+L10030</f>
        <v>1.3825</v>
      </c>
      <c r="O10030" t="str">
        <v>+</v>
      </c>
      <c r="P10030">
        <f>MAX(D10030-D10029,D10030-D10031)</f>
        <v>0</v>
      </c>
      <c r="Q10030" t="str">
        <v>x</v>
      </c>
      <c r="R10030">
        <f>IF(P10030&gt;0,2*(1-2*$F$19-1/2)*D10017/1000,0)</f>
        <v>0</v>
      </c>
      <c r="S10030" t="str">
        <v>)</v>
      </c>
      <c r="T10030" t="str">
        <v>x</v>
      </c>
      <c r="U10030">
        <f>0.006165*F10030^2</f>
        <v>1.57824</v>
      </c>
      <c r="X10030" t="str">
        <v>x</v>
      </c>
      <c r="Y10030">
        <f>D10020</f>
        <v>1</v>
      </c>
      <c r="Z10030" t="str">
        <v>=</v>
      </c>
      <c r="AA10030">
        <f>IF(AA10032=0,(D10030*N10030+P10030*R10030)*U10030*Y10030,0)</f>
        <v>0</v>
      </c>
    </row>
    <row r="10031">
      <c r="A10031" t="str">
        <f>A10014</f>
        <v>Lantai Attic</v>
      </c>
      <c r="B10031">
        <f>B10014</f>
        <v>70</v>
      </c>
      <c r="C10031" t="str">
        <v>Tul Bawah Tumpuan</v>
      </c>
      <c r="D10031">
        <f>VLOOKUP(D10014,'Detail Balok'!$C$10:$AU$110,28,FALSE)</f>
        <v>3</v>
      </c>
      <c r="E10031" t="str">
        <v>D</v>
      </c>
      <c r="F10031">
        <f>VLOOKUP(D10014,'Detail Balok'!$C$10:$AU$110,30,FALSE)</f>
        <v>16</v>
      </c>
      <c r="I10031" t="str">
        <v>(</v>
      </c>
      <c r="J10031">
        <f>+J10023</f>
        <v>0.69125</v>
      </c>
      <c r="K10031" t="str">
        <v>+</v>
      </c>
      <c r="L10031">
        <f>MAX(VLOOKUP(F10031,N$6:P$15,3,FALSE)/1000,2/3*D10019/1000)+F$16*F10031/1000</f>
        <v>0.192</v>
      </c>
      <c r="M10031" t="str">
        <v>=</v>
      </c>
      <c r="N10031">
        <f>J10031+L10031</f>
        <v>0.8832500000000001</v>
      </c>
      <c r="O10031" t="str">
        <v>+</v>
      </c>
      <c r="P10031">
        <f>D10031-D10030</f>
        <v>0</v>
      </c>
      <c r="Q10031" t="str">
        <v>x</v>
      </c>
      <c r="R10031">
        <f>IF(P10031&gt;0,$F$18*F10031/1000,0)</f>
        <v>0</v>
      </c>
      <c r="S10031" t="str">
        <v>)</v>
      </c>
      <c r="T10031" t="str">
        <v>x</v>
      </c>
      <c r="U10031">
        <f>0.006165*F10031^2</f>
        <v>1.57824</v>
      </c>
      <c r="X10031" t="str">
        <v>x</v>
      </c>
      <c r="Y10031">
        <f>D10020</f>
        <v>1</v>
      </c>
      <c r="Z10031" t="str">
        <v>=</v>
      </c>
      <c r="AA10031">
        <f>IF(AA10032=0,(D10031*N10031+P10031*R10031)*U10031*Y10031,0)</f>
        <v>0</v>
      </c>
    </row>
    <row r="10032">
      <c r="A10032" t="str">
        <f>A10014</f>
        <v>Lantai Attic</v>
      </c>
      <c r="B10032">
        <f>B10014</f>
        <v>70</v>
      </c>
      <c r="D10032">
        <f>IF(AND(D10029=D10030,D10030=D10031,D10029=D10031),D10029,0)</f>
        <v>3</v>
      </c>
      <c r="E10032" t="str">
        <v>D</v>
      </c>
      <c r="F10032">
        <f>IF(AND(F10029=F10030,F10029=F10031,F10030=F10031),F10029,0)</f>
        <v>16</v>
      </c>
      <c r="L10032" t="str">
        <v>Total panjang per balok</v>
      </c>
      <c r="M10032" t="str">
        <v>=</v>
      </c>
      <c r="N10032">
        <f>IF(AND(D10029=D10030,D10029=D10031,D10030=D10031,F10029=F10030,F10029=F10031,F10030=F10031),SUM(N10029:N10031),0)</f>
        <v>3.149</v>
      </c>
      <c r="O10032" t="str">
        <v>+</v>
      </c>
      <c r="P10032">
        <f>IF(N10032&gt;12,ROUNDDOWN(N10032/12,0),0)</f>
        <v>0</v>
      </c>
      <c r="Q10032" t="str">
        <v>x</v>
      </c>
      <c r="R10032">
        <f>IF(P10032&gt;0,MAX(VLOOKUP(F10032,$D$6:$G$15,3,FALSE),600),0)/1000</f>
        <v>0</v>
      </c>
      <c r="T10032" t="str">
        <v>x</v>
      </c>
      <c r="U10032">
        <f>U10031</f>
        <v>1.57824</v>
      </c>
      <c r="V10032" t="str">
        <v>x</v>
      </c>
      <c r="W10032">
        <f>D10032</f>
        <v>3</v>
      </c>
      <c r="X10032" t="str">
        <v>x</v>
      </c>
      <c r="Y10032">
        <f>Y10031</f>
        <v>1</v>
      </c>
      <c r="Z10032" t="str">
        <v>=</v>
      </c>
      <c r="AA10032">
        <f>(N10032+P10032*R10032/1000)*U10032*W10032*Y10032</f>
        <v>14.909633280000001</v>
      </c>
    </row>
    <row r="10034">
      <c r="A10034" t="str">
        <f>A10014</f>
        <v>Lantai Attic</v>
      </c>
      <c r="B10034">
        <f>B10014</f>
        <v>70</v>
      </c>
      <c r="C10034" t="str">
        <v>Sengkang Tumpuan</v>
      </c>
      <c r="D10034">
        <f>VLOOKUP(D10014,'Detail Balok'!$C$10:$AU$110,31,FALSE)</f>
        <v>0</v>
      </c>
      <c r="E10034" t="str">
        <v>D</v>
      </c>
      <c r="F10034">
        <f>VLOOKUP(D10014,'Detail Balok'!$C$10:$AU$110,33,FALSE)</f>
        <v>10</v>
      </c>
      <c r="G10034" t="str">
        <v>-</v>
      </c>
      <c r="H10034">
        <f>VLOOKUP(D10014,'Detail Balok'!$C$10:$AU$110,35,FALSE)</f>
        <v>75</v>
      </c>
      <c r="J10034">
        <f>(IF(D10034=0,(2*(D10015+G10015))-(F$5*8),IF(D10034=3,(2*(D10015+G10015))-(F$5*8)+(G10015-2*F$5),IF(D10034=4,(2*(D10015+G10015))-(F$5*8)+2*(G10015-2*F$5)))))/1000</f>
        <v>1.08</v>
      </c>
      <c r="K10034" t="str">
        <v>+</v>
      </c>
      <c r="L10034">
        <f>IF(D10034=0,2*MAX(6*F10034,75),(D10034-1)*2*MAX(6*F10034,75))/1000</f>
        <v>0.15</v>
      </c>
      <c r="M10034" t="str">
        <v>=</v>
      </c>
      <c r="N10034">
        <f>J10034+L10034</f>
        <v>1.23</v>
      </c>
      <c r="T10034" t="str">
        <v>x</v>
      </c>
      <c r="U10034">
        <f>0.006165*F10034^2</f>
        <v>0.6165</v>
      </c>
      <c r="V10034" t="str">
        <v>x</v>
      </c>
      <c r="W10034">
        <f>IF(D10017&gt;4*G10015,ROUND(MAX(D10017/4,2*G10015)/H10034,0)+1,ROUND(D10017/H10034,0)+1)</f>
        <v>14</v>
      </c>
      <c r="X10034" t="str">
        <v>x</v>
      </c>
      <c r="Y10034">
        <f>D10020</f>
        <v>1</v>
      </c>
      <c r="Z10034" t="str">
        <v>=</v>
      </c>
      <c r="AA10034">
        <f>N10034*U10034*W10034*Y10034</f>
        <v>10.61613</v>
      </c>
    </row>
    <row r="10035">
      <c r="A10035" t="str">
        <f>A10014</f>
        <v>Lantai Attic</v>
      </c>
      <c r="B10035">
        <f>B10014</f>
        <v>70</v>
      </c>
      <c r="C10035" t="str">
        <v>Sengkang Lapangan</v>
      </c>
      <c r="D10035">
        <f>VLOOKUP(D10014,'Detail Balok'!$C$10:$AU$110,36,FALSE)</f>
        <v>0</v>
      </c>
      <c r="E10035" t="str">
        <v>D</v>
      </c>
      <c r="F10035">
        <f>VLOOKUP(D10014,'Detail Balok'!$C$10:$AU$110,38,FALSE)</f>
        <v>10</v>
      </c>
      <c r="G10035" t="str">
        <v>-</v>
      </c>
      <c r="H10035">
        <f>VLOOKUP(D10014,'Detail Balok'!$C$10:$AU$110,40,FALSE)</f>
        <v>125</v>
      </c>
      <c r="J10035">
        <f>(IF(D10035=0,(2*(D10015+G10015))-(F$5*8),IF(D10035=3,(2*(D10015+G10015))-(F$5*8)+(G10015-2*F$5),IF(D10035=4,(2*(D10015+G10015))-(F$5*8)+2*(G10015-2*F$5)))))/1000</f>
        <v>1.08</v>
      </c>
      <c r="K10035" t="str">
        <v>+</v>
      </c>
      <c r="L10035">
        <f>IF(D10035=0,2*MAX(6*F10035,75),(D10035-1)*2*MAX(6*F10035,75))/1000</f>
        <v>0.15</v>
      </c>
      <c r="M10035" t="str">
        <v>=</v>
      </c>
      <c r="N10035">
        <f>J10035+L10035</f>
        <v>1.23</v>
      </c>
      <c r="T10035" t="str">
        <v>x</v>
      </c>
      <c r="U10035">
        <f>0.006165*F10035^2</f>
        <v>0.6165</v>
      </c>
      <c r="V10035" t="str">
        <v>x</v>
      </c>
      <c r="W10035">
        <f>IF(D10017-MAX(D10017/4,2*G10015)*2&gt;0,ROUND((D10017-MAX(D10017/4,2*G10015)*2)/H10035,0),0)</f>
        <v>6</v>
      </c>
      <c r="X10035" t="str">
        <v>x</v>
      </c>
      <c r="Y10035">
        <f>D10020</f>
        <v>1</v>
      </c>
      <c r="Z10035" t="str">
        <v>=</v>
      </c>
      <c r="AA10035">
        <f>N10035*U10035*W10035*Y10035</f>
        <v>4.5497700000000005</v>
      </c>
    </row>
    <row r="10036">
      <c r="A10036" t="str">
        <f>A10014</f>
        <v>Lantai Attic</v>
      </c>
      <c r="B10036">
        <f>B10014</f>
        <v>70</v>
      </c>
      <c r="C10036" t="str">
        <v>Sengkang Tumpuan</v>
      </c>
      <c r="D10036">
        <f>VLOOKUP(D10014,'Detail Balok'!$C$10:$AU$110,41,FALSE)</f>
        <v>0</v>
      </c>
      <c r="E10036" t="str">
        <v>D</v>
      </c>
      <c r="F10036">
        <f>VLOOKUP(D10014,'Detail Balok'!$C$10:$AU$110,43,FALSE)</f>
        <v>10</v>
      </c>
      <c r="G10036" t="str">
        <v>-</v>
      </c>
      <c r="H10036">
        <f>VLOOKUP(D10014,'Detail Balok'!$C$10:$AU$110,45,FALSE)</f>
        <v>75</v>
      </c>
      <c r="J10036">
        <f>(IF(D10036=0,(2*(D10015+G10015))-(F$5*8),IF(D10036=3,(2*(D10015+G10015))-(F$5*8)+(G10015-2*F$5),IF(D10036=4,(2*(D10015+G10015))-(F$5*8)+2*(G10015-2*F$5)))))/1000</f>
        <v>1.08</v>
      </c>
      <c r="K10036" t="str">
        <v>+</v>
      </c>
      <c r="L10036">
        <f>IF(D10036=0,2*MAX(6*F10036,75),(D10036-1)*2*MAX(6*F10036,75))/1000</f>
        <v>0.15</v>
      </c>
      <c r="M10036" t="str">
        <v>=</v>
      </c>
      <c r="N10036">
        <f>J10036+L10036</f>
        <v>1.23</v>
      </c>
      <c r="T10036" t="str">
        <v>x</v>
      </c>
      <c r="U10036">
        <f>0.006165*F10036^2</f>
        <v>0.6165</v>
      </c>
      <c r="V10036" t="str">
        <v>x</v>
      </c>
      <c r="W10036">
        <f>IF(D10017&gt;4*G10015,ROUND(MAX(D10017/4,2*G10015)/H10036,0)+1,0)</f>
        <v>14</v>
      </c>
      <c r="X10036" t="str">
        <v>x</v>
      </c>
      <c r="Y10036">
        <f>D10020</f>
        <v>1</v>
      </c>
      <c r="Z10036" t="str">
        <v>=</v>
      </c>
      <c r="AA10036">
        <f>N10036*U10036*W10036*Y10036</f>
        <v>10.61613</v>
      </c>
    </row>
    <row r="10038">
      <c r="A10038" t="str">
        <f>A10014</f>
        <v>Lantai Attic</v>
      </c>
      <c r="B10038">
        <f>B10014</f>
        <v>70</v>
      </c>
      <c r="C10038" t="str">
        <v>Kait Horizontal Tump.</v>
      </c>
      <c r="D10038">
        <f>VLOOKUP(D10014,'Detail Balok'!$C$10:$BJ$110,46,FALSE)</f>
        <v>0</v>
      </c>
      <c r="E10038" t="str">
        <v>D</v>
      </c>
      <c r="F10038">
        <f>VLOOKUP(D10014,'Detail Balok'!$C$10:$BJ$110,48,FALSE)</f>
        <v>0</v>
      </c>
      <c r="G10038" t="str">
        <v>-</v>
      </c>
      <c r="H10038">
        <f>VLOOKUP(D10014,'Detail Balok'!$C$10:$BJ$110,50,FALSE)</f>
        <v>100</v>
      </c>
      <c r="J10038">
        <f>(D10015-2*F$5)/1000</f>
        <v>0.12</v>
      </c>
      <c r="K10038" t="str">
        <v>+</v>
      </c>
      <c r="L10038">
        <f>IF(D10038=0,2*MAX(6*F10038,75),(D10038-1)*2*MAX(6*F10038,75))/1000</f>
        <v>0.15</v>
      </c>
      <c r="M10038" t="str">
        <v>=</v>
      </c>
      <c r="N10038">
        <f>J10038+L10038</f>
        <v>0.27</v>
      </c>
      <c r="T10038" t="str">
        <v>x</v>
      </c>
      <c r="U10038">
        <f>0.006165*F10038^2</f>
        <v>0</v>
      </c>
      <c r="V10038" t="str">
        <v>x</v>
      </c>
      <c r="W10038">
        <f>W10034</f>
        <v>14</v>
      </c>
      <c r="X10038" t="str">
        <v>x</v>
      </c>
      <c r="Y10038">
        <f>D10024</f>
        <v>3</v>
      </c>
      <c r="Z10038" t="str">
        <v>=</v>
      </c>
      <c r="AA10038">
        <f>N10038*U10038*W10038*Y10038</f>
        <v>0</v>
      </c>
    </row>
    <row r="10039">
      <c r="A10039" t="str">
        <f>A10014</f>
        <v>Lantai Attic</v>
      </c>
      <c r="B10039">
        <f>B10014</f>
        <v>70</v>
      </c>
      <c r="C10039" t="str">
        <v>Kait Horizontal Lap.</v>
      </c>
      <c r="D10039">
        <f>VLOOKUP(D10014,'Detail Balok'!$C$10:$BJ$110,51,FALSE)</f>
        <v>0</v>
      </c>
      <c r="E10039" t="str">
        <v>D</v>
      </c>
      <c r="F10039">
        <f>VLOOKUP(D10014,'Detail Balok'!$C$10:$BJ$110,53,FALSE)</f>
        <v>0</v>
      </c>
      <c r="G10039" t="str">
        <v>-</v>
      </c>
      <c r="H10039">
        <f>VLOOKUP(D10014,'Detail Balok'!$C$10:$BJ$110,55,FALSE)</f>
        <v>100</v>
      </c>
      <c r="J10039">
        <f>(D10015-2*F$5)/1000</f>
        <v>0.12</v>
      </c>
      <c r="K10039" t="str">
        <v>+</v>
      </c>
      <c r="L10039">
        <f>IF(D10039=0,2*MAX(6*F10039,75),(D10039-1)*2*MAX(6*F10039,75))/1000</f>
        <v>0.15</v>
      </c>
      <c r="M10039" t="str">
        <v>=</v>
      </c>
      <c r="N10039">
        <f>J10039+L10039</f>
        <v>0.27</v>
      </c>
      <c r="T10039" t="str">
        <v>x</v>
      </c>
      <c r="U10039">
        <f>0.006165*F10039^2</f>
        <v>0</v>
      </c>
      <c r="V10039" t="str">
        <v>x</v>
      </c>
      <c r="W10039">
        <f>W10035</f>
        <v>6</v>
      </c>
      <c r="X10039" t="str">
        <v>x</v>
      </c>
      <c r="Y10039">
        <f>D10024</f>
        <v>3</v>
      </c>
      <c r="Z10039" t="str">
        <v>=</v>
      </c>
      <c r="AA10039">
        <f>N10039*U10039*W10039*Y10039</f>
        <v>0</v>
      </c>
    </row>
    <row r="10040">
      <c r="A10040" t="str">
        <f>A10014</f>
        <v>Lantai Attic</v>
      </c>
      <c r="B10040">
        <f>B10014</f>
        <v>70</v>
      </c>
      <c r="C10040" t="str">
        <v>Kait Horizontal Tump.</v>
      </c>
      <c r="D10040">
        <f>VLOOKUP(D10014,'Detail Balok'!$C$10:$BJ$110,56,FALSE)</f>
        <v>0</v>
      </c>
      <c r="E10040" t="str">
        <v>D</v>
      </c>
      <c r="F10040">
        <f>VLOOKUP(D10014,'Detail Balok'!$C$10:$BJ$110,58,FALSE)</f>
        <v>0</v>
      </c>
      <c r="G10040" t="str">
        <v>-</v>
      </c>
      <c r="H10040">
        <f>VLOOKUP(D10014,'Detail Balok'!$C$10:$BJ$110,60,FALSE)</f>
        <v>100</v>
      </c>
      <c r="J10040">
        <f>(D10015-2*F$5)/1000</f>
        <v>0.12</v>
      </c>
      <c r="K10040" t="str">
        <v>+</v>
      </c>
      <c r="L10040">
        <f>IF(D10040=0,2*MAX(6*F10040,75),(D10040-1)*2*MAX(6*F10040,75))/1000</f>
        <v>0.15</v>
      </c>
      <c r="M10040" t="str">
        <v>=</v>
      </c>
      <c r="N10040">
        <f>J10040+L10040</f>
        <v>0.27</v>
      </c>
      <c r="T10040" t="str">
        <v>x</v>
      </c>
      <c r="U10040">
        <f>0.006165*F10040^2</f>
        <v>0</v>
      </c>
      <c r="V10040" t="str">
        <v>x</v>
      </c>
      <c r="W10040">
        <f>W10036</f>
        <v>14</v>
      </c>
      <c r="X10040" t="str">
        <v>x</v>
      </c>
      <c r="Y10040">
        <f>D10024</f>
        <v>3</v>
      </c>
      <c r="Z10040" t="str">
        <v>=</v>
      </c>
      <c r="AA10040">
        <f>N10040*U10040*W10040*Y10040</f>
        <v>0</v>
      </c>
    </row>
    <row r="10044">
      <c r="A10044" t="str">
        <f>A10014</f>
        <v>Lantai Attic</v>
      </c>
      <c r="B10044">
        <f>B10014+1</f>
        <v>71</v>
      </c>
      <c r="C10044" t="str">
        <f>CONCATENATE(A10044," no. ",B10044)</f>
        <v>Lantai Attic no. 71</v>
      </c>
      <c r="D10044" t="str">
        <f>VLOOKUP(C10044,'Data Panjang Balok'!$C$9:$N$424,2,FALSE)</f>
        <v>B245-3</v>
      </c>
    </row>
    <row r="10045">
      <c r="C10045" t="str">
        <v>Dimensi</v>
      </c>
      <c r="D10045">
        <f>VLOOKUP(D10044,'Detail Balok'!$C$10:$AU$110,2,FALSE)</f>
        <v>200</v>
      </c>
      <c r="F10045" t="str">
        <v>x</v>
      </c>
      <c r="G10045">
        <f>VLOOKUP(D10044,'Detail Balok'!$C$10:$AU$110,3,FALSE)</f>
        <v>450</v>
      </c>
    </row>
    <row r="10046">
      <c r="C10046" t="str">
        <v>Panjang as ke as</v>
      </c>
      <c r="D10046">
        <f>VLOOKUP(C10044,'Data Panjang Balok'!$C$9:$N$424,4,FALSE)</f>
        <v>2000</v>
      </c>
    </row>
    <row r="10047">
      <c r="C10047" t="str">
        <v>Panjang netto</v>
      </c>
      <c r="D10047">
        <f>VLOOKUP(C10044,'Data Panjang Balok'!$C$9:$N$424,7,FALSE)</f>
        <v>2000</v>
      </c>
    </row>
    <row r="10048">
      <c r="C10048" t="str">
        <v>Kolom / balok kiri</v>
      </c>
      <c r="D10048">
        <f>VLOOKUP(C10044,'Data Panjang Balok'!$C$9:$N$424,9,FALSE)</f>
        <v>0</v>
      </c>
    </row>
    <row r="10049">
      <c r="C10049" t="str">
        <v>Kolom / balok kanan</v>
      </c>
      <c r="D10049">
        <f>VLOOKUP(C10044,'Data Panjang Balok'!$C$9:$N$424,10,FALSE)</f>
        <v>0</v>
      </c>
    </row>
    <row r="10050">
      <c r="C10050" t="str">
        <v>Jumlah</v>
      </c>
      <c r="D10050">
        <f>VLOOKUP(C10044,'Data Panjang Balok'!$C$9:$N$424,3,FALSE)</f>
        <v>1</v>
      </c>
    </row>
    <row r="10051">
      <c r="A10051" t="str">
        <f>A10044</f>
        <v>Lantai Attic</v>
      </c>
      <c r="B10051">
        <f>B10044</f>
        <v>71</v>
      </c>
      <c r="C10051" t="str">
        <v>Tul Atas Tumpuan</v>
      </c>
      <c r="D10051">
        <f>VLOOKUP(D10044,'Detail Balok'!$C$10:$AU$110,4,FALSE)</f>
        <v>2</v>
      </c>
      <c r="E10051" t="str">
        <v>D</v>
      </c>
      <c r="F10051">
        <f>VLOOKUP(D10044,'Detail Balok'!$C$10:$AU$110,6,FALSE)</f>
        <v>16</v>
      </c>
      <c r="I10051" t="str">
        <v>(</v>
      </c>
      <c r="J10051">
        <f>+D10046/4/1000</f>
        <v>0.5</v>
      </c>
      <c r="K10051" t="str">
        <v>+</v>
      </c>
      <c r="L10051">
        <f>MAX(VLOOKUP(F10051,N$6:P$15,3,FALSE)/1000,2/3*D10048/1000)+F$16*F10051/1000</f>
        <v>0.192</v>
      </c>
      <c r="M10051" t="str">
        <v>=</v>
      </c>
      <c r="N10051">
        <f>J10051+L10051</f>
        <v>0.692</v>
      </c>
      <c r="O10051" t="str">
        <v>+</v>
      </c>
      <c r="P10051">
        <f>D10051-D10052</f>
        <v>0</v>
      </c>
      <c r="Q10051" t="str">
        <v>x</v>
      </c>
      <c r="R10051">
        <f>IF(P10051&gt;0,$F$18*F10051/1000,0)</f>
        <v>0</v>
      </c>
      <c r="S10051" t="str">
        <v>)</v>
      </c>
      <c r="T10051" t="str">
        <v>x</v>
      </c>
      <c r="U10051">
        <f>0.006165*F10051^2</f>
        <v>1.57824</v>
      </c>
      <c r="X10051" t="str">
        <v>x</v>
      </c>
      <c r="Y10051">
        <f>D10050</f>
        <v>1</v>
      </c>
      <c r="Z10051" t="str">
        <v>=</v>
      </c>
      <c r="AA10051">
        <f>IF(AA10054=0,(D10051*N10051+P10051*R10051)*U10051*Y10051,0)</f>
        <v>0</v>
      </c>
    </row>
    <row r="10052">
      <c r="A10052" t="str">
        <f>A10044</f>
        <v>Lantai Attic</v>
      </c>
      <c r="B10052">
        <f>B10044</f>
        <v>71</v>
      </c>
      <c r="C10052" t="str">
        <v>Tul Atas Lapangan</v>
      </c>
      <c r="D10052">
        <f>VLOOKUP(D10044,'Detail Balok'!$C$10:$AU$110,7,FALSE)</f>
        <v>2</v>
      </c>
      <c r="E10052" t="str">
        <v>D</v>
      </c>
      <c r="F10052">
        <f>VLOOKUP(D10044,'Detail Balok'!$C$10:$AU$110,9,FALSE)</f>
        <v>16</v>
      </c>
      <c r="I10052" t="str">
        <v>(</v>
      </c>
      <c r="J10052">
        <f>+D10046/2/1000</f>
        <v>1</v>
      </c>
      <c r="K10052" t="str">
        <v>+</v>
      </c>
      <c r="M10052" t="str">
        <v>=</v>
      </c>
      <c r="N10052">
        <f>J10052+L10052</f>
        <v>1</v>
      </c>
      <c r="O10052" t="str">
        <v>+</v>
      </c>
      <c r="P10052">
        <f>MAX(D10052-D10051,D10052-D10053)</f>
        <v>0</v>
      </c>
      <c r="Q10052" t="str">
        <v>x</v>
      </c>
      <c r="R10052">
        <f>IF(P10052&gt;0,2*(1-2*$F$19-1/2)*D10047/1000,0)</f>
        <v>0</v>
      </c>
      <c r="S10052" t="str">
        <v>)</v>
      </c>
      <c r="T10052" t="str">
        <v>x</v>
      </c>
      <c r="U10052">
        <f>0.006165*F10052^2</f>
        <v>1.57824</v>
      </c>
      <c r="X10052" t="str">
        <v>x</v>
      </c>
      <c r="Y10052">
        <f>D10050</f>
        <v>1</v>
      </c>
      <c r="Z10052" t="str">
        <v>=</v>
      </c>
      <c r="AA10052">
        <f>IF(AA10054=0,(D10052*N10052+P10052*R10052)*U10052*Y10052,0)</f>
        <v>0</v>
      </c>
    </row>
    <row r="10053">
      <c r="A10053" t="str">
        <f>A10044</f>
        <v>Lantai Attic</v>
      </c>
      <c r="B10053">
        <f>B10044</f>
        <v>71</v>
      </c>
      <c r="C10053" t="str">
        <v>Tul Atas Tumpuan</v>
      </c>
      <c r="D10053">
        <f>VLOOKUP(D10044,'Detail Balok'!$C$10:$AU$110,10,FALSE)</f>
        <v>2</v>
      </c>
      <c r="E10053" t="str">
        <v>D</v>
      </c>
      <c r="F10053">
        <f>VLOOKUP(D10044,'Detail Balok'!$C$10:$AU$110,12,FALSE)</f>
        <v>16</v>
      </c>
      <c r="I10053" t="str">
        <v>(</v>
      </c>
      <c r="J10053">
        <f>+D10046/4/1000</f>
        <v>0.5</v>
      </c>
      <c r="K10053" t="str">
        <v>+</v>
      </c>
      <c r="L10053">
        <f>MAX(VLOOKUP(F10053,N$6:P$15,3,FALSE)/1000,2/3*D10048/1000)+F$16*F10053/1000</f>
        <v>0.192</v>
      </c>
      <c r="M10053" t="str">
        <v>=</v>
      </c>
      <c r="N10053">
        <f>J10053+L10053</f>
        <v>0.692</v>
      </c>
      <c r="O10053" t="str">
        <v>+</v>
      </c>
      <c r="P10053">
        <f>D10053-D10052</f>
        <v>0</v>
      </c>
      <c r="Q10053" t="str">
        <v>x</v>
      </c>
      <c r="R10053">
        <f>IF(P10053&gt;0,$F$18*F10053/1000,0)</f>
        <v>0</v>
      </c>
      <c r="S10053" t="str">
        <v>)</v>
      </c>
      <c r="T10053" t="str">
        <v>x</v>
      </c>
      <c r="U10053">
        <f>0.006165*F10053^2</f>
        <v>1.57824</v>
      </c>
      <c r="X10053" t="str">
        <v>x</v>
      </c>
      <c r="Y10053">
        <f>D10050</f>
        <v>1</v>
      </c>
      <c r="Z10053" t="str">
        <v>=</v>
      </c>
      <c r="AA10053">
        <f>IF(AA10054=0,(D10053*N10053+P10053*R10053)*U10053*Y10053,0)</f>
        <v>0</v>
      </c>
    </row>
    <row r="10054">
      <c r="A10054" t="str">
        <f>A10044</f>
        <v>Lantai Attic</v>
      </c>
      <c r="B10054">
        <f>B10044</f>
        <v>71</v>
      </c>
      <c r="D10054">
        <f>IF(AND(D10051=D10052,D10052=D10053,D10051=D10053),D10051,0)</f>
        <v>2</v>
      </c>
      <c r="E10054" t="str">
        <v>D</v>
      </c>
      <c r="F10054">
        <f>IF(AND(F10051=F10052,F10051=F10053,F10052=F10053),F10051,0)</f>
        <v>16</v>
      </c>
      <c r="L10054" t="str">
        <v>Total panjang per balok</v>
      </c>
      <c r="M10054" t="str">
        <v>=</v>
      </c>
      <c r="N10054">
        <f>IF(AND(D10051=D10052,D10051=D10053,D10052=D10053,F10051=F10052,F10051=F10053,F10052=F10053),SUM(N10051:N10053),0)</f>
        <v>2.384</v>
      </c>
      <c r="O10054" t="str">
        <v>+</v>
      </c>
      <c r="P10054">
        <f>IF(N10054&gt;12,ROUNDDOWN(N10054/12,0),0)</f>
        <v>0</v>
      </c>
      <c r="Q10054" t="str">
        <v>x</v>
      </c>
      <c r="R10054">
        <f>IF(P10054&gt;0,MAX(VLOOKUP(F10054,$D$6:$G$15,3,FALSE),600),0)/1000</f>
        <v>0</v>
      </c>
      <c r="T10054" t="str">
        <v>x</v>
      </c>
      <c r="U10054">
        <f>U10053</f>
        <v>1.57824</v>
      </c>
      <c r="V10054" t="str">
        <v>x</v>
      </c>
      <c r="W10054">
        <f>D10054</f>
        <v>2</v>
      </c>
      <c r="X10054" t="str">
        <v>x</v>
      </c>
      <c r="Y10054">
        <f>Y10053</f>
        <v>1</v>
      </c>
      <c r="Z10054" t="str">
        <v>=</v>
      </c>
      <c r="AA10054">
        <f>(N10054+P10054*R10054/1000)*U10054*W10054*Y10054</f>
        <v>7.52504832</v>
      </c>
    </row>
    <row r="10056">
      <c r="A10056" t="str">
        <f>A10044</f>
        <v>Lantai Attic</v>
      </c>
      <c r="B10056">
        <f>B10044</f>
        <v>71</v>
      </c>
      <c r="C10056" t="str">
        <v>Tul Peminggang</v>
      </c>
      <c r="D10056">
        <f>VLOOKUP(D10044,'Detail Balok'!$C$10:$AU$110,13,FALSE)</f>
        <v>2</v>
      </c>
      <c r="E10056" t="str">
        <v>D</v>
      </c>
      <c r="F10056">
        <f>VLOOKUP(D10044,'Detail Balok'!$C$10:$AU$110,15,FALSE)</f>
        <v>10</v>
      </c>
      <c r="J10056">
        <f>+D10046/1000</f>
        <v>2</v>
      </c>
      <c r="K10056" t="str">
        <v>+</v>
      </c>
      <c r="L10056">
        <f>2*$F$16*F10056/1000</f>
        <v>0.24</v>
      </c>
      <c r="M10056" t="str">
        <v>=</v>
      </c>
      <c r="N10056">
        <f>J10056+L10056</f>
        <v>2.24</v>
      </c>
      <c r="O10056" t="str">
        <v>+</v>
      </c>
      <c r="P10056">
        <f>IF(N10056&gt;12,ROUNDDOWN(N10056/12,0),0)</f>
        <v>0</v>
      </c>
      <c r="Q10056" t="str">
        <v>x</v>
      </c>
      <c r="R10056">
        <f>IF(P10056&gt;0,MAX(VLOOKUP(F10056,$D$6:$G$15,3,FALSE),600),0)/1000</f>
        <v>0</v>
      </c>
      <c r="T10056" t="str">
        <v>x</v>
      </c>
      <c r="U10056">
        <f>0.006165*F10056^2</f>
        <v>0.6165</v>
      </c>
      <c r="V10056" t="str">
        <v>x</v>
      </c>
      <c r="W10056">
        <f>+D10056</f>
        <v>2</v>
      </c>
      <c r="X10056" t="str">
        <v>x</v>
      </c>
      <c r="Y10056">
        <f>D10050</f>
        <v>1</v>
      </c>
      <c r="Z10056" t="str">
        <v>=</v>
      </c>
      <c r="AA10056">
        <f>(N10056+P10056*R10056/1000)*U10056*W10056*Y10056</f>
        <v>2.7619200000000004</v>
      </c>
    </row>
    <row r="10059">
      <c r="A10059" t="str">
        <f>A10044</f>
        <v>Lantai Attic</v>
      </c>
      <c r="B10059">
        <f>B10044</f>
        <v>71</v>
      </c>
      <c r="C10059" t="str">
        <v>Tul Bawah Tumpuan</v>
      </c>
      <c r="D10059">
        <f>VLOOKUP(D10044,'Detail Balok'!$C$10:$AU$110,22,FALSE)</f>
        <v>2</v>
      </c>
      <c r="E10059" t="str">
        <v>D</v>
      </c>
      <c r="F10059">
        <f>VLOOKUP(D10044,'Detail Balok'!$C$10:$AU$110,24,FALSE)</f>
        <v>16</v>
      </c>
      <c r="I10059" t="str">
        <v>(</v>
      </c>
      <c r="J10059">
        <f>+J10051</f>
        <v>0.5</v>
      </c>
      <c r="K10059" t="str">
        <v>+</v>
      </c>
      <c r="L10059">
        <f>MAX(VLOOKUP(F10059,N$6:P$15,3,FALSE)/1000,2/3*D10049/1000)+F$16*F10059/1000</f>
        <v>0.192</v>
      </c>
      <c r="M10059" t="str">
        <v>=</v>
      </c>
      <c r="N10059">
        <f>J10059+L10059</f>
        <v>0.692</v>
      </c>
      <c r="O10059" t="str">
        <v>+</v>
      </c>
      <c r="P10059">
        <f>D10059-D10060</f>
        <v>0</v>
      </c>
      <c r="Q10059" t="str">
        <v>x</v>
      </c>
      <c r="R10059">
        <f>IF(P10059&gt;0,$F$18*F10059/1000,0)</f>
        <v>0</v>
      </c>
      <c r="S10059" t="str">
        <v>)</v>
      </c>
      <c r="T10059" t="str">
        <v>x</v>
      </c>
      <c r="U10059">
        <f>0.006165*F10059^2</f>
        <v>1.57824</v>
      </c>
      <c r="X10059" t="str">
        <v>x</v>
      </c>
      <c r="Y10059">
        <f>D10050</f>
        <v>1</v>
      </c>
      <c r="Z10059" t="str">
        <v>=</v>
      </c>
      <c r="AA10059">
        <f>IF(AA10062=0,(D10059*N10059+P10059*R10059)*U10059*Y10059,0)</f>
        <v>0</v>
      </c>
    </row>
    <row r="10060">
      <c r="A10060" t="str">
        <f>A10044</f>
        <v>Lantai Attic</v>
      </c>
      <c r="B10060">
        <f>B10044</f>
        <v>71</v>
      </c>
      <c r="C10060" t="str">
        <v>Tul Bawah Lapangan</v>
      </c>
      <c r="D10060">
        <f>VLOOKUP(D10044,'Detail Balok'!$C$10:$AU$110,25,FALSE)</f>
        <v>2</v>
      </c>
      <c r="E10060" t="str">
        <v>D</v>
      </c>
      <c r="F10060">
        <f>VLOOKUP(D10044,'Detail Balok'!$C$10:$AU$110,27,FALSE)</f>
        <v>16</v>
      </c>
      <c r="I10060" t="str">
        <v>(</v>
      </c>
      <c r="J10060">
        <f>+J10052</f>
        <v>1</v>
      </c>
      <c r="K10060" t="str">
        <v>+</v>
      </c>
      <c r="M10060" t="str">
        <v>=</v>
      </c>
      <c r="N10060">
        <f>J10060+L10060</f>
        <v>1</v>
      </c>
      <c r="O10060" t="str">
        <v>+</v>
      </c>
      <c r="P10060">
        <f>MAX(D10060-D10059,D10060-D10061)</f>
        <v>0</v>
      </c>
      <c r="Q10060" t="str">
        <v>x</v>
      </c>
      <c r="R10060">
        <f>IF(P10060&gt;0,2*(1-2*$F$19-1/2)*D10047/1000,0)</f>
        <v>0</v>
      </c>
      <c r="S10060" t="str">
        <v>)</v>
      </c>
      <c r="T10060" t="str">
        <v>x</v>
      </c>
      <c r="U10060">
        <f>0.006165*F10060^2</f>
        <v>1.57824</v>
      </c>
      <c r="X10060" t="str">
        <v>x</v>
      </c>
      <c r="Y10060">
        <f>D10050</f>
        <v>1</v>
      </c>
      <c r="Z10060" t="str">
        <v>=</v>
      </c>
      <c r="AA10060">
        <f>IF(AA10062=0,(D10060*N10060+P10060*R10060)*U10060*Y10060,0)</f>
        <v>0</v>
      </c>
    </row>
    <row r="10061">
      <c r="A10061" t="str">
        <f>A10044</f>
        <v>Lantai Attic</v>
      </c>
      <c r="B10061">
        <f>B10044</f>
        <v>71</v>
      </c>
      <c r="C10061" t="str">
        <v>Tul Bawah Tumpuan</v>
      </c>
      <c r="D10061">
        <f>VLOOKUP(D10044,'Detail Balok'!$C$10:$AU$110,28,FALSE)</f>
        <v>2</v>
      </c>
      <c r="E10061" t="str">
        <v>D</v>
      </c>
      <c r="F10061">
        <f>VLOOKUP(D10044,'Detail Balok'!$C$10:$AU$110,30,FALSE)</f>
        <v>16</v>
      </c>
      <c r="I10061" t="str">
        <v>(</v>
      </c>
      <c r="J10061">
        <f>+J10053</f>
        <v>0.5</v>
      </c>
      <c r="K10061" t="str">
        <v>+</v>
      </c>
      <c r="L10061">
        <f>MAX(VLOOKUP(F10061,N$6:P$15,3,FALSE)/1000,2/3*D10049/1000)+F$16*F10061/1000</f>
        <v>0.192</v>
      </c>
      <c r="M10061" t="str">
        <v>=</v>
      </c>
      <c r="N10061">
        <f>J10061+L10061</f>
        <v>0.692</v>
      </c>
      <c r="O10061" t="str">
        <v>+</v>
      </c>
      <c r="P10061">
        <f>D10061-D10060</f>
        <v>0</v>
      </c>
      <c r="Q10061" t="str">
        <v>x</v>
      </c>
      <c r="R10061">
        <f>IF(P10061&gt;0,$F$18*F10061/1000,0)</f>
        <v>0</v>
      </c>
      <c r="S10061" t="str">
        <v>)</v>
      </c>
      <c r="T10061" t="str">
        <v>x</v>
      </c>
      <c r="U10061">
        <f>0.006165*F10061^2</f>
        <v>1.57824</v>
      </c>
      <c r="X10061" t="str">
        <v>x</v>
      </c>
      <c r="Y10061">
        <f>D10050</f>
        <v>1</v>
      </c>
      <c r="Z10061" t="str">
        <v>=</v>
      </c>
      <c r="AA10061">
        <f>IF(AA10062=0,(D10061*N10061+P10061*R10061)*U10061*Y10061,0)</f>
        <v>0</v>
      </c>
    </row>
    <row r="10062">
      <c r="A10062" t="str">
        <f>A10044</f>
        <v>Lantai Attic</v>
      </c>
      <c r="B10062">
        <f>B10044</f>
        <v>71</v>
      </c>
      <c r="D10062">
        <f>IF(AND(D10059=D10060,D10060=D10061,D10059=D10061),D10059,0)</f>
        <v>2</v>
      </c>
      <c r="E10062" t="str">
        <v>D</v>
      </c>
      <c r="F10062">
        <f>IF(AND(F10059=F10060,F10059=F10061,F10060=F10061),F10059,0)</f>
        <v>16</v>
      </c>
      <c r="L10062" t="str">
        <v>Total panjang per balok</v>
      </c>
      <c r="M10062" t="str">
        <v>=</v>
      </c>
      <c r="N10062">
        <f>IF(AND(D10059=D10060,D10059=D10061,D10060=D10061,F10059=F10060,F10059=F10061,F10060=F10061),SUM(N10059:N10061),0)</f>
        <v>2.384</v>
      </c>
      <c r="O10062" t="str">
        <v>+</v>
      </c>
      <c r="P10062">
        <f>IF(N10062&gt;12,ROUNDDOWN(N10062/12,0),0)</f>
        <v>0</v>
      </c>
      <c r="Q10062" t="str">
        <v>x</v>
      </c>
      <c r="R10062">
        <f>IF(P10062&gt;0,MAX(VLOOKUP(F10062,$D$6:$G$15,3,FALSE),600),0)/1000</f>
        <v>0</v>
      </c>
      <c r="T10062" t="str">
        <v>x</v>
      </c>
      <c r="U10062">
        <f>U10061</f>
        <v>1.57824</v>
      </c>
      <c r="V10062" t="str">
        <v>x</v>
      </c>
      <c r="W10062">
        <f>D10062</f>
        <v>2</v>
      </c>
      <c r="X10062" t="str">
        <v>x</v>
      </c>
      <c r="Y10062">
        <f>Y10061</f>
        <v>1</v>
      </c>
      <c r="Z10062" t="str">
        <v>=</v>
      </c>
      <c r="AA10062">
        <f>(N10062+P10062*R10062/1000)*U10062*W10062*Y10062</f>
        <v>7.52504832</v>
      </c>
    </row>
    <row r="10064">
      <c r="A10064" t="str">
        <f>A10044</f>
        <v>Lantai Attic</v>
      </c>
      <c r="B10064">
        <f>B10044</f>
        <v>71</v>
      </c>
      <c r="C10064" t="str">
        <v>Sengkang Tumpuan</v>
      </c>
      <c r="D10064">
        <f>VLOOKUP(D10044,'Detail Balok'!$C$10:$AU$110,31,FALSE)</f>
        <v>0</v>
      </c>
      <c r="E10064" t="str">
        <v>D</v>
      </c>
      <c r="F10064">
        <f>VLOOKUP(D10044,'Detail Balok'!$C$10:$AU$110,33,FALSE)</f>
        <v>10</v>
      </c>
      <c r="G10064" t="str">
        <v>-</v>
      </c>
      <c r="H10064">
        <f>VLOOKUP(D10044,'Detail Balok'!$C$10:$AU$110,35,FALSE)</f>
        <v>90</v>
      </c>
      <c r="J10064">
        <f>(IF(D10064=0,(2*(D10045+G10045))-(F$5*8),IF(D10064=3,(2*(D10045+G10045))-(F$5*8)+(G10045-2*F$5),IF(D10064=4,(2*(D10045+G10045))-(F$5*8)+2*(G10045-2*F$5)))))/1000</f>
        <v>0.98</v>
      </c>
      <c r="K10064" t="str">
        <v>+</v>
      </c>
      <c r="L10064">
        <f>IF(D10064=0,2*MAX(6*F10064,75),(D10064-1)*2*MAX(6*F10064,75))/1000</f>
        <v>0.15</v>
      </c>
      <c r="M10064" t="str">
        <v>=</v>
      </c>
      <c r="N10064">
        <f>J10064+L10064</f>
        <v>1.13</v>
      </c>
      <c r="T10064" t="str">
        <v>x</v>
      </c>
      <c r="U10064">
        <f>0.006165*F10064^2</f>
        <v>0.6165</v>
      </c>
      <c r="V10064" t="str">
        <v>x</v>
      </c>
      <c r="W10064">
        <f>IF(D10047&gt;4*G10045,ROUND(MAX(D10047/4,2*G10045)/H10064,0)+1,ROUND(D10047/H10064,0)+1)</f>
        <v>11</v>
      </c>
      <c r="X10064" t="str">
        <v>x</v>
      </c>
      <c r="Y10064">
        <f>D10050</f>
        <v>1</v>
      </c>
      <c r="Z10064" t="str">
        <v>=</v>
      </c>
      <c r="AA10064">
        <f>N10064*U10064*W10064*Y10064</f>
        <v>7.663094999999999</v>
      </c>
    </row>
    <row r="10065">
      <c r="A10065" t="str">
        <f>A10044</f>
        <v>Lantai Attic</v>
      </c>
      <c r="B10065">
        <f>B10044</f>
        <v>71</v>
      </c>
      <c r="C10065" t="str">
        <v>Sengkang Lapangan</v>
      </c>
      <c r="D10065">
        <f>VLOOKUP(D10044,'Detail Balok'!$C$10:$AU$110,36,FALSE)</f>
        <v>0</v>
      </c>
      <c r="E10065" t="str">
        <v>D</v>
      </c>
      <c r="F10065">
        <f>VLOOKUP(D10044,'Detail Balok'!$C$10:$AU$110,38,FALSE)</f>
        <v>10</v>
      </c>
      <c r="G10065" t="str">
        <v>-</v>
      </c>
      <c r="H10065">
        <f>VLOOKUP(D10044,'Detail Balok'!$C$10:$AU$110,40,FALSE)</f>
        <v>175</v>
      </c>
      <c r="J10065">
        <f>(IF(D10065=0,(2*(D10045+G10045))-(F$5*8),IF(D10065=3,(2*(D10045+G10045))-(F$5*8)+(G10045-2*F$5),IF(D10065=4,(2*(D10045+G10045))-(F$5*8)+2*(G10045-2*F$5)))))/1000</f>
        <v>0.98</v>
      </c>
      <c r="K10065" t="str">
        <v>+</v>
      </c>
      <c r="L10065">
        <f>IF(D10065=0,2*MAX(6*F10065,75),(D10065-1)*2*MAX(6*F10065,75))/1000</f>
        <v>0.15</v>
      </c>
      <c r="M10065" t="str">
        <v>=</v>
      </c>
      <c r="N10065">
        <f>J10065+L10065</f>
        <v>1.13</v>
      </c>
      <c r="T10065" t="str">
        <v>x</v>
      </c>
      <c r="U10065">
        <f>0.006165*F10065^2</f>
        <v>0.6165</v>
      </c>
      <c r="V10065" t="str">
        <v>x</v>
      </c>
      <c r="W10065">
        <f>IF(D10047-MAX(D10047/4,2*G10045)*2&gt;0,ROUND((D10047-MAX(D10047/4,2*G10045)*2)/H10065,0),0)</f>
        <v>1</v>
      </c>
      <c r="X10065" t="str">
        <v>x</v>
      </c>
      <c r="Y10065">
        <f>D10050</f>
        <v>1</v>
      </c>
      <c r="Z10065" t="str">
        <v>=</v>
      </c>
      <c r="AA10065">
        <f>N10065*U10065*W10065*Y10065</f>
        <v>0.696645</v>
      </c>
    </row>
    <row r="10066">
      <c r="A10066" t="str">
        <f>A10044</f>
        <v>Lantai Attic</v>
      </c>
      <c r="B10066">
        <f>B10044</f>
        <v>71</v>
      </c>
      <c r="C10066" t="str">
        <v>Sengkang Tumpuan</v>
      </c>
      <c r="D10066">
        <f>VLOOKUP(D10044,'Detail Balok'!$C$10:$AU$110,41,FALSE)</f>
        <v>0</v>
      </c>
      <c r="E10066" t="str">
        <v>D</v>
      </c>
      <c r="F10066">
        <f>VLOOKUP(D10044,'Detail Balok'!$C$10:$AU$110,43,FALSE)</f>
        <v>10</v>
      </c>
      <c r="G10066" t="str">
        <v>-</v>
      </c>
      <c r="H10066">
        <f>VLOOKUP(D10044,'Detail Balok'!$C$10:$AU$110,45,FALSE)</f>
        <v>90</v>
      </c>
      <c r="J10066">
        <f>(IF(D10066=0,(2*(D10045+G10045))-(F$5*8),IF(D10066=3,(2*(D10045+G10045))-(F$5*8)+(G10045-2*F$5),IF(D10066=4,(2*(D10045+G10045))-(F$5*8)+2*(G10045-2*F$5)))))/1000</f>
        <v>0.98</v>
      </c>
      <c r="K10066" t="str">
        <v>+</v>
      </c>
      <c r="L10066">
        <f>IF(D10066=0,2*MAX(6*F10066,75),(D10066-1)*2*MAX(6*F10066,75))/1000</f>
        <v>0.15</v>
      </c>
      <c r="M10066" t="str">
        <v>=</v>
      </c>
      <c r="N10066">
        <f>J10066+L10066</f>
        <v>1.13</v>
      </c>
      <c r="T10066" t="str">
        <v>x</v>
      </c>
      <c r="U10066">
        <f>0.006165*F10066^2</f>
        <v>0.6165</v>
      </c>
      <c r="V10066" t="str">
        <v>x</v>
      </c>
      <c r="W10066">
        <f>IF(D10047&gt;4*G10045,ROUND(MAX(D10047/4,2*G10045)/H10066,0)+1,0)</f>
        <v>11</v>
      </c>
      <c r="X10066" t="str">
        <v>x</v>
      </c>
      <c r="Y10066">
        <f>D10050</f>
        <v>1</v>
      </c>
      <c r="Z10066" t="str">
        <v>=</v>
      </c>
      <c r="AA10066">
        <f>N10066*U10066*W10066*Y10066</f>
        <v>7.663094999999999</v>
      </c>
    </row>
    <row r="10068">
      <c r="A10068" t="str">
        <f>A10044</f>
        <v>Lantai Attic</v>
      </c>
      <c r="B10068">
        <f>B10044</f>
        <v>71</v>
      </c>
      <c r="C10068" t="str">
        <v>Kait Horizontal Tump.</v>
      </c>
      <c r="D10068">
        <f>VLOOKUP(D10044,'Detail Balok'!$C$10:$BJ$110,46,FALSE)</f>
        <v>0</v>
      </c>
      <c r="E10068" t="str">
        <v>D</v>
      </c>
      <c r="F10068">
        <f>VLOOKUP(D10044,'Detail Balok'!$C$10:$BJ$110,48,FALSE)</f>
        <v>0</v>
      </c>
      <c r="G10068" t="str">
        <v>-</v>
      </c>
      <c r="H10068">
        <f>VLOOKUP(D10044,'Detail Balok'!$C$10:$BJ$110,50,FALSE)</f>
        <v>100</v>
      </c>
      <c r="J10068">
        <f>(D10045-2*F$5)/1000</f>
        <v>0.12</v>
      </c>
      <c r="K10068" t="str">
        <v>+</v>
      </c>
      <c r="L10068">
        <f>IF(D10068=0,2*MAX(6*F10068,75),(D10068-1)*2*MAX(6*F10068,75))/1000</f>
        <v>0.15</v>
      </c>
      <c r="M10068" t="str">
        <v>=</v>
      </c>
      <c r="N10068">
        <f>J10068+L10068</f>
        <v>0.27</v>
      </c>
      <c r="T10068" t="str">
        <v>x</v>
      </c>
      <c r="U10068">
        <f>0.006165*F10068^2</f>
        <v>0</v>
      </c>
      <c r="V10068" t="str">
        <v>x</v>
      </c>
      <c r="W10068">
        <f>W10064</f>
        <v>11</v>
      </c>
      <c r="X10068" t="str">
        <v>x</v>
      </c>
      <c r="Y10068">
        <f>D10054</f>
        <v>2</v>
      </c>
      <c r="Z10068" t="str">
        <v>=</v>
      </c>
      <c r="AA10068">
        <f>N10068*U10068*W10068*Y10068</f>
        <v>0</v>
      </c>
    </row>
    <row r="10069">
      <c r="A10069" t="str">
        <f>A10044</f>
        <v>Lantai Attic</v>
      </c>
      <c r="B10069">
        <f>B10044</f>
        <v>71</v>
      </c>
      <c r="C10069" t="str">
        <v>Kait Horizontal Lap.</v>
      </c>
      <c r="D10069">
        <f>VLOOKUP(D10044,'Detail Balok'!$C$10:$BJ$110,51,FALSE)</f>
        <v>0</v>
      </c>
      <c r="E10069" t="str">
        <v>D</v>
      </c>
      <c r="F10069">
        <f>VLOOKUP(D10044,'Detail Balok'!$C$10:$BJ$110,53,FALSE)</f>
        <v>0</v>
      </c>
      <c r="G10069" t="str">
        <v>-</v>
      </c>
      <c r="H10069">
        <f>VLOOKUP(D10044,'Detail Balok'!$C$10:$BJ$110,55,FALSE)</f>
        <v>100</v>
      </c>
      <c r="J10069">
        <f>(D10045-2*F$5)/1000</f>
        <v>0.12</v>
      </c>
      <c r="K10069" t="str">
        <v>+</v>
      </c>
      <c r="L10069">
        <f>IF(D10069=0,2*MAX(6*F10069,75),(D10069-1)*2*MAX(6*F10069,75))/1000</f>
        <v>0.15</v>
      </c>
      <c r="M10069" t="str">
        <v>=</v>
      </c>
      <c r="N10069">
        <f>J10069+L10069</f>
        <v>0.27</v>
      </c>
      <c r="T10069" t="str">
        <v>x</v>
      </c>
      <c r="U10069">
        <f>0.006165*F10069^2</f>
        <v>0</v>
      </c>
      <c r="V10069" t="str">
        <v>x</v>
      </c>
      <c r="W10069">
        <f>W10065</f>
        <v>1</v>
      </c>
      <c r="X10069" t="str">
        <v>x</v>
      </c>
      <c r="Y10069">
        <f>D10054</f>
        <v>2</v>
      </c>
      <c r="Z10069" t="str">
        <v>=</v>
      </c>
      <c r="AA10069">
        <f>N10069*U10069*W10069*Y10069</f>
        <v>0</v>
      </c>
    </row>
    <row r="10070">
      <c r="A10070" t="str">
        <f>A10044</f>
        <v>Lantai Attic</v>
      </c>
      <c r="B10070">
        <f>B10044</f>
        <v>71</v>
      </c>
      <c r="C10070" t="str">
        <v>Kait Horizontal Tump.</v>
      </c>
      <c r="D10070">
        <f>VLOOKUP(D10044,'Detail Balok'!$C$10:$BJ$110,56,FALSE)</f>
        <v>0</v>
      </c>
      <c r="E10070" t="str">
        <v>D</v>
      </c>
      <c r="F10070">
        <f>VLOOKUP(D10044,'Detail Balok'!$C$10:$BJ$110,58,FALSE)</f>
        <v>0</v>
      </c>
      <c r="G10070" t="str">
        <v>-</v>
      </c>
      <c r="H10070">
        <f>VLOOKUP(D10044,'Detail Balok'!$C$10:$BJ$110,60,FALSE)</f>
        <v>100</v>
      </c>
      <c r="J10070">
        <f>(D10045-2*F$5)/1000</f>
        <v>0.12</v>
      </c>
      <c r="K10070" t="str">
        <v>+</v>
      </c>
      <c r="L10070">
        <f>IF(D10070=0,2*MAX(6*F10070,75),(D10070-1)*2*MAX(6*F10070,75))/1000</f>
        <v>0.15</v>
      </c>
      <c r="M10070" t="str">
        <v>=</v>
      </c>
      <c r="N10070">
        <f>J10070+L10070</f>
        <v>0.27</v>
      </c>
      <c r="T10070" t="str">
        <v>x</v>
      </c>
      <c r="U10070">
        <f>0.006165*F10070^2</f>
        <v>0</v>
      </c>
      <c r="V10070" t="str">
        <v>x</v>
      </c>
      <c r="W10070">
        <f>W10066</f>
        <v>11</v>
      </c>
      <c r="X10070" t="str">
        <v>x</v>
      </c>
      <c r="Y10070">
        <f>D10054</f>
        <v>2</v>
      </c>
      <c r="Z10070" t="str">
        <v>=</v>
      </c>
      <c r="AA10070">
        <f>N10070*U10070*W10070*Y10070</f>
        <v>0</v>
      </c>
    </row>
    <row r="10074">
      <c r="A10074" t="str">
        <f>A10044</f>
        <v>Lantai Attic</v>
      </c>
      <c r="B10074">
        <f>B10044+1</f>
        <v>72</v>
      </c>
      <c r="C10074" t="str">
        <f>CONCATENATE(A10074," no. ",B10074)</f>
        <v>Lantai Attic no. 72</v>
      </c>
      <c r="D10074" t="str">
        <f>VLOOKUP(C10074,'Data Panjang Balok'!$C$9:$N$424,2,FALSE)</f>
        <v>B175-1</v>
      </c>
    </row>
    <row r="10075">
      <c r="C10075" t="str">
        <v>Dimensi</v>
      </c>
      <c r="D10075">
        <f>VLOOKUP(D10074,'Detail Balok'!$C$10:$AU$110,2,FALSE)</f>
        <v>170</v>
      </c>
      <c r="F10075" t="str">
        <v>x</v>
      </c>
      <c r="G10075">
        <f>VLOOKUP(D10074,'Detail Balok'!$C$10:$AU$110,3,FALSE)</f>
        <v>500</v>
      </c>
    </row>
    <row r="10076">
      <c r="C10076" t="str">
        <v>Panjang as ke as</v>
      </c>
      <c r="D10076">
        <f>VLOOKUP(C10074,'Data Panjang Balok'!$C$9:$N$424,4,FALSE)</f>
        <v>3650</v>
      </c>
    </row>
    <row r="10077">
      <c r="C10077" t="str">
        <v>Panjang netto</v>
      </c>
      <c r="D10077">
        <f>VLOOKUP(C10074,'Data Panjang Balok'!$C$9:$N$424,7,FALSE)</f>
        <v>3650</v>
      </c>
    </row>
    <row r="10078">
      <c r="C10078" t="str">
        <v>Kolom / balok kiri</v>
      </c>
      <c r="D10078">
        <f>VLOOKUP(C10074,'Data Panjang Balok'!$C$9:$N$424,9,FALSE)</f>
        <v>0</v>
      </c>
    </row>
    <row r="10079">
      <c r="C10079" t="str">
        <v>Kolom / balok kanan</v>
      </c>
      <c r="D10079">
        <f>VLOOKUP(C10074,'Data Panjang Balok'!$C$9:$N$424,10,FALSE)</f>
        <v>0</v>
      </c>
    </row>
    <row r="10080">
      <c r="C10080" t="str">
        <v>Jumlah</v>
      </c>
      <c r="D10080">
        <f>VLOOKUP(C10074,'Data Panjang Balok'!$C$9:$N$424,3,FALSE)</f>
        <v>1</v>
      </c>
    </row>
    <row r="10081">
      <c r="A10081" t="str">
        <f>A10074</f>
        <v>Lantai Attic</v>
      </c>
      <c r="B10081">
        <f>B10074</f>
        <v>72</v>
      </c>
      <c r="C10081" t="str">
        <v>Tul Atas Tumpuan</v>
      </c>
      <c r="D10081">
        <f>VLOOKUP(D10074,'Detail Balok'!$C$10:$AU$110,4,FALSE)</f>
        <v>2</v>
      </c>
      <c r="E10081" t="str">
        <v>D</v>
      </c>
      <c r="F10081">
        <f>VLOOKUP(D10074,'Detail Balok'!$C$10:$AU$110,6,FALSE)</f>
        <v>13</v>
      </c>
      <c r="I10081" t="str">
        <v>(</v>
      </c>
      <c r="J10081">
        <f>+D10076/4/1000</f>
        <v>0.9125</v>
      </c>
      <c r="K10081" t="str">
        <v>+</v>
      </c>
      <c r="L10081">
        <f>MAX(VLOOKUP(F10081,N$6:P$15,3,FALSE)/1000,2/3*D10078/1000)+F$16*F10081/1000</f>
        <v>0.156</v>
      </c>
      <c r="M10081" t="str">
        <v>=</v>
      </c>
      <c r="N10081">
        <f>J10081+L10081</f>
        <v>1.0685</v>
      </c>
      <c r="O10081" t="str">
        <v>+</v>
      </c>
      <c r="P10081">
        <f>D10081-D10082</f>
        <v>0</v>
      </c>
      <c r="Q10081" t="str">
        <v>x</v>
      </c>
      <c r="R10081">
        <f>IF(P10081&gt;0,$F$18*F10081/1000,0)</f>
        <v>0</v>
      </c>
      <c r="S10081" t="str">
        <v>)</v>
      </c>
      <c r="T10081" t="str">
        <v>x</v>
      </c>
      <c r="U10081">
        <f>0.006165*F10081^2</f>
        <v>1.041885</v>
      </c>
      <c r="X10081" t="str">
        <v>x</v>
      </c>
      <c r="Y10081">
        <f>D10080</f>
        <v>1</v>
      </c>
      <c r="Z10081" t="str">
        <v>=</v>
      </c>
      <c r="AA10081">
        <f>IF(AA10084=0,(D10081*N10081+P10081*R10081)*U10081*Y10081,0)</f>
        <v>0</v>
      </c>
    </row>
    <row r="10082">
      <c r="A10082" t="str">
        <f>A10074</f>
        <v>Lantai Attic</v>
      </c>
      <c r="B10082">
        <f>B10074</f>
        <v>72</v>
      </c>
      <c r="C10082" t="str">
        <v>Tul Atas Lapangan</v>
      </c>
      <c r="D10082">
        <f>VLOOKUP(D10074,'Detail Balok'!$C$10:$AU$110,7,FALSE)</f>
        <v>2</v>
      </c>
      <c r="E10082" t="str">
        <v>D</v>
      </c>
      <c r="F10082">
        <f>VLOOKUP(D10074,'Detail Balok'!$C$10:$AU$110,9,FALSE)</f>
        <v>13</v>
      </c>
      <c r="I10082" t="str">
        <v>(</v>
      </c>
      <c r="J10082">
        <f>+D10076/2/1000</f>
        <v>1.825</v>
      </c>
      <c r="K10082" t="str">
        <v>+</v>
      </c>
      <c r="M10082" t="str">
        <v>=</v>
      </c>
      <c r="N10082">
        <f>J10082+L10082</f>
        <v>1.825</v>
      </c>
      <c r="O10082" t="str">
        <v>+</v>
      </c>
      <c r="P10082">
        <f>MAX(D10082-D10081,D10082-D10083)</f>
        <v>0</v>
      </c>
      <c r="Q10082" t="str">
        <v>x</v>
      </c>
      <c r="R10082">
        <f>IF(P10082&gt;0,2*(1-2*$F$19-1/2)*D10077/1000,0)</f>
        <v>0</v>
      </c>
      <c r="S10082" t="str">
        <v>)</v>
      </c>
      <c r="T10082" t="str">
        <v>x</v>
      </c>
      <c r="U10082">
        <f>0.006165*F10082^2</f>
        <v>1.041885</v>
      </c>
      <c r="X10082" t="str">
        <v>x</v>
      </c>
      <c r="Y10082">
        <f>D10080</f>
        <v>1</v>
      </c>
      <c r="Z10082" t="str">
        <v>=</v>
      </c>
      <c r="AA10082">
        <f>IF(AA10084=0,(D10082*N10082+P10082*R10082)*U10082*Y10082,0)</f>
        <v>0</v>
      </c>
    </row>
    <row r="10083">
      <c r="A10083" t="str">
        <f>A10074</f>
        <v>Lantai Attic</v>
      </c>
      <c r="B10083">
        <f>B10074</f>
        <v>72</v>
      </c>
      <c r="C10083" t="str">
        <v>Tul Atas Tumpuan</v>
      </c>
      <c r="D10083">
        <f>VLOOKUP(D10074,'Detail Balok'!$C$10:$AU$110,10,FALSE)</f>
        <v>2</v>
      </c>
      <c r="E10083" t="str">
        <v>D</v>
      </c>
      <c r="F10083">
        <f>VLOOKUP(D10074,'Detail Balok'!$C$10:$AU$110,12,FALSE)</f>
        <v>13</v>
      </c>
      <c r="I10083" t="str">
        <v>(</v>
      </c>
      <c r="J10083">
        <f>+D10076/4/1000</f>
        <v>0.9125</v>
      </c>
      <c r="K10083" t="str">
        <v>+</v>
      </c>
      <c r="L10083">
        <f>MAX(VLOOKUP(F10083,N$6:P$15,3,FALSE)/1000,2/3*D10078/1000)+F$16*F10083/1000</f>
        <v>0.156</v>
      </c>
      <c r="M10083" t="str">
        <v>=</v>
      </c>
      <c r="N10083">
        <f>J10083+L10083</f>
        <v>1.0685</v>
      </c>
      <c r="O10083" t="str">
        <v>+</v>
      </c>
      <c r="P10083">
        <f>D10083-D10082</f>
        <v>0</v>
      </c>
      <c r="Q10083" t="str">
        <v>x</v>
      </c>
      <c r="R10083">
        <f>IF(P10083&gt;0,$F$18*F10083/1000,0)</f>
        <v>0</v>
      </c>
      <c r="S10083" t="str">
        <v>)</v>
      </c>
      <c r="T10083" t="str">
        <v>x</v>
      </c>
      <c r="U10083">
        <f>0.006165*F10083^2</f>
        <v>1.041885</v>
      </c>
      <c r="X10083" t="str">
        <v>x</v>
      </c>
      <c r="Y10083">
        <f>D10080</f>
        <v>1</v>
      </c>
      <c r="Z10083" t="str">
        <v>=</v>
      </c>
      <c r="AA10083">
        <f>IF(AA10084=0,(D10083*N10083+P10083*R10083)*U10083*Y10083,0)</f>
        <v>0</v>
      </c>
    </row>
    <row r="10084">
      <c r="A10084" t="str">
        <f>A10074</f>
        <v>Lantai Attic</v>
      </c>
      <c r="B10084">
        <f>B10074</f>
        <v>72</v>
      </c>
      <c r="D10084">
        <f>IF(AND(D10081=D10082,D10082=D10083,D10081=D10083),D10081,0)</f>
        <v>2</v>
      </c>
      <c r="E10084" t="str">
        <v>D</v>
      </c>
      <c r="F10084">
        <f>IF(AND(F10081=F10082,F10081=F10083,F10082=F10083),F10081,0)</f>
        <v>13</v>
      </c>
      <c r="L10084" t="str">
        <v>Total panjang per balok</v>
      </c>
      <c r="M10084" t="str">
        <v>=</v>
      </c>
      <c r="N10084">
        <f>IF(AND(D10081=D10082,D10081=D10083,D10082=D10083,F10081=F10082,F10081=F10083,F10082=F10083),SUM(N10081:N10083),0)</f>
        <v>3.9619999999999997</v>
      </c>
      <c r="O10084" t="str">
        <v>+</v>
      </c>
      <c r="P10084">
        <f>IF(N10084&gt;12,ROUNDDOWN(N10084/12,0),0)</f>
        <v>0</v>
      </c>
      <c r="Q10084" t="str">
        <v>x</v>
      </c>
      <c r="R10084">
        <f>IF(P10084&gt;0,MAX(VLOOKUP(F10084,$D$6:$G$15,3,FALSE),600),0)/1000</f>
        <v>0</v>
      </c>
      <c r="T10084" t="str">
        <v>x</v>
      </c>
      <c r="U10084">
        <f>U10083</f>
        <v>1.041885</v>
      </c>
      <c r="V10084" t="str">
        <v>x</v>
      </c>
      <c r="W10084">
        <f>D10084</f>
        <v>2</v>
      </c>
      <c r="X10084" t="str">
        <v>x</v>
      </c>
      <c r="Y10084">
        <f>Y10083</f>
        <v>1</v>
      </c>
      <c r="Z10084" t="str">
        <v>=</v>
      </c>
      <c r="AA10084">
        <f>(N10084+P10084*R10084/1000)*U10084*W10084*Y10084</f>
        <v>8.255896739999999</v>
      </c>
    </row>
    <row r="10086">
      <c r="A10086" t="str">
        <f>A10074</f>
        <v>Lantai Attic</v>
      </c>
      <c r="B10086">
        <f>B10074</f>
        <v>72</v>
      </c>
      <c r="C10086" t="str">
        <v>Tul Peminggang</v>
      </c>
      <c r="D10086">
        <f>VLOOKUP(D10074,'Detail Balok'!$C$10:$AU$110,13,FALSE)</f>
        <v>2</v>
      </c>
      <c r="E10086" t="str">
        <v>D</v>
      </c>
      <c r="F10086">
        <f>VLOOKUP(D10074,'Detail Balok'!$C$10:$AU$110,15,FALSE)</f>
        <v>10</v>
      </c>
      <c r="J10086">
        <f>+D10076/1000</f>
        <v>3.65</v>
      </c>
      <c r="K10086" t="str">
        <v>+</v>
      </c>
      <c r="L10086">
        <f>2*$F$16*F10086/1000</f>
        <v>0.24</v>
      </c>
      <c r="M10086" t="str">
        <v>=</v>
      </c>
      <c r="N10086">
        <f>J10086+L10086</f>
        <v>3.8899999999999997</v>
      </c>
      <c r="O10086" t="str">
        <v>+</v>
      </c>
      <c r="P10086">
        <f>IF(N10086&gt;12,ROUNDDOWN(N10086/12,0),0)</f>
        <v>0</v>
      </c>
      <c r="Q10086" t="str">
        <v>x</v>
      </c>
      <c r="R10086">
        <f>IF(P10086&gt;0,MAX(VLOOKUP(F10086,$D$6:$G$15,3,FALSE),600),0)/1000</f>
        <v>0</v>
      </c>
      <c r="T10086" t="str">
        <v>x</v>
      </c>
      <c r="U10086">
        <f>0.006165*F10086^2</f>
        <v>0.6165</v>
      </c>
      <c r="V10086" t="str">
        <v>x</v>
      </c>
      <c r="W10086">
        <f>+D10086</f>
        <v>2</v>
      </c>
      <c r="X10086" t="str">
        <v>x</v>
      </c>
      <c r="Y10086">
        <f>D10080</f>
        <v>1</v>
      </c>
      <c r="Z10086" t="str">
        <v>=</v>
      </c>
      <c r="AA10086">
        <f>(N10086+P10086*R10086/1000)*U10086*W10086*Y10086</f>
        <v>4.79637</v>
      </c>
    </row>
    <row r="10089">
      <c r="A10089" t="str">
        <f>A10074</f>
        <v>Lantai Attic</v>
      </c>
      <c r="B10089">
        <f>B10074</f>
        <v>72</v>
      </c>
      <c r="C10089" t="str">
        <v>Tul Bawah Tumpuan</v>
      </c>
      <c r="D10089">
        <f>VLOOKUP(D10074,'Detail Balok'!$C$10:$AU$110,22,FALSE)</f>
        <v>2</v>
      </c>
      <c r="E10089" t="str">
        <v>D</v>
      </c>
      <c r="F10089">
        <f>VLOOKUP(D10074,'Detail Balok'!$C$10:$AU$110,24,FALSE)</f>
        <v>13</v>
      </c>
      <c r="I10089" t="str">
        <v>(</v>
      </c>
      <c r="J10089">
        <f>+J10081</f>
        <v>0.9125</v>
      </c>
      <c r="K10089" t="str">
        <v>+</v>
      </c>
      <c r="L10089">
        <f>MAX(VLOOKUP(F10089,N$6:P$15,3,FALSE)/1000,2/3*D10079/1000)+F$16*F10089/1000</f>
        <v>0.156</v>
      </c>
      <c r="M10089" t="str">
        <v>=</v>
      </c>
      <c r="N10089">
        <f>J10089+L10089</f>
        <v>1.0685</v>
      </c>
      <c r="O10089" t="str">
        <v>+</v>
      </c>
      <c r="P10089">
        <f>D10089-D10090</f>
        <v>0</v>
      </c>
      <c r="Q10089" t="str">
        <v>x</v>
      </c>
      <c r="R10089">
        <f>IF(P10089&gt;0,$F$18*F10089/1000,0)</f>
        <v>0</v>
      </c>
      <c r="S10089" t="str">
        <v>)</v>
      </c>
      <c r="T10089" t="str">
        <v>x</v>
      </c>
      <c r="U10089">
        <f>0.006165*F10089^2</f>
        <v>1.041885</v>
      </c>
      <c r="X10089" t="str">
        <v>x</v>
      </c>
      <c r="Y10089">
        <f>D10080</f>
        <v>1</v>
      </c>
      <c r="Z10089" t="str">
        <v>=</v>
      </c>
      <c r="AA10089">
        <f>IF(AA10092=0,(D10089*N10089+P10089*R10089)*U10089*Y10089,0)</f>
        <v>0</v>
      </c>
    </row>
    <row r="10090">
      <c r="A10090" t="str">
        <f>A10074</f>
        <v>Lantai Attic</v>
      </c>
      <c r="B10090">
        <f>B10074</f>
        <v>72</v>
      </c>
      <c r="C10090" t="str">
        <v>Tul Bawah Lapangan</v>
      </c>
      <c r="D10090">
        <f>VLOOKUP(D10074,'Detail Balok'!$C$10:$AU$110,25,FALSE)</f>
        <v>2</v>
      </c>
      <c r="E10090" t="str">
        <v>D</v>
      </c>
      <c r="F10090">
        <f>VLOOKUP(D10074,'Detail Balok'!$C$10:$AU$110,27,FALSE)</f>
        <v>13</v>
      </c>
      <c r="I10090" t="str">
        <v>(</v>
      </c>
      <c r="J10090">
        <f>+J10082</f>
        <v>1.825</v>
      </c>
      <c r="K10090" t="str">
        <v>+</v>
      </c>
      <c r="M10090" t="str">
        <v>=</v>
      </c>
      <c r="N10090">
        <f>J10090+L10090</f>
        <v>1.825</v>
      </c>
      <c r="O10090" t="str">
        <v>+</v>
      </c>
      <c r="P10090">
        <f>MAX(D10090-D10089,D10090-D10091)</f>
        <v>0</v>
      </c>
      <c r="Q10090" t="str">
        <v>x</v>
      </c>
      <c r="R10090">
        <f>IF(P10090&gt;0,2*(1-2*$F$19-1/2)*D10077/1000,0)</f>
        <v>0</v>
      </c>
      <c r="S10090" t="str">
        <v>)</v>
      </c>
      <c r="T10090" t="str">
        <v>x</v>
      </c>
      <c r="U10090">
        <f>0.006165*F10090^2</f>
        <v>1.041885</v>
      </c>
      <c r="X10090" t="str">
        <v>x</v>
      </c>
      <c r="Y10090">
        <f>D10080</f>
        <v>1</v>
      </c>
      <c r="Z10090" t="str">
        <v>=</v>
      </c>
      <c r="AA10090">
        <f>IF(AA10092=0,(D10090*N10090+P10090*R10090)*U10090*Y10090,0)</f>
        <v>0</v>
      </c>
    </row>
    <row r="10091">
      <c r="A10091" t="str">
        <f>A10074</f>
        <v>Lantai Attic</v>
      </c>
      <c r="B10091">
        <f>B10074</f>
        <v>72</v>
      </c>
      <c r="C10091" t="str">
        <v>Tul Bawah Tumpuan</v>
      </c>
      <c r="D10091">
        <f>VLOOKUP(D10074,'Detail Balok'!$C$10:$AU$110,28,FALSE)</f>
        <v>2</v>
      </c>
      <c r="E10091" t="str">
        <v>D</v>
      </c>
      <c r="F10091">
        <f>VLOOKUP(D10074,'Detail Balok'!$C$10:$AU$110,30,FALSE)</f>
        <v>13</v>
      </c>
      <c r="I10091" t="str">
        <v>(</v>
      </c>
      <c r="J10091">
        <f>+J10083</f>
        <v>0.9125</v>
      </c>
      <c r="K10091" t="str">
        <v>+</v>
      </c>
      <c r="L10091">
        <f>MAX(VLOOKUP(F10091,N$6:P$15,3,FALSE)/1000,2/3*D10079/1000)+F$16*F10091/1000</f>
        <v>0.156</v>
      </c>
      <c r="M10091" t="str">
        <v>=</v>
      </c>
      <c r="N10091">
        <f>J10091+L10091</f>
        <v>1.0685</v>
      </c>
      <c r="O10091" t="str">
        <v>+</v>
      </c>
      <c r="P10091">
        <f>D10091-D10090</f>
        <v>0</v>
      </c>
      <c r="Q10091" t="str">
        <v>x</v>
      </c>
      <c r="R10091">
        <f>IF(P10091&gt;0,$F$18*F10091/1000,0)</f>
        <v>0</v>
      </c>
      <c r="S10091" t="str">
        <v>)</v>
      </c>
      <c r="T10091" t="str">
        <v>x</v>
      </c>
      <c r="U10091">
        <f>0.006165*F10091^2</f>
        <v>1.041885</v>
      </c>
      <c r="X10091" t="str">
        <v>x</v>
      </c>
      <c r="Y10091">
        <f>D10080</f>
        <v>1</v>
      </c>
      <c r="Z10091" t="str">
        <v>=</v>
      </c>
      <c r="AA10091">
        <f>IF(AA10092=0,(D10091*N10091+P10091*R10091)*U10091*Y10091,0)</f>
        <v>0</v>
      </c>
    </row>
    <row r="10092">
      <c r="A10092" t="str">
        <f>A10074</f>
        <v>Lantai Attic</v>
      </c>
      <c r="B10092">
        <f>B10074</f>
        <v>72</v>
      </c>
      <c r="D10092">
        <f>IF(AND(D10089=D10090,D10090=D10091,D10089=D10091),D10089,0)</f>
        <v>2</v>
      </c>
      <c r="E10092" t="str">
        <v>D</v>
      </c>
      <c r="F10092">
        <f>IF(AND(F10089=F10090,F10089=F10091,F10090=F10091),F10089,0)</f>
        <v>13</v>
      </c>
      <c r="L10092" t="str">
        <v>Total panjang per balok</v>
      </c>
      <c r="M10092" t="str">
        <v>=</v>
      </c>
      <c r="N10092">
        <f>IF(AND(D10089=D10090,D10089=D10091,D10090=D10091,F10089=F10090,F10089=F10091,F10090=F10091),SUM(N10089:N10091),0)</f>
        <v>3.9619999999999997</v>
      </c>
      <c r="O10092" t="str">
        <v>+</v>
      </c>
      <c r="P10092">
        <f>IF(N10092&gt;12,ROUNDDOWN(N10092/12,0),0)</f>
        <v>0</v>
      </c>
      <c r="Q10092" t="str">
        <v>x</v>
      </c>
      <c r="R10092">
        <f>IF(P10092&gt;0,MAX(VLOOKUP(F10092,$D$6:$G$15,3,FALSE),600),0)/1000</f>
        <v>0</v>
      </c>
      <c r="T10092" t="str">
        <v>x</v>
      </c>
      <c r="U10092">
        <f>U10091</f>
        <v>1.041885</v>
      </c>
      <c r="V10092" t="str">
        <v>x</v>
      </c>
      <c r="W10092">
        <f>D10092</f>
        <v>2</v>
      </c>
      <c r="X10092" t="str">
        <v>x</v>
      </c>
      <c r="Y10092">
        <f>Y10091</f>
        <v>1</v>
      </c>
      <c r="Z10092" t="str">
        <v>=</v>
      </c>
      <c r="AA10092">
        <f>(N10092+P10092*R10092/1000)*U10092*W10092*Y10092</f>
        <v>8.255896739999999</v>
      </c>
    </row>
    <row r="10094">
      <c r="A10094" t="str">
        <f>A10074</f>
        <v>Lantai Attic</v>
      </c>
      <c r="B10094">
        <f>B10074</f>
        <v>72</v>
      </c>
      <c r="C10094" t="str">
        <v>Sengkang Tumpuan</v>
      </c>
      <c r="D10094">
        <f>VLOOKUP(D10074,'Detail Balok'!$C$10:$AU$110,31,FALSE)</f>
        <v>0</v>
      </c>
      <c r="E10094" t="str">
        <v>D</v>
      </c>
      <c r="F10094">
        <f>VLOOKUP(D10074,'Detail Balok'!$C$10:$AU$110,33,FALSE)</f>
        <v>10</v>
      </c>
      <c r="G10094" t="str">
        <v>-</v>
      </c>
      <c r="H10094">
        <f>VLOOKUP(D10074,'Detail Balok'!$C$10:$AU$110,35,FALSE)</f>
        <v>80</v>
      </c>
      <c r="J10094">
        <f>(IF(D10094=0,(2*(D10075+G10075))-(F$5*8),IF(D10094=3,(2*(D10075+G10075))-(F$5*8)+(G10075-2*F$5),IF(D10094=4,(2*(D10075+G10075))-(F$5*8)+2*(G10075-2*F$5)))))/1000</f>
        <v>1.02</v>
      </c>
      <c r="K10094" t="str">
        <v>+</v>
      </c>
      <c r="L10094">
        <f>IF(D10094=0,2*MAX(6*F10094,75),(D10094-1)*2*MAX(6*F10094,75))/1000</f>
        <v>0.15</v>
      </c>
      <c r="M10094" t="str">
        <v>=</v>
      </c>
      <c r="N10094">
        <f>J10094+L10094</f>
        <v>1.17</v>
      </c>
      <c r="T10094" t="str">
        <v>x</v>
      </c>
      <c r="U10094">
        <f>0.006165*F10094^2</f>
        <v>0.6165</v>
      </c>
      <c r="V10094" t="str">
        <v>x</v>
      </c>
      <c r="W10094">
        <f>IF(D10077&gt;4*G10075,ROUND(MAX(D10077/4,2*G10075)/H10094,0)+1,ROUND(D10077/H10094,0)+1)</f>
        <v>14</v>
      </c>
      <c r="X10094" t="str">
        <v>x</v>
      </c>
      <c r="Y10094">
        <f>D10080</f>
        <v>1</v>
      </c>
      <c r="Z10094" t="str">
        <v>=</v>
      </c>
      <c r="AA10094">
        <f>N10094*U10094*W10094*Y10094</f>
        <v>10.09827</v>
      </c>
    </row>
    <row r="10095">
      <c r="A10095" t="str">
        <f>A10074</f>
        <v>Lantai Attic</v>
      </c>
      <c r="B10095">
        <f>B10074</f>
        <v>72</v>
      </c>
      <c r="C10095" t="str">
        <v>Sengkang Lapangan</v>
      </c>
      <c r="D10095">
        <f>VLOOKUP(D10074,'Detail Balok'!$C$10:$AU$110,36,FALSE)</f>
        <v>0</v>
      </c>
      <c r="E10095" t="str">
        <v>D</v>
      </c>
      <c r="F10095">
        <f>VLOOKUP(D10074,'Detail Balok'!$C$10:$AU$110,38,FALSE)</f>
        <v>10</v>
      </c>
      <c r="G10095" t="str">
        <v>-</v>
      </c>
      <c r="H10095">
        <f>VLOOKUP(D10074,'Detail Balok'!$C$10:$AU$110,40,FALSE)</f>
        <v>200</v>
      </c>
      <c r="J10095">
        <f>(IF(D10095=0,(2*(D10075+G10075))-(F$5*8),IF(D10095=3,(2*(D10075+G10075))-(F$5*8)+(G10075-2*F$5),IF(D10095=4,(2*(D10075+G10075))-(F$5*8)+2*(G10075-2*F$5)))))/1000</f>
        <v>1.02</v>
      </c>
      <c r="K10095" t="str">
        <v>+</v>
      </c>
      <c r="L10095">
        <f>IF(D10095=0,2*MAX(6*F10095,75),(D10095-1)*2*MAX(6*F10095,75))/1000</f>
        <v>0.15</v>
      </c>
      <c r="M10095" t="str">
        <v>=</v>
      </c>
      <c r="N10095">
        <f>J10095+L10095</f>
        <v>1.17</v>
      </c>
      <c r="T10095" t="str">
        <v>x</v>
      </c>
      <c r="U10095">
        <f>0.006165*F10095^2</f>
        <v>0.6165</v>
      </c>
      <c r="V10095" t="str">
        <v>x</v>
      </c>
      <c r="W10095">
        <f>IF(D10077-MAX(D10077/4,2*G10075)*2&gt;0,ROUND((D10077-MAX(D10077/4,2*G10075)*2)/H10095,0),0)</f>
        <v>8</v>
      </c>
      <c r="X10095" t="str">
        <v>x</v>
      </c>
      <c r="Y10095">
        <f>D10080</f>
        <v>1</v>
      </c>
      <c r="Z10095" t="str">
        <v>=</v>
      </c>
      <c r="AA10095">
        <f>N10095*U10095*W10095*Y10095</f>
        <v>5.77044</v>
      </c>
    </row>
    <row r="10096">
      <c r="A10096" t="str">
        <f>A10074</f>
        <v>Lantai Attic</v>
      </c>
      <c r="B10096">
        <f>B10074</f>
        <v>72</v>
      </c>
      <c r="C10096" t="str">
        <v>Sengkang Tumpuan</v>
      </c>
      <c r="D10096">
        <f>VLOOKUP(D10074,'Detail Balok'!$C$10:$AU$110,41,FALSE)</f>
        <v>0</v>
      </c>
      <c r="E10096" t="str">
        <v>D</v>
      </c>
      <c r="F10096">
        <f>VLOOKUP(D10074,'Detail Balok'!$C$10:$AU$110,43,FALSE)</f>
        <v>10</v>
      </c>
      <c r="G10096" t="str">
        <v>-</v>
      </c>
      <c r="H10096">
        <f>VLOOKUP(D10074,'Detail Balok'!$C$10:$AU$110,45,FALSE)</f>
        <v>80</v>
      </c>
      <c r="J10096">
        <f>(IF(D10096=0,(2*(D10075+G10075))-(F$5*8),IF(D10096=3,(2*(D10075+G10075))-(F$5*8)+(G10075-2*F$5),IF(D10096=4,(2*(D10075+G10075))-(F$5*8)+2*(G10075-2*F$5)))))/1000</f>
        <v>1.02</v>
      </c>
      <c r="K10096" t="str">
        <v>+</v>
      </c>
      <c r="L10096">
        <f>IF(D10096=0,2*MAX(6*F10096,75),(D10096-1)*2*MAX(6*F10096,75))/1000</f>
        <v>0.15</v>
      </c>
      <c r="M10096" t="str">
        <v>=</v>
      </c>
      <c r="N10096">
        <f>J10096+L10096</f>
        <v>1.17</v>
      </c>
      <c r="T10096" t="str">
        <v>x</v>
      </c>
      <c r="U10096">
        <f>0.006165*F10096^2</f>
        <v>0.6165</v>
      </c>
      <c r="V10096" t="str">
        <v>x</v>
      </c>
      <c r="W10096">
        <f>IF(D10077&gt;4*G10075,ROUND(MAX(D10077/4,2*G10075)/H10096,0)+1,0)</f>
        <v>14</v>
      </c>
      <c r="X10096" t="str">
        <v>x</v>
      </c>
      <c r="Y10096">
        <f>D10080</f>
        <v>1</v>
      </c>
      <c r="Z10096" t="str">
        <v>=</v>
      </c>
      <c r="AA10096">
        <f>N10096*U10096*W10096*Y10096</f>
        <v>10.09827</v>
      </c>
    </row>
    <row r="10098">
      <c r="A10098" t="str">
        <f>A10074</f>
        <v>Lantai Attic</v>
      </c>
      <c r="B10098">
        <f>B10074</f>
        <v>72</v>
      </c>
      <c r="C10098" t="str">
        <v>Kait Horizontal Tump.</v>
      </c>
      <c r="D10098">
        <f>VLOOKUP(D10074,'Detail Balok'!$C$10:$BJ$110,46,FALSE)</f>
        <v>0</v>
      </c>
      <c r="E10098" t="str">
        <v>D</v>
      </c>
      <c r="F10098">
        <f>VLOOKUP(D10074,'Detail Balok'!$C$10:$BJ$110,48,FALSE)</f>
        <v>0</v>
      </c>
      <c r="G10098" t="str">
        <v>-</v>
      </c>
      <c r="H10098">
        <f>VLOOKUP(D10074,'Detail Balok'!$C$10:$BJ$110,50,FALSE)</f>
        <v>100</v>
      </c>
      <c r="J10098">
        <f>(D10075-2*F$5)/1000</f>
        <v>0.09</v>
      </c>
      <c r="K10098" t="str">
        <v>+</v>
      </c>
      <c r="L10098">
        <f>IF(D10098=0,2*MAX(6*F10098,75),(D10098-1)*2*MAX(6*F10098,75))/1000</f>
        <v>0.15</v>
      </c>
      <c r="M10098" t="str">
        <v>=</v>
      </c>
      <c r="N10098">
        <f>J10098+L10098</f>
        <v>0.24</v>
      </c>
      <c r="T10098" t="str">
        <v>x</v>
      </c>
      <c r="U10098">
        <f>0.006165*F10098^2</f>
        <v>0</v>
      </c>
      <c r="V10098" t="str">
        <v>x</v>
      </c>
      <c r="W10098">
        <f>W10094</f>
        <v>14</v>
      </c>
      <c r="X10098" t="str">
        <v>x</v>
      </c>
      <c r="Y10098">
        <f>D10084</f>
        <v>2</v>
      </c>
      <c r="Z10098" t="str">
        <v>=</v>
      </c>
      <c r="AA10098">
        <f>N10098*U10098*W10098*Y10098</f>
        <v>0</v>
      </c>
    </row>
    <row r="10099">
      <c r="A10099" t="str">
        <f>A10074</f>
        <v>Lantai Attic</v>
      </c>
      <c r="B10099">
        <f>B10074</f>
        <v>72</v>
      </c>
      <c r="C10099" t="str">
        <v>Kait Horizontal Lap.</v>
      </c>
      <c r="D10099">
        <f>VLOOKUP(D10074,'Detail Balok'!$C$10:$BJ$110,51,FALSE)</f>
        <v>0</v>
      </c>
      <c r="E10099" t="str">
        <v>D</v>
      </c>
      <c r="F10099">
        <f>VLOOKUP(D10074,'Detail Balok'!$C$10:$BJ$110,53,FALSE)</f>
        <v>0</v>
      </c>
      <c r="G10099" t="str">
        <v>-</v>
      </c>
      <c r="H10099">
        <f>VLOOKUP(D10074,'Detail Balok'!$C$10:$BJ$110,55,FALSE)</f>
        <v>100</v>
      </c>
      <c r="J10099">
        <f>(D10075-2*F$5)/1000</f>
        <v>0.09</v>
      </c>
      <c r="K10099" t="str">
        <v>+</v>
      </c>
      <c r="L10099">
        <f>IF(D10099=0,2*MAX(6*F10099,75),(D10099-1)*2*MAX(6*F10099,75))/1000</f>
        <v>0.15</v>
      </c>
      <c r="M10099" t="str">
        <v>=</v>
      </c>
      <c r="N10099">
        <f>J10099+L10099</f>
        <v>0.24</v>
      </c>
      <c r="T10099" t="str">
        <v>x</v>
      </c>
      <c r="U10099">
        <f>0.006165*F10099^2</f>
        <v>0</v>
      </c>
      <c r="V10099" t="str">
        <v>x</v>
      </c>
      <c r="W10099">
        <f>W10095</f>
        <v>8</v>
      </c>
      <c r="X10099" t="str">
        <v>x</v>
      </c>
      <c r="Y10099">
        <f>D10084</f>
        <v>2</v>
      </c>
      <c r="Z10099" t="str">
        <v>=</v>
      </c>
      <c r="AA10099">
        <f>N10099*U10099*W10099*Y10099</f>
        <v>0</v>
      </c>
    </row>
    <row r="10100">
      <c r="A10100" t="str">
        <f>A10074</f>
        <v>Lantai Attic</v>
      </c>
      <c r="B10100">
        <f>B10074</f>
        <v>72</v>
      </c>
      <c r="C10100" t="str">
        <v>Kait Horizontal Tump.</v>
      </c>
      <c r="D10100">
        <f>VLOOKUP(D10074,'Detail Balok'!$C$10:$BJ$110,56,FALSE)</f>
        <v>0</v>
      </c>
      <c r="E10100" t="str">
        <v>D</v>
      </c>
      <c r="F10100">
        <f>VLOOKUP(D10074,'Detail Balok'!$C$10:$BJ$110,58,FALSE)</f>
        <v>0</v>
      </c>
      <c r="G10100" t="str">
        <v>-</v>
      </c>
      <c r="H10100">
        <f>VLOOKUP(D10074,'Detail Balok'!$C$10:$BJ$110,60,FALSE)</f>
        <v>100</v>
      </c>
      <c r="J10100">
        <f>(D10075-2*F$5)/1000</f>
        <v>0.09</v>
      </c>
      <c r="K10100" t="str">
        <v>+</v>
      </c>
      <c r="L10100">
        <f>IF(D10100=0,2*MAX(6*F10100,75),(D10100-1)*2*MAX(6*F10100,75))/1000</f>
        <v>0.15</v>
      </c>
      <c r="M10100" t="str">
        <v>=</v>
      </c>
      <c r="N10100">
        <f>J10100+L10100</f>
        <v>0.24</v>
      </c>
      <c r="T10100" t="str">
        <v>x</v>
      </c>
      <c r="U10100">
        <f>0.006165*F10100^2</f>
        <v>0</v>
      </c>
      <c r="V10100" t="str">
        <v>x</v>
      </c>
      <c r="W10100">
        <f>W10096</f>
        <v>14</v>
      </c>
      <c r="X10100" t="str">
        <v>x</v>
      </c>
      <c r="Y10100">
        <f>D10084</f>
        <v>2</v>
      </c>
      <c r="Z10100" t="str">
        <v>=</v>
      </c>
      <c r="AA10100">
        <f>N10100*U10100*W10100*Y10100</f>
        <v>0</v>
      </c>
    </row>
    <row r="10104">
      <c r="A10104" t="str">
        <f>A10074</f>
        <v>Lantai Attic</v>
      </c>
      <c r="B10104">
        <f>B10074+1</f>
        <v>73</v>
      </c>
      <c r="C10104" t="str">
        <f>CONCATENATE(A10104," no. ",B10104)</f>
        <v>Lantai Attic no. 73</v>
      </c>
      <c r="D10104" t="str">
        <f>VLOOKUP(C10104,'Data Panjang Balok'!$C$9:$N$424,2,FALSE)</f>
        <v>B175-2</v>
      </c>
    </row>
    <row r="10105">
      <c r="C10105" t="str">
        <v>Dimensi</v>
      </c>
      <c r="D10105">
        <f>VLOOKUP(D10104,'Detail Balok'!$C$10:$AU$110,2,FALSE)</f>
        <v>170</v>
      </c>
      <c r="F10105" t="str">
        <v>x</v>
      </c>
      <c r="G10105">
        <f>VLOOKUP(D10104,'Detail Balok'!$C$10:$AU$110,3,FALSE)</f>
        <v>500</v>
      </c>
    </row>
    <row r="10106">
      <c r="C10106" t="str">
        <v>Panjang as ke as</v>
      </c>
      <c r="D10106">
        <f>VLOOKUP(C10104,'Data Panjang Balok'!$C$9:$N$424,4,FALSE)</f>
        <v>4300</v>
      </c>
    </row>
    <row r="10107">
      <c r="C10107" t="str">
        <v>Panjang netto</v>
      </c>
      <c r="D10107">
        <f>VLOOKUP(C10104,'Data Panjang Balok'!$C$9:$N$424,7,FALSE)</f>
        <v>4300</v>
      </c>
    </row>
    <row r="10108">
      <c r="C10108" t="str">
        <v>Kolom / balok kiri</v>
      </c>
      <c r="D10108">
        <f>VLOOKUP(C10104,'Data Panjang Balok'!$C$9:$N$424,9,FALSE)</f>
        <v>0</v>
      </c>
    </row>
    <row r="10109">
      <c r="C10109" t="str">
        <v>Kolom / balok kanan</v>
      </c>
      <c r="D10109">
        <f>VLOOKUP(C10104,'Data Panjang Balok'!$C$9:$N$424,10,FALSE)</f>
        <v>0</v>
      </c>
    </row>
    <row r="10110">
      <c r="C10110" t="str">
        <v>Jumlah</v>
      </c>
      <c r="D10110">
        <f>VLOOKUP(C10104,'Data Panjang Balok'!$C$9:$N$424,3,FALSE)</f>
        <v>1</v>
      </c>
    </row>
    <row r="10111">
      <c r="A10111" t="str">
        <f>A10104</f>
        <v>Lantai Attic</v>
      </c>
      <c r="B10111">
        <f>B10104</f>
        <v>73</v>
      </c>
      <c r="C10111" t="str">
        <v>Tul Atas Tumpuan</v>
      </c>
      <c r="D10111">
        <f>VLOOKUP(D10104,'Detail Balok'!$C$10:$AU$110,4,FALSE)</f>
        <v>4</v>
      </c>
      <c r="E10111" t="str">
        <v>D</v>
      </c>
      <c r="F10111">
        <f>VLOOKUP(D10104,'Detail Balok'!$C$10:$AU$110,6,FALSE)</f>
        <v>13</v>
      </c>
      <c r="I10111" t="str">
        <v>(</v>
      </c>
      <c r="J10111">
        <f>+D10106/4/1000</f>
        <v>1.075</v>
      </c>
      <c r="K10111" t="str">
        <v>+</v>
      </c>
      <c r="L10111">
        <f>MAX(VLOOKUP(F10111,N$6:P$15,3,FALSE)/1000,2/3*D10108/1000)+F$16*F10111/1000</f>
        <v>0.156</v>
      </c>
      <c r="M10111" t="str">
        <v>=</v>
      </c>
      <c r="N10111">
        <f>J10111+L10111</f>
        <v>1.2309999999999999</v>
      </c>
      <c r="O10111" t="str">
        <v>+</v>
      </c>
      <c r="P10111">
        <f>D10111-D10112</f>
        <v>2</v>
      </c>
      <c r="Q10111" t="str">
        <v>x</v>
      </c>
      <c r="R10111">
        <f>IF(P10111&gt;0,$F$18*F10111/1000,0)</f>
        <v>0.195</v>
      </c>
      <c r="S10111" t="str">
        <v>)</v>
      </c>
      <c r="T10111" t="str">
        <v>x</v>
      </c>
      <c r="U10111">
        <f>0.006165*F10111^2</f>
        <v>1.041885</v>
      </c>
      <c r="X10111" t="str">
        <v>x</v>
      </c>
      <c r="Y10111">
        <f>D10110</f>
        <v>1</v>
      </c>
      <c r="Z10111" t="str">
        <v>=</v>
      </c>
      <c r="AA10111">
        <f>IF(AA10114=0,(D10111*N10111+P10111*R10111)*U10111*Y10111,0)</f>
        <v>5.536576889999999</v>
      </c>
    </row>
    <row r="10112">
      <c r="A10112" t="str">
        <f>A10104</f>
        <v>Lantai Attic</v>
      </c>
      <c r="B10112">
        <f>B10104</f>
        <v>73</v>
      </c>
      <c r="C10112" t="str">
        <v>Tul Atas Lapangan</v>
      </c>
      <c r="D10112">
        <f>VLOOKUP(D10104,'Detail Balok'!$C$10:$AU$110,7,FALSE)</f>
        <v>2</v>
      </c>
      <c r="E10112" t="str">
        <v>D</v>
      </c>
      <c r="F10112">
        <f>VLOOKUP(D10104,'Detail Balok'!$C$10:$AU$110,9,FALSE)</f>
        <v>13</v>
      </c>
      <c r="I10112" t="str">
        <v>(</v>
      </c>
      <c r="J10112">
        <f>+D10106/2/1000</f>
        <v>2.15</v>
      </c>
      <c r="K10112" t="str">
        <v>+</v>
      </c>
      <c r="M10112" t="str">
        <v>=</v>
      </c>
      <c r="N10112">
        <f>J10112+L10112</f>
        <v>2.15</v>
      </c>
      <c r="O10112" t="str">
        <v>+</v>
      </c>
      <c r="P10112">
        <f>MAX(D10112-D10111,D10112-D10113)</f>
        <v>-2</v>
      </c>
      <c r="Q10112" t="str">
        <v>x</v>
      </c>
      <c r="R10112">
        <f>IF(P10112&gt;0,2*(1-2*$F$19-1/2)*D10107/1000,0)</f>
        <v>0</v>
      </c>
      <c r="S10112" t="str">
        <v>)</v>
      </c>
      <c r="T10112" t="str">
        <v>x</v>
      </c>
      <c r="U10112">
        <f>0.006165*F10112^2</f>
        <v>1.041885</v>
      </c>
      <c r="X10112" t="str">
        <v>x</v>
      </c>
      <c r="Y10112">
        <f>D10110</f>
        <v>1</v>
      </c>
      <c r="Z10112" t="str">
        <v>=</v>
      </c>
      <c r="AA10112">
        <f>IF(AA10114=0,(D10112*N10112+P10112*R10112)*U10112*Y10112,0)</f>
        <v>4.4801055</v>
      </c>
    </row>
    <row r="10113">
      <c r="A10113" t="str">
        <f>A10104</f>
        <v>Lantai Attic</v>
      </c>
      <c r="B10113">
        <f>B10104</f>
        <v>73</v>
      </c>
      <c r="C10113" t="str">
        <v>Tul Atas Tumpuan</v>
      </c>
      <c r="D10113">
        <f>VLOOKUP(D10104,'Detail Balok'!$C$10:$AU$110,10,FALSE)</f>
        <v>4</v>
      </c>
      <c r="E10113" t="str">
        <v>D</v>
      </c>
      <c r="F10113">
        <f>VLOOKUP(D10104,'Detail Balok'!$C$10:$AU$110,12,FALSE)</f>
        <v>13</v>
      </c>
      <c r="I10113" t="str">
        <v>(</v>
      </c>
      <c r="J10113">
        <f>+D10106/4/1000</f>
        <v>1.075</v>
      </c>
      <c r="K10113" t="str">
        <v>+</v>
      </c>
      <c r="L10113">
        <f>MAX(VLOOKUP(F10113,N$6:P$15,3,FALSE)/1000,2/3*D10108/1000)+F$16*F10113/1000</f>
        <v>0.156</v>
      </c>
      <c r="M10113" t="str">
        <v>=</v>
      </c>
      <c r="N10113">
        <f>J10113+L10113</f>
        <v>1.2309999999999999</v>
      </c>
      <c r="O10113" t="str">
        <v>+</v>
      </c>
      <c r="P10113">
        <f>D10113-D10112</f>
        <v>2</v>
      </c>
      <c r="Q10113" t="str">
        <v>x</v>
      </c>
      <c r="R10113">
        <f>IF(P10113&gt;0,$F$18*F10113/1000,0)</f>
        <v>0.195</v>
      </c>
      <c r="S10113" t="str">
        <v>)</v>
      </c>
      <c r="T10113" t="str">
        <v>x</v>
      </c>
      <c r="U10113">
        <f>0.006165*F10113^2</f>
        <v>1.041885</v>
      </c>
      <c r="X10113" t="str">
        <v>x</v>
      </c>
      <c r="Y10113">
        <f>D10110</f>
        <v>1</v>
      </c>
      <c r="Z10113" t="str">
        <v>=</v>
      </c>
      <c r="AA10113">
        <f>IF(AA10114=0,(D10113*N10113+P10113*R10113)*U10113*Y10113,0)</f>
        <v>5.536576889999999</v>
      </c>
    </row>
    <row r="10114">
      <c r="A10114" t="str">
        <f>A10104</f>
        <v>Lantai Attic</v>
      </c>
      <c r="B10114">
        <f>B10104</f>
        <v>73</v>
      </c>
      <c r="D10114">
        <f>IF(AND(D10111=D10112,D10112=D10113,D10111=D10113),D10111,0)</f>
        <v>0</v>
      </c>
      <c r="E10114" t="str">
        <v>D</v>
      </c>
      <c r="F10114">
        <f>IF(AND(F10111=F10112,F10111=F10113,F10112=F10113),F10111,0)</f>
        <v>13</v>
      </c>
      <c r="L10114" t="str">
        <v>Total panjang per balok</v>
      </c>
      <c r="M10114" t="str">
        <v>=</v>
      </c>
      <c r="N10114">
        <f>IF(AND(D10111=D10112,D10111=D10113,D10112=D10113,F10111=F10112,F10111=F10113,F10112=F10113),SUM(N10111:N10113),0)</f>
        <v>0</v>
      </c>
      <c r="O10114" t="str">
        <v>+</v>
      </c>
      <c r="P10114">
        <f>IF(N10114&gt;12,ROUNDDOWN(N10114/12,0),0)</f>
        <v>0</v>
      </c>
      <c r="Q10114" t="str">
        <v>x</v>
      </c>
      <c r="R10114">
        <f>IF(P10114&gt;0,MAX(VLOOKUP(F10114,$D$6:$G$15,3,FALSE),600),0)/1000</f>
        <v>0</v>
      </c>
      <c r="T10114" t="str">
        <v>x</v>
      </c>
      <c r="U10114">
        <f>U10113</f>
        <v>1.041885</v>
      </c>
      <c r="V10114" t="str">
        <v>x</v>
      </c>
      <c r="W10114">
        <f>D10114</f>
        <v>0</v>
      </c>
      <c r="X10114" t="str">
        <v>x</v>
      </c>
      <c r="Y10114">
        <f>Y10113</f>
        <v>1</v>
      </c>
      <c r="Z10114" t="str">
        <v>=</v>
      </c>
      <c r="AA10114">
        <f>(N10114+P10114*R10114/1000)*U10114*W10114*Y10114</f>
        <v>0</v>
      </c>
    </row>
    <row r="10116">
      <c r="A10116" t="str">
        <f>A10104</f>
        <v>Lantai Attic</v>
      </c>
      <c r="B10116">
        <f>B10104</f>
        <v>73</v>
      </c>
      <c r="C10116" t="str">
        <v>Tul Peminggang</v>
      </c>
      <c r="D10116">
        <f>VLOOKUP(D10104,'Detail Balok'!$C$10:$AU$110,13,FALSE)</f>
        <v>2</v>
      </c>
      <c r="E10116" t="str">
        <v>D</v>
      </c>
      <c r="F10116">
        <f>VLOOKUP(D10104,'Detail Balok'!$C$10:$AU$110,15,FALSE)</f>
        <v>10</v>
      </c>
      <c r="J10116">
        <f>+D10106/1000</f>
        <v>4.3</v>
      </c>
      <c r="K10116" t="str">
        <v>+</v>
      </c>
      <c r="L10116">
        <f>2*$F$16*F10116/1000</f>
        <v>0.24</v>
      </c>
      <c r="M10116" t="str">
        <v>=</v>
      </c>
      <c r="N10116">
        <f>J10116+L10116</f>
        <v>4.54</v>
      </c>
      <c r="O10116" t="str">
        <v>+</v>
      </c>
      <c r="P10116">
        <f>IF(N10116&gt;12,ROUNDDOWN(N10116/12,0),0)</f>
        <v>0</v>
      </c>
      <c r="Q10116" t="str">
        <v>x</v>
      </c>
      <c r="R10116">
        <f>IF(P10116&gt;0,MAX(VLOOKUP(F10116,$D$6:$G$15,3,FALSE),600),0)/1000</f>
        <v>0</v>
      </c>
      <c r="T10116" t="str">
        <v>x</v>
      </c>
      <c r="U10116">
        <f>0.006165*F10116^2</f>
        <v>0.6165</v>
      </c>
      <c r="V10116" t="str">
        <v>x</v>
      </c>
      <c r="W10116">
        <f>+D10116</f>
        <v>2</v>
      </c>
      <c r="X10116" t="str">
        <v>x</v>
      </c>
      <c r="Y10116">
        <f>D10110</f>
        <v>1</v>
      </c>
      <c r="Z10116" t="str">
        <v>=</v>
      </c>
      <c r="AA10116">
        <f>(N10116+P10116*R10116/1000)*U10116*W10116*Y10116</f>
        <v>5.5978200000000005</v>
      </c>
    </row>
    <row r="10119">
      <c r="A10119" t="str">
        <f>A10104</f>
        <v>Lantai Attic</v>
      </c>
      <c r="B10119">
        <f>B10104</f>
        <v>73</v>
      </c>
      <c r="C10119" t="str">
        <v>Tul Bawah Tumpuan</v>
      </c>
      <c r="D10119">
        <f>VLOOKUP(D10104,'Detail Balok'!$C$10:$AU$110,22,FALSE)</f>
        <v>2</v>
      </c>
      <c r="E10119" t="str">
        <v>D</v>
      </c>
      <c r="F10119">
        <f>VLOOKUP(D10104,'Detail Balok'!$C$10:$AU$110,24,FALSE)</f>
        <v>13</v>
      </c>
      <c r="I10119" t="str">
        <v>(</v>
      </c>
      <c r="J10119">
        <f>+J10111</f>
        <v>1.075</v>
      </c>
      <c r="K10119" t="str">
        <v>+</v>
      </c>
      <c r="L10119">
        <f>MAX(VLOOKUP(F10119,N$6:P$15,3,FALSE)/1000,2/3*D10109/1000)+F$16*F10119/1000</f>
        <v>0.156</v>
      </c>
      <c r="M10119" t="str">
        <v>=</v>
      </c>
      <c r="N10119">
        <f>J10119+L10119</f>
        <v>1.2309999999999999</v>
      </c>
      <c r="O10119" t="str">
        <v>+</v>
      </c>
      <c r="P10119">
        <f>D10119-D10120</f>
        <v>-3</v>
      </c>
      <c r="Q10119" t="str">
        <v>x</v>
      </c>
      <c r="R10119">
        <f>IF(P10119&gt;0,$F$18*F10119/1000,0)</f>
        <v>0</v>
      </c>
      <c r="S10119" t="str">
        <v>)</v>
      </c>
      <c r="T10119" t="str">
        <v>x</v>
      </c>
      <c r="U10119">
        <f>0.006165*F10119^2</f>
        <v>1.041885</v>
      </c>
      <c r="X10119" t="str">
        <v>x</v>
      </c>
      <c r="Y10119">
        <f>D10110</f>
        <v>1</v>
      </c>
      <c r="Z10119" t="str">
        <v>=</v>
      </c>
      <c r="AA10119">
        <f>IF(AA10122=0,(D10119*N10119+P10119*R10119)*U10119*Y10119,0)</f>
        <v>2.5651208699999994</v>
      </c>
    </row>
    <row r="10120">
      <c r="A10120" t="str">
        <f>A10104</f>
        <v>Lantai Attic</v>
      </c>
      <c r="B10120">
        <f>B10104</f>
        <v>73</v>
      </c>
      <c r="C10120" t="str">
        <v>Tul Bawah Lapangan</v>
      </c>
      <c r="D10120">
        <f>VLOOKUP(D10104,'Detail Balok'!$C$10:$AU$110,25,FALSE)</f>
        <v>5</v>
      </c>
      <c r="E10120" t="str">
        <v>D</v>
      </c>
      <c r="F10120">
        <f>VLOOKUP(D10104,'Detail Balok'!$C$10:$AU$110,27,FALSE)</f>
        <v>13</v>
      </c>
      <c r="I10120" t="str">
        <v>(</v>
      </c>
      <c r="J10120">
        <f>+J10112</f>
        <v>2.15</v>
      </c>
      <c r="K10120" t="str">
        <v>+</v>
      </c>
      <c r="M10120" t="str">
        <v>=</v>
      </c>
      <c r="N10120">
        <f>J10120+L10120</f>
        <v>2.15</v>
      </c>
      <c r="O10120" t="str">
        <v>+</v>
      </c>
      <c r="P10120">
        <f>MAX(D10120-D10119,D10120-D10121)</f>
        <v>3</v>
      </c>
      <c r="Q10120" t="str">
        <v>x</v>
      </c>
      <c r="R10120">
        <f>IF(P10120&gt;0,2*(1-2*$F$19-1/2)*D10107/1000,0)</f>
        <v>0.8599999999999998</v>
      </c>
      <c r="S10120" t="str">
        <v>)</v>
      </c>
      <c r="T10120" t="str">
        <v>x</v>
      </c>
      <c r="U10120">
        <f>0.006165*F10120^2</f>
        <v>1.041885</v>
      </c>
      <c r="X10120" t="str">
        <v>x</v>
      </c>
      <c r="Y10120">
        <f>D10110</f>
        <v>1</v>
      </c>
      <c r="Z10120" t="str">
        <v>=</v>
      </c>
      <c r="AA10120">
        <f>IF(AA10122=0,(D10120*N10120+P10120*R10120)*U10120*Y10120,0)</f>
        <v>13.888327049999997</v>
      </c>
    </row>
    <row r="10121">
      <c r="A10121" t="str">
        <f>A10104</f>
        <v>Lantai Attic</v>
      </c>
      <c r="B10121">
        <f>B10104</f>
        <v>73</v>
      </c>
      <c r="C10121" t="str">
        <v>Tul Bawah Tumpuan</v>
      </c>
      <c r="D10121">
        <f>VLOOKUP(D10104,'Detail Balok'!$C$10:$AU$110,28,FALSE)</f>
        <v>2</v>
      </c>
      <c r="E10121" t="str">
        <v>D</v>
      </c>
      <c r="F10121">
        <f>VLOOKUP(D10104,'Detail Balok'!$C$10:$AU$110,30,FALSE)</f>
        <v>13</v>
      </c>
      <c r="I10121" t="str">
        <v>(</v>
      </c>
      <c r="J10121">
        <f>+J10113</f>
        <v>1.075</v>
      </c>
      <c r="K10121" t="str">
        <v>+</v>
      </c>
      <c r="L10121">
        <f>MAX(VLOOKUP(F10121,N$6:P$15,3,FALSE)/1000,2/3*D10109/1000)+F$16*F10121/1000</f>
        <v>0.156</v>
      </c>
      <c r="M10121" t="str">
        <v>=</v>
      </c>
      <c r="N10121">
        <f>J10121+L10121</f>
        <v>1.2309999999999999</v>
      </c>
      <c r="O10121" t="str">
        <v>+</v>
      </c>
      <c r="P10121">
        <f>D10121-D10120</f>
        <v>-3</v>
      </c>
      <c r="Q10121" t="str">
        <v>x</v>
      </c>
      <c r="R10121">
        <f>IF(P10121&gt;0,$F$18*F10121/1000,0)</f>
        <v>0</v>
      </c>
      <c r="S10121" t="str">
        <v>)</v>
      </c>
      <c r="T10121" t="str">
        <v>x</v>
      </c>
      <c r="U10121">
        <f>0.006165*F10121^2</f>
        <v>1.041885</v>
      </c>
      <c r="X10121" t="str">
        <v>x</v>
      </c>
      <c r="Y10121">
        <f>D10110</f>
        <v>1</v>
      </c>
      <c r="Z10121" t="str">
        <v>=</v>
      </c>
      <c r="AA10121">
        <f>IF(AA10122=0,(D10121*N10121+P10121*R10121)*U10121*Y10121,0)</f>
        <v>2.5651208699999994</v>
      </c>
    </row>
    <row r="10122">
      <c r="A10122" t="str">
        <f>A10104</f>
        <v>Lantai Attic</v>
      </c>
      <c r="B10122">
        <f>B10104</f>
        <v>73</v>
      </c>
      <c r="D10122">
        <f>IF(AND(D10119=D10120,D10120=D10121,D10119=D10121),D10119,0)</f>
        <v>0</v>
      </c>
      <c r="E10122" t="str">
        <v>D</v>
      </c>
      <c r="F10122">
        <f>IF(AND(F10119=F10120,F10119=F10121,F10120=F10121),F10119,0)</f>
        <v>13</v>
      </c>
      <c r="L10122" t="str">
        <v>Total panjang per balok</v>
      </c>
      <c r="M10122" t="str">
        <v>=</v>
      </c>
      <c r="N10122">
        <f>IF(AND(D10119=D10120,D10119=D10121,D10120=D10121,F10119=F10120,F10119=F10121,F10120=F10121),SUM(N10119:N10121),0)</f>
        <v>0</v>
      </c>
      <c r="O10122" t="str">
        <v>+</v>
      </c>
      <c r="P10122">
        <f>IF(N10122&gt;12,ROUNDDOWN(N10122/12,0),0)</f>
        <v>0</v>
      </c>
      <c r="Q10122" t="str">
        <v>x</v>
      </c>
      <c r="R10122">
        <f>IF(P10122&gt;0,MAX(VLOOKUP(F10122,$D$6:$G$15,3,FALSE),600),0)/1000</f>
        <v>0</v>
      </c>
      <c r="T10122" t="str">
        <v>x</v>
      </c>
      <c r="U10122">
        <f>U10121</f>
        <v>1.041885</v>
      </c>
      <c r="V10122" t="str">
        <v>x</v>
      </c>
      <c r="W10122">
        <f>D10122</f>
        <v>0</v>
      </c>
      <c r="X10122" t="str">
        <v>x</v>
      </c>
      <c r="Y10122">
        <f>Y10121</f>
        <v>1</v>
      </c>
      <c r="Z10122" t="str">
        <v>=</v>
      </c>
      <c r="AA10122">
        <f>(N10122+P10122*R10122/1000)*U10122*W10122*Y10122</f>
        <v>0</v>
      </c>
    </row>
    <row r="10124">
      <c r="A10124" t="str">
        <f>A10104</f>
        <v>Lantai Attic</v>
      </c>
      <c r="B10124">
        <f>B10104</f>
        <v>73</v>
      </c>
      <c r="C10124" t="str">
        <v>Sengkang Tumpuan</v>
      </c>
      <c r="D10124">
        <f>VLOOKUP(D10104,'Detail Balok'!$C$10:$AU$110,31,FALSE)</f>
        <v>0</v>
      </c>
      <c r="E10124" t="str">
        <v>D</v>
      </c>
      <c r="F10124">
        <f>VLOOKUP(D10104,'Detail Balok'!$C$10:$AU$110,33,FALSE)</f>
        <v>10</v>
      </c>
      <c r="G10124" t="str">
        <v>-</v>
      </c>
      <c r="H10124">
        <f>VLOOKUP(D10104,'Detail Balok'!$C$10:$AU$110,35,FALSE)</f>
        <v>80</v>
      </c>
      <c r="J10124">
        <f>(IF(D10124=0,(2*(D10105+G10105))-(F$5*8),IF(D10124=3,(2*(D10105+G10105))-(F$5*8)+(G10105-2*F$5),IF(D10124=4,(2*(D10105+G10105))-(F$5*8)+2*(G10105-2*F$5)))))/1000</f>
        <v>1.02</v>
      </c>
      <c r="K10124" t="str">
        <v>+</v>
      </c>
      <c r="L10124">
        <f>IF(D10124=0,2*MAX(6*F10124,75),(D10124-1)*2*MAX(6*F10124,75))/1000</f>
        <v>0.15</v>
      </c>
      <c r="M10124" t="str">
        <v>=</v>
      </c>
      <c r="N10124">
        <f>J10124+L10124</f>
        <v>1.17</v>
      </c>
      <c r="T10124" t="str">
        <v>x</v>
      </c>
      <c r="U10124">
        <f>0.006165*F10124^2</f>
        <v>0.6165</v>
      </c>
      <c r="V10124" t="str">
        <v>x</v>
      </c>
      <c r="W10124">
        <f>IF(D10107&gt;4*G10105,ROUND(MAX(D10107/4,2*G10105)/H10124,0)+1,ROUND(D10107/H10124,0)+1)</f>
        <v>14</v>
      </c>
      <c r="X10124" t="str">
        <v>x</v>
      </c>
      <c r="Y10124">
        <f>D10110</f>
        <v>1</v>
      </c>
      <c r="Z10124" t="str">
        <v>=</v>
      </c>
      <c r="AA10124">
        <f>N10124*U10124*W10124*Y10124</f>
        <v>10.09827</v>
      </c>
    </row>
    <row r="10125">
      <c r="A10125" t="str">
        <f>A10104</f>
        <v>Lantai Attic</v>
      </c>
      <c r="B10125">
        <f>B10104</f>
        <v>73</v>
      </c>
      <c r="C10125" t="str">
        <v>Sengkang Lapangan</v>
      </c>
      <c r="D10125">
        <f>VLOOKUP(D10104,'Detail Balok'!$C$10:$AU$110,36,FALSE)</f>
        <v>0</v>
      </c>
      <c r="E10125" t="str">
        <v>D</v>
      </c>
      <c r="F10125">
        <f>VLOOKUP(D10104,'Detail Balok'!$C$10:$AU$110,38,FALSE)</f>
        <v>10</v>
      </c>
      <c r="G10125" t="str">
        <v>-</v>
      </c>
      <c r="H10125">
        <f>VLOOKUP(D10104,'Detail Balok'!$C$10:$AU$110,40,FALSE)</f>
        <v>200</v>
      </c>
      <c r="J10125">
        <f>(IF(D10125=0,(2*(D10105+G10105))-(F$5*8),IF(D10125=3,(2*(D10105+G10105))-(F$5*8)+(G10105-2*F$5),IF(D10125=4,(2*(D10105+G10105))-(F$5*8)+2*(G10105-2*F$5)))))/1000</f>
        <v>1.02</v>
      </c>
      <c r="K10125" t="str">
        <v>+</v>
      </c>
      <c r="L10125">
        <f>IF(D10125=0,2*MAX(6*F10125,75),(D10125-1)*2*MAX(6*F10125,75))/1000</f>
        <v>0.15</v>
      </c>
      <c r="M10125" t="str">
        <v>=</v>
      </c>
      <c r="N10125">
        <f>J10125+L10125</f>
        <v>1.17</v>
      </c>
      <c r="T10125" t="str">
        <v>x</v>
      </c>
      <c r="U10125">
        <f>0.006165*F10125^2</f>
        <v>0.6165</v>
      </c>
      <c r="V10125" t="str">
        <v>x</v>
      </c>
      <c r="W10125">
        <f>IF(D10107-MAX(D10107/4,2*G10105)*2&gt;0,ROUND((D10107-MAX(D10107/4,2*G10105)*2)/H10125,0),0)</f>
        <v>11</v>
      </c>
      <c r="X10125" t="str">
        <v>x</v>
      </c>
      <c r="Y10125">
        <f>D10110</f>
        <v>1</v>
      </c>
      <c r="Z10125" t="str">
        <v>=</v>
      </c>
      <c r="AA10125">
        <f>N10125*U10125*W10125*Y10125</f>
        <v>7.934355</v>
      </c>
    </row>
    <row r="10126">
      <c r="A10126" t="str">
        <f>A10104</f>
        <v>Lantai Attic</v>
      </c>
      <c r="B10126">
        <f>B10104</f>
        <v>73</v>
      </c>
      <c r="C10126" t="str">
        <v>Sengkang Tumpuan</v>
      </c>
      <c r="D10126">
        <f>VLOOKUP(D10104,'Detail Balok'!$C$10:$AU$110,41,FALSE)</f>
        <v>0</v>
      </c>
      <c r="E10126" t="str">
        <v>D</v>
      </c>
      <c r="F10126">
        <f>VLOOKUP(D10104,'Detail Balok'!$C$10:$AU$110,43,FALSE)</f>
        <v>10</v>
      </c>
      <c r="G10126" t="str">
        <v>-</v>
      </c>
      <c r="H10126">
        <f>VLOOKUP(D10104,'Detail Balok'!$C$10:$AU$110,45,FALSE)</f>
        <v>80</v>
      </c>
      <c r="J10126">
        <f>(IF(D10126=0,(2*(D10105+G10105))-(F$5*8),IF(D10126=3,(2*(D10105+G10105))-(F$5*8)+(G10105-2*F$5),IF(D10126=4,(2*(D10105+G10105))-(F$5*8)+2*(G10105-2*F$5)))))/1000</f>
        <v>1.02</v>
      </c>
      <c r="K10126" t="str">
        <v>+</v>
      </c>
      <c r="L10126">
        <f>IF(D10126=0,2*MAX(6*F10126,75),(D10126-1)*2*MAX(6*F10126,75))/1000</f>
        <v>0.15</v>
      </c>
      <c r="M10126" t="str">
        <v>=</v>
      </c>
      <c r="N10126">
        <f>J10126+L10126</f>
        <v>1.17</v>
      </c>
      <c r="T10126" t="str">
        <v>x</v>
      </c>
      <c r="U10126">
        <f>0.006165*F10126^2</f>
        <v>0.6165</v>
      </c>
      <c r="V10126" t="str">
        <v>x</v>
      </c>
      <c r="W10126">
        <f>IF(D10107&gt;4*G10105,ROUND(MAX(D10107/4,2*G10105)/H10126,0)+1,0)</f>
        <v>14</v>
      </c>
      <c r="X10126" t="str">
        <v>x</v>
      </c>
      <c r="Y10126">
        <f>D10110</f>
        <v>1</v>
      </c>
      <c r="Z10126" t="str">
        <v>=</v>
      </c>
      <c r="AA10126">
        <f>N10126*U10126*W10126*Y10126</f>
        <v>10.09827</v>
      </c>
    </row>
    <row r="10128">
      <c r="A10128" t="str">
        <f>A10104</f>
        <v>Lantai Attic</v>
      </c>
      <c r="B10128">
        <f>B10104</f>
        <v>73</v>
      </c>
      <c r="C10128" t="str">
        <v>Kait Horizontal Tump.</v>
      </c>
      <c r="D10128">
        <f>VLOOKUP(D10104,'Detail Balok'!$C$10:$BJ$110,46,FALSE)</f>
        <v>0</v>
      </c>
      <c r="E10128" t="str">
        <v>D</v>
      </c>
      <c r="F10128">
        <f>VLOOKUP(D10104,'Detail Balok'!$C$10:$BJ$110,48,FALSE)</f>
        <v>0</v>
      </c>
      <c r="G10128" t="str">
        <v>-</v>
      </c>
      <c r="H10128">
        <f>VLOOKUP(D10104,'Detail Balok'!$C$10:$BJ$110,50,FALSE)</f>
        <v>100</v>
      </c>
      <c r="J10128">
        <f>(D10105-2*F$5)/1000</f>
        <v>0.09</v>
      </c>
      <c r="K10128" t="str">
        <v>+</v>
      </c>
      <c r="L10128">
        <f>IF(D10128=0,2*MAX(6*F10128,75),(D10128-1)*2*MAX(6*F10128,75))/1000</f>
        <v>0.15</v>
      </c>
      <c r="M10128" t="str">
        <v>=</v>
      </c>
      <c r="N10128">
        <f>J10128+L10128</f>
        <v>0.24</v>
      </c>
      <c r="T10128" t="str">
        <v>x</v>
      </c>
      <c r="U10128">
        <f>0.006165*F10128^2</f>
        <v>0</v>
      </c>
      <c r="V10128" t="str">
        <v>x</v>
      </c>
      <c r="W10128">
        <f>W10124</f>
        <v>14</v>
      </c>
      <c r="X10128" t="str">
        <v>x</v>
      </c>
      <c r="Y10128">
        <f>D10114</f>
        <v>0</v>
      </c>
      <c r="Z10128" t="str">
        <v>=</v>
      </c>
      <c r="AA10128">
        <f>N10128*U10128*W10128*Y10128</f>
        <v>0</v>
      </c>
    </row>
    <row r="10129">
      <c r="A10129" t="str">
        <f>A10104</f>
        <v>Lantai Attic</v>
      </c>
      <c r="B10129">
        <f>B10104</f>
        <v>73</v>
      </c>
      <c r="C10129" t="str">
        <v>Kait Horizontal Lap.</v>
      </c>
      <c r="D10129">
        <f>VLOOKUP(D10104,'Detail Balok'!$C$10:$BJ$110,51,FALSE)</f>
        <v>0</v>
      </c>
      <c r="E10129" t="str">
        <v>D</v>
      </c>
      <c r="F10129">
        <f>VLOOKUP(D10104,'Detail Balok'!$C$10:$BJ$110,53,FALSE)</f>
        <v>0</v>
      </c>
      <c r="G10129" t="str">
        <v>-</v>
      </c>
      <c r="H10129">
        <f>VLOOKUP(D10104,'Detail Balok'!$C$10:$BJ$110,55,FALSE)</f>
        <v>100</v>
      </c>
      <c r="J10129">
        <f>(D10105-2*F$5)/1000</f>
        <v>0.09</v>
      </c>
      <c r="K10129" t="str">
        <v>+</v>
      </c>
      <c r="L10129">
        <f>IF(D10129=0,2*MAX(6*F10129,75),(D10129-1)*2*MAX(6*F10129,75))/1000</f>
        <v>0.15</v>
      </c>
      <c r="M10129" t="str">
        <v>=</v>
      </c>
      <c r="N10129">
        <f>J10129+L10129</f>
        <v>0.24</v>
      </c>
      <c r="T10129" t="str">
        <v>x</v>
      </c>
      <c r="U10129">
        <f>0.006165*F10129^2</f>
        <v>0</v>
      </c>
      <c r="V10129" t="str">
        <v>x</v>
      </c>
      <c r="W10129">
        <f>W10125</f>
        <v>11</v>
      </c>
      <c r="X10129" t="str">
        <v>x</v>
      </c>
      <c r="Y10129">
        <f>D10114</f>
        <v>0</v>
      </c>
      <c r="Z10129" t="str">
        <v>=</v>
      </c>
      <c r="AA10129">
        <f>N10129*U10129*W10129*Y10129</f>
        <v>0</v>
      </c>
    </row>
    <row r="10130">
      <c r="A10130" t="str">
        <f>A10104</f>
        <v>Lantai Attic</v>
      </c>
      <c r="B10130">
        <f>B10104</f>
        <v>73</v>
      </c>
      <c r="C10130" t="str">
        <v>Kait Horizontal Tump.</v>
      </c>
      <c r="D10130">
        <f>VLOOKUP(D10104,'Detail Balok'!$C$10:$BJ$110,56,FALSE)</f>
        <v>0</v>
      </c>
      <c r="E10130" t="str">
        <v>D</v>
      </c>
      <c r="F10130">
        <f>VLOOKUP(D10104,'Detail Balok'!$C$10:$BJ$110,58,FALSE)</f>
        <v>0</v>
      </c>
      <c r="G10130" t="str">
        <v>-</v>
      </c>
      <c r="H10130">
        <f>VLOOKUP(D10104,'Detail Balok'!$C$10:$BJ$110,60,FALSE)</f>
        <v>100</v>
      </c>
      <c r="J10130">
        <f>(D10105-2*F$5)/1000</f>
        <v>0.09</v>
      </c>
      <c r="K10130" t="str">
        <v>+</v>
      </c>
      <c r="L10130">
        <f>IF(D10130=0,2*MAX(6*F10130,75),(D10130-1)*2*MAX(6*F10130,75))/1000</f>
        <v>0.15</v>
      </c>
      <c r="M10130" t="str">
        <v>=</v>
      </c>
      <c r="N10130">
        <f>J10130+L10130</f>
        <v>0.24</v>
      </c>
      <c r="T10130" t="str">
        <v>x</v>
      </c>
      <c r="U10130">
        <f>0.006165*F10130^2</f>
        <v>0</v>
      </c>
      <c r="V10130" t="str">
        <v>x</v>
      </c>
      <c r="W10130">
        <f>W10126</f>
        <v>14</v>
      </c>
      <c r="X10130" t="str">
        <v>x</v>
      </c>
      <c r="Y10130">
        <f>D10114</f>
        <v>0</v>
      </c>
      <c r="Z10130" t="str">
        <v>=</v>
      </c>
      <c r="AA10130">
        <f>N10130*U10130*W10130*Y10130</f>
        <v>0</v>
      </c>
    </row>
    <row r="10134">
      <c r="A10134" t="str">
        <f>A10104</f>
        <v>Lantai Attic</v>
      </c>
      <c r="B10134">
        <f>B10104+1</f>
        <v>74</v>
      </c>
      <c r="C10134" t="str">
        <f>CONCATENATE(A10134," no. ",B10134)</f>
        <v>Lantai Attic no. 74</v>
      </c>
      <c r="D10134" t="str">
        <f>VLOOKUP(C10134,'Data Panjang Balok'!$C$9:$N$424,2,FALSE)</f>
        <v>B175-1</v>
      </c>
    </row>
    <row r="10135">
      <c r="C10135" t="str">
        <v>Dimensi</v>
      </c>
      <c r="D10135">
        <f>VLOOKUP(D10134,'Detail Balok'!$C$10:$AU$110,2,FALSE)</f>
        <v>170</v>
      </c>
      <c r="F10135" t="str">
        <v>x</v>
      </c>
      <c r="G10135">
        <f>VLOOKUP(D10134,'Detail Balok'!$C$10:$AU$110,3,FALSE)</f>
        <v>500</v>
      </c>
    </row>
    <row r="10136">
      <c r="C10136" t="str">
        <v>Panjang as ke as</v>
      </c>
      <c r="D10136">
        <f>VLOOKUP(C10134,'Data Panjang Balok'!$C$9:$N$424,4,FALSE)</f>
        <v>5500</v>
      </c>
    </row>
    <row r="10137">
      <c r="C10137" t="str">
        <v>Panjang netto</v>
      </c>
      <c r="D10137">
        <f>VLOOKUP(C10134,'Data Panjang Balok'!$C$9:$N$424,7,FALSE)</f>
        <v>5500</v>
      </c>
    </row>
    <row r="10138">
      <c r="C10138" t="str">
        <v>Kolom / balok kiri</v>
      </c>
      <c r="D10138">
        <f>VLOOKUP(C10134,'Data Panjang Balok'!$C$9:$N$424,9,FALSE)</f>
        <v>0</v>
      </c>
    </row>
    <row r="10139">
      <c r="C10139" t="str">
        <v>Kolom / balok kanan</v>
      </c>
      <c r="D10139">
        <f>VLOOKUP(C10134,'Data Panjang Balok'!$C$9:$N$424,10,FALSE)</f>
        <v>0</v>
      </c>
    </row>
    <row r="10140">
      <c r="C10140" t="str">
        <v>Jumlah</v>
      </c>
      <c r="D10140">
        <f>VLOOKUP(C10134,'Data Panjang Balok'!$C$9:$N$424,3,FALSE)</f>
        <v>1</v>
      </c>
    </row>
    <row r="10141">
      <c r="A10141" t="str">
        <f>A10134</f>
        <v>Lantai Attic</v>
      </c>
      <c r="B10141">
        <f>B10134</f>
        <v>74</v>
      </c>
      <c r="C10141" t="str">
        <v>Tul Atas Tumpuan</v>
      </c>
      <c r="D10141">
        <f>VLOOKUP(D10134,'Detail Balok'!$C$10:$AU$110,4,FALSE)</f>
        <v>2</v>
      </c>
      <c r="E10141" t="str">
        <v>D</v>
      </c>
      <c r="F10141">
        <f>VLOOKUP(D10134,'Detail Balok'!$C$10:$AU$110,6,FALSE)</f>
        <v>13</v>
      </c>
      <c r="I10141" t="str">
        <v>(</v>
      </c>
      <c r="J10141">
        <f>+D10136/4/1000</f>
        <v>1.375</v>
      </c>
      <c r="K10141" t="str">
        <v>+</v>
      </c>
      <c r="L10141">
        <f>MAX(VLOOKUP(F10141,N$6:P$15,3,FALSE)/1000,2/3*D10138/1000)+F$16*F10141/1000</f>
        <v>0.156</v>
      </c>
      <c r="M10141" t="str">
        <v>=</v>
      </c>
      <c r="N10141">
        <f>J10141+L10141</f>
        <v>1.531</v>
      </c>
      <c r="O10141" t="str">
        <v>+</v>
      </c>
      <c r="P10141">
        <f>D10141-D10142</f>
        <v>0</v>
      </c>
      <c r="Q10141" t="str">
        <v>x</v>
      </c>
      <c r="R10141">
        <f>IF(P10141&gt;0,$F$18*F10141/1000,0)</f>
        <v>0</v>
      </c>
      <c r="S10141" t="str">
        <v>)</v>
      </c>
      <c r="T10141" t="str">
        <v>x</v>
      </c>
      <c r="U10141">
        <f>0.006165*F10141^2</f>
        <v>1.041885</v>
      </c>
      <c r="X10141" t="str">
        <v>x</v>
      </c>
      <c r="Y10141">
        <f>D10140</f>
        <v>1</v>
      </c>
      <c r="Z10141" t="str">
        <v>=</v>
      </c>
      <c r="AA10141">
        <f>IF(AA10144=0,(D10141*N10141+P10141*R10141)*U10141*Y10141,0)</f>
        <v>0</v>
      </c>
    </row>
    <row r="10142">
      <c r="A10142" t="str">
        <f>A10134</f>
        <v>Lantai Attic</v>
      </c>
      <c r="B10142">
        <f>B10134</f>
        <v>74</v>
      </c>
      <c r="C10142" t="str">
        <v>Tul Atas Lapangan</v>
      </c>
      <c r="D10142">
        <f>VLOOKUP(D10134,'Detail Balok'!$C$10:$AU$110,7,FALSE)</f>
        <v>2</v>
      </c>
      <c r="E10142" t="str">
        <v>D</v>
      </c>
      <c r="F10142">
        <f>VLOOKUP(D10134,'Detail Balok'!$C$10:$AU$110,9,FALSE)</f>
        <v>13</v>
      </c>
      <c r="I10142" t="str">
        <v>(</v>
      </c>
      <c r="J10142">
        <f>+D10136/2/1000</f>
        <v>2.75</v>
      </c>
      <c r="K10142" t="str">
        <v>+</v>
      </c>
      <c r="M10142" t="str">
        <v>=</v>
      </c>
      <c r="N10142">
        <f>J10142+L10142</f>
        <v>2.75</v>
      </c>
      <c r="O10142" t="str">
        <v>+</v>
      </c>
      <c r="P10142">
        <f>MAX(D10142-D10141,D10142-D10143)</f>
        <v>0</v>
      </c>
      <c r="Q10142" t="str">
        <v>x</v>
      </c>
      <c r="R10142">
        <f>IF(P10142&gt;0,2*(1-2*$F$19-1/2)*D10137/1000,0)</f>
        <v>0</v>
      </c>
      <c r="S10142" t="str">
        <v>)</v>
      </c>
      <c r="T10142" t="str">
        <v>x</v>
      </c>
      <c r="U10142">
        <f>0.006165*F10142^2</f>
        <v>1.041885</v>
      </c>
      <c r="X10142" t="str">
        <v>x</v>
      </c>
      <c r="Y10142">
        <f>D10140</f>
        <v>1</v>
      </c>
      <c r="Z10142" t="str">
        <v>=</v>
      </c>
      <c r="AA10142">
        <f>IF(AA10144=0,(D10142*N10142+P10142*R10142)*U10142*Y10142,0)</f>
        <v>0</v>
      </c>
    </row>
    <row r="10143">
      <c r="A10143" t="str">
        <f>A10134</f>
        <v>Lantai Attic</v>
      </c>
      <c r="B10143">
        <f>B10134</f>
        <v>74</v>
      </c>
      <c r="C10143" t="str">
        <v>Tul Atas Tumpuan</v>
      </c>
      <c r="D10143">
        <f>VLOOKUP(D10134,'Detail Balok'!$C$10:$AU$110,10,FALSE)</f>
        <v>2</v>
      </c>
      <c r="E10143" t="str">
        <v>D</v>
      </c>
      <c r="F10143">
        <f>VLOOKUP(D10134,'Detail Balok'!$C$10:$AU$110,12,FALSE)</f>
        <v>13</v>
      </c>
      <c r="I10143" t="str">
        <v>(</v>
      </c>
      <c r="J10143">
        <f>+D10136/4/1000</f>
        <v>1.375</v>
      </c>
      <c r="K10143" t="str">
        <v>+</v>
      </c>
      <c r="L10143">
        <f>MAX(VLOOKUP(F10143,N$6:P$15,3,FALSE)/1000,2/3*D10138/1000)+F$16*F10143/1000</f>
        <v>0.156</v>
      </c>
      <c r="M10143" t="str">
        <v>=</v>
      </c>
      <c r="N10143">
        <f>J10143+L10143</f>
        <v>1.531</v>
      </c>
      <c r="O10143" t="str">
        <v>+</v>
      </c>
      <c r="P10143">
        <f>D10143-D10142</f>
        <v>0</v>
      </c>
      <c r="Q10143" t="str">
        <v>x</v>
      </c>
      <c r="R10143">
        <f>IF(P10143&gt;0,$F$18*F10143/1000,0)</f>
        <v>0</v>
      </c>
      <c r="S10143" t="str">
        <v>)</v>
      </c>
      <c r="T10143" t="str">
        <v>x</v>
      </c>
      <c r="U10143">
        <f>0.006165*F10143^2</f>
        <v>1.041885</v>
      </c>
      <c r="X10143" t="str">
        <v>x</v>
      </c>
      <c r="Y10143">
        <f>D10140</f>
        <v>1</v>
      </c>
      <c r="Z10143" t="str">
        <v>=</v>
      </c>
      <c r="AA10143">
        <f>IF(AA10144=0,(D10143*N10143+P10143*R10143)*U10143*Y10143,0)</f>
        <v>0</v>
      </c>
    </row>
    <row r="10144">
      <c r="A10144" t="str">
        <f>A10134</f>
        <v>Lantai Attic</v>
      </c>
      <c r="B10144">
        <f>B10134</f>
        <v>74</v>
      </c>
      <c r="D10144">
        <f>IF(AND(D10141=D10142,D10142=D10143,D10141=D10143),D10141,0)</f>
        <v>2</v>
      </c>
      <c r="E10144" t="str">
        <v>D</v>
      </c>
      <c r="F10144">
        <f>IF(AND(F10141=F10142,F10141=F10143,F10142=F10143),F10141,0)</f>
        <v>13</v>
      </c>
      <c r="L10144" t="str">
        <v>Total panjang per balok</v>
      </c>
      <c r="M10144" t="str">
        <v>=</v>
      </c>
      <c r="N10144">
        <f>IF(AND(D10141=D10142,D10141=D10143,D10142=D10143,F10141=F10142,F10141=F10143,F10142=F10143),SUM(N10141:N10143),0)</f>
        <v>5.811999999999999</v>
      </c>
      <c r="O10144" t="str">
        <v>+</v>
      </c>
      <c r="P10144">
        <f>IF(N10144&gt;12,ROUNDDOWN(N10144/12,0),0)</f>
        <v>0</v>
      </c>
      <c r="Q10144" t="str">
        <v>x</v>
      </c>
      <c r="R10144">
        <f>IF(P10144&gt;0,MAX(VLOOKUP(F10144,$D$6:$G$15,3,FALSE),600),0)/1000</f>
        <v>0</v>
      </c>
      <c r="T10144" t="str">
        <v>x</v>
      </c>
      <c r="U10144">
        <f>U10143</f>
        <v>1.041885</v>
      </c>
      <c r="V10144" t="str">
        <v>x</v>
      </c>
      <c r="W10144">
        <f>D10144</f>
        <v>2</v>
      </c>
      <c r="X10144" t="str">
        <v>x</v>
      </c>
      <c r="Y10144">
        <f>Y10143</f>
        <v>1</v>
      </c>
      <c r="Z10144" t="str">
        <v>=</v>
      </c>
      <c r="AA10144">
        <f>(N10144+P10144*R10144/1000)*U10144*W10144*Y10144</f>
        <v>12.110871239999998</v>
      </c>
    </row>
    <row r="10146">
      <c r="A10146" t="str">
        <f>A10134</f>
        <v>Lantai Attic</v>
      </c>
      <c r="B10146">
        <f>B10134</f>
        <v>74</v>
      </c>
      <c r="C10146" t="str">
        <v>Tul Peminggang</v>
      </c>
      <c r="D10146">
        <f>VLOOKUP(D10134,'Detail Balok'!$C$10:$AU$110,13,FALSE)</f>
        <v>2</v>
      </c>
      <c r="E10146" t="str">
        <v>D</v>
      </c>
      <c r="F10146">
        <f>VLOOKUP(D10134,'Detail Balok'!$C$10:$AU$110,15,FALSE)</f>
        <v>10</v>
      </c>
      <c r="J10146">
        <f>+D10136/1000</f>
        <v>5.5</v>
      </c>
      <c r="K10146" t="str">
        <v>+</v>
      </c>
      <c r="L10146">
        <f>2*$F$16*F10146/1000</f>
        <v>0.24</v>
      </c>
      <c r="M10146" t="str">
        <v>=</v>
      </c>
      <c r="N10146">
        <f>J10146+L10146</f>
        <v>5.74</v>
      </c>
      <c r="O10146" t="str">
        <v>+</v>
      </c>
      <c r="P10146">
        <f>IF(N10146&gt;12,ROUNDDOWN(N10146/12,0),0)</f>
        <v>0</v>
      </c>
      <c r="Q10146" t="str">
        <v>x</v>
      </c>
      <c r="R10146">
        <f>IF(P10146&gt;0,MAX(VLOOKUP(F10146,$D$6:$G$15,3,FALSE),600),0)/1000</f>
        <v>0</v>
      </c>
      <c r="T10146" t="str">
        <v>x</v>
      </c>
      <c r="U10146">
        <f>0.006165*F10146^2</f>
        <v>0.6165</v>
      </c>
      <c r="V10146" t="str">
        <v>x</v>
      </c>
      <c r="W10146">
        <f>+D10146</f>
        <v>2</v>
      </c>
      <c r="X10146" t="str">
        <v>x</v>
      </c>
      <c r="Y10146">
        <f>D10140</f>
        <v>1</v>
      </c>
      <c r="Z10146" t="str">
        <v>=</v>
      </c>
      <c r="AA10146">
        <f>(N10146+P10146*R10146/1000)*U10146*W10146*Y10146</f>
        <v>7.077420000000001</v>
      </c>
    </row>
    <row r="10149">
      <c r="A10149" t="str">
        <f>A10134</f>
        <v>Lantai Attic</v>
      </c>
      <c r="B10149">
        <f>B10134</f>
        <v>74</v>
      </c>
      <c r="C10149" t="str">
        <v>Tul Bawah Tumpuan</v>
      </c>
      <c r="D10149">
        <f>VLOOKUP(D10134,'Detail Balok'!$C$10:$AU$110,22,FALSE)</f>
        <v>2</v>
      </c>
      <c r="E10149" t="str">
        <v>D</v>
      </c>
      <c r="F10149">
        <f>VLOOKUP(D10134,'Detail Balok'!$C$10:$AU$110,24,FALSE)</f>
        <v>13</v>
      </c>
      <c r="I10149" t="str">
        <v>(</v>
      </c>
      <c r="J10149">
        <f>+J10141</f>
        <v>1.375</v>
      </c>
      <c r="K10149" t="str">
        <v>+</v>
      </c>
      <c r="L10149">
        <f>MAX(VLOOKUP(F10149,N$6:P$15,3,FALSE)/1000,2/3*D10139/1000)+F$16*F10149/1000</f>
        <v>0.156</v>
      </c>
      <c r="M10149" t="str">
        <v>=</v>
      </c>
      <c r="N10149">
        <f>J10149+L10149</f>
        <v>1.531</v>
      </c>
      <c r="O10149" t="str">
        <v>+</v>
      </c>
      <c r="P10149">
        <f>D10149-D10150</f>
        <v>0</v>
      </c>
      <c r="Q10149" t="str">
        <v>x</v>
      </c>
      <c r="R10149">
        <f>IF(P10149&gt;0,$F$18*F10149/1000,0)</f>
        <v>0</v>
      </c>
      <c r="S10149" t="str">
        <v>)</v>
      </c>
      <c r="T10149" t="str">
        <v>x</v>
      </c>
      <c r="U10149">
        <f>0.006165*F10149^2</f>
        <v>1.041885</v>
      </c>
      <c r="X10149" t="str">
        <v>x</v>
      </c>
      <c r="Y10149">
        <f>D10140</f>
        <v>1</v>
      </c>
      <c r="Z10149" t="str">
        <v>=</v>
      </c>
      <c r="AA10149">
        <f>IF(AA10152=0,(D10149*N10149+P10149*R10149)*U10149*Y10149,0)</f>
        <v>0</v>
      </c>
    </row>
    <row r="10150">
      <c r="A10150" t="str">
        <f>A10134</f>
        <v>Lantai Attic</v>
      </c>
      <c r="B10150">
        <f>B10134</f>
        <v>74</v>
      </c>
      <c r="C10150" t="str">
        <v>Tul Bawah Lapangan</v>
      </c>
      <c r="D10150">
        <f>VLOOKUP(D10134,'Detail Balok'!$C$10:$AU$110,25,FALSE)</f>
        <v>2</v>
      </c>
      <c r="E10150" t="str">
        <v>D</v>
      </c>
      <c r="F10150">
        <f>VLOOKUP(D10134,'Detail Balok'!$C$10:$AU$110,27,FALSE)</f>
        <v>13</v>
      </c>
      <c r="I10150" t="str">
        <v>(</v>
      </c>
      <c r="J10150">
        <f>+J10142</f>
        <v>2.75</v>
      </c>
      <c r="K10150" t="str">
        <v>+</v>
      </c>
      <c r="M10150" t="str">
        <v>=</v>
      </c>
      <c r="N10150">
        <f>J10150+L10150</f>
        <v>2.75</v>
      </c>
      <c r="O10150" t="str">
        <v>+</v>
      </c>
      <c r="P10150">
        <f>MAX(D10150-D10149,D10150-D10151)</f>
        <v>0</v>
      </c>
      <c r="Q10150" t="str">
        <v>x</v>
      </c>
      <c r="R10150">
        <f>IF(P10150&gt;0,2*(1-2*$F$19-1/2)*D10137/1000,0)</f>
        <v>0</v>
      </c>
      <c r="S10150" t="str">
        <v>)</v>
      </c>
      <c r="T10150" t="str">
        <v>x</v>
      </c>
      <c r="U10150">
        <f>0.006165*F10150^2</f>
        <v>1.041885</v>
      </c>
      <c r="X10150" t="str">
        <v>x</v>
      </c>
      <c r="Y10150">
        <f>D10140</f>
        <v>1</v>
      </c>
      <c r="Z10150" t="str">
        <v>=</v>
      </c>
      <c r="AA10150">
        <f>IF(AA10152=0,(D10150*N10150+P10150*R10150)*U10150*Y10150,0)</f>
        <v>0</v>
      </c>
    </row>
    <row r="10151">
      <c r="A10151" t="str">
        <f>A10134</f>
        <v>Lantai Attic</v>
      </c>
      <c r="B10151">
        <f>B10134</f>
        <v>74</v>
      </c>
      <c r="C10151" t="str">
        <v>Tul Bawah Tumpuan</v>
      </c>
      <c r="D10151">
        <f>VLOOKUP(D10134,'Detail Balok'!$C$10:$AU$110,28,FALSE)</f>
        <v>2</v>
      </c>
      <c r="E10151" t="str">
        <v>D</v>
      </c>
      <c r="F10151">
        <f>VLOOKUP(D10134,'Detail Balok'!$C$10:$AU$110,30,FALSE)</f>
        <v>13</v>
      </c>
      <c r="I10151" t="str">
        <v>(</v>
      </c>
      <c r="J10151">
        <f>+J10143</f>
        <v>1.375</v>
      </c>
      <c r="K10151" t="str">
        <v>+</v>
      </c>
      <c r="L10151">
        <f>MAX(VLOOKUP(F10151,N$6:P$15,3,FALSE)/1000,2/3*D10139/1000)+F$16*F10151/1000</f>
        <v>0.156</v>
      </c>
      <c r="M10151" t="str">
        <v>=</v>
      </c>
      <c r="N10151">
        <f>J10151+L10151</f>
        <v>1.531</v>
      </c>
      <c r="O10151" t="str">
        <v>+</v>
      </c>
      <c r="P10151">
        <f>D10151-D10150</f>
        <v>0</v>
      </c>
      <c r="Q10151" t="str">
        <v>x</v>
      </c>
      <c r="R10151">
        <f>IF(P10151&gt;0,$F$18*F10151/1000,0)</f>
        <v>0</v>
      </c>
      <c r="S10151" t="str">
        <v>)</v>
      </c>
      <c r="T10151" t="str">
        <v>x</v>
      </c>
      <c r="U10151">
        <f>0.006165*F10151^2</f>
        <v>1.041885</v>
      </c>
      <c r="X10151" t="str">
        <v>x</v>
      </c>
      <c r="Y10151">
        <f>D10140</f>
        <v>1</v>
      </c>
      <c r="Z10151" t="str">
        <v>=</v>
      </c>
      <c r="AA10151">
        <f>IF(AA10152=0,(D10151*N10151+P10151*R10151)*U10151*Y10151,0)</f>
        <v>0</v>
      </c>
    </row>
    <row r="10152">
      <c r="A10152" t="str">
        <f>A10134</f>
        <v>Lantai Attic</v>
      </c>
      <c r="B10152">
        <f>B10134</f>
        <v>74</v>
      </c>
      <c r="D10152">
        <f>IF(AND(D10149=D10150,D10150=D10151,D10149=D10151),D10149,0)</f>
        <v>2</v>
      </c>
      <c r="E10152" t="str">
        <v>D</v>
      </c>
      <c r="F10152">
        <f>IF(AND(F10149=F10150,F10149=F10151,F10150=F10151),F10149,0)</f>
        <v>13</v>
      </c>
      <c r="L10152" t="str">
        <v>Total panjang per balok</v>
      </c>
      <c r="M10152" t="str">
        <v>=</v>
      </c>
      <c r="N10152">
        <f>IF(AND(D10149=D10150,D10149=D10151,D10150=D10151,F10149=F10150,F10149=F10151,F10150=F10151),SUM(N10149:N10151),0)</f>
        <v>5.811999999999999</v>
      </c>
      <c r="O10152" t="str">
        <v>+</v>
      </c>
      <c r="P10152">
        <f>IF(N10152&gt;12,ROUNDDOWN(N10152/12,0),0)</f>
        <v>0</v>
      </c>
      <c r="Q10152" t="str">
        <v>x</v>
      </c>
      <c r="R10152">
        <f>IF(P10152&gt;0,MAX(VLOOKUP(F10152,$D$6:$G$15,3,FALSE),600),0)/1000</f>
        <v>0</v>
      </c>
      <c r="T10152" t="str">
        <v>x</v>
      </c>
      <c r="U10152">
        <f>U10151</f>
        <v>1.041885</v>
      </c>
      <c r="V10152" t="str">
        <v>x</v>
      </c>
      <c r="W10152">
        <f>D10152</f>
        <v>2</v>
      </c>
      <c r="X10152" t="str">
        <v>x</v>
      </c>
      <c r="Y10152">
        <f>Y10151</f>
        <v>1</v>
      </c>
      <c r="Z10152" t="str">
        <v>=</v>
      </c>
      <c r="AA10152">
        <f>(N10152+P10152*R10152/1000)*U10152*W10152*Y10152</f>
        <v>12.110871239999998</v>
      </c>
    </row>
    <row r="10154">
      <c r="A10154" t="str">
        <f>A10134</f>
        <v>Lantai Attic</v>
      </c>
      <c r="B10154">
        <f>B10134</f>
        <v>74</v>
      </c>
      <c r="C10154" t="str">
        <v>Sengkang Tumpuan</v>
      </c>
      <c r="D10154">
        <f>VLOOKUP(D10134,'Detail Balok'!$C$10:$AU$110,31,FALSE)</f>
        <v>0</v>
      </c>
      <c r="E10154" t="str">
        <v>D</v>
      </c>
      <c r="F10154">
        <f>VLOOKUP(D10134,'Detail Balok'!$C$10:$AU$110,33,FALSE)</f>
        <v>10</v>
      </c>
      <c r="G10154" t="str">
        <v>-</v>
      </c>
      <c r="H10154">
        <f>VLOOKUP(D10134,'Detail Balok'!$C$10:$AU$110,35,FALSE)</f>
        <v>80</v>
      </c>
      <c r="J10154">
        <f>(IF(D10154=0,(2*(D10135+G10135))-(F$5*8),IF(D10154=3,(2*(D10135+G10135))-(F$5*8)+(G10135-2*F$5),IF(D10154=4,(2*(D10135+G10135))-(F$5*8)+2*(G10135-2*F$5)))))/1000</f>
        <v>1.02</v>
      </c>
      <c r="K10154" t="str">
        <v>+</v>
      </c>
      <c r="L10154">
        <f>IF(D10154=0,2*MAX(6*F10154,75),(D10154-1)*2*MAX(6*F10154,75))/1000</f>
        <v>0.15</v>
      </c>
      <c r="M10154" t="str">
        <v>=</v>
      </c>
      <c r="N10154">
        <f>J10154+L10154</f>
        <v>1.17</v>
      </c>
      <c r="T10154" t="str">
        <v>x</v>
      </c>
      <c r="U10154">
        <f>0.006165*F10154^2</f>
        <v>0.6165</v>
      </c>
      <c r="V10154" t="str">
        <v>x</v>
      </c>
      <c r="W10154">
        <f>IF(D10137&gt;4*G10135,ROUND(MAX(D10137/4,2*G10135)/H10154,0)+1,ROUND(D10137/H10154,0)+1)</f>
        <v>18</v>
      </c>
      <c r="X10154" t="str">
        <v>x</v>
      </c>
      <c r="Y10154">
        <f>D10140</f>
        <v>1</v>
      </c>
      <c r="Z10154" t="str">
        <v>=</v>
      </c>
      <c r="AA10154">
        <f>N10154*U10154*W10154*Y10154</f>
        <v>12.98349</v>
      </c>
    </row>
    <row r="10155">
      <c r="A10155" t="str">
        <f>A10134</f>
        <v>Lantai Attic</v>
      </c>
      <c r="B10155">
        <f>B10134</f>
        <v>74</v>
      </c>
      <c r="C10155" t="str">
        <v>Sengkang Lapangan</v>
      </c>
      <c r="D10155">
        <f>VLOOKUP(D10134,'Detail Balok'!$C$10:$AU$110,36,FALSE)</f>
        <v>0</v>
      </c>
      <c r="E10155" t="str">
        <v>D</v>
      </c>
      <c r="F10155">
        <f>VLOOKUP(D10134,'Detail Balok'!$C$10:$AU$110,38,FALSE)</f>
        <v>10</v>
      </c>
      <c r="G10155" t="str">
        <v>-</v>
      </c>
      <c r="H10155">
        <f>VLOOKUP(D10134,'Detail Balok'!$C$10:$AU$110,40,FALSE)</f>
        <v>200</v>
      </c>
      <c r="J10155">
        <f>(IF(D10155=0,(2*(D10135+G10135))-(F$5*8),IF(D10155=3,(2*(D10135+G10135))-(F$5*8)+(G10135-2*F$5),IF(D10155=4,(2*(D10135+G10135))-(F$5*8)+2*(G10135-2*F$5)))))/1000</f>
        <v>1.02</v>
      </c>
      <c r="K10155" t="str">
        <v>+</v>
      </c>
      <c r="L10155">
        <f>IF(D10155=0,2*MAX(6*F10155,75),(D10155-1)*2*MAX(6*F10155,75))/1000</f>
        <v>0.15</v>
      </c>
      <c r="M10155" t="str">
        <v>=</v>
      </c>
      <c r="N10155">
        <f>J10155+L10155</f>
        <v>1.17</v>
      </c>
      <c r="T10155" t="str">
        <v>x</v>
      </c>
      <c r="U10155">
        <f>0.006165*F10155^2</f>
        <v>0.6165</v>
      </c>
      <c r="V10155" t="str">
        <v>x</v>
      </c>
      <c r="W10155">
        <f>IF(D10137-MAX(D10137/4,2*G10135)*2&gt;0,ROUND((D10137-MAX(D10137/4,2*G10135)*2)/H10155,0),0)</f>
        <v>14</v>
      </c>
      <c r="X10155" t="str">
        <v>x</v>
      </c>
      <c r="Y10155">
        <f>D10140</f>
        <v>1</v>
      </c>
      <c r="Z10155" t="str">
        <v>=</v>
      </c>
      <c r="AA10155">
        <f>N10155*U10155*W10155*Y10155</f>
        <v>10.09827</v>
      </c>
    </row>
    <row r="10156">
      <c r="A10156" t="str">
        <f>A10134</f>
        <v>Lantai Attic</v>
      </c>
      <c r="B10156">
        <f>B10134</f>
        <v>74</v>
      </c>
      <c r="C10156" t="str">
        <v>Sengkang Tumpuan</v>
      </c>
      <c r="D10156">
        <f>VLOOKUP(D10134,'Detail Balok'!$C$10:$AU$110,41,FALSE)</f>
        <v>0</v>
      </c>
      <c r="E10156" t="str">
        <v>D</v>
      </c>
      <c r="F10156">
        <f>VLOOKUP(D10134,'Detail Balok'!$C$10:$AU$110,43,FALSE)</f>
        <v>10</v>
      </c>
      <c r="G10156" t="str">
        <v>-</v>
      </c>
      <c r="H10156">
        <f>VLOOKUP(D10134,'Detail Balok'!$C$10:$AU$110,45,FALSE)</f>
        <v>80</v>
      </c>
      <c r="J10156">
        <f>(IF(D10156=0,(2*(D10135+G10135))-(F$5*8),IF(D10156=3,(2*(D10135+G10135))-(F$5*8)+(G10135-2*F$5),IF(D10156=4,(2*(D10135+G10135))-(F$5*8)+2*(G10135-2*F$5)))))/1000</f>
        <v>1.02</v>
      </c>
      <c r="K10156" t="str">
        <v>+</v>
      </c>
      <c r="L10156">
        <f>IF(D10156=0,2*MAX(6*F10156,75),(D10156-1)*2*MAX(6*F10156,75))/1000</f>
        <v>0.15</v>
      </c>
      <c r="M10156" t="str">
        <v>=</v>
      </c>
      <c r="N10156">
        <f>J10156+L10156</f>
        <v>1.17</v>
      </c>
      <c r="T10156" t="str">
        <v>x</v>
      </c>
      <c r="U10156">
        <f>0.006165*F10156^2</f>
        <v>0.6165</v>
      </c>
      <c r="V10156" t="str">
        <v>x</v>
      </c>
      <c r="W10156">
        <f>IF(D10137&gt;4*G10135,ROUND(MAX(D10137/4,2*G10135)/H10156,0)+1,0)</f>
        <v>18</v>
      </c>
      <c r="X10156" t="str">
        <v>x</v>
      </c>
      <c r="Y10156">
        <f>D10140</f>
        <v>1</v>
      </c>
      <c r="Z10156" t="str">
        <v>=</v>
      </c>
      <c r="AA10156">
        <f>N10156*U10156*W10156*Y10156</f>
        <v>12.98349</v>
      </c>
    </row>
    <row r="10158">
      <c r="A10158" t="str">
        <f>A10134</f>
        <v>Lantai Attic</v>
      </c>
      <c r="B10158">
        <f>B10134</f>
        <v>74</v>
      </c>
      <c r="C10158" t="str">
        <v>Kait Horizontal Tump.</v>
      </c>
      <c r="D10158">
        <f>VLOOKUP(D10134,'Detail Balok'!$C$10:$BJ$110,46,FALSE)</f>
        <v>0</v>
      </c>
      <c r="E10158" t="str">
        <v>D</v>
      </c>
      <c r="F10158">
        <f>VLOOKUP(D10134,'Detail Balok'!$C$10:$BJ$110,48,FALSE)</f>
        <v>0</v>
      </c>
      <c r="G10158" t="str">
        <v>-</v>
      </c>
      <c r="H10158">
        <f>VLOOKUP(D10134,'Detail Balok'!$C$10:$BJ$110,50,FALSE)</f>
        <v>100</v>
      </c>
      <c r="J10158">
        <f>(D10135-2*F$5)/1000</f>
        <v>0.09</v>
      </c>
      <c r="K10158" t="str">
        <v>+</v>
      </c>
      <c r="L10158">
        <f>IF(D10158=0,2*MAX(6*F10158,75),(D10158-1)*2*MAX(6*F10158,75))/1000</f>
        <v>0.15</v>
      </c>
      <c r="M10158" t="str">
        <v>=</v>
      </c>
      <c r="N10158">
        <f>J10158+L10158</f>
        <v>0.24</v>
      </c>
      <c r="T10158" t="str">
        <v>x</v>
      </c>
      <c r="U10158">
        <f>0.006165*F10158^2</f>
        <v>0</v>
      </c>
      <c r="V10158" t="str">
        <v>x</v>
      </c>
      <c r="W10158">
        <f>W10154</f>
        <v>18</v>
      </c>
      <c r="X10158" t="str">
        <v>x</v>
      </c>
      <c r="Y10158">
        <f>D10144</f>
        <v>2</v>
      </c>
      <c r="Z10158" t="str">
        <v>=</v>
      </c>
      <c r="AA10158">
        <f>N10158*U10158*W10158*Y10158</f>
        <v>0</v>
      </c>
    </row>
    <row r="10159">
      <c r="A10159" t="str">
        <f>A10134</f>
        <v>Lantai Attic</v>
      </c>
      <c r="B10159">
        <f>B10134</f>
        <v>74</v>
      </c>
      <c r="C10159" t="str">
        <v>Kait Horizontal Lap.</v>
      </c>
      <c r="D10159">
        <f>VLOOKUP(D10134,'Detail Balok'!$C$10:$BJ$110,51,FALSE)</f>
        <v>0</v>
      </c>
      <c r="E10159" t="str">
        <v>D</v>
      </c>
      <c r="F10159">
        <f>VLOOKUP(D10134,'Detail Balok'!$C$10:$BJ$110,53,FALSE)</f>
        <v>0</v>
      </c>
      <c r="G10159" t="str">
        <v>-</v>
      </c>
      <c r="H10159">
        <f>VLOOKUP(D10134,'Detail Balok'!$C$10:$BJ$110,55,FALSE)</f>
        <v>100</v>
      </c>
      <c r="J10159">
        <f>(D10135-2*F$5)/1000</f>
        <v>0.09</v>
      </c>
      <c r="K10159" t="str">
        <v>+</v>
      </c>
      <c r="L10159">
        <f>IF(D10159=0,2*MAX(6*F10159,75),(D10159-1)*2*MAX(6*F10159,75))/1000</f>
        <v>0.15</v>
      </c>
      <c r="M10159" t="str">
        <v>=</v>
      </c>
      <c r="N10159">
        <f>J10159+L10159</f>
        <v>0.24</v>
      </c>
      <c r="T10159" t="str">
        <v>x</v>
      </c>
      <c r="U10159">
        <f>0.006165*F10159^2</f>
        <v>0</v>
      </c>
      <c r="V10159" t="str">
        <v>x</v>
      </c>
      <c r="W10159">
        <f>W10155</f>
        <v>14</v>
      </c>
      <c r="X10159" t="str">
        <v>x</v>
      </c>
      <c r="Y10159">
        <f>D10144</f>
        <v>2</v>
      </c>
      <c r="Z10159" t="str">
        <v>=</v>
      </c>
      <c r="AA10159">
        <f>N10159*U10159*W10159*Y10159</f>
        <v>0</v>
      </c>
    </row>
    <row r="10160">
      <c r="A10160" t="str">
        <f>A10134</f>
        <v>Lantai Attic</v>
      </c>
      <c r="B10160">
        <f>B10134</f>
        <v>74</v>
      </c>
      <c r="C10160" t="str">
        <v>Kait Horizontal Tump.</v>
      </c>
      <c r="D10160">
        <f>VLOOKUP(D10134,'Detail Balok'!$C$10:$BJ$110,56,FALSE)</f>
        <v>0</v>
      </c>
      <c r="E10160" t="str">
        <v>D</v>
      </c>
      <c r="F10160">
        <f>VLOOKUP(D10134,'Detail Balok'!$C$10:$BJ$110,58,FALSE)</f>
        <v>0</v>
      </c>
      <c r="G10160" t="str">
        <v>-</v>
      </c>
      <c r="H10160">
        <f>VLOOKUP(D10134,'Detail Balok'!$C$10:$BJ$110,60,FALSE)</f>
        <v>100</v>
      </c>
      <c r="J10160">
        <f>(D10135-2*F$5)/1000</f>
        <v>0.09</v>
      </c>
      <c r="K10160" t="str">
        <v>+</v>
      </c>
      <c r="L10160">
        <f>IF(D10160=0,2*MAX(6*F10160,75),(D10160-1)*2*MAX(6*F10160,75))/1000</f>
        <v>0.15</v>
      </c>
      <c r="M10160" t="str">
        <v>=</v>
      </c>
      <c r="N10160">
        <f>J10160+L10160</f>
        <v>0.24</v>
      </c>
      <c r="T10160" t="str">
        <v>x</v>
      </c>
      <c r="U10160">
        <f>0.006165*F10160^2</f>
        <v>0</v>
      </c>
      <c r="V10160" t="str">
        <v>x</v>
      </c>
      <c r="W10160">
        <f>W10156</f>
        <v>18</v>
      </c>
      <c r="X10160" t="str">
        <v>x</v>
      </c>
      <c r="Y10160">
        <f>D10144</f>
        <v>2</v>
      </c>
      <c r="Z10160" t="str">
        <v>=</v>
      </c>
      <c r="AA10160">
        <f>N10160*U10160*W10160*Y10160</f>
        <v>0</v>
      </c>
    </row>
    <row r="10164">
      <c r="A10164" t="str">
        <f>A10134</f>
        <v>Lantai Attic</v>
      </c>
      <c r="B10164">
        <f>B10134+1</f>
        <v>75</v>
      </c>
      <c r="C10164" t="str">
        <f>CONCATENATE(A10164," no. ",B10164)</f>
        <v>Lantai Attic no. 75</v>
      </c>
      <c r="D10164" t="str">
        <f>VLOOKUP(C10164,'Data Panjang Balok'!$C$9:$N$424,2,FALSE)</f>
        <v>B173-1</v>
      </c>
    </row>
    <row r="10165">
      <c r="C10165" t="str">
        <v>Dimensi</v>
      </c>
      <c r="D10165">
        <f>VLOOKUP(D10164,'Detail Balok'!$C$10:$AU$110,2,FALSE)</f>
        <v>170</v>
      </c>
      <c r="F10165" t="str">
        <v>x</v>
      </c>
      <c r="G10165">
        <f>VLOOKUP(D10164,'Detail Balok'!$C$10:$AU$110,3,FALSE)</f>
        <v>300</v>
      </c>
    </row>
    <row r="10166">
      <c r="C10166" t="str">
        <v>Panjang as ke as</v>
      </c>
      <c r="D10166">
        <f>VLOOKUP(C10164,'Data Panjang Balok'!$C$9:$N$424,4,FALSE)</f>
        <v>3000</v>
      </c>
    </row>
    <row r="10167">
      <c r="C10167" t="str">
        <v>Panjang netto</v>
      </c>
      <c r="D10167">
        <f>VLOOKUP(C10164,'Data Panjang Balok'!$C$9:$N$424,7,FALSE)</f>
        <v>3000</v>
      </c>
    </row>
    <row r="10168">
      <c r="C10168" t="str">
        <v>Kolom / balok kiri</v>
      </c>
      <c r="D10168">
        <f>VLOOKUP(C10164,'Data Panjang Balok'!$C$9:$N$424,9,FALSE)</f>
        <v>0</v>
      </c>
    </row>
    <row r="10169">
      <c r="C10169" t="str">
        <v>Kolom / balok kanan</v>
      </c>
      <c r="D10169">
        <f>VLOOKUP(C10164,'Data Panjang Balok'!$C$9:$N$424,10,FALSE)</f>
        <v>0</v>
      </c>
    </row>
    <row r="10170">
      <c r="C10170" t="str">
        <v>Jumlah</v>
      </c>
      <c r="D10170">
        <f>VLOOKUP(C10164,'Data Panjang Balok'!$C$9:$N$424,3,FALSE)</f>
        <v>1</v>
      </c>
    </row>
    <row r="10171">
      <c r="A10171" t="str">
        <f>A10164</f>
        <v>Lantai Attic</v>
      </c>
      <c r="B10171">
        <f>B10164</f>
        <v>75</v>
      </c>
      <c r="C10171" t="str">
        <v>Tul Atas Tumpuan</v>
      </c>
      <c r="D10171">
        <f>VLOOKUP(D10164,'Detail Balok'!$C$10:$AU$110,4,FALSE)</f>
        <v>2</v>
      </c>
      <c r="E10171" t="str">
        <v>D</v>
      </c>
      <c r="F10171">
        <f>VLOOKUP(D10164,'Detail Balok'!$C$10:$AU$110,6,FALSE)</f>
        <v>13</v>
      </c>
      <c r="I10171" t="str">
        <v>(</v>
      </c>
      <c r="J10171">
        <f>+D10166/4/1000</f>
        <v>0.75</v>
      </c>
      <c r="K10171" t="str">
        <v>+</v>
      </c>
      <c r="L10171">
        <f>MAX(VLOOKUP(F10171,N$6:P$15,3,FALSE)/1000,2/3*D10168/1000)+F$16*F10171/1000</f>
        <v>0.156</v>
      </c>
      <c r="M10171" t="str">
        <v>=</v>
      </c>
      <c r="N10171">
        <f>J10171+L10171</f>
        <v>0.906</v>
      </c>
      <c r="O10171" t="str">
        <v>+</v>
      </c>
      <c r="P10171">
        <f>D10171-D10172</f>
        <v>0</v>
      </c>
      <c r="Q10171" t="str">
        <v>x</v>
      </c>
      <c r="R10171">
        <f>IF(P10171&gt;0,$F$18*F10171/1000,0)</f>
        <v>0</v>
      </c>
      <c r="S10171" t="str">
        <v>)</v>
      </c>
      <c r="T10171" t="str">
        <v>x</v>
      </c>
      <c r="U10171">
        <f>0.006165*F10171^2</f>
        <v>1.041885</v>
      </c>
      <c r="X10171" t="str">
        <v>x</v>
      </c>
      <c r="Y10171">
        <f>D10170</f>
        <v>1</v>
      </c>
      <c r="Z10171" t="str">
        <v>=</v>
      </c>
      <c r="AA10171">
        <f>IF(AA10174=0,(D10171*N10171+P10171*R10171)*U10171*Y10171,0)</f>
        <v>0</v>
      </c>
    </row>
    <row r="10172">
      <c r="A10172" t="str">
        <f>A10164</f>
        <v>Lantai Attic</v>
      </c>
      <c r="B10172">
        <f>B10164</f>
        <v>75</v>
      </c>
      <c r="C10172" t="str">
        <v>Tul Atas Lapangan</v>
      </c>
      <c r="D10172">
        <f>VLOOKUP(D10164,'Detail Balok'!$C$10:$AU$110,7,FALSE)</f>
        <v>2</v>
      </c>
      <c r="E10172" t="str">
        <v>D</v>
      </c>
      <c r="F10172">
        <f>VLOOKUP(D10164,'Detail Balok'!$C$10:$AU$110,9,FALSE)</f>
        <v>13</v>
      </c>
      <c r="I10172" t="str">
        <v>(</v>
      </c>
      <c r="J10172">
        <f>+D10166/2/1000</f>
        <v>1.5</v>
      </c>
      <c r="K10172" t="str">
        <v>+</v>
      </c>
      <c r="M10172" t="str">
        <v>=</v>
      </c>
      <c r="N10172">
        <f>J10172+L10172</f>
        <v>1.5</v>
      </c>
      <c r="O10172" t="str">
        <v>+</v>
      </c>
      <c r="P10172">
        <f>MAX(D10172-D10171,D10172-D10173)</f>
        <v>0</v>
      </c>
      <c r="Q10172" t="str">
        <v>x</v>
      </c>
      <c r="R10172">
        <f>IF(P10172&gt;0,2*(1-2*$F$19-1/2)*D10167/1000,0)</f>
        <v>0</v>
      </c>
      <c r="S10172" t="str">
        <v>)</v>
      </c>
      <c r="T10172" t="str">
        <v>x</v>
      </c>
      <c r="U10172">
        <f>0.006165*F10172^2</f>
        <v>1.041885</v>
      </c>
      <c r="X10172" t="str">
        <v>x</v>
      </c>
      <c r="Y10172">
        <f>D10170</f>
        <v>1</v>
      </c>
      <c r="Z10172" t="str">
        <v>=</v>
      </c>
      <c r="AA10172">
        <f>IF(AA10174=0,(D10172*N10172+P10172*R10172)*U10172*Y10172,0)</f>
        <v>0</v>
      </c>
    </row>
    <row r="10173">
      <c r="A10173" t="str">
        <f>A10164</f>
        <v>Lantai Attic</v>
      </c>
      <c r="B10173">
        <f>B10164</f>
        <v>75</v>
      </c>
      <c r="C10173" t="str">
        <v>Tul Atas Tumpuan</v>
      </c>
      <c r="D10173">
        <f>VLOOKUP(D10164,'Detail Balok'!$C$10:$AU$110,10,FALSE)</f>
        <v>2</v>
      </c>
      <c r="E10173" t="str">
        <v>D</v>
      </c>
      <c r="F10173">
        <f>VLOOKUP(D10164,'Detail Balok'!$C$10:$AU$110,12,FALSE)</f>
        <v>13</v>
      </c>
      <c r="I10173" t="str">
        <v>(</v>
      </c>
      <c r="J10173">
        <f>+D10166/4/1000</f>
        <v>0.75</v>
      </c>
      <c r="K10173" t="str">
        <v>+</v>
      </c>
      <c r="L10173">
        <f>MAX(VLOOKUP(F10173,N$6:P$15,3,FALSE)/1000,2/3*D10168/1000)+F$16*F10173/1000</f>
        <v>0.156</v>
      </c>
      <c r="M10173" t="str">
        <v>=</v>
      </c>
      <c r="N10173">
        <f>J10173+L10173</f>
        <v>0.906</v>
      </c>
      <c r="O10173" t="str">
        <v>+</v>
      </c>
      <c r="P10173">
        <f>D10173-D10172</f>
        <v>0</v>
      </c>
      <c r="Q10173" t="str">
        <v>x</v>
      </c>
      <c r="R10173">
        <f>IF(P10173&gt;0,$F$18*F10173/1000,0)</f>
        <v>0</v>
      </c>
      <c r="S10173" t="str">
        <v>)</v>
      </c>
      <c r="T10173" t="str">
        <v>x</v>
      </c>
      <c r="U10173">
        <f>0.006165*F10173^2</f>
        <v>1.041885</v>
      </c>
      <c r="X10173" t="str">
        <v>x</v>
      </c>
      <c r="Y10173">
        <f>D10170</f>
        <v>1</v>
      </c>
      <c r="Z10173" t="str">
        <v>=</v>
      </c>
      <c r="AA10173">
        <f>IF(AA10174=0,(D10173*N10173+P10173*R10173)*U10173*Y10173,0)</f>
        <v>0</v>
      </c>
    </row>
    <row r="10174">
      <c r="A10174" t="str">
        <f>A10164</f>
        <v>Lantai Attic</v>
      </c>
      <c r="B10174">
        <f>B10164</f>
        <v>75</v>
      </c>
      <c r="D10174">
        <f>IF(AND(D10171=D10172,D10172=D10173,D10171=D10173),D10171,0)</f>
        <v>2</v>
      </c>
      <c r="E10174" t="str">
        <v>D</v>
      </c>
      <c r="F10174">
        <f>IF(AND(F10171=F10172,F10171=F10173,F10172=F10173),F10171,0)</f>
        <v>13</v>
      </c>
      <c r="L10174" t="str">
        <v>Total panjang per balok</v>
      </c>
      <c r="M10174" t="str">
        <v>=</v>
      </c>
      <c r="N10174">
        <f>IF(AND(D10171=D10172,D10171=D10173,D10172=D10173,F10171=F10172,F10171=F10173,F10172=F10173),SUM(N10171:N10173),0)</f>
        <v>3.3120000000000003</v>
      </c>
      <c r="O10174" t="str">
        <v>+</v>
      </c>
      <c r="P10174">
        <f>IF(N10174&gt;12,ROUNDDOWN(N10174/12,0),0)</f>
        <v>0</v>
      </c>
      <c r="Q10174" t="str">
        <v>x</v>
      </c>
      <c r="R10174">
        <f>IF(P10174&gt;0,MAX(VLOOKUP(F10174,$D$6:$G$15,3,FALSE),600),0)/1000</f>
        <v>0</v>
      </c>
      <c r="T10174" t="str">
        <v>x</v>
      </c>
      <c r="U10174">
        <f>U10173</f>
        <v>1.041885</v>
      </c>
      <c r="V10174" t="str">
        <v>x</v>
      </c>
      <c r="W10174">
        <f>D10174</f>
        <v>2</v>
      </c>
      <c r="X10174" t="str">
        <v>x</v>
      </c>
      <c r="Y10174">
        <f>Y10173</f>
        <v>1</v>
      </c>
      <c r="Z10174" t="str">
        <v>=</v>
      </c>
      <c r="AA10174">
        <f>(N10174+P10174*R10174/1000)*U10174*W10174*Y10174</f>
        <v>6.90144624</v>
      </c>
    </row>
    <row r="10176">
      <c r="A10176" t="str">
        <f>A10164</f>
        <v>Lantai Attic</v>
      </c>
      <c r="B10176">
        <f>B10164</f>
        <v>75</v>
      </c>
      <c r="C10176" t="str">
        <v>Tul Peminggang</v>
      </c>
      <c r="D10176">
        <f>VLOOKUP(D10164,'Detail Balok'!$C$10:$AU$110,13,FALSE)</f>
        <v>0</v>
      </c>
      <c r="E10176" t="str">
        <v>D</v>
      </c>
      <c r="F10176">
        <f>VLOOKUP(D10164,'Detail Balok'!$C$10:$AU$110,15,FALSE)</f>
        <v>6</v>
      </c>
      <c r="J10176">
        <f>+D10166/1000</f>
        <v>3</v>
      </c>
      <c r="K10176" t="str">
        <v>+</v>
      </c>
      <c r="L10176">
        <f>2*$F$16*F10176/1000</f>
        <v>0.144</v>
      </c>
      <c r="M10176" t="str">
        <v>=</v>
      </c>
      <c r="N10176">
        <f>J10176+L10176</f>
        <v>3.144</v>
      </c>
      <c r="O10176" t="str">
        <v>+</v>
      </c>
      <c r="P10176">
        <f>IF(N10176&gt;12,ROUNDDOWN(N10176/12,0),0)</f>
        <v>0</v>
      </c>
      <c r="Q10176" t="str">
        <v>x</v>
      </c>
      <c r="R10176">
        <f>IF(P10176&gt;0,MAX(VLOOKUP(F10176,$D$6:$G$15,3,FALSE),600),0)/1000</f>
        <v>0</v>
      </c>
      <c r="T10176" t="str">
        <v>x</v>
      </c>
      <c r="U10176">
        <f>0.006165*F10176^2</f>
        <v>0.22194000000000003</v>
      </c>
      <c r="V10176" t="str">
        <v>x</v>
      </c>
      <c r="W10176">
        <f>+D10176</f>
        <v>0</v>
      </c>
      <c r="X10176" t="str">
        <v>x</v>
      </c>
      <c r="Y10176">
        <f>D10170</f>
        <v>1</v>
      </c>
      <c r="Z10176" t="str">
        <v>=</v>
      </c>
      <c r="AA10176">
        <f>(N10176+P10176*R10176/1000)*U10176*W10176*Y10176</f>
        <v>0</v>
      </c>
    </row>
    <row r="10179">
      <c r="A10179" t="str">
        <f>A10164</f>
        <v>Lantai Attic</v>
      </c>
      <c r="B10179">
        <f>B10164</f>
        <v>75</v>
      </c>
      <c r="C10179" t="str">
        <v>Tul Bawah Tumpuan</v>
      </c>
      <c r="D10179">
        <f>VLOOKUP(D10164,'Detail Balok'!$C$10:$AU$110,22,FALSE)</f>
        <v>2</v>
      </c>
      <c r="E10179" t="str">
        <v>D</v>
      </c>
      <c r="F10179">
        <f>VLOOKUP(D10164,'Detail Balok'!$C$10:$AU$110,24,FALSE)</f>
        <v>13</v>
      </c>
      <c r="I10179" t="str">
        <v>(</v>
      </c>
      <c r="J10179">
        <f>+J10171</f>
        <v>0.75</v>
      </c>
      <c r="K10179" t="str">
        <v>+</v>
      </c>
      <c r="L10179">
        <f>MAX(VLOOKUP(F10179,N$6:P$15,3,FALSE)/1000,2/3*D10169/1000)+F$16*F10179/1000</f>
        <v>0.156</v>
      </c>
      <c r="M10179" t="str">
        <v>=</v>
      </c>
      <c r="N10179">
        <f>J10179+L10179</f>
        <v>0.906</v>
      </c>
      <c r="O10179" t="str">
        <v>+</v>
      </c>
      <c r="P10179">
        <f>D10179-D10180</f>
        <v>0</v>
      </c>
      <c r="Q10179" t="str">
        <v>x</v>
      </c>
      <c r="R10179">
        <f>IF(P10179&gt;0,$F$18*F10179/1000,0)</f>
        <v>0</v>
      </c>
      <c r="S10179" t="str">
        <v>)</v>
      </c>
      <c r="T10179" t="str">
        <v>x</v>
      </c>
      <c r="U10179">
        <f>0.006165*F10179^2</f>
        <v>1.041885</v>
      </c>
      <c r="X10179" t="str">
        <v>x</v>
      </c>
      <c r="Y10179">
        <f>D10170</f>
        <v>1</v>
      </c>
      <c r="Z10179" t="str">
        <v>=</v>
      </c>
      <c r="AA10179">
        <f>IF(AA10182=0,(D10179*N10179+P10179*R10179)*U10179*Y10179,0)</f>
        <v>0</v>
      </c>
    </row>
    <row r="10180">
      <c r="A10180" t="str">
        <f>A10164</f>
        <v>Lantai Attic</v>
      </c>
      <c r="B10180">
        <f>B10164</f>
        <v>75</v>
      </c>
      <c r="C10180" t="str">
        <v>Tul Bawah Lapangan</v>
      </c>
      <c r="D10180">
        <f>VLOOKUP(D10164,'Detail Balok'!$C$10:$AU$110,25,FALSE)</f>
        <v>2</v>
      </c>
      <c r="E10180" t="str">
        <v>D</v>
      </c>
      <c r="F10180">
        <f>VLOOKUP(D10164,'Detail Balok'!$C$10:$AU$110,27,FALSE)</f>
        <v>13</v>
      </c>
      <c r="I10180" t="str">
        <v>(</v>
      </c>
      <c r="J10180">
        <f>+J10172</f>
        <v>1.5</v>
      </c>
      <c r="K10180" t="str">
        <v>+</v>
      </c>
      <c r="M10180" t="str">
        <v>=</v>
      </c>
      <c r="N10180">
        <f>J10180+L10180</f>
        <v>1.5</v>
      </c>
      <c r="O10180" t="str">
        <v>+</v>
      </c>
      <c r="P10180">
        <f>MAX(D10180-D10179,D10180-D10181)</f>
        <v>0</v>
      </c>
      <c r="Q10180" t="str">
        <v>x</v>
      </c>
      <c r="R10180">
        <f>IF(P10180&gt;0,2*(1-2*$F$19-1/2)*D10167/1000,0)</f>
        <v>0</v>
      </c>
      <c r="S10180" t="str">
        <v>)</v>
      </c>
      <c r="T10180" t="str">
        <v>x</v>
      </c>
      <c r="U10180">
        <f>0.006165*F10180^2</f>
        <v>1.041885</v>
      </c>
      <c r="X10180" t="str">
        <v>x</v>
      </c>
      <c r="Y10180">
        <f>D10170</f>
        <v>1</v>
      </c>
      <c r="Z10180" t="str">
        <v>=</v>
      </c>
      <c r="AA10180">
        <f>IF(AA10182=0,(D10180*N10180+P10180*R10180)*U10180*Y10180,0)</f>
        <v>0</v>
      </c>
    </row>
    <row r="10181">
      <c r="A10181" t="str">
        <f>A10164</f>
        <v>Lantai Attic</v>
      </c>
      <c r="B10181">
        <f>B10164</f>
        <v>75</v>
      </c>
      <c r="C10181" t="str">
        <v>Tul Bawah Tumpuan</v>
      </c>
      <c r="D10181">
        <f>VLOOKUP(D10164,'Detail Balok'!$C$10:$AU$110,28,FALSE)</f>
        <v>2</v>
      </c>
      <c r="E10181" t="str">
        <v>D</v>
      </c>
      <c r="F10181">
        <f>VLOOKUP(D10164,'Detail Balok'!$C$10:$AU$110,30,FALSE)</f>
        <v>13</v>
      </c>
      <c r="I10181" t="str">
        <v>(</v>
      </c>
      <c r="J10181">
        <f>+J10173</f>
        <v>0.75</v>
      </c>
      <c r="K10181" t="str">
        <v>+</v>
      </c>
      <c r="L10181">
        <f>MAX(VLOOKUP(F10181,N$6:P$15,3,FALSE)/1000,2/3*D10169/1000)+F$16*F10181/1000</f>
        <v>0.156</v>
      </c>
      <c r="M10181" t="str">
        <v>=</v>
      </c>
      <c r="N10181">
        <f>J10181+L10181</f>
        <v>0.906</v>
      </c>
      <c r="O10181" t="str">
        <v>+</v>
      </c>
      <c r="P10181">
        <f>D10181-D10180</f>
        <v>0</v>
      </c>
      <c r="Q10181" t="str">
        <v>x</v>
      </c>
      <c r="R10181">
        <f>IF(P10181&gt;0,$F$18*F10181/1000,0)</f>
        <v>0</v>
      </c>
      <c r="S10181" t="str">
        <v>)</v>
      </c>
      <c r="T10181" t="str">
        <v>x</v>
      </c>
      <c r="U10181">
        <f>0.006165*F10181^2</f>
        <v>1.041885</v>
      </c>
      <c r="X10181" t="str">
        <v>x</v>
      </c>
      <c r="Y10181">
        <f>D10170</f>
        <v>1</v>
      </c>
      <c r="Z10181" t="str">
        <v>=</v>
      </c>
      <c r="AA10181">
        <f>IF(AA10182=0,(D10181*N10181+P10181*R10181)*U10181*Y10181,0)</f>
        <v>0</v>
      </c>
    </row>
    <row r="10182">
      <c r="A10182" t="str">
        <f>A10164</f>
        <v>Lantai Attic</v>
      </c>
      <c r="B10182">
        <f>B10164</f>
        <v>75</v>
      </c>
      <c r="D10182">
        <f>IF(AND(D10179=D10180,D10180=D10181,D10179=D10181),D10179,0)</f>
        <v>2</v>
      </c>
      <c r="E10182" t="str">
        <v>D</v>
      </c>
      <c r="F10182">
        <f>IF(AND(F10179=F10180,F10179=F10181,F10180=F10181),F10179,0)</f>
        <v>13</v>
      </c>
      <c r="L10182" t="str">
        <v>Total panjang per balok</v>
      </c>
      <c r="M10182" t="str">
        <v>=</v>
      </c>
      <c r="N10182">
        <f>IF(AND(D10179=D10180,D10179=D10181,D10180=D10181,F10179=F10180,F10179=F10181,F10180=F10181),SUM(N10179:N10181),0)</f>
        <v>3.3120000000000003</v>
      </c>
      <c r="O10182" t="str">
        <v>+</v>
      </c>
      <c r="P10182">
        <f>IF(N10182&gt;12,ROUNDDOWN(N10182/12,0),0)</f>
        <v>0</v>
      </c>
      <c r="Q10182" t="str">
        <v>x</v>
      </c>
      <c r="R10182">
        <f>IF(P10182&gt;0,MAX(VLOOKUP(F10182,$D$6:$G$15,3,FALSE),600),0)/1000</f>
        <v>0</v>
      </c>
      <c r="T10182" t="str">
        <v>x</v>
      </c>
      <c r="U10182">
        <f>U10181</f>
        <v>1.041885</v>
      </c>
      <c r="V10182" t="str">
        <v>x</v>
      </c>
      <c r="W10182">
        <f>D10182</f>
        <v>2</v>
      </c>
      <c r="X10182" t="str">
        <v>x</v>
      </c>
      <c r="Y10182">
        <f>Y10181</f>
        <v>1</v>
      </c>
      <c r="Z10182" t="str">
        <v>=</v>
      </c>
      <c r="AA10182">
        <f>(N10182+P10182*R10182/1000)*U10182*W10182*Y10182</f>
        <v>6.90144624</v>
      </c>
    </row>
    <row r="10184">
      <c r="A10184" t="str">
        <f>A10164</f>
        <v>Lantai Attic</v>
      </c>
      <c r="B10184">
        <f>B10164</f>
        <v>75</v>
      </c>
      <c r="C10184" t="str">
        <v>Sengkang Tumpuan</v>
      </c>
      <c r="D10184">
        <f>VLOOKUP(D10164,'Detail Balok'!$C$10:$AU$110,31,FALSE)</f>
        <v>0</v>
      </c>
      <c r="E10184" t="str">
        <v>D</v>
      </c>
      <c r="F10184">
        <f>VLOOKUP(D10164,'Detail Balok'!$C$10:$AU$110,33,FALSE)</f>
        <v>8</v>
      </c>
      <c r="G10184" t="str">
        <v>-</v>
      </c>
      <c r="H10184">
        <f>VLOOKUP(D10164,'Detail Balok'!$C$10:$AU$110,35,FALSE)</f>
        <v>100</v>
      </c>
      <c r="J10184">
        <f>(IF(D10184=0,(2*(D10165+G10165))-(F$5*8),IF(D10184=3,(2*(D10165+G10165))-(F$5*8)+(G10165-2*F$5),IF(D10184=4,(2*(D10165+G10165))-(F$5*8)+2*(G10165-2*F$5)))))/1000</f>
        <v>0.62</v>
      </c>
      <c r="K10184" t="str">
        <v>+</v>
      </c>
      <c r="L10184">
        <f>IF(D10184=0,2*MAX(6*F10184,75),(D10184-1)*2*MAX(6*F10184,75))/1000</f>
        <v>0.15</v>
      </c>
      <c r="M10184" t="str">
        <v>=</v>
      </c>
      <c r="N10184">
        <f>J10184+L10184</f>
        <v>0.77</v>
      </c>
      <c r="T10184" t="str">
        <v>x</v>
      </c>
      <c r="U10184">
        <f>0.006165*F10184^2</f>
        <v>0.39456</v>
      </c>
      <c r="V10184" t="str">
        <v>x</v>
      </c>
      <c r="W10184">
        <f>IF(D10167&gt;4*G10165,ROUND(MAX(D10167/4,2*G10165)/H10184,0)+1,ROUND(D10167/H10184,0)+1)</f>
        <v>9</v>
      </c>
      <c r="X10184" t="str">
        <v>x</v>
      </c>
      <c r="Y10184">
        <f>D10170</f>
        <v>1</v>
      </c>
      <c r="Z10184" t="str">
        <v>=</v>
      </c>
      <c r="AA10184">
        <f>N10184*U10184*W10184*Y10184</f>
        <v>2.7343008</v>
      </c>
    </row>
    <row r="10185">
      <c r="A10185" t="str">
        <f>A10164</f>
        <v>Lantai Attic</v>
      </c>
      <c r="B10185">
        <f>B10164</f>
        <v>75</v>
      </c>
      <c r="C10185" t="str">
        <v>Sengkang Lapangan</v>
      </c>
      <c r="D10185">
        <f>VLOOKUP(D10164,'Detail Balok'!$C$10:$AU$110,36,FALSE)</f>
        <v>0</v>
      </c>
      <c r="E10185" t="str">
        <v>D</v>
      </c>
      <c r="F10185">
        <f>VLOOKUP(D10164,'Detail Balok'!$C$10:$AU$110,38,FALSE)</f>
        <v>8</v>
      </c>
      <c r="G10185" t="str">
        <v>-</v>
      </c>
      <c r="H10185">
        <f>VLOOKUP(D10164,'Detail Balok'!$C$10:$AU$110,40,FALSE)</f>
        <v>150</v>
      </c>
      <c r="J10185">
        <f>(IF(D10185=0,(2*(D10165+G10165))-(F$5*8),IF(D10185=3,(2*(D10165+G10165))-(F$5*8)+(G10165-2*F$5),IF(D10185=4,(2*(D10165+G10165))-(F$5*8)+2*(G10165-2*F$5)))))/1000</f>
        <v>0.62</v>
      </c>
      <c r="K10185" t="str">
        <v>+</v>
      </c>
      <c r="L10185">
        <f>IF(D10185=0,2*MAX(6*F10185,75),(D10185-1)*2*MAX(6*F10185,75))/1000</f>
        <v>0.15</v>
      </c>
      <c r="M10185" t="str">
        <v>=</v>
      </c>
      <c r="N10185">
        <f>J10185+L10185</f>
        <v>0.77</v>
      </c>
      <c r="T10185" t="str">
        <v>x</v>
      </c>
      <c r="U10185">
        <f>0.006165*F10185^2</f>
        <v>0.39456</v>
      </c>
      <c r="V10185" t="str">
        <v>x</v>
      </c>
      <c r="W10185">
        <f>IF(D10167-MAX(D10167/4,2*G10165)*2&gt;0,ROUND((D10167-MAX(D10167/4,2*G10165)*2)/H10185,0),0)</f>
        <v>10</v>
      </c>
      <c r="X10185" t="str">
        <v>x</v>
      </c>
      <c r="Y10185">
        <f>D10170</f>
        <v>1</v>
      </c>
      <c r="Z10185" t="str">
        <v>=</v>
      </c>
      <c r="AA10185">
        <f>N10185*U10185*W10185*Y10185</f>
        <v>3.038112</v>
      </c>
    </row>
    <row r="10186">
      <c r="A10186" t="str">
        <f>A10164</f>
        <v>Lantai Attic</v>
      </c>
      <c r="B10186">
        <f>B10164</f>
        <v>75</v>
      </c>
      <c r="C10186" t="str">
        <v>Sengkang Tumpuan</v>
      </c>
      <c r="D10186">
        <f>VLOOKUP(D10164,'Detail Balok'!$C$10:$AU$110,41,FALSE)</f>
        <v>0</v>
      </c>
      <c r="E10186" t="str">
        <v>D</v>
      </c>
      <c r="F10186">
        <f>VLOOKUP(D10164,'Detail Balok'!$C$10:$AU$110,43,FALSE)</f>
        <v>8</v>
      </c>
      <c r="G10186" t="str">
        <v>-</v>
      </c>
      <c r="H10186">
        <f>VLOOKUP(D10164,'Detail Balok'!$C$10:$AU$110,45,FALSE)</f>
        <v>100</v>
      </c>
      <c r="J10186">
        <f>(IF(D10186=0,(2*(D10165+G10165))-(F$5*8),IF(D10186=3,(2*(D10165+G10165))-(F$5*8)+(G10165-2*F$5),IF(D10186=4,(2*(D10165+G10165))-(F$5*8)+2*(G10165-2*F$5)))))/1000</f>
        <v>0.62</v>
      </c>
      <c r="K10186" t="str">
        <v>+</v>
      </c>
      <c r="L10186">
        <f>IF(D10186=0,2*MAX(6*F10186,75),(D10186-1)*2*MAX(6*F10186,75))/1000</f>
        <v>0.15</v>
      </c>
      <c r="M10186" t="str">
        <v>=</v>
      </c>
      <c r="N10186">
        <f>J10186+L10186</f>
        <v>0.77</v>
      </c>
      <c r="T10186" t="str">
        <v>x</v>
      </c>
      <c r="U10186">
        <f>0.006165*F10186^2</f>
        <v>0.39456</v>
      </c>
      <c r="V10186" t="str">
        <v>x</v>
      </c>
      <c r="W10186">
        <f>IF(D10167&gt;4*G10165,ROUND(MAX(D10167/4,2*G10165)/H10186,0)+1,0)</f>
        <v>9</v>
      </c>
      <c r="X10186" t="str">
        <v>x</v>
      </c>
      <c r="Y10186">
        <f>D10170</f>
        <v>1</v>
      </c>
      <c r="Z10186" t="str">
        <v>=</v>
      </c>
      <c r="AA10186">
        <f>N10186*U10186*W10186*Y10186</f>
        <v>2.7343008</v>
      </c>
    </row>
    <row r="10188">
      <c r="A10188" t="str">
        <f>A10164</f>
        <v>Lantai Attic</v>
      </c>
      <c r="B10188">
        <f>B10164</f>
        <v>75</v>
      </c>
      <c r="C10188" t="str">
        <v>Kait Horizontal Tump.</v>
      </c>
      <c r="D10188">
        <f>VLOOKUP(D10164,'Detail Balok'!$C$10:$BJ$110,46,FALSE)</f>
        <v>0</v>
      </c>
      <c r="E10188" t="str">
        <v>D</v>
      </c>
      <c r="F10188">
        <f>VLOOKUP(D10164,'Detail Balok'!$C$10:$BJ$110,48,FALSE)</f>
        <v>0</v>
      </c>
      <c r="G10188" t="str">
        <v>-</v>
      </c>
      <c r="H10188">
        <f>VLOOKUP(D10164,'Detail Balok'!$C$10:$BJ$110,50,FALSE)</f>
        <v>100</v>
      </c>
      <c r="J10188">
        <f>(D10165-2*F$5)/1000</f>
        <v>0.09</v>
      </c>
      <c r="K10188" t="str">
        <v>+</v>
      </c>
      <c r="L10188">
        <f>IF(D10188=0,2*MAX(6*F10188,75),(D10188-1)*2*MAX(6*F10188,75))/1000</f>
        <v>0.15</v>
      </c>
      <c r="M10188" t="str">
        <v>=</v>
      </c>
      <c r="N10188">
        <f>J10188+L10188</f>
        <v>0.24</v>
      </c>
      <c r="T10188" t="str">
        <v>x</v>
      </c>
      <c r="U10188">
        <f>0.006165*F10188^2</f>
        <v>0</v>
      </c>
      <c r="V10188" t="str">
        <v>x</v>
      </c>
      <c r="W10188">
        <f>W10184</f>
        <v>9</v>
      </c>
      <c r="X10188" t="str">
        <v>x</v>
      </c>
      <c r="Y10188">
        <f>D10174</f>
        <v>2</v>
      </c>
      <c r="Z10188" t="str">
        <v>=</v>
      </c>
      <c r="AA10188">
        <f>N10188*U10188*W10188*Y10188</f>
        <v>0</v>
      </c>
    </row>
    <row r="10189">
      <c r="A10189" t="str">
        <f>A10164</f>
        <v>Lantai Attic</v>
      </c>
      <c r="B10189">
        <f>B10164</f>
        <v>75</v>
      </c>
      <c r="C10189" t="str">
        <v>Kait Horizontal Lap.</v>
      </c>
      <c r="D10189">
        <f>VLOOKUP(D10164,'Detail Balok'!$C$10:$BJ$110,51,FALSE)</f>
        <v>0</v>
      </c>
      <c r="E10189" t="str">
        <v>D</v>
      </c>
      <c r="F10189">
        <f>VLOOKUP(D10164,'Detail Balok'!$C$10:$BJ$110,53,FALSE)</f>
        <v>0</v>
      </c>
      <c r="G10189" t="str">
        <v>-</v>
      </c>
      <c r="H10189">
        <f>VLOOKUP(D10164,'Detail Balok'!$C$10:$BJ$110,55,FALSE)</f>
        <v>100</v>
      </c>
      <c r="J10189">
        <f>(D10165-2*F$5)/1000</f>
        <v>0.09</v>
      </c>
      <c r="K10189" t="str">
        <v>+</v>
      </c>
      <c r="L10189">
        <f>IF(D10189=0,2*MAX(6*F10189,75),(D10189-1)*2*MAX(6*F10189,75))/1000</f>
        <v>0.15</v>
      </c>
      <c r="M10189" t="str">
        <v>=</v>
      </c>
      <c r="N10189">
        <f>J10189+L10189</f>
        <v>0.24</v>
      </c>
      <c r="T10189" t="str">
        <v>x</v>
      </c>
      <c r="U10189">
        <f>0.006165*F10189^2</f>
        <v>0</v>
      </c>
      <c r="V10189" t="str">
        <v>x</v>
      </c>
      <c r="W10189">
        <f>W10185</f>
        <v>10</v>
      </c>
      <c r="X10189" t="str">
        <v>x</v>
      </c>
      <c r="Y10189">
        <f>D10174</f>
        <v>2</v>
      </c>
      <c r="Z10189" t="str">
        <v>=</v>
      </c>
      <c r="AA10189">
        <f>N10189*U10189*W10189*Y10189</f>
        <v>0</v>
      </c>
    </row>
    <row r="10190">
      <c r="A10190" t="str">
        <f>A10164</f>
        <v>Lantai Attic</v>
      </c>
      <c r="B10190">
        <f>B10164</f>
        <v>75</v>
      </c>
      <c r="C10190" t="str">
        <v>Kait Horizontal Tump.</v>
      </c>
      <c r="D10190">
        <f>VLOOKUP(D10164,'Detail Balok'!$C$10:$BJ$110,56,FALSE)</f>
        <v>0</v>
      </c>
      <c r="E10190" t="str">
        <v>D</v>
      </c>
      <c r="F10190">
        <f>VLOOKUP(D10164,'Detail Balok'!$C$10:$BJ$110,58,FALSE)</f>
        <v>0</v>
      </c>
      <c r="G10190" t="str">
        <v>-</v>
      </c>
      <c r="H10190">
        <f>VLOOKUP(D10164,'Detail Balok'!$C$10:$BJ$110,60,FALSE)</f>
        <v>100</v>
      </c>
      <c r="J10190">
        <f>(D10165-2*F$5)/1000</f>
        <v>0.09</v>
      </c>
      <c r="K10190" t="str">
        <v>+</v>
      </c>
      <c r="L10190">
        <f>IF(D10190=0,2*MAX(6*F10190,75),(D10190-1)*2*MAX(6*F10190,75))/1000</f>
        <v>0.15</v>
      </c>
      <c r="M10190" t="str">
        <v>=</v>
      </c>
      <c r="N10190">
        <f>J10190+L10190</f>
        <v>0.24</v>
      </c>
      <c r="T10190" t="str">
        <v>x</v>
      </c>
      <c r="U10190">
        <f>0.006165*F10190^2</f>
        <v>0</v>
      </c>
      <c r="V10190" t="str">
        <v>x</v>
      </c>
      <c r="W10190">
        <f>W10186</f>
        <v>9</v>
      </c>
      <c r="X10190" t="str">
        <v>x</v>
      </c>
      <c r="Y10190">
        <f>D10174</f>
        <v>2</v>
      </c>
      <c r="Z10190" t="str">
        <v>=</v>
      </c>
      <c r="AA10190">
        <f>N10190*U10190*W10190*Y10190</f>
        <v>0</v>
      </c>
    </row>
    <row r="10194">
      <c r="A10194" t="str">
        <f>A10164</f>
        <v>Lantai Attic</v>
      </c>
      <c r="B10194">
        <f>B10164+1</f>
        <v>76</v>
      </c>
      <c r="C10194" t="str">
        <f>CONCATENATE(A10194," no. ",B10194)</f>
        <v>Lantai Attic no. 76</v>
      </c>
      <c r="D10194" t="str">
        <f>VLOOKUP(C10194,'Data Panjang Balok'!$C$9:$N$424,2,FALSE)</f>
        <v>B173-1</v>
      </c>
    </row>
    <row r="10195">
      <c r="C10195" t="str">
        <v>Dimensi</v>
      </c>
      <c r="D10195">
        <f>VLOOKUP(D10194,'Detail Balok'!$C$10:$AU$110,2,FALSE)</f>
        <v>170</v>
      </c>
      <c r="F10195" t="str">
        <v>x</v>
      </c>
      <c r="G10195">
        <f>VLOOKUP(D10194,'Detail Balok'!$C$10:$AU$110,3,FALSE)</f>
        <v>300</v>
      </c>
    </row>
    <row r="10196">
      <c r="C10196" t="str">
        <v>Panjang as ke as</v>
      </c>
      <c r="D10196">
        <f>VLOOKUP(C10194,'Data Panjang Balok'!$C$9:$N$424,4,FALSE)</f>
        <v>2300</v>
      </c>
    </row>
    <row r="10197">
      <c r="C10197" t="str">
        <v>Panjang netto</v>
      </c>
      <c r="D10197">
        <f>VLOOKUP(C10194,'Data Panjang Balok'!$C$9:$N$424,7,FALSE)</f>
        <v>2300</v>
      </c>
    </row>
    <row r="10198">
      <c r="C10198" t="str">
        <v>Kolom / balok kiri</v>
      </c>
      <c r="D10198">
        <f>VLOOKUP(C10194,'Data Panjang Balok'!$C$9:$N$424,9,FALSE)</f>
        <v>0</v>
      </c>
    </row>
    <row r="10199">
      <c r="C10199" t="str">
        <v>Kolom / balok kanan</v>
      </c>
      <c r="D10199">
        <f>VLOOKUP(C10194,'Data Panjang Balok'!$C$9:$N$424,10,FALSE)</f>
        <v>0</v>
      </c>
    </row>
    <row r="10200">
      <c r="C10200" t="str">
        <v>Jumlah</v>
      </c>
      <c r="D10200">
        <f>VLOOKUP(C10194,'Data Panjang Balok'!$C$9:$N$424,3,FALSE)</f>
        <v>1</v>
      </c>
    </row>
    <row r="10201">
      <c r="A10201" t="str">
        <f>A10194</f>
        <v>Lantai Attic</v>
      </c>
      <c r="B10201">
        <f>B10194</f>
        <v>76</v>
      </c>
      <c r="C10201" t="str">
        <v>Tul Atas Tumpuan</v>
      </c>
      <c r="D10201">
        <f>VLOOKUP(D10194,'Detail Balok'!$C$10:$AU$110,4,FALSE)</f>
        <v>2</v>
      </c>
      <c r="E10201" t="str">
        <v>D</v>
      </c>
      <c r="F10201">
        <f>VLOOKUP(D10194,'Detail Balok'!$C$10:$AU$110,6,FALSE)</f>
        <v>13</v>
      </c>
      <c r="I10201" t="str">
        <v>(</v>
      </c>
      <c r="J10201">
        <f>+D10196/4/1000</f>
        <v>0.575</v>
      </c>
      <c r="K10201" t="str">
        <v>+</v>
      </c>
      <c r="L10201">
        <f>MAX(VLOOKUP(F10201,N$6:P$15,3,FALSE)/1000,2/3*D10198/1000)+F$16*F10201/1000</f>
        <v>0.156</v>
      </c>
      <c r="M10201" t="str">
        <v>=</v>
      </c>
      <c r="N10201">
        <f>J10201+L10201</f>
        <v>0.731</v>
      </c>
      <c r="O10201" t="str">
        <v>+</v>
      </c>
      <c r="P10201">
        <f>D10201-D10202</f>
        <v>0</v>
      </c>
      <c r="Q10201" t="str">
        <v>x</v>
      </c>
      <c r="R10201">
        <f>IF(P10201&gt;0,$F$18*F10201/1000,0)</f>
        <v>0</v>
      </c>
      <c r="S10201" t="str">
        <v>)</v>
      </c>
      <c r="T10201" t="str">
        <v>x</v>
      </c>
      <c r="U10201">
        <f>0.006165*F10201^2</f>
        <v>1.041885</v>
      </c>
      <c r="X10201" t="str">
        <v>x</v>
      </c>
      <c r="Y10201">
        <f>D10200</f>
        <v>1</v>
      </c>
      <c r="Z10201" t="str">
        <v>=</v>
      </c>
      <c r="AA10201">
        <f>IF(AA10204=0,(D10201*N10201+P10201*R10201)*U10201*Y10201,0)</f>
        <v>0</v>
      </c>
    </row>
    <row r="10202">
      <c r="A10202" t="str">
        <f>A10194</f>
        <v>Lantai Attic</v>
      </c>
      <c r="B10202">
        <f>B10194</f>
        <v>76</v>
      </c>
      <c r="C10202" t="str">
        <v>Tul Atas Lapangan</v>
      </c>
      <c r="D10202">
        <f>VLOOKUP(D10194,'Detail Balok'!$C$10:$AU$110,7,FALSE)</f>
        <v>2</v>
      </c>
      <c r="E10202" t="str">
        <v>D</v>
      </c>
      <c r="F10202">
        <f>VLOOKUP(D10194,'Detail Balok'!$C$10:$AU$110,9,FALSE)</f>
        <v>13</v>
      </c>
      <c r="I10202" t="str">
        <v>(</v>
      </c>
      <c r="J10202">
        <f>+D10196/2/1000</f>
        <v>1.15</v>
      </c>
      <c r="K10202" t="str">
        <v>+</v>
      </c>
      <c r="M10202" t="str">
        <v>=</v>
      </c>
      <c r="N10202">
        <f>J10202+L10202</f>
        <v>1.15</v>
      </c>
      <c r="O10202" t="str">
        <v>+</v>
      </c>
      <c r="P10202">
        <f>MAX(D10202-D10201,D10202-D10203)</f>
        <v>0</v>
      </c>
      <c r="Q10202" t="str">
        <v>x</v>
      </c>
      <c r="R10202">
        <f>IF(P10202&gt;0,2*(1-2*$F$19-1/2)*D10197/1000,0)</f>
        <v>0</v>
      </c>
      <c r="S10202" t="str">
        <v>)</v>
      </c>
      <c r="T10202" t="str">
        <v>x</v>
      </c>
      <c r="U10202">
        <f>0.006165*F10202^2</f>
        <v>1.041885</v>
      </c>
      <c r="X10202" t="str">
        <v>x</v>
      </c>
      <c r="Y10202">
        <f>D10200</f>
        <v>1</v>
      </c>
      <c r="Z10202" t="str">
        <v>=</v>
      </c>
      <c r="AA10202">
        <f>IF(AA10204=0,(D10202*N10202+P10202*R10202)*U10202*Y10202,0)</f>
        <v>0</v>
      </c>
    </row>
    <row r="10203">
      <c r="A10203" t="str">
        <f>A10194</f>
        <v>Lantai Attic</v>
      </c>
      <c r="B10203">
        <f>B10194</f>
        <v>76</v>
      </c>
      <c r="C10203" t="str">
        <v>Tul Atas Tumpuan</v>
      </c>
      <c r="D10203">
        <f>VLOOKUP(D10194,'Detail Balok'!$C$10:$AU$110,10,FALSE)</f>
        <v>2</v>
      </c>
      <c r="E10203" t="str">
        <v>D</v>
      </c>
      <c r="F10203">
        <f>VLOOKUP(D10194,'Detail Balok'!$C$10:$AU$110,12,FALSE)</f>
        <v>13</v>
      </c>
      <c r="I10203" t="str">
        <v>(</v>
      </c>
      <c r="J10203">
        <f>+D10196/4/1000</f>
        <v>0.575</v>
      </c>
      <c r="K10203" t="str">
        <v>+</v>
      </c>
      <c r="L10203">
        <f>MAX(VLOOKUP(F10203,N$6:P$15,3,FALSE)/1000,2/3*D10198/1000)+F$16*F10203/1000</f>
        <v>0.156</v>
      </c>
      <c r="M10203" t="str">
        <v>=</v>
      </c>
      <c r="N10203">
        <f>J10203+L10203</f>
        <v>0.731</v>
      </c>
      <c r="O10203" t="str">
        <v>+</v>
      </c>
      <c r="P10203">
        <f>D10203-D10202</f>
        <v>0</v>
      </c>
      <c r="Q10203" t="str">
        <v>x</v>
      </c>
      <c r="R10203">
        <f>IF(P10203&gt;0,$F$18*F10203/1000,0)</f>
        <v>0</v>
      </c>
      <c r="S10203" t="str">
        <v>)</v>
      </c>
      <c r="T10203" t="str">
        <v>x</v>
      </c>
      <c r="U10203">
        <f>0.006165*F10203^2</f>
        <v>1.041885</v>
      </c>
      <c r="X10203" t="str">
        <v>x</v>
      </c>
      <c r="Y10203">
        <f>D10200</f>
        <v>1</v>
      </c>
      <c r="Z10203" t="str">
        <v>=</v>
      </c>
      <c r="AA10203">
        <f>IF(AA10204=0,(D10203*N10203+P10203*R10203)*U10203*Y10203,0)</f>
        <v>0</v>
      </c>
    </row>
    <row r="10204">
      <c r="A10204" t="str">
        <f>A10194</f>
        <v>Lantai Attic</v>
      </c>
      <c r="B10204">
        <f>B10194</f>
        <v>76</v>
      </c>
      <c r="D10204">
        <f>IF(AND(D10201=D10202,D10202=D10203,D10201=D10203),D10201,0)</f>
        <v>2</v>
      </c>
      <c r="E10204" t="str">
        <v>D</v>
      </c>
      <c r="F10204">
        <f>IF(AND(F10201=F10202,F10201=F10203,F10202=F10203),F10201,0)</f>
        <v>13</v>
      </c>
      <c r="L10204" t="str">
        <v>Total panjang per balok</v>
      </c>
      <c r="M10204" t="str">
        <v>=</v>
      </c>
      <c r="N10204">
        <f>IF(AND(D10201=D10202,D10201=D10203,D10202=D10203,F10201=F10202,F10201=F10203,F10202=F10203),SUM(N10201:N10203),0)</f>
        <v>2.6119999999999997</v>
      </c>
      <c r="O10204" t="str">
        <v>+</v>
      </c>
      <c r="P10204">
        <f>IF(N10204&gt;12,ROUNDDOWN(N10204/12,0),0)</f>
        <v>0</v>
      </c>
      <c r="Q10204" t="str">
        <v>x</v>
      </c>
      <c r="R10204">
        <f>IF(P10204&gt;0,MAX(VLOOKUP(F10204,$D$6:$G$15,3,FALSE),600),0)/1000</f>
        <v>0</v>
      </c>
      <c r="T10204" t="str">
        <v>x</v>
      </c>
      <c r="U10204">
        <f>U10203</f>
        <v>1.041885</v>
      </c>
      <c r="V10204" t="str">
        <v>x</v>
      </c>
      <c r="W10204">
        <f>D10204</f>
        <v>2</v>
      </c>
      <c r="X10204" t="str">
        <v>x</v>
      </c>
      <c r="Y10204">
        <f>Y10203</f>
        <v>1</v>
      </c>
      <c r="Z10204" t="str">
        <v>=</v>
      </c>
      <c r="AA10204">
        <f>(N10204+P10204*R10204/1000)*U10204*W10204*Y10204</f>
        <v>5.442807239999999</v>
      </c>
    </row>
    <row r="10206">
      <c r="A10206" t="str">
        <f>A10194</f>
        <v>Lantai Attic</v>
      </c>
      <c r="B10206">
        <f>B10194</f>
        <v>76</v>
      </c>
      <c r="C10206" t="str">
        <v>Tul Peminggang</v>
      </c>
      <c r="D10206">
        <f>VLOOKUP(D10194,'Detail Balok'!$C$10:$AU$110,13,FALSE)</f>
        <v>0</v>
      </c>
      <c r="E10206" t="str">
        <v>D</v>
      </c>
      <c r="F10206">
        <f>VLOOKUP(D10194,'Detail Balok'!$C$10:$AU$110,15,FALSE)</f>
        <v>6</v>
      </c>
      <c r="J10206">
        <f>+D10196/1000</f>
        <v>2.3</v>
      </c>
      <c r="K10206" t="str">
        <v>+</v>
      </c>
      <c r="L10206">
        <f>2*$F$16*F10206/1000</f>
        <v>0.144</v>
      </c>
      <c r="M10206" t="str">
        <v>=</v>
      </c>
      <c r="N10206">
        <f>J10206+L10206</f>
        <v>2.444</v>
      </c>
      <c r="O10206" t="str">
        <v>+</v>
      </c>
      <c r="P10206">
        <f>IF(N10206&gt;12,ROUNDDOWN(N10206/12,0),0)</f>
        <v>0</v>
      </c>
      <c r="Q10206" t="str">
        <v>x</v>
      </c>
      <c r="R10206">
        <f>IF(P10206&gt;0,MAX(VLOOKUP(F10206,$D$6:$G$15,3,FALSE),600),0)/1000</f>
        <v>0</v>
      </c>
      <c r="T10206" t="str">
        <v>x</v>
      </c>
      <c r="U10206">
        <f>0.006165*F10206^2</f>
        <v>0.22194000000000003</v>
      </c>
      <c r="V10206" t="str">
        <v>x</v>
      </c>
      <c r="W10206">
        <f>+D10206</f>
        <v>0</v>
      </c>
      <c r="X10206" t="str">
        <v>x</v>
      </c>
      <c r="Y10206">
        <f>D10200</f>
        <v>1</v>
      </c>
      <c r="Z10206" t="str">
        <v>=</v>
      </c>
      <c r="AA10206">
        <f>(N10206+P10206*R10206/1000)*U10206*W10206*Y10206</f>
        <v>0</v>
      </c>
    </row>
    <row r="10209">
      <c r="A10209" t="str">
        <f>A10194</f>
        <v>Lantai Attic</v>
      </c>
      <c r="B10209">
        <f>B10194</f>
        <v>76</v>
      </c>
      <c r="C10209" t="str">
        <v>Tul Bawah Tumpuan</v>
      </c>
      <c r="D10209">
        <f>VLOOKUP(D10194,'Detail Balok'!$C$10:$AU$110,22,FALSE)</f>
        <v>2</v>
      </c>
      <c r="E10209" t="str">
        <v>D</v>
      </c>
      <c r="F10209">
        <f>VLOOKUP(D10194,'Detail Balok'!$C$10:$AU$110,24,FALSE)</f>
        <v>13</v>
      </c>
      <c r="I10209" t="str">
        <v>(</v>
      </c>
      <c r="J10209">
        <f>+J10201</f>
        <v>0.575</v>
      </c>
      <c r="K10209" t="str">
        <v>+</v>
      </c>
      <c r="L10209">
        <f>MAX(VLOOKUP(F10209,N$6:P$15,3,FALSE)/1000,2/3*D10199/1000)+F$16*F10209/1000</f>
        <v>0.156</v>
      </c>
      <c r="M10209" t="str">
        <v>=</v>
      </c>
      <c r="N10209">
        <f>J10209+L10209</f>
        <v>0.731</v>
      </c>
      <c r="O10209" t="str">
        <v>+</v>
      </c>
      <c r="P10209">
        <f>D10209-D10210</f>
        <v>0</v>
      </c>
      <c r="Q10209" t="str">
        <v>x</v>
      </c>
      <c r="R10209">
        <f>IF(P10209&gt;0,$F$18*F10209/1000,0)</f>
        <v>0</v>
      </c>
      <c r="S10209" t="str">
        <v>)</v>
      </c>
      <c r="T10209" t="str">
        <v>x</v>
      </c>
      <c r="U10209">
        <f>0.006165*F10209^2</f>
        <v>1.041885</v>
      </c>
      <c r="X10209" t="str">
        <v>x</v>
      </c>
      <c r="Y10209">
        <f>D10200</f>
        <v>1</v>
      </c>
      <c r="Z10209" t="str">
        <v>=</v>
      </c>
      <c r="AA10209">
        <f>IF(AA10212=0,(D10209*N10209+P10209*R10209)*U10209*Y10209,0)</f>
        <v>0</v>
      </c>
    </row>
    <row r="10210">
      <c r="A10210" t="str">
        <f>A10194</f>
        <v>Lantai Attic</v>
      </c>
      <c r="B10210">
        <f>B10194</f>
        <v>76</v>
      </c>
      <c r="C10210" t="str">
        <v>Tul Bawah Lapangan</v>
      </c>
      <c r="D10210">
        <f>VLOOKUP(D10194,'Detail Balok'!$C$10:$AU$110,25,FALSE)</f>
        <v>2</v>
      </c>
      <c r="E10210" t="str">
        <v>D</v>
      </c>
      <c r="F10210">
        <f>VLOOKUP(D10194,'Detail Balok'!$C$10:$AU$110,27,FALSE)</f>
        <v>13</v>
      </c>
      <c r="I10210" t="str">
        <v>(</v>
      </c>
      <c r="J10210">
        <f>+J10202</f>
        <v>1.15</v>
      </c>
      <c r="K10210" t="str">
        <v>+</v>
      </c>
      <c r="M10210" t="str">
        <v>=</v>
      </c>
      <c r="N10210">
        <f>J10210+L10210</f>
        <v>1.15</v>
      </c>
      <c r="O10210" t="str">
        <v>+</v>
      </c>
      <c r="P10210">
        <f>MAX(D10210-D10209,D10210-D10211)</f>
        <v>0</v>
      </c>
      <c r="Q10210" t="str">
        <v>x</v>
      </c>
      <c r="R10210">
        <f>IF(P10210&gt;0,2*(1-2*$F$19-1/2)*D10197/1000,0)</f>
        <v>0</v>
      </c>
      <c r="S10210" t="str">
        <v>)</v>
      </c>
      <c r="T10210" t="str">
        <v>x</v>
      </c>
      <c r="U10210">
        <f>0.006165*F10210^2</f>
        <v>1.041885</v>
      </c>
      <c r="X10210" t="str">
        <v>x</v>
      </c>
      <c r="Y10210">
        <f>D10200</f>
        <v>1</v>
      </c>
      <c r="Z10210" t="str">
        <v>=</v>
      </c>
      <c r="AA10210">
        <f>IF(AA10212=0,(D10210*N10210+P10210*R10210)*U10210*Y10210,0)</f>
        <v>0</v>
      </c>
    </row>
    <row r="10211">
      <c r="A10211" t="str">
        <f>A10194</f>
        <v>Lantai Attic</v>
      </c>
      <c r="B10211">
        <f>B10194</f>
        <v>76</v>
      </c>
      <c r="C10211" t="str">
        <v>Tul Bawah Tumpuan</v>
      </c>
      <c r="D10211">
        <f>VLOOKUP(D10194,'Detail Balok'!$C$10:$AU$110,28,FALSE)</f>
        <v>2</v>
      </c>
      <c r="E10211" t="str">
        <v>D</v>
      </c>
      <c r="F10211">
        <f>VLOOKUP(D10194,'Detail Balok'!$C$10:$AU$110,30,FALSE)</f>
        <v>13</v>
      </c>
      <c r="I10211" t="str">
        <v>(</v>
      </c>
      <c r="J10211">
        <f>+J10203</f>
        <v>0.575</v>
      </c>
      <c r="K10211" t="str">
        <v>+</v>
      </c>
      <c r="L10211">
        <f>MAX(VLOOKUP(F10211,N$6:P$15,3,FALSE)/1000,2/3*D10199/1000)+F$16*F10211/1000</f>
        <v>0.156</v>
      </c>
      <c r="M10211" t="str">
        <v>=</v>
      </c>
      <c r="N10211">
        <f>J10211+L10211</f>
        <v>0.731</v>
      </c>
      <c r="O10211" t="str">
        <v>+</v>
      </c>
      <c r="P10211">
        <f>D10211-D10210</f>
        <v>0</v>
      </c>
      <c r="Q10211" t="str">
        <v>x</v>
      </c>
      <c r="R10211">
        <f>IF(P10211&gt;0,$F$18*F10211/1000,0)</f>
        <v>0</v>
      </c>
      <c r="S10211" t="str">
        <v>)</v>
      </c>
      <c r="T10211" t="str">
        <v>x</v>
      </c>
      <c r="U10211">
        <f>0.006165*F10211^2</f>
        <v>1.041885</v>
      </c>
      <c r="X10211" t="str">
        <v>x</v>
      </c>
      <c r="Y10211">
        <f>D10200</f>
        <v>1</v>
      </c>
      <c r="Z10211" t="str">
        <v>=</v>
      </c>
      <c r="AA10211">
        <f>IF(AA10212=0,(D10211*N10211+P10211*R10211)*U10211*Y10211,0)</f>
        <v>0</v>
      </c>
    </row>
    <row r="10212">
      <c r="A10212" t="str">
        <f>A10194</f>
        <v>Lantai Attic</v>
      </c>
      <c r="B10212">
        <f>B10194</f>
        <v>76</v>
      </c>
      <c r="D10212">
        <f>IF(AND(D10209=D10210,D10210=D10211,D10209=D10211),D10209,0)</f>
        <v>2</v>
      </c>
      <c r="E10212" t="str">
        <v>D</v>
      </c>
      <c r="F10212">
        <f>IF(AND(F10209=F10210,F10209=F10211,F10210=F10211),F10209,0)</f>
        <v>13</v>
      </c>
      <c r="L10212" t="str">
        <v>Total panjang per balok</v>
      </c>
      <c r="M10212" t="str">
        <v>=</v>
      </c>
      <c r="N10212">
        <f>IF(AND(D10209=D10210,D10209=D10211,D10210=D10211,F10209=F10210,F10209=F10211,F10210=F10211),SUM(N10209:N10211),0)</f>
        <v>2.6119999999999997</v>
      </c>
      <c r="O10212" t="str">
        <v>+</v>
      </c>
      <c r="P10212">
        <f>IF(N10212&gt;12,ROUNDDOWN(N10212/12,0),0)</f>
        <v>0</v>
      </c>
      <c r="Q10212" t="str">
        <v>x</v>
      </c>
      <c r="R10212">
        <f>IF(P10212&gt;0,MAX(VLOOKUP(F10212,$D$6:$G$15,3,FALSE),600),0)/1000</f>
        <v>0</v>
      </c>
      <c r="T10212" t="str">
        <v>x</v>
      </c>
      <c r="U10212">
        <f>U10211</f>
        <v>1.041885</v>
      </c>
      <c r="V10212" t="str">
        <v>x</v>
      </c>
      <c r="W10212">
        <f>D10212</f>
        <v>2</v>
      </c>
      <c r="X10212" t="str">
        <v>x</v>
      </c>
      <c r="Y10212">
        <f>Y10211</f>
        <v>1</v>
      </c>
      <c r="Z10212" t="str">
        <v>=</v>
      </c>
      <c r="AA10212">
        <f>(N10212+P10212*R10212/1000)*U10212*W10212*Y10212</f>
        <v>5.442807239999999</v>
      </c>
    </row>
    <row r="10214">
      <c r="A10214" t="str">
        <f>A10194</f>
        <v>Lantai Attic</v>
      </c>
      <c r="B10214">
        <f>B10194</f>
        <v>76</v>
      </c>
      <c r="C10214" t="str">
        <v>Sengkang Tumpuan</v>
      </c>
      <c r="D10214">
        <f>VLOOKUP(D10194,'Detail Balok'!$C$10:$AU$110,31,FALSE)</f>
        <v>0</v>
      </c>
      <c r="E10214" t="str">
        <v>D</v>
      </c>
      <c r="F10214">
        <f>VLOOKUP(D10194,'Detail Balok'!$C$10:$AU$110,33,FALSE)</f>
        <v>8</v>
      </c>
      <c r="G10214" t="str">
        <v>-</v>
      </c>
      <c r="H10214">
        <f>VLOOKUP(D10194,'Detail Balok'!$C$10:$AU$110,35,FALSE)</f>
        <v>100</v>
      </c>
      <c r="J10214">
        <f>(IF(D10214=0,(2*(D10195+G10195))-(F$5*8),IF(D10214=3,(2*(D10195+G10195))-(F$5*8)+(G10195-2*F$5),IF(D10214=4,(2*(D10195+G10195))-(F$5*8)+2*(G10195-2*F$5)))))/1000</f>
        <v>0.62</v>
      </c>
      <c r="K10214" t="str">
        <v>+</v>
      </c>
      <c r="L10214">
        <f>IF(D10214=0,2*MAX(6*F10214,75),(D10214-1)*2*MAX(6*F10214,75))/1000</f>
        <v>0.15</v>
      </c>
      <c r="M10214" t="str">
        <v>=</v>
      </c>
      <c r="N10214">
        <f>J10214+L10214</f>
        <v>0.77</v>
      </c>
      <c r="T10214" t="str">
        <v>x</v>
      </c>
      <c r="U10214">
        <f>0.006165*F10214^2</f>
        <v>0.39456</v>
      </c>
      <c r="V10214" t="str">
        <v>x</v>
      </c>
      <c r="W10214">
        <f>IF(D10197&gt;4*G10195,ROUND(MAX(D10197/4,2*G10195)/H10214,0)+1,ROUND(D10197/H10214,0)+1)</f>
        <v>7</v>
      </c>
      <c r="X10214" t="str">
        <v>x</v>
      </c>
      <c r="Y10214">
        <f>D10200</f>
        <v>1</v>
      </c>
      <c r="Z10214" t="str">
        <v>=</v>
      </c>
      <c r="AA10214">
        <f>N10214*U10214*W10214*Y10214</f>
        <v>2.1266784</v>
      </c>
    </row>
    <row r="10215">
      <c r="A10215" t="str">
        <f>A10194</f>
        <v>Lantai Attic</v>
      </c>
      <c r="B10215">
        <f>B10194</f>
        <v>76</v>
      </c>
      <c r="C10215" t="str">
        <v>Sengkang Lapangan</v>
      </c>
      <c r="D10215">
        <f>VLOOKUP(D10194,'Detail Balok'!$C$10:$AU$110,36,FALSE)</f>
        <v>0</v>
      </c>
      <c r="E10215" t="str">
        <v>D</v>
      </c>
      <c r="F10215">
        <f>VLOOKUP(D10194,'Detail Balok'!$C$10:$AU$110,38,FALSE)</f>
        <v>8</v>
      </c>
      <c r="G10215" t="str">
        <v>-</v>
      </c>
      <c r="H10215">
        <f>VLOOKUP(D10194,'Detail Balok'!$C$10:$AU$110,40,FALSE)</f>
        <v>150</v>
      </c>
      <c r="J10215">
        <f>(IF(D10215=0,(2*(D10195+G10195))-(F$5*8),IF(D10215=3,(2*(D10195+G10195))-(F$5*8)+(G10195-2*F$5),IF(D10215=4,(2*(D10195+G10195))-(F$5*8)+2*(G10195-2*F$5)))))/1000</f>
        <v>0.62</v>
      </c>
      <c r="K10215" t="str">
        <v>+</v>
      </c>
      <c r="L10215">
        <f>IF(D10215=0,2*MAX(6*F10215,75),(D10215-1)*2*MAX(6*F10215,75))/1000</f>
        <v>0.15</v>
      </c>
      <c r="M10215" t="str">
        <v>=</v>
      </c>
      <c r="N10215">
        <f>J10215+L10215</f>
        <v>0.77</v>
      </c>
      <c r="T10215" t="str">
        <v>x</v>
      </c>
      <c r="U10215">
        <f>0.006165*F10215^2</f>
        <v>0.39456</v>
      </c>
      <c r="V10215" t="str">
        <v>x</v>
      </c>
      <c r="W10215">
        <f>IF(D10197-MAX(D10197/4,2*G10195)*2&gt;0,ROUND((D10197-MAX(D10197/4,2*G10195)*2)/H10215,0),0)</f>
        <v>7</v>
      </c>
      <c r="X10215" t="str">
        <v>x</v>
      </c>
      <c r="Y10215">
        <f>D10200</f>
        <v>1</v>
      </c>
      <c r="Z10215" t="str">
        <v>=</v>
      </c>
      <c r="AA10215">
        <f>N10215*U10215*W10215*Y10215</f>
        <v>2.1266784</v>
      </c>
    </row>
    <row r="10216">
      <c r="A10216" t="str">
        <f>A10194</f>
        <v>Lantai Attic</v>
      </c>
      <c r="B10216">
        <f>B10194</f>
        <v>76</v>
      </c>
      <c r="C10216" t="str">
        <v>Sengkang Tumpuan</v>
      </c>
      <c r="D10216">
        <f>VLOOKUP(D10194,'Detail Balok'!$C$10:$AU$110,41,FALSE)</f>
        <v>0</v>
      </c>
      <c r="E10216" t="str">
        <v>D</v>
      </c>
      <c r="F10216">
        <f>VLOOKUP(D10194,'Detail Balok'!$C$10:$AU$110,43,FALSE)</f>
        <v>8</v>
      </c>
      <c r="G10216" t="str">
        <v>-</v>
      </c>
      <c r="H10216">
        <f>VLOOKUP(D10194,'Detail Balok'!$C$10:$AU$110,45,FALSE)</f>
        <v>100</v>
      </c>
      <c r="J10216">
        <f>(IF(D10216=0,(2*(D10195+G10195))-(F$5*8),IF(D10216=3,(2*(D10195+G10195))-(F$5*8)+(G10195-2*F$5),IF(D10216=4,(2*(D10195+G10195))-(F$5*8)+2*(G10195-2*F$5)))))/1000</f>
        <v>0.62</v>
      </c>
      <c r="K10216" t="str">
        <v>+</v>
      </c>
      <c r="L10216">
        <f>IF(D10216=0,2*MAX(6*F10216,75),(D10216-1)*2*MAX(6*F10216,75))/1000</f>
        <v>0.15</v>
      </c>
      <c r="M10216" t="str">
        <v>=</v>
      </c>
      <c r="N10216">
        <f>J10216+L10216</f>
        <v>0.77</v>
      </c>
      <c r="T10216" t="str">
        <v>x</v>
      </c>
      <c r="U10216">
        <f>0.006165*F10216^2</f>
        <v>0.39456</v>
      </c>
      <c r="V10216" t="str">
        <v>x</v>
      </c>
      <c r="W10216">
        <f>IF(D10197&gt;4*G10195,ROUND(MAX(D10197/4,2*G10195)/H10216,0)+1,0)</f>
        <v>7</v>
      </c>
      <c r="X10216" t="str">
        <v>x</v>
      </c>
      <c r="Y10216">
        <f>D10200</f>
        <v>1</v>
      </c>
      <c r="Z10216" t="str">
        <v>=</v>
      </c>
      <c r="AA10216">
        <f>N10216*U10216*W10216*Y10216</f>
        <v>2.1266784</v>
      </c>
    </row>
    <row r="10218">
      <c r="A10218" t="str">
        <f>A10194</f>
        <v>Lantai Attic</v>
      </c>
      <c r="B10218">
        <f>B10194</f>
        <v>76</v>
      </c>
      <c r="C10218" t="str">
        <v>Kait Horizontal Tump.</v>
      </c>
      <c r="D10218">
        <f>VLOOKUP(D10194,'Detail Balok'!$C$10:$BJ$110,46,FALSE)</f>
        <v>0</v>
      </c>
      <c r="E10218" t="str">
        <v>D</v>
      </c>
      <c r="F10218">
        <f>VLOOKUP(D10194,'Detail Balok'!$C$10:$BJ$110,48,FALSE)</f>
        <v>0</v>
      </c>
      <c r="G10218" t="str">
        <v>-</v>
      </c>
      <c r="H10218">
        <f>VLOOKUP(D10194,'Detail Balok'!$C$10:$BJ$110,50,FALSE)</f>
        <v>100</v>
      </c>
      <c r="J10218">
        <f>(D10195-2*F$5)/1000</f>
        <v>0.09</v>
      </c>
      <c r="K10218" t="str">
        <v>+</v>
      </c>
      <c r="L10218">
        <f>IF(D10218=0,2*MAX(6*F10218,75),(D10218-1)*2*MAX(6*F10218,75))/1000</f>
        <v>0.15</v>
      </c>
      <c r="M10218" t="str">
        <v>=</v>
      </c>
      <c r="N10218">
        <f>J10218+L10218</f>
        <v>0.24</v>
      </c>
      <c r="T10218" t="str">
        <v>x</v>
      </c>
      <c r="U10218">
        <f>0.006165*F10218^2</f>
        <v>0</v>
      </c>
      <c r="V10218" t="str">
        <v>x</v>
      </c>
      <c r="W10218">
        <f>W10214</f>
        <v>7</v>
      </c>
      <c r="X10218" t="str">
        <v>x</v>
      </c>
      <c r="Y10218">
        <f>D10204</f>
        <v>2</v>
      </c>
      <c r="Z10218" t="str">
        <v>=</v>
      </c>
      <c r="AA10218">
        <f>N10218*U10218*W10218*Y10218</f>
        <v>0</v>
      </c>
    </row>
    <row r="10219">
      <c r="A10219" t="str">
        <f>A10194</f>
        <v>Lantai Attic</v>
      </c>
      <c r="B10219">
        <f>B10194</f>
        <v>76</v>
      </c>
      <c r="C10219" t="str">
        <v>Kait Horizontal Lap.</v>
      </c>
      <c r="D10219">
        <f>VLOOKUP(D10194,'Detail Balok'!$C$10:$BJ$110,51,FALSE)</f>
        <v>0</v>
      </c>
      <c r="E10219" t="str">
        <v>D</v>
      </c>
      <c r="F10219">
        <f>VLOOKUP(D10194,'Detail Balok'!$C$10:$BJ$110,53,FALSE)</f>
        <v>0</v>
      </c>
      <c r="G10219" t="str">
        <v>-</v>
      </c>
      <c r="H10219">
        <f>VLOOKUP(D10194,'Detail Balok'!$C$10:$BJ$110,55,FALSE)</f>
        <v>100</v>
      </c>
      <c r="J10219">
        <f>(D10195-2*F$5)/1000</f>
        <v>0.09</v>
      </c>
      <c r="K10219" t="str">
        <v>+</v>
      </c>
      <c r="L10219">
        <f>IF(D10219=0,2*MAX(6*F10219,75),(D10219-1)*2*MAX(6*F10219,75))/1000</f>
        <v>0.15</v>
      </c>
      <c r="M10219" t="str">
        <v>=</v>
      </c>
      <c r="N10219">
        <f>J10219+L10219</f>
        <v>0.24</v>
      </c>
      <c r="T10219" t="str">
        <v>x</v>
      </c>
      <c r="U10219">
        <f>0.006165*F10219^2</f>
        <v>0</v>
      </c>
      <c r="V10219" t="str">
        <v>x</v>
      </c>
      <c r="W10219">
        <f>W10215</f>
        <v>7</v>
      </c>
      <c r="X10219" t="str">
        <v>x</v>
      </c>
      <c r="Y10219">
        <f>D10204</f>
        <v>2</v>
      </c>
      <c r="Z10219" t="str">
        <v>=</v>
      </c>
      <c r="AA10219">
        <f>N10219*U10219*W10219*Y10219</f>
        <v>0</v>
      </c>
    </row>
    <row r="10220">
      <c r="A10220" t="str">
        <f>A10194</f>
        <v>Lantai Attic</v>
      </c>
      <c r="B10220">
        <f>B10194</f>
        <v>76</v>
      </c>
      <c r="C10220" t="str">
        <v>Kait Horizontal Tump.</v>
      </c>
      <c r="D10220">
        <f>VLOOKUP(D10194,'Detail Balok'!$C$10:$BJ$110,56,FALSE)</f>
        <v>0</v>
      </c>
      <c r="E10220" t="str">
        <v>D</v>
      </c>
      <c r="F10220">
        <f>VLOOKUP(D10194,'Detail Balok'!$C$10:$BJ$110,58,FALSE)</f>
        <v>0</v>
      </c>
      <c r="G10220" t="str">
        <v>-</v>
      </c>
      <c r="H10220">
        <f>VLOOKUP(D10194,'Detail Balok'!$C$10:$BJ$110,60,FALSE)</f>
        <v>100</v>
      </c>
      <c r="J10220">
        <f>(D10195-2*F$5)/1000</f>
        <v>0.09</v>
      </c>
      <c r="K10220" t="str">
        <v>+</v>
      </c>
      <c r="L10220">
        <f>IF(D10220=0,2*MAX(6*F10220,75),(D10220-1)*2*MAX(6*F10220,75))/1000</f>
        <v>0.15</v>
      </c>
      <c r="M10220" t="str">
        <v>=</v>
      </c>
      <c r="N10220">
        <f>J10220+L10220</f>
        <v>0.24</v>
      </c>
      <c r="T10220" t="str">
        <v>x</v>
      </c>
      <c r="U10220">
        <f>0.006165*F10220^2</f>
        <v>0</v>
      </c>
      <c r="V10220" t="str">
        <v>x</v>
      </c>
      <c r="W10220">
        <f>W10216</f>
        <v>7</v>
      </c>
      <c r="X10220" t="str">
        <v>x</v>
      </c>
      <c r="Y10220">
        <f>D10204</f>
        <v>2</v>
      </c>
      <c r="Z10220" t="str">
        <v>=</v>
      </c>
      <c r="AA10220">
        <f>N10220*U10220*W10220*Y10220</f>
        <v>0</v>
      </c>
    </row>
    <row r="10224">
      <c r="A10224" t="str">
        <f>A10194</f>
        <v>Lantai Attic</v>
      </c>
      <c r="B10224">
        <f>B10194+1</f>
        <v>77</v>
      </c>
      <c r="C10224" t="str">
        <f>CONCATENATE(A10224," no. ",B10224)</f>
        <v>Lantai Attic no. 77</v>
      </c>
      <c r="D10224" t="str">
        <f>VLOOKUP(C10224,'Data Panjang Balok'!$C$9:$N$424,2,FALSE)</f>
        <v>B175-1</v>
      </c>
    </row>
    <row r="10225">
      <c r="C10225" t="str">
        <v>Dimensi</v>
      </c>
      <c r="D10225">
        <f>VLOOKUP(D10224,'Detail Balok'!$C$10:$AU$110,2,FALSE)</f>
        <v>170</v>
      </c>
      <c r="F10225" t="str">
        <v>x</v>
      </c>
      <c r="G10225">
        <f>VLOOKUP(D10224,'Detail Balok'!$C$10:$AU$110,3,FALSE)</f>
        <v>500</v>
      </c>
    </row>
    <row r="10226">
      <c r="C10226" t="str">
        <v>Panjang as ke as</v>
      </c>
      <c r="D10226">
        <f>VLOOKUP(C10224,'Data Panjang Balok'!$C$9:$N$424,4,FALSE)</f>
        <v>5700</v>
      </c>
    </row>
    <row r="10227">
      <c r="C10227" t="str">
        <v>Panjang netto</v>
      </c>
      <c r="D10227">
        <f>VLOOKUP(C10224,'Data Panjang Balok'!$C$9:$N$424,7,FALSE)</f>
        <v>5700</v>
      </c>
    </row>
    <row r="10228">
      <c r="C10228" t="str">
        <v>Kolom / balok kiri</v>
      </c>
      <c r="D10228">
        <f>VLOOKUP(C10224,'Data Panjang Balok'!$C$9:$N$424,9,FALSE)</f>
        <v>0</v>
      </c>
    </row>
    <row r="10229">
      <c r="C10229" t="str">
        <v>Kolom / balok kanan</v>
      </c>
      <c r="D10229">
        <f>VLOOKUP(C10224,'Data Panjang Balok'!$C$9:$N$424,10,FALSE)</f>
        <v>0</v>
      </c>
    </row>
    <row r="10230">
      <c r="C10230" t="str">
        <v>Jumlah</v>
      </c>
      <c r="D10230">
        <f>VLOOKUP(C10224,'Data Panjang Balok'!$C$9:$N$424,3,FALSE)</f>
        <v>1</v>
      </c>
    </row>
    <row r="10231">
      <c r="A10231" t="str">
        <f>A10224</f>
        <v>Lantai Attic</v>
      </c>
      <c r="B10231">
        <f>B10224</f>
        <v>77</v>
      </c>
      <c r="C10231" t="str">
        <v>Tul Atas Tumpuan</v>
      </c>
      <c r="D10231">
        <f>VLOOKUP(D10224,'Detail Balok'!$C$10:$AU$110,4,FALSE)</f>
        <v>2</v>
      </c>
      <c r="E10231" t="str">
        <v>D</v>
      </c>
      <c r="F10231">
        <f>VLOOKUP(D10224,'Detail Balok'!$C$10:$AU$110,6,FALSE)</f>
        <v>13</v>
      </c>
      <c r="I10231" t="str">
        <v>(</v>
      </c>
      <c r="J10231">
        <f>+D10226/4/1000</f>
        <v>1.425</v>
      </c>
      <c r="K10231" t="str">
        <v>+</v>
      </c>
      <c r="L10231">
        <f>MAX(VLOOKUP(F10231,N$6:P$15,3,FALSE)/1000,2/3*D10228/1000)+F$16*F10231/1000</f>
        <v>0.156</v>
      </c>
      <c r="M10231" t="str">
        <v>=</v>
      </c>
      <c r="N10231">
        <f>J10231+L10231</f>
        <v>1.581</v>
      </c>
      <c r="O10231" t="str">
        <v>+</v>
      </c>
      <c r="P10231">
        <f>D10231-D10232</f>
        <v>0</v>
      </c>
      <c r="Q10231" t="str">
        <v>x</v>
      </c>
      <c r="R10231">
        <f>IF(P10231&gt;0,$F$18*F10231/1000,0)</f>
        <v>0</v>
      </c>
      <c r="S10231" t="str">
        <v>)</v>
      </c>
      <c r="T10231" t="str">
        <v>x</v>
      </c>
      <c r="U10231">
        <f>0.006165*F10231^2</f>
        <v>1.041885</v>
      </c>
      <c r="X10231" t="str">
        <v>x</v>
      </c>
      <c r="Y10231">
        <f>D10230</f>
        <v>1</v>
      </c>
      <c r="Z10231" t="str">
        <v>=</v>
      </c>
      <c r="AA10231">
        <f>IF(AA10234=0,(D10231*N10231+P10231*R10231)*U10231*Y10231,0)</f>
        <v>0</v>
      </c>
    </row>
    <row r="10232">
      <c r="A10232" t="str">
        <f>A10224</f>
        <v>Lantai Attic</v>
      </c>
      <c r="B10232">
        <f>B10224</f>
        <v>77</v>
      </c>
      <c r="C10232" t="str">
        <v>Tul Atas Lapangan</v>
      </c>
      <c r="D10232">
        <f>VLOOKUP(D10224,'Detail Balok'!$C$10:$AU$110,7,FALSE)</f>
        <v>2</v>
      </c>
      <c r="E10232" t="str">
        <v>D</v>
      </c>
      <c r="F10232">
        <f>VLOOKUP(D10224,'Detail Balok'!$C$10:$AU$110,9,FALSE)</f>
        <v>13</v>
      </c>
      <c r="I10232" t="str">
        <v>(</v>
      </c>
      <c r="J10232">
        <f>+D10226/2/1000</f>
        <v>2.85</v>
      </c>
      <c r="K10232" t="str">
        <v>+</v>
      </c>
      <c r="M10232" t="str">
        <v>=</v>
      </c>
      <c r="N10232">
        <f>J10232+L10232</f>
        <v>2.85</v>
      </c>
      <c r="O10232" t="str">
        <v>+</v>
      </c>
      <c r="P10232">
        <f>MAX(D10232-D10231,D10232-D10233)</f>
        <v>0</v>
      </c>
      <c r="Q10232" t="str">
        <v>x</v>
      </c>
      <c r="R10232">
        <f>IF(P10232&gt;0,2*(1-2*$F$19-1/2)*D10227/1000,0)</f>
        <v>0</v>
      </c>
      <c r="S10232" t="str">
        <v>)</v>
      </c>
      <c r="T10232" t="str">
        <v>x</v>
      </c>
      <c r="U10232">
        <f>0.006165*F10232^2</f>
        <v>1.041885</v>
      </c>
      <c r="X10232" t="str">
        <v>x</v>
      </c>
      <c r="Y10232">
        <f>D10230</f>
        <v>1</v>
      </c>
      <c r="Z10232" t="str">
        <v>=</v>
      </c>
      <c r="AA10232">
        <f>IF(AA10234=0,(D10232*N10232+P10232*R10232)*U10232*Y10232,0)</f>
        <v>0</v>
      </c>
    </row>
    <row r="10233">
      <c r="A10233" t="str">
        <f>A10224</f>
        <v>Lantai Attic</v>
      </c>
      <c r="B10233">
        <f>B10224</f>
        <v>77</v>
      </c>
      <c r="C10233" t="str">
        <v>Tul Atas Tumpuan</v>
      </c>
      <c r="D10233">
        <f>VLOOKUP(D10224,'Detail Balok'!$C$10:$AU$110,10,FALSE)</f>
        <v>2</v>
      </c>
      <c r="E10233" t="str">
        <v>D</v>
      </c>
      <c r="F10233">
        <f>VLOOKUP(D10224,'Detail Balok'!$C$10:$AU$110,12,FALSE)</f>
        <v>13</v>
      </c>
      <c r="I10233" t="str">
        <v>(</v>
      </c>
      <c r="J10233">
        <f>+D10226/4/1000</f>
        <v>1.425</v>
      </c>
      <c r="K10233" t="str">
        <v>+</v>
      </c>
      <c r="L10233">
        <f>MAX(VLOOKUP(F10233,N$6:P$15,3,FALSE)/1000,2/3*D10228/1000)+F$16*F10233/1000</f>
        <v>0.156</v>
      </c>
      <c r="M10233" t="str">
        <v>=</v>
      </c>
      <c r="N10233">
        <f>J10233+L10233</f>
        <v>1.581</v>
      </c>
      <c r="O10233" t="str">
        <v>+</v>
      </c>
      <c r="P10233">
        <f>D10233-D10232</f>
        <v>0</v>
      </c>
      <c r="Q10233" t="str">
        <v>x</v>
      </c>
      <c r="R10233">
        <f>IF(P10233&gt;0,$F$18*F10233/1000,0)</f>
        <v>0</v>
      </c>
      <c r="S10233" t="str">
        <v>)</v>
      </c>
      <c r="T10233" t="str">
        <v>x</v>
      </c>
      <c r="U10233">
        <f>0.006165*F10233^2</f>
        <v>1.041885</v>
      </c>
      <c r="X10233" t="str">
        <v>x</v>
      </c>
      <c r="Y10233">
        <f>D10230</f>
        <v>1</v>
      </c>
      <c r="Z10233" t="str">
        <v>=</v>
      </c>
      <c r="AA10233">
        <f>IF(AA10234=0,(D10233*N10233+P10233*R10233)*U10233*Y10233,0)</f>
        <v>0</v>
      </c>
    </row>
    <row r="10234">
      <c r="A10234" t="str">
        <f>A10224</f>
        <v>Lantai Attic</v>
      </c>
      <c r="B10234">
        <f>B10224</f>
        <v>77</v>
      </c>
      <c r="D10234">
        <f>IF(AND(D10231=D10232,D10232=D10233,D10231=D10233),D10231,0)</f>
        <v>2</v>
      </c>
      <c r="E10234" t="str">
        <v>D</v>
      </c>
      <c r="F10234">
        <f>IF(AND(F10231=F10232,F10231=F10233,F10232=F10233),F10231,0)</f>
        <v>13</v>
      </c>
      <c r="L10234" t="str">
        <v>Total panjang per balok</v>
      </c>
      <c r="M10234" t="str">
        <v>=</v>
      </c>
      <c r="N10234">
        <f>IF(AND(D10231=D10232,D10231=D10233,D10232=D10233,F10231=F10232,F10231=F10233,F10232=F10233),SUM(N10231:N10233),0)</f>
        <v>6.0120000000000005</v>
      </c>
      <c r="O10234" t="str">
        <v>+</v>
      </c>
      <c r="P10234">
        <f>IF(N10234&gt;12,ROUNDDOWN(N10234/12,0),0)</f>
        <v>0</v>
      </c>
      <c r="Q10234" t="str">
        <v>x</v>
      </c>
      <c r="R10234">
        <f>IF(P10234&gt;0,MAX(VLOOKUP(F10234,$D$6:$G$15,3,FALSE),600),0)/1000</f>
        <v>0</v>
      </c>
      <c r="T10234" t="str">
        <v>x</v>
      </c>
      <c r="U10234">
        <f>U10233</f>
        <v>1.041885</v>
      </c>
      <c r="V10234" t="str">
        <v>x</v>
      </c>
      <c r="W10234">
        <f>D10234</f>
        <v>2</v>
      </c>
      <c r="X10234" t="str">
        <v>x</v>
      </c>
      <c r="Y10234">
        <f>Y10233</f>
        <v>1</v>
      </c>
      <c r="Z10234" t="str">
        <v>=</v>
      </c>
      <c r="AA10234">
        <f>(N10234+P10234*R10234/1000)*U10234*W10234*Y10234</f>
        <v>12.52762524</v>
      </c>
    </row>
    <row r="10236">
      <c r="A10236" t="str">
        <f>A10224</f>
        <v>Lantai Attic</v>
      </c>
      <c r="B10236">
        <f>B10224</f>
        <v>77</v>
      </c>
      <c r="C10236" t="str">
        <v>Tul Peminggang</v>
      </c>
      <c r="D10236">
        <f>VLOOKUP(D10224,'Detail Balok'!$C$10:$AU$110,13,FALSE)</f>
        <v>2</v>
      </c>
      <c r="E10236" t="str">
        <v>D</v>
      </c>
      <c r="F10236">
        <f>VLOOKUP(D10224,'Detail Balok'!$C$10:$AU$110,15,FALSE)</f>
        <v>10</v>
      </c>
      <c r="J10236">
        <f>+D10226/1000</f>
        <v>5.7</v>
      </c>
      <c r="K10236" t="str">
        <v>+</v>
      </c>
      <c r="L10236">
        <f>2*$F$16*F10236/1000</f>
        <v>0.24</v>
      </c>
      <c r="M10236" t="str">
        <v>=</v>
      </c>
      <c r="N10236">
        <f>J10236+L10236</f>
        <v>5.94</v>
      </c>
      <c r="O10236" t="str">
        <v>+</v>
      </c>
      <c r="P10236">
        <f>IF(N10236&gt;12,ROUNDDOWN(N10236/12,0),0)</f>
        <v>0</v>
      </c>
      <c r="Q10236" t="str">
        <v>x</v>
      </c>
      <c r="R10236">
        <f>IF(P10236&gt;0,MAX(VLOOKUP(F10236,$D$6:$G$15,3,FALSE),600),0)/1000</f>
        <v>0</v>
      </c>
      <c r="T10236" t="str">
        <v>x</v>
      </c>
      <c r="U10236">
        <f>0.006165*F10236^2</f>
        <v>0.6165</v>
      </c>
      <c r="V10236" t="str">
        <v>x</v>
      </c>
      <c r="W10236">
        <f>+D10236</f>
        <v>2</v>
      </c>
      <c r="X10236" t="str">
        <v>x</v>
      </c>
      <c r="Y10236">
        <f>D10230</f>
        <v>1</v>
      </c>
      <c r="Z10236" t="str">
        <v>=</v>
      </c>
      <c r="AA10236">
        <f>(N10236+P10236*R10236/1000)*U10236*W10236*Y10236</f>
        <v>7.324020000000001</v>
      </c>
    </row>
    <row r="10239">
      <c r="A10239" t="str">
        <f>A10224</f>
        <v>Lantai Attic</v>
      </c>
      <c r="B10239">
        <f>B10224</f>
        <v>77</v>
      </c>
      <c r="C10239" t="str">
        <v>Tul Bawah Tumpuan</v>
      </c>
      <c r="D10239">
        <f>VLOOKUP(D10224,'Detail Balok'!$C$10:$AU$110,22,FALSE)</f>
        <v>2</v>
      </c>
      <c r="E10239" t="str">
        <v>D</v>
      </c>
      <c r="F10239">
        <f>VLOOKUP(D10224,'Detail Balok'!$C$10:$AU$110,24,FALSE)</f>
        <v>13</v>
      </c>
      <c r="I10239" t="str">
        <v>(</v>
      </c>
      <c r="J10239">
        <f>+J10231</f>
        <v>1.425</v>
      </c>
      <c r="K10239" t="str">
        <v>+</v>
      </c>
      <c r="L10239">
        <f>MAX(VLOOKUP(F10239,N$6:P$15,3,FALSE)/1000,2/3*D10229/1000)+F$16*F10239/1000</f>
        <v>0.156</v>
      </c>
      <c r="M10239" t="str">
        <v>=</v>
      </c>
      <c r="N10239">
        <f>J10239+L10239</f>
        <v>1.581</v>
      </c>
      <c r="O10239" t="str">
        <v>+</v>
      </c>
      <c r="P10239">
        <f>D10239-D10240</f>
        <v>0</v>
      </c>
      <c r="Q10239" t="str">
        <v>x</v>
      </c>
      <c r="R10239">
        <f>IF(P10239&gt;0,$F$18*F10239/1000,0)</f>
        <v>0</v>
      </c>
      <c r="S10239" t="str">
        <v>)</v>
      </c>
      <c r="T10239" t="str">
        <v>x</v>
      </c>
      <c r="U10239">
        <f>0.006165*F10239^2</f>
        <v>1.041885</v>
      </c>
      <c r="X10239" t="str">
        <v>x</v>
      </c>
      <c r="Y10239">
        <f>D10230</f>
        <v>1</v>
      </c>
      <c r="Z10239" t="str">
        <v>=</v>
      </c>
      <c r="AA10239">
        <f>IF(AA10242=0,(D10239*N10239+P10239*R10239)*U10239*Y10239,0)</f>
        <v>0</v>
      </c>
    </row>
    <row r="10240">
      <c r="A10240" t="str">
        <f>A10224</f>
        <v>Lantai Attic</v>
      </c>
      <c r="B10240">
        <f>B10224</f>
        <v>77</v>
      </c>
      <c r="C10240" t="str">
        <v>Tul Bawah Lapangan</v>
      </c>
      <c r="D10240">
        <f>VLOOKUP(D10224,'Detail Balok'!$C$10:$AU$110,25,FALSE)</f>
        <v>2</v>
      </c>
      <c r="E10240" t="str">
        <v>D</v>
      </c>
      <c r="F10240">
        <f>VLOOKUP(D10224,'Detail Balok'!$C$10:$AU$110,27,FALSE)</f>
        <v>13</v>
      </c>
      <c r="I10240" t="str">
        <v>(</v>
      </c>
      <c r="J10240">
        <f>+J10232</f>
        <v>2.85</v>
      </c>
      <c r="K10240" t="str">
        <v>+</v>
      </c>
      <c r="M10240" t="str">
        <v>=</v>
      </c>
      <c r="N10240">
        <f>J10240+L10240</f>
        <v>2.85</v>
      </c>
      <c r="O10240" t="str">
        <v>+</v>
      </c>
      <c r="P10240">
        <f>MAX(D10240-D10239,D10240-D10241)</f>
        <v>0</v>
      </c>
      <c r="Q10240" t="str">
        <v>x</v>
      </c>
      <c r="R10240">
        <f>IF(P10240&gt;0,2*(1-2*$F$19-1/2)*D10227/1000,0)</f>
        <v>0</v>
      </c>
      <c r="S10240" t="str">
        <v>)</v>
      </c>
      <c r="T10240" t="str">
        <v>x</v>
      </c>
      <c r="U10240">
        <f>0.006165*F10240^2</f>
        <v>1.041885</v>
      </c>
      <c r="X10240" t="str">
        <v>x</v>
      </c>
      <c r="Y10240">
        <f>D10230</f>
        <v>1</v>
      </c>
      <c r="Z10240" t="str">
        <v>=</v>
      </c>
      <c r="AA10240">
        <f>IF(AA10242=0,(D10240*N10240+P10240*R10240)*U10240*Y10240,0)</f>
        <v>0</v>
      </c>
    </row>
    <row r="10241">
      <c r="A10241" t="str">
        <f>A10224</f>
        <v>Lantai Attic</v>
      </c>
      <c r="B10241">
        <f>B10224</f>
        <v>77</v>
      </c>
      <c r="C10241" t="str">
        <v>Tul Bawah Tumpuan</v>
      </c>
      <c r="D10241">
        <f>VLOOKUP(D10224,'Detail Balok'!$C$10:$AU$110,28,FALSE)</f>
        <v>2</v>
      </c>
      <c r="E10241" t="str">
        <v>D</v>
      </c>
      <c r="F10241">
        <f>VLOOKUP(D10224,'Detail Balok'!$C$10:$AU$110,30,FALSE)</f>
        <v>13</v>
      </c>
      <c r="I10241" t="str">
        <v>(</v>
      </c>
      <c r="J10241">
        <f>+J10233</f>
        <v>1.425</v>
      </c>
      <c r="K10241" t="str">
        <v>+</v>
      </c>
      <c r="L10241">
        <f>MAX(VLOOKUP(F10241,N$6:P$15,3,FALSE)/1000,2/3*D10229/1000)+F$16*F10241/1000</f>
        <v>0.156</v>
      </c>
      <c r="M10241" t="str">
        <v>=</v>
      </c>
      <c r="N10241">
        <f>J10241+L10241</f>
        <v>1.581</v>
      </c>
      <c r="O10241" t="str">
        <v>+</v>
      </c>
      <c r="P10241">
        <f>D10241-D10240</f>
        <v>0</v>
      </c>
      <c r="Q10241" t="str">
        <v>x</v>
      </c>
      <c r="R10241">
        <f>IF(P10241&gt;0,$F$18*F10241/1000,0)</f>
        <v>0</v>
      </c>
      <c r="S10241" t="str">
        <v>)</v>
      </c>
      <c r="T10241" t="str">
        <v>x</v>
      </c>
      <c r="U10241">
        <f>0.006165*F10241^2</f>
        <v>1.041885</v>
      </c>
      <c r="X10241" t="str">
        <v>x</v>
      </c>
      <c r="Y10241">
        <f>D10230</f>
        <v>1</v>
      </c>
      <c r="Z10241" t="str">
        <v>=</v>
      </c>
      <c r="AA10241">
        <f>IF(AA10242=0,(D10241*N10241+P10241*R10241)*U10241*Y10241,0)</f>
        <v>0</v>
      </c>
    </row>
    <row r="10242">
      <c r="A10242" t="str">
        <f>A10224</f>
        <v>Lantai Attic</v>
      </c>
      <c r="B10242">
        <f>B10224</f>
        <v>77</v>
      </c>
      <c r="D10242">
        <f>IF(AND(D10239=D10240,D10240=D10241,D10239=D10241),D10239,0)</f>
        <v>2</v>
      </c>
      <c r="E10242" t="str">
        <v>D</v>
      </c>
      <c r="F10242">
        <f>IF(AND(F10239=F10240,F10239=F10241,F10240=F10241),F10239,0)</f>
        <v>13</v>
      </c>
      <c r="L10242" t="str">
        <v>Total panjang per balok</v>
      </c>
      <c r="M10242" t="str">
        <v>=</v>
      </c>
      <c r="N10242">
        <f>IF(AND(D10239=D10240,D10239=D10241,D10240=D10241,F10239=F10240,F10239=F10241,F10240=F10241),SUM(N10239:N10241),0)</f>
        <v>6.0120000000000005</v>
      </c>
      <c r="O10242" t="str">
        <v>+</v>
      </c>
      <c r="P10242">
        <f>IF(N10242&gt;12,ROUNDDOWN(N10242/12,0),0)</f>
        <v>0</v>
      </c>
      <c r="Q10242" t="str">
        <v>x</v>
      </c>
      <c r="R10242">
        <f>IF(P10242&gt;0,MAX(VLOOKUP(F10242,$D$6:$G$15,3,FALSE),600),0)/1000</f>
        <v>0</v>
      </c>
      <c r="T10242" t="str">
        <v>x</v>
      </c>
      <c r="U10242">
        <f>U10241</f>
        <v>1.041885</v>
      </c>
      <c r="V10242" t="str">
        <v>x</v>
      </c>
      <c r="W10242">
        <f>D10242</f>
        <v>2</v>
      </c>
      <c r="X10242" t="str">
        <v>x</v>
      </c>
      <c r="Y10242">
        <f>Y10241</f>
        <v>1</v>
      </c>
      <c r="Z10242" t="str">
        <v>=</v>
      </c>
      <c r="AA10242">
        <f>(N10242+P10242*R10242/1000)*U10242*W10242*Y10242</f>
        <v>12.52762524</v>
      </c>
    </row>
    <row r="10244">
      <c r="A10244" t="str">
        <f>A10224</f>
        <v>Lantai Attic</v>
      </c>
      <c r="B10244">
        <f>B10224</f>
        <v>77</v>
      </c>
      <c r="C10244" t="str">
        <v>Sengkang Tumpuan</v>
      </c>
      <c r="D10244">
        <f>VLOOKUP(D10224,'Detail Balok'!$C$10:$AU$110,31,FALSE)</f>
        <v>0</v>
      </c>
      <c r="E10244" t="str">
        <v>D</v>
      </c>
      <c r="F10244">
        <f>VLOOKUP(D10224,'Detail Balok'!$C$10:$AU$110,33,FALSE)</f>
        <v>10</v>
      </c>
      <c r="G10244" t="str">
        <v>-</v>
      </c>
      <c r="H10244">
        <f>VLOOKUP(D10224,'Detail Balok'!$C$10:$AU$110,35,FALSE)</f>
        <v>80</v>
      </c>
      <c r="J10244">
        <f>(IF(D10244=0,(2*(D10225+G10225))-(F$5*8),IF(D10244=3,(2*(D10225+G10225))-(F$5*8)+(G10225-2*F$5),IF(D10244=4,(2*(D10225+G10225))-(F$5*8)+2*(G10225-2*F$5)))))/1000</f>
        <v>1.02</v>
      </c>
      <c r="K10244" t="str">
        <v>+</v>
      </c>
      <c r="L10244">
        <f>IF(D10244=0,2*MAX(6*F10244,75),(D10244-1)*2*MAX(6*F10244,75))/1000</f>
        <v>0.15</v>
      </c>
      <c r="M10244" t="str">
        <v>=</v>
      </c>
      <c r="N10244">
        <f>J10244+L10244</f>
        <v>1.17</v>
      </c>
      <c r="T10244" t="str">
        <v>x</v>
      </c>
      <c r="U10244">
        <f>0.006165*F10244^2</f>
        <v>0.6165</v>
      </c>
      <c r="V10244" t="str">
        <v>x</v>
      </c>
      <c r="W10244">
        <f>IF(D10227&gt;4*G10225,ROUND(MAX(D10227/4,2*G10225)/H10244,0)+1,ROUND(D10227/H10244,0)+1)</f>
        <v>19</v>
      </c>
      <c r="X10244" t="str">
        <v>x</v>
      </c>
      <c r="Y10244">
        <f>D10230</f>
        <v>1</v>
      </c>
      <c r="Z10244" t="str">
        <v>=</v>
      </c>
      <c r="AA10244">
        <f>N10244*U10244*W10244*Y10244</f>
        <v>13.704794999999999</v>
      </c>
    </row>
    <row r="10245">
      <c r="A10245" t="str">
        <f>A10224</f>
        <v>Lantai Attic</v>
      </c>
      <c r="B10245">
        <f>B10224</f>
        <v>77</v>
      </c>
      <c r="C10245" t="str">
        <v>Sengkang Lapangan</v>
      </c>
      <c r="D10245">
        <f>VLOOKUP(D10224,'Detail Balok'!$C$10:$AU$110,36,FALSE)</f>
        <v>0</v>
      </c>
      <c r="E10245" t="str">
        <v>D</v>
      </c>
      <c r="F10245">
        <f>VLOOKUP(D10224,'Detail Balok'!$C$10:$AU$110,38,FALSE)</f>
        <v>10</v>
      </c>
      <c r="G10245" t="str">
        <v>-</v>
      </c>
      <c r="H10245">
        <f>VLOOKUP(D10224,'Detail Balok'!$C$10:$AU$110,40,FALSE)</f>
        <v>200</v>
      </c>
      <c r="J10245">
        <f>(IF(D10245=0,(2*(D10225+G10225))-(F$5*8),IF(D10245=3,(2*(D10225+G10225))-(F$5*8)+(G10225-2*F$5),IF(D10245=4,(2*(D10225+G10225))-(F$5*8)+2*(G10225-2*F$5)))))/1000</f>
        <v>1.02</v>
      </c>
      <c r="K10245" t="str">
        <v>+</v>
      </c>
      <c r="L10245">
        <f>IF(D10245=0,2*MAX(6*F10245,75),(D10245-1)*2*MAX(6*F10245,75))/1000</f>
        <v>0.15</v>
      </c>
      <c r="M10245" t="str">
        <v>=</v>
      </c>
      <c r="N10245">
        <f>J10245+L10245</f>
        <v>1.17</v>
      </c>
      <c r="T10245" t="str">
        <v>x</v>
      </c>
      <c r="U10245">
        <f>0.006165*F10245^2</f>
        <v>0.6165</v>
      </c>
      <c r="V10245" t="str">
        <v>x</v>
      </c>
      <c r="W10245">
        <f>IF(D10227-MAX(D10227/4,2*G10225)*2&gt;0,ROUND((D10227-MAX(D10227/4,2*G10225)*2)/H10245,0),0)</f>
        <v>14</v>
      </c>
      <c r="X10245" t="str">
        <v>x</v>
      </c>
      <c r="Y10245">
        <f>D10230</f>
        <v>1</v>
      </c>
      <c r="Z10245" t="str">
        <v>=</v>
      </c>
      <c r="AA10245">
        <f>N10245*U10245*W10245*Y10245</f>
        <v>10.09827</v>
      </c>
    </row>
    <row r="10246">
      <c r="A10246" t="str">
        <f>A10224</f>
        <v>Lantai Attic</v>
      </c>
      <c r="B10246">
        <f>B10224</f>
        <v>77</v>
      </c>
      <c r="C10246" t="str">
        <v>Sengkang Tumpuan</v>
      </c>
      <c r="D10246">
        <f>VLOOKUP(D10224,'Detail Balok'!$C$10:$AU$110,41,FALSE)</f>
        <v>0</v>
      </c>
      <c r="E10246" t="str">
        <v>D</v>
      </c>
      <c r="F10246">
        <f>VLOOKUP(D10224,'Detail Balok'!$C$10:$AU$110,43,FALSE)</f>
        <v>10</v>
      </c>
      <c r="G10246" t="str">
        <v>-</v>
      </c>
      <c r="H10246">
        <f>VLOOKUP(D10224,'Detail Balok'!$C$10:$AU$110,45,FALSE)</f>
        <v>80</v>
      </c>
      <c r="J10246">
        <f>(IF(D10246=0,(2*(D10225+G10225))-(F$5*8),IF(D10246=3,(2*(D10225+G10225))-(F$5*8)+(G10225-2*F$5),IF(D10246=4,(2*(D10225+G10225))-(F$5*8)+2*(G10225-2*F$5)))))/1000</f>
        <v>1.02</v>
      </c>
      <c r="K10246" t="str">
        <v>+</v>
      </c>
      <c r="L10246">
        <f>IF(D10246=0,2*MAX(6*F10246,75),(D10246-1)*2*MAX(6*F10246,75))/1000</f>
        <v>0.15</v>
      </c>
      <c r="M10246" t="str">
        <v>=</v>
      </c>
      <c r="N10246">
        <f>J10246+L10246</f>
        <v>1.17</v>
      </c>
      <c r="T10246" t="str">
        <v>x</v>
      </c>
      <c r="U10246">
        <f>0.006165*F10246^2</f>
        <v>0.6165</v>
      </c>
      <c r="V10246" t="str">
        <v>x</v>
      </c>
      <c r="W10246">
        <f>IF(D10227&gt;4*G10225,ROUND(MAX(D10227/4,2*G10225)/H10246,0)+1,0)</f>
        <v>19</v>
      </c>
      <c r="X10246" t="str">
        <v>x</v>
      </c>
      <c r="Y10246">
        <f>D10230</f>
        <v>1</v>
      </c>
      <c r="Z10246" t="str">
        <v>=</v>
      </c>
      <c r="AA10246">
        <f>N10246*U10246*W10246*Y10246</f>
        <v>13.704794999999999</v>
      </c>
    </row>
    <row r="10248">
      <c r="A10248" t="str">
        <f>A10224</f>
        <v>Lantai Attic</v>
      </c>
      <c r="B10248">
        <f>B10224</f>
        <v>77</v>
      </c>
      <c r="C10248" t="str">
        <v>Kait Horizontal Tump.</v>
      </c>
      <c r="D10248">
        <f>VLOOKUP(D10224,'Detail Balok'!$C$10:$BJ$110,46,FALSE)</f>
        <v>0</v>
      </c>
      <c r="E10248" t="str">
        <v>D</v>
      </c>
      <c r="F10248">
        <f>VLOOKUP(D10224,'Detail Balok'!$C$10:$BJ$110,48,FALSE)</f>
        <v>0</v>
      </c>
      <c r="G10248" t="str">
        <v>-</v>
      </c>
      <c r="H10248">
        <f>VLOOKUP(D10224,'Detail Balok'!$C$10:$BJ$110,50,FALSE)</f>
        <v>100</v>
      </c>
      <c r="J10248">
        <f>(D10225-2*F$5)/1000</f>
        <v>0.09</v>
      </c>
      <c r="K10248" t="str">
        <v>+</v>
      </c>
      <c r="L10248">
        <f>IF(D10248=0,2*MAX(6*F10248,75),(D10248-1)*2*MAX(6*F10248,75))/1000</f>
        <v>0.15</v>
      </c>
      <c r="M10248" t="str">
        <v>=</v>
      </c>
      <c r="N10248">
        <f>J10248+L10248</f>
        <v>0.24</v>
      </c>
      <c r="T10248" t="str">
        <v>x</v>
      </c>
      <c r="U10248">
        <f>0.006165*F10248^2</f>
        <v>0</v>
      </c>
      <c r="V10248" t="str">
        <v>x</v>
      </c>
      <c r="W10248">
        <f>W10244</f>
        <v>19</v>
      </c>
      <c r="X10248" t="str">
        <v>x</v>
      </c>
      <c r="Y10248">
        <f>D10234</f>
        <v>2</v>
      </c>
      <c r="Z10248" t="str">
        <v>=</v>
      </c>
      <c r="AA10248">
        <f>N10248*U10248*W10248*Y10248</f>
        <v>0</v>
      </c>
    </row>
    <row r="10249">
      <c r="A10249" t="str">
        <f>A10224</f>
        <v>Lantai Attic</v>
      </c>
      <c r="B10249">
        <f>B10224</f>
        <v>77</v>
      </c>
      <c r="C10249" t="str">
        <v>Kait Horizontal Lap.</v>
      </c>
      <c r="D10249">
        <f>VLOOKUP(D10224,'Detail Balok'!$C$10:$BJ$110,51,FALSE)</f>
        <v>0</v>
      </c>
      <c r="E10249" t="str">
        <v>D</v>
      </c>
      <c r="F10249">
        <f>VLOOKUP(D10224,'Detail Balok'!$C$10:$BJ$110,53,FALSE)</f>
        <v>0</v>
      </c>
      <c r="G10249" t="str">
        <v>-</v>
      </c>
      <c r="H10249">
        <f>VLOOKUP(D10224,'Detail Balok'!$C$10:$BJ$110,55,FALSE)</f>
        <v>100</v>
      </c>
      <c r="J10249">
        <f>(D10225-2*F$5)/1000</f>
        <v>0.09</v>
      </c>
      <c r="K10249" t="str">
        <v>+</v>
      </c>
      <c r="L10249">
        <f>IF(D10249=0,2*MAX(6*F10249,75),(D10249-1)*2*MAX(6*F10249,75))/1000</f>
        <v>0.15</v>
      </c>
      <c r="M10249" t="str">
        <v>=</v>
      </c>
      <c r="N10249">
        <f>J10249+L10249</f>
        <v>0.24</v>
      </c>
      <c r="T10249" t="str">
        <v>x</v>
      </c>
      <c r="U10249">
        <f>0.006165*F10249^2</f>
        <v>0</v>
      </c>
      <c r="V10249" t="str">
        <v>x</v>
      </c>
      <c r="W10249">
        <f>W10245</f>
        <v>14</v>
      </c>
      <c r="X10249" t="str">
        <v>x</v>
      </c>
      <c r="Y10249">
        <f>D10234</f>
        <v>2</v>
      </c>
      <c r="Z10249" t="str">
        <v>=</v>
      </c>
      <c r="AA10249">
        <f>N10249*U10249*W10249*Y10249</f>
        <v>0</v>
      </c>
    </row>
    <row r="10250">
      <c r="A10250" t="str">
        <f>A10224</f>
        <v>Lantai Attic</v>
      </c>
      <c r="B10250">
        <f>B10224</f>
        <v>77</v>
      </c>
      <c r="C10250" t="str">
        <v>Kait Horizontal Tump.</v>
      </c>
      <c r="D10250">
        <f>VLOOKUP(D10224,'Detail Balok'!$C$10:$BJ$110,56,FALSE)</f>
        <v>0</v>
      </c>
      <c r="E10250" t="str">
        <v>D</v>
      </c>
      <c r="F10250">
        <f>VLOOKUP(D10224,'Detail Balok'!$C$10:$BJ$110,58,FALSE)</f>
        <v>0</v>
      </c>
      <c r="G10250" t="str">
        <v>-</v>
      </c>
      <c r="H10250">
        <f>VLOOKUP(D10224,'Detail Balok'!$C$10:$BJ$110,60,FALSE)</f>
        <v>100</v>
      </c>
      <c r="J10250">
        <f>(D10225-2*F$5)/1000</f>
        <v>0.09</v>
      </c>
      <c r="K10250" t="str">
        <v>+</v>
      </c>
      <c r="L10250">
        <f>IF(D10250=0,2*MAX(6*F10250,75),(D10250-1)*2*MAX(6*F10250,75))/1000</f>
        <v>0.15</v>
      </c>
      <c r="M10250" t="str">
        <v>=</v>
      </c>
      <c r="N10250">
        <f>J10250+L10250</f>
        <v>0.24</v>
      </c>
      <c r="T10250" t="str">
        <v>x</v>
      </c>
      <c r="U10250">
        <f>0.006165*F10250^2</f>
        <v>0</v>
      </c>
      <c r="V10250" t="str">
        <v>x</v>
      </c>
      <c r="W10250">
        <f>W10246</f>
        <v>19</v>
      </c>
      <c r="X10250" t="str">
        <v>x</v>
      </c>
      <c r="Y10250">
        <f>D10234</f>
        <v>2</v>
      </c>
      <c r="Z10250" t="str">
        <v>=</v>
      </c>
      <c r="AA10250">
        <f>N10250*U10250*W10250*Y10250</f>
        <v>0</v>
      </c>
    </row>
    <row r="10254">
      <c r="A10254" t="str">
        <v>Lantai Atap</v>
      </c>
      <c r="B10254">
        <v>1</v>
      </c>
      <c r="C10254" t="str">
        <f>CONCATENATE(A10254," no. ",B10254)</f>
        <v>Lantai Atap no. 1</v>
      </c>
      <c r="D10254" t="str">
        <f>VLOOKUP(C10254,'Data Panjang Balok'!$C$9:$N$424,2,FALSE)</f>
        <v>B174-1</v>
      </c>
    </row>
    <row r="10255">
      <c r="C10255" t="str">
        <v>Dimensi</v>
      </c>
      <c r="D10255">
        <f>VLOOKUP(D10254,'Detail Balok'!$C$10:$AU$110,2,FALSE)</f>
        <v>170</v>
      </c>
      <c r="F10255" t="str">
        <v>x</v>
      </c>
      <c r="G10255">
        <f>VLOOKUP(D10254,'Detail Balok'!$C$10:$AU$110,3,FALSE)</f>
        <v>400</v>
      </c>
    </row>
    <row r="10256">
      <c r="C10256" t="str">
        <v>Panjang as ke as</v>
      </c>
      <c r="D10256">
        <f>VLOOKUP(C10254,'Data Panjang Balok'!$C$9:$N$424,4,FALSE)</f>
        <v>3500</v>
      </c>
    </row>
    <row r="10257">
      <c r="C10257" t="str">
        <v>Panjang netto</v>
      </c>
      <c r="D10257">
        <f>VLOOKUP(C10254,'Data Panjang Balok'!$C$9:$N$424,7,FALSE)</f>
        <v>3500</v>
      </c>
    </row>
    <row r="10258">
      <c r="C10258" t="str">
        <v>Kolom / balok kiri</v>
      </c>
      <c r="D10258">
        <f>VLOOKUP(C10254,'Data Panjang Balok'!$C$9:$N$424,9,FALSE)</f>
        <v>0</v>
      </c>
    </row>
    <row r="10259">
      <c r="C10259" t="str">
        <v>Kolom / balok kanan</v>
      </c>
      <c r="D10259">
        <f>VLOOKUP(C10254,'Data Panjang Balok'!$C$9:$N$424,10,FALSE)</f>
        <v>0</v>
      </c>
    </row>
    <row r="10260">
      <c r="C10260" t="str">
        <v>Jumlah</v>
      </c>
      <c r="D10260">
        <f>VLOOKUP(C10254,'Data Panjang Balok'!$C$9:$N$424,3,FALSE)</f>
        <v>1</v>
      </c>
    </row>
    <row r="10261">
      <c r="A10261" t="str">
        <f>A10254</f>
        <v>Lantai Atap</v>
      </c>
      <c r="B10261">
        <f>B10254</f>
        <v>1</v>
      </c>
      <c r="C10261" t="str">
        <v>Tul Atas Tumpuan</v>
      </c>
      <c r="D10261">
        <f>VLOOKUP(D10254,'Detail Balok'!$C$10:$AU$110,4,FALSE)</f>
        <v>2</v>
      </c>
      <c r="E10261" t="str">
        <v>D</v>
      </c>
      <c r="F10261">
        <f>VLOOKUP(D10254,'Detail Balok'!$C$10:$AU$110,6,FALSE)</f>
        <v>13</v>
      </c>
      <c r="I10261" t="str">
        <v>(</v>
      </c>
      <c r="J10261">
        <f>+D10256/4/1000</f>
        <v>0.875</v>
      </c>
      <c r="K10261" t="str">
        <v>+</v>
      </c>
      <c r="L10261">
        <f>MAX(VLOOKUP(F10261,N$6:P$15,3,FALSE)/1000,2/3*D10258/1000)+F$16*F10261/1000</f>
        <v>0.156</v>
      </c>
      <c r="M10261" t="str">
        <v>=</v>
      </c>
      <c r="N10261">
        <f>J10261+L10261</f>
        <v>1.031</v>
      </c>
      <c r="O10261" t="str">
        <v>+</v>
      </c>
      <c r="P10261">
        <f>D10261-D10262</f>
        <v>0</v>
      </c>
      <c r="Q10261" t="str">
        <v>x</v>
      </c>
      <c r="R10261">
        <f>IF(P10261&gt;0,$F$18*F10261/1000,0)</f>
        <v>0</v>
      </c>
      <c r="S10261" t="str">
        <v>)</v>
      </c>
      <c r="T10261" t="str">
        <v>x</v>
      </c>
      <c r="U10261">
        <f>0.006165*F10261^2</f>
        <v>1.041885</v>
      </c>
      <c r="X10261" t="str">
        <v>x</v>
      </c>
      <c r="Y10261">
        <f>D10260</f>
        <v>1</v>
      </c>
      <c r="Z10261" t="str">
        <v>=</v>
      </c>
      <c r="AA10261">
        <f>IF(AA10264=0,(D10261*N10261+P10261*R10261)*U10261*Y10261,0)</f>
        <v>0</v>
      </c>
    </row>
    <row r="10262">
      <c r="A10262" t="str">
        <f>A10254</f>
        <v>Lantai Atap</v>
      </c>
      <c r="B10262">
        <f>B10254</f>
        <v>1</v>
      </c>
      <c r="C10262" t="str">
        <v>Tul Atas Lapangan</v>
      </c>
      <c r="D10262">
        <f>VLOOKUP(D10254,'Detail Balok'!$C$10:$AU$110,7,FALSE)</f>
        <v>2</v>
      </c>
      <c r="E10262" t="str">
        <v>D</v>
      </c>
      <c r="F10262">
        <f>VLOOKUP(D10254,'Detail Balok'!$C$10:$AU$110,9,FALSE)</f>
        <v>13</v>
      </c>
      <c r="I10262" t="str">
        <v>(</v>
      </c>
      <c r="J10262">
        <f>+D10256/2/1000</f>
        <v>1.75</v>
      </c>
      <c r="K10262" t="str">
        <v>+</v>
      </c>
      <c r="M10262" t="str">
        <v>=</v>
      </c>
      <c r="N10262">
        <f>J10262+L10262</f>
        <v>1.75</v>
      </c>
      <c r="O10262" t="str">
        <v>+</v>
      </c>
      <c r="P10262">
        <f>MAX(D10262-D10261,D10262-D10263)</f>
        <v>0</v>
      </c>
      <c r="Q10262" t="str">
        <v>x</v>
      </c>
      <c r="R10262">
        <f>IF(P10262&gt;0,2*(1-2*$F$19-1/2)*D10257/1000,0)</f>
        <v>0</v>
      </c>
      <c r="S10262" t="str">
        <v>)</v>
      </c>
      <c r="T10262" t="str">
        <v>x</v>
      </c>
      <c r="U10262">
        <f>0.006165*F10262^2</f>
        <v>1.041885</v>
      </c>
      <c r="X10262" t="str">
        <v>x</v>
      </c>
      <c r="Y10262">
        <f>D10260</f>
        <v>1</v>
      </c>
      <c r="Z10262" t="str">
        <v>=</v>
      </c>
      <c r="AA10262">
        <f>IF(AA10264=0,(D10262*N10262+P10262*R10262)*U10262*Y10262,0)</f>
        <v>0</v>
      </c>
    </row>
    <row r="10263">
      <c r="A10263" t="str">
        <f>A10254</f>
        <v>Lantai Atap</v>
      </c>
      <c r="B10263">
        <f>B10254</f>
        <v>1</v>
      </c>
      <c r="C10263" t="str">
        <v>Tul Atas Tumpuan</v>
      </c>
      <c r="D10263">
        <f>VLOOKUP(D10254,'Detail Balok'!$C$10:$AU$110,10,FALSE)</f>
        <v>2</v>
      </c>
      <c r="E10263" t="str">
        <v>D</v>
      </c>
      <c r="F10263">
        <f>VLOOKUP(D10254,'Detail Balok'!$C$10:$AU$110,12,FALSE)</f>
        <v>13</v>
      </c>
      <c r="I10263" t="str">
        <v>(</v>
      </c>
      <c r="J10263">
        <f>+D10256/4/1000</f>
        <v>0.875</v>
      </c>
      <c r="K10263" t="str">
        <v>+</v>
      </c>
      <c r="L10263">
        <f>MAX(VLOOKUP(F10263,N$6:P$15,3,FALSE)/1000,2/3*D10258/1000)+F$16*F10263/1000</f>
        <v>0.156</v>
      </c>
      <c r="M10263" t="str">
        <v>=</v>
      </c>
      <c r="N10263">
        <f>J10263+L10263</f>
        <v>1.031</v>
      </c>
      <c r="O10263" t="str">
        <v>+</v>
      </c>
      <c r="P10263">
        <f>D10263-D10262</f>
        <v>0</v>
      </c>
      <c r="Q10263" t="str">
        <v>x</v>
      </c>
      <c r="R10263">
        <f>IF(P10263&gt;0,$F$18*F10263/1000,0)</f>
        <v>0</v>
      </c>
      <c r="S10263" t="str">
        <v>)</v>
      </c>
      <c r="T10263" t="str">
        <v>x</v>
      </c>
      <c r="U10263">
        <f>0.006165*F10263^2</f>
        <v>1.041885</v>
      </c>
      <c r="X10263" t="str">
        <v>x</v>
      </c>
      <c r="Y10263">
        <f>D10260</f>
        <v>1</v>
      </c>
      <c r="Z10263" t="str">
        <v>=</v>
      </c>
      <c r="AA10263">
        <f>IF(AA10264=0,(D10263*N10263+P10263*R10263)*U10263*Y10263,0)</f>
        <v>0</v>
      </c>
    </row>
    <row r="10264">
      <c r="A10264" t="str">
        <f>A10254</f>
        <v>Lantai Atap</v>
      </c>
      <c r="B10264">
        <f>B10254</f>
        <v>1</v>
      </c>
      <c r="D10264">
        <f>IF(AND(D10261=D10262,D10262=D10263,D10261=D10263),D10261,0)</f>
        <v>2</v>
      </c>
      <c r="E10264" t="str">
        <v>D</v>
      </c>
      <c r="F10264">
        <f>IF(AND(F10261=F10262,F10261=F10263,F10262=F10263),F10261,0)</f>
        <v>13</v>
      </c>
      <c r="L10264" t="str">
        <v>Total panjang per balok</v>
      </c>
      <c r="M10264" t="str">
        <v>=</v>
      </c>
      <c r="N10264">
        <f>IF(AND(D10261=D10262,D10261=D10263,D10262=D10263,F10261=F10262,F10261=F10263,F10262=F10263),SUM(N10261:N10263),0)</f>
        <v>3.8119999999999994</v>
      </c>
      <c r="O10264" t="str">
        <v>+</v>
      </c>
      <c r="P10264">
        <f>IF(N10264&gt;12,ROUNDDOWN(N10264/12,0),0)</f>
        <v>0</v>
      </c>
      <c r="Q10264" t="str">
        <v>x</v>
      </c>
      <c r="R10264">
        <f>IF(P10264&gt;0,MAX(VLOOKUP(F10264,$D$6:$G$15,3,FALSE),600),0)/1000</f>
        <v>0</v>
      </c>
      <c r="T10264" t="str">
        <v>x</v>
      </c>
      <c r="U10264">
        <f>U10263</f>
        <v>1.041885</v>
      </c>
      <c r="V10264" t="str">
        <v>x</v>
      </c>
      <c r="W10264">
        <f>D10264</f>
        <v>2</v>
      </c>
      <c r="X10264" t="str">
        <v>x</v>
      </c>
      <c r="Y10264">
        <f>Y10263</f>
        <v>1</v>
      </c>
      <c r="Z10264" t="str">
        <v>=</v>
      </c>
      <c r="AA10264">
        <f>(N10264+P10264*R10264/1000)*U10264*W10264*Y10264</f>
        <v>7.943331239999998</v>
      </c>
    </row>
    <row r="10266">
      <c r="A10266" t="str">
        <f>A10254</f>
        <v>Lantai Atap</v>
      </c>
      <c r="B10266">
        <f>B10254</f>
        <v>1</v>
      </c>
      <c r="C10266" t="str">
        <v>Tul Peminggang</v>
      </c>
      <c r="D10266">
        <f>VLOOKUP(D10254,'Detail Balok'!$C$10:$AU$110,13,FALSE)</f>
        <v>0</v>
      </c>
      <c r="E10266" t="str">
        <v>D</v>
      </c>
      <c r="F10266">
        <f>VLOOKUP(D10254,'Detail Balok'!$C$10:$AU$110,15,FALSE)</f>
        <v>6</v>
      </c>
      <c r="J10266">
        <f>+D10256/1000</f>
        <v>3.5</v>
      </c>
      <c r="K10266" t="str">
        <v>+</v>
      </c>
      <c r="L10266">
        <f>2*$F$16*F10266/1000</f>
        <v>0.144</v>
      </c>
      <c r="M10266" t="str">
        <v>=</v>
      </c>
      <c r="N10266">
        <f>J10266+L10266</f>
        <v>3.644</v>
      </c>
      <c r="O10266" t="str">
        <v>+</v>
      </c>
      <c r="P10266">
        <f>IF(N10266&gt;12,ROUNDDOWN(N10266/12,0),0)</f>
        <v>0</v>
      </c>
      <c r="Q10266" t="str">
        <v>x</v>
      </c>
      <c r="R10266">
        <f>IF(P10266&gt;0,MAX(VLOOKUP(F10266,$D$6:$G$15,3,FALSE),600),0)/1000</f>
        <v>0</v>
      </c>
      <c r="T10266" t="str">
        <v>x</v>
      </c>
      <c r="U10266">
        <f>0.006165*F10266^2</f>
        <v>0.22194000000000003</v>
      </c>
      <c r="V10266" t="str">
        <v>x</v>
      </c>
      <c r="W10266">
        <f>+D10266</f>
        <v>0</v>
      </c>
      <c r="X10266" t="str">
        <v>x</v>
      </c>
      <c r="Y10266">
        <f>D10260</f>
        <v>1</v>
      </c>
      <c r="Z10266" t="str">
        <v>=</v>
      </c>
      <c r="AA10266">
        <f>(N10266+P10266*R10266/1000)*U10266*W10266*Y10266</f>
        <v>0</v>
      </c>
    </row>
    <row r="10269">
      <c r="A10269" t="str">
        <f>A10254</f>
        <v>Lantai Atap</v>
      </c>
      <c r="B10269">
        <f>B10254</f>
        <v>1</v>
      </c>
      <c r="C10269" t="str">
        <v>Tul Bawah Tumpuan</v>
      </c>
      <c r="D10269">
        <f>VLOOKUP(D10254,'Detail Balok'!$C$10:$AU$110,22,FALSE)</f>
        <v>2</v>
      </c>
      <c r="E10269" t="str">
        <v>D</v>
      </c>
      <c r="F10269">
        <f>VLOOKUP(D10254,'Detail Balok'!$C$10:$AU$110,24,FALSE)</f>
        <v>13</v>
      </c>
      <c r="I10269" t="str">
        <v>(</v>
      </c>
      <c r="J10269">
        <f>+J10261</f>
        <v>0.875</v>
      </c>
      <c r="K10269" t="str">
        <v>+</v>
      </c>
      <c r="L10269">
        <f>MAX(VLOOKUP(F10269,N$6:P$15,3,FALSE)/1000,2/3*D10259/1000)+F$16*F10269/1000</f>
        <v>0.156</v>
      </c>
      <c r="M10269" t="str">
        <v>=</v>
      </c>
      <c r="N10269">
        <f>J10269+L10269</f>
        <v>1.031</v>
      </c>
      <c r="O10269" t="str">
        <v>+</v>
      </c>
      <c r="P10269">
        <f>D10269-D10270</f>
        <v>0</v>
      </c>
      <c r="Q10269" t="str">
        <v>x</v>
      </c>
      <c r="R10269">
        <f>IF(P10269&gt;0,$F$18*F10269/1000,0)</f>
        <v>0</v>
      </c>
      <c r="S10269" t="str">
        <v>)</v>
      </c>
      <c r="T10269" t="str">
        <v>x</v>
      </c>
      <c r="U10269">
        <f>0.006165*F10269^2</f>
        <v>1.041885</v>
      </c>
      <c r="X10269" t="str">
        <v>x</v>
      </c>
      <c r="Y10269">
        <f>D10260</f>
        <v>1</v>
      </c>
      <c r="Z10269" t="str">
        <v>=</v>
      </c>
      <c r="AA10269">
        <f>IF(AA10272=0,(D10269*N10269+P10269*R10269)*U10269*Y10269,0)</f>
        <v>0</v>
      </c>
    </row>
    <row r="10270">
      <c r="A10270" t="str">
        <f>A10254</f>
        <v>Lantai Atap</v>
      </c>
      <c r="B10270">
        <f>B10254</f>
        <v>1</v>
      </c>
      <c r="C10270" t="str">
        <v>Tul Bawah Lapangan</v>
      </c>
      <c r="D10270">
        <f>VLOOKUP(D10254,'Detail Balok'!$C$10:$AU$110,25,FALSE)</f>
        <v>2</v>
      </c>
      <c r="E10270" t="str">
        <v>D</v>
      </c>
      <c r="F10270">
        <f>VLOOKUP(D10254,'Detail Balok'!$C$10:$AU$110,27,FALSE)</f>
        <v>13</v>
      </c>
      <c r="I10270" t="str">
        <v>(</v>
      </c>
      <c r="J10270">
        <f>+J10262</f>
        <v>1.75</v>
      </c>
      <c r="K10270" t="str">
        <v>+</v>
      </c>
      <c r="M10270" t="str">
        <v>=</v>
      </c>
      <c r="N10270">
        <f>J10270+L10270</f>
        <v>1.75</v>
      </c>
      <c r="O10270" t="str">
        <v>+</v>
      </c>
      <c r="P10270">
        <f>MAX(D10270-D10269,D10270-D10271)</f>
        <v>0</v>
      </c>
      <c r="Q10270" t="str">
        <v>x</v>
      </c>
      <c r="R10270">
        <f>IF(P10270&gt;0,2*(1-2*$F$19-1/2)*D10257/1000,0)</f>
        <v>0</v>
      </c>
      <c r="S10270" t="str">
        <v>)</v>
      </c>
      <c r="T10270" t="str">
        <v>x</v>
      </c>
      <c r="U10270">
        <f>0.006165*F10270^2</f>
        <v>1.041885</v>
      </c>
      <c r="X10270" t="str">
        <v>x</v>
      </c>
      <c r="Y10270">
        <f>D10260</f>
        <v>1</v>
      </c>
      <c r="Z10270" t="str">
        <v>=</v>
      </c>
      <c r="AA10270">
        <f>IF(AA10272=0,(D10270*N10270+P10270*R10270)*U10270*Y10270,0)</f>
        <v>0</v>
      </c>
    </row>
    <row r="10271">
      <c r="A10271" t="str">
        <f>A10254</f>
        <v>Lantai Atap</v>
      </c>
      <c r="B10271">
        <f>B10254</f>
        <v>1</v>
      </c>
      <c r="C10271" t="str">
        <v>Tul Bawah Tumpuan</v>
      </c>
      <c r="D10271">
        <f>VLOOKUP(D10254,'Detail Balok'!$C$10:$AU$110,28,FALSE)</f>
        <v>2</v>
      </c>
      <c r="E10271" t="str">
        <v>D</v>
      </c>
      <c r="F10271">
        <f>VLOOKUP(D10254,'Detail Balok'!$C$10:$AU$110,30,FALSE)</f>
        <v>13</v>
      </c>
      <c r="I10271" t="str">
        <v>(</v>
      </c>
      <c r="J10271">
        <f>+J10263</f>
        <v>0.875</v>
      </c>
      <c r="K10271" t="str">
        <v>+</v>
      </c>
      <c r="L10271">
        <f>MAX(VLOOKUP(F10271,N$6:P$15,3,FALSE)/1000,2/3*D10259/1000)+F$16*F10271/1000</f>
        <v>0.156</v>
      </c>
      <c r="M10271" t="str">
        <v>=</v>
      </c>
      <c r="N10271">
        <f>J10271+L10271</f>
        <v>1.031</v>
      </c>
      <c r="O10271" t="str">
        <v>+</v>
      </c>
      <c r="P10271">
        <f>D10271-D10270</f>
        <v>0</v>
      </c>
      <c r="Q10271" t="str">
        <v>x</v>
      </c>
      <c r="R10271">
        <f>IF(P10271&gt;0,$F$18*F10271/1000,0)</f>
        <v>0</v>
      </c>
      <c r="S10271" t="str">
        <v>)</v>
      </c>
      <c r="T10271" t="str">
        <v>x</v>
      </c>
      <c r="U10271">
        <f>0.006165*F10271^2</f>
        <v>1.041885</v>
      </c>
      <c r="X10271" t="str">
        <v>x</v>
      </c>
      <c r="Y10271">
        <f>D10260</f>
        <v>1</v>
      </c>
      <c r="Z10271" t="str">
        <v>=</v>
      </c>
      <c r="AA10271">
        <f>IF(AA10272=0,(D10271*N10271+P10271*R10271)*U10271*Y10271,0)</f>
        <v>0</v>
      </c>
    </row>
    <row r="10272">
      <c r="A10272" t="str">
        <f>A10254</f>
        <v>Lantai Atap</v>
      </c>
      <c r="B10272">
        <f>B10254</f>
        <v>1</v>
      </c>
      <c r="D10272">
        <f>IF(AND(D10269=D10270,D10270=D10271,D10269=D10271),D10269,0)</f>
        <v>2</v>
      </c>
      <c r="E10272" t="str">
        <v>D</v>
      </c>
      <c r="F10272">
        <f>IF(AND(F10269=F10270,F10269=F10271,F10270=F10271),F10269,0)</f>
        <v>13</v>
      </c>
      <c r="L10272" t="str">
        <v>Total panjang per balok</v>
      </c>
      <c r="M10272" t="str">
        <v>=</v>
      </c>
      <c r="N10272">
        <f>IF(AND(D10269=D10270,D10269=D10271,D10270=D10271,F10269=F10270,F10269=F10271,F10270=F10271),SUM(N10269:N10271),0)</f>
        <v>3.8119999999999994</v>
      </c>
      <c r="O10272" t="str">
        <v>+</v>
      </c>
      <c r="P10272">
        <f>IF(N10272&gt;12,ROUNDDOWN(N10272/12,0),0)</f>
        <v>0</v>
      </c>
      <c r="Q10272" t="str">
        <v>x</v>
      </c>
      <c r="R10272">
        <f>IF(P10272&gt;0,MAX(VLOOKUP(F10272,$D$6:$G$15,3,FALSE),600),0)/1000</f>
        <v>0</v>
      </c>
      <c r="T10272" t="str">
        <v>x</v>
      </c>
      <c r="U10272">
        <f>U10271</f>
        <v>1.041885</v>
      </c>
      <c r="V10272" t="str">
        <v>x</v>
      </c>
      <c r="W10272">
        <f>D10272</f>
        <v>2</v>
      </c>
      <c r="X10272" t="str">
        <v>x</v>
      </c>
      <c r="Y10272">
        <f>Y10271</f>
        <v>1</v>
      </c>
      <c r="Z10272" t="str">
        <v>=</v>
      </c>
      <c r="AA10272">
        <f>(N10272+P10272*R10272/1000)*U10272*W10272*Y10272</f>
        <v>7.943331239999998</v>
      </c>
    </row>
    <row r="10274">
      <c r="A10274" t="str">
        <f>A10254</f>
        <v>Lantai Atap</v>
      </c>
      <c r="B10274">
        <f>B10254</f>
        <v>1</v>
      </c>
      <c r="C10274" t="str">
        <v>Sengkang Tumpuan</v>
      </c>
      <c r="D10274">
        <f>VLOOKUP(D10254,'Detail Balok'!$C$10:$AU$110,31,FALSE)</f>
        <v>0</v>
      </c>
      <c r="E10274" t="str">
        <v>D</v>
      </c>
      <c r="F10274">
        <f>VLOOKUP(D10254,'Detail Balok'!$C$10:$AU$110,33,FALSE)</f>
        <v>10</v>
      </c>
      <c r="G10274" t="str">
        <v>-</v>
      </c>
      <c r="H10274">
        <f>VLOOKUP(D10254,'Detail Balok'!$C$10:$AU$110,35,FALSE)</f>
        <v>100</v>
      </c>
      <c r="J10274">
        <f>(IF(D10274=0,(2*(D10255+G10255))-(F$5*8),IF(D10274=3,(2*(D10255+G10255))-(F$5*8)+(G10255-2*F$5),IF(D10274=4,(2*(D10255+G10255))-(F$5*8)+2*(G10255-2*F$5)))))/1000</f>
        <v>0.82</v>
      </c>
      <c r="K10274" t="str">
        <v>+</v>
      </c>
      <c r="L10274">
        <f>IF(D10274=0,2*MAX(6*F10274,75),(D10274-1)*2*MAX(6*F10274,75))/1000</f>
        <v>0.15</v>
      </c>
      <c r="M10274" t="str">
        <v>=</v>
      </c>
      <c r="N10274">
        <f>J10274+L10274</f>
        <v>0.97</v>
      </c>
      <c r="T10274" t="str">
        <v>x</v>
      </c>
      <c r="U10274">
        <f>0.006165*F10274^2</f>
        <v>0.6165</v>
      </c>
      <c r="V10274" t="str">
        <v>x</v>
      </c>
      <c r="W10274">
        <f>IF(D10257&gt;4*G10255,ROUND(MAX(D10257/4,2*G10255)/H10274,0)+1,ROUND(D10257/H10274,0)+1)</f>
        <v>10</v>
      </c>
      <c r="X10274" t="str">
        <v>x</v>
      </c>
      <c r="Y10274">
        <f>D10260</f>
        <v>1</v>
      </c>
      <c r="Z10274" t="str">
        <v>=</v>
      </c>
      <c r="AA10274">
        <f>N10274*U10274*W10274*Y10274</f>
        <v>5.98005</v>
      </c>
    </row>
    <row r="10275">
      <c r="A10275" t="str">
        <f>A10254</f>
        <v>Lantai Atap</v>
      </c>
      <c r="B10275">
        <f>B10254</f>
        <v>1</v>
      </c>
      <c r="C10275" t="str">
        <v>Sengkang Lapangan</v>
      </c>
      <c r="D10275">
        <f>VLOOKUP(D10254,'Detail Balok'!$C$10:$AU$110,36,FALSE)</f>
        <v>0</v>
      </c>
      <c r="E10275" t="str">
        <v>D</v>
      </c>
      <c r="F10275">
        <f>VLOOKUP(D10254,'Detail Balok'!$C$10:$AU$110,38,FALSE)</f>
        <v>10</v>
      </c>
      <c r="G10275" t="str">
        <v>-</v>
      </c>
      <c r="H10275">
        <f>VLOOKUP(D10254,'Detail Balok'!$C$10:$AU$110,40,FALSE)</f>
        <v>200</v>
      </c>
      <c r="J10275">
        <f>(IF(D10275=0,(2*(D10255+G10255))-(F$5*8),IF(D10275=3,(2*(D10255+G10255))-(F$5*8)+(G10255-2*F$5),IF(D10275=4,(2*(D10255+G10255))-(F$5*8)+2*(G10255-2*F$5)))))/1000</f>
        <v>0.82</v>
      </c>
      <c r="K10275" t="str">
        <v>+</v>
      </c>
      <c r="L10275">
        <f>IF(D10275=0,2*MAX(6*F10275,75),(D10275-1)*2*MAX(6*F10275,75))/1000</f>
        <v>0.15</v>
      </c>
      <c r="M10275" t="str">
        <v>=</v>
      </c>
      <c r="N10275">
        <f>J10275+L10275</f>
        <v>0.97</v>
      </c>
      <c r="T10275" t="str">
        <v>x</v>
      </c>
      <c r="U10275">
        <f>0.006165*F10275^2</f>
        <v>0.6165</v>
      </c>
      <c r="V10275" t="str">
        <v>x</v>
      </c>
      <c r="W10275">
        <f>IF(D10257-MAX(D10257/4,2*G10255)*2&gt;0,ROUND((D10257-MAX(D10257/4,2*G10255)*2)/H10275,0),0)</f>
        <v>9</v>
      </c>
      <c r="X10275" t="str">
        <v>x</v>
      </c>
      <c r="Y10275">
        <f>D10260</f>
        <v>1</v>
      </c>
      <c r="Z10275" t="str">
        <v>=</v>
      </c>
      <c r="AA10275">
        <f>N10275*U10275*W10275*Y10275</f>
        <v>5.382045</v>
      </c>
    </row>
    <row r="10276">
      <c r="A10276" t="str">
        <f>A10254</f>
        <v>Lantai Atap</v>
      </c>
      <c r="B10276">
        <f>B10254</f>
        <v>1</v>
      </c>
      <c r="C10276" t="str">
        <v>Sengkang Tumpuan</v>
      </c>
      <c r="D10276">
        <f>VLOOKUP(D10254,'Detail Balok'!$C$10:$AU$110,41,FALSE)</f>
        <v>0</v>
      </c>
      <c r="E10276" t="str">
        <v>D</v>
      </c>
      <c r="F10276">
        <f>VLOOKUP(D10254,'Detail Balok'!$C$10:$AU$110,43,FALSE)</f>
        <v>10</v>
      </c>
      <c r="G10276" t="str">
        <v>-</v>
      </c>
      <c r="H10276">
        <f>VLOOKUP(D10254,'Detail Balok'!$C$10:$AU$110,45,FALSE)</f>
        <v>100</v>
      </c>
      <c r="J10276">
        <f>(IF(D10276=0,(2*(D10255+G10255))-(F$5*8),IF(D10276=3,(2*(D10255+G10255))-(F$5*8)+(G10255-2*F$5),IF(D10276=4,(2*(D10255+G10255))-(F$5*8)+2*(G10255-2*F$5)))))/1000</f>
        <v>0.82</v>
      </c>
      <c r="K10276" t="str">
        <v>+</v>
      </c>
      <c r="L10276">
        <f>IF(D10276=0,2*MAX(6*F10276,75),(D10276-1)*2*MAX(6*F10276,75))/1000</f>
        <v>0.15</v>
      </c>
      <c r="M10276" t="str">
        <v>=</v>
      </c>
      <c r="N10276">
        <f>J10276+L10276</f>
        <v>0.97</v>
      </c>
      <c r="T10276" t="str">
        <v>x</v>
      </c>
      <c r="U10276">
        <f>0.006165*F10276^2</f>
        <v>0.6165</v>
      </c>
      <c r="V10276" t="str">
        <v>x</v>
      </c>
      <c r="W10276">
        <f>IF(D10257&gt;4*G10255,ROUND(MAX(D10257/4,2*G10255)/H10276,0)+1,0)</f>
        <v>10</v>
      </c>
      <c r="X10276" t="str">
        <v>x</v>
      </c>
      <c r="Y10276">
        <f>D10260</f>
        <v>1</v>
      </c>
      <c r="Z10276" t="str">
        <v>=</v>
      </c>
      <c r="AA10276">
        <f>N10276*U10276*W10276*Y10276</f>
        <v>5.98005</v>
      </c>
    </row>
    <row r="10278">
      <c r="A10278" t="str">
        <f>A10254</f>
        <v>Lantai Atap</v>
      </c>
      <c r="B10278">
        <f>B10254</f>
        <v>1</v>
      </c>
      <c r="C10278" t="str">
        <v>Kait Horizontal Tump.</v>
      </c>
      <c r="D10278">
        <f>VLOOKUP(D10254,'Detail Balok'!$C$10:$BJ$110,46,FALSE)</f>
        <v>0</v>
      </c>
      <c r="E10278" t="str">
        <v>D</v>
      </c>
      <c r="F10278">
        <f>VLOOKUP(D10254,'Detail Balok'!$C$10:$BJ$110,48,FALSE)</f>
        <v>0</v>
      </c>
      <c r="G10278" t="str">
        <v>-</v>
      </c>
      <c r="H10278">
        <f>VLOOKUP(D10254,'Detail Balok'!$C$10:$BJ$110,50,FALSE)</f>
        <v>100</v>
      </c>
      <c r="J10278">
        <f>(D10255-2*F$5)/1000</f>
        <v>0.09</v>
      </c>
      <c r="K10278" t="str">
        <v>+</v>
      </c>
      <c r="L10278">
        <f>IF(D10278=0,2*MAX(6*F10278,75),(D10278-1)*2*MAX(6*F10278,75))/1000</f>
        <v>0.15</v>
      </c>
      <c r="M10278" t="str">
        <v>=</v>
      </c>
      <c r="N10278">
        <f>J10278+L10278</f>
        <v>0.24</v>
      </c>
      <c r="T10278" t="str">
        <v>x</v>
      </c>
      <c r="U10278">
        <f>0.006165*F10278^2</f>
        <v>0</v>
      </c>
      <c r="V10278" t="str">
        <v>x</v>
      </c>
      <c r="W10278">
        <f>W10274</f>
        <v>10</v>
      </c>
      <c r="X10278" t="str">
        <v>x</v>
      </c>
      <c r="Y10278">
        <f>D10264</f>
        <v>2</v>
      </c>
      <c r="Z10278" t="str">
        <v>=</v>
      </c>
      <c r="AA10278">
        <f>N10278*U10278*W10278*Y10278</f>
        <v>0</v>
      </c>
    </row>
    <row r="10279">
      <c r="A10279" t="str">
        <f>A10254</f>
        <v>Lantai Atap</v>
      </c>
      <c r="B10279">
        <f>B10254</f>
        <v>1</v>
      </c>
      <c r="C10279" t="str">
        <v>Kait Horizontal Lap.</v>
      </c>
      <c r="D10279">
        <f>VLOOKUP(D10254,'Detail Balok'!$C$10:$BJ$110,51,FALSE)</f>
        <v>0</v>
      </c>
      <c r="E10279" t="str">
        <v>D</v>
      </c>
      <c r="F10279">
        <f>VLOOKUP(D10254,'Detail Balok'!$C$10:$BJ$110,53,FALSE)</f>
        <v>0</v>
      </c>
      <c r="G10279" t="str">
        <v>-</v>
      </c>
      <c r="H10279">
        <f>VLOOKUP(D10254,'Detail Balok'!$C$10:$BJ$110,55,FALSE)</f>
        <v>100</v>
      </c>
      <c r="J10279">
        <f>(D10255-2*F$5)/1000</f>
        <v>0.09</v>
      </c>
      <c r="K10279" t="str">
        <v>+</v>
      </c>
      <c r="L10279">
        <f>IF(D10279=0,2*MAX(6*F10279,75),(D10279-1)*2*MAX(6*F10279,75))/1000</f>
        <v>0.15</v>
      </c>
      <c r="M10279" t="str">
        <v>=</v>
      </c>
      <c r="N10279">
        <f>J10279+L10279</f>
        <v>0.24</v>
      </c>
      <c r="T10279" t="str">
        <v>x</v>
      </c>
      <c r="U10279">
        <f>0.006165*F10279^2</f>
        <v>0</v>
      </c>
      <c r="V10279" t="str">
        <v>x</v>
      </c>
      <c r="W10279">
        <f>W10275</f>
        <v>9</v>
      </c>
      <c r="X10279" t="str">
        <v>x</v>
      </c>
      <c r="Y10279">
        <f>D10264</f>
        <v>2</v>
      </c>
      <c r="Z10279" t="str">
        <v>=</v>
      </c>
      <c r="AA10279">
        <f>N10279*U10279*W10279*Y10279</f>
        <v>0</v>
      </c>
    </row>
    <row r="10280">
      <c r="A10280" t="str">
        <f>A10254</f>
        <v>Lantai Atap</v>
      </c>
      <c r="B10280">
        <f>B10254</f>
        <v>1</v>
      </c>
      <c r="C10280" t="str">
        <v>Kait Horizontal Tump.</v>
      </c>
      <c r="D10280">
        <f>VLOOKUP(D10254,'Detail Balok'!$C$10:$BJ$110,56,FALSE)</f>
        <v>0</v>
      </c>
      <c r="E10280" t="str">
        <v>D</v>
      </c>
      <c r="F10280">
        <f>VLOOKUP(D10254,'Detail Balok'!$C$10:$BJ$110,58,FALSE)</f>
        <v>0</v>
      </c>
      <c r="G10280" t="str">
        <v>-</v>
      </c>
      <c r="H10280">
        <f>VLOOKUP(D10254,'Detail Balok'!$C$10:$BJ$110,60,FALSE)</f>
        <v>100</v>
      </c>
      <c r="J10280">
        <f>(D10255-2*F$5)/1000</f>
        <v>0.09</v>
      </c>
      <c r="K10280" t="str">
        <v>+</v>
      </c>
      <c r="L10280">
        <f>IF(D10280=0,2*MAX(6*F10280,75),(D10280-1)*2*MAX(6*F10280,75))/1000</f>
        <v>0.15</v>
      </c>
      <c r="M10280" t="str">
        <v>=</v>
      </c>
      <c r="N10280">
        <f>J10280+L10280</f>
        <v>0.24</v>
      </c>
      <c r="T10280" t="str">
        <v>x</v>
      </c>
      <c r="U10280">
        <f>0.006165*F10280^2</f>
        <v>0</v>
      </c>
      <c r="V10280" t="str">
        <v>x</v>
      </c>
      <c r="W10280">
        <f>W10276</f>
        <v>10</v>
      </c>
      <c r="X10280" t="str">
        <v>x</v>
      </c>
      <c r="Y10280">
        <f>D10264</f>
        <v>2</v>
      </c>
      <c r="Z10280" t="str">
        <v>=</v>
      </c>
      <c r="AA10280">
        <f>N10280*U10280*W10280*Y10280</f>
        <v>0</v>
      </c>
    </row>
    <row r="10284">
      <c r="A10284" t="str">
        <f>A10254</f>
        <v>Lantai Atap</v>
      </c>
      <c r="B10284">
        <f>B10254+1</f>
        <v>2</v>
      </c>
      <c r="C10284" t="str">
        <f>CONCATENATE(A10284," no. ",B10284)</f>
        <v>Lantai Atap no. 2</v>
      </c>
      <c r="D10284" t="str">
        <f>VLOOKUP(C10284,'Data Panjang Balok'!$C$9:$N$424,2,FALSE)</f>
        <v>B174-1</v>
      </c>
    </row>
    <row r="10285">
      <c r="C10285" t="str">
        <v>Dimensi</v>
      </c>
      <c r="D10285">
        <f>VLOOKUP(D10284,'Detail Balok'!$C$10:$AU$110,2,FALSE)</f>
        <v>170</v>
      </c>
      <c r="F10285" t="str">
        <v>x</v>
      </c>
      <c r="G10285">
        <f>VLOOKUP(D10284,'Detail Balok'!$C$10:$AU$110,3,FALSE)</f>
        <v>400</v>
      </c>
    </row>
    <row r="10286">
      <c r="C10286" t="str">
        <v>Panjang as ke as</v>
      </c>
      <c r="D10286">
        <f>VLOOKUP(C10284,'Data Panjang Balok'!$C$9:$N$424,4,FALSE)</f>
        <v>3500</v>
      </c>
    </row>
    <row r="10287">
      <c r="C10287" t="str">
        <v>Panjang netto</v>
      </c>
      <c r="D10287">
        <f>VLOOKUP(C10284,'Data Panjang Balok'!$C$9:$N$424,7,FALSE)</f>
        <v>3500</v>
      </c>
    </row>
    <row r="10288">
      <c r="C10288" t="str">
        <v>Kolom / balok kiri</v>
      </c>
      <c r="D10288">
        <f>VLOOKUP(C10284,'Data Panjang Balok'!$C$9:$N$424,9,FALSE)</f>
        <v>0</v>
      </c>
    </row>
    <row r="10289">
      <c r="C10289" t="str">
        <v>Kolom / balok kanan</v>
      </c>
      <c r="D10289">
        <f>VLOOKUP(C10284,'Data Panjang Balok'!$C$9:$N$424,10,FALSE)</f>
        <v>0</v>
      </c>
    </row>
    <row r="10290">
      <c r="C10290" t="str">
        <v>Jumlah</v>
      </c>
      <c r="D10290">
        <f>VLOOKUP(C10284,'Data Panjang Balok'!$C$9:$N$424,3,FALSE)</f>
        <v>1</v>
      </c>
    </row>
    <row r="10291">
      <c r="A10291" t="str">
        <f>A10284</f>
        <v>Lantai Atap</v>
      </c>
      <c r="B10291">
        <f>B10284</f>
        <v>2</v>
      </c>
      <c r="C10291" t="str">
        <v>Tul Atas Tumpuan</v>
      </c>
      <c r="D10291">
        <f>VLOOKUP(D10284,'Detail Balok'!$C$10:$AU$110,4,FALSE)</f>
        <v>2</v>
      </c>
      <c r="E10291" t="str">
        <v>D</v>
      </c>
      <c r="F10291">
        <f>VLOOKUP(D10284,'Detail Balok'!$C$10:$AU$110,6,FALSE)</f>
        <v>13</v>
      </c>
      <c r="I10291" t="str">
        <v>(</v>
      </c>
      <c r="J10291">
        <f>+D10286/4/1000</f>
        <v>0.875</v>
      </c>
      <c r="K10291" t="str">
        <v>+</v>
      </c>
      <c r="L10291">
        <f>MAX(VLOOKUP(F10291,N$6:P$15,3,FALSE)/1000,2/3*D10288/1000)+F$16*F10291/1000</f>
        <v>0.156</v>
      </c>
      <c r="M10291" t="str">
        <v>=</v>
      </c>
      <c r="N10291">
        <f>J10291+L10291</f>
        <v>1.031</v>
      </c>
      <c r="O10291" t="str">
        <v>+</v>
      </c>
      <c r="P10291">
        <f>D10291-D10292</f>
        <v>0</v>
      </c>
      <c r="Q10291" t="str">
        <v>x</v>
      </c>
      <c r="R10291">
        <f>IF(P10291&gt;0,$F$18*F10291/1000,0)</f>
        <v>0</v>
      </c>
      <c r="S10291" t="str">
        <v>)</v>
      </c>
      <c r="T10291" t="str">
        <v>x</v>
      </c>
      <c r="U10291">
        <f>0.006165*F10291^2</f>
        <v>1.041885</v>
      </c>
      <c r="X10291" t="str">
        <v>x</v>
      </c>
      <c r="Y10291">
        <f>D10290</f>
        <v>1</v>
      </c>
      <c r="Z10291" t="str">
        <v>=</v>
      </c>
      <c r="AA10291">
        <f>IF(AA10294=0,(D10291*N10291+P10291*R10291)*U10291*Y10291,0)</f>
        <v>0</v>
      </c>
    </row>
    <row r="10292">
      <c r="A10292" t="str">
        <f>A10284</f>
        <v>Lantai Atap</v>
      </c>
      <c r="B10292">
        <f>B10284</f>
        <v>2</v>
      </c>
      <c r="C10292" t="str">
        <v>Tul Atas Lapangan</v>
      </c>
      <c r="D10292">
        <f>VLOOKUP(D10284,'Detail Balok'!$C$10:$AU$110,7,FALSE)</f>
        <v>2</v>
      </c>
      <c r="E10292" t="str">
        <v>D</v>
      </c>
      <c r="F10292">
        <f>VLOOKUP(D10284,'Detail Balok'!$C$10:$AU$110,9,FALSE)</f>
        <v>13</v>
      </c>
      <c r="I10292" t="str">
        <v>(</v>
      </c>
      <c r="J10292">
        <f>+D10286/2/1000</f>
        <v>1.75</v>
      </c>
      <c r="K10292" t="str">
        <v>+</v>
      </c>
      <c r="M10292" t="str">
        <v>=</v>
      </c>
      <c r="N10292">
        <f>J10292+L10292</f>
        <v>1.75</v>
      </c>
      <c r="O10292" t="str">
        <v>+</v>
      </c>
      <c r="P10292">
        <f>MAX(D10292-D10291,D10292-D10293)</f>
        <v>0</v>
      </c>
      <c r="Q10292" t="str">
        <v>x</v>
      </c>
      <c r="R10292">
        <f>IF(P10292&gt;0,2*(1-2*$F$19-1/2)*D10287/1000,0)</f>
        <v>0</v>
      </c>
      <c r="S10292" t="str">
        <v>)</v>
      </c>
      <c r="T10292" t="str">
        <v>x</v>
      </c>
      <c r="U10292">
        <f>0.006165*F10292^2</f>
        <v>1.041885</v>
      </c>
      <c r="X10292" t="str">
        <v>x</v>
      </c>
      <c r="Y10292">
        <f>D10290</f>
        <v>1</v>
      </c>
      <c r="Z10292" t="str">
        <v>=</v>
      </c>
      <c r="AA10292">
        <f>IF(AA10294=0,(D10292*N10292+P10292*R10292)*U10292*Y10292,0)</f>
        <v>0</v>
      </c>
    </row>
    <row r="10293">
      <c r="A10293" t="str">
        <f>A10284</f>
        <v>Lantai Atap</v>
      </c>
      <c r="B10293">
        <f>B10284</f>
        <v>2</v>
      </c>
      <c r="C10293" t="str">
        <v>Tul Atas Tumpuan</v>
      </c>
      <c r="D10293">
        <f>VLOOKUP(D10284,'Detail Balok'!$C$10:$AU$110,10,FALSE)</f>
        <v>2</v>
      </c>
      <c r="E10293" t="str">
        <v>D</v>
      </c>
      <c r="F10293">
        <f>VLOOKUP(D10284,'Detail Balok'!$C$10:$AU$110,12,FALSE)</f>
        <v>13</v>
      </c>
      <c r="I10293" t="str">
        <v>(</v>
      </c>
      <c r="J10293">
        <f>+D10286/4/1000</f>
        <v>0.875</v>
      </c>
      <c r="K10293" t="str">
        <v>+</v>
      </c>
      <c r="L10293">
        <f>MAX(VLOOKUP(F10293,N$6:P$15,3,FALSE)/1000,2/3*D10288/1000)+F$16*F10293/1000</f>
        <v>0.156</v>
      </c>
      <c r="M10293" t="str">
        <v>=</v>
      </c>
      <c r="N10293">
        <f>J10293+L10293</f>
        <v>1.031</v>
      </c>
      <c r="O10293" t="str">
        <v>+</v>
      </c>
      <c r="P10293">
        <f>D10293-D10292</f>
        <v>0</v>
      </c>
      <c r="Q10293" t="str">
        <v>x</v>
      </c>
      <c r="R10293">
        <f>IF(P10293&gt;0,$F$18*F10293/1000,0)</f>
        <v>0</v>
      </c>
      <c r="S10293" t="str">
        <v>)</v>
      </c>
      <c r="T10293" t="str">
        <v>x</v>
      </c>
      <c r="U10293">
        <f>0.006165*F10293^2</f>
        <v>1.041885</v>
      </c>
      <c r="X10293" t="str">
        <v>x</v>
      </c>
      <c r="Y10293">
        <f>D10290</f>
        <v>1</v>
      </c>
      <c r="Z10293" t="str">
        <v>=</v>
      </c>
      <c r="AA10293">
        <f>IF(AA10294=0,(D10293*N10293+P10293*R10293)*U10293*Y10293,0)</f>
        <v>0</v>
      </c>
    </row>
    <row r="10294">
      <c r="A10294" t="str">
        <f>A10284</f>
        <v>Lantai Atap</v>
      </c>
      <c r="B10294">
        <f>B10284</f>
        <v>2</v>
      </c>
      <c r="D10294">
        <f>IF(AND(D10291=D10292,D10292=D10293,D10291=D10293),D10291,0)</f>
        <v>2</v>
      </c>
      <c r="E10294" t="str">
        <v>D</v>
      </c>
      <c r="F10294">
        <f>IF(AND(F10291=F10292,F10291=F10293,F10292=F10293),F10291,0)</f>
        <v>13</v>
      </c>
      <c r="L10294" t="str">
        <v>Total panjang per balok</v>
      </c>
      <c r="M10294" t="str">
        <v>=</v>
      </c>
      <c r="N10294">
        <f>IF(AND(D10291=D10292,D10291=D10293,D10292=D10293,F10291=F10292,F10291=F10293,F10292=F10293),SUM(N10291:N10293),0)</f>
        <v>3.8119999999999994</v>
      </c>
      <c r="O10294" t="str">
        <v>+</v>
      </c>
      <c r="P10294">
        <f>IF(N10294&gt;12,ROUNDDOWN(N10294/12,0),0)</f>
        <v>0</v>
      </c>
      <c r="Q10294" t="str">
        <v>x</v>
      </c>
      <c r="R10294">
        <f>IF(P10294&gt;0,MAX(VLOOKUP(F10294,$D$6:$G$15,3,FALSE),600),0)/1000</f>
        <v>0</v>
      </c>
      <c r="T10294" t="str">
        <v>x</v>
      </c>
      <c r="U10294">
        <f>U10293</f>
        <v>1.041885</v>
      </c>
      <c r="V10294" t="str">
        <v>x</v>
      </c>
      <c r="W10294">
        <f>D10294</f>
        <v>2</v>
      </c>
      <c r="X10294" t="str">
        <v>x</v>
      </c>
      <c r="Y10294">
        <f>Y10293</f>
        <v>1</v>
      </c>
      <c r="Z10294" t="str">
        <v>=</v>
      </c>
      <c r="AA10294">
        <f>(N10294+P10294*R10294/1000)*U10294*W10294*Y10294</f>
        <v>7.943331239999998</v>
      </c>
    </row>
    <row r="10296">
      <c r="A10296" t="str">
        <f>A10284</f>
        <v>Lantai Atap</v>
      </c>
      <c r="B10296">
        <f>B10284</f>
        <v>2</v>
      </c>
      <c r="C10296" t="str">
        <v>Tul Peminggang</v>
      </c>
      <c r="D10296">
        <f>VLOOKUP(D10284,'Detail Balok'!$C$10:$AU$110,13,FALSE)</f>
        <v>0</v>
      </c>
      <c r="E10296" t="str">
        <v>D</v>
      </c>
      <c r="F10296">
        <f>VLOOKUP(D10284,'Detail Balok'!$C$10:$AU$110,15,FALSE)</f>
        <v>6</v>
      </c>
      <c r="J10296">
        <f>+D10286/1000</f>
        <v>3.5</v>
      </c>
      <c r="K10296" t="str">
        <v>+</v>
      </c>
      <c r="L10296">
        <f>2*$F$16*F10296/1000</f>
        <v>0.144</v>
      </c>
      <c r="M10296" t="str">
        <v>=</v>
      </c>
      <c r="N10296">
        <f>J10296+L10296</f>
        <v>3.644</v>
      </c>
      <c r="O10296" t="str">
        <v>+</v>
      </c>
      <c r="P10296">
        <f>IF(N10296&gt;12,ROUNDDOWN(N10296/12,0),0)</f>
        <v>0</v>
      </c>
      <c r="Q10296" t="str">
        <v>x</v>
      </c>
      <c r="R10296">
        <f>IF(P10296&gt;0,MAX(VLOOKUP(F10296,$D$6:$G$15,3,FALSE),600),0)/1000</f>
        <v>0</v>
      </c>
      <c r="T10296" t="str">
        <v>x</v>
      </c>
      <c r="U10296">
        <f>0.006165*F10296^2</f>
        <v>0.22194000000000003</v>
      </c>
      <c r="V10296" t="str">
        <v>x</v>
      </c>
      <c r="W10296">
        <f>+D10296</f>
        <v>0</v>
      </c>
      <c r="X10296" t="str">
        <v>x</v>
      </c>
      <c r="Y10296">
        <f>D10290</f>
        <v>1</v>
      </c>
      <c r="Z10296" t="str">
        <v>=</v>
      </c>
      <c r="AA10296">
        <f>(N10296+P10296*R10296/1000)*U10296*W10296*Y10296</f>
        <v>0</v>
      </c>
    </row>
    <row r="10299">
      <c r="A10299" t="str">
        <f>A10284</f>
        <v>Lantai Atap</v>
      </c>
      <c r="B10299">
        <f>B10284</f>
        <v>2</v>
      </c>
      <c r="C10299" t="str">
        <v>Tul Bawah Tumpuan</v>
      </c>
      <c r="D10299">
        <f>VLOOKUP(D10284,'Detail Balok'!$C$10:$AU$110,22,FALSE)</f>
        <v>2</v>
      </c>
      <c r="E10299" t="str">
        <v>D</v>
      </c>
      <c r="F10299">
        <f>VLOOKUP(D10284,'Detail Balok'!$C$10:$AU$110,24,FALSE)</f>
        <v>13</v>
      </c>
      <c r="I10299" t="str">
        <v>(</v>
      </c>
      <c r="J10299">
        <f>+J10291</f>
        <v>0.875</v>
      </c>
      <c r="K10299" t="str">
        <v>+</v>
      </c>
      <c r="L10299">
        <f>MAX(VLOOKUP(F10299,N$6:P$15,3,FALSE)/1000,2/3*D10289/1000)+F$16*F10299/1000</f>
        <v>0.156</v>
      </c>
      <c r="M10299" t="str">
        <v>=</v>
      </c>
      <c r="N10299">
        <f>J10299+L10299</f>
        <v>1.031</v>
      </c>
      <c r="O10299" t="str">
        <v>+</v>
      </c>
      <c r="P10299">
        <f>D10299-D10300</f>
        <v>0</v>
      </c>
      <c r="Q10299" t="str">
        <v>x</v>
      </c>
      <c r="R10299">
        <f>IF(P10299&gt;0,$F$18*F10299/1000,0)</f>
        <v>0</v>
      </c>
      <c r="S10299" t="str">
        <v>)</v>
      </c>
      <c r="T10299" t="str">
        <v>x</v>
      </c>
      <c r="U10299">
        <f>0.006165*F10299^2</f>
        <v>1.041885</v>
      </c>
      <c r="X10299" t="str">
        <v>x</v>
      </c>
      <c r="Y10299">
        <f>D10290</f>
        <v>1</v>
      </c>
      <c r="Z10299" t="str">
        <v>=</v>
      </c>
      <c r="AA10299">
        <f>IF(AA10302=0,(D10299*N10299+P10299*R10299)*U10299*Y10299,0)</f>
        <v>0</v>
      </c>
    </row>
    <row r="10300">
      <c r="A10300" t="str">
        <f>A10284</f>
        <v>Lantai Atap</v>
      </c>
      <c r="B10300">
        <f>B10284</f>
        <v>2</v>
      </c>
      <c r="C10300" t="str">
        <v>Tul Bawah Lapangan</v>
      </c>
      <c r="D10300">
        <f>VLOOKUP(D10284,'Detail Balok'!$C$10:$AU$110,25,FALSE)</f>
        <v>2</v>
      </c>
      <c r="E10300" t="str">
        <v>D</v>
      </c>
      <c r="F10300">
        <f>VLOOKUP(D10284,'Detail Balok'!$C$10:$AU$110,27,FALSE)</f>
        <v>13</v>
      </c>
      <c r="I10300" t="str">
        <v>(</v>
      </c>
      <c r="J10300">
        <f>+J10292</f>
        <v>1.75</v>
      </c>
      <c r="K10300" t="str">
        <v>+</v>
      </c>
      <c r="M10300" t="str">
        <v>=</v>
      </c>
      <c r="N10300">
        <f>J10300+L10300</f>
        <v>1.75</v>
      </c>
      <c r="O10300" t="str">
        <v>+</v>
      </c>
      <c r="P10300">
        <f>MAX(D10300-D10299,D10300-D10301)</f>
        <v>0</v>
      </c>
      <c r="Q10300" t="str">
        <v>x</v>
      </c>
      <c r="R10300">
        <f>IF(P10300&gt;0,2*(1-2*$F$19-1/2)*D10287/1000,0)</f>
        <v>0</v>
      </c>
      <c r="S10300" t="str">
        <v>)</v>
      </c>
      <c r="T10300" t="str">
        <v>x</v>
      </c>
      <c r="U10300">
        <f>0.006165*F10300^2</f>
        <v>1.041885</v>
      </c>
      <c r="X10300" t="str">
        <v>x</v>
      </c>
      <c r="Y10300">
        <f>D10290</f>
        <v>1</v>
      </c>
      <c r="Z10300" t="str">
        <v>=</v>
      </c>
      <c r="AA10300">
        <f>IF(AA10302=0,(D10300*N10300+P10300*R10300)*U10300*Y10300,0)</f>
        <v>0</v>
      </c>
    </row>
    <row r="10301">
      <c r="A10301" t="str">
        <f>A10284</f>
        <v>Lantai Atap</v>
      </c>
      <c r="B10301">
        <f>B10284</f>
        <v>2</v>
      </c>
      <c r="C10301" t="str">
        <v>Tul Bawah Tumpuan</v>
      </c>
      <c r="D10301">
        <f>VLOOKUP(D10284,'Detail Balok'!$C$10:$AU$110,28,FALSE)</f>
        <v>2</v>
      </c>
      <c r="E10301" t="str">
        <v>D</v>
      </c>
      <c r="F10301">
        <f>VLOOKUP(D10284,'Detail Balok'!$C$10:$AU$110,30,FALSE)</f>
        <v>13</v>
      </c>
      <c r="I10301" t="str">
        <v>(</v>
      </c>
      <c r="J10301">
        <f>+J10293</f>
        <v>0.875</v>
      </c>
      <c r="K10301" t="str">
        <v>+</v>
      </c>
      <c r="L10301">
        <f>MAX(VLOOKUP(F10301,N$6:P$15,3,FALSE)/1000,2/3*D10289/1000)+F$16*F10301/1000</f>
        <v>0.156</v>
      </c>
      <c r="M10301" t="str">
        <v>=</v>
      </c>
      <c r="N10301">
        <f>J10301+L10301</f>
        <v>1.031</v>
      </c>
      <c r="O10301" t="str">
        <v>+</v>
      </c>
      <c r="P10301">
        <f>D10301-D10300</f>
        <v>0</v>
      </c>
      <c r="Q10301" t="str">
        <v>x</v>
      </c>
      <c r="R10301">
        <f>IF(P10301&gt;0,$F$18*F10301/1000,0)</f>
        <v>0</v>
      </c>
      <c r="S10301" t="str">
        <v>)</v>
      </c>
      <c r="T10301" t="str">
        <v>x</v>
      </c>
      <c r="U10301">
        <f>0.006165*F10301^2</f>
        <v>1.041885</v>
      </c>
      <c r="X10301" t="str">
        <v>x</v>
      </c>
      <c r="Y10301">
        <f>D10290</f>
        <v>1</v>
      </c>
      <c r="Z10301" t="str">
        <v>=</v>
      </c>
      <c r="AA10301">
        <f>IF(AA10302=0,(D10301*N10301+P10301*R10301)*U10301*Y10301,0)</f>
        <v>0</v>
      </c>
    </row>
    <row r="10302">
      <c r="A10302" t="str">
        <f>A10284</f>
        <v>Lantai Atap</v>
      </c>
      <c r="B10302">
        <f>B10284</f>
        <v>2</v>
      </c>
      <c r="D10302">
        <f>IF(AND(D10299=D10300,D10300=D10301,D10299=D10301),D10299,0)</f>
        <v>2</v>
      </c>
      <c r="E10302" t="str">
        <v>D</v>
      </c>
      <c r="F10302">
        <f>IF(AND(F10299=F10300,F10299=F10301,F10300=F10301),F10299,0)</f>
        <v>13</v>
      </c>
      <c r="L10302" t="str">
        <v>Total panjang per balok</v>
      </c>
      <c r="M10302" t="str">
        <v>=</v>
      </c>
      <c r="N10302">
        <f>IF(AND(D10299=D10300,D10299=D10301,D10300=D10301,F10299=F10300,F10299=F10301,F10300=F10301),SUM(N10299:N10301),0)</f>
        <v>3.8119999999999994</v>
      </c>
      <c r="O10302" t="str">
        <v>+</v>
      </c>
      <c r="P10302">
        <f>IF(N10302&gt;12,ROUNDDOWN(N10302/12,0),0)</f>
        <v>0</v>
      </c>
      <c r="Q10302" t="str">
        <v>x</v>
      </c>
      <c r="R10302">
        <f>IF(P10302&gt;0,MAX(VLOOKUP(F10302,$D$6:$G$15,3,FALSE),600),0)/1000</f>
        <v>0</v>
      </c>
      <c r="T10302" t="str">
        <v>x</v>
      </c>
      <c r="U10302">
        <f>U10301</f>
        <v>1.041885</v>
      </c>
      <c r="V10302" t="str">
        <v>x</v>
      </c>
      <c r="W10302">
        <f>D10302</f>
        <v>2</v>
      </c>
      <c r="X10302" t="str">
        <v>x</v>
      </c>
      <c r="Y10302">
        <f>Y10301</f>
        <v>1</v>
      </c>
      <c r="Z10302" t="str">
        <v>=</v>
      </c>
      <c r="AA10302">
        <f>(N10302+P10302*R10302/1000)*U10302*W10302*Y10302</f>
        <v>7.943331239999998</v>
      </c>
    </row>
    <row r="10304">
      <c r="A10304" t="str">
        <f>A10284</f>
        <v>Lantai Atap</v>
      </c>
      <c r="B10304">
        <f>B10284</f>
        <v>2</v>
      </c>
      <c r="C10304" t="str">
        <v>Sengkang Tumpuan</v>
      </c>
      <c r="D10304">
        <f>VLOOKUP(D10284,'Detail Balok'!$C$10:$AU$110,31,FALSE)</f>
        <v>0</v>
      </c>
      <c r="E10304" t="str">
        <v>D</v>
      </c>
      <c r="F10304">
        <f>VLOOKUP(D10284,'Detail Balok'!$C$10:$AU$110,33,FALSE)</f>
        <v>10</v>
      </c>
      <c r="G10304" t="str">
        <v>-</v>
      </c>
      <c r="H10304">
        <f>VLOOKUP(D10284,'Detail Balok'!$C$10:$AU$110,35,FALSE)</f>
        <v>100</v>
      </c>
      <c r="J10304">
        <f>(IF(D10304=0,(2*(D10285+G10285))-(F$5*8),IF(D10304=3,(2*(D10285+G10285))-(F$5*8)+(G10285-2*F$5),IF(D10304=4,(2*(D10285+G10285))-(F$5*8)+2*(G10285-2*F$5)))))/1000</f>
        <v>0.82</v>
      </c>
      <c r="K10304" t="str">
        <v>+</v>
      </c>
      <c r="L10304">
        <f>IF(D10304=0,2*MAX(6*F10304,75),(D10304-1)*2*MAX(6*F10304,75))/1000</f>
        <v>0.15</v>
      </c>
      <c r="M10304" t="str">
        <v>=</v>
      </c>
      <c r="N10304">
        <f>J10304+L10304</f>
        <v>0.97</v>
      </c>
      <c r="T10304" t="str">
        <v>x</v>
      </c>
      <c r="U10304">
        <f>0.006165*F10304^2</f>
        <v>0.6165</v>
      </c>
      <c r="V10304" t="str">
        <v>x</v>
      </c>
      <c r="W10304">
        <f>IF(D10287&gt;4*G10285,ROUND(MAX(D10287/4,2*G10285)/H10304,0)+1,ROUND(D10287/H10304,0)+1)</f>
        <v>10</v>
      </c>
      <c r="X10304" t="str">
        <v>x</v>
      </c>
      <c r="Y10304">
        <f>D10290</f>
        <v>1</v>
      </c>
      <c r="Z10304" t="str">
        <v>=</v>
      </c>
      <c r="AA10304">
        <f>N10304*U10304*W10304*Y10304</f>
        <v>5.98005</v>
      </c>
    </row>
    <row r="10305">
      <c r="A10305" t="str">
        <f>A10284</f>
        <v>Lantai Atap</v>
      </c>
      <c r="B10305">
        <f>B10284</f>
        <v>2</v>
      </c>
      <c r="C10305" t="str">
        <v>Sengkang Lapangan</v>
      </c>
      <c r="D10305">
        <f>VLOOKUP(D10284,'Detail Balok'!$C$10:$AU$110,36,FALSE)</f>
        <v>0</v>
      </c>
      <c r="E10305" t="str">
        <v>D</v>
      </c>
      <c r="F10305">
        <f>VLOOKUP(D10284,'Detail Balok'!$C$10:$AU$110,38,FALSE)</f>
        <v>10</v>
      </c>
      <c r="G10305" t="str">
        <v>-</v>
      </c>
      <c r="H10305">
        <f>VLOOKUP(D10284,'Detail Balok'!$C$10:$AU$110,40,FALSE)</f>
        <v>200</v>
      </c>
      <c r="J10305">
        <f>(IF(D10305=0,(2*(D10285+G10285))-(F$5*8),IF(D10305=3,(2*(D10285+G10285))-(F$5*8)+(G10285-2*F$5),IF(D10305=4,(2*(D10285+G10285))-(F$5*8)+2*(G10285-2*F$5)))))/1000</f>
        <v>0.82</v>
      </c>
      <c r="K10305" t="str">
        <v>+</v>
      </c>
      <c r="L10305">
        <f>IF(D10305=0,2*MAX(6*F10305,75),(D10305-1)*2*MAX(6*F10305,75))/1000</f>
        <v>0.15</v>
      </c>
      <c r="M10305" t="str">
        <v>=</v>
      </c>
      <c r="N10305">
        <f>J10305+L10305</f>
        <v>0.97</v>
      </c>
      <c r="T10305" t="str">
        <v>x</v>
      </c>
      <c r="U10305">
        <f>0.006165*F10305^2</f>
        <v>0.6165</v>
      </c>
      <c r="V10305" t="str">
        <v>x</v>
      </c>
      <c r="W10305">
        <f>IF(D10287-MAX(D10287/4,2*G10285)*2&gt;0,ROUND((D10287-MAX(D10287/4,2*G10285)*2)/H10305,0),0)</f>
        <v>9</v>
      </c>
      <c r="X10305" t="str">
        <v>x</v>
      </c>
      <c r="Y10305">
        <f>D10290</f>
        <v>1</v>
      </c>
      <c r="Z10305" t="str">
        <v>=</v>
      </c>
      <c r="AA10305">
        <f>N10305*U10305*W10305*Y10305</f>
        <v>5.382045</v>
      </c>
    </row>
    <row r="10306">
      <c r="A10306" t="str">
        <f>A10284</f>
        <v>Lantai Atap</v>
      </c>
      <c r="B10306">
        <f>B10284</f>
        <v>2</v>
      </c>
      <c r="C10306" t="str">
        <v>Sengkang Tumpuan</v>
      </c>
      <c r="D10306">
        <f>VLOOKUP(D10284,'Detail Balok'!$C$10:$AU$110,41,FALSE)</f>
        <v>0</v>
      </c>
      <c r="E10306" t="str">
        <v>D</v>
      </c>
      <c r="F10306">
        <f>VLOOKUP(D10284,'Detail Balok'!$C$10:$AU$110,43,FALSE)</f>
        <v>10</v>
      </c>
      <c r="G10306" t="str">
        <v>-</v>
      </c>
      <c r="H10306">
        <f>VLOOKUP(D10284,'Detail Balok'!$C$10:$AU$110,45,FALSE)</f>
        <v>100</v>
      </c>
      <c r="J10306">
        <f>(IF(D10306=0,(2*(D10285+G10285))-(F$5*8),IF(D10306=3,(2*(D10285+G10285))-(F$5*8)+(G10285-2*F$5),IF(D10306=4,(2*(D10285+G10285))-(F$5*8)+2*(G10285-2*F$5)))))/1000</f>
        <v>0.82</v>
      </c>
      <c r="K10306" t="str">
        <v>+</v>
      </c>
      <c r="L10306">
        <f>IF(D10306=0,2*MAX(6*F10306,75),(D10306-1)*2*MAX(6*F10306,75))/1000</f>
        <v>0.15</v>
      </c>
      <c r="M10306" t="str">
        <v>=</v>
      </c>
      <c r="N10306">
        <f>J10306+L10306</f>
        <v>0.97</v>
      </c>
      <c r="T10306" t="str">
        <v>x</v>
      </c>
      <c r="U10306">
        <f>0.006165*F10306^2</f>
        <v>0.6165</v>
      </c>
      <c r="V10306" t="str">
        <v>x</v>
      </c>
      <c r="W10306">
        <f>IF(D10287&gt;4*G10285,ROUND(MAX(D10287/4,2*G10285)/H10306,0)+1,0)</f>
        <v>10</v>
      </c>
      <c r="X10306" t="str">
        <v>x</v>
      </c>
      <c r="Y10306">
        <f>D10290</f>
        <v>1</v>
      </c>
      <c r="Z10306" t="str">
        <v>=</v>
      </c>
      <c r="AA10306">
        <f>N10306*U10306*W10306*Y10306</f>
        <v>5.98005</v>
      </c>
    </row>
    <row r="10308">
      <c r="A10308" t="str">
        <f>A10284</f>
        <v>Lantai Atap</v>
      </c>
      <c r="B10308">
        <f>B10284</f>
        <v>2</v>
      </c>
      <c r="C10308" t="str">
        <v>Kait Horizontal Tump.</v>
      </c>
      <c r="D10308">
        <f>VLOOKUP(D10284,'Detail Balok'!$C$10:$BJ$110,46,FALSE)</f>
        <v>0</v>
      </c>
      <c r="E10308" t="str">
        <v>D</v>
      </c>
      <c r="F10308">
        <f>VLOOKUP(D10284,'Detail Balok'!$C$10:$BJ$110,48,FALSE)</f>
        <v>0</v>
      </c>
      <c r="G10308" t="str">
        <v>-</v>
      </c>
      <c r="H10308">
        <f>VLOOKUP(D10284,'Detail Balok'!$C$10:$BJ$110,50,FALSE)</f>
        <v>100</v>
      </c>
      <c r="J10308">
        <f>(D10285-2*F$5)/1000</f>
        <v>0.09</v>
      </c>
      <c r="K10308" t="str">
        <v>+</v>
      </c>
      <c r="L10308">
        <f>IF(D10308=0,2*MAX(6*F10308,75),(D10308-1)*2*MAX(6*F10308,75))/1000</f>
        <v>0.15</v>
      </c>
      <c r="M10308" t="str">
        <v>=</v>
      </c>
      <c r="N10308">
        <f>J10308+L10308</f>
        <v>0.24</v>
      </c>
      <c r="T10308" t="str">
        <v>x</v>
      </c>
      <c r="U10308">
        <f>0.006165*F10308^2</f>
        <v>0</v>
      </c>
      <c r="V10308" t="str">
        <v>x</v>
      </c>
      <c r="W10308">
        <f>W10304</f>
        <v>10</v>
      </c>
      <c r="X10308" t="str">
        <v>x</v>
      </c>
      <c r="Y10308">
        <f>D10294</f>
        <v>2</v>
      </c>
      <c r="Z10308" t="str">
        <v>=</v>
      </c>
      <c r="AA10308">
        <f>N10308*U10308*W10308*Y10308</f>
        <v>0</v>
      </c>
    </row>
    <row r="10309">
      <c r="A10309" t="str">
        <f>A10284</f>
        <v>Lantai Atap</v>
      </c>
      <c r="B10309">
        <f>B10284</f>
        <v>2</v>
      </c>
      <c r="C10309" t="str">
        <v>Kait Horizontal Lap.</v>
      </c>
      <c r="D10309">
        <f>VLOOKUP(D10284,'Detail Balok'!$C$10:$BJ$110,51,FALSE)</f>
        <v>0</v>
      </c>
      <c r="E10309" t="str">
        <v>D</v>
      </c>
      <c r="F10309">
        <f>VLOOKUP(D10284,'Detail Balok'!$C$10:$BJ$110,53,FALSE)</f>
        <v>0</v>
      </c>
      <c r="G10309" t="str">
        <v>-</v>
      </c>
      <c r="H10309">
        <f>VLOOKUP(D10284,'Detail Balok'!$C$10:$BJ$110,55,FALSE)</f>
        <v>100</v>
      </c>
      <c r="J10309">
        <f>(D10285-2*F$5)/1000</f>
        <v>0.09</v>
      </c>
      <c r="K10309" t="str">
        <v>+</v>
      </c>
      <c r="L10309">
        <f>IF(D10309=0,2*MAX(6*F10309,75),(D10309-1)*2*MAX(6*F10309,75))/1000</f>
        <v>0.15</v>
      </c>
      <c r="M10309" t="str">
        <v>=</v>
      </c>
      <c r="N10309">
        <f>J10309+L10309</f>
        <v>0.24</v>
      </c>
      <c r="T10309" t="str">
        <v>x</v>
      </c>
      <c r="U10309">
        <f>0.006165*F10309^2</f>
        <v>0</v>
      </c>
      <c r="V10309" t="str">
        <v>x</v>
      </c>
      <c r="W10309">
        <f>W10305</f>
        <v>9</v>
      </c>
      <c r="X10309" t="str">
        <v>x</v>
      </c>
      <c r="Y10309">
        <f>D10294</f>
        <v>2</v>
      </c>
      <c r="Z10309" t="str">
        <v>=</v>
      </c>
      <c r="AA10309">
        <f>N10309*U10309*W10309*Y10309</f>
        <v>0</v>
      </c>
    </row>
    <row r="10310">
      <c r="A10310" t="str">
        <f>A10284</f>
        <v>Lantai Atap</v>
      </c>
      <c r="B10310">
        <f>B10284</f>
        <v>2</v>
      </c>
      <c r="C10310" t="str">
        <v>Kait Horizontal Tump.</v>
      </c>
      <c r="D10310">
        <f>VLOOKUP(D10284,'Detail Balok'!$C$10:$BJ$110,56,FALSE)</f>
        <v>0</v>
      </c>
      <c r="E10310" t="str">
        <v>D</v>
      </c>
      <c r="F10310">
        <f>VLOOKUP(D10284,'Detail Balok'!$C$10:$BJ$110,58,FALSE)</f>
        <v>0</v>
      </c>
      <c r="G10310" t="str">
        <v>-</v>
      </c>
      <c r="H10310">
        <f>VLOOKUP(D10284,'Detail Balok'!$C$10:$BJ$110,60,FALSE)</f>
        <v>100</v>
      </c>
      <c r="J10310">
        <f>(D10285-2*F$5)/1000</f>
        <v>0.09</v>
      </c>
      <c r="K10310" t="str">
        <v>+</v>
      </c>
      <c r="L10310">
        <f>IF(D10310=0,2*MAX(6*F10310,75),(D10310-1)*2*MAX(6*F10310,75))/1000</f>
        <v>0.15</v>
      </c>
      <c r="M10310" t="str">
        <v>=</v>
      </c>
      <c r="N10310">
        <f>J10310+L10310</f>
        <v>0.24</v>
      </c>
      <c r="T10310" t="str">
        <v>x</v>
      </c>
      <c r="U10310">
        <f>0.006165*F10310^2</f>
        <v>0</v>
      </c>
      <c r="V10310" t="str">
        <v>x</v>
      </c>
      <c r="W10310">
        <f>W10306</f>
        <v>10</v>
      </c>
      <c r="X10310" t="str">
        <v>x</v>
      </c>
      <c r="Y10310">
        <f>D10294</f>
        <v>2</v>
      </c>
      <c r="Z10310" t="str">
        <v>=</v>
      </c>
      <c r="AA10310">
        <f>N10310*U10310*W10310*Y10310</f>
        <v>0</v>
      </c>
    </row>
    <row r="10314">
      <c r="A10314" t="str">
        <f>A10284</f>
        <v>Lantai Atap</v>
      </c>
      <c r="B10314">
        <f>B10284+1</f>
        <v>3</v>
      </c>
      <c r="C10314" t="str">
        <f>CONCATENATE(A10314," no. ",B10314)</f>
        <v>Lantai Atap no. 3</v>
      </c>
      <c r="D10314" t="str">
        <f>VLOOKUP(C10314,'Data Panjang Balok'!$C$9:$N$424,2,FALSE)</f>
        <v>B245-1</v>
      </c>
    </row>
    <row r="10315">
      <c r="C10315" t="str">
        <v>Dimensi</v>
      </c>
      <c r="D10315">
        <f>VLOOKUP(D10314,'Detail Balok'!$C$10:$AU$110,2,FALSE)</f>
        <v>200</v>
      </c>
      <c r="F10315" t="str">
        <v>x</v>
      </c>
      <c r="G10315">
        <f>VLOOKUP(D10314,'Detail Balok'!$C$10:$AU$110,3,FALSE)</f>
        <v>450</v>
      </c>
    </row>
    <row r="10316">
      <c r="C10316" t="str">
        <v>Panjang as ke as</v>
      </c>
      <c r="D10316">
        <f>VLOOKUP(C10314,'Data Panjang Balok'!$C$9:$N$424,4,FALSE)</f>
        <v>6000</v>
      </c>
    </row>
    <row r="10317">
      <c r="C10317" t="str">
        <v>Panjang netto</v>
      </c>
      <c r="D10317">
        <f>VLOOKUP(C10314,'Data Panjang Balok'!$C$9:$N$424,7,FALSE)</f>
        <v>6000</v>
      </c>
    </row>
    <row r="10318">
      <c r="C10318" t="str">
        <v>Kolom / balok kiri</v>
      </c>
      <c r="D10318">
        <f>VLOOKUP(C10314,'Data Panjang Balok'!$C$9:$N$424,9,FALSE)</f>
        <v>0</v>
      </c>
    </row>
    <row r="10319">
      <c r="C10319" t="str">
        <v>Kolom / balok kanan</v>
      </c>
      <c r="D10319">
        <f>VLOOKUP(C10314,'Data Panjang Balok'!$C$9:$N$424,10,FALSE)</f>
        <v>0</v>
      </c>
    </row>
    <row r="10320">
      <c r="C10320" t="str">
        <v>Jumlah</v>
      </c>
      <c r="D10320">
        <f>VLOOKUP(C10314,'Data Panjang Balok'!$C$9:$N$424,3,FALSE)</f>
        <v>1</v>
      </c>
    </row>
    <row r="10321">
      <c r="A10321" t="str">
        <f>A10314</f>
        <v>Lantai Atap</v>
      </c>
      <c r="B10321">
        <f>B10314</f>
        <v>3</v>
      </c>
      <c r="C10321" t="str">
        <v>Tul Atas Tumpuan</v>
      </c>
      <c r="D10321">
        <f>VLOOKUP(D10314,'Detail Balok'!$C$10:$AU$110,4,FALSE)</f>
        <v>2</v>
      </c>
      <c r="E10321" t="str">
        <v>D</v>
      </c>
      <c r="F10321">
        <f>VLOOKUP(D10314,'Detail Balok'!$C$10:$AU$110,6,FALSE)</f>
        <v>13</v>
      </c>
      <c r="I10321" t="str">
        <v>(</v>
      </c>
      <c r="J10321">
        <f>+D10316/4/1000</f>
        <v>1.5</v>
      </c>
      <c r="K10321" t="str">
        <v>+</v>
      </c>
      <c r="L10321">
        <f>MAX(VLOOKUP(F10321,N$6:P$15,3,FALSE)/1000,2/3*D10318/1000)+F$16*F10321/1000</f>
        <v>0.156</v>
      </c>
      <c r="M10321" t="str">
        <v>=</v>
      </c>
      <c r="N10321">
        <f>J10321+L10321</f>
        <v>1.656</v>
      </c>
      <c r="O10321" t="str">
        <v>+</v>
      </c>
      <c r="P10321">
        <f>D10321-D10322</f>
        <v>0</v>
      </c>
      <c r="Q10321" t="str">
        <v>x</v>
      </c>
      <c r="R10321">
        <f>IF(P10321&gt;0,$F$18*F10321/1000,0)</f>
        <v>0</v>
      </c>
      <c r="S10321" t="str">
        <v>)</v>
      </c>
      <c r="T10321" t="str">
        <v>x</v>
      </c>
      <c r="U10321">
        <f>0.006165*F10321^2</f>
        <v>1.041885</v>
      </c>
      <c r="X10321" t="str">
        <v>x</v>
      </c>
      <c r="Y10321">
        <f>D10320</f>
        <v>1</v>
      </c>
      <c r="Z10321" t="str">
        <v>=</v>
      </c>
      <c r="AA10321">
        <f>IF(AA10324=0,(D10321*N10321+P10321*R10321)*U10321*Y10321,0)</f>
        <v>0</v>
      </c>
    </row>
    <row r="10322">
      <c r="A10322" t="str">
        <f>A10314</f>
        <v>Lantai Atap</v>
      </c>
      <c r="B10322">
        <f>B10314</f>
        <v>3</v>
      </c>
      <c r="C10322" t="str">
        <v>Tul Atas Lapangan</v>
      </c>
      <c r="D10322">
        <f>VLOOKUP(D10314,'Detail Balok'!$C$10:$AU$110,7,FALSE)</f>
        <v>2</v>
      </c>
      <c r="E10322" t="str">
        <v>D</v>
      </c>
      <c r="F10322">
        <f>VLOOKUP(D10314,'Detail Balok'!$C$10:$AU$110,9,FALSE)</f>
        <v>13</v>
      </c>
      <c r="I10322" t="str">
        <v>(</v>
      </c>
      <c r="J10322">
        <f>+D10316/2/1000</f>
        <v>3</v>
      </c>
      <c r="K10322" t="str">
        <v>+</v>
      </c>
      <c r="M10322" t="str">
        <v>=</v>
      </c>
      <c r="N10322">
        <f>J10322+L10322</f>
        <v>3</v>
      </c>
      <c r="O10322" t="str">
        <v>+</v>
      </c>
      <c r="P10322">
        <f>MAX(D10322-D10321,D10322-D10323)</f>
        <v>0</v>
      </c>
      <c r="Q10322" t="str">
        <v>x</v>
      </c>
      <c r="R10322">
        <f>IF(P10322&gt;0,2*(1-2*$F$19-1/2)*D10317/1000,0)</f>
        <v>0</v>
      </c>
      <c r="S10322" t="str">
        <v>)</v>
      </c>
      <c r="T10322" t="str">
        <v>x</v>
      </c>
      <c r="U10322">
        <f>0.006165*F10322^2</f>
        <v>1.041885</v>
      </c>
      <c r="X10322" t="str">
        <v>x</v>
      </c>
      <c r="Y10322">
        <f>D10320</f>
        <v>1</v>
      </c>
      <c r="Z10322" t="str">
        <v>=</v>
      </c>
      <c r="AA10322">
        <f>IF(AA10324=0,(D10322*N10322+P10322*R10322)*U10322*Y10322,0)</f>
        <v>0</v>
      </c>
    </row>
    <row r="10323">
      <c r="A10323" t="str">
        <f>A10314</f>
        <v>Lantai Atap</v>
      </c>
      <c r="B10323">
        <f>B10314</f>
        <v>3</v>
      </c>
      <c r="C10323" t="str">
        <v>Tul Atas Tumpuan</v>
      </c>
      <c r="D10323">
        <f>VLOOKUP(D10314,'Detail Balok'!$C$10:$AU$110,10,FALSE)</f>
        <v>2</v>
      </c>
      <c r="E10323" t="str">
        <v>D</v>
      </c>
      <c r="F10323">
        <f>VLOOKUP(D10314,'Detail Balok'!$C$10:$AU$110,12,FALSE)</f>
        <v>13</v>
      </c>
      <c r="I10323" t="str">
        <v>(</v>
      </c>
      <c r="J10323">
        <f>+D10316/4/1000</f>
        <v>1.5</v>
      </c>
      <c r="K10323" t="str">
        <v>+</v>
      </c>
      <c r="L10323">
        <f>MAX(VLOOKUP(F10323,N$6:P$15,3,FALSE)/1000,2/3*D10318/1000)+F$16*F10323/1000</f>
        <v>0.156</v>
      </c>
      <c r="M10323" t="str">
        <v>=</v>
      </c>
      <c r="N10323">
        <f>J10323+L10323</f>
        <v>1.656</v>
      </c>
      <c r="O10323" t="str">
        <v>+</v>
      </c>
      <c r="P10323">
        <f>D10323-D10322</f>
        <v>0</v>
      </c>
      <c r="Q10323" t="str">
        <v>x</v>
      </c>
      <c r="R10323">
        <f>IF(P10323&gt;0,$F$18*F10323/1000,0)</f>
        <v>0</v>
      </c>
      <c r="S10323" t="str">
        <v>)</v>
      </c>
      <c r="T10323" t="str">
        <v>x</v>
      </c>
      <c r="U10323">
        <f>0.006165*F10323^2</f>
        <v>1.041885</v>
      </c>
      <c r="X10323" t="str">
        <v>x</v>
      </c>
      <c r="Y10323">
        <f>D10320</f>
        <v>1</v>
      </c>
      <c r="Z10323" t="str">
        <v>=</v>
      </c>
      <c r="AA10323">
        <f>IF(AA10324=0,(D10323*N10323+P10323*R10323)*U10323*Y10323,0)</f>
        <v>0</v>
      </c>
    </row>
    <row r="10324">
      <c r="A10324" t="str">
        <f>A10314</f>
        <v>Lantai Atap</v>
      </c>
      <c r="B10324">
        <f>B10314</f>
        <v>3</v>
      </c>
      <c r="D10324">
        <f>IF(AND(D10321=D10322,D10322=D10323,D10321=D10323),D10321,0)</f>
        <v>2</v>
      </c>
      <c r="E10324" t="str">
        <v>D</v>
      </c>
      <c r="F10324">
        <f>IF(AND(F10321=F10322,F10321=F10323,F10322=F10323),F10321,0)</f>
        <v>13</v>
      </c>
      <c r="L10324" t="str">
        <v>Total panjang per balok</v>
      </c>
      <c r="M10324" t="str">
        <v>=</v>
      </c>
      <c r="N10324">
        <f>IF(AND(D10321=D10322,D10321=D10323,D10322=D10323,F10321=F10322,F10321=F10323,F10322=F10323),SUM(N10321:N10323),0)</f>
        <v>6.311999999999999</v>
      </c>
      <c r="O10324" t="str">
        <v>+</v>
      </c>
      <c r="P10324">
        <f>IF(N10324&gt;12,ROUNDDOWN(N10324/12,0),0)</f>
        <v>0</v>
      </c>
      <c r="Q10324" t="str">
        <v>x</v>
      </c>
      <c r="R10324">
        <f>IF(P10324&gt;0,MAX(VLOOKUP(F10324,$D$6:$G$15,3,FALSE),600),0)/1000</f>
        <v>0</v>
      </c>
      <c r="T10324" t="str">
        <v>x</v>
      </c>
      <c r="U10324">
        <f>U10323</f>
        <v>1.041885</v>
      </c>
      <c r="V10324" t="str">
        <v>x</v>
      </c>
      <c r="W10324">
        <f>D10324</f>
        <v>2</v>
      </c>
      <c r="X10324" t="str">
        <v>x</v>
      </c>
      <c r="Y10324">
        <f>Y10323</f>
        <v>1</v>
      </c>
      <c r="Z10324" t="str">
        <v>=</v>
      </c>
      <c r="AA10324">
        <f>(N10324+P10324*R10324/1000)*U10324*W10324*Y10324</f>
        <v>13.152756239999999</v>
      </c>
    </row>
    <row r="10326">
      <c r="A10326" t="str">
        <f>A10314</f>
        <v>Lantai Atap</v>
      </c>
      <c r="B10326">
        <f>B10314</f>
        <v>3</v>
      </c>
      <c r="C10326" t="str">
        <v>Tul Peminggang</v>
      </c>
      <c r="D10326">
        <f>VLOOKUP(D10314,'Detail Balok'!$C$10:$AU$110,13,FALSE)</f>
        <v>2</v>
      </c>
      <c r="E10326" t="str">
        <v>D</v>
      </c>
      <c r="F10326">
        <f>VLOOKUP(D10314,'Detail Balok'!$C$10:$AU$110,15,FALSE)</f>
        <v>8</v>
      </c>
      <c r="J10326">
        <f>+D10316/1000</f>
        <v>6</v>
      </c>
      <c r="K10326" t="str">
        <v>+</v>
      </c>
      <c r="L10326">
        <f>2*$F$16*F10326/1000</f>
        <v>0.192</v>
      </c>
      <c r="M10326" t="str">
        <v>=</v>
      </c>
      <c r="N10326">
        <f>J10326+L10326</f>
        <v>6.192</v>
      </c>
      <c r="O10326" t="str">
        <v>+</v>
      </c>
      <c r="P10326">
        <f>IF(N10326&gt;12,ROUNDDOWN(N10326/12,0),0)</f>
        <v>0</v>
      </c>
      <c r="Q10326" t="str">
        <v>x</v>
      </c>
      <c r="R10326">
        <f>IF(P10326&gt;0,MAX(VLOOKUP(F10326,$D$6:$G$15,3,FALSE),600),0)/1000</f>
        <v>0</v>
      </c>
      <c r="T10326" t="str">
        <v>x</v>
      </c>
      <c r="U10326">
        <f>0.006165*F10326^2</f>
        <v>0.39456</v>
      </c>
      <c r="V10326" t="str">
        <v>x</v>
      </c>
      <c r="W10326">
        <f>+D10326</f>
        <v>2</v>
      </c>
      <c r="X10326" t="str">
        <v>x</v>
      </c>
      <c r="Y10326">
        <f>D10320</f>
        <v>1</v>
      </c>
      <c r="Z10326" t="str">
        <v>=</v>
      </c>
      <c r="AA10326">
        <f>(N10326+P10326*R10326/1000)*U10326*W10326*Y10326</f>
        <v>4.88623104</v>
      </c>
    </row>
    <row r="10329">
      <c r="A10329" t="str">
        <f>A10314</f>
        <v>Lantai Atap</v>
      </c>
      <c r="B10329">
        <f>B10314</f>
        <v>3</v>
      </c>
      <c r="C10329" t="str">
        <v>Tul Bawah Tumpuan</v>
      </c>
      <c r="D10329">
        <f>VLOOKUP(D10314,'Detail Balok'!$C$10:$AU$110,22,FALSE)</f>
        <v>2</v>
      </c>
      <c r="E10329" t="str">
        <v>D</v>
      </c>
      <c r="F10329">
        <f>VLOOKUP(D10314,'Detail Balok'!$C$10:$AU$110,24,FALSE)</f>
        <v>13</v>
      </c>
      <c r="I10329" t="str">
        <v>(</v>
      </c>
      <c r="J10329">
        <f>+J10321</f>
        <v>1.5</v>
      </c>
      <c r="K10329" t="str">
        <v>+</v>
      </c>
      <c r="L10329">
        <f>MAX(VLOOKUP(F10329,N$6:P$15,3,FALSE)/1000,2/3*D10319/1000)+F$16*F10329/1000</f>
        <v>0.156</v>
      </c>
      <c r="M10329" t="str">
        <v>=</v>
      </c>
      <c r="N10329">
        <f>J10329+L10329</f>
        <v>1.656</v>
      </c>
      <c r="O10329" t="str">
        <v>+</v>
      </c>
      <c r="P10329">
        <f>D10329-D10330</f>
        <v>0</v>
      </c>
      <c r="Q10329" t="str">
        <v>x</v>
      </c>
      <c r="R10329">
        <f>IF(P10329&gt;0,$F$18*F10329/1000,0)</f>
        <v>0</v>
      </c>
      <c r="S10329" t="str">
        <v>)</v>
      </c>
      <c r="T10329" t="str">
        <v>x</v>
      </c>
      <c r="U10329">
        <f>0.006165*F10329^2</f>
        <v>1.041885</v>
      </c>
      <c r="X10329" t="str">
        <v>x</v>
      </c>
      <c r="Y10329">
        <f>D10320</f>
        <v>1</v>
      </c>
      <c r="Z10329" t="str">
        <v>=</v>
      </c>
      <c r="AA10329">
        <f>IF(AA10332=0,(D10329*N10329+P10329*R10329)*U10329*Y10329,0)</f>
        <v>0</v>
      </c>
    </row>
    <row r="10330">
      <c r="A10330" t="str">
        <f>A10314</f>
        <v>Lantai Atap</v>
      </c>
      <c r="B10330">
        <f>B10314</f>
        <v>3</v>
      </c>
      <c r="C10330" t="str">
        <v>Tul Bawah Lapangan</v>
      </c>
      <c r="D10330">
        <f>VLOOKUP(D10314,'Detail Balok'!$C$10:$AU$110,25,FALSE)</f>
        <v>2</v>
      </c>
      <c r="E10330" t="str">
        <v>D</v>
      </c>
      <c r="F10330">
        <f>VLOOKUP(D10314,'Detail Balok'!$C$10:$AU$110,27,FALSE)</f>
        <v>13</v>
      </c>
      <c r="I10330" t="str">
        <v>(</v>
      </c>
      <c r="J10330">
        <f>+J10322</f>
        <v>3</v>
      </c>
      <c r="K10330" t="str">
        <v>+</v>
      </c>
      <c r="M10330" t="str">
        <v>=</v>
      </c>
      <c r="N10330">
        <f>J10330+L10330</f>
        <v>3</v>
      </c>
      <c r="O10330" t="str">
        <v>+</v>
      </c>
      <c r="P10330">
        <f>MAX(D10330-D10329,D10330-D10331)</f>
        <v>0</v>
      </c>
      <c r="Q10330" t="str">
        <v>x</v>
      </c>
      <c r="R10330">
        <f>IF(P10330&gt;0,2*(1-2*$F$19-1/2)*D10317/1000,0)</f>
        <v>0</v>
      </c>
      <c r="S10330" t="str">
        <v>)</v>
      </c>
      <c r="T10330" t="str">
        <v>x</v>
      </c>
      <c r="U10330">
        <f>0.006165*F10330^2</f>
        <v>1.041885</v>
      </c>
      <c r="X10330" t="str">
        <v>x</v>
      </c>
      <c r="Y10330">
        <f>D10320</f>
        <v>1</v>
      </c>
      <c r="Z10330" t="str">
        <v>=</v>
      </c>
      <c r="AA10330">
        <f>IF(AA10332=0,(D10330*N10330+P10330*R10330)*U10330*Y10330,0)</f>
        <v>0</v>
      </c>
    </row>
    <row r="10331">
      <c r="A10331" t="str">
        <f>A10314</f>
        <v>Lantai Atap</v>
      </c>
      <c r="B10331">
        <f>B10314</f>
        <v>3</v>
      </c>
      <c r="C10331" t="str">
        <v>Tul Bawah Tumpuan</v>
      </c>
      <c r="D10331">
        <f>VLOOKUP(D10314,'Detail Balok'!$C$10:$AU$110,28,FALSE)</f>
        <v>2</v>
      </c>
      <c r="E10331" t="str">
        <v>D</v>
      </c>
      <c r="F10331">
        <f>VLOOKUP(D10314,'Detail Balok'!$C$10:$AU$110,30,FALSE)</f>
        <v>13</v>
      </c>
      <c r="I10331" t="str">
        <v>(</v>
      </c>
      <c r="J10331">
        <f>+J10323</f>
        <v>1.5</v>
      </c>
      <c r="K10331" t="str">
        <v>+</v>
      </c>
      <c r="L10331">
        <f>MAX(VLOOKUP(F10331,N$6:P$15,3,FALSE)/1000,2/3*D10319/1000)+F$16*F10331/1000</f>
        <v>0.156</v>
      </c>
      <c r="M10331" t="str">
        <v>=</v>
      </c>
      <c r="N10331">
        <f>J10331+L10331</f>
        <v>1.656</v>
      </c>
      <c r="O10331" t="str">
        <v>+</v>
      </c>
      <c r="P10331">
        <f>D10331-D10330</f>
        <v>0</v>
      </c>
      <c r="Q10331" t="str">
        <v>x</v>
      </c>
      <c r="R10331">
        <f>IF(P10331&gt;0,$F$18*F10331/1000,0)</f>
        <v>0</v>
      </c>
      <c r="S10331" t="str">
        <v>)</v>
      </c>
      <c r="T10331" t="str">
        <v>x</v>
      </c>
      <c r="U10331">
        <f>0.006165*F10331^2</f>
        <v>1.041885</v>
      </c>
      <c r="X10331" t="str">
        <v>x</v>
      </c>
      <c r="Y10331">
        <f>D10320</f>
        <v>1</v>
      </c>
      <c r="Z10331" t="str">
        <v>=</v>
      </c>
      <c r="AA10331">
        <f>IF(AA10332=0,(D10331*N10331+P10331*R10331)*U10331*Y10331,0)</f>
        <v>0</v>
      </c>
    </row>
    <row r="10332">
      <c r="A10332" t="str">
        <f>A10314</f>
        <v>Lantai Atap</v>
      </c>
      <c r="B10332">
        <f>B10314</f>
        <v>3</v>
      </c>
      <c r="D10332">
        <f>IF(AND(D10329=D10330,D10330=D10331,D10329=D10331),D10329,0)</f>
        <v>2</v>
      </c>
      <c r="E10332" t="str">
        <v>D</v>
      </c>
      <c r="F10332">
        <f>IF(AND(F10329=F10330,F10329=F10331,F10330=F10331),F10329,0)</f>
        <v>13</v>
      </c>
      <c r="L10332" t="str">
        <v>Total panjang per balok</v>
      </c>
      <c r="M10332" t="str">
        <v>=</v>
      </c>
      <c r="N10332">
        <f>IF(AND(D10329=D10330,D10329=D10331,D10330=D10331,F10329=F10330,F10329=F10331,F10330=F10331),SUM(N10329:N10331),0)</f>
        <v>6.311999999999999</v>
      </c>
      <c r="O10332" t="str">
        <v>+</v>
      </c>
      <c r="P10332">
        <f>IF(N10332&gt;12,ROUNDDOWN(N10332/12,0),0)</f>
        <v>0</v>
      </c>
      <c r="Q10332" t="str">
        <v>x</v>
      </c>
      <c r="R10332">
        <f>IF(P10332&gt;0,MAX(VLOOKUP(F10332,$D$6:$G$15,3,FALSE),600),0)/1000</f>
        <v>0</v>
      </c>
      <c r="T10332" t="str">
        <v>x</v>
      </c>
      <c r="U10332">
        <f>U10331</f>
        <v>1.041885</v>
      </c>
      <c r="V10332" t="str">
        <v>x</v>
      </c>
      <c r="W10332">
        <f>D10332</f>
        <v>2</v>
      </c>
      <c r="X10332" t="str">
        <v>x</v>
      </c>
      <c r="Y10332">
        <f>Y10331</f>
        <v>1</v>
      </c>
      <c r="Z10332" t="str">
        <v>=</v>
      </c>
      <c r="AA10332">
        <f>(N10332+P10332*R10332/1000)*U10332*W10332*Y10332</f>
        <v>13.152756239999999</v>
      </c>
    </row>
    <row r="10334">
      <c r="A10334" t="str">
        <f>A10314</f>
        <v>Lantai Atap</v>
      </c>
      <c r="B10334">
        <f>B10314</f>
        <v>3</v>
      </c>
      <c r="C10334" t="str">
        <v>Sengkang Tumpuan</v>
      </c>
      <c r="D10334">
        <f>VLOOKUP(D10314,'Detail Balok'!$C$10:$AU$110,31,FALSE)</f>
        <v>0</v>
      </c>
      <c r="E10334" t="str">
        <v>D</v>
      </c>
      <c r="F10334">
        <f>VLOOKUP(D10314,'Detail Balok'!$C$10:$AU$110,33,FALSE)</f>
        <v>8</v>
      </c>
      <c r="G10334" t="str">
        <v>-</v>
      </c>
      <c r="H10334">
        <f>VLOOKUP(D10314,'Detail Balok'!$C$10:$AU$110,35,FALSE)</f>
        <v>100</v>
      </c>
      <c r="J10334">
        <f>(IF(D10334=0,(2*(D10315+G10315))-(F$5*8),IF(D10334=3,(2*(D10315+G10315))-(F$5*8)+(G10315-2*F$5),IF(D10334=4,(2*(D10315+G10315))-(F$5*8)+2*(G10315-2*F$5)))))/1000</f>
        <v>0.98</v>
      </c>
      <c r="K10334" t="str">
        <v>+</v>
      </c>
      <c r="L10334">
        <f>IF(D10334=0,2*MAX(6*F10334,75),(D10334-1)*2*MAX(6*F10334,75))/1000</f>
        <v>0.15</v>
      </c>
      <c r="M10334" t="str">
        <v>=</v>
      </c>
      <c r="N10334">
        <f>J10334+L10334</f>
        <v>1.13</v>
      </c>
      <c r="T10334" t="str">
        <v>x</v>
      </c>
      <c r="U10334">
        <f>0.006165*F10334^2</f>
        <v>0.39456</v>
      </c>
      <c r="V10334" t="str">
        <v>x</v>
      </c>
      <c r="W10334">
        <f>IF(D10317&gt;4*G10315,ROUND(MAX(D10317/4,2*G10315)/H10334,0)+1,ROUND(D10317/H10334,0)+1)</f>
        <v>16</v>
      </c>
      <c r="X10334" t="str">
        <v>x</v>
      </c>
      <c r="Y10334">
        <f>D10320</f>
        <v>1</v>
      </c>
      <c r="Z10334" t="str">
        <v>=</v>
      </c>
      <c r="AA10334">
        <f>N10334*U10334*W10334*Y10334</f>
        <v>7.1336448</v>
      </c>
    </row>
    <row r="10335">
      <c r="A10335" t="str">
        <f>A10314</f>
        <v>Lantai Atap</v>
      </c>
      <c r="B10335">
        <f>B10314</f>
        <v>3</v>
      </c>
      <c r="C10335" t="str">
        <v>Sengkang Lapangan</v>
      </c>
      <c r="D10335">
        <f>VLOOKUP(D10314,'Detail Balok'!$C$10:$AU$110,36,FALSE)</f>
        <v>0</v>
      </c>
      <c r="E10335" t="str">
        <v>D</v>
      </c>
      <c r="F10335">
        <f>VLOOKUP(D10314,'Detail Balok'!$C$10:$AU$110,38,FALSE)</f>
        <v>8</v>
      </c>
      <c r="G10335" t="str">
        <v>-</v>
      </c>
      <c r="H10335">
        <f>VLOOKUP(D10314,'Detail Balok'!$C$10:$AU$110,40,FALSE)</f>
        <v>200</v>
      </c>
      <c r="J10335">
        <f>(IF(D10335=0,(2*(D10315+G10315))-(F$5*8),IF(D10335=3,(2*(D10315+G10315))-(F$5*8)+(G10315-2*F$5),IF(D10335=4,(2*(D10315+G10315))-(F$5*8)+2*(G10315-2*F$5)))))/1000</f>
        <v>0.98</v>
      </c>
      <c r="K10335" t="str">
        <v>+</v>
      </c>
      <c r="L10335">
        <f>IF(D10335=0,2*MAX(6*F10335,75),(D10335-1)*2*MAX(6*F10335,75))/1000</f>
        <v>0.15</v>
      </c>
      <c r="M10335" t="str">
        <v>=</v>
      </c>
      <c r="N10335">
        <f>J10335+L10335</f>
        <v>1.13</v>
      </c>
      <c r="T10335" t="str">
        <v>x</v>
      </c>
      <c r="U10335">
        <f>0.006165*F10335^2</f>
        <v>0.39456</v>
      </c>
      <c r="V10335" t="str">
        <v>x</v>
      </c>
      <c r="W10335">
        <f>IF(D10317-MAX(D10317/4,2*G10315)*2&gt;0,ROUND((D10317-MAX(D10317/4,2*G10315)*2)/H10335,0),0)</f>
        <v>15</v>
      </c>
      <c r="X10335" t="str">
        <v>x</v>
      </c>
      <c r="Y10335">
        <f>D10320</f>
        <v>1</v>
      </c>
      <c r="Z10335" t="str">
        <v>=</v>
      </c>
      <c r="AA10335">
        <f>N10335*U10335*W10335*Y10335</f>
        <v>6.687792</v>
      </c>
    </row>
    <row r="10336">
      <c r="A10336" t="str">
        <f>A10314</f>
        <v>Lantai Atap</v>
      </c>
      <c r="B10336">
        <f>B10314</f>
        <v>3</v>
      </c>
      <c r="C10336" t="str">
        <v>Sengkang Tumpuan</v>
      </c>
      <c r="D10336">
        <f>VLOOKUP(D10314,'Detail Balok'!$C$10:$AU$110,41,FALSE)</f>
        <v>0</v>
      </c>
      <c r="E10336" t="str">
        <v>D</v>
      </c>
      <c r="F10336">
        <f>VLOOKUP(D10314,'Detail Balok'!$C$10:$AU$110,43,FALSE)</f>
        <v>8</v>
      </c>
      <c r="G10336" t="str">
        <v>-</v>
      </c>
      <c r="H10336">
        <f>VLOOKUP(D10314,'Detail Balok'!$C$10:$AU$110,45,FALSE)</f>
        <v>100</v>
      </c>
      <c r="J10336">
        <f>(IF(D10336=0,(2*(D10315+G10315))-(F$5*8),IF(D10336=3,(2*(D10315+G10315))-(F$5*8)+(G10315-2*F$5),IF(D10336=4,(2*(D10315+G10315))-(F$5*8)+2*(G10315-2*F$5)))))/1000</f>
        <v>0.98</v>
      </c>
      <c r="K10336" t="str">
        <v>+</v>
      </c>
      <c r="L10336">
        <f>IF(D10336=0,2*MAX(6*F10336,75),(D10336-1)*2*MAX(6*F10336,75))/1000</f>
        <v>0.15</v>
      </c>
      <c r="M10336" t="str">
        <v>=</v>
      </c>
      <c r="N10336">
        <f>J10336+L10336</f>
        <v>1.13</v>
      </c>
      <c r="T10336" t="str">
        <v>x</v>
      </c>
      <c r="U10336">
        <f>0.006165*F10336^2</f>
        <v>0.39456</v>
      </c>
      <c r="V10336" t="str">
        <v>x</v>
      </c>
      <c r="W10336">
        <f>IF(D10317&gt;4*G10315,ROUND(MAX(D10317/4,2*G10315)/H10336,0)+1,0)</f>
        <v>16</v>
      </c>
      <c r="X10336" t="str">
        <v>x</v>
      </c>
      <c r="Y10336">
        <f>D10320</f>
        <v>1</v>
      </c>
      <c r="Z10336" t="str">
        <v>=</v>
      </c>
      <c r="AA10336">
        <f>N10336*U10336*W10336*Y10336</f>
        <v>7.1336448</v>
      </c>
    </row>
    <row r="10338">
      <c r="A10338" t="str">
        <f>A10314</f>
        <v>Lantai Atap</v>
      </c>
      <c r="B10338">
        <f>B10314</f>
        <v>3</v>
      </c>
      <c r="C10338" t="str">
        <v>Kait Horizontal Tump.</v>
      </c>
      <c r="D10338">
        <f>VLOOKUP(D10314,'Detail Balok'!$C$10:$BJ$110,46,FALSE)</f>
        <v>0</v>
      </c>
      <c r="E10338" t="str">
        <v>D</v>
      </c>
      <c r="F10338">
        <f>VLOOKUP(D10314,'Detail Balok'!$C$10:$BJ$110,48,FALSE)</f>
        <v>0</v>
      </c>
      <c r="G10338" t="str">
        <v>-</v>
      </c>
      <c r="H10338">
        <f>VLOOKUP(D10314,'Detail Balok'!$C$10:$BJ$110,50,FALSE)</f>
        <v>100</v>
      </c>
      <c r="J10338">
        <f>(D10315-2*F$5)/1000</f>
        <v>0.12</v>
      </c>
      <c r="K10338" t="str">
        <v>+</v>
      </c>
      <c r="L10338">
        <f>IF(D10338=0,2*MAX(6*F10338,75),(D10338-1)*2*MAX(6*F10338,75))/1000</f>
        <v>0.15</v>
      </c>
      <c r="M10338" t="str">
        <v>=</v>
      </c>
      <c r="N10338">
        <f>J10338+L10338</f>
        <v>0.27</v>
      </c>
      <c r="T10338" t="str">
        <v>x</v>
      </c>
      <c r="U10338">
        <f>0.006165*F10338^2</f>
        <v>0</v>
      </c>
      <c r="V10338" t="str">
        <v>x</v>
      </c>
      <c r="W10338">
        <f>W10334</f>
        <v>16</v>
      </c>
      <c r="X10338" t="str">
        <v>x</v>
      </c>
      <c r="Y10338">
        <f>D10324</f>
        <v>2</v>
      </c>
      <c r="Z10338" t="str">
        <v>=</v>
      </c>
      <c r="AA10338">
        <f>N10338*U10338*W10338*Y10338</f>
        <v>0</v>
      </c>
    </row>
    <row r="10339">
      <c r="A10339" t="str">
        <f>A10314</f>
        <v>Lantai Atap</v>
      </c>
      <c r="B10339">
        <f>B10314</f>
        <v>3</v>
      </c>
      <c r="C10339" t="str">
        <v>Kait Horizontal Lap.</v>
      </c>
      <c r="D10339">
        <f>VLOOKUP(D10314,'Detail Balok'!$C$10:$BJ$110,51,FALSE)</f>
        <v>0</v>
      </c>
      <c r="E10339" t="str">
        <v>D</v>
      </c>
      <c r="F10339">
        <f>VLOOKUP(D10314,'Detail Balok'!$C$10:$BJ$110,53,FALSE)</f>
        <v>0</v>
      </c>
      <c r="G10339" t="str">
        <v>-</v>
      </c>
      <c r="H10339">
        <f>VLOOKUP(D10314,'Detail Balok'!$C$10:$BJ$110,55,FALSE)</f>
        <v>100</v>
      </c>
      <c r="J10339">
        <f>(D10315-2*F$5)/1000</f>
        <v>0.12</v>
      </c>
      <c r="K10339" t="str">
        <v>+</v>
      </c>
      <c r="L10339">
        <f>IF(D10339=0,2*MAX(6*F10339,75),(D10339-1)*2*MAX(6*F10339,75))/1000</f>
        <v>0.15</v>
      </c>
      <c r="M10339" t="str">
        <v>=</v>
      </c>
      <c r="N10339">
        <f>J10339+L10339</f>
        <v>0.27</v>
      </c>
      <c r="T10339" t="str">
        <v>x</v>
      </c>
      <c r="U10339">
        <f>0.006165*F10339^2</f>
        <v>0</v>
      </c>
      <c r="V10339" t="str">
        <v>x</v>
      </c>
      <c r="W10339">
        <f>W10335</f>
        <v>15</v>
      </c>
      <c r="X10339" t="str">
        <v>x</v>
      </c>
      <c r="Y10339">
        <f>D10324</f>
        <v>2</v>
      </c>
      <c r="Z10339" t="str">
        <v>=</v>
      </c>
      <c r="AA10339">
        <f>N10339*U10339*W10339*Y10339</f>
        <v>0</v>
      </c>
    </row>
    <row r="10340">
      <c r="A10340" t="str">
        <f>A10314</f>
        <v>Lantai Atap</v>
      </c>
      <c r="B10340">
        <f>B10314</f>
        <v>3</v>
      </c>
      <c r="C10340" t="str">
        <v>Kait Horizontal Tump.</v>
      </c>
      <c r="D10340">
        <f>VLOOKUP(D10314,'Detail Balok'!$C$10:$BJ$110,56,FALSE)</f>
        <v>0</v>
      </c>
      <c r="E10340" t="str">
        <v>D</v>
      </c>
      <c r="F10340">
        <f>VLOOKUP(D10314,'Detail Balok'!$C$10:$BJ$110,58,FALSE)</f>
        <v>0</v>
      </c>
      <c r="G10340" t="str">
        <v>-</v>
      </c>
      <c r="H10340">
        <f>VLOOKUP(D10314,'Detail Balok'!$C$10:$BJ$110,60,FALSE)</f>
        <v>100</v>
      </c>
      <c r="J10340">
        <f>(D10315-2*F$5)/1000</f>
        <v>0.12</v>
      </c>
      <c r="K10340" t="str">
        <v>+</v>
      </c>
      <c r="L10340">
        <f>IF(D10340=0,2*MAX(6*F10340,75),(D10340-1)*2*MAX(6*F10340,75))/1000</f>
        <v>0.15</v>
      </c>
      <c r="M10340" t="str">
        <v>=</v>
      </c>
      <c r="N10340">
        <f>J10340+L10340</f>
        <v>0.27</v>
      </c>
      <c r="T10340" t="str">
        <v>x</v>
      </c>
      <c r="U10340">
        <f>0.006165*F10340^2</f>
        <v>0</v>
      </c>
      <c r="V10340" t="str">
        <v>x</v>
      </c>
      <c r="W10340">
        <f>W10336</f>
        <v>16</v>
      </c>
      <c r="X10340" t="str">
        <v>x</v>
      </c>
      <c r="Y10340">
        <f>D10324</f>
        <v>2</v>
      </c>
      <c r="Z10340" t="str">
        <v>=</v>
      </c>
      <c r="AA10340">
        <f>N10340*U10340*W10340*Y10340</f>
        <v>0</v>
      </c>
    </row>
    <row r="10344">
      <c r="A10344" t="str">
        <f>A10314</f>
        <v>Lantai Atap</v>
      </c>
      <c r="B10344">
        <f>B10314+1</f>
        <v>4</v>
      </c>
      <c r="C10344" t="str">
        <f>CONCATENATE(A10344," no. ",B10344)</f>
        <v>Lantai Atap no. 4</v>
      </c>
      <c r="D10344" t="str">
        <f>VLOOKUP(C10344,'Data Panjang Balok'!$C$9:$N$424,2,FALSE)</f>
        <v>B24-1</v>
      </c>
    </row>
    <row r="10345">
      <c r="C10345" t="str">
        <v>Dimensi</v>
      </c>
      <c r="D10345">
        <f>VLOOKUP(D10344,'Detail Balok'!$C$10:$AU$110,2,FALSE)</f>
        <v>200</v>
      </c>
      <c r="F10345" t="str">
        <v>x</v>
      </c>
      <c r="G10345">
        <f>VLOOKUP(D10344,'Detail Balok'!$C$10:$AU$110,3,FALSE)</f>
        <v>400</v>
      </c>
    </row>
    <row r="10346">
      <c r="C10346" t="str">
        <v>Panjang as ke as</v>
      </c>
      <c r="D10346">
        <f>VLOOKUP(C10344,'Data Panjang Balok'!$C$9:$N$424,4,FALSE)</f>
        <v>2200</v>
      </c>
    </row>
    <row r="10347">
      <c r="C10347" t="str">
        <v>Panjang netto</v>
      </c>
      <c r="D10347">
        <f>VLOOKUP(C10344,'Data Panjang Balok'!$C$9:$N$424,7,FALSE)</f>
        <v>2200</v>
      </c>
    </row>
    <row r="10348">
      <c r="C10348" t="str">
        <v>Kolom / balok kiri</v>
      </c>
      <c r="D10348">
        <f>VLOOKUP(C10344,'Data Panjang Balok'!$C$9:$N$424,9,FALSE)</f>
        <v>0</v>
      </c>
    </row>
    <row r="10349">
      <c r="C10349" t="str">
        <v>Kolom / balok kanan</v>
      </c>
      <c r="D10349">
        <f>VLOOKUP(C10344,'Data Panjang Balok'!$C$9:$N$424,10,FALSE)</f>
        <v>0</v>
      </c>
    </row>
    <row r="10350">
      <c r="C10350" t="str">
        <v>Jumlah</v>
      </c>
      <c r="D10350">
        <f>VLOOKUP(C10344,'Data Panjang Balok'!$C$9:$N$424,3,FALSE)</f>
        <v>1</v>
      </c>
    </row>
    <row r="10351">
      <c r="A10351" t="str">
        <f>A10344</f>
        <v>Lantai Atap</v>
      </c>
      <c r="B10351">
        <f>B10344</f>
        <v>4</v>
      </c>
      <c r="C10351" t="str">
        <v>Tul Atas Tumpuan</v>
      </c>
      <c r="D10351">
        <f>VLOOKUP(D10344,'Detail Balok'!$C$10:$AU$110,4,FALSE)</f>
        <v>2</v>
      </c>
      <c r="E10351" t="str">
        <v>D</v>
      </c>
      <c r="F10351">
        <f>VLOOKUP(D10344,'Detail Balok'!$C$10:$AU$110,6,FALSE)</f>
        <v>13</v>
      </c>
      <c r="I10351" t="str">
        <v>(</v>
      </c>
      <c r="J10351">
        <f>+D10346/4/1000</f>
        <v>0.55</v>
      </c>
      <c r="K10351" t="str">
        <v>+</v>
      </c>
      <c r="L10351">
        <f>MAX(VLOOKUP(F10351,N$6:P$15,3,FALSE)/1000,2/3*D10348/1000)+F$16*F10351/1000</f>
        <v>0.156</v>
      </c>
      <c r="M10351" t="str">
        <v>=</v>
      </c>
      <c r="N10351">
        <f>J10351+L10351</f>
        <v>0.7060000000000001</v>
      </c>
      <c r="O10351" t="str">
        <v>+</v>
      </c>
      <c r="P10351">
        <f>D10351-D10352</f>
        <v>0</v>
      </c>
      <c r="Q10351" t="str">
        <v>x</v>
      </c>
      <c r="R10351">
        <f>IF(P10351&gt;0,$F$18*F10351/1000,0)</f>
        <v>0</v>
      </c>
      <c r="S10351" t="str">
        <v>)</v>
      </c>
      <c r="T10351" t="str">
        <v>x</v>
      </c>
      <c r="U10351">
        <f>0.006165*F10351^2</f>
        <v>1.041885</v>
      </c>
      <c r="X10351" t="str">
        <v>x</v>
      </c>
      <c r="Y10351">
        <f>D10350</f>
        <v>1</v>
      </c>
      <c r="Z10351" t="str">
        <v>=</v>
      </c>
      <c r="AA10351">
        <f>IF(AA10354=0,(D10351*N10351+P10351*R10351)*U10351*Y10351,0)</f>
        <v>0</v>
      </c>
    </row>
    <row r="10352">
      <c r="A10352" t="str">
        <f>A10344</f>
        <v>Lantai Atap</v>
      </c>
      <c r="B10352">
        <f>B10344</f>
        <v>4</v>
      </c>
      <c r="C10352" t="str">
        <v>Tul Atas Lapangan</v>
      </c>
      <c r="D10352">
        <f>VLOOKUP(D10344,'Detail Balok'!$C$10:$AU$110,7,FALSE)</f>
        <v>2</v>
      </c>
      <c r="E10352" t="str">
        <v>D</v>
      </c>
      <c r="F10352">
        <f>VLOOKUP(D10344,'Detail Balok'!$C$10:$AU$110,9,FALSE)</f>
        <v>13</v>
      </c>
      <c r="I10352" t="str">
        <v>(</v>
      </c>
      <c r="J10352">
        <f>+D10346/2/1000</f>
        <v>1.1</v>
      </c>
      <c r="K10352" t="str">
        <v>+</v>
      </c>
      <c r="M10352" t="str">
        <v>=</v>
      </c>
      <c r="N10352">
        <f>J10352+L10352</f>
        <v>1.1</v>
      </c>
      <c r="O10352" t="str">
        <v>+</v>
      </c>
      <c r="P10352">
        <f>MAX(D10352-D10351,D10352-D10353)</f>
        <v>0</v>
      </c>
      <c r="Q10352" t="str">
        <v>x</v>
      </c>
      <c r="R10352">
        <f>IF(P10352&gt;0,2*(1-2*$F$19-1/2)*D10347/1000,0)</f>
        <v>0</v>
      </c>
      <c r="S10352" t="str">
        <v>)</v>
      </c>
      <c r="T10352" t="str">
        <v>x</v>
      </c>
      <c r="U10352">
        <f>0.006165*F10352^2</f>
        <v>1.041885</v>
      </c>
      <c r="X10352" t="str">
        <v>x</v>
      </c>
      <c r="Y10352">
        <f>D10350</f>
        <v>1</v>
      </c>
      <c r="Z10352" t="str">
        <v>=</v>
      </c>
      <c r="AA10352">
        <f>IF(AA10354=0,(D10352*N10352+P10352*R10352)*U10352*Y10352,0)</f>
        <v>0</v>
      </c>
    </row>
    <row r="10353">
      <c r="A10353" t="str">
        <f>A10344</f>
        <v>Lantai Atap</v>
      </c>
      <c r="B10353">
        <f>B10344</f>
        <v>4</v>
      </c>
      <c r="C10353" t="str">
        <v>Tul Atas Tumpuan</v>
      </c>
      <c r="D10353">
        <f>VLOOKUP(D10344,'Detail Balok'!$C$10:$AU$110,10,FALSE)</f>
        <v>2</v>
      </c>
      <c r="E10353" t="str">
        <v>D</v>
      </c>
      <c r="F10353">
        <f>VLOOKUP(D10344,'Detail Balok'!$C$10:$AU$110,12,FALSE)</f>
        <v>13</v>
      </c>
      <c r="I10353" t="str">
        <v>(</v>
      </c>
      <c r="J10353">
        <f>+D10346/4/1000</f>
        <v>0.55</v>
      </c>
      <c r="K10353" t="str">
        <v>+</v>
      </c>
      <c r="L10353">
        <f>MAX(VLOOKUP(F10353,N$6:P$15,3,FALSE)/1000,2/3*D10348/1000)+F$16*F10353/1000</f>
        <v>0.156</v>
      </c>
      <c r="M10353" t="str">
        <v>=</v>
      </c>
      <c r="N10353">
        <f>J10353+L10353</f>
        <v>0.7060000000000001</v>
      </c>
      <c r="O10353" t="str">
        <v>+</v>
      </c>
      <c r="P10353">
        <f>D10353-D10352</f>
        <v>0</v>
      </c>
      <c r="Q10353" t="str">
        <v>x</v>
      </c>
      <c r="R10353">
        <f>IF(P10353&gt;0,$F$18*F10353/1000,0)</f>
        <v>0</v>
      </c>
      <c r="S10353" t="str">
        <v>)</v>
      </c>
      <c r="T10353" t="str">
        <v>x</v>
      </c>
      <c r="U10353">
        <f>0.006165*F10353^2</f>
        <v>1.041885</v>
      </c>
      <c r="X10353" t="str">
        <v>x</v>
      </c>
      <c r="Y10353">
        <f>D10350</f>
        <v>1</v>
      </c>
      <c r="Z10353" t="str">
        <v>=</v>
      </c>
      <c r="AA10353">
        <f>IF(AA10354=0,(D10353*N10353+P10353*R10353)*U10353*Y10353,0)</f>
        <v>0</v>
      </c>
    </row>
    <row r="10354">
      <c r="A10354" t="str">
        <f>A10344</f>
        <v>Lantai Atap</v>
      </c>
      <c r="B10354">
        <f>B10344</f>
        <v>4</v>
      </c>
      <c r="D10354">
        <f>IF(AND(D10351=D10352,D10352=D10353,D10351=D10353),D10351,0)</f>
        <v>2</v>
      </c>
      <c r="E10354" t="str">
        <v>D</v>
      </c>
      <c r="F10354">
        <f>IF(AND(F10351=F10352,F10351=F10353,F10352=F10353),F10351,0)</f>
        <v>13</v>
      </c>
      <c r="L10354" t="str">
        <v>Total panjang per balok</v>
      </c>
      <c r="M10354" t="str">
        <v>=</v>
      </c>
      <c r="N10354">
        <f>IF(AND(D10351=D10352,D10351=D10353,D10352=D10353,F10351=F10352,F10351=F10353,F10352=F10353),SUM(N10351:N10353),0)</f>
        <v>2.512</v>
      </c>
      <c r="O10354" t="str">
        <v>+</v>
      </c>
      <c r="P10354">
        <f>IF(N10354&gt;12,ROUNDDOWN(N10354/12,0),0)</f>
        <v>0</v>
      </c>
      <c r="Q10354" t="str">
        <v>x</v>
      </c>
      <c r="R10354">
        <f>IF(P10354&gt;0,MAX(VLOOKUP(F10354,$D$6:$G$15,3,FALSE),600),0)/1000</f>
        <v>0</v>
      </c>
      <c r="T10354" t="str">
        <v>x</v>
      </c>
      <c r="U10354">
        <f>U10353</f>
        <v>1.041885</v>
      </c>
      <c r="V10354" t="str">
        <v>x</v>
      </c>
      <c r="W10354">
        <f>D10354</f>
        <v>2</v>
      </c>
      <c r="X10354" t="str">
        <v>x</v>
      </c>
      <c r="Y10354">
        <f>Y10353</f>
        <v>1</v>
      </c>
      <c r="Z10354" t="str">
        <v>=</v>
      </c>
      <c r="AA10354">
        <f>(N10354+P10354*R10354/1000)*U10354*W10354*Y10354</f>
        <v>5.23443024</v>
      </c>
    </row>
    <row r="10356">
      <c r="A10356" t="str">
        <f>A10344</f>
        <v>Lantai Atap</v>
      </c>
      <c r="B10356">
        <f>B10344</f>
        <v>4</v>
      </c>
      <c r="C10356" t="str">
        <v>Tul Peminggang</v>
      </c>
      <c r="D10356">
        <f>VLOOKUP(D10344,'Detail Balok'!$C$10:$AU$110,13,FALSE)</f>
        <v>0</v>
      </c>
      <c r="E10356" t="str">
        <v>D</v>
      </c>
      <c r="F10356">
        <f>VLOOKUP(D10344,'Detail Balok'!$C$10:$AU$110,15,FALSE)</f>
        <v>6</v>
      </c>
      <c r="J10356">
        <f>+D10346/1000</f>
        <v>2.2</v>
      </c>
      <c r="K10356" t="str">
        <v>+</v>
      </c>
      <c r="L10356">
        <f>2*$F$16*F10356/1000</f>
        <v>0.144</v>
      </c>
      <c r="M10356" t="str">
        <v>=</v>
      </c>
      <c r="N10356">
        <f>J10356+L10356</f>
        <v>2.3440000000000003</v>
      </c>
      <c r="O10356" t="str">
        <v>+</v>
      </c>
      <c r="P10356">
        <f>IF(N10356&gt;12,ROUNDDOWN(N10356/12,0),0)</f>
        <v>0</v>
      </c>
      <c r="Q10356" t="str">
        <v>x</v>
      </c>
      <c r="R10356">
        <f>IF(P10356&gt;0,MAX(VLOOKUP(F10356,$D$6:$G$15,3,FALSE),600),0)/1000</f>
        <v>0</v>
      </c>
      <c r="T10356" t="str">
        <v>x</v>
      </c>
      <c r="U10356">
        <f>0.006165*F10356^2</f>
        <v>0.22194000000000003</v>
      </c>
      <c r="V10356" t="str">
        <v>x</v>
      </c>
      <c r="W10356">
        <f>+D10356</f>
        <v>0</v>
      </c>
      <c r="X10356" t="str">
        <v>x</v>
      </c>
      <c r="Y10356">
        <f>D10350</f>
        <v>1</v>
      </c>
      <c r="Z10356" t="str">
        <v>=</v>
      </c>
      <c r="AA10356">
        <f>(N10356+P10356*R10356/1000)*U10356*W10356*Y10356</f>
        <v>0</v>
      </c>
    </row>
    <row r="10359">
      <c r="A10359" t="str">
        <f>A10344</f>
        <v>Lantai Atap</v>
      </c>
      <c r="B10359">
        <f>B10344</f>
        <v>4</v>
      </c>
      <c r="C10359" t="str">
        <v>Tul Bawah Tumpuan</v>
      </c>
      <c r="D10359">
        <f>VLOOKUP(D10344,'Detail Balok'!$C$10:$AU$110,22,FALSE)</f>
        <v>2</v>
      </c>
      <c r="E10359" t="str">
        <v>D</v>
      </c>
      <c r="F10359">
        <f>VLOOKUP(D10344,'Detail Balok'!$C$10:$AU$110,24,FALSE)</f>
        <v>13</v>
      </c>
      <c r="I10359" t="str">
        <v>(</v>
      </c>
      <c r="J10359">
        <f>+J10351</f>
        <v>0.55</v>
      </c>
      <c r="K10359" t="str">
        <v>+</v>
      </c>
      <c r="L10359">
        <f>MAX(VLOOKUP(F10359,N$6:P$15,3,FALSE)/1000,2/3*D10349/1000)+F$16*F10359/1000</f>
        <v>0.156</v>
      </c>
      <c r="M10359" t="str">
        <v>=</v>
      </c>
      <c r="N10359">
        <f>J10359+L10359</f>
        <v>0.7060000000000001</v>
      </c>
      <c r="O10359" t="str">
        <v>+</v>
      </c>
      <c r="P10359">
        <f>D10359-D10360</f>
        <v>0</v>
      </c>
      <c r="Q10359" t="str">
        <v>x</v>
      </c>
      <c r="R10359">
        <f>IF(P10359&gt;0,$F$18*F10359/1000,0)</f>
        <v>0</v>
      </c>
      <c r="S10359" t="str">
        <v>)</v>
      </c>
      <c r="T10359" t="str">
        <v>x</v>
      </c>
      <c r="U10359">
        <f>0.006165*F10359^2</f>
        <v>1.041885</v>
      </c>
      <c r="X10359" t="str">
        <v>x</v>
      </c>
      <c r="Y10359">
        <f>D10350</f>
        <v>1</v>
      </c>
      <c r="Z10359" t="str">
        <v>=</v>
      </c>
      <c r="AA10359">
        <f>IF(AA10362=0,(D10359*N10359+P10359*R10359)*U10359*Y10359,0)</f>
        <v>0</v>
      </c>
    </row>
    <row r="10360">
      <c r="A10360" t="str">
        <f>A10344</f>
        <v>Lantai Atap</v>
      </c>
      <c r="B10360">
        <f>B10344</f>
        <v>4</v>
      </c>
      <c r="C10360" t="str">
        <v>Tul Bawah Lapangan</v>
      </c>
      <c r="D10360">
        <f>VLOOKUP(D10344,'Detail Balok'!$C$10:$AU$110,25,FALSE)</f>
        <v>2</v>
      </c>
      <c r="E10360" t="str">
        <v>D</v>
      </c>
      <c r="F10360">
        <f>VLOOKUP(D10344,'Detail Balok'!$C$10:$AU$110,27,FALSE)</f>
        <v>13</v>
      </c>
      <c r="I10360" t="str">
        <v>(</v>
      </c>
      <c r="J10360">
        <f>+J10352</f>
        <v>1.1</v>
      </c>
      <c r="K10360" t="str">
        <v>+</v>
      </c>
      <c r="M10360" t="str">
        <v>=</v>
      </c>
      <c r="N10360">
        <f>J10360+L10360</f>
        <v>1.1</v>
      </c>
      <c r="O10360" t="str">
        <v>+</v>
      </c>
      <c r="P10360">
        <f>MAX(D10360-D10359,D10360-D10361)</f>
        <v>0</v>
      </c>
      <c r="Q10360" t="str">
        <v>x</v>
      </c>
      <c r="R10360">
        <f>IF(P10360&gt;0,2*(1-2*$F$19-1/2)*D10347/1000,0)</f>
        <v>0</v>
      </c>
      <c r="S10360" t="str">
        <v>)</v>
      </c>
      <c r="T10360" t="str">
        <v>x</v>
      </c>
      <c r="U10360">
        <f>0.006165*F10360^2</f>
        <v>1.041885</v>
      </c>
      <c r="X10360" t="str">
        <v>x</v>
      </c>
      <c r="Y10360">
        <f>D10350</f>
        <v>1</v>
      </c>
      <c r="Z10360" t="str">
        <v>=</v>
      </c>
      <c r="AA10360">
        <f>IF(AA10362=0,(D10360*N10360+P10360*R10360)*U10360*Y10360,0)</f>
        <v>0</v>
      </c>
    </row>
    <row r="10361">
      <c r="A10361" t="str">
        <f>A10344</f>
        <v>Lantai Atap</v>
      </c>
      <c r="B10361">
        <f>B10344</f>
        <v>4</v>
      </c>
      <c r="C10361" t="str">
        <v>Tul Bawah Tumpuan</v>
      </c>
      <c r="D10361">
        <f>VLOOKUP(D10344,'Detail Balok'!$C$10:$AU$110,28,FALSE)</f>
        <v>2</v>
      </c>
      <c r="E10361" t="str">
        <v>D</v>
      </c>
      <c r="F10361">
        <f>VLOOKUP(D10344,'Detail Balok'!$C$10:$AU$110,30,FALSE)</f>
        <v>13</v>
      </c>
      <c r="I10361" t="str">
        <v>(</v>
      </c>
      <c r="J10361">
        <f>+J10353</f>
        <v>0.55</v>
      </c>
      <c r="K10361" t="str">
        <v>+</v>
      </c>
      <c r="L10361">
        <f>MAX(VLOOKUP(F10361,N$6:P$15,3,FALSE)/1000,2/3*D10349/1000)+F$16*F10361/1000</f>
        <v>0.156</v>
      </c>
      <c r="M10361" t="str">
        <v>=</v>
      </c>
      <c r="N10361">
        <f>J10361+L10361</f>
        <v>0.7060000000000001</v>
      </c>
      <c r="O10361" t="str">
        <v>+</v>
      </c>
      <c r="P10361">
        <f>D10361-D10360</f>
        <v>0</v>
      </c>
      <c r="Q10361" t="str">
        <v>x</v>
      </c>
      <c r="R10361">
        <f>IF(P10361&gt;0,$F$18*F10361/1000,0)</f>
        <v>0</v>
      </c>
      <c r="S10361" t="str">
        <v>)</v>
      </c>
      <c r="T10361" t="str">
        <v>x</v>
      </c>
      <c r="U10361">
        <f>0.006165*F10361^2</f>
        <v>1.041885</v>
      </c>
      <c r="X10361" t="str">
        <v>x</v>
      </c>
      <c r="Y10361">
        <f>D10350</f>
        <v>1</v>
      </c>
      <c r="Z10361" t="str">
        <v>=</v>
      </c>
      <c r="AA10361">
        <f>IF(AA10362=0,(D10361*N10361+P10361*R10361)*U10361*Y10361,0)</f>
        <v>0</v>
      </c>
    </row>
    <row r="10362">
      <c r="A10362" t="str">
        <f>A10344</f>
        <v>Lantai Atap</v>
      </c>
      <c r="B10362">
        <f>B10344</f>
        <v>4</v>
      </c>
      <c r="D10362">
        <f>IF(AND(D10359=D10360,D10360=D10361,D10359=D10361),D10359,0)</f>
        <v>2</v>
      </c>
      <c r="E10362" t="str">
        <v>D</v>
      </c>
      <c r="F10362">
        <f>IF(AND(F10359=F10360,F10359=F10361,F10360=F10361),F10359,0)</f>
        <v>13</v>
      </c>
      <c r="L10362" t="str">
        <v>Total panjang per balok</v>
      </c>
      <c r="M10362" t="str">
        <v>=</v>
      </c>
      <c r="N10362">
        <f>IF(AND(D10359=D10360,D10359=D10361,D10360=D10361,F10359=F10360,F10359=F10361,F10360=F10361),SUM(N10359:N10361),0)</f>
        <v>2.512</v>
      </c>
      <c r="O10362" t="str">
        <v>+</v>
      </c>
      <c r="P10362">
        <f>IF(N10362&gt;12,ROUNDDOWN(N10362/12,0),0)</f>
        <v>0</v>
      </c>
      <c r="Q10362" t="str">
        <v>x</v>
      </c>
      <c r="R10362">
        <f>IF(P10362&gt;0,MAX(VLOOKUP(F10362,$D$6:$G$15,3,FALSE),600),0)/1000</f>
        <v>0</v>
      </c>
      <c r="T10362" t="str">
        <v>x</v>
      </c>
      <c r="U10362">
        <f>U10361</f>
        <v>1.041885</v>
      </c>
      <c r="V10362" t="str">
        <v>x</v>
      </c>
      <c r="W10362">
        <f>D10362</f>
        <v>2</v>
      </c>
      <c r="X10362" t="str">
        <v>x</v>
      </c>
      <c r="Y10362">
        <f>Y10361</f>
        <v>1</v>
      </c>
      <c r="Z10362" t="str">
        <v>=</v>
      </c>
      <c r="AA10362">
        <f>(N10362+P10362*R10362/1000)*U10362*W10362*Y10362</f>
        <v>5.23443024</v>
      </c>
    </row>
    <row r="10364">
      <c r="A10364" t="str">
        <f>A10344</f>
        <v>Lantai Atap</v>
      </c>
      <c r="B10364">
        <f>B10344</f>
        <v>4</v>
      </c>
      <c r="C10364" t="str">
        <v>Sengkang Tumpuan</v>
      </c>
      <c r="D10364">
        <f>VLOOKUP(D10344,'Detail Balok'!$C$10:$AU$110,31,FALSE)</f>
        <v>0</v>
      </c>
      <c r="E10364" t="str">
        <v>D</v>
      </c>
      <c r="F10364">
        <f>VLOOKUP(D10344,'Detail Balok'!$C$10:$AU$110,33,FALSE)</f>
        <v>8</v>
      </c>
      <c r="G10364" t="str">
        <v>-</v>
      </c>
      <c r="H10364">
        <f>VLOOKUP(D10344,'Detail Balok'!$C$10:$AU$110,35,FALSE)</f>
        <v>100</v>
      </c>
      <c r="J10364">
        <f>(IF(D10364=0,(2*(D10345+G10345))-(F$5*8),IF(D10364=3,(2*(D10345+G10345))-(F$5*8)+(G10345-2*F$5),IF(D10364=4,(2*(D10345+G10345))-(F$5*8)+2*(G10345-2*F$5)))))/1000</f>
        <v>0.88</v>
      </c>
      <c r="K10364" t="str">
        <v>+</v>
      </c>
      <c r="L10364">
        <f>IF(D10364=0,2*MAX(6*F10364,75),(D10364-1)*2*MAX(6*F10364,75))/1000</f>
        <v>0.15</v>
      </c>
      <c r="M10364" t="str">
        <v>=</v>
      </c>
      <c r="N10364">
        <f>J10364+L10364</f>
        <v>1.03</v>
      </c>
      <c r="T10364" t="str">
        <v>x</v>
      </c>
      <c r="U10364">
        <f>0.006165*F10364^2</f>
        <v>0.39456</v>
      </c>
      <c r="V10364" t="str">
        <v>x</v>
      </c>
      <c r="W10364">
        <f>IF(D10347&gt;4*G10345,ROUND(MAX(D10347/4,2*G10345)/H10364,0)+1,ROUND(D10347/H10364,0)+1)</f>
        <v>9</v>
      </c>
      <c r="X10364" t="str">
        <v>x</v>
      </c>
      <c r="Y10364">
        <f>D10350</f>
        <v>1</v>
      </c>
      <c r="Z10364" t="str">
        <v>=</v>
      </c>
      <c r="AA10364">
        <f>N10364*U10364*W10364*Y10364</f>
        <v>3.6575712000000005</v>
      </c>
    </row>
    <row r="10365">
      <c r="A10365" t="str">
        <f>A10344</f>
        <v>Lantai Atap</v>
      </c>
      <c r="B10365">
        <f>B10344</f>
        <v>4</v>
      </c>
      <c r="C10365" t="str">
        <v>Sengkang Lapangan</v>
      </c>
      <c r="D10365">
        <f>VLOOKUP(D10344,'Detail Balok'!$C$10:$AU$110,36,FALSE)</f>
        <v>0</v>
      </c>
      <c r="E10365" t="str">
        <v>D</v>
      </c>
      <c r="F10365">
        <f>VLOOKUP(D10344,'Detail Balok'!$C$10:$AU$110,38,FALSE)</f>
        <v>8</v>
      </c>
      <c r="G10365" t="str">
        <v>-</v>
      </c>
      <c r="H10365">
        <f>VLOOKUP(D10344,'Detail Balok'!$C$10:$AU$110,40,FALSE)</f>
        <v>200</v>
      </c>
      <c r="J10365">
        <f>(IF(D10365=0,(2*(D10345+G10345))-(F$5*8),IF(D10365=3,(2*(D10345+G10345))-(F$5*8)+(G10345-2*F$5),IF(D10365=4,(2*(D10345+G10345))-(F$5*8)+2*(G10345-2*F$5)))))/1000</f>
        <v>0.88</v>
      </c>
      <c r="K10365" t="str">
        <v>+</v>
      </c>
      <c r="L10365">
        <f>IF(D10365=0,2*MAX(6*F10365,75),(D10365-1)*2*MAX(6*F10365,75))/1000</f>
        <v>0.15</v>
      </c>
      <c r="M10365" t="str">
        <v>=</v>
      </c>
      <c r="N10365">
        <f>J10365+L10365</f>
        <v>1.03</v>
      </c>
      <c r="T10365" t="str">
        <v>x</v>
      </c>
      <c r="U10365">
        <f>0.006165*F10365^2</f>
        <v>0.39456</v>
      </c>
      <c r="V10365" t="str">
        <v>x</v>
      </c>
      <c r="W10365">
        <f>IF(D10347-MAX(D10347/4,2*G10345)*2&gt;0,ROUND((D10347-MAX(D10347/4,2*G10345)*2)/H10365,0),0)</f>
        <v>3</v>
      </c>
      <c r="X10365" t="str">
        <v>x</v>
      </c>
      <c r="Y10365">
        <f>D10350</f>
        <v>1</v>
      </c>
      <c r="Z10365" t="str">
        <v>=</v>
      </c>
      <c r="AA10365">
        <f>N10365*U10365*W10365*Y10365</f>
        <v>1.2191904000000002</v>
      </c>
    </row>
    <row r="10366">
      <c r="A10366" t="str">
        <f>A10344</f>
        <v>Lantai Atap</v>
      </c>
      <c r="B10366">
        <f>B10344</f>
        <v>4</v>
      </c>
      <c r="C10366" t="str">
        <v>Sengkang Tumpuan</v>
      </c>
      <c r="D10366">
        <f>VLOOKUP(D10344,'Detail Balok'!$C$10:$AU$110,41,FALSE)</f>
        <v>0</v>
      </c>
      <c r="E10366" t="str">
        <v>D</v>
      </c>
      <c r="F10366">
        <f>VLOOKUP(D10344,'Detail Balok'!$C$10:$AU$110,43,FALSE)</f>
        <v>8</v>
      </c>
      <c r="G10366" t="str">
        <v>-</v>
      </c>
      <c r="H10366">
        <f>VLOOKUP(D10344,'Detail Balok'!$C$10:$AU$110,45,FALSE)</f>
        <v>100</v>
      </c>
      <c r="J10366">
        <f>(IF(D10366=0,(2*(D10345+G10345))-(F$5*8),IF(D10366=3,(2*(D10345+G10345))-(F$5*8)+(G10345-2*F$5),IF(D10366=4,(2*(D10345+G10345))-(F$5*8)+2*(G10345-2*F$5)))))/1000</f>
        <v>0.88</v>
      </c>
      <c r="K10366" t="str">
        <v>+</v>
      </c>
      <c r="L10366">
        <f>IF(D10366=0,2*MAX(6*F10366,75),(D10366-1)*2*MAX(6*F10366,75))/1000</f>
        <v>0.15</v>
      </c>
      <c r="M10366" t="str">
        <v>=</v>
      </c>
      <c r="N10366">
        <f>J10366+L10366</f>
        <v>1.03</v>
      </c>
      <c r="T10366" t="str">
        <v>x</v>
      </c>
      <c r="U10366">
        <f>0.006165*F10366^2</f>
        <v>0.39456</v>
      </c>
      <c r="V10366" t="str">
        <v>x</v>
      </c>
      <c r="W10366">
        <f>IF(D10347&gt;4*G10345,ROUND(MAX(D10347/4,2*G10345)/H10366,0)+1,0)</f>
        <v>9</v>
      </c>
      <c r="X10366" t="str">
        <v>x</v>
      </c>
      <c r="Y10366">
        <f>D10350</f>
        <v>1</v>
      </c>
      <c r="Z10366" t="str">
        <v>=</v>
      </c>
      <c r="AA10366">
        <f>N10366*U10366*W10366*Y10366</f>
        <v>3.6575712000000005</v>
      </c>
    </row>
    <row r="10368">
      <c r="A10368" t="str">
        <f>A10344</f>
        <v>Lantai Atap</v>
      </c>
      <c r="B10368">
        <f>B10344</f>
        <v>4</v>
      </c>
      <c r="C10368" t="str">
        <v>Kait Horizontal Tump.</v>
      </c>
      <c r="D10368">
        <f>VLOOKUP(D10344,'Detail Balok'!$C$10:$BJ$110,46,FALSE)</f>
        <v>0</v>
      </c>
      <c r="E10368" t="str">
        <v>D</v>
      </c>
      <c r="F10368">
        <f>VLOOKUP(D10344,'Detail Balok'!$C$10:$BJ$110,48,FALSE)</f>
        <v>0</v>
      </c>
      <c r="G10368" t="str">
        <v>-</v>
      </c>
      <c r="H10368">
        <f>VLOOKUP(D10344,'Detail Balok'!$C$10:$BJ$110,50,FALSE)</f>
        <v>100</v>
      </c>
      <c r="J10368">
        <f>(D10345-2*F$5)/1000</f>
        <v>0.12</v>
      </c>
      <c r="K10368" t="str">
        <v>+</v>
      </c>
      <c r="L10368">
        <f>IF(D10368=0,2*MAX(6*F10368,75),(D10368-1)*2*MAX(6*F10368,75))/1000</f>
        <v>0.15</v>
      </c>
      <c r="M10368" t="str">
        <v>=</v>
      </c>
      <c r="N10368">
        <f>J10368+L10368</f>
        <v>0.27</v>
      </c>
      <c r="T10368" t="str">
        <v>x</v>
      </c>
      <c r="U10368">
        <f>0.006165*F10368^2</f>
        <v>0</v>
      </c>
      <c r="V10368" t="str">
        <v>x</v>
      </c>
      <c r="W10368">
        <f>W10364</f>
        <v>9</v>
      </c>
      <c r="X10368" t="str">
        <v>x</v>
      </c>
      <c r="Y10368">
        <f>D10354</f>
        <v>2</v>
      </c>
      <c r="Z10368" t="str">
        <v>=</v>
      </c>
      <c r="AA10368">
        <f>N10368*U10368*W10368*Y10368</f>
        <v>0</v>
      </c>
    </row>
    <row r="10369">
      <c r="A10369" t="str">
        <f>A10344</f>
        <v>Lantai Atap</v>
      </c>
      <c r="B10369">
        <f>B10344</f>
        <v>4</v>
      </c>
      <c r="C10369" t="str">
        <v>Kait Horizontal Lap.</v>
      </c>
      <c r="D10369">
        <f>VLOOKUP(D10344,'Detail Balok'!$C$10:$BJ$110,51,FALSE)</f>
        <v>0</v>
      </c>
      <c r="E10369" t="str">
        <v>D</v>
      </c>
      <c r="F10369">
        <f>VLOOKUP(D10344,'Detail Balok'!$C$10:$BJ$110,53,FALSE)</f>
        <v>0</v>
      </c>
      <c r="G10369" t="str">
        <v>-</v>
      </c>
      <c r="H10369">
        <f>VLOOKUP(D10344,'Detail Balok'!$C$10:$BJ$110,55,FALSE)</f>
        <v>100</v>
      </c>
      <c r="J10369">
        <f>(D10345-2*F$5)/1000</f>
        <v>0.12</v>
      </c>
      <c r="K10369" t="str">
        <v>+</v>
      </c>
      <c r="L10369">
        <f>IF(D10369=0,2*MAX(6*F10369,75),(D10369-1)*2*MAX(6*F10369,75))/1000</f>
        <v>0.15</v>
      </c>
      <c r="M10369" t="str">
        <v>=</v>
      </c>
      <c r="N10369">
        <f>J10369+L10369</f>
        <v>0.27</v>
      </c>
      <c r="T10369" t="str">
        <v>x</v>
      </c>
      <c r="U10369">
        <f>0.006165*F10369^2</f>
        <v>0</v>
      </c>
      <c r="V10369" t="str">
        <v>x</v>
      </c>
      <c r="W10369">
        <f>W10365</f>
        <v>3</v>
      </c>
      <c r="X10369" t="str">
        <v>x</v>
      </c>
      <c r="Y10369">
        <f>D10354</f>
        <v>2</v>
      </c>
      <c r="Z10369" t="str">
        <v>=</v>
      </c>
      <c r="AA10369">
        <f>N10369*U10369*W10369*Y10369</f>
        <v>0</v>
      </c>
    </row>
    <row r="10370">
      <c r="A10370" t="str">
        <f>A10344</f>
        <v>Lantai Atap</v>
      </c>
      <c r="B10370">
        <f>B10344</f>
        <v>4</v>
      </c>
      <c r="C10370" t="str">
        <v>Kait Horizontal Tump.</v>
      </c>
      <c r="D10370">
        <f>VLOOKUP(D10344,'Detail Balok'!$C$10:$BJ$110,56,FALSE)</f>
        <v>0</v>
      </c>
      <c r="E10370" t="str">
        <v>D</v>
      </c>
      <c r="F10370">
        <f>VLOOKUP(D10344,'Detail Balok'!$C$10:$BJ$110,58,FALSE)</f>
        <v>0</v>
      </c>
      <c r="G10370" t="str">
        <v>-</v>
      </c>
      <c r="H10370">
        <f>VLOOKUP(D10344,'Detail Balok'!$C$10:$BJ$110,60,FALSE)</f>
        <v>100</v>
      </c>
      <c r="J10370">
        <f>(D10345-2*F$5)/1000</f>
        <v>0.12</v>
      </c>
      <c r="K10370" t="str">
        <v>+</v>
      </c>
      <c r="L10370">
        <f>IF(D10370=0,2*MAX(6*F10370,75),(D10370-1)*2*MAX(6*F10370,75))/1000</f>
        <v>0.15</v>
      </c>
      <c r="M10370" t="str">
        <v>=</v>
      </c>
      <c r="N10370">
        <f>J10370+L10370</f>
        <v>0.27</v>
      </c>
      <c r="T10370" t="str">
        <v>x</v>
      </c>
      <c r="U10370">
        <f>0.006165*F10370^2</f>
        <v>0</v>
      </c>
      <c r="V10370" t="str">
        <v>x</v>
      </c>
      <c r="W10370">
        <f>W10366</f>
        <v>9</v>
      </c>
      <c r="X10370" t="str">
        <v>x</v>
      </c>
      <c r="Y10370">
        <f>D10354</f>
        <v>2</v>
      </c>
      <c r="Z10370" t="str">
        <v>=</v>
      </c>
      <c r="AA10370">
        <f>N10370*U10370*W10370*Y10370</f>
        <v>0</v>
      </c>
    </row>
    <row r="10374">
      <c r="A10374" t="str">
        <f>A10344</f>
        <v>Lantai Atap</v>
      </c>
      <c r="B10374">
        <f>B10344+1</f>
        <v>5</v>
      </c>
      <c r="C10374" t="str">
        <f>CONCATENATE(A10374," no. ",B10374)</f>
        <v>Lantai Atap no. 5</v>
      </c>
      <c r="D10374" t="str">
        <f>VLOOKUP(C10374,'Data Panjang Balok'!$C$9:$N$424,2,FALSE)</f>
        <v>B1745-1</v>
      </c>
    </row>
    <row r="10375">
      <c r="C10375" t="str">
        <v>Dimensi</v>
      </c>
      <c r="D10375">
        <f>VLOOKUP(D10374,'Detail Balok'!$C$10:$AU$110,2,FALSE)</f>
        <v>170</v>
      </c>
      <c r="F10375" t="str">
        <v>x</v>
      </c>
      <c r="G10375">
        <f>VLOOKUP(D10374,'Detail Balok'!$C$10:$AU$110,3,FALSE)</f>
        <v>450</v>
      </c>
    </row>
    <row r="10376">
      <c r="C10376" t="str">
        <v>Panjang as ke as</v>
      </c>
      <c r="D10376">
        <f>VLOOKUP(C10374,'Data Panjang Balok'!$C$9:$N$424,4,FALSE)</f>
        <v>2800</v>
      </c>
    </row>
    <row r="10377">
      <c r="C10377" t="str">
        <v>Panjang netto</v>
      </c>
      <c r="D10377">
        <f>VLOOKUP(C10374,'Data Panjang Balok'!$C$9:$N$424,7,FALSE)</f>
        <v>2800</v>
      </c>
    </row>
    <row r="10378">
      <c r="C10378" t="str">
        <v>Kolom / balok kiri</v>
      </c>
      <c r="D10378">
        <f>VLOOKUP(C10374,'Data Panjang Balok'!$C$9:$N$424,9,FALSE)</f>
        <v>0</v>
      </c>
    </row>
    <row r="10379">
      <c r="C10379" t="str">
        <v>Kolom / balok kanan</v>
      </c>
      <c r="D10379">
        <f>VLOOKUP(C10374,'Data Panjang Balok'!$C$9:$N$424,10,FALSE)</f>
        <v>0</v>
      </c>
    </row>
    <row r="10380">
      <c r="C10380" t="str">
        <v>Jumlah</v>
      </c>
      <c r="D10380">
        <f>VLOOKUP(C10374,'Data Panjang Balok'!$C$9:$N$424,3,FALSE)</f>
        <v>1</v>
      </c>
    </row>
    <row r="10381">
      <c r="A10381" t="str">
        <f>A10374</f>
        <v>Lantai Atap</v>
      </c>
      <c r="B10381">
        <f>B10374</f>
        <v>5</v>
      </c>
      <c r="C10381" t="str">
        <v>Tul Atas Tumpuan</v>
      </c>
      <c r="D10381">
        <f>VLOOKUP(D10374,'Detail Balok'!$C$10:$AU$110,4,FALSE)</f>
        <v>2</v>
      </c>
      <c r="E10381" t="str">
        <v>D</v>
      </c>
      <c r="F10381">
        <f>VLOOKUP(D10374,'Detail Balok'!$C$10:$AU$110,6,FALSE)</f>
        <v>13</v>
      </c>
      <c r="I10381" t="str">
        <v>(</v>
      </c>
      <c r="J10381">
        <f>+D10376/4/1000</f>
        <v>0.7</v>
      </c>
      <c r="K10381" t="str">
        <v>+</v>
      </c>
      <c r="L10381">
        <f>MAX(VLOOKUP(F10381,N$6:P$15,3,FALSE)/1000,2/3*D10378/1000)+F$16*F10381/1000</f>
        <v>0.156</v>
      </c>
      <c r="M10381" t="str">
        <v>=</v>
      </c>
      <c r="N10381">
        <f>J10381+L10381</f>
        <v>0.856</v>
      </c>
      <c r="O10381" t="str">
        <v>+</v>
      </c>
      <c r="P10381">
        <f>D10381-D10382</f>
        <v>0</v>
      </c>
      <c r="Q10381" t="str">
        <v>x</v>
      </c>
      <c r="R10381">
        <f>IF(P10381&gt;0,$F$18*F10381/1000,0)</f>
        <v>0</v>
      </c>
      <c r="S10381" t="str">
        <v>)</v>
      </c>
      <c r="T10381" t="str">
        <v>x</v>
      </c>
      <c r="U10381">
        <f>0.006165*F10381^2</f>
        <v>1.041885</v>
      </c>
      <c r="X10381" t="str">
        <v>x</v>
      </c>
      <c r="Y10381">
        <f>D10380</f>
        <v>1</v>
      </c>
      <c r="Z10381" t="str">
        <v>=</v>
      </c>
      <c r="AA10381">
        <f>IF(AA10384=0,(D10381*N10381+P10381*R10381)*U10381*Y10381,0)</f>
        <v>0</v>
      </c>
    </row>
    <row r="10382">
      <c r="A10382" t="str">
        <f>A10374</f>
        <v>Lantai Atap</v>
      </c>
      <c r="B10382">
        <f>B10374</f>
        <v>5</v>
      </c>
      <c r="C10382" t="str">
        <v>Tul Atas Lapangan</v>
      </c>
      <c r="D10382">
        <f>VLOOKUP(D10374,'Detail Balok'!$C$10:$AU$110,7,FALSE)</f>
        <v>2</v>
      </c>
      <c r="E10382" t="str">
        <v>D</v>
      </c>
      <c r="F10382">
        <f>VLOOKUP(D10374,'Detail Balok'!$C$10:$AU$110,9,FALSE)</f>
        <v>13</v>
      </c>
      <c r="I10382" t="str">
        <v>(</v>
      </c>
      <c r="J10382">
        <f>+D10376/2/1000</f>
        <v>1.4</v>
      </c>
      <c r="K10382" t="str">
        <v>+</v>
      </c>
      <c r="M10382" t="str">
        <v>=</v>
      </c>
      <c r="N10382">
        <f>J10382+L10382</f>
        <v>1.4</v>
      </c>
      <c r="O10382" t="str">
        <v>+</v>
      </c>
      <c r="P10382">
        <f>MAX(D10382-D10381,D10382-D10383)</f>
        <v>0</v>
      </c>
      <c r="Q10382" t="str">
        <v>x</v>
      </c>
      <c r="R10382">
        <f>IF(P10382&gt;0,2*(1-2*$F$19-1/2)*D10377/1000,0)</f>
        <v>0</v>
      </c>
      <c r="S10382" t="str">
        <v>)</v>
      </c>
      <c r="T10382" t="str">
        <v>x</v>
      </c>
      <c r="U10382">
        <f>0.006165*F10382^2</f>
        <v>1.041885</v>
      </c>
      <c r="X10382" t="str">
        <v>x</v>
      </c>
      <c r="Y10382">
        <f>D10380</f>
        <v>1</v>
      </c>
      <c r="Z10382" t="str">
        <v>=</v>
      </c>
      <c r="AA10382">
        <f>IF(AA10384=0,(D10382*N10382+P10382*R10382)*U10382*Y10382,0)</f>
        <v>0</v>
      </c>
    </row>
    <row r="10383">
      <c r="A10383" t="str">
        <f>A10374</f>
        <v>Lantai Atap</v>
      </c>
      <c r="B10383">
        <f>B10374</f>
        <v>5</v>
      </c>
      <c r="C10383" t="str">
        <v>Tul Atas Tumpuan</v>
      </c>
      <c r="D10383">
        <f>VLOOKUP(D10374,'Detail Balok'!$C$10:$AU$110,10,FALSE)</f>
        <v>2</v>
      </c>
      <c r="E10383" t="str">
        <v>D</v>
      </c>
      <c r="F10383">
        <f>VLOOKUP(D10374,'Detail Balok'!$C$10:$AU$110,12,FALSE)</f>
        <v>13</v>
      </c>
      <c r="I10383" t="str">
        <v>(</v>
      </c>
      <c r="J10383">
        <f>+D10376/4/1000</f>
        <v>0.7</v>
      </c>
      <c r="K10383" t="str">
        <v>+</v>
      </c>
      <c r="L10383">
        <f>MAX(VLOOKUP(F10383,N$6:P$15,3,FALSE)/1000,2/3*D10378/1000)+F$16*F10383/1000</f>
        <v>0.156</v>
      </c>
      <c r="M10383" t="str">
        <v>=</v>
      </c>
      <c r="N10383">
        <f>J10383+L10383</f>
        <v>0.856</v>
      </c>
      <c r="O10383" t="str">
        <v>+</v>
      </c>
      <c r="P10383">
        <f>D10383-D10382</f>
        <v>0</v>
      </c>
      <c r="Q10383" t="str">
        <v>x</v>
      </c>
      <c r="R10383">
        <f>IF(P10383&gt;0,$F$18*F10383/1000,0)</f>
        <v>0</v>
      </c>
      <c r="S10383" t="str">
        <v>)</v>
      </c>
      <c r="T10383" t="str">
        <v>x</v>
      </c>
      <c r="U10383">
        <f>0.006165*F10383^2</f>
        <v>1.041885</v>
      </c>
      <c r="X10383" t="str">
        <v>x</v>
      </c>
      <c r="Y10383">
        <f>D10380</f>
        <v>1</v>
      </c>
      <c r="Z10383" t="str">
        <v>=</v>
      </c>
      <c r="AA10383">
        <f>IF(AA10384=0,(D10383*N10383+P10383*R10383)*U10383*Y10383,0)</f>
        <v>0</v>
      </c>
    </row>
    <row r="10384">
      <c r="A10384" t="str">
        <f>A10374</f>
        <v>Lantai Atap</v>
      </c>
      <c r="B10384">
        <f>B10374</f>
        <v>5</v>
      </c>
      <c r="D10384">
        <f>IF(AND(D10381=D10382,D10382=D10383,D10381=D10383),D10381,0)</f>
        <v>2</v>
      </c>
      <c r="E10384" t="str">
        <v>D</v>
      </c>
      <c r="F10384">
        <f>IF(AND(F10381=F10382,F10381=F10383,F10382=F10383),F10381,0)</f>
        <v>13</v>
      </c>
      <c r="L10384" t="str">
        <v>Total panjang per balok</v>
      </c>
      <c r="M10384" t="str">
        <v>=</v>
      </c>
      <c r="N10384">
        <f>IF(AND(D10381=D10382,D10381=D10383,D10382=D10383,F10381=F10382,F10381=F10383,F10382=F10383),SUM(N10381:N10383),0)</f>
        <v>3.1119999999999997</v>
      </c>
      <c r="O10384" t="str">
        <v>+</v>
      </c>
      <c r="P10384">
        <f>IF(N10384&gt;12,ROUNDDOWN(N10384/12,0),0)</f>
        <v>0</v>
      </c>
      <c r="Q10384" t="str">
        <v>x</v>
      </c>
      <c r="R10384">
        <f>IF(P10384&gt;0,MAX(VLOOKUP(F10384,$D$6:$G$15,3,FALSE),600),0)/1000</f>
        <v>0</v>
      </c>
      <c r="T10384" t="str">
        <v>x</v>
      </c>
      <c r="U10384">
        <f>U10383</f>
        <v>1.041885</v>
      </c>
      <c r="V10384" t="str">
        <v>x</v>
      </c>
      <c r="W10384">
        <f>D10384</f>
        <v>2</v>
      </c>
      <c r="X10384" t="str">
        <v>x</v>
      </c>
      <c r="Y10384">
        <f>Y10383</f>
        <v>1</v>
      </c>
      <c r="Z10384" t="str">
        <v>=</v>
      </c>
      <c r="AA10384">
        <f>(N10384+P10384*R10384/1000)*U10384*W10384*Y10384</f>
        <v>6.484692239999999</v>
      </c>
    </row>
    <row r="10386">
      <c r="A10386" t="str">
        <f>A10374</f>
        <v>Lantai Atap</v>
      </c>
      <c r="B10386">
        <f>B10374</f>
        <v>5</v>
      </c>
      <c r="C10386" t="str">
        <v>Tul Peminggang</v>
      </c>
      <c r="D10386">
        <f>VLOOKUP(D10374,'Detail Balok'!$C$10:$AU$110,13,FALSE)</f>
        <v>2</v>
      </c>
      <c r="E10386" t="str">
        <v>D</v>
      </c>
      <c r="F10386">
        <f>VLOOKUP(D10374,'Detail Balok'!$C$10:$AU$110,15,FALSE)</f>
        <v>8</v>
      </c>
      <c r="J10386">
        <f>+D10376/1000</f>
        <v>2.8</v>
      </c>
      <c r="K10386" t="str">
        <v>+</v>
      </c>
      <c r="L10386">
        <f>2*$F$16*F10386/1000</f>
        <v>0.192</v>
      </c>
      <c r="M10386" t="str">
        <v>=</v>
      </c>
      <c r="N10386">
        <f>J10386+L10386</f>
        <v>2.992</v>
      </c>
      <c r="O10386" t="str">
        <v>+</v>
      </c>
      <c r="P10386">
        <f>IF(N10386&gt;12,ROUNDDOWN(N10386/12,0),0)</f>
        <v>0</v>
      </c>
      <c r="Q10386" t="str">
        <v>x</v>
      </c>
      <c r="R10386">
        <f>IF(P10386&gt;0,MAX(VLOOKUP(F10386,$D$6:$G$15,3,FALSE),600),0)/1000</f>
        <v>0</v>
      </c>
      <c r="T10386" t="str">
        <v>x</v>
      </c>
      <c r="U10386">
        <f>0.006165*F10386^2</f>
        <v>0.39456</v>
      </c>
      <c r="V10386" t="str">
        <v>x</v>
      </c>
      <c r="W10386">
        <f>+D10386</f>
        <v>2</v>
      </c>
      <c r="X10386" t="str">
        <v>x</v>
      </c>
      <c r="Y10386">
        <f>D10380</f>
        <v>1</v>
      </c>
      <c r="Z10386" t="str">
        <v>=</v>
      </c>
      <c r="AA10386">
        <f>(N10386+P10386*R10386/1000)*U10386*W10386*Y10386</f>
        <v>2.3610470400000003</v>
      </c>
    </row>
    <row r="10389">
      <c r="A10389" t="str">
        <f>A10374</f>
        <v>Lantai Atap</v>
      </c>
      <c r="B10389">
        <f>B10374</f>
        <v>5</v>
      </c>
      <c r="C10389" t="str">
        <v>Tul Bawah Tumpuan</v>
      </c>
      <c r="D10389">
        <f>VLOOKUP(D10374,'Detail Balok'!$C$10:$AU$110,22,FALSE)</f>
        <v>2</v>
      </c>
      <c r="E10389" t="str">
        <v>D</v>
      </c>
      <c r="F10389">
        <f>VLOOKUP(D10374,'Detail Balok'!$C$10:$AU$110,24,FALSE)</f>
        <v>13</v>
      </c>
      <c r="I10389" t="str">
        <v>(</v>
      </c>
      <c r="J10389">
        <f>+J10381</f>
        <v>0.7</v>
      </c>
      <c r="K10389" t="str">
        <v>+</v>
      </c>
      <c r="L10389">
        <f>MAX(VLOOKUP(F10389,N$6:P$15,3,FALSE)/1000,2/3*D10379/1000)+F$16*F10389/1000</f>
        <v>0.156</v>
      </c>
      <c r="M10389" t="str">
        <v>=</v>
      </c>
      <c r="N10389">
        <f>J10389+L10389</f>
        <v>0.856</v>
      </c>
      <c r="O10389" t="str">
        <v>+</v>
      </c>
      <c r="P10389">
        <f>D10389-D10390</f>
        <v>0</v>
      </c>
      <c r="Q10389" t="str">
        <v>x</v>
      </c>
      <c r="R10389">
        <f>IF(P10389&gt;0,$F$18*F10389/1000,0)</f>
        <v>0</v>
      </c>
      <c r="S10389" t="str">
        <v>)</v>
      </c>
      <c r="T10389" t="str">
        <v>x</v>
      </c>
      <c r="U10389">
        <f>0.006165*F10389^2</f>
        <v>1.041885</v>
      </c>
      <c r="X10389" t="str">
        <v>x</v>
      </c>
      <c r="Y10389">
        <f>D10380</f>
        <v>1</v>
      </c>
      <c r="Z10389" t="str">
        <v>=</v>
      </c>
      <c r="AA10389">
        <f>IF(AA10392=0,(D10389*N10389+P10389*R10389)*U10389*Y10389,0)</f>
        <v>0</v>
      </c>
    </row>
    <row r="10390">
      <c r="A10390" t="str">
        <f>A10374</f>
        <v>Lantai Atap</v>
      </c>
      <c r="B10390">
        <f>B10374</f>
        <v>5</v>
      </c>
      <c r="C10390" t="str">
        <v>Tul Bawah Lapangan</v>
      </c>
      <c r="D10390">
        <f>VLOOKUP(D10374,'Detail Balok'!$C$10:$AU$110,25,FALSE)</f>
        <v>2</v>
      </c>
      <c r="E10390" t="str">
        <v>D</v>
      </c>
      <c r="F10390">
        <f>VLOOKUP(D10374,'Detail Balok'!$C$10:$AU$110,27,FALSE)</f>
        <v>13</v>
      </c>
      <c r="I10390" t="str">
        <v>(</v>
      </c>
      <c r="J10390">
        <f>+J10382</f>
        <v>1.4</v>
      </c>
      <c r="K10390" t="str">
        <v>+</v>
      </c>
      <c r="M10390" t="str">
        <v>=</v>
      </c>
      <c r="N10390">
        <f>J10390+L10390</f>
        <v>1.4</v>
      </c>
      <c r="O10390" t="str">
        <v>+</v>
      </c>
      <c r="P10390">
        <f>MAX(D10390-D10389,D10390-D10391)</f>
        <v>0</v>
      </c>
      <c r="Q10390" t="str">
        <v>x</v>
      </c>
      <c r="R10390">
        <f>IF(P10390&gt;0,2*(1-2*$F$19-1/2)*D10377/1000,0)</f>
        <v>0</v>
      </c>
      <c r="S10390" t="str">
        <v>)</v>
      </c>
      <c r="T10390" t="str">
        <v>x</v>
      </c>
      <c r="U10390">
        <f>0.006165*F10390^2</f>
        <v>1.041885</v>
      </c>
      <c r="X10390" t="str">
        <v>x</v>
      </c>
      <c r="Y10390">
        <f>D10380</f>
        <v>1</v>
      </c>
      <c r="Z10390" t="str">
        <v>=</v>
      </c>
      <c r="AA10390">
        <f>IF(AA10392=0,(D10390*N10390+P10390*R10390)*U10390*Y10390,0)</f>
        <v>0</v>
      </c>
    </row>
    <row r="10391">
      <c r="A10391" t="str">
        <f>A10374</f>
        <v>Lantai Atap</v>
      </c>
      <c r="B10391">
        <f>B10374</f>
        <v>5</v>
      </c>
      <c r="C10391" t="str">
        <v>Tul Bawah Tumpuan</v>
      </c>
      <c r="D10391">
        <f>VLOOKUP(D10374,'Detail Balok'!$C$10:$AU$110,28,FALSE)</f>
        <v>2</v>
      </c>
      <c r="E10391" t="str">
        <v>D</v>
      </c>
      <c r="F10391">
        <f>VLOOKUP(D10374,'Detail Balok'!$C$10:$AU$110,30,FALSE)</f>
        <v>13</v>
      </c>
      <c r="I10391" t="str">
        <v>(</v>
      </c>
      <c r="J10391">
        <f>+J10383</f>
        <v>0.7</v>
      </c>
      <c r="K10391" t="str">
        <v>+</v>
      </c>
      <c r="L10391">
        <f>MAX(VLOOKUP(F10391,N$6:P$15,3,FALSE)/1000,2/3*D10379/1000)+F$16*F10391/1000</f>
        <v>0.156</v>
      </c>
      <c r="M10391" t="str">
        <v>=</v>
      </c>
      <c r="N10391">
        <f>J10391+L10391</f>
        <v>0.856</v>
      </c>
      <c r="O10391" t="str">
        <v>+</v>
      </c>
      <c r="P10391">
        <f>D10391-D10390</f>
        <v>0</v>
      </c>
      <c r="Q10391" t="str">
        <v>x</v>
      </c>
      <c r="R10391">
        <f>IF(P10391&gt;0,$F$18*F10391/1000,0)</f>
        <v>0</v>
      </c>
      <c r="S10391" t="str">
        <v>)</v>
      </c>
      <c r="T10391" t="str">
        <v>x</v>
      </c>
      <c r="U10391">
        <f>0.006165*F10391^2</f>
        <v>1.041885</v>
      </c>
      <c r="X10391" t="str">
        <v>x</v>
      </c>
      <c r="Y10391">
        <f>D10380</f>
        <v>1</v>
      </c>
      <c r="Z10391" t="str">
        <v>=</v>
      </c>
      <c r="AA10391">
        <f>IF(AA10392=0,(D10391*N10391+P10391*R10391)*U10391*Y10391,0)</f>
        <v>0</v>
      </c>
    </row>
    <row r="10392">
      <c r="A10392" t="str">
        <f>A10374</f>
        <v>Lantai Atap</v>
      </c>
      <c r="B10392">
        <f>B10374</f>
        <v>5</v>
      </c>
      <c r="D10392">
        <f>IF(AND(D10389=D10390,D10390=D10391,D10389=D10391),D10389,0)</f>
        <v>2</v>
      </c>
      <c r="E10392" t="str">
        <v>D</v>
      </c>
      <c r="F10392">
        <f>IF(AND(F10389=F10390,F10389=F10391,F10390=F10391),F10389,0)</f>
        <v>13</v>
      </c>
      <c r="L10392" t="str">
        <v>Total panjang per balok</v>
      </c>
      <c r="M10392" t="str">
        <v>=</v>
      </c>
      <c r="N10392">
        <f>IF(AND(D10389=D10390,D10389=D10391,D10390=D10391,F10389=F10390,F10389=F10391,F10390=F10391),SUM(N10389:N10391),0)</f>
        <v>3.1119999999999997</v>
      </c>
      <c r="O10392" t="str">
        <v>+</v>
      </c>
      <c r="P10392">
        <f>IF(N10392&gt;12,ROUNDDOWN(N10392/12,0),0)</f>
        <v>0</v>
      </c>
      <c r="Q10392" t="str">
        <v>x</v>
      </c>
      <c r="R10392">
        <f>IF(P10392&gt;0,MAX(VLOOKUP(F10392,$D$6:$G$15,3,FALSE),600),0)/1000</f>
        <v>0</v>
      </c>
      <c r="T10392" t="str">
        <v>x</v>
      </c>
      <c r="U10392">
        <f>U10391</f>
        <v>1.041885</v>
      </c>
      <c r="V10392" t="str">
        <v>x</v>
      </c>
      <c r="W10392">
        <f>D10392</f>
        <v>2</v>
      </c>
      <c r="X10392" t="str">
        <v>x</v>
      </c>
      <c r="Y10392">
        <f>Y10391</f>
        <v>1</v>
      </c>
      <c r="Z10392" t="str">
        <v>=</v>
      </c>
      <c r="AA10392">
        <f>(N10392+P10392*R10392/1000)*U10392*W10392*Y10392</f>
        <v>6.484692239999999</v>
      </c>
    </row>
    <row r="10394">
      <c r="A10394" t="str">
        <f>A10374</f>
        <v>Lantai Atap</v>
      </c>
      <c r="B10394">
        <f>B10374</f>
        <v>5</v>
      </c>
      <c r="C10394" t="str">
        <v>Sengkang Tumpuan</v>
      </c>
      <c r="D10394">
        <f>VLOOKUP(D10374,'Detail Balok'!$C$10:$AU$110,31,FALSE)</f>
        <v>0</v>
      </c>
      <c r="E10394" t="str">
        <v>D</v>
      </c>
      <c r="F10394">
        <f>VLOOKUP(D10374,'Detail Balok'!$C$10:$AU$110,33,FALSE)</f>
        <v>8</v>
      </c>
      <c r="G10394" t="str">
        <v>-</v>
      </c>
      <c r="H10394">
        <f>VLOOKUP(D10374,'Detail Balok'!$C$10:$AU$110,35,FALSE)</f>
        <v>75</v>
      </c>
      <c r="J10394">
        <f>(IF(D10394=0,(2*(D10375+G10375))-(F$5*8),IF(D10394=3,(2*(D10375+G10375))-(F$5*8)+(G10375-2*F$5),IF(D10394=4,(2*(D10375+G10375))-(F$5*8)+2*(G10375-2*F$5)))))/1000</f>
        <v>0.92</v>
      </c>
      <c r="K10394" t="str">
        <v>+</v>
      </c>
      <c r="L10394">
        <f>IF(D10394=0,2*MAX(6*F10394,75),(D10394-1)*2*MAX(6*F10394,75))/1000</f>
        <v>0.15</v>
      </c>
      <c r="M10394" t="str">
        <v>=</v>
      </c>
      <c r="N10394">
        <f>J10394+L10394</f>
        <v>1.07</v>
      </c>
      <c r="T10394" t="str">
        <v>x</v>
      </c>
      <c r="U10394">
        <f>0.006165*F10394^2</f>
        <v>0.39456</v>
      </c>
      <c r="V10394" t="str">
        <v>x</v>
      </c>
      <c r="W10394">
        <f>IF(D10377&gt;4*G10375,ROUND(MAX(D10377/4,2*G10375)/H10394,0)+1,ROUND(D10377/H10394,0)+1)</f>
        <v>13</v>
      </c>
      <c r="X10394" t="str">
        <v>x</v>
      </c>
      <c r="Y10394">
        <f>D10380</f>
        <v>1</v>
      </c>
      <c r="Z10394" t="str">
        <v>=</v>
      </c>
      <c r="AA10394">
        <f>N10394*U10394*W10394*Y10394</f>
        <v>5.4883296</v>
      </c>
    </row>
    <row r="10395">
      <c r="A10395" t="str">
        <f>A10374</f>
        <v>Lantai Atap</v>
      </c>
      <c r="B10395">
        <f>B10374</f>
        <v>5</v>
      </c>
      <c r="C10395" t="str">
        <v>Sengkang Lapangan</v>
      </c>
      <c r="D10395">
        <f>VLOOKUP(D10374,'Detail Balok'!$C$10:$AU$110,36,FALSE)</f>
        <v>0</v>
      </c>
      <c r="E10395" t="str">
        <v>D</v>
      </c>
      <c r="F10395">
        <f>VLOOKUP(D10374,'Detail Balok'!$C$10:$AU$110,38,FALSE)</f>
        <v>8</v>
      </c>
      <c r="G10395" t="str">
        <v>-</v>
      </c>
      <c r="H10395">
        <f>VLOOKUP(D10374,'Detail Balok'!$C$10:$AU$110,40,FALSE)</f>
        <v>75</v>
      </c>
      <c r="J10395">
        <f>(IF(D10395=0,(2*(D10375+G10375))-(F$5*8),IF(D10395=3,(2*(D10375+G10375))-(F$5*8)+(G10375-2*F$5),IF(D10395=4,(2*(D10375+G10375))-(F$5*8)+2*(G10375-2*F$5)))))/1000</f>
        <v>0.92</v>
      </c>
      <c r="K10395" t="str">
        <v>+</v>
      </c>
      <c r="L10395">
        <f>IF(D10395=0,2*MAX(6*F10395,75),(D10395-1)*2*MAX(6*F10395,75))/1000</f>
        <v>0.15</v>
      </c>
      <c r="M10395" t="str">
        <v>=</v>
      </c>
      <c r="N10395">
        <f>J10395+L10395</f>
        <v>1.07</v>
      </c>
      <c r="T10395" t="str">
        <v>x</v>
      </c>
      <c r="U10395">
        <f>0.006165*F10395^2</f>
        <v>0.39456</v>
      </c>
      <c r="V10395" t="str">
        <v>x</v>
      </c>
      <c r="W10395">
        <f>IF(D10377-MAX(D10377/4,2*G10375)*2&gt;0,ROUND((D10377-MAX(D10377/4,2*G10375)*2)/H10395,0),0)</f>
        <v>13</v>
      </c>
      <c r="X10395" t="str">
        <v>x</v>
      </c>
      <c r="Y10395">
        <f>D10380</f>
        <v>1</v>
      </c>
      <c r="Z10395" t="str">
        <v>=</v>
      </c>
      <c r="AA10395">
        <f>N10395*U10395*W10395*Y10395</f>
        <v>5.4883296</v>
      </c>
    </row>
    <row r="10396">
      <c r="A10396" t="str">
        <f>A10374</f>
        <v>Lantai Atap</v>
      </c>
      <c r="B10396">
        <f>B10374</f>
        <v>5</v>
      </c>
      <c r="C10396" t="str">
        <v>Sengkang Tumpuan</v>
      </c>
      <c r="D10396">
        <f>VLOOKUP(D10374,'Detail Balok'!$C$10:$AU$110,41,FALSE)</f>
        <v>0</v>
      </c>
      <c r="E10396" t="str">
        <v>D</v>
      </c>
      <c r="F10396">
        <f>VLOOKUP(D10374,'Detail Balok'!$C$10:$AU$110,43,FALSE)</f>
        <v>8</v>
      </c>
      <c r="G10396" t="str">
        <v>-</v>
      </c>
      <c r="H10396">
        <f>VLOOKUP(D10374,'Detail Balok'!$C$10:$AU$110,45,FALSE)</f>
        <v>75</v>
      </c>
      <c r="J10396">
        <f>(IF(D10396=0,(2*(D10375+G10375))-(F$5*8),IF(D10396=3,(2*(D10375+G10375))-(F$5*8)+(G10375-2*F$5),IF(D10396=4,(2*(D10375+G10375))-(F$5*8)+2*(G10375-2*F$5)))))/1000</f>
        <v>0.92</v>
      </c>
      <c r="K10396" t="str">
        <v>+</v>
      </c>
      <c r="L10396">
        <f>IF(D10396=0,2*MAX(6*F10396,75),(D10396-1)*2*MAX(6*F10396,75))/1000</f>
        <v>0.15</v>
      </c>
      <c r="M10396" t="str">
        <v>=</v>
      </c>
      <c r="N10396">
        <f>J10396+L10396</f>
        <v>1.07</v>
      </c>
      <c r="T10396" t="str">
        <v>x</v>
      </c>
      <c r="U10396">
        <f>0.006165*F10396^2</f>
        <v>0.39456</v>
      </c>
      <c r="V10396" t="str">
        <v>x</v>
      </c>
      <c r="W10396">
        <f>IF(D10377&gt;4*G10375,ROUND(MAX(D10377/4,2*G10375)/H10396,0)+1,0)</f>
        <v>13</v>
      </c>
      <c r="X10396" t="str">
        <v>x</v>
      </c>
      <c r="Y10396">
        <f>D10380</f>
        <v>1</v>
      </c>
      <c r="Z10396" t="str">
        <v>=</v>
      </c>
      <c r="AA10396">
        <f>N10396*U10396*W10396*Y10396</f>
        <v>5.4883296</v>
      </c>
    </row>
    <row r="10398">
      <c r="A10398" t="str">
        <f>A10374</f>
        <v>Lantai Atap</v>
      </c>
      <c r="B10398">
        <f>B10374</f>
        <v>5</v>
      </c>
      <c r="C10398" t="str">
        <v>Kait Horizontal Tump.</v>
      </c>
      <c r="D10398">
        <f>VLOOKUP(D10374,'Detail Balok'!$C$10:$BJ$110,46,FALSE)</f>
        <v>0</v>
      </c>
      <c r="E10398" t="str">
        <v>D</v>
      </c>
      <c r="F10398">
        <f>VLOOKUP(D10374,'Detail Balok'!$C$10:$BJ$110,48,FALSE)</f>
        <v>0</v>
      </c>
      <c r="G10398" t="str">
        <v>-</v>
      </c>
      <c r="H10398">
        <f>VLOOKUP(D10374,'Detail Balok'!$C$10:$BJ$110,50,FALSE)</f>
        <v>100</v>
      </c>
      <c r="J10398">
        <f>(D10375-2*F$5)/1000</f>
        <v>0.09</v>
      </c>
      <c r="K10398" t="str">
        <v>+</v>
      </c>
      <c r="L10398">
        <f>IF(D10398=0,2*MAX(6*F10398,75),(D10398-1)*2*MAX(6*F10398,75))/1000</f>
        <v>0.15</v>
      </c>
      <c r="M10398" t="str">
        <v>=</v>
      </c>
      <c r="N10398">
        <f>J10398+L10398</f>
        <v>0.24</v>
      </c>
      <c r="T10398" t="str">
        <v>x</v>
      </c>
      <c r="U10398">
        <f>0.006165*F10398^2</f>
        <v>0</v>
      </c>
      <c r="V10398" t="str">
        <v>x</v>
      </c>
      <c r="W10398">
        <f>W10394</f>
        <v>13</v>
      </c>
      <c r="X10398" t="str">
        <v>x</v>
      </c>
      <c r="Y10398">
        <f>D10384</f>
        <v>2</v>
      </c>
      <c r="Z10398" t="str">
        <v>=</v>
      </c>
      <c r="AA10398">
        <f>N10398*U10398*W10398*Y10398</f>
        <v>0</v>
      </c>
    </row>
    <row r="10399">
      <c r="A10399" t="str">
        <f>A10374</f>
        <v>Lantai Atap</v>
      </c>
      <c r="B10399">
        <f>B10374</f>
        <v>5</v>
      </c>
      <c r="C10399" t="str">
        <v>Kait Horizontal Lap.</v>
      </c>
      <c r="D10399">
        <f>VLOOKUP(D10374,'Detail Balok'!$C$10:$BJ$110,51,FALSE)</f>
        <v>0</v>
      </c>
      <c r="E10399" t="str">
        <v>D</v>
      </c>
      <c r="F10399">
        <f>VLOOKUP(D10374,'Detail Balok'!$C$10:$BJ$110,53,FALSE)</f>
        <v>0</v>
      </c>
      <c r="G10399" t="str">
        <v>-</v>
      </c>
      <c r="H10399">
        <f>VLOOKUP(D10374,'Detail Balok'!$C$10:$BJ$110,55,FALSE)</f>
        <v>100</v>
      </c>
      <c r="J10399">
        <f>(D10375-2*F$5)/1000</f>
        <v>0.09</v>
      </c>
      <c r="K10399" t="str">
        <v>+</v>
      </c>
      <c r="L10399">
        <f>IF(D10399=0,2*MAX(6*F10399,75),(D10399-1)*2*MAX(6*F10399,75))/1000</f>
        <v>0.15</v>
      </c>
      <c r="M10399" t="str">
        <v>=</v>
      </c>
      <c r="N10399">
        <f>J10399+L10399</f>
        <v>0.24</v>
      </c>
      <c r="T10399" t="str">
        <v>x</v>
      </c>
      <c r="U10399">
        <f>0.006165*F10399^2</f>
        <v>0</v>
      </c>
      <c r="V10399" t="str">
        <v>x</v>
      </c>
      <c r="W10399">
        <f>W10395</f>
        <v>13</v>
      </c>
      <c r="X10399" t="str">
        <v>x</v>
      </c>
      <c r="Y10399">
        <f>D10384</f>
        <v>2</v>
      </c>
      <c r="Z10399" t="str">
        <v>=</v>
      </c>
      <c r="AA10399">
        <f>N10399*U10399*W10399*Y10399</f>
        <v>0</v>
      </c>
    </row>
    <row r="10400">
      <c r="A10400" t="str">
        <f>A10374</f>
        <v>Lantai Atap</v>
      </c>
      <c r="B10400">
        <f>B10374</f>
        <v>5</v>
      </c>
      <c r="C10400" t="str">
        <v>Kait Horizontal Tump.</v>
      </c>
      <c r="D10400">
        <f>VLOOKUP(D10374,'Detail Balok'!$C$10:$BJ$110,56,FALSE)</f>
        <v>0</v>
      </c>
      <c r="E10400" t="str">
        <v>D</v>
      </c>
      <c r="F10400">
        <f>VLOOKUP(D10374,'Detail Balok'!$C$10:$BJ$110,58,FALSE)</f>
        <v>0</v>
      </c>
      <c r="G10400" t="str">
        <v>-</v>
      </c>
      <c r="H10400">
        <f>VLOOKUP(D10374,'Detail Balok'!$C$10:$BJ$110,60,FALSE)</f>
        <v>100</v>
      </c>
      <c r="J10400">
        <f>(D10375-2*F$5)/1000</f>
        <v>0.09</v>
      </c>
      <c r="K10400" t="str">
        <v>+</v>
      </c>
      <c r="L10400">
        <f>IF(D10400=0,2*MAX(6*F10400,75),(D10400-1)*2*MAX(6*F10400,75))/1000</f>
        <v>0.15</v>
      </c>
      <c r="M10400" t="str">
        <v>=</v>
      </c>
      <c r="N10400">
        <f>J10400+L10400</f>
        <v>0.24</v>
      </c>
      <c r="T10400" t="str">
        <v>x</v>
      </c>
      <c r="U10400">
        <f>0.006165*F10400^2</f>
        <v>0</v>
      </c>
      <c r="V10400" t="str">
        <v>x</v>
      </c>
      <c r="W10400">
        <f>W10396</f>
        <v>13</v>
      </c>
      <c r="X10400" t="str">
        <v>x</v>
      </c>
      <c r="Y10400">
        <f>D10384</f>
        <v>2</v>
      </c>
      <c r="Z10400" t="str">
        <v>=</v>
      </c>
      <c r="AA10400">
        <f>N10400*U10400*W10400*Y10400</f>
        <v>0</v>
      </c>
    </row>
    <row r="10404">
      <c r="A10404" t="str">
        <f>A10374</f>
        <v>Lantai Atap</v>
      </c>
      <c r="B10404">
        <f>B10374+1</f>
        <v>6</v>
      </c>
      <c r="C10404" t="str">
        <f>CONCATENATE(A10404," no. ",B10404)</f>
        <v>Lantai Atap no. 6</v>
      </c>
      <c r="D10404" t="str">
        <f>VLOOKUP(C10404,'Data Panjang Balok'!$C$9:$N$424,2,FALSE)</f>
        <v>B245-1</v>
      </c>
    </row>
    <row r="10405">
      <c r="C10405" t="str">
        <v>Dimensi</v>
      </c>
      <c r="D10405">
        <f>VLOOKUP(D10404,'Detail Balok'!$C$10:$AU$110,2,FALSE)</f>
        <v>200</v>
      </c>
      <c r="F10405" t="str">
        <v>x</v>
      </c>
      <c r="G10405">
        <f>VLOOKUP(D10404,'Detail Balok'!$C$10:$AU$110,3,FALSE)</f>
        <v>450</v>
      </c>
    </row>
    <row r="10406">
      <c r="C10406" t="str">
        <v>Panjang as ke as</v>
      </c>
      <c r="D10406">
        <f>VLOOKUP(C10404,'Data Panjang Balok'!$C$9:$N$424,4,FALSE)</f>
        <v>5835</v>
      </c>
    </row>
    <row r="10407">
      <c r="C10407" t="str">
        <v>Panjang netto</v>
      </c>
      <c r="D10407">
        <f>VLOOKUP(C10404,'Data Panjang Balok'!$C$9:$N$424,7,FALSE)</f>
        <v>5835</v>
      </c>
    </row>
    <row r="10408">
      <c r="C10408" t="str">
        <v>Kolom / balok kiri</v>
      </c>
      <c r="D10408">
        <f>VLOOKUP(C10404,'Data Panjang Balok'!$C$9:$N$424,9,FALSE)</f>
        <v>0</v>
      </c>
    </row>
    <row r="10409">
      <c r="C10409" t="str">
        <v>Kolom / balok kanan</v>
      </c>
      <c r="D10409">
        <f>VLOOKUP(C10404,'Data Panjang Balok'!$C$9:$N$424,10,FALSE)</f>
        <v>0</v>
      </c>
    </row>
    <row r="10410">
      <c r="C10410" t="str">
        <v>Jumlah</v>
      </c>
      <c r="D10410">
        <f>VLOOKUP(C10404,'Data Panjang Balok'!$C$9:$N$424,3,FALSE)</f>
        <v>1</v>
      </c>
    </row>
    <row r="10411">
      <c r="A10411" t="str">
        <f>A10404</f>
        <v>Lantai Atap</v>
      </c>
      <c r="B10411">
        <f>B10404</f>
        <v>6</v>
      </c>
      <c r="C10411" t="str">
        <v>Tul Atas Tumpuan</v>
      </c>
      <c r="D10411">
        <f>VLOOKUP(D10404,'Detail Balok'!$C$10:$AU$110,4,FALSE)</f>
        <v>2</v>
      </c>
      <c r="E10411" t="str">
        <v>D</v>
      </c>
      <c r="F10411">
        <f>VLOOKUP(D10404,'Detail Balok'!$C$10:$AU$110,6,FALSE)</f>
        <v>13</v>
      </c>
      <c r="I10411" t="str">
        <v>(</v>
      </c>
      <c r="J10411">
        <f>+D10406/4/1000</f>
        <v>1.45875</v>
      </c>
      <c r="K10411" t="str">
        <v>+</v>
      </c>
      <c r="L10411">
        <f>MAX(VLOOKUP(F10411,N$6:P$15,3,FALSE)/1000,2/3*D10408/1000)+F$16*F10411/1000</f>
        <v>0.156</v>
      </c>
      <c r="M10411" t="str">
        <v>=</v>
      </c>
      <c r="N10411">
        <f>J10411+L10411</f>
        <v>1.61475</v>
      </c>
      <c r="O10411" t="str">
        <v>+</v>
      </c>
      <c r="P10411">
        <f>D10411-D10412</f>
        <v>0</v>
      </c>
      <c r="Q10411" t="str">
        <v>x</v>
      </c>
      <c r="R10411">
        <f>IF(P10411&gt;0,$F$18*F10411/1000,0)</f>
        <v>0</v>
      </c>
      <c r="S10411" t="str">
        <v>)</v>
      </c>
      <c r="T10411" t="str">
        <v>x</v>
      </c>
      <c r="U10411">
        <f>0.006165*F10411^2</f>
        <v>1.041885</v>
      </c>
      <c r="X10411" t="str">
        <v>x</v>
      </c>
      <c r="Y10411">
        <f>D10410</f>
        <v>1</v>
      </c>
      <c r="Z10411" t="str">
        <v>=</v>
      </c>
      <c r="AA10411">
        <f>IF(AA10414=0,(D10411*N10411+P10411*R10411)*U10411*Y10411,0)</f>
        <v>0</v>
      </c>
    </row>
    <row r="10412">
      <c r="A10412" t="str">
        <f>A10404</f>
        <v>Lantai Atap</v>
      </c>
      <c r="B10412">
        <f>B10404</f>
        <v>6</v>
      </c>
      <c r="C10412" t="str">
        <v>Tul Atas Lapangan</v>
      </c>
      <c r="D10412">
        <f>VLOOKUP(D10404,'Detail Balok'!$C$10:$AU$110,7,FALSE)</f>
        <v>2</v>
      </c>
      <c r="E10412" t="str">
        <v>D</v>
      </c>
      <c r="F10412">
        <f>VLOOKUP(D10404,'Detail Balok'!$C$10:$AU$110,9,FALSE)</f>
        <v>13</v>
      </c>
      <c r="I10412" t="str">
        <v>(</v>
      </c>
      <c r="J10412">
        <f>+D10406/2/1000</f>
        <v>2.9175</v>
      </c>
      <c r="K10412" t="str">
        <v>+</v>
      </c>
      <c r="M10412" t="str">
        <v>=</v>
      </c>
      <c r="N10412">
        <f>J10412+L10412</f>
        <v>2.9175</v>
      </c>
      <c r="O10412" t="str">
        <v>+</v>
      </c>
      <c r="P10412">
        <f>MAX(D10412-D10411,D10412-D10413)</f>
        <v>0</v>
      </c>
      <c r="Q10412" t="str">
        <v>x</v>
      </c>
      <c r="R10412">
        <f>IF(P10412&gt;0,2*(1-2*$F$19-1/2)*D10407/1000,0)</f>
        <v>0</v>
      </c>
      <c r="S10412" t="str">
        <v>)</v>
      </c>
      <c r="T10412" t="str">
        <v>x</v>
      </c>
      <c r="U10412">
        <f>0.006165*F10412^2</f>
        <v>1.041885</v>
      </c>
      <c r="X10412" t="str">
        <v>x</v>
      </c>
      <c r="Y10412">
        <f>D10410</f>
        <v>1</v>
      </c>
      <c r="Z10412" t="str">
        <v>=</v>
      </c>
      <c r="AA10412">
        <f>IF(AA10414=0,(D10412*N10412+P10412*R10412)*U10412*Y10412,0)</f>
        <v>0</v>
      </c>
    </row>
    <row r="10413">
      <c r="A10413" t="str">
        <f>A10404</f>
        <v>Lantai Atap</v>
      </c>
      <c r="B10413">
        <f>B10404</f>
        <v>6</v>
      </c>
      <c r="C10413" t="str">
        <v>Tul Atas Tumpuan</v>
      </c>
      <c r="D10413">
        <f>VLOOKUP(D10404,'Detail Balok'!$C$10:$AU$110,10,FALSE)</f>
        <v>2</v>
      </c>
      <c r="E10413" t="str">
        <v>D</v>
      </c>
      <c r="F10413">
        <f>VLOOKUP(D10404,'Detail Balok'!$C$10:$AU$110,12,FALSE)</f>
        <v>13</v>
      </c>
      <c r="I10413" t="str">
        <v>(</v>
      </c>
      <c r="J10413">
        <f>+D10406/4/1000</f>
        <v>1.45875</v>
      </c>
      <c r="K10413" t="str">
        <v>+</v>
      </c>
      <c r="L10413">
        <f>MAX(VLOOKUP(F10413,N$6:P$15,3,FALSE)/1000,2/3*D10408/1000)+F$16*F10413/1000</f>
        <v>0.156</v>
      </c>
      <c r="M10413" t="str">
        <v>=</v>
      </c>
      <c r="N10413">
        <f>J10413+L10413</f>
        <v>1.61475</v>
      </c>
      <c r="O10413" t="str">
        <v>+</v>
      </c>
      <c r="P10413">
        <f>D10413-D10412</f>
        <v>0</v>
      </c>
      <c r="Q10413" t="str">
        <v>x</v>
      </c>
      <c r="R10413">
        <f>IF(P10413&gt;0,$F$18*F10413/1000,0)</f>
        <v>0</v>
      </c>
      <c r="S10413" t="str">
        <v>)</v>
      </c>
      <c r="T10413" t="str">
        <v>x</v>
      </c>
      <c r="U10413">
        <f>0.006165*F10413^2</f>
        <v>1.041885</v>
      </c>
      <c r="X10413" t="str">
        <v>x</v>
      </c>
      <c r="Y10413">
        <f>D10410</f>
        <v>1</v>
      </c>
      <c r="Z10413" t="str">
        <v>=</v>
      </c>
      <c r="AA10413">
        <f>IF(AA10414=0,(D10413*N10413+P10413*R10413)*U10413*Y10413,0)</f>
        <v>0</v>
      </c>
    </row>
    <row r="10414">
      <c r="A10414" t="str">
        <f>A10404</f>
        <v>Lantai Atap</v>
      </c>
      <c r="B10414">
        <f>B10404</f>
        <v>6</v>
      </c>
      <c r="D10414">
        <f>IF(AND(D10411=D10412,D10412=D10413,D10411=D10413),D10411,0)</f>
        <v>2</v>
      </c>
      <c r="E10414" t="str">
        <v>D</v>
      </c>
      <c r="F10414">
        <f>IF(AND(F10411=F10412,F10411=F10413,F10412=F10413),F10411,0)</f>
        <v>13</v>
      </c>
      <c r="L10414" t="str">
        <v>Total panjang per balok</v>
      </c>
      <c r="M10414" t="str">
        <v>=</v>
      </c>
      <c r="N10414">
        <f>IF(AND(D10411=D10412,D10411=D10413,D10412=D10413,F10411=F10412,F10411=F10413,F10412=F10413),SUM(N10411:N10413),0)</f>
        <v>6.146999999999999</v>
      </c>
      <c r="O10414" t="str">
        <v>+</v>
      </c>
      <c r="P10414">
        <f>IF(N10414&gt;12,ROUNDDOWN(N10414/12,0),0)</f>
        <v>0</v>
      </c>
      <c r="Q10414" t="str">
        <v>x</v>
      </c>
      <c r="R10414">
        <f>IF(P10414&gt;0,MAX(VLOOKUP(F10414,$D$6:$G$15,3,FALSE),600),0)/1000</f>
        <v>0</v>
      </c>
      <c r="T10414" t="str">
        <v>x</v>
      </c>
      <c r="U10414">
        <f>U10413</f>
        <v>1.041885</v>
      </c>
      <c r="V10414" t="str">
        <v>x</v>
      </c>
      <c r="W10414">
        <f>D10414</f>
        <v>2</v>
      </c>
      <c r="X10414" t="str">
        <v>x</v>
      </c>
      <c r="Y10414">
        <f>Y10413</f>
        <v>1</v>
      </c>
      <c r="Z10414" t="str">
        <v>=</v>
      </c>
      <c r="AA10414">
        <f>(N10414+P10414*R10414/1000)*U10414*W10414*Y10414</f>
        <v>12.808934189999999</v>
      </c>
    </row>
    <row r="10416">
      <c r="A10416" t="str">
        <f>A10404</f>
        <v>Lantai Atap</v>
      </c>
      <c r="B10416">
        <f>B10404</f>
        <v>6</v>
      </c>
      <c r="C10416" t="str">
        <v>Tul Peminggang</v>
      </c>
      <c r="D10416">
        <f>VLOOKUP(D10404,'Detail Balok'!$C$10:$AU$110,13,FALSE)</f>
        <v>2</v>
      </c>
      <c r="E10416" t="str">
        <v>D</v>
      </c>
      <c r="F10416">
        <f>VLOOKUP(D10404,'Detail Balok'!$C$10:$AU$110,15,FALSE)</f>
        <v>8</v>
      </c>
      <c r="J10416">
        <f>+D10406/1000</f>
        <v>5.835</v>
      </c>
      <c r="K10416" t="str">
        <v>+</v>
      </c>
      <c r="L10416">
        <f>2*$F$16*F10416/1000</f>
        <v>0.192</v>
      </c>
      <c r="M10416" t="str">
        <v>=</v>
      </c>
      <c r="N10416">
        <f>J10416+L10416</f>
        <v>6.027</v>
      </c>
      <c r="O10416" t="str">
        <v>+</v>
      </c>
      <c r="P10416">
        <f>IF(N10416&gt;12,ROUNDDOWN(N10416/12,0),0)</f>
        <v>0</v>
      </c>
      <c r="Q10416" t="str">
        <v>x</v>
      </c>
      <c r="R10416">
        <f>IF(P10416&gt;0,MAX(VLOOKUP(F10416,$D$6:$G$15,3,FALSE),600),0)/1000</f>
        <v>0</v>
      </c>
      <c r="T10416" t="str">
        <v>x</v>
      </c>
      <c r="U10416">
        <f>0.006165*F10416^2</f>
        <v>0.39456</v>
      </c>
      <c r="V10416" t="str">
        <v>x</v>
      </c>
      <c r="W10416">
        <f>+D10416</f>
        <v>2</v>
      </c>
      <c r="X10416" t="str">
        <v>x</v>
      </c>
      <c r="Y10416">
        <f>D10410</f>
        <v>1</v>
      </c>
      <c r="Z10416" t="str">
        <v>=</v>
      </c>
      <c r="AA10416">
        <f>(N10416+P10416*R10416/1000)*U10416*W10416*Y10416</f>
        <v>4.756026240000001</v>
      </c>
    </row>
    <row r="10419">
      <c r="A10419" t="str">
        <f>A10404</f>
        <v>Lantai Atap</v>
      </c>
      <c r="B10419">
        <f>B10404</f>
        <v>6</v>
      </c>
      <c r="C10419" t="str">
        <v>Tul Bawah Tumpuan</v>
      </c>
      <c r="D10419">
        <f>VLOOKUP(D10404,'Detail Balok'!$C$10:$AU$110,22,FALSE)</f>
        <v>2</v>
      </c>
      <c r="E10419" t="str">
        <v>D</v>
      </c>
      <c r="F10419">
        <f>VLOOKUP(D10404,'Detail Balok'!$C$10:$AU$110,24,FALSE)</f>
        <v>13</v>
      </c>
      <c r="I10419" t="str">
        <v>(</v>
      </c>
      <c r="J10419">
        <f>+J10411</f>
        <v>1.45875</v>
      </c>
      <c r="K10419" t="str">
        <v>+</v>
      </c>
      <c r="L10419">
        <f>MAX(VLOOKUP(F10419,N$6:P$15,3,FALSE)/1000,2/3*D10409/1000)+F$16*F10419/1000</f>
        <v>0.156</v>
      </c>
      <c r="M10419" t="str">
        <v>=</v>
      </c>
      <c r="N10419">
        <f>J10419+L10419</f>
        <v>1.61475</v>
      </c>
      <c r="O10419" t="str">
        <v>+</v>
      </c>
      <c r="P10419">
        <f>D10419-D10420</f>
        <v>0</v>
      </c>
      <c r="Q10419" t="str">
        <v>x</v>
      </c>
      <c r="R10419">
        <f>IF(P10419&gt;0,$F$18*F10419/1000,0)</f>
        <v>0</v>
      </c>
      <c r="S10419" t="str">
        <v>)</v>
      </c>
      <c r="T10419" t="str">
        <v>x</v>
      </c>
      <c r="U10419">
        <f>0.006165*F10419^2</f>
        <v>1.041885</v>
      </c>
      <c r="X10419" t="str">
        <v>x</v>
      </c>
      <c r="Y10419">
        <f>D10410</f>
        <v>1</v>
      </c>
      <c r="Z10419" t="str">
        <v>=</v>
      </c>
      <c r="AA10419">
        <f>IF(AA10422=0,(D10419*N10419+P10419*R10419)*U10419*Y10419,0)</f>
        <v>0</v>
      </c>
    </row>
    <row r="10420">
      <c r="A10420" t="str">
        <f>A10404</f>
        <v>Lantai Atap</v>
      </c>
      <c r="B10420">
        <f>B10404</f>
        <v>6</v>
      </c>
      <c r="C10420" t="str">
        <v>Tul Bawah Lapangan</v>
      </c>
      <c r="D10420">
        <f>VLOOKUP(D10404,'Detail Balok'!$C$10:$AU$110,25,FALSE)</f>
        <v>2</v>
      </c>
      <c r="E10420" t="str">
        <v>D</v>
      </c>
      <c r="F10420">
        <f>VLOOKUP(D10404,'Detail Balok'!$C$10:$AU$110,27,FALSE)</f>
        <v>13</v>
      </c>
      <c r="I10420" t="str">
        <v>(</v>
      </c>
      <c r="J10420">
        <f>+J10412</f>
        <v>2.9175</v>
      </c>
      <c r="K10420" t="str">
        <v>+</v>
      </c>
      <c r="M10420" t="str">
        <v>=</v>
      </c>
      <c r="N10420">
        <f>J10420+L10420</f>
        <v>2.9175</v>
      </c>
      <c r="O10420" t="str">
        <v>+</v>
      </c>
      <c r="P10420">
        <f>MAX(D10420-D10419,D10420-D10421)</f>
        <v>0</v>
      </c>
      <c r="Q10420" t="str">
        <v>x</v>
      </c>
      <c r="R10420">
        <f>IF(P10420&gt;0,2*(1-2*$F$19-1/2)*D10407/1000,0)</f>
        <v>0</v>
      </c>
      <c r="S10420" t="str">
        <v>)</v>
      </c>
      <c r="T10420" t="str">
        <v>x</v>
      </c>
      <c r="U10420">
        <f>0.006165*F10420^2</f>
        <v>1.041885</v>
      </c>
      <c r="X10420" t="str">
        <v>x</v>
      </c>
      <c r="Y10420">
        <f>D10410</f>
        <v>1</v>
      </c>
      <c r="Z10420" t="str">
        <v>=</v>
      </c>
      <c r="AA10420">
        <f>IF(AA10422=0,(D10420*N10420+P10420*R10420)*U10420*Y10420,0)</f>
        <v>0</v>
      </c>
    </row>
    <row r="10421">
      <c r="A10421" t="str">
        <f>A10404</f>
        <v>Lantai Atap</v>
      </c>
      <c r="B10421">
        <f>B10404</f>
        <v>6</v>
      </c>
      <c r="C10421" t="str">
        <v>Tul Bawah Tumpuan</v>
      </c>
      <c r="D10421">
        <f>VLOOKUP(D10404,'Detail Balok'!$C$10:$AU$110,28,FALSE)</f>
        <v>2</v>
      </c>
      <c r="E10421" t="str">
        <v>D</v>
      </c>
      <c r="F10421">
        <f>VLOOKUP(D10404,'Detail Balok'!$C$10:$AU$110,30,FALSE)</f>
        <v>13</v>
      </c>
      <c r="I10421" t="str">
        <v>(</v>
      </c>
      <c r="J10421">
        <f>+J10413</f>
        <v>1.45875</v>
      </c>
      <c r="K10421" t="str">
        <v>+</v>
      </c>
      <c r="L10421">
        <f>MAX(VLOOKUP(F10421,N$6:P$15,3,FALSE)/1000,2/3*D10409/1000)+F$16*F10421/1000</f>
        <v>0.156</v>
      </c>
      <c r="M10421" t="str">
        <v>=</v>
      </c>
      <c r="N10421">
        <f>J10421+L10421</f>
        <v>1.61475</v>
      </c>
      <c r="O10421" t="str">
        <v>+</v>
      </c>
      <c r="P10421">
        <f>D10421-D10420</f>
        <v>0</v>
      </c>
      <c r="Q10421" t="str">
        <v>x</v>
      </c>
      <c r="R10421">
        <f>IF(P10421&gt;0,$F$18*F10421/1000,0)</f>
        <v>0</v>
      </c>
      <c r="S10421" t="str">
        <v>)</v>
      </c>
      <c r="T10421" t="str">
        <v>x</v>
      </c>
      <c r="U10421">
        <f>0.006165*F10421^2</f>
        <v>1.041885</v>
      </c>
      <c r="X10421" t="str">
        <v>x</v>
      </c>
      <c r="Y10421">
        <f>D10410</f>
        <v>1</v>
      </c>
      <c r="Z10421" t="str">
        <v>=</v>
      </c>
      <c r="AA10421">
        <f>IF(AA10422=0,(D10421*N10421+P10421*R10421)*U10421*Y10421,0)</f>
        <v>0</v>
      </c>
    </row>
    <row r="10422">
      <c r="A10422" t="str">
        <f>A10404</f>
        <v>Lantai Atap</v>
      </c>
      <c r="B10422">
        <f>B10404</f>
        <v>6</v>
      </c>
      <c r="D10422">
        <f>IF(AND(D10419=D10420,D10420=D10421,D10419=D10421),D10419,0)</f>
        <v>2</v>
      </c>
      <c r="E10422" t="str">
        <v>D</v>
      </c>
      <c r="F10422">
        <f>IF(AND(F10419=F10420,F10419=F10421,F10420=F10421),F10419,0)</f>
        <v>13</v>
      </c>
      <c r="L10422" t="str">
        <v>Total panjang per balok</v>
      </c>
      <c r="M10422" t="str">
        <v>=</v>
      </c>
      <c r="N10422">
        <f>IF(AND(D10419=D10420,D10419=D10421,D10420=D10421,F10419=F10420,F10419=F10421,F10420=F10421),SUM(N10419:N10421),0)</f>
        <v>6.146999999999999</v>
      </c>
      <c r="O10422" t="str">
        <v>+</v>
      </c>
      <c r="P10422">
        <f>IF(N10422&gt;12,ROUNDDOWN(N10422/12,0),0)</f>
        <v>0</v>
      </c>
      <c r="Q10422" t="str">
        <v>x</v>
      </c>
      <c r="R10422">
        <f>IF(P10422&gt;0,MAX(VLOOKUP(F10422,$D$6:$G$15,3,FALSE),600),0)/1000</f>
        <v>0</v>
      </c>
      <c r="T10422" t="str">
        <v>x</v>
      </c>
      <c r="U10422">
        <f>U10421</f>
        <v>1.041885</v>
      </c>
      <c r="V10422" t="str">
        <v>x</v>
      </c>
      <c r="W10422">
        <f>D10422</f>
        <v>2</v>
      </c>
      <c r="X10422" t="str">
        <v>x</v>
      </c>
      <c r="Y10422">
        <f>Y10421</f>
        <v>1</v>
      </c>
      <c r="Z10422" t="str">
        <v>=</v>
      </c>
      <c r="AA10422">
        <f>(N10422+P10422*R10422/1000)*U10422*W10422*Y10422</f>
        <v>12.808934189999999</v>
      </c>
    </row>
    <row r="10424">
      <c r="A10424" t="str">
        <f>A10404</f>
        <v>Lantai Atap</v>
      </c>
      <c r="B10424">
        <f>B10404</f>
        <v>6</v>
      </c>
      <c r="C10424" t="str">
        <v>Sengkang Tumpuan</v>
      </c>
      <c r="D10424">
        <f>VLOOKUP(D10404,'Detail Balok'!$C$10:$AU$110,31,FALSE)</f>
        <v>0</v>
      </c>
      <c r="E10424" t="str">
        <v>D</v>
      </c>
      <c r="F10424">
        <f>VLOOKUP(D10404,'Detail Balok'!$C$10:$AU$110,33,FALSE)</f>
        <v>8</v>
      </c>
      <c r="G10424" t="str">
        <v>-</v>
      </c>
      <c r="H10424">
        <f>VLOOKUP(D10404,'Detail Balok'!$C$10:$AU$110,35,FALSE)</f>
        <v>100</v>
      </c>
      <c r="J10424">
        <f>(IF(D10424=0,(2*(D10405+G10405))-(F$5*8),IF(D10424=3,(2*(D10405+G10405))-(F$5*8)+(G10405-2*F$5),IF(D10424=4,(2*(D10405+G10405))-(F$5*8)+2*(G10405-2*F$5)))))/1000</f>
        <v>0.98</v>
      </c>
      <c r="K10424" t="str">
        <v>+</v>
      </c>
      <c r="L10424">
        <f>IF(D10424=0,2*MAX(6*F10424,75),(D10424-1)*2*MAX(6*F10424,75))/1000</f>
        <v>0.15</v>
      </c>
      <c r="M10424" t="str">
        <v>=</v>
      </c>
      <c r="N10424">
        <f>J10424+L10424</f>
        <v>1.13</v>
      </c>
      <c r="T10424" t="str">
        <v>x</v>
      </c>
      <c r="U10424">
        <f>0.006165*F10424^2</f>
        <v>0.39456</v>
      </c>
      <c r="V10424" t="str">
        <v>x</v>
      </c>
      <c r="W10424">
        <f>IF(D10407&gt;4*G10405,ROUND(MAX(D10407/4,2*G10405)/H10424,0)+1,ROUND(D10407/H10424,0)+1)</f>
        <v>16</v>
      </c>
      <c r="X10424" t="str">
        <v>x</v>
      </c>
      <c r="Y10424">
        <f>D10410</f>
        <v>1</v>
      </c>
      <c r="Z10424" t="str">
        <v>=</v>
      </c>
      <c r="AA10424">
        <f>N10424*U10424*W10424*Y10424</f>
        <v>7.1336448</v>
      </c>
    </row>
    <row r="10425">
      <c r="A10425" t="str">
        <f>A10404</f>
        <v>Lantai Atap</v>
      </c>
      <c r="B10425">
        <f>B10404</f>
        <v>6</v>
      </c>
      <c r="C10425" t="str">
        <v>Sengkang Lapangan</v>
      </c>
      <c r="D10425">
        <f>VLOOKUP(D10404,'Detail Balok'!$C$10:$AU$110,36,FALSE)</f>
        <v>0</v>
      </c>
      <c r="E10425" t="str">
        <v>D</v>
      </c>
      <c r="F10425">
        <f>VLOOKUP(D10404,'Detail Balok'!$C$10:$AU$110,38,FALSE)</f>
        <v>8</v>
      </c>
      <c r="G10425" t="str">
        <v>-</v>
      </c>
      <c r="H10425">
        <f>VLOOKUP(D10404,'Detail Balok'!$C$10:$AU$110,40,FALSE)</f>
        <v>200</v>
      </c>
      <c r="J10425">
        <f>(IF(D10425=0,(2*(D10405+G10405))-(F$5*8),IF(D10425=3,(2*(D10405+G10405))-(F$5*8)+(G10405-2*F$5),IF(D10425=4,(2*(D10405+G10405))-(F$5*8)+2*(G10405-2*F$5)))))/1000</f>
        <v>0.98</v>
      </c>
      <c r="K10425" t="str">
        <v>+</v>
      </c>
      <c r="L10425">
        <f>IF(D10425=0,2*MAX(6*F10425,75),(D10425-1)*2*MAX(6*F10425,75))/1000</f>
        <v>0.15</v>
      </c>
      <c r="M10425" t="str">
        <v>=</v>
      </c>
      <c r="N10425">
        <f>J10425+L10425</f>
        <v>1.13</v>
      </c>
      <c r="T10425" t="str">
        <v>x</v>
      </c>
      <c r="U10425">
        <f>0.006165*F10425^2</f>
        <v>0.39456</v>
      </c>
      <c r="V10425" t="str">
        <v>x</v>
      </c>
      <c r="W10425">
        <f>IF(D10407-MAX(D10407/4,2*G10405)*2&gt;0,ROUND((D10407-MAX(D10407/4,2*G10405)*2)/H10425,0),0)</f>
        <v>15</v>
      </c>
      <c r="X10425" t="str">
        <v>x</v>
      </c>
      <c r="Y10425">
        <f>D10410</f>
        <v>1</v>
      </c>
      <c r="Z10425" t="str">
        <v>=</v>
      </c>
      <c r="AA10425">
        <f>N10425*U10425*W10425*Y10425</f>
        <v>6.687792</v>
      </c>
    </row>
    <row r="10426">
      <c r="A10426" t="str">
        <f>A10404</f>
        <v>Lantai Atap</v>
      </c>
      <c r="B10426">
        <f>B10404</f>
        <v>6</v>
      </c>
      <c r="C10426" t="str">
        <v>Sengkang Tumpuan</v>
      </c>
      <c r="D10426">
        <f>VLOOKUP(D10404,'Detail Balok'!$C$10:$AU$110,41,FALSE)</f>
        <v>0</v>
      </c>
      <c r="E10426" t="str">
        <v>D</v>
      </c>
      <c r="F10426">
        <f>VLOOKUP(D10404,'Detail Balok'!$C$10:$AU$110,43,FALSE)</f>
        <v>8</v>
      </c>
      <c r="G10426" t="str">
        <v>-</v>
      </c>
      <c r="H10426">
        <f>VLOOKUP(D10404,'Detail Balok'!$C$10:$AU$110,45,FALSE)</f>
        <v>100</v>
      </c>
      <c r="J10426">
        <f>(IF(D10426=0,(2*(D10405+G10405))-(F$5*8),IF(D10426=3,(2*(D10405+G10405))-(F$5*8)+(G10405-2*F$5),IF(D10426=4,(2*(D10405+G10405))-(F$5*8)+2*(G10405-2*F$5)))))/1000</f>
        <v>0.98</v>
      </c>
      <c r="K10426" t="str">
        <v>+</v>
      </c>
      <c r="L10426">
        <f>IF(D10426=0,2*MAX(6*F10426,75),(D10426-1)*2*MAX(6*F10426,75))/1000</f>
        <v>0.15</v>
      </c>
      <c r="M10426" t="str">
        <v>=</v>
      </c>
      <c r="N10426">
        <f>J10426+L10426</f>
        <v>1.13</v>
      </c>
      <c r="T10426" t="str">
        <v>x</v>
      </c>
      <c r="U10426">
        <f>0.006165*F10426^2</f>
        <v>0.39456</v>
      </c>
      <c r="V10426" t="str">
        <v>x</v>
      </c>
      <c r="W10426">
        <f>IF(D10407&gt;4*G10405,ROUND(MAX(D10407/4,2*G10405)/H10426,0)+1,0)</f>
        <v>16</v>
      </c>
      <c r="X10426" t="str">
        <v>x</v>
      </c>
      <c r="Y10426">
        <f>D10410</f>
        <v>1</v>
      </c>
      <c r="Z10426" t="str">
        <v>=</v>
      </c>
      <c r="AA10426">
        <f>N10426*U10426*W10426*Y10426</f>
        <v>7.1336448</v>
      </c>
    </row>
    <row r="10428">
      <c r="A10428" t="str">
        <f>A10404</f>
        <v>Lantai Atap</v>
      </c>
      <c r="B10428">
        <f>B10404</f>
        <v>6</v>
      </c>
      <c r="C10428" t="str">
        <v>Kait Horizontal Tump.</v>
      </c>
      <c r="D10428">
        <f>VLOOKUP(D10404,'Detail Balok'!$C$10:$BJ$110,46,FALSE)</f>
        <v>0</v>
      </c>
      <c r="E10428" t="str">
        <v>D</v>
      </c>
      <c r="F10428">
        <f>VLOOKUP(D10404,'Detail Balok'!$C$10:$BJ$110,48,FALSE)</f>
        <v>0</v>
      </c>
      <c r="G10428" t="str">
        <v>-</v>
      </c>
      <c r="H10428">
        <f>VLOOKUP(D10404,'Detail Balok'!$C$10:$BJ$110,50,FALSE)</f>
        <v>100</v>
      </c>
      <c r="J10428">
        <f>(D10405-2*F$5)/1000</f>
        <v>0.12</v>
      </c>
      <c r="K10428" t="str">
        <v>+</v>
      </c>
      <c r="L10428">
        <f>IF(D10428=0,2*MAX(6*F10428,75),(D10428-1)*2*MAX(6*F10428,75))/1000</f>
        <v>0.15</v>
      </c>
      <c r="M10428" t="str">
        <v>=</v>
      </c>
      <c r="N10428">
        <f>J10428+L10428</f>
        <v>0.27</v>
      </c>
      <c r="T10428" t="str">
        <v>x</v>
      </c>
      <c r="U10428">
        <f>0.006165*F10428^2</f>
        <v>0</v>
      </c>
      <c r="V10428" t="str">
        <v>x</v>
      </c>
      <c r="W10428">
        <f>W10424</f>
        <v>16</v>
      </c>
      <c r="X10428" t="str">
        <v>x</v>
      </c>
      <c r="Y10428">
        <f>D10414</f>
        <v>2</v>
      </c>
      <c r="Z10428" t="str">
        <v>=</v>
      </c>
      <c r="AA10428">
        <f>N10428*U10428*W10428*Y10428</f>
        <v>0</v>
      </c>
    </row>
    <row r="10429">
      <c r="A10429" t="str">
        <f>A10404</f>
        <v>Lantai Atap</v>
      </c>
      <c r="B10429">
        <f>B10404</f>
        <v>6</v>
      </c>
      <c r="C10429" t="str">
        <v>Kait Horizontal Lap.</v>
      </c>
      <c r="D10429">
        <f>VLOOKUP(D10404,'Detail Balok'!$C$10:$BJ$110,51,FALSE)</f>
        <v>0</v>
      </c>
      <c r="E10429" t="str">
        <v>D</v>
      </c>
      <c r="F10429">
        <f>VLOOKUP(D10404,'Detail Balok'!$C$10:$BJ$110,53,FALSE)</f>
        <v>0</v>
      </c>
      <c r="G10429" t="str">
        <v>-</v>
      </c>
      <c r="H10429">
        <f>VLOOKUP(D10404,'Detail Balok'!$C$10:$BJ$110,55,FALSE)</f>
        <v>100</v>
      </c>
      <c r="J10429">
        <f>(D10405-2*F$5)/1000</f>
        <v>0.12</v>
      </c>
      <c r="K10429" t="str">
        <v>+</v>
      </c>
      <c r="L10429">
        <f>IF(D10429=0,2*MAX(6*F10429,75),(D10429-1)*2*MAX(6*F10429,75))/1000</f>
        <v>0.15</v>
      </c>
      <c r="M10429" t="str">
        <v>=</v>
      </c>
      <c r="N10429">
        <f>J10429+L10429</f>
        <v>0.27</v>
      </c>
      <c r="T10429" t="str">
        <v>x</v>
      </c>
      <c r="U10429">
        <f>0.006165*F10429^2</f>
        <v>0</v>
      </c>
      <c r="V10429" t="str">
        <v>x</v>
      </c>
      <c r="W10429">
        <f>W10425</f>
        <v>15</v>
      </c>
      <c r="X10429" t="str">
        <v>x</v>
      </c>
      <c r="Y10429">
        <f>D10414</f>
        <v>2</v>
      </c>
      <c r="Z10429" t="str">
        <v>=</v>
      </c>
      <c r="AA10429">
        <f>N10429*U10429*W10429*Y10429</f>
        <v>0</v>
      </c>
    </row>
    <row r="10430">
      <c r="A10430" t="str">
        <f>A10404</f>
        <v>Lantai Atap</v>
      </c>
      <c r="B10430">
        <f>B10404</f>
        <v>6</v>
      </c>
      <c r="C10430" t="str">
        <v>Kait Horizontal Tump.</v>
      </c>
      <c r="D10430">
        <f>VLOOKUP(D10404,'Detail Balok'!$C$10:$BJ$110,56,FALSE)</f>
        <v>0</v>
      </c>
      <c r="E10430" t="str">
        <v>D</v>
      </c>
      <c r="F10430">
        <f>VLOOKUP(D10404,'Detail Balok'!$C$10:$BJ$110,58,FALSE)</f>
        <v>0</v>
      </c>
      <c r="G10430" t="str">
        <v>-</v>
      </c>
      <c r="H10430">
        <f>VLOOKUP(D10404,'Detail Balok'!$C$10:$BJ$110,60,FALSE)</f>
        <v>100</v>
      </c>
      <c r="J10430">
        <f>(D10405-2*F$5)/1000</f>
        <v>0.12</v>
      </c>
      <c r="K10430" t="str">
        <v>+</v>
      </c>
      <c r="L10430">
        <f>IF(D10430=0,2*MAX(6*F10430,75),(D10430-1)*2*MAX(6*F10430,75))/1000</f>
        <v>0.15</v>
      </c>
      <c r="M10430" t="str">
        <v>=</v>
      </c>
      <c r="N10430">
        <f>J10430+L10430</f>
        <v>0.27</v>
      </c>
      <c r="T10430" t="str">
        <v>x</v>
      </c>
      <c r="U10430">
        <f>0.006165*F10430^2</f>
        <v>0</v>
      </c>
      <c r="V10430" t="str">
        <v>x</v>
      </c>
      <c r="W10430">
        <f>W10426</f>
        <v>16</v>
      </c>
      <c r="X10430" t="str">
        <v>x</v>
      </c>
      <c r="Y10430">
        <f>D10414</f>
        <v>2</v>
      </c>
      <c r="Z10430" t="str">
        <v>=</v>
      </c>
      <c r="AA10430">
        <f>N10430*U10430*W10430*Y10430</f>
        <v>0</v>
      </c>
    </row>
    <row r="10434">
      <c r="A10434" t="str">
        <f>A10404</f>
        <v>Lantai Atap</v>
      </c>
      <c r="B10434">
        <f>B10404+1</f>
        <v>7</v>
      </c>
      <c r="C10434" t="str">
        <f>CONCATENATE(A10434," no. ",B10434)</f>
        <v>Lantai Atap no. 7</v>
      </c>
      <c r="D10434" t="str">
        <f>VLOOKUP(C10434,'Data Panjang Balok'!$C$9:$N$424,2,FALSE)</f>
        <v>Potongan L</v>
      </c>
    </row>
    <row r="10435">
      <c r="C10435" t="str">
        <v>Dimensi</v>
      </c>
      <c r="D10435">
        <f>VLOOKUP(D10434,'Detail Balok'!$C$10:$AU$110,2,FALSE)</f>
        <v>200</v>
      </c>
      <c r="F10435" t="str">
        <v>x</v>
      </c>
      <c r="G10435">
        <f>VLOOKUP(D10434,'Detail Balok'!$C$10:$AU$110,3,FALSE)</f>
        <v>450</v>
      </c>
    </row>
    <row r="10436">
      <c r="C10436" t="str">
        <v>Panjang as ke as</v>
      </c>
      <c r="D10436">
        <f>VLOOKUP(C10434,'Data Panjang Balok'!$C$9:$N$424,4,FALSE)</f>
        <v>1265</v>
      </c>
    </row>
    <row r="10437">
      <c r="C10437" t="str">
        <v>Panjang netto</v>
      </c>
      <c r="D10437">
        <f>VLOOKUP(C10434,'Data Panjang Balok'!$C$9:$N$424,7,FALSE)</f>
        <v>1265</v>
      </c>
    </row>
    <row r="10438">
      <c r="C10438" t="str">
        <v>Kolom / balok kiri</v>
      </c>
      <c r="D10438">
        <f>VLOOKUP(C10434,'Data Panjang Balok'!$C$9:$N$424,9,FALSE)</f>
        <v>0</v>
      </c>
    </row>
    <row r="10439">
      <c r="C10439" t="str">
        <v>Kolom / balok kanan</v>
      </c>
      <c r="D10439">
        <f>VLOOKUP(C10434,'Data Panjang Balok'!$C$9:$N$424,10,FALSE)</f>
        <v>0</v>
      </c>
    </row>
    <row r="10440">
      <c r="C10440" t="str">
        <v>Jumlah</v>
      </c>
      <c r="D10440">
        <f>VLOOKUP(C10434,'Data Panjang Balok'!$C$9:$N$424,3,FALSE)</f>
        <v>1</v>
      </c>
    </row>
    <row r="10441">
      <c r="A10441" t="str">
        <f>A10434</f>
        <v>Lantai Atap</v>
      </c>
      <c r="B10441">
        <f>B10434</f>
        <v>7</v>
      </c>
      <c r="C10441" t="str">
        <v>Tul Atas Tumpuan</v>
      </c>
      <c r="D10441">
        <f>VLOOKUP(D10434,'Detail Balok'!$C$10:$AU$110,4,FALSE)</f>
        <v>3</v>
      </c>
      <c r="E10441" t="str">
        <v>D</v>
      </c>
      <c r="F10441">
        <f>VLOOKUP(D10434,'Detail Balok'!$C$10:$AU$110,6,FALSE)</f>
        <v>13</v>
      </c>
      <c r="I10441" t="str">
        <v>(</v>
      </c>
      <c r="J10441">
        <f>+D10436/4/1000</f>
        <v>0.31625</v>
      </c>
      <c r="K10441" t="str">
        <v>+</v>
      </c>
      <c r="L10441">
        <f>MAX(VLOOKUP(F10441,N$6:P$15,3,FALSE)/1000,2/3*D10438/1000)+F$16*F10441/1000</f>
        <v>0.156</v>
      </c>
      <c r="M10441" t="str">
        <v>=</v>
      </c>
      <c r="N10441">
        <f>J10441+L10441</f>
        <v>0.47224999999999995</v>
      </c>
      <c r="O10441" t="str">
        <v>+</v>
      </c>
      <c r="P10441">
        <f>D10441-D10442</f>
        <v>0</v>
      </c>
      <c r="Q10441" t="str">
        <v>x</v>
      </c>
      <c r="R10441">
        <f>IF(P10441&gt;0,$F$18*F10441/1000,0)</f>
        <v>0</v>
      </c>
      <c r="S10441" t="str">
        <v>)</v>
      </c>
      <c r="T10441" t="str">
        <v>x</v>
      </c>
      <c r="U10441">
        <f>0.006165*F10441^2</f>
        <v>1.041885</v>
      </c>
      <c r="X10441" t="str">
        <v>x</v>
      </c>
      <c r="Y10441">
        <f>D10440</f>
        <v>1</v>
      </c>
      <c r="Z10441" t="str">
        <v>=</v>
      </c>
      <c r="AA10441">
        <f>IF(AA10444=0,(D10441*N10441+P10441*R10441)*U10441*Y10441,0)</f>
        <v>0</v>
      </c>
    </row>
    <row r="10442">
      <c r="A10442" t="str">
        <f>A10434</f>
        <v>Lantai Atap</v>
      </c>
      <c r="B10442">
        <f>B10434</f>
        <v>7</v>
      </c>
      <c r="C10442" t="str">
        <v>Tul Atas Lapangan</v>
      </c>
      <c r="D10442">
        <f>VLOOKUP(D10434,'Detail Balok'!$C$10:$AU$110,7,FALSE)</f>
        <v>3</v>
      </c>
      <c r="E10442" t="str">
        <v>D</v>
      </c>
      <c r="F10442">
        <f>VLOOKUP(D10434,'Detail Balok'!$C$10:$AU$110,9,FALSE)</f>
        <v>13</v>
      </c>
      <c r="I10442" t="str">
        <v>(</v>
      </c>
      <c r="J10442">
        <f>+D10436/2/1000</f>
        <v>0.6325</v>
      </c>
      <c r="K10442" t="str">
        <v>+</v>
      </c>
      <c r="M10442" t="str">
        <v>=</v>
      </c>
      <c r="N10442">
        <f>J10442+L10442</f>
        <v>0.6325</v>
      </c>
      <c r="O10442" t="str">
        <v>+</v>
      </c>
      <c r="P10442">
        <f>MAX(D10442-D10441,D10442-D10443)</f>
        <v>0</v>
      </c>
      <c r="Q10442" t="str">
        <v>x</v>
      </c>
      <c r="R10442">
        <f>IF(P10442&gt;0,2*(1-2*$F$19-1/2)*D10437/1000,0)</f>
        <v>0</v>
      </c>
      <c r="S10442" t="str">
        <v>)</v>
      </c>
      <c r="T10442" t="str">
        <v>x</v>
      </c>
      <c r="U10442">
        <f>0.006165*F10442^2</f>
        <v>1.041885</v>
      </c>
      <c r="X10442" t="str">
        <v>x</v>
      </c>
      <c r="Y10442">
        <f>D10440</f>
        <v>1</v>
      </c>
      <c r="Z10442" t="str">
        <v>=</v>
      </c>
      <c r="AA10442">
        <f>IF(AA10444=0,(D10442*N10442+P10442*R10442)*U10442*Y10442,0)</f>
        <v>0</v>
      </c>
    </row>
    <row r="10443">
      <c r="A10443" t="str">
        <f>A10434</f>
        <v>Lantai Atap</v>
      </c>
      <c r="B10443">
        <f>B10434</f>
        <v>7</v>
      </c>
      <c r="C10443" t="str">
        <v>Tul Atas Tumpuan</v>
      </c>
      <c r="D10443">
        <f>VLOOKUP(D10434,'Detail Balok'!$C$10:$AU$110,10,FALSE)</f>
        <v>3</v>
      </c>
      <c r="E10443" t="str">
        <v>D</v>
      </c>
      <c r="F10443">
        <f>VLOOKUP(D10434,'Detail Balok'!$C$10:$AU$110,12,FALSE)</f>
        <v>13</v>
      </c>
      <c r="I10443" t="str">
        <v>(</v>
      </c>
      <c r="J10443">
        <f>+D10436/4/1000</f>
        <v>0.31625</v>
      </c>
      <c r="K10443" t="str">
        <v>+</v>
      </c>
      <c r="L10443">
        <f>MAX(VLOOKUP(F10443,N$6:P$15,3,FALSE)/1000,2/3*D10438/1000)+F$16*F10443/1000</f>
        <v>0.156</v>
      </c>
      <c r="M10443" t="str">
        <v>=</v>
      </c>
      <c r="N10443">
        <f>J10443+L10443</f>
        <v>0.47224999999999995</v>
      </c>
      <c r="O10443" t="str">
        <v>+</v>
      </c>
      <c r="P10443">
        <f>D10443-D10442</f>
        <v>0</v>
      </c>
      <c r="Q10443" t="str">
        <v>x</v>
      </c>
      <c r="R10443">
        <f>IF(P10443&gt;0,$F$18*F10443/1000,0)</f>
        <v>0</v>
      </c>
      <c r="S10443" t="str">
        <v>)</v>
      </c>
      <c r="T10443" t="str">
        <v>x</v>
      </c>
      <c r="U10443">
        <f>0.006165*F10443^2</f>
        <v>1.041885</v>
      </c>
      <c r="X10443" t="str">
        <v>x</v>
      </c>
      <c r="Y10443">
        <f>D10440</f>
        <v>1</v>
      </c>
      <c r="Z10443" t="str">
        <v>=</v>
      </c>
      <c r="AA10443">
        <f>IF(AA10444=0,(D10443*N10443+P10443*R10443)*U10443*Y10443,0)</f>
        <v>0</v>
      </c>
    </row>
    <row r="10444">
      <c r="A10444" t="str">
        <f>A10434</f>
        <v>Lantai Atap</v>
      </c>
      <c r="B10444">
        <f>B10434</f>
        <v>7</v>
      </c>
      <c r="D10444">
        <f>IF(AND(D10441=D10442,D10442=D10443,D10441=D10443),D10441,0)</f>
        <v>3</v>
      </c>
      <c r="E10444" t="str">
        <v>D</v>
      </c>
      <c r="F10444">
        <f>IF(AND(F10441=F10442,F10441=F10443,F10442=F10443),F10441,0)</f>
        <v>13</v>
      </c>
      <c r="L10444" t="str">
        <v>Total panjang per balok</v>
      </c>
      <c r="M10444" t="str">
        <v>=</v>
      </c>
      <c r="N10444">
        <f>IF(AND(D10441=D10442,D10441=D10443,D10442=D10443,F10441=F10442,F10441=F10443,F10442=F10443),SUM(N10441:N10443),0)</f>
        <v>1.577</v>
      </c>
      <c r="O10444" t="str">
        <v>+</v>
      </c>
      <c r="P10444">
        <f>IF(N10444&gt;12,ROUNDDOWN(N10444/12,0),0)</f>
        <v>0</v>
      </c>
      <c r="Q10444" t="str">
        <v>x</v>
      </c>
      <c r="R10444">
        <f>IF(P10444&gt;0,MAX(VLOOKUP(F10444,$D$6:$G$15,3,FALSE),600),0)/1000</f>
        <v>0</v>
      </c>
      <c r="T10444" t="str">
        <v>x</v>
      </c>
      <c r="U10444">
        <f>U10443</f>
        <v>1.041885</v>
      </c>
      <c r="V10444" t="str">
        <v>x</v>
      </c>
      <c r="W10444">
        <f>D10444</f>
        <v>3</v>
      </c>
      <c r="X10444" t="str">
        <v>x</v>
      </c>
      <c r="Y10444">
        <f>Y10443</f>
        <v>1</v>
      </c>
      <c r="Z10444" t="str">
        <v>=</v>
      </c>
      <c r="AA10444">
        <f>(N10444+P10444*R10444/1000)*U10444*W10444*Y10444</f>
        <v>4.929157934999999</v>
      </c>
    </row>
    <row r="10446">
      <c r="A10446" t="str">
        <f>A10434</f>
        <v>Lantai Atap</v>
      </c>
      <c r="B10446">
        <f>B10434</f>
        <v>7</v>
      </c>
      <c r="C10446" t="str">
        <v>Tul Peminggang</v>
      </c>
      <c r="D10446">
        <f>VLOOKUP(D10434,'Detail Balok'!$C$10:$AU$110,13,FALSE)</f>
        <v>2</v>
      </c>
      <c r="E10446" t="str">
        <v>D</v>
      </c>
      <c r="F10446">
        <f>VLOOKUP(D10434,'Detail Balok'!$C$10:$AU$110,15,FALSE)</f>
        <v>8</v>
      </c>
      <c r="J10446">
        <f>+D10436/1000</f>
        <v>1.265</v>
      </c>
      <c r="K10446" t="str">
        <v>+</v>
      </c>
      <c r="L10446">
        <f>2*$F$16*F10446/1000</f>
        <v>0.192</v>
      </c>
      <c r="M10446" t="str">
        <v>=</v>
      </c>
      <c r="N10446">
        <f>J10446+L10446</f>
        <v>1.4569999999999999</v>
      </c>
      <c r="O10446" t="str">
        <v>+</v>
      </c>
      <c r="P10446">
        <f>IF(N10446&gt;12,ROUNDDOWN(N10446/12,0),0)</f>
        <v>0</v>
      </c>
      <c r="Q10446" t="str">
        <v>x</v>
      </c>
      <c r="R10446">
        <f>IF(P10446&gt;0,MAX(VLOOKUP(F10446,$D$6:$G$15,3,FALSE),600),0)/1000</f>
        <v>0</v>
      </c>
      <c r="T10446" t="str">
        <v>x</v>
      </c>
      <c r="U10446">
        <f>0.006165*F10446^2</f>
        <v>0.39456</v>
      </c>
      <c r="V10446" t="str">
        <v>x</v>
      </c>
      <c r="W10446">
        <f>+D10446</f>
        <v>2</v>
      </c>
      <c r="X10446" t="str">
        <v>x</v>
      </c>
      <c r="Y10446">
        <f>D10440</f>
        <v>1</v>
      </c>
      <c r="Z10446" t="str">
        <v>=</v>
      </c>
      <c r="AA10446">
        <f>(N10446+P10446*R10446/1000)*U10446*W10446*Y10446</f>
        <v>1.1497478399999999</v>
      </c>
    </row>
    <row r="10449">
      <c r="A10449" t="str">
        <f>A10434</f>
        <v>Lantai Atap</v>
      </c>
      <c r="B10449">
        <f>B10434</f>
        <v>7</v>
      </c>
      <c r="C10449" t="str">
        <v>Tul Bawah Tumpuan</v>
      </c>
      <c r="D10449">
        <f>VLOOKUP(D10434,'Detail Balok'!$C$10:$AU$110,22,FALSE)</f>
        <v>2</v>
      </c>
      <c r="E10449" t="str">
        <v>D</v>
      </c>
      <c r="F10449">
        <f>VLOOKUP(D10434,'Detail Balok'!$C$10:$AU$110,24,FALSE)</f>
        <v>13</v>
      </c>
      <c r="I10449" t="str">
        <v>(</v>
      </c>
      <c r="J10449">
        <f>+J10441</f>
        <v>0.31625</v>
      </c>
      <c r="K10449" t="str">
        <v>+</v>
      </c>
      <c r="L10449">
        <f>MAX(VLOOKUP(F10449,N$6:P$15,3,FALSE)/1000,2/3*D10439/1000)+F$16*F10449/1000</f>
        <v>0.156</v>
      </c>
      <c r="M10449" t="str">
        <v>=</v>
      </c>
      <c r="N10449">
        <f>J10449+L10449</f>
        <v>0.47224999999999995</v>
      </c>
      <c r="O10449" t="str">
        <v>+</v>
      </c>
      <c r="P10449">
        <f>D10449-D10450</f>
        <v>0</v>
      </c>
      <c r="Q10449" t="str">
        <v>x</v>
      </c>
      <c r="R10449">
        <f>IF(P10449&gt;0,$F$18*F10449/1000,0)</f>
        <v>0</v>
      </c>
      <c r="S10449" t="str">
        <v>)</v>
      </c>
      <c r="T10449" t="str">
        <v>x</v>
      </c>
      <c r="U10449">
        <f>0.006165*F10449^2</f>
        <v>1.041885</v>
      </c>
      <c r="X10449" t="str">
        <v>x</v>
      </c>
      <c r="Y10449">
        <f>D10440</f>
        <v>1</v>
      </c>
      <c r="Z10449" t="str">
        <v>=</v>
      </c>
      <c r="AA10449">
        <f>IF(AA10452=0,(D10449*N10449+P10449*R10449)*U10449*Y10449,0)</f>
        <v>0</v>
      </c>
    </row>
    <row r="10450">
      <c r="A10450" t="str">
        <f>A10434</f>
        <v>Lantai Atap</v>
      </c>
      <c r="B10450">
        <f>B10434</f>
        <v>7</v>
      </c>
      <c r="C10450" t="str">
        <v>Tul Bawah Lapangan</v>
      </c>
      <c r="D10450">
        <f>VLOOKUP(D10434,'Detail Balok'!$C$10:$AU$110,25,FALSE)</f>
        <v>2</v>
      </c>
      <c r="E10450" t="str">
        <v>D</v>
      </c>
      <c r="F10450">
        <f>VLOOKUP(D10434,'Detail Balok'!$C$10:$AU$110,27,FALSE)</f>
        <v>13</v>
      </c>
      <c r="I10450" t="str">
        <v>(</v>
      </c>
      <c r="J10450">
        <f>+J10442</f>
        <v>0.6325</v>
      </c>
      <c r="K10450" t="str">
        <v>+</v>
      </c>
      <c r="M10450" t="str">
        <v>=</v>
      </c>
      <c r="N10450">
        <f>J10450+L10450</f>
        <v>0.6325</v>
      </c>
      <c r="O10450" t="str">
        <v>+</v>
      </c>
      <c r="P10450">
        <f>MAX(D10450-D10449,D10450-D10451)</f>
        <v>0</v>
      </c>
      <c r="Q10450" t="str">
        <v>x</v>
      </c>
      <c r="R10450">
        <f>IF(P10450&gt;0,2*(1-2*$F$19-1/2)*D10437/1000,0)</f>
        <v>0</v>
      </c>
      <c r="S10450" t="str">
        <v>)</v>
      </c>
      <c r="T10450" t="str">
        <v>x</v>
      </c>
      <c r="U10450">
        <f>0.006165*F10450^2</f>
        <v>1.041885</v>
      </c>
      <c r="X10450" t="str">
        <v>x</v>
      </c>
      <c r="Y10450">
        <f>D10440</f>
        <v>1</v>
      </c>
      <c r="Z10450" t="str">
        <v>=</v>
      </c>
      <c r="AA10450">
        <f>IF(AA10452=0,(D10450*N10450+P10450*R10450)*U10450*Y10450,0)</f>
        <v>0</v>
      </c>
    </row>
    <row r="10451">
      <c r="A10451" t="str">
        <f>A10434</f>
        <v>Lantai Atap</v>
      </c>
      <c r="B10451">
        <f>B10434</f>
        <v>7</v>
      </c>
      <c r="C10451" t="str">
        <v>Tul Bawah Tumpuan</v>
      </c>
      <c r="D10451">
        <f>VLOOKUP(D10434,'Detail Balok'!$C$10:$AU$110,28,FALSE)</f>
        <v>2</v>
      </c>
      <c r="E10451" t="str">
        <v>D</v>
      </c>
      <c r="F10451">
        <f>VLOOKUP(D10434,'Detail Balok'!$C$10:$AU$110,30,FALSE)</f>
        <v>13</v>
      </c>
      <c r="I10451" t="str">
        <v>(</v>
      </c>
      <c r="J10451">
        <f>+J10443</f>
        <v>0.31625</v>
      </c>
      <c r="K10451" t="str">
        <v>+</v>
      </c>
      <c r="L10451">
        <f>MAX(VLOOKUP(F10451,N$6:P$15,3,FALSE)/1000,2/3*D10439/1000)+F$16*F10451/1000</f>
        <v>0.156</v>
      </c>
      <c r="M10451" t="str">
        <v>=</v>
      </c>
      <c r="N10451">
        <f>J10451+L10451</f>
        <v>0.47224999999999995</v>
      </c>
      <c r="O10451" t="str">
        <v>+</v>
      </c>
      <c r="P10451">
        <f>D10451-D10450</f>
        <v>0</v>
      </c>
      <c r="Q10451" t="str">
        <v>x</v>
      </c>
      <c r="R10451">
        <f>IF(P10451&gt;0,$F$18*F10451/1000,0)</f>
        <v>0</v>
      </c>
      <c r="S10451" t="str">
        <v>)</v>
      </c>
      <c r="T10451" t="str">
        <v>x</v>
      </c>
      <c r="U10451">
        <f>0.006165*F10451^2</f>
        <v>1.041885</v>
      </c>
      <c r="X10451" t="str">
        <v>x</v>
      </c>
      <c r="Y10451">
        <f>D10440</f>
        <v>1</v>
      </c>
      <c r="Z10451" t="str">
        <v>=</v>
      </c>
      <c r="AA10451">
        <f>IF(AA10452=0,(D10451*N10451+P10451*R10451)*U10451*Y10451,0)</f>
        <v>0</v>
      </c>
    </row>
    <row r="10452">
      <c r="A10452" t="str">
        <f>A10434</f>
        <v>Lantai Atap</v>
      </c>
      <c r="B10452">
        <f>B10434</f>
        <v>7</v>
      </c>
      <c r="D10452">
        <f>IF(AND(D10449=D10450,D10450=D10451,D10449=D10451),D10449,0)</f>
        <v>2</v>
      </c>
      <c r="E10452" t="str">
        <v>D</v>
      </c>
      <c r="F10452">
        <f>IF(AND(F10449=F10450,F10449=F10451,F10450=F10451),F10449,0)</f>
        <v>13</v>
      </c>
      <c r="L10452" t="str">
        <v>Total panjang per balok</v>
      </c>
      <c r="M10452" t="str">
        <v>=</v>
      </c>
      <c r="N10452">
        <f>IF(AND(D10449=D10450,D10449=D10451,D10450=D10451,F10449=F10450,F10449=F10451,F10450=F10451),SUM(N10449:N10451),0)</f>
        <v>1.577</v>
      </c>
      <c r="O10452" t="str">
        <v>+</v>
      </c>
      <c r="P10452">
        <f>IF(N10452&gt;12,ROUNDDOWN(N10452/12,0),0)</f>
        <v>0</v>
      </c>
      <c r="Q10452" t="str">
        <v>x</v>
      </c>
      <c r="R10452">
        <f>IF(P10452&gt;0,MAX(VLOOKUP(F10452,$D$6:$G$15,3,FALSE),600),0)/1000</f>
        <v>0</v>
      </c>
      <c r="T10452" t="str">
        <v>x</v>
      </c>
      <c r="U10452">
        <f>U10451</f>
        <v>1.041885</v>
      </c>
      <c r="V10452" t="str">
        <v>x</v>
      </c>
      <c r="W10452">
        <f>D10452</f>
        <v>2</v>
      </c>
      <c r="X10452" t="str">
        <v>x</v>
      </c>
      <c r="Y10452">
        <f>Y10451</f>
        <v>1</v>
      </c>
      <c r="Z10452" t="str">
        <v>=</v>
      </c>
      <c r="AA10452">
        <f>(N10452+P10452*R10452/1000)*U10452*W10452*Y10452</f>
        <v>3.2861052899999996</v>
      </c>
    </row>
    <row r="10454">
      <c r="A10454" t="str">
        <f>A10434</f>
        <v>Lantai Atap</v>
      </c>
      <c r="B10454">
        <f>B10434</f>
        <v>7</v>
      </c>
      <c r="C10454" t="str">
        <v>Sengkang Tumpuan</v>
      </c>
      <c r="D10454">
        <f>VLOOKUP(D10434,'Detail Balok'!$C$10:$AU$110,31,FALSE)</f>
        <v>0</v>
      </c>
      <c r="E10454" t="str">
        <v>D</v>
      </c>
      <c r="F10454">
        <f>VLOOKUP(D10434,'Detail Balok'!$C$10:$AU$110,33,FALSE)</f>
        <v>8</v>
      </c>
      <c r="G10454" t="str">
        <v>-</v>
      </c>
      <c r="H10454">
        <f>VLOOKUP(D10434,'Detail Balok'!$C$10:$AU$110,35,FALSE)</f>
        <v>175</v>
      </c>
      <c r="J10454">
        <f>(IF(D10454=0,(2*(D10435+G10435))-(F$5*8),IF(D10454=3,(2*(D10435+G10435))-(F$5*8)+(G10435-2*F$5),IF(D10454=4,(2*(D10435+G10435))-(F$5*8)+2*(G10435-2*F$5)))))/1000</f>
        <v>0.98</v>
      </c>
      <c r="K10454" t="str">
        <v>+</v>
      </c>
      <c r="L10454">
        <f>IF(D10454=0,2*MAX(6*F10454,75),(D10454-1)*2*MAX(6*F10454,75))/1000</f>
        <v>0.15</v>
      </c>
      <c r="M10454" t="str">
        <v>=</v>
      </c>
      <c r="N10454">
        <f>J10454+L10454</f>
        <v>1.13</v>
      </c>
      <c r="T10454" t="str">
        <v>x</v>
      </c>
      <c r="U10454">
        <f>0.006165*F10454^2</f>
        <v>0.39456</v>
      </c>
      <c r="V10454" t="str">
        <v>x</v>
      </c>
      <c r="W10454">
        <f>IF(D10437&gt;4*G10435,ROUND(MAX(D10437/4,2*G10435)/H10454,0)+1,ROUND(D10437/H10454,0)+1)</f>
        <v>8</v>
      </c>
      <c r="X10454" t="str">
        <v>x</v>
      </c>
      <c r="Y10454">
        <f>D10440</f>
        <v>1</v>
      </c>
      <c r="Z10454" t="str">
        <v>=</v>
      </c>
      <c r="AA10454">
        <f>N10454*U10454*W10454*Y10454</f>
        <v>3.5668224</v>
      </c>
    </row>
    <row r="10455">
      <c r="A10455" t="str">
        <f>A10434</f>
        <v>Lantai Atap</v>
      </c>
      <c r="B10455">
        <f>B10434</f>
        <v>7</v>
      </c>
      <c r="C10455" t="str">
        <v>Sengkang Lapangan</v>
      </c>
      <c r="D10455">
        <f>VLOOKUP(D10434,'Detail Balok'!$C$10:$AU$110,36,FALSE)</f>
        <v>0</v>
      </c>
      <c r="E10455" t="str">
        <v>D</v>
      </c>
      <c r="F10455">
        <f>VLOOKUP(D10434,'Detail Balok'!$C$10:$AU$110,38,FALSE)</f>
        <v>8</v>
      </c>
      <c r="G10455" t="str">
        <v>-</v>
      </c>
      <c r="H10455">
        <f>VLOOKUP(D10434,'Detail Balok'!$C$10:$AU$110,40,FALSE)</f>
        <v>175</v>
      </c>
      <c r="J10455">
        <f>(IF(D10455=0,(2*(D10435+G10435))-(F$5*8),IF(D10455=3,(2*(D10435+G10435))-(F$5*8)+(G10435-2*F$5),IF(D10455=4,(2*(D10435+G10435))-(F$5*8)+2*(G10435-2*F$5)))))/1000</f>
        <v>0.98</v>
      </c>
      <c r="K10455" t="str">
        <v>+</v>
      </c>
      <c r="L10455">
        <f>IF(D10455=0,2*MAX(6*F10455,75),(D10455-1)*2*MAX(6*F10455,75))/1000</f>
        <v>0.15</v>
      </c>
      <c r="M10455" t="str">
        <v>=</v>
      </c>
      <c r="N10455">
        <f>J10455+L10455</f>
        <v>1.13</v>
      </c>
      <c r="T10455" t="str">
        <v>x</v>
      </c>
      <c r="U10455">
        <f>0.006165*F10455^2</f>
        <v>0.39456</v>
      </c>
      <c r="V10455" t="str">
        <v>x</v>
      </c>
      <c r="W10455">
        <f>IF(D10437-MAX(D10437/4,2*G10435)*2&gt;0,ROUND((D10437-MAX(D10437/4,2*G10435)*2)/H10455,0),0)</f>
        <v>0</v>
      </c>
      <c r="X10455" t="str">
        <v>x</v>
      </c>
      <c r="Y10455">
        <f>D10440</f>
        <v>1</v>
      </c>
      <c r="Z10455" t="str">
        <v>=</v>
      </c>
      <c r="AA10455">
        <f>N10455*U10455*W10455*Y10455</f>
        <v>0</v>
      </c>
    </row>
    <row r="10456">
      <c r="A10456" t="str">
        <f>A10434</f>
        <v>Lantai Atap</v>
      </c>
      <c r="B10456">
        <f>B10434</f>
        <v>7</v>
      </c>
      <c r="C10456" t="str">
        <v>Sengkang Tumpuan</v>
      </c>
      <c r="D10456">
        <f>VLOOKUP(D10434,'Detail Balok'!$C$10:$AU$110,41,FALSE)</f>
        <v>0</v>
      </c>
      <c r="E10456" t="str">
        <v>D</v>
      </c>
      <c r="F10456">
        <f>VLOOKUP(D10434,'Detail Balok'!$C$10:$AU$110,43,FALSE)</f>
        <v>8</v>
      </c>
      <c r="G10456" t="str">
        <v>-</v>
      </c>
      <c r="H10456">
        <f>VLOOKUP(D10434,'Detail Balok'!$C$10:$AU$110,45,FALSE)</f>
        <v>175</v>
      </c>
      <c r="J10456">
        <f>(IF(D10456=0,(2*(D10435+G10435))-(F$5*8),IF(D10456=3,(2*(D10435+G10435))-(F$5*8)+(G10435-2*F$5),IF(D10456=4,(2*(D10435+G10435))-(F$5*8)+2*(G10435-2*F$5)))))/1000</f>
        <v>0.98</v>
      </c>
      <c r="K10456" t="str">
        <v>+</v>
      </c>
      <c r="L10456">
        <f>IF(D10456=0,2*MAX(6*F10456,75),(D10456-1)*2*MAX(6*F10456,75))/1000</f>
        <v>0.15</v>
      </c>
      <c r="M10456" t="str">
        <v>=</v>
      </c>
      <c r="N10456">
        <f>J10456+L10456</f>
        <v>1.13</v>
      </c>
      <c r="T10456" t="str">
        <v>x</v>
      </c>
      <c r="U10456">
        <f>0.006165*F10456^2</f>
        <v>0.39456</v>
      </c>
      <c r="V10456" t="str">
        <v>x</v>
      </c>
      <c r="W10456">
        <f>IF(D10437&gt;4*G10435,ROUND(MAX(D10437/4,2*G10435)/H10456,0)+1,0)</f>
        <v>0</v>
      </c>
      <c r="X10456" t="str">
        <v>x</v>
      </c>
      <c r="Y10456">
        <f>D10440</f>
        <v>1</v>
      </c>
      <c r="Z10456" t="str">
        <v>=</v>
      </c>
      <c r="AA10456">
        <f>N10456*U10456*W10456*Y10456</f>
        <v>0</v>
      </c>
    </row>
    <row r="10458">
      <c r="A10458" t="str">
        <f>A10434</f>
        <v>Lantai Atap</v>
      </c>
      <c r="B10458">
        <f>B10434</f>
        <v>7</v>
      </c>
      <c r="C10458" t="str">
        <v>Kait Horizontal Tump.</v>
      </c>
      <c r="D10458">
        <f>VLOOKUP(D10434,'Detail Balok'!$C$10:$BJ$110,46,FALSE)</f>
        <v>0</v>
      </c>
      <c r="E10458" t="str">
        <v>D</v>
      </c>
      <c r="F10458">
        <f>VLOOKUP(D10434,'Detail Balok'!$C$10:$BJ$110,48,FALSE)</f>
        <v>0</v>
      </c>
      <c r="G10458" t="str">
        <v>-</v>
      </c>
      <c r="H10458">
        <f>VLOOKUP(D10434,'Detail Balok'!$C$10:$BJ$110,50,FALSE)</f>
        <v>100</v>
      </c>
      <c r="J10458">
        <f>(D10435-2*F$5)/1000</f>
        <v>0.12</v>
      </c>
      <c r="K10458" t="str">
        <v>+</v>
      </c>
      <c r="L10458">
        <f>IF(D10458=0,2*MAX(6*F10458,75),(D10458-1)*2*MAX(6*F10458,75))/1000</f>
        <v>0.15</v>
      </c>
      <c r="M10458" t="str">
        <v>=</v>
      </c>
      <c r="N10458">
        <f>J10458+L10458</f>
        <v>0.27</v>
      </c>
      <c r="T10458" t="str">
        <v>x</v>
      </c>
      <c r="U10458">
        <f>0.006165*F10458^2</f>
        <v>0</v>
      </c>
      <c r="V10458" t="str">
        <v>x</v>
      </c>
      <c r="W10458">
        <f>W10454</f>
        <v>8</v>
      </c>
      <c r="X10458" t="str">
        <v>x</v>
      </c>
      <c r="Y10458">
        <f>D10444</f>
        <v>3</v>
      </c>
      <c r="Z10458" t="str">
        <v>=</v>
      </c>
      <c r="AA10458">
        <f>N10458*U10458*W10458*Y10458</f>
        <v>0</v>
      </c>
    </row>
    <row r="10459">
      <c r="A10459" t="str">
        <f>A10434</f>
        <v>Lantai Atap</v>
      </c>
      <c r="B10459">
        <f>B10434</f>
        <v>7</v>
      </c>
      <c r="C10459" t="str">
        <v>Kait Horizontal Lap.</v>
      </c>
      <c r="D10459">
        <f>VLOOKUP(D10434,'Detail Balok'!$C$10:$BJ$110,51,FALSE)</f>
        <v>0</v>
      </c>
      <c r="E10459" t="str">
        <v>D</v>
      </c>
      <c r="F10459">
        <f>VLOOKUP(D10434,'Detail Balok'!$C$10:$BJ$110,53,FALSE)</f>
        <v>0</v>
      </c>
      <c r="G10459" t="str">
        <v>-</v>
      </c>
      <c r="H10459">
        <f>VLOOKUP(D10434,'Detail Balok'!$C$10:$BJ$110,55,FALSE)</f>
        <v>100</v>
      </c>
      <c r="J10459">
        <f>(D10435-2*F$5)/1000</f>
        <v>0.12</v>
      </c>
      <c r="K10459" t="str">
        <v>+</v>
      </c>
      <c r="L10459">
        <f>IF(D10459=0,2*MAX(6*F10459,75),(D10459-1)*2*MAX(6*F10459,75))/1000</f>
        <v>0.15</v>
      </c>
      <c r="M10459" t="str">
        <v>=</v>
      </c>
      <c r="N10459">
        <f>J10459+L10459</f>
        <v>0.27</v>
      </c>
      <c r="T10459" t="str">
        <v>x</v>
      </c>
      <c r="U10459">
        <f>0.006165*F10459^2</f>
        <v>0</v>
      </c>
      <c r="V10459" t="str">
        <v>x</v>
      </c>
      <c r="W10459">
        <f>W10455</f>
        <v>0</v>
      </c>
      <c r="X10459" t="str">
        <v>x</v>
      </c>
      <c r="Y10459">
        <f>D10444</f>
        <v>3</v>
      </c>
      <c r="Z10459" t="str">
        <v>=</v>
      </c>
      <c r="AA10459">
        <f>N10459*U10459*W10459*Y10459</f>
        <v>0</v>
      </c>
    </row>
    <row r="10460">
      <c r="A10460" t="str">
        <f>A10434</f>
        <v>Lantai Atap</v>
      </c>
      <c r="B10460">
        <f>B10434</f>
        <v>7</v>
      </c>
      <c r="C10460" t="str">
        <v>Kait Horizontal Tump.</v>
      </c>
      <c r="D10460">
        <f>VLOOKUP(D10434,'Detail Balok'!$C$10:$BJ$110,56,FALSE)</f>
        <v>0</v>
      </c>
      <c r="E10460" t="str">
        <v>D</v>
      </c>
      <c r="F10460">
        <f>VLOOKUP(D10434,'Detail Balok'!$C$10:$BJ$110,58,FALSE)</f>
        <v>0</v>
      </c>
      <c r="G10460" t="str">
        <v>-</v>
      </c>
      <c r="H10460">
        <f>VLOOKUP(D10434,'Detail Balok'!$C$10:$BJ$110,60,FALSE)</f>
        <v>100</v>
      </c>
      <c r="J10460">
        <f>(D10435-2*F$5)/1000</f>
        <v>0.12</v>
      </c>
      <c r="K10460" t="str">
        <v>+</v>
      </c>
      <c r="L10460">
        <f>IF(D10460=0,2*MAX(6*F10460,75),(D10460-1)*2*MAX(6*F10460,75))/1000</f>
        <v>0.15</v>
      </c>
      <c r="M10460" t="str">
        <v>=</v>
      </c>
      <c r="N10460">
        <f>J10460+L10460</f>
        <v>0.27</v>
      </c>
      <c r="T10460" t="str">
        <v>x</v>
      </c>
      <c r="U10460">
        <f>0.006165*F10460^2</f>
        <v>0</v>
      </c>
      <c r="V10460" t="str">
        <v>x</v>
      </c>
      <c r="W10460">
        <f>W10456</f>
        <v>0</v>
      </c>
      <c r="X10460" t="str">
        <v>x</v>
      </c>
      <c r="Y10460">
        <f>D10444</f>
        <v>3</v>
      </c>
      <c r="Z10460" t="str">
        <v>=</v>
      </c>
      <c r="AA10460">
        <f>N10460*U10460*W10460*Y10460</f>
        <v>0</v>
      </c>
    </row>
    <row r="10464">
      <c r="A10464" t="str">
        <f>A10434</f>
        <v>Lantai Atap</v>
      </c>
      <c r="B10464">
        <f>B10434+1</f>
        <v>8</v>
      </c>
      <c r="C10464" t="str">
        <f>CONCATENATE(A10464," no. ",B10464)</f>
        <v>Lantai Atap no. 8</v>
      </c>
      <c r="D10464" t="str">
        <f>VLOOKUP(C10464,'Data Panjang Balok'!$C$9:$N$424,2,FALSE)</f>
        <v>B245-2</v>
      </c>
    </row>
    <row r="10465">
      <c r="C10465" t="str">
        <v>Dimensi</v>
      </c>
      <c r="D10465">
        <f>VLOOKUP(D10464,'Detail Balok'!$C$10:$AU$110,2,FALSE)</f>
        <v>200</v>
      </c>
      <c r="F10465" t="str">
        <v>x</v>
      </c>
      <c r="G10465">
        <f>VLOOKUP(D10464,'Detail Balok'!$C$10:$AU$110,3,FALSE)</f>
        <v>450</v>
      </c>
    </row>
    <row r="10466">
      <c r="C10466" t="str">
        <v>Panjang as ke as</v>
      </c>
      <c r="D10466">
        <f>VLOOKUP(C10464,'Data Panjang Balok'!$C$9:$N$424,4,FALSE)</f>
        <v>6300</v>
      </c>
    </row>
    <row r="10467">
      <c r="C10467" t="str">
        <v>Panjang netto</v>
      </c>
      <c r="D10467">
        <f>VLOOKUP(C10464,'Data Panjang Balok'!$C$9:$N$424,7,FALSE)</f>
        <v>6300</v>
      </c>
    </row>
    <row r="10468">
      <c r="C10468" t="str">
        <v>Kolom / balok kiri</v>
      </c>
      <c r="D10468">
        <f>VLOOKUP(C10464,'Data Panjang Balok'!$C$9:$N$424,9,FALSE)</f>
        <v>0</v>
      </c>
    </row>
    <row r="10469">
      <c r="C10469" t="str">
        <v>Kolom / balok kanan</v>
      </c>
      <c r="D10469">
        <f>VLOOKUP(C10464,'Data Panjang Balok'!$C$9:$N$424,10,FALSE)</f>
        <v>0</v>
      </c>
    </row>
    <row r="10470">
      <c r="C10470" t="str">
        <v>Jumlah</v>
      </c>
      <c r="D10470">
        <f>VLOOKUP(C10464,'Data Panjang Balok'!$C$9:$N$424,3,FALSE)</f>
        <v>1</v>
      </c>
    </row>
    <row r="10471">
      <c r="A10471" t="str">
        <f>A10464</f>
        <v>Lantai Atap</v>
      </c>
      <c r="B10471">
        <f>B10464</f>
        <v>8</v>
      </c>
      <c r="C10471" t="str">
        <v>Tul Atas Tumpuan</v>
      </c>
      <c r="D10471">
        <f>VLOOKUP(D10464,'Detail Balok'!$C$10:$AU$110,4,FALSE)</f>
        <v>3</v>
      </c>
      <c r="E10471" t="str">
        <v>D</v>
      </c>
      <c r="F10471">
        <f>VLOOKUP(D10464,'Detail Balok'!$C$10:$AU$110,6,FALSE)</f>
        <v>13</v>
      </c>
      <c r="I10471" t="str">
        <v>(</v>
      </c>
      <c r="J10471">
        <f>+D10466/4/1000</f>
        <v>1.575</v>
      </c>
      <c r="K10471" t="str">
        <v>+</v>
      </c>
      <c r="L10471">
        <f>MAX(VLOOKUP(F10471,N$6:P$15,3,FALSE)/1000,2/3*D10468/1000)+F$16*F10471/1000</f>
        <v>0.156</v>
      </c>
      <c r="M10471" t="str">
        <v>=</v>
      </c>
      <c r="N10471">
        <f>J10471+L10471</f>
        <v>1.7309999999999999</v>
      </c>
      <c r="O10471" t="str">
        <v>+</v>
      </c>
      <c r="P10471">
        <f>D10471-D10472</f>
        <v>0</v>
      </c>
      <c r="Q10471" t="str">
        <v>x</v>
      </c>
      <c r="R10471">
        <f>IF(P10471&gt;0,$F$18*F10471/1000,0)</f>
        <v>0</v>
      </c>
      <c r="S10471" t="str">
        <v>)</v>
      </c>
      <c r="T10471" t="str">
        <v>x</v>
      </c>
      <c r="U10471">
        <f>0.006165*F10471^2</f>
        <v>1.041885</v>
      </c>
      <c r="X10471" t="str">
        <v>x</v>
      </c>
      <c r="Y10471">
        <f>D10470</f>
        <v>1</v>
      </c>
      <c r="Z10471" t="str">
        <v>=</v>
      </c>
      <c r="AA10471">
        <f>IF(AA10474=0,(D10471*N10471+P10471*R10471)*U10471*Y10471,0)</f>
        <v>0</v>
      </c>
    </row>
    <row r="10472">
      <c r="A10472" t="str">
        <f>A10464</f>
        <v>Lantai Atap</v>
      </c>
      <c r="B10472">
        <f>B10464</f>
        <v>8</v>
      </c>
      <c r="C10472" t="str">
        <v>Tul Atas Lapangan</v>
      </c>
      <c r="D10472">
        <f>VLOOKUP(D10464,'Detail Balok'!$C$10:$AU$110,7,FALSE)</f>
        <v>3</v>
      </c>
      <c r="E10472" t="str">
        <v>D</v>
      </c>
      <c r="F10472">
        <f>VLOOKUP(D10464,'Detail Balok'!$C$10:$AU$110,9,FALSE)</f>
        <v>13</v>
      </c>
      <c r="I10472" t="str">
        <v>(</v>
      </c>
      <c r="J10472">
        <f>+D10466/2/1000</f>
        <v>3.15</v>
      </c>
      <c r="K10472" t="str">
        <v>+</v>
      </c>
      <c r="M10472" t="str">
        <v>=</v>
      </c>
      <c r="N10472">
        <f>J10472+L10472</f>
        <v>3.15</v>
      </c>
      <c r="O10472" t="str">
        <v>+</v>
      </c>
      <c r="P10472">
        <f>MAX(D10472-D10471,D10472-D10473)</f>
        <v>0</v>
      </c>
      <c r="Q10472" t="str">
        <v>x</v>
      </c>
      <c r="R10472">
        <f>IF(P10472&gt;0,2*(1-2*$F$19-1/2)*D10467/1000,0)</f>
        <v>0</v>
      </c>
      <c r="S10472" t="str">
        <v>)</v>
      </c>
      <c r="T10472" t="str">
        <v>x</v>
      </c>
      <c r="U10472">
        <f>0.006165*F10472^2</f>
        <v>1.041885</v>
      </c>
      <c r="X10472" t="str">
        <v>x</v>
      </c>
      <c r="Y10472">
        <f>D10470</f>
        <v>1</v>
      </c>
      <c r="Z10472" t="str">
        <v>=</v>
      </c>
      <c r="AA10472">
        <f>IF(AA10474=0,(D10472*N10472+P10472*R10472)*U10472*Y10472,0)</f>
        <v>0</v>
      </c>
    </row>
    <row r="10473">
      <c r="A10473" t="str">
        <f>A10464</f>
        <v>Lantai Atap</v>
      </c>
      <c r="B10473">
        <f>B10464</f>
        <v>8</v>
      </c>
      <c r="C10473" t="str">
        <v>Tul Atas Tumpuan</v>
      </c>
      <c r="D10473">
        <f>VLOOKUP(D10464,'Detail Balok'!$C$10:$AU$110,10,FALSE)</f>
        <v>3</v>
      </c>
      <c r="E10473" t="str">
        <v>D</v>
      </c>
      <c r="F10473">
        <f>VLOOKUP(D10464,'Detail Balok'!$C$10:$AU$110,12,FALSE)</f>
        <v>13</v>
      </c>
      <c r="I10473" t="str">
        <v>(</v>
      </c>
      <c r="J10473">
        <f>+D10466/4/1000</f>
        <v>1.575</v>
      </c>
      <c r="K10473" t="str">
        <v>+</v>
      </c>
      <c r="L10473">
        <f>MAX(VLOOKUP(F10473,N$6:P$15,3,FALSE)/1000,2/3*D10468/1000)+F$16*F10473/1000</f>
        <v>0.156</v>
      </c>
      <c r="M10473" t="str">
        <v>=</v>
      </c>
      <c r="N10473">
        <f>J10473+L10473</f>
        <v>1.7309999999999999</v>
      </c>
      <c r="O10473" t="str">
        <v>+</v>
      </c>
      <c r="P10473">
        <f>D10473-D10472</f>
        <v>0</v>
      </c>
      <c r="Q10473" t="str">
        <v>x</v>
      </c>
      <c r="R10473">
        <f>IF(P10473&gt;0,$F$18*F10473/1000,0)</f>
        <v>0</v>
      </c>
      <c r="S10473" t="str">
        <v>)</v>
      </c>
      <c r="T10473" t="str">
        <v>x</v>
      </c>
      <c r="U10473">
        <f>0.006165*F10473^2</f>
        <v>1.041885</v>
      </c>
      <c r="X10473" t="str">
        <v>x</v>
      </c>
      <c r="Y10473">
        <f>D10470</f>
        <v>1</v>
      </c>
      <c r="Z10473" t="str">
        <v>=</v>
      </c>
      <c r="AA10473">
        <f>IF(AA10474=0,(D10473*N10473+P10473*R10473)*U10473*Y10473,0)</f>
        <v>0</v>
      </c>
    </row>
    <row r="10474">
      <c r="A10474" t="str">
        <f>A10464</f>
        <v>Lantai Atap</v>
      </c>
      <c r="B10474">
        <f>B10464</f>
        <v>8</v>
      </c>
      <c r="D10474">
        <f>IF(AND(D10471=D10472,D10472=D10473,D10471=D10473),D10471,0)</f>
        <v>3</v>
      </c>
      <c r="E10474" t="str">
        <v>D</v>
      </c>
      <c r="F10474">
        <f>IF(AND(F10471=F10472,F10471=F10473,F10472=F10473),F10471,0)</f>
        <v>13</v>
      </c>
      <c r="L10474" t="str">
        <v>Total panjang per balok</v>
      </c>
      <c r="M10474" t="str">
        <v>=</v>
      </c>
      <c r="N10474">
        <f>IF(AND(D10471=D10472,D10471=D10473,D10472=D10473,F10471=F10472,F10471=F10473,F10472=F10473),SUM(N10471:N10473),0)</f>
        <v>6.612</v>
      </c>
      <c r="O10474" t="str">
        <v>+</v>
      </c>
      <c r="P10474">
        <f>IF(N10474&gt;12,ROUNDDOWN(N10474/12,0),0)</f>
        <v>0</v>
      </c>
      <c r="Q10474" t="str">
        <v>x</v>
      </c>
      <c r="R10474">
        <f>IF(P10474&gt;0,MAX(VLOOKUP(F10474,$D$6:$G$15,3,FALSE),600),0)/1000</f>
        <v>0</v>
      </c>
      <c r="T10474" t="str">
        <v>x</v>
      </c>
      <c r="U10474">
        <f>U10473</f>
        <v>1.041885</v>
      </c>
      <c r="V10474" t="str">
        <v>x</v>
      </c>
      <c r="W10474">
        <f>D10474</f>
        <v>3</v>
      </c>
      <c r="X10474" t="str">
        <v>x</v>
      </c>
      <c r="Y10474">
        <f>Y10473</f>
        <v>1</v>
      </c>
      <c r="Z10474" t="str">
        <v>=</v>
      </c>
      <c r="AA10474">
        <f>(N10474+P10474*R10474/1000)*U10474*W10474*Y10474</f>
        <v>20.66683086</v>
      </c>
    </row>
    <row r="10476">
      <c r="A10476" t="str">
        <f>A10464</f>
        <v>Lantai Atap</v>
      </c>
      <c r="B10476">
        <f>B10464</f>
        <v>8</v>
      </c>
      <c r="C10476" t="str">
        <v>Tul Peminggang</v>
      </c>
      <c r="D10476">
        <f>VLOOKUP(D10464,'Detail Balok'!$C$10:$AU$110,13,FALSE)</f>
        <v>2</v>
      </c>
      <c r="E10476" t="str">
        <v>D</v>
      </c>
      <c r="F10476">
        <f>VLOOKUP(D10464,'Detail Balok'!$C$10:$AU$110,15,FALSE)</f>
        <v>8</v>
      </c>
      <c r="J10476">
        <f>+D10466/1000</f>
        <v>6.3</v>
      </c>
      <c r="K10476" t="str">
        <v>+</v>
      </c>
      <c r="L10476">
        <f>2*$F$16*F10476/1000</f>
        <v>0.192</v>
      </c>
      <c r="M10476" t="str">
        <v>=</v>
      </c>
      <c r="N10476">
        <f>J10476+L10476</f>
        <v>6.492</v>
      </c>
      <c r="O10476" t="str">
        <v>+</v>
      </c>
      <c r="P10476">
        <f>IF(N10476&gt;12,ROUNDDOWN(N10476/12,0),0)</f>
        <v>0</v>
      </c>
      <c r="Q10476" t="str">
        <v>x</v>
      </c>
      <c r="R10476">
        <f>IF(P10476&gt;0,MAX(VLOOKUP(F10476,$D$6:$G$15,3,FALSE),600),0)/1000</f>
        <v>0</v>
      </c>
      <c r="T10476" t="str">
        <v>x</v>
      </c>
      <c r="U10476">
        <f>0.006165*F10476^2</f>
        <v>0.39456</v>
      </c>
      <c r="V10476" t="str">
        <v>x</v>
      </c>
      <c r="W10476">
        <f>+D10476</f>
        <v>2</v>
      </c>
      <c r="X10476" t="str">
        <v>x</v>
      </c>
      <c r="Y10476">
        <f>D10470</f>
        <v>1</v>
      </c>
      <c r="Z10476" t="str">
        <v>=</v>
      </c>
      <c r="AA10476">
        <f>(N10476+P10476*R10476/1000)*U10476*W10476*Y10476</f>
        <v>5.122967040000001</v>
      </c>
    </row>
    <row r="10479">
      <c r="A10479" t="str">
        <f>A10464</f>
        <v>Lantai Atap</v>
      </c>
      <c r="B10479">
        <f>B10464</f>
        <v>8</v>
      </c>
      <c r="C10479" t="str">
        <v>Tul Bawah Tumpuan</v>
      </c>
      <c r="D10479">
        <f>VLOOKUP(D10464,'Detail Balok'!$C$10:$AU$110,22,FALSE)</f>
        <v>3</v>
      </c>
      <c r="E10479" t="str">
        <v>D</v>
      </c>
      <c r="F10479">
        <f>VLOOKUP(D10464,'Detail Balok'!$C$10:$AU$110,24,FALSE)</f>
        <v>13</v>
      </c>
      <c r="I10479" t="str">
        <v>(</v>
      </c>
      <c r="J10479">
        <f>+J10471</f>
        <v>1.575</v>
      </c>
      <c r="K10479" t="str">
        <v>+</v>
      </c>
      <c r="L10479">
        <f>MAX(VLOOKUP(F10479,N$6:P$15,3,FALSE)/1000,2/3*D10469/1000)+F$16*F10479/1000</f>
        <v>0.156</v>
      </c>
      <c r="M10479" t="str">
        <v>=</v>
      </c>
      <c r="N10479">
        <f>J10479+L10479</f>
        <v>1.7309999999999999</v>
      </c>
      <c r="O10479" t="str">
        <v>+</v>
      </c>
      <c r="P10479">
        <f>D10479-D10480</f>
        <v>0</v>
      </c>
      <c r="Q10479" t="str">
        <v>x</v>
      </c>
      <c r="R10479">
        <f>IF(P10479&gt;0,$F$18*F10479/1000,0)</f>
        <v>0</v>
      </c>
      <c r="S10479" t="str">
        <v>)</v>
      </c>
      <c r="T10479" t="str">
        <v>x</v>
      </c>
      <c r="U10479">
        <f>0.006165*F10479^2</f>
        <v>1.041885</v>
      </c>
      <c r="X10479" t="str">
        <v>x</v>
      </c>
      <c r="Y10479">
        <f>D10470</f>
        <v>1</v>
      </c>
      <c r="Z10479" t="str">
        <v>=</v>
      </c>
      <c r="AA10479">
        <f>IF(AA10482=0,(D10479*N10479+P10479*R10479)*U10479*Y10479,0)</f>
        <v>0</v>
      </c>
    </row>
    <row r="10480">
      <c r="A10480" t="str">
        <f>A10464</f>
        <v>Lantai Atap</v>
      </c>
      <c r="B10480">
        <f>B10464</f>
        <v>8</v>
      </c>
      <c r="C10480" t="str">
        <v>Tul Bawah Lapangan</v>
      </c>
      <c r="D10480">
        <f>VLOOKUP(D10464,'Detail Balok'!$C$10:$AU$110,25,FALSE)</f>
        <v>3</v>
      </c>
      <c r="E10480" t="str">
        <v>D</v>
      </c>
      <c r="F10480">
        <f>VLOOKUP(D10464,'Detail Balok'!$C$10:$AU$110,27,FALSE)</f>
        <v>13</v>
      </c>
      <c r="I10480" t="str">
        <v>(</v>
      </c>
      <c r="J10480">
        <f>+J10472</f>
        <v>3.15</v>
      </c>
      <c r="K10480" t="str">
        <v>+</v>
      </c>
      <c r="M10480" t="str">
        <v>=</v>
      </c>
      <c r="N10480">
        <f>J10480+L10480</f>
        <v>3.15</v>
      </c>
      <c r="O10480" t="str">
        <v>+</v>
      </c>
      <c r="P10480">
        <f>MAX(D10480-D10479,D10480-D10481)</f>
        <v>0</v>
      </c>
      <c r="Q10480" t="str">
        <v>x</v>
      </c>
      <c r="R10480">
        <f>IF(P10480&gt;0,2*(1-2*$F$19-1/2)*D10467/1000,0)</f>
        <v>0</v>
      </c>
      <c r="S10480" t="str">
        <v>)</v>
      </c>
      <c r="T10480" t="str">
        <v>x</v>
      </c>
      <c r="U10480">
        <f>0.006165*F10480^2</f>
        <v>1.041885</v>
      </c>
      <c r="X10480" t="str">
        <v>x</v>
      </c>
      <c r="Y10480">
        <f>D10470</f>
        <v>1</v>
      </c>
      <c r="Z10480" t="str">
        <v>=</v>
      </c>
      <c r="AA10480">
        <f>IF(AA10482=0,(D10480*N10480+P10480*R10480)*U10480*Y10480,0)</f>
        <v>0</v>
      </c>
    </row>
    <row r="10481">
      <c r="A10481" t="str">
        <f>A10464</f>
        <v>Lantai Atap</v>
      </c>
      <c r="B10481">
        <f>B10464</f>
        <v>8</v>
      </c>
      <c r="C10481" t="str">
        <v>Tul Bawah Tumpuan</v>
      </c>
      <c r="D10481">
        <f>VLOOKUP(D10464,'Detail Balok'!$C$10:$AU$110,28,FALSE)</f>
        <v>3</v>
      </c>
      <c r="E10481" t="str">
        <v>D</v>
      </c>
      <c r="F10481">
        <f>VLOOKUP(D10464,'Detail Balok'!$C$10:$AU$110,30,FALSE)</f>
        <v>13</v>
      </c>
      <c r="I10481" t="str">
        <v>(</v>
      </c>
      <c r="J10481">
        <f>+J10473</f>
        <v>1.575</v>
      </c>
      <c r="K10481" t="str">
        <v>+</v>
      </c>
      <c r="L10481">
        <f>MAX(VLOOKUP(F10481,N$6:P$15,3,FALSE)/1000,2/3*D10469/1000)+F$16*F10481/1000</f>
        <v>0.156</v>
      </c>
      <c r="M10481" t="str">
        <v>=</v>
      </c>
      <c r="N10481">
        <f>J10481+L10481</f>
        <v>1.7309999999999999</v>
      </c>
      <c r="O10481" t="str">
        <v>+</v>
      </c>
      <c r="P10481">
        <f>D10481-D10480</f>
        <v>0</v>
      </c>
      <c r="Q10481" t="str">
        <v>x</v>
      </c>
      <c r="R10481">
        <f>IF(P10481&gt;0,$F$18*F10481/1000,0)</f>
        <v>0</v>
      </c>
      <c r="S10481" t="str">
        <v>)</v>
      </c>
      <c r="T10481" t="str">
        <v>x</v>
      </c>
      <c r="U10481">
        <f>0.006165*F10481^2</f>
        <v>1.041885</v>
      </c>
      <c r="X10481" t="str">
        <v>x</v>
      </c>
      <c r="Y10481">
        <f>D10470</f>
        <v>1</v>
      </c>
      <c r="Z10481" t="str">
        <v>=</v>
      </c>
      <c r="AA10481">
        <f>IF(AA10482=0,(D10481*N10481+P10481*R10481)*U10481*Y10481,0)</f>
        <v>0</v>
      </c>
    </row>
    <row r="10482">
      <c r="A10482" t="str">
        <f>A10464</f>
        <v>Lantai Atap</v>
      </c>
      <c r="B10482">
        <f>B10464</f>
        <v>8</v>
      </c>
      <c r="D10482">
        <f>IF(AND(D10479=D10480,D10480=D10481,D10479=D10481),D10479,0)</f>
        <v>3</v>
      </c>
      <c r="E10482" t="str">
        <v>D</v>
      </c>
      <c r="F10482">
        <f>IF(AND(F10479=F10480,F10479=F10481,F10480=F10481),F10479,0)</f>
        <v>13</v>
      </c>
      <c r="L10482" t="str">
        <v>Total panjang per balok</v>
      </c>
      <c r="M10482" t="str">
        <v>=</v>
      </c>
      <c r="N10482">
        <f>IF(AND(D10479=D10480,D10479=D10481,D10480=D10481,F10479=F10480,F10479=F10481,F10480=F10481),SUM(N10479:N10481),0)</f>
        <v>6.612</v>
      </c>
      <c r="O10482" t="str">
        <v>+</v>
      </c>
      <c r="P10482">
        <f>IF(N10482&gt;12,ROUNDDOWN(N10482/12,0),0)</f>
        <v>0</v>
      </c>
      <c r="Q10482" t="str">
        <v>x</v>
      </c>
      <c r="R10482">
        <f>IF(P10482&gt;0,MAX(VLOOKUP(F10482,$D$6:$G$15,3,FALSE),600),0)/1000</f>
        <v>0</v>
      </c>
      <c r="T10482" t="str">
        <v>x</v>
      </c>
      <c r="U10482">
        <f>U10481</f>
        <v>1.041885</v>
      </c>
      <c r="V10482" t="str">
        <v>x</v>
      </c>
      <c r="W10482">
        <f>D10482</f>
        <v>3</v>
      </c>
      <c r="X10482" t="str">
        <v>x</v>
      </c>
      <c r="Y10482">
        <f>Y10481</f>
        <v>1</v>
      </c>
      <c r="Z10482" t="str">
        <v>=</v>
      </c>
      <c r="AA10482">
        <f>(N10482+P10482*R10482/1000)*U10482*W10482*Y10482</f>
        <v>20.66683086</v>
      </c>
    </row>
    <row r="10484">
      <c r="A10484" t="str">
        <f>A10464</f>
        <v>Lantai Atap</v>
      </c>
      <c r="B10484">
        <f>B10464</f>
        <v>8</v>
      </c>
      <c r="C10484" t="str">
        <v>Sengkang Tumpuan</v>
      </c>
      <c r="D10484">
        <f>VLOOKUP(D10464,'Detail Balok'!$C$10:$AU$110,31,FALSE)</f>
        <v>0</v>
      </c>
      <c r="E10484" t="str">
        <v>D</v>
      </c>
      <c r="F10484">
        <f>VLOOKUP(D10464,'Detail Balok'!$C$10:$AU$110,33,FALSE)</f>
        <v>8</v>
      </c>
      <c r="G10484" t="str">
        <v>-</v>
      </c>
      <c r="H10484">
        <f>VLOOKUP(D10464,'Detail Balok'!$C$10:$AU$110,35,FALSE)</f>
        <v>100</v>
      </c>
      <c r="J10484">
        <f>(IF(D10484=0,(2*(D10465+G10465))-(F$5*8),IF(D10484=3,(2*(D10465+G10465))-(F$5*8)+(G10465-2*F$5),IF(D10484=4,(2*(D10465+G10465))-(F$5*8)+2*(G10465-2*F$5)))))/1000</f>
        <v>0.98</v>
      </c>
      <c r="K10484" t="str">
        <v>+</v>
      </c>
      <c r="L10484">
        <f>IF(D10484=0,2*MAX(6*F10484,75),(D10484-1)*2*MAX(6*F10484,75))/1000</f>
        <v>0.15</v>
      </c>
      <c r="M10484" t="str">
        <v>=</v>
      </c>
      <c r="N10484">
        <f>J10484+L10484</f>
        <v>1.13</v>
      </c>
      <c r="T10484" t="str">
        <v>x</v>
      </c>
      <c r="U10484">
        <f>0.006165*F10484^2</f>
        <v>0.39456</v>
      </c>
      <c r="V10484" t="str">
        <v>x</v>
      </c>
      <c r="W10484">
        <f>IF(D10467&gt;4*G10465,ROUND(MAX(D10467/4,2*G10465)/H10484,0)+1,ROUND(D10467/H10484,0)+1)</f>
        <v>17</v>
      </c>
      <c r="X10484" t="str">
        <v>x</v>
      </c>
      <c r="Y10484">
        <f>D10470</f>
        <v>1</v>
      </c>
      <c r="Z10484" t="str">
        <v>=</v>
      </c>
      <c r="AA10484">
        <f>N10484*U10484*W10484*Y10484</f>
        <v>7.5794976</v>
      </c>
    </row>
    <row r="10485">
      <c r="A10485" t="str">
        <f>A10464</f>
        <v>Lantai Atap</v>
      </c>
      <c r="B10485">
        <f>B10464</f>
        <v>8</v>
      </c>
      <c r="C10485" t="str">
        <v>Sengkang Lapangan</v>
      </c>
      <c r="D10485">
        <f>VLOOKUP(D10464,'Detail Balok'!$C$10:$AU$110,36,FALSE)</f>
        <v>0</v>
      </c>
      <c r="E10485" t="str">
        <v>D</v>
      </c>
      <c r="F10485">
        <f>VLOOKUP(D10464,'Detail Balok'!$C$10:$AU$110,38,FALSE)</f>
        <v>8</v>
      </c>
      <c r="G10485" t="str">
        <v>-</v>
      </c>
      <c r="H10485">
        <f>VLOOKUP(D10464,'Detail Balok'!$C$10:$AU$110,40,FALSE)</f>
        <v>200</v>
      </c>
      <c r="J10485">
        <f>(IF(D10485=0,(2*(D10465+G10465))-(F$5*8),IF(D10485=3,(2*(D10465+G10465))-(F$5*8)+(G10465-2*F$5),IF(D10485=4,(2*(D10465+G10465))-(F$5*8)+2*(G10465-2*F$5)))))/1000</f>
        <v>0.98</v>
      </c>
      <c r="K10485" t="str">
        <v>+</v>
      </c>
      <c r="L10485">
        <f>IF(D10485=0,2*MAX(6*F10485,75),(D10485-1)*2*MAX(6*F10485,75))/1000</f>
        <v>0.15</v>
      </c>
      <c r="M10485" t="str">
        <v>=</v>
      </c>
      <c r="N10485">
        <f>J10485+L10485</f>
        <v>1.13</v>
      </c>
      <c r="T10485" t="str">
        <v>x</v>
      </c>
      <c r="U10485">
        <f>0.006165*F10485^2</f>
        <v>0.39456</v>
      </c>
      <c r="V10485" t="str">
        <v>x</v>
      </c>
      <c r="W10485">
        <f>IF(D10467-MAX(D10467/4,2*G10465)*2&gt;0,ROUND((D10467-MAX(D10467/4,2*G10465)*2)/H10485,0),0)</f>
        <v>16</v>
      </c>
      <c r="X10485" t="str">
        <v>x</v>
      </c>
      <c r="Y10485">
        <f>D10470</f>
        <v>1</v>
      </c>
      <c r="Z10485" t="str">
        <v>=</v>
      </c>
      <c r="AA10485">
        <f>N10485*U10485*W10485*Y10485</f>
        <v>7.1336448</v>
      </c>
    </row>
    <row r="10486">
      <c r="A10486" t="str">
        <f>A10464</f>
        <v>Lantai Atap</v>
      </c>
      <c r="B10486">
        <f>B10464</f>
        <v>8</v>
      </c>
      <c r="C10486" t="str">
        <v>Sengkang Tumpuan</v>
      </c>
      <c r="D10486">
        <f>VLOOKUP(D10464,'Detail Balok'!$C$10:$AU$110,41,FALSE)</f>
        <v>0</v>
      </c>
      <c r="E10486" t="str">
        <v>D</v>
      </c>
      <c r="F10486">
        <f>VLOOKUP(D10464,'Detail Balok'!$C$10:$AU$110,43,FALSE)</f>
        <v>8</v>
      </c>
      <c r="G10486" t="str">
        <v>-</v>
      </c>
      <c r="H10486">
        <f>VLOOKUP(D10464,'Detail Balok'!$C$10:$AU$110,45,FALSE)</f>
        <v>100</v>
      </c>
      <c r="J10486">
        <f>(IF(D10486=0,(2*(D10465+G10465))-(F$5*8),IF(D10486=3,(2*(D10465+G10465))-(F$5*8)+(G10465-2*F$5),IF(D10486=4,(2*(D10465+G10465))-(F$5*8)+2*(G10465-2*F$5)))))/1000</f>
        <v>0.98</v>
      </c>
      <c r="K10486" t="str">
        <v>+</v>
      </c>
      <c r="L10486">
        <f>IF(D10486=0,2*MAX(6*F10486,75),(D10486-1)*2*MAX(6*F10486,75))/1000</f>
        <v>0.15</v>
      </c>
      <c r="M10486" t="str">
        <v>=</v>
      </c>
      <c r="N10486">
        <f>J10486+L10486</f>
        <v>1.13</v>
      </c>
      <c r="T10486" t="str">
        <v>x</v>
      </c>
      <c r="U10486">
        <f>0.006165*F10486^2</f>
        <v>0.39456</v>
      </c>
      <c r="V10486" t="str">
        <v>x</v>
      </c>
      <c r="W10486">
        <f>IF(D10467&gt;4*G10465,ROUND(MAX(D10467/4,2*G10465)/H10486,0)+1,0)</f>
        <v>17</v>
      </c>
      <c r="X10486" t="str">
        <v>x</v>
      </c>
      <c r="Y10486">
        <f>D10470</f>
        <v>1</v>
      </c>
      <c r="Z10486" t="str">
        <v>=</v>
      </c>
      <c r="AA10486">
        <f>N10486*U10486*W10486*Y10486</f>
        <v>7.5794976</v>
      </c>
    </row>
    <row r="10488">
      <c r="A10488" t="str">
        <f>A10464</f>
        <v>Lantai Atap</v>
      </c>
      <c r="B10488">
        <f>B10464</f>
        <v>8</v>
      </c>
      <c r="C10488" t="str">
        <v>Kait Horizontal Tump.</v>
      </c>
      <c r="D10488">
        <f>VLOOKUP(D10464,'Detail Balok'!$C$10:$BJ$110,46,FALSE)</f>
        <v>0</v>
      </c>
      <c r="E10488" t="str">
        <v>D</v>
      </c>
      <c r="F10488">
        <f>VLOOKUP(D10464,'Detail Balok'!$C$10:$BJ$110,48,FALSE)</f>
        <v>0</v>
      </c>
      <c r="G10488" t="str">
        <v>-</v>
      </c>
      <c r="H10488">
        <f>VLOOKUP(D10464,'Detail Balok'!$C$10:$BJ$110,50,FALSE)</f>
        <v>100</v>
      </c>
      <c r="J10488">
        <f>(D10465-2*F$5)/1000</f>
        <v>0.12</v>
      </c>
      <c r="K10488" t="str">
        <v>+</v>
      </c>
      <c r="L10488">
        <f>IF(D10488=0,2*MAX(6*F10488,75),(D10488-1)*2*MAX(6*F10488,75))/1000</f>
        <v>0.15</v>
      </c>
      <c r="M10488" t="str">
        <v>=</v>
      </c>
      <c r="N10488">
        <f>J10488+L10488</f>
        <v>0.27</v>
      </c>
      <c r="T10488" t="str">
        <v>x</v>
      </c>
      <c r="U10488">
        <f>0.006165*F10488^2</f>
        <v>0</v>
      </c>
      <c r="V10488" t="str">
        <v>x</v>
      </c>
      <c r="W10488">
        <f>W10484</f>
        <v>17</v>
      </c>
      <c r="X10488" t="str">
        <v>x</v>
      </c>
      <c r="Y10488">
        <f>D10474</f>
        <v>3</v>
      </c>
      <c r="Z10488" t="str">
        <v>=</v>
      </c>
      <c r="AA10488">
        <f>N10488*U10488*W10488*Y10488</f>
        <v>0</v>
      </c>
    </row>
    <row r="10489">
      <c r="A10489" t="str">
        <f>A10464</f>
        <v>Lantai Atap</v>
      </c>
      <c r="B10489">
        <f>B10464</f>
        <v>8</v>
      </c>
      <c r="C10489" t="str">
        <v>Kait Horizontal Lap.</v>
      </c>
      <c r="D10489">
        <f>VLOOKUP(D10464,'Detail Balok'!$C$10:$BJ$110,51,FALSE)</f>
        <v>0</v>
      </c>
      <c r="E10489" t="str">
        <v>D</v>
      </c>
      <c r="F10489">
        <f>VLOOKUP(D10464,'Detail Balok'!$C$10:$BJ$110,53,FALSE)</f>
        <v>0</v>
      </c>
      <c r="G10489" t="str">
        <v>-</v>
      </c>
      <c r="H10489">
        <f>VLOOKUP(D10464,'Detail Balok'!$C$10:$BJ$110,55,FALSE)</f>
        <v>100</v>
      </c>
      <c r="J10489">
        <f>(D10465-2*F$5)/1000</f>
        <v>0.12</v>
      </c>
      <c r="K10489" t="str">
        <v>+</v>
      </c>
      <c r="L10489">
        <f>IF(D10489=0,2*MAX(6*F10489,75),(D10489-1)*2*MAX(6*F10489,75))/1000</f>
        <v>0.15</v>
      </c>
      <c r="M10489" t="str">
        <v>=</v>
      </c>
      <c r="N10489">
        <f>J10489+L10489</f>
        <v>0.27</v>
      </c>
      <c r="T10489" t="str">
        <v>x</v>
      </c>
      <c r="U10489">
        <f>0.006165*F10489^2</f>
        <v>0</v>
      </c>
      <c r="V10489" t="str">
        <v>x</v>
      </c>
      <c r="W10489">
        <f>W10485</f>
        <v>16</v>
      </c>
      <c r="X10489" t="str">
        <v>x</v>
      </c>
      <c r="Y10489">
        <f>D10474</f>
        <v>3</v>
      </c>
      <c r="Z10489" t="str">
        <v>=</v>
      </c>
      <c r="AA10489">
        <f>N10489*U10489*W10489*Y10489</f>
        <v>0</v>
      </c>
    </row>
    <row r="10490">
      <c r="A10490" t="str">
        <f>A10464</f>
        <v>Lantai Atap</v>
      </c>
      <c r="B10490">
        <f>B10464</f>
        <v>8</v>
      </c>
      <c r="C10490" t="str">
        <v>Kait Horizontal Tump.</v>
      </c>
      <c r="D10490">
        <f>VLOOKUP(D10464,'Detail Balok'!$C$10:$BJ$110,56,FALSE)</f>
        <v>0</v>
      </c>
      <c r="E10490" t="str">
        <v>D</v>
      </c>
      <c r="F10490">
        <f>VLOOKUP(D10464,'Detail Balok'!$C$10:$BJ$110,58,FALSE)</f>
        <v>0</v>
      </c>
      <c r="G10490" t="str">
        <v>-</v>
      </c>
      <c r="H10490">
        <f>VLOOKUP(D10464,'Detail Balok'!$C$10:$BJ$110,60,FALSE)</f>
        <v>100</v>
      </c>
      <c r="J10490">
        <f>(D10465-2*F$5)/1000</f>
        <v>0.12</v>
      </c>
      <c r="K10490" t="str">
        <v>+</v>
      </c>
      <c r="L10490">
        <f>IF(D10490=0,2*MAX(6*F10490,75),(D10490-1)*2*MAX(6*F10490,75))/1000</f>
        <v>0.15</v>
      </c>
      <c r="M10490" t="str">
        <v>=</v>
      </c>
      <c r="N10490">
        <f>J10490+L10490</f>
        <v>0.27</v>
      </c>
      <c r="T10490" t="str">
        <v>x</v>
      </c>
      <c r="U10490">
        <f>0.006165*F10490^2</f>
        <v>0</v>
      </c>
      <c r="V10490" t="str">
        <v>x</v>
      </c>
      <c r="W10490">
        <f>W10486</f>
        <v>17</v>
      </c>
      <c r="X10490" t="str">
        <v>x</v>
      </c>
      <c r="Y10490">
        <f>D10474</f>
        <v>3</v>
      </c>
      <c r="Z10490" t="str">
        <v>=</v>
      </c>
      <c r="AA10490">
        <f>N10490*U10490*W10490*Y10490</f>
        <v>0</v>
      </c>
    </row>
    <row r="10494">
      <c r="A10494" t="str">
        <f>A10464</f>
        <v>Lantai Atap</v>
      </c>
      <c r="B10494">
        <f>B10464+1</f>
        <v>9</v>
      </c>
      <c r="C10494" t="str">
        <f>CONCATENATE(A10494," no. ",B10494)</f>
        <v>Lantai Atap no. 9</v>
      </c>
      <c r="D10494" t="str">
        <f>VLOOKUP(C10494,'Data Panjang Balok'!$C$9:$N$424,2,FALSE)</f>
        <v>B245-2</v>
      </c>
    </row>
    <row r="10495">
      <c r="C10495" t="str">
        <v>Dimensi</v>
      </c>
      <c r="D10495">
        <f>VLOOKUP(D10494,'Detail Balok'!$C$10:$AU$110,2,FALSE)</f>
        <v>200</v>
      </c>
      <c r="F10495" t="str">
        <v>x</v>
      </c>
      <c r="G10495">
        <f>VLOOKUP(D10494,'Detail Balok'!$C$10:$AU$110,3,FALSE)</f>
        <v>450</v>
      </c>
    </row>
    <row r="10496">
      <c r="C10496" t="str">
        <v>Panjang as ke as</v>
      </c>
      <c r="D10496">
        <f>VLOOKUP(C10494,'Data Panjang Balok'!$C$9:$N$424,4,FALSE)</f>
        <v>6300</v>
      </c>
    </row>
    <row r="10497">
      <c r="C10497" t="str">
        <v>Panjang netto</v>
      </c>
      <c r="D10497">
        <f>VLOOKUP(C10494,'Data Panjang Balok'!$C$9:$N$424,7,FALSE)</f>
        <v>6300</v>
      </c>
    </row>
    <row r="10498">
      <c r="C10498" t="str">
        <v>Kolom / balok kiri</v>
      </c>
      <c r="D10498">
        <f>VLOOKUP(C10494,'Data Panjang Balok'!$C$9:$N$424,9,FALSE)</f>
        <v>0</v>
      </c>
    </row>
    <row r="10499">
      <c r="C10499" t="str">
        <v>Kolom / balok kanan</v>
      </c>
      <c r="D10499">
        <f>VLOOKUP(C10494,'Data Panjang Balok'!$C$9:$N$424,10,FALSE)</f>
        <v>0</v>
      </c>
    </row>
    <row r="10500">
      <c r="C10500" t="str">
        <v>Jumlah</v>
      </c>
      <c r="D10500">
        <f>VLOOKUP(C10494,'Data Panjang Balok'!$C$9:$N$424,3,FALSE)</f>
        <v>1</v>
      </c>
    </row>
    <row r="10501">
      <c r="A10501" t="str">
        <f>A10494</f>
        <v>Lantai Atap</v>
      </c>
      <c r="B10501">
        <f>B10494</f>
        <v>9</v>
      </c>
      <c r="C10501" t="str">
        <v>Tul Atas Tumpuan</v>
      </c>
      <c r="D10501">
        <f>VLOOKUP(D10494,'Detail Balok'!$C$10:$AU$110,4,FALSE)</f>
        <v>3</v>
      </c>
      <c r="E10501" t="str">
        <v>D</v>
      </c>
      <c r="F10501">
        <f>VLOOKUP(D10494,'Detail Balok'!$C$10:$AU$110,6,FALSE)</f>
        <v>13</v>
      </c>
      <c r="I10501" t="str">
        <v>(</v>
      </c>
      <c r="J10501">
        <f>+D10496/4/1000</f>
        <v>1.575</v>
      </c>
      <c r="K10501" t="str">
        <v>+</v>
      </c>
      <c r="L10501">
        <f>MAX(VLOOKUP(F10501,N$6:P$15,3,FALSE)/1000,2/3*D10498/1000)+F$16*F10501/1000</f>
        <v>0.156</v>
      </c>
      <c r="M10501" t="str">
        <v>=</v>
      </c>
      <c r="N10501">
        <f>J10501+L10501</f>
        <v>1.7309999999999999</v>
      </c>
      <c r="O10501" t="str">
        <v>+</v>
      </c>
      <c r="P10501">
        <f>D10501-D10502</f>
        <v>0</v>
      </c>
      <c r="Q10501" t="str">
        <v>x</v>
      </c>
      <c r="R10501">
        <f>IF(P10501&gt;0,$F$18*F10501/1000,0)</f>
        <v>0</v>
      </c>
      <c r="S10501" t="str">
        <v>)</v>
      </c>
      <c r="T10501" t="str">
        <v>x</v>
      </c>
      <c r="U10501">
        <f>0.006165*F10501^2</f>
        <v>1.041885</v>
      </c>
      <c r="X10501" t="str">
        <v>x</v>
      </c>
      <c r="Y10501">
        <f>D10500</f>
        <v>1</v>
      </c>
      <c r="Z10501" t="str">
        <v>=</v>
      </c>
      <c r="AA10501">
        <f>IF(AA10504=0,(D10501*N10501+P10501*R10501)*U10501*Y10501,0)</f>
        <v>0</v>
      </c>
    </row>
    <row r="10502">
      <c r="A10502" t="str">
        <f>A10494</f>
        <v>Lantai Atap</v>
      </c>
      <c r="B10502">
        <f>B10494</f>
        <v>9</v>
      </c>
      <c r="C10502" t="str">
        <v>Tul Atas Lapangan</v>
      </c>
      <c r="D10502">
        <f>VLOOKUP(D10494,'Detail Balok'!$C$10:$AU$110,7,FALSE)</f>
        <v>3</v>
      </c>
      <c r="E10502" t="str">
        <v>D</v>
      </c>
      <c r="F10502">
        <f>VLOOKUP(D10494,'Detail Balok'!$C$10:$AU$110,9,FALSE)</f>
        <v>13</v>
      </c>
      <c r="I10502" t="str">
        <v>(</v>
      </c>
      <c r="J10502">
        <f>+D10496/2/1000</f>
        <v>3.15</v>
      </c>
      <c r="K10502" t="str">
        <v>+</v>
      </c>
      <c r="M10502" t="str">
        <v>=</v>
      </c>
      <c r="N10502">
        <f>J10502+L10502</f>
        <v>3.15</v>
      </c>
      <c r="O10502" t="str">
        <v>+</v>
      </c>
      <c r="P10502">
        <f>MAX(D10502-D10501,D10502-D10503)</f>
        <v>0</v>
      </c>
      <c r="Q10502" t="str">
        <v>x</v>
      </c>
      <c r="R10502">
        <f>IF(P10502&gt;0,2*(1-2*$F$19-1/2)*D10497/1000,0)</f>
        <v>0</v>
      </c>
      <c r="S10502" t="str">
        <v>)</v>
      </c>
      <c r="T10502" t="str">
        <v>x</v>
      </c>
      <c r="U10502">
        <f>0.006165*F10502^2</f>
        <v>1.041885</v>
      </c>
      <c r="X10502" t="str">
        <v>x</v>
      </c>
      <c r="Y10502">
        <f>D10500</f>
        <v>1</v>
      </c>
      <c r="Z10502" t="str">
        <v>=</v>
      </c>
      <c r="AA10502">
        <f>IF(AA10504=0,(D10502*N10502+P10502*R10502)*U10502*Y10502,0)</f>
        <v>0</v>
      </c>
    </row>
    <row r="10503">
      <c r="A10503" t="str">
        <f>A10494</f>
        <v>Lantai Atap</v>
      </c>
      <c r="B10503">
        <f>B10494</f>
        <v>9</v>
      </c>
      <c r="C10503" t="str">
        <v>Tul Atas Tumpuan</v>
      </c>
      <c r="D10503">
        <f>VLOOKUP(D10494,'Detail Balok'!$C$10:$AU$110,10,FALSE)</f>
        <v>3</v>
      </c>
      <c r="E10503" t="str">
        <v>D</v>
      </c>
      <c r="F10503">
        <f>VLOOKUP(D10494,'Detail Balok'!$C$10:$AU$110,12,FALSE)</f>
        <v>13</v>
      </c>
      <c r="I10503" t="str">
        <v>(</v>
      </c>
      <c r="J10503">
        <f>+D10496/4/1000</f>
        <v>1.575</v>
      </c>
      <c r="K10503" t="str">
        <v>+</v>
      </c>
      <c r="L10503">
        <f>MAX(VLOOKUP(F10503,N$6:P$15,3,FALSE)/1000,2/3*D10498/1000)+F$16*F10503/1000</f>
        <v>0.156</v>
      </c>
      <c r="M10503" t="str">
        <v>=</v>
      </c>
      <c r="N10503">
        <f>J10503+L10503</f>
        <v>1.7309999999999999</v>
      </c>
      <c r="O10503" t="str">
        <v>+</v>
      </c>
      <c r="P10503">
        <f>D10503-D10502</f>
        <v>0</v>
      </c>
      <c r="Q10503" t="str">
        <v>x</v>
      </c>
      <c r="R10503">
        <f>IF(P10503&gt;0,$F$18*F10503/1000,0)</f>
        <v>0</v>
      </c>
      <c r="S10503" t="str">
        <v>)</v>
      </c>
      <c r="T10503" t="str">
        <v>x</v>
      </c>
      <c r="U10503">
        <f>0.006165*F10503^2</f>
        <v>1.041885</v>
      </c>
      <c r="X10503" t="str">
        <v>x</v>
      </c>
      <c r="Y10503">
        <f>D10500</f>
        <v>1</v>
      </c>
      <c r="Z10503" t="str">
        <v>=</v>
      </c>
      <c r="AA10503">
        <f>IF(AA10504=0,(D10503*N10503+P10503*R10503)*U10503*Y10503,0)</f>
        <v>0</v>
      </c>
    </row>
    <row r="10504">
      <c r="A10504" t="str">
        <f>A10494</f>
        <v>Lantai Atap</v>
      </c>
      <c r="B10504">
        <f>B10494</f>
        <v>9</v>
      </c>
      <c r="D10504">
        <f>IF(AND(D10501=D10502,D10502=D10503,D10501=D10503),D10501,0)</f>
        <v>3</v>
      </c>
      <c r="E10504" t="str">
        <v>D</v>
      </c>
      <c r="F10504">
        <f>IF(AND(F10501=F10502,F10501=F10503,F10502=F10503),F10501,0)</f>
        <v>13</v>
      </c>
      <c r="L10504" t="str">
        <v>Total panjang per balok</v>
      </c>
      <c r="M10504" t="str">
        <v>=</v>
      </c>
      <c r="N10504">
        <f>IF(AND(D10501=D10502,D10501=D10503,D10502=D10503,F10501=F10502,F10501=F10503,F10502=F10503),SUM(N10501:N10503),0)</f>
        <v>6.612</v>
      </c>
      <c r="O10504" t="str">
        <v>+</v>
      </c>
      <c r="P10504">
        <f>IF(N10504&gt;12,ROUNDDOWN(N10504/12,0),0)</f>
        <v>0</v>
      </c>
      <c r="Q10504" t="str">
        <v>x</v>
      </c>
      <c r="R10504">
        <f>IF(P10504&gt;0,MAX(VLOOKUP(F10504,$D$6:$G$15,3,FALSE),600),0)/1000</f>
        <v>0</v>
      </c>
      <c r="T10504" t="str">
        <v>x</v>
      </c>
      <c r="U10504">
        <f>U10503</f>
        <v>1.041885</v>
      </c>
      <c r="V10504" t="str">
        <v>x</v>
      </c>
      <c r="W10504">
        <f>D10504</f>
        <v>3</v>
      </c>
      <c r="X10504" t="str">
        <v>x</v>
      </c>
      <c r="Y10504">
        <f>Y10503</f>
        <v>1</v>
      </c>
      <c r="Z10504" t="str">
        <v>=</v>
      </c>
      <c r="AA10504">
        <f>(N10504+P10504*R10504/1000)*U10504*W10504*Y10504</f>
        <v>20.66683086</v>
      </c>
    </row>
    <row r="10506">
      <c r="A10506" t="str">
        <f>A10494</f>
        <v>Lantai Atap</v>
      </c>
      <c r="B10506">
        <f>B10494</f>
        <v>9</v>
      </c>
      <c r="C10506" t="str">
        <v>Tul Peminggang</v>
      </c>
      <c r="D10506">
        <f>VLOOKUP(D10494,'Detail Balok'!$C$10:$AU$110,13,FALSE)</f>
        <v>2</v>
      </c>
      <c r="E10506" t="str">
        <v>D</v>
      </c>
      <c r="F10506">
        <f>VLOOKUP(D10494,'Detail Balok'!$C$10:$AU$110,15,FALSE)</f>
        <v>8</v>
      </c>
      <c r="J10506">
        <f>+D10496/1000</f>
        <v>6.3</v>
      </c>
      <c r="K10506" t="str">
        <v>+</v>
      </c>
      <c r="L10506">
        <f>2*$F$16*F10506/1000</f>
        <v>0.192</v>
      </c>
      <c r="M10506" t="str">
        <v>=</v>
      </c>
      <c r="N10506">
        <f>J10506+L10506</f>
        <v>6.492</v>
      </c>
      <c r="O10506" t="str">
        <v>+</v>
      </c>
      <c r="P10506">
        <f>IF(N10506&gt;12,ROUNDDOWN(N10506/12,0),0)</f>
        <v>0</v>
      </c>
      <c r="Q10506" t="str">
        <v>x</v>
      </c>
      <c r="R10506">
        <f>IF(P10506&gt;0,MAX(VLOOKUP(F10506,$D$6:$G$15,3,FALSE),600),0)/1000</f>
        <v>0</v>
      </c>
      <c r="T10506" t="str">
        <v>x</v>
      </c>
      <c r="U10506">
        <f>0.006165*F10506^2</f>
        <v>0.39456</v>
      </c>
      <c r="V10506" t="str">
        <v>x</v>
      </c>
      <c r="W10506">
        <f>+D10506</f>
        <v>2</v>
      </c>
      <c r="X10506" t="str">
        <v>x</v>
      </c>
      <c r="Y10506">
        <f>D10500</f>
        <v>1</v>
      </c>
      <c r="Z10506" t="str">
        <v>=</v>
      </c>
      <c r="AA10506">
        <f>(N10506+P10506*R10506/1000)*U10506*W10506*Y10506</f>
        <v>5.122967040000001</v>
      </c>
    </row>
    <row r="10509">
      <c r="A10509" t="str">
        <f>A10494</f>
        <v>Lantai Atap</v>
      </c>
      <c r="B10509">
        <f>B10494</f>
        <v>9</v>
      </c>
      <c r="C10509" t="str">
        <v>Tul Bawah Tumpuan</v>
      </c>
      <c r="D10509">
        <f>VLOOKUP(D10494,'Detail Balok'!$C$10:$AU$110,22,FALSE)</f>
        <v>3</v>
      </c>
      <c r="E10509" t="str">
        <v>D</v>
      </c>
      <c r="F10509">
        <f>VLOOKUP(D10494,'Detail Balok'!$C$10:$AU$110,24,FALSE)</f>
        <v>13</v>
      </c>
      <c r="I10509" t="str">
        <v>(</v>
      </c>
      <c r="J10509">
        <f>+J10501</f>
        <v>1.575</v>
      </c>
      <c r="K10509" t="str">
        <v>+</v>
      </c>
      <c r="L10509">
        <f>MAX(VLOOKUP(F10509,N$6:P$15,3,FALSE)/1000,2/3*D10499/1000)+F$16*F10509/1000</f>
        <v>0.156</v>
      </c>
      <c r="M10509" t="str">
        <v>=</v>
      </c>
      <c r="N10509">
        <f>J10509+L10509</f>
        <v>1.7309999999999999</v>
      </c>
      <c r="O10509" t="str">
        <v>+</v>
      </c>
      <c r="P10509">
        <f>D10509-D10510</f>
        <v>0</v>
      </c>
      <c r="Q10509" t="str">
        <v>x</v>
      </c>
      <c r="R10509">
        <f>IF(P10509&gt;0,$F$18*F10509/1000,0)</f>
        <v>0</v>
      </c>
      <c r="S10509" t="str">
        <v>)</v>
      </c>
      <c r="T10509" t="str">
        <v>x</v>
      </c>
      <c r="U10509">
        <f>0.006165*F10509^2</f>
        <v>1.041885</v>
      </c>
      <c r="X10509" t="str">
        <v>x</v>
      </c>
      <c r="Y10509">
        <f>D10500</f>
        <v>1</v>
      </c>
      <c r="Z10509" t="str">
        <v>=</v>
      </c>
      <c r="AA10509">
        <f>IF(AA10512=0,(D10509*N10509+P10509*R10509)*U10509*Y10509,0)</f>
        <v>0</v>
      </c>
    </row>
    <row r="10510">
      <c r="A10510" t="str">
        <f>A10494</f>
        <v>Lantai Atap</v>
      </c>
      <c r="B10510">
        <f>B10494</f>
        <v>9</v>
      </c>
      <c r="C10510" t="str">
        <v>Tul Bawah Lapangan</v>
      </c>
      <c r="D10510">
        <f>VLOOKUP(D10494,'Detail Balok'!$C$10:$AU$110,25,FALSE)</f>
        <v>3</v>
      </c>
      <c r="E10510" t="str">
        <v>D</v>
      </c>
      <c r="F10510">
        <f>VLOOKUP(D10494,'Detail Balok'!$C$10:$AU$110,27,FALSE)</f>
        <v>13</v>
      </c>
      <c r="I10510" t="str">
        <v>(</v>
      </c>
      <c r="J10510">
        <f>+J10502</f>
        <v>3.15</v>
      </c>
      <c r="K10510" t="str">
        <v>+</v>
      </c>
      <c r="M10510" t="str">
        <v>=</v>
      </c>
      <c r="N10510">
        <f>J10510+L10510</f>
        <v>3.15</v>
      </c>
      <c r="O10510" t="str">
        <v>+</v>
      </c>
      <c r="P10510">
        <f>MAX(D10510-D10509,D10510-D10511)</f>
        <v>0</v>
      </c>
      <c r="Q10510" t="str">
        <v>x</v>
      </c>
      <c r="R10510">
        <f>IF(P10510&gt;0,2*(1-2*$F$19-1/2)*D10497/1000,0)</f>
        <v>0</v>
      </c>
      <c r="S10510" t="str">
        <v>)</v>
      </c>
      <c r="T10510" t="str">
        <v>x</v>
      </c>
      <c r="U10510">
        <f>0.006165*F10510^2</f>
        <v>1.041885</v>
      </c>
      <c r="X10510" t="str">
        <v>x</v>
      </c>
      <c r="Y10510">
        <f>D10500</f>
        <v>1</v>
      </c>
      <c r="Z10510" t="str">
        <v>=</v>
      </c>
      <c r="AA10510">
        <f>IF(AA10512=0,(D10510*N10510+P10510*R10510)*U10510*Y10510,0)</f>
        <v>0</v>
      </c>
    </row>
    <row r="10511">
      <c r="A10511" t="str">
        <f>A10494</f>
        <v>Lantai Atap</v>
      </c>
      <c r="B10511">
        <f>B10494</f>
        <v>9</v>
      </c>
      <c r="C10511" t="str">
        <v>Tul Bawah Tumpuan</v>
      </c>
      <c r="D10511">
        <f>VLOOKUP(D10494,'Detail Balok'!$C$10:$AU$110,28,FALSE)</f>
        <v>3</v>
      </c>
      <c r="E10511" t="str">
        <v>D</v>
      </c>
      <c r="F10511">
        <f>VLOOKUP(D10494,'Detail Balok'!$C$10:$AU$110,30,FALSE)</f>
        <v>13</v>
      </c>
      <c r="I10511" t="str">
        <v>(</v>
      </c>
      <c r="J10511">
        <f>+J10503</f>
        <v>1.575</v>
      </c>
      <c r="K10511" t="str">
        <v>+</v>
      </c>
      <c r="L10511">
        <f>MAX(VLOOKUP(F10511,N$6:P$15,3,FALSE)/1000,2/3*D10499/1000)+F$16*F10511/1000</f>
        <v>0.156</v>
      </c>
      <c r="M10511" t="str">
        <v>=</v>
      </c>
      <c r="N10511">
        <f>J10511+L10511</f>
        <v>1.7309999999999999</v>
      </c>
      <c r="O10511" t="str">
        <v>+</v>
      </c>
      <c r="P10511">
        <f>D10511-D10510</f>
        <v>0</v>
      </c>
      <c r="Q10511" t="str">
        <v>x</v>
      </c>
      <c r="R10511">
        <f>IF(P10511&gt;0,$F$18*F10511/1000,0)</f>
        <v>0</v>
      </c>
      <c r="S10511" t="str">
        <v>)</v>
      </c>
      <c r="T10511" t="str">
        <v>x</v>
      </c>
      <c r="U10511">
        <f>0.006165*F10511^2</f>
        <v>1.041885</v>
      </c>
      <c r="X10511" t="str">
        <v>x</v>
      </c>
      <c r="Y10511">
        <f>D10500</f>
        <v>1</v>
      </c>
      <c r="Z10511" t="str">
        <v>=</v>
      </c>
      <c r="AA10511">
        <f>IF(AA10512=0,(D10511*N10511+P10511*R10511)*U10511*Y10511,0)</f>
        <v>0</v>
      </c>
    </row>
    <row r="10512">
      <c r="A10512" t="str">
        <f>A10494</f>
        <v>Lantai Atap</v>
      </c>
      <c r="B10512">
        <f>B10494</f>
        <v>9</v>
      </c>
      <c r="D10512">
        <f>IF(AND(D10509=D10510,D10510=D10511,D10509=D10511),D10509,0)</f>
        <v>3</v>
      </c>
      <c r="E10512" t="str">
        <v>D</v>
      </c>
      <c r="F10512">
        <f>IF(AND(F10509=F10510,F10509=F10511,F10510=F10511),F10509,0)</f>
        <v>13</v>
      </c>
      <c r="L10512" t="str">
        <v>Total panjang per balok</v>
      </c>
      <c r="M10512" t="str">
        <v>=</v>
      </c>
      <c r="N10512">
        <f>IF(AND(D10509=D10510,D10509=D10511,D10510=D10511,F10509=F10510,F10509=F10511,F10510=F10511),SUM(N10509:N10511),0)</f>
        <v>6.612</v>
      </c>
      <c r="O10512" t="str">
        <v>+</v>
      </c>
      <c r="P10512">
        <f>IF(N10512&gt;12,ROUNDDOWN(N10512/12,0),0)</f>
        <v>0</v>
      </c>
      <c r="Q10512" t="str">
        <v>x</v>
      </c>
      <c r="R10512">
        <f>IF(P10512&gt;0,MAX(VLOOKUP(F10512,$D$6:$G$15,3,FALSE),600),0)/1000</f>
        <v>0</v>
      </c>
      <c r="T10512" t="str">
        <v>x</v>
      </c>
      <c r="U10512">
        <f>U10511</f>
        <v>1.041885</v>
      </c>
      <c r="V10512" t="str">
        <v>x</v>
      </c>
      <c r="W10512">
        <f>D10512</f>
        <v>3</v>
      </c>
      <c r="X10512" t="str">
        <v>x</v>
      </c>
      <c r="Y10512">
        <f>Y10511</f>
        <v>1</v>
      </c>
      <c r="Z10512" t="str">
        <v>=</v>
      </c>
      <c r="AA10512">
        <f>(N10512+P10512*R10512/1000)*U10512*W10512*Y10512</f>
        <v>20.66683086</v>
      </c>
    </row>
    <row r="10514">
      <c r="A10514" t="str">
        <f>A10494</f>
        <v>Lantai Atap</v>
      </c>
      <c r="B10514">
        <f>B10494</f>
        <v>9</v>
      </c>
      <c r="C10514" t="str">
        <v>Sengkang Tumpuan</v>
      </c>
      <c r="D10514">
        <f>VLOOKUP(D10494,'Detail Balok'!$C$10:$AU$110,31,FALSE)</f>
        <v>0</v>
      </c>
      <c r="E10514" t="str">
        <v>D</v>
      </c>
      <c r="F10514">
        <f>VLOOKUP(D10494,'Detail Balok'!$C$10:$AU$110,33,FALSE)</f>
        <v>8</v>
      </c>
      <c r="G10514" t="str">
        <v>-</v>
      </c>
      <c r="H10514">
        <f>VLOOKUP(D10494,'Detail Balok'!$C$10:$AU$110,35,FALSE)</f>
        <v>100</v>
      </c>
      <c r="J10514">
        <f>(IF(D10514=0,(2*(D10495+G10495))-(F$5*8),IF(D10514=3,(2*(D10495+G10495))-(F$5*8)+(G10495-2*F$5),IF(D10514=4,(2*(D10495+G10495))-(F$5*8)+2*(G10495-2*F$5)))))/1000</f>
        <v>0.98</v>
      </c>
      <c r="K10514" t="str">
        <v>+</v>
      </c>
      <c r="L10514">
        <f>IF(D10514=0,2*MAX(6*F10514,75),(D10514-1)*2*MAX(6*F10514,75))/1000</f>
        <v>0.15</v>
      </c>
      <c r="M10514" t="str">
        <v>=</v>
      </c>
      <c r="N10514">
        <f>J10514+L10514</f>
        <v>1.13</v>
      </c>
      <c r="T10514" t="str">
        <v>x</v>
      </c>
      <c r="U10514">
        <f>0.006165*F10514^2</f>
        <v>0.39456</v>
      </c>
      <c r="V10514" t="str">
        <v>x</v>
      </c>
      <c r="W10514">
        <f>IF(D10497&gt;4*G10495,ROUND(MAX(D10497/4,2*G10495)/H10514,0)+1,ROUND(D10497/H10514,0)+1)</f>
        <v>17</v>
      </c>
      <c r="X10514" t="str">
        <v>x</v>
      </c>
      <c r="Y10514">
        <f>D10500</f>
        <v>1</v>
      </c>
      <c r="Z10514" t="str">
        <v>=</v>
      </c>
      <c r="AA10514">
        <f>N10514*U10514*W10514*Y10514</f>
        <v>7.5794976</v>
      </c>
    </row>
    <row r="10515">
      <c r="A10515" t="str">
        <f>A10494</f>
        <v>Lantai Atap</v>
      </c>
      <c r="B10515">
        <f>B10494</f>
        <v>9</v>
      </c>
      <c r="C10515" t="str">
        <v>Sengkang Lapangan</v>
      </c>
      <c r="D10515">
        <f>VLOOKUP(D10494,'Detail Balok'!$C$10:$AU$110,36,FALSE)</f>
        <v>0</v>
      </c>
      <c r="E10515" t="str">
        <v>D</v>
      </c>
      <c r="F10515">
        <f>VLOOKUP(D10494,'Detail Balok'!$C$10:$AU$110,38,FALSE)</f>
        <v>8</v>
      </c>
      <c r="G10515" t="str">
        <v>-</v>
      </c>
      <c r="H10515">
        <f>VLOOKUP(D10494,'Detail Balok'!$C$10:$AU$110,40,FALSE)</f>
        <v>200</v>
      </c>
      <c r="J10515">
        <f>(IF(D10515=0,(2*(D10495+G10495))-(F$5*8),IF(D10515=3,(2*(D10495+G10495))-(F$5*8)+(G10495-2*F$5),IF(D10515=4,(2*(D10495+G10495))-(F$5*8)+2*(G10495-2*F$5)))))/1000</f>
        <v>0.98</v>
      </c>
      <c r="K10515" t="str">
        <v>+</v>
      </c>
      <c r="L10515">
        <f>IF(D10515=0,2*MAX(6*F10515,75),(D10515-1)*2*MAX(6*F10515,75))/1000</f>
        <v>0.15</v>
      </c>
      <c r="M10515" t="str">
        <v>=</v>
      </c>
      <c r="N10515">
        <f>J10515+L10515</f>
        <v>1.13</v>
      </c>
      <c r="T10515" t="str">
        <v>x</v>
      </c>
      <c r="U10515">
        <f>0.006165*F10515^2</f>
        <v>0.39456</v>
      </c>
      <c r="V10515" t="str">
        <v>x</v>
      </c>
      <c r="W10515">
        <f>IF(D10497-MAX(D10497/4,2*G10495)*2&gt;0,ROUND((D10497-MAX(D10497/4,2*G10495)*2)/H10515,0),0)</f>
        <v>16</v>
      </c>
      <c r="X10515" t="str">
        <v>x</v>
      </c>
      <c r="Y10515">
        <f>D10500</f>
        <v>1</v>
      </c>
      <c r="Z10515" t="str">
        <v>=</v>
      </c>
      <c r="AA10515">
        <f>N10515*U10515*W10515*Y10515</f>
        <v>7.1336448</v>
      </c>
    </row>
    <row r="10516">
      <c r="A10516" t="str">
        <f>A10494</f>
        <v>Lantai Atap</v>
      </c>
      <c r="B10516">
        <f>B10494</f>
        <v>9</v>
      </c>
      <c r="C10516" t="str">
        <v>Sengkang Tumpuan</v>
      </c>
      <c r="D10516">
        <f>VLOOKUP(D10494,'Detail Balok'!$C$10:$AU$110,41,FALSE)</f>
        <v>0</v>
      </c>
      <c r="E10516" t="str">
        <v>D</v>
      </c>
      <c r="F10516">
        <f>VLOOKUP(D10494,'Detail Balok'!$C$10:$AU$110,43,FALSE)</f>
        <v>8</v>
      </c>
      <c r="G10516" t="str">
        <v>-</v>
      </c>
      <c r="H10516">
        <f>VLOOKUP(D10494,'Detail Balok'!$C$10:$AU$110,45,FALSE)</f>
        <v>100</v>
      </c>
      <c r="J10516">
        <f>(IF(D10516=0,(2*(D10495+G10495))-(F$5*8),IF(D10516=3,(2*(D10495+G10495))-(F$5*8)+(G10495-2*F$5),IF(D10516=4,(2*(D10495+G10495))-(F$5*8)+2*(G10495-2*F$5)))))/1000</f>
        <v>0.98</v>
      </c>
      <c r="K10516" t="str">
        <v>+</v>
      </c>
      <c r="L10516">
        <f>IF(D10516=0,2*MAX(6*F10516,75),(D10516-1)*2*MAX(6*F10516,75))/1000</f>
        <v>0.15</v>
      </c>
      <c r="M10516" t="str">
        <v>=</v>
      </c>
      <c r="N10516">
        <f>J10516+L10516</f>
        <v>1.13</v>
      </c>
      <c r="T10516" t="str">
        <v>x</v>
      </c>
      <c r="U10516">
        <f>0.006165*F10516^2</f>
        <v>0.39456</v>
      </c>
      <c r="V10516" t="str">
        <v>x</v>
      </c>
      <c r="W10516">
        <f>IF(D10497&gt;4*G10495,ROUND(MAX(D10497/4,2*G10495)/H10516,0)+1,0)</f>
        <v>17</v>
      </c>
      <c r="X10516" t="str">
        <v>x</v>
      </c>
      <c r="Y10516">
        <f>D10500</f>
        <v>1</v>
      </c>
      <c r="Z10516" t="str">
        <v>=</v>
      </c>
      <c r="AA10516">
        <f>N10516*U10516*W10516*Y10516</f>
        <v>7.5794976</v>
      </c>
    </row>
    <row r="10518">
      <c r="A10518" t="str">
        <f>A10494</f>
        <v>Lantai Atap</v>
      </c>
      <c r="B10518">
        <f>B10494</f>
        <v>9</v>
      </c>
      <c r="C10518" t="str">
        <v>Kait Horizontal Tump.</v>
      </c>
      <c r="D10518">
        <f>VLOOKUP(D10494,'Detail Balok'!$C$10:$BJ$110,46,FALSE)</f>
        <v>0</v>
      </c>
      <c r="E10518" t="str">
        <v>D</v>
      </c>
      <c r="F10518">
        <f>VLOOKUP(D10494,'Detail Balok'!$C$10:$BJ$110,48,FALSE)</f>
        <v>0</v>
      </c>
      <c r="G10518" t="str">
        <v>-</v>
      </c>
      <c r="H10518">
        <f>VLOOKUP(D10494,'Detail Balok'!$C$10:$BJ$110,50,FALSE)</f>
        <v>100</v>
      </c>
      <c r="J10518">
        <f>(D10495-2*F$5)/1000</f>
        <v>0.12</v>
      </c>
      <c r="K10518" t="str">
        <v>+</v>
      </c>
      <c r="L10518">
        <f>IF(D10518=0,2*MAX(6*F10518,75),(D10518-1)*2*MAX(6*F10518,75))/1000</f>
        <v>0.15</v>
      </c>
      <c r="M10518" t="str">
        <v>=</v>
      </c>
      <c r="N10518">
        <f>J10518+L10518</f>
        <v>0.27</v>
      </c>
      <c r="T10518" t="str">
        <v>x</v>
      </c>
      <c r="U10518">
        <f>0.006165*F10518^2</f>
        <v>0</v>
      </c>
      <c r="V10518" t="str">
        <v>x</v>
      </c>
      <c r="W10518">
        <f>W10514</f>
        <v>17</v>
      </c>
      <c r="X10518" t="str">
        <v>x</v>
      </c>
      <c r="Y10518">
        <f>D10504</f>
        <v>3</v>
      </c>
      <c r="Z10518" t="str">
        <v>=</v>
      </c>
      <c r="AA10518">
        <f>N10518*U10518*W10518*Y10518</f>
        <v>0</v>
      </c>
    </row>
    <row r="10519">
      <c r="A10519" t="str">
        <f>A10494</f>
        <v>Lantai Atap</v>
      </c>
      <c r="B10519">
        <f>B10494</f>
        <v>9</v>
      </c>
      <c r="C10519" t="str">
        <v>Kait Horizontal Lap.</v>
      </c>
      <c r="D10519">
        <f>VLOOKUP(D10494,'Detail Balok'!$C$10:$BJ$110,51,FALSE)</f>
        <v>0</v>
      </c>
      <c r="E10519" t="str">
        <v>D</v>
      </c>
      <c r="F10519">
        <f>VLOOKUP(D10494,'Detail Balok'!$C$10:$BJ$110,53,FALSE)</f>
        <v>0</v>
      </c>
      <c r="G10519" t="str">
        <v>-</v>
      </c>
      <c r="H10519">
        <f>VLOOKUP(D10494,'Detail Balok'!$C$10:$BJ$110,55,FALSE)</f>
        <v>100</v>
      </c>
      <c r="J10519">
        <f>(D10495-2*F$5)/1000</f>
        <v>0.12</v>
      </c>
      <c r="K10519" t="str">
        <v>+</v>
      </c>
      <c r="L10519">
        <f>IF(D10519=0,2*MAX(6*F10519,75),(D10519-1)*2*MAX(6*F10519,75))/1000</f>
        <v>0.15</v>
      </c>
      <c r="M10519" t="str">
        <v>=</v>
      </c>
      <c r="N10519">
        <f>J10519+L10519</f>
        <v>0.27</v>
      </c>
      <c r="T10519" t="str">
        <v>x</v>
      </c>
      <c r="U10519">
        <f>0.006165*F10519^2</f>
        <v>0</v>
      </c>
      <c r="V10519" t="str">
        <v>x</v>
      </c>
      <c r="W10519">
        <f>W10515</f>
        <v>16</v>
      </c>
      <c r="X10519" t="str">
        <v>x</v>
      </c>
      <c r="Y10519">
        <f>D10504</f>
        <v>3</v>
      </c>
      <c r="Z10519" t="str">
        <v>=</v>
      </c>
      <c r="AA10519">
        <f>N10519*U10519*W10519*Y10519</f>
        <v>0</v>
      </c>
    </row>
    <row r="10520">
      <c r="A10520" t="str">
        <f>A10494</f>
        <v>Lantai Atap</v>
      </c>
      <c r="B10520">
        <f>B10494</f>
        <v>9</v>
      </c>
      <c r="C10520" t="str">
        <v>Kait Horizontal Tump.</v>
      </c>
      <c r="D10520">
        <f>VLOOKUP(D10494,'Detail Balok'!$C$10:$BJ$110,56,FALSE)</f>
        <v>0</v>
      </c>
      <c r="E10520" t="str">
        <v>D</v>
      </c>
      <c r="F10520">
        <f>VLOOKUP(D10494,'Detail Balok'!$C$10:$BJ$110,58,FALSE)</f>
        <v>0</v>
      </c>
      <c r="G10520" t="str">
        <v>-</v>
      </c>
      <c r="H10520">
        <f>VLOOKUP(D10494,'Detail Balok'!$C$10:$BJ$110,60,FALSE)</f>
        <v>100</v>
      </c>
      <c r="J10520">
        <f>(D10495-2*F$5)/1000</f>
        <v>0.12</v>
      </c>
      <c r="K10520" t="str">
        <v>+</v>
      </c>
      <c r="L10520">
        <f>IF(D10520=0,2*MAX(6*F10520,75),(D10520-1)*2*MAX(6*F10520,75))/1000</f>
        <v>0.15</v>
      </c>
      <c r="M10520" t="str">
        <v>=</v>
      </c>
      <c r="N10520">
        <f>J10520+L10520</f>
        <v>0.27</v>
      </c>
      <c r="T10520" t="str">
        <v>x</v>
      </c>
      <c r="U10520">
        <f>0.006165*F10520^2</f>
        <v>0</v>
      </c>
      <c r="V10520" t="str">
        <v>x</v>
      </c>
      <c r="W10520">
        <f>W10516</f>
        <v>17</v>
      </c>
      <c r="X10520" t="str">
        <v>x</v>
      </c>
      <c r="Y10520">
        <f>D10504</f>
        <v>3</v>
      </c>
      <c r="Z10520" t="str">
        <v>=</v>
      </c>
      <c r="AA10520">
        <f>N10520*U10520*W10520*Y10520</f>
        <v>0</v>
      </c>
    </row>
    <row r="10524">
      <c r="A10524" t="str">
        <f>A10494</f>
        <v>Lantai Atap</v>
      </c>
      <c r="B10524">
        <f>B10494+1</f>
        <v>10</v>
      </c>
      <c r="C10524" t="str">
        <f>CONCATENATE(A10524," no. ",B10524)</f>
        <v>Lantai Atap no. 10</v>
      </c>
      <c r="D10524" t="str">
        <f>VLOOKUP(C10524,'Data Panjang Balok'!$C$9:$N$424,2,FALSE)</f>
        <v>B24-1</v>
      </c>
    </row>
    <row r="10525">
      <c r="C10525" t="str">
        <v>Dimensi</v>
      </c>
      <c r="D10525">
        <f>VLOOKUP(D10524,'Detail Balok'!$C$10:$AU$110,2,FALSE)</f>
        <v>200</v>
      </c>
      <c r="F10525" t="str">
        <v>x</v>
      </c>
      <c r="G10525">
        <f>VLOOKUP(D10524,'Detail Balok'!$C$10:$AU$110,3,FALSE)</f>
        <v>400</v>
      </c>
    </row>
    <row r="10526">
      <c r="C10526" t="str">
        <v>Panjang as ke as</v>
      </c>
      <c r="D10526">
        <f>VLOOKUP(C10524,'Data Panjang Balok'!$C$9:$N$424,4,FALSE)</f>
        <v>4800</v>
      </c>
    </row>
    <row r="10527">
      <c r="C10527" t="str">
        <v>Panjang netto</v>
      </c>
      <c r="D10527">
        <f>VLOOKUP(C10524,'Data Panjang Balok'!$C$9:$N$424,7,FALSE)</f>
        <v>4800</v>
      </c>
    </row>
    <row r="10528">
      <c r="C10528" t="str">
        <v>Kolom / balok kiri</v>
      </c>
      <c r="D10528">
        <f>VLOOKUP(C10524,'Data Panjang Balok'!$C$9:$N$424,9,FALSE)</f>
        <v>0</v>
      </c>
    </row>
    <row r="10529">
      <c r="C10529" t="str">
        <v>Kolom / balok kanan</v>
      </c>
      <c r="D10529">
        <f>VLOOKUP(C10524,'Data Panjang Balok'!$C$9:$N$424,10,FALSE)</f>
        <v>0</v>
      </c>
    </row>
    <row r="10530">
      <c r="C10530" t="str">
        <v>Jumlah</v>
      </c>
      <c r="D10530">
        <f>VLOOKUP(C10524,'Data Panjang Balok'!$C$9:$N$424,3,FALSE)</f>
        <v>1</v>
      </c>
    </row>
    <row r="10531">
      <c r="A10531" t="str">
        <f>A10524</f>
        <v>Lantai Atap</v>
      </c>
      <c r="B10531">
        <f>B10524</f>
        <v>10</v>
      </c>
      <c r="C10531" t="str">
        <v>Tul Atas Tumpuan</v>
      </c>
      <c r="D10531">
        <f>VLOOKUP(D10524,'Detail Balok'!$C$10:$AU$110,4,FALSE)</f>
        <v>2</v>
      </c>
      <c r="E10531" t="str">
        <v>D</v>
      </c>
      <c r="F10531">
        <f>VLOOKUP(D10524,'Detail Balok'!$C$10:$AU$110,6,FALSE)</f>
        <v>13</v>
      </c>
      <c r="I10531" t="str">
        <v>(</v>
      </c>
      <c r="J10531">
        <f>+D10526/4/1000</f>
        <v>1.2</v>
      </c>
      <c r="K10531" t="str">
        <v>+</v>
      </c>
      <c r="L10531">
        <f>MAX(VLOOKUP(F10531,N$6:P$15,3,FALSE)/1000,2/3*D10528/1000)+F$16*F10531/1000</f>
        <v>0.156</v>
      </c>
      <c r="M10531" t="str">
        <v>=</v>
      </c>
      <c r="N10531">
        <f>J10531+L10531</f>
        <v>1.3559999999999999</v>
      </c>
      <c r="O10531" t="str">
        <v>+</v>
      </c>
      <c r="P10531">
        <f>D10531-D10532</f>
        <v>0</v>
      </c>
      <c r="Q10531" t="str">
        <v>x</v>
      </c>
      <c r="R10531">
        <f>IF(P10531&gt;0,$F$18*F10531/1000,0)</f>
        <v>0</v>
      </c>
      <c r="S10531" t="str">
        <v>)</v>
      </c>
      <c r="T10531" t="str">
        <v>x</v>
      </c>
      <c r="U10531">
        <f>0.006165*F10531^2</f>
        <v>1.041885</v>
      </c>
      <c r="X10531" t="str">
        <v>x</v>
      </c>
      <c r="Y10531">
        <f>D10530</f>
        <v>1</v>
      </c>
      <c r="Z10531" t="str">
        <v>=</v>
      </c>
      <c r="AA10531">
        <f>IF(AA10534=0,(D10531*N10531+P10531*R10531)*U10531*Y10531,0)</f>
        <v>0</v>
      </c>
    </row>
    <row r="10532">
      <c r="A10532" t="str">
        <f>A10524</f>
        <v>Lantai Atap</v>
      </c>
      <c r="B10532">
        <f>B10524</f>
        <v>10</v>
      </c>
      <c r="C10532" t="str">
        <v>Tul Atas Lapangan</v>
      </c>
      <c r="D10532">
        <f>VLOOKUP(D10524,'Detail Balok'!$C$10:$AU$110,7,FALSE)</f>
        <v>2</v>
      </c>
      <c r="E10532" t="str">
        <v>D</v>
      </c>
      <c r="F10532">
        <f>VLOOKUP(D10524,'Detail Balok'!$C$10:$AU$110,9,FALSE)</f>
        <v>13</v>
      </c>
      <c r="I10532" t="str">
        <v>(</v>
      </c>
      <c r="J10532">
        <f>+D10526/2/1000</f>
        <v>2.4</v>
      </c>
      <c r="K10532" t="str">
        <v>+</v>
      </c>
      <c r="M10532" t="str">
        <v>=</v>
      </c>
      <c r="N10532">
        <f>J10532+L10532</f>
        <v>2.4</v>
      </c>
      <c r="O10532" t="str">
        <v>+</v>
      </c>
      <c r="P10532">
        <f>MAX(D10532-D10531,D10532-D10533)</f>
        <v>0</v>
      </c>
      <c r="Q10532" t="str">
        <v>x</v>
      </c>
      <c r="R10532">
        <f>IF(P10532&gt;0,2*(1-2*$F$19-1/2)*D10527/1000,0)</f>
        <v>0</v>
      </c>
      <c r="S10532" t="str">
        <v>)</v>
      </c>
      <c r="T10532" t="str">
        <v>x</v>
      </c>
      <c r="U10532">
        <f>0.006165*F10532^2</f>
        <v>1.041885</v>
      </c>
      <c r="X10532" t="str">
        <v>x</v>
      </c>
      <c r="Y10532">
        <f>D10530</f>
        <v>1</v>
      </c>
      <c r="Z10532" t="str">
        <v>=</v>
      </c>
      <c r="AA10532">
        <f>IF(AA10534=0,(D10532*N10532+P10532*R10532)*U10532*Y10532,0)</f>
        <v>0</v>
      </c>
    </row>
    <row r="10533">
      <c r="A10533" t="str">
        <f>A10524</f>
        <v>Lantai Atap</v>
      </c>
      <c r="B10533">
        <f>B10524</f>
        <v>10</v>
      </c>
      <c r="C10533" t="str">
        <v>Tul Atas Tumpuan</v>
      </c>
      <c r="D10533">
        <f>VLOOKUP(D10524,'Detail Balok'!$C$10:$AU$110,10,FALSE)</f>
        <v>2</v>
      </c>
      <c r="E10533" t="str">
        <v>D</v>
      </c>
      <c r="F10533">
        <f>VLOOKUP(D10524,'Detail Balok'!$C$10:$AU$110,12,FALSE)</f>
        <v>13</v>
      </c>
      <c r="I10533" t="str">
        <v>(</v>
      </c>
      <c r="J10533">
        <f>+D10526/4/1000</f>
        <v>1.2</v>
      </c>
      <c r="K10533" t="str">
        <v>+</v>
      </c>
      <c r="L10533">
        <f>MAX(VLOOKUP(F10533,N$6:P$15,3,FALSE)/1000,2/3*D10528/1000)+F$16*F10533/1000</f>
        <v>0.156</v>
      </c>
      <c r="M10533" t="str">
        <v>=</v>
      </c>
      <c r="N10533">
        <f>J10533+L10533</f>
        <v>1.3559999999999999</v>
      </c>
      <c r="O10533" t="str">
        <v>+</v>
      </c>
      <c r="P10533">
        <f>D10533-D10532</f>
        <v>0</v>
      </c>
      <c r="Q10533" t="str">
        <v>x</v>
      </c>
      <c r="R10533">
        <f>IF(P10533&gt;0,$F$18*F10533/1000,0)</f>
        <v>0</v>
      </c>
      <c r="S10533" t="str">
        <v>)</v>
      </c>
      <c r="T10533" t="str">
        <v>x</v>
      </c>
      <c r="U10533">
        <f>0.006165*F10533^2</f>
        <v>1.041885</v>
      </c>
      <c r="X10533" t="str">
        <v>x</v>
      </c>
      <c r="Y10533">
        <f>D10530</f>
        <v>1</v>
      </c>
      <c r="Z10533" t="str">
        <v>=</v>
      </c>
      <c r="AA10533">
        <f>IF(AA10534=0,(D10533*N10533+P10533*R10533)*U10533*Y10533,0)</f>
        <v>0</v>
      </c>
    </row>
    <row r="10534">
      <c r="A10534" t="str">
        <f>A10524</f>
        <v>Lantai Atap</v>
      </c>
      <c r="B10534">
        <f>B10524</f>
        <v>10</v>
      </c>
      <c r="D10534">
        <f>IF(AND(D10531=D10532,D10532=D10533,D10531=D10533),D10531,0)</f>
        <v>2</v>
      </c>
      <c r="E10534" t="str">
        <v>D</v>
      </c>
      <c r="F10534">
        <f>IF(AND(F10531=F10532,F10531=F10533,F10532=F10533),F10531,0)</f>
        <v>13</v>
      </c>
      <c r="L10534" t="str">
        <v>Total panjang per balok</v>
      </c>
      <c r="M10534" t="str">
        <v>=</v>
      </c>
      <c r="N10534">
        <f>IF(AND(D10531=D10532,D10531=D10533,D10532=D10533,F10531=F10532,F10531=F10533,F10532=F10533),SUM(N10531:N10533),0)</f>
        <v>5.112</v>
      </c>
      <c r="O10534" t="str">
        <v>+</v>
      </c>
      <c r="P10534">
        <f>IF(N10534&gt;12,ROUNDDOWN(N10534/12,0),0)</f>
        <v>0</v>
      </c>
      <c r="Q10534" t="str">
        <v>x</v>
      </c>
      <c r="R10534">
        <f>IF(P10534&gt;0,MAX(VLOOKUP(F10534,$D$6:$G$15,3,FALSE),600),0)/1000</f>
        <v>0</v>
      </c>
      <c r="T10534" t="str">
        <v>x</v>
      </c>
      <c r="U10534">
        <f>U10533</f>
        <v>1.041885</v>
      </c>
      <c r="V10534" t="str">
        <v>x</v>
      </c>
      <c r="W10534">
        <f>D10534</f>
        <v>2</v>
      </c>
      <c r="X10534" t="str">
        <v>x</v>
      </c>
      <c r="Y10534">
        <f>Y10533</f>
        <v>1</v>
      </c>
      <c r="Z10534" t="str">
        <v>=</v>
      </c>
      <c r="AA10534">
        <f>(N10534+P10534*R10534/1000)*U10534*W10534*Y10534</f>
        <v>10.65223224</v>
      </c>
    </row>
    <row r="10536">
      <c r="A10536" t="str">
        <f>A10524</f>
        <v>Lantai Atap</v>
      </c>
      <c r="B10536">
        <f>B10524</f>
        <v>10</v>
      </c>
      <c r="C10536" t="str">
        <v>Tul Peminggang</v>
      </c>
      <c r="D10536">
        <f>VLOOKUP(D10524,'Detail Balok'!$C$10:$AU$110,13,FALSE)</f>
        <v>0</v>
      </c>
      <c r="E10536" t="str">
        <v>D</v>
      </c>
      <c r="F10536">
        <f>VLOOKUP(D10524,'Detail Balok'!$C$10:$AU$110,15,FALSE)</f>
        <v>6</v>
      </c>
      <c r="J10536">
        <f>+D10526/1000</f>
        <v>4.8</v>
      </c>
      <c r="K10536" t="str">
        <v>+</v>
      </c>
      <c r="L10536">
        <f>2*$F$16*F10536/1000</f>
        <v>0.144</v>
      </c>
      <c r="M10536" t="str">
        <v>=</v>
      </c>
      <c r="N10536">
        <f>J10536+L10536</f>
        <v>4.944</v>
      </c>
      <c r="O10536" t="str">
        <v>+</v>
      </c>
      <c r="P10536">
        <f>IF(N10536&gt;12,ROUNDDOWN(N10536/12,0),0)</f>
        <v>0</v>
      </c>
      <c r="Q10536" t="str">
        <v>x</v>
      </c>
      <c r="R10536">
        <f>IF(P10536&gt;0,MAX(VLOOKUP(F10536,$D$6:$G$15,3,FALSE),600),0)/1000</f>
        <v>0</v>
      </c>
      <c r="T10536" t="str">
        <v>x</v>
      </c>
      <c r="U10536">
        <f>0.006165*F10536^2</f>
        <v>0.22194000000000003</v>
      </c>
      <c r="V10536" t="str">
        <v>x</v>
      </c>
      <c r="W10536">
        <f>+D10536</f>
        <v>0</v>
      </c>
      <c r="X10536" t="str">
        <v>x</v>
      </c>
      <c r="Y10536">
        <f>D10530</f>
        <v>1</v>
      </c>
      <c r="Z10536" t="str">
        <v>=</v>
      </c>
      <c r="AA10536">
        <f>(N10536+P10536*R10536/1000)*U10536*W10536*Y10536</f>
        <v>0</v>
      </c>
    </row>
    <row r="10539">
      <c r="A10539" t="str">
        <f>A10524</f>
        <v>Lantai Atap</v>
      </c>
      <c r="B10539">
        <f>B10524</f>
        <v>10</v>
      </c>
      <c r="C10539" t="str">
        <v>Tul Bawah Tumpuan</v>
      </c>
      <c r="D10539">
        <f>VLOOKUP(D10524,'Detail Balok'!$C$10:$AU$110,22,FALSE)</f>
        <v>2</v>
      </c>
      <c r="E10539" t="str">
        <v>D</v>
      </c>
      <c r="F10539">
        <f>VLOOKUP(D10524,'Detail Balok'!$C$10:$AU$110,24,FALSE)</f>
        <v>13</v>
      </c>
      <c r="I10539" t="str">
        <v>(</v>
      </c>
      <c r="J10539">
        <f>+J10531</f>
        <v>1.2</v>
      </c>
      <c r="K10539" t="str">
        <v>+</v>
      </c>
      <c r="L10539">
        <f>MAX(VLOOKUP(F10539,N$6:P$15,3,FALSE)/1000,2/3*D10529/1000)+F$16*F10539/1000</f>
        <v>0.156</v>
      </c>
      <c r="M10539" t="str">
        <v>=</v>
      </c>
      <c r="N10539">
        <f>J10539+L10539</f>
        <v>1.3559999999999999</v>
      </c>
      <c r="O10539" t="str">
        <v>+</v>
      </c>
      <c r="P10539">
        <f>D10539-D10540</f>
        <v>0</v>
      </c>
      <c r="Q10539" t="str">
        <v>x</v>
      </c>
      <c r="R10539">
        <f>IF(P10539&gt;0,$F$18*F10539/1000,0)</f>
        <v>0</v>
      </c>
      <c r="S10539" t="str">
        <v>)</v>
      </c>
      <c r="T10539" t="str">
        <v>x</v>
      </c>
      <c r="U10539">
        <f>0.006165*F10539^2</f>
        <v>1.041885</v>
      </c>
      <c r="X10539" t="str">
        <v>x</v>
      </c>
      <c r="Y10539">
        <f>D10530</f>
        <v>1</v>
      </c>
      <c r="Z10539" t="str">
        <v>=</v>
      </c>
      <c r="AA10539">
        <f>IF(AA10542=0,(D10539*N10539+P10539*R10539)*U10539*Y10539,0)</f>
        <v>0</v>
      </c>
    </row>
    <row r="10540">
      <c r="A10540" t="str">
        <f>A10524</f>
        <v>Lantai Atap</v>
      </c>
      <c r="B10540">
        <f>B10524</f>
        <v>10</v>
      </c>
      <c r="C10540" t="str">
        <v>Tul Bawah Lapangan</v>
      </c>
      <c r="D10540">
        <f>VLOOKUP(D10524,'Detail Balok'!$C$10:$AU$110,25,FALSE)</f>
        <v>2</v>
      </c>
      <c r="E10540" t="str">
        <v>D</v>
      </c>
      <c r="F10540">
        <f>VLOOKUP(D10524,'Detail Balok'!$C$10:$AU$110,27,FALSE)</f>
        <v>13</v>
      </c>
      <c r="I10540" t="str">
        <v>(</v>
      </c>
      <c r="J10540">
        <f>+J10532</f>
        <v>2.4</v>
      </c>
      <c r="K10540" t="str">
        <v>+</v>
      </c>
      <c r="M10540" t="str">
        <v>=</v>
      </c>
      <c r="N10540">
        <f>J10540+L10540</f>
        <v>2.4</v>
      </c>
      <c r="O10540" t="str">
        <v>+</v>
      </c>
      <c r="P10540">
        <f>MAX(D10540-D10539,D10540-D10541)</f>
        <v>0</v>
      </c>
      <c r="Q10540" t="str">
        <v>x</v>
      </c>
      <c r="R10540">
        <f>IF(P10540&gt;0,2*(1-2*$F$19-1/2)*D10527/1000,0)</f>
        <v>0</v>
      </c>
      <c r="S10540" t="str">
        <v>)</v>
      </c>
      <c r="T10540" t="str">
        <v>x</v>
      </c>
      <c r="U10540">
        <f>0.006165*F10540^2</f>
        <v>1.041885</v>
      </c>
      <c r="X10540" t="str">
        <v>x</v>
      </c>
      <c r="Y10540">
        <f>D10530</f>
        <v>1</v>
      </c>
      <c r="Z10540" t="str">
        <v>=</v>
      </c>
      <c r="AA10540">
        <f>IF(AA10542=0,(D10540*N10540+P10540*R10540)*U10540*Y10540,0)</f>
        <v>0</v>
      </c>
    </row>
    <row r="10541">
      <c r="A10541" t="str">
        <f>A10524</f>
        <v>Lantai Atap</v>
      </c>
      <c r="B10541">
        <f>B10524</f>
        <v>10</v>
      </c>
      <c r="C10541" t="str">
        <v>Tul Bawah Tumpuan</v>
      </c>
      <c r="D10541">
        <f>VLOOKUP(D10524,'Detail Balok'!$C$10:$AU$110,28,FALSE)</f>
        <v>2</v>
      </c>
      <c r="E10541" t="str">
        <v>D</v>
      </c>
      <c r="F10541">
        <f>VLOOKUP(D10524,'Detail Balok'!$C$10:$AU$110,30,FALSE)</f>
        <v>13</v>
      </c>
      <c r="I10541" t="str">
        <v>(</v>
      </c>
      <c r="J10541">
        <f>+J10533</f>
        <v>1.2</v>
      </c>
      <c r="K10541" t="str">
        <v>+</v>
      </c>
      <c r="L10541">
        <f>MAX(VLOOKUP(F10541,N$6:P$15,3,FALSE)/1000,2/3*D10529/1000)+F$16*F10541/1000</f>
        <v>0.156</v>
      </c>
      <c r="M10541" t="str">
        <v>=</v>
      </c>
      <c r="N10541">
        <f>J10541+L10541</f>
        <v>1.3559999999999999</v>
      </c>
      <c r="O10541" t="str">
        <v>+</v>
      </c>
      <c r="P10541">
        <f>D10541-D10540</f>
        <v>0</v>
      </c>
      <c r="Q10541" t="str">
        <v>x</v>
      </c>
      <c r="R10541">
        <f>IF(P10541&gt;0,$F$18*F10541/1000,0)</f>
        <v>0</v>
      </c>
      <c r="S10541" t="str">
        <v>)</v>
      </c>
      <c r="T10541" t="str">
        <v>x</v>
      </c>
      <c r="U10541">
        <f>0.006165*F10541^2</f>
        <v>1.041885</v>
      </c>
      <c r="X10541" t="str">
        <v>x</v>
      </c>
      <c r="Y10541">
        <f>D10530</f>
        <v>1</v>
      </c>
      <c r="Z10541" t="str">
        <v>=</v>
      </c>
      <c r="AA10541">
        <f>IF(AA10542=0,(D10541*N10541+P10541*R10541)*U10541*Y10541,0)</f>
        <v>0</v>
      </c>
    </row>
    <row r="10542">
      <c r="A10542" t="str">
        <f>A10524</f>
        <v>Lantai Atap</v>
      </c>
      <c r="B10542">
        <f>B10524</f>
        <v>10</v>
      </c>
      <c r="D10542">
        <f>IF(AND(D10539=D10540,D10540=D10541,D10539=D10541),D10539,0)</f>
        <v>2</v>
      </c>
      <c r="E10542" t="str">
        <v>D</v>
      </c>
      <c r="F10542">
        <f>IF(AND(F10539=F10540,F10539=F10541,F10540=F10541),F10539,0)</f>
        <v>13</v>
      </c>
      <c r="L10542" t="str">
        <v>Total panjang per balok</v>
      </c>
      <c r="M10542" t="str">
        <v>=</v>
      </c>
      <c r="N10542">
        <f>IF(AND(D10539=D10540,D10539=D10541,D10540=D10541,F10539=F10540,F10539=F10541,F10540=F10541),SUM(N10539:N10541),0)</f>
        <v>5.112</v>
      </c>
      <c r="O10542" t="str">
        <v>+</v>
      </c>
      <c r="P10542">
        <f>IF(N10542&gt;12,ROUNDDOWN(N10542/12,0),0)</f>
        <v>0</v>
      </c>
      <c r="Q10542" t="str">
        <v>x</v>
      </c>
      <c r="R10542">
        <f>IF(P10542&gt;0,MAX(VLOOKUP(F10542,$D$6:$G$15,3,FALSE),600),0)/1000</f>
        <v>0</v>
      </c>
      <c r="T10542" t="str">
        <v>x</v>
      </c>
      <c r="U10542">
        <f>U10541</f>
        <v>1.041885</v>
      </c>
      <c r="V10542" t="str">
        <v>x</v>
      </c>
      <c r="W10542">
        <f>D10542</f>
        <v>2</v>
      </c>
      <c r="X10542" t="str">
        <v>x</v>
      </c>
      <c r="Y10542">
        <f>Y10541</f>
        <v>1</v>
      </c>
      <c r="Z10542" t="str">
        <v>=</v>
      </c>
      <c r="AA10542">
        <f>(N10542+P10542*R10542/1000)*U10542*W10542*Y10542</f>
        <v>10.65223224</v>
      </c>
    </row>
    <row r="10544">
      <c r="A10544" t="str">
        <f>A10524</f>
        <v>Lantai Atap</v>
      </c>
      <c r="B10544">
        <f>B10524</f>
        <v>10</v>
      </c>
      <c r="C10544" t="str">
        <v>Sengkang Tumpuan</v>
      </c>
      <c r="D10544">
        <f>VLOOKUP(D10524,'Detail Balok'!$C$10:$AU$110,31,FALSE)</f>
        <v>0</v>
      </c>
      <c r="E10544" t="str">
        <v>D</v>
      </c>
      <c r="F10544">
        <f>VLOOKUP(D10524,'Detail Balok'!$C$10:$AU$110,33,FALSE)</f>
        <v>8</v>
      </c>
      <c r="G10544" t="str">
        <v>-</v>
      </c>
      <c r="H10544">
        <f>VLOOKUP(D10524,'Detail Balok'!$C$10:$AU$110,35,FALSE)</f>
        <v>100</v>
      </c>
      <c r="J10544">
        <f>(IF(D10544=0,(2*(D10525+G10525))-(F$5*8),IF(D10544=3,(2*(D10525+G10525))-(F$5*8)+(G10525-2*F$5),IF(D10544=4,(2*(D10525+G10525))-(F$5*8)+2*(G10525-2*F$5)))))/1000</f>
        <v>0.88</v>
      </c>
      <c r="K10544" t="str">
        <v>+</v>
      </c>
      <c r="L10544">
        <f>IF(D10544=0,2*MAX(6*F10544,75),(D10544-1)*2*MAX(6*F10544,75))/1000</f>
        <v>0.15</v>
      </c>
      <c r="M10544" t="str">
        <v>=</v>
      </c>
      <c r="N10544">
        <f>J10544+L10544</f>
        <v>1.03</v>
      </c>
      <c r="T10544" t="str">
        <v>x</v>
      </c>
      <c r="U10544">
        <f>0.006165*F10544^2</f>
        <v>0.39456</v>
      </c>
      <c r="V10544" t="str">
        <v>x</v>
      </c>
      <c r="W10544">
        <f>IF(D10527&gt;4*G10525,ROUND(MAX(D10527/4,2*G10525)/H10544,0)+1,ROUND(D10527/H10544,0)+1)</f>
        <v>13</v>
      </c>
      <c r="X10544" t="str">
        <v>x</v>
      </c>
      <c r="Y10544">
        <f>D10530</f>
        <v>1</v>
      </c>
      <c r="Z10544" t="str">
        <v>=</v>
      </c>
      <c r="AA10544">
        <f>N10544*U10544*W10544*Y10544</f>
        <v>5.2831584000000005</v>
      </c>
    </row>
    <row r="10545">
      <c r="A10545" t="str">
        <f>A10524</f>
        <v>Lantai Atap</v>
      </c>
      <c r="B10545">
        <f>B10524</f>
        <v>10</v>
      </c>
      <c r="C10545" t="str">
        <v>Sengkang Lapangan</v>
      </c>
      <c r="D10545">
        <f>VLOOKUP(D10524,'Detail Balok'!$C$10:$AU$110,36,FALSE)</f>
        <v>0</v>
      </c>
      <c r="E10545" t="str">
        <v>D</v>
      </c>
      <c r="F10545">
        <f>VLOOKUP(D10524,'Detail Balok'!$C$10:$AU$110,38,FALSE)</f>
        <v>8</v>
      </c>
      <c r="G10545" t="str">
        <v>-</v>
      </c>
      <c r="H10545">
        <f>VLOOKUP(D10524,'Detail Balok'!$C$10:$AU$110,40,FALSE)</f>
        <v>200</v>
      </c>
      <c r="J10545">
        <f>(IF(D10545=0,(2*(D10525+G10525))-(F$5*8),IF(D10545=3,(2*(D10525+G10525))-(F$5*8)+(G10525-2*F$5),IF(D10545=4,(2*(D10525+G10525))-(F$5*8)+2*(G10525-2*F$5)))))/1000</f>
        <v>0.88</v>
      </c>
      <c r="K10545" t="str">
        <v>+</v>
      </c>
      <c r="L10545">
        <f>IF(D10545=0,2*MAX(6*F10545,75),(D10545-1)*2*MAX(6*F10545,75))/1000</f>
        <v>0.15</v>
      </c>
      <c r="M10545" t="str">
        <v>=</v>
      </c>
      <c r="N10545">
        <f>J10545+L10545</f>
        <v>1.03</v>
      </c>
      <c r="T10545" t="str">
        <v>x</v>
      </c>
      <c r="U10545">
        <f>0.006165*F10545^2</f>
        <v>0.39456</v>
      </c>
      <c r="V10545" t="str">
        <v>x</v>
      </c>
      <c r="W10545">
        <f>IF(D10527-MAX(D10527/4,2*G10525)*2&gt;0,ROUND((D10527-MAX(D10527/4,2*G10525)*2)/H10545,0),0)</f>
        <v>12</v>
      </c>
      <c r="X10545" t="str">
        <v>x</v>
      </c>
      <c r="Y10545">
        <f>D10530</f>
        <v>1</v>
      </c>
      <c r="Z10545" t="str">
        <v>=</v>
      </c>
      <c r="AA10545">
        <f>N10545*U10545*W10545*Y10545</f>
        <v>4.876761600000001</v>
      </c>
    </row>
    <row r="10546">
      <c r="A10546" t="str">
        <f>A10524</f>
        <v>Lantai Atap</v>
      </c>
      <c r="B10546">
        <f>B10524</f>
        <v>10</v>
      </c>
      <c r="C10546" t="str">
        <v>Sengkang Tumpuan</v>
      </c>
      <c r="D10546">
        <f>VLOOKUP(D10524,'Detail Balok'!$C$10:$AU$110,41,FALSE)</f>
        <v>0</v>
      </c>
      <c r="E10546" t="str">
        <v>D</v>
      </c>
      <c r="F10546">
        <f>VLOOKUP(D10524,'Detail Balok'!$C$10:$AU$110,43,FALSE)</f>
        <v>8</v>
      </c>
      <c r="G10546" t="str">
        <v>-</v>
      </c>
      <c r="H10546">
        <f>VLOOKUP(D10524,'Detail Balok'!$C$10:$AU$110,45,FALSE)</f>
        <v>100</v>
      </c>
      <c r="J10546">
        <f>(IF(D10546=0,(2*(D10525+G10525))-(F$5*8),IF(D10546=3,(2*(D10525+G10525))-(F$5*8)+(G10525-2*F$5),IF(D10546=4,(2*(D10525+G10525))-(F$5*8)+2*(G10525-2*F$5)))))/1000</f>
        <v>0.88</v>
      </c>
      <c r="K10546" t="str">
        <v>+</v>
      </c>
      <c r="L10546">
        <f>IF(D10546=0,2*MAX(6*F10546,75),(D10546-1)*2*MAX(6*F10546,75))/1000</f>
        <v>0.15</v>
      </c>
      <c r="M10546" t="str">
        <v>=</v>
      </c>
      <c r="N10546">
        <f>J10546+L10546</f>
        <v>1.03</v>
      </c>
      <c r="T10546" t="str">
        <v>x</v>
      </c>
      <c r="U10546">
        <f>0.006165*F10546^2</f>
        <v>0.39456</v>
      </c>
      <c r="V10546" t="str">
        <v>x</v>
      </c>
      <c r="W10546">
        <f>IF(D10527&gt;4*G10525,ROUND(MAX(D10527/4,2*G10525)/H10546,0)+1,0)</f>
        <v>13</v>
      </c>
      <c r="X10546" t="str">
        <v>x</v>
      </c>
      <c r="Y10546">
        <f>D10530</f>
        <v>1</v>
      </c>
      <c r="Z10546" t="str">
        <v>=</v>
      </c>
      <c r="AA10546">
        <f>N10546*U10546*W10546*Y10546</f>
        <v>5.2831584000000005</v>
      </c>
    </row>
    <row r="10548">
      <c r="A10548" t="str">
        <f>A10524</f>
        <v>Lantai Atap</v>
      </c>
      <c r="B10548">
        <f>B10524</f>
        <v>10</v>
      </c>
      <c r="C10548" t="str">
        <v>Kait Horizontal Tump.</v>
      </c>
      <c r="D10548">
        <f>VLOOKUP(D10524,'Detail Balok'!$C$10:$BJ$110,46,FALSE)</f>
        <v>0</v>
      </c>
      <c r="E10548" t="str">
        <v>D</v>
      </c>
      <c r="F10548">
        <f>VLOOKUP(D10524,'Detail Balok'!$C$10:$BJ$110,48,FALSE)</f>
        <v>0</v>
      </c>
      <c r="G10548" t="str">
        <v>-</v>
      </c>
      <c r="H10548">
        <f>VLOOKUP(D10524,'Detail Balok'!$C$10:$BJ$110,50,FALSE)</f>
        <v>100</v>
      </c>
      <c r="J10548">
        <f>(D10525-2*F$5)/1000</f>
        <v>0.12</v>
      </c>
      <c r="K10548" t="str">
        <v>+</v>
      </c>
      <c r="L10548">
        <f>IF(D10548=0,2*MAX(6*F10548,75),(D10548-1)*2*MAX(6*F10548,75))/1000</f>
        <v>0.15</v>
      </c>
      <c r="M10548" t="str">
        <v>=</v>
      </c>
      <c r="N10548">
        <f>J10548+L10548</f>
        <v>0.27</v>
      </c>
      <c r="T10548" t="str">
        <v>x</v>
      </c>
      <c r="U10548">
        <f>0.006165*F10548^2</f>
        <v>0</v>
      </c>
      <c r="V10548" t="str">
        <v>x</v>
      </c>
      <c r="W10548">
        <f>W10544</f>
        <v>13</v>
      </c>
      <c r="X10548" t="str">
        <v>x</v>
      </c>
      <c r="Y10548">
        <f>D10534</f>
        <v>2</v>
      </c>
      <c r="Z10548" t="str">
        <v>=</v>
      </c>
      <c r="AA10548">
        <f>N10548*U10548*W10548*Y10548</f>
        <v>0</v>
      </c>
    </row>
    <row r="10549">
      <c r="A10549" t="str">
        <f>A10524</f>
        <v>Lantai Atap</v>
      </c>
      <c r="B10549">
        <f>B10524</f>
        <v>10</v>
      </c>
      <c r="C10549" t="str">
        <v>Kait Horizontal Lap.</v>
      </c>
      <c r="D10549">
        <f>VLOOKUP(D10524,'Detail Balok'!$C$10:$BJ$110,51,FALSE)</f>
        <v>0</v>
      </c>
      <c r="E10549" t="str">
        <v>D</v>
      </c>
      <c r="F10549">
        <f>VLOOKUP(D10524,'Detail Balok'!$C$10:$BJ$110,53,FALSE)</f>
        <v>0</v>
      </c>
      <c r="G10549" t="str">
        <v>-</v>
      </c>
      <c r="H10549">
        <f>VLOOKUP(D10524,'Detail Balok'!$C$10:$BJ$110,55,FALSE)</f>
        <v>100</v>
      </c>
      <c r="J10549">
        <f>(D10525-2*F$5)/1000</f>
        <v>0.12</v>
      </c>
      <c r="K10549" t="str">
        <v>+</v>
      </c>
      <c r="L10549">
        <f>IF(D10549=0,2*MAX(6*F10549,75),(D10549-1)*2*MAX(6*F10549,75))/1000</f>
        <v>0.15</v>
      </c>
      <c r="M10549" t="str">
        <v>=</v>
      </c>
      <c r="N10549">
        <f>J10549+L10549</f>
        <v>0.27</v>
      </c>
      <c r="T10549" t="str">
        <v>x</v>
      </c>
      <c r="U10549">
        <f>0.006165*F10549^2</f>
        <v>0</v>
      </c>
      <c r="V10549" t="str">
        <v>x</v>
      </c>
      <c r="W10549">
        <f>W10545</f>
        <v>12</v>
      </c>
      <c r="X10549" t="str">
        <v>x</v>
      </c>
      <c r="Y10549">
        <f>D10534</f>
        <v>2</v>
      </c>
      <c r="Z10549" t="str">
        <v>=</v>
      </c>
      <c r="AA10549">
        <f>N10549*U10549*W10549*Y10549</f>
        <v>0</v>
      </c>
    </row>
    <row r="10550">
      <c r="A10550" t="str">
        <f>A10524</f>
        <v>Lantai Atap</v>
      </c>
      <c r="B10550">
        <f>B10524</f>
        <v>10</v>
      </c>
      <c r="C10550" t="str">
        <v>Kait Horizontal Tump.</v>
      </c>
      <c r="D10550">
        <f>VLOOKUP(D10524,'Detail Balok'!$C$10:$BJ$110,56,FALSE)</f>
        <v>0</v>
      </c>
      <c r="E10550" t="str">
        <v>D</v>
      </c>
      <c r="F10550">
        <f>VLOOKUP(D10524,'Detail Balok'!$C$10:$BJ$110,58,FALSE)</f>
        <v>0</v>
      </c>
      <c r="G10550" t="str">
        <v>-</v>
      </c>
      <c r="H10550">
        <f>VLOOKUP(D10524,'Detail Balok'!$C$10:$BJ$110,60,FALSE)</f>
        <v>100</v>
      </c>
      <c r="J10550">
        <f>(D10525-2*F$5)/1000</f>
        <v>0.12</v>
      </c>
      <c r="K10550" t="str">
        <v>+</v>
      </c>
      <c r="L10550">
        <f>IF(D10550=0,2*MAX(6*F10550,75),(D10550-1)*2*MAX(6*F10550,75))/1000</f>
        <v>0.15</v>
      </c>
      <c r="M10550" t="str">
        <v>=</v>
      </c>
      <c r="N10550">
        <f>J10550+L10550</f>
        <v>0.27</v>
      </c>
      <c r="T10550" t="str">
        <v>x</v>
      </c>
      <c r="U10550">
        <f>0.006165*F10550^2</f>
        <v>0</v>
      </c>
      <c r="V10550" t="str">
        <v>x</v>
      </c>
      <c r="W10550">
        <f>W10546</f>
        <v>13</v>
      </c>
      <c r="X10550" t="str">
        <v>x</v>
      </c>
      <c r="Y10550">
        <f>D10534</f>
        <v>2</v>
      </c>
      <c r="Z10550" t="str">
        <v>=</v>
      </c>
      <c r="AA10550">
        <f>N10550*U10550*W10550*Y10550</f>
        <v>0</v>
      </c>
    </row>
    <row r="10554">
      <c r="A10554" t="str">
        <f>A10524</f>
        <v>Lantai Atap</v>
      </c>
      <c r="B10554">
        <f>B10524+1</f>
        <v>11</v>
      </c>
      <c r="C10554" t="str">
        <f>CONCATENATE(A10554," no. ",B10554)</f>
        <v>Lantai Atap no. 11</v>
      </c>
      <c r="D10554" t="str">
        <f>VLOOKUP(C10554,'Data Panjang Balok'!$C$9:$N$424,2,FALSE)</f>
        <v>B245-5</v>
      </c>
    </row>
    <row r="10555">
      <c r="C10555" t="str">
        <v>Dimensi</v>
      </c>
      <c r="D10555">
        <f>VLOOKUP(D10554,'Detail Balok'!$C$10:$AU$110,2,FALSE)</f>
        <v>200</v>
      </c>
      <c r="F10555" t="str">
        <v>x</v>
      </c>
      <c r="G10555">
        <f>VLOOKUP(D10554,'Detail Balok'!$C$10:$AU$110,3,FALSE)</f>
        <v>450</v>
      </c>
    </row>
    <row r="10556">
      <c r="C10556" t="str">
        <v>Panjang as ke as</v>
      </c>
      <c r="D10556">
        <f>VLOOKUP(C10554,'Data Panjang Balok'!$C$9:$N$424,4,FALSE)</f>
        <v>6200</v>
      </c>
    </row>
    <row r="10557">
      <c r="C10557" t="str">
        <v>Panjang netto</v>
      </c>
      <c r="D10557">
        <f>VLOOKUP(C10554,'Data Panjang Balok'!$C$9:$N$424,7,FALSE)</f>
        <v>6200</v>
      </c>
    </row>
    <row r="10558">
      <c r="C10558" t="str">
        <v>Kolom / balok kiri</v>
      </c>
      <c r="D10558">
        <f>VLOOKUP(C10554,'Data Panjang Balok'!$C$9:$N$424,9,FALSE)</f>
        <v>0</v>
      </c>
    </row>
    <row r="10559">
      <c r="C10559" t="str">
        <v>Kolom / balok kanan</v>
      </c>
      <c r="D10559">
        <f>VLOOKUP(C10554,'Data Panjang Balok'!$C$9:$N$424,10,FALSE)</f>
        <v>0</v>
      </c>
    </row>
    <row r="10560">
      <c r="C10560" t="str">
        <v>Jumlah</v>
      </c>
      <c r="D10560">
        <f>VLOOKUP(C10554,'Data Panjang Balok'!$C$9:$N$424,3,FALSE)</f>
        <v>1</v>
      </c>
    </row>
    <row r="10561">
      <c r="A10561" t="str">
        <f>A10554</f>
        <v>Lantai Atap</v>
      </c>
      <c r="B10561">
        <f>B10554</f>
        <v>11</v>
      </c>
      <c r="C10561" t="str">
        <v>Tul Atas Tumpuan</v>
      </c>
      <c r="D10561">
        <f>VLOOKUP(D10554,'Detail Balok'!$C$10:$AU$110,4,FALSE)</f>
        <v>3</v>
      </c>
      <c r="E10561" t="str">
        <v>D</v>
      </c>
      <c r="F10561">
        <f>VLOOKUP(D10554,'Detail Balok'!$C$10:$AU$110,6,FALSE)</f>
        <v>16</v>
      </c>
      <c r="I10561" t="str">
        <v>(</v>
      </c>
      <c r="J10561">
        <f>+D10556/4/1000</f>
        <v>1.55</v>
      </c>
      <c r="K10561" t="str">
        <v>+</v>
      </c>
      <c r="L10561">
        <f>MAX(VLOOKUP(F10561,N$6:P$15,3,FALSE)/1000,2/3*D10558/1000)+F$16*F10561/1000</f>
        <v>0.192</v>
      </c>
      <c r="M10561" t="str">
        <v>=</v>
      </c>
      <c r="N10561">
        <f>J10561+L10561</f>
        <v>1.742</v>
      </c>
      <c r="O10561" t="str">
        <v>+</v>
      </c>
      <c r="P10561">
        <f>D10561-D10562</f>
        <v>0</v>
      </c>
      <c r="Q10561" t="str">
        <v>x</v>
      </c>
      <c r="R10561">
        <f>IF(P10561&gt;0,$F$18*F10561/1000,0)</f>
        <v>0</v>
      </c>
      <c r="S10561" t="str">
        <v>)</v>
      </c>
      <c r="T10561" t="str">
        <v>x</v>
      </c>
      <c r="U10561">
        <f>0.006165*F10561^2</f>
        <v>1.57824</v>
      </c>
      <c r="X10561" t="str">
        <v>x</v>
      </c>
      <c r="Y10561">
        <f>D10560</f>
        <v>1</v>
      </c>
      <c r="Z10561" t="str">
        <v>=</v>
      </c>
      <c r="AA10561">
        <f>IF(AA10564=0,(D10561*N10561+P10561*R10561)*U10561*Y10561,0)</f>
        <v>0</v>
      </c>
    </row>
    <row r="10562">
      <c r="A10562" t="str">
        <f>A10554</f>
        <v>Lantai Atap</v>
      </c>
      <c r="B10562">
        <f>B10554</f>
        <v>11</v>
      </c>
      <c r="C10562" t="str">
        <v>Tul Atas Lapangan</v>
      </c>
      <c r="D10562">
        <f>VLOOKUP(D10554,'Detail Balok'!$C$10:$AU$110,7,FALSE)</f>
        <v>3</v>
      </c>
      <c r="E10562" t="str">
        <v>D</v>
      </c>
      <c r="F10562">
        <f>VLOOKUP(D10554,'Detail Balok'!$C$10:$AU$110,9,FALSE)</f>
        <v>16</v>
      </c>
      <c r="I10562" t="str">
        <v>(</v>
      </c>
      <c r="J10562">
        <f>+D10556/2/1000</f>
        <v>3.1</v>
      </c>
      <c r="K10562" t="str">
        <v>+</v>
      </c>
      <c r="M10562" t="str">
        <v>=</v>
      </c>
      <c r="N10562">
        <f>J10562+L10562</f>
        <v>3.1</v>
      </c>
      <c r="O10562" t="str">
        <v>+</v>
      </c>
      <c r="P10562">
        <f>MAX(D10562-D10561,D10562-D10563)</f>
        <v>0</v>
      </c>
      <c r="Q10562" t="str">
        <v>x</v>
      </c>
      <c r="R10562">
        <f>IF(P10562&gt;0,2*(1-2*$F$19-1/2)*D10557/1000,0)</f>
        <v>0</v>
      </c>
      <c r="S10562" t="str">
        <v>)</v>
      </c>
      <c r="T10562" t="str">
        <v>x</v>
      </c>
      <c r="U10562">
        <f>0.006165*F10562^2</f>
        <v>1.57824</v>
      </c>
      <c r="X10562" t="str">
        <v>x</v>
      </c>
      <c r="Y10562">
        <f>D10560</f>
        <v>1</v>
      </c>
      <c r="Z10562" t="str">
        <v>=</v>
      </c>
      <c r="AA10562">
        <f>IF(AA10564=0,(D10562*N10562+P10562*R10562)*U10562*Y10562,0)</f>
        <v>0</v>
      </c>
    </row>
    <row r="10563">
      <c r="A10563" t="str">
        <f>A10554</f>
        <v>Lantai Atap</v>
      </c>
      <c r="B10563">
        <f>B10554</f>
        <v>11</v>
      </c>
      <c r="C10563" t="str">
        <v>Tul Atas Tumpuan</v>
      </c>
      <c r="D10563">
        <f>VLOOKUP(D10554,'Detail Balok'!$C$10:$AU$110,10,FALSE)</f>
        <v>3</v>
      </c>
      <c r="E10563" t="str">
        <v>D</v>
      </c>
      <c r="F10563">
        <f>VLOOKUP(D10554,'Detail Balok'!$C$10:$AU$110,12,FALSE)</f>
        <v>16</v>
      </c>
      <c r="I10563" t="str">
        <v>(</v>
      </c>
      <c r="J10563">
        <f>+D10556/4/1000</f>
        <v>1.55</v>
      </c>
      <c r="K10563" t="str">
        <v>+</v>
      </c>
      <c r="L10563">
        <f>MAX(VLOOKUP(F10563,N$6:P$15,3,FALSE)/1000,2/3*D10558/1000)+F$16*F10563/1000</f>
        <v>0.192</v>
      </c>
      <c r="M10563" t="str">
        <v>=</v>
      </c>
      <c r="N10563">
        <f>J10563+L10563</f>
        <v>1.742</v>
      </c>
      <c r="O10563" t="str">
        <v>+</v>
      </c>
      <c r="P10563">
        <f>D10563-D10562</f>
        <v>0</v>
      </c>
      <c r="Q10563" t="str">
        <v>x</v>
      </c>
      <c r="R10563">
        <f>IF(P10563&gt;0,$F$18*F10563/1000,0)</f>
        <v>0</v>
      </c>
      <c r="S10563" t="str">
        <v>)</v>
      </c>
      <c r="T10563" t="str">
        <v>x</v>
      </c>
      <c r="U10563">
        <f>0.006165*F10563^2</f>
        <v>1.57824</v>
      </c>
      <c r="X10563" t="str">
        <v>x</v>
      </c>
      <c r="Y10563">
        <f>D10560</f>
        <v>1</v>
      </c>
      <c r="Z10563" t="str">
        <v>=</v>
      </c>
      <c r="AA10563">
        <f>IF(AA10564=0,(D10563*N10563+P10563*R10563)*U10563*Y10563,0)</f>
        <v>0</v>
      </c>
    </row>
    <row r="10564">
      <c r="A10564" t="str">
        <f>A10554</f>
        <v>Lantai Atap</v>
      </c>
      <c r="B10564">
        <f>B10554</f>
        <v>11</v>
      </c>
      <c r="D10564">
        <f>IF(AND(D10561=D10562,D10562=D10563,D10561=D10563),D10561,0)</f>
        <v>3</v>
      </c>
      <c r="E10564" t="str">
        <v>D</v>
      </c>
      <c r="F10564">
        <f>IF(AND(F10561=F10562,F10561=F10563,F10562=F10563),F10561,0)</f>
        <v>16</v>
      </c>
      <c r="L10564" t="str">
        <v>Total panjang per balok</v>
      </c>
      <c r="M10564" t="str">
        <v>=</v>
      </c>
      <c r="N10564">
        <f>IF(AND(D10561=D10562,D10561=D10563,D10562=D10563,F10561=F10562,F10561=F10563,F10562=F10563),SUM(N10561:N10563),0)</f>
        <v>6.5840000000000005</v>
      </c>
      <c r="O10564" t="str">
        <v>+</v>
      </c>
      <c r="P10564">
        <f>IF(N10564&gt;12,ROUNDDOWN(N10564/12,0),0)</f>
        <v>0</v>
      </c>
      <c r="Q10564" t="str">
        <v>x</v>
      </c>
      <c r="R10564">
        <f>IF(P10564&gt;0,MAX(VLOOKUP(F10564,$D$6:$G$15,3,FALSE),600),0)/1000</f>
        <v>0</v>
      </c>
      <c r="T10564" t="str">
        <v>x</v>
      </c>
      <c r="U10564">
        <f>U10563</f>
        <v>1.57824</v>
      </c>
      <c r="V10564" t="str">
        <v>x</v>
      </c>
      <c r="W10564">
        <f>D10564</f>
        <v>3</v>
      </c>
      <c r="X10564" t="str">
        <v>x</v>
      </c>
      <c r="Y10564">
        <f>Y10563</f>
        <v>1</v>
      </c>
      <c r="Z10564" t="str">
        <v>=</v>
      </c>
      <c r="AA10564">
        <f>(N10564+P10564*R10564/1000)*U10564*W10564*Y10564</f>
        <v>31.173396480000005</v>
      </c>
    </row>
    <row r="10566">
      <c r="A10566" t="str">
        <f>A10554</f>
        <v>Lantai Atap</v>
      </c>
      <c r="B10566">
        <f>B10554</f>
        <v>11</v>
      </c>
      <c r="C10566" t="str">
        <v>Tul Peminggang</v>
      </c>
      <c r="D10566">
        <f>VLOOKUP(D10554,'Detail Balok'!$C$10:$AU$110,13,FALSE)</f>
        <v>2</v>
      </c>
      <c r="E10566" t="str">
        <v>D</v>
      </c>
      <c r="F10566">
        <f>VLOOKUP(D10554,'Detail Balok'!$C$10:$AU$110,15,FALSE)</f>
        <v>10</v>
      </c>
      <c r="J10566">
        <f>+D10556/1000</f>
        <v>6.2</v>
      </c>
      <c r="K10566" t="str">
        <v>+</v>
      </c>
      <c r="L10566">
        <f>2*$F$16*F10566/1000</f>
        <v>0.24</v>
      </c>
      <c r="M10566" t="str">
        <v>=</v>
      </c>
      <c r="N10566">
        <f>J10566+L10566</f>
        <v>6.44</v>
      </c>
      <c r="O10566" t="str">
        <v>+</v>
      </c>
      <c r="P10566">
        <f>IF(N10566&gt;12,ROUNDDOWN(N10566/12,0),0)</f>
        <v>0</v>
      </c>
      <c r="Q10566" t="str">
        <v>x</v>
      </c>
      <c r="R10566">
        <f>IF(P10566&gt;0,MAX(VLOOKUP(F10566,$D$6:$G$15,3,FALSE),600),0)/1000</f>
        <v>0</v>
      </c>
      <c r="T10566" t="str">
        <v>x</v>
      </c>
      <c r="U10566">
        <f>0.006165*F10566^2</f>
        <v>0.6165</v>
      </c>
      <c r="V10566" t="str">
        <v>x</v>
      </c>
      <c r="W10566">
        <f>+D10566</f>
        <v>2</v>
      </c>
      <c r="X10566" t="str">
        <v>x</v>
      </c>
      <c r="Y10566">
        <f>D10560</f>
        <v>1</v>
      </c>
      <c r="Z10566" t="str">
        <v>=</v>
      </c>
      <c r="AA10566">
        <f>(N10566+P10566*R10566/1000)*U10566*W10566*Y10566</f>
        <v>7.940520000000001</v>
      </c>
    </row>
    <row r="10569">
      <c r="A10569" t="str">
        <f>A10554</f>
        <v>Lantai Atap</v>
      </c>
      <c r="B10569">
        <f>B10554</f>
        <v>11</v>
      </c>
      <c r="C10569" t="str">
        <v>Tul Bawah Tumpuan</v>
      </c>
      <c r="D10569">
        <f>VLOOKUP(D10554,'Detail Balok'!$C$10:$AU$110,22,FALSE)</f>
        <v>4</v>
      </c>
      <c r="E10569" t="str">
        <v>D</v>
      </c>
      <c r="F10569">
        <f>VLOOKUP(D10554,'Detail Balok'!$C$10:$AU$110,24,FALSE)</f>
        <v>16</v>
      </c>
      <c r="I10569" t="str">
        <v>(</v>
      </c>
      <c r="J10569">
        <f>+J10561</f>
        <v>1.55</v>
      </c>
      <c r="K10569" t="str">
        <v>+</v>
      </c>
      <c r="L10569">
        <f>MAX(VLOOKUP(F10569,N$6:P$15,3,FALSE)/1000,2/3*D10559/1000)+F$16*F10569/1000</f>
        <v>0.192</v>
      </c>
      <c r="M10569" t="str">
        <v>=</v>
      </c>
      <c r="N10569">
        <f>J10569+L10569</f>
        <v>1.742</v>
      </c>
      <c r="O10569" t="str">
        <v>+</v>
      </c>
      <c r="P10569">
        <f>D10569-D10570</f>
        <v>0</v>
      </c>
      <c r="Q10569" t="str">
        <v>x</v>
      </c>
      <c r="R10569">
        <f>IF(P10569&gt;0,$F$18*F10569/1000,0)</f>
        <v>0</v>
      </c>
      <c r="S10569" t="str">
        <v>)</v>
      </c>
      <c r="T10569" t="str">
        <v>x</v>
      </c>
      <c r="U10569">
        <f>0.006165*F10569^2</f>
        <v>1.57824</v>
      </c>
      <c r="X10569" t="str">
        <v>x</v>
      </c>
      <c r="Y10569">
        <f>D10560</f>
        <v>1</v>
      </c>
      <c r="Z10569" t="str">
        <v>=</v>
      </c>
      <c r="AA10569">
        <f>IF(AA10572=0,(D10569*N10569+P10569*R10569)*U10569*Y10569,0)</f>
        <v>0</v>
      </c>
    </row>
    <row r="10570">
      <c r="A10570" t="str">
        <f>A10554</f>
        <v>Lantai Atap</v>
      </c>
      <c r="B10570">
        <f>B10554</f>
        <v>11</v>
      </c>
      <c r="C10570" t="str">
        <v>Tul Bawah Lapangan</v>
      </c>
      <c r="D10570">
        <f>VLOOKUP(D10554,'Detail Balok'!$C$10:$AU$110,25,FALSE)</f>
        <v>4</v>
      </c>
      <c r="E10570" t="str">
        <v>D</v>
      </c>
      <c r="F10570">
        <f>VLOOKUP(D10554,'Detail Balok'!$C$10:$AU$110,27,FALSE)</f>
        <v>16</v>
      </c>
      <c r="I10570" t="str">
        <v>(</v>
      </c>
      <c r="J10570">
        <f>+J10562</f>
        <v>3.1</v>
      </c>
      <c r="K10570" t="str">
        <v>+</v>
      </c>
      <c r="M10570" t="str">
        <v>=</v>
      </c>
      <c r="N10570">
        <f>J10570+L10570</f>
        <v>3.1</v>
      </c>
      <c r="O10570" t="str">
        <v>+</v>
      </c>
      <c r="P10570">
        <f>MAX(D10570-D10569,D10570-D10571)</f>
        <v>0</v>
      </c>
      <c r="Q10570" t="str">
        <v>x</v>
      </c>
      <c r="R10570">
        <f>IF(P10570&gt;0,2*(1-2*$F$19-1/2)*D10557/1000,0)</f>
        <v>0</v>
      </c>
      <c r="S10570" t="str">
        <v>)</v>
      </c>
      <c r="T10570" t="str">
        <v>x</v>
      </c>
      <c r="U10570">
        <f>0.006165*F10570^2</f>
        <v>1.57824</v>
      </c>
      <c r="X10570" t="str">
        <v>x</v>
      </c>
      <c r="Y10570">
        <f>D10560</f>
        <v>1</v>
      </c>
      <c r="Z10570" t="str">
        <v>=</v>
      </c>
      <c r="AA10570">
        <f>IF(AA10572=0,(D10570*N10570+P10570*R10570)*U10570*Y10570,0)</f>
        <v>0</v>
      </c>
    </row>
    <row r="10571">
      <c r="A10571" t="str">
        <f>A10554</f>
        <v>Lantai Atap</v>
      </c>
      <c r="B10571">
        <f>B10554</f>
        <v>11</v>
      </c>
      <c r="C10571" t="str">
        <v>Tul Bawah Tumpuan</v>
      </c>
      <c r="D10571">
        <f>VLOOKUP(D10554,'Detail Balok'!$C$10:$AU$110,28,FALSE)</f>
        <v>4</v>
      </c>
      <c r="E10571" t="str">
        <v>D</v>
      </c>
      <c r="F10571">
        <f>VLOOKUP(D10554,'Detail Balok'!$C$10:$AU$110,30,FALSE)</f>
        <v>16</v>
      </c>
      <c r="I10571" t="str">
        <v>(</v>
      </c>
      <c r="J10571">
        <f>+J10563</f>
        <v>1.55</v>
      </c>
      <c r="K10571" t="str">
        <v>+</v>
      </c>
      <c r="L10571">
        <f>MAX(VLOOKUP(F10571,N$6:P$15,3,FALSE)/1000,2/3*D10559/1000)+F$16*F10571/1000</f>
        <v>0.192</v>
      </c>
      <c r="M10571" t="str">
        <v>=</v>
      </c>
      <c r="N10571">
        <f>J10571+L10571</f>
        <v>1.742</v>
      </c>
      <c r="O10571" t="str">
        <v>+</v>
      </c>
      <c r="P10571">
        <f>D10571-D10570</f>
        <v>0</v>
      </c>
      <c r="Q10571" t="str">
        <v>x</v>
      </c>
      <c r="R10571">
        <f>IF(P10571&gt;0,$F$18*F10571/1000,0)</f>
        <v>0</v>
      </c>
      <c r="S10571" t="str">
        <v>)</v>
      </c>
      <c r="T10571" t="str">
        <v>x</v>
      </c>
      <c r="U10571">
        <f>0.006165*F10571^2</f>
        <v>1.57824</v>
      </c>
      <c r="X10571" t="str">
        <v>x</v>
      </c>
      <c r="Y10571">
        <f>D10560</f>
        <v>1</v>
      </c>
      <c r="Z10571" t="str">
        <v>=</v>
      </c>
      <c r="AA10571">
        <f>IF(AA10572=0,(D10571*N10571+P10571*R10571)*U10571*Y10571,0)</f>
        <v>0</v>
      </c>
    </row>
    <row r="10572">
      <c r="A10572" t="str">
        <f>A10554</f>
        <v>Lantai Atap</v>
      </c>
      <c r="B10572">
        <f>B10554</f>
        <v>11</v>
      </c>
      <c r="D10572">
        <f>IF(AND(D10569=D10570,D10570=D10571,D10569=D10571),D10569,0)</f>
        <v>4</v>
      </c>
      <c r="E10572" t="str">
        <v>D</v>
      </c>
      <c r="F10572">
        <f>IF(AND(F10569=F10570,F10569=F10571,F10570=F10571),F10569,0)</f>
        <v>16</v>
      </c>
      <c r="L10572" t="str">
        <v>Total panjang per balok</v>
      </c>
      <c r="M10572" t="str">
        <v>=</v>
      </c>
      <c r="N10572">
        <f>IF(AND(D10569=D10570,D10569=D10571,D10570=D10571,F10569=F10570,F10569=F10571,F10570=F10571),SUM(N10569:N10571),0)</f>
        <v>6.5840000000000005</v>
      </c>
      <c r="O10572" t="str">
        <v>+</v>
      </c>
      <c r="P10572">
        <f>IF(N10572&gt;12,ROUNDDOWN(N10572/12,0),0)</f>
        <v>0</v>
      </c>
      <c r="Q10572" t="str">
        <v>x</v>
      </c>
      <c r="R10572">
        <f>IF(P10572&gt;0,MAX(VLOOKUP(F10572,$D$6:$G$15,3,FALSE),600),0)/1000</f>
        <v>0</v>
      </c>
      <c r="T10572" t="str">
        <v>x</v>
      </c>
      <c r="U10572">
        <f>U10571</f>
        <v>1.57824</v>
      </c>
      <c r="V10572" t="str">
        <v>x</v>
      </c>
      <c r="W10572">
        <f>D10572</f>
        <v>4</v>
      </c>
      <c r="X10572" t="str">
        <v>x</v>
      </c>
      <c r="Y10572">
        <f>Y10571</f>
        <v>1</v>
      </c>
      <c r="Z10572" t="str">
        <v>=</v>
      </c>
      <c r="AA10572">
        <f>(N10572+P10572*R10572/1000)*U10572*W10572*Y10572</f>
        <v>41.564528640000006</v>
      </c>
    </row>
    <row r="10574">
      <c r="A10574" t="str">
        <f>A10554</f>
        <v>Lantai Atap</v>
      </c>
      <c r="B10574">
        <f>B10554</f>
        <v>11</v>
      </c>
      <c r="C10574" t="str">
        <v>Sengkang Tumpuan</v>
      </c>
      <c r="D10574">
        <f>VLOOKUP(D10554,'Detail Balok'!$C$10:$AU$110,31,FALSE)</f>
        <v>0</v>
      </c>
      <c r="E10574" t="str">
        <v>D</v>
      </c>
      <c r="F10574">
        <f>VLOOKUP(D10554,'Detail Balok'!$C$10:$AU$110,33,FALSE)</f>
        <v>10</v>
      </c>
      <c r="G10574" t="str">
        <v>-</v>
      </c>
      <c r="H10574">
        <f>VLOOKUP(D10554,'Detail Balok'!$C$10:$AU$110,35,FALSE)</f>
        <v>80</v>
      </c>
      <c r="J10574">
        <f>(IF(D10574=0,(2*(D10555+G10555))-(F$5*8),IF(D10574=3,(2*(D10555+G10555))-(F$5*8)+(G10555-2*F$5),IF(D10574=4,(2*(D10555+G10555))-(F$5*8)+2*(G10555-2*F$5)))))/1000</f>
        <v>0.98</v>
      </c>
      <c r="K10574" t="str">
        <v>+</v>
      </c>
      <c r="L10574">
        <f>IF(D10574=0,2*MAX(6*F10574,75),(D10574-1)*2*MAX(6*F10574,75))/1000</f>
        <v>0.15</v>
      </c>
      <c r="M10574" t="str">
        <v>=</v>
      </c>
      <c r="N10574">
        <f>J10574+L10574</f>
        <v>1.13</v>
      </c>
      <c r="T10574" t="str">
        <v>x</v>
      </c>
      <c r="U10574">
        <f>0.006165*F10574^2</f>
        <v>0.6165</v>
      </c>
      <c r="V10574" t="str">
        <v>x</v>
      </c>
      <c r="W10574">
        <f>IF(D10557&gt;4*G10555,ROUND(MAX(D10557/4,2*G10555)/H10574,0)+1,ROUND(D10557/H10574,0)+1)</f>
        <v>20</v>
      </c>
      <c r="X10574" t="str">
        <v>x</v>
      </c>
      <c r="Y10574">
        <f>D10560</f>
        <v>1</v>
      </c>
      <c r="Z10574" t="str">
        <v>=</v>
      </c>
      <c r="AA10574">
        <f>N10574*U10574*W10574*Y10574</f>
        <v>13.9329</v>
      </c>
    </row>
    <row r="10575">
      <c r="A10575" t="str">
        <f>A10554</f>
        <v>Lantai Atap</v>
      </c>
      <c r="B10575">
        <f>B10554</f>
        <v>11</v>
      </c>
      <c r="C10575" t="str">
        <v>Sengkang Lapangan</v>
      </c>
      <c r="D10575">
        <f>VLOOKUP(D10554,'Detail Balok'!$C$10:$AU$110,36,FALSE)</f>
        <v>0</v>
      </c>
      <c r="E10575" t="str">
        <v>D</v>
      </c>
      <c r="F10575">
        <f>VLOOKUP(D10554,'Detail Balok'!$C$10:$AU$110,38,FALSE)</f>
        <v>10</v>
      </c>
      <c r="G10575" t="str">
        <v>-</v>
      </c>
      <c r="H10575">
        <f>VLOOKUP(D10554,'Detail Balok'!$C$10:$AU$110,40,FALSE)</f>
        <v>200</v>
      </c>
      <c r="J10575">
        <f>(IF(D10575=0,(2*(D10555+G10555))-(F$5*8),IF(D10575=3,(2*(D10555+G10555))-(F$5*8)+(G10555-2*F$5),IF(D10575=4,(2*(D10555+G10555))-(F$5*8)+2*(G10555-2*F$5)))))/1000</f>
        <v>0.98</v>
      </c>
      <c r="K10575" t="str">
        <v>+</v>
      </c>
      <c r="L10575">
        <f>IF(D10575=0,2*MAX(6*F10575,75),(D10575-1)*2*MAX(6*F10575,75))/1000</f>
        <v>0.15</v>
      </c>
      <c r="M10575" t="str">
        <v>=</v>
      </c>
      <c r="N10575">
        <f>J10575+L10575</f>
        <v>1.13</v>
      </c>
      <c r="T10575" t="str">
        <v>x</v>
      </c>
      <c r="U10575">
        <f>0.006165*F10575^2</f>
        <v>0.6165</v>
      </c>
      <c r="V10575" t="str">
        <v>x</v>
      </c>
      <c r="W10575">
        <f>IF(D10557-MAX(D10557/4,2*G10555)*2&gt;0,ROUND((D10557-MAX(D10557/4,2*G10555)*2)/H10575,0),0)</f>
        <v>16</v>
      </c>
      <c r="X10575" t="str">
        <v>x</v>
      </c>
      <c r="Y10575">
        <f>D10560</f>
        <v>1</v>
      </c>
      <c r="Z10575" t="str">
        <v>=</v>
      </c>
      <c r="AA10575">
        <f>N10575*U10575*W10575*Y10575</f>
        <v>11.14632</v>
      </c>
    </row>
    <row r="10576">
      <c r="A10576" t="str">
        <f>A10554</f>
        <v>Lantai Atap</v>
      </c>
      <c r="B10576">
        <f>B10554</f>
        <v>11</v>
      </c>
      <c r="C10576" t="str">
        <v>Sengkang Tumpuan</v>
      </c>
      <c r="D10576">
        <f>VLOOKUP(D10554,'Detail Balok'!$C$10:$AU$110,41,FALSE)</f>
        <v>0</v>
      </c>
      <c r="E10576" t="str">
        <v>D</v>
      </c>
      <c r="F10576">
        <f>VLOOKUP(D10554,'Detail Balok'!$C$10:$AU$110,43,FALSE)</f>
        <v>10</v>
      </c>
      <c r="G10576" t="str">
        <v>-</v>
      </c>
      <c r="H10576">
        <f>VLOOKUP(D10554,'Detail Balok'!$C$10:$AU$110,45,FALSE)</f>
        <v>80</v>
      </c>
      <c r="J10576">
        <f>(IF(D10576=0,(2*(D10555+G10555))-(F$5*8),IF(D10576=3,(2*(D10555+G10555))-(F$5*8)+(G10555-2*F$5),IF(D10576=4,(2*(D10555+G10555))-(F$5*8)+2*(G10555-2*F$5)))))/1000</f>
        <v>0.98</v>
      </c>
      <c r="K10576" t="str">
        <v>+</v>
      </c>
      <c r="L10576">
        <f>IF(D10576=0,2*MAX(6*F10576,75),(D10576-1)*2*MAX(6*F10576,75))/1000</f>
        <v>0.15</v>
      </c>
      <c r="M10576" t="str">
        <v>=</v>
      </c>
      <c r="N10576">
        <f>J10576+L10576</f>
        <v>1.13</v>
      </c>
      <c r="T10576" t="str">
        <v>x</v>
      </c>
      <c r="U10576">
        <f>0.006165*F10576^2</f>
        <v>0.6165</v>
      </c>
      <c r="V10576" t="str">
        <v>x</v>
      </c>
      <c r="W10576">
        <f>IF(D10557&gt;4*G10555,ROUND(MAX(D10557/4,2*G10555)/H10576,0)+1,0)</f>
        <v>20</v>
      </c>
      <c r="X10576" t="str">
        <v>x</v>
      </c>
      <c r="Y10576">
        <f>D10560</f>
        <v>1</v>
      </c>
      <c r="Z10576" t="str">
        <v>=</v>
      </c>
      <c r="AA10576">
        <f>N10576*U10576*W10576*Y10576</f>
        <v>13.9329</v>
      </c>
    </row>
    <row r="10578">
      <c r="A10578" t="str">
        <f>A10554</f>
        <v>Lantai Atap</v>
      </c>
      <c r="B10578">
        <f>B10554</f>
        <v>11</v>
      </c>
      <c r="C10578" t="str">
        <v>Kait Horizontal Tump.</v>
      </c>
      <c r="D10578">
        <f>VLOOKUP(D10554,'Detail Balok'!$C$10:$BJ$110,46,FALSE)</f>
        <v>0</v>
      </c>
      <c r="E10578" t="str">
        <v>D</v>
      </c>
      <c r="F10578">
        <f>VLOOKUP(D10554,'Detail Balok'!$C$10:$BJ$110,48,FALSE)</f>
        <v>0</v>
      </c>
      <c r="G10578" t="str">
        <v>-</v>
      </c>
      <c r="H10578">
        <f>VLOOKUP(D10554,'Detail Balok'!$C$10:$BJ$110,50,FALSE)</f>
        <v>100</v>
      </c>
      <c r="J10578">
        <f>(D10555-2*F$5)/1000</f>
        <v>0.12</v>
      </c>
      <c r="K10578" t="str">
        <v>+</v>
      </c>
      <c r="L10578">
        <f>IF(D10578=0,2*MAX(6*F10578,75),(D10578-1)*2*MAX(6*F10578,75))/1000</f>
        <v>0.15</v>
      </c>
      <c r="M10578" t="str">
        <v>=</v>
      </c>
      <c r="N10578">
        <f>J10578+L10578</f>
        <v>0.27</v>
      </c>
      <c r="T10578" t="str">
        <v>x</v>
      </c>
      <c r="U10578">
        <f>0.006165*F10578^2</f>
        <v>0</v>
      </c>
      <c r="V10578" t="str">
        <v>x</v>
      </c>
      <c r="W10578">
        <f>W10574</f>
        <v>20</v>
      </c>
      <c r="X10578" t="str">
        <v>x</v>
      </c>
      <c r="Y10578">
        <f>D10564</f>
        <v>3</v>
      </c>
      <c r="Z10578" t="str">
        <v>=</v>
      </c>
      <c r="AA10578">
        <f>N10578*U10578*W10578*Y10578</f>
        <v>0</v>
      </c>
    </row>
    <row r="10579">
      <c r="A10579" t="str">
        <f>A10554</f>
        <v>Lantai Atap</v>
      </c>
      <c r="B10579">
        <f>B10554</f>
        <v>11</v>
      </c>
      <c r="C10579" t="str">
        <v>Kait Horizontal Lap.</v>
      </c>
      <c r="D10579">
        <f>VLOOKUP(D10554,'Detail Balok'!$C$10:$BJ$110,51,FALSE)</f>
        <v>0</v>
      </c>
      <c r="E10579" t="str">
        <v>D</v>
      </c>
      <c r="F10579">
        <f>VLOOKUP(D10554,'Detail Balok'!$C$10:$BJ$110,53,FALSE)</f>
        <v>0</v>
      </c>
      <c r="G10579" t="str">
        <v>-</v>
      </c>
      <c r="H10579">
        <f>VLOOKUP(D10554,'Detail Balok'!$C$10:$BJ$110,55,FALSE)</f>
        <v>100</v>
      </c>
      <c r="J10579">
        <f>(D10555-2*F$5)/1000</f>
        <v>0.12</v>
      </c>
      <c r="K10579" t="str">
        <v>+</v>
      </c>
      <c r="L10579">
        <f>IF(D10579=0,2*MAX(6*F10579,75),(D10579-1)*2*MAX(6*F10579,75))/1000</f>
        <v>0.15</v>
      </c>
      <c r="M10579" t="str">
        <v>=</v>
      </c>
      <c r="N10579">
        <f>J10579+L10579</f>
        <v>0.27</v>
      </c>
      <c r="T10579" t="str">
        <v>x</v>
      </c>
      <c r="U10579">
        <f>0.006165*F10579^2</f>
        <v>0</v>
      </c>
      <c r="V10579" t="str">
        <v>x</v>
      </c>
      <c r="W10579">
        <f>W10575</f>
        <v>16</v>
      </c>
      <c r="X10579" t="str">
        <v>x</v>
      </c>
      <c r="Y10579">
        <f>D10564</f>
        <v>3</v>
      </c>
      <c r="Z10579" t="str">
        <v>=</v>
      </c>
      <c r="AA10579">
        <f>N10579*U10579*W10579*Y10579</f>
        <v>0</v>
      </c>
    </row>
    <row r="10580">
      <c r="A10580" t="str">
        <f>A10554</f>
        <v>Lantai Atap</v>
      </c>
      <c r="B10580">
        <f>B10554</f>
        <v>11</v>
      </c>
      <c r="C10580" t="str">
        <v>Kait Horizontal Tump.</v>
      </c>
      <c r="D10580">
        <f>VLOOKUP(D10554,'Detail Balok'!$C$10:$BJ$110,56,FALSE)</f>
        <v>0</v>
      </c>
      <c r="E10580" t="str">
        <v>D</v>
      </c>
      <c r="F10580">
        <f>VLOOKUP(D10554,'Detail Balok'!$C$10:$BJ$110,58,FALSE)</f>
        <v>0</v>
      </c>
      <c r="G10580" t="str">
        <v>-</v>
      </c>
      <c r="H10580">
        <f>VLOOKUP(D10554,'Detail Balok'!$C$10:$BJ$110,60,FALSE)</f>
        <v>100</v>
      </c>
      <c r="J10580">
        <f>(D10555-2*F$5)/1000</f>
        <v>0.12</v>
      </c>
      <c r="K10580" t="str">
        <v>+</v>
      </c>
      <c r="L10580">
        <f>IF(D10580=0,2*MAX(6*F10580,75),(D10580-1)*2*MAX(6*F10580,75))/1000</f>
        <v>0.15</v>
      </c>
      <c r="M10580" t="str">
        <v>=</v>
      </c>
      <c r="N10580">
        <f>J10580+L10580</f>
        <v>0.27</v>
      </c>
      <c r="T10580" t="str">
        <v>x</v>
      </c>
      <c r="U10580">
        <f>0.006165*F10580^2</f>
        <v>0</v>
      </c>
      <c r="V10580" t="str">
        <v>x</v>
      </c>
      <c r="W10580">
        <f>W10576</f>
        <v>20</v>
      </c>
      <c r="X10580" t="str">
        <v>x</v>
      </c>
      <c r="Y10580">
        <f>D10564</f>
        <v>3</v>
      </c>
      <c r="Z10580" t="str">
        <v>=</v>
      </c>
      <c r="AA10580">
        <f>N10580*U10580*W10580*Y10580</f>
        <v>0</v>
      </c>
    </row>
    <row r="10584">
      <c r="A10584" t="str">
        <f>A10554</f>
        <v>Lantai Atap</v>
      </c>
      <c r="B10584">
        <f>B10554+1</f>
        <v>12</v>
      </c>
      <c r="C10584" t="str">
        <f>CONCATENATE(A10584," no. ",B10584)</f>
        <v>Lantai Atap no. 12</v>
      </c>
      <c r="D10584" t="str">
        <f>VLOOKUP(C10584,'Data Panjang Balok'!$C$9:$N$424,2,FALSE)</f>
        <v>B245-1</v>
      </c>
    </row>
    <row r="10585">
      <c r="C10585" t="str">
        <v>Dimensi</v>
      </c>
      <c r="D10585">
        <f>VLOOKUP(D10584,'Detail Balok'!$C$10:$AU$110,2,FALSE)</f>
        <v>200</v>
      </c>
      <c r="F10585" t="str">
        <v>x</v>
      </c>
      <c r="G10585">
        <f>VLOOKUP(D10584,'Detail Balok'!$C$10:$AU$110,3,FALSE)</f>
        <v>450</v>
      </c>
    </row>
    <row r="10586">
      <c r="C10586" t="str">
        <v>Panjang as ke as</v>
      </c>
      <c r="D10586">
        <f>VLOOKUP(C10584,'Data Panjang Balok'!$C$9:$N$424,4,FALSE)</f>
        <v>900</v>
      </c>
    </row>
    <row r="10587">
      <c r="C10587" t="str">
        <v>Panjang netto</v>
      </c>
      <c r="D10587">
        <f>VLOOKUP(C10584,'Data Panjang Balok'!$C$9:$N$424,7,FALSE)</f>
        <v>900</v>
      </c>
    </row>
    <row r="10588">
      <c r="C10588" t="str">
        <v>Kolom / balok kiri</v>
      </c>
      <c r="D10588">
        <f>VLOOKUP(C10584,'Data Panjang Balok'!$C$9:$N$424,9,FALSE)</f>
        <v>0</v>
      </c>
    </row>
    <row r="10589">
      <c r="C10589" t="str">
        <v>Kolom / balok kanan</v>
      </c>
      <c r="D10589">
        <f>VLOOKUP(C10584,'Data Panjang Balok'!$C$9:$N$424,10,FALSE)</f>
        <v>0</v>
      </c>
    </row>
    <row r="10590">
      <c r="C10590" t="str">
        <v>Jumlah</v>
      </c>
      <c r="D10590">
        <f>VLOOKUP(C10584,'Data Panjang Balok'!$C$9:$N$424,3,FALSE)</f>
        <v>1</v>
      </c>
    </row>
    <row r="10591">
      <c r="A10591" t="str">
        <f>A10584</f>
        <v>Lantai Atap</v>
      </c>
      <c r="B10591">
        <f>B10584</f>
        <v>12</v>
      </c>
      <c r="C10591" t="str">
        <v>Tul Atas Tumpuan</v>
      </c>
      <c r="D10591">
        <f>VLOOKUP(D10584,'Detail Balok'!$C$10:$AU$110,4,FALSE)</f>
        <v>2</v>
      </c>
      <c r="E10591" t="str">
        <v>D</v>
      </c>
      <c r="F10591">
        <f>VLOOKUP(D10584,'Detail Balok'!$C$10:$AU$110,6,FALSE)</f>
        <v>13</v>
      </c>
      <c r="I10591" t="str">
        <v>(</v>
      </c>
      <c r="J10591">
        <f>+D10586/4/1000</f>
        <v>0.225</v>
      </c>
      <c r="K10591" t="str">
        <v>+</v>
      </c>
      <c r="L10591">
        <f>MAX(VLOOKUP(F10591,N$6:P$15,3,FALSE)/1000,2/3*D10588/1000)+F$16*F10591/1000</f>
        <v>0.156</v>
      </c>
      <c r="M10591" t="str">
        <v>=</v>
      </c>
      <c r="N10591">
        <f>J10591+L10591</f>
        <v>0.381</v>
      </c>
      <c r="O10591" t="str">
        <v>+</v>
      </c>
      <c r="P10591">
        <f>D10591-D10592</f>
        <v>0</v>
      </c>
      <c r="Q10591" t="str">
        <v>x</v>
      </c>
      <c r="R10591">
        <f>IF(P10591&gt;0,$F$18*F10591/1000,0)</f>
        <v>0</v>
      </c>
      <c r="S10591" t="str">
        <v>)</v>
      </c>
      <c r="T10591" t="str">
        <v>x</v>
      </c>
      <c r="U10591">
        <f>0.006165*F10591^2</f>
        <v>1.041885</v>
      </c>
      <c r="X10591" t="str">
        <v>x</v>
      </c>
      <c r="Y10591">
        <f>D10590</f>
        <v>1</v>
      </c>
      <c r="Z10591" t="str">
        <v>=</v>
      </c>
      <c r="AA10591">
        <f>IF(AA10594=0,(D10591*N10591+P10591*R10591)*U10591*Y10591,0)</f>
        <v>0</v>
      </c>
    </row>
    <row r="10592">
      <c r="A10592" t="str">
        <f>A10584</f>
        <v>Lantai Atap</v>
      </c>
      <c r="B10592">
        <f>B10584</f>
        <v>12</v>
      </c>
      <c r="C10592" t="str">
        <v>Tul Atas Lapangan</v>
      </c>
      <c r="D10592">
        <f>VLOOKUP(D10584,'Detail Balok'!$C$10:$AU$110,7,FALSE)</f>
        <v>2</v>
      </c>
      <c r="E10592" t="str">
        <v>D</v>
      </c>
      <c r="F10592">
        <f>VLOOKUP(D10584,'Detail Balok'!$C$10:$AU$110,9,FALSE)</f>
        <v>13</v>
      </c>
      <c r="I10592" t="str">
        <v>(</v>
      </c>
      <c r="J10592">
        <f>+D10586/2/1000</f>
        <v>0.45</v>
      </c>
      <c r="K10592" t="str">
        <v>+</v>
      </c>
      <c r="M10592" t="str">
        <v>=</v>
      </c>
      <c r="N10592">
        <f>J10592+L10592</f>
        <v>0.45</v>
      </c>
      <c r="O10592" t="str">
        <v>+</v>
      </c>
      <c r="P10592">
        <f>MAX(D10592-D10591,D10592-D10593)</f>
        <v>0</v>
      </c>
      <c r="Q10592" t="str">
        <v>x</v>
      </c>
      <c r="R10592">
        <f>IF(P10592&gt;0,2*(1-2*$F$19-1/2)*D10587/1000,0)</f>
        <v>0</v>
      </c>
      <c r="S10592" t="str">
        <v>)</v>
      </c>
      <c r="T10592" t="str">
        <v>x</v>
      </c>
      <c r="U10592">
        <f>0.006165*F10592^2</f>
        <v>1.041885</v>
      </c>
      <c r="X10592" t="str">
        <v>x</v>
      </c>
      <c r="Y10592">
        <f>D10590</f>
        <v>1</v>
      </c>
      <c r="Z10592" t="str">
        <v>=</v>
      </c>
      <c r="AA10592">
        <f>IF(AA10594=0,(D10592*N10592+P10592*R10592)*U10592*Y10592,0)</f>
        <v>0</v>
      </c>
    </row>
    <row r="10593">
      <c r="A10593" t="str">
        <f>A10584</f>
        <v>Lantai Atap</v>
      </c>
      <c r="B10593">
        <f>B10584</f>
        <v>12</v>
      </c>
      <c r="C10593" t="str">
        <v>Tul Atas Tumpuan</v>
      </c>
      <c r="D10593">
        <f>VLOOKUP(D10584,'Detail Balok'!$C$10:$AU$110,10,FALSE)</f>
        <v>2</v>
      </c>
      <c r="E10593" t="str">
        <v>D</v>
      </c>
      <c r="F10593">
        <f>VLOOKUP(D10584,'Detail Balok'!$C$10:$AU$110,12,FALSE)</f>
        <v>13</v>
      </c>
      <c r="I10593" t="str">
        <v>(</v>
      </c>
      <c r="J10593">
        <f>+D10586/4/1000</f>
        <v>0.225</v>
      </c>
      <c r="K10593" t="str">
        <v>+</v>
      </c>
      <c r="L10593">
        <f>MAX(VLOOKUP(F10593,N$6:P$15,3,FALSE)/1000,2/3*D10588/1000)+F$16*F10593/1000</f>
        <v>0.156</v>
      </c>
      <c r="M10593" t="str">
        <v>=</v>
      </c>
      <c r="N10593">
        <f>J10593+L10593</f>
        <v>0.381</v>
      </c>
      <c r="O10593" t="str">
        <v>+</v>
      </c>
      <c r="P10593">
        <f>D10593-D10592</f>
        <v>0</v>
      </c>
      <c r="Q10593" t="str">
        <v>x</v>
      </c>
      <c r="R10593">
        <f>IF(P10593&gt;0,$F$18*F10593/1000,0)</f>
        <v>0</v>
      </c>
      <c r="S10593" t="str">
        <v>)</v>
      </c>
      <c r="T10593" t="str">
        <v>x</v>
      </c>
      <c r="U10593">
        <f>0.006165*F10593^2</f>
        <v>1.041885</v>
      </c>
      <c r="X10593" t="str">
        <v>x</v>
      </c>
      <c r="Y10593">
        <f>D10590</f>
        <v>1</v>
      </c>
      <c r="Z10593" t="str">
        <v>=</v>
      </c>
      <c r="AA10593">
        <f>IF(AA10594=0,(D10593*N10593+P10593*R10593)*U10593*Y10593,0)</f>
        <v>0</v>
      </c>
    </row>
    <row r="10594">
      <c r="A10594" t="str">
        <f>A10584</f>
        <v>Lantai Atap</v>
      </c>
      <c r="B10594">
        <f>B10584</f>
        <v>12</v>
      </c>
      <c r="D10594">
        <f>IF(AND(D10591=D10592,D10592=D10593,D10591=D10593),D10591,0)</f>
        <v>2</v>
      </c>
      <c r="E10594" t="str">
        <v>D</v>
      </c>
      <c r="F10594">
        <f>IF(AND(F10591=F10592,F10591=F10593,F10592=F10593),F10591,0)</f>
        <v>13</v>
      </c>
      <c r="L10594" t="str">
        <v>Total panjang per balok</v>
      </c>
      <c r="M10594" t="str">
        <v>=</v>
      </c>
      <c r="N10594">
        <f>IF(AND(D10591=D10592,D10591=D10593,D10592=D10593,F10591=F10592,F10591=F10593,F10592=F10593),SUM(N10591:N10593),0)</f>
        <v>1.212</v>
      </c>
      <c r="O10594" t="str">
        <v>+</v>
      </c>
      <c r="P10594">
        <f>IF(N10594&gt;12,ROUNDDOWN(N10594/12,0),0)</f>
        <v>0</v>
      </c>
      <c r="Q10594" t="str">
        <v>x</v>
      </c>
      <c r="R10594">
        <f>IF(P10594&gt;0,MAX(VLOOKUP(F10594,$D$6:$G$15,3,FALSE),600),0)/1000</f>
        <v>0</v>
      </c>
      <c r="T10594" t="str">
        <v>x</v>
      </c>
      <c r="U10594">
        <f>U10593</f>
        <v>1.041885</v>
      </c>
      <c r="V10594" t="str">
        <v>x</v>
      </c>
      <c r="W10594">
        <f>D10594</f>
        <v>2</v>
      </c>
      <c r="X10594" t="str">
        <v>x</v>
      </c>
      <c r="Y10594">
        <f>Y10593</f>
        <v>1</v>
      </c>
      <c r="Z10594" t="str">
        <v>=</v>
      </c>
      <c r="AA10594">
        <f>(N10594+P10594*R10594/1000)*U10594*W10594*Y10594</f>
        <v>2.52552924</v>
      </c>
    </row>
    <row r="10596">
      <c r="A10596" t="str">
        <f>A10584</f>
        <v>Lantai Atap</v>
      </c>
      <c r="B10596">
        <f>B10584</f>
        <v>12</v>
      </c>
      <c r="C10596" t="str">
        <v>Tul Peminggang</v>
      </c>
      <c r="D10596">
        <f>VLOOKUP(D10584,'Detail Balok'!$C$10:$AU$110,13,FALSE)</f>
        <v>2</v>
      </c>
      <c r="E10596" t="str">
        <v>D</v>
      </c>
      <c r="F10596">
        <f>VLOOKUP(D10584,'Detail Balok'!$C$10:$AU$110,15,FALSE)</f>
        <v>8</v>
      </c>
      <c r="J10596">
        <f>+D10586/1000</f>
        <v>0.9</v>
      </c>
      <c r="K10596" t="str">
        <v>+</v>
      </c>
      <c r="L10596">
        <f>2*$F$16*F10596/1000</f>
        <v>0.192</v>
      </c>
      <c r="M10596" t="str">
        <v>=</v>
      </c>
      <c r="N10596">
        <f>J10596+L10596</f>
        <v>1.092</v>
      </c>
      <c r="O10596" t="str">
        <v>+</v>
      </c>
      <c r="P10596">
        <f>IF(N10596&gt;12,ROUNDDOWN(N10596/12,0),0)</f>
        <v>0</v>
      </c>
      <c r="Q10596" t="str">
        <v>x</v>
      </c>
      <c r="R10596">
        <f>IF(P10596&gt;0,MAX(VLOOKUP(F10596,$D$6:$G$15,3,FALSE),600),0)/1000</f>
        <v>0</v>
      </c>
      <c r="T10596" t="str">
        <v>x</v>
      </c>
      <c r="U10596">
        <f>0.006165*F10596^2</f>
        <v>0.39456</v>
      </c>
      <c r="V10596" t="str">
        <v>x</v>
      </c>
      <c r="W10596">
        <f>+D10596</f>
        <v>2</v>
      </c>
      <c r="X10596" t="str">
        <v>x</v>
      </c>
      <c r="Y10596">
        <f>D10590</f>
        <v>1</v>
      </c>
      <c r="Z10596" t="str">
        <v>=</v>
      </c>
      <c r="AA10596">
        <f>(N10596+P10596*R10596/1000)*U10596*W10596*Y10596</f>
        <v>0.8617190400000001</v>
      </c>
    </row>
    <row r="10599">
      <c r="A10599" t="str">
        <f>A10584</f>
        <v>Lantai Atap</v>
      </c>
      <c r="B10599">
        <f>B10584</f>
        <v>12</v>
      </c>
      <c r="C10599" t="str">
        <v>Tul Bawah Tumpuan</v>
      </c>
      <c r="D10599">
        <f>VLOOKUP(D10584,'Detail Balok'!$C$10:$AU$110,22,FALSE)</f>
        <v>2</v>
      </c>
      <c r="E10599" t="str">
        <v>D</v>
      </c>
      <c r="F10599">
        <f>VLOOKUP(D10584,'Detail Balok'!$C$10:$AU$110,24,FALSE)</f>
        <v>13</v>
      </c>
      <c r="I10599" t="str">
        <v>(</v>
      </c>
      <c r="J10599">
        <f>+J10591</f>
        <v>0.225</v>
      </c>
      <c r="K10599" t="str">
        <v>+</v>
      </c>
      <c r="L10599">
        <f>MAX(VLOOKUP(F10599,N$6:P$15,3,FALSE)/1000,2/3*D10589/1000)+F$16*F10599/1000</f>
        <v>0.156</v>
      </c>
      <c r="M10599" t="str">
        <v>=</v>
      </c>
      <c r="N10599">
        <f>J10599+L10599</f>
        <v>0.381</v>
      </c>
      <c r="O10599" t="str">
        <v>+</v>
      </c>
      <c r="P10599">
        <f>D10599-D10600</f>
        <v>0</v>
      </c>
      <c r="Q10599" t="str">
        <v>x</v>
      </c>
      <c r="R10599">
        <f>IF(P10599&gt;0,$F$18*F10599/1000,0)</f>
        <v>0</v>
      </c>
      <c r="S10599" t="str">
        <v>)</v>
      </c>
      <c r="T10599" t="str">
        <v>x</v>
      </c>
      <c r="U10599">
        <f>0.006165*F10599^2</f>
        <v>1.041885</v>
      </c>
      <c r="X10599" t="str">
        <v>x</v>
      </c>
      <c r="Y10599">
        <f>D10590</f>
        <v>1</v>
      </c>
      <c r="Z10599" t="str">
        <v>=</v>
      </c>
      <c r="AA10599">
        <f>IF(AA10602=0,(D10599*N10599+P10599*R10599)*U10599*Y10599,0)</f>
        <v>0</v>
      </c>
    </row>
    <row r="10600">
      <c r="A10600" t="str">
        <f>A10584</f>
        <v>Lantai Atap</v>
      </c>
      <c r="B10600">
        <f>B10584</f>
        <v>12</v>
      </c>
      <c r="C10600" t="str">
        <v>Tul Bawah Lapangan</v>
      </c>
      <c r="D10600">
        <f>VLOOKUP(D10584,'Detail Balok'!$C$10:$AU$110,25,FALSE)</f>
        <v>2</v>
      </c>
      <c r="E10600" t="str">
        <v>D</v>
      </c>
      <c r="F10600">
        <f>VLOOKUP(D10584,'Detail Balok'!$C$10:$AU$110,27,FALSE)</f>
        <v>13</v>
      </c>
      <c r="I10600" t="str">
        <v>(</v>
      </c>
      <c r="J10600">
        <f>+J10592</f>
        <v>0.45</v>
      </c>
      <c r="K10600" t="str">
        <v>+</v>
      </c>
      <c r="M10600" t="str">
        <v>=</v>
      </c>
      <c r="N10600">
        <f>J10600+L10600</f>
        <v>0.45</v>
      </c>
      <c r="O10600" t="str">
        <v>+</v>
      </c>
      <c r="P10600">
        <f>MAX(D10600-D10599,D10600-D10601)</f>
        <v>0</v>
      </c>
      <c r="Q10600" t="str">
        <v>x</v>
      </c>
      <c r="R10600">
        <f>IF(P10600&gt;0,2*(1-2*$F$19-1/2)*D10587/1000,0)</f>
        <v>0</v>
      </c>
      <c r="S10600" t="str">
        <v>)</v>
      </c>
      <c r="T10600" t="str">
        <v>x</v>
      </c>
      <c r="U10600">
        <f>0.006165*F10600^2</f>
        <v>1.041885</v>
      </c>
      <c r="X10600" t="str">
        <v>x</v>
      </c>
      <c r="Y10600">
        <f>D10590</f>
        <v>1</v>
      </c>
      <c r="Z10600" t="str">
        <v>=</v>
      </c>
      <c r="AA10600">
        <f>IF(AA10602=0,(D10600*N10600+P10600*R10600)*U10600*Y10600,0)</f>
        <v>0</v>
      </c>
    </row>
    <row r="10601">
      <c r="A10601" t="str">
        <f>A10584</f>
        <v>Lantai Atap</v>
      </c>
      <c r="B10601">
        <f>B10584</f>
        <v>12</v>
      </c>
      <c r="C10601" t="str">
        <v>Tul Bawah Tumpuan</v>
      </c>
      <c r="D10601">
        <f>VLOOKUP(D10584,'Detail Balok'!$C$10:$AU$110,28,FALSE)</f>
        <v>2</v>
      </c>
      <c r="E10601" t="str">
        <v>D</v>
      </c>
      <c r="F10601">
        <f>VLOOKUP(D10584,'Detail Balok'!$C$10:$AU$110,30,FALSE)</f>
        <v>13</v>
      </c>
      <c r="I10601" t="str">
        <v>(</v>
      </c>
      <c r="J10601">
        <f>+J10593</f>
        <v>0.225</v>
      </c>
      <c r="K10601" t="str">
        <v>+</v>
      </c>
      <c r="L10601">
        <f>MAX(VLOOKUP(F10601,N$6:P$15,3,FALSE)/1000,2/3*D10589/1000)+F$16*F10601/1000</f>
        <v>0.156</v>
      </c>
      <c r="M10601" t="str">
        <v>=</v>
      </c>
      <c r="N10601">
        <f>J10601+L10601</f>
        <v>0.381</v>
      </c>
      <c r="O10601" t="str">
        <v>+</v>
      </c>
      <c r="P10601">
        <f>D10601-D10600</f>
        <v>0</v>
      </c>
      <c r="Q10601" t="str">
        <v>x</v>
      </c>
      <c r="R10601">
        <f>IF(P10601&gt;0,$F$18*F10601/1000,0)</f>
        <v>0</v>
      </c>
      <c r="S10601" t="str">
        <v>)</v>
      </c>
      <c r="T10601" t="str">
        <v>x</v>
      </c>
      <c r="U10601">
        <f>0.006165*F10601^2</f>
        <v>1.041885</v>
      </c>
      <c r="X10601" t="str">
        <v>x</v>
      </c>
      <c r="Y10601">
        <f>D10590</f>
        <v>1</v>
      </c>
      <c r="Z10601" t="str">
        <v>=</v>
      </c>
      <c r="AA10601">
        <f>IF(AA10602=0,(D10601*N10601+P10601*R10601)*U10601*Y10601,0)</f>
        <v>0</v>
      </c>
    </row>
    <row r="10602">
      <c r="A10602" t="str">
        <f>A10584</f>
        <v>Lantai Atap</v>
      </c>
      <c r="B10602">
        <f>B10584</f>
        <v>12</v>
      </c>
      <c r="D10602">
        <f>IF(AND(D10599=D10600,D10600=D10601,D10599=D10601),D10599,0)</f>
        <v>2</v>
      </c>
      <c r="E10602" t="str">
        <v>D</v>
      </c>
      <c r="F10602">
        <f>IF(AND(F10599=F10600,F10599=F10601,F10600=F10601),F10599,0)</f>
        <v>13</v>
      </c>
      <c r="L10602" t="str">
        <v>Total panjang per balok</v>
      </c>
      <c r="M10602" t="str">
        <v>=</v>
      </c>
      <c r="N10602">
        <f>IF(AND(D10599=D10600,D10599=D10601,D10600=D10601,F10599=F10600,F10599=F10601,F10600=F10601),SUM(N10599:N10601),0)</f>
        <v>1.212</v>
      </c>
      <c r="O10602" t="str">
        <v>+</v>
      </c>
      <c r="P10602">
        <f>IF(N10602&gt;12,ROUNDDOWN(N10602/12,0),0)</f>
        <v>0</v>
      </c>
      <c r="Q10602" t="str">
        <v>x</v>
      </c>
      <c r="R10602">
        <f>IF(P10602&gt;0,MAX(VLOOKUP(F10602,$D$6:$G$15,3,FALSE),600),0)/1000</f>
        <v>0</v>
      </c>
      <c r="T10602" t="str">
        <v>x</v>
      </c>
      <c r="U10602">
        <f>U10601</f>
        <v>1.041885</v>
      </c>
      <c r="V10602" t="str">
        <v>x</v>
      </c>
      <c r="W10602">
        <f>D10602</f>
        <v>2</v>
      </c>
      <c r="X10602" t="str">
        <v>x</v>
      </c>
      <c r="Y10602">
        <f>Y10601</f>
        <v>1</v>
      </c>
      <c r="Z10602" t="str">
        <v>=</v>
      </c>
      <c r="AA10602">
        <f>(N10602+P10602*R10602/1000)*U10602*W10602*Y10602</f>
        <v>2.52552924</v>
      </c>
    </row>
    <row r="10604">
      <c r="A10604" t="str">
        <f>A10584</f>
        <v>Lantai Atap</v>
      </c>
      <c r="B10604">
        <f>B10584</f>
        <v>12</v>
      </c>
      <c r="C10604" t="str">
        <v>Sengkang Tumpuan</v>
      </c>
      <c r="D10604">
        <f>VLOOKUP(D10584,'Detail Balok'!$C$10:$AU$110,31,FALSE)</f>
        <v>0</v>
      </c>
      <c r="E10604" t="str">
        <v>D</v>
      </c>
      <c r="F10604">
        <f>VLOOKUP(D10584,'Detail Balok'!$C$10:$AU$110,33,FALSE)</f>
        <v>8</v>
      </c>
      <c r="G10604" t="str">
        <v>-</v>
      </c>
      <c r="H10604">
        <f>VLOOKUP(D10584,'Detail Balok'!$C$10:$AU$110,35,FALSE)</f>
        <v>100</v>
      </c>
      <c r="J10604">
        <f>(IF(D10604=0,(2*(D10585+G10585))-(F$5*8),IF(D10604=3,(2*(D10585+G10585))-(F$5*8)+(G10585-2*F$5),IF(D10604=4,(2*(D10585+G10585))-(F$5*8)+2*(G10585-2*F$5)))))/1000</f>
        <v>0.98</v>
      </c>
      <c r="K10604" t="str">
        <v>+</v>
      </c>
      <c r="L10604">
        <f>IF(D10604=0,2*MAX(6*F10604,75),(D10604-1)*2*MAX(6*F10604,75))/1000</f>
        <v>0.15</v>
      </c>
      <c r="M10604" t="str">
        <v>=</v>
      </c>
      <c r="N10604">
        <f>J10604+L10604</f>
        <v>1.13</v>
      </c>
      <c r="T10604" t="str">
        <v>x</v>
      </c>
      <c r="U10604">
        <f>0.006165*F10604^2</f>
        <v>0.39456</v>
      </c>
      <c r="V10604" t="str">
        <v>x</v>
      </c>
      <c r="W10604">
        <f>IF(D10587&gt;4*G10585,ROUND(MAX(D10587/4,2*G10585)/H10604,0)+1,ROUND(D10587/H10604,0)+1)</f>
        <v>10</v>
      </c>
      <c r="X10604" t="str">
        <v>x</v>
      </c>
      <c r="Y10604">
        <f>D10590</f>
        <v>1</v>
      </c>
      <c r="Z10604" t="str">
        <v>=</v>
      </c>
      <c r="AA10604">
        <f>N10604*U10604*W10604*Y10604</f>
        <v>4.458528</v>
      </c>
    </row>
    <row r="10605">
      <c r="A10605" t="str">
        <f>A10584</f>
        <v>Lantai Atap</v>
      </c>
      <c r="B10605">
        <f>B10584</f>
        <v>12</v>
      </c>
      <c r="C10605" t="str">
        <v>Sengkang Lapangan</v>
      </c>
      <c r="D10605">
        <f>VLOOKUP(D10584,'Detail Balok'!$C$10:$AU$110,36,FALSE)</f>
        <v>0</v>
      </c>
      <c r="E10605" t="str">
        <v>D</v>
      </c>
      <c r="F10605">
        <f>VLOOKUP(D10584,'Detail Balok'!$C$10:$AU$110,38,FALSE)</f>
        <v>8</v>
      </c>
      <c r="G10605" t="str">
        <v>-</v>
      </c>
      <c r="H10605">
        <f>VLOOKUP(D10584,'Detail Balok'!$C$10:$AU$110,40,FALSE)</f>
        <v>200</v>
      </c>
      <c r="J10605">
        <f>(IF(D10605=0,(2*(D10585+G10585))-(F$5*8),IF(D10605=3,(2*(D10585+G10585))-(F$5*8)+(G10585-2*F$5),IF(D10605=4,(2*(D10585+G10585))-(F$5*8)+2*(G10585-2*F$5)))))/1000</f>
        <v>0.98</v>
      </c>
      <c r="K10605" t="str">
        <v>+</v>
      </c>
      <c r="L10605">
        <f>IF(D10605=0,2*MAX(6*F10605,75),(D10605-1)*2*MAX(6*F10605,75))/1000</f>
        <v>0.15</v>
      </c>
      <c r="M10605" t="str">
        <v>=</v>
      </c>
      <c r="N10605">
        <f>J10605+L10605</f>
        <v>1.13</v>
      </c>
      <c r="T10605" t="str">
        <v>x</v>
      </c>
      <c r="U10605">
        <f>0.006165*F10605^2</f>
        <v>0.39456</v>
      </c>
      <c r="V10605" t="str">
        <v>x</v>
      </c>
      <c r="W10605">
        <f>IF(D10587-MAX(D10587/4,2*G10585)*2&gt;0,ROUND((D10587-MAX(D10587/4,2*G10585)*2)/H10605,0),0)</f>
        <v>0</v>
      </c>
      <c r="X10605" t="str">
        <v>x</v>
      </c>
      <c r="Y10605">
        <f>D10590</f>
        <v>1</v>
      </c>
      <c r="Z10605" t="str">
        <v>=</v>
      </c>
      <c r="AA10605">
        <f>N10605*U10605*W10605*Y10605</f>
        <v>0</v>
      </c>
    </row>
    <row r="10606">
      <c r="A10606" t="str">
        <f>A10584</f>
        <v>Lantai Atap</v>
      </c>
      <c r="B10606">
        <f>B10584</f>
        <v>12</v>
      </c>
      <c r="C10606" t="str">
        <v>Sengkang Tumpuan</v>
      </c>
      <c r="D10606">
        <f>VLOOKUP(D10584,'Detail Balok'!$C$10:$AU$110,41,FALSE)</f>
        <v>0</v>
      </c>
      <c r="E10606" t="str">
        <v>D</v>
      </c>
      <c r="F10606">
        <f>VLOOKUP(D10584,'Detail Balok'!$C$10:$AU$110,43,FALSE)</f>
        <v>8</v>
      </c>
      <c r="G10606" t="str">
        <v>-</v>
      </c>
      <c r="H10606">
        <f>VLOOKUP(D10584,'Detail Balok'!$C$10:$AU$110,45,FALSE)</f>
        <v>100</v>
      </c>
      <c r="J10606">
        <f>(IF(D10606=0,(2*(D10585+G10585))-(F$5*8),IF(D10606=3,(2*(D10585+G10585))-(F$5*8)+(G10585-2*F$5),IF(D10606=4,(2*(D10585+G10585))-(F$5*8)+2*(G10585-2*F$5)))))/1000</f>
        <v>0.98</v>
      </c>
      <c r="K10606" t="str">
        <v>+</v>
      </c>
      <c r="L10606">
        <f>IF(D10606=0,2*MAX(6*F10606,75),(D10606-1)*2*MAX(6*F10606,75))/1000</f>
        <v>0.15</v>
      </c>
      <c r="M10606" t="str">
        <v>=</v>
      </c>
      <c r="N10606">
        <f>J10606+L10606</f>
        <v>1.13</v>
      </c>
      <c r="T10606" t="str">
        <v>x</v>
      </c>
      <c r="U10606">
        <f>0.006165*F10606^2</f>
        <v>0.39456</v>
      </c>
      <c r="V10606" t="str">
        <v>x</v>
      </c>
      <c r="W10606">
        <f>IF(D10587&gt;4*G10585,ROUND(MAX(D10587/4,2*G10585)/H10606,0)+1,0)</f>
        <v>0</v>
      </c>
      <c r="X10606" t="str">
        <v>x</v>
      </c>
      <c r="Y10606">
        <f>D10590</f>
        <v>1</v>
      </c>
      <c r="Z10606" t="str">
        <v>=</v>
      </c>
      <c r="AA10606">
        <f>N10606*U10606*W10606*Y10606</f>
        <v>0</v>
      </c>
    </row>
    <row r="10608">
      <c r="A10608" t="str">
        <f>A10584</f>
        <v>Lantai Atap</v>
      </c>
      <c r="B10608">
        <f>B10584</f>
        <v>12</v>
      </c>
      <c r="C10608" t="str">
        <v>Kait Horizontal Tump.</v>
      </c>
      <c r="D10608">
        <f>VLOOKUP(D10584,'Detail Balok'!$C$10:$BJ$110,46,FALSE)</f>
        <v>0</v>
      </c>
      <c r="E10608" t="str">
        <v>D</v>
      </c>
      <c r="F10608">
        <f>VLOOKUP(D10584,'Detail Balok'!$C$10:$BJ$110,48,FALSE)</f>
        <v>0</v>
      </c>
      <c r="G10608" t="str">
        <v>-</v>
      </c>
      <c r="H10608">
        <f>VLOOKUP(D10584,'Detail Balok'!$C$10:$BJ$110,50,FALSE)</f>
        <v>100</v>
      </c>
      <c r="J10608">
        <f>(D10585-2*F$5)/1000</f>
        <v>0.12</v>
      </c>
      <c r="K10608" t="str">
        <v>+</v>
      </c>
      <c r="L10608">
        <f>IF(D10608=0,2*MAX(6*F10608,75),(D10608-1)*2*MAX(6*F10608,75))/1000</f>
        <v>0.15</v>
      </c>
      <c r="M10608" t="str">
        <v>=</v>
      </c>
      <c r="N10608">
        <f>J10608+L10608</f>
        <v>0.27</v>
      </c>
      <c r="T10608" t="str">
        <v>x</v>
      </c>
      <c r="U10608">
        <f>0.006165*F10608^2</f>
        <v>0</v>
      </c>
      <c r="V10608" t="str">
        <v>x</v>
      </c>
      <c r="W10608">
        <f>W10604</f>
        <v>10</v>
      </c>
      <c r="X10608" t="str">
        <v>x</v>
      </c>
      <c r="Y10608">
        <f>D10594</f>
        <v>2</v>
      </c>
      <c r="Z10608" t="str">
        <v>=</v>
      </c>
      <c r="AA10608">
        <f>N10608*U10608*W10608*Y10608</f>
        <v>0</v>
      </c>
    </row>
    <row r="10609">
      <c r="A10609" t="str">
        <f>A10584</f>
        <v>Lantai Atap</v>
      </c>
      <c r="B10609">
        <f>B10584</f>
        <v>12</v>
      </c>
      <c r="C10609" t="str">
        <v>Kait Horizontal Lap.</v>
      </c>
      <c r="D10609">
        <f>VLOOKUP(D10584,'Detail Balok'!$C$10:$BJ$110,51,FALSE)</f>
        <v>0</v>
      </c>
      <c r="E10609" t="str">
        <v>D</v>
      </c>
      <c r="F10609">
        <f>VLOOKUP(D10584,'Detail Balok'!$C$10:$BJ$110,53,FALSE)</f>
        <v>0</v>
      </c>
      <c r="G10609" t="str">
        <v>-</v>
      </c>
      <c r="H10609">
        <f>VLOOKUP(D10584,'Detail Balok'!$C$10:$BJ$110,55,FALSE)</f>
        <v>100</v>
      </c>
      <c r="J10609">
        <f>(D10585-2*F$5)/1000</f>
        <v>0.12</v>
      </c>
      <c r="K10609" t="str">
        <v>+</v>
      </c>
      <c r="L10609">
        <f>IF(D10609=0,2*MAX(6*F10609,75),(D10609-1)*2*MAX(6*F10609,75))/1000</f>
        <v>0.15</v>
      </c>
      <c r="M10609" t="str">
        <v>=</v>
      </c>
      <c r="N10609">
        <f>J10609+L10609</f>
        <v>0.27</v>
      </c>
      <c r="T10609" t="str">
        <v>x</v>
      </c>
      <c r="U10609">
        <f>0.006165*F10609^2</f>
        <v>0</v>
      </c>
      <c r="V10609" t="str">
        <v>x</v>
      </c>
      <c r="W10609">
        <f>W10605</f>
        <v>0</v>
      </c>
      <c r="X10609" t="str">
        <v>x</v>
      </c>
      <c r="Y10609">
        <f>D10594</f>
        <v>2</v>
      </c>
      <c r="Z10609" t="str">
        <v>=</v>
      </c>
      <c r="AA10609">
        <f>N10609*U10609*W10609*Y10609</f>
        <v>0</v>
      </c>
    </row>
    <row r="10610">
      <c r="A10610" t="str">
        <f>A10584</f>
        <v>Lantai Atap</v>
      </c>
      <c r="B10610">
        <f>B10584</f>
        <v>12</v>
      </c>
      <c r="C10610" t="str">
        <v>Kait Horizontal Tump.</v>
      </c>
      <c r="D10610">
        <f>VLOOKUP(D10584,'Detail Balok'!$C$10:$BJ$110,56,FALSE)</f>
        <v>0</v>
      </c>
      <c r="E10610" t="str">
        <v>D</v>
      </c>
      <c r="F10610">
        <f>VLOOKUP(D10584,'Detail Balok'!$C$10:$BJ$110,58,FALSE)</f>
        <v>0</v>
      </c>
      <c r="G10610" t="str">
        <v>-</v>
      </c>
      <c r="H10610">
        <f>VLOOKUP(D10584,'Detail Balok'!$C$10:$BJ$110,60,FALSE)</f>
        <v>100</v>
      </c>
      <c r="J10610">
        <f>(D10585-2*F$5)/1000</f>
        <v>0.12</v>
      </c>
      <c r="K10610" t="str">
        <v>+</v>
      </c>
      <c r="L10610">
        <f>IF(D10610=0,2*MAX(6*F10610,75),(D10610-1)*2*MAX(6*F10610,75))/1000</f>
        <v>0.15</v>
      </c>
      <c r="M10610" t="str">
        <v>=</v>
      </c>
      <c r="N10610">
        <f>J10610+L10610</f>
        <v>0.27</v>
      </c>
      <c r="T10610" t="str">
        <v>x</v>
      </c>
      <c r="U10610">
        <f>0.006165*F10610^2</f>
        <v>0</v>
      </c>
      <c r="V10610" t="str">
        <v>x</v>
      </c>
      <c r="W10610">
        <f>W10606</f>
        <v>0</v>
      </c>
      <c r="X10610" t="str">
        <v>x</v>
      </c>
      <c r="Y10610">
        <f>D10594</f>
        <v>2</v>
      </c>
      <c r="Z10610" t="str">
        <v>=</v>
      </c>
      <c r="AA10610">
        <f>N10610*U10610*W10610*Y10610</f>
        <v>0</v>
      </c>
    </row>
    <row r="10614">
      <c r="A10614" t="str">
        <f>A10584</f>
        <v>Lantai Atap</v>
      </c>
      <c r="B10614">
        <f>B10584+1</f>
        <v>13</v>
      </c>
      <c r="C10614" t="str">
        <f>CONCATENATE(A10614," no. ",B10614)</f>
        <v>Lantai Atap no. 13</v>
      </c>
      <c r="D10614" t="str">
        <f>VLOOKUP(C10614,'Data Panjang Balok'!$C$9:$N$424,2,FALSE)</f>
        <v>B245-3</v>
      </c>
    </row>
    <row r="10615">
      <c r="C10615" t="str">
        <v>Dimensi</v>
      </c>
      <c r="D10615">
        <f>VLOOKUP(D10614,'Detail Balok'!$C$10:$AU$110,2,FALSE)</f>
        <v>200</v>
      </c>
      <c r="F10615" t="str">
        <v>x</v>
      </c>
      <c r="G10615">
        <f>VLOOKUP(D10614,'Detail Balok'!$C$10:$AU$110,3,FALSE)</f>
        <v>450</v>
      </c>
    </row>
    <row r="10616">
      <c r="C10616" t="str">
        <v>Panjang as ke as</v>
      </c>
      <c r="D10616">
        <f>VLOOKUP(C10614,'Data Panjang Balok'!$C$9:$N$424,4,FALSE)</f>
        <v>6000</v>
      </c>
    </row>
    <row r="10617">
      <c r="C10617" t="str">
        <v>Panjang netto</v>
      </c>
      <c r="D10617">
        <f>VLOOKUP(C10614,'Data Panjang Balok'!$C$9:$N$424,7,FALSE)</f>
        <v>6000</v>
      </c>
    </row>
    <row r="10618">
      <c r="C10618" t="str">
        <v>Kolom / balok kiri</v>
      </c>
      <c r="D10618">
        <f>VLOOKUP(C10614,'Data Panjang Balok'!$C$9:$N$424,9,FALSE)</f>
        <v>0</v>
      </c>
    </row>
    <row r="10619">
      <c r="C10619" t="str">
        <v>Kolom / balok kanan</v>
      </c>
      <c r="D10619">
        <f>VLOOKUP(C10614,'Data Panjang Balok'!$C$9:$N$424,10,FALSE)</f>
        <v>0</v>
      </c>
    </row>
    <row r="10620">
      <c r="C10620" t="str">
        <v>Jumlah</v>
      </c>
      <c r="D10620">
        <f>VLOOKUP(C10614,'Data Panjang Balok'!$C$9:$N$424,3,FALSE)</f>
        <v>1</v>
      </c>
    </row>
    <row r="10621">
      <c r="A10621" t="str">
        <f>A10614</f>
        <v>Lantai Atap</v>
      </c>
      <c r="B10621">
        <f>B10614</f>
        <v>13</v>
      </c>
      <c r="C10621" t="str">
        <v>Tul Atas Tumpuan</v>
      </c>
      <c r="D10621">
        <f>VLOOKUP(D10614,'Detail Balok'!$C$10:$AU$110,4,FALSE)</f>
        <v>2</v>
      </c>
      <c r="E10621" t="str">
        <v>D</v>
      </c>
      <c r="F10621">
        <f>VLOOKUP(D10614,'Detail Balok'!$C$10:$AU$110,6,FALSE)</f>
        <v>16</v>
      </c>
      <c r="I10621" t="str">
        <v>(</v>
      </c>
      <c r="J10621">
        <f>+D10616/4/1000</f>
        <v>1.5</v>
      </c>
      <c r="K10621" t="str">
        <v>+</v>
      </c>
      <c r="L10621">
        <f>MAX(VLOOKUP(F10621,N$6:P$15,3,FALSE)/1000,2/3*D10618/1000)+F$16*F10621/1000</f>
        <v>0.192</v>
      </c>
      <c r="M10621" t="str">
        <v>=</v>
      </c>
      <c r="N10621">
        <f>J10621+L10621</f>
        <v>1.692</v>
      </c>
      <c r="O10621" t="str">
        <v>+</v>
      </c>
      <c r="P10621">
        <f>D10621-D10622</f>
        <v>0</v>
      </c>
      <c r="Q10621" t="str">
        <v>x</v>
      </c>
      <c r="R10621">
        <f>IF(P10621&gt;0,$F$18*F10621/1000,0)</f>
        <v>0</v>
      </c>
      <c r="S10621" t="str">
        <v>)</v>
      </c>
      <c r="T10621" t="str">
        <v>x</v>
      </c>
      <c r="U10621">
        <f>0.006165*F10621^2</f>
        <v>1.57824</v>
      </c>
      <c r="X10621" t="str">
        <v>x</v>
      </c>
      <c r="Y10621">
        <f>D10620</f>
        <v>1</v>
      </c>
      <c r="Z10621" t="str">
        <v>=</v>
      </c>
      <c r="AA10621">
        <f>IF(AA10624=0,(D10621*N10621+P10621*R10621)*U10621*Y10621,0)</f>
        <v>0</v>
      </c>
    </row>
    <row r="10622">
      <c r="A10622" t="str">
        <f>A10614</f>
        <v>Lantai Atap</v>
      </c>
      <c r="B10622">
        <f>B10614</f>
        <v>13</v>
      </c>
      <c r="C10622" t="str">
        <v>Tul Atas Lapangan</v>
      </c>
      <c r="D10622">
        <f>VLOOKUP(D10614,'Detail Balok'!$C$10:$AU$110,7,FALSE)</f>
        <v>2</v>
      </c>
      <c r="E10622" t="str">
        <v>D</v>
      </c>
      <c r="F10622">
        <f>VLOOKUP(D10614,'Detail Balok'!$C$10:$AU$110,9,FALSE)</f>
        <v>16</v>
      </c>
      <c r="I10622" t="str">
        <v>(</v>
      </c>
      <c r="J10622">
        <f>+D10616/2/1000</f>
        <v>3</v>
      </c>
      <c r="K10622" t="str">
        <v>+</v>
      </c>
      <c r="M10622" t="str">
        <v>=</v>
      </c>
      <c r="N10622">
        <f>J10622+L10622</f>
        <v>3</v>
      </c>
      <c r="O10622" t="str">
        <v>+</v>
      </c>
      <c r="P10622">
        <f>MAX(D10622-D10621,D10622-D10623)</f>
        <v>0</v>
      </c>
      <c r="Q10622" t="str">
        <v>x</v>
      </c>
      <c r="R10622">
        <f>IF(P10622&gt;0,2*(1-2*$F$19-1/2)*D10617/1000,0)</f>
        <v>0</v>
      </c>
      <c r="S10622" t="str">
        <v>)</v>
      </c>
      <c r="T10622" t="str">
        <v>x</v>
      </c>
      <c r="U10622">
        <f>0.006165*F10622^2</f>
        <v>1.57824</v>
      </c>
      <c r="X10622" t="str">
        <v>x</v>
      </c>
      <c r="Y10622">
        <f>D10620</f>
        <v>1</v>
      </c>
      <c r="Z10622" t="str">
        <v>=</v>
      </c>
      <c r="AA10622">
        <f>IF(AA10624=0,(D10622*N10622+P10622*R10622)*U10622*Y10622,0)</f>
        <v>0</v>
      </c>
    </row>
    <row r="10623">
      <c r="A10623" t="str">
        <f>A10614</f>
        <v>Lantai Atap</v>
      </c>
      <c r="B10623">
        <f>B10614</f>
        <v>13</v>
      </c>
      <c r="C10623" t="str">
        <v>Tul Atas Tumpuan</v>
      </c>
      <c r="D10623">
        <f>VLOOKUP(D10614,'Detail Balok'!$C$10:$AU$110,10,FALSE)</f>
        <v>2</v>
      </c>
      <c r="E10623" t="str">
        <v>D</v>
      </c>
      <c r="F10623">
        <f>VLOOKUP(D10614,'Detail Balok'!$C$10:$AU$110,12,FALSE)</f>
        <v>16</v>
      </c>
      <c r="I10623" t="str">
        <v>(</v>
      </c>
      <c r="J10623">
        <f>+D10616/4/1000</f>
        <v>1.5</v>
      </c>
      <c r="K10623" t="str">
        <v>+</v>
      </c>
      <c r="L10623">
        <f>MAX(VLOOKUP(F10623,N$6:P$15,3,FALSE)/1000,2/3*D10618/1000)+F$16*F10623/1000</f>
        <v>0.192</v>
      </c>
      <c r="M10623" t="str">
        <v>=</v>
      </c>
      <c r="N10623">
        <f>J10623+L10623</f>
        <v>1.692</v>
      </c>
      <c r="O10623" t="str">
        <v>+</v>
      </c>
      <c r="P10623">
        <f>D10623-D10622</f>
        <v>0</v>
      </c>
      <c r="Q10623" t="str">
        <v>x</v>
      </c>
      <c r="R10623">
        <f>IF(P10623&gt;0,$F$18*F10623/1000,0)</f>
        <v>0</v>
      </c>
      <c r="S10623" t="str">
        <v>)</v>
      </c>
      <c r="T10623" t="str">
        <v>x</v>
      </c>
      <c r="U10623">
        <f>0.006165*F10623^2</f>
        <v>1.57824</v>
      </c>
      <c r="X10623" t="str">
        <v>x</v>
      </c>
      <c r="Y10623">
        <f>D10620</f>
        <v>1</v>
      </c>
      <c r="Z10623" t="str">
        <v>=</v>
      </c>
      <c r="AA10623">
        <f>IF(AA10624=0,(D10623*N10623+P10623*R10623)*U10623*Y10623,0)</f>
        <v>0</v>
      </c>
    </row>
    <row r="10624">
      <c r="A10624" t="str">
        <f>A10614</f>
        <v>Lantai Atap</v>
      </c>
      <c r="B10624">
        <f>B10614</f>
        <v>13</v>
      </c>
      <c r="D10624">
        <f>IF(AND(D10621=D10622,D10622=D10623,D10621=D10623),D10621,0)</f>
        <v>2</v>
      </c>
      <c r="E10624" t="str">
        <v>D</v>
      </c>
      <c r="F10624">
        <f>IF(AND(F10621=F10622,F10621=F10623,F10622=F10623),F10621,0)</f>
        <v>16</v>
      </c>
      <c r="L10624" t="str">
        <v>Total panjang per balok</v>
      </c>
      <c r="M10624" t="str">
        <v>=</v>
      </c>
      <c r="N10624">
        <f>IF(AND(D10621=D10622,D10621=D10623,D10622=D10623,F10621=F10622,F10621=F10623,F10622=F10623),SUM(N10621:N10623),0)</f>
        <v>6.384</v>
      </c>
      <c r="O10624" t="str">
        <v>+</v>
      </c>
      <c r="P10624">
        <f>IF(N10624&gt;12,ROUNDDOWN(N10624/12,0),0)</f>
        <v>0</v>
      </c>
      <c r="Q10624" t="str">
        <v>x</v>
      </c>
      <c r="R10624">
        <f>IF(P10624&gt;0,MAX(VLOOKUP(F10624,$D$6:$G$15,3,FALSE),600),0)/1000</f>
        <v>0</v>
      </c>
      <c r="T10624" t="str">
        <v>x</v>
      </c>
      <c r="U10624">
        <f>U10623</f>
        <v>1.57824</v>
      </c>
      <c r="V10624" t="str">
        <v>x</v>
      </c>
      <c r="W10624">
        <f>D10624</f>
        <v>2</v>
      </c>
      <c r="X10624" t="str">
        <v>x</v>
      </c>
      <c r="Y10624">
        <f>Y10623</f>
        <v>1</v>
      </c>
      <c r="Z10624" t="str">
        <v>=</v>
      </c>
      <c r="AA10624">
        <f>(N10624+P10624*R10624/1000)*U10624*W10624*Y10624</f>
        <v>20.15096832</v>
      </c>
    </row>
    <row r="10626">
      <c r="A10626" t="str">
        <f>A10614</f>
        <v>Lantai Atap</v>
      </c>
      <c r="B10626">
        <f>B10614</f>
        <v>13</v>
      </c>
      <c r="C10626" t="str">
        <v>Tul Peminggang</v>
      </c>
      <c r="D10626">
        <f>VLOOKUP(D10614,'Detail Balok'!$C$10:$AU$110,13,FALSE)</f>
        <v>2</v>
      </c>
      <c r="E10626" t="str">
        <v>D</v>
      </c>
      <c r="F10626">
        <f>VLOOKUP(D10614,'Detail Balok'!$C$10:$AU$110,15,FALSE)</f>
        <v>10</v>
      </c>
      <c r="J10626">
        <f>+D10616/1000</f>
        <v>6</v>
      </c>
      <c r="K10626" t="str">
        <v>+</v>
      </c>
      <c r="L10626">
        <f>2*$F$16*F10626/1000</f>
        <v>0.24</v>
      </c>
      <c r="M10626" t="str">
        <v>=</v>
      </c>
      <c r="N10626">
        <f>J10626+L10626</f>
        <v>6.24</v>
      </c>
      <c r="O10626" t="str">
        <v>+</v>
      </c>
      <c r="P10626">
        <f>IF(N10626&gt;12,ROUNDDOWN(N10626/12,0),0)</f>
        <v>0</v>
      </c>
      <c r="Q10626" t="str">
        <v>x</v>
      </c>
      <c r="R10626">
        <f>IF(P10626&gt;0,MAX(VLOOKUP(F10626,$D$6:$G$15,3,FALSE),600),0)/1000</f>
        <v>0</v>
      </c>
      <c r="T10626" t="str">
        <v>x</v>
      </c>
      <c r="U10626">
        <f>0.006165*F10626^2</f>
        <v>0.6165</v>
      </c>
      <c r="V10626" t="str">
        <v>x</v>
      </c>
      <c r="W10626">
        <f>+D10626</f>
        <v>2</v>
      </c>
      <c r="X10626" t="str">
        <v>x</v>
      </c>
      <c r="Y10626">
        <f>D10620</f>
        <v>1</v>
      </c>
      <c r="Z10626" t="str">
        <v>=</v>
      </c>
      <c r="AA10626">
        <f>(N10626+P10626*R10626/1000)*U10626*W10626*Y10626</f>
        <v>7.693920000000001</v>
      </c>
    </row>
    <row r="10629">
      <c r="A10629" t="str">
        <f>A10614</f>
        <v>Lantai Atap</v>
      </c>
      <c r="B10629">
        <f>B10614</f>
        <v>13</v>
      </c>
      <c r="C10629" t="str">
        <v>Tul Bawah Tumpuan</v>
      </c>
      <c r="D10629">
        <f>VLOOKUP(D10614,'Detail Balok'!$C$10:$AU$110,22,FALSE)</f>
        <v>2</v>
      </c>
      <c r="E10629" t="str">
        <v>D</v>
      </c>
      <c r="F10629">
        <f>VLOOKUP(D10614,'Detail Balok'!$C$10:$AU$110,24,FALSE)</f>
        <v>16</v>
      </c>
      <c r="I10629" t="str">
        <v>(</v>
      </c>
      <c r="J10629">
        <f>+J10621</f>
        <v>1.5</v>
      </c>
      <c r="K10629" t="str">
        <v>+</v>
      </c>
      <c r="L10629">
        <f>MAX(VLOOKUP(F10629,N$6:P$15,3,FALSE)/1000,2/3*D10619/1000)+F$16*F10629/1000</f>
        <v>0.192</v>
      </c>
      <c r="M10629" t="str">
        <v>=</v>
      </c>
      <c r="N10629">
        <f>J10629+L10629</f>
        <v>1.692</v>
      </c>
      <c r="O10629" t="str">
        <v>+</v>
      </c>
      <c r="P10629">
        <f>D10629-D10630</f>
        <v>0</v>
      </c>
      <c r="Q10629" t="str">
        <v>x</v>
      </c>
      <c r="R10629">
        <f>IF(P10629&gt;0,$F$18*F10629/1000,0)</f>
        <v>0</v>
      </c>
      <c r="S10629" t="str">
        <v>)</v>
      </c>
      <c r="T10629" t="str">
        <v>x</v>
      </c>
      <c r="U10629">
        <f>0.006165*F10629^2</f>
        <v>1.57824</v>
      </c>
      <c r="X10629" t="str">
        <v>x</v>
      </c>
      <c r="Y10629">
        <f>D10620</f>
        <v>1</v>
      </c>
      <c r="Z10629" t="str">
        <v>=</v>
      </c>
      <c r="AA10629">
        <f>IF(AA10632=0,(D10629*N10629+P10629*R10629)*U10629*Y10629,0)</f>
        <v>0</v>
      </c>
    </row>
    <row r="10630">
      <c r="A10630" t="str">
        <f>A10614</f>
        <v>Lantai Atap</v>
      </c>
      <c r="B10630">
        <f>B10614</f>
        <v>13</v>
      </c>
      <c r="C10630" t="str">
        <v>Tul Bawah Lapangan</v>
      </c>
      <c r="D10630">
        <f>VLOOKUP(D10614,'Detail Balok'!$C$10:$AU$110,25,FALSE)</f>
        <v>2</v>
      </c>
      <c r="E10630" t="str">
        <v>D</v>
      </c>
      <c r="F10630">
        <f>VLOOKUP(D10614,'Detail Balok'!$C$10:$AU$110,27,FALSE)</f>
        <v>16</v>
      </c>
      <c r="I10630" t="str">
        <v>(</v>
      </c>
      <c r="J10630">
        <f>+J10622</f>
        <v>3</v>
      </c>
      <c r="K10630" t="str">
        <v>+</v>
      </c>
      <c r="M10630" t="str">
        <v>=</v>
      </c>
      <c r="N10630">
        <f>J10630+L10630</f>
        <v>3</v>
      </c>
      <c r="O10630" t="str">
        <v>+</v>
      </c>
      <c r="P10630">
        <f>MAX(D10630-D10629,D10630-D10631)</f>
        <v>0</v>
      </c>
      <c r="Q10630" t="str">
        <v>x</v>
      </c>
      <c r="R10630">
        <f>IF(P10630&gt;0,2*(1-2*$F$19-1/2)*D10617/1000,0)</f>
        <v>0</v>
      </c>
      <c r="S10630" t="str">
        <v>)</v>
      </c>
      <c r="T10630" t="str">
        <v>x</v>
      </c>
      <c r="U10630">
        <f>0.006165*F10630^2</f>
        <v>1.57824</v>
      </c>
      <c r="X10630" t="str">
        <v>x</v>
      </c>
      <c r="Y10630">
        <f>D10620</f>
        <v>1</v>
      </c>
      <c r="Z10630" t="str">
        <v>=</v>
      </c>
      <c r="AA10630">
        <f>IF(AA10632=0,(D10630*N10630+P10630*R10630)*U10630*Y10630,0)</f>
        <v>0</v>
      </c>
    </row>
    <row r="10631">
      <c r="A10631" t="str">
        <f>A10614</f>
        <v>Lantai Atap</v>
      </c>
      <c r="B10631">
        <f>B10614</f>
        <v>13</v>
      </c>
      <c r="C10631" t="str">
        <v>Tul Bawah Tumpuan</v>
      </c>
      <c r="D10631">
        <f>VLOOKUP(D10614,'Detail Balok'!$C$10:$AU$110,28,FALSE)</f>
        <v>2</v>
      </c>
      <c r="E10631" t="str">
        <v>D</v>
      </c>
      <c r="F10631">
        <f>VLOOKUP(D10614,'Detail Balok'!$C$10:$AU$110,30,FALSE)</f>
        <v>16</v>
      </c>
      <c r="I10631" t="str">
        <v>(</v>
      </c>
      <c r="J10631">
        <f>+J10623</f>
        <v>1.5</v>
      </c>
      <c r="K10631" t="str">
        <v>+</v>
      </c>
      <c r="L10631">
        <f>MAX(VLOOKUP(F10631,N$6:P$15,3,FALSE)/1000,2/3*D10619/1000)+F$16*F10631/1000</f>
        <v>0.192</v>
      </c>
      <c r="M10631" t="str">
        <v>=</v>
      </c>
      <c r="N10631">
        <f>J10631+L10631</f>
        <v>1.692</v>
      </c>
      <c r="O10631" t="str">
        <v>+</v>
      </c>
      <c r="P10631">
        <f>D10631-D10630</f>
        <v>0</v>
      </c>
      <c r="Q10631" t="str">
        <v>x</v>
      </c>
      <c r="R10631">
        <f>IF(P10631&gt;0,$F$18*F10631/1000,0)</f>
        <v>0</v>
      </c>
      <c r="S10631" t="str">
        <v>)</v>
      </c>
      <c r="T10631" t="str">
        <v>x</v>
      </c>
      <c r="U10631">
        <f>0.006165*F10631^2</f>
        <v>1.57824</v>
      </c>
      <c r="X10631" t="str">
        <v>x</v>
      </c>
      <c r="Y10631">
        <f>D10620</f>
        <v>1</v>
      </c>
      <c r="Z10631" t="str">
        <v>=</v>
      </c>
      <c r="AA10631">
        <f>IF(AA10632=0,(D10631*N10631+P10631*R10631)*U10631*Y10631,0)</f>
        <v>0</v>
      </c>
    </row>
    <row r="10632">
      <c r="A10632" t="str">
        <f>A10614</f>
        <v>Lantai Atap</v>
      </c>
      <c r="B10632">
        <f>B10614</f>
        <v>13</v>
      </c>
      <c r="D10632">
        <f>IF(AND(D10629=D10630,D10630=D10631,D10629=D10631),D10629,0)</f>
        <v>2</v>
      </c>
      <c r="E10632" t="str">
        <v>D</v>
      </c>
      <c r="F10632">
        <f>IF(AND(F10629=F10630,F10629=F10631,F10630=F10631),F10629,0)</f>
        <v>16</v>
      </c>
      <c r="L10632" t="str">
        <v>Total panjang per balok</v>
      </c>
      <c r="M10632" t="str">
        <v>=</v>
      </c>
      <c r="N10632">
        <f>IF(AND(D10629=D10630,D10629=D10631,D10630=D10631,F10629=F10630,F10629=F10631,F10630=F10631),SUM(N10629:N10631),0)</f>
        <v>6.384</v>
      </c>
      <c r="O10632" t="str">
        <v>+</v>
      </c>
      <c r="P10632">
        <f>IF(N10632&gt;12,ROUNDDOWN(N10632/12,0),0)</f>
        <v>0</v>
      </c>
      <c r="Q10632" t="str">
        <v>x</v>
      </c>
      <c r="R10632">
        <f>IF(P10632&gt;0,MAX(VLOOKUP(F10632,$D$6:$G$15,3,FALSE),600),0)/1000</f>
        <v>0</v>
      </c>
      <c r="T10632" t="str">
        <v>x</v>
      </c>
      <c r="U10632">
        <f>U10631</f>
        <v>1.57824</v>
      </c>
      <c r="V10632" t="str">
        <v>x</v>
      </c>
      <c r="W10632">
        <f>D10632</f>
        <v>2</v>
      </c>
      <c r="X10632" t="str">
        <v>x</v>
      </c>
      <c r="Y10632">
        <f>Y10631</f>
        <v>1</v>
      </c>
      <c r="Z10632" t="str">
        <v>=</v>
      </c>
      <c r="AA10632">
        <f>(N10632+P10632*R10632/1000)*U10632*W10632*Y10632</f>
        <v>20.15096832</v>
      </c>
    </row>
    <row r="10634">
      <c r="A10634" t="str">
        <f>A10614</f>
        <v>Lantai Atap</v>
      </c>
      <c r="B10634">
        <f>B10614</f>
        <v>13</v>
      </c>
      <c r="C10634" t="str">
        <v>Sengkang Tumpuan</v>
      </c>
      <c r="D10634">
        <f>VLOOKUP(D10614,'Detail Balok'!$C$10:$AU$110,31,FALSE)</f>
        <v>0</v>
      </c>
      <c r="E10634" t="str">
        <v>D</v>
      </c>
      <c r="F10634">
        <f>VLOOKUP(D10614,'Detail Balok'!$C$10:$AU$110,33,FALSE)</f>
        <v>10</v>
      </c>
      <c r="G10634" t="str">
        <v>-</v>
      </c>
      <c r="H10634">
        <f>VLOOKUP(D10614,'Detail Balok'!$C$10:$AU$110,35,FALSE)</f>
        <v>90</v>
      </c>
      <c r="J10634">
        <f>(IF(D10634=0,(2*(D10615+G10615))-(F$5*8),IF(D10634=3,(2*(D10615+G10615))-(F$5*8)+(G10615-2*F$5),IF(D10634=4,(2*(D10615+G10615))-(F$5*8)+2*(G10615-2*F$5)))))/1000</f>
        <v>0.98</v>
      </c>
      <c r="K10634" t="str">
        <v>+</v>
      </c>
      <c r="L10634">
        <f>IF(D10634=0,2*MAX(6*F10634,75),(D10634-1)*2*MAX(6*F10634,75))/1000</f>
        <v>0.15</v>
      </c>
      <c r="M10634" t="str">
        <v>=</v>
      </c>
      <c r="N10634">
        <f>J10634+L10634</f>
        <v>1.13</v>
      </c>
      <c r="T10634" t="str">
        <v>x</v>
      </c>
      <c r="U10634">
        <f>0.006165*F10634^2</f>
        <v>0.6165</v>
      </c>
      <c r="V10634" t="str">
        <v>x</v>
      </c>
      <c r="W10634">
        <f>IF(D10617&gt;4*G10615,ROUND(MAX(D10617/4,2*G10615)/H10634,0)+1,ROUND(D10617/H10634,0)+1)</f>
        <v>18</v>
      </c>
      <c r="X10634" t="str">
        <v>x</v>
      </c>
      <c r="Y10634">
        <f>D10620</f>
        <v>1</v>
      </c>
      <c r="Z10634" t="str">
        <v>=</v>
      </c>
      <c r="AA10634">
        <f>N10634*U10634*W10634*Y10634</f>
        <v>12.53961</v>
      </c>
    </row>
    <row r="10635">
      <c r="A10635" t="str">
        <f>A10614</f>
        <v>Lantai Atap</v>
      </c>
      <c r="B10635">
        <f>B10614</f>
        <v>13</v>
      </c>
      <c r="C10635" t="str">
        <v>Sengkang Lapangan</v>
      </c>
      <c r="D10635">
        <f>VLOOKUP(D10614,'Detail Balok'!$C$10:$AU$110,36,FALSE)</f>
        <v>0</v>
      </c>
      <c r="E10635" t="str">
        <v>D</v>
      </c>
      <c r="F10635">
        <f>VLOOKUP(D10614,'Detail Balok'!$C$10:$AU$110,38,FALSE)</f>
        <v>10</v>
      </c>
      <c r="G10635" t="str">
        <v>-</v>
      </c>
      <c r="H10635">
        <f>VLOOKUP(D10614,'Detail Balok'!$C$10:$AU$110,40,FALSE)</f>
        <v>175</v>
      </c>
      <c r="J10635">
        <f>(IF(D10635=0,(2*(D10615+G10615))-(F$5*8),IF(D10635=3,(2*(D10615+G10615))-(F$5*8)+(G10615-2*F$5),IF(D10635=4,(2*(D10615+G10615))-(F$5*8)+2*(G10615-2*F$5)))))/1000</f>
        <v>0.98</v>
      </c>
      <c r="K10635" t="str">
        <v>+</v>
      </c>
      <c r="L10635">
        <f>IF(D10635=0,2*MAX(6*F10635,75),(D10635-1)*2*MAX(6*F10635,75))/1000</f>
        <v>0.15</v>
      </c>
      <c r="M10635" t="str">
        <v>=</v>
      </c>
      <c r="N10635">
        <f>J10635+L10635</f>
        <v>1.13</v>
      </c>
      <c r="T10635" t="str">
        <v>x</v>
      </c>
      <c r="U10635">
        <f>0.006165*F10635^2</f>
        <v>0.6165</v>
      </c>
      <c r="V10635" t="str">
        <v>x</v>
      </c>
      <c r="W10635">
        <f>IF(D10617-MAX(D10617/4,2*G10615)*2&gt;0,ROUND((D10617-MAX(D10617/4,2*G10615)*2)/H10635,0),0)</f>
        <v>17</v>
      </c>
      <c r="X10635" t="str">
        <v>x</v>
      </c>
      <c r="Y10635">
        <f>D10620</f>
        <v>1</v>
      </c>
      <c r="Z10635" t="str">
        <v>=</v>
      </c>
      <c r="AA10635">
        <f>N10635*U10635*W10635*Y10635</f>
        <v>11.842965</v>
      </c>
    </row>
    <row r="10636">
      <c r="A10636" t="str">
        <f>A10614</f>
        <v>Lantai Atap</v>
      </c>
      <c r="B10636">
        <f>B10614</f>
        <v>13</v>
      </c>
      <c r="C10636" t="str">
        <v>Sengkang Tumpuan</v>
      </c>
      <c r="D10636">
        <f>VLOOKUP(D10614,'Detail Balok'!$C$10:$AU$110,41,FALSE)</f>
        <v>0</v>
      </c>
      <c r="E10636" t="str">
        <v>D</v>
      </c>
      <c r="F10636">
        <f>VLOOKUP(D10614,'Detail Balok'!$C$10:$AU$110,43,FALSE)</f>
        <v>10</v>
      </c>
      <c r="G10636" t="str">
        <v>-</v>
      </c>
      <c r="H10636">
        <f>VLOOKUP(D10614,'Detail Balok'!$C$10:$AU$110,45,FALSE)</f>
        <v>90</v>
      </c>
      <c r="J10636">
        <f>(IF(D10636=0,(2*(D10615+G10615))-(F$5*8),IF(D10636=3,(2*(D10615+G10615))-(F$5*8)+(G10615-2*F$5),IF(D10636=4,(2*(D10615+G10615))-(F$5*8)+2*(G10615-2*F$5)))))/1000</f>
        <v>0.98</v>
      </c>
      <c r="K10636" t="str">
        <v>+</v>
      </c>
      <c r="L10636">
        <f>IF(D10636=0,2*MAX(6*F10636,75),(D10636-1)*2*MAX(6*F10636,75))/1000</f>
        <v>0.15</v>
      </c>
      <c r="M10636" t="str">
        <v>=</v>
      </c>
      <c r="N10636">
        <f>J10636+L10636</f>
        <v>1.13</v>
      </c>
      <c r="T10636" t="str">
        <v>x</v>
      </c>
      <c r="U10636">
        <f>0.006165*F10636^2</f>
        <v>0.6165</v>
      </c>
      <c r="V10636" t="str">
        <v>x</v>
      </c>
      <c r="W10636">
        <f>IF(D10617&gt;4*G10615,ROUND(MAX(D10617/4,2*G10615)/H10636,0)+1,0)</f>
        <v>18</v>
      </c>
      <c r="X10636" t="str">
        <v>x</v>
      </c>
      <c r="Y10636">
        <f>D10620</f>
        <v>1</v>
      </c>
      <c r="Z10636" t="str">
        <v>=</v>
      </c>
      <c r="AA10636">
        <f>N10636*U10636*W10636*Y10636</f>
        <v>12.53961</v>
      </c>
    </row>
    <row r="10638">
      <c r="A10638" t="str">
        <f>A10614</f>
        <v>Lantai Atap</v>
      </c>
      <c r="B10638">
        <f>B10614</f>
        <v>13</v>
      </c>
      <c r="C10638" t="str">
        <v>Kait Horizontal Tump.</v>
      </c>
      <c r="D10638">
        <f>VLOOKUP(D10614,'Detail Balok'!$C$10:$BJ$110,46,FALSE)</f>
        <v>0</v>
      </c>
      <c r="E10638" t="str">
        <v>D</v>
      </c>
      <c r="F10638">
        <f>VLOOKUP(D10614,'Detail Balok'!$C$10:$BJ$110,48,FALSE)</f>
        <v>0</v>
      </c>
      <c r="G10638" t="str">
        <v>-</v>
      </c>
      <c r="H10638">
        <f>VLOOKUP(D10614,'Detail Balok'!$C$10:$BJ$110,50,FALSE)</f>
        <v>100</v>
      </c>
      <c r="J10638">
        <f>(D10615-2*F$5)/1000</f>
        <v>0.12</v>
      </c>
      <c r="K10638" t="str">
        <v>+</v>
      </c>
      <c r="L10638">
        <f>IF(D10638=0,2*MAX(6*F10638,75),(D10638-1)*2*MAX(6*F10638,75))/1000</f>
        <v>0.15</v>
      </c>
      <c r="M10638" t="str">
        <v>=</v>
      </c>
      <c r="N10638">
        <f>J10638+L10638</f>
        <v>0.27</v>
      </c>
      <c r="T10638" t="str">
        <v>x</v>
      </c>
      <c r="U10638">
        <f>0.006165*F10638^2</f>
        <v>0</v>
      </c>
      <c r="V10638" t="str">
        <v>x</v>
      </c>
      <c r="W10638">
        <f>W10634</f>
        <v>18</v>
      </c>
      <c r="X10638" t="str">
        <v>x</v>
      </c>
      <c r="Y10638">
        <f>D10624</f>
        <v>2</v>
      </c>
      <c r="Z10638" t="str">
        <v>=</v>
      </c>
      <c r="AA10638">
        <f>N10638*U10638*W10638*Y10638</f>
        <v>0</v>
      </c>
    </row>
    <row r="10639">
      <c r="A10639" t="str">
        <f>A10614</f>
        <v>Lantai Atap</v>
      </c>
      <c r="B10639">
        <f>B10614</f>
        <v>13</v>
      </c>
      <c r="C10639" t="str">
        <v>Kait Horizontal Lap.</v>
      </c>
      <c r="D10639">
        <f>VLOOKUP(D10614,'Detail Balok'!$C$10:$BJ$110,51,FALSE)</f>
        <v>0</v>
      </c>
      <c r="E10639" t="str">
        <v>D</v>
      </c>
      <c r="F10639">
        <f>VLOOKUP(D10614,'Detail Balok'!$C$10:$BJ$110,53,FALSE)</f>
        <v>0</v>
      </c>
      <c r="G10639" t="str">
        <v>-</v>
      </c>
      <c r="H10639">
        <f>VLOOKUP(D10614,'Detail Balok'!$C$10:$BJ$110,55,FALSE)</f>
        <v>100</v>
      </c>
      <c r="J10639">
        <f>(D10615-2*F$5)/1000</f>
        <v>0.12</v>
      </c>
      <c r="K10639" t="str">
        <v>+</v>
      </c>
      <c r="L10639">
        <f>IF(D10639=0,2*MAX(6*F10639,75),(D10639-1)*2*MAX(6*F10639,75))/1000</f>
        <v>0.15</v>
      </c>
      <c r="M10639" t="str">
        <v>=</v>
      </c>
      <c r="N10639">
        <f>J10639+L10639</f>
        <v>0.27</v>
      </c>
      <c r="T10639" t="str">
        <v>x</v>
      </c>
      <c r="U10639">
        <f>0.006165*F10639^2</f>
        <v>0</v>
      </c>
      <c r="V10639" t="str">
        <v>x</v>
      </c>
      <c r="W10639">
        <f>W10635</f>
        <v>17</v>
      </c>
      <c r="X10639" t="str">
        <v>x</v>
      </c>
      <c r="Y10639">
        <f>D10624</f>
        <v>2</v>
      </c>
      <c r="Z10639" t="str">
        <v>=</v>
      </c>
      <c r="AA10639">
        <f>N10639*U10639*W10639*Y10639</f>
        <v>0</v>
      </c>
    </row>
    <row r="10640">
      <c r="A10640" t="str">
        <f>A10614</f>
        <v>Lantai Atap</v>
      </c>
      <c r="B10640">
        <f>B10614</f>
        <v>13</v>
      </c>
      <c r="C10640" t="str">
        <v>Kait Horizontal Tump.</v>
      </c>
      <c r="D10640">
        <f>VLOOKUP(D10614,'Detail Balok'!$C$10:$BJ$110,56,FALSE)</f>
        <v>0</v>
      </c>
      <c r="E10640" t="str">
        <v>D</v>
      </c>
      <c r="F10640">
        <f>VLOOKUP(D10614,'Detail Balok'!$C$10:$BJ$110,58,FALSE)</f>
        <v>0</v>
      </c>
      <c r="G10640" t="str">
        <v>-</v>
      </c>
      <c r="H10640">
        <f>VLOOKUP(D10614,'Detail Balok'!$C$10:$BJ$110,60,FALSE)</f>
        <v>100</v>
      </c>
      <c r="J10640">
        <f>(D10615-2*F$5)/1000</f>
        <v>0.12</v>
      </c>
      <c r="K10640" t="str">
        <v>+</v>
      </c>
      <c r="L10640">
        <f>IF(D10640=0,2*MAX(6*F10640,75),(D10640-1)*2*MAX(6*F10640,75))/1000</f>
        <v>0.15</v>
      </c>
      <c r="M10640" t="str">
        <v>=</v>
      </c>
      <c r="N10640">
        <f>J10640+L10640</f>
        <v>0.27</v>
      </c>
      <c r="T10640" t="str">
        <v>x</v>
      </c>
      <c r="U10640">
        <f>0.006165*F10640^2</f>
        <v>0</v>
      </c>
      <c r="V10640" t="str">
        <v>x</v>
      </c>
      <c r="W10640">
        <f>W10636</f>
        <v>18</v>
      </c>
      <c r="X10640" t="str">
        <v>x</v>
      </c>
      <c r="Y10640">
        <f>D10624</f>
        <v>2</v>
      </c>
      <c r="Z10640" t="str">
        <v>=</v>
      </c>
      <c r="AA10640">
        <f>N10640*U10640*W10640*Y10640</f>
        <v>0</v>
      </c>
    </row>
    <row r="10644">
      <c r="A10644" t="str">
        <f>A10614</f>
        <v>Lantai Atap</v>
      </c>
      <c r="B10644">
        <f>B10614+1</f>
        <v>14</v>
      </c>
      <c r="C10644" t="str">
        <f>CONCATENATE(A10644," no. ",B10644)</f>
        <v>Lantai Atap no. 14</v>
      </c>
      <c r="D10644" t="str">
        <f>VLOOKUP(C10644,'Data Panjang Balok'!$C$9:$N$424,2,FALSE)</f>
        <v>B25-1</v>
      </c>
    </row>
    <row r="10645">
      <c r="C10645" t="str">
        <v>Dimensi</v>
      </c>
      <c r="D10645">
        <f>VLOOKUP(D10644,'Detail Balok'!$C$10:$AU$110,2,FALSE)</f>
        <v>200</v>
      </c>
      <c r="F10645" t="str">
        <v>x</v>
      </c>
      <c r="G10645">
        <f>VLOOKUP(D10644,'Detail Balok'!$C$10:$AU$110,3,FALSE)</f>
        <v>500</v>
      </c>
    </row>
    <row r="10646">
      <c r="C10646" t="str">
        <v>Panjang as ke as</v>
      </c>
      <c r="D10646">
        <f>VLOOKUP(C10644,'Data Panjang Balok'!$C$9:$N$424,4,FALSE)</f>
        <v>1900</v>
      </c>
    </row>
    <row r="10647">
      <c r="C10647" t="str">
        <v>Panjang netto</v>
      </c>
      <c r="D10647">
        <f>VLOOKUP(C10644,'Data Panjang Balok'!$C$9:$N$424,7,FALSE)</f>
        <v>1900</v>
      </c>
    </row>
    <row r="10648">
      <c r="C10648" t="str">
        <v>Kolom / balok kiri</v>
      </c>
      <c r="D10648">
        <f>VLOOKUP(C10644,'Data Panjang Balok'!$C$9:$N$424,9,FALSE)</f>
        <v>0</v>
      </c>
    </row>
    <row r="10649">
      <c r="C10649" t="str">
        <v>Kolom / balok kanan</v>
      </c>
      <c r="D10649">
        <f>VLOOKUP(C10644,'Data Panjang Balok'!$C$9:$N$424,10,FALSE)</f>
        <v>0</v>
      </c>
    </row>
    <row r="10650">
      <c r="C10650" t="str">
        <v>Jumlah</v>
      </c>
      <c r="D10650">
        <f>VLOOKUP(C10644,'Data Panjang Balok'!$C$9:$N$424,3,FALSE)</f>
        <v>1</v>
      </c>
    </row>
    <row r="10651">
      <c r="A10651" t="str">
        <f>A10644</f>
        <v>Lantai Atap</v>
      </c>
      <c r="B10651">
        <f>B10644</f>
        <v>14</v>
      </c>
      <c r="C10651" t="str">
        <v>Tul Atas Tumpuan</v>
      </c>
      <c r="D10651">
        <f>VLOOKUP(D10644,'Detail Balok'!$C$10:$AU$110,4,FALSE)</f>
        <v>2</v>
      </c>
      <c r="E10651" t="str">
        <v>D</v>
      </c>
      <c r="F10651">
        <f>VLOOKUP(D10644,'Detail Balok'!$C$10:$AU$110,6,FALSE)</f>
        <v>16</v>
      </c>
      <c r="I10651" t="str">
        <v>(</v>
      </c>
      <c r="J10651">
        <f>+D10646/4/1000</f>
        <v>0.475</v>
      </c>
      <c r="K10651" t="str">
        <v>+</v>
      </c>
      <c r="L10651">
        <f>MAX(VLOOKUP(F10651,N$6:P$15,3,FALSE)/1000,2/3*D10648/1000)+F$16*F10651/1000</f>
        <v>0.192</v>
      </c>
      <c r="M10651" t="str">
        <v>=</v>
      </c>
      <c r="N10651">
        <f>J10651+L10651</f>
        <v>0.667</v>
      </c>
      <c r="O10651" t="str">
        <v>+</v>
      </c>
      <c r="P10651">
        <f>D10651-D10652</f>
        <v>0</v>
      </c>
      <c r="Q10651" t="str">
        <v>x</v>
      </c>
      <c r="R10651">
        <f>IF(P10651&gt;0,$F$18*F10651/1000,0)</f>
        <v>0</v>
      </c>
      <c r="S10651" t="str">
        <v>)</v>
      </c>
      <c r="T10651" t="str">
        <v>x</v>
      </c>
      <c r="U10651">
        <f>0.006165*F10651^2</f>
        <v>1.57824</v>
      </c>
      <c r="X10651" t="str">
        <v>x</v>
      </c>
      <c r="Y10651">
        <f>D10650</f>
        <v>1</v>
      </c>
      <c r="Z10651" t="str">
        <v>=</v>
      </c>
      <c r="AA10651">
        <f>IF(AA10654=0,(D10651*N10651+P10651*R10651)*U10651*Y10651,0)</f>
        <v>0</v>
      </c>
    </row>
    <row r="10652">
      <c r="A10652" t="str">
        <f>A10644</f>
        <v>Lantai Atap</v>
      </c>
      <c r="B10652">
        <f>B10644</f>
        <v>14</v>
      </c>
      <c r="C10652" t="str">
        <v>Tul Atas Lapangan</v>
      </c>
      <c r="D10652">
        <f>VLOOKUP(D10644,'Detail Balok'!$C$10:$AU$110,7,FALSE)</f>
        <v>2</v>
      </c>
      <c r="E10652" t="str">
        <v>D</v>
      </c>
      <c r="F10652">
        <f>VLOOKUP(D10644,'Detail Balok'!$C$10:$AU$110,9,FALSE)</f>
        <v>16</v>
      </c>
      <c r="I10652" t="str">
        <v>(</v>
      </c>
      <c r="J10652">
        <f>+D10646/2/1000</f>
        <v>0.95</v>
      </c>
      <c r="K10652" t="str">
        <v>+</v>
      </c>
      <c r="M10652" t="str">
        <v>=</v>
      </c>
      <c r="N10652">
        <f>J10652+L10652</f>
        <v>0.95</v>
      </c>
      <c r="O10652" t="str">
        <v>+</v>
      </c>
      <c r="P10652">
        <f>MAX(D10652-D10651,D10652-D10653)</f>
        <v>0</v>
      </c>
      <c r="Q10652" t="str">
        <v>x</v>
      </c>
      <c r="R10652">
        <f>IF(P10652&gt;0,2*(1-2*$F$19-1/2)*D10647/1000,0)</f>
        <v>0</v>
      </c>
      <c r="S10652" t="str">
        <v>)</v>
      </c>
      <c r="T10652" t="str">
        <v>x</v>
      </c>
      <c r="U10652">
        <f>0.006165*F10652^2</f>
        <v>1.57824</v>
      </c>
      <c r="X10652" t="str">
        <v>x</v>
      </c>
      <c r="Y10652">
        <f>D10650</f>
        <v>1</v>
      </c>
      <c r="Z10652" t="str">
        <v>=</v>
      </c>
      <c r="AA10652">
        <f>IF(AA10654=0,(D10652*N10652+P10652*R10652)*U10652*Y10652,0)</f>
        <v>0</v>
      </c>
    </row>
    <row r="10653">
      <c r="A10653" t="str">
        <f>A10644</f>
        <v>Lantai Atap</v>
      </c>
      <c r="B10653">
        <f>B10644</f>
        <v>14</v>
      </c>
      <c r="C10653" t="str">
        <v>Tul Atas Tumpuan</v>
      </c>
      <c r="D10653">
        <f>VLOOKUP(D10644,'Detail Balok'!$C$10:$AU$110,10,FALSE)</f>
        <v>2</v>
      </c>
      <c r="E10653" t="str">
        <v>D</v>
      </c>
      <c r="F10653">
        <f>VLOOKUP(D10644,'Detail Balok'!$C$10:$AU$110,12,FALSE)</f>
        <v>16</v>
      </c>
      <c r="I10653" t="str">
        <v>(</v>
      </c>
      <c r="J10653">
        <f>+D10646/4/1000</f>
        <v>0.475</v>
      </c>
      <c r="K10653" t="str">
        <v>+</v>
      </c>
      <c r="L10653">
        <f>MAX(VLOOKUP(F10653,N$6:P$15,3,FALSE)/1000,2/3*D10648/1000)+F$16*F10653/1000</f>
        <v>0.192</v>
      </c>
      <c r="M10653" t="str">
        <v>=</v>
      </c>
      <c r="N10653">
        <f>J10653+L10653</f>
        <v>0.667</v>
      </c>
      <c r="O10653" t="str">
        <v>+</v>
      </c>
      <c r="P10653">
        <f>D10653-D10652</f>
        <v>0</v>
      </c>
      <c r="Q10653" t="str">
        <v>x</v>
      </c>
      <c r="R10653">
        <f>IF(P10653&gt;0,$F$18*F10653/1000,0)</f>
        <v>0</v>
      </c>
      <c r="S10653" t="str">
        <v>)</v>
      </c>
      <c r="T10653" t="str">
        <v>x</v>
      </c>
      <c r="U10653">
        <f>0.006165*F10653^2</f>
        <v>1.57824</v>
      </c>
      <c r="X10653" t="str">
        <v>x</v>
      </c>
      <c r="Y10653">
        <f>D10650</f>
        <v>1</v>
      </c>
      <c r="Z10653" t="str">
        <v>=</v>
      </c>
      <c r="AA10653">
        <f>IF(AA10654=0,(D10653*N10653+P10653*R10653)*U10653*Y10653,0)</f>
        <v>0</v>
      </c>
    </row>
    <row r="10654">
      <c r="A10654" t="str">
        <f>A10644</f>
        <v>Lantai Atap</v>
      </c>
      <c r="B10654">
        <f>B10644</f>
        <v>14</v>
      </c>
      <c r="D10654">
        <f>IF(AND(D10651=D10652,D10652=D10653,D10651=D10653),D10651,0)</f>
        <v>2</v>
      </c>
      <c r="E10654" t="str">
        <v>D</v>
      </c>
      <c r="F10654">
        <f>IF(AND(F10651=F10652,F10651=F10653,F10652=F10653),F10651,0)</f>
        <v>16</v>
      </c>
      <c r="L10654" t="str">
        <v>Total panjang per balok</v>
      </c>
      <c r="M10654" t="str">
        <v>=</v>
      </c>
      <c r="N10654">
        <f>IF(AND(D10651=D10652,D10651=D10653,D10652=D10653,F10651=F10652,F10651=F10653,F10652=F10653),SUM(N10651:N10653),0)</f>
        <v>2.284</v>
      </c>
      <c r="O10654" t="str">
        <v>+</v>
      </c>
      <c r="P10654">
        <f>IF(N10654&gt;12,ROUNDDOWN(N10654/12,0),0)</f>
        <v>0</v>
      </c>
      <c r="Q10654" t="str">
        <v>x</v>
      </c>
      <c r="R10654">
        <f>IF(P10654&gt;0,MAX(VLOOKUP(F10654,$D$6:$G$15,3,FALSE),600),0)/1000</f>
        <v>0</v>
      </c>
      <c r="T10654" t="str">
        <v>x</v>
      </c>
      <c r="U10654">
        <f>U10653</f>
        <v>1.57824</v>
      </c>
      <c r="V10654" t="str">
        <v>x</v>
      </c>
      <c r="W10654">
        <f>D10654</f>
        <v>2</v>
      </c>
      <c r="X10654" t="str">
        <v>x</v>
      </c>
      <c r="Y10654">
        <f>Y10653</f>
        <v>1</v>
      </c>
      <c r="Z10654" t="str">
        <v>=</v>
      </c>
      <c r="AA10654">
        <f>(N10654+P10654*R10654/1000)*U10654*W10654*Y10654</f>
        <v>7.209400319999999</v>
      </c>
    </row>
    <row r="10656">
      <c r="A10656" t="str">
        <f>A10644</f>
        <v>Lantai Atap</v>
      </c>
      <c r="B10656">
        <f>B10644</f>
        <v>14</v>
      </c>
      <c r="C10656" t="str">
        <v>Tul Peminggang</v>
      </c>
      <c r="D10656">
        <f>VLOOKUP(D10644,'Detail Balok'!$C$10:$AU$110,13,FALSE)</f>
        <v>2</v>
      </c>
      <c r="E10656" t="str">
        <v>D</v>
      </c>
      <c r="F10656">
        <f>VLOOKUP(D10644,'Detail Balok'!$C$10:$AU$110,15,FALSE)</f>
        <v>10</v>
      </c>
      <c r="J10656">
        <f>+D10646/1000</f>
        <v>1.9</v>
      </c>
      <c r="K10656" t="str">
        <v>+</v>
      </c>
      <c r="L10656">
        <f>2*$F$16*F10656/1000</f>
        <v>0.24</v>
      </c>
      <c r="M10656" t="str">
        <v>=</v>
      </c>
      <c r="N10656">
        <f>J10656+L10656</f>
        <v>2.1399999999999997</v>
      </c>
      <c r="O10656" t="str">
        <v>+</v>
      </c>
      <c r="P10656">
        <f>IF(N10656&gt;12,ROUNDDOWN(N10656/12,0),0)</f>
        <v>0</v>
      </c>
      <c r="Q10656" t="str">
        <v>x</v>
      </c>
      <c r="R10656">
        <f>IF(P10656&gt;0,MAX(VLOOKUP(F10656,$D$6:$G$15,3,FALSE),600),0)/1000</f>
        <v>0</v>
      </c>
      <c r="T10656" t="str">
        <v>x</v>
      </c>
      <c r="U10656">
        <f>0.006165*F10656^2</f>
        <v>0.6165</v>
      </c>
      <c r="V10656" t="str">
        <v>x</v>
      </c>
      <c r="W10656">
        <f>+D10656</f>
        <v>2</v>
      </c>
      <c r="X10656" t="str">
        <v>x</v>
      </c>
      <c r="Y10656">
        <f>D10650</f>
        <v>1</v>
      </c>
      <c r="Z10656" t="str">
        <v>=</v>
      </c>
      <c r="AA10656">
        <f>(N10656+P10656*R10656/1000)*U10656*W10656*Y10656</f>
        <v>2.63862</v>
      </c>
    </row>
    <row r="10659">
      <c r="A10659" t="str">
        <f>A10644</f>
        <v>Lantai Atap</v>
      </c>
      <c r="B10659">
        <f>B10644</f>
        <v>14</v>
      </c>
      <c r="C10659" t="str">
        <v>Tul Bawah Tumpuan</v>
      </c>
      <c r="D10659">
        <f>VLOOKUP(D10644,'Detail Balok'!$C$10:$AU$110,22,FALSE)</f>
        <v>2</v>
      </c>
      <c r="E10659" t="str">
        <v>D</v>
      </c>
      <c r="F10659">
        <f>VLOOKUP(D10644,'Detail Balok'!$C$10:$AU$110,24,FALSE)</f>
        <v>16</v>
      </c>
      <c r="I10659" t="str">
        <v>(</v>
      </c>
      <c r="J10659">
        <f>+J10651</f>
        <v>0.475</v>
      </c>
      <c r="K10659" t="str">
        <v>+</v>
      </c>
      <c r="L10659">
        <f>MAX(VLOOKUP(F10659,N$6:P$15,3,FALSE)/1000,2/3*D10649/1000)+F$16*F10659/1000</f>
        <v>0.192</v>
      </c>
      <c r="M10659" t="str">
        <v>=</v>
      </c>
      <c r="N10659">
        <f>J10659+L10659</f>
        <v>0.667</v>
      </c>
      <c r="O10659" t="str">
        <v>+</v>
      </c>
      <c r="P10659">
        <f>D10659-D10660</f>
        <v>0</v>
      </c>
      <c r="Q10659" t="str">
        <v>x</v>
      </c>
      <c r="R10659">
        <f>IF(P10659&gt;0,$F$18*F10659/1000,0)</f>
        <v>0</v>
      </c>
      <c r="S10659" t="str">
        <v>)</v>
      </c>
      <c r="T10659" t="str">
        <v>x</v>
      </c>
      <c r="U10659">
        <f>0.006165*F10659^2</f>
        <v>1.57824</v>
      </c>
      <c r="X10659" t="str">
        <v>x</v>
      </c>
      <c r="Y10659">
        <f>D10650</f>
        <v>1</v>
      </c>
      <c r="Z10659" t="str">
        <v>=</v>
      </c>
      <c r="AA10659">
        <f>IF(AA10662=0,(D10659*N10659+P10659*R10659)*U10659*Y10659,0)</f>
        <v>0</v>
      </c>
    </row>
    <row r="10660">
      <c r="A10660" t="str">
        <f>A10644</f>
        <v>Lantai Atap</v>
      </c>
      <c r="B10660">
        <f>B10644</f>
        <v>14</v>
      </c>
      <c r="C10660" t="str">
        <v>Tul Bawah Lapangan</v>
      </c>
      <c r="D10660">
        <f>VLOOKUP(D10644,'Detail Balok'!$C$10:$AU$110,25,FALSE)</f>
        <v>2</v>
      </c>
      <c r="E10660" t="str">
        <v>D</v>
      </c>
      <c r="F10660">
        <f>VLOOKUP(D10644,'Detail Balok'!$C$10:$AU$110,27,FALSE)</f>
        <v>16</v>
      </c>
      <c r="I10660" t="str">
        <v>(</v>
      </c>
      <c r="J10660">
        <f>+J10652</f>
        <v>0.95</v>
      </c>
      <c r="K10660" t="str">
        <v>+</v>
      </c>
      <c r="M10660" t="str">
        <v>=</v>
      </c>
      <c r="N10660">
        <f>J10660+L10660</f>
        <v>0.95</v>
      </c>
      <c r="O10660" t="str">
        <v>+</v>
      </c>
      <c r="P10660">
        <f>MAX(D10660-D10659,D10660-D10661)</f>
        <v>0</v>
      </c>
      <c r="Q10660" t="str">
        <v>x</v>
      </c>
      <c r="R10660">
        <f>IF(P10660&gt;0,2*(1-2*$F$19-1/2)*D10647/1000,0)</f>
        <v>0</v>
      </c>
      <c r="S10660" t="str">
        <v>)</v>
      </c>
      <c r="T10660" t="str">
        <v>x</v>
      </c>
      <c r="U10660">
        <f>0.006165*F10660^2</f>
        <v>1.57824</v>
      </c>
      <c r="X10660" t="str">
        <v>x</v>
      </c>
      <c r="Y10660">
        <f>D10650</f>
        <v>1</v>
      </c>
      <c r="Z10660" t="str">
        <v>=</v>
      </c>
      <c r="AA10660">
        <f>IF(AA10662=0,(D10660*N10660+P10660*R10660)*U10660*Y10660,0)</f>
        <v>0</v>
      </c>
    </row>
    <row r="10661">
      <c r="A10661" t="str">
        <f>A10644</f>
        <v>Lantai Atap</v>
      </c>
      <c r="B10661">
        <f>B10644</f>
        <v>14</v>
      </c>
      <c r="C10661" t="str">
        <v>Tul Bawah Tumpuan</v>
      </c>
      <c r="D10661">
        <f>VLOOKUP(D10644,'Detail Balok'!$C$10:$AU$110,28,FALSE)</f>
        <v>2</v>
      </c>
      <c r="E10661" t="str">
        <v>D</v>
      </c>
      <c r="F10661">
        <f>VLOOKUP(D10644,'Detail Balok'!$C$10:$AU$110,30,FALSE)</f>
        <v>16</v>
      </c>
      <c r="I10661" t="str">
        <v>(</v>
      </c>
      <c r="J10661">
        <f>+J10653</f>
        <v>0.475</v>
      </c>
      <c r="K10661" t="str">
        <v>+</v>
      </c>
      <c r="L10661">
        <f>MAX(VLOOKUP(F10661,N$6:P$15,3,FALSE)/1000,2/3*D10649/1000)+F$16*F10661/1000</f>
        <v>0.192</v>
      </c>
      <c r="M10661" t="str">
        <v>=</v>
      </c>
      <c r="N10661">
        <f>J10661+L10661</f>
        <v>0.667</v>
      </c>
      <c r="O10661" t="str">
        <v>+</v>
      </c>
      <c r="P10661">
        <f>D10661-D10660</f>
        <v>0</v>
      </c>
      <c r="Q10661" t="str">
        <v>x</v>
      </c>
      <c r="R10661">
        <f>IF(P10661&gt;0,$F$18*F10661/1000,0)</f>
        <v>0</v>
      </c>
      <c r="S10661" t="str">
        <v>)</v>
      </c>
      <c r="T10661" t="str">
        <v>x</v>
      </c>
      <c r="U10661">
        <f>0.006165*F10661^2</f>
        <v>1.57824</v>
      </c>
      <c r="X10661" t="str">
        <v>x</v>
      </c>
      <c r="Y10661">
        <f>D10650</f>
        <v>1</v>
      </c>
      <c r="Z10661" t="str">
        <v>=</v>
      </c>
      <c r="AA10661">
        <f>IF(AA10662=0,(D10661*N10661+P10661*R10661)*U10661*Y10661,0)</f>
        <v>0</v>
      </c>
    </row>
    <row r="10662">
      <c r="A10662" t="str">
        <f>A10644</f>
        <v>Lantai Atap</v>
      </c>
      <c r="B10662">
        <f>B10644</f>
        <v>14</v>
      </c>
      <c r="D10662">
        <f>IF(AND(D10659=D10660,D10660=D10661,D10659=D10661),D10659,0)</f>
        <v>2</v>
      </c>
      <c r="E10662" t="str">
        <v>D</v>
      </c>
      <c r="F10662">
        <f>IF(AND(F10659=F10660,F10659=F10661,F10660=F10661),F10659,0)</f>
        <v>16</v>
      </c>
      <c r="L10662" t="str">
        <v>Total panjang per balok</v>
      </c>
      <c r="M10662" t="str">
        <v>=</v>
      </c>
      <c r="N10662">
        <f>IF(AND(D10659=D10660,D10659=D10661,D10660=D10661,F10659=F10660,F10659=F10661,F10660=F10661),SUM(N10659:N10661),0)</f>
        <v>2.284</v>
      </c>
      <c r="O10662" t="str">
        <v>+</v>
      </c>
      <c r="P10662">
        <f>IF(N10662&gt;12,ROUNDDOWN(N10662/12,0),0)</f>
        <v>0</v>
      </c>
      <c r="Q10662" t="str">
        <v>x</v>
      </c>
      <c r="R10662">
        <f>IF(P10662&gt;0,MAX(VLOOKUP(F10662,$D$6:$G$15,3,FALSE),600),0)/1000</f>
        <v>0</v>
      </c>
      <c r="T10662" t="str">
        <v>x</v>
      </c>
      <c r="U10662">
        <f>U10661</f>
        <v>1.57824</v>
      </c>
      <c r="V10662" t="str">
        <v>x</v>
      </c>
      <c r="W10662">
        <f>D10662</f>
        <v>2</v>
      </c>
      <c r="X10662" t="str">
        <v>x</v>
      </c>
      <c r="Y10662">
        <f>Y10661</f>
        <v>1</v>
      </c>
      <c r="Z10662" t="str">
        <v>=</v>
      </c>
      <c r="AA10662">
        <f>(N10662+P10662*R10662/1000)*U10662*W10662*Y10662</f>
        <v>7.209400319999999</v>
      </c>
    </row>
    <row r="10664">
      <c r="A10664" t="str">
        <f>A10644</f>
        <v>Lantai Atap</v>
      </c>
      <c r="B10664">
        <f>B10644</f>
        <v>14</v>
      </c>
      <c r="C10664" t="str">
        <v>Sengkang Tumpuan</v>
      </c>
      <c r="D10664">
        <f>VLOOKUP(D10644,'Detail Balok'!$C$10:$AU$110,31,FALSE)</f>
        <v>0</v>
      </c>
      <c r="E10664" t="str">
        <v>D</v>
      </c>
      <c r="F10664">
        <f>VLOOKUP(D10644,'Detail Balok'!$C$10:$AU$110,33,FALSE)</f>
        <v>10</v>
      </c>
      <c r="G10664" t="str">
        <v>-</v>
      </c>
      <c r="H10664">
        <f>VLOOKUP(D10644,'Detail Balok'!$C$10:$AU$110,35,FALSE)</f>
        <v>100</v>
      </c>
      <c r="J10664">
        <f>(IF(D10664=0,(2*(D10645+G10645))-(F$5*8),IF(D10664=3,(2*(D10645+G10645))-(F$5*8)+(G10645-2*F$5),IF(D10664=4,(2*(D10645+G10645))-(F$5*8)+2*(G10645-2*F$5)))))/1000</f>
        <v>1.08</v>
      </c>
      <c r="K10664" t="str">
        <v>+</v>
      </c>
      <c r="L10664">
        <f>IF(D10664=0,2*MAX(6*F10664,75),(D10664-1)*2*MAX(6*F10664,75))/1000</f>
        <v>0.15</v>
      </c>
      <c r="M10664" t="str">
        <v>=</v>
      </c>
      <c r="N10664">
        <f>J10664+L10664</f>
        <v>1.23</v>
      </c>
      <c r="T10664" t="str">
        <v>x</v>
      </c>
      <c r="U10664">
        <f>0.006165*F10664^2</f>
        <v>0.6165</v>
      </c>
      <c r="V10664" t="str">
        <v>x</v>
      </c>
      <c r="W10664">
        <f>IF(D10647&gt;4*G10645,ROUND(MAX(D10647/4,2*G10645)/H10664,0)+1,ROUND(D10647/H10664,0)+1)</f>
        <v>20</v>
      </c>
      <c r="X10664" t="str">
        <v>x</v>
      </c>
      <c r="Y10664">
        <f>D10650</f>
        <v>1</v>
      </c>
      <c r="Z10664" t="str">
        <v>=</v>
      </c>
      <c r="AA10664">
        <f>N10664*U10664*W10664*Y10664</f>
        <v>15.1659</v>
      </c>
    </row>
    <row r="10665">
      <c r="A10665" t="str">
        <f>A10644</f>
        <v>Lantai Atap</v>
      </c>
      <c r="B10665">
        <f>B10644</f>
        <v>14</v>
      </c>
      <c r="C10665" t="str">
        <v>Sengkang Lapangan</v>
      </c>
      <c r="D10665">
        <f>VLOOKUP(D10644,'Detail Balok'!$C$10:$AU$110,36,FALSE)</f>
        <v>0</v>
      </c>
      <c r="E10665" t="str">
        <v>D</v>
      </c>
      <c r="F10665">
        <f>VLOOKUP(D10644,'Detail Balok'!$C$10:$AU$110,38,FALSE)</f>
        <v>10</v>
      </c>
      <c r="G10665" t="str">
        <v>-</v>
      </c>
      <c r="H10665">
        <f>VLOOKUP(D10644,'Detail Balok'!$C$10:$AU$110,40,FALSE)</f>
        <v>200</v>
      </c>
      <c r="J10665">
        <f>(IF(D10665=0,(2*(D10645+G10645))-(F$5*8),IF(D10665=3,(2*(D10645+G10645))-(F$5*8)+(G10645-2*F$5),IF(D10665=4,(2*(D10645+G10645))-(F$5*8)+2*(G10645-2*F$5)))))/1000</f>
        <v>1.08</v>
      </c>
      <c r="K10665" t="str">
        <v>+</v>
      </c>
      <c r="L10665">
        <f>IF(D10665=0,2*MAX(6*F10665,75),(D10665-1)*2*MAX(6*F10665,75))/1000</f>
        <v>0.15</v>
      </c>
      <c r="M10665" t="str">
        <v>=</v>
      </c>
      <c r="N10665">
        <f>J10665+L10665</f>
        <v>1.23</v>
      </c>
      <c r="T10665" t="str">
        <v>x</v>
      </c>
      <c r="U10665">
        <f>0.006165*F10665^2</f>
        <v>0.6165</v>
      </c>
      <c r="V10665" t="str">
        <v>x</v>
      </c>
      <c r="W10665">
        <f>IF(D10647-MAX(D10647/4,2*G10645)*2&gt;0,ROUND((D10647-MAX(D10647/4,2*G10645)*2)/H10665,0),0)</f>
        <v>0</v>
      </c>
      <c r="X10665" t="str">
        <v>x</v>
      </c>
      <c r="Y10665">
        <f>D10650</f>
        <v>1</v>
      </c>
      <c r="Z10665" t="str">
        <v>=</v>
      </c>
      <c r="AA10665">
        <f>N10665*U10665*W10665*Y10665</f>
        <v>0</v>
      </c>
    </row>
    <row r="10666">
      <c r="A10666" t="str">
        <f>A10644</f>
        <v>Lantai Atap</v>
      </c>
      <c r="B10666">
        <f>B10644</f>
        <v>14</v>
      </c>
      <c r="C10666" t="str">
        <v>Sengkang Tumpuan</v>
      </c>
      <c r="D10666">
        <f>VLOOKUP(D10644,'Detail Balok'!$C$10:$AU$110,41,FALSE)</f>
        <v>0</v>
      </c>
      <c r="E10666" t="str">
        <v>D</v>
      </c>
      <c r="F10666">
        <f>VLOOKUP(D10644,'Detail Balok'!$C$10:$AU$110,43,FALSE)</f>
        <v>10</v>
      </c>
      <c r="G10666" t="str">
        <v>-</v>
      </c>
      <c r="H10666">
        <f>VLOOKUP(D10644,'Detail Balok'!$C$10:$AU$110,45,FALSE)</f>
        <v>100</v>
      </c>
      <c r="J10666">
        <f>(IF(D10666=0,(2*(D10645+G10645))-(F$5*8),IF(D10666=3,(2*(D10645+G10645))-(F$5*8)+(G10645-2*F$5),IF(D10666=4,(2*(D10645+G10645))-(F$5*8)+2*(G10645-2*F$5)))))/1000</f>
        <v>1.08</v>
      </c>
      <c r="K10666" t="str">
        <v>+</v>
      </c>
      <c r="L10666">
        <f>IF(D10666=0,2*MAX(6*F10666,75),(D10666-1)*2*MAX(6*F10666,75))/1000</f>
        <v>0.15</v>
      </c>
      <c r="M10666" t="str">
        <v>=</v>
      </c>
      <c r="N10666">
        <f>J10666+L10666</f>
        <v>1.23</v>
      </c>
      <c r="T10666" t="str">
        <v>x</v>
      </c>
      <c r="U10666">
        <f>0.006165*F10666^2</f>
        <v>0.6165</v>
      </c>
      <c r="V10666" t="str">
        <v>x</v>
      </c>
      <c r="W10666">
        <f>IF(D10647&gt;4*G10645,ROUND(MAX(D10647/4,2*G10645)/H10666,0)+1,0)</f>
        <v>0</v>
      </c>
      <c r="X10666" t="str">
        <v>x</v>
      </c>
      <c r="Y10666">
        <f>D10650</f>
        <v>1</v>
      </c>
      <c r="Z10666" t="str">
        <v>=</v>
      </c>
      <c r="AA10666">
        <f>N10666*U10666*W10666*Y10666</f>
        <v>0</v>
      </c>
    </row>
    <row r="10668">
      <c r="A10668" t="str">
        <f>A10644</f>
        <v>Lantai Atap</v>
      </c>
      <c r="B10668">
        <f>B10644</f>
        <v>14</v>
      </c>
      <c r="C10668" t="str">
        <v>Kait Horizontal Tump.</v>
      </c>
      <c r="D10668">
        <f>VLOOKUP(D10644,'Detail Balok'!$C$10:$BJ$110,46,FALSE)</f>
        <v>0</v>
      </c>
      <c r="E10668" t="str">
        <v>D</v>
      </c>
      <c r="F10668">
        <f>VLOOKUP(D10644,'Detail Balok'!$C$10:$BJ$110,48,FALSE)</f>
        <v>0</v>
      </c>
      <c r="G10668" t="str">
        <v>-</v>
      </c>
      <c r="H10668">
        <f>VLOOKUP(D10644,'Detail Balok'!$C$10:$BJ$110,50,FALSE)</f>
        <v>100</v>
      </c>
      <c r="J10668">
        <f>(D10645-2*F$5)/1000</f>
        <v>0.12</v>
      </c>
      <c r="K10668" t="str">
        <v>+</v>
      </c>
      <c r="L10668">
        <f>IF(D10668=0,2*MAX(6*F10668,75),(D10668-1)*2*MAX(6*F10668,75))/1000</f>
        <v>0.15</v>
      </c>
      <c r="M10668" t="str">
        <v>=</v>
      </c>
      <c r="N10668">
        <f>J10668+L10668</f>
        <v>0.27</v>
      </c>
      <c r="T10668" t="str">
        <v>x</v>
      </c>
      <c r="U10668">
        <f>0.006165*F10668^2</f>
        <v>0</v>
      </c>
      <c r="V10668" t="str">
        <v>x</v>
      </c>
      <c r="W10668">
        <f>W10664</f>
        <v>20</v>
      </c>
      <c r="X10668" t="str">
        <v>x</v>
      </c>
      <c r="Y10668">
        <f>D10654</f>
        <v>2</v>
      </c>
      <c r="Z10668" t="str">
        <v>=</v>
      </c>
      <c r="AA10668">
        <f>N10668*U10668*W10668*Y10668</f>
        <v>0</v>
      </c>
    </row>
    <row r="10669">
      <c r="A10669" t="str">
        <f>A10644</f>
        <v>Lantai Atap</v>
      </c>
      <c r="B10669">
        <f>B10644</f>
        <v>14</v>
      </c>
      <c r="C10669" t="str">
        <v>Kait Horizontal Lap.</v>
      </c>
      <c r="D10669">
        <f>VLOOKUP(D10644,'Detail Balok'!$C$10:$BJ$110,51,FALSE)</f>
        <v>0</v>
      </c>
      <c r="E10669" t="str">
        <v>D</v>
      </c>
      <c r="F10669">
        <f>VLOOKUP(D10644,'Detail Balok'!$C$10:$BJ$110,53,FALSE)</f>
        <v>0</v>
      </c>
      <c r="G10669" t="str">
        <v>-</v>
      </c>
      <c r="H10669">
        <f>VLOOKUP(D10644,'Detail Balok'!$C$10:$BJ$110,55,FALSE)</f>
        <v>100</v>
      </c>
      <c r="J10669">
        <f>(D10645-2*F$5)/1000</f>
        <v>0.12</v>
      </c>
      <c r="K10669" t="str">
        <v>+</v>
      </c>
      <c r="L10669">
        <f>IF(D10669=0,2*MAX(6*F10669,75),(D10669-1)*2*MAX(6*F10669,75))/1000</f>
        <v>0.15</v>
      </c>
      <c r="M10669" t="str">
        <v>=</v>
      </c>
      <c r="N10669">
        <f>J10669+L10669</f>
        <v>0.27</v>
      </c>
      <c r="T10669" t="str">
        <v>x</v>
      </c>
      <c r="U10669">
        <f>0.006165*F10669^2</f>
        <v>0</v>
      </c>
      <c r="V10669" t="str">
        <v>x</v>
      </c>
      <c r="W10669">
        <f>W10665</f>
        <v>0</v>
      </c>
      <c r="X10669" t="str">
        <v>x</v>
      </c>
      <c r="Y10669">
        <f>D10654</f>
        <v>2</v>
      </c>
      <c r="Z10669" t="str">
        <v>=</v>
      </c>
      <c r="AA10669">
        <f>N10669*U10669*W10669*Y10669</f>
        <v>0</v>
      </c>
    </row>
    <row r="10670">
      <c r="A10670" t="str">
        <f>A10644</f>
        <v>Lantai Atap</v>
      </c>
      <c r="B10670">
        <f>B10644</f>
        <v>14</v>
      </c>
      <c r="C10670" t="str">
        <v>Kait Horizontal Tump.</v>
      </c>
      <c r="D10670">
        <f>VLOOKUP(D10644,'Detail Balok'!$C$10:$BJ$110,56,FALSE)</f>
        <v>0</v>
      </c>
      <c r="E10670" t="str">
        <v>D</v>
      </c>
      <c r="F10670">
        <f>VLOOKUP(D10644,'Detail Balok'!$C$10:$BJ$110,58,FALSE)</f>
        <v>0</v>
      </c>
      <c r="G10670" t="str">
        <v>-</v>
      </c>
      <c r="H10670">
        <f>VLOOKUP(D10644,'Detail Balok'!$C$10:$BJ$110,60,FALSE)</f>
        <v>100</v>
      </c>
      <c r="J10670">
        <f>(D10645-2*F$5)/1000</f>
        <v>0.12</v>
      </c>
      <c r="K10670" t="str">
        <v>+</v>
      </c>
      <c r="L10670">
        <f>IF(D10670=0,2*MAX(6*F10670,75),(D10670-1)*2*MAX(6*F10670,75))/1000</f>
        <v>0.15</v>
      </c>
      <c r="M10670" t="str">
        <v>=</v>
      </c>
      <c r="N10670">
        <f>J10670+L10670</f>
        <v>0.27</v>
      </c>
      <c r="T10670" t="str">
        <v>x</v>
      </c>
      <c r="U10670">
        <f>0.006165*F10670^2</f>
        <v>0</v>
      </c>
      <c r="V10670" t="str">
        <v>x</v>
      </c>
      <c r="W10670">
        <f>W10666</f>
        <v>0</v>
      </c>
      <c r="X10670" t="str">
        <v>x</v>
      </c>
      <c r="Y10670">
        <f>D10654</f>
        <v>2</v>
      </c>
      <c r="Z10670" t="str">
        <v>=</v>
      </c>
      <c r="AA10670">
        <f>N10670*U10670*W10670*Y10670</f>
        <v>0</v>
      </c>
    </row>
    <row r="10674">
      <c r="A10674" t="str">
        <f>A10644</f>
        <v>Lantai Atap</v>
      </c>
      <c r="B10674">
        <f>B10644+1</f>
        <v>15</v>
      </c>
      <c r="C10674" t="str">
        <f>CONCATENATE(A10674," no. ",B10674)</f>
        <v>Lantai Atap no. 15</v>
      </c>
      <c r="D10674" t="str">
        <f>VLOOKUP(C10674,'Data Panjang Balok'!$C$9:$N$424,2,FALSE)</f>
        <v>B24-3</v>
      </c>
    </row>
    <row r="10675">
      <c r="C10675" t="str">
        <v>Dimensi</v>
      </c>
      <c r="D10675">
        <f>VLOOKUP(D10674,'Detail Balok'!$C$10:$AU$110,2,FALSE)</f>
        <v>200</v>
      </c>
      <c r="F10675" t="str">
        <v>x</v>
      </c>
      <c r="G10675">
        <f>VLOOKUP(D10674,'Detail Balok'!$C$10:$AU$110,3,FALSE)</f>
        <v>400</v>
      </c>
    </row>
    <row r="10676">
      <c r="C10676" t="str">
        <v>Panjang as ke as</v>
      </c>
      <c r="D10676">
        <f>VLOOKUP(C10674,'Data Panjang Balok'!$C$9:$N$424,4,FALSE)</f>
        <v>3100</v>
      </c>
    </row>
    <row r="10677">
      <c r="C10677" t="str">
        <v>Panjang netto</v>
      </c>
      <c r="D10677">
        <f>VLOOKUP(C10674,'Data Panjang Balok'!$C$9:$N$424,7,FALSE)</f>
        <v>3100</v>
      </c>
    </row>
    <row r="10678">
      <c r="C10678" t="str">
        <v>Kolom / balok kiri</v>
      </c>
      <c r="D10678">
        <f>VLOOKUP(C10674,'Data Panjang Balok'!$C$9:$N$424,9,FALSE)</f>
        <v>0</v>
      </c>
    </row>
    <row r="10679">
      <c r="C10679" t="str">
        <v>Kolom / balok kanan</v>
      </c>
      <c r="D10679">
        <f>VLOOKUP(C10674,'Data Panjang Balok'!$C$9:$N$424,10,FALSE)</f>
        <v>0</v>
      </c>
    </row>
    <row r="10680">
      <c r="C10680" t="str">
        <v>Jumlah</v>
      </c>
      <c r="D10680">
        <f>VLOOKUP(C10674,'Data Panjang Balok'!$C$9:$N$424,3,FALSE)</f>
        <v>1</v>
      </c>
    </row>
    <row r="10681">
      <c r="A10681" t="str">
        <f>A10674</f>
        <v>Lantai Atap</v>
      </c>
      <c r="B10681">
        <f>B10674</f>
        <v>15</v>
      </c>
      <c r="C10681" t="str">
        <v>Tul Atas Tumpuan</v>
      </c>
      <c r="D10681">
        <f>VLOOKUP(D10674,'Detail Balok'!$C$10:$AU$110,4,FALSE)</f>
        <v>3</v>
      </c>
      <c r="E10681" t="str">
        <v>D</v>
      </c>
      <c r="F10681">
        <f>VLOOKUP(D10674,'Detail Balok'!$C$10:$AU$110,6,FALSE)</f>
        <v>16</v>
      </c>
      <c r="I10681" t="str">
        <v>(</v>
      </c>
      <c r="J10681">
        <f>+D10676/4/1000</f>
        <v>0.775</v>
      </c>
      <c r="K10681" t="str">
        <v>+</v>
      </c>
      <c r="L10681">
        <f>MAX(VLOOKUP(F10681,N$6:P$15,3,FALSE)/1000,2/3*D10678/1000)+F$16*F10681/1000</f>
        <v>0.192</v>
      </c>
      <c r="M10681" t="str">
        <v>=</v>
      </c>
      <c r="N10681">
        <f>J10681+L10681</f>
        <v>0.9670000000000001</v>
      </c>
      <c r="O10681" t="str">
        <v>+</v>
      </c>
      <c r="P10681">
        <f>D10681-D10682</f>
        <v>0</v>
      </c>
      <c r="Q10681" t="str">
        <v>x</v>
      </c>
      <c r="R10681">
        <f>IF(P10681&gt;0,$F$18*F10681/1000,0)</f>
        <v>0</v>
      </c>
      <c r="S10681" t="str">
        <v>)</v>
      </c>
      <c r="T10681" t="str">
        <v>x</v>
      </c>
      <c r="U10681">
        <f>0.006165*F10681^2</f>
        <v>1.57824</v>
      </c>
      <c r="X10681" t="str">
        <v>x</v>
      </c>
      <c r="Y10681">
        <f>D10680</f>
        <v>1</v>
      </c>
      <c r="Z10681" t="str">
        <v>=</v>
      </c>
      <c r="AA10681">
        <f>IF(AA10684=0,(D10681*N10681+P10681*R10681)*U10681*Y10681,0)</f>
        <v>0</v>
      </c>
    </row>
    <row r="10682">
      <c r="A10682" t="str">
        <f>A10674</f>
        <v>Lantai Atap</v>
      </c>
      <c r="B10682">
        <f>B10674</f>
        <v>15</v>
      </c>
      <c r="C10682" t="str">
        <v>Tul Atas Lapangan</v>
      </c>
      <c r="D10682">
        <f>VLOOKUP(D10674,'Detail Balok'!$C$10:$AU$110,7,FALSE)</f>
        <v>3</v>
      </c>
      <c r="E10682" t="str">
        <v>D</v>
      </c>
      <c r="F10682">
        <f>VLOOKUP(D10674,'Detail Balok'!$C$10:$AU$110,9,FALSE)</f>
        <v>16</v>
      </c>
      <c r="I10682" t="str">
        <v>(</v>
      </c>
      <c r="J10682">
        <f>+D10676/2/1000</f>
        <v>1.55</v>
      </c>
      <c r="K10682" t="str">
        <v>+</v>
      </c>
      <c r="M10682" t="str">
        <v>=</v>
      </c>
      <c r="N10682">
        <f>J10682+L10682</f>
        <v>1.55</v>
      </c>
      <c r="O10682" t="str">
        <v>+</v>
      </c>
      <c r="P10682">
        <f>MAX(D10682-D10681,D10682-D10683)</f>
        <v>0</v>
      </c>
      <c r="Q10682" t="str">
        <v>x</v>
      </c>
      <c r="R10682">
        <f>IF(P10682&gt;0,2*(1-2*$F$19-1/2)*D10677/1000,0)</f>
        <v>0</v>
      </c>
      <c r="S10682" t="str">
        <v>)</v>
      </c>
      <c r="T10682" t="str">
        <v>x</v>
      </c>
      <c r="U10682">
        <f>0.006165*F10682^2</f>
        <v>1.57824</v>
      </c>
      <c r="X10682" t="str">
        <v>x</v>
      </c>
      <c r="Y10682">
        <f>D10680</f>
        <v>1</v>
      </c>
      <c r="Z10682" t="str">
        <v>=</v>
      </c>
      <c r="AA10682">
        <f>IF(AA10684=0,(D10682*N10682+P10682*R10682)*U10682*Y10682,0)</f>
        <v>0</v>
      </c>
    </row>
    <row r="10683">
      <c r="A10683" t="str">
        <f>A10674</f>
        <v>Lantai Atap</v>
      </c>
      <c r="B10683">
        <f>B10674</f>
        <v>15</v>
      </c>
      <c r="C10683" t="str">
        <v>Tul Atas Tumpuan</v>
      </c>
      <c r="D10683">
        <f>VLOOKUP(D10674,'Detail Balok'!$C$10:$AU$110,10,FALSE)</f>
        <v>3</v>
      </c>
      <c r="E10683" t="str">
        <v>D</v>
      </c>
      <c r="F10683">
        <f>VLOOKUP(D10674,'Detail Balok'!$C$10:$AU$110,12,FALSE)</f>
        <v>16</v>
      </c>
      <c r="I10683" t="str">
        <v>(</v>
      </c>
      <c r="J10683">
        <f>+D10676/4/1000</f>
        <v>0.775</v>
      </c>
      <c r="K10683" t="str">
        <v>+</v>
      </c>
      <c r="L10683">
        <f>MAX(VLOOKUP(F10683,N$6:P$15,3,FALSE)/1000,2/3*D10678/1000)+F$16*F10683/1000</f>
        <v>0.192</v>
      </c>
      <c r="M10683" t="str">
        <v>=</v>
      </c>
      <c r="N10683">
        <f>J10683+L10683</f>
        <v>0.9670000000000001</v>
      </c>
      <c r="O10683" t="str">
        <v>+</v>
      </c>
      <c r="P10683">
        <f>D10683-D10682</f>
        <v>0</v>
      </c>
      <c r="Q10683" t="str">
        <v>x</v>
      </c>
      <c r="R10683">
        <f>IF(P10683&gt;0,$F$18*F10683/1000,0)</f>
        <v>0</v>
      </c>
      <c r="S10683" t="str">
        <v>)</v>
      </c>
      <c r="T10683" t="str">
        <v>x</v>
      </c>
      <c r="U10683">
        <f>0.006165*F10683^2</f>
        <v>1.57824</v>
      </c>
      <c r="X10683" t="str">
        <v>x</v>
      </c>
      <c r="Y10683">
        <f>D10680</f>
        <v>1</v>
      </c>
      <c r="Z10683" t="str">
        <v>=</v>
      </c>
      <c r="AA10683">
        <f>IF(AA10684=0,(D10683*N10683+P10683*R10683)*U10683*Y10683,0)</f>
        <v>0</v>
      </c>
    </row>
    <row r="10684">
      <c r="A10684" t="str">
        <f>A10674</f>
        <v>Lantai Atap</v>
      </c>
      <c r="B10684">
        <f>B10674</f>
        <v>15</v>
      </c>
      <c r="D10684">
        <f>IF(AND(D10681=D10682,D10682=D10683,D10681=D10683),D10681,0)</f>
        <v>3</v>
      </c>
      <c r="E10684" t="str">
        <v>D</v>
      </c>
      <c r="F10684">
        <f>IF(AND(F10681=F10682,F10681=F10683,F10682=F10683),F10681,0)</f>
        <v>16</v>
      </c>
      <c r="L10684" t="str">
        <v>Total panjang per balok</v>
      </c>
      <c r="M10684" t="str">
        <v>=</v>
      </c>
      <c r="N10684">
        <f>IF(AND(D10681=D10682,D10681=D10683,D10682=D10683,F10681=F10682,F10681=F10683,F10682=F10683),SUM(N10681:N10683),0)</f>
        <v>3.4840000000000004</v>
      </c>
      <c r="O10684" t="str">
        <v>+</v>
      </c>
      <c r="P10684">
        <f>IF(N10684&gt;12,ROUNDDOWN(N10684/12,0),0)</f>
        <v>0</v>
      </c>
      <c r="Q10684" t="str">
        <v>x</v>
      </c>
      <c r="R10684">
        <f>IF(P10684&gt;0,MAX(VLOOKUP(F10684,$D$6:$G$15,3,FALSE),600),0)/1000</f>
        <v>0</v>
      </c>
      <c r="T10684" t="str">
        <v>x</v>
      </c>
      <c r="U10684">
        <f>U10683</f>
        <v>1.57824</v>
      </c>
      <c r="V10684" t="str">
        <v>x</v>
      </c>
      <c r="W10684">
        <f>D10684</f>
        <v>3</v>
      </c>
      <c r="X10684" t="str">
        <v>x</v>
      </c>
      <c r="Y10684">
        <f>Y10683</f>
        <v>1</v>
      </c>
      <c r="Z10684" t="str">
        <v>=</v>
      </c>
      <c r="AA10684">
        <f>(N10684+P10684*R10684/1000)*U10684*W10684*Y10684</f>
        <v>16.495764480000002</v>
      </c>
    </row>
    <row r="10686">
      <c r="A10686" t="str">
        <f>A10674</f>
        <v>Lantai Atap</v>
      </c>
      <c r="B10686">
        <f>B10674</f>
        <v>15</v>
      </c>
      <c r="C10686" t="str">
        <v>Tul Peminggang</v>
      </c>
      <c r="D10686">
        <f>VLOOKUP(D10674,'Detail Balok'!$C$10:$AU$110,13,FALSE)</f>
        <v>0</v>
      </c>
      <c r="E10686" t="str">
        <v>D</v>
      </c>
      <c r="F10686">
        <f>VLOOKUP(D10674,'Detail Balok'!$C$10:$AU$110,15,FALSE)</f>
        <v>6</v>
      </c>
      <c r="J10686">
        <f>+D10676/1000</f>
        <v>3.1</v>
      </c>
      <c r="K10686" t="str">
        <v>+</v>
      </c>
      <c r="L10686">
        <f>2*$F$16*F10686/1000</f>
        <v>0.144</v>
      </c>
      <c r="M10686" t="str">
        <v>=</v>
      </c>
      <c r="N10686">
        <f>J10686+L10686</f>
        <v>3.244</v>
      </c>
      <c r="O10686" t="str">
        <v>+</v>
      </c>
      <c r="P10686">
        <f>IF(N10686&gt;12,ROUNDDOWN(N10686/12,0),0)</f>
        <v>0</v>
      </c>
      <c r="Q10686" t="str">
        <v>x</v>
      </c>
      <c r="R10686">
        <f>IF(P10686&gt;0,MAX(VLOOKUP(F10686,$D$6:$G$15,3,FALSE),600),0)/1000</f>
        <v>0</v>
      </c>
      <c r="T10686" t="str">
        <v>x</v>
      </c>
      <c r="U10686">
        <f>0.006165*F10686^2</f>
        <v>0.22194000000000003</v>
      </c>
      <c r="V10686" t="str">
        <v>x</v>
      </c>
      <c r="W10686">
        <f>+D10686</f>
        <v>0</v>
      </c>
      <c r="X10686" t="str">
        <v>x</v>
      </c>
      <c r="Y10686">
        <f>D10680</f>
        <v>1</v>
      </c>
      <c r="Z10686" t="str">
        <v>=</v>
      </c>
      <c r="AA10686">
        <f>(N10686+P10686*R10686/1000)*U10686*W10686*Y10686</f>
        <v>0</v>
      </c>
    </row>
    <row r="10689">
      <c r="A10689" t="str">
        <f>A10674</f>
        <v>Lantai Atap</v>
      </c>
      <c r="B10689">
        <f>B10674</f>
        <v>15</v>
      </c>
      <c r="C10689" t="str">
        <v>Tul Bawah Tumpuan</v>
      </c>
      <c r="D10689">
        <f>VLOOKUP(D10674,'Detail Balok'!$C$10:$AU$110,22,FALSE)</f>
        <v>3</v>
      </c>
      <c r="E10689" t="str">
        <v>D</v>
      </c>
      <c r="F10689">
        <f>VLOOKUP(D10674,'Detail Balok'!$C$10:$AU$110,24,FALSE)</f>
        <v>16</v>
      </c>
      <c r="I10689" t="str">
        <v>(</v>
      </c>
      <c r="J10689">
        <f>+J10681</f>
        <v>0.775</v>
      </c>
      <c r="K10689" t="str">
        <v>+</v>
      </c>
      <c r="L10689">
        <f>MAX(VLOOKUP(F10689,N$6:P$15,3,FALSE)/1000,2/3*D10679/1000)+F$16*F10689/1000</f>
        <v>0.192</v>
      </c>
      <c r="M10689" t="str">
        <v>=</v>
      </c>
      <c r="N10689">
        <f>J10689+L10689</f>
        <v>0.9670000000000001</v>
      </c>
      <c r="O10689" t="str">
        <v>+</v>
      </c>
      <c r="P10689">
        <f>D10689-D10690</f>
        <v>0</v>
      </c>
      <c r="Q10689" t="str">
        <v>x</v>
      </c>
      <c r="R10689">
        <f>IF(P10689&gt;0,$F$18*F10689/1000,0)</f>
        <v>0</v>
      </c>
      <c r="S10689" t="str">
        <v>)</v>
      </c>
      <c r="T10689" t="str">
        <v>x</v>
      </c>
      <c r="U10689">
        <f>0.006165*F10689^2</f>
        <v>1.57824</v>
      </c>
      <c r="X10689" t="str">
        <v>x</v>
      </c>
      <c r="Y10689">
        <f>D10680</f>
        <v>1</v>
      </c>
      <c r="Z10689" t="str">
        <v>=</v>
      </c>
      <c r="AA10689">
        <f>IF(AA10692=0,(D10689*N10689+P10689*R10689)*U10689*Y10689,0)</f>
        <v>0</v>
      </c>
    </row>
    <row r="10690">
      <c r="A10690" t="str">
        <f>A10674</f>
        <v>Lantai Atap</v>
      </c>
      <c r="B10690">
        <f>B10674</f>
        <v>15</v>
      </c>
      <c r="C10690" t="str">
        <v>Tul Bawah Lapangan</v>
      </c>
      <c r="D10690">
        <f>VLOOKUP(D10674,'Detail Balok'!$C$10:$AU$110,25,FALSE)</f>
        <v>3</v>
      </c>
      <c r="E10690" t="str">
        <v>D</v>
      </c>
      <c r="F10690">
        <f>VLOOKUP(D10674,'Detail Balok'!$C$10:$AU$110,27,FALSE)</f>
        <v>16</v>
      </c>
      <c r="I10690" t="str">
        <v>(</v>
      </c>
      <c r="J10690">
        <f>+J10682</f>
        <v>1.55</v>
      </c>
      <c r="K10690" t="str">
        <v>+</v>
      </c>
      <c r="M10690" t="str">
        <v>=</v>
      </c>
      <c r="N10690">
        <f>J10690+L10690</f>
        <v>1.55</v>
      </c>
      <c r="O10690" t="str">
        <v>+</v>
      </c>
      <c r="P10690">
        <f>MAX(D10690-D10689,D10690-D10691)</f>
        <v>0</v>
      </c>
      <c r="Q10690" t="str">
        <v>x</v>
      </c>
      <c r="R10690">
        <f>IF(P10690&gt;0,2*(1-2*$F$19-1/2)*D10677/1000,0)</f>
        <v>0</v>
      </c>
      <c r="S10690" t="str">
        <v>)</v>
      </c>
      <c r="T10690" t="str">
        <v>x</v>
      </c>
      <c r="U10690">
        <f>0.006165*F10690^2</f>
        <v>1.57824</v>
      </c>
      <c r="X10690" t="str">
        <v>x</v>
      </c>
      <c r="Y10690">
        <f>D10680</f>
        <v>1</v>
      </c>
      <c r="Z10690" t="str">
        <v>=</v>
      </c>
      <c r="AA10690">
        <f>IF(AA10692=0,(D10690*N10690+P10690*R10690)*U10690*Y10690,0)</f>
        <v>0</v>
      </c>
    </row>
    <row r="10691">
      <c r="A10691" t="str">
        <f>A10674</f>
        <v>Lantai Atap</v>
      </c>
      <c r="B10691">
        <f>B10674</f>
        <v>15</v>
      </c>
      <c r="C10691" t="str">
        <v>Tul Bawah Tumpuan</v>
      </c>
      <c r="D10691">
        <f>VLOOKUP(D10674,'Detail Balok'!$C$10:$AU$110,28,FALSE)</f>
        <v>3</v>
      </c>
      <c r="E10691" t="str">
        <v>D</v>
      </c>
      <c r="F10691">
        <f>VLOOKUP(D10674,'Detail Balok'!$C$10:$AU$110,30,FALSE)</f>
        <v>16</v>
      </c>
      <c r="I10691" t="str">
        <v>(</v>
      </c>
      <c r="J10691">
        <f>+J10683</f>
        <v>0.775</v>
      </c>
      <c r="K10691" t="str">
        <v>+</v>
      </c>
      <c r="L10691">
        <f>MAX(VLOOKUP(F10691,N$6:P$15,3,FALSE)/1000,2/3*D10679/1000)+F$16*F10691/1000</f>
        <v>0.192</v>
      </c>
      <c r="M10691" t="str">
        <v>=</v>
      </c>
      <c r="N10691">
        <f>J10691+L10691</f>
        <v>0.9670000000000001</v>
      </c>
      <c r="O10691" t="str">
        <v>+</v>
      </c>
      <c r="P10691">
        <f>D10691-D10690</f>
        <v>0</v>
      </c>
      <c r="Q10691" t="str">
        <v>x</v>
      </c>
      <c r="R10691">
        <f>IF(P10691&gt;0,$F$18*F10691/1000,0)</f>
        <v>0</v>
      </c>
      <c r="S10691" t="str">
        <v>)</v>
      </c>
      <c r="T10691" t="str">
        <v>x</v>
      </c>
      <c r="U10691">
        <f>0.006165*F10691^2</f>
        <v>1.57824</v>
      </c>
      <c r="X10691" t="str">
        <v>x</v>
      </c>
      <c r="Y10691">
        <f>D10680</f>
        <v>1</v>
      </c>
      <c r="Z10691" t="str">
        <v>=</v>
      </c>
      <c r="AA10691">
        <f>IF(AA10692=0,(D10691*N10691+P10691*R10691)*U10691*Y10691,0)</f>
        <v>0</v>
      </c>
    </row>
    <row r="10692">
      <c r="A10692" t="str">
        <f>A10674</f>
        <v>Lantai Atap</v>
      </c>
      <c r="B10692">
        <f>B10674</f>
        <v>15</v>
      </c>
      <c r="D10692">
        <f>IF(AND(D10689=D10690,D10690=D10691,D10689=D10691),D10689,0)</f>
        <v>3</v>
      </c>
      <c r="E10692" t="str">
        <v>D</v>
      </c>
      <c r="F10692">
        <f>IF(AND(F10689=F10690,F10689=F10691,F10690=F10691),F10689,0)</f>
        <v>16</v>
      </c>
      <c r="L10692" t="str">
        <v>Total panjang per balok</v>
      </c>
      <c r="M10692" t="str">
        <v>=</v>
      </c>
      <c r="N10692">
        <f>IF(AND(D10689=D10690,D10689=D10691,D10690=D10691,F10689=F10690,F10689=F10691,F10690=F10691),SUM(N10689:N10691),0)</f>
        <v>3.4840000000000004</v>
      </c>
      <c r="O10692" t="str">
        <v>+</v>
      </c>
      <c r="P10692">
        <f>IF(N10692&gt;12,ROUNDDOWN(N10692/12,0),0)</f>
        <v>0</v>
      </c>
      <c r="Q10692" t="str">
        <v>x</v>
      </c>
      <c r="R10692">
        <f>IF(P10692&gt;0,MAX(VLOOKUP(F10692,$D$6:$G$15,3,FALSE),600),0)/1000</f>
        <v>0</v>
      </c>
      <c r="T10692" t="str">
        <v>x</v>
      </c>
      <c r="U10692">
        <f>U10691</f>
        <v>1.57824</v>
      </c>
      <c r="V10692" t="str">
        <v>x</v>
      </c>
      <c r="W10692">
        <f>D10692</f>
        <v>3</v>
      </c>
      <c r="X10692" t="str">
        <v>x</v>
      </c>
      <c r="Y10692">
        <f>Y10691</f>
        <v>1</v>
      </c>
      <c r="Z10692" t="str">
        <v>=</v>
      </c>
      <c r="AA10692">
        <f>(N10692+P10692*R10692/1000)*U10692*W10692*Y10692</f>
        <v>16.495764480000002</v>
      </c>
    </row>
    <row r="10694">
      <c r="A10694" t="str">
        <f>A10674</f>
        <v>Lantai Atap</v>
      </c>
      <c r="B10694">
        <f>B10674</f>
        <v>15</v>
      </c>
      <c r="C10694" t="str">
        <v>Sengkang Tumpuan</v>
      </c>
      <c r="D10694">
        <f>VLOOKUP(D10674,'Detail Balok'!$C$10:$AU$110,31,FALSE)</f>
        <v>0</v>
      </c>
      <c r="E10694" t="str">
        <v>D</v>
      </c>
      <c r="F10694">
        <f>VLOOKUP(D10674,'Detail Balok'!$C$10:$AU$110,33,FALSE)</f>
        <v>10</v>
      </c>
      <c r="G10694" t="str">
        <v>-</v>
      </c>
      <c r="H10694">
        <f>VLOOKUP(D10674,'Detail Balok'!$C$10:$AU$110,35,FALSE)</f>
        <v>100</v>
      </c>
      <c r="J10694">
        <f>(IF(D10694=0,(2*(D10675+G10675))-(F$5*8),IF(D10694=3,(2*(D10675+G10675))-(F$5*8)+(G10675-2*F$5),IF(D10694=4,(2*(D10675+G10675))-(F$5*8)+2*(G10675-2*F$5)))))/1000</f>
        <v>0.88</v>
      </c>
      <c r="K10694" t="str">
        <v>+</v>
      </c>
      <c r="L10694">
        <f>IF(D10694=0,2*MAX(6*F10694,75),(D10694-1)*2*MAX(6*F10694,75))/1000</f>
        <v>0.15</v>
      </c>
      <c r="M10694" t="str">
        <v>=</v>
      </c>
      <c r="N10694">
        <f>J10694+L10694</f>
        <v>1.03</v>
      </c>
      <c r="T10694" t="str">
        <v>x</v>
      </c>
      <c r="U10694">
        <f>0.006165*F10694^2</f>
        <v>0.6165</v>
      </c>
      <c r="V10694" t="str">
        <v>x</v>
      </c>
      <c r="W10694">
        <f>IF(D10677&gt;4*G10675,ROUND(MAX(D10677/4,2*G10675)/H10694,0)+1,ROUND(D10677/H10694,0)+1)</f>
        <v>9</v>
      </c>
      <c r="X10694" t="str">
        <v>x</v>
      </c>
      <c r="Y10694">
        <f>D10680</f>
        <v>1</v>
      </c>
      <c r="Z10694" t="str">
        <v>=</v>
      </c>
      <c r="AA10694">
        <f>N10694*U10694*W10694*Y10694</f>
        <v>5.714955000000001</v>
      </c>
    </row>
    <row r="10695">
      <c r="A10695" t="str">
        <f>A10674</f>
        <v>Lantai Atap</v>
      </c>
      <c r="B10695">
        <f>B10674</f>
        <v>15</v>
      </c>
      <c r="C10695" t="str">
        <v>Sengkang Lapangan</v>
      </c>
      <c r="D10695">
        <f>VLOOKUP(D10674,'Detail Balok'!$C$10:$AU$110,36,FALSE)</f>
        <v>0</v>
      </c>
      <c r="E10695" t="str">
        <v>D</v>
      </c>
      <c r="F10695">
        <f>VLOOKUP(D10674,'Detail Balok'!$C$10:$AU$110,38,FALSE)</f>
        <v>10</v>
      </c>
      <c r="G10695" t="str">
        <v>-</v>
      </c>
      <c r="H10695">
        <f>VLOOKUP(D10674,'Detail Balok'!$C$10:$AU$110,40,FALSE)</f>
        <v>200</v>
      </c>
      <c r="J10695">
        <f>(IF(D10695=0,(2*(D10675+G10675))-(F$5*8),IF(D10695=3,(2*(D10675+G10675))-(F$5*8)+(G10675-2*F$5),IF(D10695=4,(2*(D10675+G10675))-(F$5*8)+2*(G10675-2*F$5)))))/1000</f>
        <v>0.88</v>
      </c>
      <c r="K10695" t="str">
        <v>+</v>
      </c>
      <c r="L10695">
        <f>IF(D10695=0,2*MAX(6*F10695,75),(D10695-1)*2*MAX(6*F10695,75))/1000</f>
        <v>0.15</v>
      </c>
      <c r="M10695" t="str">
        <v>=</v>
      </c>
      <c r="N10695">
        <f>J10695+L10695</f>
        <v>1.03</v>
      </c>
      <c r="T10695" t="str">
        <v>x</v>
      </c>
      <c r="U10695">
        <f>0.006165*F10695^2</f>
        <v>0.6165</v>
      </c>
      <c r="V10695" t="str">
        <v>x</v>
      </c>
      <c r="W10695">
        <f>IF(D10677-MAX(D10677/4,2*G10675)*2&gt;0,ROUND((D10677-MAX(D10677/4,2*G10675)*2)/H10695,0),0)</f>
        <v>8</v>
      </c>
      <c r="X10695" t="str">
        <v>x</v>
      </c>
      <c r="Y10695">
        <f>D10680</f>
        <v>1</v>
      </c>
      <c r="Z10695" t="str">
        <v>=</v>
      </c>
      <c r="AA10695">
        <f>N10695*U10695*W10695*Y10695</f>
        <v>5.079960000000001</v>
      </c>
    </row>
    <row r="10696">
      <c r="A10696" t="str">
        <f>A10674</f>
        <v>Lantai Atap</v>
      </c>
      <c r="B10696">
        <f>B10674</f>
        <v>15</v>
      </c>
      <c r="C10696" t="str">
        <v>Sengkang Tumpuan</v>
      </c>
      <c r="D10696">
        <f>VLOOKUP(D10674,'Detail Balok'!$C$10:$AU$110,41,FALSE)</f>
        <v>0</v>
      </c>
      <c r="E10696" t="str">
        <v>D</v>
      </c>
      <c r="F10696">
        <f>VLOOKUP(D10674,'Detail Balok'!$C$10:$AU$110,43,FALSE)</f>
        <v>10</v>
      </c>
      <c r="G10696" t="str">
        <v>-</v>
      </c>
      <c r="H10696">
        <f>VLOOKUP(D10674,'Detail Balok'!$C$10:$AU$110,45,FALSE)</f>
        <v>100</v>
      </c>
      <c r="J10696">
        <f>(IF(D10696=0,(2*(D10675+G10675))-(F$5*8),IF(D10696=3,(2*(D10675+G10675))-(F$5*8)+(G10675-2*F$5),IF(D10696=4,(2*(D10675+G10675))-(F$5*8)+2*(G10675-2*F$5)))))/1000</f>
        <v>0.88</v>
      </c>
      <c r="K10696" t="str">
        <v>+</v>
      </c>
      <c r="L10696">
        <f>IF(D10696=0,2*MAX(6*F10696,75),(D10696-1)*2*MAX(6*F10696,75))/1000</f>
        <v>0.15</v>
      </c>
      <c r="M10696" t="str">
        <v>=</v>
      </c>
      <c r="N10696">
        <f>J10696+L10696</f>
        <v>1.03</v>
      </c>
      <c r="T10696" t="str">
        <v>x</v>
      </c>
      <c r="U10696">
        <f>0.006165*F10696^2</f>
        <v>0.6165</v>
      </c>
      <c r="V10696" t="str">
        <v>x</v>
      </c>
      <c r="W10696">
        <f>IF(D10677&gt;4*G10675,ROUND(MAX(D10677/4,2*G10675)/H10696,0)+1,0)</f>
        <v>9</v>
      </c>
      <c r="X10696" t="str">
        <v>x</v>
      </c>
      <c r="Y10696">
        <f>D10680</f>
        <v>1</v>
      </c>
      <c r="Z10696" t="str">
        <v>=</v>
      </c>
      <c r="AA10696">
        <f>N10696*U10696*W10696*Y10696</f>
        <v>5.714955000000001</v>
      </c>
    </row>
    <row r="10698">
      <c r="A10698" t="str">
        <f>A10674</f>
        <v>Lantai Atap</v>
      </c>
      <c r="B10698">
        <f>B10674</f>
        <v>15</v>
      </c>
      <c r="C10698" t="str">
        <v>Kait Horizontal Tump.</v>
      </c>
      <c r="D10698">
        <f>VLOOKUP(D10674,'Detail Balok'!$C$10:$BJ$110,46,FALSE)</f>
        <v>0</v>
      </c>
      <c r="E10698" t="str">
        <v>D</v>
      </c>
      <c r="F10698">
        <f>VLOOKUP(D10674,'Detail Balok'!$C$10:$BJ$110,48,FALSE)</f>
        <v>0</v>
      </c>
      <c r="G10698" t="str">
        <v>-</v>
      </c>
      <c r="H10698">
        <f>VLOOKUP(D10674,'Detail Balok'!$C$10:$BJ$110,50,FALSE)</f>
        <v>100</v>
      </c>
      <c r="J10698">
        <f>(D10675-2*F$5)/1000</f>
        <v>0.12</v>
      </c>
      <c r="K10698" t="str">
        <v>+</v>
      </c>
      <c r="L10698">
        <f>IF(D10698=0,2*MAX(6*F10698,75),(D10698-1)*2*MAX(6*F10698,75))/1000</f>
        <v>0.15</v>
      </c>
      <c r="M10698" t="str">
        <v>=</v>
      </c>
      <c r="N10698">
        <f>J10698+L10698</f>
        <v>0.27</v>
      </c>
      <c r="T10698" t="str">
        <v>x</v>
      </c>
      <c r="U10698">
        <f>0.006165*F10698^2</f>
        <v>0</v>
      </c>
      <c r="V10698" t="str">
        <v>x</v>
      </c>
      <c r="W10698">
        <f>W10694</f>
        <v>9</v>
      </c>
      <c r="X10698" t="str">
        <v>x</v>
      </c>
      <c r="Y10698">
        <f>D10684</f>
        <v>3</v>
      </c>
      <c r="Z10698" t="str">
        <v>=</v>
      </c>
      <c r="AA10698">
        <f>N10698*U10698*W10698*Y10698</f>
        <v>0</v>
      </c>
    </row>
    <row r="10699">
      <c r="A10699" t="str">
        <f>A10674</f>
        <v>Lantai Atap</v>
      </c>
      <c r="B10699">
        <f>B10674</f>
        <v>15</v>
      </c>
      <c r="C10699" t="str">
        <v>Kait Horizontal Lap.</v>
      </c>
      <c r="D10699">
        <f>VLOOKUP(D10674,'Detail Balok'!$C$10:$BJ$110,51,FALSE)</f>
        <v>0</v>
      </c>
      <c r="E10699" t="str">
        <v>D</v>
      </c>
      <c r="F10699">
        <f>VLOOKUP(D10674,'Detail Balok'!$C$10:$BJ$110,53,FALSE)</f>
        <v>0</v>
      </c>
      <c r="G10699" t="str">
        <v>-</v>
      </c>
      <c r="H10699">
        <f>VLOOKUP(D10674,'Detail Balok'!$C$10:$BJ$110,55,FALSE)</f>
        <v>100</v>
      </c>
      <c r="J10699">
        <f>(D10675-2*F$5)/1000</f>
        <v>0.12</v>
      </c>
      <c r="K10699" t="str">
        <v>+</v>
      </c>
      <c r="L10699">
        <f>IF(D10699=0,2*MAX(6*F10699,75),(D10699-1)*2*MAX(6*F10699,75))/1000</f>
        <v>0.15</v>
      </c>
      <c r="M10699" t="str">
        <v>=</v>
      </c>
      <c r="N10699">
        <f>J10699+L10699</f>
        <v>0.27</v>
      </c>
      <c r="T10699" t="str">
        <v>x</v>
      </c>
      <c r="U10699">
        <f>0.006165*F10699^2</f>
        <v>0</v>
      </c>
      <c r="V10699" t="str">
        <v>x</v>
      </c>
      <c r="W10699">
        <f>W10695</f>
        <v>8</v>
      </c>
      <c r="X10699" t="str">
        <v>x</v>
      </c>
      <c r="Y10699">
        <f>D10684</f>
        <v>3</v>
      </c>
      <c r="Z10699" t="str">
        <v>=</v>
      </c>
      <c r="AA10699">
        <f>N10699*U10699*W10699*Y10699</f>
        <v>0</v>
      </c>
    </row>
    <row r="10700">
      <c r="A10700" t="str">
        <f>A10674</f>
        <v>Lantai Atap</v>
      </c>
      <c r="B10700">
        <f>B10674</f>
        <v>15</v>
      </c>
      <c r="C10700" t="str">
        <v>Kait Horizontal Tump.</v>
      </c>
      <c r="D10700">
        <f>VLOOKUP(D10674,'Detail Balok'!$C$10:$BJ$110,56,FALSE)</f>
        <v>0</v>
      </c>
      <c r="E10700" t="str">
        <v>D</v>
      </c>
      <c r="F10700">
        <f>VLOOKUP(D10674,'Detail Balok'!$C$10:$BJ$110,58,FALSE)</f>
        <v>0</v>
      </c>
      <c r="G10700" t="str">
        <v>-</v>
      </c>
      <c r="H10700">
        <f>VLOOKUP(D10674,'Detail Balok'!$C$10:$BJ$110,60,FALSE)</f>
        <v>100</v>
      </c>
      <c r="J10700">
        <f>(D10675-2*F$5)/1000</f>
        <v>0.12</v>
      </c>
      <c r="K10700" t="str">
        <v>+</v>
      </c>
      <c r="L10700">
        <f>IF(D10700=0,2*MAX(6*F10700,75),(D10700-1)*2*MAX(6*F10700,75))/1000</f>
        <v>0.15</v>
      </c>
      <c r="M10700" t="str">
        <v>=</v>
      </c>
      <c r="N10700">
        <f>J10700+L10700</f>
        <v>0.27</v>
      </c>
      <c r="T10700" t="str">
        <v>x</v>
      </c>
      <c r="U10700">
        <f>0.006165*F10700^2</f>
        <v>0</v>
      </c>
      <c r="V10700" t="str">
        <v>x</v>
      </c>
      <c r="W10700">
        <f>W10696</f>
        <v>9</v>
      </c>
      <c r="X10700" t="str">
        <v>x</v>
      </c>
      <c r="Y10700">
        <f>D10684</f>
        <v>3</v>
      </c>
      <c r="Z10700" t="str">
        <v>=</v>
      </c>
      <c r="AA10700">
        <f>N10700*U10700*W10700*Y10700</f>
        <v>0</v>
      </c>
    </row>
    <row r="10704">
      <c r="A10704" t="str">
        <f>A10674</f>
        <v>Lantai Atap</v>
      </c>
      <c r="B10704">
        <f>B10674+1</f>
        <v>16</v>
      </c>
      <c r="C10704" t="str">
        <f>CONCATENATE(A10704," no. ",B10704)</f>
        <v>Lantai Atap no. 16</v>
      </c>
      <c r="D10704" t="str">
        <f>VLOOKUP(C10704,'Data Panjang Balok'!$C$9:$N$424,2,FALSE)</f>
        <v>CL24-1</v>
      </c>
    </row>
    <row r="10705">
      <c r="C10705" t="str">
        <v>Dimensi</v>
      </c>
      <c r="D10705">
        <f>VLOOKUP(D10704,'Detail Balok'!$C$10:$AU$110,2,FALSE)</f>
        <v>200</v>
      </c>
      <c r="F10705" t="str">
        <v>x</v>
      </c>
      <c r="G10705">
        <f>VLOOKUP(D10704,'Detail Balok'!$C$10:$AU$110,3,FALSE)</f>
        <v>400</v>
      </c>
    </row>
    <row r="10706">
      <c r="C10706" t="str">
        <v>Panjang as ke as</v>
      </c>
      <c r="D10706">
        <f>VLOOKUP(C10704,'Data Panjang Balok'!$C$9:$N$424,4,FALSE)</f>
        <v>2000</v>
      </c>
    </row>
    <row r="10707">
      <c r="C10707" t="str">
        <v>Panjang netto</v>
      </c>
      <c r="D10707">
        <f>VLOOKUP(C10704,'Data Panjang Balok'!$C$9:$N$424,7,FALSE)</f>
        <v>2000</v>
      </c>
    </row>
    <row r="10708">
      <c r="C10708" t="str">
        <v>Kolom / balok kiri</v>
      </c>
      <c r="D10708">
        <f>VLOOKUP(C10704,'Data Panjang Balok'!$C$9:$N$424,9,FALSE)</f>
        <v>0</v>
      </c>
    </row>
    <row r="10709">
      <c r="C10709" t="str">
        <v>Kolom / balok kanan</v>
      </c>
      <c r="D10709">
        <f>VLOOKUP(C10704,'Data Panjang Balok'!$C$9:$N$424,10,FALSE)</f>
        <v>0</v>
      </c>
    </row>
    <row r="10710">
      <c r="C10710" t="str">
        <v>Jumlah</v>
      </c>
      <c r="D10710">
        <f>VLOOKUP(C10704,'Data Panjang Balok'!$C$9:$N$424,3,FALSE)</f>
        <v>1</v>
      </c>
    </row>
    <row r="10711">
      <c r="A10711" t="str">
        <f>A10704</f>
        <v>Lantai Atap</v>
      </c>
      <c r="B10711">
        <f>B10704</f>
        <v>16</v>
      </c>
      <c r="C10711" t="str">
        <v>Tul Atas Tumpuan</v>
      </c>
      <c r="D10711">
        <f>VLOOKUP(D10704,'Detail Balok'!$C$10:$AU$110,4,FALSE)</f>
        <v>3</v>
      </c>
      <c r="E10711" t="str">
        <v>D</v>
      </c>
      <c r="F10711">
        <f>VLOOKUP(D10704,'Detail Balok'!$C$10:$AU$110,6,FALSE)</f>
        <v>16</v>
      </c>
      <c r="I10711" t="str">
        <v>(</v>
      </c>
      <c r="J10711">
        <f>+D10706/4/1000</f>
        <v>0.5</v>
      </c>
      <c r="K10711" t="str">
        <v>+</v>
      </c>
      <c r="L10711">
        <f>MAX(VLOOKUP(F10711,N$6:P$15,3,FALSE)/1000,2/3*D10708/1000)+F$16*F10711/1000</f>
        <v>0.192</v>
      </c>
      <c r="M10711" t="str">
        <v>=</v>
      </c>
      <c r="N10711">
        <f>J10711+L10711</f>
        <v>0.692</v>
      </c>
      <c r="O10711" t="str">
        <v>+</v>
      </c>
      <c r="P10711">
        <f>D10711-D10712</f>
        <v>0</v>
      </c>
      <c r="Q10711" t="str">
        <v>x</v>
      </c>
      <c r="R10711">
        <f>IF(P10711&gt;0,$F$18*F10711/1000,0)</f>
        <v>0</v>
      </c>
      <c r="S10711" t="str">
        <v>)</v>
      </c>
      <c r="T10711" t="str">
        <v>x</v>
      </c>
      <c r="U10711">
        <f>0.006165*F10711^2</f>
        <v>1.57824</v>
      </c>
      <c r="X10711" t="str">
        <v>x</v>
      </c>
      <c r="Y10711">
        <f>D10710</f>
        <v>1</v>
      </c>
      <c r="Z10711" t="str">
        <v>=</v>
      </c>
      <c r="AA10711">
        <f>IF(AA10714=0,(D10711*N10711+P10711*R10711)*U10711*Y10711,0)</f>
        <v>0</v>
      </c>
    </row>
    <row r="10712">
      <c r="A10712" t="str">
        <f>A10704</f>
        <v>Lantai Atap</v>
      </c>
      <c r="B10712">
        <f>B10704</f>
        <v>16</v>
      </c>
      <c r="C10712" t="str">
        <v>Tul Atas Lapangan</v>
      </c>
      <c r="D10712">
        <f>VLOOKUP(D10704,'Detail Balok'!$C$10:$AU$110,7,FALSE)</f>
        <v>3</v>
      </c>
      <c r="E10712" t="str">
        <v>D</v>
      </c>
      <c r="F10712">
        <f>VLOOKUP(D10704,'Detail Balok'!$C$10:$AU$110,9,FALSE)</f>
        <v>16</v>
      </c>
      <c r="I10712" t="str">
        <v>(</v>
      </c>
      <c r="J10712">
        <f>+D10706/2/1000</f>
        <v>1</v>
      </c>
      <c r="K10712" t="str">
        <v>+</v>
      </c>
      <c r="M10712" t="str">
        <v>=</v>
      </c>
      <c r="N10712">
        <f>J10712+L10712</f>
        <v>1</v>
      </c>
      <c r="O10712" t="str">
        <v>+</v>
      </c>
      <c r="P10712">
        <f>MAX(D10712-D10711,D10712-D10713)</f>
        <v>0</v>
      </c>
      <c r="Q10712" t="str">
        <v>x</v>
      </c>
      <c r="R10712">
        <f>IF(P10712&gt;0,2*(1-2*$F$19-1/2)*D10707/1000,0)</f>
        <v>0</v>
      </c>
      <c r="S10712" t="str">
        <v>)</v>
      </c>
      <c r="T10712" t="str">
        <v>x</v>
      </c>
      <c r="U10712">
        <f>0.006165*F10712^2</f>
        <v>1.57824</v>
      </c>
      <c r="X10712" t="str">
        <v>x</v>
      </c>
      <c r="Y10712">
        <f>D10710</f>
        <v>1</v>
      </c>
      <c r="Z10712" t="str">
        <v>=</v>
      </c>
      <c r="AA10712">
        <f>IF(AA10714=0,(D10712*N10712+P10712*R10712)*U10712*Y10712,0)</f>
        <v>0</v>
      </c>
    </row>
    <row r="10713">
      <c r="A10713" t="str">
        <f>A10704</f>
        <v>Lantai Atap</v>
      </c>
      <c r="B10713">
        <f>B10704</f>
        <v>16</v>
      </c>
      <c r="C10713" t="str">
        <v>Tul Atas Tumpuan</v>
      </c>
      <c r="D10713">
        <f>VLOOKUP(D10704,'Detail Balok'!$C$10:$AU$110,10,FALSE)</f>
        <v>3</v>
      </c>
      <c r="E10713" t="str">
        <v>D</v>
      </c>
      <c r="F10713">
        <f>VLOOKUP(D10704,'Detail Balok'!$C$10:$AU$110,12,FALSE)</f>
        <v>16</v>
      </c>
      <c r="I10713" t="str">
        <v>(</v>
      </c>
      <c r="J10713">
        <f>+D10706/4/1000</f>
        <v>0.5</v>
      </c>
      <c r="K10713" t="str">
        <v>+</v>
      </c>
      <c r="L10713">
        <f>MAX(VLOOKUP(F10713,N$6:P$15,3,FALSE)/1000,2/3*D10708/1000)+F$16*F10713/1000</f>
        <v>0.192</v>
      </c>
      <c r="M10713" t="str">
        <v>=</v>
      </c>
      <c r="N10713">
        <f>J10713+L10713</f>
        <v>0.692</v>
      </c>
      <c r="O10713" t="str">
        <v>+</v>
      </c>
      <c r="P10713">
        <f>D10713-D10712</f>
        <v>0</v>
      </c>
      <c r="Q10713" t="str">
        <v>x</v>
      </c>
      <c r="R10713">
        <f>IF(P10713&gt;0,$F$18*F10713/1000,0)</f>
        <v>0</v>
      </c>
      <c r="S10713" t="str">
        <v>)</v>
      </c>
      <c r="T10713" t="str">
        <v>x</v>
      </c>
      <c r="U10713">
        <f>0.006165*F10713^2</f>
        <v>1.57824</v>
      </c>
      <c r="X10713" t="str">
        <v>x</v>
      </c>
      <c r="Y10713">
        <f>D10710</f>
        <v>1</v>
      </c>
      <c r="Z10713" t="str">
        <v>=</v>
      </c>
      <c r="AA10713">
        <f>IF(AA10714=0,(D10713*N10713+P10713*R10713)*U10713*Y10713,0)</f>
        <v>0</v>
      </c>
    </row>
    <row r="10714">
      <c r="A10714" t="str">
        <f>A10704</f>
        <v>Lantai Atap</v>
      </c>
      <c r="B10714">
        <f>B10704</f>
        <v>16</v>
      </c>
      <c r="D10714">
        <f>IF(AND(D10711=D10712,D10712=D10713,D10711=D10713),D10711,0)</f>
        <v>3</v>
      </c>
      <c r="E10714" t="str">
        <v>D</v>
      </c>
      <c r="F10714">
        <f>IF(AND(F10711=F10712,F10711=F10713,F10712=F10713),F10711,0)</f>
        <v>16</v>
      </c>
      <c r="L10714" t="str">
        <v>Total panjang per balok</v>
      </c>
      <c r="M10714" t="str">
        <v>=</v>
      </c>
      <c r="N10714">
        <f>IF(AND(D10711=D10712,D10711=D10713,D10712=D10713,F10711=F10712,F10711=F10713,F10712=F10713),SUM(N10711:N10713),0)</f>
        <v>2.384</v>
      </c>
      <c r="O10714" t="str">
        <v>+</v>
      </c>
      <c r="P10714">
        <f>IF(N10714&gt;12,ROUNDDOWN(N10714/12,0),0)</f>
        <v>0</v>
      </c>
      <c r="Q10714" t="str">
        <v>x</v>
      </c>
      <c r="R10714">
        <f>IF(P10714&gt;0,MAX(VLOOKUP(F10714,$D$6:$G$15,3,FALSE),600),0)/1000</f>
        <v>0</v>
      </c>
      <c r="T10714" t="str">
        <v>x</v>
      </c>
      <c r="U10714">
        <f>U10713</f>
        <v>1.57824</v>
      </c>
      <c r="V10714" t="str">
        <v>x</v>
      </c>
      <c r="W10714">
        <f>D10714</f>
        <v>3</v>
      </c>
      <c r="X10714" t="str">
        <v>x</v>
      </c>
      <c r="Y10714">
        <f>Y10713</f>
        <v>1</v>
      </c>
      <c r="Z10714" t="str">
        <v>=</v>
      </c>
      <c r="AA10714">
        <f>(N10714+P10714*R10714/1000)*U10714*W10714*Y10714</f>
        <v>11.28757248</v>
      </c>
    </row>
    <row r="10716">
      <c r="A10716" t="str">
        <f>A10704</f>
        <v>Lantai Atap</v>
      </c>
      <c r="B10716">
        <f>B10704</f>
        <v>16</v>
      </c>
      <c r="C10716" t="str">
        <v>Tul Peminggang</v>
      </c>
      <c r="D10716">
        <f>VLOOKUP(D10704,'Detail Balok'!$C$10:$AU$110,13,FALSE)</f>
        <v>0</v>
      </c>
      <c r="E10716" t="str">
        <v>D</v>
      </c>
      <c r="F10716">
        <f>VLOOKUP(D10704,'Detail Balok'!$C$10:$AU$110,15,FALSE)</f>
        <v>6</v>
      </c>
      <c r="J10716">
        <f>+D10706/1000</f>
        <v>2</v>
      </c>
      <c r="K10716" t="str">
        <v>+</v>
      </c>
      <c r="L10716">
        <f>2*$F$16*F10716/1000</f>
        <v>0.144</v>
      </c>
      <c r="M10716" t="str">
        <v>=</v>
      </c>
      <c r="N10716">
        <f>J10716+L10716</f>
        <v>2.144</v>
      </c>
      <c r="O10716" t="str">
        <v>+</v>
      </c>
      <c r="P10716">
        <f>IF(N10716&gt;12,ROUNDDOWN(N10716/12,0),0)</f>
        <v>0</v>
      </c>
      <c r="Q10716" t="str">
        <v>x</v>
      </c>
      <c r="R10716">
        <f>IF(P10716&gt;0,MAX(VLOOKUP(F10716,$D$6:$G$15,3,FALSE),600),0)/1000</f>
        <v>0</v>
      </c>
      <c r="T10716" t="str">
        <v>x</v>
      </c>
      <c r="U10716">
        <f>0.006165*F10716^2</f>
        <v>0.22194000000000003</v>
      </c>
      <c r="V10716" t="str">
        <v>x</v>
      </c>
      <c r="W10716">
        <f>+D10716</f>
        <v>0</v>
      </c>
      <c r="X10716" t="str">
        <v>x</v>
      </c>
      <c r="Y10716">
        <f>D10710</f>
        <v>1</v>
      </c>
      <c r="Z10716" t="str">
        <v>=</v>
      </c>
      <c r="AA10716">
        <f>(N10716+P10716*R10716/1000)*U10716*W10716*Y10716</f>
        <v>0</v>
      </c>
    </row>
    <row r="10719">
      <c r="A10719" t="str">
        <f>A10704</f>
        <v>Lantai Atap</v>
      </c>
      <c r="B10719">
        <f>B10704</f>
        <v>16</v>
      </c>
      <c r="C10719" t="str">
        <v>Tul Bawah Tumpuan</v>
      </c>
      <c r="D10719">
        <f>VLOOKUP(D10704,'Detail Balok'!$C$10:$AU$110,22,FALSE)</f>
        <v>2</v>
      </c>
      <c r="E10719" t="str">
        <v>D</v>
      </c>
      <c r="F10719">
        <f>VLOOKUP(D10704,'Detail Balok'!$C$10:$AU$110,24,FALSE)</f>
        <v>16</v>
      </c>
      <c r="I10719" t="str">
        <v>(</v>
      </c>
      <c r="J10719">
        <f>+J10711</f>
        <v>0.5</v>
      </c>
      <c r="K10719" t="str">
        <v>+</v>
      </c>
      <c r="L10719">
        <f>MAX(VLOOKUP(F10719,N$6:P$15,3,FALSE)/1000,2/3*D10709/1000)+F$16*F10719/1000</f>
        <v>0.192</v>
      </c>
      <c r="M10719" t="str">
        <v>=</v>
      </c>
      <c r="N10719">
        <f>J10719+L10719</f>
        <v>0.692</v>
      </c>
      <c r="O10719" t="str">
        <v>+</v>
      </c>
      <c r="P10719">
        <f>D10719-D10720</f>
        <v>0</v>
      </c>
      <c r="Q10719" t="str">
        <v>x</v>
      </c>
      <c r="R10719">
        <f>IF(P10719&gt;0,$F$18*F10719/1000,0)</f>
        <v>0</v>
      </c>
      <c r="S10719" t="str">
        <v>)</v>
      </c>
      <c r="T10719" t="str">
        <v>x</v>
      </c>
      <c r="U10719">
        <f>0.006165*F10719^2</f>
        <v>1.57824</v>
      </c>
      <c r="X10719" t="str">
        <v>x</v>
      </c>
      <c r="Y10719">
        <f>D10710</f>
        <v>1</v>
      </c>
      <c r="Z10719" t="str">
        <v>=</v>
      </c>
      <c r="AA10719">
        <f>IF(AA10722=0,(D10719*N10719+P10719*R10719)*U10719*Y10719,0)</f>
        <v>0</v>
      </c>
    </row>
    <row r="10720">
      <c r="A10720" t="str">
        <f>A10704</f>
        <v>Lantai Atap</v>
      </c>
      <c r="B10720">
        <f>B10704</f>
        <v>16</v>
      </c>
      <c r="C10720" t="str">
        <v>Tul Bawah Lapangan</v>
      </c>
      <c r="D10720">
        <f>VLOOKUP(D10704,'Detail Balok'!$C$10:$AU$110,25,FALSE)</f>
        <v>2</v>
      </c>
      <c r="E10720" t="str">
        <v>D</v>
      </c>
      <c r="F10720">
        <f>VLOOKUP(D10704,'Detail Balok'!$C$10:$AU$110,27,FALSE)</f>
        <v>16</v>
      </c>
      <c r="I10720" t="str">
        <v>(</v>
      </c>
      <c r="J10720">
        <f>+J10712</f>
        <v>1</v>
      </c>
      <c r="K10720" t="str">
        <v>+</v>
      </c>
      <c r="M10720" t="str">
        <v>=</v>
      </c>
      <c r="N10720">
        <f>J10720+L10720</f>
        <v>1</v>
      </c>
      <c r="O10720" t="str">
        <v>+</v>
      </c>
      <c r="P10720">
        <f>MAX(D10720-D10719,D10720-D10721)</f>
        <v>0</v>
      </c>
      <c r="Q10720" t="str">
        <v>x</v>
      </c>
      <c r="R10720">
        <f>IF(P10720&gt;0,2*(1-2*$F$19-1/2)*D10707/1000,0)</f>
        <v>0</v>
      </c>
      <c r="S10720" t="str">
        <v>)</v>
      </c>
      <c r="T10720" t="str">
        <v>x</v>
      </c>
      <c r="U10720">
        <f>0.006165*F10720^2</f>
        <v>1.57824</v>
      </c>
      <c r="X10720" t="str">
        <v>x</v>
      </c>
      <c r="Y10720">
        <f>D10710</f>
        <v>1</v>
      </c>
      <c r="Z10720" t="str">
        <v>=</v>
      </c>
      <c r="AA10720">
        <f>IF(AA10722=0,(D10720*N10720+P10720*R10720)*U10720*Y10720,0)</f>
        <v>0</v>
      </c>
    </row>
    <row r="10721">
      <c r="A10721" t="str">
        <f>A10704</f>
        <v>Lantai Atap</v>
      </c>
      <c r="B10721">
        <f>B10704</f>
        <v>16</v>
      </c>
      <c r="C10721" t="str">
        <v>Tul Bawah Tumpuan</v>
      </c>
      <c r="D10721">
        <f>VLOOKUP(D10704,'Detail Balok'!$C$10:$AU$110,28,FALSE)</f>
        <v>2</v>
      </c>
      <c r="E10721" t="str">
        <v>D</v>
      </c>
      <c r="F10721">
        <f>VLOOKUP(D10704,'Detail Balok'!$C$10:$AU$110,30,FALSE)</f>
        <v>16</v>
      </c>
      <c r="I10721" t="str">
        <v>(</v>
      </c>
      <c r="J10721">
        <f>+J10713</f>
        <v>0.5</v>
      </c>
      <c r="K10721" t="str">
        <v>+</v>
      </c>
      <c r="L10721">
        <f>MAX(VLOOKUP(F10721,N$6:P$15,3,FALSE)/1000,2/3*D10709/1000)+F$16*F10721/1000</f>
        <v>0.192</v>
      </c>
      <c r="M10721" t="str">
        <v>=</v>
      </c>
      <c r="N10721">
        <f>J10721+L10721</f>
        <v>0.692</v>
      </c>
      <c r="O10721" t="str">
        <v>+</v>
      </c>
      <c r="P10721">
        <f>D10721-D10720</f>
        <v>0</v>
      </c>
      <c r="Q10721" t="str">
        <v>x</v>
      </c>
      <c r="R10721">
        <f>IF(P10721&gt;0,$F$18*F10721/1000,0)</f>
        <v>0</v>
      </c>
      <c r="S10721" t="str">
        <v>)</v>
      </c>
      <c r="T10721" t="str">
        <v>x</v>
      </c>
      <c r="U10721">
        <f>0.006165*F10721^2</f>
        <v>1.57824</v>
      </c>
      <c r="X10721" t="str">
        <v>x</v>
      </c>
      <c r="Y10721">
        <f>D10710</f>
        <v>1</v>
      </c>
      <c r="Z10721" t="str">
        <v>=</v>
      </c>
      <c r="AA10721">
        <f>IF(AA10722=0,(D10721*N10721+P10721*R10721)*U10721*Y10721,0)</f>
        <v>0</v>
      </c>
    </row>
    <row r="10722">
      <c r="A10722" t="str">
        <f>A10704</f>
        <v>Lantai Atap</v>
      </c>
      <c r="B10722">
        <f>B10704</f>
        <v>16</v>
      </c>
      <c r="D10722">
        <f>IF(AND(D10719=D10720,D10720=D10721,D10719=D10721),D10719,0)</f>
        <v>2</v>
      </c>
      <c r="E10722" t="str">
        <v>D</v>
      </c>
      <c r="F10722">
        <f>IF(AND(F10719=F10720,F10719=F10721,F10720=F10721),F10719,0)</f>
        <v>16</v>
      </c>
      <c r="L10722" t="str">
        <v>Total panjang per balok</v>
      </c>
      <c r="M10722" t="str">
        <v>=</v>
      </c>
      <c r="N10722">
        <f>IF(AND(D10719=D10720,D10719=D10721,D10720=D10721,F10719=F10720,F10719=F10721,F10720=F10721),SUM(N10719:N10721),0)</f>
        <v>2.384</v>
      </c>
      <c r="O10722" t="str">
        <v>+</v>
      </c>
      <c r="P10722">
        <f>IF(N10722&gt;12,ROUNDDOWN(N10722/12,0),0)</f>
        <v>0</v>
      </c>
      <c r="Q10722" t="str">
        <v>x</v>
      </c>
      <c r="R10722">
        <f>IF(P10722&gt;0,MAX(VLOOKUP(F10722,$D$6:$G$15,3,FALSE),600),0)/1000</f>
        <v>0</v>
      </c>
      <c r="T10722" t="str">
        <v>x</v>
      </c>
      <c r="U10722">
        <f>U10721</f>
        <v>1.57824</v>
      </c>
      <c r="V10722" t="str">
        <v>x</v>
      </c>
      <c r="W10722">
        <f>D10722</f>
        <v>2</v>
      </c>
      <c r="X10722" t="str">
        <v>x</v>
      </c>
      <c r="Y10722">
        <f>Y10721</f>
        <v>1</v>
      </c>
      <c r="Z10722" t="str">
        <v>=</v>
      </c>
      <c r="AA10722">
        <f>(N10722+P10722*R10722/1000)*U10722*W10722*Y10722</f>
        <v>7.52504832</v>
      </c>
    </row>
    <row r="10724">
      <c r="A10724" t="str">
        <f>A10704</f>
        <v>Lantai Atap</v>
      </c>
      <c r="B10724">
        <f>B10704</f>
        <v>16</v>
      </c>
      <c r="C10724" t="str">
        <v>Sengkang Tumpuan</v>
      </c>
      <c r="D10724">
        <f>VLOOKUP(D10704,'Detail Balok'!$C$10:$AU$110,31,FALSE)</f>
        <v>0</v>
      </c>
      <c r="E10724" t="str">
        <v>D</v>
      </c>
      <c r="F10724">
        <f>VLOOKUP(D10704,'Detail Balok'!$C$10:$AU$110,33,FALSE)</f>
        <v>8</v>
      </c>
      <c r="G10724" t="str">
        <v>-</v>
      </c>
      <c r="H10724">
        <f>VLOOKUP(D10704,'Detail Balok'!$C$10:$AU$110,35,FALSE)</f>
        <v>200</v>
      </c>
      <c r="J10724">
        <f>(IF(D10724=0,(2*(D10705+G10705))-(F$5*8),IF(D10724=3,(2*(D10705+G10705))-(F$5*8)+(G10705-2*F$5),IF(D10724=4,(2*(D10705+G10705))-(F$5*8)+2*(G10705-2*F$5)))))/1000</f>
        <v>0.88</v>
      </c>
      <c r="K10724" t="str">
        <v>+</v>
      </c>
      <c r="L10724">
        <f>IF(D10724=0,2*MAX(6*F10724,75),(D10724-1)*2*MAX(6*F10724,75))/1000</f>
        <v>0.15</v>
      </c>
      <c r="M10724" t="str">
        <v>=</v>
      </c>
      <c r="N10724">
        <f>J10724+L10724</f>
        <v>1.03</v>
      </c>
      <c r="T10724" t="str">
        <v>x</v>
      </c>
      <c r="U10724">
        <f>0.006165*F10724^2</f>
        <v>0.39456</v>
      </c>
      <c r="V10724" t="str">
        <v>x</v>
      </c>
      <c r="W10724">
        <f>IF(D10707&gt;4*G10705,ROUND(MAX(D10707/4,2*G10705)/H10724,0)+1,ROUND(D10707/H10724,0)+1)</f>
        <v>5</v>
      </c>
      <c r="X10724" t="str">
        <v>x</v>
      </c>
      <c r="Y10724">
        <f>D10710</f>
        <v>1</v>
      </c>
      <c r="Z10724" t="str">
        <v>=</v>
      </c>
      <c r="AA10724">
        <f>N10724*U10724*W10724*Y10724</f>
        <v>2.0319840000000005</v>
      </c>
    </row>
    <row r="10725">
      <c r="A10725" t="str">
        <f>A10704</f>
        <v>Lantai Atap</v>
      </c>
      <c r="B10725">
        <f>B10704</f>
        <v>16</v>
      </c>
      <c r="C10725" t="str">
        <v>Sengkang Lapangan</v>
      </c>
      <c r="D10725">
        <f>VLOOKUP(D10704,'Detail Balok'!$C$10:$AU$110,36,FALSE)</f>
        <v>0</v>
      </c>
      <c r="E10725" t="str">
        <v>D</v>
      </c>
      <c r="F10725">
        <f>VLOOKUP(D10704,'Detail Balok'!$C$10:$AU$110,38,FALSE)</f>
        <v>8</v>
      </c>
      <c r="G10725" t="str">
        <v>-</v>
      </c>
      <c r="H10725">
        <f>VLOOKUP(D10704,'Detail Balok'!$C$10:$AU$110,40,FALSE)</f>
        <v>200</v>
      </c>
      <c r="J10725">
        <f>(IF(D10725=0,(2*(D10705+G10705))-(F$5*8),IF(D10725=3,(2*(D10705+G10705))-(F$5*8)+(G10705-2*F$5),IF(D10725=4,(2*(D10705+G10705))-(F$5*8)+2*(G10705-2*F$5)))))/1000</f>
        <v>0.88</v>
      </c>
      <c r="K10725" t="str">
        <v>+</v>
      </c>
      <c r="L10725">
        <f>IF(D10725=0,2*MAX(6*F10725,75),(D10725-1)*2*MAX(6*F10725,75))/1000</f>
        <v>0.15</v>
      </c>
      <c r="M10725" t="str">
        <v>=</v>
      </c>
      <c r="N10725">
        <f>J10725+L10725</f>
        <v>1.03</v>
      </c>
      <c r="T10725" t="str">
        <v>x</v>
      </c>
      <c r="U10725">
        <f>0.006165*F10725^2</f>
        <v>0.39456</v>
      </c>
      <c r="V10725" t="str">
        <v>x</v>
      </c>
      <c r="W10725">
        <f>IF(D10707-MAX(D10707/4,2*G10705)*2&gt;0,ROUND((D10707-MAX(D10707/4,2*G10705)*2)/H10725,0),0)</f>
        <v>2</v>
      </c>
      <c r="X10725" t="str">
        <v>x</v>
      </c>
      <c r="Y10725">
        <f>D10710</f>
        <v>1</v>
      </c>
      <c r="Z10725" t="str">
        <v>=</v>
      </c>
      <c r="AA10725">
        <f>N10725*U10725*W10725*Y10725</f>
        <v>0.8127936000000001</v>
      </c>
    </row>
    <row r="10726">
      <c r="A10726" t="str">
        <f>A10704</f>
        <v>Lantai Atap</v>
      </c>
      <c r="B10726">
        <f>B10704</f>
        <v>16</v>
      </c>
      <c r="C10726" t="str">
        <v>Sengkang Tumpuan</v>
      </c>
      <c r="D10726">
        <f>VLOOKUP(D10704,'Detail Balok'!$C$10:$AU$110,41,FALSE)</f>
        <v>0</v>
      </c>
      <c r="E10726" t="str">
        <v>D</v>
      </c>
      <c r="F10726">
        <f>VLOOKUP(D10704,'Detail Balok'!$C$10:$AU$110,43,FALSE)</f>
        <v>8</v>
      </c>
      <c r="G10726" t="str">
        <v>-</v>
      </c>
      <c r="H10726">
        <f>VLOOKUP(D10704,'Detail Balok'!$C$10:$AU$110,45,FALSE)</f>
        <v>200</v>
      </c>
      <c r="J10726">
        <f>(IF(D10726=0,(2*(D10705+G10705))-(F$5*8),IF(D10726=3,(2*(D10705+G10705))-(F$5*8)+(G10705-2*F$5),IF(D10726=4,(2*(D10705+G10705))-(F$5*8)+2*(G10705-2*F$5)))))/1000</f>
        <v>0.88</v>
      </c>
      <c r="K10726" t="str">
        <v>+</v>
      </c>
      <c r="L10726">
        <f>IF(D10726=0,2*MAX(6*F10726,75),(D10726-1)*2*MAX(6*F10726,75))/1000</f>
        <v>0.15</v>
      </c>
      <c r="M10726" t="str">
        <v>=</v>
      </c>
      <c r="N10726">
        <f>J10726+L10726</f>
        <v>1.03</v>
      </c>
      <c r="T10726" t="str">
        <v>x</v>
      </c>
      <c r="U10726">
        <f>0.006165*F10726^2</f>
        <v>0.39456</v>
      </c>
      <c r="V10726" t="str">
        <v>x</v>
      </c>
      <c r="W10726">
        <f>IF(D10707&gt;4*G10705,ROUND(MAX(D10707/4,2*G10705)/H10726,0)+1,0)</f>
        <v>5</v>
      </c>
      <c r="X10726" t="str">
        <v>x</v>
      </c>
      <c r="Y10726">
        <f>D10710</f>
        <v>1</v>
      </c>
      <c r="Z10726" t="str">
        <v>=</v>
      </c>
      <c r="AA10726">
        <f>N10726*U10726*W10726*Y10726</f>
        <v>2.0319840000000005</v>
      </c>
    </row>
    <row r="10728">
      <c r="A10728" t="str">
        <f>A10704</f>
        <v>Lantai Atap</v>
      </c>
      <c r="B10728">
        <f>B10704</f>
        <v>16</v>
      </c>
      <c r="C10728" t="str">
        <v>Kait Horizontal Tump.</v>
      </c>
      <c r="D10728">
        <f>VLOOKUP(D10704,'Detail Balok'!$C$10:$BJ$110,46,FALSE)</f>
        <v>0</v>
      </c>
      <c r="E10728" t="str">
        <v>D</v>
      </c>
      <c r="F10728">
        <f>VLOOKUP(D10704,'Detail Balok'!$C$10:$BJ$110,48,FALSE)</f>
        <v>0</v>
      </c>
      <c r="G10728" t="str">
        <v>-</v>
      </c>
      <c r="H10728">
        <f>VLOOKUP(D10704,'Detail Balok'!$C$10:$BJ$110,50,FALSE)</f>
        <v>100</v>
      </c>
      <c r="J10728">
        <f>(D10705-2*F$5)/1000</f>
        <v>0.12</v>
      </c>
      <c r="K10728" t="str">
        <v>+</v>
      </c>
      <c r="L10728">
        <f>IF(D10728=0,2*MAX(6*F10728,75),(D10728-1)*2*MAX(6*F10728,75))/1000</f>
        <v>0.15</v>
      </c>
      <c r="M10728" t="str">
        <v>=</v>
      </c>
      <c r="N10728">
        <f>J10728+L10728</f>
        <v>0.27</v>
      </c>
      <c r="T10728" t="str">
        <v>x</v>
      </c>
      <c r="U10728">
        <f>0.006165*F10728^2</f>
        <v>0</v>
      </c>
      <c r="V10728" t="str">
        <v>x</v>
      </c>
      <c r="W10728">
        <f>W10724</f>
        <v>5</v>
      </c>
      <c r="X10728" t="str">
        <v>x</v>
      </c>
      <c r="Y10728">
        <f>D10714</f>
        <v>3</v>
      </c>
      <c r="Z10728" t="str">
        <v>=</v>
      </c>
      <c r="AA10728">
        <f>N10728*U10728*W10728*Y10728</f>
        <v>0</v>
      </c>
    </row>
    <row r="10729">
      <c r="A10729" t="str">
        <f>A10704</f>
        <v>Lantai Atap</v>
      </c>
      <c r="B10729">
        <f>B10704</f>
        <v>16</v>
      </c>
      <c r="C10729" t="str">
        <v>Kait Horizontal Lap.</v>
      </c>
      <c r="D10729">
        <f>VLOOKUP(D10704,'Detail Balok'!$C$10:$BJ$110,51,FALSE)</f>
        <v>0</v>
      </c>
      <c r="E10729" t="str">
        <v>D</v>
      </c>
      <c r="F10729">
        <f>VLOOKUP(D10704,'Detail Balok'!$C$10:$BJ$110,53,FALSE)</f>
        <v>0</v>
      </c>
      <c r="G10729" t="str">
        <v>-</v>
      </c>
      <c r="H10729">
        <f>VLOOKUP(D10704,'Detail Balok'!$C$10:$BJ$110,55,FALSE)</f>
        <v>100</v>
      </c>
      <c r="J10729">
        <f>(D10705-2*F$5)/1000</f>
        <v>0.12</v>
      </c>
      <c r="K10729" t="str">
        <v>+</v>
      </c>
      <c r="L10729">
        <f>IF(D10729=0,2*MAX(6*F10729,75),(D10729-1)*2*MAX(6*F10729,75))/1000</f>
        <v>0.15</v>
      </c>
      <c r="M10729" t="str">
        <v>=</v>
      </c>
      <c r="N10729">
        <f>J10729+L10729</f>
        <v>0.27</v>
      </c>
      <c r="T10729" t="str">
        <v>x</v>
      </c>
      <c r="U10729">
        <f>0.006165*F10729^2</f>
        <v>0</v>
      </c>
      <c r="V10729" t="str">
        <v>x</v>
      </c>
      <c r="W10729">
        <f>W10725</f>
        <v>2</v>
      </c>
      <c r="X10729" t="str">
        <v>x</v>
      </c>
      <c r="Y10729">
        <f>D10714</f>
        <v>3</v>
      </c>
      <c r="Z10729" t="str">
        <v>=</v>
      </c>
      <c r="AA10729">
        <f>N10729*U10729*W10729*Y10729</f>
        <v>0</v>
      </c>
    </row>
    <row r="10730">
      <c r="A10730" t="str">
        <f>A10704</f>
        <v>Lantai Atap</v>
      </c>
      <c r="B10730">
        <f>B10704</f>
        <v>16</v>
      </c>
      <c r="C10730" t="str">
        <v>Kait Horizontal Tump.</v>
      </c>
      <c r="D10730">
        <f>VLOOKUP(D10704,'Detail Balok'!$C$10:$BJ$110,56,FALSE)</f>
        <v>0</v>
      </c>
      <c r="E10730" t="str">
        <v>D</v>
      </c>
      <c r="F10730">
        <f>VLOOKUP(D10704,'Detail Balok'!$C$10:$BJ$110,58,FALSE)</f>
        <v>0</v>
      </c>
      <c r="G10730" t="str">
        <v>-</v>
      </c>
      <c r="H10730">
        <f>VLOOKUP(D10704,'Detail Balok'!$C$10:$BJ$110,60,FALSE)</f>
        <v>100</v>
      </c>
      <c r="J10730">
        <f>(D10705-2*F$5)/1000</f>
        <v>0.12</v>
      </c>
      <c r="K10730" t="str">
        <v>+</v>
      </c>
      <c r="L10730">
        <f>IF(D10730=0,2*MAX(6*F10730,75),(D10730-1)*2*MAX(6*F10730,75))/1000</f>
        <v>0.15</v>
      </c>
      <c r="M10730" t="str">
        <v>=</v>
      </c>
      <c r="N10730">
        <f>J10730+L10730</f>
        <v>0.27</v>
      </c>
      <c r="T10730" t="str">
        <v>x</v>
      </c>
      <c r="U10730">
        <f>0.006165*F10730^2</f>
        <v>0</v>
      </c>
      <c r="V10730" t="str">
        <v>x</v>
      </c>
      <c r="W10730">
        <f>W10726</f>
        <v>5</v>
      </c>
      <c r="X10730" t="str">
        <v>x</v>
      </c>
      <c r="Y10730">
        <f>D10714</f>
        <v>3</v>
      </c>
      <c r="Z10730" t="str">
        <v>=</v>
      </c>
      <c r="AA10730">
        <f>N10730*U10730*W10730*Y10730</f>
        <v>0</v>
      </c>
    </row>
    <row r="10734">
      <c r="A10734" t="str">
        <f>A10704</f>
        <v>Lantai Atap</v>
      </c>
      <c r="B10734">
        <f>B10704+1</f>
        <v>17</v>
      </c>
      <c r="C10734" t="str">
        <f>CONCATENATE(A10734," no. ",B10734)</f>
        <v>Lantai Atap no. 17</v>
      </c>
      <c r="D10734" t="str">
        <f>VLOOKUP(C10734,'Data Panjang Balok'!$C$9:$N$424,2,FALSE)</f>
        <v>B245-2</v>
      </c>
    </row>
    <row r="10735">
      <c r="C10735" t="str">
        <v>Dimensi</v>
      </c>
      <c r="D10735">
        <f>VLOOKUP(D10734,'Detail Balok'!$C$10:$AU$110,2,FALSE)</f>
        <v>200</v>
      </c>
      <c r="F10735" t="str">
        <v>x</v>
      </c>
      <c r="G10735">
        <f>VLOOKUP(D10734,'Detail Balok'!$C$10:$AU$110,3,FALSE)</f>
        <v>450</v>
      </c>
    </row>
    <row r="10736">
      <c r="C10736" t="str">
        <v>Panjang as ke as</v>
      </c>
      <c r="D10736">
        <f>VLOOKUP(C10734,'Data Panjang Balok'!$C$9:$N$424,4,FALSE)</f>
        <v>6000</v>
      </c>
    </row>
    <row r="10737">
      <c r="C10737" t="str">
        <v>Panjang netto</v>
      </c>
      <c r="D10737">
        <f>VLOOKUP(C10734,'Data Panjang Balok'!$C$9:$N$424,7,FALSE)</f>
        <v>6000</v>
      </c>
    </row>
    <row r="10738">
      <c r="C10738" t="str">
        <v>Kolom / balok kiri</v>
      </c>
      <c r="D10738">
        <f>VLOOKUP(C10734,'Data Panjang Balok'!$C$9:$N$424,9,FALSE)</f>
        <v>0</v>
      </c>
    </row>
    <row r="10739">
      <c r="C10739" t="str">
        <v>Kolom / balok kanan</v>
      </c>
      <c r="D10739">
        <f>VLOOKUP(C10734,'Data Panjang Balok'!$C$9:$N$424,10,FALSE)</f>
        <v>0</v>
      </c>
    </row>
    <row r="10740">
      <c r="C10740" t="str">
        <v>Jumlah</v>
      </c>
      <c r="D10740">
        <f>VLOOKUP(C10734,'Data Panjang Balok'!$C$9:$N$424,3,FALSE)</f>
        <v>1</v>
      </c>
    </row>
    <row r="10741">
      <c r="A10741" t="str">
        <f>A10734</f>
        <v>Lantai Atap</v>
      </c>
      <c r="B10741">
        <f>B10734</f>
        <v>17</v>
      </c>
      <c r="C10741" t="str">
        <v>Tul Atas Tumpuan</v>
      </c>
      <c r="D10741">
        <f>VLOOKUP(D10734,'Detail Balok'!$C$10:$AU$110,4,FALSE)</f>
        <v>3</v>
      </c>
      <c r="E10741" t="str">
        <v>D</v>
      </c>
      <c r="F10741">
        <f>VLOOKUP(D10734,'Detail Balok'!$C$10:$AU$110,6,FALSE)</f>
        <v>13</v>
      </c>
      <c r="I10741" t="str">
        <v>(</v>
      </c>
      <c r="J10741">
        <f>+D10736/4/1000</f>
        <v>1.5</v>
      </c>
      <c r="K10741" t="str">
        <v>+</v>
      </c>
      <c r="L10741">
        <f>MAX(VLOOKUP(F10741,N$6:P$15,3,FALSE)/1000,2/3*D10738/1000)+F$16*F10741/1000</f>
        <v>0.156</v>
      </c>
      <c r="M10741" t="str">
        <v>=</v>
      </c>
      <c r="N10741">
        <f>J10741+L10741</f>
        <v>1.656</v>
      </c>
      <c r="O10741" t="str">
        <v>+</v>
      </c>
      <c r="P10741">
        <f>D10741-D10742</f>
        <v>0</v>
      </c>
      <c r="Q10741" t="str">
        <v>x</v>
      </c>
      <c r="R10741">
        <f>IF(P10741&gt;0,$F$18*F10741/1000,0)</f>
        <v>0</v>
      </c>
      <c r="S10741" t="str">
        <v>)</v>
      </c>
      <c r="T10741" t="str">
        <v>x</v>
      </c>
      <c r="U10741">
        <f>0.006165*F10741^2</f>
        <v>1.041885</v>
      </c>
      <c r="X10741" t="str">
        <v>x</v>
      </c>
      <c r="Y10741">
        <f>D10740</f>
        <v>1</v>
      </c>
      <c r="Z10741" t="str">
        <v>=</v>
      </c>
      <c r="AA10741">
        <f>IF(AA10744=0,(D10741*N10741+P10741*R10741)*U10741*Y10741,0)</f>
        <v>0</v>
      </c>
    </row>
    <row r="10742">
      <c r="A10742" t="str">
        <f>A10734</f>
        <v>Lantai Atap</v>
      </c>
      <c r="B10742">
        <f>B10734</f>
        <v>17</v>
      </c>
      <c r="C10742" t="str">
        <v>Tul Atas Lapangan</v>
      </c>
      <c r="D10742">
        <f>VLOOKUP(D10734,'Detail Balok'!$C$10:$AU$110,7,FALSE)</f>
        <v>3</v>
      </c>
      <c r="E10742" t="str">
        <v>D</v>
      </c>
      <c r="F10742">
        <f>VLOOKUP(D10734,'Detail Balok'!$C$10:$AU$110,9,FALSE)</f>
        <v>13</v>
      </c>
      <c r="I10742" t="str">
        <v>(</v>
      </c>
      <c r="J10742">
        <f>+D10736/2/1000</f>
        <v>3</v>
      </c>
      <c r="K10742" t="str">
        <v>+</v>
      </c>
      <c r="M10742" t="str">
        <v>=</v>
      </c>
      <c r="N10742">
        <f>J10742+L10742</f>
        <v>3</v>
      </c>
      <c r="O10742" t="str">
        <v>+</v>
      </c>
      <c r="P10742">
        <f>MAX(D10742-D10741,D10742-D10743)</f>
        <v>0</v>
      </c>
      <c r="Q10742" t="str">
        <v>x</v>
      </c>
      <c r="R10742">
        <f>IF(P10742&gt;0,2*(1-2*$F$19-1/2)*D10737/1000,0)</f>
        <v>0</v>
      </c>
      <c r="S10742" t="str">
        <v>)</v>
      </c>
      <c r="T10742" t="str">
        <v>x</v>
      </c>
      <c r="U10742">
        <f>0.006165*F10742^2</f>
        <v>1.041885</v>
      </c>
      <c r="X10742" t="str">
        <v>x</v>
      </c>
      <c r="Y10742">
        <f>D10740</f>
        <v>1</v>
      </c>
      <c r="Z10742" t="str">
        <v>=</v>
      </c>
      <c r="AA10742">
        <f>IF(AA10744=0,(D10742*N10742+P10742*R10742)*U10742*Y10742,0)</f>
        <v>0</v>
      </c>
    </row>
    <row r="10743">
      <c r="A10743" t="str">
        <f>A10734</f>
        <v>Lantai Atap</v>
      </c>
      <c r="B10743">
        <f>B10734</f>
        <v>17</v>
      </c>
      <c r="C10743" t="str">
        <v>Tul Atas Tumpuan</v>
      </c>
      <c r="D10743">
        <f>VLOOKUP(D10734,'Detail Balok'!$C$10:$AU$110,10,FALSE)</f>
        <v>3</v>
      </c>
      <c r="E10743" t="str">
        <v>D</v>
      </c>
      <c r="F10743">
        <f>VLOOKUP(D10734,'Detail Balok'!$C$10:$AU$110,12,FALSE)</f>
        <v>13</v>
      </c>
      <c r="I10743" t="str">
        <v>(</v>
      </c>
      <c r="J10743">
        <f>+D10736/4/1000</f>
        <v>1.5</v>
      </c>
      <c r="K10743" t="str">
        <v>+</v>
      </c>
      <c r="L10743">
        <f>MAX(VLOOKUP(F10743,N$6:P$15,3,FALSE)/1000,2/3*D10738/1000)+F$16*F10743/1000</f>
        <v>0.156</v>
      </c>
      <c r="M10743" t="str">
        <v>=</v>
      </c>
      <c r="N10743">
        <f>J10743+L10743</f>
        <v>1.656</v>
      </c>
      <c r="O10743" t="str">
        <v>+</v>
      </c>
      <c r="P10743">
        <f>D10743-D10742</f>
        <v>0</v>
      </c>
      <c r="Q10743" t="str">
        <v>x</v>
      </c>
      <c r="R10743">
        <f>IF(P10743&gt;0,$F$18*F10743/1000,0)</f>
        <v>0</v>
      </c>
      <c r="S10743" t="str">
        <v>)</v>
      </c>
      <c r="T10743" t="str">
        <v>x</v>
      </c>
      <c r="U10743">
        <f>0.006165*F10743^2</f>
        <v>1.041885</v>
      </c>
      <c r="X10743" t="str">
        <v>x</v>
      </c>
      <c r="Y10743">
        <f>D10740</f>
        <v>1</v>
      </c>
      <c r="Z10743" t="str">
        <v>=</v>
      </c>
      <c r="AA10743">
        <f>IF(AA10744=0,(D10743*N10743+P10743*R10743)*U10743*Y10743,0)</f>
        <v>0</v>
      </c>
    </row>
    <row r="10744">
      <c r="A10744" t="str">
        <f>A10734</f>
        <v>Lantai Atap</v>
      </c>
      <c r="B10744">
        <f>B10734</f>
        <v>17</v>
      </c>
      <c r="D10744">
        <f>IF(AND(D10741=D10742,D10742=D10743,D10741=D10743),D10741,0)</f>
        <v>3</v>
      </c>
      <c r="E10744" t="str">
        <v>D</v>
      </c>
      <c r="F10744">
        <f>IF(AND(F10741=F10742,F10741=F10743,F10742=F10743),F10741,0)</f>
        <v>13</v>
      </c>
      <c r="L10744" t="str">
        <v>Total panjang per balok</v>
      </c>
      <c r="M10744" t="str">
        <v>=</v>
      </c>
      <c r="N10744">
        <f>IF(AND(D10741=D10742,D10741=D10743,D10742=D10743,F10741=F10742,F10741=F10743,F10742=F10743),SUM(N10741:N10743),0)</f>
        <v>6.311999999999999</v>
      </c>
      <c r="O10744" t="str">
        <v>+</v>
      </c>
      <c r="P10744">
        <f>IF(N10744&gt;12,ROUNDDOWN(N10744/12,0),0)</f>
        <v>0</v>
      </c>
      <c r="Q10744" t="str">
        <v>x</v>
      </c>
      <c r="R10744">
        <f>IF(P10744&gt;0,MAX(VLOOKUP(F10744,$D$6:$G$15,3,FALSE),600),0)/1000</f>
        <v>0</v>
      </c>
      <c r="T10744" t="str">
        <v>x</v>
      </c>
      <c r="U10744">
        <f>U10743</f>
        <v>1.041885</v>
      </c>
      <c r="V10744" t="str">
        <v>x</v>
      </c>
      <c r="W10744">
        <f>D10744</f>
        <v>3</v>
      </c>
      <c r="X10744" t="str">
        <v>x</v>
      </c>
      <c r="Y10744">
        <f>Y10743</f>
        <v>1</v>
      </c>
      <c r="Z10744" t="str">
        <v>=</v>
      </c>
      <c r="AA10744">
        <f>(N10744+P10744*R10744/1000)*U10744*W10744*Y10744</f>
        <v>19.729134359999996</v>
      </c>
    </row>
    <row r="10746">
      <c r="A10746" t="str">
        <f>A10734</f>
        <v>Lantai Atap</v>
      </c>
      <c r="B10746">
        <f>B10734</f>
        <v>17</v>
      </c>
      <c r="C10746" t="str">
        <v>Tul Peminggang</v>
      </c>
      <c r="D10746">
        <f>VLOOKUP(D10734,'Detail Balok'!$C$10:$AU$110,13,FALSE)</f>
        <v>2</v>
      </c>
      <c r="E10746" t="str">
        <v>D</v>
      </c>
      <c r="F10746">
        <f>VLOOKUP(D10734,'Detail Balok'!$C$10:$AU$110,15,FALSE)</f>
        <v>8</v>
      </c>
      <c r="J10746">
        <f>+D10736/1000</f>
        <v>6</v>
      </c>
      <c r="K10746" t="str">
        <v>+</v>
      </c>
      <c r="L10746">
        <f>2*$F$16*F10746/1000</f>
        <v>0.192</v>
      </c>
      <c r="M10746" t="str">
        <v>=</v>
      </c>
      <c r="N10746">
        <f>J10746+L10746</f>
        <v>6.192</v>
      </c>
      <c r="O10746" t="str">
        <v>+</v>
      </c>
      <c r="P10746">
        <f>IF(N10746&gt;12,ROUNDDOWN(N10746/12,0),0)</f>
        <v>0</v>
      </c>
      <c r="Q10746" t="str">
        <v>x</v>
      </c>
      <c r="R10746">
        <f>IF(P10746&gt;0,MAX(VLOOKUP(F10746,$D$6:$G$15,3,FALSE),600),0)/1000</f>
        <v>0</v>
      </c>
      <c r="T10746" t="str">
        <v>x</v>
      </c>
      <c r="U10746">
        <f>0.006165*F10746^2</f>
        <v>0.39456</v>
      </c>
      <c r="V10746" t="str">
        <v>x</v>
      </c>
      <c r="W10746">
        <f>+D10746</f>
        <v>2</v>
      </c>
      <c r="X10746" t="str">
        <v>x</v>
      </c>
      <c r="Y10746">
        <f>D10740</f>
        <v>1</v>
      </c>
      <c r="Z10746" t="str">
        <v>=</v>
      </c>
      <c r="AA10746">
        <f>(N10746+P10746*R10746/1000)*U10746*W10746*Y10746</f>
        <v>4.88623104</v>
      </c>
    </row>
    <row r="10749">
      <c r="A10749" t="str">
        <f>A10734</f>
        <v>Lantai Atap</v>
      </c>
      <c r="B10749">
        <f>B10734</f>
        <v>17</v>
      </c>
      <c r="C10749" t="str">
        <v>Tul Bawah Tumpuan</v>
      </c>
      <c r="D10749">
        <f>VLOOKUP(D10734,'Detail Balok'!$C$10:$AU$110,22,FALSE)</f>
        <v>3</v>
      </c>
      <c r="E10749" t="str">
        <v>D</v>
      </c>
      <c r="F10749">
        <f>VLOOKUP(D10734,'Detail Balok'!$C$10:$AU$110,24,FALSE)</f>
        <v>13</v>
      </c>
      <c r="I10749" t="str">
        <v>(</v>
      </c>
      <c r="J10749">
        <f>+J10741</f>
        <v>1.5</v>
      </c>
      <c r="K10749" t="str">
        <v>+</v>
      </c>
      <c r="L10749">
        <f>MAX(VLOOKUP(F10749,N$6:P$15,3,FALSE)/1000,2/3*D10739/1000)+F$16*F10749/1000</f>
        <v>0.156</v>
      </c>
      <c r="M10749" t="str">
        <v>=</v>
      </c>
      <c r="N10749">
        <f>J10749+L10749</f>
        <v>1.656</v>
      </c>
      <c r="O10749" t="str">
        <v>+</v>
      </c>
      <c r="P10749">
        <f>D10749-D10750</f>
        <v>0</v>
      </c>
      <c r="Q10749" t="str">
        <v>x</v>
      </c>
      <c r="R10749">
        <f>IF(P10749&gt;0,$F$18*F10749/1000,0)</f>
        <v>0</v>
      </c>
      <c r="S10749" t="str">
        <v>)</v>
      </c>
      <c r="T10749" t="str">
        <v>x</v>
      </c>
      <c r="U10749">
        <f>0.006165*F10749^2</f>
        <v>1.041885</v>
      </c>
      <c r="X10749" t="str">
        <v>x</v>
      </c>
      <c r="Y10749">
        <f>D10740</f>
        <v>1</v>
      </c>
      <c r="Z10749" t="str">
        <v>=</v>
      </c>
      <c r="AA10749">
        <f>IF(AA10752=0,(D10749*N10749+P10749*R10749)*U10749*Y10749,0)</f>
        <v>0</v>
      </c>
    </row>
    <row r="10750">
      <c r="A10750" t="str">
        <f>A10734</f>
        <v>Lantai Atap</v>
      </c>
      <c r="B10750">
        <f>B10734</f>
        <v>17</v>
      </c>
      <c r="C10750" t="str">
        <v>Tul Bawah Lapangan</v>
      </c>
      <c r="D10750">
        <f>VLOOKUP(D10734,'Detail Balok'!$C$10:$AU$110,25,FALSE)</f>
        <v>3</v>
      </c>
      <c r="E10750" t="str">
        <v>D</v>
      </c>
      <c r="F10750">
        <f>VLOOKUP(D10734,'Detail Balok'!$C$10:$AU$110,27,FALSE)</f>
        <v>13</v>
      </c>
      <c r="I10750" t="str">
        <v>(</v>
      </c>
      <c r="J10750">
        <f>+J10742</f>
        <v>3</v>
      </c>
      <c r="K10750" t="str">
        <v>+</v>
      </c>
      <c r="M10750" t="str">
        <v>=</v>
      </c>
      <c r="N10750">
        <f>J10750+L10750</f>
        <v>3</v>
      </c>
      <c r="O10750" t="str">
        <v>+</v>
      </c>
      <c r="P10750">
        <f>MAX(D10750-D10749,D10750-D10751)</f>
        <v>0</v>
      </c>
      <c r="Q10750" t="str">
        <v>x</v>
      </c>
      <c r="R10750">
        <f>IF(P10750&gt;0,2*(1-2*$F$19-1/2)*D10737/1000,0)</f>
        <v>0</v>
      </c>
      <c r="S10750" t="str">
        <v>)</v>
      </c>
      <c r="T10750" t="str">
        <v>x</v>
      </c>
      <c r="U10750">
        <f>0.006165*F10750^2</f>
        <v>1.041885</v>
      </c>
      <c r="X10750" t="str">
        <v>x</v>
      </c>
      <c r="Y10750">
        <f>D10740</f>
        <v>1</v>
      </c>
      <c r="Z10750" t="str">
        <v>=</v>
      </c>
      <c r="AA10750">
        <f>IF(AA10752=0,(D10750*N10750+P10750*R10750)*U10750*Y10750,0)</f>
        <v>0</v>
      </c>
    </row>
    <row r="10751">
      <c r="A10751" t="str">
        <f>A10734</f>
        <v>Lantai Atap</v>
      </c>
      <c r="B10751">
        <f>B10734</f>
        <v>17</v>
      </c>
      <c r="C10751" t="str">
        <v>Tul Bawah Tumpuan</v>
      </c>
      <c r="D10751">
        <f>VLOOKUP(D10734,'Detail Balok'!$C$10:$AU$110,28,FALSE)</f>
        <v>3</v>
      </c>
      <c r="E10751" t="str">
        <v>D</v>
      </c>
      <c r="F10751">
        <f>VLOOKUP(D10734,'Detail Balok'!$C$10:$AU$110,30,FALSE)</f>
        <v>13</v>
      </c>
      <c r="I10751" t="str">
        <v>(</v>
      </c>
      <c r="J10751">
        <f>+J10743</f>
        <v>1.5</v>
      </c>
      <c r="K10751" t="str">
        <v>+</v>
      </c>
      <c r="L10751">
        <f>MAX(VLOOKUP(F10751,N$6:P$15,3,FALSE)/1000,2/3*D10739/1000)+F$16*F10751/1000</f>
        <v>0.156</v>
      </c>
      <c r="M10751" t="str">
        <v>=</v>
      </c>
      <c r="N10751">
        <f>J10751+L10751</f>
        <v>1.656</v>
      </c>
      <c r="O10751" t="str">
        <v>+</v>
      </c>
      <c r="P10751">
        <f>D10751-D10750</f>
        <v>0</v>
      </c>
      <c r="Q10751" t="str">
        <v>x</v>
      </c>
      <c r="R10751">
        <f>IF(P10751&gt;0,$F$18*F10751/1000,0)</f>
        <v>0</v>
      </c>
      <c r="S10751" t="str">
        <v>)</v>
      </c>
      <c r="T10751" t="str">
        <v>x</v>
      </c>
      <c r="U10751">
        <f>0.006165*F10751^2</f>
        <v>1.041885</v>
      </c>
      <c r="X10751" t="str">
        <v>x</v>
      </c>
      <c r="Y10751">
        <f>D10740</f>
        <v>1</v>
      </c>
      <c r="Z10751" t="str">
        <v>=</v>
      </c>
      <c r="AA10751">
        <f>IF(AA10752=0,(D10751*N10751+P10751*R10751)*U10751*Y10751,0)</f>
        <v>0</v>
      </c>
    </row>
    <row r="10752">
      <c r="A10752" t="str">
        <f>A10734</f>
        <v>Lantai Atap</v>
      </c>
      <c r="B10752">
        <f>B10734</f>
        <v>17</v>
      </c>
      <c r="D10752">
        <f>IF(AND(D10749=D10750,D10750=D10751,D10749=D10751),D10749,0)</f>
        <v>3</v>
      </c>
      <c r="E10752" t="str">
        <v>D</v>
      </c>
      <c r="F10752">
        <f>IF(AND(F10749=F10750,F10749=F10751,F10750=F10751),F10749,0)</f>
        <v>13</v>
      </c>
      <c r="L10752" t="str">
        <v>Total panjang per balok</v>
      </c>
      <c r="M10752" t="str">
        <v>=</v>
      </c>
      <c r="N10752">
        <f>IF(AND(D10749=D10750,D10749=D10751,D10750=D10751,F10749=F10750,F10749=F10751,F10750=F10751),SUM(N10749:N10751),0)</f>
        <v>6.311999999999999</v>
      </c>
      <c r="O10752" t="str">
        <v>+</v>
      </c>
      <c r="P10752">
        <f>IF(N10752&gt;12,ROUNDDOWN(N10752/12,0),0)</f>
        <v>0</v>
      </c>
      <c r="Q10752" t="str">
        <v>x</v>
      </c>
      <c r="R10752">
        <f>IF(P10752&gt;0,MAX(VLOOKUP(F10752,$D$6:$G$15,3,FALSE),600),0)/1000</f>
        <v>0</v>
      </c>
      <c r="T10752" t="str">
        <v>x</v>
      </c>
      <c r="U10752">
        <f>U10751</f>
        <v>1.041885</v>
      </c>
      <c r="V10752" t="str">
        <v>x</v>
      </c>
      <c r="W10752">
        <f>D10752</f>
        <v>3</v>
      </c>
      <c r="X10752" t="str">
        <v>x</v>
      </c>
      <c r="Y10752">
        <f>Y10751</f>
        <v>1</v>
      </c>
      <c r="Z10752" t="str">
        <v>=</v>
      </c>
      <c r="AA10752">
        <f>(N10752+P10752*R10752/1000)*U10752*W10752*Y10752</f>
        <v>19.729134359999996</v>
      </c>
    </row>
    <row r="10754">
      <c r="A10754" t="str">
        <f>A10734</f>
        <v>Lantai Atap</v>
      </c>
      <c r="B10754">
        <f>B10734</f>
        <v>17</v>
      </c>
      <c r="C10754" t="str">
        <v>Sengkang Tumpuan</v>
      </c>
      <c r="D10754">
        <f>VLOOKUP(D10734,'Detail Balok'!$C$10:$AU$110,31,FALSE)</f>
        <v>0</v>
      </c>
      <c r="E10754" t="str">
        <v>D</v>
      </c>
      <c r="F10754">
        <f>VLOOKUP(D10734,'Detail Balok'!$C$10:$AU$110,33,FALSE)</f>
        <v>8</v>
      </c>
      <c r="G10754" t="str">
        <v>-</v>
      </c>
      <c r="H10754">
        <f>VLOOKUP(D10734,'Detail Balok'!$C$10:$AU$110,35,FALSE)</f>
        <v>100</v>
      </c>
      <c r="J10754">
        <f>(IF(D10754=0,(2*(D10735+G10735))-(F$5*8),IF(D10754=3,(2*(D10735+G10735))-(F$5*8)+(G10735-2*F$5),IF(D10754=4,(2*(D10735+G10735))-(F$5*8)+2*(G10735-2*F$5)))))/1000</f>
        <v>0.98</v>
      </c>
      <c r="K10754" t="str">
        <v>+</v>
      </c>
      <c r="L10754">
        <f>IF(D10754=0,2*MAX(6*F10754,75),(D10754-1)*2*MAX(6*F10754,75))/1000</f>
        <v>0.15</v>
      </c>
      <c r="M10754" t="str">
        <v>=</v>
      </c>
      <c r="N10754">
        <f>J10754+L10754</f>
        <v>1.13</v>
      </c>
      <c r="T10754" t="str">
        <v>x</v>
      </c>
      <c r="U10754">
        <f>0.006165*F10754^2</f>
        <v>0.39456</v>
      </c>
      <c r="V10754" t="str">
        <v>x</v>
      </c>
      <c r="W10754">
        <f>IF(D10737&gt;4*G10735,ROUND(MAX(D10737/4,2*G10735)/H10754,0)+1,ROUND(D10737/H10754,0)+1)</f>
        <v>16</v>
      </c>
      <c r="X10754" t="str">
        <v>x</v>
      </c>
      <c r="Y10754">
        <f>D10740</f>
        <v>1</v>
      </c>
      <c r="Z10754" t="str">
        <v>=</v>
      </c>
      <c r="AA10754">
        <f>N10754*U10754*W10754*Y10754</f>
        <v>7.1336448</v>
      </c>
    </row>
    <row r="10755">
      <c r="A10755" t="str">
        <f>A10734</f>
        <v>Lantai Atap</v>
      </c>
      <c r="B10755">
        <f>B10734</f>
        <v>17</v>
      </c>
      <c r="C10755" t="str">
        <v>Sengkang Lapangan</v>
      </c>
      <c r="D10755">
        <f>VLOOKUP(D10734,'Detail Balok'!$C$10:$AU$110,36,FALSE)</f>
        <v>0</v>
      </c>
      <c r="E10755" t="str">
        <v>D</v>
      </c>
      <c r="F10755">
        <f>VLOOKUP(D10734,'Detail Balok'!$C$10:$AU$110,38,FALSE)</f>
        <v>8</v>
      </c>
      <c r="G10755" t="str">
        <v>-</v>
      </c>
      <c r="H10755">
        <f>VLOOKUP(D10734,'Detail Balok'!$C$10:$AU$110,40,FALSE)</f>
        <v>200</v>
      </c>
      <c r="J10755">
        <f>(IF(D10755=0,(2*(D10735+G10735))-(F$5*8),IF(D10755=3,(2*(D10735+G10735))-(F$5*8)+(G10735-2*F$5),IF(D10755=4,(2*(D10735+G10735))-(F$5*8)+2*(G10735-2*F$5)))))/1000</f>
        <v>0.98</v>
      </c>
      <c r="K10755" t="str">
        <v>+</v>
      </c>
      <c r="L10755">
        <f>IF(D10755=0,2*MAX(6*F10755,75),(D10755-1)*2*MAX(6*F10755,75))/1000</f>
        <v>0.15</v>
      </c>
      <c r="M10755" t="str">
        <v>=</v>
      </c>
      <c r="N10755">
        <f>J10755+L10755</f>
        <v>1.13</v>
      </c>
      <c r="T10755" t="str">
        <v>x</v>
      </c>
      <c r="U10755">
        <f>0.006165*F10755^2</f>
        <v>0.39456</v>
      </c>
      <c r="V10755" t="str">
        <v>x</v>
      </c>
      <c r="W10755">
        <f>IF(D10737-MAX(D10737/4,2*G10735)*2&gt;0,ROUND((D10737-MAX(D10737/4,2*G10735)*2)/H10755,0),0)</f>
        <v>15</v>
      </c>
      <c r="X10755" t="str">
        <v>x</v>
      </c>
      <c r="Y10755">
        <f>D10740</f>
        <v>1</v>
      </c>
      <c r="Z10755" t="str">
        <v>=</v>
      </c>
      <c r="AA10755">
        <f>N10755*U10755*W10755*Y10755</f>
        <v>6.687792</v>
      </c>
    </row>
    <row r="10756">
      <c r="A10756" t="str">
        <f>A10734</f>
        <v>Lantai Atap</v>
      </c>
      <c r="B10756">
        <f>B10734</f>
        <v>17</v>
      </c>
      <c r="C10756" t="str">
        <v>Sengkang Tumpuan</v>
      </c>
      <c r="D10756">
        <f>VLOOKUP(D10734,'Detail Balok'!$C$10:$AU$110,41,FALSE)</f>
        <v>0</v>
      </c>
      <c r="E10756" t="str">
        <v>D</v>
      </c>
      <c r="F10756">
        <f>VLOOKUP(D10734,'Detail Balok'!$C$10:$AU$110,43,FALSE)</f>
        <v>8</v>
      </c>
      <c r="G10756" t="str">
        <v>-</v>
      </c>
      <c r="H10756">
        <f>VLOOKUP(D10734,'Detail Balok'!$C$10:$AU$110,45,FALSE)</f>
        <v>100</v>
      </c>
      <c r="J10756">
        <f>(IF(D10756=0,(2*(D10735+G10735))-(F$5*8),IF(D10756=3,(2*(D10735+G10735))-(F$5*8)+(G10735-2*F$5),IF(D10756=4,(2*(D10735+G10735))-(F$5*8)+2*(G10735-2*F$5)))))/1000</f>
        <v>0.98</v>
      </c>
      <c r="K10756" t="str">
        <v>+</v>
      </c>
      <c r="L10756">
        <f>IF(D10756=0,2*MAX(6*F10756,75),(D10756-1)*2*MAX(6*F10756,75))/1000</f>
        <v>0.15</v>
      </c>
      <c r="M10756" t="str">
        <v>=</v>
      </c>
      <c r="N10756">
        <f>J10756+L10756</f>
        <v>1.13</v>
      </c>
      <c r="T10756" t="str">
        <v>x</v>
      </c>
      <c r="U10756">
        <f>0.006165*F10756^2</f>
        <v>0.39456</v>
      </c>
      <c r="V10756" t="str">
        <v>x</v>
      </c>
      <c r="W10756">
        <f>IF(D10737&gt;4*G10735,ROUND(MAX(D10737/4,2*G10735)/H10756,0)+1,0)</f>
        <v>16</v>
      </c>
      <c r="X10756" t="str">
        <v>x</v>
      </c>
      <c r="Y10756">
        <f>D10740</f>
        <v>1</v>
      </c>
      <c r="Z10756" t="str">
        <v>=</v>
      </c>
      <c r="AA10756">
        <f>N10756*U10756*W10756*Y10756</f>
        <v>7.1336448</v>
      </c>
    </row>
    <row r="10758">
      <c r="A10758" t="str">
        <f>A10734</f>
        <v>Lantai Atap</v>
      </c>
      <c r="B10758">
        <f>B10734</f>
        <v>17</v>
      </c>
      <c r="C10758" t="str">
        <v>Kait Horizontal Tump.</v>
      </c>
      <c r="D10758">
        <f>VLOOKUP(D10734,'Detail Balok'!$C$10:$BJ$110,46,FALSE)</f>
        <v>0</v>
      </c>
      <c r="E10758" t="str">
        <v>D</v>
      </c>
      <c r="F10758">
        <f>VLOOKUP(D10734,'Detail Balok'!$C$10:$BJ$110,48,FALSE)</f>
        <v>0</v>
      </c>
      <c r="G10758" t="str">
        <v>-</v>
      </c>
      <c r="H10758">
        <f>VLOOKUP(D10734,'Detail Balok'!$C$10:$BJ$110,50,FALSE)</f>
        <v>100</v>
      </c>
      <c r="J10758">
        <f>(D10735-2*F$5)/1000</f>
        <v>0.12</v>
      </c>
      <c r="K10758" t="str">
        <v>+</v>
      </c>
      <c r="L10758">
        <f>IF(D10758=0,2*MAX(6*F10758,75),(D10758-1)*2*MAX(6*F10758,75))/1000</f>
        <v>0.15</v>
      </c>
      <c r="M10758" t="str">
        <v>=</v>
      </c>
      <c r="N10758">
        <f>J10758+L10758</f>
        <v>0.27</v>
      </c>
      <c r="T10758" t="str">
        <v>x</v>
      </c>
      <c r="U10758">
        <f>0.006165*F10758^2</f>
        <v>0</v>
      </c>
      <c r="V10758" t="str">
        <v>x</v>
      </c>
      <c r="W10758">
        <f>W10754</f>
        <v>16</v>
      </c>
      <c r="X10758" t="str">
        <v>x</v>
      </c>
      <c r="Y10758">
        <f>D10744</f>
        <v>3</v>
      </c>
      <c r="Z10758" t="str">
        <v>=</v>
      </c>
      <c r="AA10758">
        <f>N10758*U10758*W10758*Y10758</f>
        <v>0</v>
      </c>
    </row>
    <row r="10759">
      <c r="A10759" t="str">
        <f>A10734</f>
        <v>Lantai Atap</v>
      </c>
      <c r="B10759">
        <f>B10734</f>
        <v>17</v>
      </c>
      <c r="C10759" t="str">
        <v>Kait Horizontal Lap.</v>
      </c>
      <c r="D10759">
        <f>VLOOKUP(D10734,'Detail Balok'!$C$10:$BJ$110,51,FALSE)</f>
        <v>0</v>
      </c>
      <c r="E10759" t="str">
        <v>D</v>
      </c>
      <c r="F10759">
        <f>VLOOKUP(D10734,'Detail Balok'!$C$10:$BJ$110,53,FALSE)</f>
        <v>0</v>
      </c>
      <c r="G10759" t="str">
        <v>-</v>
      </c>
      <c r="H10759">
        <f>VLOOKUP(D10734,'Detail Balok'!$C$10:$BJ$110,55,FALSE)</f>
        <v>100</v>
      </c>
      <c r="J10759">
        <f>(D10735-2*F$5)/1000</f>
        <v>0.12</v>
      </c>
      <c r="K10759" t="str">
        <v>+</v>
      </c>
      <c r="L10759">
        <f>IF(D10759=0,2*MAX(6*F10759,75),(D10759-1)*2*MAX(6*F10759,75))/1000</f>
        <v>0.15</v>
      </c>
      <c r="M10759" t="str">
        <v>=</v>
      </c>
      <c r="N10759">
        <f>J10759+L10759</f>
        <v>0.27</v>
      </c>
      <c r="T10759" t="str">
        <v>x</v>
      </c>
      <c r="U10759">
        <f>0.006165*F10759^2</f>
        <v>0</v>
      </c>
      <c r="V10759" t="str">
        <v>x</v>
      </c>
      <c r="W10759">
        <f>W10755</f>
        <v>15</v>
      </c>
      <c r="X10759" t="str">
        <v>x</v>
      </c>
      <c r="Y10759">
        <f>D10744</f>
        <v>3</v>
      </c>
      <c r="Z10759" t="str">
        <v>=</v>
      </c>
      <c r="AA10759">
        <f>N10759*U10759*W10759*Y10759</f>
        <v>0</v>
      </c>
    </row>
    <row r="10760">
      <c r="A10760" t="str">
        <f>A10734</f>
        <v>Lantai Atap</v>
      </c>
      <c r="B10760">
        <f>B10734</f>
        <v>17</v>
      </c>
      <c r="C10760" t="str">
        <v>Kait Horizontal Tump.</v>
      </c>
      <c r="D10760">
        <f>VLOOKUP(D10734,'Detail Balok'!$C$10:$BJ$110,56,FALSE)</f>
        <v>0</v>
      </c>
      <c r="E10760" t="str">
        <v>D</v>
      </c>
      <c r="F10760">
        <f>VLOOKUP(D10734,'Detail Balok'!$C$10:$BJ$110,58,FALSE)</f>
        <v>0</v>
      </c>
      <c r="G10760" t="str">
        <v>-</v>
      </c>
      <c r="H10760">
        <f>VLOOKUP(D10734,'Detail Balok'!$C$10:$BJ$110,60,FALSE)</f>
        <v>100</v>
      </c>
      <c r="J10760">
        <f>(D10735-2*F$5)/1000</f>
        <v>0.12</v>
      </c>
      <c r="K10760" t="str">
        <v>+</v>
      </c>
      <c r="L10760">
        <f>IF(D10760=0,2*MAX(6*F10760,75),(D10760-1)*2*MAX(6*F10760,75))/1000</f>
        <v>0.15</v>
      </c>
      <c r="M10760" t="str">
        <v>=</v>
      </c>
      <c r="N10760">
        <f>J10760+L10760</f>
        <v>0.27</v>
      </c>
      <c r="T10760" t="str">
        <v>x</v>
      </c>
      <c r="U10760">
        <f>0.006165*F10760^2</f>
        <v>0</v>
      </c>
      <c r="V10760" t="str">
        <v>x</v>
      </c>
      <c r="W10760">
        <f>W10756</f>
        <v>16</v>
      </c>
      <c r="X10760" t="str">
        <v>x</v>
      </c>
      <c r="Y10760">
        <f>D10744</f>
        <v>3</v>
      </c>
      <c r="Z10760" t="str">
        <v>=</v>
      </c>
      <c r="AA10760">
        <f>N10760*U10760*W10760*Y10760</f>
        <v>0</v>
      </c>
    </row>
    <row r="10764">
      <c r="A10764" t="str">
        <f>A10734</f>
        <v>Lantai Atap</v>
      </c>
      <c r="B10764">
        <f>B10734+1</f>
        <v>18</v>
      </c>
      <c r="C10764" t="str">
        <f>CONCATENATE(A10764," no. ",B10764)</f>
        <v>Lantai Atap no. 18</v>
      </c>
      <c r="D10764" t="str">
        <f>VLOOKUP(C10764,'Data Panjang Balok'!$C$9:$N$424,2,FALSE)</f>
        <v>B245-2</v>
      </c>
    </row>
    <row r="10765">
      <c r="C10765" t="str">
        <v>Dimensi</v>
      </c>
      <c r="D10765">
        <f>VLOOKUP(D10764,'Detail Balok'!$C$10:$AU$110,2,FALSE)</f>
        <v>200</v>
      </c>
      <c r="F10765" t="str">
        <v>x</v>
      </c>
      <c r="G10765">
        <f>VLOOKUP(D10764,'Detail Balok'!$C$10:$AU$110,3,FALSE)</f>
        <v>450</v>
      </c>
    </row>
    <row r="10766">
      <c r="C10766" t="str">
        <v>Panjang as ke as</v>
      </c>
      <c r="D10766">
        <f>VLOOKUP(C10764,'Data Panjang Balok'!$C$9:$N$424,4,FALSE)</f>
        <v>5000</v>
      </c>
    </row>
    <row r="10767">
      <c r="C10767" t="str">
        <v>Panjang netto</v>
      </c>
      <c r="D10767">
        <f>VLOOKUP(C10764,'Data Panjang Balok'!$C$9:$N$424,7,FALSE)</f>
        <v>5000</v>
      </c>
    </row>
    <row r="10768">
      <c r="C10768" t="str">
        <v>Kolom / balok kiri</v>
      </c>
      <c r="D10768">
        <f>VLOOKUP(C10764,'Data Panjang Balok'!$C$9:$N$424,9,FALSE)</f>
        <v>0</v>
      </c>
    </row>
    <row r="10769">
      <c r="C10769" t="str">
        <v>Kolom / balok kanan</v>
      </c>
      <c r="D10769">
        <f>VLOOKUP(C10764,'Data Panjang Balok'!$C$9:$N$424,10,FALSE)</f>
        <v>0</v>
      </c>
    </row>
    <row r="10770">
      <c r="C10770" t="str">
        <v>Jumlah</v>
      </c>
      <c r="D10770">
        <f>VLOOKUP(C10764,'Data Panjang Balok'!$C$9:$N$424,3,FALSE)</f>
        <v>1</v>
      </c>
    </row>
    <row r="10771">
      <c r="A10771" t="str">
        <f>A10764</f>
        <v>Lantai Atap</v>
      </c>
      <c r="B10771">
        <f>B10764</f>
        <v>18</v>
      </c>
      <c r="C10771" t="str">
        <v>Tul Atas Tumpuan</v>
      </c>
      <c r="D10771">
        <f>VLOOKUP(D10764,'Detail Balok'!$C$10:$AU$110,4,FALSE)</f>
        <v>3</v>
      </c>
      <c r="E10771" t="str">
        <v>D</v>
      </c>
      <c r="F10771">
        <f>VLOOKUP(D10764,'Detail Balok'!$C$10:$AU$110,6,FALSE)</f>
        <v>13</v>
      </c>
      <c r="I10771" t="str">
        <v>(</v>
      </c>
      <c r="J10771">
        <f>+D10766/4/1000</f>
        <v>1.25</v>
      </c>
      <c r="K10771" t="str">
        <v>+</v>
      </c>
      <c r="L10771">
        <f>MAX(VLOOKUP(F10771,N$6:P$15,3,FALSE)/1000,2/3*D10768/1000)+F$16*F10771/1000</f>
        <v>0.156</v>
      </c>
      <c r="M10771" t="str">
        <v>=</v>
      </c>
      <c r="N10771">
        <f>J10771+L10771</f>
        <v>1.406</v>
      </c>
      <c r="O10771" t="str">
        <v>+</v>
      </c>
      <c r="P10771">
        <f>D10771-D10772</f>
        <v>0</v>
      </c>
      <c r="Q10771" t="str">
        <v>x</v>
      </c>
      <c r="R10771">
        <f>IF(P10771&gt;0,$F$18*F10771/1000,0)</f>
        <v>0</v>
      </c>
      <c r="S10771" t="str">
        <v>)</v>
      </c>
      <c r="T10771" t="str">
        <v>x</v>
      </c>
      <c r="U10771">
        <f>0.006165*F10771^2</f>
        <v>1.041885</v>
      </c>
      <c r="X10771" t="str">
        <v>x</v>
      </c>
      <c r="Y10771">
        <f>D10770</f>
        <v>1</v>
      </c>
      <c r="Z10771" t="str">
        <v>=</v>
      </c>
      <c r="AA10771">
        <f>IF(AA10774=0,(D10771*N10771+P10771*R10771)*U10771*Y10771,0)</f>
        <v>0</v>
      </c>
    </row>
    <row r="10772">
      <c r="A10772" t="str">
        <f>A10764</f>
        <v>Lantai Atap</v>
      </c>
      <c r="B10772">
        <f>B10764</f>
        <v>18</v>
      </c>
      <c r="C10772" t="str">
        <v>Tul Atas Lapangan</v>
      </c>
      <c r="D10772">
        <f>VLOOKUP(D10764,'Detail Balok'!$C$10:$AU$110,7,FALSE)</f>
        <v>3</v>
      </c>
      <c r="E10772" t="str">
        <v>D</v>
      </c>
      <c r="F10772">
        <f>VLOOKUP(D10764,'Detail Balok'!$C$10:$AU$110,9,FALSE)</f>
        <v>13</v>
      </c>
      <c r="I10772" t="str">
        <v>(</v>
      </c>
      <c r="J10772">
        <f>+D10766/2/1000</f>
        <v>2.5</v>
      </c>
      <c r="K10772" t="str">
        <v>+</v>
      </c>
      <c r="M10772" t="str">
        <v>=</v>
      </c>
      <c r="N10772">
        <f>J10772+L10772</f>
        <v>2.5</v>
      </c>
      <c r="O10772" t="str">
        <v>+</v>
      </c>
      <c r="P10772">
        <f>MAX(D10772-D10771,D10772-D10773)</f>
        <v>0</v>
      </c>
      <c r="Q10772" t="str">
        <v>x</v>
      </c>
      <c r="R10772">
        <f>IF(P10772&gt;0,2*(1-2*$F$19-1/2)*D10767/1000,0)</f>
        <v>0</v>
      </c>
      <c r="S10772" t="str">
        <v>)</v>
      </c>
      <c r="T10772" t="str">
        <v>x</v>
      </c>
      <c r="U10772">
        <f>0.006165*F10772^2</f>
        <v>1.041885</v>
      </c>
      <c r="X10772" t="str">
        <v>x</v>
      </c>
      <c r="Y10772">
        <f>D10770</f>
        <v>1</v>
      </c>
      <c r="Z10772" t="str">
        <v>=</v>
      </c>
      <c r="AA10772">
        <f>IF(AA10774=0,(D10772*N10772+P10772*R10772)*U10772*Y10772,0)</f>
        <v>0</v>
      </c>
    </row>
    <row r="10773">
      <c r="A10773" t="str">
        <f>A10764</f>
        <v>Lantai Atap</v>
      </c>
      <c r="B10773">
        <f>B10764</f>
        <v>18</v>
      </c>
      <c r="C10773" t="str">
        <v>Tul Atas Tumpuan</v>
      </c>
      <c r="D10773">
        <f>VLOOKUP(D10764,'Detail Balok'!$C$10:$AU$110,10,FALSE)</f>
        <v>3</v>
      </c>
      <c r="E10773" t="str">
        <v>D</v>
      </c>
      <c r="F10773">
        <f>VLOOKUP(D10764,'Detail Balok'!$C$10:$AU$110,12,FALSE)</f>
        <v>13</v>
      </c>
      <c r="I10773" t="str">
        <v>(</v>
      </c>
      <c r="J10773">
        <f>+D10766/4/1000</f>
        <v>1.25</v>
      </c>
      <c r="K10773" t="str">
        <v>+</v>
      </c>
      <c r="L10773">
        <f>MAX(VLOOKUP(F10773,N$6:P$15,3,FALSE)/1000,2/3*D10768/1000)+F$16*F10773/1000</f>
        <v>0.156</v>
      </c>
      <c r="M10773" t="str">
        <v>=</v>
      </c>
      <c r="N10773">
        <f>J10773+L10773</f>
        <v>1.406</v>
      </c>
      <c r="O10773" t="str">
        <v>+</v>
      </c>
      <c r="P10773">
        <f>D10773-D10772</f>
        <v>0</v>
      </c>
      <c r="Q10773" t="str">
        <v>x</v>
      </c>
      <c r="R10773">
        <f>IF(P10773&gt;0,$F$18*F10773/1000,0)</f>
        <v>0</v>
      </c>
      <c r="S10773" t="str">
        <v>)</v>
      </c>
      <c r="T10773" t="str">
        <v>x</v>
      </c>
      <c r="U10773">
        <f>0.006165*F10773^2</f>
        <v>1.041885</v>
      </c>
      <c r="X10773" t="str">
        <v>x</v>
      </c>
      <c r="Y10773">
        <f>D10770</f>
        <v>1</v>
      </c>
      <c r="Z10773" t="str">
        <v>=</v>
      </c>
      <c r="AA10773">
        <f>IF(AA10774=0,(D10773*N10773+P10773*R10773)*U10773*Y10773,0)</f>
        <v>0</v>
      </c>
    </row>
    <row r="10774">
      <c r="A10774" t="str">
        <f>A10764</f>
        <v>Lantai Atap</v>
      </c>
      <c r="B10774">
        <f>B10764</f>
        <v>18</v>
      </c>
      <c r="D10774">
        <f>IF(AND(D10771=D10772,D10772=D10773,D10771=D10773),D10771,0)</f>
        <v>3</v>
      </c>
      <c r="E10774" t="str">
        <v>D</v>
      </c>
      <c r="F10774">
        <f>IF(AND(F10771=F10772,F10771=F10773,F10772=F10773),F10771,0)</f>
        <v>13</v>
      </c>
      <c r="L10774" t="str">
        <v>Total panjang per balok</v>
      </c>
      <c r="M10774" t="str">
        <v>=</v>
      </c>
      <c r="N10774">
        <f>IF(AND(D10771=D10772,D10771=D10773,D10772=D10773,F10771=F10772,F10771=F10773,F10772=F10773),SUM(N10771:N10773),0)</f>
        <v>5.311999999999999</v>
      </c>
      <c r="O10774" t="str">
        <v>+</v>
      </c>
      <c r="P10774">
        <f>IF(N10774&gt;12,ROUNDDOWN(N10774/12,0),0)</f>
        <v>0</v>
      </c>
      <c r="Q10774" t="str">
        <v>x</v>
      </c>
      <c r="R10774">
        <f>IF(P10774&gt;0,MAX(VLOOKUP(F10774,$D$6:$G$15,3,FALSE),600),0)/1000</f>
        <v>0</v>
      </c>
      <c r="T10774" t="str">
        <v>x</v>
      </c>
      <c r="U10774">
        <f>U10773</f>
        <v>1.041885</v>
      </c>
      <c r="V10774" t="str">
        <v>x</v>
      </c>
      <c r="W10774">
        <f>D10774</f>
        <v>3</v>
      </c>
      <c r="X10774" t="str">
        <v>x</v>
      </c>
      <c r="Y10774">
        <f>Y10773</f>
        <v>1</v>
      </c>
      <c r="Z10774" t="str">
        <v>=</v>
      </c>
      <c r="AA10774">
        <f>(N10774+P10774*R10774/1000)*U10774*W10774*Y10774</f>
        <v>16.603479359999994</v>
      </c>
    </row>
    <row r="10776">
      <c r="A10776" t="str">
        <f>A10764</f>
        <v>Lantai Atap</v>
      </c>
      <c r="B10776">
        <f>B10764</f>
        <v>18</v>
      </c>
      <c r="C10776" t="str">
        <v>Tul Peminggang</v>
      </c>
      <c r="D10776">
        <f>VLOOKUP(D10764,'Detail Balok'!$C$10:$AU$110,13,FALSE)</f>
        <v>2</v>
      </c>
      <c r="E10776" t="str">
        <v>D</v>
      </c>
      <c r="F10776">
        <f>VLOOKUP(D10764,'Detail Balok'!$C$10:$AU$110,15,FALSE)</f>
        <v>8</v>
      </c>
      <c r="J10776">
        <f>+D10766/1000</f>
        <v>5</v>
      </c>
      <c r="K10776" t="str">
        <v>+</v>
      </c>
      <c r="L10776">
        <f>2*$F$16*F10776/1000</f>
        <v>0.192</v>
      </c>
      <c r="M10776" t="str">
        <v>=</v>
      </c>
      <c r="N10776">
        <f>J10776+L10776</f>
        <v>5.192</v>
      </c>
      <c r="O10776" t="str">
        <v>+</v>
      </c>
      <c r="P10776">
        <f>IF(N10776&gt;12,ROUNDDOWN(N10776/12,0),0)</f>
        <v>0</v>
      </c>
      <c r="Q10776" t="str">
        <v>x</v>
      </c>
      <c r="R10776">
        <f>IF(P10776&gt;0,MAX(VLOOKUP(F10776,$D$6:$G$15,3,FALSE),600),0)/1000</f>
        <v>0</v>
      </c>
      <c r="T10776" t="str">
        <v>x</v>
      </c>
      <c r="U10776">
        <f>0.006165*F10776^2</f>
        <v>0.39456</v>
      </c>
      <c r="V10776" t="str">
        <v>x</v>
      </c>
      <c r="W10776">
        <f>+D10776</f>
        <v>2</v>
      </c>
      <c r="X10776" t="str">
        <v>x</v>
      </c>
      <c r="Y10776">
        <f>D10770</f>
        <v>1</v>
      </c>
      <c r="Z10776" t="str">
        <v>=</v>
      </c>
      <c r="AA10776">
        <f>(N10776+P10776*R10776/1000)*U10776*W10776*Y10776</f>
        <v>4.097111040000001</v>
      </c>
    </row>
    <row r="10779">
      <c r="A10779" t="str">
        <f>A10764</f>
        <v>Lantai Atap</v>
      </c>
      <c r="B10779">
        <f>B10764</f>
        <v>18</v>
      </c>
      <c r="C10779" t="str">
        <v>Tul Bawah Tumpuan</v>
      </c>
      <c r="D10779">
        <f>VLOOKUP(D10764,'Detail Balok'!$C$10:$AU$110,22,FALSE)</f>
        <v>3</v>
      </c>
      <c r="E10779" t="str">
        <v>D</v>
      </c>
      <c r="F10779">
        <f>VLOOKUP(D10764,'Detail Balok'!$C$10:$AU$110,24,FALSE)</f>
        <v>13</v>
      </c>
      <c r="I10779" t="str">
        <v>(</v>
      </c>
      <c r="J10779">
        <f>+J10771</f>
        <v>1.25</v>
      </c>
      <c r="K10779" t="str">
        <v>+</v>
      </c>
      <c r="L10779">
        <f>MAX(VLOOKUP(F10779,N$6:P$15,3,FALSE)/1000,2/3*D10769/1000)+F$16*F10779/1000</f>
        <v>0.156</v>
      </c>
      <c r="M10779" t="str">
        <v>=</v>
      </c>
      <c r="N10779">
        <f>J10779+L10779</f>
        <v>1.406</v>
      </c>
      <c r="O10779" t="str">
        <v>+</v>
      </c>
      <c r="P10779">
        <f>D10779-D10780</f>
        <v>0</v>
      </c>
      <c r="Q10779" t="str">
        <v>x</v>
      </c>
      <c r="R10779">
        <f>IF(P10779&gt;0,$F$18*F10779/1000,0)</f>
        <v>0</v>
      </c>
      <c r="S10779" t="str">
        <v>)</v>
      </c>
      <c r="T10779" t="str">
        <v>x</v>
      </c>
      <c r="U10779">
        <f>0.006165*F10779^2</f>
        <v>1.041885</v>
      </c>
      <c r="X10779" t="str">
        <v>x</v>
      </c>
      <c r="Y10779">
        <f>D10770</f>
        <v>1</v>
      </c>
      <c r="Z10779" t="str">
        <v>=</v>
      </c>
      <c r="AA10779">
        <f>IF(AA10782=0,(D10779*N10779+P10779*R10779)*U10779*Y10779,0)</f>
        <v>0</v>
      </c>
    </row>
    <row r="10780">
      <c r="A10780" t="str">
        <f>A10764</f>
        <v>Lantai Atap</v>
      </c>
      <c r="B10780">
        <f>B10764</f>
        <v>18</v>
      </c>
      <c r="C10780" t="str">
        <v>Tul Bawah Lapangan</v>
      </c>
      <c r="D10780">
        <f>VLOOKUP(D10764,'Detail Balok'!$C$10:$AU$110,25,FALSE)</f>
        <v>3</v>
      </c>
      <c r="E10780" t="str">
        <v>D</v>
      </c>
      <c r="F10780">
        <f>VLOOKUP(D10764,'Detail Balok'!$C$10:$AU$110,27,FALSE)</f>
        <v>13</v>
      </c>
      <c r="I10780" t="str">
        <v>(</v>
      </c>
      <c r="J10780">
        <f>+J10772</f>
        <v>2.5</v>
      </c>
      <c r="K10780" t="str">
        <v>+</v>
      </c>
      <c r="M10780" t="str">
        <v>=</v>
      </c>
      <c r="N10780">
        <f>J10780+L10780</f>
        <v>2.5</v>
      </c>
      <c r="O10780" t="str">
        <v>+</v>
      </c>
      <c r="P10780">
        <f>MAX(D10780-D10779,D10780-D10781)</f>
        <v>0</v>
      </c>
      <c r="Q10780" t="str">
        <v>x</v>
      </c>
      <c r="R10780">
        <f>IF(P10780&gt;0,2*(1-2*$F$19-1/2)*D10767/1000,0)</f>
        <v>0</v>
      </c>
      <c r="S10780" t="str">
        <v>)</v>
      </c>
      <c r="T10780" t="str">
        <v>x</v>
      </c>
      <c r="U10780">
        <f>0.006165*F10780^2</f>
        <v>1.041885</v>
      </c>
      <c r="X10780" t="str">
        <v>x</v>
      </c>
      <c r="Y10780">
        <f>D10770</f>
        <v>1</v>
      </c>
      <c r="Z10780" t="str">
        <v>=</v>
      </c>
      <c r="AA10780">
        <f>IF(AA10782=0,(D10780*N10780+P10780*R10780)*U10780*Y10780,0)</f>
        <v>0</v>
      </c>
    </row>
    <row r="10781">
      <c r="A10781" t="str">
        <f>A10764</f>
        <v>Lantai Atap</v>
      </c>
      <c r="B10781">
        <f>B10764</f>
        <v>18</v>
      </c>
      <c r="C10781" t="str">
        <v>Tul Bawah Tumpuan</v>
      </c>
      <c r="D10781">
        <f>VLOOKUP(D10764,'Detail Balok'!$C$10:$AU$110,28,FALSE)</f>
        <v>3</v>
      </c>
      <c r="E10781" t="str">
        <v>D</v>
      </c>
      <c r="F10781">
        <f>VLOOKUP(D10764,'Detail Balok'!$C$10:$AU$110,30,FALSE)</f>
        <v>13</v>
      </c>
      <c r="I10781" t="str">
        <v>(</v>
      </c>
      <c r="J10781">
        <f>+J10773</f>
        <v>1.25</v>
      </c>
      <c r="K10781" t="str">
        <v>+</v>
      </c>
      <c r="L10781">
        <f>MAX(VLOOKUP(F10781,N$6:P$15,3,FALSE)/1000,2/3*D10769/1000)+F$16*F10781/1000</f>
        <v>0.156</v>
      </c>
      <c r="M10781" t="str">
        <v>=</v>
      </c>
      <c r="N10781">
        <f>J10781+L10781</f>
        <v>1.406</v>
      </c>
      <c r="O10781" t="str">
        <v>+</v>
      </c>
      <c r="P10781">
        <f>D10781-D10780</f>
        <v>0</v>
      </c>
      <c r="Q10781" t="str">
        <v>x</v>
      </c>
      <c r="R10781">
        <f>IF(P10781&gt;0,$F$18*F10781/1000,0)</f>
        <v>0</v>
      </c>
      <c r="S10781" t="str">
        <v>)</v>
      </c>
      <c r="T10781" t="str">
        <v>x</v>
      </c>
      <c r="U10781">
        <f>0.006165*F10781^2</f>
        <v>1.041885</v>
      </c>
      <c r="X10781" t="str">
        <v>x</v>
      </c>
      <c r="Y10781">
        <f>D10770</f>
        <v>1</v>
      </c>
      <c r="Z10781" t="str">
        <v>=</v>
      </c>
      <c r="AA10781">
        <f>IF(AA10782=0,(D10781*N10781+P10781*R10781)*U10781*Y10781,0)</f>
        <v>0</v>
      </c>
    </row>
    <row r="10782">
      <c r="A10782" t="str">
        <f>A10764</f>
        <v>Lantai Atap</v>
      </c>
      <c r="B10782">
        <f>B10764</f>
        <v>18</v>
      </c>
      <c r="D10782">
        <f>IF(AND(D10779=D10780,D10780=D10781,D10779=D10781),D10779,0)</f>
        <v>3</v>
      </c>
      <c r="E10782" t="str">
        <v>D</v>
      </c>
      <c r="F10782">
        <f>IF(AND(F10779=F10780,F10779=F10781,F10780=F10781),F10779,0)</f>
        <v>13</v>
      </c>
      <c r="L10782" t="str">
        <v>Total panjang per balok</v>
      </c>
      <c r="M10782" t="str">
        <v>=</v>
      </c>
      <c r="N10782">
        <f>IF(AND(D10779=D10780,D10779=D10781,D10780=D10781,F10779=F10780,F10779=F10781,F10780=F10781),SUM(N10779:N10781),0)</f>
        <v>5.311999999999999</v>
      </c>
      <c r="O10782" t="str">
        <v>+</v>
      </c>
      <c r="P10782">
        <f>IF(N10782&gt;12,ROUNDDOWN(N10782/12,0),0)</f>
        <v>0</v>
      </c>
      <c r="Q10782" t="str">
        <v>x</v>
      </c>
      <c r="R10782">
        <f>IF(P10782&gt;0,MAX(VLOOKUP(F10782,$D$6:$G$15,3,FALSE),600),0)/1000</f>
        <v>0</v>
      </c>
      <c r="T10782" t="str">
        <v>x</v>
      </c>
      <c r="U10782">
        <f>U10781</f>
        <v>1.041885</v>
      </c>
      <c r="V10782" t="str">
        <v>x</v>
      </c>
      <c r="W10782">
        <f>D10782</f>
        <v>3</v>
      </c>
      <c r="X10782" t="str">
        <v>x</v>
      </c>
      <c r="Y10782">
        <f>Y10781</f>
        <v>1</v>
      </c>
      <c r="Z10782" t="str">
        <v>=</v>
      </c>
      <c r="AA10782">
        <f>(N10782+P10782*R10782/1000)*U10782*W10782*Y10782</f>
        <v>16.603479359999994</v>
      </c>
    </row>
    <row r="10784">
      <c r="A10784" t="str">
        <f>A10764</f>
        <v>Lantai Atap</v>
      </c>
      <c r="B10784">
        <f>B10764</f>
        <v>18</v>
      </c>
      <c r="C10784" t="str">
        <v>Sengkang Tumpuan</v>
      </c>
      <c r="D10784">
        <f>VLOOKUP(D10764,'Detail Balok'!$C$10:$AU$110,31,FALSE)</f>
        <v>0</v>
      </c>
      <c r="E10784" t="str">
        <v>D</v>
      </c>
      <c r="F10784">
        <f>VLOOKUP(D10764,'Detail Balok'!$C$10:$AU$110,33,FALSE)</f>
        <v>8</v>
      </c>
      <c r="G10784" t="str">
        <v>-</v>
      </c>
      <c r="H10784">
        <f>VLOOKUP(D10764,'Detail Balok'!$C$10:$AU$110,35,FALSE)</f>
        <v>100</v>
      </c>
      <c r="J10784">
        <f>(IF(D10784=0,(2*(D10765+G10765))-(F$5*8),IF(D10784=3,(2*(D10765+G10765))-(F$5*8)+(G10765-2*F$5),IF(D10784=4,(2*(D10765+G10765))-(F$5*8)+2*(G10765-2*F$5)))))/1000</f>
        <v>0.98</v>
      </c>
      <c r="K10784" t="str">
        <v>+</v>
      </c>
      <c r="L10784">
        <f>IF(D10784=0,2*MAX(6*F10784,75),(D10784-1)*2*MAX(6*F10784,75))/1000</f>
        <v>0.15</v>
      </c>
      <c r="M10784" t="str">
        <v>=</v>
      </c>
      <c r="N10784">
        <f>J10784+L10784</f>
        <v>1.13</v>
      </c>
      <c r="T10784" t="str">
        <v>x</v>
      </c>
      <c r="U10784">
        <f>0.006165*F10784^2</f>
        <v>0.39456</v>
      </c>
      <c r="V10784" t="str">
        <v>x</v>
      </c>
      <c r="W10784">
        <f>IF(D10767&gt;4*G10765,ROUND(MAX(D10767/4,2*G10765)/H10784,0)+1,ROUND(D10767/H10784,0)+1)</f>
        <v>14</v>
      </c>
      <c r="X10784" t="str">
        <v>x</v>
      </c>
      <c r="Y10784">
        <f>D10770</f>
        <v>1</v>
      </c>
      <c r="Z10784" t="str">
        <v>=</v>
      </c>
      <c r="AA10784">
        <f>N10784*U10784*W10784*Y10784</f>
        <v>6.2419392</v>
      </c>
    </row>
    <row r="10785">
      <c r="A10785" t="str">
        <f>A10764</f>
        <v>Lantai Atap</v>
      </c>
      <c r="B10785">
        <f>B10764</f>
        <v>18</v>
      </c>
      <c r="C10785" t="str">
        <v>Sengkang Lapangan</v>
      </c>
      <c r="D10785">
        <f>VLOOKUP(D10764,'Detail Balok'!$C$10:$AU$110,36,FALSE)</f>
        <v>0</v>
      </c>
      <c r="E10785" t="str">
        <v>D</v>
      </c>
      <c r="F10785">
        <f>VLOOKUP(D10764,'Detail Balok'!$C$10:$AU$110,38,FALSE)</f>
        <v>8</v>
      </c>
      <c r="G10785" t="str">
        <v>-</v>
      </c>
      <c r="H10785">
        <f>VLOOKUP(D10764,'Detail Balok'!$C$10:$AU$110,40,FALSE)</f>
        <v>200</v>
      </c>
      <c r="J10785">
        <f>(IF(D10785=0,(2*(D10765+G10765))-(F$5*8),IF(D10785=3,(2*(D10765+G10765))-(F$5*8)+(G10765-2*F$5),IF(D10785=4,(2*(D10765+G10765))-(F$5*8)+2*(G10765-2*F$5)))))/1000</f>
        <v>0.98</v>
      </c>
      <c r="K10785" t="str">
        <v>+</v>
      </c>
      <c r="L10785">
        <f>IF(D10785=0,2*MAX(6*F10785,75),(D10785-1)*2*MAX(6*F10785,75))/1000</f>
        <v>0.15</v>
      </c>
      <c r="M10785" t="str">
        <v>=</v>
      </c>
      <c r="N10785">
        <f>J10785+L10785</f>
        <v>1.13</v>
      </c>
      <c r="T10785" t="str">
        <v>x</v>
      </c>
      <c r="U10785">
        <f>0.006165*F10785^2</f>
        <v>0.39456</v>
      </c>
      <c r="V10785" t="str">
        <v>x</v>
      </c>
      <c r="W10785">
        <f>IF(D10767-MAX(D10767/4,2*G10765)*2&gt;0,ROUND((D10767-MAX(D10767/4,2*G10765)*2)/H10785,0),0)</f>
        <v>13</v>
      </c>
      <c r="X10785" t="str">
        <v>x</v>
      </c>
      <c r="Y10785">
        <f>D10770</f>
        <v>1</v>
      </c>
      <c r="Z10785" t="str">
        <v>=</v>
      </c>
      <c r="AA10785">
        <f>N10785*U10785*W10785*Y10785</f>
        <v>5.7960864</v>
      </c>
    </row>
    <row r="10786">
      <c r="A10786" t="str">
        <f>A10764</f>
        <v>Lantai Atap</v>
      </c>
      <c r="B10786">
        <f>B10764</f>
        <v>18</v>
      </c>
      <c r="C10786" t="str">
        <v>Sengkang Tumpuan</v>
      </c>
      <c r="D10786">
        <f>VLOOKUP(D10764,'Detail Balok'!$C$10:$AU$110,41,FALSE)</f>
        <v>0</v>
      </c>
      <c r="E10786" t="str">
        <v>D</v>
      </c>
      <c r="F10786">
        <f>VLOOKUP(D10764,'Detail Balok'!$C$10:$AU$110,43,FALSE)</f>
        <v>8</v>
      </c>
      <c r="G10786" t="str">
        <v>-</v>
      </c>
      <c r="H10786">
        <f>VLOOKUP(D10764,'Detail Balok'!$C$10:$AU$110,45,FALSE)</f>
        <v>100</v>
      </c>
      <c r="J10786">
        <f>(IF(D10786=0,(2*(D10765+G10765))-(F$5*8),IF(D10786=3,(2*(D10765+G10765))-(F$5*8)+(G10765-2*F$5),IF(D10786=4,(2*(D10765+G10765))-(F$5*8)+2*(G10765-2*F$5)))))/1000</f>
        <v>0.98</v>
      </c>
      <c r="K10786" t="str">
        <v>+</v>
      </c>
      <c r="L10786">
        <f>IF(D10786=0,2*MAX(6*F10786,75),(D10786-1)*2*MAX(6*F10786,75))/1000</f>
        <v>0.15</v>
      </c>
      <c r="M10786" t="str">
        <v>=</v>
      </c>
      <c r="N10786">
        <f>J10786+L10786</f>
        <v>1.13</v>
      </c>
      <c r="T10786" t="str">
        <v>x</v>
      </c>
      <c r="U10786">
        <f>0.006165*F10786^2</f>
        <v>0.39456</v>
      </c>
      <c r="V10786" t="str">
        <v>x</v>
      </c>
      <c r="W10786">
        <f>IF(D10767&gt;4*G10765,ROUND(MAX(D10767/4,2*G10765)/H10786,0)+1,0)</f>
        <v>14</v>
      </c>
      <c r="X10786" t="str">
        <v>x</v>
      </c>
      <c r="Y10786">
        <f>D10770</f>
        <v>1</v>
      </c>
      <c r="Z10786" t="str">
        <v>=</v>
      </c>
      <c r="AA10786">
        <f>N10786*U10786*W10786*Y10786</f>
        <v>6.2419392</v>
      </c>
    </row>
    <row r="10788">
      <c r="A10788" t="str">
        <f>A10764</f>
        <v>Lantai Atap</v>
      </c>
      <c r="B10788">
        <f>B10764</f>
        <v>18</v>
      </c>
      <c r="C10788" t="str">
        <v>Kait Horizontal Tump.</v>
      </c>
      <c r="D10788">
        <f>VLOOKUP(D10764,'Detail Balok'!$C$10:$BJ$110,46,FALSE)</f>
        <v>0</v>
      </c>
      <c r="E10788" t="str">
        <v>D</v>
      </c>
      <c r="F10788">
        <f>VLOOKUP(D10764,'Detail Balok'!$C$10:$BJ$110,48,FALSE)</f>
        <v>0</v>
      </c>
      <c r="G10788" t="str">
        <v>-</v>
      </c>
      <c r="H10788">
        <f>VLOOKUP(D10764,'Detail Balok'!$C$10:$BJ$110,50,FALSE)</f>
        <v>100</v>
      </c>
      <c r="J10788">
        <f>(D10765-2*F$5)/1000</f>
        <v>0.12</v>
      </c>
      <c r="K10788" t="str">
        <v>+</v>
      </c>
      <c r="L10788">
        <f>IF(D10788=0,2*MAX(6*F10788,75),(D10788-1)*2*MAX(6*F10788,75))/1000</f>
        <v>0.15</v>
      </c>
      <c r="M10788" t="str">
        <v>=</v>
      </c>
      <c r="N10788">
        <f>J10788+L10788</f>
        <v>0.27</v>
      </c>
      <c r="T10788" t="str">
        <v>x</v>
      </c>
      <c r="U10788">
        <f>0.006165*F10788^2</f>
        <v>0</v>
      </c>
      <c r="V10788" t="str">
        <v>x</v>
      </c>
      <c r="W10788">
        <f>W10784</f>
        <v>14</v>
      </c>
      <c r="X10788" t="str">
        <v>x</v>
      </c>
      <c r="Y10788">
        <f>D10774</f>
        <v>3</v>
      </c>
      <c r="Z10788" t="str">
        <v>=</v>
      </c>
      <c r="AA10788">
        <f>N10788*U10788*W10788*Y10788</f>
        <v>0</v>
      </c>
    </row>
    <row r="10789">
      <c r="A10789" t="str">
        <f>A10764</f>
        <v>Lantai Atap</v>
      </c>
      <c r="B10789">
        <f>B10764</f>
        <v>18</v>
      </c>
      <c r="C10789" t="str">
        <v>Kait Horizontal Lap.</v>
      </c>
      <c r="D10789">
        <f>VLOOKUP(D10764,'Detail Balok'!$C$10:$BJ$110,51,FALSE)</f>
        <v>0</v>
      </c>
      <c r="E10789" t="str">
        <v>D</v>
      </c>
      <c r="F10789">
        <f>VLOOKUP(D10764,'Detail Balok'!$C$10:$BJ$110,53,FALSE)</f>
        <v>0</v>
      </c>
      <c r="G10789" t="str">
        <v>-</v>
      </c>
      <c r="H10789">
        <f>VLOOKUP(D10764,'Detail Balok'!$C$10:$BJ$110,55,FALSE)</f>
        <v>100</v>
      </c>
      <c r="J10789">
        <f>(D10765-2*F$5)/1000</f>
        <v>0.12</v>
      </c>
      <c r="K10789" t="str">
        <v>+</v>
      </c>
      <c r="L10789">
        <f>IF(D10789=0,2*MAX(6*F10789,75),(D10789-1)*2*MAX(6*F10789,75))/1000</f>
        <v>0.15</v>
      </c>
      <c r="M10789" t="str">
        <v>=</v>
      </c>
      <c r="N10789">
        <f>J10789+L10789</f>
        <v>0.27</v>
      </c>
      <c r="T10789" t="str">
        <v>x</v>
      </c>
      <c r="U10789">
        <f>0.006165*F10789^2</f>
        <v>0</v>
      </c>
      <c r="V10789" t="str">
        <v>x</v>
      </c>
      <c r="W10789">
        <f>W10785</f>
        <v>13</v>
      </c>
      <c r="X10789" t="str">
        <v>x</v>
      </c>
      <c r="Y10789">
        <f>D10774</f>
        <v>3</v>
      </c>
      <c r="Z10789" t="str">
        <v>=</v>
      </c>
      <c r="AA10789">
        <f>N10789*U10789*W10789*Y10789</f>
        <v>0</v>
      </c>
    </row>
    <row r="10790">
      <c r="A10790" t="str">
        <f>A10764</f>
        <v>Lantai Atap</v>
      </c>
      <c r="B10790">
        <f>B10764</f>
        <v>18</v>
      </c>
      <c r="C10790" t="str">
        <v>Kait Horizontal Tump.</v>
      </c>
      <c r="D10790">
        <f>VLOOKUP(D10764,'Detail Balok'!$C$10:$BJ$110,56,FALSE)</f>
        <v>0</v>
      </c>
      <c r="E10790" t="str">
        <v>D</v>
      </c>
      <c r="F10790">
        <f>VLOOKUP(D10764,'Detail Balok'!$C$10:$BJ$110,58,FALSE)</f>
        <v>0</v>
      </c>
      <c r="G10790" t="str">
        <v>-</v>
      </c>
      <c r="H10790">
        <f>VLOOKUP(D10764,'Detail Balok'!$C$10:$BJ$110,60,FALSE)</f>
        <v>100</v>
      </c>
      <c r="J10790">
        <f>(D10765-2*F$5)/1000</f>
        <v>0.12</v>
      </c>
      <c r="K10790" t="str">
        <v>+</v>
      </c>
      <c r="L10790">
        <f>IF(D10790=0,2*MAX(6*F10790,75),(D10790-1)*2*MAX(6*F10790,75))/1000</f>
        <v>0.15</v>
      </c>
      <c r="M10790" t="str">
        <v>=</v>
      </c>
      <c r="N10790">
        <f>J10790+L10790</f>
        <v>0.27</v>
      </c>
      <c r="T10790" t="str">
        <v>x</v>
      </c>
      <c r="U10790">
        <f>0.006165*F10790^2</f>
        <v>0</v>
      </c>
      <c r="V10790" t="str">
        <v>x</v>
      </c>
      <c r="W10790">
        <f>W10786</f>
        <v>14</v>
      </c>
      <c r="X10790" t="str">
        <v>x</v>
      </c>
      <c r="Y10790">
        <f>D10774</f>
        <v>3</v>
      </c>
      <c r="Z10790" t="str">
        <v>=</v>
      </c>
      <c r="AA10790">
        <f>N10790*U10790*W10790*Y10790</f>
        <v>0</v>
      </c>
    </row>
    <row r="10794">
      <c r="A10794" t="str">
        <f>A10764</f>
        <v>Lantai Atap</v>
      </c>
      <c r="B10794">
        <f>B10764+1</f>
        <v>19</v>
      </c>
      <c r="C10794" t="str">
        <f>CONCATENATE(A10794," no. ",B10794)</f>
        <v>Lantai Atap no. 19</v>
      </c>
      <c r="D10794" t="str">
        <f>VLOOKUP(C10794,'Data Panjang Balok'!$C$9:$N$424,2,FALSE)</f>
        <v>B24-1</v>
      </c>
    </row>
    <row r="10795">
      <c r="C10795" t="str">
        <v>Dimensi</v>
      </c>
      <c r="D10795">
        <f>VLOOKUP(D10794,'Detail Balok'!$C$10:$AU$110,2,FALSE)</f>
        <v>200</v>
      </c>
      <c r="F10795" t="str">
        <v>x</v>
      </c>
      <c r="G10795">
        <f>VLOOKUP(D10794,'Detail Balok'!$C$10:$AU$110,3,FALSE)</f>
        <v>400</v>
      </c>
    </row>
    <row r="10796">
      <c r="C10796" t="str">
        <v>Panjang as ke as</v>
      </c>
      <c r="D10796">
        <f>VLOOKUP(C10794,'Data Panjang Balok'!$C$9:$N$424,4,FALSE)</f>
        <v>7400</v>
      </c>
    </row>
    <row r="10797">
      <c r="C10797" t="str">
        <v>Panjang netto</v>
      </c>
      <c r="D10797">
        <f>VLOOKUP(C10794,'Data Panjang Balok'!$C$9:$N$424,7,FALSE)</f>
        <v>7400</v>
      </c>
    </row>
    <row r="10798">
      <c r="C10798" t="str">
        <v>Kolom / balok kiri</v>
      </c>
      <c r="D10798">
        <f>VLOOKUP(C10794,'Data Panjang Balok'!$C$9:$N$424,9,FALSE)</f>
        <v>0</v>
      </c>
    </row>
    <row r="10799">
      <c r="C10799" t="str">
        <v>Kolom / balok kanan</v>
      </c>
      <c r="D10799">
        <f>VLOOKUP(C10794,'Data Panjang Balok'!$C$9:$N$424,10,FALSE)</f>
        <v>0</v>
      </c>
    </row>
    <row r="10800">
      <c r="C10800" t="str">
        <v>Jumlah</v>
      </c>
      <c r="D10800">
        <f>VLOOKUP(C10794,'Data Panjang Balok'!$C$9:$N$424,3,FALSE)</f>
        <v>1</v>
      </c>
    </row>
    <row r="10801">
      <c r="A10801" t="str">
        <f>A10794</f>
        <v>Lantai Atap</v>
      </c>
      <c r="B10801">
        <f>B10794</f>
        <v>19</v>
      </c>
      <c r="C10801" t="str">
        <v>Tul Atas Tumpuan</v>
      </c>
      <c r="D10801">
        <f>VLOOKUP(D10794,'Detail Balok'!$C$10:$AU$110,4,FALSE)</f>
        <v>2</v>
      </c>
      <c r="E10801" t="str">
        <v>D</v>
      </c>
      <c r="F10801">
        <f>VLOOKUP(D10794,'Detail Balok'!$C$10:$AU$110,6,FALSE)</f>
        <v>13</v>
      </c>
      <c r="I10801" t="str">
        <v>(</v>
      </c>
      <c r="J10801">
        <f>+D10796/4/1000</f>
        <v>1.85</v>
      </c>
      <c r="K10801" t="str">
        <v>+</v>
      </c>
      <c r="L10801">
        <f>MAX(VLOOKUP(F10801,N$6:P$15,3,FALSE)/1000,2/3*D10798/1000)+F$16*F10801/1000</f>
        <v>0.156</v>
      </c>
      <c r="M10801" t="str">
        <v>=</v>
      </c>
      <c r="N10801">
        <f>J10801+L10801</f>
        <v>2.0060000000000002</v>
      </c>
      <c r="O10801" t="str">
        <v>+</v>
      </c>
      <c r="P10801">
        <f>D10801-D10802</f>
        <v>0</v>
      </c>
      <c r="Q10801" t="str">
        <v>x</v>
      </c>
      <c r="R10801">
        <f>IF(P10801&gt;0,$F$18*F10801/1000,0)</f>
        <v>0</v>
      </c>
      <c r="S10801" t="str">
        <v>)</v>
      </c>
      <c r="T10801" t="str">
        <v>x</v>
      </c>
      <c r="U10801">
        <f>0.006165*F10801^2</f>
        <v>1.041885</v>
      </c>
      <c r="X10801" t="str">
        <v>x</v>
      </c>
      <c r="Y10801">
        <f>D10800</f>
        <v>1</v>
      </c>
      <c r="Z10801" t="str">
        <v>=</v>
      </c>
      <c r="AA10801">
        <f>IF(AA10804=0,(D10801*N10801+P10801*R10801)*U10801*Y10801,0)</f>
        <v>0</v>
      </c>
    </row>
    <row r="10802">
      <c r="A10802" t="str">
        <f>A10794</f>
        <v>Lantai Atap</v>
      </c>
      <c r="B10802">
        <f>B10794</f>
        <v>19</v>
      </c>
      <c r="C10802" t="str">
        <v>Tul Atas Lapangan</v>
      </c>
      <c r="D10802">
        <f>VLOOKUP(D10794,'Detail Balok'!$C$10:$AU$110,7,FALSE)</f>
        <v>2</v>
      </c>
      <c r="E10802" t="str">
        <v>D</v>
      </c>
      <c r="F10802">
        <f>VLOOKUP(D10794,'Detail Balok'!$C$10:$AU$110,9,FALSE)</f>
        <v>13</v>
      </c>
      <c r="I10802" t="str">
        <v>(</v>
      </c>
      <c r="J10802">
        <f>+D10796/2/1000</f>
        <v>3.7</v>
      </c>
      <c r="K10802" t="str">
        <v>+</v>
      </c>
      <c r="M10802" t="str">
        <v>=</v>
      </c>
      <c r="N10802">
        <f>J10802+L10802</f>
        <v>3.7</v>
      </c>
      <c r="O10802" t="str">
        <v>+</v>
      </c>
      <c r="P10802">
        <f>MAX(D10802-D10801,D10802-D10803)</f>
        <v>0</v>
      </c>
      <c r="Q10802" t="str">
        <v>x</v>
      </c>
      <c r="R10802">
        <f>IF(P10802&gt;0,2*(1-2*$F$19-1/2)*D10797/1000,0)</f>
        <v>0</v>
      </c>
      <c r="S10802" t="str">
        <v>)</v>
      </c>
      <c r="T10802" t="str">
        <v>x</v>
      </c>
      <c r="U10802">
        <f>0.006165*F10802^2</f>
        <v>1.041885</v>
      </c>
      <c r="X10802" t="str">
        <v>x</v>
      </c>
      <c r="Y10802">
        <f>D10800</f>
        <v>1</v>
      </c>
      <c r="Z10802" t="str">
        <v>=</v>
      </c>
      <c r="AA10802">
        <f>IF(AA10804=0,(D10802*N10802+P10802*R10802)*U10802*Y10802,0)</f>
        <v>0</v>
      </c>
    </row>
    <row r="10803">
      <c r="A10803" t="str">
        <f>A10794</f>
        <v>Lantai Atap</v>
      </c>
      <c r="B10803">
        <f>B10794</f>
        <v>19</v>
      </c>
      <c r="C10803" t="str">
        <v>Tul Atas Tumpuan</v>
      </c>
      <c r="D10803">
        <f>VLOOKUP(D10794,'Detail Balok'!$C$10:$AU$110,10,FALSE)</f>
        <v>2</v>
      </c>
      <c r="E10803" t="str">
        <v>D</v>
      </c>
      <c r="F10803">
        <f>VLOOKUP(D10794,'Detail Balok'!$C$10:$AU$110,12,FALSE)</f>
        <v>13</v>
      </c>
      <c r="I10803" t="str">
        <v>(</v>
      </c>
      <c r="J10803">
        <f>+D10796/4/1000</f>
        <v>1.85</v>
      </c>
      <c r="K10803" t="str">
        <v>+</v>
      </c>
      <c r="L10803">
        <f>MAX(VLOOKUP(F10803,N$6:P$15,3,FALSE)/1000,2/3*D10798/1000)+F$16*F10803/1000</f>
        <v>0.156</v>
      </c>
      <c r="M10803" t="str">
        <v>=</v>
      </c>
      <c r="N10803">
        <f>J10803+L10803</f>
        <v>2.0060000000000002</v>
      </c>
      <c r="O10803" t="str">
        <v>+</v>
      </c>
      <c r="P10803">
        <f>D10803-D10802</f>
        <v>0</v>
      </c>
      <c r="Q10803" t="str">
        <v>x</v>
      </c>
      <c r="R10803">
        <f>IF(P10803&gt;0,$F$18*F10803/1000,0)</f>
        <v>0</v>
      </c>
      <c r="S10803" t="str">
        <v>)</v>
      </c>
      <c r="T10803" t="str">
        <v>x</v>
      </c>
      <c r="U10803">
        <f>0.006165*F10803^2</f>
        <v>1.041885</v>
      </c>
      <c r="X10803" t="str">
        <v>x</v>
      </c>
      <c r="Y10803">
        <f>D10800</f>
        <v>1</v>
      </c>
      <c r="Z10803" t="str">
        <v>=</v>
      </c>
      <c r="AA10803">
        <f>IF(AA10804=0,(D10803*N10803+P10803*R10803)*U10803*Y10803,0)</f>
        <v>0</v>
      </c>
    </row>
    <row r="10804">
      <c r="A10804" t="str">
        <f>A10794</f>
        <v>Lantai Atap</v>
      </c>
      <c r="B10804">
        <f>B10794</f>
        <v>19</v>
      </c>
      <c r="D10804">
        <f>IF(AND(D10801=D10802,D10802=D10803,D10801=D10803),D10801,0)</f>
        <v>2</v>
      </c>
      <c r="E10804" t="str">
        <v>D</v>
      </c>
      <c r="F10804">
        <f>IF(AND(F10801=F10802,F10801=F10803,F10802=F10803),F10801,0)</f>
        <v>13</v>
      </c>
      <c r="L10804" t="str">
        <v>Total panjang per balok</v>
      </c>
      <c r="M10804" t="str">
        <v>=</v>
      </c>
      <c r="N10804">
        <f>IF(AND(D10801=D10802,D10801=D10803,D10802=D10803,F10801=F10802,F10801=F10803,F10802=F10803),SUM(N10801:N10803),0)</f>
        <v>7.712000000000001</v>
      </c>
      <c r="O10804" t="str">
        <v>+</v>
      </c>
      <c r="P10804">
        <f>IF(N10804&gt;12,ROUNDDOWN(N10804/12,0),0)</f>
        <v>0</v>
      </c>
      <c r="Q10804" t="str">
        <v>x</v>
      </c>
      <c r="R10804">
        <f>IF(P10804&gt;0,MAX(VLOOKUP(F10804,$D$6:$G$15,3,FALSE),600),0)/1000</f>
        <v>0</v>
      </c>
      <c r="T10804" t="str">
        <v>x</v>
      </c>
      <c r="U10804">
        <f>U10803</f>
        <v>1.041885</v>
      </c>
      <c r="V10804" t="str">
        <v>x</v>
      </c>
      <c r="W10804">
        <f>D10804</f>
        <v>2</v>
      </c>
      <c r="X10804" t="str">
        <v>x</v>
      </c>
      <c r="Y10804">
        <f>Y10803</f>
        <v>1</v>
      </c>
      <c r="Z10804" t="str">
        <v>=</v>
      </c>
      <c r="AA10804">
        <f>(N10804+P10804*R10804/1000)*U10804*W10804*Y10804</f>
        <v>16.070034240000002</v>
      </c>
    </row>
    <row r="10806">
      <c r="A10806" t="str">
        <f>A10794</f>
        <v>Lantai Atap</v>
      </c>
      <c r="B10806">
        <f>B10794</f>
        <v>19</v>
      </c>
      <c r="C10806" t="str">
        <v>Tul Peminggang</v>
      </c>
      <c r="D10806">
        <f>VLOOKUP(D10794,'Detail Balok'!$C$10:$AU$110,13,FALSE)</f>
        <v>0</v>
      </c>
      <c r="E10806" t="str">
        <v>D</v>
      </c>
      <c r="F10806">
        <f>VLOOKUP(D10794,'Detail Balok'!$C$10:$AU$110,15,FALSE)</f>
        <v>6</v>
      </c>
      <c r="J10806">
        <f>+D10796/1000</f>
        <v>7.4</v>
      </c>
      <c r="K10806" t="str">
        <v>+</v>
      </c>
      <c r="L10806">
        <f>2*$F$16*F10806/1000</f>
        <v>0.144</v>
      </c>
      <c r="M10806" t="str">
        <v>=</v>
      </c>
      <c r="N10806">
        <f>J10806+L10806</f>
        <v>7.5440000000000005</v>
      </c>
      <c r="O10806" t="str">
        <v>+</v>
      </c>
      <c r="P10806">
        <f>IF(N10806&gt;12,ROUNDDOWN(N10806/12,0),0)</f>
        <v>0</v>
      </c>
      <c r="Q10806" t="str">
        <v>x</v>
      </c>
      <c r="R10806">
        <f>IF(P10806&gt;0,MAX(VLOOKUP(F10806,$D$6:$G$15,3,FALSE),600),0)/1000</f>
        <v>0</v>
      </c>
      <c r="T10806" t="str">
        <v>x</v>
      </c>
      <c r="U10806">
        <f>0.006165*F10806^2</f>
        <v>0.22194000000000003</v>
      </c>
      <c r="V10806" t="str">
        <v>x</v>
      </c>
      <c r="W10806">
        <f>+D10806</f>
        <v>0</v>
      </c>
      <c r="X10806" t="str">
        <v>x</v>
      </c>
      <c r="Y10806">
        <f>D10800</f>
        <v>1</v>
      </c>
      <c r="Z10806" t="str">
        <v>=</v>
      </c>
      <c r="AA10806">
        <f>(N10806+P10806*R10806/1000)*U10806*W10806*Y10806</f>
        <v>0</v>
      </c>
    </row>
    <row r="10809">
      <c r="A10809" t="str">
        <f>A10794</f>
        <v>Lantai Atap</v>
      </c>
      <c r="B10809">
        <f>B10794</f>
        <v>19</v>
      </c>
      <c r="C10809" t="str">
        <v>Tul Bawah Tumpuan</v>
      </c>
      <c r="D10809">
        <f>VLOOKUP(D10794,'Detail Balok'!$C$10:$AU$110,22,FALSE)</f>
        <v>2</v>
      </c>
      <c r="E10809" t="str">
        <v>D</v>
      </c>
      <c r="F10809">
        <f>VLOOKUP(D10794,'Detail Balok'!$C$10:$AU$110,24,FALSE)</f>
        <v>13</v>
      </c>
      <c r="I10809" t="str">
        <v>(</v>
      </c>
      <c r="J10809">
        <f>+J10801</f>
        <v>1.85</v>
      </c>
      <c r="K10809" t="str">
        <v>+</v>
      </c>
      <c r="L10809">
        <f>MAX(VLOOKUP(F10809,N$6:P$15,3,FALSE)/1000,2/3*D10799/1000)+F$16*F10809/1000</f>
        <v>0.156</v>
      </c>
      <c r="M10809" t="str">
        <v>=</v>
      </c>
      <c r="N10809">
        <f>J10809+L10809</f>
        <v>2.0060000000000002</v>
      </c>
      <c r="O10809" t="str">
        <v>+</v>
      </c>
      <c r="P10809">
        <f>D10809-D10810</f>
        <v>0</v>
      </c>
      <c r="Q10809" t="str">
        <v>x</v>
      </c>
      <c r="R10809">
        <f>IF(P10809&gt;0,$F$18*F10809/1000,0)</f>
        <v>0</v>
      </c>
      <c r="S10809" t="str">
        <v>)</v>
      </c>
      <c r="T10809" t="str">
        <v>x</v>
      </c>
      <c r="U10809">
        <f>0.006165*F10809^2</f>
        <v>1.041885</v>
      </c>
      <c r="X10809" t="str">
        <v>x</v>
      </c>
      <c r="Y10809">
        <f>D10800</f>
        <v>1</v>
      </c>
      <c r="Z10809" t="str">
        <v>=</v>
      </c>
      <c r="AA10809">
        <f>IF(AA10812=0,(D10809*N10809+P10809*R10809)*U10809*Y10809,0)</f>
        <v>0</v>
      </c>
    </row>
    <row r="10810">
      <c r="A10810" t="str">
        <f>A10794</f>
        <v>Lantai Atap</v>
      </c>
      <c r="B10810">
        <f>B10794</f>
        <v>19</v>
      </c>
      <c r="C10810" t="str">
        <v>Tul Bawah Lapangan</v>
      </c>
      <c r="D10810">
        <f>VLOOKUP(D10794,'Detail Balok'!$C$10:$AU$110,25,FALSE)</f>
        <v>2</v>
      </c>
      <c r="E10810" t="str">
        <v>D</v>
      </c>
      <c r="F10810">
        <f>VLOOKUP(D10794,'Detail Balok'!$C$10:$AU$110,27,FALSE)</f>
        <v>13</v>
      </c>
      <c r="I10810" t="str">
        <v>(</v>
      </c>
      <c r="J10810">
        <f>+J10802</f>
        <v>3.7</v>
      </c>
      <c r="K10810" t="str">
        <v>+</v>
      </c>
      <c r="M10810" t="str">
        <v>=</v>
      </c>
      <c r="N10810">
        <f>J10810+L10810</f>
        <v>3.7</v>
      </c>
      <c r="O10810" t="str">
        <v>+</v>
      </c>
      <c r="P10810">
        <f>MAX(D10810-D10809,D10810-D10811)</f>
        <v>0</v>
      </c>
      <c r="Q10810" t="str">
        <v>x</v>
      </c>
      <c r="R10810">
        <f>IF(P10810&gt;0,2*(1-2*$F$19-1/2)*D10797/1000,0)</f>
        <v>0</v>
      </c>
      <c r="S10810" t="str">
        <v>)</v>
      </c>
      <c r="T10810" t="str">
        <v>x</v>
      </c>
      <c r="U10810">
        <f>0.006165*F10810^2</f>
        <v>1.041885</v>
      </c>
      <c r="X10810" t="str">
        <v>x</v>
      </c>
      <c r="Y10810">
        <f>D10800</f>
        <v>1</v>
      </c>
      <c r="Z10810" t="str">
        <v>=</v>
      </c>
      <c r="AA10810">
        <f>IF(AA10812=0,(D10810*N10810+P10810*R10810)*U10810*Y10810,0)</f>
        <v>0</v>
      </c>
    </row>
    <row r="10811">
      <c r="A10811" t="str">
        <f>A10794</f>
        <v>Lantai Atap</v>
      </c>
      <c r="B10811">
        <f>B10794</f>
        <v>19</v>
      </c>
      <c r="C10811" t="str">
        <v>Tul Bawah Tumpuan</v>
      </c>
      <c r="D10811">
        <f>VLOOKUP(D10794,'Detail Balok'!$C$10:$AU$110,28,FALSE)</f>
        <v>2</v>
      </c>
      <c r="E10811" t="str">
        <v>D</v>
      </c>
      <c r="F10811">
        <f>VLOOKUP(D10794,'Detail Balok'!$C$10:$AU$110,30,FALSE)</f>
        <v>13</v>
      </c>
      <c r="I10811" t="str">
        <v>(</v>
      </c>
      <c r="J10811">
        <f>+J10803</f>
        <v>1.85</v>
      </c>
      <c r="K10811" t="str">
        <v>+</v>
      </c>
      <c r="L10811">
        <f>MAX(VLOOKUP(F10811,N$6:P$15,3,FALSE)/1000,2/3*D10799/1000)+F$16*F10811/1000</f>
        <v>0.156</v>
      </c>
      <c r="M10811" t="str">
        <v>=</v>
      </c>
      <c r="N10811">
        <f>J10811+L10811</f>
        <v>2.0060000000000002</v>
      </c>
      <c r="O10811" t="str">
        <v>+</v>
      </c>
      <c r="P10811">
        <f>D10811-D10810</f>
        <v>0</v>
      </c>
      <c r="Q10811" t="str">
        <v>x</v>
      </c>
      <c r="R10811">
        <f>IF(P10811&gt;0,$F$18*F10811/1000,0)</f>
        <v>0</v>
      </c>
      <c r="S10811" t="str">
        <v>)</v>
      </c>
      <c r="T10811" t="str">
        <v>x</v>
      </c>
      <c r="U10811">
        <f>0.006165*F10811^2</f>
        <v>1.041885</v>
      </c>
      <c r="X10811" t="str">
        <v>x</v>
      </c>
      <c r="Y10811">
        <f>D10800</f>
        <v>1</v>
      </c>
      <c r="Z10811" t="str">
        <v>=</v>
      </c>
      <c r="AA10811">
        <f>IF(AA10812=0,(D10811*N10811+P10811*R10811)*U10811*Y10811,0)</f>
        <v>0</v>
      </c>
    </row>
    <row r="10812">
      <c r="A10812" t="str">
        <f>A10794</f>
        <v>Lantai Atap</v>
      </c>
      <c r="B10812">
        <f>B10794</f>
        <v>19</v>
      </c>
      <c r="D10812">
        <f>IF(AND(D10809=D10810,D10810=D10811,D10809=D10811),D10809,0)</f>
        <v>2</v>
      </c>
      <c r="E10812" t="str">
        <v>D</v>
      </c>
      <c r="F10812">
        <f>IF(AND(F10809=F10810,F10809=F10811,F10810=F10811),F10809,0)</f>
        <v>13</v>
      </c>
      <c r="L10812" t="str">
        <v>Total panjang per balok</v>
      </c>
      <c r="M10812" t="str">
        <v>=</v>
      </c>
      <c r="N10812">
        <f>IF(AND(D10809=D10810,D10809=D10811,D10810=D10811,F10809=F10810,F10809=F10811,F10810=F10811),SUM(N10809:N10811),0)</f>
        <v>7.712000000000001</v>
      </c>
      <c r="O10812" t="str">
        <v>+</v>
      </c>
      <c r="P10812">
        <f>IF(N10812&gt;12,ROUNDDOWN(N10812/12,0),0)</f>
        <v>0</v>
      </c>
      <c r="Q10812" t="str">
        <v>x</v>
      </c>
      <c r="R10812">
        <f>IF(P10812&gt;0,MAX(VLOOKUP(F10812,$D$6:$G$15,3,FALSE),600),0)/1000</f>
        <v>0</v>
      </c>
      <c r="T10812" t="str">
        <v>x</v>
      </c>
      <c r="U10812">
        <f>U10811</f>
        <v>1.041885</v>
      </c>
      <c r="V10812" t="str">
        <v>x</v>
      </c>
      <c r="W10812">
        <f>D10812</f>
        <v>2</v>
      </c>
      <c r="X10812" t="str">
        <v>x</v>
      </c>
      <c r="Y10812">
        <f>Y10811</f>
        <v>1</v>
      </c>
      <c r="Z10812" t="str">
        <v>=</v>
      </c>
      <c r="AA10812">
        <f>(N10812+P10812*R10812/1000)*U10812*W10812*Y10812</f>
        <v>16.070034240000002</v>
      </c>
    </row>
    <row r="10814">
      <c r="A10814" t="str">
        <f>A10794</f>
        <v>Lantai Atap</v>
      </c>
      <c r="B10814">
        <f>B10794</f>
        <v>19</v>
      </c>
      <c r="C10814" t="str">
        <v>Sengkang Tumpuan</v>
      </c>
      <c r="D10814">
        <f>VLOOKUP(D10794,'Detail Balok'!$C$10:$AU$110,31,FALSE)</f>
        <v>0</v>
      </c>
      <c r="E10814" t="str">
        <v>D</v>
      </c>
      <c r="F10814">
        <f>VLOOKUP(D10794,'Detail Balok'!$C$10:$AU$110,33,FALSE)</f>
        <v>8</v>
      </c>
      <c r="G10814" t="str">
        <v>-</v>
      </c>
      <c r="H10814">
        <f>VLOOKUP(D10794,'Detail Balok'!$C$10:$AU$110,35,FALSE)</f>
        <v>100</v>
      </c>
      <c r="J10814">
        <f>(IF(D10814=0,(2*(D10795+G10795))-(F$5*8),IF(D10814=3,(2*(D10795+G10795))-(F$5*8)+(G10795-2*F$5),IF(D10814=4,(2*(D10795+G10795))-(F$5*8)+2*(G10795-2*F$5)))))/1000</f>
        <v>0.88</v>
      </c>
      <c r="K10814" t="str">
        <v>+</v>
      </c>
      <c r="L10814">
        <f>IF(D10814=0,2*MAX(6*F10814,75),(D10814-1)*2*MAX(6*F10814,75))/1000</f>
        <v>0.15</v>
      </c>
      <c r="M10814" t="str">
        <v>=</v>
      </c>
      <c r="N10814">
        <f>J10814+L10814</f>
        <v>1.03</v>
      </c>
      <c r="T10814" t="str">
        <v>x</v>
      </c>
      <c r="U10814">
        <f>0.006165*F10814^2</f>
        <v>0.39456</v>
      </c>
      <c r="V10814" t="str">
        <v>x</v>
      </c>
      <c r="W10814">
        <f>IF(D10797&gt;4*G10795,ROUND(MAX(D10797/4,2*G10795)/H10814,0)+1,ROUND(D10797/H10814,0)+1)</f>
        <v>20</v>
      </c>
      <c r="X10814" t="str">
        <v>x</v>
      </c>
      <c r="Y10814">
        <f>D10800</f>
        <v>1</v>
      </c>
      <c r="Z10814" t="str">
        <v>=</v>
      </c>
      <c r="AA10814">
        <f>N10814*U10814*W10814*Y10814</f>
        <v>8.127936000000002</v>
      </c>
    </row>
    <row r="10815">
      <c r="A10815" t="str">
        <f>A10794</f>
        <v>Lantai Atap</v>
      </c>
      <c r="B10815">
        <f>B10794</f>
        <v>19</v>
      </c>
      <c r="C10815" t="str">
        <v>Sengkang Lapangan</v>
      </c>
      <c r="D10815">
        <f>VLOOKUP(D10794,'Detail Balok'!$C$10:$AU$110,36,FALSE)</f>
        <v>0</v>
      </c>
      <c r="E10815" t="str">
        <v>D</v>
      </c>
      <c r="F10815">
        <f>VLOOKUP(D10794,'Detail Balok'!$C$10:$AU$110,38,FALSE)</f>
        <v>8</v>
      </c>
      <c r="G10815" t="str">
        <v>-</v>
      </c>
      <c r="H10815">
        <f>VLOOKUP(D10794,'Detail Balok'!$C$10:$AU$110,40,FALSE)</f>
        <v>200</v>
      </c>
      <c r="J10815">
        <f>(IF(D10815=0,(2*(D10795+G10795))-(F$5*8),IF(D10815=3,(2*(D10795+G10795))-(F$5*8)+(G10795-2*F$5),IF(D10815=4,(2*(D10795+G10795))-(F$5*8)+2*(G10795-2*F$5)))))/1000</f>
        <v>0.88</v>
      </c>
      <c r="K10815" t="str">
        <v>+</v>
      </c>
      <c r="L10815">
        <f>IF(D10815=0,2*MAX(6*F10815,75),(D10815-1)*2*MAX(6*F10815,75))/1000</f>
        <v>0.15</v>
      </c>
      <c r="M10815" t="str">
        <v>=</v>
      </c>
      <c r="N10815">
        <f>J10815+L10815</f>
        <v>1.03</v>
      </c>
      <c r="T10815" t="str">
        <v>x</v>
      </c>
      <c r="U10815">
        <f>0.006165*F10815^2</f>
        <v>0.39456</v>
      </c>
      <c r="V10815" t="str">
        <v>x</v>
      </c>
      <c r="W10815">
        <f>IF(D10797-MAX(D10797/4,2*G10795)*2&gt;0,ROUND((D10797-MAX(D10797/4,2*G10795)*2)/H10815,0),0)</f>
        <v>19</v>
      </c>
      <c r="X10815" t="str">
        <v>x</v>
      </c>
      <c r="Y10815">
        <f>D10800</f>
        <v>1</v>
      </c>
      <c r="Z10815" t="str">
        <v>=</v>
      </c>
      <c r="AA10815">
        <f>N10815*U10815*W10815*Y10815</f>
        <v>7.721539200000001</v>
      </c>
    </row>
    <row r="10816">
      <c r="A10816" t="str">
        <f>A10794</f>
        <v>Lantai Atap</v>
      </c>
      <c r="B10816">
        <f>B10794</f>
        <v>19</v>
      </c>
      <c r="C10816" t="str">
        <v>Sengkang Tumpuan</v>
      </c>
      <c r="D10816">
        <f>VLOOKUP(D10794,'Detail Balok'!$C$10:$AU$110,41,FALSE)</f>
        <v>0</v>
      </c>
      <c r="E10816" t="str">
        <v>D</v>
      </c>
      <c r="F10816">
        <f>VLOOKUP(D10794,'Detail Balok'!$C$10:$AU$110,43,FALSE)</f>
        <v>8</v>
      </c>
      <c r="G10816" t="str">
        <v>-</v>
      </c>
      <c r="H10816">
        <f>VLOOKUP(D10794,'Detail Balok'!$C$10:$AU$110,45,FALSE)</f>
        <v>100</v>
      </c>
      <c r="J10816">
        <f>(IF(D10816=0,(2*(D10795+G10795))-(F$5*8),IF(D10816=3,(2*(D10795+G10795))-(F$5*8)+(G10795-2*F$5),IF(D10816=4,(2*(D10795+G10795))-(F$5*8)+2*(G10795-2*F$5)))))/1000</f>
        <v>0.88</v>
      </c>
      <c r="K10816" t="str">
        <v>+</v>
      </c>
      <c r="L10816">
        <f>IF(D10816=0,2*MAX(6*F10816,75),(D10816-1)*2*MAX(6*F10816,75))/1000</f>
        <v>0.15</v>
      </c>
      <c r="M10816" t="str">
        <v>=</v>
      </c>
      <c r="N10816">
        <f>J10816+L10816</f>
        <v>1.03</v>
      </c>
      <c r="T10816" t="str">
        <v>x</v>
      </c>
      <c r="U10816">
        <f>0.006165*F10816^2</f>
        <v>0.39456</v>
      </c>
      <c r="V10816" t="str">
        <v>x</v>
      </c>
      <c r="W10816">
        <f>IF(D10797&gt;4*G10795,ROUND(MAX(D10797/4,2*G10795)/H10816,0)+1,0)</f>
        <v>20</v>
      </c>
      <c r="X10816" t="str">
        <v>x</v>
      </c>
      <c r="Y10816">
        <f>D10800</f>
        <v>1</v>
      </c>
      <c r="Z10816" t="str">
        <v>=</v>
      </c>
      <c r="AA10816">
        <f>N10816*U10816*W10816*Y10816</f>
        <v>8.127936000000002</v>
      </c>
    </row>
    <row r="10818">
      <c r="A10818" t="str">
        <f>A10794</f>
        <v>Lantai Atap</v>
      </c>
      <c r="B10818">
        <f>B10794</f>
        <v>19</v>
      </c>
      <c r="C10818" t="str">
        <v>Kait Horizontal Tump.</v>
      </c>
      <c r="D10818">
        <f>VLOOKUP(D10794,'Detail Balok'!$C$10:$BJ$110,46,FALSE)</f>
        <v>0</v>
      </c>
      <c r="E10818" t="str">
        <v>D</v>
      </c>
      <c r="F10818">
        <f>VLOOKUP(D10794,'Detail Balok'!$C$10:$BJ$110,48,FALSE)</f>
        <v>0</v>
      </c>
      <c r="G10818" t="str">
        <v>-</v>
      </c>
      <c r="H10818">
        <f>VLOOKUP(D10794,'Detail Balok'!$C$10:$BJ$110,50,FALSE)</f>
        <v>100</v>
      </c>
      <c r="J10818">
        <f>(D10795-2*F$5)/1000</f>
        <v>0.12</v>
      </c>
      <c r="K10818" t="str">
        <v>+</v>
      </c>
      <c r="L10818">
        <f>IF(D10818=0,2*MAX(6*F10818,75),(D10818-1)*2*MAX(6*F10818,75))/1000</f>
        <v>0.15</v>
      </c>
      <c r="M10818" t="str">
        <v>=</v>
      </c>
      <c r="N10818">
        <f>J10818+L10818</f>
        <v>0.27</v>
      </c>
      <c r="T10818" t="str">
        <v>x</v>
      </c>
      <c r="U10818">
        <f>0.006165*F10818^2</f>
        <v>0</v>
      </c>
      <c r="V10818" t="str">
        <v>x</v>
      </c>
      <c r="W10818">
        <f>W10814</f>
        <v>20</v>
      </c>
      <c r="X10818" t="str">
        <v>x</v>
      </c>
      <c r="Y10818">
        <f>D10804</f>
        <v>2</v>
      </c>
      <c r="Z10818" t="str">
        <v>=</v>
      </c>
      <c r="AA10818">
        <f>N10818*U10818*W10818*Y10818</f>
        <v>0</v>
      </c>
    </row>
    <row r="10819">
      <c r="A10819" t="str">
        <f>A10794</f>
        <v>Lantai Atap</v>
      </c>
      <c r="B10819">
        <f>B10794</f>
        <v>19</v>
      </c>
      <c r="C10819" t="str">
        <v>Kait Horizontal Lap.</v>
      </c>
      <c r="D10819">
        <f>VLOOKUP(D10794,'Detail Balok'!$C$10:$BJ$110,51,FALSE)</f>
        <v>0</v>
      </c>
      <c r="E10819" t="str">
        <v>D</v>
      </c>
      <c r="F10819">
        <f>VLOOKUP(D10794,'Detail Balok'!$C$10:$BJ$110,53,FALSE)</f>
        <v>0</v>
      </c>
      <c r="G10819" t="str">
        <v>-</v>
      </c>
      <c r="H10819">
        <f>VLOOKUP(D10794,'Detail Balok'!$C$10:$BJ$110,55,FALSE)</f>
        <v>100</v>
      </c>
      <c r="J10819">
        <f>(D10795-2*F$5)/1000</f>
        <v>0.12</v>
      </c>
      <c r="K10819" t="str">
        <v>+</v>
      </c>
      <c r="L10819">
        <f>IF(D10819=0,2*MAX(6*F10819,75),(D10819-1)*2*MAX(6*F10819,75))/1000</f>
        <v>0.15</v>
      </c>
      <c r="M10819" t="str">
        <v>=</v>
      </c>
      <c r="N10819">
        <f>J10819+L10819</f>
        <v>0.27</v>
      </c>
      <c r="T10819" t="str">
        <v>x</v>
      </c>
      <c r="U10819">
        <f>0.006165*F10819^2</f>
        <v>0</v>
      </c>
      <c r="V10819" t="str">
        <v>x</v>
      </c>
      <c r="W10819">
        <f>W10815</f>
        <v>19</v>
      </c>
      <c r="X10819" t="str">
        <v>x</v>
      </c>
      <c r="Y10819">
        <f>D10804</f>
        <v>2</v>
      </c>
      <c r="Z10819" t="str">
        <v>=</v>
      </c>
      <c r="AA10819">
        <f>N10819*U10819*W10819*Y10819</f>
        <v>0</v>
      </c>
    </row>
    <row r="10820">
      <c r="A10820" t="str">
        <f>A10794</f>
        <v>Lantai Atap</v>
      </c>
      <c r="B10820">
        <f>B10794</f>
        <v>19</v>
      </c>
      <c r="C10820" t="str">
        <v>Kait Horizontal Tump.</v>
      </c>
      <c r="D10820">
        <f>VLOOKUP(D10794,'Detail Balok'!$C$10:$BJ$110,56,FALSE)</f>
        <v>0</v>
      </c>
      <c r="E10820" t="str">
        <v>D</v>
      </c>
      <c r="F10820">
        <f>VLOOKUP(D10794,'Detail Balok'!$C$10:$BJ$110,58,FALSE)</f>
        <v>0</v>
      </c>
      <c r="G10820" t="str">
        <v>-</v>
      </c>
      <c r="H10820">
        <f>VLOOKUP(D10794,'Detail Balok'!$C$10:$BJ$110,60,FALSE)</f>
        <v>100</v>
      </c>
      <c r="J10820">
        <f>(D10795-2*F$5)/1000</f>
        <v>0.12</v>
      </c>
      <c r="K10820" t="str">
        <v>+</v>
      </c>
      <c r="L10820">
        <f>IF(D10820=0,2*MAX(6*F10820,75),(D10820-1)*2*MAX(6*F10820,75))/1000</f>
        <v>0.15</v>
      </c>
      <c r="M10820" t="str">
        <v>=</v>
      </c>
      <c r="N10820">
        <f>J10820+L10820</f>
        <v>0.27</v>
      </c>
      <c r="T10820" t="str">
        <v>x</v>
      </c>
      <c r="U10820">
        <f>0.006165*F10820^2</f>
        <v>0</v>
      </c>
      <c r="V10820" t="str">
        <v>x</v>
      </c>
      <c r="W10820">
        <f>W10816</f>
        <v>20</v>
      </c>
      <c r="X10820" t="str">
        <v>x</v>
      </c>
      <c r="Y10820">
        <f>D10804</f>
        <v>2</v>
      </c>
      <c r="Z10820" t="str">
        <v>=</v>
      </c>
      <c r="AA10820">
        <f>N10820*U10820*W10820*Y10820</f>
        <v>0</v>
      </c>
    </row>
    <row r="10824">
      <c r="A10824" t="str">
        <f>A10794</f>
        <v>Lantai Atap</v>
      </c>
      <c r="B10824">
        <f>B10794+1</f>
        <v>20</v>
      </c>
      <c r="C10824" t="str">
        <f>CONCATENATE(A10824," no. ",B10824)</f>
        <v>Lantai Atap no. 20</v>
      </c>
      <c r="D10824" t="str">
        <f>VLOOKUP(C10824,'Data Panjang Balok'!$C$9:$N$424,2,FALSE)</f>
        <v>CL24-1</v>
      </c>
    </row>
    <row r="10825">
      <c r="C10825" t="str">
        <v>Dimensi</v>
      </c>
      <c r="D10825">
        <f>VLOOKUP(D10824,'Detail Balok'!$C$10:$AU$110,2,FALSE)</f>
        <v>200</v>
      </c>
      <c r="F10825" t="str">
        <v>x</v>
      </c>
      <c r="G10825">
        <f>VLOOKUP(D10824,'Detail Balok'!$C$10:$AU$110,3,FALSE)</f>
        <v>400</v>
      </c>
    </row>
    <row r="10826">
      <c r="C10826" t="str">
        <v>Panjang as ke as</v>
      </c>
      <c r="D10826">
        <f>VLOOKUP(C10824,'Data Panjang Balok'!$C$9:$N$424,4,FALSE)</f>
        <v>1900</v>
      </c>
    </row>
    <row r="10827">
      <c r="C10827" t="str">
        <v>Panjang netto</v>
      </c>
      <c r="D10827">
        <f>VLOOKUP(C10824,'Data Panjang Balok'!$C$9:$N$424,7,FALSE)</f>
        <v>1900</v>
      </c>
    </row>
    <row r="10828">
      <c r="C10828" t="str">
        <v>Kolom / balok kiri</v>
      </c>
      <c r="D10828">
        <f>VLOOKUP(C10824,'Data Panjang Balok'!$C$9:$N$424,9,FALSE)</f>
        <v>0</v>
      </c>
    </row>
    <row r="10829">
      <c r="C10829" t="str">
        <v>Kolom / balok kanan</v>
      </c>
      <c r="D10829">
        <f>VLOOKUP(C10824,'Data Panjang Balok'!$C$9:$N$424,10,FALSE)</f>
        <v>0</v>
      </c>
    </row>
    <row r="10830">
      <c r="C10830" t="str">
        <v>Jumlah</v>
      </c>
      <c r="D10830">
        <f>VLOOKUP(C10824,'Data Panjang Balok'!$C$9:$N$424,3,FALSE)</f>
        <v>1</v>
      </c>
    </row>
    <row r="10831">
      <c r="A10831" t="str">
        <f>A10824</f>
        <v>Lantai Atap</v>
      </c>
      <c r="B10831">
        <f>B10824</f>
        <v>20</v>
      </c>
      <c r="C10831" t="str">
        <v>Tul Atas Tumpuan</v>
      </c>
      <c r="D10831">
        <f>VLOOKUP(D10824,'Detail Balok'!$C$10:$AU$110,4,FALSE)</f>
        <v>3</v>
      </c>
      <c r="E10831" t="str">
        <v>D</v>
      </c>
      <c r="F10831">
        <f>VLOOKUP(D10824,'Detail Balok'!$C$10:$AU$110,6,FALSE)</f>
        <v>16</v>
      </c>
      <c r="I10831" t="str">
        <v>(</v>
      </c>
      <c r="J10831">
        <f>+D10826/4/1000</f>
        <v>0.475</v>
      </c>
      <c r="K10831" t="str">
        <v>+</v>
      </c>
      <c r="L10831">
        <f>MAX(VLOOKUP(F10831,N$6:P$15,3,FALSE)/1000,2/3*D10828/1000)+F$16*F10831/1000</f>
        <v>0.192</v>
      </c>
      <c r="M10831" t="str">
        <v>=</v>
      </c>
      <c r="N10831">
        <f>J10831+L10831</f>
        <v>0.667</v>
      </c>
      <c r="O10831" t="str">
        <v>+</v>
      </c>
      <c r="P10831">
        <f>D10831-D10832</f>
        <v>0</v>
      </c>
      <c r="Q10831" t="str">
        <v>x</v>
      </c>
      <c r="R10831">
        <f>IF(P10831&gt;0,$F$18*F10831/1000,0)</f>
        <v>0</v>
      </c>
      <c r="S10831" t="str">
        <v>)</v>
      </c>
      <c r="T10831" t="str">
        <v>x</v>
      </c>
      <c r="U10831">
        <f>0.006165*F10831^2</f>
        <v>1.57824</v>
      </c>
      <c r="X10831" t="str">
        <v>x</v>
      </c>
      <c r="Y10831">
        <f>D10830</f>
        <v>1</v>
      </c>
      <c r="Z10831" t="str">
        <v>=</v>
      </c>
      <c r="AA10831">
        <f>IF(AA10834=0,(D10831*N10831+P10831*R10831)*U10831*Y10831,0)</f>
        <v>0</v>
      </c>
    </row>
    <row r="10832">
      <c r="A10832" t="str">
        <f>A10824</f>
        <v>Lantai Atap</v>
      </c>
      <c r="B10832">
        <f>B10824</f>
        <v>20</v>
      </c>
      <c r="C10832" t="str">
        <v>Tul Atas Lapangan</v>
      </c>
      <c r="D10832">
        <f>VLOOKUP(D10824,'Detail Balok'!$C$10:$AU$110,7,FALSE)</f>
        <v>3</v>
      </c>
      <c r="E10832" t="str">
        <v>D</v>
      </c>
      <c r="F10832">
        <f>VLOOKUP(D10824,'Detail Balok'!$C$10:$AU$110,9,FALSE)</f>
        <v>16</v>
      </c>
      <c r="I10832" t="str">
        <v>(</v>
      </c>
      <c r="J10832">
        <f>+D10826/2/1000</f>
        <v>0.95</v>
      </c>
      <c r="K10832" t="str">
        <v>+</v>
      </c>
      <c r="M10832" t="str">
        <v>=</v>
      </c>
      <c r="N10832">
        <f>J10832+L10832</f>
        <v>0.95</v>
      </c>
      <c r="O10832" t="str">
        <v>+</v>
      </c>
      <c r="P10832">
        <f>MAX(D10832-D10831,D10832-D10833)</f>
        <v>0</v>
      </c>
      <c r="Q10832" t="str">
        <v>x</v>
      </c>
      <c r="R10832">
        <f>IF(P10832&gt;0,2*(1-2*$F$19-1/2)*D10827/1000,0)</f>
        <v>0</v>
      </c>
      <c r="S10832" t="str">
        <v>)</v>
      </c>
      <c r="T10832" t="str">
        <v>x</v>
      </c>
      <c r="U10832">
        <f>0.006165*F10832^2</f>
        <v>1.57824</v>
      </c>
      <c r="X10832" t="str">
        <v>x</v>
      </c>
      <c r="Y10832">
        <f>D10830</f>
        <v>1</v>
      </c>
      <c r="Z10832" t="str">
        <v>=</v>
      </c>
      <c r="AA10832">
        <f>IF(AA10834=0,(D10832*N10832+P10832*R10832)*U10832*Y10832,0)</f>
        <v>0</v>
      </c>
    </row>
    <row r="10833">
      <c r="A10833" t="str">
        <f>A10824</f>
        <v>Lantai Atap</v>
      </c>
      <c r="B10833">
        <f>B10824</f>
        <v>20</v>
      </c>
      <c r="C10833" t="str">
        <v>Tul Atas Tumpuan</v>
      </c>
      <c r="D10833">
        <f>VLOOKUP(D10824,'Detail Balok'!$C$10:$AU$110,10,FALSE)</f>
        <v>3</v>
      </c>
      <c r="E10833" t="str">
        <v>D</v>
      </c>
      <c r="F10833">
        <f>VLOOKUP(D10824,'Detail Balok'!$C$10:$AU$110,12,FALSE)</f>
        <v>16</v>
      </c>
      <c r="I10833" t="str">
        <v>(</v>
      </c>
      <c r="J10833">
        <f>+D10826/4/1000</f>
        <v>0.475</v>
      </c>
      <c r="K10833" t="str">
        <v>+</v>
      </c>
      <c r="L10833">
        <f>MAX(VLOOKUP(F10833,N$6:P$15,3,FALSE)/1000,2/3*D10828/1000)+F$16*F10833/1000</f>
        <v>0.192</v>
      </c>
      <c r="M10833" t="str">
        <v>=</v>
      </c>
      <c r="N10833">
        <f>J10833+L10833</f>
        <v>0.667</v>
      </c>
      <c r="O10833" t="str">
        <v>+</v>
      </c>
      <c r="P10833">
        <f>D10833-D10832</f>
        <v>0</v>
      </c>
      <c r="Q10833" t="str">
        <v>x</v>
      </c>
      <c r="R10833">
        <f>IF(P10833&gt;0,$F$18*F10833/1000,0)</f>
        <v>0</v>
      </c>
      <c r="S10833" t="str">
        <v>)</v>
      </c>
      <c r="T10833" t="str">
        <v>x</v>
      </c>
      <c r="U10833">
        <f>0.006165*F10833^2</f>
        <v>1.57824</v>
      </c>
      <c r="X10833" t="str">
        <v>x</v>
      </c>
      <c r="Y10833">
        <f>D10830</f>
        <v>1</v>
      </c>
      <c r="Z10833" t="str">
        <v>=</v>
      </c>
      <c r="AA10833">
        <f>IF(AA10834=0,(D10833*N10833+P10833*R10833)*U10833*Y10833,0)</f>
        <v>0</v>
      </c>
    </row>
    <row r="10834">
      <c r="A10834" t="str">
        <f>A10824</f>
        <v>Lantai Atap</v>
      </c>
      <c r="B10834">
        <f>B10824</f>
        <v>20</v>
      </c>
      <c r="D10834">
        <f>IF(AND(D10831=D10832,D10832=D10833,D10831=D10833),D10831,0)</f>
        <v>3</v>
      </c>
      <c r="E10834" t="str">
        <v>D</v>
      </c>
      <c r="F10834">
        <f>IF(AND(F10831=F10832,F10831=F10833,F10832=F10833),F10831,0)</f>
        <v>16</v>
      </c>
      <c r="L10834" t="str">
        <v>Total panjang per balok</v>
      </c>
      <c r="M10834" t="str">
        <v>=</v>
      </c>
      <c r="N10834">
        <f>IF(AND(D10831=D10832,D10831=D10833,D10832=D10833,F10831=F10832,F10831=F10833,F10832=F10833),SUM(N10831:N10833),0)</f>
        <v>2.284</v>
      </c>
      <c r="O10834" t="str">
        <v>+</v>
      </c>
      <c r="P10834">
        <f>IF(N10834&gt;12,ROUNDDOWN(N10834/12,0),0)</f>
        <v>0</v>
      </c>
      <c r="Q10834" t="str">
        <v>x</v>
      </c>
      <c r="R10834">
        <f>IF(P10834&gt;0,MAX(VLOOKUP(F10834,$D$6:$G$15,3,FALSE),600),0)/1000</f>
        <v>0</v>
      </c>
      <c r="T10834" t="str">
        <v>x</v>
      </c>
      <c r="U10834">
        <f>U10833</f>
        <v>1.57824</v>
      </c>
      <c r="V10834" t="str">
        <v>x</v>
      </c>
      <c r="W10834">
        <f>D10834</f>
        <v>3</v>
      </c>
      <c r="X10834" t="str">
        <v>x</v>
      </c>
      <c r="Y10834">
        <f>Y10833</f>
        <v>1</v>
      </c>
      <c r="Z10834" t="str">
        <v>=</v>
      </c>
      <c r="AA10834">
        <f>(N10834+P10834*R10834/1000)*U10834*W10834*Y10834</f>
        <v>10.814100479999999</v>
      </c>
    </row>
    <row r="10836">
      <c r="A10836" t="str">
        <f>A10824</f>
        <v>Lantai Atap</v>
      </c>
      <c r="B10836">
        <f>B10824</f>
        <v>20</v>
      </c>
      <c r="C10836" t="str">
        <v>Tul Peminggang</v>
      </c>
      <c r="D10836">
        <f>VLOOKUP(D10824,'Detail Balok'!$C$10:$AU$110,13,FALSE)</f>
        <v>0</v>
      </c>
      <c r="E10836" t="str">
        <v>D</v>
      </c>
      <c r="F10836">
        <f>VLOOKUP(D10824,'Detail Balok'!$C$10:$AU$110,15,FALSE)</f>
        <v>6</v>
      </c>
      <c r="J10836">
        <f>+D10826/1000</f>
        <v>1.9</v>
      </c>
      <c r="K10836" t="str">
        <v>+</v>
      </c>
      <c r="L10836">
        <f>2*$F$16*F10836/1000</f>
        <v>0.144</v>
      </c>
      <c r="M10836" t="str">
        <v>=</v>
      </c>
      <c r="N10836">
        <f>J10836+L10836</f>
        <v>2.044</v>
      </c>
      <c r="O10836" t="str">
        <v>+</v>
      </c>
      <c r="P10836">
        <f>IF(N10836&gt;12,ROUNDDOWN(N10836/12,0),0)</f>
        <v>0</v>
      </c>
      <c r="Q10836" t="str">
        <v>x</v>
      </c>
      <c r="R10836">
        <f>IF(P10836&gt;0,MAX(VLOOKUP(F10836,$D$6:$G$15,3,FALSE),600),0)/1000</f>
        <v>0</v>
      </c>
      <c r="T10836" t="str">
        <v>x</v>
      </c>
      <c r="U10836">
        <f>0.006165*F10836^2</f>
        <v>0.22194000000000003</v>
      </c>
      <c r="V10836" t="str">
        <v>x</v>
      </c>
      <c r="W10836">
        <f>+D10836</f>
        <v>0</v>
      </c>
      <c r="X10836" t="str">
        <v>x</v>
      </c>
      <c r="Y10836">
        <f>D10830</f>
        <v>1</v>
      </c>
      <c r="Z10836" t="str">
        <v>=</v>
      </c>
      <c r="AA10836">
        <f>(N10836+P10836*R10836/1000)*U10836*W10836*Y10836</f>
        <v>0</v>
      </c>
    </row>
    <row r="10839">
      <c r="A10839" t="str">
        <f>A10824</f>
        <v>Lantai Atap</v>
      </c>
      <c r="B10839">
        <f>B10824</f>
        <v>20</v>
      </c>
      <c r="C10839" t="str">
        <v>Tul Bawah Tumpuan</v>
      </c>
      <c r="D10839">
        <f>VLOOKUP(D10824,'Detail Balok'!$C$10:$AU$110,22,FALSE)</f>
        <v>2</v>
      </c>
      <c r="E10839" t="str">
        <v>D</v>
      </c>
      <c r="F10839">
        <f>VLOOKUP(D10824,'Detail Balok'!$C$10:$AU$110,24,FALSE)</f>
        <v>16</v>
      </c>
      <c r="I10839" t="str">
        <v>(</v>
      </c>
      <c r="J10839">
        <f>+J10831</f>
        <v>0.475</v>
      </c>
      <c r="K10839" t="str">
        <v>+</v>
      </c>
      <c r="L10839">
        <f>MAX(VLOOKUP(F10839,N$6:P$15,3,FALSE)/1000,2/3*D10829/1000)+F$16*F10839/1000</f>
        <v>0.192</v>
      </c>
      <c r="M10839" t="str">
        <v>=</v>
      </c>
      <c r="N10839">
        <f>J10839+L10839</f>
        <v>0.667</v>
      </c>
      <c r="O10839" t="str">
        <v>+</v>
      </c>
      <c r="P10839">
        <f>D10839-D10840</f>
        <v>0</v>
      </c>
      <c r="Q10839" t="str">
        <v>x</v>
      </c>
      <c r="R10839">
        <f>IF(P10839&gt;0,$F$18*F10839/1000,0)</f>
        <v>0</v>
      </c>
      <c r="S10839" t="str">
        <v>)</v>
      </c>
      <c r="T10839" t="str">
        <v>x</v>
      </c>
      <c r="U10839">
        <f>0.006165*F10839^2</f>
        <v>1.57824</v>
      </c>
      <c r="X10839" t="str">
        <v>x</v>
      </c>
      <c r="Y10839">
        <f>D10830</f>
        <v>1</v>
      </c>
      <c r="Z10839" t="str">
        <v>=</v>
      </c>
      <c r="AA10839">
        <f>IF(AA10842=0,(D10839*N10839+P10839*R10839)*U10839*Y10839,0)</f>
        <v>0</v>
      </c>
    </row>
    <row r="10840">
      <c r="A10840" t="str">
        <f>A10824</f>
        <v>Lantai Atap</v>
      </c>
      <c r="B10840">
        <f>B10824</f>
        <v>20</v>
      </c>
      <c r="C10840" t="str">
        <v>Tul Bawah Lapangan</v>
      </c>
      <c r="D10840">
        <f>VLOOKUP(D10824,'Detail Balok'!$C$10:$AU$110,25,FALSE)</f>
        <v>2</v>
      </c>
      <c r="E10840" t="str">
        <v>D</v>
      </c>
      <c r="F10840">
        <f>VLOOKUP(D10824,'Detail Balok'!$C$10:$AU$110,27,FALSE)</f>
        <v>16</v>
      </c>
      <c r="I10840" t="str">
        <v>(</v>
      </c>
      <c r="J10840">
        <f>+J10832</f>
        <v>0.95</v>
      </c>
      <c r="K10840" t="str">
        <v>+</v>
      </c>
      <c r="M10840" t="str">
        <v>=</v>
      </c>
      <c r="N10840">
        <f>J10840+L10840</f>
        <v>0.95</v>
      </c>
      <c r="O10840" t="str">
        <v>+</v>
      </c>
      <c r="P10840">
        <f>MAX(D10840-D10839,D10840-D10841)</f>
        <v>0</v>
      </c>
      <c r="Q10840" t="str">
        <v>x</v>
      </c>
      <c r="R10840">
        <f>IF(P10840&gt;0,2*(1-2*$F$19-1/2)*D10827/1000,0)</f>
        <v>0</v>
      </c>
      <c r="S10840" t="str">
        <v>)</v>
      </c>
      <c r="T10840" t="str">
        <v>x</v>
      </c>
      <c r="U10840">
        <f>0.006165*F10840^2</f>
        <v>1.57824</v>
      </c>
      <c r="X10840" t="str">
        <v>x</v>
      </c>
      <c r="Y10840">
        <f>D10830</f>
        <v>1</v>
      </c>
      <c r="Z10840" t="str">
        <v>=</v>
      </c>
      <c r="AA10840">
        <f>IF(AA10842=0,(D10840*N10840+P10840*R10840)*U10840*Y10840,0)</f>
        <v>0</v>
      </c>
    </row>
    <row r="10841">
      <c r="A10841" t="str">
        <f>A10824</f>
        <v>Lantai Atap</v>
      </c>
      <c r="B10841">
        <f>B10824</f>
        <v>20</v>
      </c>
      <c r="C10841" t="str">
        <v>Tul Bawah Tumpuan</v>
      </c>
      <c r="D10841">
        <f>VLOOKUP(D10824,'Detail Balok'!$C$10:$AU$110,28,FALSE)</f>
        <v>2</v>
      </c>
      <c r="E10841" t="str">
        <v>D</v>
      </c>
      <c r="F10841">
        <f>VLOOKUP(D10824,'Detail Balok'!$C$10:$AU$110,30,FALSE)</f>
        <v>16</v>
      </c>
      <c r="I10841" t="str">
        <v>(</v>
      </c>
      <c r="J10841">
        <f>+J10833</f>
        <v>0.475</v>
      </c>
      <c r="K10841" t="str">
        <v>+</v>
      </c>
      <c r="L10841">
        <f>MAX(VLOOKUP(F10841,N$6:P$15,3,FALSE)/1000,2/3*D10829/1000)+F$16*F10841/1000</f>
        <v>0.192</v>
      </c>
      <c r="M10841" t="str">
        <v>=</v>
      </c>
      <c r="N10841">
        <f>J10841+L10841</f>
        <v>0.667</v>
      </c>
      <c r="O10841" t="str">
        <v>+</v>
      </c>
      <c r="P10841">
        <f>D10841-D10840</f>
        <v>0</v>
      </c>
      <c r="Q10841" t="str">
        <v>x</v>
      </c>
      <c r="R10841">
        <f>IF(P10841&gt;0,$F$18*F10841/1000,0)</f>
        <v>0</v>
      </c>
      <c r="S10841" t="str">
        <v>)</v>
      </c>
      <c r="T10841" t="str">
        <v>x</v>
      </c>
      <c r="U10841">
        <f>0.006165*F10841^2</f>
        <v>1.57824</v>
      </c>
      <c r="X10841" t="str">
        <v>x</v>
      </c>
      <c r="Y10841">
        <f>D10830</f>
        <v>1</v>
      </c>
      <c r="Z10841" t="str">
        <v>=</v>
      </c>
      <c r="AA10841">
        <f>IF(AA10842=0,(D10841*N10841+P10841*R10841)*U10841*Y10841,0)</f>
        <v>0</v>
      </c>
    </row>
    <row r="10842">
      <c r="A10842" t="str">
        <f>A10824</f>
        <v>Lantai Atap</v>
      </c>
      <c r="B10842">
        <f>B10824</f>
        <v>20</v>
      </c>
      <c r="D10842">
        <f>IF(AND(D10839=D10840,D10840=D10841,D10839=D10841),D10839,0)</f>
        <v>2</v>
      </c>
      <c r="E10842" t="str">
        <v>D</v>
      </c>
      <c r="F10842">
        <f>IF(AND(F10839=F10840,F10839=F10841,F10840=F10841),F10839,0)</f>
        <v>16</v>
      </c>
      <c r="L10842" t="str">
        <v>Total panjang per balok</v>
      </c>
      <c r="M10842" t="str">
        <v>=</v>
      </c>
      <c r="N10842">
        <f>IF(AND(D10839=D10840,D10839=D10841,D10840=D10841,F10839=F10840,F10839=F10841,F10840=F10841),SUM(N10839:N10841),0)</f>
        <v>2.284</v>
      </c>
      <c r="O10842" t="str">
        <v>+</v>
      </c>
      <c r="P10842">
        <f>IF(N10842&gt;12,ROUNDDOWN(N10842/12,0),0)</f>
        <v>0</v>
      </c>
      <c r="Q10842" t="str">
        <v>x</v>
      </c>
      <c r="R10842">
        <f>IF(P10842&gt;0,MAX(VLOOKUP(F10842,$D$6:$G$15,3,FALSE),600),0)/1000</f>
        <v>0</v>
      </c>
      <c r="T10842" t="str">
        <v>x</v>
      </c>
      <c r="U10842">
        <f>U10841</f>
        <v>1.57824</v>
      </c>
      <c r="V10842" t="str">
        <v>x</v>
      </c>
      <c r="W10842">
        <f>D10842</f>
        <v>2</v>
      </c>
      <c r="X10842" t="str">
        <v>x</v>
      </c>
      <c r="Y10842">
        <f>Y10841</f>
        <v>1</v>
      </c>
      <c r="Z10842" t="str">
        <v>=</v>
      </c>
      <c r="AA10842">
        <f>(N10842+P10842*R10842/1000)*U10842*W10842*Y10842</f>
        <v>7.209400319999999</v>
      </c>
    </row>
    <row r="10844">
      <c r="A10844" t="str">
        <f>A10824</f>
        <v>Lantai Atap</v>
      </c>
      <c r="B10844">
        <f>B10824</f>
        <v>20</v>
      </c>
      <c r="C10844" t="str">
        <v>Sengkang Tumpuan</v>
      </c>
      <c r="D10844">
        <f>VLOOKUP(D10824,'Detail Balok'!$C$10:$AU$110,31,FALSE)</f>
        <v>0</v>
      </c>
      <c r="E10844" t="str">
        <v>D</v>
      </c>
      <c r="F10844">
        <f>VLOOKUP(D10824,'Detail Balok'!$C$10:$AU$110,33,FALSE)</f>
        <v>8</v>
      </c>
      <c r="G10844" t="str">
        <v>-</v>
      </c>
      <c r="H10844">
        <f>VLOOKUP(D10824,'Detail Balok'!$C$10:$AU$110,35,FALSE)</f>
        <v>200</v>
      </c>
      <c r="J10844">
        <f>(IF(D10844=0,(2*(D10825+G10825))-(F$5*8),IF(D10844=3,(2*(D10825+G10825))-(F$5*8)+(G10825-2*F$5),IF(D10844=4,(2*(D10825+G10825))-(F$5*8)+2*(G10825-2*F$5)))))/1000</f>
        <v>0.88</v>
      </c>
      <c r="K10844" t="str">
        <v>+</v>
      </c>
      <c r="L10844">
        <f>IF(D10844=0,2*MAX(6*F10844,75),(D10844-1)*2*MAX(6*F10844,75))/1000</f>
        <v>0.15</v>
      </c>
      <c r="M10844" t="str">
        <v>=</v>
      </c>
      <c r="N10844">
        <f>J10844+L10844</f>
        <v>1.03</v>
      </c>
      <c r="T10844" t="str">
        <v>x</v>
      </c>
      <c r="U10844">
        <f>0.006165*F10844^2</f>
        <v>0.39456</v>
      </c>
      <c r="V10844" t="str">
        <v>x</v>
      </c>
      <c r="W10844">
        <f>IF(D10827&gt;4*G10825,ROUND(MAX(D10827/4,2*G10825)/H10844,0)+1,ROUND(D10827/H10844,0)+1)</f>
        <v>5</v>
      </c>
      <c r="X10844" t="str">
        <v>x</v>
      </c>
      <c r="Y10844">
        <f>D10830</f>
        <v>1</v>
      </c>
      <c r="Z10844" t="str">
        <v>=</v>
      </c>
      <c r="AA10844">
        <f>N10844*U10844*W10844*Y10844</f>
        <v>2.0319840000000005</v>
      </c>
    </row>
    <row r="10845">
      <c r="A10845" t="str">
        <f>A10824</f>
        <v>Lantai Atap</v>
      </c>
      <c r="B10845">
        <f>B10824</f>
        <v>20</v>
      </c>
      <c r="C10845" t="str">
        <v>Sengkang Lapangan</v>
      </c>
      <c r="D10845">
        <f>VLOOKUP(D10824,'Detail Balok'!$C$10:$AU$110,36,FALSE)</f>
        <v>0</v>
      </c>
      <c r="E10845" t="str">
        <v>D</v>
      </c>
      <c r="F10845">
        <f>VLOOKUP(D10824,'Detail Balok'!$C$10:$AU$110,38,FALSE)</f>
        <v>8</v>
      </c>
      <c r="G10845" t="str">
        <v>-</v>
      </c>
      <c r="H10845">
        <f>VLOOKUP(D10824,'Detail Balok'!$C$10:$AU$110,40,FALSE)</f>
        <v>200</v>
      </c>
      <c r="J10845">
        <f>(IF(D10845=0,(2*(D10825+G10825))-(F$5*8),IF(D10845=3,(2*(D10825+G10825))-(F$5*8)+(G10825-2*F$5),IF(D10845=4,(2*(D10825+G10825))-(F$5*8)+2*(G10825-2*F$5)))))/1000</f>
        <v>0.88</v>
      </c>
      <c r="K10845" t="str">
        <v>+</v>
      </c>
      <c r="L10845">
        <f>IF(D10845=0,2*MAX(6*F10845,75),(D10845-1)*2*MAX(6*F10845,75))/1000</f>
        <v>0.15</v>
      </c>
      <c r="M10845" t="str">
        <v>=</v>
      </c>
      <c r="N10845">
        <f>J10845+L10845</f>
        <v>1.03</v>
      </c>
      <c r="T10845" t="str">
        <v>x</v>
      </c>
      <c r="U10845">
        <f>0.006165*F10845^2</f>
        <v>0.39456</v>
      </c>
      <c r="V10845" t="str">
        <v>x</v>
      </c>
      <c r="W10845">
        <f>IF(D10827-MAX(D10827/4,2*G10825)*2&gt;0,ROUND((D10827-MAX(D10827/4,2*G10825)*2)/H10845,0),0)</f>
        <v>2</v>
      </c>
      <c r="X10845" t="str">
        <v>x</v>
      </c>
      <c r="Y10845">
        <f>D10830</f>
        <v>1</v>
      </c>
      <c r="Z10845" t="str">
        <v>=</v>
      </c>
      <c r="AA10845">
        <f>N10845*U10845*W10845*Y10845</f>
        <v>0.8127936000000001</v>
      </c>
    </row>
    <row r="10846">
      <c r="A10846" t="str">
        <f>A10824</f>
        <v>Lantai Atap</v>
      </c>
      <c r="B10846">
        <f>B10824</f>
        <v>20</v>
      </c>
      <c r="C10846" t="str">
        <v>Sengkang Tumpuan</v>
      </c>
      <c r="D10846">
        <f>VLOOKUP(D10824,'Detail Balok'!$C$10:$AU$110,41,FALSE)</f>
        <v>0</v>
      </c>
      <c r="E10846" t="str">
        <v>D</v>
      </c>
      <c r="F10846">
        <f>VLOOKUP(D10824,'Detail Balok'!$C$10:$AU$110,43,FALSE)</f>
        <v>8</v>
      </c>
      <c r="G10846" t="str">
        <v>-</v>
      </c>
      <c r="H10846">
        <f>VLOOKUP(D10824,'Detail Balok'!$C$10:$AU$110,45,FALSE)</f>
        <v>200</v>
      </c>
      <c r="J10846">
        <f>(IF(D10846=0,(2*(D10825+G10825))-(F$5*8),IF(D10846=3,(2*(D10825+G10825))-(F$5*8)+(G10825-2*F$5),IF(D10846=4,(2*(D10825+G10825))-(F$5*8)+2*(G10825-2*F$5)))))/1000</f>
        <v>0.88</v>
      </c>
      <c r="K10846" t="str">
        <v>+</v>
      </c>
      <c r="L10846">
        <f>IF(D10846=0,2*MAX(6*F10846,75),(D10846-1)*2*MAX(6*F10846,75))/1000</f>
        <v>0.15</v>
      </c>
      <c r="M10846" t="str">
        <v>=</v>
      </c>
      <c r="N10846">
        <f>J10846+L10846</f>
        <v>1.03</v>
      </c>
      <c r="T10846" t="str">
        <v>x</v>
      </c>
      <c r="U10846">
        <f>0.006165*F10846^2</f>
        <v>0.39456</v>
      </c>
      <c r="V10846" t="str">
        <v>x</v>
      </c>
      <c r="W10846">
        <f>IF(D10827&gt;4*G10825,ROUND(MAX(D10827/4,2*G10825)/H10846,0)+1,0)</f>
        <v>5</v>
      </c>
      <c r="X10846" t="str">
        <v>x</v>
      </c>
      <c r="Y10846">
        <f>D10830</f>
        <v>1</v>
      </c>
      <c r="Z10846" t="str">
        <v>=</v>
      </c>
      <c r="AA10846">
        <f>N10846*U10846*W10846*Y10846</f>
        <v>2.0319840000000005</v>
      </c>
    </row>
    <row r="10848">
      <c r="A10848" t="str">
        <f>A10824</f>
        <v>Lantai Atap</v>
      </c>
      <c r="B10848">
        <f>B10824</f>
        <v>20</v>
      </c>
      <c r="C10848" t="str">
        <v>Kait Horizontal Tump.</v>
      </c>
      <c r="D10848">
        <f>VLOOKUP(D10824,'Detail Balok'!$C$10:$BJ$110,46,FALSE)</f>
        <v>0</v>
      </c>
      <c r="E10848" t="str">
        <v>D</v>
      </c>
      <c r="F10848">
        <f>VLOOKUP(D10824,'Detail Balok'!$C$10:$BJ$110,48,FALSE)</f>
        <v>0</v>
      </c>
      <c r="G10848" t="str">
        <v>-</v>
      </c>
      <c r="H10848">
        <f>VLOOKUP(D10824,'Detail Balok'!$C$10:$BJ$110,50,FALSE)</f>
        <v>100</v>
      </c>
      <c r="J10848">
        <f>(D10825-2*F$5)/1000</f>
        <v>0.12</v>
      </c>
      <c r="K10848" t="str">
        <v>+</v>
      </c>
      <c r="L10848">
        <f>IF(D10848=0,2*MAX(6*F10848,75),(D10848-1)*2*MAX(6*F10848,75))/1000</f>
        <v>0.15</v>
      </c>
      <c r="M10848" t="str">
        <v>=</v>
      </c>
      <c r="N10848">
        <f>J10848+L10848</f>
        <v>0.27</v>
      </c>
      <c r="T10848" t="str">
        <v>x</v>
      </c>
      <c r="U10848">
        <f>0.006165*F10848^2</f>
        <v>0</v>
      </c>
      <c r="V10848" t="str">
        <v>x</v>
      </c>
      <c r="W10848">
        <f>W10844</f>
        <v>5</v>
      </c>
      <c r="X10848" t="str">
        <v>x</v>
      </c>
      <c r="Y10848">
        <f>D10834</f>
        <v>3</v>
      </c>
      <c r="Z10848" t="str">
        <v>=</v>
      </c>
      <c r="AA10848">
        <f>N10848*U10848*W10848*Y10848</f>
        <v>0</v>
      </c>
    </row>
    <row r="10849">
      <c r="A10849" t="str">
        <f>A10824</f>
        <v>Lantai Atap</v>
      </c>
      <c r="B10849">
        <f>B10824</f>
        <v>20</v>
      </c>
      <c r="C10849" t="str">
        <v>Kait Horizontal Lap.</v>
      </c>
      <c r="D10849">
        <f>VLOOKUP(D10824,'Detail Balok'!$C$10:$BJ$110,51,FALSE)</f>
        <v>0</v>
      </c>
      <c r="E10849" t="str">
        <v>D</v>
      </c>
      <c r="F10849">
        <f>VLOOKUP(D10824,'Detail Balok'!$C$10:$BJ$110,53,FALSE)</f>
        <v>0</v>
      </c>
      <c r="G10849" t="str">
        <v>-</v>
      </c>
      <c r="H10849">
        <f>VLOOKUP(D10824,'Detail Balok'!$C$10:$BJ$110,55,FALSE)</f>
        <v>100</v>
      </c>
      <c r="J10849">
        <f>(D10825-2*F$5)/1000</f>
        <v>0.12</v>
      </c>
      <c r="K10849" t="str">
        <v>+</v>
      </c>
      <c r="L10849">
        <f>IF(D10849=0,2*MAX(6*F10849,75),(D10849-1)*2*MAX(6*F10849,75))/1000</f>
        <v>0.15</v>
      </c>
      <c r="M10849" t="str">
        <v>=</v>
      </c>
      <c r="N10849">
        <f>J10849+L10849</f>
        <v>0.27</v>
      </c>
      <c r="T10849" t="str">
        <v>x</v>
      </c>
      <c r="U10849">
        <f>0.006165*F10849^2</f>
        <v>0</v>
      </c>
      <c r="V10849" t="str">
        <v>x</v>
      </c>
      <c r="W10849">
        <f>W10845</f>
        <v>2</v>
      </c>
      <c r="X10849" t="str">
        <v>x</v>
      </c>
      <c r="Y10849">
        <f>D10834</f>
        <v>3</v>
      </c>
      <c r="Z10849" t="str">
        <v>=</v>
      </c>
      <c r="AA10849">
        <f>N10849*U10849*W10849*Y10849</f>
        <v>0</v>
      </c>
    </row>
    <row r="10850">
      <c r="A10850" t="str">
        <f>A10824</f>
        <v>Lantai Atap</v>
      </c>
      <c r="B10850">
        <f>B10824</f>
        <v>20</v>
      </c>
      <c r="C10850" t="str">
        <v>Kait Horizontal Tump.</v>
      </c>
      <c r="D10850">
        <f>VLOOKUP(D10824,'Detail Balok'!$C$10:$BJ$110,56,FALSE)</f>
        <v>0</v>
      </c>
      <c r="E10850" t="str">
        <v>D</v>
      </c>
      <c r="F10850">
        <f>VLOOKUP(D10824,'Detail Balok'!$C$10:$BJ$110,58,FALSE)</f>
        <v>0</v>
      </c>
      <c r="G10850" t="str">
        <v>-</v>
      </c>
      <c r="H10850">
        <f>VLOOKUP(D10824,'Detail Balok'!$C$10:$BJ$110,60,FALSE)</f>
        <v>100</v>
      </c>
      <c r="J10850">
        <f>(D10825-2*F$5)/1000</f>
        <v>0.12</v>
      </c>
      <c r="K10850" t="str">
        <v>+</v>
      </c>
      <c r="L10850">
        <f>IF(D10850=0,2*MAX(6*F10850,75),(D10850-1)*2*MAX(6*F10850,75))/1000</f>
        <v>0.15</v>
      </c>
      <c r="M10850" t="str">
        <v>=</v>
      </c>
      <c r="N10850">
        <f>J10850+L10850</f>
        <v>0.27</v>
      </c>
      <c r="T10850" t="str">
        <v>x</v>
      </c>
      <c r="U10850">
        <f>0.006165*F10850^2</f>
        <v>0</v>
      </c>
      <c r="V10850" t="str">
        <v>x</v>
      </c>
      <c r="W10850">
        <f>W10846</f>
        <v>5</v>
      </c>
      <c r="X10850" t="str">
        <v>x</v>
      </c>
      <c r="Y10850">
        <f>D10834</f>
        <v>3</v>
      </c>
      <c r="Z10850" t="str">
        <v>=</v>
      </c>
      <c r="AA10850">
        <f>N10850*U10850*W10850*Y10850</f>
        <v>0</v>
      </c>
    </row>
    <row r="10854">
      <c r="A10854" t="str">
        <f>A10824</f>
        <v>Lantai Atap</v>
      </c>
      <c r="B10854">
        <f>B10824+1</f>
        <v>21</v>
      </c>
      <c r="C10854" t="str">
        <f>CONCATENATE(A10854," no. ",B10854)</f>
        <v>Lantai Atap no. 21</v>
      </c>
      <c r="D10854" t="str">
        <f>VLOOKUP(C10854,'Data Panjang Balok'!$C$9:$N$424,2,FALSE)</f>
        <v>B24-3</v>
      </c>
    </row>
    <row r="10855">
      <c r="C10855" t="str">
        <v>Dimensi</v>
      </c>
      <c r="D10855">
        <f>VLOOKUP(D10854,'Detail Balok'!$C$10:$AU$110,2,FALSE)</f>
        <v>200</v>
      </c>
      <c r="F10855" t="str">
        <v>x</v>
      </c>
      <c r="G10855">
        <f>VLOOKUP(D10854,'Detail Balok'!$C$10:$AU$110,3,FALSE)</f>
        <v>400</v>
      </c>
    </row>
    <row r="10856">
      <c r="C10856" t="str">
        <v>Panjang as ke as</v>
      </c>
      <c r="D10856">
        <f>VLOOKUP(C10854,'Data Panjang Balok'!$C$9:$N$424,4,FALSE)</f>
        <v>2000</v>
      </c>
    </row>
    <row r="10857">
      <c r="C10857" t="str">
        <v>Panjang netto</v>
      </c>
      <c r="D10857">
        <f>VLOOKUP(C10854,'Data Panjang Balok'!$C$9:$N$424,7,FALSE)</f>
        <v>2000</v>
      </c>
    </row>
    <row r="10858">
      <c r="C10858" t="str">
        <v>Kolom / balok kiri</v>
      </c>
      <c r="D10858">
        <f>VLOOKUP(C10854,'Data Panjang Balok'!$C$9:$N$424,9,FALSE)</f>
        <v>0</v>
      </c>
    </row>
    <row r="10859">
      <c r="C10859" t="str">
        <v>Kolom / balok kanan</v>
      </c>
      <c r="D10859">
        <f>VLOOKUP(C10854,'Data Panjang Balok'!$C$9:$N$424,10,FALSE)</f>
        <v>0</v>
      </c>
    </row>
    <row r="10860">
      <c r="C10860" t="str">
        <v>Jumlah</v>
      </c>
      <c r="D10860">
        <f>VLOOKUP(C10854,'Data Panjang Balok'!$C$9:$N$424,3,FALSE)</f>
        <v>1</v>
      </c>
    </row>
    <row r="10861">
      <c r="A10861" t="str">
        <f>A10854</f>
        <v>Lantai Atap</v>
      </c>
      <c r="B10861">
        <f>B10854</f>
        <v>21</v>
      </c>
      <c r="C10861" t="str">
        <v>Tul Atas Tumpuan</v>
      </c>
      <c r="D10861">
        <f>VLOOKUP(D10854,'Detail Balok'!$C$10:$AU$110,4,FALSE)</f>
        <v>3</v>
      </c>
      <c r="E10861" t="str">
        <v>D</v>
      </c>
      <c r="F10861">
        <f>VLOOKUP(D10854,'Detail Balok'!$C$10:$AU$110,6,FALSE)</f>
        <v>16</v>
      </c>
      <c r="I10861" t="str">
        <v>(</v>
      </c>
      <c r="J10861">
        <f>+D10856/4/1000</f>
        <v>0.5</v>
      </c>
      <c r="K10861" t="str">
        <v>+</v>
      </c>
      <c r="L10861">
        <f>MAX(VLOOKUP(F10861,N$6:P$15,3,FALSE)/1000,2/3*D10858/1000)+F$16*F10861/1000</f>
        <v>0.192</v>
      </c>
      <c r="M10861" t="str">
        <v>=</v>
      </c>
      <c r="N10861">
        <f>J10861+L10861</f>
        <v>0.692</v>
      </c>
      <c r="O10861" t="str">
        <v>+</v>
      </c>
      <c r="P10861">
        <f>D10861-D10862</f>
        <v>0</v>
      </c>
      <c r="Q10861" t="str">
        <v>x</v>
      </c>
      <c r="R10861">
        <f>IF(P10861&gt;0,$F$18*F10861/1000,0)</f>
        <v>0</v>
      </c>
      <c r="S10861" t="str">
        <v>)</v>
      </c>
      <c r="T10861" t="str">
        <v>x</v>
      </c>
      <c r="U10861">
        <f>0.006165*F10861^2</f>
        <v>1.57824</v>
      </c>
      <c r="X10861" t="str">
        <v>x</v>
      </c>
      <c r="Y10861">
        <f>D10860</f>
        <v>1</v>
      </c>
      <c r="Z10861" t="str">
        <v>=</v>
      </c>
      <c r="AA10861">
        <f>IF(AA10864=0,(D10861*N10861+P10861*R10861)*U10861*Y10861,0)</f>
        <v>0</v>
      </c>
    </row>
    <row r="10862">
      <c r="A10862" t="str">
        <f>A10854</f>
        <v>Lantai Atap</v>
      </c>
      <c r="B10862">
        <f>B10854</f>
        <v>21</v>
      </c>
      <c r="C10862" t="str">
        <v>Tul Atas Lapangan</v>
      </c>
      <c r="D10862">
        <f>VLOOKUP(D10854,'Detail Balok'!$C$10:$AU$110,7,FALSE)</f>
        <v>3</v>
      </c>
      <c r="E10862" t="str">
        <v>D</v>
      </c>
      <c r="F10862">
        <f>VLOOKUP(D10854,'Detail Balok'!$C$10:$AU$110,9,FALSE)</f>
        <v>16</v>
      </c>
      <c r="I10862" t="str">
        <v>(</v>
      </c>
      <c r="J10862">
        <f>+D10856/2/1000</f>
        <v>1</v>
      </c>
      <c r="K10862" t="str">
        <v>+</v>
      </c>
      <c r="M10862" t="str">
        <v>=</v>
      </c>
      <c r="N10862">
        <f>J10862+L10862</f>
        <v>1</v>
      </c>
      <c r="O10862" t="str">
        <v>+</v>
      </c>
      <c r="P10862">
        <f>MAX(D10862-D10861,D10862-D10863)</f>
        <v>0</v>
      </c>
      <c r="Q10862" t="str">
        <v>x</v>
      </c>
      <c r="R10862">
        <f>IF(P10862&gt;0,2*(1-2*$F$19-1/2)*D10857/1000,0)</f>
        <v>0</v>
      </c>
      <c r="S10862" t="str">
        <v>)</v>
      </c>
      <c r="T10862" t="str">
        <v>x</v>
      </c>
      <c r="U10862">
        <f>0.006165*F10862^2</f>
        <v>1.57824</v>
      </c>
      <c r="X10862" t="str">
        <v>x</v>
      </c>
      <c r="Y10862">
        <f>D10860</f>
        <v>1</v>
      </c>
      <c r="Z10862" t="str">
        <v>=</v>
      </c>
      <c r="AA10862">
        <f>IF(AA10864=0,(D10862*N10862+P10862*R10862)*U10862*Y10862,0)</f>
        <v>0</v>
      </c>
    </row>
    <row r="10863">
      <c r="A10863" t="str">
        <f>A10854</f>
        <v>Lantai Atap</v>
      </c>
      <c r="B10863">
        <f>B10854</f>
        <v>21</v>
      </c>
      <c r="C10863" t="str">
        <v>Tul Atas Tumpuan</v>
      </c>
      <c r="D10863">
        <f>VLOOKUP(D10854,'Detail Balok'!$C$10:$AU$110,10,FALSE)</f>
        <v>3</v>
      </c>
      <c r="E10863" t="str">
        <v>D</v>
      </c>
      <c r="F10863">
        <f>VLOOKUP(D10854,'Detail Balok'!$C$10:$AU$110,12,FALSE)</f>
        <v>16</v>
      </c>
      <c r="I10863" t="str">
        <v>(</v>
      </c>
      <c r="J10863">
        <f>+D10856/4/1000</f>
        <v>0.5</v>
      </c>
      <c r="K10863" t="str">
        <v>+</v>
      </c>
      <c r="L10863">
        <f>MAX(VLOOKUP(F10863,N$6:P$15,3,FALSE)/1000,2/3*D10858/1000)+F$16*F10863/1000</f>
        <v>0.192</v>
      </c>
      <c r="M10863" t="str">
        <v>=</v>
      </c>
      <c r="N10863">
        <f>J10863+L10863</f>
        <v>0.692</v>
      </c>
      <c r="O10863" t="str">
        <v>+</v>
      </c>
      <c r="P10863">
        <f>D10863-D10862</f>
        <v>0</v>
      </c>
      <c r="Q10863" t="str">
        <v>x</v>
      </c>
      <c r="R10863">
        <f>IF(P10863&gt;0,$F$18*F10863/1000,0)</f>
        <v>0</v>
      </c>
      <c r="S10863" t="str">
        <v>)</v>
      </c>
      <c r="T10863" t="str">
        <v>x</v>
      </c>
      <c r="U10863">
        <f>0.006165*F10863^2</f>
        <v>1.57824</v>
      </c>
      <c r="X10863" t="str">
        <v>x</v>
      </c>
      <c r="Y10863">
        <f>D10860</f>
        <v>1</v>
      </c>
      <c r="Z10863" t="str">
        <v>=</v>
      </c>
      <c r="AA10863">
        <f>IF(AA10864=0,(D10863*N10863+P10863*R10863)*U10863*Y10863,0)</f>
        <v>0</v>
      </c>
    </row>
    <row r="10864">
      <c r="A10864" t="str">
        <f>A10854</f>
        <v>Lantai Atap</v>
      </c>
      <c r="B10864">
        <f>B10854</f>
        <v>21</v>
      </c>
      <c r="D10864">
        <f>IF(AND(D10861=D10862,D10862=D10863,D10861=D10863),D10861,0)</f>
        <v>3</v>
      </c>
      <c r="E10864" t="str">
        <v>D</v>
      </c>
      <c r="F10864">
        <f>IF(AND(F10861=F10862,F10861=F10863,F10862=F10863),F10861,0)</f>
        <v>16</v>
      </c>
      <c r="L10864" t="str">
        <v>Total panjang per balok</v>
      </c>
      <c r="M10864" t="str">
        <v>=</v>
      </c>
      <c r="N10864">
        <f>IF(AND(D10861=D10862,D10861=D10863,D10862=D10863,F10861=F10862,F10861=F10863,F10862=F10863),SUM(N10861:N10863),0)</f>
        <v>2.384</v>
      </c>
      <c r="O10864" t="str">
        <v>+</v>
      </c>
      <c r="P10864">
        <f>IF(N10864&gt;12,ROUNDDOWN(N10864/12,0),0)</f>
        <v>0</v>
      </c>
      <c r="Q10864" t="str">
        <v>x</v>
      </c>
      <c r="R10864">
        <f>IF(P10864&gt;0,MAX(VLOOKUP(F10864,$D$6:$G$15,3,FALSE),600),0)/1000</f>
        <v>0</v>
      </c>
      <c r="T10864" t="str">
        <v>x</v>
      </c>
      <c r="U10864">
        <f>U10863</f>
        <v>1.57824</v>
      </c>
      <c r="V10864" t="str">
        <v>x</v>
      </c>
      <c r="W10864">
        <f>D10864</f>
        <v>3</v>
      </c>
      <c r="X10864" t="str">
        <v>x</v>
      </c>
      <c r="Y10864">
        <f>Y10863</f>
        <v>1</v>
      </c>
      <c r="Z10864" t="str">
        <v>=</v>
      </c>
      <c r="AA10864">
        <f>(N10864+P10864*R10864/1000)*U10864*W10864*Y10864</f>
        <v>11.28757248</v>
      </c>
    </row>
    <row r="10866">
      <c r="A10866" t="str">
        <f>A10854</f>
        <v>Lantai Atap</v>
      </c>
      <c r="B10866">
        <f>B10854</f>
        <v>21</v>
      </c>
      <c r="C10866" t="str">
        <v>Tul Peminggang</v>
      </c>
      <c r="D10866">
        <f>VLOOKUP(D10854,'Detail Balok'!$C$10:$AU$110,13,FALSE)</f>
        <v>0</v>
      </c>
      <c r="E10866" t="str">
        <v>D</v>
      </c>
      <c r="F10866">
        <f>VLOOKUP(D10854,'Detail Balok'!$C$10:$AU$110,15,FALSE)</f>
        <v>6</v>
      </c>
      <c r="J10866">
        <f>+D10856/1000</f>
        <v>2</v>
      </c>
      <c r="K10866" t="str">
        <v>+</v>
      </c>
      <c r="L10866">
        <f>2*$F$16*F10866/1000</f>
        <v>0.144</v>
      </c>
      <c r="M10866" t="str">
        <v>=</v>
      </c>
      <c r="N10866">
        <f>J10866+L10866</f>
        <v>2.144</v>
      </c>
      <c r="O10866" t="str">
        <v>+</v>
      </c>
      <c r="P10866">
        <f>IF(N10866&gt;12,ROUNDDOWN(N10866/12,0),0)</f>
        <v>0</v>
      </c>
      <c r="Q10866" t="str">
        <v>x</v>
      </c>
      <c r="R10866">
        <f>IF(P10866&gt;0,MAX(VLOOKUP(F10866,$D$6:$G$15,3,FALSE),600),0)/1000</f>
        <v>0</v>
      </c>
      <c r="T10866" t="str">
        <v>x</v>
      </c>
      <c r="U10866">
        <f>0.006165*F10866^2</f>
        <v>0.22194000000000003</v>
      </c>
      <c r="V10866" t="str">
        <v>x</v>
      </c>
      <c r="W10866">
        <f>+D10866</f>
        <v>0</v>
      </c>
      <c r="X10866" t="str">
        <v>x</v>
      </c>
      <c r="Y10866">
        <f>D10860</f>
        <v>1</v>
      </c>
      <c r="Z10866" t="str">
        <v>=</v>
      </c>
      <c r="AA10866">
        <f>(N10866+P10866*R10866/1000)*U10866*W10866*Y10866</f>
        <v>0</v>
      </c>
    </row>
    <row r="10869">
      <c r="A10869" t="str">
        <f>A10854</f>
        <v>Lantai Atap</v>
      </c>
      <c r="B10869">
        <f>B10854</f>
        <v>21</v>
      </c>
      <c r="C10869" t="str">
        <v>Tul Bawah Tumpuan</v>
      </c>
      <c r="D10869">
        <f>VLOOKUP(D10854,'Detail Balok'!$C$10:$AU$110,22,FALSE)</f>
        <v>3</v>
      </c>
      <c r="E10869" t="str">
        <v>D</v>
      </c>
      <c r="F10869">
        <f>VLOOKUP(D10854,'Detail Balok'!$C$10:$AU$110,24,FALSE)</f>
        <v>16</v>
      </c>
      <c r="I10869" t="str">
        <v>(</v>
      </c>
      <c r="J10869">
        <f>+J10861</f>
        <v>0.5</v>
      </c>
      <c r="K10869" t="str">
        <v>+</v>
      </c>
      <c r="L10869">
        <f>MAX(VLOOKUP(F10869,N$6:P$15,3,FALSE)/1000,2/3*D10859/1000)+F$16*F10869/1000</f>
        <v>0.192</v>
      </c>
      <c r="M10869" t="str">
        <v>=</v>
      </c>
      <c r="N10869">
        <f>J10869+L10869</f>
        <v>0.692</v>
      </c>
      <c r="O10869" t="str">
        <v>+</v>
      </c>
      <c r="P10869">
        <f>D10869-D10870</f>
        <v>0</v>
      </c>
      <c r="Q10869" t="str">
        <v>x</v>
      </c>
      <c r="R10869">
        <f>IF(P10869&gt;0,$F$18*F10869/1000,0)</f>
        <v>0</v>
      </c>
      <c r="S10869" t="str">
        <v>)</v>
      </c>
      <c r="T10869" t="str">
        <v>x</v>
      </c>
      <c r="U10869">
        <f>0.006165*F10869^2</f>
        <v>1.57824</v>
      </c>
      <c r="X10869" t="str">
        <v>x</v>
      </c>
      <c r="Y10869">
        <f>D10860</f>
        <v>1</v>
      </c>
      <c r="Z10869" t="str">
        <v>=</v>
      </c>
      <c r="AA10869">
        <f>IF(AA10872=0,(D10869*N10869+P10869*R10869)*U10869*Y10869,0)</f>
        <v>0</v>
      </c>
    </row>
    <row r="10870">
      <c r="A10870" t="str">
        <f>A10854</f>
        <v>Lantai Atap</v>
      </c>
      <c r="B10870">
        <f>B10854</f>
        <v>21</v>
      </c>
      <c r="C10870" t="str">
        <v>Tul Bawah Lapangan</v>
      </c>
      <c r="D10870">
        <f>VLOOKUP(D10854,'Detail Balok'!$C$10:$AU$110,25,FALSE)</f>
        <v>3</v>
      </c>
      <c r="E10870" t="str">
        <v>D</v>
      </c>
      <c r="F10870">
        <f>VLOOKUP(D10854,'Detail Balok'!$C$10:$AU$110,27,FALSE)</f>
        <v>16</v>
      </c>
      <c r="I10870" t="str">
        <v>(</v>
      </c>
      <c r="J10870">
        <f>+J10862</f>
        <v>1</v>
      </c>
      <c r="K10870" t="str">
        <v>+</v>
      </c>
      <c r="M10870" t="str">
        <v>=</v>
      </c>
      <c r="N10870">
        <f>J10870+L10870</f>
        <v>1</v>
      </c>
      <c r="O10870" t="str">
        <v>+</v>
      </c>
      <c r="P10870">
        <f>MAX(D10870-D10869,D10870-D10871)</f>
        <v>0</v>
      </c>
      <c r="Q10870" t="str">
        <v>x</v>
      </c>
      <c r="R10870">
        <f>IF(P10870&gt;0,2*(1-2*$F$19-1/2)*D10857/1000,0)</f>
        <v>0</v>
      </c>
      <c r="S10870" t="str">
        <v>)</v>
      </c>
      <c r="T10870" t="str">
        <v>x</v>
      </c>
      <c r="U10870">
        <f>0.006165*F10870^2</f>
        <v>1.57824</v>
      </c>
      <c r="X10870" t="str">
        <v>x</v>
      </c>
      <c r="Y10870">
        <f>D10860</f>
        <v>1</v>
      </c>
      <c r="Z10870" t="str">
        <v>=</v>
      </c>
      <c r="AA10870">
        <f>IF(AA10872=0,(D10870*N10870+P10870*R10870)*U10870*Y10870,0)</f>
        <v>0</v>
      </c>
    </row>
    <row r="10871">
      <c r="A10871" t="str">
        <f>A10854</f>
        <v>Lantai Atap</v>
      </c>
      <c r="B10871">
        <f>B10854</f>
        <v>21</v>
      </c>
      <c r="C10871" t="str">
        <v>Tul Bawah Tumpuan</v>
      </c>
      <c r="D10871">
        <f>VLOOKUP(D10854,'Detail Balok'!$C$10:$AU$110,28,FALSE)</f>
        <v>3</v>
      </c>
      <c r="E10871" t="str">
        <v>D</v>
      </c>
      <c r="F10871">
        <f>VLOOKUP(D10854,'Detail Balok'!$C$10:$AU$110,30,FALSE)</f>
        <v>16</v>
      </c>
      <c r="I10871" t="str">
        <v>(</v>
      </c>
      <c r="J10871">
        <f>+J10863</f>
        <v>0.5</v>
      </c>
      <c r="K10871" t="str">
        <v>+</v>
      </c>
      <c r="L10871">
        <f>MAX(VLOOKUP(F10871,N$6:P$15,3,FALSE)/1000,2/3*D10859/1000)+F$16*F10871/1000</f>
        <v>0.192</v>
      </c>
      <c r="M10871" t="str">
        <v>=</v>
      </c>
      <c r="N10871">
        <f>J10871+L10871</f>
        <v>0.692</v>
      </c>
      <c r="O10871" t="str">
        <v>+</v>
      </c>
      <c r="P10871">
        <f>D10871-D10870</f>
        <v>0</v>
      </c>
      <c r="Q10871" t="str">
        <v>x</v>
      </c>
      <c r="R10871">
        <f>IF(P10871&gt;0,$F$18*F10871/1000,0)</f>
        <v>0</v>
      </c>
      <c r="S10871" t="str">
        <v>)</v>
      </c>
      <c r="T10871" t="str">
        <v>x</v>
      </c>
      <c r="U10871">
        <f>0.006165*F10871^2</f>
        <v>1.57824</v>
      </c>
      <c r="X10871" t="str">
        <v>x</v>
      </c>
      <c r="Y10871">
        <f>D10860</f>
        <v>1</v>
      </c>
      <c r="Z10871" t="str">
        <v>=</v>
      </c>
      <c r="AA10871">
        <f>IF(AA10872=0,(D10871*N10871+P10871*R10871)*U10871*Y10871,0)</f>
        <v>0</v>
      </c>
    </row>
    <row r="10872">
      <c r="A10872" t="str">
        <f>A10854</f>
        <v>Lantai Atap</v>
      </c>
      <c r="B10872">
        <f>B10854</f>
        <v>21</v>
      </c>
      <c r="D10872">
        <f>IF(AND(D10869=D10870,D10870=D10871,D10869=D10871),D10869,0)</f>
        <v>3</v>
      </c>
      <c r="E10872" t="str">
        <v>D</v>
      </c>
      <c r="F10872">
        <f>IF(AND(F10869=F10870,F10869=F10871,F10870=F10871),F10869,0)</f>
        <v>16</v>
      </c>
      <c r="L10872" t="str">
        <v>Total panjang per balok</v>
      </c>
      <c r="M10872" t="str">
        <v>=</v>
      </c>
      <c r="N10872">
        <f>IF(AND(D10869=D10870,D10869=D10871,D10870=D10871,F10869=F10870,F10869=F10871,F10870=F10871),SUM(N10869:N10871),0)</f>
        <v>2.384</v>
      </c>
      <c r="O10872" t="str">
        <v>+</v>
      </c>
      <c r="P10872">
        <f>IF(N10872&gt;12,ROUNDDOWN(N10872/12,0),0)</f>
        <v>0</v>
      </c>
      <c r="Q10872" t="str">
        <v>x</v>
      </c>
      <c r="R10872">
        <f>IF(P10872&gt;0,MAX(VLOOKUP(F10872,$D$6:$G$15,3,FALSE),600),0)/1000</f>
        <v>0</v>
      </c>
      <c r="T10872" t="str">
        <v>x</v>
      </c>
      <c r="U10872">
        <f>U10871</f>
        <v>1.57824</v>
      </c>
      <c r="V10872" t="str">
        <v>x</v>
      </c>
      <c r="W10872">
        <f>D10872</f>
        <v>3</v>
      </c>
      <c r="X10872" t="str">
        <v>x</v>
      </c>
      <c r="Y10872">
        <f>Y10871</f>
        <v>1</v>
      </c>
      <c r="Z10872" t="str">
        <v>=</v>
      </c>
      <c r="AA10872">
        <f>(N10872+P10872*R10872/1000)*U10872*W10872*Y10872</f>
        <v>11.28757248</v>
      </c>
    </row>
    <row r="10874">
      <c r="A10874" t="str">
        <f>A10854</f>
        <v>Lantai Atap</v>
      </c>
      <c r="B10874">
        <f>B10854</f>
        <v>21</v>
      </c>
      <c r="C10874" t="str">
        <v>Sengkang Tumpuan</v>
      </c>
      <c r="D10874">
        <f>VLOOKUP(D10854,'Detail Balok'!$C$10:$AU$110,31,FALSE)</f>
        <v>0</v>
      </c>
      <c r="E10874" t="str">
        <v>D</v>
      </c>
      <c r="F10874">
        <f>VLOOKUP(D10854,'Detail Balok'!$C$10:$AU$110,33,FALSE)</f>
        <v>10</v>
      </c>
      <c r="G10874" t="str">
        <v>-</v>
      </c>
      <c r="H10874">
        <f>VLOOKUP(D10854,'Detail Balok'!$C$10:$AU$110,35,FALSE)</f>
        <v>100</v>
      </c>
      <c r="J10874">
        <f>(IF(D10874=0,(2*(D10855+G10855))-(F$5*8),IF(D10874=3,(2*(D10855+G10855))-(F$5*8)+(G10855-2*F$5),IF(D10874=4,(2*(D10855+G10855))-(F$5*8)+2*(G10855-2*F$5)))))/1000</f>
        <v>0.88</v>
      </c>
      <c r="K10874" t="str">
        <v>+</v>
      </c>
      <c r="L10874">
        <f>IF(D10874=0,2*MAX(6*F10874,75),(D10874-1)*2*MAX(6*F10874,75))/1000</f>
        <v>0.15</v>
      </c>
      <c r="M10874" t="str">
        <v>=</v>
      </c>
      <c r="N10874">
        <f>J10874+L10874</f>
        <v>1.03</v>
      </c>
      <c r="T10874" t="str">
        <v>x</v>
      </c>
      <c r="U10874">
        <f>0.006165*F10874^2</f>
        <v>0.6165</v>
      </c>
      <c r="V10874" t="str">
        <v>x</v>
      </c>
      <c r="W10874">
        <f>IF(D10857&gt;4*G10855,ROUND(MAX(D10857/4,2*G10855)/H10874,0)+1,ROUND(D10857/H10874,0)+1)</f>
        <v>9</v>
      </c>
      <c r="X10874" t="str">
        <v>x</v>
      </c>
      <c r="Y10874">
        <f>D10860</f>
        <v>1</v>
      </c>
      <c r="Z10874" t="str">
        <v>=</v>
      </c>
      <c r="AA10874">
        <f>N10874*U10874*W10874*Y10874</f>
        <v>5.714955000000001</v>
      </c>
    </row>
    <row r="10875">
      <c r="A10875" t="str">
        <f>A10854</f>
        <v>Lantai Atap</v>
      </c>
      <c r="B10875">
        <f>B10854</f>
        <v>21</v>
      </c>
      <c r="C10875" t="str">
        <v>Sengkang Lapangan</v>
      </c>
      <c r="D10875">
        <f>VLOOKUP(D10854,'Detail Balok'!$C$10:$AU$110,36,FALSE)</f>
        <v>0</v>
      </c>
      <c r="E10875" t="str">
        <v>D</v>
      </c>
      <c r="F10875">
        <f>VLOOKUP(D10854,'Detail Balok'!$C$10:$AU$110,38,FALSE)</f>
        <v>10</v>
      </c>
      <c r="G10875" t="str">
        <v>-</v>
      </c>
      <c r="H10875">
        <f>VLOOKUP(D10854,'Detail Balok'!$C$10:$AU$110,40,FALSE)</f>
        <v>200</v>
      </c>
      <c r="J10875">
        <f>(IF(D10875=0,(2*(D10855+G10855))-(F$5*8),IF(D10875=3,(2*(D10855+G10855))-(F$5*8)+(G10855-2*F$5),IF(D10875=4,(2*(D10855+G10855))-(F$5*8)+2*(G10855-2*F$5)))))/1000</f>
        <v>0.88</v>
      </c>
      <c r="K10875" t="str">
        <v>+</v>
      </c>
      <c r="L10875">
        <f>IF(D10875=0,2*MAX(6*F10875,75),(D10875-1)*2*MAX(6*F10875,75))/1000</f>
        <v>0.15</v>
      </c>
      <c r="M10875" t="str">
        <v>=</v>
      </c>
      <c r="N10875">
        <f>J10875+L10875</f>
        <v>1.03</v>
      </c>
      <c r="T10875" t="str">
        <v>x</v>
      </c>
      <c r="U10875">
        <f>0.006165*F10875^2</f>
        <v>0.6165</v>
      </c>
      <c r="V10875" t="str">
        <v>x</v>
      </c>
      <c r="W10875">
        <f>IF(D10857-MAX(D10857/4,2*G10855)*2&gt;0,ROUND((D10857-MAX(D10857/4,2*G10855)*2)/H10875,0),0)</f>
        <v>2</v>
      </c>
      <c r="X10875" t="str">
        <v>x</v>
      </c>
      <c r="Y10875">
        <f>D10860</f>
        <v>1</v>
      </c>
      <c r="Z10875" t="str">
        <v>=</v>
      </c>
      <c r="AA10875">
        <f>N10875*U10875*W10875*Y10875</f>
        <v>1.2699900000000002</v>
      </c>
    </row>
    <row r="10876">
      <c r="A10876" t="str">
        <f>A10854</f>
        <v>Lantai Atap</v>
      </c>
      <c r="B10876">
        <f>B10854</f>
        <v>21</v>
      </c>
      <c r="C10876" t="str">
        <v>Sengkang Tumpuan</v>
      </c>
      <c r="D10876">
        <f>VLOOKUP(D10854,'Detail Balok'!$C$10:$AU$110,41,FALSE)</f>
        <v>0</v>
      </c>
      <c r="E10876" t="str">
        <v>D</v>
      </c>
      <c r="F10876">
        <f>VLOOKUP(D10854,'Detail Balok'!$C$10:$AU$110,43,FALSE)</f>
        <v>10</v>
      </c>
      <c r="G10876" t="str">
        <v>-</v>
      </c>
      <c r="H10876">
        <f>VLOOKUP(D10854,'Detail Balok'!$C$10:$AU$110,45,FALSE)</f>
        <v>100</v>
      </c>
      <c r="J10876">
        <f>(IF(D10876=0,(2*(D10855+G10855))-(F$5*8),IF(D10876=3,(2*(D10855+G10855))-(F$5*8)+(G10855-2*F$5),IF(D10876=4,(2*(D10855+G10855))-(F$5*8)+2*(G10855-2*F$5)))))/1000</f>
        <v>0.88</v>
      </c>
      <c r="K10876" t="str">
        <v>+</v>
      </c>
      <c r="L10876">
        <f>IF(D10876=0,2*MAX(6*F10876,75),(D10876-1)*2*MAX(6*F10876,75))/1000</f>
        <v>0.15</v>
      </c>
      <c r="M10876" t="str">
        <v>=</v>
      </c>
      <c r="N10876">
        <f>J10876+L10876</f>
        <v>1.03</v>
      </c>
      <c r="T10876" t="str">
        <v>x</v>
      </c>
      <c r="U10876">
        <f>0.006165*F10876^2</f>
        <v>0.6165</v>
      </c>
      <c r="V10876" t="str">
        <v>x</v>
      </c>
      <c r="W10876">
        <f>IF(D10857&gt;4*G10855,ROUND(MAX(D10857/4,2*G10855)/H10876,0)+1,0)</f>
        <v>9</v>
      </c>
      <c r="X10876" t="str">
        <v>x</v>
      </c>
      <c r="Y10876">
        <f>D10860</f>
        <v>1</v>
      </c>
      <c r="Z10876" t="str">
        <v>=</v>
      </c>
      <c r="AA10876">
        <f>N10876*U10876*W10876*Y10876</f>
        <v>5.714955000000001</v>
      </c>
    </row>
    <row r="10878">
      <c r="A10878" t="str">
        <f>A10854</f>
        <v>Lantai Atap</v>
      </c>
      <c r="B10878">
        <f>B10854</f>
        <v>21</v>
      </c>
      <c r="C10878" t="str">
        <v>Kait Horizontal Tump.</v>
      </c>
      <c r="D10878">
        <f>VLOOKUP(D10854,'Detail Balok'!$C$10:$BJ$110,46,FALSE)</f>
        <v>0</v>
      </c>
      <c r="E10878" t="str">
        <v>D</v>
      </c>
      <c r="F10878">
        <f>VLOOKUP(D10854,'Detail Balok'!$C$10:$BJ$110,48,FALSE)</f>
        <v>0</v>
      </c>
      <c r="G10878" t="str">
        <v>-</v>
      </c>
      <c r="H10878">
        <f>VLOOKUP(D10854,'Detail Balok'!$C$10:$BJ$110,50,FALSE)</f>
        <v>100</v>
      </c>
      <c r="J10878">
        <f>(D10855-2*F$5)/1000</f>
        <v>0.12</v>
      </c>
      <c r="K10878" t="str">
        <v>+</v>
      </c>
      <c r="L10878">
        <f>IF(D10878=0,2*MAX(6*F10878,75),(D10878-1)*2*MAX(6*F10878,75))/1000</f>
        <v>0.15</v>
      </c>
      <c r="M10878" t="str">
        <v>=</v>
      </c>
      <c r="N10878">
        <f>J10878+L10878</f>
        <v>0.27</v>
      </c>
      <c r="T10878" t="str">
        <v>x</v>
      </c>
      <c r="U10878">
        <f>0.006165*F10878^2</f>
        <v>0</v>
      </c>
      <c r="V10878" t="str">
        <v>x</v>
      </c>
      <c r="W10878">
        <f>W10874</f>
        <v>9</v>
      </c>
      <c r="X10878" t="str">
        <v>x</v>
      </c>
      <c r="Y10878">
        <f>D10864</f>
        <v>3</v>
      </c>
      <c r="Z10878" t="str">
        <v>=</v>
      </c>
      <c r="AA10878">
        <f>N10878*U10878*W10878*Y10878</f>
        <v>0</v>
      </c>
    </row>
    <row r="10879">
      <c r="A10879" t="str">
        <f>A10854</f>
        <v>Lantai Atap</v>
      </c>
      <c r="B10879">
        <f>B10854</f>
        <v>21</v>
      </c>
      <c r="C10879" t="str">
        <v>Kait Horizontal Lap.</v>
      </c>
      <c r="D10879">
        <f>VLOOKUP(D10854,'Detail Balok'!$C$10:$BJ$110,51,FALSE)</f>
        <v>0</v>
      </c>
      <c r="E10879" t="str">
        <v>D</v>
      </c>
      <c r="F10879">
        <f>VLOOKUP(D10854,'Detail Balok'!$C$10:$BJ$110,53,FALSE)</f>
        <v>0</v>
      </c>
      <c r="G10879" t="str">
        <v>-</v>
      </c>
      <c r="H10879">
        <f>VLOOKUP(D10854,'Detail Balok'!$C$10:$BJ$110,55,FALSE)</f>
        <v>100</v>
      </c>
      <c r="J10879">
        <f>(D10855-2*F$5)/1000</f>
        <v>0.12</v>
      </c>
      <c r="K10879" t="str">
        <v>+</v>
      </c>
      <c r="L10879">
        <f>IF(D10879=0,2*MAX(6*F10879,75),(D10879-1)*2*MAX(6*F10879,75))/1000</f>
        <v>0.15</v>
      </c>
      <c r="M10879" t="str">
        <v>=</v>
      </c>
      <c r="N10879">
        <f>J10879+L10879</f>
        <v>0.27</v>
      </c>
      <c r="T10879" t="str">
        <v>x</v>
      </c>
      <c r="U10879">
        <f>0.006165*F10879^2</f>
        <v>0</v>
      </c>
      <c r="V10879" t="str">
        <v>x</v>
      </c>
      <c r="W10879">
        <f>W10875</f>
        <v>2</v>
      </c>
      <c r="X10879" t="str">
        <v>x</v>
      </c>
      <c r="Y10879">
        <f>D10864</f>
        <v>3</v>
      </c>
      <c r="Z10879" t="str">
        <v>=</v>
      </c>
      <c r="AA10879">
        <f>N10879*U10879*W10879*Y10879</f>
        <v>0</v>
      </c>
    </row>
    <row r="10880">
      <c r="A10880" t="str">
        <f>A10854</f>
        <v>Lantai Atap</v>
      </c>
      <c r="B10880">
        <f>B10854</f>
        <v>21</v>
      </c>
      <c r="C10880" t="str">
        <v>Kait Horizontal Tump.</v>
      </c>
      <c r="D10880">
        <f>VLOOKUP(D10854,'Detail Balok'!$C$10:$BJ$110,56,FALSE)</f>
        <v>0</v>
      </c>
      <c r="E10880" t="str">
        <v>D</v>
      </c>
      <c r="F10880">
        <f>VLOOKUP(D10854,'Detail Balok'!$C$10:$BJ$110,58,FALSE)</f>
        <v>0</v>
      </c>
      <c r="G10880" t="str">
        <v>-</v>
      </c>
      <c r="H10880">
        <f>VLOOKUP(D10854,'Detail Balok'!$C$10:$BJ$110,60,FALSE)</f>
        <v>100</v>
      </c>
      <c r="J10880">
        <f>(D10855-2*F$5)/1000</f>
        <v>0.12</v>
      </c>
      <c r="K10880" t="str">
        <v>+</v>
      </c>
      <c r="L10880">
        <f>IF(D10880=0,2*MAX(6*F10880,75),(D10880-1)*2*MAX(6*F10880,75))/1000</f>
        <v>0.15</v>
      </c>
      <c r="M10880" t="str">
        <v>=</v>
      </c>
      <c r="N10880">
        <f>J10880+L10880</f>
        <v>0.27</v>
      </c>
      <c r="T10880" t="str">
        <v>x</v>
      </c>
      <c r="U10880">
        <f>0.006165*F10880^2</f>
        <v>0</v>
      </c>
      <c r="V10880" t="str">
        <v>x</v>
      </c>
      <c r="W10880">
        <f>W10876</f>
        <v>9</v>
      </c>
      <c r="X10880" t="str">
        <v>x</v>
      </c>
      <c r="Y10880">
        <f>D10864</f>
        <v>3</v>
      </c>
      <c r="Z10880" t="str">
        <v>=</v>
      </c>
      <c r="AA10880">
        <f>N10880*U10880*W10880*Y10880</f>
        <v>0</v>
      </c>
    </row>
    <row r="10884">
      <c r="A10884" t="str">
        <f>A10854</f>
        <v>Lantai Atap</v>
      </c>
      <c r="B10884">
        <f>B10854+1</f>
        <v>22</v>
      </c>
      <c r="C10884" t="str">
        <f>CONCATENATE(A10884," no. ",B10884)</f>
        <v>Lantai Atap no. 22</v>
      </c>
      <c r="D10884" t="str">
        <f>VLOOKUP(C10884,'Data Panjang Balok'!$C$9:$N$424,2,FALSE)</f>
        <v>B25-6</v>
      </c>
    </row>
    <row r="10885">
      <c r="C10885" t="str">
        <v>Dimensi</v>
      </c>
      <c r="D10885">
        <f>VLOOKUP(D10884,'Detail Balok'!$C$10:$AU$110,2,FALSE)</f>
        <v>200</v>
      </c>
      <c r="F10885" t="str">
        <v>x</v>
      </c>
      <c r="G10885">
        <f>VLOOKUP(D10884,'Detail Balok'!$C$10:$AU$110,3,FALSE)</f>
        <v>500</v>
      </c>
    </row>
    <row r="10886">
      <c r="C10886" t="str">
        <v>Panjang as ke as</v>
      </c>
      <c r="D10886">
        <f>VLOOKUP(C10884,'Data Panjang Balok'!$C$9:$N$424,4,FALSE)</f>
        <v>11100</v>
      </c>
    </row>
    <row r="10887">
      <c r="C10887" t="str">
        <v>Panjang netto</v>
      </c>
      <c r="D10887">
        <f>VLOOKUP(C10884,'Data Panjang Balok'!$C$9:$N$424,7,FALSE)</f>
        <v>11100</v>
      </c>
    </row>
    <row r="10888">
      <c r="C10888" t="str">
        <v>Kolom / balok kiri</v>
      </c>
      <c r="D10888">
        <f>VLOOKUP(C10884,'Data Panjang Balok'!$C$9:$N$424,9,FALSE)</f>
        <v>0</v>
      </c>
    </row>
    <row r="10889">
      <c r="C10889" t="str">
        <v>Kolom / balok kanan</v>
      </c>
      <c r="D10889">
        <f>VLOOKUP(C10884,'Data Panjang Balok'!$C$9:$N$424,10,FALSE)</f>
        <v>0</v>
      </c>
    </row>
    <row r="10890">
      <c r="C10890" t="str">
        <v>Jumlah</v>
      </c>
      <c r="D10890">
        <f>VLOOKUP(C10884,'Data Panjang Balok'!$C$9:$N$424,3,FALSE)</f>
        <v>1</v>
      </c>
    </row>
    <row r="10891">
      <c r="A10891" t="str">
        <f>A10884</f>
        <v>Lantai Atap</v>
      </c>
      <c r="B10891">
        <f>B10884</f>
        <v>22</v>
      </c>
      <c r="C10891" t="str">
        <v>Tul Atas Tumpuan</v>
      </c>
      <c r="D10891">
        <f>VLOOKUP(D10884,'Detail Balok'!$C$10:$AU$110,4,FALSE)</f>
        <v>4</v>
      </c>
      <c r="E10891" t="str">
        <v>D</v>
      </c>
      <c r="F10891">
        <f>VLOOKUP(D10884,'Detail Balok'!$C$10:$AU$110,6,FALSE)</f>
        <v>16</v>
      </c>
      <c r="I10891" t="str">
        <v>(</v>
      </c>
      <c r="J10891">
        <f>+D10886/4/1000</f>
        <v>2.775</v>
      </c>
      <c r="K10891" t="str">
        <v>+</v>
      </c>
      <c r="L10891">
        <f>MAX(VLOOKUP(F10891,N$6:P$15,3,FALSE)/1000,2/3*D10888/1000)+F$16*F10891/1000</f>
        <v>0.192</v>
      </c>
      <c r="M10891" t="str">
        <v>=</v>
      </c>
      <c r="N10891">
        <f>J10891+L10891</f>
        <v>2.967</v>
      </c>
      <c r="O10891" t="str">
        <v>+</v>
      </c>
      <c r="P10891">
        <f>D10891-D10892</f>
        <v>2</v>
      </c>
      <c r="Q10891" t="str">
        <v>x</v>
      </c>
      <c r="R10891">
        <f>IF(P10891&gt;0,$F$18*F10891/1000,0)</f>
        <v>0.24</v>
      </c>
      <c r="S10891" t="str">
        <v>)</v>
      </c>
      <c r="T10891" t="str">
        <v>x</v>
      </c>
      <c r="U10891">
        <f>0.006165*F10891^2</f>
        <v>1.57824</v>
      </c>
      <c r="X10891" t="str">
        <v>x</v>
      </c>
      <c r="Y10891">
        <f>D10890</f>
        <v>1</v>
      </c>
      <c r="Z10891" t="str">
        <v>=</v>
      </c>
      <c r="AA10891">
        <f>IF(AA10894=0,(D10891*N10891+P10891*R10891)*U10891*Y10891,0)</f>
        <v>19.488107520000003</v>
      </c>
    </row>
    <row r="10892">
      <c r="A10892" t="str">
        <f>A10884</f>
        <v>Lantai Atap</v>
      </c>
      <c r="B10892">
        <f>B10884</f>
        <v>22</v>
      </c>
      <c r="C10892" t="str">
        <v>Tul Atas Lapangan</v>
      </c>
      <c r="D10892">
        <f>VLOOKUP(D10884,'Detail Balok'!$C$10:$AU$110,7,FALSE)</f>
        <v>2</v>
      </c>
      <c r="E10892" t="str">
        <v>D</v>
      </c>
      <c r="F10892">
        <f>VLOOKUP(D10884,'Detail Balok'!$C$10:$AU$110,9,FALSE)</f>
        <v>16</v>
      </c>
      <c r="I10892" t="str">
        <v>(</v>
      </c>
      <c r="J10892">
        <f>+D10886/2/1000</f>
        <v>5.55</v>
      </c>
      <c r="K10892" t="str">
        <v>+</v>
      </c>
      <c r="M10892" t="str">
        <v>=</v>
      </c>
      <c r="N10892">
        <f>J10892+L10892</f>
        <v>5.55</v>
      </c>
      <c r="O10892" t="str">
        <v>+</v>
      </c>
      <c r="P10892">
        <f>MAX(D10892-D10891,D10892-D10893)</f>
        <v>-2</v>
      </c>
      <c r="Q10892" t="str">
        <v>x</v>
      </c>
      <c r="R10892">
        <f>IF(P10892&gt;0,2*(1-2*$F$19-1/2)*D10887/1000,0)</f>
        <v>0</v>
      </c>
      <c r="S10892" t="str">
        <v>)</v>
      </c>
      <c r="T10892" t="str">
        <v>x</v>
      </c>
      <c r="U10892">
        <f>0.006165*F10892^2</f>
        <v>1.57824</v>
      </c>
      <c r="X10892" t="str">
        <v>x</v>
      </c>
      <c r="Y10892">
        <f>D10890</f>
        <v>1</v>
      </c>
      <c r="Z10892" t="str">
        <v>=</v>
      </c>
      <c r="AA10892">
        <f>IF(AA10894=0,(D10892*N10892+P10892*R10892)*U10892*Y10892,0)</f>
        <v>17.518464</v>
      </c>
    </row>
    <row r="10893">
      <c r="A10893" t="str">
        <f>A10884</f>
        <v>Lantai Atap</v>
      </c>
      <c r="B10893">
        <f>B10884</f>
        <v>22</v>
      </c>
      <c r="C10893" t="str">
        <v>Tul Atas Tumpuan</v>
      </c>
      <c r="D10893">
        <f>VLOOKUP(D10884,'Detail Balok'!$C$10:$AU$110,10,FALSE)</f>
        <v>4</v>
      </c>
      <c r="E10893" t="str">
        <v>D</v>
      </c>
      <c r="F10893">
        <f>VLOOKUP(D10884,'Detail Balok'!$C$10:$AU$110,12,FALSE)</f>
        <v>16</v>
      </c>
      <c r="I10893" t="str">
        <v>(</v>
      </c>
      <c r="J10893">
        <f>+D10886/4/1000</f>
        <v>2.775</v>
      </c>
      <c r="K10893" t="str">
        <v>+</v>
      </c>
      <c r="L10893">
        <f>MAX(VLOOKUP(F10893,N$6:P$15,3,FALSE)/1000,2/3*D10888/1000)+F$16*F10893/1000</f>
        <v>0.192</v>
      </c>
      <c r="M10893" t="str">
        <v>=</v>
      </c>
      <c r="N10893">
        <f>J10893+L10893</f>
        <v>2.967</v>
      </c>
      <c r="O10893" t="str">
        <v>+</v>
      </c>
      <c r="P10893">
        <f>D10893-D10892</f>
        <v>2</v>
      </c>
      <c r="Q10893" t="str">
        <v>x</v>
      </c>
      <c r="R10893">
        <f>IF(P10893&gt;0,$F$18*F10893/1000,0)</f>
        <v>0.24</v>
      </c>
      <c r="S10893" t="str">
        <v>)</v>
      </c>
      <c r="T10893" t="str">
        <v>x</v>
      </c>
      <c r="U10893">
        <f>0.006165*F10893^2</f>
        <v>1.57824</v>
      </c>
      <c r="X10893" t="str">
        <v>x</v>
      </c>
      <c r="Y10893">
        <f>D10890</f>
        <v>1</v>
      </c>
      <c r="Z10893" t="str">
        <v>=</v>
      </c>
      <c r="AA10893">
        <f>IF(AA10894=0,(D10893*N10893+P10893*R10893)*U10893*Y10893,0)</f>
        <v>19.488107520000003</v>
      </c>
    </row>
    <row r="10894">
      <c r="A10894" t="str">
        <f>A10884</f>
        <v>Lantai Atap</v>
      </c>
      <c r="B10894">
        <f>B10884</f>
        <v>22</v>
      </c>
      <c r="D10894">
        <f>IF(AND(D10891=D10892,D10892=D10893,D10891=D10893),D10891,0)</f>
        <v>0</v>
      </c>
      <c r="E10894" t="str">
        <v>D</v>
      </c>
      <c r="F10894">
        <f>IF(AND(F10891=F10892,F10891=F10893,F10892=F10893),F10891,0)</f>
        <v>16</v>
      </c>
      <c r="L10894" t="str">
        <v>Total panjang per balok</v>
      </c>
      <c r="M10894" t="str">
        <v>=</v>
      </c>
      <c r="N10894">
        <f>IF(AND(D10891=D10892,D10891=D10893,D10892=D10893,F10891=F10892,F10891=F10893,F10892=F10893),SUM(N10891:N10893),0)</f>
        <v>0</v>
      </c>
      <c r="O10894" t="str">
        <v>+</v>
      </c>
      <c r="P10894">
        <f>IF(N10894&gt;12,ROUNDDOWN(N10894/12,0),0)</f>
        <v>0</v>
      </c>
      <c r="Q10894" t="str">
        <v>x</v>
      </c>
      <c r="R10894">
        <f>IF(P10894&gt;0,MAX(VLOOKUP(F10894,$D$6:$G$15,3,FALSE),600),0)/1000</f>
        <v>0</v>
      </c>
      <c r="T10894" t="str">
        <v>x</v>
      </c>
      <c r="U10894">
        <f>U10893</f>
        <v>1.57824</v>
      </c>
      <c r="V10894" t="str">
        <v>x</v>
      </c>
      <c r="W10894">
        <f>D10894</f>
        <v>0</v>
      </c>
      <c r="X10894" t="str">
        <v>x</v>
      </c>
      <c r="Y10894">
        <f>Y10893</f>
        <v>1</v>
      </c>
      <c r="Z10894" t="str">
        <v>=</v>
      </c>
      <c r="AA10894">
        <f>(N10894+P10894*R10894/1000)*U10894*W10894*Y10894</f>
        <v>0</v>
      </c>
    </row>
    <row r="10896">
      <c r="A10896" t="str">
        <f>A10884</f>
        <v>Lantai Atap</v>
      </c>
      <c r="B10896">
        <f>B10884</f>
        <v>22</v>
      </c>
      <c r="C10896" t="str">
        <v>Tul Peminggang</v>
      </c>
      <c r="D10896">
        <f>VLOOKUP(D10884,'Detail Balok'!$C$10:$AU$110,13,FALSE)</f>
        <v>2</v>
      </c>
      <c r="E10896" t="str">
        <v>D</v>
      </c>
      <c r="F10896">
        <f>VLOOKUP(D10884,'Detail Balok'!$C$10:$AU$110,15,FALSE)</f>
        <v>10</v>
      </c>
      <c r="J10896">
        <f>+D10886/1000</f>
        <v>11.1</v>
      </c>
      <c r="K10896" t="str">
        <v>+</v>
      </c>
      <c r="L10896">
        <f>2*$F$16*F10896/1000</f>
        <v>0.24</v>
      </c>
      <c r="M10896" t="str">
        <v>=</v>
      </c>
      <c r="N10896">
        <f>J10896+L10896</f>
        <v>11.34</v>
      </c>
      <c r="O10896" t="str">
        <v>+</v>
      </c>
      <c r="P10896">
        <f>IF(N10896&gt;12,ROUNDDOWN(N10896/12,0),0)</f>
        <v>0</v>
      </c>
      <c r="Q10896" t="str">
        <v>x</v>
      </c>
      <c r="R10896">
        <f>IF(P10896&gt;0,MAX(VLOOKUP(F10896,$D$6:$G$15,3,FALSE),600),0)/1000</f>
        <v>0</v>
      </c>
      <c r="T10896" t="str">
        <v>x</v>
      </c>
      <c r="U10896">
        <f>0.006165*F10896^2</f>
        <v>0.6165</v>
      </c>
      <c r="V10896" t="str">
        <v>x</v>
      </c>
      <c r="W10896">
        <f>+D10896</f>
        <v>2</v>
      </c>
      <c r="X10896" t="str">
        <v>x</v>
      </c>
      <c r="Y10896">
        <f>D10890</f>
        <v>1</v>
      </c>
      <c r="Z10896" t="str">
        <v>=</v>
      </c>
      <c r="AA10896">
        <f>(N10896+P10896*R10896/1000)*U10896*W10896*Y10896</f>
        <v>13.982220000000002</v>
      </c>
    </row>
    <row r="10899">
      <c r="A10899" t="str">
        <f>A10884</f>
        <v>Lantai Atap</v>
      </c>
      <c r="B10899">
        <f>B10884</f>
        <v>22</v>
      </c>
      <c r="C10899" t="str">
        <v>Tul Bawah Tumpuan</v>
      </c>
      <c r="D10899">
        <f>VLOOKUP(D10884,'Detail Balok'!$C$10:$AU$110,22,FALSE)</f>
        <v>2</v>
      </c>
      <c r="E10899" t="str">
        <v>D</v>
      </c>
      <c r="F10899">
        <f>VLOOKUP(D10884,'Detail Balok'!$C$10:$AU$110,24,FALSE)</f>
        <v>16</v>
      </c>
      <c r="I10899" t="str">
        <v>(</v>
      </c>
      <c r="J10899">
        <f>+J10891</f>
        <v>2.775</v>
      </c>
      <c r="K10899" t="str">
        <v>+</v>
      </c>
      <c r="L10899">
        <f>MAX(VLOOKUP(F10899,N$6:P$15,3,FALSE)/1000,2/3*D10889/1000)+F$16*F10899/1000</f>
        <v>0.192</v>
      </c>
      <c r="M10899" t="str">
        <v>=</v>
      </c>
      <c r="N10899">
        <f>J10899+L10899</f>
        <v>2.967</v>
      </c>
      <c r="O10899" t="str">
        <v>+</v>
      </c>
      <c r="P10899">
        <f>D10899-D10900</f>
        <v>-2</v>
      </c>
      <c r="Q10899" t="str">
        <v>x</v>
      </c>
      <c r="R10899">
        <f>IF(P10899&gt;0,$F$18*F10899/1000,0)</f>
        <v>0</v>
      </c>
      <c r="S10899" t="str">
        <v>)</v>
      </c>
      <c r="T10899" t="str">
        <v>x</v>
      </c>
      <c r="U10899">
        <f>0.006165*F10899^2</f>
        <v>1.57824</v>
      </c>
      <c r="X10899" t="str">
        <v>x</v>
      </c>
      <c r="Y10899">
        <f>D10890</f>
        <v>1</v>
      </c>
      <c r="Z10899" t="str">
        <v>=</v>
      </c>
      <c r="AA10899">
        <f>IF(AA10902=0,(D10899*N10899+P10899*R10899)*U10899*Y10899,0)</f>
        <v>9.36527616</v>
      </c>
    </row>
    <row r="10900">
      <c r="A10900" t="str">
        <f>A10884</f>
        <v>Lantai Atap</v>
      </c>
      <c r="B10900">
        <f>B10884</f>
        <v>22</v>
      </c>
      <c r="C10900" t="str">
        <v>Tul Bawah Lapangan</v>
      </c>
      <c r="D10900">
        <f>VLOOKUP(D10884,'Detail Balok'!$C$10:$AU$110,25,FALSE)</f>
        <v>4</v>
      </c>
      <c r="E10900" t="str">
        <v>D</v>
      </c>
      <c r="F10900">
        <f>VLOOKUP(D10884,'Detail Balok'!$C$10:$AU$110,27,FALSE)</f>
        <v>16</v>
      </c>
      <c r="I10900" t="str">
        <v>(</v>
      </c>
      <c r="J10900">
        <f>+J10892</f>
        <v>5.55</v>
      </c>
      <c r="K10900" t="str">
        <v>+</v>
      </c>
      <c r="M10900" t="str">
        <v>=</v>
      </c>
      <c r="N10900">
        <f>J10900+L10900</f>
        <v>5.55</v>
      </c>
      <c r="O10900" t="str">
        <v>+</v>
      </c>
      <c r="P10900">
        <f>MAX(D10900-D10899,D10900-D10901)</f>
        <v>2</v>
      </c>
      <c r="Q10900" t="str">
        <v>x</v>
      </c>
      <c r="R10900">
        <f>IF(P10900&gt;0,2*(1-2*$F$19-1/2)*D10887/1000,0)</f>
        <v>2.2199999999999998</v>
      </c>
      <c r="S10900" t="str">
        <v>)</v>
      </c>
      <c r="T10900" t="str">
        <v>x</v>
      </c>
      <c r="U10900">
        <f>0.006165*F10900^2</f>
        <v>1.57824</v>
      </c>
      <c r="X10900" t="str">
        <v>x</v>
      </c>
      <c r="Y10900">
        <f>D10890</f>
        <v>1</v>
      </c>
      <c r="Z10900" t="str">
        <v>=</v>
      </c>
      <c r="AA10900">
        <f>IF(AA10902=0,(D10900*N10900+P10900*R10900)*U10900*Y10900,0)</f>
        <v>42.0443136</v>
      </c>
    </row>
    <row r="10901">
      <c r="A10901" t="str">
        <f>A10884</f>
        <v>Lantai Atap</v>
      </c>
      <c r="B10901">
        <f>B10884</f>
        <v>22</v>
      </c>
      <c r="C10901" t="str">
        <v>Tul Bawah Tumpuan</v>
      </c>
      <c r="D10901">
        <f>VLOOKUP(D10884,'Detail Balok'!$C$10:$AU$110,28,FALSE)</f>
        <v>4</v>
      </c>
      <c r="E10901" t="str">
        <v>D</v>
      </c>
      <c r="F10901">
        <f>VLOOKUP(D10884,'Detail Balok'!$C$10:$AU$110,30,FALSE)</f>
        <v>16</v>
      </c>
      <c r="I10901" t="str">
        <v>(</v>
      </c>
      <c r="J10901">
        <f>+J10893</f>
        <v>2.775</v>
      </c>
      <c r="K10901" t="str">
        <v>+</v>
      </c>
      <c r="L10901">
        <f>MAX(VLOOKUP(F10901,N$6:P$15,3,FALSE)/1000,2/3*D10889/1000)+F$16*F10901/1000</f>
        <v>0.192</v>
      </c>
      <c r="M10901" t="str">
        <v>=</v>
      </c>
      <c r="N10901">
        <f>J10901+L10901</f>
        <v>2.967</v>
      </c>
      <c r="O10901" t="str">
        <v>+</v>
      </c>
      <c r="P10901">
        <f>D10901-D10900</f>
        <v>0</v>
      </c>
      <c r="Q10901" t="str">
        <v>x</v>
      </c>
      <c r="R10901">
        <f>IF(P10901&gt;0,$F$18*F10901/1000,0)</f>
        <v>0</v>
      </c>
      <c r="S10901" t="str">
        <v>)</v>
      </c>
      <c r="T10901" t="str">
        <v>x</v>
      </c>
      <c r="U10901">
        <f>0.006165*F10901^2</f>
        <v>1.57824</v>
      </c>
      <c r="X10901" t="str">
        <v>x</v>
      </c>
      <c r="Y10901">
        <f>D10890</f>
        <v>1</v>
      </c>
      <c r="Z10901" t="str">
        <v>=</v>
      </c>
      <c r="AA10901">
        <f>IF(AA10902=0,(D10901*N10901+P10901*R10901)*U10901*Y10901,0)</f>
        <v>18.73055232</v>
      </c>
    </row>
    <row r="10902">
      <c r="A10902" t="str">
        <f>A10884</f>
        <v>Lantai Atap</v>
      </c>
      <c r="B10902">
        <f>B10884</f>
        <v>22</v>
      </c>
      <c r="D10902">
        <f>IF(AND(D10899=D10900,D10900=D10901,D10899=D10901),D10899,0)</f>
        <v>0</v>
      </c>
      <c r="E10902" t="str">
        <v>D</v>
      </c>
      <c r="F10902">
        <f>IF(AND(F10899=F10900,F10899=F10901,F10900=F10901),F10899,0)</f>
        <v>16</v>
      </c>
      <c r="L10902" t="str">
        <v>Total panjang per balok</v>
      </c>
      <c r="M10902" t="str">
        <v>=</v>
      </c>
      <c r="N10902">
        <f>IF(AND(D10899=D10900,D10899=D10901,D10900=D10901,F10899=F10900,F10899=F10901,F10900=F10901),SUM(N10899:N10901),0)</f>
        <v>0</v>
      </c>
      <c r="O10902" t="str">
        <v>+</v>
      </c>
      <c r="P10902">
        <f>IF(N10902&gt;12,ROUNDDOWN(N10902/12,0),0)</f>
        <v>0</v>
      </c>
      <c r="Q10902" t="str">
        <v>x</v>
      </c>
      <c r="R10902">
        <f>IF(P10902&gt;0,MAX(VLOOKUP(F10902,$D$6:$G$15,3,FALSE),600),0)/1000</f>
        <v>0</v>
      </c>
      <c r="T10902" t="str">
        <v>x</v>
      </c>
      <c r="U10902">
        <f>U10901</f>
        <v>1.57824</v>
      </c>
      <c r="V10902" t="str">
        <v>x</v>
      </c>
      <c r="W10902">
        <f>D10902</f>
        <v>0</v>
      </c>
      <c r="X10902" t="str">
        <v>x</v>
      </c>
      <c r="Y10902">
        <f>Y10901</f>
        <v>1</v>
      </c>
      <c r="Z10902" t="str">
        <v>=</v>
      </c>
      <c r="AA10902">
        <f>(N10902+P10902*R10902/1000)*U10902*W10902*Y10902</f>
        <v>0</v>
      </c>
    </row>
    <row r="10904">
      <c r="A10904" t="str">
        <f>A10884</f>
        <v>Lantai Atap</v>
      </c>
      <c r="B10904">
        <f>B10884</f>
        <v>22</v>
      </c>
      <c r="C10904" t="str">
        <v>Sengkang Tumpuan</v>
      </c>
      <c r="D10904">
        <f>VLOOKUP(D10884,'Detail Balok'!$C$10:$AU$110,31,FALSE)</f>
        <v>0</v>
      </c>
      <c r="E10904" t="str">
        <v>D</v>
      </c>
      <c r="F10904">
        <f>VLOOKUP(D10884,'Detail Balok'!$C$10:$AU$110,33,FALSE)</f>
        <v>10</v>
      </c>
      <c r="G10904" t="str">
        <v>-</v>
      </c>
      <c r="H10904">
        <f>VLOOKUP(D10884,'Detail Balok'!$C$10:$AU$110,35,FALSE)</f>
        <v>100</v>
      </c>
      <c r="J10904">
        <f>(IF(D10904=0,(2*(D10885+G10885))-(F$5*8),IF(D10904=3,(2*(D10885+G10885))-(F$5*8)+(G10885-2*F$5),IF(D10904=4,(2*(D10885+G10885))-(F$5*8)+2*(G10885-2*F$5)))))/1000</f>
        <v>1.08</v>
      </c>
      <c r="K10904" t="str">
        <v>+</v>
      </c>
      <c r="L10904">
        <f>IF(D10904=0,2*MAX(6*F10904,75),(D10904-1)*2*MAX(6*F10904,75))/1000</f>
        <v>0.15</v>
      </c>
      <c r="M10904" t="str">
        <v>=</v>
      </c>
      <c r="N10904">
        <f>J10904+L10904</f>
        <v>1.23</v>
      </c>
      <c r="T10904" t="str">
        <v>x</v>
      </c>
      <c r="U10904">
        <f>0.006165*F10904^2</f>
        <v>0.6165</v>
      </c>
      <c r="V10904" t="str">
        <v>x</v>
      </c>
      <c r="W10904">
        <f>IF(D10887&gt;4*G10885,ROUND(MAX(D10887/4,2*G10885)/H10904,0)+1,ROUND(D10887/H10904,0)+1)</f>
        <v>29</v>
      </c>
      <c r="X10904" t="str">
        <v>x</v>
      </c>
      <c r="Y10904">
        <f>D10890</f>
        <v>1</v>
      </c>
      <c r="Z10904" t="str">
        <v>=</v>
      </c>
      <c r="AA10904">
        <f>N10904*U10904*W10904*Y10904</f>
        <v>21.990555</v>
      </c>
    </row>
    <row r="10905">
      <c r="A10905" t="str">
        <f>A10884</f>
        <v>Lantai Atap</v>
      </c>
      <c r="B10905">
        <f>B10884</f>
        <v>22</v>
      </c>
      <c r="C10905" t="str">
        <v>Sengkang Lapangan</v>
      </c>
      <c r="D10905">
        <f>VLOOKUP(D10884,'Detail Balok'!$C$10:$AU$110,36,FALSE)</f>
        <v>0</v>
      </c>
      <c r="E10905" t="str">
        <v>D</v>
      </c>
      <c r="F10905">
        <f>VLOOKUP(D10884,'Detail Balok'!$C$10:$AU$110,38,FALSE)</f>
        <v>10</v>
      </c>
      <c r="G10905" t="str">
        <v>-</v>
      </c>
      <c r="H10905">
        <f>VLOOKUP(D10884,'Detail Balok'!$C$10:$AU$110,40,FALSE)</f>
        <v>200</v>
      </c>
      <c r="J10905">
        <f>(IF(D10905=0,(2*(D10885+G10885))-(F$5*8),IF(D10905=3,(2*(D10885+G10885))-(F$5*8)+(G10885-2*F$5),IF(D10905=4,(2*(D10885+G10885))-(F$5*8)+2*(G10885-2*F$5)))))/1000</f>
        <v>1.08</v>
      </c>
      <c r="K10905" t="str">
        <v>+</v>
      </c>
      <c r="L10905">
        <f>IF(D10905=0,2*MAX(6*F10905,75),(D10905-1)*2*MAX(6*F10905,75))/1000</f>
        <v>0.15</v>
      </c>
      <c r="M10905" t="str">
        <v>=</v>
      </c>
      <c r="N10905">
        <f>J10905+L10905</f>
        <v>1.23</v>
      </c>
      <c r="T10905" t="str">
        <v>x</v>
      </c>
      <c r="U10905">
        <f>0.006165*F10905^2</f>
        <v>0.6165</v>
      </c>
      <c r="V10905" t="str">
        <v>x</v>
      </c>
      <c r="W10905">
        <f>IF(D10887-MAX(D10887/4,2*G10885)*2&gt;0,ROUND((D10887-MAX(D10887/4,2*G10885)*2)/H10905,0),0)</f>
        <v>28</v>
      </c>
      <c r="X10905" t="str">
        <v>x</v>
      </c>
      <c r="Y10905">
        <f>D10890</f>
        <v>1</v>
      </c>
      <c r="Z10905" t="str">
        <v>=</v>
      </c>
      <c r="AA10905">
        <f>N10905*U10905*W10905*Y10905</f>
        <v>21.23226</v>
      </c>
    </row>
    <row r="10906">
      <c r="A10906" t="str">
        <f>A10884</f>
        <v>Lantai Atap</v>
      </c>
      <c r="B10906">
        <f>B10884</f>
        <v>22</v>
      </c>
      <c r="C10906" t="str">
        <v>Sengkang Tumpuan</v>
      </c>
      <c r="D10906">
        <f>VLOOKUP(D10884,'Detail Balok'!$C$10:$AU$110,41,FALSE)</f>
        <v>0</v>
      </c>
      <c r="E10906" t="str">
        <v>D</v>
      </c>
      <c r="F10906">
        <f>VLOOKUP(D10884,'Detail Balok'!$C$10:$AU$110,43,FALSE)</f>
        <v>10</v>
      </c>
      <c r="G10906" t="str">
        <v>-</v>
      </c>
      <c r="H10906">
        <f>VLOOKUP(D10884,'Detail Balok'!$C$10:$AU$110,45,FALSE)</f>
        <v>100</v>
      </c>
      <c r="J10906">
        <f>(IF(D10906=0,(2*(D10885+G10885))-(F$5*8),IF(D10906=3,(2*(D10885+G10885))-(F$5*8)+(G10885-2*F$5),IF(D10906=4,(2*(D10885+G10885))-(F$5*8)+2*(G10885-2*F$5)))))/1000</f>
        <v>1.08</v>
      </c>
      <c r="K10906" t="str">
        <v>+</v>
      </c>
      <c r="L10906">
        <f>IF(D10906=0,2*MAX(6*F10906,75),(D10906-1)*2*MAX(6*F10906,75))/1000</f>
        <v>0.15</v>
      </c>
      <c r="M10906" t="str">
        <v>=</v>
      </c>
      <c r="N10906">
        <f>J10906+L10906</f>
        <v>1.23</v>
      </c>
      <c r="T10906" t="str">
        <v>x</v>
      </c>
      <c r="U10906">
        <f>0.006165*F10906^2</f>
        <v>0.6165</v>
      </c>
      <c r="V10906" t="str">
        <v>x</v>
      </c>
      <c r="W10906">
        <f>IF(D10887&gt;4*G10885,ROUND(MAX(D10887/4,2*G10885)/H10906,0)+1,0)</f>
        <v>29</v>
      </c>
      <c r="X10906" t="str">
        <v>x</v>
      </c>
      <c r="Y10906">
        <f>D10890</f>
        <v>1</v>
      </c>
      <c r="Z10906" t="str">
        <v>=</v>
      </c>
      <c r="AA10906">
        <f>N10906*U10906*W10906*Y10906</f>
        <v>21.990555</v>
      </c>
    </row>
    <row r="10908">
      <c r="A10908" t="str">
        <f>A10884</f>
        <v>Lantai Atap</v>
      </c>
      <c r="B10908">
        <f>B10884</f>
        <v>22</v>
      </c>
      <c r="C10908" t="str">
        <v>Kait Horizontal Tump.</v>
      </c>
      <c r="D10908">
        <f>VLOOKUP(D10884,'Detail Balok'!$C$10:$BJ$110,46,FALSE)</f>
        <v>0</v>
      </c>
      <c r="E10908" t="str">
        <v>D</v>
      </c>
      <c r="F10908">
        <f>VLOOKUP(D10884,'Detail Balok'!$C$10:$BJ$110,48,FALSE)</f>
        <v>0</v>
      </c>
      <c r="G10908" t="str">
        <v>-</v>
      </c>
      <c r="H10908">
        <f>VLOOKUP(D10884,'Detail Balok'!$C$10:$BJ$110,50,FALSE)</f>
        <v>100</v>
      </c>
      <c r="J10908">
        <f>(D10885-2*F$5)/1000</f>
        <v>0.12</v>
      </c>
      <c r="K10908" t="str">
        <v>+</v>
      </c>
      <c r="L10908">
        <f>IF(D10908=0,2*MAX(6*F10908,75),(D10908-1)*2*MAX(6*F10908,75))/1000</f>
        <v>0.15</v>
      </c>
      <c r="M10908" t="str">
        <v>=</v>
      </c>
      <c r="N10908">
        <f>J10908+L10908</f>
        <v>0.27</v>
      </c>
      <c r="T10908" t="str">
        <v>x</v>
      </c>
      <c r="U10908">
        <f>0.006165*F10908^2</f>
        <v>0</v>
      </c>
      <c r="V10908" t="str">
        <v>x</v>
      </c>
      <c r="W10908">
        <f>W10904</f>
        <v>29</v>
      </c>
      <c r="X10908" t="str">
        <v>x</v>
      </c>
      <c r="Y10908">
        <f>D10894</f>
        <v>0</v>
      </c>
      <c r="Z10908" t="str">
        <v>=</v>
      </c>
      <c r="AA10908">
        <f>N10908*U10908*W10908*Y10908</f>
        <v>0</v>
      </c>
    </row>
    <row r="10909">
      <c r="A10909" t="str">
        <f>A10884</f>
        <v>Lantai Atap</v>
      </c>
      <c r="B10909">
        <f>B10884</f>
        <v>22</v>
      </c>
      <c r="C10909" t="str">
        <v>Kait Horizontal Lap.</v>
      </c>
      <c r="D10909">
        <f>VLOOKUP(D10884,'Detail Balok'!$C$10:$BJ$110,51,FALSE)</f>
        <v>0</v>
      </c>
      <c r="E10909" t="str">
        <v>D</v>
      </c>
      <c r="F10909">
        <f>VLOOKUP(D10884,'Detail Balok'!$C$10:$BJ$110,53,FALSE)</f>
        <v>0</v>
      </c>
      <c r="G10909" t="str">
        <v>-</v>
      </c>
      <c r="H10909">
        <f>VLOOKUP(D10884,'Detail Balok'!$C$10:$BJ$110,55,FALSE)</f>
        <v>100</v>
      </c>
      <c r="J10909">
        <f>(D10885-2*F$5)/1000</f>
        <v>0.12</v>
      </c>
      <c r="K10909" t="str">
        <v>+</v>
      </c>
      <c r="L10909">
        <f>IF(D10909=0,2*MAX(6*F10909,75),(D10909-1)*2*MAX(6*F10909,75))/1000</f>
        <v>0.15</v>
      </c>
      <c r="M10909" t="str">
        <v>=</v>
      </c>
      <c r="N10909">
        <f>J10909+L10909</f>
        <v>0.27</v>
      </c>
      <c r="T10909" t="str">
        <v>x</v>
      </c>
      <c r="U10909">
        <f>0.006165*F10909^2</f>
        <v>0</v>
      </c>
      <c r="V10909" t="str">
        <v>x</v>
      </c>
      <c r="W10909">
        <f>W10905</f>
        <v>28</v>
      </c>
      <c r="X10909" t="str">
        <v>x</v>
      </c>
      <c r="Y10909">
        <f>D10894</f>
        <v>0</v>
      </c>
      <c r="Z10909" t="str">
        <v>=</v>
      </c>
      <c r="AA10909">
        <f>N10909*U10909*W10909*Y10909</f>
        <v>0</v>
      </c>
    </row>
    <row r="10910">
      <c r="A10910" t="str">
        <f>A10884</f>
        <v>Lantai Atap</v>
      </c>
      <c r="B10910">
        <f>B10884</f>
        <v>22</v>
      </c>
      <c r="C10910" t="str">
        <v>Kait Horizontal Tump.</v>
      </c>
      <c r="D10910">
        <f>VLOOKUP(D10884,'Detail Balok'!$C$10:$BJ$110,56,FALSE)</f>
        <v>0</v>
      </c>
      <c r="E10910" t="str">
        <v>D</v>
      </c>
      <c r="F10910">
        <f>VLOOKUP(D10884,'Detail Balok'!$C$10:$BJ$110,58,FALSE)</f>
        <v>0</v>
      </c>
      <c r="G10910" t="str">
        <v>-</v>
      </c>
      <c r="H10910">
        <f>VLOOKUP(D10884,'Detail Balok'!$C$10:$BJ$110,60,FALSE)</f>
        <v>100</v>
      </c>
      <c r="J10910">
        <f>(D10885-2*F$5)/1000</f>
        <v>0.12</v>
      </c>
      <c r="K10910" t="str">
        <v>+</v>
      </c>
      <c r="L10910">
        <f>IF(D10910=0,2*MAX(6*F10910,75),(D10910-1)*2*MAX(6*F10910,75))/1000</f>
        <v>0.15</v>
      </c>
      <c r="M10910" t="str">
        <v>=</v>
      </c>
      <c r="N10910">
        <f>J10910+L10910</f>
        <v>0.27</v>
      </c>
      <c r="T10910" t="str">
        <v>x</v>
      </c>
      <c r="U10910">
        <f>0.006165*F10910^2</f>
        <v>0</v>
      </c>
      <c r="V10910" t="str">
        <v>x</v>
      </c>
      <c r="W10910">
        <f>W10906</f>
        <v>29</v>
      </c>
      <c r="X10910" t="str">
        <v>x</v>
      </c>
      <c r="Y10910">
        <f>D10894</f>
        <v>0</v>
      </c>
      <c r="Z10910" t="str">
        <v>=</v>
      </c>
      <c r="AA10910">
        <f>N10910*U10910*W10910*Y10910</f>
        <v>0</v>
      </c>
    </row>
    <row r="10914">
      <c r="A10914" t="str">
        <f>A10884</f>
        <v>Lantai Atap</v>
      </c>
      <c r="B10914">
        <f>B10884+1</f>
        <v>23</v>
      </c>
      <c r="C10914" t="str">
        <f>CONCATENATE(A10914," no. ",B10914)</f>
        <v>Lantai Atap no. 23</v>
      </c>
      <c r="D10914" t="str">
        <f>VLOOKUP(C10914,'Data Panjang Balok'!$C$9:$N$424,2,FALSE)</f>
        <v>B245-2</v>
      </c>
    </row>
    <row r="10915">
      <c r="C10915" t="str">
        <v>Dimensi</v>
      </c>
      <c r="D10915">
        <f>VLOOKUP(D10914,'Detail Balok'!$C$10:$AU$110,2,FALSE)</f>
        <v>200</v>
      </c>
      <c r="F10915" t="str">
        <v>x</v>
      </c>
      <c r="G10915">
        <f>VLOOKUP(D10914,'Detail Balok'!$C$10:$AU$110,3,FALSE)</f>
        <v>450</v>
      </c>
    </row>
    <row r="10916">
      <c r="C10916" t="str">
        <v>Panjang as ke as</v>
      </c>
      <c r="D10916">
        <f>VLOOKUP(C10914,'Data Panjang Balok'!$C$9:$N$424,4,FALSE)</f>
        <v>900</v>
      </c>
    </row>
    <row r="10917">
      <c r="C10917" t="str">
        <v>Panjang netto</v>
      </c>
      <c r="D10917">
        <f>VLOOKUP(C10914,'Data Panjang Balok'!$C$9:$N$424,7,FALSE)</f>
        <v>900</v>
      </c>
    </row>
    <row r="10918">
      <c r="C10918" t="str">
        <v>Kolom / balok kiri</v>
      </c>
      <c r="D10918">
        <f>VLOOKUP(C10914,'Data Panjang Balok'!$C$9:$N$424,9,FALSE)</f>
        <v>0</v>
      </c>
    </row>
    <row r="10919">
      <c r="C10919" t="str">
        <v>Kolom / balok kanan</v>
      </c>
      <c r="D10919">
        <f>VLOOKUP(C10914,'Data Panjang Balok'!$C$9:$N$424,10,FALSE)</f>
        <v>0</v>
      </c>
    </row>
    <row r="10920">
      <c r="C10920" t="str">
        <v>Jumlah</v>
      </c>
      <c r="D10920">
        <f>VLOOKUP(C10914,'Data Panjang Balok'!$C$9:$N$424,3,FALSE)</f>
        <v>1</v>
      </c>
    </row>
    <row r="10921">
      <c r="A10921" t="str">
        <f>A10914</f>
        <v>Lantai Atap</v>
      </c>
      <c r="B10921">
        <f>B10914</f>
        <v>23</v>
      </c>
      <c r="C10921" t="str">
        <v>Tul Atas Tumpuan</v>
      </c>
      <c r="D10921">
        <f>VLOOKUP(D10914,'Detail Balok'!$C$10:$AU$110,4,FALSE)</f>
        <v>3</v>
      </c>
      <c r="E10921" t="str">
        <v>D</v>
      </c>
      <c r="F10921">
        <f>VLOOKUP(D10914,'Detail Balok'!$C$10:$AU$110,6,FALSE)</f>
        <v>13</v>
      </c>
      <c r="I10921" t="str">
        <v>(</v>
      </c>
      <c r="J10921">
        <f>+D10916/4/1000</f>
        <v>0.225</v>
      </c>
      <c r="K10921" t="str">
        <v>+</v>
      </c>
      <c r="L10921">
        <f>MAX(VLOOKUP(F10921,N$6:P$15,3,FALSE)/1000,2/3*D10918/1000)+F$16*F10921/1000</f>
        <v>0.156</v>
      </c>
      <c r="M10921" t="str">
        <v>=</v>
      </c>
      <c r="N10921">
        <f>J10921+L10921</f>
        <v>0.381</v>
      </c>
      <c r="O10921" t="str">
        <v>+</v>
      </c>
      <c r="P10921">
        <f>D10921-D10922</f>
        <v>0</v>
      </c>
      <c r="Q10921" t="str">
        <v>x</v>
      </c>
      <c r="R10921">
        <f>IF(P10921&gt;0,$F$18*F10921/1000,0)</f>
        <v>0</v>
      </c>
      <c r="S10921" t="str">
        <v>)</v>
      </c>
      <c r="T10921" t="str">
        <v>x</v>
      </c>
      <c r="U10921">
        <f>0.006165*F10921^2</f>
        <v>1.041885</v>
      </c>
      <c r="X10921" t="str">
        <v>x</v>
      </c>
      <c r="Y10921">
        <f>D10920</f>
        <v>1</v>
      </c>
      <c r="Z10921" t="str">
        <v>=</v>
      </c>
      <c r="AA10921">
        <f>IF(AA10924=0,(D10921*N10921+P10921*R10921)*U10921*Y10921,0)</f>
        <v>0</v>
      </c>
    </row>
    <row r="10922">
      <c r="A10922" t="str">
        <f>A10914</f>
        <v>Lantai Atap</v>
      </c>
      <c r="B10922">
        <f>B10914</f>
        <v>23</v>
      </c>
      <c r="C10922" t="str">
        <v>Tul Atas Lapangan</v>
      </c>
      <c r="D10922">
        <f>VLOOKUP(D10914,'Detail Balok'!$C$10:$AU$110,7,FALSE)</f>
        <v>3</v>
      </c>
      <c r="E10922" t="str">
        <v>D</v>
      </c>
      <c r="F10922">
        <f>VLOOKUP(D10914,'Detail Balok'!$C$10:$AU$110,9,FALSE)</f>
        <v>13</v>
      </c>
      <c r="I10922" t="str">
        <v>(</v>
      </c>
      <c r="J10922">
        <f>+D10916/2/1000</f>
        <v>0.45</v>
      </c>
      <c r="K10922" t="str">
        <v>+</v>
      </c>
      <c r="M10922" t="str">
        <v>=</v>
      </c>
      <c r="N10922">
        <f>J10922+L10922</f>
        <v>0.45</v>
      </c>
      <c r="O10922" t="str">
        <v>+</v>
      </c>
      <c r="P10922">
        <f>MAX(D10922-D10921,D10922-D10923)</f>
        <v>0</v>
      </c>
      <c r="Q10922" t="str">
        <v>x</v>
      </c>
      <c r="R10922">
        <f>IF(P10922&gt;0,2*(1-2*$F$19-1/2)*D10917/1000,0)</f>
        <v>0</v>
      </c>
      <c r="S10922" t="str">
        <v>)</v>
      </c>
      <c r="T10922" t="str">
        <v>x</v>
      </c>
      <c r="U10922">
        <f>0.006165*F10922^2</f>
        <v>1.041885</v>
      </c>
      <c r="X10922" t="str">
        <v>x</v>
      </c>
      <c r="Y10922">
        <f>D10920</f>
        <v>1</v>
      </c>
      <c r="Z10922" t="str">
        <v>=</v>
      </c>
      <c r="AA10922">
        <f>IF(AA10924=0,(D10922*N10922+P10922*R10922)*U10922*Y10922,0)</f>
        <v>0</v>
      </c>
    </row>
    <row r="10923">
      <c r="A10923" t="str">
        <f>A10914</f>
        <v>Lantai Atap</v>
      </c>
      <c r="B10923">
        <f>B10914</f>
        <v>23</v>
      </c>
      <c r="C10923" t="str">
        <v>Tul Atas Tumpuan</v>
      </c>
      <c r="D10923">
        <f>VLOOKUP(D10914,'Detail Balok'!$C$10:$AU$110,10,FALSE)</f>
        <v>3</v>
      </c>
      <c r="E10923" t="str">
        <v>D</v>
      </c>
      <c r="F10923">
        <f>VLOOKUP(D10914,'Detail Balok'!$C$10:$AU$110,12,FALSE)</f>
        <v>13</v>
      </c>
      <c r="I10923" t="str">
        <v>(</v>
      </c>
      <c r="J10923">
        <f>+D10916/4/1000</f>
        <v>0.225</v>
      </c>
      <c r="K10923" t="str">
        <v>+</v>
      </c>
      <c r="L10923">
        <f>MAX(VLOOKUP(F10923,N$6:P$15,3,FALSE)/1000,2/3*D10918/1000)+F$16*F10923/1000</f>
        <v>0.156</v>
      </c>
      <c r="M10923" t="str">
        <v>=</v>
      </c>
      <c r="N10923">
        <f>J10923+L10923</f>
        <v>0.381</v>
      </c>
      <c r="O10923" t="str">
        <v>+</v>
      </c>
      <c r="P10923">
        <f>D10923-D10922</f>
        <v>0</v>
      </c>
      <c r="Q10923" t="str">
        <v>x</v>
      </c>
      <c r="R10923">
        <f>IF(P10923&gt;0,$F$18*F10923/1000,0)</f>
        <v>0</v>
      </c>
      <c r="S10923" t="str">
        <v>)</v>
      </c>
      <c r="T10923" t="str">
        <v>x</v>
      </c>
      <c r="U10923">
        <f>0.006165*F10923^2</f>
        <v>1.041885</v>
      </c>
      <c r="X10923" t="str">
        <v>x</v>
      </c>
      <c r="Y10923">
        <f>D10920</f>
        <v>1</v>
      </c>
      <c r="Z10923" t="str">
        <v>=</v>
      </c>
      <c r="AA10923">
        <f>IF(AA10924=0,(D10923*N10923+P10923*R10923)*U10923*Y10923,0)</f>
        <v>0</v>
      </c>
    </row>
    <row r="10924">
      <c r="A10924" t="str">
        <f>A10914</f>
        <v>Lantai Atap</v>
      </c>
      <c r="B10924">
        <f>B10914</f>
        <v>23</v>
      </c>
      <c r="D10924">
        <f>IF(AND(D10921=D10922,D10922=D10923,D10921=D10923),D10921,0)</f>
        <v>3</v>
      </c>
      <c r="E10924" t="str">
        <v>D</v>
      </c>
      <c r="F10924">
        <f>IF(AND(F10921=F10922,F10921=F10923,F10922=F10923),F10921,0)</f>
        <v>13</v>
      </c>
      <c r="L10924" t="str">
        <v>Total panjang per balok</v>
      </c>
      <c r="M10924" t="str">
        <v>=</v>
      </c>
      <c r="N10924">
        <f>IF(AND(D10921=D10922,D10921=D10923,D10922=D10923,F10921=F10922,F10921=F10923,F10922=F10923),SUM(N10921:N10923),0)</f>
        <v>1.212</v>
      </c>
      <c r="O10924" t="str">
        <v>+</v>
      </c>
      <c r="P10924">
        <f>IF(N10924&gt;12,ROUNDDOWN(N10924/12,0),0)</f>
        <v>0</v>
      </c>
      <c r="Q10924" t="str">
        <v>x</v>
      </c>
      <c r="R10924">
        <f>IF(P10924&gt;0,MAX(VLOOKUP(F10924,$D$6:$G$15,3,FALSE),600),0)/1000</f>
        <v>0</v>
      </c>
      <c r="T10924" t="str">
        <v>x</v>
      </c>
      <c r="U10924">
        <f>U10923</f>
        <v>1.041885</v>
      </c>
      <c r="V10924" t="str">
        <v>x</v>
      </c>
      <c r="W10924">
        <f>D10924</f>
        <v>3</v>
      </c>
      <c r="X10924" t="str">
        <v>x</v>
      </c>
      <c r="Y10924">
        <f>Y10923</f>
        <v>1</v>
      </c>
      <c r="Z10924" t="str">
        <v>=</v>
      </c>
      <c r="AA10924">
        <f>(N10924+P10924*R10924/1000)*U10924*W10924*Y10924</f>
        <v>3.78829386</v>
      </c>
    </row>
    <row r="10926">
      <c r="A10926" t="str">
        <f>A10914</f>
        <v>Lantai Atap</v>
      </c>
      <c r="B10926">
        <f>B10914</f>
        <v>23</v>
      </c>
      <c r="C10926" t="str">
        <v>Tul Peminggang</v>
      </c>
      <c r="D10926">
        <f>VLOOKUP(D10914,'Detail Balok'!$C$10:$AU$110,13,FALSE)</f>
        <v>2</v>
      </c>
      <c r="E10926" t="str">
        <v>D</v>
      </c>
      <c r="F10926">
        <f>VLOOKUP(D10914,'Detail Balok'!$C$10:$AU$110,15,FALSE)</f>
        <v>8</v>
      </c>
      <c r="J10926">
        <f>+D10916/1000</f>
        <v>0.9</v>
      </c>
      <c r="K10926" t="str">
        <v>+</v>
      </c>
      <c r="L10926">
        <f>2*$F$16*F10926/1000</f>
        <v>0.192</v>
      </c>
      <c r="M10926" t="str">
        <v>=</v>
      </c>
      <c r="N10926">
        <f>J10926+L10926</f>
        <v>1.092</v>
      </c>
      <c r="O10926" t="str">
        <v>+</v>
      </c>
      <c r="P10926">
        <f>IF(N10926&gt;12,ROUNDDOWN(N10926/12,0),0)</f>
        <v>0</v>
      </c>
      <c r="Q10926" t="str">
        <v>x</v>
      </c>
      <c r="R10926">
        <f>IF(P10926&gt;0,MAX(VLOOKUP(F10926,$D$6:$G$15,3,FALSE),600),0)/1000</f>
        <v>0</v>
      </c>
      <c r="T10926" t="str">
        <v>x</v>
      </c>
      <c r="U10926">
        <f>0.006165*F10926^2</f>
        <v>0.39456</v>
      </c>
      <c r="V10926" t="str">
        <v>x</v>
      </c>
      <c r="W10926">
        <f>+D10926</f>
        <v>2</v>
      </c>
      <c r="X10926" t="str">
        <v>x</v>
      </c>
      <c r="Y10926">
        <f>D10920</f>
        <v>1</v>
      </c>
      <c r="Z10926" t="str">
        <v>=</v>
      </c>
      <c r="AA10926">
        <f>(N10926+P10926*R10926/1000)*U10926*W10926*Y10926</f>
        <v>0.8617190400000001</v>
      </c>
    </row>
    <row r="10929">
      <c r="A10929" t="str">
        <f>A10914</f>
        <v>Lantai Atap</v>
      </c>
      <c r="B10929">
        <f>B10914</f>
        <v>23</v>
      </c>
      <c r="C10929" t="str">
        <v>Tul Bawah Tumpuan</v>
      </c>
      <c r="D10929">
        <f>VLOOKUP(D10914,'Detail Balok'!$C$10:$AU$110,22,FALSE)</f>
        <v>3</v>
      </c>
      <c r="E10929" t="str">
        <v>D</v>
      </c>
      <c r="F10929">
        <f>VLOOKUP(D10914,'Detail Balok'!$C$10:$AU$110,24,FALSE)</f>
        <v>13</v>
      </c>
      <c r="I10929" t="str">
        <v>(</v>
      </c>
      <c r="J10929">
        <f>+J10921</f>
        <v>0.225</v>
      </c>
      <c r="K10929" t="str">
        <v>+</v>
      </c>
      <c r="L10929">
        <f>MAX(VLOOKUP(F10929,N$6:P$15,3,FALSE)/1000,2/3*D10919/1000)+F$16*F10929/1000</f>
        <v>0.156</v>
      </c>
      <c r="M10929" t="str">
        <v>=</v>
      </c>
      <c r="N10929">
        <f>J10929+L10929</f>
        <v>0.381</v>
      </c>
      <c r="O10929" t="str">
        <v>+</v>
      </c>
      <c r="P10929">
        <f>D10929-D10930</f>
        <v>0</v>
      </c>
      <c r="Q10929" t="str">
        <v>x</v>
      </c>
      <c r="R10929">
        <f>IF(P10929&gt;0,$F$18*F10929/1000,0)</f>
        <v>0</v>
      </c>
      <c r="S10929" t="str">
        <v>)</v>
      </c>
      <c r="T10929" t="str">
        <v>x</v>
      </c>
      <c r="U10929">
        <f>0.006165*F10929^2</f>
        <v>1.041885</v>
      </c>
      <c r="X10929" t="str">
        <v>x</v>
      </c>
      <c r="Y10929">
        <f>D10920</f>
        <v>1</v>
      </c>
      <c r="Z10929" t="str">
        <v>=</v>
      </c>
      <c r="AA10929">
        <f>IF(AA10932=0,(D10929*N10929+P10929*R10929)*U10929*Y10929,0)</f>
        <v>0</v>
      </c>
    </row>
    <row r="10930">
      <c r="A10930" t="str">
        <f>A10914</f>
        <v>Lantai Atap</v>
      </c>
      <c r="B10930">
        <f>B10914</f>
        <v>23</v>
      </c>
      <c r="C10930" t="str">
        <v>Tul Bawah Lapangan</v>
      </c>
      <c r="D10930">
        <f>VLOOKUP(D10914,'Detail Balok'!$C$10:$AU$110,25,FALSE)</f>
        <v>3</v>
      </c>
      <c r="E10930" t="str">
        <v>D</v>
      </c>
      <c r="F10930">
        <f>VLOOKUP(D10914,'Detail Balok'!$C$10:$AU$110,27,FALSE)</f>
        <v>13</v>
      </c>
      <c r="I10930" t="str">
        <v>(</v>
      </c>
      <c r="J10930">
        <f>+J10922</f>
        <v>0.45</v>
      </c>
      <c r="K10930" t="str">
        <v>+</v>
      </c>
      <c r="M10930" t="str">
        <v>=</v>
      </c>
      <c r="N10930">
        <f>J10930+L10930</f>
        <v>0.45</v>
      </c>
      <c r="O10930" t="str">
        <v>+</v>
      </c>
      <c r="P10930">
        <f>MAX(D10930-D10929,D10930-D10931)</f>
        <v>0</v>
      </c>
      <c r="Q10930" t="str">
        <v>x</v>
      </c>
      <c r="R10930">
        <f>IF(P10930&gt;0,2*(1-2*$F$19-1/2)*D10917/1000,0)</f>
        <v>0</v>
      </c>
      <c r="S10930" t="str">
        <v>)</v>
      </c>
      <c r="T10930" t="str">
        <v>x</v>
      </c>
      <c r="U10930">
        <f>0.006165*F10930^2</f>
        <v>1.041885</v>
      </c>
      <c r="X10930" t="str">
        <v>x</v>
      </c>
      <c r="Y10930">
        <f>D10920</f>
        <v>1</v>
      </c>
      <c r="Z10930" t="str">
        <v>=</v>
      </c>
      <c r="AA10930">
        <f>IF(AA10932=0,(D10930*N10930+P10930*R10930)*U10930*Y10930,0)</f>
        <v>0</v>
      </c>
    </row>
    <row r="10931">
      <c r="A10931" t="str">
        <f>A10914</f>
        <v>Lantai Atap</v>
      </c>
      <c r="B10931">
        <f>B10914</f>
        <v>23</v>
      </c>
      <c r="C10931" t="str">
        <v>Tul Bawah Tumpuan</v>
      </c>
      <c r="D10931">
        <f>VLOOKUP(D10914,'Detail Balok'!$C$10:$AU$110,28,FALSE)</f>
        <v>3</v>
      </c>
      <c r="E10931" t="str">
        <v>D</v>
      </c>
      <c r="F10931">
        <f>VLOOKUP(D10914,'Detail Balok'!$C$10:$AU$110,30,FALSE)</f>
        <v>13</v>
      </c>
      <c r="I10931" t="str">
        <v>(</v>
      </c>
      <c r="J10931">
        <f>+J10923</f>
        <v>0.225</v>
      </c>
      <c r="K10931" t="str">
        <v>+</v>
      </c>
      <c r="L10931">
        <f>MAX(VLOOKUP(F10931,N$6:P$15,3,FALSE)/1000,2/3*D10919/1000)+F$16*F10931/1000</f>
        <v>0.156</v>
      </c>
      <c r="M10931" t="str">
        <v>=</v>
      </c>
      <c r="N10931">
        <f>J10931+L10931</f>
        <v>0.381</v>
      </c>
      <c r="O10931" t="str">
        <v>+</v>
      </c>
      <c r="P10931">
        <f>D10931-D10930</f>
        <v>0</v>
      </c>
      <c r="Q10931" t="str">
        <v>x</v>
      </c>
      <c r="R10931">
        <f>IF(P10931&gt;0,$F$18*F10931/1000,0)</f>
        <v>0</v>
      </c>
      <c r="S10931" t="str">
        <v>)</v>
      </c>
      <c r="T10931" t="str">
        <v>x</v>
      </c>
      <c r="U10931">
        <f>0.006165*F10931^2</f>
        <v>1.041885</v>
      </c>
      <c r="X10931" t="str">
        <v>x</v>
      </c>
      <c r="Y10931">
        <f>D10920</f>
        <v>1</v>
      </c>
      <c r="Z10931" t="str">
        <v>=</v>
      </c>
      <c r="AA10931">
        <f>IF(AA10932=0,(D10931*N10931+P10931*R10931)*U10931*Y10931,0)</f>
        <v>0</v>
      </c>
    </row>
    <row r="10932">
      <c r="A10932" t="str">
        <f>A10914</f>
        <v>Lantai Atap</v>
      </c>
      <c r="B10932">
        <f>B10914</f>
        <v>23</v>
      </c>
      <c r="D10932">
        <f>IF(AND(D10929=D10930,D10930=D10931,D10929=D10931),D10929,0)</f>
        <v>3</v>
      </c>
      <c r="E10932" t="str">
        <v>D</v>
      </c>
      <c r="F10932">
        <f>IF(AND(F10929=F10930,F10929=F10931,F10930=F10931),F10929,0)</f>
        <v>13</v>
      </c>
      <c r="L10932" t="str">
        <v>Total panjang per balok</v>
      </c>
      <c r="M10932" t="str">
        <v>=</v>
      </c>
      <c r="N10932">
        <f>IF(AND(D10929=D10930,D10929=D10931,D10930=D10931,F10929=F10930,F10929=F10931,F10930=F10931),SUM(N10929:N10931),0)</f>
        <v>1.212</v>
      </c>
      <c r="O10932" t="str">
        <v>+</v>
      </c>
      <c r="P10932">
        <f>IF(N10932&gt;12,ROUNDDOWN(N10932/12,0),0)</f>
        <v>0</v>
      </c>
      <c r="Q10932" t="str">
        <v>x</v>
      </c>
      <c r="R10932">
        <f>IF(P10932&gt;0,MAX(VLOOKUP(F10932,$D$6:$G$15,3,FALSE),600),0)/1000</f>
        <v>0</v>
      </c>
      <c r="T10932" t="str">
        <v>x</v>
      </c>
      <c r="U10932">
        <f>U10931</f>
        <v>1.041885</v>
      </c>
      <c r="V10932" t="str">
        <v>x</v>
      </c>
      <c r="W10932">
        <f>D10932</f>
        <v>3</v>
      </c>
      <c r="X10932" t="str">
        <v>x</v>
      </c>
      <c r="Y10932">
        <f>Y10931</f>
        <v>1</v>
      </c>
      <c r="Z10932" t="str">
        <v>=</v>
      </c>
      <c r="AA10932">
        <f>(N10932+P10932*R10932/1000)*U10932*W10932*Y10932</f>
        <v>3.78829386</v>
      </c>
    </row>
    <row r="10934">
      <c r="A10934" t="str">
        <f>A10914</f>
        <v>Lantai Atap</v>
      </c>
      <c r="B10934">
        <f>B10914</f>
        <v>23</v>
      </c>
      <c r="C10934" t="str">
        <v>Sengkang Tumpuan</v>
      </c>
      <c r="D10934">
        <f>VLOOKUP(D10914,'Detail Balok'!$C$10:$AU$110,31,FALSE)</f>
        <v>0</v>
      </c>
      <c r="E10934" t="str">
        <v>D</v>
      </c>
      <c r="F10934">
        <f>VLOOKUP(D10914,'Detail Balok'!$C$10:$AU$110,33,FALSE)</f>
        <v>8</v>
      </c>
      <c r="G10934" t="str">
        <v>-</v>
      </c>
      <c r="H10934">
        <f>VLOOKUP(D10914,'Detail Balok'!$C$10:$AU$110,35,FALSE)</f>
        <v>100</v>
      </c>
      <c r="J10934">
        <f>(IF(D10934=0,(2*(D10915+G10915))-(F$5*8),IF(D10934=3,(2*(D10915+G10915))-(F$5*8)+(G10915-2*F$5),IF(D10934=4,(2*(D10915+G10915))-(F$5*8)+2*(G10915-2*F$5)))))/1000</f>
        <v>0.98</v>
      </c>
      <c r="K10934" t="str">
        <v>+</v>
      </c>
      <c r="L10934">
        <f>IF(D10934=0,2*MAX(6*F10934,75),(D10934-1)*2*MAX(6*F10934,75))/1000</f>
        <v>0.15</v>
      </c>
      <c r="M10934" t="str">
        <v>=</v>
      </c>
      <c r="N10934">
        <f>J10934+L10934</f>
        <v>1.13</v>
      </c>
      <c r="T10934" t="str">
        <v>x</v>
      </c>
      <c r="U10934">
        <f>0.006165*F10934^2</f>
        <v>0.39456</v>
      </c>
      <c r="V10934" t="str">
        <v>x</v>
      </c>
      <c r="W10934">
        <f>IF(D10917&gt;4*G10915,ROUND(MAX(D10917/4,2*G10915)/H10934,0)+1,ROUND(D10917/H10934,0)+1)</f>
        <v>10</v>
      </c>
      <c r="X10934" t="str">
        <v>x</v>
      </c>
      <c r="Y10934">
        <f>D10920</f>
        <v>1</v>
      </c>
      <c r="Z10934" t="str">
        <v>=</v>
      </c>
      <c r="AA10934">
        <f>N10934*U10934*W10934*Y10934</f>
        <v>4.458528</v>
      </c>
    </row>
    <row r="10935">
      <c r="A10935" t="str">
        <f>A10914</f>
        <v>Lantai Atap</v>
      </c>
      <c r="B10935">
        <f>B10914</f>
        <v>23</v>
      </c>
      <c r="C10935" t="str">
        <v>Sengkang Lapangan</v>
      </c>
      <c r="D10935">
        <f>VLOOKUP(D10914,'Detail Balok'!$C$10:$AU$110,36,FALSE)</f>
        <v>0</v>
      </c>
      <c r="E10935" t="str">
        <v>D</v>
      </c>
      <c r="F10935">
        <f>VLOOKUP(D10914,'Detail Balok'!$C$10:$AU$110,38,FALSE)</f>
        <v>8</v>
      </c>
      <c r="G10935" t="str">
        <v>-</v>
      </c>
      <c r="H10935">
        <f>VLOOKUP(D10914,'Detail Balok'!$C$10:$AU$110,40,FALSE)</f>
        <v>200</v>
      </c>
      <c r="J10935">
        <f>(IF(D10935=0,(2*(D10915+G10915))-(F$5*8),IF(D10935=3,(2*(D10915+G10915))-(F$5*8)+(G10915-2*F$5),IF(D10935=4,(2*(D10915+G10915))-(F$5*8)+2*(G10915-2*F$5)))))/1000</f>
        <v>0.98</v>
      </c>
      <c r="K10935" t="str">
        <v>+</v>
      </c>
      <c r="L10935">
        <f>IF(D10935=0,2*MAX(6*F10935,75),(D10935-1)*2*MAX(6*F10935,75))/1000</f>
        <v>0.15</v>
      </c>
      <c r="M10935" t="str">
        <v>=</v>
      </c>
      <c r="N10935">
        <f>J10935+L10935</f>
        <v>1.13</v>
      </c>
      <c r="T10935" t="str">
        <v>x</v>
      </c>
      <c r="U10935">
        <f>0.006165*F10935^2</f>
        <v>0.39456</v>
      </c>
      <c r="V10935" t="str">
        <v>x</v>
      </c>
      <c r="W10935">
        <f>IF(D10917-MAX(D10917/4,2*G10915)*2&gt;0,ROUND((D10917-MAX(D10917/4,2*G10915)*2)/H10935,0),0)</f>
        <v>0</v>
      </c>
      <c r="X10935" t="str">
        <v>x</v>
      </c>
      <c r="Y10935">
        <f>D10920</f>
        <v>1</v>
      </c>
      <c r="Z10935" t="str">
        <v>=</v>
      </c>
      <c r="AA10935">
        <f>N10935*U10935*W10935*Y10935</f>
        <v>0</v>
      </c>
    </row>
    <row r="10936">
      <c r="A10936" t="str">
        <f>A10914</f>
        <v>Lantai Atap</v>
      </c>
      <c r="B10936">
        <f>B10914</f>
        <v>23</v>
      </c>
      <c r="C10936" t="str">
        <v>Sengkang Tumpuan</v>
      </c>
      <c r="D10936">
        <f>VLOOKUP(D10914,'Detail Balok'!$C$10:$AU$110,41,FALSE)</f>
        <v>0</v>
      </c>
      <c r="E10936" t="str">
        <v>D</v>
      </c>
      <c r="F10936">
        <f>VLOOKUP(D10914,'Detail Balok'!$C$10:$AU$110,43,FALSE)</f>
        <v>8</v>
      </c>
      <c r="G10936" t="str">
        <v>-</v>
      </c>
      <c r="H10936">
        <f>VLOOKUP(D10914,'Detail Balok'!$C$10:$AU$110,45,FALSE)</f>
        <v>100</v>
      </c>
      <c r="J10936">
        <f>(IF(D10936=0,(2*(D10915+G10915))-(F$5*8),IF(D10936=3,(2*(D10915+G10915))-(F$5*8)+(G10915-2*F$5),IF(D10936=4,(2*(D10915+G10915))-(F$5*8)+2*(G10915-2*F$5)))))/1000</f>
        <v>0.98</v>
      </c>
      <c r="K10936" t="str">
        <v>+</v>
      </c>
      <c r="L10936">
        <f>IF(D10936=0,2*MAX(6*F10936,75),(D10936-1)*2*MAX(6*F10936,75))/1000</f>
        <v>0.15</v>
      </c>
      <c r="M10936" t="str">
        <v>=</v>
      </c>
      <c r="N10936">
        <f>J10936+L10936</f>
        <v>1.13</v>
      </c>
      <c r="T10936" t="str">
        <v>x</v>
      </c>
      <c r="U10936">
        <f>0.006165*F10936^2</f>
        <v>0.39456</v>
      </c>
      <c r="V10936" t="str">
        <v>x</v>
      </c>
      <c r="W10936">
        <f>IF(D10917&gt;4*G10915,ROUND(MAX(D10917/4,2*G10915)/H10936,0)+1,0)</f>
        <v>0</v>
      </c>
      <c r="X10936" t="str">
        <v>x</v>
      </c>
      <c r="Y10936">
        <f>D10920</f>
        <v>1</v>
      </c>
      <c r="Z10936" t="str">
        <v>=</v>
      </c>
      <c r="AA10936">
        <f>N10936*U10936*W10936*Y10936</f>
        <v>0</v>
      </c>
    </row>
    <row r="10938">
      <c r="A10938" t="str">
        <f>A10914</f>
        <v>Lantai Atap</v>
      </c>
      <c r="B10938">
        <f>B10914</f>
        <v>23</v>
      </c>
      <c r="C10938" t="str">
        <v>Kait Horizontal Tump.</v>
      </c>
      <c r="D10938">
        <f>VLOOKUP(D10914,'Detail Balok'!$C$10:$BJ$110,46,FALSE)</f>
        <v>0</v>
      </c>
      <c r="E10938" t="str">
        <v>D</v>
      </c>
      <c r="F10938">
        <f>VLOOKUP(D10914,'Detail Balok'!$C$10:$BJ$110,48,FALSE)</f>
        <v>0</v>
      </c>
      <c r="G10938" t="str">
        <v>-</v>
      </c>
      <c r="H10938">
        <f>VLOOKUP(D10914,'Detail Balok'!$C$10:$BJ$110,50,FALSE)</f>
        <v>100</v>
      </c>
      <c r="J10938">
        <f>(D10915-2*F$5)/1000</f>
        <v>0.12</v>
      </c>
      <c r="K10938" t="str">
        <v>+</v>
      </c>
      <c r="L10938">
        <f>IF(D10938=0,2*MAX(6*F10938,75),(D10938-1)*2*MAX(6*F10938,75))/1000</f>
        <v>0.15</v>
      </c>
      <c r="M10938" t="str">
        <v>=</v>
      </c>
      <c r="N10938">
        <f>J10938+L10938</f>
        <v>0.27</v>
      </c>
      <c r="T10938" t="str">
        <v>x</v>
      </c>
      <c r="U10938">
        <f>0.006165*F10938^2</f>
        <v>0</v>
      </c>
      <c r="V10938" t="str">
        <v>x</v>
      </c>
      <c r="W10938">
        <f>W10934</f>
        <v>10</v>
      </c>
      <c r="X10938" t="str">
        <v>x</v>
      </c>
      <c r="Y10938">
        <f>D10924</f>
        <v>3</v>
      </c>
      <c r="Z10938" t="str">
        <v>=</v>
      </c>
      <c r="AA10938">
        <f>N10938*U10938*W10938*Y10938</f>
        <v>0</v>
      </c>
    </row>
    <row r="10939">
      <c r="A10939" t="str">
        <f>A10914</f>
        <v>Lantai Atap</v>
      </c>
      <c r="B10939">
        <f>B10914</f>
        <v>23</v>
      </c>
      <c r="C10939" t="str">
        <v>Kait Horizontal Lap.</v>
      </c>
      <c r="D10939">
        <f>VLOOKUP(D10914,'Detail Balok'!$C$10:$BJ$110,51,FALSE)</f>
        <v>0</v>
      </c>
      <c r="E10939" t="str">
        <v>D</v>
      </c>
      <c r="F10939">
        <f>VLOOKUP(D10914,'Detail Balok'!$C$10:$BJ$110,53,FALSE)</f>
        <v>0</v>
      </c>
      <c r="G10939" t="str">
        <v>-</v>
      </c>
      <c r="H10939">
        <f>VLOOKUP(D10914,'Detail Balok'!$C$10:$BJ$110,55,FALSE)</f>
        <v>100</v>
      </c>
      <c r="J10939">
        <f>(D10915-2*F$5)/1000</f>
        <v>0.12</v>
      </c>
      <c r="K10939" t="str">
        <v>+</v>
      </c>
      <c r="L10939">
        <f>IF(D10939=0,2*MAX(6*F10939,75),(D10939-1)*2*MAX(6*F10939,75))/1000</f>
        <v>0.15</v>
      </c>
      <c r="M10939" t="str">
        <v>=</v>
      </c>
      <c r="N10939">
        <f>J10939+L10939</f>
        <v>0.27</v>
      </c>
      <c r="T10939" t="str">
        <v>x</v>
      </c>
      <c r="U10939">
        <f>0.006165*F10939^2</f>
        <v>0</v>
      </c>
      <c r="V10939" t="str">
        <v>x</v>
      </c>
      <c r="W10939">
        <f>W10935</f>
        <v>0</v>
      </c>
      <c r="X10939" t="str">
        <v>x</v>
      </c>
      <c r="Y10939">
        <f>D10924</f>
        <v>3</v>
      </c>
      <c r="Z10939" t="str">
        <v>=</v>
      </c>
      <c r="AA10939">
        <f>N10939*U10939*W10939*Y10939</f>
        <v>0</v>
      </c>
    </row>
    <row r="10940">
      <c r="A10940" t="str">
        <f>A10914</f>
        <v>Lantai Atap</v>
      </c>
      <c r="B10940">
        <f>B10914</f>
        <v>23</v>
      </c>
      <c r="C10940" t="str">
        <v>Kait Horizontal Tump.</v>
      </c>
      <c r="D10940">
        <f>VLOOKUP(D10914,'Detail Balok'!$C$10:$BJ$110,56,FALSE)</f>
        <v>0</v>
      </c>
      <c r="E10940" t="str">
        <v>D</v>
      </c>
      <c r="F10940">
        <f>VLOOKUP(D10914,'Detail Balok'!$C$10:$BJ$110,58,FALSE)</f>
        <v>0</v>
      </c>
      <c r="G10940" t="str">
        <v>-</v>
      </c>
      <c r="H10940">
        <f>VLOOKUP(D10914,'Detail Balok'!$C$10:$BJ$110,60,FALSE)</f>
        <v>100</v>
      </c>
      <c r="J10940">
        <f>(D10915-2*F$5)/1000</f>
        <v>0.12</v>
      </c>
      <c r="K10940" t="str">
        <v>+</v>
      </c>
      <c r="L10940">
        <f>IF(D10940=0,2*MAX(6*F10940,75),(D10940-1)*2*MAX(6*F10940,75))/1000</f>
        <v>0.15</v>
      </c>
      <c r="M10940" t="str">
        <v>=</v>
      </c>
      <c r="N10940">
        <f>J10940+L10940</f>
        <v>0.27</v>
      </c>
      <c r="T10940" t="str">
        <v>x</v>
      </c>
      <c r="U10940">
        <f>0.006165*F10940^2</f>
        <v>0</v>
      </c>
      <c r="V10940" t="str">
        <v>x</v>
      </c>
      <c r="W10940">
        <f>W10936</f>
        <v>0</v>
      </c>
      <c r="X10940" t="str">
        <v>x</v>
      </c>
      <c r="Y10940">
        <f>D10924</f>
        <v>3</v>
      </c>
      <c r="Z10940" t="str">
        <v>=</v>
      </c>
      <c r="AA10940">
        <f>N10940*U10940*W10940*Y10940</f>
        <v>0</v>
      </c>
    </row>
    <row r="10944">
      <c r="A10944" t="str">
        <f>A10914</f>
        <v>Lantai Atap</v>
      </c>
      <c r="B10944">
        <f>B10914+1</f>
        <v>24</v>
      </c>
      <c r="C10944" t="str">
        <f>CONCATENATE(A10944," no. ",B10944)</f>
        <v>Lantai Atap no. 24</v>
      </c>
      <c r="D10944" t="str">
        <f>VLOOKUP(C10944,'Data Panjang Balok'!$C$9:$N$424,2,FALSE)</f>
        <v>B24-1</v>
      </c>
    </row>
    <row r="10945">
      <c r="C10945" t="str">
        <v>Dimensi</v>
      </c>
      <c r="D10945">
        <f>VLOOKUP(D10944,'Detail Balok'!$C$10:$AU$110,2,FALSE)</f>
        <v>200</v>
      </c>
      <c r="F10945" t="str">
        <v>x</v>
      </c>
      <c r="G10945">
        <f>VLOOKUP(D10944,'Detail Balok'!$C$10:$AU$110,3,FALSE)</f>
        <v>400</v>
      </c>
    </row>
    <row r="10946">
      <c r="C10946" t="str">
        <v>Panjang as ke as</v>
      </c>
      <c r="D10946">
        <f>VLOOKUP(C10944,'Data Panjang Balok'!$C$9:$N$424,4,FALSE)</f>
        <v>1500</v>
      </c>
    </row>
    <row r="10947">
      <c r="C10947" t="str">
        <v>Panjang netto</v>
      </c>
      <c r="D10947">
        <f>VLOOKUP(C10944,'Data Panjang Balok'!$C$9:$N$424,7,FALSE)</f>
        <v>1500</v>
      </c>
    </row>
    <row r="10948">
      <c r="C10948" t="str">
        <v>Kolom / balok kiri</v>
      </c>
      <c r="D10948">
        <f>VLOOKUP(C10944,'Data Panjang Balok'!$C$9:$N$424,9,FALSE)</f>
        <v>0</v>
      </c>
    </row>
    <row r="10949">
      <c r="C10949" t="str">
        <v>Kolom / balok kanan</v>
      </c>
      <c r="D10949">
        <f>VLOOKUP(C10944,'Data Panjang Balok'!$C$9:$N$424,10,FALSE)</f>
        <v>0</v>
      </c>
    </row>
    <row r="10950">
      <c r="C10950" t="str">
        <v>Jumlah</v>
      </c>
      <c r="D10950">
        <f>VLOOKUP(C10944,'Data Panjang Balok'!$C$9:$N$424,3,FALSE)</f>
        <v>1</v>
      </c>
    </row>
    <row r="10951">
      <c r="A10951" t="str">
        <f>A10944</f>
        <v>Lantai Atap</v>
      </c>
      <c r="B10951">
        <f>B10944</f>
        <v>24</v>
      </c>
      <c r="C10951" t="str">
        <v>Tul Atas Tumpuan</v>
      </c>
      <c r="D10951">
        <f>VLOOKUP(D10944,'Detail Balok'!$C$10:$AU$110,4,FALSE)</f>
        <v>2</v>
      </c>
      <c r="E10951" t="str">
        <v>D</v>
      </c>
      <c r="F10951">
        <f>VLOOKUP(D10944,'Detail Balok'!$C$10:$AU$110,6,FALSE)</f>
        <v>13</v>
      </c>
      <c r="I10951" t="str">
        <v>(</v>
      </c>
      <c r="J10951">
        <f>+D10946/4/1000</f>
        <v>0.375</v>
      </c>
      <c r="K10951" t="str">
        <v>+</v>
      </c>
      <c r="L10951">
        <f>MAX(VLOOKUP(F10951,N$6:P$15,3,FALSE)/1000,2/3*D10948/1000)+F$16*F10951/1000</f>
        <v>0.156</v>
      </c>
      <c r="M10951" t="str">
        <v>=</v>
      </c>
      <c r="N10951">
        <f>J10951+L10951</f>
        <v>0.531</v>
      </c>
      <c r="O10951" t="str">
        <v>+</v>
      </c>
      <c r="P10951">
        <f>D10951-D10952</f>
        <v>0</v>
      </c>
      <c r="Q10951" t="str">
        <v>x</v>
      </c>
      <c r="R10951">
        <f>IF(P10951&gt;0,$F$18*F10951/1000,0)</f>
        <v>0</v>
      </c>
      <c r="S10951" t="str">
        <v>)</v>
      </c>
      <c r="T10951" t="str">
        <v>x</v>
      </c>
      <c r="U10951">
        <f>0.006165*F10951^2</f>
        <v>1.041885</v>
      </c>
      <c r="X10951" t="str">
        <v>x</v>
      </c>
      <c r="Y10951">
        <f>D10950</f>
        <v>1</v>
      </c>
      <c r="Z10951" t="str">
        <v>=</v>
      </c>
      <c r="AA10951">
        <f>IF(AA10954=0,(D10951*N10951+P10951*R10951)*U10951*Y10951,0)</f>
        <v>0</v>
      </c>
    </row>
    <row r="10952">
      <c r="A10952" t="str">
        <f>A10944</f>
        <v>Lantai Atap</v>
      </c>
      <c r="B10952">
        <f>B10944</f>
        <v>24</v>
      </c>
      <c r="C10952" t="str">
        <v>Tul Atas Lapangan</v>
      </c>
      <c r="D10952">
        <f>VLOOKUP(D10944,'Detail Balok'!$C$10:$AU$110,7,FALSE)</f>
        <v>2</v>
      </c>
      <c r="E10952" t="str">
        <v>D</v>
      </c>
      <c r="F10952">
        <f>VLOOKUP(D10944,'Detail Balok'!$C$10:$AU$110,9,FALSE)</f>
        <v>13</v>
      </c>
      <c r="I10952" t="str">
        <v>(</v>
      </c>
      <c r="J10952">
        <f>+D10946/2/1000</f>
        <v>0.75</v>
      </c>
      <c r="K10952" t="str">
        <v>+</v>
      </c>
      <c r="M10952" t="str">
        <v>=</v>
      </c>
      <c r="N10952">
        <f>J10952+L10952</f>
        <v>0.75</v>
      </c>
      <c r="O10952" t="str">
        <v>+</v>
      </c>
      <c r="P10952">
        <f>MAX(D10952-D10951,D10952-D10953)</f>
        <v>0</v>
      </c>
      <c r="Q10952" t="str">
        <v>x</v>
      </c>
      <c r="R10952">
        <f>IF(P10952&gt;0,2*(1-2*$F$19-1/2)*D10947/1000,0)</f>
        <v>0</v>
      </c>
      <c r="S10952" t="str">
        <v>)</v>
      </c>
      <c r="T10952" t="str">
        <v>x</v>
      </c>
      <c r="U10952">
        <f>0.006165*F10952^2</f>
        <v>1.041885</v>
      </c>
      <c r="X10952" t="str">
        <v>x</v>
      </c>
      <c r="Y10952">
        <f>D10950</f>
        <v>1</v>
      </c>
      <c r="Z10952" t="str">
        <v>=</v>
      </c>
      <c r="AA10952">
        <f>IF(AA10954=0,(D10952*N10952+P10952*R10952)*U10952*Y10952,0)</f>
        <v>0</v>
      </c>
    </row>
    <row r="10953">
      <c r="A10953" t="str">
        <f>A10944</f>
        <v>Lantai Atap</v>
      </c>
      <c r="B10953">
        <f>B10944</f>
        <v>24</v>
      </c>
      <c r="C10953" t="str">
        <v>Tul Atas Tumpuan</v>
      </c>
      <c r="D10953">
        <f>VLOOKUP(D10944,'Detail Balok'!$C$10:$AU$110,10,FALSE)</f>
        <v>2</v>
      </c>
      <c r="E10953" t="str">
        <v>D</v>
      </c>
      <c r="F10953">
        <f>VLOOKUP(D10944,'Detail Balok'!$C$10:$AU$110,12,FALSE)</f>
        <v>13</v>
      </c>
      <c r="I10953" t="str">
        <v>(</v>
      </c>
      <c r="J10953">
        <f>+D10946/4/1000</f>
        <v>0.375</v>
      </c>
      <c r="K10953" t="str">
        <v>+</v>
      </c>
      <c r="L10953">
        <f>MAX(VLOOKUP(F10953,N$6:P$15,3,FALSE)/1000,2/3*D10948/1000)+F$16*F10953/1000</f>
        <v>0.156</v>
      </c>
      <c r="M10953" t="str">
        <v>=</v>
      </c>
      <c r="N10953">
        <f>J10953+L10953</f>
        <v>0.531</v>
      </c>
      <c r="O10953" t="str">
        <v>+</v>
      </c>
      <c r="P10953">
        <f>D10953-D10952</f>
        <v>0</v>
      </c>
      <c r="Q10953" t="str">
        <v>x</v>
      </c>
      <c r="R10953">
        <f>IF(P10953&gt;0,$F$18*F10953/1000,0)</f>
        <v>0</v>
      </c>
      <c r="S10953" t="str">
        <v>)</v>
      </c>
      <c r="T10953" t="str">
        <v>x</v>
      </c>
      <c r="U10953">
        <f>0.006165*F10953^2</f>
        <v>1.041885</v>
      </c>
      <c r="X10953" t="str">
        <v>x</v>
      </c>
      <c r="Y10953">
        <f>D10950</f>
        <v>1</v>
      </c>
      <c r="Z10953" t="str">
        <v>=</v>
      </c>
      <c r="AA10953">
        <f>IF(AA10954=0,(D10953*N10953+P10953*R10953)*U10953*Y10953,0)</f>
        <v>0</v>
      </c>
    </row>
    <row r="10954">
      <c r="A10954" t="str">
        <f>A10944</f>
        <v>Lantai Atap</v>
      </c>
      <c r="B10954">
        <f>B10944</f>
        <v>24</v>
      </c>
      <c r="D10954">
        <f>IF(AND(D10951=D10952,D10952=D10953,D10951=D10953),D10951,0)</f>
        <v>2</v>
      </c>
      <c r="E10954" t="str">
        <v>D</v>
      </c>
      <c r="F10954">
        <f>IF(AND(F10951=F10952,F10951=F10953,F10952=F10953),F10951,0)</f>
        <v>13</v>
      </c>
      <c r="L10954" t="str">
        <v>Total panjang per balok</v>
      </c>
      <c r="M10954" t="str">
        <v>=</v>
      </c>
      <c r="N10954">
        <f>IF(AND(D10951=D10952,D10951=D10953,D10952=D10953,F10951=F10952,F10951=F10953,F10952=F10953),SUM(N10951:N10953),0)</f>
        <v>1.8120000000000003</v>
      </c>
      <c r="O10954" t="str">
        <v>+</v>
      </c>
      <c r="P10954">
        <f>IF(N10954&gt;12,ROUNDDOWN(N10954/12,0),0)</f>
        <v>0</v>
      </c>
      <c r="Q10954" t="str">
        <v>x</v>
      </c>
      <c r="R10954">
        <f>IF(P10954&gt;0,MAX(VLOOKUP(F10954,$D$6:$G$15,3,FALSE),600),0)/1000</f>
        <v>0</v>
      </c>
      <c r="T10954" t="str">
        <v>x</v>
      </c>
      <c r="U10954">
        <f>U10953</f>
        <v>1.041885</v>
      </c>
      <c r="V10954" t="str">
        <v>x</v>
      </c>
      <c r="W10954">
        <f>D10954</f>
        <v>2</v>
      </c>
      <c r="X10954" t="str">
        <v>x</v>
      </c>
      <c r="Y10954">
        <f>Y10953</f>
        <v>1</v>
      </c>
      <c r="Z10954" t="str">
        <v>=</v>
      </c>
      <c r="AA10954">
        <f>(N10954+P10954*R10954/1000)*U10954*W10954*Y10954</f>
        <v>3.77579124</v>
      </c>
    </row>
    <row r="10956">
      <c r="A10956" t="str">
        <f>A10944</f>
        <v>Lantai Atap</v>
      </c>
      <c r="B10956">
        <f>B10944</f>
        <v>24</v>
      </c>
      <c r="C10956" t="str">
        <v>Tul Peminggang</v>
      </c>
      <c r="D10956">
        <f>VLOOKUP(D10944,'Detail Balok'!$C$10:$AU$110,13,FALSE)</f>
        <v>0</v>
      </c>
      <c r="E10956" t="str">
        <v>D</v>
      </c>
      <c r="F10956">
        <f>VLOOKUP(D10944,'Detail Balok'!$C$10:$AU$110,15,FALSE)</f>
        <v>6</v>
      </c>
      <c r="J10956">
        <f>+D10946/1000</f>
        <v>1.5</v>
      </c>
      <c r="K10956" t="str">
        <v>+</v>
      </c>
      <c r="L10956">
        <f>2*$F$16*F10956/1000</f>
        <v>0.144</v>
      </c>
      <c r="M10956" t="str">
        <v>=</v>
      </c>
      <c r="N10956">
        <f>J10956+L10956</f>
        <v>1.644</v>
      </c>
      <c r="O10956" t="str">
        <v>+</v>
      </c>
      <c r="P10956">
        <f>IF(N10956&gt;12,ROUNDDOWN(N10956/12,0),0)</f>
        <v>0</v>
      </c>
      <c r="Q10956" t="str">
        <v>x</v>
      </c>
      <c r="R10956">
        <f>IF(P10956&gt;0,MAX(VLOOKUP(F10956,$D$6:$G$15,3,FALSE),600),0)/1000</f>
        <v>0</v>
      </c>
      <c r="T10956" t="str">
        <v>x</v>
      </c>
      <c r="U10956">
        <f>0.006165*F10956^2</f>
        <v>0.22194000000000003</v>
      </c>
      <c r="V10956" t="str">
        <v>x</v>
      </c>
      <c r="W10956">
        <f>+D10956</f>
        <v>0</v>
      </c>
      <c r="X10956" t="str">
        <v>x</v>
      </c>
      <c r="Y10956">
        <f>D10950</f>
        <v>1</v>
      </c>
      <c r="Z10956" t="str">
        <v>=</v>
      </c>
      <c r="AA10956">
        <f>(N10956+P10956*R10956/1000)*U10956*W10956*Y10956</f>
        <v>0</v>
      </c>
    </row>
    <row r="10959">
      <c r="A10959" t="str">
        <f>A10944</f>
        <v>Lantai Atap</v>
      </c>
      <c r="B10959">
        <f>B10944</f>
        <v>24</v>
      </c>
      <c r="C10959" t="str">
        <v>Tul Bawah Tumpuan</v>
      </c>
      <c r="D10959">
        <f>VLOOKUP(D10944,'Detail Balok'!$C$10:$AU$110,22,FALSE)</f>
        <v>2</v>
      </c>
      <c r="E10959" t="str">
        <v>D</v>
      </c>
      <c r="F10959">
        <f>VLOOKUP(D10944,'Detail Balok'!$C$10:$AU$110,24,FALSE)</f>
        <v>13</v>
      </c>
      <c r="I10959" t="str">
        <v>(</v>
      </c>
      <c r="J10959">
        <f>+J10951</f>
        <v>0.375</v>
      </c>
      <c r="K10959" t="str">
        <v>+</v>
      </c>
      <c r="L10959">
        <f>MAX(VLOOKUP(F10959,N$6:P$15,3,FALSE)/1000,2/3*D10949/1000)+F$16*F10959/1000</f>
        <v>0.156</v>
      </c>
      <c r="M10959" t="str">
        <v>=</v>
      </c>
      <c r="N10959">
        <f>J10959+L10959</f>
        <v>0.531</v>
      </c>
      <c r="O10959" t="str">
        <v>+</v>
      </c>
      <c r="P10959">
        <f>D10959-D10960</f>
        <v>0</v>
      </c>
      <c r="Q10959" t="str">
        <v>x</v>
      </c>
      <c r="R10959">
        <f>IF(P10959&gt;0,$F$18*F10959/1000,0)</f>
        <v>0</v>
      </c>
      <c r="S10959" t="str">
        <v>)</v>
      </c>
      <c r="T10959" t="str">
        <v>x</v>
      </c>
      <c r="U10959">
        <f>0.006165*F10959^2</f>
        <v>1.041885</v>
      </c>
      <c r="X10959" t="str">
        <v>x</v>
      </c>
      <c r="Y10959">
        <f>D10950</f>
        <v>1</v>
      </c>
      <c r="Z10959" t="str">
        <v>=</v>
      </c>
      <c r="AA10959">
        <f>IF(AA10962=0,(D10959*N10959+P10959*R10959)*U10959*Y10959,0)</f>
        <v>0</v>
      </c>
    </row>
    <row r="10960">
      <c r="A10960" t="str">
        <f>A10944</f>
        <v>Lantai Atap</v>
      </c>
      <c r="B10960">
        <f>B10944</f>
        <v>24</v>
      </c>
      <c r="C10960" t="str">
        <v>Tul Bawah Lapangan</v>
      </c>
      <c r="D10960">
        <f>VLOOKUP(D10944,'Detail Balok'!$C$10:$AU$110,25,FALSE)</f>
        <v>2</v>
      </c>
      <c r="E10960" t="str">
        <v>D</v>
      </c>
      <c r="F10960">
        <f>VLOOKUP(D10944,'Detail Balok'!$C$10:$AU$110,27,FALSE)</f>
        <v>13</v>
      </c>
      <c r="I10960" t="str">
        <v>(</v>
      </c>
      <c r="J10960">
        <f>+J10952</f>
        <v>0.75</v>
      </c>
      <c r="K10960" t="str">
        <v>+</v>
      </c>
      <c r="M10960" t="str">
        <v>=</v>
      </c>
      <c r="N10960">
        <f>J10960+L10960</f>
        <v>0.75</v>
      </c>
      <c r="O10960" t="str">
        <v>+</v>
      </c>
      <c r="P10960">
        <f>MAX(D10960-D10959,D10960-D10961)</f>
        <v>0</v>
      </c>
      <c r="Q10960" t="str">
        <v>x</v>
      </c>
      <c r="R10960">
        <f>IF(P10960&gt;0,2*(1-2*$F$19-1/2)*D10947/1000,0)</f>
        <v>0</v>
      </c>
      <c r="S10960" t="str">
        <v>)</v>
      </c>
      <c r="T10960" t="str">
        <v>x</v>
      </c>
      <c r="U10960">
        <f>0.006165*F10960^2</f>
        <v>1.041885</v>
      </c>
      <c r="X10960" t="str">
        <v>x</v>
      </c>
      <c r="Y10960">
        <f>D10950</f>
        <v>1</v>
      </c>
      <c r="Z10960" t="str">
        <v>=</v>
      </c>
      <c r="AA10960">
        <f>IF(AA10962=0,(D10960*N10960+P10960*R10960)*U10960*Y10960,0)</f>
        <v>0</v>
      </c>
    </row>
    <row r="10961">
      <c r="A10961" t="str">
        <f>A10944</f>
        <v>Lantai Atap</v>
      </c>
      <c r="B10961">
        <f>B10944</f>
        <v>24</v>
      </c>
      <c r="C10961" t="str">
        <v>Tul Bawah Tumpuan</v>
      </c>
      <c r="D10961">
        <f>VLOOKUP(D10944,'Detail Balok'!$C$10:$AU$110,28,FALSE)</f>
        <v>2</v>
      </c>
      <c r="E10961" t="str">
        <v>D</v>
      </c>
      <c r="F10961">
        <f>VLOOKUP(D10944,'Detail Balok'!$C$10:$AU$110,30,FALSE)</f>
        <v>13</v>
      </c>
      <c r="I10961" t="str">
        <v>(</v>
      </c>
      <c r="J10961">
        <f>+J10953</f>
        <v>0.375</v>
      </c>
      <c r="K10961" t="str">
        <v>+</v>
      </c>
      <c r="L10961">
        <f>MAX(VLOOKUP(F10961,N$6:P$15,3,FALSE)/1000,2/3*D10949/1000)+F$16*F10961/1000</f>
        <v>0.156</v>
      </c>
      <c r="M10961" t="str">
        <v>=</v>
      </c>
      <c r="N10961">
        <f>J10961+L10961</f>
        <v>0.531</v>
      </c>
      <c r="O10961" t="str">
        <v>+</v>
      </c>
      <c r="P10961">
        <f>D10961-D10960</f>
        <v>0</v>
      </c>
      <c r="Q10961" t="str">
        <v>x</v>
      </c>
      <c r="R10961">
        <f>IF(P10961&gt;0,$F$18*F10961/1000,0)</f>
        <v>0</v>
      </c>
      <c r="S10961" t="str">
        <v>)</v>
      </c>
      <c r="T10961" t="str">
        <v>x</v>
      </c>
      <c r="U10961">
        <f>0.006165*F10961^2</f>
        <v>1.041885</v>
      </c>
      <c r="X10961" t="str">
        <v>x</v>
      </c>
      <c r="Y10961">
        <f>D10950</f>
        <v>1</v>
      </c>
      <c r="Z10961" t="str">
        <v>=</v>
      </c>
      <c r="AA10961">
        <f>IF(AA10962=0,(D10961*N10961+P10961*R10961)*U10961*Y10961,0)</f>
        <v>0</v>
      </c>
    </row>
    <row r="10962">
      <c r="A10962" t="str">
        <f>A10944</f>
        <v>Lantai Atap</v>
      </c>
      <c r="B10962">
        <f>B10944</f>
        <v>24</v>
      </c>
      <c r="D10962">
        <f>IF(AND(D10959=D10960,D10960=D10961,D10959=D10961),D10959,0)</f>
        <v>2</v>
      </c>
      <c r="E10962" t="str">
        <v>D</v>
      </c>
      <c r="F10962">
        <f>IF(AND(F10959=F10960,F10959=F10961,F10960=F10961),F10959,0)</f>
        <v>13</v>
      </c>
      <c r="L10962" t="str">
        <v>Total panjang per balok</v>
      </c>
      <c r="M10962" t="str">
        <v>=</v>
      </c>
      <c r="N10962">
        <f>IF(AND(D10959=D10960,D10959=D10961,D10960=D10961,F10959=F10960,F10959=F10961,F10960=F10961),SUM(N10959:N10961),0)</f>
        <v>1.8120000000000003</v>
      </c>
      <c r="O10962" t="str">
        <v>+</v>
      </c>
      <c r="P10962">
        <f>IF(N10962&gt;12,ROUNDDOWN(N10962/12,0),0)</f>
        <v>0</v>
      </c>
      <c r="Q10962" t="str">
        <v>x</v>
      </c>
      <c r="R10962">
        <f>IF(P10962&gt;0,MAX(VLOOKUP(F10962,$D$6:$G$15,3,FALSE),600),0)/1000</f>
        <v>0</v>
      </c>
      <c r="T10962" t="str">
        <v>x</v>
      </c>
      <c r="U10962">
        <f>U10961</f>
        <v>1.041885</v>
      </c>
      <c r="V10962" t="str">
        <v>x</v>
      </c>
      <c r="W10962">
        <f>D10962</f>
        <v>2</v>
      </c>
      <c r="X10962" t="str">
        <v>x</v>
      </c>
      <c r="Y10962">
        <f>Y10961</f>
        <v>1</v>
      </c>
      <c r="Z10962" t="str">
        <v>=</v>
      </c>
      <c r="AA10962">
        <f>(N10962+P10962*R10962/1000)*U10962*W10962*Y10962</f>
        <v>3.77579124</v>
      </c>
    </row>
    <row r="10964">
      <c r="A10964" t="str">
        <f>A10944</f>
        <v>Lantai Atap</v>
      </c>
      <c r="B10964">
        <f>B10944</f>
        <v>24</v>
      </c>
      <c r="C10964" t="str">
        <v>Sengkang Tumpuan</v>
      </c>
      <c r="D10964">
        <f>VLOOKUP(D10944,'Detail Balok'!$C$10:$AU$110,31,FALSE)</f>
        <v>0</v>
      </c>
      <c r="E10964" t="str">
        <v>D</v>
      </c>
      <c r="F10964">
        <f>VLOOKUP(D10944,'Detail Balok'!$C$10:$AU$110,33,FALSE)</f>
        <v>8</v>
      </c>
      <c r="G10964" t="str">
        <v>-</v>
      </c>
      <c r="H10964">
        <f>VLOOKUP(D10944,'Detail Balok'!$C$10:$AU$110,35,FALSE)</f>
        <v>100</v>
      </c>
      <c r="J10964">
        <f>(IF(D10964=0,(2*(D10945+G10945))-(F$5*8),IF(D10964=3,(2*(D10945+G10945))-(F$5*8)+(G10945-2*F$5),IF(D10964=4,(2*(D10945+G10945))-(F$5*8)+2*(G10945-2*F$5)))))/1000</f>
        <v>0.88</v>
      </c>
      <c r="K10964" t="str">
        <v>+</v>
      </c>
      <c r="L10964">
        <f>IF(D10964=0,2*MAX(6*F10964,75),(D10964-1)*2*MAX(6*F10964,75))/1000</f>
        <v>0.15</v>
      </c>
      <c r="M10964" t="str">
        <v>=</v>
      </c>
      <c r="N10964">
        <f>J10964+L10964</f>
        <v>1.03</v>
      </c>
      <c r="T10964" t="str">
        <v>x</v>
      </c>
      <c r="U10964">
        <f>0.006165*F10964^2</f>
        <v>0.39456</v>
      </c>
      <c r="V10964" t="str">
        <v>x</v>
      </c>
      <c r="W10964">
        <f>IF(D10947&gt;4*G10945,ROUND(MAX(D10947/4,2*G10945)/H10964,0)+1,ROUND(D10947/H10964,0)+1)</f>
        <v>16</v>
      </c>
      <c r="X10964" t="str">
        <v>x</v>
      </c>
      <c r="Y10964">
        <f>D10950</f>
        <v>1</v>
      </c>
      <c r="Z10964" t="str">
        <v>=</v>
      </c>
      <c r="AA10964">
        <f>N10964*U10964*W10964*Y10964</f>
        <v>6.502348800000001</v>
      </c>
    </row>
    <row r="10965">
      <c r="A10965" t="str">
        <f>A10944</f>
        <v>Lantai Atap</v>
      </c>
      <c r="B10965">
        <f>B10944</f>
        <v>24</v>
      </c>
      <c r="C10965" t="str">
        <v>Sengkang Lapangan</v>
      </c>
      <c r="D10965">
        <f>VLOOKUP(D10944,'Detail Balok'!$C$10:$AU$110,36,FALSE)</f>
        <v>0</v>
      </c>
      <c r="E10965" t="str">
        <v>D</v>
      </c>
      <c r="F10965">
        <f>VLOOKUP(D10944,'Detail Balok'!$C$10:$AU$110,38,FALSE)</f>
        <v>8</v>
      </c>
      <c r="G10965" t="str">
        <v>-</v>
      </c>
      <c r="H10965">
        <f>VLOOKUP(D10944,'Detail Balok'!$C$10:$AU$110,40,FALSE)</f>
        <v>200</v>
      </c>
      <c r="J10965">
        <f>(IF(D10965=0,(2*(D10945+G10945))-(F$5*8),IF(D10965=3,(2*(D10945+G10945))-(F$5*8)+(G10945-2*F$5),IF(D10965=4,(2*(D10945+G10945))-(F$5*8)+2*(G10945-2*F$5)))))/1000</f>
        <v>0.88</v>
      </c>
      <c r="K10965" t="str">
        <v>+</v>
      </c>
      <c r="L10965">
        <f>IF(D10965=0,2*MAX(6*F10965,75),(D10965-1)*2*MAX(6*F10965,75))/1000</f>
        <v>0.15</v>
      </c>
      <c r="M10965" t="str">
        <v>=</v>
      </c>
      <c r="N10965">
        <f>J10965+L10965</f>
        <v>1.03</v>
      </c>
      <c r="T10965" t="str">
        <v>x</v>
      </c>
      <c r="U10965">
        <f>0.006165*F10965^2</f>
        <v>0.39456</v>
      </c>
      <c r="V10965" t="str">
        <v>x</v>
      </c>
      <c r="W10965">
        <f>IF(D10947-MAX(D10947/4,2*G10945)*2&gt;0,ROUND((D10947-MAX(D10947/4,2*G10945)*2)/H10965,0),0)</f>
        <v>0</v>
      </c>
      <c r="X10965" t="str">
        <v>x</v>
      </c>
      <c r="Y10965">
        <f>D10950</f>
        <v>1</v>
      </c>
      <c r="Z10965" t="str">
        <v>=</v>
      </c>
      <c r="AA10965">
        <f>N10965*U10965*W10965*Y10965</f>
        <v>0</v>
      </c>
    </row>
    <row r="10966">
      <c r="A10966" t="str">
        <f>A10944</f>
        <v>Lantai Atap</v>
      </c>
      <c r="B10966">
        <f>B10944</f>
        <v>24</v>
      </c>
      <c r="C10966" t="str">
        <v>Sengkang Tumpuan</v>
      </c>
      <c r="D10966">
        <f>VLOOKUP(D10944,'Detail Balok'!$C$10:$AU$110,41,FALSE)</f>
        <v>0</v>
      </c>
      <c r="E10966" t="str">
        <v>D</v>
      </c>
      <c r="F10966">
        <f>VLOOKUP(D10944,'Detail Balok'!$C$10:$AU$110,43,FALSE)</f>
        <v>8</v>
      </c>
      <c r="G10966" t="str">
        <v>-</v>
      </c>
      <c r="H10966">
        <f>VLOOKUP(D10944,'Detail Balok'!$C$10:$AU$110,45,FALSE)</f>
        <v>100</v>
      </c>
      <c r="J10966">
        <f>(IF(D10966=0,(2*(D10945+G10945))-(F$5*8),IF(D10966=3,(2*(D10945+G10945))-(F$5*8)+(G10945-2*F$5),IF(D10966=4,(2*(D10945+G10945))-(F$5*8)+2*(G10945-2*F$5)))))/1000</f>
        <v>0.88</v>
      </c>
      <c r="K10966" t="str">
        <v>+</v>
      </c>
      <c r="L10966">
        <f>IF(D10966=0,2*MAX(6*F10966,75),(D10966-1)*2*MAX(6*F10966,75))/1000</f>
        <v>0.15</v>
      </c>
      <c r="M10966" t="str">
        <v>=</v>
      </c>
      <c r="N10966">
        <f>J10966+L10966</f>
        <v>1.03</v>
      </c>
      <c r="T10966" t="str">
        <v>x</v>
      </c>
      <c r="U10966">
        <f>0.006165*F10966^2</f>
        <v>0.39456</v>
      </c>
      <c r="V10966" t="str">
        <v>x</v>
      </c>
      <c r="W10966">
        <f>IF(D10947&gt;4*G10945,ROUND(MAX(D10947/4,2*G10945)/H10966,0)+1,0)</f>
        <v>0</v>
      </c>
      <c r="X10966" t="str">
        <v>x</v>
      </c>
      <c r="Y10966">
        <f>D10950</f>
        <v>1</v>
      </c>
      <c r="Z10966" t="str">
        <v>=</v>
      </c>
      <c r="AA10966">
        <f>N10966*U10966*W10966*Y10966</f>
        <v>0</v>
      </c>
    </row>
    <row r="10968">
      <c r="A10968" t="str">
        <f>A10944</f>
        <v>Lantai Atap</v>
      </c>
      <c r="B10968">
        <f>B10944</f>
        <v>24</v>
      </c>
      <c r="C10968" t="str">
        <v>Kait Horizontal Tump.</v>
      </c>
      <c r="D10968">
        <f>VLOOKUP(D10944,'Detail Balok'!$C$10:$BJ$110,46,FALSE)</f>
        <v>0</v>
      </c>
      <c r="E10968" t="str">
        <v>D</v>
      </c>
      <c r="F10968">
        <f>VLOOKUP(D10944,'Detail Balok'!$C$10:$BJ$110,48,FALSE)</f>
        <v>0</v>
      </c>
      <c r="G10968" t="str">
        <v>-</v>
      </c>
      <c r="H10968">
        <f>VLOOKUP(D10944,'Detail Balok'!$C$10:$BJ$110,50,FALSE)</f>
        <v>100</v>
      </c>
      <c r="J10968">
        <f>(D10945-2*F$5)/1000</f>
        <v>0.12</v>
      </c>
      <c r="K10968" t="str">
        <v>+</v>
      </c>
      <c r="L10968">
        <f>IF(D10968=0,2*MAX(6*F10968,75),(D10968-1)*2*MAX(6*F10968,75))/1000</f>
        <v>0.15</v>
      </c>
      <c r="M10968" t="str">
        <v>=</v>
      </c>
      <c r="N10968">
        <f>J10968+L10968</f>
        <v>0.27</v>
      </c>
      <c r="T10968" t="str">
        <v>x</v>
      </c>
      <c r="U10968">
        <f>0.006165*F10968^2</f>
        <v>0</v>
      </c>
      <c r="V10968" t="str">
        <v>x</v>
      </c>
      <c r="W10968">
        <f>W10964</f>
        <v>16</v>
      </c>
      <c r="X10968" t="str">
        <v>x</v>
      </c>
      <c r="Y10968">
        <f>D10954</f>
        <v>2</v>
      </c>
      <c r="Z10968" t="str">
        <v>=</v>
      </c>
      <c r="AA10968">
        <f>N10968*U10968*W10968*Y10968</f>
        <v>0</v>
      </c>
    </row>
    <row r="10969">
      <c r="A10969" t="str">
        <f>A10944</f>
        <v>Lantai Atap</v>
      </c>
      <c r="B10969">
        <f>B10944</f>
        <v>24</v>
      </c>
      <c r="C10969" t="str">
        <v>Kait Horizontal Lap.</v>
      </c>
      <c r="D10969">
        <f>VLOOKUP(D10944,'Detail Balok'!$C$10:$BJ$110,51,FALSE)</f>
        <v>0</v>
      </c>
      <c r="E10969" t="str">
        <v>D</v>
      </c>
      <c r="F10969">
        <f>VLOOKUP(D10944,'Detail Balok'!$C$10:$BJ$110,53,FALSE)</f>
        <v>0</v>
      </c>
      <c r="G10969" t="str">
        <v>-</v>
      </c>
      <c r="H10969">
        <f>VLOOKUP(D10944,'Detail Balok'!$C$10:$BJ$110,55,FALSE)</f>
        <v>100</v>
      </c>
      <c r="J10969">
        <f>(D10945-2*F$5)/1000</f>
        <v>0.12</v>
      </c>
      <c r="K10969" t="str">
        <v>+</v>
      </c>
      <c r="L10969">
        <f>IF(D10969=0,2*MAX(6*F10969,75),(D10969-1)*2*MAX(6*F10969,75))/1000</f>
        <v>0.15</v>
      </c>
      <c r="M10969" t="str">
        <v>=</v>
      </c>
      <c r="N10969">
        <f>J10969+L10969</f>
        <v>0.27</v>
      </c>
      <c r="T10969" t="str">
        <v>x</v>
      </c>
      <c r="U10969">
        <f>0.006165*F10969^2</f>
        <v>0</v>
      </c>
      <c r="V10969" t="str">
        <v>x</v>
      </c>
      <c r="W10969">
        <f>W10965</f>
        <v>0</v>
      </c>
      <c r="X10969" t="str">
        <v>x</v>
      </c>
      <c r="Y10969">
        <f>D10954</f>
        <v>2</v>
      </c>
      <c r="Z10969" t="str">
        <v>=</v>
      </c>
      <c r="AA10969">
        <f>N10969*U10969*W10969*Y10969</f>
        <v>0</v>
      </c>
    </row>
    <row r="10970">
      <c r="A10970" t="str">
        <f>A10944</f>
        <v>Lantai Atap</v>
      </c>
      <c r="B10970">
        <f>B10944</f>
        <v>24</v>
      </c>
      <c r="C10970" t="str">
        <v>Kait Horizontal Tump.</v>
      </c>
      <c r="D10970">
        <f>VLOOKUP(D10944,'Detail Balok'!$C$10:$BJ$110,56,FALSE)</f>
        <v>0</v>
      </c>
      <c r="E10970" t="str">
        <v>D</v>
      </c>
      <c r="F10970">
        <f>VLOOKUP(D10944,'Detail Balok'!$C$10:$BJ$110,58,FALSE)</f>
        <v>0</v>
      </c>
      <c r="G10970" t="str">
        <v>-</v>
      </c>
      <c r="H10970">
        <f>VLOOKUP(D10944,'Detail Balok'!$C$10:$BJ$110,60,FALSE)</f>
        <v>100</v>
      </c>
      <c r="J10970">
        <f>(D10945-2*F$5)/1000</f>
        <v>0.12</v>
      </c>
      <c r="K10970" t="str">
        <v>+</v>
      </c>
      <c r="L10970">
        <f>IF(D10970=0,2*MAX(6*F10970,75),(D10970-1)*2*MAX(6*F10970,75))/1000</f>
        <v>0.15</v>
      </c>
      <c r="M10970" t="str">
        <v>=</v>
      </c>
      <c r="N10970">
        <f>J10970+L10970</f>
        <v>0.27</v>
      </c>
      <c r="T10970" t="str">
        <v>x</v>
      </c>
      <c r="U10970">
        <f>0.006165*F10970^2</f>
        <v>0</v>
      </c>
      <c r="V10970" t="str">
        <v>x</v>
      </c>
      <c r="W10970">
        <f>W10966</f>
        <v>0</v>
      </c>
      <c r="X10970" t="str">
        <v>x</v>
      </c>
      <c r="Y10970">
        <f>D10954</f>
        <v>2</v>
      </c>
      <c r="Z10970" t="str">
        <v>=</v>
      </c>
      <c r="AA10970">
        <f>N10970*U10970*W10970*Y10970</f>
        <v>0</v>
      </c>
    </row>
    <row r="10974">
      <c r="A10974" t="str">
        <f>A10944</f>
        <v>Lantai Atap</v>
      </c>
      <c r="B10974">
        <f>B10944+1</f>
        <v>25</v>
      </c>
      <c r="C10974" t="str">
        <f>CONCATENATE(A10974," no. ",B10974)</f>
        <v>Lantai Atap no. 25</v>
      </c>
      <c r="D10974" t="str">
        <f>VLOOKUP(C10974,'Data Panjang Balok'!$C$9:$N$424,2,FALSE)</f>
        <v>Potongan A</v>
      </c>
    </row>
    <row r="10975">
      <c r="C10975" t="str">
        <v>Dimensi</v>
      </c>
      <c r="D10975">
        <f>VLOOKUP(D10974,'Detail Balok'!$C$10:$AU$110,2,FALSE)</f>
        <v>250</v>
      </c>
      <c r="F10975" t="str">
        <v>x</v>
      </c>
      <c r="G10975">
        <f>VLOOKUP(D10974,'Detail Balok'!$C$10:$AU$110,3,FALSE)</f>
        <v>500</v>
      </c>
    </row>
    <row r="10976">
      <c r="C10976" t="str">
        <v>Panjang as ke as</v>
      </c>
      <c r="D10976">
        <f>VLOOKUP(C10974,'Data Panjang Balok'!$C$9:$N$424,4,FALSE)</f>
        <v>1335</v>
      </c>
    </row>
    <row r="10977">
      <c r="C10977" t="str">
        <v>Panjang netto</v>
      </c>
      <c r="D10977">
        <f>VLOOKUP(C10974,'Data Panjang Balok'!$C$9:$N$424,7,FALSE)</f>
        <v>1335</v>
      </c>
    </row>
    <row r="10978">
      <c r="C10978" t="str">
        <v>Kolom / balok kiri</v>
      </c>
      <c r="D10978">
        <f>VLOOKUP(C10974,'Data Panjang Balok'!$C$9:$N$424,9,FALSE)</f>
        <v>0</v>
      </c>
    </row>
    <row r="10979">
      <c r="C10979" t="str">
        <v>Kolom / balok kanan</v>
      </c>
      <c r="D10979">
        <f>VLOOKUP(C10974,'Data Panjang Balok'!$C$9:$N$424,10,FALSE)</f>
        <v>0</v>
      </c>
    </row>
    <row r="10980">
      <c r="C10980" t="str">
        <v>Jumlah</v>
      </c>
      <c r="D10980">
        <f>VLOOKUP(C10974,'Data Panjang Balok'!$C$9:$N$424,3,FALSE)</f>
        <v>1</v>
      </c>
    </row>
    <row r="10981">
      <c r="A10981" t="str">
        <f>A10974</f>
        <v>Lantai Atap</v>
      </c>
      <c r="B10981">
        <f>B10974</f>
        <v>25</v>
      </c>
      <c r="C10981" t="str">
        <v>Tul Atas Tumpuan</v>
      </c>
      <c r="D10981">
        <f>VLOOKUP(D10974,'Detail Balok'!$C$10:$AU$110,4,FALSE)</f>
        <v>6</v>
      </c>
      <c r="E10981" t="str">
        <v>D</v>
      </c>
      <c r="F10981">
        <f>VLOOKUP(D10974,'Detail Balok'!$C$10:$AU$110,6,FALSE)</f>
        <v>19</v>
      </c>
      <c r="I10981" t="str">
        <v>(</v>
      </c>
      <c r="J10981">
        <f>+D10976/4/1000</f>
        <v>0.33375</v>
      </c>
      <c r="K10981" t="str">
        <v>+</v>
      </c>
      <c r="L10981">
        <f>MAX(VLOOKUP(F10981,N$6:P$15,3,FALSE)/1000,2/3*D10978/1000)+F$16*F10981/1000</f>
        <v>0.228</v>
      </c>
      <c r="M10981" t="str">
        <v>=</v>
      </c>
      <c r="N10981">
        <f>J10981+L10981</f>
        <v>0.56175</v>
      </c>
      <c r="O10981" t="str">
        <v>+</v>
      </c>
      <c r="P10981">
        <f>D10981-D10982</f>
        <v>0</v>
      </c>
      <c r="Q10981" t="str">
        <v>x</v>
      </c>
      <c r="R10981">
        <f>IF(P10981&gt;0,$F$18*F10981/1000,0)</f>
        <v>0</v>
      </c>
      <c r="S10981" t="str">
        <v>)</v>
      </c>
      <c r="T10981" t="str">
        <v>x</v>
      </c>
      <c r="U10981">
        <f>0.006165*F10981^2</f>
        <v>2.225565</v>
      </c>
      <c r="X10981" t="str">
        <v>x</v>
      </c>
      <c r="Y10981">
        <f>D10980</f>
        <v>1</v>
      </c>
      <c r="Z10981" t="str">
        <v>=</v>
      </c>
      <c r="AA10981">
        <f>IF(AA10984=0,(D10981*N10981+P10981*R10981)*U10981*Y10981,0)</f>
        <v>0</v>
      </c>
    </row>
    <row r="10982">
      <c r="A10982" t="str">
        <f>A10974</f>
        <v>Lantai Atap</v>
      </c>
      <c r="B10982">
        <f>B10974</f>
        <v>25</v>
      </c>
      <c r="C10982" t="str">
        <v>Tul Atas Lapangan</v>
      </c>
      <c r="D10982">
        <f>VLOOKUP(D10974,'Detail Balok'!$C$10:$AU$110,7,FALSE)</f>
        <v>6</v>
      </c>
      <c r="E10982" t="str">
        <v>D</v>
      </c>
      <c r="F10982">
        <f>VLOOKUP(D10974,'Detail Balok'!$C$10:$AU$110,9,FALSE)</f>
        <v>19</v>
      </c>
      <c r="I10982" t="str">
        <v>(</v>
      </c>
      <c r="J10982">
        <f>+D10976/2/1000</f>
        <v>0.6675</v>
      </c>
      <c r="K10982" t="str">
        <v>+</v>
      </c>
      <c r="M10982" t="str">
        <v>=</v>
      </c>
      <c r="N10982">
        <f>J10982+L10982</f>
        <v>0.6675</v>
      </c>
      <c r="O10982" t="str">
        <v>+</v>
      </c>
      <c r="P10982">
        <f>MAX(D10982-D10981,D10982-D10983)</f>
        <v>0</v>
      </c>
      <c r="Q10982" t="str">
        <v>x</v>
      </c>
      <c r="R10982">
        <f>IF(P10982&gt;0,2*(1-2*$F$19-1/2)*D10977/1000,0)</f>
        <v>0</v>
      </c>
      <c r="S10982" t="str">
        <v>)</v>
      </c>
      <c r="T10982" t="str">
        <v>x</v>
      </c>
      <c r="U10982">
        <f>0.006165*F10982^2</f>
        <v>2.225565</v>
      </c>
      <c r="X10982" t="str">
        <v>x</v>
      </c>
      <c r="Y10982">
        <f>D10980</f>
        <v>1</v>
      </c>
      <c r="Z10982" t="str">
        <v>=</v>
      </c>
      <c r="AA10982">
        <f>IF(AA10984=0,(D10982*N10982+P10982*R10982)*U10982*Y10982,0)</f>
        <v>0</v>
      </c>
    </row>
    <row r="10983">
      <c r="A10983" t="str">
        <f>A10974</f>
        <v>Lantai Atap</v>
      </c>
      <c r="B10983">
        <f>B10974</f>
        <v>25</v>
      </c>
      <c r="C10983" t="str">
        <v>Tul Atas Tumpuan</v>
      </c>
      <c r="D10983">
        <f>VLOOKUP(D10974,'Detail Balok'!$C$10:$AU$110,10,FALSE)</f>
        <v>6</v>
      </c>
      <c r="E10983" t="str">
        <v>D</v>
      </c>
      <c r="F10983">
        <f>VLOOKUP(D10974,'Detail Balok'!$C$10:$AU$110,12,FALSE)</f>
        <v>19</v>
      </c>
      <c r="I10983" t="str">
        <v>(</v>
      </c>
      <c r="J10983">
        <f>+D10976/4/1000</f>
        <v>0.33375</v>
      </c>
      <c r="K10983" t="str">
        <v>+</v>
      </c>
      <c r="L10983">
        <f>MAX(VLOOKUP(F10983,N$6:P$15,3,FALSE)/1000,2/3*D10978/1000)+F$16*F10983/1000</f>
        <v>0.228</v>
      </c>
      <c r="M10983" t="str">
        <v>=</v>
      </c>
      <c r="N10983">
        <f>J10983+L10983</f>
        <v>0.56175</v>
      </c>
      <c r="O10983" t="str">
        <v>+</v>
      </c>
      <c r="P10983">
        <f>D10983-D10982</f>
        <v>0</v>
      </c>
      <c r="Q10983" t="str">
        <v>x</v>
      </c>
      <c r="R10983">
        <f>IF(P10983&gt;0,$F$18*F10983/1000,0)</f>
        <v>0</v>
      </c>
      <c r="S10983" t="str">
        <v>)</v>
      </c>
      <c r="T10983" t="str">
        <v>x</v>
      </c>
      <c r="U10983">
        <f>0.006165*F10983^2</f>
        <v>2.225565</v>
      </c>
      <c r="X10983" t="str">
        <v>x</v>
      </c>
      <c r="Y10983">
        <f>D10980</f>
        <v>1</v>
      </c>
      <c r="Z10983" t="str">
        <v>=</v>
      </c>
      <c r="AA10983">
        <f>IF(AA10984=0,(D10983*N10983+P10983*R10983)*U10983*Y10983,0)</f>
        <v>0</v>
      </c>
    </row>
    <row r="10984">
      <c r="A10984" t="str">
        <f>A10974</f>
        <v>Lantai Atap</v>
      </c>
      <c r="B10984">
        <f>B10974</f>
        <v>25</v>
      </c>
      <c r="D10984">
        <f>IF(AND(D10981=D10982,D10982=D10983,D10981=D10983),D10981,0)</f>
        <v>6</v>
      </c>
      <c r="E10984" t="str">
        <v>D</v>
      </c>
      <c r="F10984">
        <f>IF(AND(F10981=F10982,F10981=F10983,F10982=F10983),F10981,0)</f>
        <v>19</v>
      </c>
      <c r="L10984" t="str">
        <v>Total panjang per balok</v>
      </c>
      <c r="M10984" t="str">
        <v>=</v>
      </c>
      <c r="N10984">
        <f>IF(AND(D10981=D10982,D10981=D10983,D10982=D10983,F10981=F10982,F10981=F10983,F10982=F10983),SUM(N10981:N10983),0)</f>
        <v>1.791</v>
      </c>
      <c r="O10984" t="str">
        <v>+</v>
      </c>
      <c r="P10984">
        <f>IF(N10984&gt;12,ROUNDDOWN(N10984/12,0),0)</f>
        <v>0</v>
      </c>
      <c r="Q10984" t="str">
        <v>x</v>
      </c>
      <c r="R10984">
        <f>IF(P10984&gt;0,MAX(VLOOKUP(F10984,$D$6:$G$15,3,FALSE),600),0)/1000</f>
        <v>0</v>
      </c>
      <c r="T10984" t="str">
        <v>x</v>
      </c>
      <c r="U10984">
        <f>U10983</f>
        <v>2.225565</v>
      </c>
      <c r="V10984" t="str">
        <v>x</v>
      </c>
      <c r="W10984">
        <f>D10984</f>
        <v>6</v>
      </c>
      <c r="X10984" t="str">
        <v>x</v>
      </c>
      <c r="Y10984">
        <f>Y10983</f>
        <v>1</v>
      </c>
      <c r="Z10984" t="str">
        <v>=</v>
      </c>
      <c r="AA10984">
        <f>(N10984+P10984*R10984/1000)*U10984*W10984*Y10984</f>
        <v>23.91592149</v>
      </c>
    </row>
    <row r="10986">
      <c r="A10986" t="str">
        <f>A10974</f>
        <v>Lantai Atap</v>
      </c>
      <c r="B10986">
        <f>B10974</f>
        <v>25</v>
      </c>
      <c r="C10986" t="str">
        <v>Tul Peminggang</v>
      </c>
      <c r="D10986">
        <f>VLOOKUP(D10974,'Detail Balok'!$C$10:$AU$110,13,FALSE)</f>
        <v>2</v>
      </c>
      <c r="E10986" t="str">
        <v>D</v>
      </c>
      <c r="F10986">
        <f>VLOOKUP(D10974,'Detail Balok'!$C$10:$AU$110,15,FALSE)</f>
        <v>10</v>
      </c>
      <c r="J10986">
        <f>+D10976/1000</f>
        <v>1.335</v>
      </c>
      <c r="K10986" t="str">
        <v>+</v>
      </c>
      <c r="L10986">
        <f>2*$F$16*F10986/1000</f>
        <v>0.24</v>
      </c>
      <c r="M10986" t="str">
        <v>=</v>
      </c>
      <c r="N10986">
        <f>J10986+L10986</f>
        <v>1.575</v>
      </c>
      <c r="O10986" t="str">
        <v>+</v>
      </c>
      <c r="P10986">
        <f>IF(N10986&gt;12,ROUNDDOWN(N10986/12,0),0)</f>
        <v>0</v>
      </c>
      <c r="Q10986" t="str">
        <v>x</v>
      </c>
      <c r="R10986">
        <f>IF(P10986&gt;0,MAX(VLOOKUP(F10986,$D$6:$G$15,3,FALSE),600),0)/1000</f>
        <v>0</v>
      </c>
      <c r="T10986" t="str">
        <v>x</v>
      </c>
      <c r="U10986">
        <f>0.006165*F10986^2</f>
        <v>0.6165</v>
      </c>
      <c r="V10986" t="str">
        <v>x</v>
      </c>
      <c r="W10986">
        <f>+D10986</f>
        <v>2</v>
      </c>
      <c r="X10986" t="str">
        <v>x</v>
      </c>
      <c r="Y10986">
        <f>D10980</f>
        <v>1</v>
      </c>
      <c r="Z10986" t="str">
        <v>=</v>
      </c>
      <c r="AA10986">
        <f>(N10986+P10986*R10986/1000)*U10986*W10986*Y10986</f>
        <v>1.941975</v>
      </c>
    </row>
    <row r="10989">
      <c r="A10989" t="str">
        <f>A10974</f>
        <v>Lantai Atap</v>
      </c>
      <c r="B10989">
        <f>B10974</f>
        <v>25</v>
      </c>
      <c r="C10989" t="str">
        <v>Tul Bawah Tumpuan</v>
      </c>
      <c r="D10989">
        <f>VLOOKUP(D10974,'Detail Balok'!$C$10:$AU$110,22,FALSE)</f>
        <v>3</v>
      </c>
      <c r="E10989" t="str">
        <v>D</v>
      </c>
      <c r="F10989">
        <f>VLOOKUP(D10974,'Detail Balok'!$C$10:$AU$110,24,FALSE)</f>
        <v>19</v>
      </c>
      <c r="I10989" t="str">
        <v>(</v>
      </c>
      <c r="J10989">
        <f>+J10981</f>
        <v>0.33375</v>
      </c>
      <c r="K10989" t="str">
        <v>+</v>
      </c>
      <c r="L10989">
        <f>MAX(VLOOKUP(F10989,N$6:P$15,3,FALSE)/1000,2/3*D10979/1000)+F$16*F10989/1000</f>
        <v>0.228</v>
      </c>
      <c r="M10989" t="str">
        <v>=</v>
      </c>
      <c r="N10989">
        <f>J10989+L10989</f>
        <v>0.56175</v>
      </c>
      <c r="O10989" t="str">
        <v>+</v>
      </c>
      <c r="P10989">
        <f>D10989-D10990</f>
        <v>0</v>
      </c>
      <c r="Q10989" t="str">
        <v>x</v>
      </c>
      <c r="R10989">
        <f>IF(P10989&gt;0,$F$18*F10989/1000,0)</f>
        <v>0</v>
      </c>
      <c r="S10989" t="str">
        <v>)</v>
      </c>
      <c r="T10989" t="str">
        <v>x</v>
      </c>
      <c r="U10989">
        <f>0.006165*F10989^2</f>
        <v>2.225565</v>
      </c>
      <c r="X10989" t="str">
        <v>x</v>
      </c>
      <c r="Y10989">
        <f>D10980</f>
        <v>1</v>
      </c>
      <c r="Z10989" t="str">
        <v>=</v>
      </c>
      <c r="AA10989">
        <f>IF(AA10992=0,(D10989*N10989+P10989*R10989)*U10989*Y10989,0)</f>
        <v>0</v>
      </c>
    </row>
    <row r="10990">
      <c r="A10990" t="str">
        <f>A10974</f>
        <v>Lantai Atap</v>
      </c>
      <c r="B10990">
        <f>B10974</f>
        <v>25</v>
      </c>
      <c r="C10990" t="str">
        <v>Tul Bawah Lapangan</v>
      </c>
      <c r="D10990">
        <f>VLOOKUP(D10974,'Detail Balok'!$C$10:$AU$110,25,FALSE)</f>
        <v>3</v>
      </c>
      <c r="E10990" t="str">
        <v>D</v>
      </c>
      <c r="F10990">
        <f>VLOOKUP(D10974,'Detail Balok'!$C$10:$AU$110,27,FALSE)</f>
        <v>19</v>
      </c>
      <c r="I10990" t="str">
        <v>(</v>
      </c>
      <c r="J10990">
        <f>+J10982</f>
        <v>0.6675</v>
      </c>
      <c r="K10990" t="str">
        <v>+</v>
      </c>
      <c r="M10990" t="str">
        <v>=</v>
      </c>
      <c r="N10990">
        <f>J10990+L10990</f>
        <v>0.6675</v>
      </c>
      <c r="O10990" t="str">
        <v>+</v>
      </c>
      <c r="P10990">
        <f>MAX(D10990-D10989,D10990-D10991)</f>
        <v>0</v>
      </c>
      <c r="Q10990" t="str">
        <v>x</v>
      </c>
      <c r="R10990">
        <f>IF(P10990&gt;0,2*(1-2*$F$19-1/2)*D10977/1000,0)</f>
        <v>0</v>
      </c>
      <c r="S10990" t="str">
        <v>)</v>
      </c>
      <c r="T10990" t="str">
        <v>x</v>
      </c>
      <c r="U10990">
        <f>0.006165*F10990^2</f>
        <v>2.225565</v>
      </c>
      <c r="X10990" t="str">
        <v>x</v>
      </c>
      <c r="Y10990">
        <f>D10980</f>
        <v>1</v>
      </c>
      <c r="Z10990" t="str">
        <v>=</v>
      </c>
      <c r="AA10990">
        <f>IF(AA10992=0,(D10990*N10990+P10990*R10990)*U10990*Y10990,0)</f>
        <v>0</v>
      </c>
    </row>
    <row r="10991">
      <c r="A10991" t="str">
        <f>A10974</f>
        <v>Lantai Atap</v>
      </c>
      <c r="B10991">
        <f>B10974</f>
        <v>25</v>
      </c>
      <c r="C10991" t="str">
        <v>Tul Bawah Tumpuan</v>
      </c>
      <c r="D10991">
        <f>VLOOKUP(D10974,'Detail Balok'!$C$10:$AU$110,28,FALSE)</f>
        <v>3</v>
      </c>
      <c r="E10991" t="str">
        <v>D</v>
      </c>
      <c r="F10991">
        <f>VLOOKUP(D10974,'Detail Balok'!$C$10:$AU$110,30,FALSE)</f>
        <v>19</v>
      </c>
      <c r="I10991" t="str">
        <v>(</v>
      </c>
      <c r="J10991">
        <f>+J10983</f>
        <v>0.33375</v>
      </c>
      <c r="K10991" t="str">
        <v>+</v>
      </c>
      <c r="L10991">
        <f>MAX(VLOOKUP(F10991,N$6:P$15,3,FALSE)/1000,2/3*D10979/1000)+F$16*F10991/1000</f>
        <v>0.228</v>
      </c>
      <c r="M10991" t="str">
        <v>=</v>
      </c>
      <c r="N10991">
        <f>J10991+L10991</f>
        <v>0.56175</v>
      </c>
      <c r="O10991" t="str">
        <v>+</v>
      </c>
      <c r="P10991">
        <f>D10991-D10990</f>
        <v>0</v>
      </c>
      <c r="Q10991" t="str">
        <v>x</v>
      </c>
      <c r="R10991">
        <f>IF(P10991&gt;0,$F$18*F10991/1000,0)</f>
        <v>0</v>
      </c>
      <c r="S10991" t="str">
        <v>)</v>
      </c>
      <c r="T10991" t="str">
        <v>x</v>
      </c>
      <c r="U10991">
        <f>0.006165*F10991^2</f>
        <v>2.225565</v>
      </c>
      <c r="X10991" t="str">
        <v>x</v>
      </c>
      <c r="Y10991">
        <f>D10980</f>
        <v>1</v>
      </c>
      <c r="Z10991" t="str">
        <v>=</v>
      </c>
      <c r="AA10991">
        <f>IF(AA10992=0,(D10991*N10991+P10991*R10991)*U10991*Y10991,0)</f>
        <v>0</v>
      </c>
    </row>
    <row r="10992">
      <c r="A10992" t="str">
        <f>A10974</f>
        <v>Lantai Atap</v>
      </c>
      <c r="B10992">
        <f>B10974</f>
        <v>25</v>
      </c>
      <c r="D10992">
        <f>IF(AND(D10989=D10990,D10990=D10991,D10989=D10991),D10989,0)</f>
        <v>3</v>
      </c>
      <c r="E10992" t="str">
        <v>D</v>
      </c>
      <c r="F10992">
        <f>IF(AND(F10989=F10990,F10989=F10991,F10990=F10991),F10989,0)</f>
        <v>19</v>
      </c>
      <c r="L10992" t="str">
        <v>Total panjang per balok</v>
      </c>
      <c r="M10992" t="str">
        <v>=</v>
      </c>
      <c r="N10992">
        <f>IF(AND(D10989=D10990,D10989=D10991,D10990=D10991,F10989=F10990,F10989=F10991,F10990=F10991),SUM(N10989:N10991),0)</f>
        <v>1.791</v>
      </c>
      <c r="O10992" t="str">
        <v>+</v>
      </c>
      <c r="P10992">
        <f>IF(N10992&gt;12,ROUNDDOWN(N10992/12,0),0)</f>
        <v>0</v>
      </c>
      <c r="Q10992" t="str">
        <v>x</v>
      </c>
      <c r="R10992">
        <f>IF(P10992&gt;0,MAX(VLOOKUP(F10992,$D$6:$G$15,3,FALSE),600),0)/1000</f>
        <v>0</v>
      </c>
      <c r="T10992" t="str">
        <v>x</v>
      </c>
      <c r="U10992">
        <f>U10991</f>
        <v>2.225565</v>
      </c>
      <c r="V10992" t="str">
        <v>x</v>
      </c>
      <c r="W10992">
        <f>D10992</f>
        <v>3</v>
      </c>
      <c r="X10992" t="str">
        <v>x</v>
      </c>
      <c r="Y10992">
        <f>Y10991</f>
        <v>1</v>
      </c>
      <c r="Z10992" t="str">
        <v>=</v>
      </c>
      <c r="AA10992">
        <f>(N10992+P10992*R10992/1000)*U10992*W10992*Y10992</f>
        <v>11.957960745</v>
      </c>
    </row>
    <row r="10994">
      <c r="A10994" t="str">
        <f>A10974</f>
        <v>Lantai Atap</v>
      </c>
      <c r="B10994">
        <f>B10974</f>
        <v>25</v>
      </c>
      <c r="C10994" t="str">
        <v>Sengkang Tumpuan</v>
      </c>
      <c r="D10994">
        <f>VLOOKUP(D10974,'Detail Balok'!$C$10:$AU$110,31,FALSE)</f>
        <v>0</v>
      </c>
      <c r="E10994" t="str">
        <v>D</v>
      </c>
      <c r="F10994">
        <f>VLOOKUP(D10974,'Detail Balok'!$C$10:$AU$110,33,FALSE)</f>
        <v>10</v>
      </c>
      <c r="G10994" t="str">
        <v>-</v>
      </c>
      <c r="H10994">
        <f>VLOOKUP(D10974,'Detail Balok'!$C$10:$AU$110,35,FALSE)</f>
        <v>100</v>
      </c>
      <c r="J10994">
        <f>(IF(D10994=0,(2*(D10975+G10975))-(F$5*8),IF(D10994=3,(2*(D10975+G10975))-(F$5*8)+(G10975-2*F$5),IF(D10994=4,(2*(D10975+G10975))-(F$5*8)+2*(G10975-2*F$5)))))/1000</f>
        <v>1.18</v>
      </c>
      <c r="K10994" t="str">
        <v>+</v>
      </c>
      <c r="L10994">
        <f>IF(D10994=0,2*MAX(6*F10994,75),(D10994-1)*2*MAX(6*F10994,75))/1000</f>
        <v>0.15</v>
      </c>
      <c r="M10994" t="str">
        <v>=</v>
      </c>
      <c r="N10994">
        <f>J10994+L10994</f>
        <v>1.3299999999999998</v>
      </c>
      <c r="T10994" t="str">
        <v>x</v>
      </c>
      <c r="U10994">
        <f>0.006165*F10994^2</f>
        <v>0.6165</v>
      </c>
      <c r="V10994" t="str">
        <v>x</v>
      </c>
      <c r="W10994">
        <f>IF(D10977&gt;4*G10975,ROUND(MAX(D10977/4,2*G10975)/H10994,0)+1,ROUND(D10977/H10994,0)+1)</f>
        <v>14</v>
      </c>
      <c r="X10994" t="str">
        <v>x</v>
      </c>
      <c r="Y10994">
        <f>D10980</f>
        <v>1</v>
      </c>
      <c r="Z10994" t="str">
        <v>=</v>
      </c>
      <c r="AA10994">
        <f>N10994*U10994*W10994*Y10994</f>
        <v>11.47923</v>
      </c>
    </row>
    <row r="10995">
      <c r="A10995" t="str">
        <f>A10974</f>
        <v>Lantai Atap</v>
      </c>
      <c r="B10995">
        <f>B10974</f>
        <v>25</v>
      </c>
      <c r="C10995" t="str">
        <v>Sengkang Lapangan</v>
      </c>
      <c r="D10995">
        <f>VLOOKUP(D10974,'Detail Balok'!$C$10:$AU$110,36,FALSE)</f>
        <v>0</v>
      </c>
      <c r="E10995" t="str">
        <v>D</v>
      </c>
      <c r="F10995">
        <f>VLOOKUP(D10974,'Detail Balok'!$C$10:$AU$110,38,FALSE)</f>
        <v>10</v>
      </c>
      <c r="G10995" t="str">
        <v>-</v>
      </c>
      <c r="H10995">
        <f>VLOOKUP(D10974,'Detail Balok'!$C$10:$AU$110,40,FALSE)</f>
        <v>100</v>
      </c>
      <c r="J10995">
        <f>(IF(D10995=0,(2*(D10975+G10975))-(F$5*8),IF(D10995=3,(2*(D10975+G10975))-(F$5*8)+(G10975-2*F$5),IF(D10995=4,(2*(D10975+G10975))-(F$5*8)+2*(G10975-2*F$5)))))/1000</f>
        <v>1.18</v>
      </c>
      <c r="K10995" t="str">
        <v>+</v>
      </c>
      <c r="L10995">
        <f>IF(D10995=0,2*MAX(6*F10995,75),(D10995-1)*2*MAX(6*F10995,75))/1000</f>
        <v>0.15</v>
      </c>
      <c r="M10995" t="str">
        <v>=</v>
      </c>
      <c r="N10995">
        <f>J10995+L10995</f>
        <v>1.3299999999999998</v>
      </c>
      <c r="T10995" t="str">
        <v>x</v>
      </c>
      <c r="U10995">
        <f>0.006165*F10995^2</f>
        <v>0.6165</v>
      </c>
      <c r="V10995" t="str">
        <v>x</v>
      </c>
      <c r="W10995">
        <f>IF(D10977-MAX(D10977/4,2*G10975)*2&gt;0,ROUND((D10977-MAX(D10977/4,2*G10975)*2)/H10995,0),0)</f>
        <v>0</v>
      </c>
      <c r="X10995" t="str">
        <v>x</v>
      </c>
      <c r="Y10995">
        <f>D10980</f>
        <v>1</v>
      </c>
      <c r="Z10995" t="str">
        <v>=</v>
      </c>
      <c r="AA10995">
        <f>N10995*U10995*W10995*Y10995</f>
        <v>0</v>
      </c>
    </row>
    <row r="10996">
      <c r="A10996" t="str">
        <f>A10974</f>
        <v>Lantai Atap</v>
      </c>
      <c r="B10996">
        <f>B10974</f>
        <v>25</v>
      </c>
      <c r="C10996" t="str">
        <v>Sengkang Tumpuan</v>
      </c>
      <c r="D10996">
        <f>VLOOKUP(D10974,'Detail Balok'!$C$10:$AU$110,41,FALSE)</f>
        <v>0</v>
      </c>
      <c r="E10996" t="str">
        <v>D</v>
      </c>
      <c r="F10996">
        <f>VLOOKUP(D10974,'Detail Balok'!$C$10:$AU$110,43,FALSE)</f>
        <v>10</v>
      </c>
      <c r="G10996" t="str">
        <v>-</v>
      </c>
      <c r="H10996">
        <f>VLOOKUP(D10974,'Detail Balok'!$C$10:$AU$110,45,FALSE)</f>
        <v>100</v>
      </c>
      <c r="J10996">
        <f>(IF(D10996=0,(2*(D10975+G10975))-(F$5*8),IF(D10996=3,(2*(D10975+G10975))-(F$5*8)+(G10975-2*F$5),IF(D10996=4,(2*(D10975+G10975))-(F$5*8)+2*(G10975-2*F$5)))))/1000</f>
        <v>1.18</v>
      </c>
      <c r="K10996" t="str">
        <v>+</v>
      </c>
      <c r="L10996">
        <f>IF(D10996=0,2*MAX(6*F10996,75),(D10996-1)*2*MAX(6*F10996,75))/1000</f>
        <v>0.15</v>
      </c>
      <c r="M10996" t="str">
        <v>=</v>
      </c>
      <c r="N10996">
        <f>J10996+L10996</f>
        <v>1.3299999999999998</v>
      </c>
      <c r="T10996" t="str">
        <v>x</v>
      </c>
      <c r="U10996">
        <f>0.006165*F10996^2</f>
        <v>0.6165</v>
      </c>
      <c r="V10996" t="str">
        <v>x</v>
      </c>
      <c r="W10996">
        <f>IF(D10977&gt;4*G10975,ROUND(MAX(D10977/4,2*G10975)/H10996,0)+1,0)</f>
        <v>0</v>
      </c>
      <c r="X10996" t="str">
        <v>x</v>
      </c>
      <c r="Y10996">
        <f>D10980</f>
        <v>1</v>
      </c>
      <c r="Z10996" t="str">
        <v>=</v>
      </c>
      <c r="AA10996">
        <f>N10996*U10996*W10996*Y10996</f>
        <v>0</v>
      </c>
    </row>
    <row r="10998">
      <c r="A10998" t="str">
        <f>A10974</f>
        <v>Lantai Atap</v>
      </c>
      <c r="B10998">
        <f>B10974</f>
        <v>25</v>
      </c>
      <c r="C10998" t="str">
        <v>Kait Horizontal Tump.</v>
      </c>
      <c r="D10998">
        <f>VLOOKUP(D10974,'Detail Balok'!$C$10:$BJ$110,46,FALSE)</f>
        <v>0</v>
      </c>
      <c r="E10998" t="str">
        <v>D</v>
      </c>
      <c r="F10998">
        <f>VLOOKUP(D10974,'Detail Balok'!$C$10:$BJ$110,48,FALSE)</f>
        <v>0</v>
      </c>
      <c r="G10998" t="str">
        <v>-</v>
      </c>
      <c r="H10998">
        <f>VLOOKUP(D10974,'Detail Balok'!$C$10:$BJ$110,50,FALSE)</f>
        <v>100</v>
      </c>
      <c r="J10998">
        <f>(D10975-2*F$5)/1000</f>
        <v>0.17</v>
      </c>
      <c r="K10998" t="str">
        <v>+</v>
      </c>
      <c r="L10998">
        <f>IF(D10998=0,2*MAX(6*F10998,75),(D10998-1)*2*MAX(6*F10998,75))/1000</f>
        <v>0.15</v>
      </c>
      <c r="M10998" t="str">
        <v>=</v>
      </c>
      <c r="N10998">
        <f>J10998+L10998</f>
        <v>0.32</v>
      </c>
      <c r="T10998" t="str">
        <v>x</v>
      </c>
      <c r="U10998">
        <f>0.006165*F10998^2</f>
        <v>0</v>
      </c>
      <c r="V10998" t="str">
        <v>x</v>
      </c>
      <c r="W10998">
        <f>W10994</f>
        <v>14</v>
      </c>
      <c r="X10998" t="str">
        <v>x</v>
      </c>
      <c r="Y10998">
        <f>D10984</f>
        <v>6</v>
      </c>
      <c r="Z10998" t="str">
        <v>=</v>
      </c>
      <c r="AA10998">
        <f>N10998*U10998*W10998*Y10998</f>
        <v>0</v>
      </c>
    </row>
    <row r="10999">
      <c r="A10999" t="str">
        <f>A10974</f>
        <v>Lantai Atap</v>
      </c>
      <c r="B10999">
        <f>B10974</f>
        <v>25</v>
      </c>
      <c r="C10999" t="str">
        <v>Kait Horizontal Lap.</v>
      </c>
      <c r="D10999">
        <f>VLOOKUP(D10974,'Detail Balok'!$C$10:$BJ$110,51,FALSE)</f>
        <v>0</v>
      </c>
      <c r="E10999" t="str">
        <v>D</v>
      </c>
      <c r="F10999">
        <f>VLOOKUP(D10974,'Detail Balok'!$C$10:$BJ$110,53,FALSE)</f>
        <v>0</v>
      </c>
      <c r="G10999" t="str">
        <v>-</v>
      </c>
      <c r="H10999">
        <f>VLOOKUP(D10974,'Detail Balok'!$C$10:$BJ$110,55,FALSE)</f>
        <v>100</v>
      </c>
      <c r="J10999">
        <f>(D10975-2*F$5)/1000</f>
        <v>0.17</v>
      </c>
      <c r="K10999" t="str">
        <v>+</v>
      </c>
      <c r="L10999">
        <f>IF(D10999=0,2*MAX(6*F10999,75),(D10999-1)*2*MAX(6*F10999,75))/1000</f>
        <v>0.15</v>
      </c>
      <c r="M10999" t="str">
        <v>=</v>
      </c>
      <c r="N10999">
        <f>J10999+L10999</f>
        <v>0.32</v>
      </c>
      <c r="T10999" t="str">
        <v>x</v>
      </c>
      <c r="U10999">
        <f>0.006165*F10999^2</f>
        <v>0</v>
      </c>
      <c r="V10999" t="str">
        <v>x</v>
      </c>
      <c r="W10999">
        <f>W10995</f>
        <v>0</v>
      </c>
      <c r="X10999" t="str">
        <v>x</v>
      </c>
      <c r="Y10999">
        <f>D10984</f>
        <v>6</v>
      </c>
      <c r="Z10999" t="str">
        <v>=</v>
      </c>
      <c r="AA10999">
        <f>N10999*U10999*W10999*Y10999</f>
        <v>0</v>
      </c>
    </row>
    <row r="11000">
      <c r="A11000" t="str">
        <f>A10974</f>
        <v>Lantai Atap</v>
      </c>
      <c r="B11000">
        <f>B10974</f>
        <v>25</v>
      </c>
      <c r="C11000" t="str">
        <v>Kait Horizontal Tump.</v>
      </c>
      <c r="D11000">
        <f>VLOOKUP(D10974,'Detail Balok'!$C$10:$BJ$110,56,FALSE)</f>
        <v>0</v>
      </c>
      <c r="E11000" t="str">
        <v>D</v>
      </c>
      <c r="F11000">
        <f>VLOOKUP(D10974,'Detail Balok'!$C$10:$BJ$110,58,FALSE)</f>
        <v>0</v>
      </c>
      <c r="G11000" t="str">
        <v>-</v>
      </c>
      <c r="H11000">
        <f>VLOOKUP(D10974,'Detail Balok'!$C$10:$BJ$110,60,FALSE)</f>
        <v>100</v>
      </c>
      <c r="J11000">
        <f>(D10975-2*F$5)/1000</f>
        <v>0.17</v>
      </c>
      <c r="K11000" t="str">
        <v>+</v>
      </c>
      <c r="L11000">
        <f>IF(D11000=0,2*MAX(6*F11000,75),(D11000-1)*2*MAX(6*F11000,75))/1000</f>
        <v>0.15</v>
      </c>
      <c r="M11000" t="str">
        <v>=</v>
      </c>
      <c r="N11000">
        <f>J11000+L11000</f>
        <v>0.32</v>
      </c>
      <c r="T11000" t="str">
        <v>x</v>
      </c>
      <c r="U11000">
        <f>0.006165*F11000^2</f>
        <v>0</v>
      </c>
      <c r="V11000" t="str">
        <v>x</v>
      </c>
      <c r="W11000">
        <f>W10996</f>
        <v>0</v>
      </c>
      <c r="X11000" t="str">
        <v>x</v>
      </c>
      <c r="Y11000">
        <f>D10984</f>
        <v>6</v>
      </c>
      <c r="Z11000" t="str">
        <v>=</v>
      </c>
      <c r="AA11000">
        <f>N11000*U11000*W11000*Y11000</f>
        <v>0</v>
      </c>
    </row>
    <row r="11004">
      <c r="A11004" t="str">
        <f>A10974</f>
        <v>Lantai Atap</v>
      </c>
      <c r="B11004">
        <f>B10974+1</f>
        <v>26</v>
      </c>
      <c r="C11004" t="str">
        <f>CONCATENATE(A11004," no. ",B11004)</f>
        <v>Lantai Atap no. 26</v>
      </c>
      <c r="D11004" t="str">
        <f>VLOOKUP(C11004,'Data Panjang Balok'!$C$9:$N$424,2,FALSE)</f>
        <v>B245-3</v>
      </c>
    </row>
    <row r="11005">
      <c r="C11005" t="str">
        <v>Dimensi</v>
      </c>
      <c r="D11005">
        <f>VLOOKUP(D11004,'Detail Balok'!$C$10:$AU$110,2,FALSE)</f>
        <v>200</v>
      </c>
      <c r="F11005" t="str">
        <v>x</v>
      </c>
      <c r="G11005">
        <f>VLOOKUP(D11004,'Detail Balok'!$C$10:$AU$110,3,FALSE)</f>
        <v>450</v>
      </c>
    </row>
    <row r="11006">
      <c r="C11006" t="str">
        <v>Panjang as ke as</v>
      </c>
      <c r="D11006">
        <f>VLOOKUP(C11004,'Data Panjang Balok'!$C$9:$N$424,4,FALSE)</f>
        <v>7025</v>
      </c>
    </row>
    <row r="11007">
      <c r="C11007" t="str">
        <v>Panjang netto</v>
      </c>
      <c r="D11007">
        <f>VLOOKUP(C11004,'Data Panjang Balok'!$C$9:$N$424,7,FALSE)</f>
        <v>7025</v>
      </c>
    </row>
    <row r="11008">
      <c r="C11008" t="str">
        <v>Kolom / balok kiri</v>
      </c>
      <c r="D11008">
        <f>VLOOKUP(C11004,'Data Panjang Balok'!$C$9:$N$424,9,FALSE)</f>
        <v>0</v>
      </c>
    </row>
    <row r="11009">
      <c r="C11009" t="str">
        <v>Kolom / balok kanan</v>
      </c>
      <c r="D11009">
        <f>VLOOKUP(C11004,'Data Panjang Balok'!$C$9:$N$424,10,FALSE)</f>
        <v>0</v>
      </c>
    </row>
    <row r="11010">
      <c r="C11010" t="str">
        <v>Jumlah</v>
      </c>
      <c r="D11010">
        <f>VLOOKUP(C11004,'Data Panjang Balok'!$C$9:$N$424,3,FALSE)</f>
        <v>1</v>
      </c>
    </row>
    <row r="11011">
      <c r="A11011" t="str">
        <f>A11004</f>
        <v>Lantai Atap</v>
      </c>
      <c r="B11011">
        <f>B11004</f>
        <v>26</v>
      </c>
      <c r="C11011" t="str">
        <v>Tul Atas Tumpuan</v>
      </c>
      <c r="D11011">
        <f>VLOOKUP(D11004,'Detail Balok'!$C$10:$AU$110,4,FALSE)</f>
        <v>2</v>
      </c>
      <c r="E11011" t="str">
        <v>D</v>
      </c>
      <c r="F11011">
        <f>VLOOKUP(D11004,'Detail Balok'!$C$10:$AU$110,6,FALSE)</f>
        <v>16</v>
      </c>
      <c r="I11011" t="str">
        <v>(</v>
      </c>
      <c r="J11011">
        <f>+D11006/4/1000</f>
        <v>1.75625</v>
      </c>
      <c r="K11011" t="str">
        <v>+</v>
      </c>
      <c r="L11011">
        <f>MAX(VLOOKUP(F11011,N$6:P$15,3,FALSE)/1000,2/3*D11008/1000)+F$16*F11011/1000</f>
        <v>0.192</v>
      </c>
      <c r="M11011" t="str">
        <v>=</v>
      </c>
      <c r="N11011">
        <f>J11011+L11011</f>
        <v>1.94825</v>
      </c>
      <c r="O11011" t="str">
        <v>+</v>
      </c>
      <c r="P11011">
        <f>D11011-D11012</f>
        <v>0</v>
      </c>
      <c r="Q11011" t="str">
        <v>x</v>
      </c>
      <c r="R11011">
        <f>IF(P11011&gt;0,$F$18*F11011/1000,0)</f>
        <v>0</v>
      </c>
      <c r="S11011" t="str">
        <v>)</v>
      </c>
      <c r="T11011" t="str">
        <v>x</v>
      </c>
      <c r="U11011">
        <f>0.006165*F11011^2</f>
        <v>1.57824</v>
      </c>
      <c r="X11011" t="str">
        <v>x</v>
      </c>
      <c r="Y11011">
        <f>D11010</f>
        <v>1</v>
      </c>
      <c r="Z11011" t="str">
        <v>=</v>
      </c>
      <c r="AA11011">
        <f>IF(AA11014=0,(D11011*N11011+P11011*R11011)*U11011*Y11011,0)</f>
        <v>0</v>
      </c>
    </row>
    <row r="11012">
      <c r="A11012" t="str">
        <f>A11004</f>
        <v>Lantai Atap</v>
      </c>
      <c r="B11012">
        <f>B11004</f>
        <v>26</v>
      </c>
      <c r="C11012" t="str">
        <v>Tul Atas Lapangan</v>
      </c>
      <c r="D11012">
        <f>VLOOKUP(D11004,'Detail Balok'!$C$10:$AU$110,7,FALSE)</f>
        <v>2</v>
      </c>
      <c r="E11012" t="str">
        <v>D</v>
      </c>
      <c r="F11012">
        <f>VLOOKUP(D11004,'Detail Balok'!$C$10:$AU$110,9,FALSE)</f>
        <v>16</v>
      </c>
      <c r="I11012" t="str">
        <v>(</v>
      </c>
      <c r="J11012">
        <f>+D11006/2/1000</f>
        <v>3.5125</v>
      </c>
      <c r="K11012" t="str">
        <v>+</v>
      </c>
      <c r="M11012" t="str">
        <v>=</v>
      </c>
      <c r="N11012">
        <f>J11012+L11012</f>
        <v>3.5125</v>
      </c>
      <c r="O11012" t="str">
        <v>+</v>
      </c>
      <c r="P11012">
        <f>MAX(D11012-D11011,D11012-D11013)</f>
        <v>0</v>
      </c>
      <c r="Q11012" t="str">
        <v>x</v>
      </c>
      <c r="R11012">
        <f>IF(P11012&gt;0,2*(1-2*$F$19-1/2)*D11007/1000,0)</f>
        <v>0</v>
      </c>
      <c r="S11012" t="str">
        <v>)</v>
      </c>
      <c r="T11012" t="str">
        <v>x</v>
      </c>
      <c r="U11012">
        <f>0.006165*F11012^2</f>
        <v>1.57824</v>
      </c>
      <c r="X11012" t="str">
        <v>x</v>
      </c>
      <c r="Y11012">
        <f>D11010</f>
        <v>1</v>
      </c>
      <c r="Z11012" t="str">
        <v>=</v>
      </c>
      <c r="AA11012">
        <f>IF(AA11014=0,(D11012*N11012+P11012*R11012)*U11012*Y11012,0)</f>
        <v>0</v>
      </c>
    </row>
    <row r="11013">
      <c r="A11013" t="str">
        <f>A11004</f>
        <v>Lantai Atap</v>
      </c>
      <c r="B11013">
        <f>B11004</f>
        <v>26</v>
      </c>
      <c r="C11013" t="str">
        <v>Tul Atas Tumpuan</v>
      </c>
      <c r="D11013">
        <f>VLOOKUP(D11004,'Detail Balok'!$C$10:$AU$110,10,FALSE)</f>
        <v>2</v>
      </c>
      <c r="E11013" t="str">
        <v>D</v>
      </c>
      <c r="F11013">
        <f>VLOOKUP(D11004,'Detail Balok'!$C$10:$AU$110,12,FALSE)</f>
        <v>16</v>
      </c>
      <c r="I11013" t="str">
        <v>(</v>
      </c>
      <c r="J11013">
        <f>+D11006/4/1000</f>
        <v>1.75625</v>
      </c>
      <c r="K11013" t="str">
        <v>+</v>
      </c>
      <c r="L11013">
        <f>MAX(VLOOKUP(F11013,N$6:P$15,3,FALSE)/1000,2/3*D11008/1000)+F$16*F11013/1000</f>
        <v>0.192</v>
      </c>
      <c r="M11013" t="str">
        <v>=</v>
      </c>
      <c r="N11013">
        <f>J11013+L11013</f>
        <v>1.94825</v>
      </c>
      <c r="O11013" t="str">
        <v>+</v>
      </c>
      <c r="P11013">
        <f>D11013-D11012</f>
        <v>0</v>
      </c>
      <c r="Q11013" t="str">
        <v>x</v>
      </c>
      <c r="R11013">
        <f>IF(P11013&gt;0,$F$18*F11013/1000,0)</f>
        <v>0</v>
      </c>
      <c r="S11013" t="str">
        <v>)</v>
      </c>
      <c r="T11013" t="str">
        <v>x</v>
      </c>
      <c r="U11013">
        <f>0.006165*F11013^2</f>
        <v>1.57824</v>
      </c>
      <c r="X11013" t="str">
        <v>x</v>
      </c>
      <c r="Y11013">
        <f>D11010</f>
        <v>1</v>
      </c>
      <c r="Z11013" t="str">
        <v>=</v>
      </c>
      <c r="AA11013">
        <f>IF(AA11014=0,(D11013*N11013+P11013*R11013)*U11013*Y11013,0)</f>
        <v>0</v>
      </c>
    </row>
    <row r="11014">
      <c r="A11014" t="str">
        <f>A11004</f>
        <v>Lantai Atap</v>
      </c>
      <c r="B11014">
        <f>B11004</f>
        <v>26</v>
      </c>
      <c r="D11014">
        <f>IF(AND(D11011=D11012,D11012=D11013,D11011=D11013),D11011,0)</f>
        <v>2</v>
      </c>
      <c r="E11014" t="str">
        <v>D</v>
      </c>
      <c r="F11014">
        <f>IF(AND(F11011=F11012,F11011=F11013,F11012=F11013),F11011,0)</f>
        <v>16</v>
      </c>
      <c r="L11014" t="str">
        <v>Total panjang per balok</v>
      </c>
      <c r="M11014" t="str">
        <v>=</v>
      </c>
      <c r="N11014">
        <f>IF(AND(D11011=D11012,D11011=D11013,D11012=D11013,F11011=F11012,F11011=F11013,F11012=F11013),SUM(N11011:N11013),0)</f>
        <v>7.409</v>
      </c>
      <c r="O11014" t="str">
        <v>+</v>
      </c>
      <c r="P11014">
        <f>IF(N11014&gt;12,ROUNDDOWN(N11014/12,0),0)</f>
        <v>0</v>
      </c>
      <c r="Q11014" t="str">
        <v>x</v>
      </c>
      <c r="R11014">
        <f>IF(P11014&gt;0,MAX(VLOOKUP(F11014,$D$6:$G$15,3,FALSE),600),0)/1000</f>
        <v>0</v>
      </c>
      <c r="T11014" t="str">
        <v>x</v>
      </c>
      <c r="U11014">
        <f>U11013</f>
        <v>1.57824</v>
      </c>
      <c r="V11014" t="str">
        <v>x</v>
      </c>
      <c r="W11014">
        <f>D11014</f>
        <v>2</v>
      </c>
      <c r="X11014" t="str">
        <v>x</v>
      </c>
      <c r="Y11014">
        <f>Y11013</f>
        <v>1</v>
      </c>
      <c r="Z11014" t="str">
        <v>=</v>
      </c>
      <c r="AA11014">
        <f>(N11014+P11014*R11014/1000)*U11014*W11014*Y11014</f>
        <v>23.38636032</v>
      </c>
    </row>
    <row r="11016">
      <c r="A11016" t="str">
        <f>A11004</f>
        <v>Lantai Atap</v>
      </c>
      <c r="B11016">
        <f>B11004</f>
        <v>26</v>
      </c>
      <c r="C11016" t="str">
        <v>Tul Peminggang</v>
      </c>
      <c r="D11016">
        <f>VLOOKUP(D11004,'Detail Balok'!$C$10:$AU$110,13,FALSE)</f>
        <v>2</v>
      </c>
      <c r="E11016" t="str">
        <v>D</v>
      </c>
      <c r="F11016">
        <f>VLOOKUP(D11004,'Detail Balok'!$C$10:$AU$110,15,FALSE)</f>
        <v>10</v>
      </c>
      <c r="J11016">
        <f>+D11006/1000</f>
        <v>7.025</v>
      </c>
      <c r="K11016" t="str">
        <v>+</v>
      </c>
      <c r="L11016">
        <f>2*$F$16*F11016/1000</f>
        <v>0.24</v>
      </c>
      <c r="M11016" t="str">
        <v>=</v>
      </c>
      <c r="N11016">
        <f>J11016+L11016</f>
        <v>7.265000000000001</v>
      </c>
      <c r="O11016" t="str">
        <v>+</v>
      </c>
      <c r="P11016">
        <f>IF(N11016&gt;12,ROUNDDOWN(N11016/12,0),0)</f>
        <v>0</v>
      </c>
      <c r="Q11016" t="str">
        <v>x</v>
      </c>
      <c r="R11016">
        <f>IF(P11016&gt;0,MAX(VLOOKUP(F11016,$D$6:$G$15,3,FALSE),600),0)/1000</f>
        <v>0</v>
      </c>
      <c r="T11016" t="str">
        <v>x</v>
      </c>
      <c r="U11016">
        <f>0.006165*F11016^2</f>
        <v>0.6165</v>
      </c>
      <c r="V11016" t="str">
        <v>x</v>
      </c>
      <c r="W11016">
        <f>+D11016</f>
        <v>2</v>
      </c>
      <c r="X11016" t="str">
        <v>x</v>
      </c>
      <c r="Y11016">
        <f>D11010</f>
        <v>1</v>
      </c>
      <c r="Z11016" t="str">
        <v>=</v>
      </c>
      <c r="AA11016">
        <f>(N11016+P11016*R11016/1000)*U11016*W11016*Y11016</f>
        <v>8.957745000000001</v>
      </c>
    </row>
    <row r="11019">
      <c r="A11019" t="str">
        <f>A11004</f>
        <v>Lantai Atap</v>
      </c>
      <c r="B11019">
        <f>B11004</f>
        <v>26</v>
      </c>
      <c r="C11019" t="str">
        <v>Tul Bawah Tumpuan</v>
      </c>
      <c r="D11019">
        <f>VLOOKUP(D11004,'Detail Balok'!$C$10:$AU$110,22,FALSE)</f>
        <v>2</v>
      </c>
      <c r="E11019" t="str">
        <v>D</v>
      </c>
      <c r="F11019">
        <f>VLOOKUP(D11004,'Detail Balok'!$C$10:$AU$110,24,FALSE)</f>
        <v>16</v>
      </c>
      <c r="I11019" t="str">
        <v>(</v>
      </c>
      <c r="J11019">
        <f>+J11011</f>
        <v>1.75625</v>
      </c>
      <c r="K11019" t="str">
        <v>+</v>
      </c>
      <c r="L11019">
        <f>MAX(VLOOKUP(F11019,N$6:P$15,3,FALSE)/1000,2/3*D11009/1000)+F$16*F11019/1000</f>
        <v>0.192</v>
      </c>
      <c r="M11019" t="str">
        <v>=</v>
      </c>
      <c r="N11019">
        <f>J11019+L11019</f>
        <v>1.94825</v>
      </c>
      <c r="O11019" t="str">
        <v>+</v>
      </c>
      <c r="P11019">
        <f>D11019-D11020</f>
        <v>0</v>
      </c>
      <c r="Q11019" t="str">
        <v>x</v>
      </c>
      <c r="R11019">
        <f>IF(P11019&gt;0,$F$18*F11019/1000,0)</f>
        <v>0</v>
      </c>
      <c r="S11019" t="str">
        <v>)</v>
      </c>
      <c r="T11019" t="str">
        <v>x</v>
      </c>
      <c r="U11019">
        <f>0.006165*F11019^2</f>
        <v>1.57824</v>
      </c>
      <c r="X11019" t="str">
        <v>x</v>
      </c>
      <c r="Y11019">
        <f>D11010</f>
        <v>1</v>
      </c>
      <c r="Z11019" t="str">
        <v>=</v>
      </c>
      <c r="AA11019">
        <f>IF(AA11022=0,(D11019*N11019+P11019*R11019)*U11019*Y11019,0)</f>
        <v>0</v>
      </c>
    </row>
    <row r="11020">
      <c r="A11020" t="str">
        <f>A11004</f>
        <v>Lantai Atap</v>
      </c>
      <c r="B11020">
        <f>B11004</f>
        <v>26</v>
      </c>
      <c r="C11020" t="str">
        <v>Tul Bawah Lapangan</v>
      </c>
      <c r="D11020">
        <f>VLOOKUP(D11004,'Detail Balok'!$C$10:$AU$110,25,FALSE)</f>
        <v>2</v>
      </c>
      <c r="E11020" t="str">
        <v>D</v>
      </c>
      <c r="F11020">
        <f>VLOOKUP(D11004,'Detail Balok'!$C$10:$AU$110,27,FALSE)</f>
        <v>16</v>
      </c>
      <c r="I11020" t="str">
        <v>(</v>
      </c>
      <c r="J11020">
        <f>+J11012</f>
        <v>3.5125</v>
      </c>
      <c r="K11020" t="str">
        <v>+</v>
      </c>
      <c r="M11020" t="str">
        <v>=</v>
      </c>
      <c r="N11020">
        <f>J11020+L11020</f>
        <v>3.5125</v>
      </c>
      <c r="O11020" t="str">
        <v>+</v>
      </c>
      <c r="P11020">
        <f>MAX(D11020-D11019,D11020-D11021)</f>
        <v>0</v>
      </c>
      <c r="Q11020" t="str">
        <v>x</v>
      </c>
      <c r="R11020">
        <f>IF(P11020&gt;0,2*(1-2*$F$19-1/2)*D11007/1000,0)</f>
        <v>0</v>
      </c>
      <c r="S11020" t="str">
        <v>)</v>
      </c>
      <c r="T11020" t="str">
        <v>x</v>
      </c>
      <c r="U11020">
        <f>0.006165*F11020^2</f>
        <v>1.57824</v>
      </c>
      <c r="X11020" t="str">
        <v>x</v>
      </c>
      <c r="Y11020">
        <f>D11010</f>
        <v>1</v>
      </c>
      <c r="Z11020" t="str">
        <v>=</v>
      </c>
      <c r="AA11020">
        <f>IF(AA11022=0,(D11020*N11020+P11020*R11020)*U11020*Y11020,0)</f>
        <v>0</v>
      </c>
    </row>
    <row r="11021">
      <c r="A11021" t="str">
        <f>A11004</f>
        <v>Lantai Atap</v>
      </c>
      <c r="B11021">
        <f>B11004</f>
        <v>26</v>
      </c>
      <c r="C11021" t="str">
        <v>Tul Bawah Tumpuan</v>
      </c>
      <c r="D11021">
        <f>VLOOKUP(D11004,'Detail Balok'!$C$10:$AU$110,28,FALSE)</f>
        <v>2</v>
      </c>
      <c r="E11021" t="str">
        <v>D</v>
      </c>
      <c r="F11021">
        <f>VLOOKUP(D11004,'Detail Balok'!$C$10:$AU$110,30,FALSE)</f>
        <v>16</v>
      </c>
      <c r="I11021" t="str">
        <v>(</v>
      </c>
      <c r="J11021">
        <f>+J11013</f>
        <v>1.75625</v>
      </c>
      <c r="K11021" t="str">
        <v>+</v>
      </c>
      <c r="L11021">
        <f>MAX(VLOOKUP(F11021,N$6:P$15,3,FALSE)/1000,2/3*D11009/1000)+F$16*F11021/1000</f>
        <v>0.192</v>
      </c>
      <c r="M11021" t="str">
        <v>=</v>
      </c>
      <c r="N11021">
        <f>J11021+L11021</f>
        <v>1.94825</v>
      </c>
      <c r="O11021" t="str">
        <v>+</v>
      </c>
      <c r="P11021">
        <f>D11021-D11020</f>
        <v>0</v>
      </c>
      <c r="Q11021" t="str">
        <v>x</v>
      </c>
      <c r="R11021">
        <f>IF(P11021&gt;0,$F$18*F11021/1000,0)</f>
        <v>0</v>
      </c>
      <c r="S11021" t="str">
        <v>)</v>
      </c>
      <c r="T11021" t="str">
        <v>x</v>
      </c>
      <c r="U11021">
        <f>0.006165*F11021^2</f>
        <v>1.57824</v>
      </c>
      <c r="X11021" t="str">
        <v>x</v>
      </c>
      <c r="Y11021">
        <f>D11010</f>
        <v>1</v>
      </c>
      <c r="Z11021" t="str">
        <v>=</v>
      </c>
      <c r="AA11021">
        <f>IF(AA11022=0,(D11021*N11021+P11021*R11021)*U11021*Y11021,0)</f>
        <v>0</v>
      </c>
    </row>
    <row r="11022">
      <c r="A11022" t="str">
        <f>A11004</f>
        <v>Lantai Atap</v>
      </c>
      <c r="B11022">
        <f>B11004</f>
        <v>26</v>
      </c>
      <c r="D11022">
        <f>IF(AND(D11019=D11020,D11020=D11021,D11019=D11021),D11019,0)</f>
        <v>2</v>
      </c>
      <c r="E11022" t="str">
        <v>D</v>
      </c>
      <c r="F11022">
        <f>IF(AND(F11019=F11020,F11019=F11021,F11020=F11021),F11019,0)</f>
        <v>16</v>
      </c>
      <c r="L11022" t="str">
        <v>Total panjang per balok</v>
      </c>
      <c r="M11022" t="str">
        <v>=</v>
      </c>
      <c r="N11022">
        <f>IF(AND(D11019=D11020,D11019=D11021,D11020=D11021,F11019=F11020,F11019=F11021,F11020=F11021),SUM(N11019:N11021),0)</f>
        <v>7.409</v>
      </c>
      <c r="O11022" t="str">
        <v>+</v>
      </c>
      <c r="P11022">
        <f>IF(N11022&gt;12,ROUNDDOWN(N11022/12,0),0)</f>
        <v>0</v>
      </c>
      <c r="Q11022" t="str">
        <v>x</v>
      </c>
      <c r="R11022">
        <f>IF(P11022&gt;0,MAX(VLOOKUP(F11022,$D$6:$G$15,3,FALSE),600),0)/1000</f>
        <v>0</v>
      </c>
      <c r="T11022" t="str">
        <v>x</v>
      </c>
      <c r="U11022">
        <f>U11021</f>
        <v>1.57824</v>
      </c>
      <c r="V11022" t="str">
        <v>x</v>
      </c>
      <c r="W11022">
        <f>D11022</f>
        <v>2</v>
      </c>
      <c r="X11022" t="str">
        <v>x</v>
      </c>
      <c r="Y11022">
        <f>Y11021</f>
        <v>1</v>
      </c>
      <c r="Z11022" t="str">
        <v>=</v>
      </c>
      <c r="AA11022">
        <f>(N11022+P11022*R11022/1000)*U11022*W11022*Y11022</f>
        <v>23.38636032</v>
      </c>
    </row>
    <row r="11024">
      <c r="A11024" t="str">
        <f>A11004</f>
        <v>Lantai Atap</v>
      </c>
      <c r="B11024">
        <f>B11004</f>
        <v>26</v>
      </c>
      <c r="C11024" t="str">
        <v>Sengkang Tumpuan</v>
      </c>
      <c r="D11024">
        <f>VLOOKUP(D11004,'Detail Balok'!$C$10:$AU$110,31,FALSE)</f>
        <v>0</v>
      </c>
      <c r="E11024" t="str">
        <v>D</v>
      </c>
      <c r="F11024">
        <f>VLOOKUP(D11004,'Detail Balok'!$C$10:$AU$110,33,FALSE)</f>
        <v>10</v>
      </c>
      <c r="G11024" t="str">
        <v>-</v>
      </c>
      <c r="H11024">
        <f>VLOOKUP(D11004,'Detail Balok'!$C$10:$AU$110,35,FALSE)</f>
        <v>90</v>
      </c>
      <c r="J11024">
        <f>(IF(D11024=0,(2*(D11005+G11005))-(F$5*8),IF(D11024=3,(2*(D11005+G11005))-(F$5*8)+(G11005-2*F$5),IF(D11024=4,(2*(D11005+G11005))-(F$5*8)+2*(G11005-2*F$5)))))/1000</f>
        <v>0.98</v>
      </c>
      <c r="K11024" t="str">
        <v>+</v>
      </c>
      <c r="L11024">
        <f>IF(D11024=0,2*MAX(6*F11024,75),(D11024-1)*2*MAX(6*F11024,75))/1000</f>
        <v>0.15</v>
      </c>
      <c r="M11024" t="str">
        <v>=</v>
      </c>
      <c r="N11024">
        <f>J11024+L11024</f>
        <v>1.13</v>
      </c>
      <c r="T11024" t="str">
        <v>x</v>
      </c>
      <c r="U11024">
        <f>0.006165*F11024^2</f>
        <v>0.6165</v>
      </c>
      <c r="V11024" t="str">
        <v>x</v>
      </c>
      <c r="W11024">
        <f>IF(D11007&gt;4*G11005,ROUND(MAX(D11007/4,2*G11005)/H11024,0)+1,ROUND(D11007/H11024,0)+1)</f>
        <v>21</v>
      </c>
      <c r="X11024" t="str">
        <v>x</v>
      </c>
      <c r="Y11024">
        <f>D11010</f>
        <v>1</v>
      </c>
      <c r="Z11024" t="str">
        <v>=</v>
      </c>
      <c r="AA11024">
        <f>N11024*U11024*W11024*Y11024</f>
        <v>14.629544999999998</v>
      </c>
    </row>
    <row r="11025">
      <c r="A11025" t="str">
        <f>A11004</f>
        <v>Lantai Atap</v>
      </c>
      <c r="B11025">
        <f>B11004</f>
        <v>26</v>
      </c>
      <c r="C11025" t="str">
        <v>Sengkang Lapangan</v>
      </c>
      <c r="D11025">
        <f>VLOOKUP(D11004,'Detail Balok'!$C$10:$AU$110,36,FALSE)</f>
        <v>0</v>
      </c>
      <c r="E11025" t="str">
        <v>D</v>
      </c>
      <c r="F11025">
        <f>VLOOKUP(D11004,'Detail Balok'!$C$10:$AU$110,38,FALSE)</f>
        <v>10</v>
      </c>
      <c r="G11025" t="str">
        <v>-</v>
      </c>
      <c r="H11025">
        <f>VLOOKUP(D11004,'Detail Balok'!$C$10:$AU$110,40,FALSE)</f>
        <v>175</v>
      </c>
      <c r="J11025">
        <f>(IF(D11025=0,(2*(D11005+G11005))-(F$5*8),IF(D11025=3,(2*(D11005+G11005))-(F$5*8)+(G11005-2*F$5),IF(D11025=4,(2*(D11005+G11005))-(F$5*8)+2*(G11005-2*F$5)))))/1000</f>
        <v>0.98</v>
      </c>
      <c r="K11025" t="str">
        <v>+</v>
      </c>
      <c r="L11025">
        <f>IF(D11025=0,2*MAX(6*F11025,75),(D11025-1)*2*MAX(6*F11025,75))/1000</f>
        <v>0.15</v>
      </c>
      <c r="M11025" t="str">
        <v>=</v>
      </c>
      <c r="N11025">
        <f>J11025+L11025</f>
        <v>1.13</v>
      </c>
      <c r="T11025" t="str">
        <v>x</v>
      </c>
      <c r="U11025">
        <f>0.006165*F11025^2</f>
        <v>0.6165</v>
      </c>
      <c r="V11025" t="str">
        <v>x</v>
      </c>
      <c r="W11025">
        <f>IF(D11007-MAX(D11007/4,2*G11005)*2&gt;0,ROUND((D11007-MAX(D11007/4,2*G11005)*2)/H11025,0),0)</f>
        <v>20</v>
      </c>
      <c r="X11025" t="str">
        <v>x</v>
      </c>
      <c r="Y11025">
        <f>D11010</f>
        <v>1</v>
      </c>
      <c r="Z11025" t="str">
        <v>=</v>
      </c>
      <c r="AA11025">
        <f>N11025*U11025*W11025*Y11025</f>
        <v>13.9329</v>
      </c>
    </row>
    <row r="11026">
      <c r="A11026" t="str">
        <f>A11004</f>
        <v>Lantai Atap</v>
      </c>
      <c r="B11026">
        <f>B11004</f>
        <v>26</v>
      </c>
      <c r="C11026" t="str">
        <v>Sengkang Tumpuan</v>
      </c>
      <c r="D11026">
        <f>VLOOKUP(D11004,'Detail Balok'!$C$10:$AU$110,41,FALSE)</f>
        <v>0</v>
      </c>
      <c r="E11026" t="str">
        <v>D</v>
      </c>
      <c r="F11026">
        <f>VLOOKUP(D11004,'Detail Balok'!$C$10:$AU$110,43,FALSE)</f>
        <v>10</v>
      </c>
      <c r="G11026" t="str">
        <v>-</v>
      </c>
      <c r="H11026">
        <f>VLOOKUP(D11004,'Detail Balok'!$C$10:$AU$110,45,FALSE)</f>
        <v>90</v>
      </c>
      <c r="J11026">
        <f>(IF(D11026=0,(2*(D11005+G11005))-(F$5*8),IF(D11026=3,(2*(D11005+G11005))-(F$5*8)+(G11005-2*F$5),IF(D11026=4,(2*(D11005+G11005))-(F$5*8)+2*(G11005-2*F$5)))))/1000</f>
        <v>0.98</v>
      </c>
      <c r="K11026" t="str">
        <v>+</v>
      </c>
      <c r="L11026">
        <f>IF(D11026=0,2*MAX(6*F11026,75),(D11026-1)*2*MAX(6*F11026,75))/1000</f>
        <v>0.15</v>
      </c>
      <c r="M11026" t="str">
        <v>=</v>
      </c>
      <c r="N11026">
        <f>J11026+L11026</f>
        <v>1.13</v>
      </c>
      <c r="T11026" t="str">
        <v>x</v>
      </c>
      <c r="U11026">
        <f>0.006165*F11026^2</f>
        <v>0.6165</v>
      </c>
      <c r="V11026" t="str">
        <v>x</v>
      </c>
      <c r="W11026">
        <f>IF(D11007&gt;4*G11005,ROUND(MAX(D11007/4,2*G11005)/H11026,0)+1,0)</f>
        <v>21</v>
      </c>
      <c r="X11026" t="str">
        <v>x</v>
      </c>
      <c r="Y11026">
        <f>D11010</f>
        <v>1</v>
      </c>
      <c r="Z11026" t="str">
        <v>=</v>
      </c>
      <c r="AA11026">
        <f>N11026*U11026*W11026*Y11026</f>
        <v>14.629544999999998</v>
      </c>
    </row>
    <row r="11028">
      <c r="A11028" t="str">
        <f>A11004</f>
        <v>Lantai Atap</v>
      </c>
      <c r="B11028">
        <f>B11004</f>
        <v>26</v>
      </c>
      <c r="C11028" t="str">
        <v>Kait Horizontal Tump.</v>
      </c>
      <c r="D11028">
        <f>VLOOKUP(D11004,'Detail Balok'!$C$10:$BJ$110,46,FALSE)</f>
        <v>0</v>
      </c>
      <c r="E11028" t="str">
        <v>D</v>
      </c>
      <c r="F11028">
        <f>VLOOKUP(D11004,'Detail Balok'!$C$10:$BJ$110,48,FALSE)</f>
        <v>0</v>
      </c>
      <c r="G11028" t="str">
        <v>-</v>
      </c>
      <c r="H11028">
        <f>VLOOKUP(D11004,'Detail Balok'!$C$10:$BJ$110,50,FALSE)</f>
        <v>100</v>
      </c>
      <c r="J11028">
        <f>(D11005-2*F$5)/1000</f>
        <v>0.12</v>
      </c>
      <c r="K11028" t="str">
        <v>+</v>
      </c>
      <c r="L11028">
        <f>IF(D11028=0,2*MAX(6*F11028,75),(D11028-1)*2*MAX(6*F11028,75))/1000</f>
        <v>0.15</v>
      </c>
      <c r="M11028" t="str">
        <v>=</v>
      </c>
      <c r="N11028">
        <f>J11028+L11028</f>
        <v>0.27</v>
      </c>
      <c r="T11028" t="str">
        <v>x</v>
      </c>
      <c r="U11028">
        <f>0.006165*F11028^2</f>
        <v>0</v>
      </c>
      <c r="V11028" t="str">
        <v>x</v>
      </c>
      <c r="W11028">
        <f>W11024</f>
        <v>21</v>
      </c>
      <c r="X11028" t="str">
        <v>x</v>
      </c>
      <c r="Y11028">
        <f>D11014</f>
        <v>2</v>
      </c>
      <c r="Z11028" t="str">
        <v>=</v>
      </c>
      <c r="AA11028">
        <f>N11028*U11028*W11028*Y11028</f>
        <v>0</v>
      </c>
    </row>
    <row r="11029">
      <c r="A11029" t="str">
        <f>A11004</f>
        <v>Lantai Atap</v>
      </c>
      <c r="B11029">
        <f>B11004</f>
        <v>26</v>
      </c>
      <c r="C11029" t="str">
        <v>Kait Horizontal Lap.</v>
      </c>
      <c r="D11029">
        <f>VLOOKUP(D11004,'Detail Balok'!$C$10:$BJ$110,51,FALSE)</f>
        <v>0</v>
      </c>
      <c r="E11029" t="str">
        <v>D</v>
      </c>
      <c r="F11029">
        <f>VLOOKUP(D11004,'Detail Balok'!$C$10:$BJ$110,53,FALSE)</f>
        <v>0</v>
      </c>
      <c r="G11029" t="str">
        <v>-</v>
      </c>
      <c r="H11029">
        <f>VLOOKUP(D11004,'Detail Balok'!$C$10:$BJ$110,55,FALSE)</f>
        <v>100</v>
      </c>
      <c r="J11029">
        <f>(D11005-2*F$5)/1000</f>
        <v>0.12</v>
      </c>
      <c r="K11029" t="str">
        <v>+</v>
      </c>
      <c r="L11029">
        <f>IF(D11029=0,2*MAX(6*F11029,75),(D11029-1)*2*MAX(6*F11029,75))/1000</f>
        <v>0.15</v>
      </c>
      <c r="M11029" t="str">
        <v>=</v>
      </c>
      <c r="N11029">
        <f>J11029+L11029</f>
        <v>0.27</v>
      </c>
      <c r="T11029" t="str">
        <v>x</v>
      </c>
      <c r="U11029">
        <f>0.006165*F11029^2</f>
        <v>0</v>
      </c>
      <c r="V11029" t="str">
        <v>x</v>
      </c>
      <c r="W11029">
        <f>W11025</f>
        <v>20</v>
      </c>
      <c r="X11029" t="str">
        <v>x</v>
      </c>
      <c r="Y11029">
        <f>D11014</f>
        <v>2</v>
      </c>
      <c r="Z11029" t="str">
        <v>=</v>
      </c>
      <c r="AA11029">
        <f>N11029*U11029*W11029*Y11029</f>
        <v>0</v>
      </c>
    </row>
    <row r="11030">
      <c r="A11030" t="str">
        <f>A11004</f>
        <v>Lantai Atap</v>
      </c>
      <c r="B11030">
        <f>B11004</f>
        <v>26</v>
      </c>
      <c r="C11030" t="str">
        <v>Kait Horizontal Tump.</v>
      </c>
      <c r="D11030">
        <f>VLOOKUP(D11004,'Detail Balok'!$C$10:$BJ$110,56,FALSE)</f>
        <v>0</v>
      </c>
      <c r="E11030" t="str">
        <v>D</v>
      </c>
      <c r="F11030">
        <f>VLOOKUP(D11004,'Detail Balok'!$C$10:$BJ$110,58,FALSE)</f>
        <v>0</v>
      </c>
      <c r="G11030" t="str">
        <v>-</v>
      </c>
      <c r="H11030">
        <f>VLOOKUP(D11004,'Detail Balok'!$C$10:$BJ$110,60,FALSE)</f>
        <v>100</v>
      </c>
      <c r="J11030">
        <f>(D11005-2*F$5)/1000</f>
        <v>0.12</v>
      </c>
      <c r="K11030" t="str">
        <v>+</v>
      </c>
      <c r="L11030">
        <f>IF(D11030=0,2*MAX(6*F11030,75),(D11030-1)*2*MAX(6*F11030,75))/1000</f>
        <v>0.15</v>
      </c>
      <c r="M11030" t="str">
        <v>=</v>
      </c>
      <c r="N11030">
        <f>J11030+L11030</f>
        <v>0.27</v>
      </c>
      <c r="T11030" t="str">
        <v>x</v>
      </c>
      <c r="U11030">
        <f>0.006165*F11030^2</f>
        <v>0</v>
      </c>
      <c r="V11030" t="str">
        <v>x</v>
      </c>
      <c r="W11030">
        <f>W11026</f>
        <v>21</v>
      </c>
      <c r="X11030" t="str">
        <v>x</v>
      </c>
      <c r="Y11030">
        <f>D11014</f>
        <v>2</v>
      </c>
      <c r="Z11030" t="str">
        <v>=</v>
      </c>
      <c r="AA11030">
        <f>N11030*U11030*W11030*Y11030</f>
        <v>0</v>
      </c>
    </row>
    <row r="11034">
      <c r="A11034" t="str">
        <f>A11004</f>
        <v>Lantai Atap</v>
      </c>
      <c r="B11034">
        <f>B11004+1</f>
        <v>27</v>
      </c>
      <c r="C11034" t="str">
        <f>CONCATENATE(A11034," no. ",B11034)</f>
        <v>Lantai Atap no. 27</v>
      </c>
      <c r="D11034" t="str">
        <f>VLOOKUP(C11034,'Data Panjang Balok'!$C$9:$N$424,2,FALSE)</f>
        <v>B24-5</v>
      </c>
    </row>
    <row r="11035">
      <c r="C11035" t="str">
        <v>Dimensi</v>
      </c>
      <c r="D11035">
        <f>VLOOKUP(D11034,'Detail Balok'!$C$10:$AU$110,2,FALSE)</f>
        <v>200</v>
      </c>
      <c r="F11035" t="str">
        <v>x</v>
      </c>
      <c r="G11035">
        <f>VLOOKUP(D11034,'Detail Balok'!$C$10:$AU$110,3,FALSE)</f>
        <v>400</v>
      </c>
    </row>
    <row r="11036">
      <c r="C11036" t="str">
        <v>Panjang as ke as</v>
      </c>
      <c r="D11036">
        <f>VLOOKUP(C11034,'Data Panjang Balok'!$C$9:$N$424,4,FALSE)</f>
        <v>2725</v>
      </c>
    </row>
    <row r="11037">
      <c r="C11037" t="str">
        <v>Panjang netto</v>
      </c>
      <c r="D11037">
        <f>VLOOKUP(C11034,'Data Panjang Balok'!$C$9:$N$424,7,FALSE)</f>
        <v>2725</v>
      </c>
    </row>
    <row r="11038">
      <c r="C11038" t="str">
        <v>Kolom / balok kiri</v>
      </c>
      <c r="D11038">
        <f>VLOOKUP(C11034,'Data Panjang Balok'!$C$9:$N$424,9,FALSE)</f>
        <v>0</v>
      </c>
    </row>
    <row r="11039">
      <c r="C11039" t="str">
        <v>Kolom / balok kanan</v>
      </c>
      <c r="D11039">
        <f>VLOOKUP(C11034,'Data Panjang Balok'!$C$9:$N$424,10,FALSE)</f>
        <v>0</v>
      </c>
    </row>
    <row r="11040">
      <c r="C11040" t="str">
        <v>Jumlah</v>
      </c>
      <c r="D11040">
        <f>VLOOKUP(C11034,'Data Panjang Balok'!$C$9:$N$424,3,FALSE)</f>
        <v>1</v>
      </c>
    </row>
    <row r="11041">
      <c r="A11041" t="str">
        <f>A11034</f>
        <v>Lantai Atap</v>
      </c>
      <c r="B11041">
        <f>B11034</f>
        <v>27</v>
      </c>
      <c r="C11041" t="str">
        <v>Tul Atas Tumpuan</v>
      </c>
      <c r="D11041">
        <f>VLOOKUP(D11034,'Detail Balok'!$C$10:$AU$110,4,FALSE)</f>
        <v>5</v>
      </c>
      <c r="E11041" t="str">
        <v>D</v>
      </c>
      <c r="F11041">
        <f>VLOOKUP(D11034,'Detail Balok'!$C$10:$AU$110,6,FALSE)</f>
        <v>16</v>
      </c>
      <c r="I11041" t="str">
        <v>(</v>
      </c>
      <c r="J11041">
        <f>+D11036/4/1000</f>
        <v>0.68125</v>
      </c>
      <c r="K11041" t="str">
        <v>+</v>
      </c>
      <c r="L11041">
        <f>MAX(VLOOKUP(F11041,N$6:P$15,3,FALSE)/1000,2/3*D11038/1000)+F$16*F11041/1000</f>
        <v>0.192</v>
      </c>
      <c r="M11041" t="str">
        <v>=</v>
      </c>
      <c r="N11041">
        <f>J11041+L11041</f>
        <v>0.8732500000000001</v>
      </c>
      <c r="O11041" t="str">
        <v>+</v>
      </c>
      <c r="P11041">
        <f>D11041-D11042</f>
        <v>3</v>
      </c>
      <c r="Q11041" t="str">
        <v>x</v>
      </c>
      <c r="R11041">
        <f>IF(P11041&gt;0,$F$18*F11041/1000,0)</f>
        <v>0.24</v>
      </c>
      <c r="S11041" t="str">
        <v>)</v>
      </c>
      <c r="T11041" t="str">
        <v>x</v>
      </c>
      <c r="U11041">
        <f>0.006165*F11041^2</f>
        <v>1.57824</v>
      </c>
      <c r="X11041" t="str">
        <v>x</v>
      </c>
      <c r="Y11041">
        <f>D11040</f>
        <v>1</v>
      </c>
      <c r="Z11041" t="str">
        <v>=</v>
      </c>
      <c r="AA11041">
        <f>IF(AA11044=0,(D11041*N11041+P11041*R11041)*U11041*Y11041,0)</f>
        <v>8.027323200000001</v>
      </c>
    </row>
    <row r="11042">
      <c r="A11042" t="str">
        <f>A11034</f>
        <v>Lantai Atap</v>
      </c>
      <c r="B11042">
        <f>B11034</f>
        <v>27</v>
      </c>
      <c r="C11042" t="str">
        <v>Tul Atas Lapangan</v>
      </c>
      <c r="D11042">
        <f>VLOOKUP(D11034,'Detail Balok'!$C$10:$AU$110,7,FALSE)</f>
        <v>2</v>
      </c>
      <c r="E11042" t="str">
        <v>D</v>
      </c>
      <c r="F11042">
        <f>VLOOKUP(D11034,'Detail Balok'!$C$10:$AU$110,9,FALSE)</f>
        <v>16</v>
      </c>
      <c r="I11042" t="str">
        <v>(</v>
      </c>
      <c r="J11042">
        <f>+D11036/2/1000</f>
        <v>1.3625</v>
      </c>
      <c r="K11042" t="str">
        <v>+</v>
      </c>
      <c r="M11042" t="str">
        <v>=</v>
      </c>
      <c r="N11042">
        <f>J11042+L11042</f>
        <v>1.3625</v>
      </c>
      <c r="O11042" t="str">
        <v>+</v>
      </c>
      <c r="P11042">
        <f>MAX(D11042-D11041,D11042-D11043)</f>
        <v>-3</v>
      </c>
      <c r="Q11042" t="str">
        <v>x</v>
      </c>
      <c r="R11042">
        <f>IF(P11042&gt;0,2*(1-2*$F$19-1/2)*D11037/1000,0)</f>
        <v>0</v>
      </c>
      <c r="S11042" t="str">
        <v>)</v>
      </c>
      <c r="T11042" t="str">
        <v>x</v>
      </c>
      <c r="U11042">
        <f>0.006165*F11042^2</f>
        <v>1.57824</v>
      </c>
      <c r="X11042" t="str">
        <v>x</v>
      </c>
      <c r="Y11042">
        <f>D11040</f>
        <v>1</v>
      </c>
      <c r="Z11042" t="str">
        <v>=</v>
      </c>
      <c r="AA11042">
        <f>IF(AA11044=0,(D11042*N11042+P11042*R11042)*U11042*Y11042,0)</f>
        <v>4.3007040000000005</v>
      </c>
    </row>
    <row r="11043">
      <c r="A11043" t="str">
        <f>A11034</f>
        <v>Lantai Atap</v>
      </c>
      <c r="B11043">
        <f>B11034</f>
        <v>27</v>
      </c>
      <c r="C11043" t="str">
        <v>Tul Atas Tumpuan</v>
      </c>
      <c r="D11043">
        <f>VLOOKUP(D11034,'Detail Balok'!$C$10:$AU$110,10,FALSE)</f>
        <v>5</v>
      </c>
      <c r="E11043" t="str">
        <v>D</v>
      </c>
      <c r="F11043">
        <f>VLOOKUP(D11034,'Detail Balok'!$C$10:$AU$110,12,FALSE)</f>
        <v>16</v>
      </c>
      <c r="I11043" t="str">
        <v>(</v>
      </c>
      <c r="J11043">
        <f>+D11036/4/1000</f>
        <v>0.68125</v>
      </c>
      <c r="K11043" t="str">
        <v>+</v>
      </c>
      <c r="L11043">
        <f>MAX(VLOOKUP(F11043,N$6:P$15,3,FALSE)/1000,2/3*D11038/1000)+F$16*F11043/1000</f>
        <v>0.192</v>
      </c>
      <c r="M11043" t="str">
        <v>=</v>
      </c>
      <c r="N11043">
        <f>J11043+L11043</f>
        <v>0.8732500000000001</v>
      </c>
      <c r="O11043" t="str">
        <v>+</v>
      </c>
      <c r="P11043">
        <f>D11043-D11042</f>
        <v>3</v>
      </c>
      <c r="Q11043" t="str">
        <v>x</v>
      </c>
      <c r="R11043">
        <f>IF(P11043&gt;0,$F$18*F11043/1000,0)</f>
        <v>0.24</v>
      </c>
      <c r="S11043" t="str">
        <v>)</v>
      </c>
      <c r="T11043" t="str">
        <v>x</v>
      </c>
      <c r="U11043">
        <f>0.006165*F11043^2</f>
        <v>1.57824</v>
      </c>
      <c r="X11043" t="str">
        <v>x</v>
      </c>
      <c r="Y11043">
        <f>D11040</f>
        <v>1</v>
      </c>
      <c r="Z11043" t="str">
        <v>=</v>
      </c>
      <c r="AA11043">
        <f>IF(AA11044=0,(D11043*N11043+P11043*R11043)*U11043*Y11043,0)</f>
        <v>8.027323200000001</v>
      </c>
    </row>
    <row r="11044">
      <c r="A11044" t="str">
        <f>A11034</f>
        <v>Lantai Atap</v>
      </c>
      <c r="B11044">
        <f>B11034</f>
        <v>27</v>
      </c>
      <c r="D11044">
        <f>IF(AND(D11041=D11042,D11042=D11043,D11041=D11043),D11041,0)</f>
        <v>0</v>
      </c>
      <c r="E11044" t="str">
        <v>D</v>
      </c>
      <c r="F11044">
        <f>IF(AND(F11041=F11042,F11041=F11043,F11042=F11043),F11041,0)</f>
        <v>16</v>
      </c>
      <c r="L11044" t="str">
        <v>Total panjang per balok</v>
      </c>
      <c r="M11044" t="str">
        <v>=</v>
      </c>
      <c r="N11044">
        <f>IF(AND(D11041=D11042,D11041=D11043,D11042=D11043,F11041=F11042,F11041=F11043,F11042=F11043),SUM(N11041:N11043),0)</f>
        <v>0</v>
      </c>
      <c r="O11044" t="str">
        <v>+</v>
      </c>
      <c r="P11044">
        <f>IF(N11044&gt;12,ROUNDDOWN(N11044/12,0),0)</f>
        <v>0</v>
      </c>
      <c r="Q11044" t="str">
        <v>x</v>
      </c>
      <c r="R11044">
        <f>IF(P11044&gt;0,MAX(VLOOKUP(F11044,$D$6:$G$15,3,FALSE),600),0)/1000</f>
        <v>0</v>
      </c>
      <c r="T11044" t="str">
        <v>x</v>
      </c>
      <c r="U11044">
        <f>U11043</f>
        <v>1.57824</v>
      </c>
      <c r="V11044" t="str">
        <v>x</v>
      </c>
      <c r="W11044">
        <f>D11044</f>
        <v>0</v>
      </c>
      <c r="X11044" t="str">
        <v>x</v>
      </c>
      <c r="Y11044">
        <f>Y11043</f>
        <v>1</v>
      </c>
      <c r="Z11044" t="str">
        <v>=</v>
      </c>
      <c r="AA11044">
        <f>(N11044+P11044*R11044/1000)*U11044*W11044*Y11044</f>
        <v>0</v>
      </c>
    </row>
    <row r="11046">
      <c r="A11046" t="str">
        <f>A11034</f>
        <v>Lantai Atap</v>
      </c>
      <c r="B11046">
        <f>B11034</f>
        <v>27</v>
      </c>
      <c r="C11046" t="str">
        <v>Tul Peminggang</v>
      </c>
      <c r="D11046">
        <f>VLOOKUP(D11034,'Detail Balok'!$C$10:$AU$110,13,FALSE)</f>
        <v>0</v>
      </c>
      <c r="E11046" t="str">
        <v>D</v>
      </c>
      <c r="F11046">
        <f>VLOOKUP(D11034,'Detail Balok'!$C$10:$AU$110,15,FALSE)</f>
        <v>6</v>
      </c>
      <c r="J11046">
        <f>+D11036/1000</f>
        <v>2.725</v>
      </c>
      <c r="K11046" t="str">
        <v>+</v>
      </c>
      <c r="L11046">
        <f>2*$F$16*F11046/1000</f>
        <v>0.144</v>
      </c>
      <c r="M11046" t="str">
        <v>=</v>
      </c>
      <c r="N11046">
        <f>J11046+L11046</f>
        <v>2.869</v>
      </c>
      <c r="O11046" t="str">
        <v>+</v>
      </c>
      <c r="P11046">
        <f>IF(N11046&gt;12,ROUNDDOWN(N11046/12,0),0)</f>
        <v>0</v>
      </c>
      <c r="Q11046" t="str">
        <v>x</v>
      </c>
      <c r="R11046">
        <f>IF(P11046&gt;0,MAX(VLOOKUP(F11046,$D$6:$G$15,3,FALSE),600),0)/1000</f>
        <v>0</v>
      </c>
      <c r="T11046" t="str">
        <v>x</v>
      </c>
      <c r="U11046">
        <f>0.006165*F11046^2</f>
        <v>0.22194000000000003</v>
      </c>
      <c r="V11046" t="str">
        <v>x</v>
      </c>
      <c r="W11046">
        <f>+D11046</f>
        <v>0</v>
      </c>
      <c r="X11046" t="str">
        <v>x</v>
      </c>
      <c r="Y11046">
        <f>D11040</f>
        <v>1</v>
      </c>
      <c r="Z11046" t="str">
        <v>=</v>
      </c>
      <c r="AA11046">
        <f>(N11046+P11046*R11046/1000)*U11046*W11046*Y11046</f>
        <v>0</v>
      </c>
    </row>
    <row r="11049">
      <c r="A11049" t="str">
        <f>A11034</f>
        <v>Lantai Atap</v>
      </c>
      <c r="B11049">
        <f>B11034</f>
        <v>27</v>
      </c>
      <c r="C11049" t="str">
        <v>Tul Bawah Tumpuan</v>
      </c>
      <c r="D11049">
        <f>VLOOKUP(D11034,'Detail Balok'!$C$10:$AU$110,22,FALSE)</f>
        <v>4</v>
      </c>
      <c r="E11049" t="str">
        <v>D</v>
      </c>
      <c r="F11049">
        <f>VLOOKUP(D11034,'Detail Balok'!$C$10:$AU$110,24,FALSE)</f>
        <v>16</v>
      </c>
      <c r="I11049" t="str">
        <v>(</v>
      </c>
      <c r="J11049">
        <f>+J11041</f>
        <v>0.68125</v>
      </c>
      <c r="K11049" t="str">
        <v>+</v>
      </c>
      <c r="L11049">
        <f>MAX(VLOOKUP(F11049,N$6:P$15,3,FALSE)/1000,2/3*D11039/1000)+F$16*F11049/1000</f>
        <v>0.192</v>
      </c>
      <c r="M11049" t="str">
        <v>=</v>
      </c>
      <c r="N11049">
        <f>J11049+L11049</f>
        <v>0.8732500000000001</v>
      </c>
      <c r="O11049" t="str">
        <v>+</v>
      </c>
      <c r="P11049">
        <f>D11049-D11050</f>
        <v>0</v>
      </c>
      <c r="Q11049" t="str">
        <v>x</v>
      </c>
      <c r="R11049">
        <f>IF(P11049&gt;0,$F$18*F11049/1000,0)</f>
        <v>0</v>
      </c>
      <c r="S11049" t="str">
        <v>)</v>
      </c>
      <c r="T11049" t="str">
        <v>x</v>
      </c>
      <c r="U11049">
        <f>0.006165*F11049^2</f>
        <v>1.57824</v>
      </c>
      <c r="X11049" t="str">
        <v>x</v>
      </c>
      <c r="Y11049">
        <f>D11040</f>
        <v>1</v>
      </c>
      <c r="Z11049" t="str">
        <v>=</v>
      </c>
      <c r="AA11049">
        <f>IF(AA11052=0,(D11049*N11049+P11049*R11049)*U11049*Y11049,0)</f>
        <v>0</v>
      </c>
    </row>
    <row r="11050">
      <c r="A11050" t="str">
        <f>A11034</f>
        <v>Lantai Atap</v>
      </c>
      <c r="B11050">
        <f>B11034</f>
        <v>27</v>
      </c>
      <c r="C11050" t="str">
        <v>Tul Bawah Lapangan</v>
      </c>
      <c r="D11050">
        <f>VLOOKUP(D11034,'Detail Balok'!$C$10:$AU$110,25,FALSE)</f>
        <v>4</v>
      </c>
      <c r="E11050" t="str">
        <v>D</v>
      </c>
      <c r="F11050">
        <f>VLOOKUP(D11034,'Detail Balok'!$C$10:$AU$110,27,FALSE)</f>
        <v>16</v>
      </c>
      <c r="I11050" t="str">
        <v>(</v>
      </c>
      <c r="J11050">
        <f>+J11042</f>
        <v>1.3625</v>
      </c>
      <c r="K11050" t="str">
        <v>+</v>
      </c>
      <c r="M11050" t="str">
        <v>=</v>
      </c>
      <c r="N11050">
        <f>J11050+L11050</f>
        <v>1.3625</v>
      </c>
      <c r="O11050" t="str">
        <v>+</v>
      </c>
      <c r="P11050">
        <f>MAX(D11050-D11049,D11050-D11051)</f>
        <v>0</v>
      </c>
      <c r="Q11050" t="str">
        <v>x</v>
      </c>
      <c r="R11050">
        <f>IF(P11050&gt;0,2*(1-2*$F$19-1/2)*D11037/1000,0)</f>
        <v>0</v>
      </c>
      <c r="S11050" t="str">
        <v>)</v>
      </c>
      <c r="T11050" t="str">
        <v>x</v>
      </c>
      <c r="U11050">
        <f>0.006165*F11050^2</f>
        <v>1.57824</v>
      </c>
      <c r="X11050" t="str">
        <v>x</v>
      </c>
      <c r="Y11050">
        <f>D11040</f>
        <v>1</v>
      </c>
      <c r="Z11050" t="str">
        <v>=</v>
      </c>
      <c r="AA11050">
        <f>IF(AA11052=0,(D11050*N11050+P11050*R11050)*U11050*Y11050,0)</f>
        <v>0</v>
      </c>
    </row>
    <row r="11051">
      <c r="A11051" t="str">
        <f>A11034</f>
        <v>Lantai Atap</v>
      </c>
      <c r="B11051">
        <f>B11034</f>
        <v>27</v>
      </c>
      <c r="C11051" t="str">
        <v>Tul Bawah Tumpuan</v>
      </c>
      <c r="D11051">
        <f>VLOOKUP(D11034,'Detail Balok'!$C$10:$AU$110,28,FALSE)</f>
        <v>4</v>
      </c>
      <c r="E11051" t="str">
        <v>D</v>
      </c>
      <c r="F11051">
        <f>VLOOKUP(D11034,'Detail Balok'!$C$10:$AU$110,30,FALSE)</f>
        <v>16</v>
      </c>
      <c r="I11051" t="str">
        <v>(</v>
      </c>
      <c r="J11051">
        <f>+J11043</f>
        <v>0.68125</v>
      </c>
      <c r="K11051" t="str">
        <v>+</v>
      </c>
      <c r="L11051">
        <f>MAX(VLOOKUP(F11051,N$6:P$15,3,FALSE)/1000,2/3*D11039/1000)+F$16*F11051/1000</f>
        <v>0.192</v>
      </c>
      <c r="M11051" t="str">
        <v>=</v>
      </c>
      <c r="N11051">
        <f>J11051+L11051</f>
        <v>0.8732500000000001</v>
      </c>
      <c r="O11051" t="str">
        <v>+</v>
      </c>
      <c r="P11051">
        <f>D11051-D11050</f>
        <v>0</v>
      </c>
      <c r="Q11051" t="str">
        <v>x</v>
      </c>
      <c r="R11051">
        <f>IF(P11051&gt;0,$F$18*F11051/1000,0)</f>
        <v>0</v>
      </c>
      <c r="S11051" t="str">
        <v>)</v>
      </c>
      <c r="T11051" t="str">
        <v>x</v>
      </c>
      <c r="U11051">
        <f>0.006165*F11051^2</f>
        <v>1.57824</v>
      </c>
      <c r="X11051" t="str">
        <v>x</v>
      </c>
      <c r="Y11051">
        <f>D11040</f>
        <v>1</v>
      </c>
      <c r="Z11051" t="str">
        <v>=</v>
      </c>
      <c r="AA11051">
        <f>IF(AA11052=0,(D11051*N11051+P11051*R11051)*U11051*Y11051,0)</f>
        <v>0</v>
      </c>
    </row>
    <row r="11052">
      <c r="A11052" t="str">
        <f>A11034</f>
        <v>Lantai Atap</v>
      </c>
      <c r="B11052">
        <f>B11034</f>
        <v>27</v>
      </c>
      <c r="D11052">
        <f>IF(AND(D11049=D11050,D11050=D11051,D11049=D11051),D11049,0)</f>
        <v>4</v>
      </c>
      <c r="E11052" t="str">
        <v>D</v>
      </c>
      <c r="F11052">
        <f>IF(AND(F11049=F11050,F11049=F11051,F11050=F11051),F11049,0)</f>
        <v>16</v>
      </c>
      <c r="L11052" t="str">
        <v>Total panjang per balok</v>
      </c>
      <c r="M11052" t="str">
        <v>=</v>
      </c>
      <c r="N11052">
        <f>IF(AND(D11049=D11050,D11049=D11051,D11050=D11051,F11049=F11050,F11049=F11051,F11050=F11051),SUM(N11049:N11051),0)</f>
        <v>3.1090000000000004</v>
      </c>
      <c r="O11052" t="str">
        <v>+</v>
      </c>
      <c r="P11052">
        <f>IF(N11052&gt;12,ROUNDDOWN(N11052/12,0),0)</f>
        <v>0</v>
      </c>
      <c r="Q11052" t="str">
        <v>x</v>
      </c>
      <c r="R11052">
        <f>IF(P11052&gt;0,MAX(VLOOKUP(F11052,$D$6:$G$15,3,FALSE),600),0)/1000</f>
        <v>0</v>
      </c>
      <c r="T11052" t="str">
        <v>x</v>
      </c>
      <c r="U11052">
        <f>U11051</f>
        <v>1.57824</v>
      </c>
      <c r="V11052" t="str">
        <v>x</v>
      </c>
      <c r="W11052">
        <f>D11052</f>
        <v>4</v>
      </c>
      <c r="X11052" t="str">
        <v>x</v>
      </c>
      <c r="Y11052">
        <f>Y11051</f>
        <v>1</v>
      </c>
      <c r="Z11052" t="str">
        <v>=</v>
      </c>
      <c r="AA11052">
        <f>(N11052+P11052*R11052/1000)*U11052*W11052*Y11052</f>
        <v>19.626992640000005</v>
      </c>
    </row>
    <row r="11054">
      <c r="A11054" t="str">
        <f>A11034</f>
        <v>Lantai Atap</v>
      </c>
      <c r="B11054">
        <f>B11034</f>
        <v>27</v>
      </c>
      <c r="C11054" t="str">
        <v>Sengkang Tumpuan</v>
      </c>
      <c r="D11054">
        <f>VLOOKUP(D11034,'Detail Balok'!$C$10:$AU$110,31,FALSE)</f>
        <v>0</v>
      </c>
      <c r="E11054" t="str">
        <v>D</v>
      </c>
      <c r="F11054">
        <f>VLOOKUP(D11034,'Detail Balok'!$C$10:$AU$110,33,FALSE)</f>
        <v>10</v>
      </c>
      <c r="G11054" t="str">
        <v>-</v>
      </c>
      <c r="H11054">
        <f>VLOOKUP(D11034,'Detail Balok'!$C$10:$AU$110,35,FALSE)</f>
        <v>80</v>
      </c>
      <c r="J11054">
        <f>(IF(D11054=0,(2*(D11035+G11035))-(F$5*8),IF(D11054=3,(2*(D11035+G11035))-(F$5*8)+(G11035-2*F$5),IF(D11054=4,(2*(D11035+G11035))-(F$5*8)+2*(G11035-2*F$5)))))/1000</f>
        <v>0.88</v>
      </c>
      <c r="K11054" t="str">
        <v>+</v>
      </c>
      <c r="L11054">
        <f>IF(D11054=0,2*MAX(6*F11054,75),(D11054-1)*2*MAX(6*F11054,75))/1000</f>
        <v>0.15</v>
      </c>
      <c r="M11054" t="str">
        <v>=</v>
      </c>
      <c r="N11054">
        <f>J11054+L11054</f>
        <v>1.03</v>
      </c>
      <c r="T11054" t="str">
        <v>x</v>
      </c>
      <c r="U11054">
        <f>0.006165*F11054^2</f>
        <v>0.6165</v>
      </c>
      <c r="V11054" t="str">
        <v>x</v>
      </c>
      <c r="W11054">
        <f>IF(D11037&gt;4*G11035,ROUND(MAX(D11037/4,2*G11035)/H11054,0)+1,ROUND(D11037/H11054,0)+1)</f>
        <v>11</v>
      </c>
      <c r="X11054" t="str">
        <v>x</v>
      </c>
      <c r="Y11054">
        <f>D11040</f>
        <v>1</v>
      </c>
      <c r="Z11054" t="str">
        <v>=</v>
      </c>
      <c r="AA11054">
        <f>N11054*U11054*W11054*Y11054</f>
        <v>6.984945000000001</v>
      </c>
    </row>
    <row r="11055">
      <c r="A11055" t="str">
        <f>A11034</f>
        <v>Lantai Atap</v>
      </c>
      <c r="B11055">
        <f>B11034</f>
        <v>27</v>
      </c>
      <c r="C11055" t="str">
        <v>Sengkang Lapangan</v>
      </c>
      <c r="D11055">
        <f>VLOOKUP(D11034,'Detail Balok'!$C$10:$AU$110,36,FALSE)</f>
        <v>0</v>
      </c>
      <c r="E11055" t="str">
        <v>D</v>
      </c>
      <c r="F11055">
        <f>VLOOKUP(D11034,'Detail Balok'!$C$10:$AU$110,38,FALSE)</f>
        <v>10</v>
      </c>
      <c r="G11055" t="str">
        <v>-</v>
      </c>
      <c r="H11055">
        <f>VLOOKUP(D11034,'Detail Balok'!$C$10:$AU$110,40,FALSE)</f>
        <v>200</v>
      </c>
      <c r="J11055">
        <f>(IF(D11055=0,(2*(D11035+G11035))-(F$5*8),IF(D11055=3,(2*(D11035+G11035))-(F$5*8)+(G11035-2*F$5),IF(D11055=4,(2*(D11035+G11035))-(F$5*8)+2*(G11035-2*F$5)))))/1000</f>
        <v>0.88</v>
      </c>
      <c r="K11055" t="str">
        <v>+</v>
      </c>
      <c r="L11055">
        <f>IF(D11055=0,2*MAX(6*F11055,75),(D11055-1)*2*MAX(6*F11055,75))/1000</f>
        <v>0.15</v>
      </c>
      <c r="M11055" t="str">
        <v>=</v>
      </c>
      <c r="N11055">
        <f>J11055+L11055</f>
        <v>1.03</v>
      </c>
      <c r="T11055" t="str">
        <v>x</v>
      </c>
      <c r="U11055">
        <f>0.006165*F11055^2</f>
        <v>0.6165</v>
      </c>
      <c r="V11055" t="str">
        <v>x</v>
      </c>
      <c r="W11055">
        <f>IF(D11037-MAX(D11037/4,2*G11035)*2&gt;0,ROUND((D11037-MAX(D11037/4,2*G11035)*2)/H11055,0),0)</f>
        <v>6</v>
      </c>
      <c r="X11055" t="str">
        <v>x</v>
      </c>
      <c r="Y11055">
        <f>D11040</f>
        <v>1</v>
      </c>
      <c r="Z11055" t="str">
        <v>=</v>
      </c>
      <c r="AA11055">
        <f>N11055*U11055*W11055*Y11055</f>
        <v>3.8099700000000007</v>
      </c>
    </row>
    <row r="11056">
      <c r="A11056" t="str">
        <f>A11034</f>
        <v>Lantai Atap</v>
      </c>
      <c r="B11056">
        <f>B11034</f>
        <v>27</v>
      </c>
      <c r="C11056" t="str">
        <v>Sengkang Tumpuan</v>
      </c>
      <c r="D11056">
        <f>VLOOKUP(D11034,'Detail Balok'!$C$10:$AU$110,41,FALSE)</f>
        <v>0</v>
      </c>
      <c r="E11056" t="str">
        <v>D</v>
      </c>
      <c r="F11056">
        <f>VLOOKUP(D11034,'Detail Balok'!$C$10:$AU$110,43,FALSE)</f>
        <v>10</v>
      </c>
      <c r="G11056" t="str">
        <v>-</v>
      </c>
      <c r="H11056">
        <f>VLOOKUP(D11034,'Detail Balok'!$C$10:$AU$110,45,FALSE)</f>
        <v>80</v>
      </c>
      <c r="J11056">
        <f>(IF(D11056=0,(2*(D11035+G11035))-(F$5*8),IF(D11056=3,(2*(D11035+G11035))-(F$5*8)+(G11035-2*F$5),IF(D11056=4,(2*(D11035+G11035))-(F$5*8)+2*(G11035-2*F$5)))))/1000</f>
        <v>0.88</v>
      </c>
      <c r="K11056" t="str">
        <v>+</v>
      </c>
      <c r="L11056">
        <f>IF(D11056=0,2*MAX(6*F11056,75),(D11056-1)*2*MAX(6*F11056,75))/1000</f>
        <v>0.15</v>
      </c>
      <c r="M11056" t="str">
        <v>=</v>
      </c>
      <c r="N11056">
        <f>J11056+L11056</f>
        <v>1.03</v>
      </c>
      <c r="T11056" t="str">
        <v>x</v>
      </c>
      <c r="U11056">
        <f>0.006165*F11056^2</f>
        <v>0.6165</v>
      </c>
      <c r="V11056" t="str">
        <v>x</v>
      </c>
      <c r="W11056">
        <f>IF(D11037&gt;4*G11035,ROUND(MAX(D11037/4,2*G11035)/H11056,0)+1,0)</f>
        <v>11</v>
      </c>
      <c r="X11056" t="str">
        <v>x</v>
      </c>
      <c r="Y11056">
        <f>D11040</f>
        <v>1</v>
      </c>
      <c r="Z11056" t="str">
        <v>=</v>
      </c>
      <c r="AA11056">
        <f>N11056*U11056*W11056*Y11056</f>
        <v>6.984945000000001</v>
      </c>
    </row>
    <row r="11058">
      <c r="A11058" t="str">
        <f>A11034</f>
        <v>Lantai Atap</v>
      </c>
      <c r="B11058">
        <f>B11034</f>
        <v>27</v>
      </c>
      <c r="C11058" t="str">
        <v>Kait Horizontal Tump.</v>
      </c>
      <c r="D11058">
        <f>VLOOKUP(D11034,'Detail Balok'!$C$10:$BJ$110,46,FALSE)</f>
        <v>0</v>
      </c>
      <c r="E11058" t="str">
        <v>D</v>
      </c>
      <c r="F11058">
        <f>VLOOKUP(D11034,'Detail Balok'!$C$10:$BJ$110,48,FALSE)</f>
        <v>0</v>
      </c>
      <c r="G11058" t="str">
        <v>-</v>
      </c>
      <c r="H11058">
        <f>VLOOKUP(D11034,'Detail Balok'!$C$10:$BJ$110,50,FALSE)</f>
        <v>100</v>
      </c>
      <c r="J11058">
        <f>(D11035-2*F$5)/1000</f>
        <v>0.12</v>
      </c>
      <c r="K11058" t="str">
        <v>+</v>
      </c>
      <c r="L11058">
        <f>IF(D11058=0,2*MAX(6*F11058,75),(D11058-1)*2*MAX(6*F11058,75))/1000</f>
        <v>0.15</v>
      </c>
      <c r="M11058" t="str">
        <v>=</v>
      </c>
      <c r="N11058">
        <f>J11058+L11058</f>
        <v>0.27</v>
      </c>
      <c r="T11058" t="str">
        <v>x</v>
      </c>
      <c r="U11058">
        <f>0.006165*F11058^2</f>
        <v>0</v>
      </c>
      <c r="V11058" t="str">
        <v>x</v>
      </c>
      <c r="W11058">
        <f>W11054</f>
        <v>11</v>
      </c>
      <c r="X11058" t="str">
        <v>x</v>
      </c>
      <c r="Y11058">
        <f>D11044</f>
        <v>0</v>
      </c>
      <c r="Z11058" t="str">
        <v>=</v>
      </c>
      <c r="AA11058">
        <f>N11058*U11058*W11058*Y11058</f>
        <v>0</v>
      </c>
    </row>
    <row r="11059">
      <c r="A11059" t="str">
        <f>A11034</f>
        <v>Lantai Atap</v>
      </c>
      <c r="B11059">
        <f>B11034</f>
        <v>27</v>
      </c>
      <c r="C11059" t="str">
        <v>Kait Horizontal Lap.</v>
      </c>
      <c r="D11059">
        <f>VLOOKUP(D11034,'Detail Balok'!$C$10:$BJ$110,51,FALSE)</f>
        <v>0</v>
      </c>
      <c r="E11059" t="str">
        <v>D</v>
      </c>
      <c r="F11059">
        <f>VLOOKUP(D11034,'Detail Balok'!$C$10:$BJ$110,53,FALSE)</f>
        <v>0</v>
      </c>
      <c r="G11059" t="str">
        <v>-</v>
      </c>
      <c r="H11059">
        <f>VLOOKUP(D11034,'Detail Balok'!$C$10:$BJ$110,55,FALSE)</f>
        <v>100</v>
      </c>
      <c r="J11059">
        <f>(D11035-2*F$5)/1000</f>
        <v>0.12</v>
      </c>
      <c r="K11059" t="str">
        <v>+</v>
      </c>
      <c r="L11059">
        <f>IF(D11059=0,2*MAX(6*F11059,75),(D11059-1)*2*MAX(6*F11059,75))/1000</f>
        <v>0.15</v>
      </c>
      <c r="M11059" t="str">
        <v>=</v>
      </c>
      <c r="N11059">
        <f>J11059+L11059</f>
        <v>0.27</v>
      </c>
      <c r="T11059" t="str">
        <v>x</v>
      </c>
      <c r="U11059">
        <f>0.006165*F11059^2</f>
        <v>0</v>
      </c>
      <c r="V11059" t="str">
        <v>x</v>
      </c>
      <c r="W11059">
        <f>W11055</f>
        <v>6</v>
      </c>
      <c r="X11059" t="str">
        <v>x</v>
      </c>
      <c r="Y11059">
        <f>D11044</f>
        <v>0</v>
      </c>
      <c r="Z11059" t="str">
        <v>=</v>
      </c>
      <c r="AA11059">
        <f>N11059*U11059*W11059*Y11059</f>
        <v>0</v>
      </c>
    </row>
    <row r="11060">
      <c r="A11060" t="str">
        <f>A11034</f>
        <v>Lantai Atap</v>
      </c>
      <c r="B11060">
        <f>B11034</f>
        <v>27</v>
      </c>
      <c r="C11060" t="str">
        <v>Kait Horizontal Tump.</v>
      </c>
      <c r="D11060">
        <f>VLOOKUP(D11034,'Detail Balok'!$C$10:$BJ$110,56,FALSE)</f>
        <v>0</v>
      </c>
      <c r="E11060" t="str">
        <v>D</v>
      </c>
      <c r="F11060">
        <f>VLOOKUP(D11034,'Detail Balok'!$C$10:$BJ$110,58,FALSE)</f>
        <v>0</v>
      </c>
      <c r="G11060" t="str">
        <v>-</v>
      </c>
      <c r="H11060">
        <f>VLOOKUP(D11034,'Detail Balok'!$C$10:$BJ$110,60,FALSE)</f>
        <v>100</v>
      </c>
      <c r="J11060">
        <f>(D11035-2*F$5)/1000</f>
        <v>0.12</v>
      </c>
      <c r="K11060" t="str">
        <v>+</v>
      </c>
      <c r="L11060">
        <f>IF(D11060=0,2*MAX(6*F11060,75),(D11060-1)*2*MAX(6*F11060,75))/1000</f>
        <v>0.15</v>
      </c>
      <c r="M11060" t="str">
        <v>=</v>
      </c>
      <c r="N11060">
        <f>J11060+L11060</f>
        <v>0.27</v>
      </c>
      <c r="T11060" t="str">
        <v>x</v>
      </c>
      <c r="U11060">
        <f>0.006165*F11060^2</f>
        <v>0</v>
      </c>
      <c r="V11060" t="str">
        <v>x</v>
      </c>
      <c r="W11060">
        <f>W11056</f>
        <v>11</v>
      </c>
      <c r="X11060" t="str">
        <v>x</v>
      </c>
      <c r="Y11060">
        <f>D11044</f>
        <v>0</v>
      </c>
      <c r="Z11060" t="str">
        <v>=</v>
      </c>
      <c r="AA11060">
        <f>N11060*U11060*W11060*Y11060</f>
        <v>0</v>
      </c>
    </row>
    <row r="11064">
      <c r="A11064" t="str">
        <f>A11034</f>
        <v>Lantai Atap</v>
      </c>
      <c r="B11064">
        <f>B11034+1</f>
        <v>28</v>
      </c>
      <c r="C11064" t="str">
        <f>CONCATENATE(A11064," no. ",B11064)</f>
        <v>Lantai Atap no. 28</v>
      </c>
      <c r="D11064" t="str">
        <f>VLOOKUP(C11064,'Data Panjang Balok'!$C$9:$N$424,2,FALSE)</f>
        <v>Potongan B</v>
      </c>
    </row>
    <row r="11065">
      <c r="C11065" t="str">
        <v>Dimensi</v>
      </c>
      <c r="D11065">
        <f>VLOOKUP(D11064,'Detail Balok'!$C$10:$AU$110,2,FALSE)</f>
        <v>200</v>
      </c>
      <c r="F11065" t="str">
        <v>x</v>
      </c>
      <c r="G11065">
        <f>VLOOKUP(D11064,'Detail Balok'!$C$10:$AU$110,3,FALSE)</f>
        <v>500</v>
      </c>
    </row>
    <row r="11066">
      <c r="C11066" t="str">
        <v>Panjang as ke as</v>
      </c>
      <c r="D11066">
        <f>VLOOKUP(C11064,'Data Panjang Balok'!$C$9:$N$424,4,FALSE)</f>
        <v>1335</v>
      </c>
    </row>
    <row r="11067">
      <c r="C11067" t="str">
        <v>Panjang netto</v>
      </c>
      <c r="D11067">
        <f>VLOOKUP(C11064,'Data Panjang Balok'!$C$9:$N$424,7,FALSE)</f>
        <v>1335</v>
      </c>
    </row>
    <row r="11068">
      <c r="C11068" t="str">
        <v>Kolom / balok kiri</v>
      </c>
      <c r="D11068">
        <f>VLOOKUP(C11064,'Data Panjang Balok'!$C$9:$N$424,9,FALSE)</f>
        <v>0</v>
      </c>
    </row>
    <row r="11069">
      <c r="C11069" t="str">
        <v>Kolom / balok kanan</v>
      </c>
      <c r="D11069">
        <f>VLOOKUP(C11064,'Data Panjang Balok'!$C$9:$N$424,10,FALSE)</f>
        <v>0</v>
      </c>
    </row>
    <row r="11070">
      <c r="C11070" t="str">
        <v>Jumlah</v>
      </c>
      <c r="D11070">
        <f>VLOOKUP(C11064,'Data Panjang Balok'!$C$9:$N$424,3,FALSE)</f>
        <v>1</v>
      </c>
    </row>
    <row r="11071">
      <c r="A11071" t="str">
        <f>A11064</f>
        <v>Lantai Atap</v>
      </c>
      <c r="B11071">
        <f>B11064</f>
        <v>28</v>
      </c>
      <c r="C11071" t="str">
        <v>Tul Atas Tumpuan</v>
      </c>
      <c r="D11071">
        <f>VLOOKUP(D11064,'Detail Balok'!$C$10:$AU$110,4,FALSE)</f>
        <v>6</v>
      </c>
      <c r="E11071" t="str">
        <v>D</v>
      </c>
      <c r="F11071">
        <f>VLOOKUP(D11064,'Detail Balok'!$C$10:$AU$110,6,FALSE)</f>
        <v>16</v>
      </c>
      <c r="I11071" t="str">
        <v>(</v>
      </c>
      <c r="J11071">
        <f>+D11066/4/1000</f>
        <v>0.33375</v>
      </c>
      <c r="K11071" t="str">
        <v>+</v>
      </c>
      <c r="L11071">
        <f>MAX(VLOOKUP(F11071,N$6:P$15,3,FALSE)/1000,2/3*D11068/1000)+F$16*F11071/1000</f>
        <v>0.192</v>
      </c>
      <c r="M11071" t="str">
        <v>=</v>
      </c>
      <c r="N11071">
        <f>J11071+L11071</f>
        <v>0.5257499999999999</v>
      </c>
      <c r="O11071" t="str">
        <v>+</v>
      </c>
      <c r="P11071">
        <f>D11071-D11072</f>
        <v>0</v>
      </c>
      <c r="Q11071" t="str">
        <v>x</v>
      </c>
      <c r="R11071">
        <f>IF(P11071&gt;0,$F$18*F11071/1000,0)</f>
        <v>0</v>
      </c>
      <c r="S11071" t="str">
        <v>)</v>
      </c>
      <c r="T11071" t="str">
        <v>x</v>
      </c>
      <c r="U11071">
        <f>0.006165*F11071^2</f>
        <v>1.57824</v>
      </c>
      <c r="X11071" t="str">
        <v>x</v>
      </c>
      <c r="Y11071">
        <f>D11070</f>
        <v>1</v>
      </c>
      <c r="Z11071" t="str">
        <v>=</v>
      </c>
      <c r="AA11071">
        <f>IF(AA11074=0,(D11071*N11071+P11071*R11071)*U11071*Y11071,0)</f>
        <v>0</v>
      </c>
    </row>
    <row r="11072">
      <c r="A11072" t="str">
        <f>A11064</f>
        <v>Lantai Atap</v>
      </c>
      <c r="B11072">
        <f>B11064</f>
        <v>28</v>
      </c>
      <c r="C11072" t="str">
        <v>Tul Atas Lapangan</v>
      </c>
      <c r="D11072">
        <f>VLOOKUP(D11064,'Detail Balok'!$C$10:$AU$110,7,FALSE)</f>
        <v>6</v>
      </c>
      <c r="E11072" t="str">
        <v>D</v>
      </c>
      <c r="F11072">
        <f>VLOOKUP(D11064,'Detail Balok'!$C$10:$AU$110,9,FALSE)</f>
        <v>16</v>
      </c>
      <c r="I11072" t="str">
        <v>(</v>
      </c>
      <c r="J11072">
        <f>+D11066/2/1000</f>
        <v>0.6675</v>
      </c>
      <c r="K11072" t="str">
        <v>+</v>
      </c>
      <c r="M11072" t="str">
        <v>=</v>
      </c>
      <c r="N11072">
        <f>J11072+L11072</f>
        <v>0.6675</v>
      </c>
      <c r="O11072" t="str">
        <v>+</v>
      </c>
      <c r="P11072">
        <f>MAX(D11072-D11071,D11072-D11073)</f>
        <v>0</v>
      </c>
      <c r="Q11072" t="str">
        <v>x</v>
      </c>
      <c r="R11072">
        <f>IF(P11072&gt;0,2*(1-2*$F$19-1/2)*D11067/1000,0)</f>
        <v>0</v>
      </c>
      <c r="S11072" t="str">
        <v>)</v>
      </c>
      <c r="T11072" t="str">
        <v>x</v>
      </c>
      <c r="U11072">
        <f>0.006165*F11072^2</f>
        <v>1.57824</v>
      </c>
      <c r="X11072" t="str">
        <v>x</v>
      </c>
      <c r="Y11072">
        <f>D11070</f>
        <v>1</v>
      </c>
      <c r="Z11072" t="str">
        <v>=</v>
      </c>
      <c r="AA11072">
        <f>IF(AA11074=0,(D11072*N11072+P11072*R11072)*U11072*Y11072,0)</f>
        <v>0</v>
      </c>
    </row>
    <row r="11073">
      <c r="A11073" t="str">
        <f>A11064</f>
        <v>Lantai Atap</v>
      </c>
      <c r="B11073">
        <f>B11064</f>
        <v>28</v>
      </c>
      <c r="C11073" t="str">
        <v>Tul Atas Tumpuan</v>
      </c>
      <c r="D11073">
        <f>VLOOKUP(D11064,'Detail Balok'!$C$10:$AU$110,10,FALSE)</f>
        <v>6</v>
      </c>
      <c r="E11073" t="str">
        <v>D</v>
      </c>
      <c r="F11073">
        <f>VLOOKUP(D11064,'Detail Balok'!$C$10:$AU$110,12,FALSE)</f>
        <v>16</v>
      </c>
      <c r="I11073" t="str">
        <v>(</v>
      </c>
      <c r="J11073">
        <f>+D11066/4/1000</f>
        <v>0.33375</v>
      </c>
      <c r="K11073" t="str">
        <v>+</v>
      </c>
      <c r="L11073">
        <f>MAX(VLOOKUP(F11073,N$6:P$15,3,FALSE)/1000,2/3*D11068/1000)+F$16*F11073/1000</f>
        <v>0.192</v>
      </c>
      <c r="M11073" t="str">
        <v>=</v>
      </c>
      <c r="N11073">
        <f>J11073+L11073</f>
        <v>0.5257499999999999</v>
      </c>
      <c r="O11073" t="str">
        <v>+</v>
      </c>
      <c r="P11073">
        <f>D11073-D11072</f>
        <v>0</v>
      </c>
      <c r="Q11073" t="str">
        <v>x</v>
      </c>
      <c r="R11073">
        <f>IF(P11073&gt;0,$F$18*F11073/1000,0)</f>
        <v>0</v>
      </c>
      <c r="S11073" t="str">
        <v>)</v>
      </c>
      <c r="T11073" t="str">
        <v>x</v>
      </c>
      <c r="U11073">
        <f>0.006165*F11073^2</f>
        <v>1.57824</v>
      </c>
      <c r="X11073" t="str">
        <v>x</v>
      </c>
      <c r="Y11073">
        <f>D11070</f>
        <v>1</v>
      </c>
      <c r="Z11073" t="str">
        <v>=</v>
      </c>
      <c r="AA11073">
        <f>IF(AA11074=0,(D11073*N11073+P11073*R11073)*U11073*Y11073,0)</f>
        <v>0</v>
      </c>
    </row>
    <row r="11074">
      <c r="A11074" t="str">
        <f>A11064</f>
        <v>Lantai Atap</v>
      </c>
      <c r="B11074">
        <f>B11064</f>
        <v>28</v>
      </c>
      <c r="D11074">
        <f>IF(AND(D11071=D11072,D11072=D11073,D11071=D11073),D11071,0)</f>
        <v>6</v>
      </c>
      <c r="E11074" t="str">
        <v>D</v>
      </c>
      <c r="F11074">
        <f>IF(AND(F11071=F11072,F11071=F11073,F11072=F11073),F11071,0)</f>
        <v>16</v>
      </c>
      <c r="L11074" t="str">
        <v>Total panjang per balok</v>
      </c>
      <c r="M11074" t="str">
        <v>=</v>
      </c>
      <c r="N11074">
        <f>IF(AND(D11071=D11072,D11071=D11073,D11072=D11073,F11071=F11072,F11071=F11073,F11072=F11073),SUM(N11071:N11073),0)</f>
        <v>1.7189999999999999</v>
      </c>
      <c r="O11074" t="str">
        <v>+</v>
      </c>
      <c r="P11074">
        <f>IF(N11074&gt;12,ROUNDDOWN(N11074/12,0),0)</f>
        <v>0</v>
      </c>
      <c r="Q11074" t="str">
        <v>x</v>
      </c>
      <c r="R11074">
        <f>IF(P11074&gt;0,MAX(VLOOKUP(F11074,$D$6:$G$15,3,FALSE),600),0)/1000</f>
        <v>0</v>
      </c>
      <c r="T11074" t="str">
        <v>x</v>
      </c>
      <c r="U11074">
        <f>U11073</f>
        <v>1.57824</v>
      </c>
      <c r="V11074" t="str">
        <v>x</v>
      </c>
      <c r="W11074">
        <f>D11074</f>
        <v>6</v>
      </c>
      <c r="X11074" t="str">
        <v>x</v>
      </c>
      <c r="Y11074">
        <f>Y11073</f>
        <v>1</v>
      </c>
      <c r="Z11074" t="str">
        <v>=</v>
      </c>
      <c r="AA11074">
        <f>(N11074+P11074*R11074/1000)*U11074*W11074*Y11074</f>
        <v>16.277967359999998</v>
      </c>
    </row>
    <row r="11076">
      <c r="A11076" t="str">
        <f>A11064</f>
        <v>Lantai Atap</v>
      </c>
      <c r="B11076">
        <f>B11064</f>
        <v>28</v>
      </c>
      <c r="C11076" t="str">
        <v>Tul Peminggang</v>
      </c>
      <c r="D11076">
        <f>VLOOKUP(D11064,'Detail Balok'!$C$10:$AU$110,13,FALSE)</f>
        <v>2</v>
      </c>
      <c r="E11076" t="str">
        <v>D</v>
      </c>
      <c r="F11076">
        <f>VLOOKUP(D11064,'Detail Balok'!$C$10:$AU$110,15,FALSE)</f>
        <v>10</v>
      </c>
      <c r="J11076">
        <f>+D11066/1000</f>
        <v>1.335</v>
      </c>
      <c r="K11076" t="str">
        <v>+</v>
      </c>
      <c r="L11076">
        <f>2*$F$16*F11076/1000</f>
        <v>0.24</v>
      </c>
      <c r="M11076" t="str">
        <v>=</v>
      </c>
      <c r="N11076">
        <f>J11076+L11076</f>
        <v>1.575</v>
      </c>
      <c r="O11076" t="str">
        <v>+</v>
      </c>
      <c r="P11076">
        <f>IF(N11076&gt;12,ROUNDDOWN(N11076/12,0),0)</f>
        <v>0</v>
      </c>
      <c r="Q11076" t="str">
        <v>x</v>
      </c>
      <c r="R11076">
        <f>IF(P11076&gt;0,MAX(VLOOKUP(F11076,$D$6:$G$15,3,FALSE),600),0)/1000</f>
        <v>0</v>
      </c>
      <c r="T11076" t="str">
        <v>x</v>
      </c>
      <c r="U11076">
        <f>0.006165*F11076^2</f>
        <v>0.6165</v>
      </c>
      <c r="V11076" t="str">
        <v>x</v>
      </c>
      <c r="W11076">
        <f>+D11076</f>
        <v>2</v>
      </c>
      <c r="X11076" t="str">
        <v>x</v>
      </c>
      <c r="Y11076">
        <f>D11070</f>
        <v>1</v>
      </c>
      <c r="Z11076" t="str">
        <v>=</v>
      </c>
      <c r="AA11076">
        <f>(N11076+P11076*R11076/1000)*U11076*W11076*Y11076</f>
        <v>1.941975</v>
      </c>
    </row>
    <row r="11079">
      <c r="A11079" t="str">
        <f>A11064</f>
        <v>Lantai Atap</v>
      </c>
      <c r="B11079">
        <f>B11064</f>
        <v>28</v>
      </c>
      <c r="C11079" t="str">
        <v>Tul Bawah Tumpuan</v>
      </c>
      <c r="D11079">
        <f>VLOOKUP(D11064,'Detail Balok'!$C$10:$AU$110,22,FALSE)</f>
        <v>3</v>
      </c>
      <c r="E11079" t="str">
        <v>D</v>
      </c>
      <c r="F11079">
        <f>VLOOKUP(D11064,'Detail Balok'!$C$10:$AU$110,24,FALSE)</f>
        <v>16</v>
      </c>
      <c r="I11079" t="str">
        <v>(</v>
      </c>
      <c r="J11079">
        <f>+J11071</f>
        <v>0.33375</v>
      </c>
      <c r="K11079" t="str">
        <v>+</v>
      </c>
      <c r="L11079">
        <f>MAX(VLOOKUP(F11079,N$6:P$15,3,FALSE)/1000,2/3*D11069/1000)+F$16*F11079/1000</f>
        <v>0.192</v>
      </c>
      <c r="M11079" t="str">
        <v>=</v>
      </c>
      <c r="N11079">
        <f>J11079+L11079</f>
        <v>0.5257499999999999</v>
      </c>
      <c r="O11079" t="str">
        <v>+</v>
      </c>
      <c r="P11079">
        <f>D11079-D11080</f>
        <v>0</v>
      </c>
      <c r="Q11079" t="str">
        <v>x</v>
      </c>
      <c r="R11079">
        <f>IF(P11079&gt;0,$F$18*F11079/1000,0)</f>
        <v>0</v>
      </c>
      <c r="S11079" t="str">
        <v>)</v>
      </c>
      <c r="T11079" t="str">
        <v>x</v>
      </c>
      <c r="U11079">
        <f>0.006165*F11079^2</f>
        <v>1.57824</v>
      </c>
      <c r="X11079" t="str">
        <v>x</v>
      </c>
      <c r="Y11079">
        <f>D11070</f>
        <v>1</v>
      </c>
      <c r="Z11079" t="str">
        <v>=</v>
      </c>
      <c r="AA11079">
        <f>IF(AA11082=0,(D11079*N11079+P11079*R11079)*U11079*Y11079,0)</f>
        <v>0</v>
      </c>
    </row>
    <row r="11080">
      <c r="A11080" t="str">
        <f>A11064</f>
        <v>Lantai Atap</v>
      </c>
      <c r="B11080">
        <f>B11064</f>
        <v>28</v>
      </c>
      <c r="C11080" t="str">
        <v>Tul Bawah Lapangan</v>
      </c>
      <c r="D11080">
        <f>VLOOKUP(D11064,'Detail Balok'!$C$10:$AU$110,25,FALSE)</f>
        <v>3</v>
      </c>
      <c r="E11080" t="str">
        <v>D</v>
      </c>
      <c r="F11080">
        <f>VLOOKUP(D11064,'Detail Balok'!$C$10:$AU$110,27,FALSE)</f>
        <v>16</v>
      </c>
      <c r="I11080" t="str">
        <v>(</v>
      </c>
      <c r="J11080">
        <f>+J11072</f>
        <v>0.6675</v>
      </c>
      <c r="K11080" t="str">
        <v>+</v>
      </c>
      <c r="M11080" t="str">
        <v>=</v>
      </c>
      <c r="N11080">
        <f>J11080+L11080</f>
        <v>0.6675</v>
      </c>
      <c r="O11080" t="str">
        <v>+</v>
      </c>
      <c r="P11080">
        <f>MAX(D11080-D11079,D11080-D11081)</f>
        <v>0</v>
      </c>
      <c r="Q11080" t="str">
        <v>x</v>
      </c>
      <c r="R11080">
        <f>IF(P11080&gt;0,2*(1-2*$F$19-1/2)*D11067/1000,0)</f>
        <v>0</v>
      </c>
      <c r="S11080" t="str">
        <v>)</v>
      </c>
      <c r="T11080" t="str">
        <v>x</v>
      </c>
      <c r="U11080">
        <f>0.006165*F11080^2</f>
        <v>1.57824</v>
      </c>
      <c r="X11080" t="str">
        <v>x</v>
      </c>
      <c r="Y11080">
        <f>D11070</f>
        <v>1</v>
      </c>
      <c r="Z11080" t="str">
        <v>=</v>
      </c>
      <c r="AA11080">
        <f>IF(AA11082=0,(D11080*N11080+P11080*R11080)*U11080*Y11080,0)</f>
        <v>0</v>
      </c>
    </row>
    <row r="11081">
      <c r="A11081" t="str">
        <f>A11064</f>
        <v>Lantai Atap</v>
      </c>
      <c r="B11081">
        <f>B11064</f>
        <v>28</v>
      </c>
      <c r="C11081" t="str">
        <v>Tul Bawah Tumpuan</v>
      </c>
      <c r="D11081">
        <f>VLOOKUP(D11064,'Detail Balok'!$C$10:$AU$110,28,FALSE)</f>
        <v>3</v>
      </c>
      <c r="E11081" t="str">
        <v>D</v>
      </c>
      <c r="F11081">
        <f>VLOOKUP(D11064,'Detail Balok'!$C$10:$AU$110,30,FALSE)</f>
        <v>16</v>
      </c>
      <c r="I11081" t="str">
        <v>(</v>
      </c>
      <c r="J11081">
        <f>+J11073</f>
        <v>0.33375</v>
      </c>
      <c r="K11081" t="str">
        <v>+</v>
      </c>
      <c r="L11081">
        <f>MAX(VLOOKUP(F11081,N$6:P$15,3,FALSE)/1000,2/3*D11069/1000)+F$16*F11081/1000</f>
        <v>0.192</v>
      </c>
      <c r="M11081" t="str">
        <v>=</v>
      </c>
      <c r="N11081">
        <f>J11081+L11081</f>
        <v>0.5257499999999999</v>
      </c>
      <c r="O11081" t="str">
        <v>+</v>
      </c>
      <c r="P11081">
        <f>D11081-D11080</f>
        <v>0</v>
      </c>
      <c r="Q11081" t="str">
        <v>x</v>
      </c>
      <c r="R11081">
        <f>IF(P11081&gt;0,$F$18*F11081/1000,0)</f>
        <v>0</v>
      </c>
      <c r="S11081" t="str">
        <v>)</v>
      </c>
      <c r="T11081" t="str">
        <v>x</v>
      </c>
      <c r="U11081">
        <f>0.006165*F11081^2</f>
        <v>1.57824</v>
      </c>
      <c r="X11081" t="str">
        <v>x</v>
      </c>
      <c r="Y11081">
        <f>D11070</f>
        <v>1</v>
      </c>
      <c r="Z11081" t="str">
        <v>=</v>
      </c>
      <c r="AA11081">
        <f>IF(AA11082=0,(D11081*N11081+P11081*R11081)*U11081*Y11081,0)</f>
        <v>0</v>
      </c>
    </row>
    <row r="11082">
      <c r="A11082" t="str">
        <f>A11064</f>
        <v>Lantai Atap</v>
      </c>
      <c r="B11082">
        <f>B11064</f>
        <v>28</v>
      </c>
      <c r="D11082">
        <f>IF(AND(D11079=D11080,D11080=D11081,D11079=D11081),D11079,0)</f>
        <v>3</v>
      </c>
      <c r="E11082" t="str">
        <v>D</v>
      </c>
      <c r="F11082">
        <f>IF(AND(F11079=F11080,F11079=F11081,F11080=F11081),F11079,0)</f>
        <v>16</v>
      </c>
      <c r="L11082" t="str">
        <v>Total panjang per balok</v>
      </c>
      <c r="M11082" t="str">
        <v>=</v>
      </c>
      <c r="N11082">
        <f>IF(AND(D11079=D11080,D11079=D11081,D11080=D11081,F11079=F11080,F11079=F11081,F11080=F11081),SUM(N11079:N11081),0)</f>
        <v>1.7189999999999999</v>
      </c>
      <c r="O11082" t="str">
        <v>+</v>
      </c>
      <c r="P11082">
        <f>IF(N11082&gt;12,ROUNDDOWN(N11082/12,0),0)</f>
        <v>0</v>
      </c>
      <c r="Q11082" t="str">
        <v>x</v>
      </c>
      <c r="R11082">
        <f>IF(P11082&gt;0,MAX(VLOOKUP(F11082,$D$6:$G$15,3,FALSE),600),0)/1000</f>
        <v>0</v>
      </c>
      <c r="T11082" t="str">
        <v>x</v>
      </c>
      <c r="U11082">
        <f>U11081</f>
        <v>1.57824</v>
      </c>
      <c r="V11082" t="str">
        <v>x</v>
      </c>
      <c r="W11082">
        <f>D11082</f>
        <v>3</v>
      </c>
      <c r="X11082" t="str">
        <v>x</v>
      </c>
      <c r="Y11082">
        <f>Y11081</f>
        <v>1</v>
      </c>
      <c r="Z11082" t="str">
        <v>=</v>
      </c>
      <c r="AA11082">
        <f>(N11082+P11082*R11082/1000)*U11082*W11082*Y11082</f>
        <v>8.138983679999999</v>
      </c>
    </row>
    <row r="11084">
      <c r="A11084" t="str">
        <f>A11064</f>
        <v>Lantai Atap</v>
      </c>
      <c r="B11084">
        <f>B11064</f>
        <v>28</v>
      </c>
      <c r="C11084" t="str">
        <v>Sengkang Tumpuan</v>
      </c>
      <c r="D11084">
        <f>VLOOKUP(D11064,'Detail Balok'!$C$10:$AU$110,31,FALSE)</f>
        <v>3</v>
      </c>
      <c r="E11084" t="str">
        <v>D</v>
      </c>
      <c r="F11084">
        <f>VLOOKUP(D11064,'Detail Balok'!$C$10:$AU$110,33,FALSE)</f>
        <v>10</v>
      </c>
      <c r="G11084" t="str">
        <v>-</v>
      </c>
      <c r="H11084">
        <f>VLOOKUP(D11064,'Detail Balok'!$C$10:$AU$110,35,FALSE)</f>
        <v>80</v>
      </c>
      <c r="J11084">
        <f>(IF(D11084=0,(2*(D11065+G11065))-(F$5*8),IF(D11084=3,(2*(D11065+G11065))-(F$5*8)+(G11065-2*F$5),IF(D11084=4,(2*(D11065+G11065))-(F$5*8)+2*(G11065-2*F$5)))))/1000</f>
        <v>1.5</v>
      </c>
      <c r="K11084" t="str">
        <v>+</v>
      </c>
      <c r="L11084">
        <f>IF(D11084=0,2*MAX(6*F11084,75),(D11084-1)*2*MAX(6*F11084,75))/1000</f>
        <v>0.3</v>
      </c>
      <c r="M11084" t="str">
        <v>=</v>
      </c>
      <c r="N11084">
        <f>J11084+L11084</f>
        <v>1.8</v>
      </c>
      <c r="T11084" t="str">
        <v>x</v>
      </c>
      <c r="U11084">
        <f>0.006165*F11084^2</f>
        <v>0.6165</v>
      </c>
      <c r="V11084" t="str">
        <v>x</v>
      </c>
      <c r="W11084">
        <f>IF(D11067&gt;4*G11065,ROUND(MAX(D11067/4,2*G11065)/H11084,0)+1,ROUND(D11067/H11084,0)+1)</f>
        <v>18</v>
      </c>
      <c r="X11084" t="str">
        <v>x</v>
      </c>
      <c r="Y11084">
        <f>D11070</f>
        <v>1</v>
      </c>
      <c r="Z11084" t="str">
        <v>=</v>
      </c>
      <c r="AA11084">
        <f>N11084*U11084*W11084*Y11084</f>
        <v>19.974600000000002</v>
      </c>
    </row>
    <row r="11085">
      <c r="A11085" t="str">
        <f>A11064</f>
        <v>Lantai Atap</v>
      </c>
      <c r="B11085">
        <f>B11064</f>
        <v>28</v>
      </c>
      <c r="C11085" t="str">
        <v>Sengkang Lapangan</v>
      </c>
      <c r="D11085">
        <f>VLOOKUP(D11064,'Detail Balok'!$C$10:$AU$110,36,FALSE)</f>
        <v>3</v>
      </c>
      <c r="E11085" t="str">
        <v>D</v>
      </c>
      <c r="F11085">
        <f>VLOOKUP(D11064,'Detail Balok'!$C$10:$AU$110,38,FALSE)</f>
        <v>10</v>
      </c>
      <c r="G11085" t="str">
        <v>-</v>
      </c>
      <c r="H11085">
        <f>VLOOKUP(D11064,'Detail Balok'!$C$10:$AU$110,40,FALSE)</f>
        <v>80</v>
      </c>
      <c r="J11085">
        <f>(IF(D11085=0,(2*(D11065+G11065))-(F$5*8),IF(D11085=3,(2*(D11065+G11065))-(F$5*8)+(G11065-2*F$5),IF(D11085=4,(2*(D11065+G11065))-(F$5*8)+2*(G11065-2*F$5)))))/1000</f>
        <v>1.5</v>
      </c>
      <c r="K11085" t="str">
        <v>+</v>
      </c>
      <c r="L11085">
        <f>IF(D11085=0,2*MAX(6*F11085,75),(D11085-1)*2*MAX(6*F11085,75))/1000</f>
        <v>0.3</v>
      </c>
      <c r="M11085" t="str">
        <v>=</v>
      </c>
      <c r="N11085">
        <f>J11085+L11085</f>
        <v>1.8</v>
      </c>
      <c r="T11085" t="str">
        <v>x</v>
      </c>
      <c r="U11085">
        <f>0.006165*F11085^2</f>
        <v>0.6165</v>
      </c>
      <c r="V11085" t="str">
        <v>x</v>
      </c>
      <c r="W11085">
        <f>IF(D11067-MAX(D11067/4,2*G11065)*2&gt;0,ROUND((D11067-MAX(D11067/4,2*G11065)*2)/H11085,0),0)</f>
        <v>0</v>
      </c>
      <c r="X11085" t="str">
        <v>x</v>
      </c>
      <c r="Y11085">
        <f>D11070</f>
        <v>1</v>
      </c>
      <c r="Z11085" t="str">
        <v>=</v>
      </c>
      <c r="AA11085">
        <f>N11085*U11085*W11085*Y11085</f>
        <v>0</v>
      </c>
    </row>
    <row r="11086">
      <c r="A11086" t="str">
        <f>A11064</f>
        <v>Lantai Atap</v>
      </c>
      <c r="B11086">
        <f>B11064</f>
        <v>28</v>
      </c>
      <c r="C11086" t="str">
        <v>Sengkang Tumpuan</v>
      </c>
      <c r="D11086">
        <f>VLOOKUP(D11064,'Detail Balok'!$C$10:$AU$110,41,FALSE)</f>
        <v>3</v>
      </c>
      <c r="E11086" t="str">
        <v>D</v>
      </c>
      <c r="F11086">
        <f>VLOOKUP(D11064,'Detail Balok'!$C$10:$AU$110,43,FALSE)</f>
        <v>10</v>
      </c>
      <c r="G11086" t="str">
        <v>-</v>
      </c>
      <c r="H11086">
        <f>VLOOKUP(D11064,'Detail Balok'!$C$10:$AU$110,45,FALSE)</f>
        <v>80</v>
      </c>
      <c r="J11086">
        <f>(IF(D11086=0,(2*(D11065+G11065))-(F$5*8),IF(D11086=3,(2*(D11065+G11065))-(F$5*8)+(G11065-2*F$5),IF(D11086=4,(2*(D11065+G11065))-(F$5*8)+2*(G11065-2*F$5)))))/1000</f>
        <v>1.5</v>
      </c>
      <c r="K11086" t="str">
        <v>+</v>
      </c>
      <c r="L11086">
        <f>IF(D11086=0,2*MAX(6*F11086,75),(D11086-1)*2*MAX(6*F11086,75))/1000</f>
        <v>0.3</v>
      </c>
      <c r="M11086" t="str">
        <v>=</v>
      </c>
      <c r="N11086">
        <f>J11086+L11086</f>
        <v>1.8</v>
      </c>
      <c r="T11086" t="str">
        <v>x</v>
      </c>
      <c r="U11086">
        <f>0.006165*F11086^2</f>
        <v>0.6165</v>
      </c>
      <c r="V11086" t="str">
        <v>x</v>
      </c>
      <c r="W11086">
        <f>IF(D11067&gt;4*G11065,ROUND(MAX(D11067/4,2*G11065)/H11086,0)+1,0)</f>
        <v>0</v>
      </c>
      <c r="X11086" t="str">
        <v>x</v>
      </c>
      <c r="Y11086">
        <f>D11070</f>
        <v>1</v>
      </c>
      <c r="Z11086" t="str">
        <v>=</v>
      </c>
      <c r="AA11086">
        <f>N11086*U11086*W11086*Y11086</f>
        <v>0</v>
      </c>
    </row>
    <row r="11088">
      <c r="A11088" t="str">
        <f>A11064</f>
        <v>Lantai Atap</v>
      </c>
      <c r="B11088">
        <f>B11064</f>
        <v>28</v>
      </c>
      <c r="C11088" t="str">
        <v>Kait Horizontal Tump.</v>
      </c>
      <c r="D11088">
        <f>VLOOKUP(D11064,'Detail Balok'!$C$10:$BJ$110,46,FALSE)</f>
        <v>0</v>
      </c>
      <c r="E11088" t="str">
        <v>D</v>
      </c>
      <c r="F11088">
        <f>VLOOKUP(D11064,'Detail Balok'!$C$10:$BJ$110,48,FALSE)</f>
        <v>0</v>
      </c>
      <c r="G11088" t="str">
        <v>-</v>
      </c>
      <c r="H11088">
        <f>VLOOKUP(D11064,'Detail Balok'!$C$10:$BJ$110,50,FALSE)</f>
        <v>100</v>
      </c>
      <c r="J11088">
        <f>(D11065-2*F$5)/1000</f>
        <v>0.12</v>
      </c>
      <c r="K11088" t="str">
        <v>+</v>
      </c>
      <c r="L11088">
        <f>IF(D11088=0,2*MAX(6*F11088,75),(D11088-1)*2*MAX(6*F11088,75))/1000</f>
        <v>0.15</v>
      </c>
      <c r="M11088" t="str">
        <v>=</v>
      </c>
      <c r="N11088">
        <f>J11088+L11088</f>
        <v>0.27</v>
      </c>
      <c r="T11088" t="str">
        <v>x</v>
      </c>
      <c r="U11088">
        <f>0.006165*F11088^2</f>
        <v>0</v>
      </c>
      <c r="V11088" t="str">
        <v>x</v>
      </c>
      <c r="W11088">
        <f>W11084</f>
        <v>18</v>
      </c>
      <c r="X11088" t="str">
        <v>x</v>
      </c>
      <c r="Y11088">
        <f>D11074</f>
        <v>6</v>
      </c>
      <c r="Z11088" t="str">
        <v>=</v>
      </c>
      <c r="AA11088">
        <f>N11088*U11088*W11088*Y11088</f>
        <v>0</v>
      </c>
    </row>
    <row r="11089">
      <c r="A11089" t="str">
        <f>A11064</f>
        <v>Lantai Atap</v>
      </c>
      <c r="B11089">
        <f>B11064</f>
        <v>28</v>
      </c>
      <c r="C11089" t="str">
        <v>Kait Horizontal Lap.</v>
      </c>
      <c r="D11089">
        <f>VLOOKUP(D11064,'Detail Balok'!$C$10:$BJ$110,51,FALSE)</f>
        <v>0</v>
      </c>
      <c r="E11089" t="str">
        <v>D</v>
      </c>
      <c r="F11089">
        <f>VLOOKUP(D11064,'Detail Balok'!$C$10:$BJ$110,53,FALSE)</f>
        <v>0</v>
      </c>
      <c r="G11089" t="str">
        <v>-</v>
      </c>
      <c r="H11089">
        <f>VLOOKUP(D11064,'Detail Balok'!$C$10:$BJ$110,55,FALSE)</f>
        <v>100</v>
      </c>
      <c r="J11089">
        <f>(D11065-2*F$5)/1000</f>
        <v>0.12</v>
      </c>
      <c r="K11089" t="str">
        <v>+</v>
      </c>
      <c r="L11089">
        <f>IF(D11089=0,2*MAX(6*F11089,75),(D11089-1)*2*MAX(6*F11089,75))/1000</f>
        <v>0.15</v>
      </c>
      <c r="M11089" t="str">
        <v>=</v>
      </c>
      <c r="N11089">
        <f>J11089+L11089</f>
        <v>0.27</v>
      </c>
      <c r="T11089" t="str">
        <v>x</v>
      </c>
      <c r="U11089">
        <f>0.006165*F11089^2</f>
        <v>0</v>
      </c>
      <c r="V11089" t="str">
        <v>x</v>
      </c>
      <c r="W11089">
        <f>W11085</f>
        <v>0</v>
      </c>
      <c r="X11089" t="str">
        <v>x</v>
      </c>
      <c r="Y11089">
        <f>D11074</f>
        <v>6</v>
      </c>
      <c r="Z11089" t="str">
        <v>=</v>
      </c>
      <c r="AA11089">
        <f>N11089*U11089*W11089*Y11089</f>
        <v>0</v>
      </c>
    </row>
    <row r="11090">
      <c r="A11090" t="str">
        <f>A11064</f>
        <v>Lantai Atap</v>
      </c>
      <c r="B11090">
        <f>B11064</f>
        <v>28</v>
      </c>
      <c r="C11090" t="str">
        <v>Kait Horizontal Tump.</v>
      </c>
      <c r="D11090">
        <f>VLOOKUP(D11064,'Detail Balok'!$C$10:$BJ$110,56,FALSE)</f>
        <v>0</v>
      </c>
      <c r="E11090" t="str">
        <v>D</v>
      </c>
      <c r="F11090">
        <f>VLOOKUP(D11064,'Detail Balok'!$C$10:$BJ$110,58,FALSE)</f>
        <v>0</v>
      </c>
      <c r="G11090" t="str">
        <v>-</v>
      </c>
      <c r="H11090">
        <f>VLOOKUP(D11064,'Detail Balok'!$C$10:$BJ$110,60,FALSE)</f>
        <v>100</v>
      </c>
      <c r="J11090">
        <f>(D11065-2*F$5)/1000</f>
        <v>0.12</v>
      </c>
      <c r="K11090" t="str">
        <v>+</v>
      </c>
      <c r="L11090">
        <f>IF(D11090=0,2*MAX(6*F11090,75),(D11090-1)*2*MAX(6*F11090,75))/1000</f>
        <v>0.15</v>
      </c>
      <c r="M11090" t="str">
        <v>=</v>
      </c>
      <c r="N11090">
        <f>J11090+L11090</f>
        <v>0.27</v>
      </c>
      <c r="T11090" t="str">
        <v>x</v>
      </c>
      <c r="U11090">
        <f>0.006165*F11090^2</f>
        <v>0</v>
      </c>
      <c r="V11090" t="str">
        <v>x</v>
      </c>
      <c r="W11090">
        <f>W11086</f>
        <v>0</v>
      </c>
      <c r="X11090" t="str">
        <v>x</v>
      </c>
      <c r="Y11090">
        <f>D11074</f>
        <v>6</v>
      </c>
      <c r="Z11090" t="str">
        <v>=</v>
      </c>
      <c r="AA11090">
        <f>N11090*U11090*W11090*Y11090</f>
        <v>0</v>
      </c>
    </row>
    <row r="11094">
      <c r="A11094" t="str">
        <f>A11064</f>
        <v>Lantai Atap</v>
      </c>
      <c r="B11094">
        <f>B11064+1</f>
        <v>29</v>
      </c>
      <c r="C11094" t="str">
        <f>CONCATENATE(A11094," no. ",B11094)</f>
        <v>Lantai Atap no. 29</v>
      </c>
      <c r="D11094" t="str">
        <f>VLOOKUP(C11094,'Data Panjang Balok'!$C$9:$N$424,2,FALSE)</f>
        <v>B245-3</v>
      </c>
    </row>
    <row r="11095">
      <c r="C11095" t="str">
        <v>Dimensi</v>
      </c>
      <c r="D11095">
        <f>VLOOKUP(D11094,'Detail Balok'!$C$10:$AU$110,2,FALSE)</f>
        <v>200</v>
      </c>
      <c r="F11095" t="str">
        <v>x</v>
      </c>
      <c r="G11095">
        <f>VLOOKUP(D11094,'Detail Balok'!$C$10:$AU$110,3,FALSE)</f>
        <v>450</v>
      </c>
    </row>
    <row r="11096">
      <c r="C11096" t="str">
        <v>Panjang as ke as</v>
      </c>
      <c r="D11096">
        <f>VLOOKUP(C11094,'Data Panjang Balok'!$C$9:$N$424,4,FALSE)</f>
        <v>5615</v>
      </c>
    </row>
    <row r="11097">
      <c r="C11097" t="str">
        <v>Panjang netto</v>
      </c>
      <c r="D11097">
        <f>VLOOKUP(C11094,'Data Panjang Balok'!$C$9:$N$424,7,FALSE)</f>
        <v>5615</v>
      </c>
    </row>
    <row r="11098">
      <c r="C11098" t="str">
        <v>Kolom / balok kiri</v>
      </c>
      <c r="D11098">
        <f>VLOOKUP(C11094,'Data Panjang Balok'!$C$9:$N$424,9,FALSE)</f>
        <v>0</v>
      </c>
    </row>
    <row r="11099">
      <c r="C11099" t="str">
        <v>Kolom / balok kanan</v>
      </c>
      <c r="D11099">
        <f>VLOOKUP(C11094,'Data Panjang Balok'!$C$9:$N$424,10,FALSE)</f>
        <v>0</v>
      </c>
    </row>
    <row r="11100">
      <c r="C11100" t="str">
        <v>Jumlah</v>
      </c>
      <c r="D11100">
        <f>VLOOKUP(C11094,'Data Panjang Balok'!$C$9:$N$424,3,FALSE)</f>
        <v>1</v>
      </c>
    </row>
    <row r="11101">
      <c r="A11101" t="str">
        <f>A11094</f>
        <v>Lantai Atap</v>
      </c>
      <c r="B11101">
        <f>B11094</f>
        <v>29</v>
      </c>
      <c r="C11101" t="str">
        <v>Tul Atas Tumpuan</v>
      </c>
      <c r="D11101">
        <f>VLOOKUP(D11094,'Detail Balok'!$C$10:$AU$110,4,FALSE)</f>
        <v>2</v>
      </c>
      <c r="E11101" t="str">
        <v>D</v>
      </c>
      <c r="F11101">
        <f>VLOOKUP(D11094,'Detail Balok'!$C$10:$AU$110,6,FALSE)</f>
        <v>16</v>
      </c>
      <c r="I11101" t="str">
        <v>(</v>
      </c>
      <c r="J11101">
        <f>+D11096/4/1000</f>
        <v>1.40375</v>
      </c>
      <c r="K11101" t="str">
        <v>+</v>
      </c>
      <c r="L11101">
        <f>MAX(VLOOKUP(F11101,N$6:P$15,3,FALSE)/1000,2/3*D11098/1000)+F$16*F11101/1000</f>
        <v>0.192</v>
      </c>
      <c r="M11101" t="str">
        <v>=</v>
      </c>
      <c r="N11101">
        <f>J11101+L11101</f>
        <v>1.59575</v>
      </c>
      <c r="O11101" t="str">
        <v>+</v>
      </c>
      <c r="P11101">
        <f>D11101-D11102</f>
        <v>0</v>
      </c>
      <c r="Q11101" t="str">
        <v>x</v>
      </c>
      <c r="R11101">
        <f>IF(P11101&gt;0,$F$18*F11101/1000,0)</f>
        <v>0</v>
      </c>
      <c r="S11101" t="str">
        <v>)</v>
      </c>
      <c r="T11101" t="str">
        <v>x</v>
      </c>
      <c r="U11101">
        <f>0.006165*F11101^2</f>
        <v>1.57824</v>
      </c>
      <c r="X11101" t="str">
        <v>x</v>
      </c>
      <c r="Y11101">
        <f>D11100</f>
        <v>1</v>
      </c>
      <c r="Z11101" t="str">
        <v>=</v>
      </c>
      <c r="AA11101">
        <f>IF(AA11104=0,(D11101*N11101+P11101*R11101)*U11101*Y11101,0)</f>
        <v>0</v>
      </c>
    </row>
    <row r="11102">
      <c r="A11102" t="str">
        <f>A11094</f>
        <v>Lantai Atap</v>
      </c>
      <c r="B11102">
        <f>B11094</f>
        <v>29</v>
      </c>
      <c r="C11102" t="str">
        <v>Tul Atas Lapangan</v>
      </c>
      <c r="D11102">
        <f>VLOOKUP(D11094,'Detail Balok'!$C$10:$AU$110,7,FALSE)</f>
        <v>2</v>
      </c>
      <c r="E11102" t="str">
        <v>D</v>
      </c>
      <c r="F11102">
        <f>VLOOKUP(D11094,'Detail Balok'!$C$10:$AU$110,9,FALSE)</f>
        <v>16</v>
      </c>
      <c r="I11102" t="str">
        <v>(</v>
      </c>
      <c r="J11102">
        <f>+D11096/2/1000</f>
        <v>2.8075</v>
      </c>
      <c r="K11102" t="str">
        <v>+</v>
      </c>
      <c r="M11102" t="str">
        <v>=</v>
      </c>
      <c r="N11102">
        <f>J11102+L11102</f>
        <v>2.8075</v>
      </c>
      <c r="O11102" t="str">
        <v>+</v>
      </c>
      <c r="P11102">
        <f>MAX(D11102-D11101,D11102-D11103)</f>
        <v>0</v>
      </c>
      <c r="Q11102" t="str">
        <v>x</v>
      </c>
      <c r="R11102">
        <f>IF(P11102&gt;0,2*(1-2*$F$19-1/2)*D11097/1000,0)</f>
        <v>0</v>
      </c>
      <c r="S11102" t="str">
        <v>)</v>
      </c>
      <c r="T11102" t="str">
        <v>x</v>
      </c>
      <c r="U11102">
        <f>0.006165*F11102^2</f>
        <v>1.57824</v>
      </c>
      <c r="X11102" t="str">
        <v>x</v>
      </c>
      <c r="Y11102">
        <f>D11100</f>
        <v>1</v>
      </c>
      <c r="Z11102" t="str">
        <v>=</v>
      </c>
      <c r="AA11102">
        <f>IF(AA11104=0,(D11102*N11102+P11102*R11102)*U11102*Y11102,0)</f>
        <v>0</v>
      </c>
    </row>
    <row r="11103">
      <c r="A11103" t="str">
        <f>A11094</f>
        <v>Lantai Atap</v>
      </c>
      <c r="B11103">
        <f>B11094</f>
        <v>29</v>
      </c>
      <c r="C11103" t="str">
        <v>Tul Atas Tumpuan</v>
      </c>
      <c r="D11103">
        <f>VLOOKUP(D11094,'Detail Balok'!$C$10:$AU$110,10,FALSE)</f>
        <v>2</v>
      </c>
      <c r="E11103" t="str">
        <v>D</v>
      </c>
      <c r="F11103">
        <f>VLOOKUP(D11094,'Detail Balok'!$C$10:$AU$110,12,FALSE)</f>
        <v>16</v>
      </c>
      <c r="I11103" t="str">
        <v>(</v>
      </c>
      <c r="J11103">
        <f>+D11096/4/1000</f>
        <v>1.40375</v>
      </c>
      <c r="K11103" t="str">
        <v>+</v>
      </c>
      <c r="L11103">
        <f>MAX(VLOOKUP(F11103,N$6:P$15,3,FALSE)/1000,2/3*D11098/1000)+F$16*F11103/1000</f>
        <v>0.192</v>
      </c>
      <c r="M11103" t="str">
        <v>=</v>
      </c>
      <c r="N11103">
        <f>J11103+L11103</f>
        <v>1.59575</v>
      </c>
      <c r="O11103" t="str">
        <v>+</v>
      </c>
      <c r="P11103">
        <f>D11103-D11102</f>
        <v>0</v>
      </c>
      <c r="Q11103" t="str">
        <v>x</v>
      </c>
      <c r="R11103">
        <f>IF(P11103&gt;0,$F$18*F11103/1000,0)</f>
        <v>0</v>
      </c>
      <c r="S11103" t="str">
        <v>)</v>
      </c>
      <c r="T11103" t="str">
        <v>x</v>
      </c>
      <c r="U11103">
        <f>0.006165*F11103^2</f>
        <v>1.57824</v>
      </c>
      <c r="X11103" t="str">
        <v>x</v>
      </c>
      <c r="Y11103">
        <f>D11100</f>
        <v>1</v>
      </c>
      <c r="Z11103" t="str">
        <v>=</v>
      </c>
      <c r="AA11103">
        <f>IF(AA11104=0,(D11103*N11103+P11103*R11103)*U11103*Y11103,0)</f>
        <v>0</v>
      </c>
    </row>
    <row r="11104">
      <c r="A11104" t="str">
        <f>A11094</f>
        <v>Lantai Atap</v>
      </c>
      <c r="B11104">
        <f>B11094</f>
        <v>29</v>
      </c>
      <c r="D11104">
        <f>IF(AND(D11101=D11102,D11102=D11103,D11101=D11103),D11101,0)</f>
        <v>2</v>
      </c>
      <c r="E11104" t="str">
        <v>D</v>
      </c>
      <c r="F11104">
        <f>IF(AND(F11101=F11102,F11101=F11103,F11102=F11103),F11101,0)</f>
        <v>16</v>
      </c>
      <c r="L11104" t="str">
        <v>Total panjang per balok</v>
      </c>
      <c r="M11104" t="str">
        <v>=</v>
      </c>
      <c r="N11104">
        <f>IF(AND(D11101=D11102,D11101=D11103,D11102=D11103,F11101=F11102,F11101=F11103,F11102=F11103),SUM(N11101:N11103),0)</f>
        <v>5.999</v>
      </c>
      <c r="O11104" t="str">
        <v>+</v>
      </c>
      <c r="P11104">
        <f>IF(N11104&gt;12,ROUNDDOWN(N11104/12,0),0)</f>
        <v>0</v>
      </c>
      <c r="Q11104" t="str">
        <v>x</v>
      </c>
      <c r="R11104">
        <f>IF(P11104&gt;0,MAX(VLOOKUP(F11104,$D$6:$G$15,3,FALSE),600),0)/1000</f>
        <v>0</v>
      </c>
      <c r="T11104" t="str">
        <v>x</v>
      </c>
      <c r="U11104">
        <f>U11103</f>
        <v>1.57824</v>
      </c>
      <c r="V11104" t="str">
        <v>x</v>
      </c>
      <c r="W11104">
        <f>D11104</f>
        <v>2</v>
      </c>
      <c r="X11104" t="str">
        <v>x</v>
      </c>
      <c r="Y11104">
        <f>Y11103</f>
        <v>1</v>
      </c>
      <c r="Z11104" t="str">
        <v>=</v>
      </c>
      <c r="AA11104">
        <f>(N11104+P11104*R11104/1000)*U11104*W11104*Y11104</f>
        <v>18.93572352</v>
      </c>
    </row>
    <row r="11106">
      <c r="A11106" t="str">
        <f>A11094</f>
        <v>Lantai Atap</v>
      </c>
      <c r="B11106">
        <f>B11094</f>
        <v>29</v>
      </c>
      <c r="C11106" t="str">
        <v>Tul Peminggang</v>
      </c>
      <c r="D11106">
        <f>VLOOKUP(D11094,'Detail Balok'!$C$10:$AU$110,13,FALSE)</f>
        <v>2</v>
      </c>
      <c r="E11106" t="str">
        <v>D</v>
      </c>
      <c r="F11106">
        <f>VLOOKUP(D11094,'Detail Balok'!$C$10:$AU$110,15,FALSE)</f>
        <v>10</v>
      </c>
      <c r="J11106">
        <f>+D11096/1000</f>
        <v>5.615</v>
      </c>
      <c r="K11106" t="str">
        <v>+</v>
      </c>
      <c r="L11106">
        <f>2*$F$16*F11106/1000</f>
        <v>0.24</v>
      </c>
      <c r="M11106" t="str">
        <v>=</v>
      </c>
      <c r="N11106">
        <f>J11106+L11106</f>
        <v>5.855</v>
      </c>
      <c r="O11106" t="str">
        <v>+</v>
      </c>
      <c r="P11106">
        <f>IF(N11106&gt;12,ROUNDDOWN(N11106/12,0),0)</f>
        <v>0</v>
      </c>
      <c r="Q11106" t="str">
        <v>x</v>
      </c>
      <c r="R11106">
        <f>IF(P11106&gt;0,MAX(VLOOKUP(F11106,$D$6:$G$15,3,FALSE),600),0)/1000</f>
        <v>0</v>
      </c>
      <c r="T11106" t="str">
        <v>x</v>
      </c>
      <c r="U11106">
        <f>0.006165*F11106^2</f>
        <v>0.6165</v>
      </c>
      <c r="V11106" t="str">
        <v>x</v>
      </c>
      <c r="W11106">
        <f>+D11106</f>
        <v>2</v>
      </c>
      <c r="X11106" t="str">
        <v>x</v>
      </c>
      <c r="Y11106">
        <f>D11100</f>
        <v>1</v>
      </c>
      <c r="Z11106" t="str">
        <v>=</v>
      </c>
      <c r="AA11106">
        <f>(N11106+P11106*R11106/1000)*U11106*W11106*Y11106</f>
        <v>7.219215000000001</v>
      </c>
    </row>
    <row r="11109">
      <c r="A11109" t="str">
        <f>A11094</f>
        <v>Lantai Atap</v>
      </c>
      <c r="B11109">
        <f>B11094</f>
        <v>29</v>
      </c>
      <c r="C11109" t="str">
        <v>Tul Bawah Tumpuan</v>
      </c>
      <c r="D11109">
        <f>VLOOKUP(D11094,'Detail Balok'!$C$10:$AU$110,22,FALSE)</f>
        <v>2</v>
      </c>
      <c r="E11109" t="str">
        <v>D</v>
      </c>
      <c r="F11109">
        <f>VLOOKUP(D11094,'Detail Balok'!$C$10:$AU$110,24,FALSE)</f>
        <v>16</v>
      </c>
      <c r="I11109" t="str">
        <v>(</v>
      </c>
      <c r="J11109">
        <f>+J11101</f>
        <v>1.40375</v>
      </c>
      <c r="K11109" t="str">
        <v>+</v>
      </c>
      <c r="L11109">
        <f>MAX(VLOOKUP(F11109,N$6:P$15,3,FALSE)/1000,2/3*D11099/1000)+F$16*F11109/1000</f>
        <v>0.192</v>
      </c>
      <c r="M11109" t="str">
        <v>=</v>
      </c>
      <c r="N11109">
        <f>J11109+L11109</f>
        <v>1.59575</v>
      </c>
      <c r="O11109" t="str">
        <v>+</v>
      </c>
      <c r="P11109">
        <f>D11109-D11110</f>
        <v>0</v>
      </c>
      <c r="Q11109" t="str">
        <v>x</v>
      </c>
      <c r="R11109">
        <f>IF(P11109&gt;0,$F$18*F11109/1000,0)</f>
        <v>0</v>
      </c>
      <c r="S11109" t="str">
        <v>)</v>
      </c>
      <c r="T11109" t="str">
        <v>x</v>
      </c>
      <c r="U11109">
        <f>0.006165*F11109^2</f>
        <v>1.57824</v>
      </c>
      <c r="X11109" t="str">
        <v>x</v>
      </c>
      <c r="Y11109">
        <f>D11100</f>
        <v>1</v>
      </c>
      <c r="Z11109" t="str">
        <v>=</v>
      </c>
      <c r="AA11109">
        <f>IF(AA11112=0,(D11109*N11109+P11109*R11109)*U11109*Y11109,0)</f>
        <v>0</v>
      </c>
    </row>
    <row r="11110">
      <c r="A11110" t="str">
        <f>A11094</f>
        <v>Lantai Atap</v>
      </c>
      <c r="B11110">
        <f>B11094</f>
        <v>29</v>
      </c>
      <c r="C11110" t="str">
        <v>Tul Bawah Lapangan</v>
      </c>
      <c r="D11110">
        <f>VLOOKUP(D11094,'Detail Balok'!$C$10:$AU$110,25,FALSE)</f>
        <v>2</v>
      </c>
      <c r="E11110" t="str">
        <v>D</v>
      </c>
      <c r="F11110">
        <f>VLOOKUP(D11094,'Detail Balok'!$C$10:$AU$110,27,FALSE)</f>
        <v>16</v>
      </c>
      <c r="I11110" t="str">
        <v>(</v>
      </c>
      <c r="J11110">
        <f>+J11102</f>
        <v>2.8075</v>
      </c>
      <c r="K11110" t="str">
        <v>+</v>
      </c>
      <c r="M11110" t="str">
        <v>=</v>
      </c>
      <c r="N11110">
        <f>J11110+L11110</f>
        <v>2.8075</v>
      </c>
      <c r="O11110" t="str">
        <v>+</v>
      </c>
      <c r="P11110">
        <f>MAX(D11110-D11109,D11110-D11111)</f>
        <v>0</v>
      </c>
      <c r="Q11110" t="str">
        <v>x</v>
      </c>
      <c r="R11110">
        <f>IF(P11110&gt;0,2*(1-2*$F$19-1/2)*D11097/1000,0)</f>
        <v>0</v>
      </c>
      <c r="S11110" t="str">
        <v>)</v>
      </c>
      <c r="T11110" t="str">
        <v>x</v>
      </c>
      <c r="U11110">
        <f>0.006165*F11110^2</f>
        <v>1.57824</v>
      </c>
      <c r="X11110" t="str">
        <v>x</v>
      </c>
      <c r="Y11110">
        <f>D11100</f>
        <v>1</v>
      </c>
      <c r="Z11110" t="str">
        <v>=</v>
      </c>
      <c r="AA11110">
        <f>IF(AA11112=0,(D11110*N11110+P11110*R11110)*U11110*Y11110,0)</f>
        <v>0</v>
      </c>
    </row>
    <row r="11111">
      <c r="A11111" t="str">
        <f>A11094</f>
        <v>Lantai Atap</v>
      </c>
      <c r="B11111">
        <f>B11094</f>
        <v>29</v>
      </c>
      <c r="C11111" t="str">
        <v>Tul Bawah Tumpuan</v>
      </c>
      <c r="D11111">
        <f>VLOOKUP(D11094,'Detail Balok'!$C$10:$AU$110,28,FALSE)</f>
        <v>2</v>
      </c>
      <c r="E11111" t="str">
        <v>D</v>
      </c>
      <c r="F11111">
        <f>VLOOKUP(D11094,'Detail Balok'!$C$10:$AU$110,30,FALSE)</f>
        <v>16</v>
      </c>
      <c r="I11111" t="str">
        <v>(</v>
      </c>
      <c r="J11111">
        <f>+J11103</f>
        <v>1.40375</v>
      </c>
      <c r="K11111" t="str">
        <v>+</v>
      </c>
      <c r="L11111">
        <f>MAX(VLOOKUP(F11111,N$6:P$15,3,FALSE)/1000,2/3*D11099/1000)+F$16*F11111/1000</f>
        <v>0.192</v>
      </c>
      <c r="M11111" t="str">
        <v>=</v>
      </c>
      <c r="N11111">
        <f>J11111+L11111</f>
        <v>1.59575</v>
      </c>
      <c r="O11111" t="str">
        <v>+</v>
      </c>
      <c r="P11111">
        <f>D11111-D11110</f>
        <v>0</v>
      </c>
      <c r="Q11111" t="str">
        <v>x</v>
      </c>
      <c r="R11111">
        <f>IF(P11111&gt;0,$F$18*F11111/1000,0)</f>
        <v>0</v>
      </c>
      <c r="S11111" t="str">
        <v>)</v>
      </c>
      <c r="T11111" t="str">
        <v>x</v>
      </c>
      <c r="U11111">
        <f>0.006165*F11111^2</f>
        <v>1.57824</v>
      </c>
      <c r="X11111" t="str">
        <v>x</v>
      </c>
      <c r="Y11111">
        <f>D11100</f>
        <v>1</v>
      </c>
      <c r="Z11111" t="str">
        <v>=</v>
      </c>
      <c r="AA11111">
        <f>IF(AA11112=0,(D11111*N11111+P11111*R11111)*U11111*Y11111,0)</f>
        <v>0</v>
      </c>
    </row>
    <row r="11112">
      <c r="A11112" t="str">
        <f>A11094</f>
        <v>Lantai Atap</v>
      </c>
      <c r="B11112">
        <f>B11094</f>
        <v>29</v>
      </c>
      <c r="D11112">
        <f>IF(AND(D11109=D11110,D11110=D11111,D11109=D11111),D11109,0)</f>
        <v>2</v>
      </c>
      <c r="E11112" t="str">
        <v>D</v>
      </c>
      <c r="F11112">
        <f>IF(AND(F11109=F11110,F11109=F11111,F11110=F11111),F11109,0)</f>
        <v>16</v>
      </c>
      <c r="L11112" t="str">
        <v>Total panjang per balok</v>
      </c>
      <c r="M11112" t="str">
        <v>=</v>
      </c>
      <c r="N11112">
        <f>IF(AND(D11109=D11110,D11109=D11111,D11110=D11111,F11109=F11110,F11109=F11111,F11110=F11111),SUM(N11109:N11111),0)</f>
        <v>5.999</v>
      </c>
      <c r="O11112" t="str">
        <v>+</v>
      </c>
      <c r="P11112">
        <f>IF(N11112&gt;12,ROUNDDOWN(N11112/12,0),0)</f>
        <v>0</v>
      </c>
      <c r="Q11112" t="str">
        <v>x</v>
      </c>
      <c r="R11112">
        <f>IF(P11112&gt;0,MAX(VLOOKUP(F11112,$D$6:$G$15,3,FALSE),600),0)/1000</f>
        <v>0</v>
      </c>
      <c r="T11112" t="str">
        <v>x</v>
      </c>
      <c r="U11112">
        <f>U11111</f>
        <v>1.57824</v>
      </c>
      <c r="V11112" t="str">
        <v>x</v>
      </c>
      <c r="W11112">
        <f>D11112</f>
        <v>2</v>
      </c>
      <c r="X11112" t="str">
        <v>x</v>
      </c>
      <c r="Y11112">
        <f>Y11111</f>
        <v>1</v>
      </c>
      <c r="Z11112" t="str">
        <v>=</v>
      </c>
      <c r="AA11112">
        <f>(N11112+P11112*R11112/1000)*U11112*W11112*Y11112</f>
        <v>18.93572352</v>
      </c>
    </row>
    <row r="11114">
      <c r="A11114" t="str">
        <f>A11094</f>
        <v>Lantai Atap</v>
      </c>
      <c r="B11114">
        <f>B11094</f>
        <v>29</v>
      </c>
      <c r="C11114" t="str">
        <v>Sengkang Tumpuan</v>
      </c>
      <c r="D11114">
        <f>VLOOKUP(D11094,'Detail Balok'!$C$10:$AU$110,31,FALSE)</f>
        <v>0</v>
      </c>
      <c r="E11114" t="str">
        <v>D</v>
      </c>
      <c r="F11114">
        <f>VLOOKUP(D11094,'Detail Balok'!$C$10:$AU$110,33,FALSE)</f>
        <v>10</v>
      </c>
      <c r="G11114" t="str">
        <v>-</v>
      </c>
      <c r="H11114">
        <f>VLOOKUP(D11094,'Detail Balok'!$C$10:$AU$110,35,FALSE)</f>
        <v>90</v>
      </c>
      <c r="J11114">
        <f>(IF(D11114=0,(2*(D11095+G11095))-(F$5*8),IF(D11114=3,(2*(D11095+G11095))-(F$5*8)+(G11095-2*F$5),IF(D11114=4,(2*(D11095+G11095))-(F$5*8)+2*(G11095-2*F$5)))))/1000</f>
        <v>0.98</v>
      </c>
      <c r="K11114" t="str">
        <v>+</v>
      </c>
      <c r="L11114">
        <f>IF(D11114=0,2*MAX(6*F11114,75),(D11114-1)*2*MAX(6*F11114,75))/1000</f>
        <v>0.15</v>
      </c>
      <c r="M11114" t="str">
        <v>=</v>
      </c>
      <c r="N11114">
        <f>J11114+L11114</f>
        <v>1.13</v>
      </c>
      <c r="T11114" t="str">
        <v>x</v>
      </c>
      <c r="U11114">
        <f>0.006165*F11114^2</f>
        <v>0.6165</v>
      </c>
      <c r="V11114" t="str">
        <v>x</v>
      </c>
      <c r="W11114">
        <f>IF(D11097&gt;4*G11095,ROUND(MAX(D11097/4,2*G11095)/H11114,0)+1,ROUND(D11097/H11114,0)+1)</f>
        <v>17</v>
      </c>
      <c r="X11114" t="str">
        <v>x</v>
      </c>
      <c r="Y11114">
        <f>D11100</f>
        <v>1</v>
      </c>
      <c r="Z11114" t="str">
        <v>=</v>
      </c>
      <c r="AA11114">
        <f>N11114*U11114*W11114*Y11114</f>
        <v>11.842965</v>
      </c>
    </row>
    <row r="11115">
      <c r="A11115" t="str">
        <f>A11094</f>
        <v>Lantai Atap</v>
      </c>
      <c r="B11115">
        <f>B11094</f>
        <v>29</v>
      </c>
      <c r="C11115" t="str">
        <v>Sengkang Lapangan</v>
      </c>
      <c r="D11115">
        <f>VLOOKUP(D11094,'Detail Balok'!$C$10:$AU$110,36,FALSE)</f>
        <v>0</v>
      </c>
      <c r="E11115" t="str">
        <v>D</v>
      </c>
      <c r="F11115">
        <f>VLOOKUP(D11094,'Detail Balok'!$C$10:$AU$110,38,FALSE)</f>
        <v>10</v>
      </c>
      <c r="G11115" t="str">
        <v>-</v>
      </c>
      <c r="H11115">
        <f>VLOOKUP(D11094,'Detail Balok'!$C$10:$AU$110,40,FALSE)</f>
        <v>175</v>
      </c>
      <c r="J11115">
        <f>(IF(D11115=0,(2*(D11095+G11095))-(F$5*8),IF(D11115=3,(2*(D11095+G11095))-(F$5*8)+(G11095-2*F$5),IF(D11115=4,(2*(D11095+G11095))-(F$5*8)+2*(G11095-2*F$5)))))/1000</f>
        <v>0.98</v>
      </c>
      <c r="K11115" t="str">
        <v>+</v>
      </c>
      <c r="L11115">
        <f>IF(D11115=0,2*MAX(6*F11115,75),(D11115-1)*2*MAX(6*F11115,75))/1000</f>
        <v>0.15</v>
      </c>
      <c r="M11115" t="str">
        <v>=</v>
      </c>
      <c r="N11115">
        <f>J11115+L11115</f>
        <v>1.13</v>
      </c>
      <c r="T11115" t="str">
        <v>x</v>
      </c>
      <c r="U11115">
        <f>0.006165*F11115^2</f>
        <v>0.6165</v>
      </c>
      <c r="V11115" t="str">
        <v>x</v>
      </c>
      <c r="W11115">
        <f>IF(D11097-MAX(D11097/4,2*G11095)*2&gt;0,ROUND((D11097-MAX(D11097/4,2*G11095)*2)/H11115,0),0)</f>
        <v>16</v>
      </c>
      <c r="X11115" t="str">
        <v>x</v>
      </c>
      <c r="Y11115">
        <f>D11100</f>
        <v>1</v>
      </c>
      <c r="Z11115" t="str">
        <v>=</v>
      </c>
      <c r="AA11115">
        <f>N11115*U11115*W11115*Y11115</f>
        <v>11.14632</v>
      </c>
    </row>
    <row r="11116">
      <c r="A11116" t="str">
        <f>A11094</f>
        <v>Lantai Atap</v>
      </c>
      <c r="B11116">
        <f>B11094</f>
        <v>29</v>
      </c>
      <c r="C11116" t="str">
        <v>Sengkang Tumpuan</v>
      </c>
      <c r="D11116">
        <f>VLOOKUP(D11094,'Detail Balok'!$C$10:$AU$110,41,FALSE)</f>
        <v>0</v>
      </c>
      <c r="E11116" t="str">
        <v>D</v>
      </c>
      <c r="F11116">
        <f>VLOOKUP(D11094,'Detail Balok'!$C$10:$AU$110,43,FALSE)</f>
        <v>10</v>
      </c>
      <c r="G11116" t="str">
        <v>-</v>
      </c>
      <c r="H11116">
        <f>VLOOKUP(D11094,'Detail Balok'!$C$10:$AU$110,45,FALSE)</f>
        <v>90</v>
      </c>
      <c r="J11116">
        <f>(IF(D11116=0,(2*(D11095+G11095))-(F$5*8),IF(D11116=3,(2*(D11095+G11095))-(F$5*8)+(G11095-2*F$5),IF(D11116=4,(2*(D11095+G11095))-(F$5*8)+2*(G11095-2*F$5)))))/1000</f>
        <v>0.98</v>
      </c>
      <c r="K11116" t="str">
        <v>+</v>
      </c>
      <c r="L11116">
        <f>IF(D11116=0,2*MAX(6*F11116,75),(D11116-1)*2*MAX(6*F11116,75))/1000</f>
        <v>0.15</v>
      </c>
      <c r="M11116" t="str">
        <v>=</v>
      </c>
      <c r="N11116">
        <f>J11116+L11116</f>
        <v>1.13</v>
      </c>
      <c r="T11116" t="str">
        <v>x</v>
      </c>
      <c r="U11116">
        <f>0.006165*F11116^2</f>
        <v>0.6165</v>
      </c>
      <c r="V11116" t="str">
        <v>x</v>
      </c>
      <c r="W11116">
        <f>IF(D11097&gt;4*G11095,ROUND(MAX(D11097/4,2*G11095)/H11116,0)+1,0)</f>
        <v>17</v>
      </c>
      <c r="X11116" t="str">
        <v>x</v>
      </c>
      <c r="Y11116">
        <f>D11100</f>
        <v>1</v>
      </c>
      <c r="Z11116" t="str">
        <v>=</v>
      </c>
      <c r="AA11116">
        <f>N11116*U11116*W11116*Y11116</f>
        <v>11.842965</v>
      </c>
    </row>
    <row r="11118">
      <c r="A11118" t="str">
        <f>A11094</f>
        <v>Lantai Atap</v>
      </c>
      <c r="B11118">
        <f>B11094</f>
        <v>29</v>
      </c>
      <c r="C11118" t="str">
        <v>Kait Horizontal Tump.</v>
      </c>
      <c r="D11118">
        <f>VLOOKUP(D11094,'Detail Balok'!$C$10:$BJ$110,46,FALSE)</f>
        <v>0</v>
      </c>
      <c r="E11118" t="str">
        <v>D</v>
      </c>
      <c r="F11118">
        <f>VLOOKUP(D11094,'Detail Balok'!$C$10:$BJ$110,48,FALSE)</f>
        <v>0</v>
      </c>
      <c r="G11118" t="str">
        <v>-</v>
      </c>
      <c r="H11118">
        <f>VLOOKUP(D11094,'Detail Balok'!$C$10:$BJ$110,50,FALSE)</f>
        <v>100</v>
      </c>
      <c r="J11118">
        <f>(D11095-2*F$5)/1000</f>
        <v>0.12</v>
      </c>
      <c r="K11118" t="str">
        <v>+</v>
      </c>
      <c r="L11118">
        <f>IF(D11118=0,2*MAX(6*F11118,75),(D11118-1)*2*MAX(6*F11118,75))/1000</f>
        <v>0.15</v>
      </c>
      <c r="M11118" t="str">
        <v>=</v>
      </c>
      <c r="N11118">
        <f>J11118+L11118</f>
        <v>0.27</v>
      </c>
      <c r="T11118" t="str">
        <v>x</v>
      </c>
      <c r="U11118">
        <f>0.006165*F11118^2</f>
        <v>0</v>
      </c>
      <c r="V11118" t="str">
        <v>x</v>
      </c>
      <c r="W11118">
        <f>W11114</f>
        <v>17</v>
      </c>
      <c r="X11118" t="str">
        <v>x</v>
      </c>
      <c r="Y11118">
        <f>D11104</f>
        <v>2</v>
      </c>
      <c r="Z11118" t="str">
        <v>=</v>
      </c>
      <c r="AA11118">
        <f>N11118*U11118*W11118*Y11118</f>
        <v>0</v>
      </c>
    </row>
    <row r="11119">
      <c r="A11119" t="str">
        <f>A11094</f>
        <v>Lantai Atap</v>
      </c>
      <c r="B11119">
        <f>B11094</f>
        <v>29</v>
      </c>
      <c r="C11119" t="str">
        <v>Kait Horizontal Lap.</v>
      </c>
      <c r="D11119">
        <f>VLOOKUP(D11094,'Detail Balok'!$C$10:$BJ$110,51,FALSE)</f>
        <v>0</v>
      </c>
      <c r="E11119" t="str">
        <v>D</v>
      </c>
      <c r="F11119">
        <f>VLOOKUP(D11094,'Detail Balok'!$C$10:$BJ$110,53,FALSE)</f>
        <v>0</v>
      </c>
      <c r="G11119" t="str">
        <v>-</v>
      </c>
      <c r="H11119">
        <f>VLOOKUP(D11094,'Detail Balok'!$C$10:$BJ$110,55,FALSE)</f>
        <v>100</v>
      </c>
      <c r="J11119">
        <f>(D11095-2*F$5)/1000</f>
        <v>0.12</v>
      </c>
      <c r="K11119" t="str">
        <v>+</v>
      </c>
      <c r="L11119">
        <f>IF(D11119=0,2*MAX(6*F11119,75),(D11119-1)*2*MAX(6*F11119,75))/1000</f>
        <v>0.15</v>
      </c>
      <c r="M11119" t="str">
        <v>=</v>
      </c>
      <c r="N11119">
        <f>J11119+L11119</f>
        <v>0.27</v>
      </c>
      <c r="T11119" t="str">
        <v>x</v>
      </c>
      <c r="U11119">
        <f>0.006165*F11119^2</f>
        <v>0</v>
      </c>
      <c r="V11119" t="str">
        <v>x</v>
      </c>
      <c r="W11119">
        <f>W11115</f>
        <v>16</v>
      </c>
      <c r="X11119" t="str">
        <v>x</v>
      </c>
      <c r="Y11119">
        <f>D11104</f>
        <v>2</v>
      </c>
      <c r="Z11119" t="str">
        <v>=</v>
      </c>
      <c r="AA11119">
        <f>N11119*U11119*W11119*Y11119</f>
        <v>0</v>
      </c>
    </row>
    <row r="11120">
      <c r="A11120" t="str">
        <f>A11094</f>
        <v>Lantai Atap</v>
      </c>
      <c r="B11120">
        <f>B11094</f>
        <v>29</v>
      </c>
      <c r="C11120" t="str">
        <v>Kait Horizontal Tump.</v>
      </c>
      <c r="D11120">
        <f>VLOOKUP(D11094,'Detail Balok'!$C$10:$BJ$110,56,FALSE)</f>
        <v>0</v>
      </c>
      <c r="E11120" t="str">
        <v>D</v>
      </c>
      <c r="F11120">
        <f>VLOOKUP(D11094,'Detail Balok'!$C$10:$BJ$110,58,FALSE)</f>
        <v>0</v>
      </c>
      <c r="G11120" t="str">
        <v>-</v>
      </c>
      <c r="H11120">
        <f>VLOOKUP(D11094,'Detail Balok'!$C$10:$BJ$110,60,FALSE)</f>
        <v>100</v>
      </c>
      <c r="J11120">
        <f>(D11095-2*F$5)/1000</f>
        <v>0.12</v>
      </c>
      <c r="K11120" t="str">
        <v>+</v>
      </c>
      <c r="L11120">
        <f>IF(D11120=0,2*MAX(6*F11120,75),(D11120-1)*2*MAX(6*F11120,75))/1000</f>
        <v>0.15</v>
      </c>
      <c r="M11120" t="str">
        <v>=</v>
      </c>
      <c r="N11120">
        <f>J11120+L11120</f>
        <v>0.27</v>
      </c>
      <c r="T11120" t="str">
        <v>x</v>
      </c>
      <c r="U11120">
        <f>0.006165*F11120^2</f>
        <v>0</v>
      </c>
      <c r="V11120" t="str">
        <v>x</v>
      </c>
      <c r="W11120">
        <f>W11116</f>
        <v>17</v>
      </c>
      <c r="X11120" t="str">
        <v>x</v>
      </c>
      <c r="Y11120">
        <f>D11104</f>
        <v>2</v>
      </c>
      <c r="Z11120" t="str">
        <v>=</v>
      </c>
      <c r="AA11120">
        <f>N11120*U11120*W11120*Y11120</f>
        <v>0</v>
      </c>
    </row>
    <row r="11124">
      <c r="A11124" t="str">
        <f>A11094</f>
        <v>Lantai Atap</v>
      </c>
      <c r="B11124">
        <f>B11094+1</f>
        <v>30</v>
      </c>
      <c r="C11124" t="str">
        <f>CONCATENATE(A11124," no. ",B11124)</f>
        <v>Lantai Atap no. 30</v>
      </c>
      <c r="D11124" t="str">
        <f>VLOOKUP(C11124,'Data Panjang Balok'!$C$9:$N$424,2,FALSE)</f>
        <v>B24-7</v>
      </c>
    </row>
    <row r="11125">
      <c r="C11125" t="str">
        <v>Dimensi</v>
      </c>
      <c r="D11125">
        <f>VLOOKUP(D11124,'Detail Balok'!$C$10:$AU$110,2,FALSE)</f>
        <v>200</v>
      </c>
      <c r="F11125" t="str">
        <v>x</v>
      </c>
      <c r="G11125">
        <f>VLOOKUP(D11124,'Detail Balok'!$C$10:$AU$110,3,FALSE)</f>
        <v>400</v>
      </c>
    </row>
    <row r="11126">
      <c r="C11126" t="str">
        <v>Panjang as ke as</v>
      </c>
      <c r="D11126">
        <f>VLOOKUP(C11124,'Data Panjang Balok'!$C$9:$N$424,4,FALSE)</f>
        <v>3235</v>
      </c>
    </row>
    <row r="11127">
      <c r="C11127" t="str">
        <v>Panjang netto</v>
      </c>
      <c r="D11127">
        <f>VLOOKUP(C11124,'Data Panjang Balok'!$C$9:$N$424,7,FALSE)</f>
        <v>3235</v>
      </c>
    </row>
    <row r="11128">
      <c r="C11128" t="str">
        <v>Kolom / balok kiri</v>
      </c>
      <c r="D11128">
        <f>VLOOKUP(C11124,'Data Panjang Balok'!$C$9:$N$424,9,FALSE)</f>
        <v>0</v>
      </c>
    </row>
    <row r="11129">
      <c r="C11129" t="str">
        <v>Kolom / balok kanan</v>
      </c>
      <c r="D11129">
        <f>VLOOKUP(C11124,'Data Panjang Balok'!$C$9:$N$424,10,FALSE)</f>
        <v>0</v>
      </c>
    </row>
    <row r="11130">
      <c r="C11130" t="str">
        <v>Jumlah</v>
      </c>
      <c r="D11130">
        <f>VLOOKUP(C11124,'Data Panjang Balok'!$C$9:$N$424,3,FALSE)</f>
        <v>1</v>
      </c>
    </row>
    <row r="11131">
      <c r="A11131" t="str">
        <f>A11124</f>
        <v>Lantai Atap</v>
      </c>
      <c r="B11131">
        <f>B11124</f>
        <v>30</v>
      </c>
      <c r="C11131" t="str">
        <v>Tul Atas Tumpuan</v>
      </c>
      <c r="D11131">
        <f>VLOOKUP(D11124,'Detail Balok'!$C$10:$AU$110,4,FALSE)</f>
        <v>2</v>
      </c>
      <c r="E11131" t="str">
        <v>D</v>
      </c>
      <c r="F11131">
        <f>VLOOKUP(D11124,'Detail Balok'!$C$10:$AU$110,6,FALSE)</f>
        <v>13</v>
      </c>
      <c r="I11131" t="str">
        <v>(</v>
      </c>
      <c r="J11131">
        <f>+D11126/4/1000</f>
        <v>0.80875</v>
      </c>
      <c r="K11131" t="str">
        <v>+</v>
      </c>
      <c r="L11131">
        <f>MAX(VLOOKUP(F11131,N$6:P$15,3,FALSE)/1000,2/3*D11128/1000)+F$16*F11131/1000</f>
        <v>0.156</v>
      </c>
      <c r="M11131" t="str">
        <v>=</v>
      </c>
      <c r="N11131">
        <f>J11131+L11131</f>
        <v>0.96475</v>
      </c>
      <c r="O11131" t="str">
        <v>+</v>
      </c>
      <c r="P11131">
        <f>D11131-D11132</f>
        <v>0</v>
      </c>
      <c r="Q11131" t="str">
        <v>x</v>
      </c>
      <c r="R11131">
        <f>IF(P11131&gt;0,$F$18*F11131/1000,0)</f>
        <v>0</v>
      </c>
      <c r="S11131" t="str">
        <v>)</v>
      </c>
      <c r="T11131" t="str">
        <v>x</v>
      </c>
      <c r="U11131">
        <f>0.006165*F11131^2</f>
        <v>1.041885</v>
      </c>
      <c r="X11131" t="str">
        <v>x</v>
      </c>
      <c r="Y11131">
        <f>D11130</f>
        <v>1</v>
      </c>
      <c r="Z11131" t="str">
        <v>=</v>
      </c>
      <c r="AA11131">
        <f>IF(AA11134=0,(D11131*N11131+P11131*R11131)*U11131*Y11131,0)</f>
        <v>0</v>
      </c>
    </row>
    <row r="11132">
      <c r="A11132" t="str">
        <f>A11124</f>
        <v>Lantai Atap</v>
      </c>
      <c r="B11132">
        <f>B11124</f>
        <v>30</v>
      </c>
      <c r="C11132" t="str">
        <v>Tul Atas Lapangan</v>
      </c>
      <c r="D11132">
        <f>VLOOKUP(D11124,'Detail Balok'!$C$10:$AU$110,7,FALSE)</f>
        <v>2</v>
      </c>
      <c r="E11132" t="str">
        <v>D</v>
      </c>
      <c r="F11132">
        <f>VLOOKUP(D11124,'Detail Balok'!$C$10:$AU$110,9,FALSE)</f>
        <v>13</v>
      </c>
      <c r="I11132" t="str">
        <v>(</v>
      </c>
      <c r="J11132">
        <f>+D11126/2/1000</f>
        <v>1.6175</v>
      </c>
      <c r="K11132" t="str">
        <v>+</v>
      </c>
      <c r="M11132" t="str">
        <v>=</v>
      </c>
      <c r="N11132">
        <f>J11132+L11132</f>
        <v>1.6175</v>
      </c>
      <c r="O11132" t="str">
        <v>+</v>
      </c>
      <c r="P11132">
        <f>MAX(D11132-D11131,D11132-D11133)</f>
        <v>0</v>
      </c>
      <c r="Q11132" t="str">
        <v>x</v>
      </c>
      <c r="R11132">
        <f>IF(P11132&gt;0,2*(1-2*$F$19-1/2)*D11127/1000,0)</f>
        <v>0</v>
      </c>
      <c r="S11132" t="str">
        <v>)</v>
      </c>
      <c r="T11132" t="str">
        <v>x</v>
      </c>
      <c r="U11132">
        <f>0.006165*F11132^2</f>
        <v>1.041885</v>
      </c>
      <c r="X11132" t="str">
        <v>x</v>
      </c>
      <c r="Y11132">
        <f>D11130</f>
        <v>1</v>
      </c>
      <c r="Z11132" t="str">
        <v>=</v>
      </c>
      <c r="AA11132">
        <f>IF(AA11134=0,(D11132*N11132+P11132*R11132)*U11132*Y11132,0)</f>
        <v>0</v>
      </c>
    </row>
    <row r="11133">
      <c r="A11133" t="str">
        <f>A11124</f>
        <v>Lantai Atap</v>
      </c>
      <c r="B11133">
        <f>B11124</f>
        <v>30</v>
      </c>
      <c r="C11133" t="str">
        <v>Tul Atas Tumpuan</v>
      </c>
      <c r="D11133">
        <f>VLOOKUP(D11124,'Detail Balok'!$C$10:$AU$110,10,FALSE)</f>
        <v>2</v>
      </c>
      <c r="E11133" t="str">
        <v>D</v>
      </c>
      <c r="F11133">
        <f>VLOOKUP(D11124,'Detail Balok'!$C$10:$AU$110,12,FALSE)</f>
        <v>13</v>
      </c>
      <c r="I11133" t="str">
        <v>(</v>
      </c>
      <c r="J11133">
        <f>+D11126/4/1000</f>
        <v>0.80875</v>
      </c>
      <c r="K11133" t="str">
        <v>+</v>
      </c>
      <c r="L11133">
        <f>MAX(VLOOKUP(F11133,N$6:P$15,3,FALSE)/1000,2/3*D11128/1000)+F$16*F11133/1000</f>
        <v>0.156</v>
      </c>
      <c r="M11133" t="str">
        <v>=</v>
      </c>
      <c r="N11133">
        <f>J11133+L11133</f>
        <v>0.96475</v>
      </c>
      <c r="O11133" t="str">
        <v>+</v>
      </c>
      <c r="P11133">
        <f>D11133-D11132</f>
        <v>0</v>
      </c>
      <c r="Q11133" t="str">
        <v>x</v>
      </c>
      <c r="R11133">
        <f>IF(P11133&gt;0,$F$18*F11133/1000,0)</f>
        <v>0</v>
      </c>
      <c r="S11133" t="str">
        <v>)</v>
      </c>
      <c r="T11133" t="str">
        <v>x</v>
      </c>
      <c r="U11133">
        <f>0.006165*F11133^2</f>
        <v>1.041885</v>
      </c>
      <c r="X11133" t="str">
        <v>x</v>
      </c>
      <c r="Y11133">
        <f>D11130</f>
        <v>1</v>
      </c>
      <c r="Z11133" t="str">
        <v>=</v>
      </c>
      <c r="AA11133">
        <f>IF(AA11134=0,(D11133*N11133+P11133*R11133)*U11133*Y11133,0)</f>
        <v>0</v>
      </c>
    </row>
    <row r="11134">
      <c r="A11134" t="str">
        <f>A11124</f>
        <v>Lantai Atap</v>
      </c>
      <c r="B11134">
        <f>B11124</f>
        <v>30</v>
      </c>
      <c r="D11134">
        <f>IF(AND(D11131=D11132,D11132=D11133,D11131=D11133),D11131,0)</f>
        <v>2</v>
      </c>
      <c r="E11134" t="str">
        <v>D</v>
      </c>
      <c r="F11134">
        <f>IF(AND(F11131=F11132,F11131=F11133,F11132=F11133),F11131,0)</f>
        <v>13</v>
      </c>
      <c r="L11134" t="str">
        <v>Total panjang per balok</v>
      </c>
      <c r="M11134" t="str">
        <v>=</v>
      </c>
      <c r="N11134">
        <f>IF(AND(D11131=D11132,D11131=D11133,D11132=D11133,F11131=F11132,F11131=F11133,F11132=F11133),SUM(N11131:N11133),0)</f>
        <v>3.547</v>
      </c>
      <c r="O11134" t="str">
        <v>+</v>
      </c>
      <c r="P11134">
        <f>IF(N11134&gt;12,ROUNDDOWN(N11134/12,0),0)</f>
        <v>0</v>
      </c>
      <c r="Q11134" t="str">
        <v>x</v>
      </c>
      <c r="R11134">
        <f>IF(P11134&gt;0,MAX(VLOOKUP(F11134,$D$6:$G$15,3,FALSE),600),0)/1000</f>
        <v>0</v>
      </c>
      <c r="T11134" t="str">
        <v>x</v>
      </c>
      <c r="U11134">
        <f>U11133</f>
        <v>1.041885</v>
      </c>
      <c r="V11134" t="str">
        <v>x</v>
      </c>
      <c r="W11134">
        <f>D11134</f>
        <v>2</v>
      </c>
      <c r="X11134" t="str">
        <v>x</v>
      </c>
      <c r="Y11134">
        <f>Y11133</f>
        <v>1</v>
      </c>
      <c r="Z11134" t="str">
        <v>=</v>
      </c>
      <c r="AA11134">
        <f>(N11134+P11134*R11134/1000)*U11134*W11134*Y11134</f>
        <v>7.3911321899999995</v>
      </c>
    </row>
    <row r="11136">
      <c r="A11136" t="str">
        <f>A11124</f>
        <v>Lantai Atap</v>
      </c>
      <c r="B11136">
        <f>B11124</f>
        <v>30</v>
      </c>
      <c r="C11136" t="str">
        <v>Tul Peminggang</v>
      </c>
      <c r="D11136">
        <f>VLOOKUP(D11124,'Detail Balok'!$C$10:$AU$110,13,FALSE)</f>
        <v>0</v>
      </c>
      <c r="E11136" t="str">
        <v>D</v>
      </c>
      <c r="F11136">
        <f>VLOOKUP(D11124,'Detail Balok'!$C$10:$AU$110,15,FALSE)</f>
        <v>6</v>
      </c>
      <c r="J11136">
        <f>+D11126/1000</f>
        <v>3.235</v>
      </c>
      <c r="K11136" t="str">
        <v>+</v>
      </c>
      <c r="L11136">
        <f>2*$F$16*F11136/1000</f>
        <v>0.144</v>
      </c>
      <c r="M11136" t="str">
        <v>=</v>
      </c>
      <c r="N11136">
        <f>J11136+L11136</f>
        <v>3.379</v>
      </c>
      <c r="O11136" t="str">
        <v>+</v>
      </c>
      <c r="P11136">
        <f>IF(N11136&gt;12,ROUNDDOWN(N11136/12,0),0)</f>
        <v>0</v>
      </c>
      <c r="Q11136" t="str">
        <v>x</v>
      </c>
      <c r="R11136">
        <f>IF(P11136&gt;0,MAX(VLOOKUP(F11136,$D$6:$G$15,3,FALSE),600),0)/1000</f>
        <v>0</v>
      </c>
      <c r="T11136" t="str">
        <v>x</v>
      </c>
      <c r="U11136">
        <f>0.006165*F11136^2</f>
        <v>0.22194000000000003</v>
      </c>
      <c r="V11136" t="str">
        <v>x</v>
      </c>
      <c r="W11136">
        <f>+D11136</f>
        <v>0</v>
      </c>
      <c r="X11136" t="str">
        <v>x</v>
      </c>
      <c r="Y11136">
        <f>D11130</f>
        <v>1</v>
      </c>
      <c r="Z11136" t="str">
        <v>=</v>
      </c>
      <c r="AA11136">
        <f>(N11136+P11136*R11136/1000)*U11136*W11136*Y11136</f>
        <v>0</v>
      </c>
    </row>
    <row r="11139">
      <c r="A11139" t="str">
        <f>A11124</f>
        <v>Lantai Atap</v>
      </c>
      <c r="B11139">
        <f>B11124</f>
        <v>30</v>
      </c>
      <c r="C11139" t="str">
        <v>Tul Bawah Tumpuan</v>
      </c>
      <c r="D11139">
        <f>VLOOKUP(D11124,'Detail Balok'!$C$10:$AU$110,22,FALSE)</f>
        <v>3</v>
      </c>
      <c r="E11139" t="str">
        <v>D</v>
      </c>
      <c r="F11139">
        <f>VLOOKUP(D11124,'Detail Balok'!$C$10:$AU$110,24,FALSE)</f>
        <v>13</v>
      </c>
      <c r="I11139" t="str">
        <v>(</v>
      </c>
      <c r="J11139">
        <f>+J11131</f>
        <v>0.80875</v>
      </c>
      <c r="K11139" t="str">
        <v>+</v>
      </c>
      <c r="L11139">
        <f>MAX(VLOOKUP(F11139,N$6:P$15,3,FALSE)/1000,2/3*D11129/1000)+F$16*F11139/1000</f>
        <v>0.156</v>
      </c>
      <c r="M11139" t="str">
        <v>=</v>
      </c>
      <c r="N11139">
        <f>J11139+L11139</f>
        <v>0.96475</v>
      </c>
      <c r="O11139" t="str">
        <v>+</v>
      </c>
      <c r="P11139">
        <f>D11139-D11140</f>
        <v>0</v>
      </c>
      <c r="Q11139" t="str">
        <v>x</v>
      </c>
      <c r="R11139">
        <f>IF(P11139&gt;0,$F$18*F11139/1000,0)</f>
        <v>0</v>
      </c>
      <c r="S11139" t="str">
        <v>)</v>
      </c>
      <c r="T11139" t="str">
        <v>x</v>
      </c>
      <c r="U11139">
        <f>0.006165*F11139^2</f>
        <v>1.041885</v>
      </c>
      <c r="X11139" t="str">
        <v>x</v>
      </c>
      <c r="Y11139">
        <f>D11130</f>
        <v>1</v>
      </c>
      <c r="Z11139" t="str">
        <v>=</v>
      </c>
      <c r="AA11139">
        <f>IF(AA11142=0,(D11139*N11139+P11139*R11139)*U11139*Y11139,0)</f>
        <v>0</v>
      </c>
    </row>
    <row r="11140">
      <c r="A11140" t="str">
        <f>A11124</f>
        <v>Lantai Atap</v>
      </c>
      <c r="B11140">
        <f>B11124</f>
        <v>30</v>
      </c>
      <c r="C11140" t="str">
        <v>Tul Bawah Lapangan</v>
      </c>
      <c r="D11140">
        <f>VLOOKUP(D11124,'Detail Balok'!$C$10:$AU$110,25,FALSE)</f>
        <v>3</v>
      </c>
      <c r="E11140" t="str">
        <v>D</v>
      </c>
      <c r="F11140">
        <f>VLOOKUP(D11124,'Detail Balok'!$C$10:$AU$110,27,FALSE)</f>
        <v>13</v>
      </c>
      <c r="I11140" t="str">
        <v>(</v>
      </c>
      <c r="J11140">
        <f>+J11132</f>
        <v>1.6175</v>
      </c>
      <c r="K11140" t="str">
        <v>+</v>
      </c>
      <c r="M11140" t="str">
        <v>=</v>
      </c>
      <c r="N11140">
        <f>J11140+L11140</f>
        <v>1.6175</v>
      </c>
      <c r="O11140" t="str">
        <v>+</v>
      </c>
      <c r="P11140">
        <f>MAX(D11140-D11139,D11140-D11141)</f>
        <v>0</v>
      </c>
      <c r="Q11140" t="str">
        <v>x</v>
      </c>
      <c r="R11140">
        <f>IF(P11140&gt;0,2*(1-2*$F$19-1/2)*D11127/1000,0)</f>
        <v>0</v>
      </c>
      <c r="S11140" t="str">
        <v>)</v>
      </c>
      <c r="T11140" t="str">
        <v>x</v>
      </c>
      <c r="U11140">
        <f>0.006165*F11140^2</f>
        <v>1.041885</v>
      </c>
      <c r="X11140" t="str">
        <v>x</v>
      </c>
      <c r="Y11140">
        <f>D11130</f>
        <v>1</v>
      </c>
      <c r="Z11140" t="str">
        <v>=</v>
      </c>
      <c r="AA11140">
        <f>IF(AA11142=0,(D11140*N11140+P11140*R11140)*U11140*Y11140,0)</f>
        <v>0</v>
      </c>
    </row>
    <row r="11141">
      <c r="A11141" t="str">
        <f>A11124</f>
        <v>Lantai Atap</v>
      </c>
      <c r="B11141">
        <f>B11124</f>
        <v>30</v>
      </c>
      <c r="C11141" t="str">
        <v>Tul Bawah Tumpuan</v>
      </c>
      <c r="D11141">
        <f>VLOOKUP(D11124,'Detail Balok'!$C$10:$AU$110,28,FALSE)</f>
        <v>3</v>
      </c>
      <c r="E11141" t="str">
        <v>D</v>
      </c>
      <c r="F11141">
        <f>VLOOKUP(D11124,'Detail Balok'!$C$10:$AU$110,30,FALSE)</f>
        <v>13</v>
      </c>
      <c r="I11141" t="str">
        <v>(</v>
      </c>
      <c r="J11141">
        <f>+J11133</f>
        <v>0.80875</v>
      </c>
      <c r="K11141" t="str">
        <v>+</v>
      </c>
      <c r="L11141">
        <f>MAX(VLOOKUP(F11141,N$6:P$15,3,FALSE)/1000,2/3*D11129/1000)+F$16*F11141/1000</f>
        <v>0.156</v>
      </c>
      <c r="M11141" t="str">
        <v>=</v>
      </c>
      <c r="N11141">
        <f>J11141+L11141</f>
        <v>0.96475</v>
      </c>
      <c r="O11141" t="str">
        <v>+</v>
      </c>
      <c r="P11141">
        <f>D11141-D11140</f>
        <v>0</v>
      </c>
      <c r="Q11141" t="str">
        <v>x</v>
      </c>
      <c r="R11141">
        <f>IF(P11141&gt;0,$F$18*F11141/1000,0)</f>
        <v>0</v>
      </c>
      <c r="S11141" t="str">
        <v>)</v>
      </c>
      <c r="T11141" t="str">
        <v>x</v>
      </c>
      <c r="U11141">
        <f>0.006165*F11141^2</f>
        <v>1.041885</v>
      </c>
      <c r="X11141" t="str">
        <v>x</v>
      </c>
      <c r="Y11141">
        <f>D11130</f>
        <v>1</v>
      </c>
      <c r="Z11141" t="str">
        <v>=</v>
      </c>
      <c r="AA11141">
        <f>IF(AA11142=0,(D11141*N11141+P11141*R11141)*U11141*Y11141,0)</f>
        <v>0</v>
      </c>
    </row>
    <row r="11142">
      <c r="A11142" t="str">
        <f>A11124</f>
        <v>Lantai Atap</v>
      </c>
      <c r="B11142">
        <f>B11124</f>
        <v>30</v>
      </c>
      <c r="D11142">
        <f>IF(AND(D11139=D11140,D11140=D11141,D11139=D11141),D11139,0)</f>
        <v>3</v>
      </c>
      <c r="E11142" t="str">
        <v>D</v>
      </c>
      <c r="F11142">
        <f>IF(AND(F11139=F11140,F11139=F11141,F11140=F11141),F11139,0)</f>
        <v>13</v>
      </c>
      <c r="L11142" t="str">
        <v>Total panjang per balok</v>
      </c>
      <c r="M11142" t="str">
        <v>=</v>
      </c>
      <c r="N11142">
        <f>IF(AND(D11139=D11140,D11139=D11141,D11140=D11141,F11139=F11140,F11139=F11141,F11140=F11141),SUM(N11139:N11141),0)</f>
        <v>3.547</v>
      </c>
      <c r="O11142" t="str">
        <v>+</v>
      </c>
      <c r="P11142">
        <f>IF(N11142&gt;12,ROUNDDOWN(N11142/12,0),0)</f>
        <v>0</v>
      </c>
      <c r="Q11142" t="str">
        <v>x</v>
      </c>
      <c r="R11142">
        <f>IF(P11142&gt;0,MAX(VLOOKUP(F11142,$D$6:$G$15,3,FALSE),600),0)/1000</f>
        <v>0</v>
      </c>
      <c r="T11142" t="str">
        <v>x</v>
      </c>
      <c r="U11142">
        <f>U11141</f>
        <v>1.041885</v>
      </c>
      <c r="V11142" t="str">
        <v>x</v>
      </c>
      <c r="W11142">
        <f>D11142</f>
        <v>3</v>
      </c>
      <c r="X11142" t="str">
        <v>x</v>
      </c>
      <c r="Y11142">
        <f>Y11141</f>
        <v>1</v>
      </c>
      <c r="Z11142" t="str">
        <v>=</v>
      </c>
      <c r="AA11142">
        <f>(N11142+P11142*R11142/1000)*U11142*W11142*Y11142</f>
        <v>11.086698284999999</v>
      </c>
    </row>
    <row r="11144">
      <c r="A11144" t="str">
        <f>A11124</f>
        <v>Lantai Atap</v>
      </c>
      <c r="B11144">
        <f>B11124</f>
        <v>30</v>
      </c>
      <c r="C11144" t="str">
        <v>Sengkang Tumpuan</v>
      </c>
      <c r="D11144">
        <f>VLOOKUP(D11124,'Detail Balok'!$C$10:$AU$110,31,FALSE)</f>
        <v>0</v>
      </c>
      <c r="E11144" t="str">
        <v>D</v>
      </c>
      <c r="F11144">
        <f>VLOOKUP(D11124,'Detail Balok'!$C$10:$AU$110,33,FALSE)</f>
        <v>8</v>
      </c>
      <c r="G11144" t="str">
        <v>-</v>
      </c>
      <c r="H11144">
        <f>VLOOKUP(D11124,'Detail Balok'!$C$10:$AU$110,35,FALSE)</f>
        <v>80</v>
      </c>
      <c r="J11144">
        <f>(IF(D11144=0,(2*(D11125+G11125))-(F$5*8),IF(D11144=3,(2*(D11125+G11125))-(F$5*8)+(G11125-2*F$5),IF(D11144=4,(2*(D11125+G11125))-(F$5*8)+2*(G11125-2*F$5)))))/1000</f>
        <v>0.88</v>
      </c>
      <c r="K11144" t="str">
        <v>+</v>
      </c>
      <c r="L11144">
        <f>IF(D11144=0,2*MAX(6*F11144,75),(D11144-1)*2*MAX(6*F11144,75))/1000</f>
        <v>0.15</v>
      </c>
      <c r="M11144" t="str">
        <v>=</v>
      </c>
      <c r="N11144">
        <f>J11144+L11144</f>
        <v>1.03</v>
      </c>
      <c r="T11144" t="str">
        <v>x</v>
      </c>
      <c r="U11144">
        <f>0.006165*F11144^2</f>
        <v>0.39456</v>
      </c>
      <c r="V11144" t="str">
        <v>x</v>
      </c>
      <c r="W11144">
        <f>IF(D11127&gt;4*G11125,ROUND(MAX(D11127/4,2*G11125)/H11144,0)+1,ROUND(D11127/H11144,0)+1)</f>
        <v>11</v>
      </c>
      <c r="X11144" t="str">
        <v>x</v>
      </c>
      <c r="Y11144">
        <f>D11130</f>
        <v>1</v>
      </c>
      <c r="Z11144" t="str">
        <v>=</v>
      </c>
      <c r="AA11144">
        <f>N11144*U11144*W11144*Y11144</f>
        <v>4.4703648000000005</v>
      </c>
    </row>
    <row r="11145">
      <c r="A11145" t="str">
        <f>A11124</f>
        <v>Lantai Atap</v>
      </c>
      <c r="B11145">
        <f>B11124</f>
        <v>30</v>
      </c>
      <c r="C11145" t="str">
        <v>Sengkang Lapangan</v>
      </c>
      <c r="D11145">
        <f>VLOOKUP(D11124,'Detail Balok'!$C$10:$AU$110,36,FALSE)</f>
        <v>0</v>
      </c>
      <c r="E11145" t="str">
        <v>D</v>
      </c>
      <c r="F11145">
        <f>VLOOKUP(D11124,'Detail Balok'!$C$10:$AU$110,38,FALSE)</f>
        <v>8</v>
      </c>
      <c r="G11145" t="str">
        <v>-</v>
      </c>
      <c r="H11145">
        <f>VLOOKUP(D11124,'Detail Balok'!$C$10:$AU$110,40,FALSE)</f>
        <v>200</v>
      </c>
      <c r="J11145">
        <f>(IF(D11145=0,(2*(D11125+G11125))-(F$5*8),IF(D11145=3,(2*(D11125+G11125))-(F$5*8)+(G11125-2*F$5),IF(D11145=4,(2*(D11125+G11125))-(F$5*8)+2*(G11125-2*F$5)))))/1000</f>
        <v>0.88</v>
      </c>
      <c r="K11145" t="str">
        <v>+</v>
      </c>
      <c r="L11145">
        <f>IF(D11145=0,2*MAX(6*F11145,75),(D11145-1)*2*MAX(6*F11145,75))/1000</f>
        <v>0.15</v>
      </c>
      <c r="M11145" t="str">
        <v>=</v>
      </c>
      <c r="N11145">
        <f>J11145+L11145</f>
        <v>1.03</v>
      </c>
      <c r="T11145" t="str">
        <v>x</v>
      </c>
      <c r="U11145">
        <f>0.006165*F11145^2</f>
        <v>0.39456</v>
      </c>
      <c r="V11145" t="str">
        <v>x</v>
      </c>
      <c r="W11145">
        <f>IF(D11127-MAX(D11127/4,2*G11125)*2&gt;0,ROUND((D11127-MAX(D11127/4,2*G11125)*2)/H11145,0),0)</f>
        <v>8</v>
      </c>
      <c r="X11145" t="str">
        <v>x</v>
      </c>
      <c r="Y11145">
        <f>D11130</f>
        <v>1</v>
      </c>
      <c r="Z11145" t="str">
        <v>=</v>
      </c>
      <c r="AA11145">
        <f>N11145*U11145*W11145*Y11145</f>
        <v>3.2511744000000005</v>
      </c>
    </row>
    <row r="11146">
      <c r="A11146" t="str">
        <f>A11124</f>
        <v>Lantai Atap</v>
      </c>
      <c r="B11146">
        <f>B11124</f>
        <v>30</v>
      </c>
      <c r="C11146" t="str">
        <v>Sengkang Tumpuan</v>
      </c>
      <c r="D11146">
        <f>VLOOKUP(D11124,'Detail Balok'!$C$10:$AU$110,41,FALSE)</f>
        <v>0</v>
      </c>
      <c r="E11146" t="str">
        <v>D</v>
      </c>
      <c r="F11146">
        <f>VLOOKUP(D11124,'Detail Balok'!$C$10:$AU$110,43,FALSE)</f>
        <v>8</v>
      </c>
      <c r="G11146" t="str">
        <v>-</v>
      </c>
      <c r="H11146">
        <f>VLOOKUP(D11124,'Detail Balok'!$C$10:$AU$110,45,FALSE)</f>
        <v>80</v>
      </c>
      <c r="J11146">
        <f>(IF(D11146=0,(2*(D11125+G11125))-(F$5*8),IF(D11146=3,(2*(D11125+G11125))-(F$5*8)+(G11125-2*F$5),IF(D11146=4,(2*(D11125+G11125))-(F$5*8)+2*(G11125-2*F$5)))))/1000</f>
        <v>0.88</v>
      </c>
      <c r="K11146" t="str">
        <v>+</v>
      </c>
      <c r="L11146">
        <f>IF(D11146=0,2*MAX(6*F11146,75),(D11146-1)*2*MAX(6*F11146,75))/1000</f>
        <v>0.15</v>
      </c>
      <c r="M11146" t="str">
        <v>=</v>
      </c>
      <c r="N11146">
        <f>J11146+L11146</f>
        <v>1.03</v>
      </c>
      <c r="T11146" t="str">
        <v>x</v>
      </c>
      <c r="U11146">
        <f>0.006165*F11146^2</f>
        <v>0.39456</v>
      </c>
      <c r="V11146" t="str">
        <v>x</v>
      </c>
      <c r="W11146">
        <f>IF(D11127&gt;4*G11125,ROUND(MAX(D11127/4,2*G11125)/H11146,0)+1,0)</f>
        <v>11</v>
      </c>
      <c r="X11146" t="str">
        <v>x</v>
      </c>
      <c r="Y11146">
        <f>D11130</f>
        <v>1</v>
      </c>
      <c r="Z11146" t="str">
        <v>=</v>
      </c>
      <c r="AA11146">
        <f>N11146*U11146*W11146*Y11146</f>
        <v>4.4703648000000005</v>
      </c>
    </row>
    <row r="11148">
      <c r="A11148" t="str">
        <f>A11124</f>
        <v>Lantai Atap</v>
      </c>
      <c r="B11148">
        <f>B11124</f>
        <v>30</v>
      </c>
      <c r="C11148" t="str">
        <v>Kait Horizontal Tump.</v>
      </c>
      <c r="D11148">
        <f>VLOOKUP(D11124,'Detail Balok'!$C$10:$BJ$110,46,FALSE)</f>
        <v>0</v>
      </c>
      <c r="E11148" t="str">
        <v>D</v>
      </c>
      <c r="F11148">
        <f>VLOOKUP(D11124,'Detail Balok'!$C$10:$BJ$110,48,FALSE)</f>
        <v>0</v>
      </c>
      <c r="G11148" t="str">
        <v>-</v>
      </c>
      <c r="H11148">
        <f>VLOOKUP(D11124,'Detail Balok'!$C$10:$BJ$110,50,FALSE)</f>
        <v>100</v>
      </c>
      <c r="J11148">
        <f>(D11125-2*F$5)/1000</f>
        <v>0.12</v>
      </c>
      <c r="K11148" t="str">
        <v>+</v>
      </c>
      <c r="L11148">
        <f>IF(D11148=0,2*MAX(6*F11148,75),(D11148-1)*2*MAX(6*F11148,75))/1000</f>
        <v>0.15</v>
      </c>
      <c r="M11148" t="str">
        <v>=</v>
      </c>
      <c r="N11148">
        <f>J11148+L11148</f>
        <v>0.27</v>
      </c>
      <c r="T11148" t="str">
        <v>x</v>
      </c>
      <c r="U11148">
        <f>0.006165*F11148^2</f>
        <v>0</v>
      </c>
      <c r="V11148" t="str">
        <v>x</v>
      </c>
      <c r="W11148">
        <f>W11144</f>
        <v>11</v>
      </c>
      <c r="X11148" t="str">
        <v>x</v>
      </c>
      <c r="Y11148">
        <f>D11134</f>
        <v>2</v>
      </c>
      <c r="Z11148" t="str">
        <v>=</v>
      </c>
      <c r="AA11148">
        <f>N11148*U11148*W11148*Y11148</f>
        <v>0</v>
      </c>
    </row>
    <row r="11149">
      <c r="A11149" t="str">
        <f>A11124</f>
        <v>Lantai Atap</v>
      </c>
      <c r="B11149">
        <f>B11124</f>
        <v>30</v>
      </c>
      <c r="C11149" t="str">
        <v>Kait Horizontal Lap.</v>
      </c>
      <c r="D11149">
        <f>VLOOKUP(D11124,'Detail Balok'!$C$10:$BJ$110,51,FALSE)</f>
        <v>0</v>
      </c>
      <c r="E11149" t="str">
        <v>D</v>
      </c>
      <c r="F11149">
        <f>VLOOKUP(D11124,'Detail Balok'!$C$10:$BJ$110,53,FALSE)</f>
        <v>0</v>
      </c>
      <c r="G11149" t="str">
        <v>-</v>
      </c>
      <c r="H11149">
        <f>VLOOKUP(D11124,'Detail Balok'!$C$10:$BJ$110,55,FALSE)</f>
        <v>100</v>
      </c>
      <c r="J11149">
        <f>(D11125-2*F$5)/1000</f>
        <v>0.12</v>
      </c>
      <c r="K11149" t="str">
        <v>+</v>
      </c>
      <c r="L11149">
        <f>IF(D11149=0,2*MAX(6*F11149,75),(D11149-1)*2*MAX(6*F11149,75))/1000</f>
        <v>0.15</v>
      </c>
      <c r="M11149" t="str">
        <v>=</v>
      </c>
      <c r="N11149">
        <f>J11149+L11149</f>
        <v>0.27</v>
      </c>
      <c r="T11149" t="str">
        <v>x</v>
      </c>
      <c r="U11149">
        <f>0.006165*F11149^2</f>
        <v>0</v>
      </c>
      <c r="V11149" t="str">
        <v>x</v>
      </c>
      <c r="W11149">
        <f>W11145</f>
        <v>8</v>
      </c>
      <c r="X11149" t="str">
        <v>x</v>
      </c>
      <c r="Y11149">
        <f>D11134</f>
        <v>2</v>
      </c>
      <c r="Z11149" t="str">
        <v>=</v>
      </c>
      <c r="AA11149">
        <f>N11149*U11149*W11149*Y11149</f>
        <v>0</v>
      </c>
    </row>
    <row r="11150">
      <c r="A11150" t="str">
        <f>A11124</f>
        <v>Lantai Atap</v>
      </c>
      <c r="B11150">
        <f>B11124</f>
        <v>30</v>
      </c>
      <c r="C11150" t="str">
        <v>Kait Horizontal Tump.</v>
      </c>
      <c r="D11150">
        <f>VLOOKUP(D11124,'Detail Balok'!$C$10:$BJ$110,56,FALSE)</f>
        <v>0</v>
      </c>
      <c r="E11150" t="str">
        <v>D</v>
      </c>
      <c r="F11150">
        <f>VLOOKUP(D11124,'Detail Balok'!$C$10:$BJ$110,58,FALSE)</f>
        <v>0</v>
      </c>
      <c r="G11150" t="str">
        <v>-</v>
      </c>
      <c r="H11150">
        <f>VLOOKUP(D11124,'Detail Balok'!$C$10:$BJ$110,60,FALSE)</f>
        <v>100</v>
      </c>
      <c r="J11150">
        <f>(D11125-2*F$5)/1000</f>
        <v>0.12</v>
      </c>
      <c r="K11150" t="str">
        <v>+</v>
      </c>
      <c r="L11150">
        <f>IF(D11150=0,2*MAX(6*F11150,75),(D11150-1)*2*MAX(6*F11150,75))/1000</f>
        <v>0.15</v>
      </c>
      <c r="M11150" t="str">
        <v>=</v>
      </c>
      <c r="N11150">
        <f>J11150+L11150</f>
        <v>0.27</v>
      </c>
      <c r="T11150" t="str">
        <v>x</v>
      </c>
      <c r="U11150">
        <f>0.006165*F11150^2</f>
        <v>0</v>
      </c>
      <c r="V11150" t="str">
        <v>x</v>
      </c>
      <c r="W11150">
        <f>W11146</f>
        <v>11</v>
      </c>
      <c r="X11150" t="str">
        <v>x</v>
      </c>
      <c r="Y11150">
        <f>D11134</f>
        <v>2</v>
      </c>
      <c r="Z11150" t="str">
        <v>=</v>
      </c>
      <c r="AA11150">
        <f>N11150*U11150*W11150*Y11150</f>
        <v>0</v>
      </c>
    </row>
    <row r="11154">
      <c r="A11154" t="str">
        <f>A11124</f>
        <v>Lantai Atap</v>
      </c>
      <c r="B11154">
        <f>B11124+1</f>
        <v>31</v>
      </c>
      <c r="C11154" t="str">
        <f>CONCATENATE(A11154," no. ",B11154)</f>
        <v>Lantai Atap no. 31</v>
      </c>
      <c r="D11154" t="str">
        <f>VLOOKUP(C11154,'Data Panjang Balok'!$C$9:$N$424,2,FALSE)</f>
        <v>B245-1</v>
      </c>
    </row>
    <row r="11155">
      <c r="C11155" t="str">
        <v>Dimensi</v>
      </c>
      <c r="D11155">
        <f>VLOOKUP(D11154,'Detail Balok'!$C$10:$AU$110,2,FALSE)</f>
        <v>200</v>
      </c>
      <c r="F11155" t="str">
        <v>x</v>
      </c>
      <c r="G11155">
        <f>VLOOKUP(D11154,'Detail Balok'!$C$10:$AU$110,3,FALSE)</f>
        <v>450</v>
      </c>
    </row>
    <row r="11156">
      <c r="C11156" t="str">
        <v>Panjang as ke as</v>
      </c>
      <c r="D11156">
        <f>VLOOKUP(C11154,'Data Panjang Balok'!$C$9:$N$424,4,FALSE)</f>
        <v>5700</v>
      </c>
    </row>
    <row r="11157">
      <c r="C11157" t="str">
        <v>Panjang netto</v>
      </c>
      <c r="D11157">
        <f>VLOOKUP(C11154,'Data Panjang Balok'!$C$9:$N$424,7,FALSE)</f>
        <v>5700</v>
      </c>
    </row>
    <row r="11158">
      <c r="C11158" t="str">
        <v>Kolom / balok kiri</v>
      </c>
      <c r="D11158">
        <f>VLOOKUP(C11154,'Data Panjang Balok'!$C$9:$N$424,9,FALSE)</f>
        <v>0</v>
      </c>
    </row>
    <row r="11159">
      <c r="C11159" t="str">
        <v>Kolom / balok kanan</v>
      </c>
      <c r="D11159">
        <f>VLOOKUP(C11154,'Data Panjang Balok'!$C$9:$N$424,10,FALSE)</f>
        <v>0</v>
      </c>
    </row>
    <row r="11160">
      <c r="C11160" t="str">
        <v>Jumlah</v>
      </c>
      <c r="D11160">
        <f>VLOOKUP(C11154,'Data Panjang Balok'!$C$9:$N$424,3,FALSE)</f>
        <v>1</v>
      </c>
    </row>
    <row r="11161">
      <c r="A11161" t="str">
        <f>A11154</f>
        <v>Lantai Atap</v>
      </c>
      <c r="B11161">
        <f>B11154</f>
        <v>31</v>
      </c>
      <c r="C11161" t="str">
        <v>Tul Atas Tumpuan</v>
      </c>
      <c r="D11161">
        <f>VLOOKUP(D11154,'Detail Balok'!$C$10:$AU$110,4,FALSE)</f>
        <v>2</v>
      </c>
      <c r="E11161" t="str">
        <v>D</v>
      </c>
      <c r="F11161">
        <f>VLOOKUP(D11154,'Detail Balok'!$C$10:$AU$110,6,FALSE)</f>
        <v>13</v>
      </c>
      <c r="I11161" t="str">
        <v>(</v>
      </c>
      <c r="J11161">
        <f>+D11156/4/1000</f>
        <v>1.425</v>
      </c>
      <c r="K11161" t="str">
        <v>+</v>
      </c>
      <c r="L11161">
        <f>MAX(VLOOKUP(F11161,N$6:P$15,3,FALSE)/1000,2/3*D11158/1000)+F$16*F11161/1000</f>
        <v>0.156</v>
      </c>
      <c r="M11161" t="str">
        <v>=</v>
      </c>
      <c r="N11161">
        <f>J11161+L11161</f>
        <v>1.581</v>
      </c>
      <c r="O11161" t="str">
        <v>+</v>
      </c>
      <c r="P11161">
        <f>D11161-D11162</f>
        <v>0</v>
      </c>
      <c r="Q11161" t="str">
        <v>x</v>
      </c>
      <c r="R11161">
        <f>IF(P11161&gt;0,$F$18*F11161/1000,0)</f>
        <v>0</v>
      </c>
      <c r="S11161" t="str">
        <v>)</v>
      </c>
      <c r="T11161" t="str">
        <v>x</v>
      </c>
      <c r="U11161">
        <f>0.006165*F11161^2</f>
        <v>1.041885</v>
      </c>
      <c r="X11161" t="str">
        <v>x</v>
      </c>
      <c r="Y11161">
        <f>D11160</f>
        <v>1</v>
      </c>
      <c r="Z11161" t="str">
        <v>=</v>
      </c>
      <c r="AA11161">
        <f>IF(AA11164=0,(D11161*N11161+P11161*R11161)*U11161*Y11161,0)</f>
        <v>0</v>
      </c>
    </row>
    <row r="11162">
      <c r="A11162" t="str">
        <f>A11154</f>
        <v>Lantai Atap</v>
      </c>
      <c r="B11162">
        <f>B11154</f>
        <v>31</v>
      </c>
      <c r="C11162" t="str">
        <v>Tul Atas Lapangan</v>
      </c>
      <c r="D11162">
        <f>VLOOKUP(D11154,'Detail Balok'!$C$10:$AU$110,7,FALSE)</f>
        <v>2</v>
      </c>
      <c r="E11162" t="str">
        <v>D</v>
      </c>
      <c r="F11162">
        <f>VLOOKUP(D11154,'Detail Balok'!$C$10:$AU$110,9,FALSE)</f>
        <v>13</v>
      </c>
      <c r="I11162" t="str">
        <v>(</v>
      </c>
      <c r="J11162">
        <f>+D11156/2/1000</f>
        <v>2.85</v>
      </c>
      <c r="K11162" t="str">
        <v>+</v>
      </c>
      <c r="M11162" t="str">
        <v>=</v>
      </c>
      <c r="N11162">
        <f>J11162+L11162</f>
        <v>2.85</v>
      </c>
      <c r="O11162" t="str">
        <v>+</v>
      </c>
      <c r="P11162">
        <f>MAX(D11162-D11161,D11162-D11163)</f>
        <v>0</v>
      </c>
      <c r="Q11162" t="str">
        <v>x</v>
      </c>
      <c r="R11162">
        <f>IF(P11162&gt;0,2*(1-2*$F$19-1/2)*D11157/1000,0)</f>
        <v>0</v>
      </c>
      <c r="S11162" t="str">
        <v>)</v>
      </c>
      <c r="T11162" t="str">
        <v>x</v>
      </c>
      <c r="U11162">
        <f>0.006165*F11162^2</f>
        <v>1.041885</v>
      </c>
      <c r="X11162" t="str">
        <v>x</v>
      </c>
      <c r="Y11162">
        <f>D11160</f>
        <v>1</v>
      </c>
      <c r="Z11162" t="str">
        <v>=</v>
      </c>
      <c r="AA11162">
        <f>IF(AA11164=0,(D11162*N11162+P11162*R11162)*U11162*Y11162,0)</f>
        <v>0</v>
      </c>
    </row>
    <row r="11163">
      <c r="A11163" t="str">
        <f>A11154</f>
        <v>Lantai Atap</v>
      </c>
      <c r="B11163">
        <f>B11154</f>
        <v>31</v>
      </c>
      <c r="C11163" t="str">
        <v>Tul Atas Tumpuan</v>
      </c>
      <c r="D11163">
        <f>VLOOKUP(D11154,'Detail Balok'!$C$10:$AU$110,10,FALSE)</f>
        <v>2</v>
      </c>
      <c r="E11163" t="str">
        <v>D</v>
      </c>
      <c r="F11163">
        <f>VLOOKUP(D11154,'Detail Balok'!$C$10:$AU$110,12,FALSE)</f>
        <v>13</v>
      </c>
      <c r="I11163" t="str">
        <v>(</v>
      </c>
      <c r="J11163">
        <f>+D11156/4/1000</f>
        <v>1.425</v>
      </c>
      <c r="K11163" t="str">
        <v>+</v>
      </c>
      <c r="L11163">
        <f>MAX(VLOOKUP(F11163,N$6:P$15,3,FALSE)/1000,2/3*D11158/1000)+F$16*F11163/1000</f>
        <v>0.156</v>
      </c>
      <c r="M11163" t="str">
        <v>=</v>
      </c>
      <c r="N11163">
        <f>J11163+L11163</f>
        <v>1.581</v>
      </c>
      <c r="O11163" t="str">
        <v>+</v>
      </c>
      <c r="P11163">
        <f>D11163-D11162</f>
        <v>0</v>
      </c>
      <c r="Q11163" t="str">
        <v>x</v>
      </c>
      <c r="R11163">
        <f>IF(P11163&gt;0,$F$18*F11163/1000,0)</f>
        <v>0</v>
      </c>
      <c r="S11163" t="str">
        <v>)</v>
      </c>
      <c r="T11163" t="str">
        <v>x</v>
      </c>
      <c r="U11163">
        <f>0.006165*F11163^2</f>
        <v>1.041885</v>
      </c>
      <c r="X11163" t="str">
        <v>x</v>
      </c>
      <c r="Y11163">
        <f>D11160</f>
        <v>1</v>
      </c>
      <c r="Z11163" t="str">
        <v>=</v>
      </c>
      <c r="AA11163">
        <f>IF(AA11164=0,(D11163*N11163+P11163*R11163)*U11163*Y11163,0)</f>
        <v>0</v>
      </c>
    </row>
    <row r="11164">
      <c r="A11164" t="str">
        <f>A11154</f>
        <v>Lantai Atap</v>
      </c>
      <c r="B11164">
        <f>B11154</f>
        <v>31</v>
      </c>
      <c r="D11164">
        <f>IF(AND(D11161=D11162,D11162=D11163,D11161=D11163),D11161,0)</f>
        <v>2</v>
      </c>
      <c r="E11164" t="str">
        <v>D</v>
      </c>
      <c r="F11164">
        <f>IF(AND(F11161=F11162,F11161=F11163,F11162=F11163),F11161,0)</f>
        <v>13</v>
      </c>
      <c r="L11164" t="str">
        <v>Total panjang per balok</v>
      </c>
      <c r="M11164" t="str">
        <v>=</v>
      </c>
      <c r="N11164">
        <f>IF(AND(D11161=D11162,D11161=D11163,D11162=D11163,F11161=F11162,F11161=F11163,F11162=F11163),SUM(N11161:N11163),0)</f>
        <v>6.0120000000000005</v>
      </c>
      <c r="O11164" t="str">
        <v>+</v>
      </c>
      <c r="P11164">
        <f>IF(N11164&gt;12,ROUNDDOWN(N11164/12,0),0)</f>
        <v>0</v>
      </c>
      <c r="Q11164" t="str">
        <v>x</v>
      </c>
      <c r="R11164">
        <f>IF(P11164&gt;0,MAX(VLOOKUP(F11164,$D$6:$G$15,3,FALSE),600),0)/1000</f>
        <v>0</v>
      </c>
      <c r="T11164" t="str">
        <v>x</v>
      </c>
      <c r="U11164">
        <f>U11163</f>
        <v>1.041885</v>
      </c>
      <c r="V11164" t="str">
        <v>x</v>
      </c>
      <c r="W11164">
        <f>D11164</f>
        <v>2</v>
      </c>
      <c r="X11164" t="str">
        <v>x</v>
      </c>
      <c r="Y11164">
        <f>Y11163</f>
        <v>1</v>
      </c>
      <c r="Z11164" t="str">
        <v>=</v>
      </c>
      <c r="AA11164">
        <f>(N11164+P11164*R11164/1000)*U11164*W11164*Y11164</f>
        <v>12.52762524</v>
      </c>
    </row>
    <row r="11166">
      <c r="A11166" t="str">
        <f>A11154</f>
        <v>Lantai Atap</v>
      </c>
      <c r="B11166">
        <f>B11154</f>
        <v>31</v>
      </c>
      <c r="C11166" t="str">
        <v>Tul Peminggang</v>
      </c>
      <c r="D11166">
        <f>VLOOKUP(D11154,'Detail Balok'!$C$10:$AU$110,13,FALSE)</f>
        <v>2</v>
      </c>
      <c r="E11166" t="str">
        <v>D</v>
      </c>
      <c r="F11166">
        <f>VLOOKUP(D11154,'Detail Balok'!$C$10:$AU$110,15,FALSE)</f>
        <v>8</v>
      </c>
      <c r="J11166">
        <f>+D11156/1000</f>
        <v>5.7</v>
      </c>
      <c r="K11166" t="str">
        <v>+</v>
      </c>
      <c r="L11166">
        <f>2*$F$16*F11166/1000</f>
        <v>0.192</v>
      </c>
      <c r="M11166" t="str">
        <v>=</v>
      </c>
      <c r="N11166">
        <f>J11166+L11166</f>
        <v>5.892</v>
      </c>
      <c r="O11166" t="str">
        <v>+</v>
      </c>
      <c r="P11166">
        <f>IF(N11166&gt;12,ROUNDDOWN(N11166/12,0),0)</f>
        <v>0</v>
      </c>
      <c r="Q11166" t="str">
        <v>x</v>
      </c>
      <c r="R11166">
        <f>IF(P11166&gt;0,MAX(VLOOKUP(F11166,$D$6:$G$15,3,FALSE),600),0)/1000</f>
        <v>0</v>
      </c>
      <c r="T11166" t="str">
        <v>x</v>
      </c>
      <c r="U11166">
        <f>0.006165*F11166^2</f>
        <v>0.39456</v>
      </c>
      <c r="V11166" t="str">
        <v>x</v>
      </c>
      <c r="W11166">
        <f>+D11166</f>
        <v>2</v>
      </c>
      <c r="X11166" t="str">
        <v>x</v>
      </c>
      <c r="Y11166">
        <f>D11160</f>
        <v>1</v>
      </c>
      <c r="Z11166" t="str">
        <v>=</v>
      </c>
      <c r="AA11166">
        <f>(N11166+P11166*R11166/1000)*U11166*W11166*Y11166</f>
        <v>4.649495040000001</v>
      </c>
    </row>
    <row r="11169">
      <c r="A11169" t="str">
        <f>A11154</f>
        <v>Lantai Atap</v>
      </c>
      <c r="B11169">
        <f>B11154</f>
        <v>31</v>
      </c>
      <c r="C11169" t="str">
        <v>Tul Bawah Tumpuan</v>
      </c>
      <c r="D11169">
        <f>VLOOKUP(D11154,'Detail Balok'!$C$10:$AU$110,22,FALSE)</f>
        <v>2</v>
      </c>
      <c r="E11169" t="str">
        <v>D</v>
      </c>
      <c r="F11169">
        <f>VLOOKUP(D11154,'Detail Balok'!$C$10:$AU$110,24,FALSE)</f>
        <v>13</v>
      </c>
      <c r="I11169" t="str">
        <v>(</v>
      </c>
      <c r="J11169">
        <f>+J11161</f>
        <v>1.425</v>
      </c>
      <c r="K11169" t="str">
        <v>+</v>
      </c>
      <c r="L11169">
        <f>MAX(VLOOKUP(F11169,N$6:P$15,3,FALSE)/1000,2/3*D11159/1000)+F$16*F11169/1000</f>
        <v>0.156</v>
      </c>
      <c r="M11169" t="str">
        <v>=</v>
      </c>
      <c r="N11169">
        <f>J11169+L11169</f>
        <v>1.581</v>
      </c>
      <c r="O11169" t="str">
        <v>+</v>
      </c>
      <c r="P11169">
        <f>D11169-D11170</f>
        <v>0</v>
      </c>
      <c r="Q11169" t="str">
        <v>x</v>
      </c>
      <c r="R11169">
        <f>IF(P11169&gt;0,$F$18*F11169/1000,0)</f>
        <v>0</v>
      </c>
      <c r="S11169" t="str">
        <v>)</v>
      </c>
      <c r="T11169" t="str">
        <v>x</v>
      </c>
      <c r="U11169">
        <f>0.006165*F11169^2</f>
        <v>1.041885</v>
      </c>
      <c r="X11169" t="str">
        <v>x</v>
      </c>
      <c r="Y11169">
        <f>D11160</f>
        <v>1</v>
      </c>
      <c r="Z11169" t="str">
        <v>=</v>
      </c>
      <c r="AA11169">
        <f>IF(AA11172=0,(D11169*N11169+P11169*R11169)*U11169*Y11169,0)</f>
        <v>0</v>
      </c>
    </row>
    <row r="11170">
      <c r="A11170" t="str">
        <f>A11154</f>
        <v>Lantai Atap</v>
      </c>
      <c r="B11170">
        <f>B11154</f>
        <v>31</v>
      </c>
      <c r="C11170" t="str">
        <v>Tul Bawah Lapangan</v>
      </c>
      <c r="D11170">
        <f>VLOOKUP(D11154,'Detail Balok'!$C$10:$AU$110,25,FALSE)</f>
        <v>2</v>
      </c>
      <c r="E11170" t="str">
        <v>D</v>
      </c>
      <c r="F11170">
        <f>VLOOKUP(D11154,'Detail Balok'!$C$10:$AU$110,27,FALSE)</f>
        <v>13</v>
      </c>
      <c r="I11170" t="str">
        <v>(</v>
      </c>
      <c r="J11170">
        <f>+J11162</f>
        <v>2.85</v>
      </c>
      <c r="K11170" t="str">
        <v>+</v>
      </c>
      <c r="M11170" t="str">
        <v>=</v>
      </c>
      <c r="N11170">
        <f>J11170+L11170</f>
        <v>2.85</v>
      </c>
      <c r="O11170" t="str">
        <v>+</v>
      </c>
      <c r="P11170">
        <f>MAX(D11170-D11169,D11170-D11171)</f>
        <v>0</v>
      </c>
      <c r="Q11170" t="str">
        <v>x</v>
      </c>
      <c r="R11170">
        <f>IF(P11170&gt;0,2*(1-2*$F$19-1/2)*D11157/1000,0)</f>
        <v>0</v>
      </c>
      <c r="S11170" t="str">
        <v>)</v>
      </c>
      <c r="T11170" t="str">
        <v>x</v>
      </c>
      <c r="U11170">
        <f>0.006165*F11170^2</f>
        <v>1.041885</v>
      </c>
      <c r="X11170" t="str">
        <v>x</v>
      </c>
      <c r="Y11170">
        <f>D11160</f>
        <v>1</v>
      </c>
      <c r="Z11170" t="str">
        <v>=</v>
      </c>
      <c r="AA11170">
        <f>IF(AA11172=0,(D11170*N11170+P11170*R11170)*U11170*Y11170,0)</f>
        <v>0</v>
      </c>
    </row>
    <row r="11171">
      <c r="A11171" t="str">
        <f>A11154</f>
        <v>Lantai Atap</v>
      </c>
      <c r="B11171">
        <f>B11154</f>
        <v>31</v>
      </c>
      <c r="C11171" t="str">
        <v>Tul Bawah Tumpuan</v>
      </c>
      <c r="D11171">
        <f>VLOOKUP(D11154,'Detail Balok'!$C$10:$AU$110,28,FALSE)</f>
        <v>2</v>
      </c>
      <c r="E11171" t="str">
        <v>D</v>
      </c>
      <c r="F11171">
        <f>VLOOKUP(D11154,'Detail Balok'!$C$10:$AU$110,30,FALSE)</f>
        <v>13</v>
      </c>
      <c r="I11171" t="str">
        <v>(</v>
      </c>
      <c r="J11171">
        <f>+J11163</f>
        <v>1.425</v>
      </c>
      <c r="K11171" t="str">
        <v>+</v>
      </c>
      <c r="L11171">
        <f>MAX(VLOOKUP(F11171,N$6:P$15,3,FALSE)/1000,2/3*D11159/1000)+F$16*F11171/1000</f>
        <v>0.156</v>
      </c>
      <c r="M11171" t="str">
        <v>=</v>
      </c>
      <c r="N11171">
        <f>J11171+L11171</f>
        <v>1.581</v>
      </c>
      <c r="O11171" t="str">
        <v>+</v>
      </c>
      <c r="P11171">
        <f>D11171-D11170</f>
        <v>0</v>
      </c>
      <c r="Q11171" t="str">
        <v>x</v>
      </c>
      <c r="R11171">
        <f>IF(P11171&gt;0,$F$18*F11171/1000,0)</f>
        <v>0</v>
      </c>
      <c r="S11171" t="str">
        <v>)</v>
      </c>
      <c r="T11171" t="str">
        <v>x</v>
      </c>
      <c r="U11171">
        <f>0.006165*F11171^2</f>
        <v>1.041885</v>
      </c>
      <c r="X11171" t="str">
        <v>x</v>
      </c>
      <c r="Y11171">
        <f>D11160</f>
        <v>1</v>
      </c>
      <c r="Z11171" t="str">
        <v>=</v>
      </c>
      <c r="AA11171">
        <f>IF(AA11172=0,(D11171*N11171+P11171*R11171)*U11171*Y11171,0)</f>
        <v>0</v>
      </c>
    </row>
    <row r="11172">
      <c r="A11172" t="str">
        <f>A11154</f>
        <v>Lantai Atap</v>
      </c>
      <c r="B11172">
        <f>B11154</f>
        <v>31</v>
      </c>
      <c r="D11172">
        <f>IF(AND(D11169=D11170,D11170=D11171,D11169=D11171),D11169,0)</f>
        <v>2</v>
      </c>
      <c r="E11172" t="str">
        <v>D</v>
      </c>
      <c r="F11172">
        <f>IF(AND(F11169=F11170,F11169=F11171,F11170=F11171),F11169,0)</f>
        <v>13</v>
      </c>
      <c r="L11172" t="str">
        <v>Total panjang per balok</v>
      </c>
      <c r="M11172" t="str">
        <v>=</v>
      </c>
      <c r="N11172">
        <f>IF(AND(D11169=D11170,D11169=D11171,D11170=D11171,F11169=F11170,F11169=F11171,F11170=F11171),SUM(N11169:N11171),0)</f>
        <v>6.0120000000000005</v>
      </c>
      <c r="O11172" t="str">
        <v>+</v>
      </c>
      <c r="P11172">
        <f>IF(N11172&gt;12,ROUNDDOWN(N11172/12,0),0)</f>
        <v>0</v>
      </c>
      <c r="Q11172" t="str">
        <v>x</v>
      </c>
      <c r="R11172">
        <f>IF(P11172&gt;0,MAX(VLOOKUP(F11172,$D$6:$G$15,3,FALSE),600),0)/1000</f>
        <v>0</v>
      </c>
      <c r="T11172" t="str">
        <v>x</v>
      </c>
      <c r="U11172">
        <f>U11171</f>
        <v>1.041885</v>
      </c>
      <c r="V11172" t="str">
        <v>x</v>
      </c>
      <c r="W11172">
        <f>D11172</f>
        <v>2</v>
      </c>
      <c r="X11172" t="str">
        <v>x</v>
      </c>
      <c r="Y11172">
        <f>Y11171</f>
        <v>1</v>
      </c>
      <c r="Z11172" t="str">
        <v>=</v>
      </c>
      <c r="AA11172">
        <f>(N11172+P11172*R11172/1000)*U11172*W11172*Y11172</f>
        <v>12.52762524</v>
      </c>
    </row>
    <row r="11174">
      <c r="A11174" t="str">
        <f>A11154</f>
        <v>Lantai Atap</v>
      </c>
      <c r="B11174">
        <f>B11154</f>
        <v>31</v>
      </c>
      <c r="C11174" t="str">
        <v>Sengkang Tumpuan</v>
      </c>
      <c r="D11174">
        <f>VLOOKUP(D11154,'Detail Balok'!$C$10:$AU$110,31,FALSE)</f>
        <v>0</v>
      </c>
      <c r="E11174" t="str">
        <v>D</v>
      </c>
      <c r="F11174">
        <f>VLOOKUP(D11154,'Detail Balok'!$C$10:$AU$110,33,FALSE)</f>
        <v>8</v>
      </c>
      <c r="G11174" t="str">
        <v>-</v>
      </c>
      <c r="H11174">
        <f>VLOOKUP(D11154,'Detail Balok'!$C$10:$AU$110,35,FALSE)</f>
        <v>100</v>
      </c>
      <c r="J11174">
        <f>(IF(D11174=0,(2*(D11155+G11155))-(F$5*8),IF(D11174=3,(2*(D11155+G11155))-(F$5*8)+(G11155-2*F$5),IF(D11174=4,(2*(D11155+G11155))-(F$5*8)+2*(G11155-2*F$5)))))/1000</f>
        <v>0.98</v>
      </c>
      <c r="K11174" t="str">
        <v>+</v>
      </c>
      <c r="L11174">
        <f>IF(D11174=0,2*MAX(6*F11174,75),(D11174-1)*2*MAX(6*F11174,75))/1000</f>
        <v>0.15</v>
      </c>
      <c r="M11174" t="str">
        <v>=</v>
      </c>
      <c r="N11174">
        <f>J11174+L11174</f>
        <v>1.13</v>
      </c>
      <c r="T11174" t="str">
        <v>x</v>
      </c>
      <c r="U11174">
        <f>0.006165*F11174^2</f>
        <v>0.39456</v>
      </c>
      <c r="V11174" t="str">
        <v>x</v>
      </c>
      <c r="W11174">
        <f>IF(D11157&gt;4*G11155,ROUND(MAX(D11157/4,2*G11155)/H11174,0)+1,ROUND(D11157/H11174,0)+1)</f>
        <v>15</v>
      </c>
      <c r="X11174" t="str">
        <v>x</v>
      </c>
      <c r="Y11174">
        <f>D11160</f>
        <v>1</v>
      </c>
      <c r="Z11174" t="str">
        <v>=</v>
      </c>
      <c r="AA11174">
        <f>N11174*U11174*W11174*Y11174</f>
        <v>6.687792</v>
      </c>
    </row>
    <row r="11175">
      <c r="A11175" t="str">
        <f>A11154</f>
        <v>Lantai Atap</v>
      </c>
      <c r="B11175">
        <f>B11154</f>
        <v>31</v>
      </c>
      <c r="C11175" t="str">
        <v>Sengkang Lapangan</v>
      </c>
      <c r="D11175">
        <f>VLOOKUP(D11154,'Detail Balok'!$C$10:$AU$110,36,FALSE)</f>
        <v>0</v>
      </c>
      <c r="E11175" t="str">
        <v>D</v>
      </c>
      <c r="F11175">
        <f>VLOOKUP(D11154,'Detail Balok'!$C$10:$AU$110,38,FALSE)</f>
        <v>8</v>
      </c>
      <c r="G11175" t="str">
        <v>-</v>
      </c>
      <c r="H11175">
        <f>VLOOKUP(D11154,'Detail Balok'!$C$10:$AU$110,40,FALSE)</f>
        <v>200</v>
      </c>
      <c r="J11175">
        <f>(IF(D11175=0,(2*(D11155+G11155))-(F$5*8),IF(D11175=3,(2*(D11155+G11155))-(F$5*8)+(G11155-2*F$5),IF(D11175=4,(2*(D11155+G11155))-(F$5*8)+2*(G11155-2*F$5)))))/1000</f>
        <v>0.98</v>
      </c>
      <c r="K11175" t="str">
        <v>+</v>
      </c>
      <c r="L11175">
        <f>IF(D11175=0,2*MAX(6*F11175,75),(D11175-1)*2*MAX(6*F11175,75))/1000</f>
        <v>0.15</v>
      </c>
      <c r="M11175" t="str">
        <v>=</v>
      </c>
      <c r="N11175">
        <f>J11175+L11175</f>
        <v>1.13</v>
      </c>
      <c r="T11175" t="str">
        <v>x</v>
      </c>
      <c r="U11175">
        <f>0.006165*F11175^2</f>
        <v>0.39456</v>
      </c>
      <c r="V11175" t="str">
        <v>x</v>
      </c>
      <c r="W11175">
        <f>IF(D11157-MAX(D11157/4,2*G11155)*2&gt;0,ROUND((D11157-MAX(D11157/4,2*G11155)*2)/H11175,0),0)</f>
        <v>14</v>
      </c>
      <c r="X11175" t="str">
        <v>x</v>
      </c>
      <c r="Y11175">
        <f>D11160</f>
        <v>1</v>
      </c>
      <c r="Z11175" t="str">
        <v>=</v>
      </c>
      <c r="AA11175">
        <f>N11175*U11175*W11175*Y11175</f>
        <v>6.2419392</v>
      </c>
    </row>
    <row r="11176">
      <c r="A11176" t="str">
        <f>A11154</f>
        <v>Lantai Atap</v>
      </c>
      <c r="B11176">
        <f>B11154</f>
        <v>31</v>
      </c>
      <c r="C11176" t="str">
        <v>Sengkang Tumpuan</v>
      </c>
      <c r="D11176">
        <f>VLOOKUP(D11154,'Detail Balok'!$C$10:$AU$110,41,FALSE)</f>
        <v>0</v>
      </c>
      <c r="E11176" t="str">
        <v>D</v>
      </c>
      <c r="F11176">
        <f>VLOOKUP(D11154,'Detail Balok'!$C$10:$AU$110,43,FALSE)</f>
        <v>8</v>
      </c>
      <c r="G11176" t="str">
        <v>-</v>
      </c>
      <c r="H11176">
        <f>VLOOKUP(D11154,'Detail Balok'!$C$10:$AU$110,45,FALSE)</f>
        <v>100</v>
      </c>
      <c r="J11176">
        <f>(IF(D11176=0,(2*(D11155+G11155))-(F$5*8),IF(D11176=3,(2*(D11155+G11155))-(F$5*8)+(G11155-2*F$5),IF(D11176=4,(2*(D11155+G11155))-(F$5*8)+2*(G11155-2*F$5)))))/1000</f>
        <v>0.98</v>
      </c>
      <c r="K11176" t="str">
        <v>+</v>
      </c>
      <c r="L11176">
        <f>IF(D11176=0,2*MAX(6*F11176,75),(D11176-1)*2*MAX(6*F11176,75))/1000</f>
        <v>0.15</v>
      </c>
      <c r="M11176" t="str">
        <v>=</v>
      </c>
      <c r="N11176">
        <f>J11176+L11176</f>
        <v>1.13</v>
      </c>
      <c r="T11176" t="str">
        <v>x</v>
      </c>
      <c r="U11176">
        <f>0.006165*F11176^2</f>
        <v>0.39456</v>
      </c>
      <c r="V11176" t="str">
        <v>x</v>
      </c>
      <c r="W11176">
        <f>IF(D11157&gt;4*G11155,ROUND(MAX(D11157/4,2*G11155)/H11176,0)+1,0)</f>
        <v>15</v>
      </c>
      <c r="X11176" t="str">
        <v>x</v>
      </c>
      <c r="Y11176">
        <f>D11160</f>
        <v>1</v>
      </c>
      <c r="Z11176" t="str">
        <v>=</v>
      </c>
      <c r="AA11176">
        <f>N11176*U11176*W11176*Y11176</f>
        <v>6.687792</v>
      </c>
    </row>
    <row r="11178">
      <c r="A11178" t="str">
        <f>A11154</f>
        <v>Lantai Atap</v>
      </c>
      <c r="B11178">
        <f>B11154</f>
        <v>31</v>
      </c>
      <c r="C11178" t="str">
        <v>Kait Horizontal Tump.</v>
      </c>
      <c r="D11178">
        <f>VLOOKUP(D11154,'Detail Balok'!$C$10:$BJ$110,46,FALSE)</f>
        <v>0</v>
      </c>
      <c r="E11178" t="str">
        <v>D</v>
      </c>
      <c r="F11178">
        <f>VLOOKUP(D11154,'Detail Balok'!$C$10:$BJ$110,48,FALSE)</f>
        <v>0</v>
      </c>
      <c r="G11178" t="str">
        <v>-</v>
      </c>
      <c r="H11178">
        <f>VLOOKUP(D11154,'Detail Balok'!$C$10:$BJ$110,50,FALSE)</f>
        <v>100</v>
      </c>
      <c r="J11178">
        <f>(D11155-2*F$5)/1000</f>
        <v>0.12</v>
      </c>
      <c r="K11178" t="str">
        <v>+</v>
      </c>
      <c r="L11178">
        <f>IF(D11178=0,2*MAX(6*F11178,75),(D11178-1)*2*MAX(6*F11178,75))/1000</f>
        <v>0.15</v>
      </c>
      <c r="M11178" t="str">
        <v>=</v>
      </c>
      <c r="N11178">
        <f>J11178+L11178</f>
        <v>0.27</v>
      </c>
      <c r="T11178" t="str">
        <v>x</v>
      </c>
      <c r="U11178">
        <f>0.006165*F11178^2</f>
        <v>0</v>
      </c>
      <c r="V11178" t="str">
        <v>x</v>
      </c>
      <c r="W11178">
        <f>W11174</f>
        <v>15</v>
      </c>
      <c r="X11178" t="str">
        <v>x</v>
      </c>
      <c r="Y11178">
        <f>D11164</f>
        <v>2</v>
      </c>
      <c r="Z11178" t="str">
        <v>=</v>
      </c>
      <c r="AA11178">
        <f>N11178*U11178*W11178*Y11178</f>
        <v>0</v>
      </c>
    </row>
    <row r="11179">
      <c r="A11179" t="str">
        <f>A11154</f>
        <v>Lantai Atap</v>
      </c>
      <c r="B11179">
        <f>B11154</f>
        <v>31</v>
      </c>
      <c r="C11179" t="str">
        <v>Kait Horizontal Lap.</v>
      </c>
      <c r="D11179">
        <f>VLOOKUP(D11154,'Detail Balok'!$C$10:$BJ$110,51,FALSE)</f>
        <v>0</v>
      </c>
      <c r="E11179" t="str">
        <v>D</v>
      </c>
      <c r="F11179">
        <f>VLOOKUP(D11154,'Detail Balok'!$C$10:$BJ$110,53,FALSE)</f>
        <v>0</v>
      </c>
      <c r="G11179" t="str">
        <v>-</v>
      </c>
      <c r="H11179">
        <f>VLOOKUP(D11154,'Detail Balok'!$C$10:$BJ$110,55,FALSE)</f>
        <v>100</v>
      </c>
      <c r="J11179">
        <f>(D11155-2*F$5)/1000</f>
        <v>0.12</v>
      </c>
      <c r="K11179" t="str">
        <v>+</v>
      </c>
      <c r="L11179">
        <f>IF(D11179=0,2*MAX(6*F11179,75),(D11179-1)*2*MAX(6*F11179,75))/1000</f>
        <v>0.15</v>
      </c>
      <c r="M11179" t="str">
        <v>=</v>
      </c>
      <c r="N11179">
        <f>J11179+L11179</f>
        <v>0.27</v>
      </c>
      <c r="T11179" t="str">
        <v>x</v>
      </c>
      <c r="U11179">
        <f>0.006165*F11179^2</f>
        <v>0</v>
      </c>
      <c r="V11179" t="str">
        <v>x</v>
      </c>
      <c r="W11179">
        <f>W11175</f>
        <v>14</v>
      </c>
      <c r="X11179" t="str">
        <v>x</v>
      </c>
      <c r="Y11179">
        <f>D11164</f>
        <v>2</v>
      </c>
      <c r="Z11179" t="str">
        <v>=</v>
      </c>
      <c r="AA11179">
        <f>N11179*U11179*W11179*Y11179</f>
        <v>0</v>
      </c>
    </row>
    <row r="11180">
      <c r="A11180" t="str">
        <f>A11154</f>
        <v>Lantai Atap</v>
      </c>
      <c r="B11180">
        <f>B11154</f>
        <v>31</v>
      </c>
      <c r="C11180" t="str">
        <v>Kait Horizontal Tump.</v>
      </c>
      <c r="D11180">
        <f>VLOOKUP(D11154,'Detail Balok'!$C$10:$BJ$110,56,FALSE)</f>
        <v>0</v>
      </c>
      <c r="E11180" t="str">
        <v>D</v>
      </c>
      <c r="F11180">
        <f>VLOOKUP(D11154,'Detail Balok'!$C$10:$BJ$110,58,FALSE)</f>
        <v>0</v>
      </c>
      <c r="G11180" t="str">
        <v>-</v>
      </c>
      <c r="H11180">
        <f>VLOOKUP(D11154,'Detail Balok'!$C$10:$BJ$110,60,FALSE)</f>
        <v>100</v>
      </c>
      <c r="J11180">
        <f>(D11155-2*F$5)/1000</f>
        <v>0.12</v>
      </c>
      <c r="K11180" t="str">
        <v>+</v>
      </c>
      <c r="L11180">
        <f>IF(D11180=0,2*MAX(6*F11180,75),(D11180-1)*2*MAX(6*F11180,75))/1000</f>
        <v>0.15</v>
      </c>
      <c r="M11180" t="str">
        <v>=</v>
      </c>
      <c r="N11180">
        <f>J11180+L11180</f>
        <v>0.27</v>
      </c>
      <c r="T11180" t="str">
        <v>x</v>
      </c>
      <c r="U11180">
        <f>0.006165*F11180^2</f>
        <v>0</v>
      </c>
      <c r="V11180" t="str">
        <v>x</v>
      </c>
      <c r="W11180">
        <f>W11176</f>
        <v>15</v>
      </c>
      <c r="X11180" t="str">
        <v>x</v>
      </c>
      <c r="Y11180">
        <f>D11164</f>
        <v>2</v>
      </c>
      <c r="Z11180" t="str">
        <v>=</v>
      </c>
      <c r="AA11180">
        <f>N11180*U11180*W11180*Y11180</f>
        <v>0</v>
      </c>
    </row>
    <row r="11184">
      <c r="A11184" t="str">
        <f>A11154</f>
        <v>Lantai Atap</v>
      </c>
      <c r="B11184">
        <f>B11154+1</f>
        <v>32</v>
      </c>
      <c r="C11184" t="str">
        <f>CONCATENATE(A11184," no. ",B11184)</f>
        <v>Lantai Atap no. 32</v>
      </c>
      <c r="D11184" t="str">
        <f>VLOOKUP(C11184,'Data Panjang Balok'!$C$9:$N$424,2,FALSE)</f>
        <v>B173-1</v>
      </c>
    </row>
    <row r="11185">
      <c r="C11185" t="str">
        <v>Dimensi</v>
      </c>
      <c r="D11185">
        <f>VLOOKUP(D11184,'Detail Balok'!$C$10:$AU$110,2,FALSE)</f>
        <v>170</v>
      </c>
      <c r="F11185" t="str">
        <v>x</v>
      </c>
      <c r="G11185">
        <f>VLOOKUP(D11184,'Detail Balok'!$C$10:$AU$110,3,FALSE)</f>
        <v>300</v>
      </c>
    </row>
    <row r="11186">
      <c r="C11186" t="str">
        <v>Panjang as ke as</v>
      </c>
      <c r="D11186">
        <f>VLOOKUP(C11184,'Data Panjang Balok'!$C$9:$N$424,4,FALSE)</f>
        <v>2485</v>
      </c>
    </row>
    <row r="11187">
      <c r="C11187" t="str">
        <v>Panjang netto</v>
      </c>
      <c r="D11187">
        <f>VLOOKUP(C11184,'Data Panjang Balok'!$C$9:$N$424,7,FALSE)</f>
        <v>2485</v>
      </c>
    </row>
    <row r="11188">
      <c r="C11188" t="str">
        <v>Kolom / balok kiri</v>
      </c>
      <c r="D11188">
        <f>VLOOKUP(C11184,'Data Panjang Balok'!$C$9:$N$424,9,FALSE)</f>
        <v>0</v>
      </c>
    </row>
    <row r="11189">
      <c r="C11189" t="str">
        <v>Kolom / balok kanan</v>
      </c>
      <c r="D11189">
        <f>VLOOKUP(C11184,'Data Panjang Balok'!$C$9:$N$424,10,FALSE)</f>
        <v>0</v>
      </c>
    </row>
    <row r="11190">
      <c r="C11190" t="str">
        <v>Jumlah</v>
      </c>
      <c r="D11190">
        <f>VLOOKUP(C11184,'Data Panjang Balok'!$C$9:$N$424,3,FALSE)</f>
        <v>1</v>
      </c>
    </row>
    <row r="11191">
      <c r="A11191" t="str">
        <f>A11184</f>
        <v>Lantai Atap</v>
      </c>
      <c r="B11191">
        <f>B11184</f>
        <v>32</v>
      </c>
      <c r="C11191" t="str">
        <v>Tul Atas Tumpuan</v>
      </c>
      <c r="D11191">
        <f>VLOOKUP(D11184,'Detail Balok'!$C$10:$AU$110,4,FALSE)</f>
        <v>2</v>
      </c>
      <c r="E11191" t="str">
        <v>D</v>
      </c>
      <c r="F11191">
        <f>VLOOKUP(D11184,'Detail Balok'!$C$10:$AU$110,6,FALSE)</f>
        <v>13</v>
      </c>
      <c r="I11191" t="str">
        <v>(</v>
      </c>
      <c r="J11191">
        <f>+D11186/4/1000</f>
        <v>0.62125</v>
      </c>
      <c r="K11191" t="str">
        <v>+</v>
      </c>
      <c r="L11191">
        <f>MAX(VLOOKUP(F11191,N$6:P$15,3,FALSE)/1000,2/3*D11188/1000)+F$16*F11191/1000</f>
        <v>0.156</v>
      </c>
      <c r="M11191" t="str">
        <v>=</v>
      </c>
      <c r="N11191">
        <f>J11191+L11191</f>
        <v>0.77725</v>
      </c>
      <c r="O11191" t="str">
        <v>+</v>
      </c>
      <c r="P11191">
        <f>D11191-D11192</f>
        <v>0</v>
      </c>
      <c r="Q11191" t="str">
        <v>x</v>
      </c>
      <c r="R11191">
        <f>IF(P11191&gt;0,$F$18*F11191/1000,0)</f>
        <v>0</v>
      </c>
      <c r="S11191" t="str">
        <v>)</v>
      </c>
      <c r="T11191" t="str">
        <v>x</v>
      </c>
      <c r="U11191">
        <f>0.006165*F11191^2</f>
        <v>1.041885</v>
      </c>
      <c r="X11191" t="str">
        <v>x</v>
      </c>
      <c r="Y11191">
        <f>D11190</f>
        <v>1</v>
      </c>
      <c r="Z11191" t="str">
        <v>=</v>
      </c>
      <c r="AA11191">
        <f>IF(AA11194=0,(D11191*N11191+P11191*R11191)*U11191*Y11191,0)</f>
        <v>0</v>
      </c>
    </row>
    <row r="11192">
      <c r="A11192" t="str">
        <f>A11184</f>
        <v>Lantai Atap</v>
      </c>
      <c r="B11192">
        <f>B11184</f>
        <v>32</v>
      </c>
      <c r="C11192" t="str">
        <v>Tul Atas Lapangan</v>
      </c>
      <c r="D11192">
        <f>VLOOKUP(D11184,'Detail Balok'!$C$10:$AU$110,7,FALSE)</f>
        <v>2</v>
      </c>
      <c r="E11192" t="str">
        <v>D</v>
      </c>
      <c r="F11192">
        <f>VLOOKUP(D11184,'Detail Balok'!$C$10:$AU$110,9,FALSE)</f>
        <v>13</v>
      </c>
      <c r="I11192" t="str">
        <v>(</v>
      </c>
      <c r="J11192">
        <f>+D11186/2/1000</f>
        <v>1.2425</v>
      </c>
      <c r="K11192" t="str">
        <v>+</v>
      </c>
      <c r="M11192" t="str">
        <v>=</v>
      </c>
      <c r="N11192">
        <f>J11192+L11192</f>
        <v>1.2425</v>
      </c>
      <c r="O11192" t="str">
        <v>+</v>
      </c>
      <c r="P11192">
        <f>MAX(D11192-D11191,D11192-D11193)</f>
        <v>0</v>
      </c>
      <c r="Q11192" t="str">
        <v>x</v>
      </c>
      <c r="R11192">
        <f>IF(P11192&gt;0,2*(1-2*$F$19-1/2)*D11187/1000,0)</f>
        <v>0</v>
      </c>
      <c r="S11192" t="str">
        <v>)</v>
      </c>
      <c r="T11192" t="str">
        <v>x</v>
      </c>
      <c r="U11192">
        <f>0.006165*F11192^2</f>
        <v>1.041885</v>
      </c>
      <c r="X11192" t="str">
        <v>x</v>
      </c>
      <c r="Y11192">
        <f>D11190</f>
        <v>1</v>
      </c>
      <c r="Z11192" t="str">
        <v>=</v>
      </c>
      <c r="AA11192">
        <f>IF(AA11194=0,(D11192*N11192+P11192*R11192)*U11192*Y11192,0)</f>
        <v>0</v>
      </c>
    </row>
    <row r="11193">
      <c r="A11193" t="str">
        <f>A11184</f>
        <v>Lantai Atap</v>
      </c>
      <c r="B11193">
        <f>B11184</f>
        <v>32</v>
      </c>
      <c r="C11193" t="str">
        <v>Tul Atas Tumpuan</v>
      </c>
      <c r="D11193">
        <f>VLOOKUP(D11184,'Detail Balok'!$C$10:$AU$110,10,FALSE)</f>
        <v>2</v>
      </c>
      <c r="E11193" t="str">
        <v>D</v>
      </c>
      <c r="F11193">
        <f>VLOOKUP(D11184,'Detail Balok'!$C$10:$AU$110,12,FALSE)</f>
        <v>13</v>
      </c>
      <c r="I11193" t="str">
        <v>(</v>
      </c>
      <c r="J11193">
        <f>+D11186/4/1000</f>
        <v>0.62125</v>
      </c>
      <c r="K11193" t="str">
        <v>+</v>
      </c>
      <c r="L11193">
        <f>MAX(VLOOKUP(F11193,N$6:P$15,3,FALSE)/1000,2/3*D11188/1000)+F$16*F11193/1000</f>
        <v>0.156</v>
      </c>
      <c r="M11193" t="str">
        <v>=</v>
      </c>
      <c r="N11193">
        <f>J11193+L11193</f>
        <v>0.77725</v>
      </c>
      <c r="O11193" t="str">
        <v>+</v>
      </c>
      <c r="P11193">
        <f>D11193-D11192</f>
        <v>0</v>
      </c>
      <c r="Q11193" t="str">
        <v>x</v>
      </c>
      <c r="R11193">
        <f>IF(P11193&gt;0,$F$18*F11193/1000,0)</f>
        <v>0</v>
      </c>
      <c r="S11193" t="str">
        <v>)</v>
      </c>
      <c r="T11193" t="str">
        <v>x</v>
      </c>
      <c r="U11193">
        <f>0.006165*F11193^2</f>
        <v>1.041885</v>
      </c>
      <c r="X11193" t="str">
        <v>x</v>
      </c>
      <c r="Y11193">
        <f>D11190</f>
        <v>1</v>
      </c>
      <c r="Z11193" t="str">
        <v>=</v>
      </c>
      <c r="AA11193">
        <f>IF(AA11194=0,(D11193*N11193+P11193*R11193)*U11193*Y11193,0)</f>
        <v>0</v>
      </c>
    </row>
    <row r="11194">
      <c r="A11194" t="str">
        <f>A11184</f>
        <v>Lantai Atap</v>
      </c>
      <c r="B11194">
        <f>B11184</f>
        <v>32</v>
      </c>
      <c r="D11194">
        <f>IF(AND(D11191=D11192,D11192=D11193,D11191=D11193),D11191,0)</f>
        <v>2</v>
      </c>
      <c r="E11194" t="str">
        <v>D</v>
      </c>
      <c r="F11194">
        <f>IF(AND(F11191=F11192,F11191=F11193,F11192=F11193),F11191,0)</f>
        <v>13</v>
      </c>
      <c r="L11194" t="str">
        <v>Total panjang per balok</v>
      </c>
      <c r="M11194" t="str">
        <v>=</v>
      </c>
      <c r="N11194">
        <f>IF(AND(D11191=D11192,D11191=D11193,D11192=D11193,F11191=F11192,F11191=F11193,F11192=F11193),SUM(N11191:N11193),0)</f>
        <v>2.797</v>
      </c>
      <c r="O11194" t="str">
        <v>+</v>
      </c>
      <c r="P11194">
        <f>IF(N11194&gt;12,ROUNDDOWN(N11194/12,0),0)</f>
        <v>0</v>
      </c>
      <c r="Q11194" t="str">
        <v>x</v>
      </c>
      <c r="R11194">
        <f>IF(P11194&gt;0,MAX(VLOOKUP(F11194,$D$6:$G$15,3,FALSE),600),0)/1000</f>
        <v>0</v>
      </c>
      <c r="T11194" t="str">
        <v>x</v>
      </c>
      <c r="U11194">
        <f>U11193</f>
        <v>1.041885</v>
      </c>
      <c r="V11194" t="str">
        <v>x</v>
      </c>
      <c r="W11194">
        <f>D11194</f>
        <v>2</v>
      </c>
      <c r="X11194" t="str">
        <v>x</v>
      </c>
      <c r="Y11194">
        <f>Y11193</f>
        <v>1</v>
      </c>
      <c r="Z11194" t="str">
        <v>=</v>
      </c>
      <c r="AA11194">
        <f>(N11194+P11194*R11194/1000)*U11194*W11194*Y11194</f>
        <v>5.82830469</v>
      </c>
    </row>
    <row r="11196">
      <c r="A11196" t="str">
        <f>A11184</f>
        <v>Lantai Atap</v>
      </c>
      <c r="B11196">
        <f>B11184</f>
        <v>32</v>
      </c>
      <c r="C11196" t="str">
        <v>Tul Peminggang</v>
      </c>
      <c r="D11196">
        <f>VLOOKUP(D11184,'Detail Balok'!$C$10:$AU$110,13,FALSE)</f>
        <v>0</v>
      </c>
      <c r="E11196" t="str">
        <v>D</v>
      </c>
      <c r="F11196">
        <f>VLOOKUP(D11184,'Detail Balok'!$C$10:$AU$110,15,FALSE)</f>
        <v>6</v>
      </c>
      <c r="J11196">
        <f>+D11186/1000</f>
        <v>2.485</v>
      </c>
      <c r="K11196" t="str">
        <v>+</v>
      </c>
      <c r="L11196">
        <f>2*$F$16*F11196/1000</f>
        <v>0.144</v>
      </c>
      <c r="M11196" t="str">
        <v>=</v>
      </c>
      <c r="N11196">
        <f>J11196+L11196</f>
        <v>2.629</v>
      </c>
      <c r="O11196" t="str">
        <v>+</v>
      </c>
      <c r="P11196">
        <f>IF(N11196&gt;12,ROUNDDOWN(N11196/12,0),0)</f>
        <v>0</v>
      </c>
      <c r="Q11196" t="str">
        <v>x</v>
      </c>
      <c r="R11196">
        <f>IF(P11196&gt;0,MAX(VLOOKUP(F11196,$D$6:$G$15,3,FALSE),600),0)/1000</f>
        <v>0</v>
      </c>
      <c r="T11196" t="str">
        <v>x</v>
      </c>
      <c r="U11196">
        <f>0.006165*F11196^2</f>
        <v>0.22194000000000003</v>
      </c>
      <c r="V11196" t="str">
        <v>x</v>
      </c>
      <c r="W11196">
        <f>+D11196</f>
        <v>0</v>
      </c>
      <c r="X11196" t="str">
        <v>x</v>
      </c>
      <c r="Y11196">
        <f>D11190</f>
        <v>1</v>
      </c>
      <c r="Z11196" t="str">
        <v>=</v>
      </c>
      <c r="AA11196">
        <f>(N11196+P11196*R11196/1000)*U11196*W11196*Y11196</f>
        <v>0</v>
      </c>
    </row>
    <row r="11199">
      <c r="A11199" t="str">
        <f>A11184</f>
        <v>Lantai Atap</v>
      </c>
      <c r="B11199">
        <f>B11184</f>
        <v>32</v>
      </c>
      <c r="C11199" t="str">
        <v>Tul Bawah Tumpuan</v>
      </c>
      <c r="D11199">
        <f>VLOOKUP(D11184,'Detail Balok'!$C$10:$AU$110,22,FALSE)</f>
        <v>2</v>
      </c>
      <c r="E11199" t="str">
        <v>D</v>
      </c>
      <c r="F11199">
        <f>VLOOKUP(D11184,'Detail Balok'!$C$10:$AU$110,24,FALSE)</f>
        <v>13</v>
      </c>
      <c r="I11199" t="str">
        <v>(</v>
      </c>
      <c r="J11199">
        <f>+J11191</f>
        <v>0.62125</v>
      </c>
      <c r="K11199" t="str">
        <v>+</v>
      </c>
      <c r="L11199">
        <f>MAX(VLOOKUP(F11199,N$6:P$15,3,FALSE)/1000,2/3*D11189/1000)+F$16*F11199/1000</f>
        <v>0.156</v>
      </c>
      <c r="M11199" t="str">
        <v>=</v>
      </c>
      <c r="N11199">
        <f>J11199+L11199</f>
        <v>0.77725</v>
      </c>
      <c r="O11199" t="str">
        <v>+</v>
      </c>
      <c r="P11199">
        <f>D11199-D11200</f>
        <v>0</v>
      </c>
      <c r="Q11199" t="str">
        <v>x</v>
      </c>
      <c r="R11199">
        <f>IF(P11199&gt;0,$F$18*F11199/1000,0)</f>
        <v>0</v>
      </c>
      <c r="S11199" t="str">
        <v>)</v>
      </c>
      <c r="T11199" t="str">
        <v>x</v>
      </c>
      <c r="U11199">
        <f>0.006165*F11199^2</f>
        <v>1.041885</v>
      </c>
      <c r="X11199" t="str">
        <v>x</v>
      </c>
      <c r="Y11199">
        <f>D11190</f>
        <v>1</v>
      </c>
      <c r="Z11199" t="str">
        <v>=</v>
      </c>
      <c r="AA11199">
        <f>IF(AA11202=0,(D11199*N11199+P11199*R11199)*U11199*Y11199,0)</f>
        <v>0</v>
      </c>
    </row>
    <row r="11200">
      <c r="A11200" t="str">
        <f>A11184</f>
        <v>Lantai Atap</v>
      </c>
      <c r="B11200">
        <f>B11184</f>
        <v>32</v>
      </c>
      <c r="C11200" t="str">
        <v>Tul Bawah Lapangan</v>
      </c>
      <c r="D11200">
        <f>VLOOKUP(D11184,'Detail Balok'!$C$10:$AU$110,25,FALSE)</f>
        <v>2</v>
      </c>
      <c r="E11200" t="str">
        <v>D</v>
      </c>
      <c r="F11200">
        <f>VLOOKUP(D11184,'Detail Balok'!$C$10:$AU$110,27,FALSE)</f>
        <v>13</v>
      </c>
      <c r="I11200" t="str">
        <v>(</v>
      </c>
      <c r="J11200">
        <f>+J11192</f>
        <v>1.2425</v>
      </c>
      <c r="K11200" t="str">
        <v>+</v>
      </c>
      <c r="M11200" t="str">
        <v>=</v>
      </c>
      <c r="N11200">
        <f>J11200+L11200</f>
        <v>1.2425</v>
      </c>
      <c r="O11200" t="str">
        <v>+</v>
      </c>
      <c r="P11200">
        <f>MAX(D11200-D11199,D11200-D11201)</f>
        <v>0</v>
      </c>
      <c r="Q11200" t="str">
        <v>x</v>
      </c>
      <c r="R11200">
        <f>IF(P11200&gt;0,2*(1-2*$F$19-1/2)*D11187/1000,0)</f>
        <v>0</v>
      </c>
      <c r="S11200" t="str">
        <v>)</v>
      </c>
      <c r="T11200" t="str">
        <v>x</v>
      </c>
      <c r="U11200">
        <f>0.006165*F11200^2</f>
        <v>1.041885</v>
      </c>
      <c r="X11200" t="str">
        <v>x</v>
      </c>
      <c r="Y11200">
        <f>D11190</f>
        <v>1</v>
      </c>
      <c r="Z11200" t="str">
        <v>=</v>
      </c>
      <c r="AA11200">
        <f>IF(AA11202=0,(D11200*N11200+P11200*R11200)*U11200*Y11200,0)</f>
        <v>0</v>
      </c>
    </row>
    <row r="11201">
      <c r="A11201" t="str">
        <f>A11184</f>
        <v>Lantai Atap</v>
      </c>
      <c r="B11201">
        <f>B11184</f>
        <v>32</v>
      </c>
      <c r="C11201" t="str">
        <v>Tul Bawah Tumpuan</v>
      </c>
      <c r="D11201">
        <f>VLOOKUP(D11184,'Detail Balok'!$C$10:$AU$110,28,FALSE)</f>
        <v>2</v>
      </c>
      <c r="E11201" t="str">
        <v>D</v>
      </c>
      <c r="F11201">
        <f>VLOOKUP(D11184,'Detail Balok'!$C$10:$AU$110,30,FALSE)</f>
        <v>13</v>
      </c>
      <c r="I11201" t="str">
        <v>(</v>
      </c>
      <c r="J11201">
        <f>+J11193</f>
        <v>0.62125</v>
      </c>
      <c r="K11201" t="str">
        <v>+</v>
      </c>
      <c r="L11201">
        <f>MAX(VLOOKUP(F11201,N$6:P$15,3,FALSE)/1000,2/3*D11189/1000)+F$16*F11201/1000</f>
        <v>0.156</v>
      </c>
      <c r="M11201" t="str">
        <v>=</v>
      </c>
      <c r="N11201">
        <f>J11201+L11201</f>
        <v>0.77725</v>
      </c>
      <c r="O11201" t="str">
        <v>+</v>
      </c>
      <c r="P11201">
        <f>D11201-D11200</f>
        <v>0</v>
      </c>
      <c r="Q11201" t="str">
        <v>x</v>
      </c>
      <c r="R11201">
        <f>IF(P11201&gt;0,$F$18*F11201/1000,0)</f>
        <v>0</v>
      </c>
      <c r="S11201" t="str">
        <v>)</v>
      </c>
      <c r="T11201" t="str">
        <v>x</v>
      </c>
      <c r="U11201">
        <f>0.006165*F11201^2</f>
        <v>1.041885</v>
      </c>
      <c r="X11201" t="str">
        <v>x</v>
      </c>
      <c r="Y11201">
        <f>D11190</f>
        <v>1</v>
      </c>
      <c r="Z11201" t="str">
        <v>=</v>
      </c>
      <c r="AA11201">
        <f>IF(AA11202=0,(D11201*N11201+P11201*R11201)*U11201*Y11201,0)</f>
        <v>0</v>
      </c>
    </row>
    <row r="11202">
      <c r="A11202" t="str">
        <f>A11184</f>
        <v>Lantai Atap</v>
      </c>
      <c r="B11202">
        <f>B11184</f>
        <v>32</v>
      </c>
      <c r="D11202">
        <f>IF(AND(D11199=D11200,D11200=D11201,D11199=D11201),D11199,0)</f>
        <v>2</v>
      </c>
      <c r="E11202" t="str">
        <v>D</v>
      </c>
      <c r="F11202">
        <f>IF(AND(F11199=F11200,F11199=F11201,F11200=F11201),F11199,0)</f>
        <v>13</v>
      </c>
      <c r="L11202" t="str">
        <v>Total panjang per balok</v>
      </c>
      <c r="M11202" t="str">
        <v>=</v>
      </c>
      <c r="N11202">
        <f>IF(AND(D11199=D11200,D11199=D11201,D11200=D11201,F11199=F11200,F11199=F11201,F11200=F11201),SUM(N11199:N11201),0)</f>
        <v>2.797</v>
      </c>
      <c r="O11202" t="str">
        <v>+</v>
      </c>
      <c r="P11202">
        <f>IF(N11202&gt;12,ROUNDDOWN(N11202/12,0),0)</f>
        <v>0</v>
      </c>
      <c r="Q11202" t="str">
        <v>x</v>
      </c>
      <c r="R11202">
        <f>IF(P11202&gt;0,MAX(VLOOKUP(F11202,$D$6:$G$15,3,FALSE),600),0)/1000</f>
        <v>0</v>
      </c>
      <c r="T11202" t="str">
        <v>x</v>
      </c>
      <c r="U11202">
        <f>U11201</f>
        <v>1.041885</v>
      </c>
      <c r="V11202" t="str">
        <v>x</v>
      </c>
      <c r="W11202">
        <f>D11202</f>
        <v>2</v>
      </c>
      <c r="X11202" t="str">
        <v>x</v>
      </c>
      <c r="Y11202">
        <f>Y11201</f>
        <v>1</v>
      </c>
      <c r="Z11202" t="str">
        <v>=</v>
      </c>
      <c r="AA11202">
        <f>(N11202+P11202*R11202/1000)*U11202*W11202*Y11202</f>
        <v>5.82830469</v>
      </c>
    </row>
    <row r="11204">
      <c r="A11204" t="str">
        <f>A11184</f>
        <v>Lantai Atap</v>
      </c>
      <c r="B11204">
        <f>B11184</f>
        <v>32</v>
      </c>
      <c r="C11204" t="str">
        <v>Sengkang Tumpuan</v>
      </c>
      <c r="D11204">
        <f>VLOOKUP(D11184,'Detail Balok'!$C$10:$AU$110,31,FALSE)</f>
        <v>0</v>
      </c>
      <c r="E11204" t="str">
        <v>D</v>
      </c>
      <c r="F11204">
        <f>VLOOKUP(D11184,'Detail Balok'!$C$10:$AU$110,33,FALSE)</f>
        <v>8</v>
      </c>
      <c r="G11204" t="str">
        <v>-</v>
      </c>
      <c r="H11204">
        <f>VLOOKUP(D11184,'Detail Balok'!$C$10:$AU$110,35,FALSE)</f>
        <v>100</v>
      </c>
      <c r="J11204">
        <f>(IF(D11204=0,(2*(D11185+G11185))-(F$5*8),IF(D11204=3,(2*(D11185+G11185))-(F$5*8)+(G11185-2*F$5),IF(D11204=4,(2*(D11185+G11185))-(F$5*8)+2*(G11185-2*F$5)))))/1000</f>
        <v>0.62</v>
      </c>
      <c r="K11204" t="str">
        <v>+</v>
      </c>
      <c r="L11204">
        <f>IF(D11204=0,2*MAX(6*F11204,75),(D11204-1)*2*MAX(6*F11204,75))/1000</f>
        <v>0.15</v>
      </c>
      <c r="M11204" t="str">
        <v>=</v>
      </c>
      <c r="N11204">
        <f>J11204+L11204</f>
        <v>0.77</v>
      </c>
      <c r="T11204" t="str">
        <v>x</v>
      </c>
      <c r="U11204">
        <f>0.006165*F11204^2</f>
        <v>0.39456</v>
      </c>
      <c r="V11204" t="str">
        <v>x</v>
      </c>
      <c r="W11204">
        <f>IF(D11187&gt;4*G11185,ROUND(MAX(D11187/4,2*G11185)/H11204,0)+1,ROUND(D11187/H11204,0)+1)</f>
        <v>7</v>
      </c>
      <c r="X11204" t="str">
        <v>x</v>
      </c>
      <c r="Y11204">
        <f>D11190</f>
        <v>1</v>
      </c>
      <c r="Z11204" t="str">
        <v>=</v>
      </c>
      <c r="AA11204">
        <f>N11204*U11204*W11204*Y11204</f>
        <v>2.1266784</v>
      </c>
    </row>
    <row r="11205">
      <c r="A11205" t="str">
        <f>A11184</f>
        <v>Lantai Atap</v>
      </c>
      <c r="B11205">
        <f>B11184</f>
        <v>32</v>
      </c>
      <c r="C11205" t="str">
        <v>Sengkang Lapangan</v>
      </c>
      <c r="D11205">
        <f>VLOOKUP(D11184,'Detail Balok'!$C$10:$AU$110,36,FALSE)</f>
        <v>0</v>
      </c>
      <c r="E11205" t="str">
        <v>D</v>
      </c>
      <c r="F11205">
        <f>VLOOKUP(D11184,'Detail Balok'!$C$10:$AU$110,38,FALSE)</f>
        <v>8</v>
      </c>
      <c r="G11205" t="str">
        <v>-</v>
      </c>
      <c r="H11205">
        <f>VLOOKUP(D11184,'Detail Balok'!$C$10:$AU$110,40,FALSE)</f>
        <v>150</v>
      </c>
      <c r="J11205">
        <f>(IF(D11205=0,(2*(D11185+G11185))-(F$5*8),IF(D11205=3,(2*(D11185+G11185))-(F$5*8)+(G11185-2*F$5),IF(D11205=4,(2*(D11185+G11185))-(F$5*8)+2*(G11185-2*F$5)))))/1000</f>
        <v>0.62</v>
      </c>
      <c r="K11205" t="str">
        <v>+</v>
      </c>
      <c r="L11205">
        <f>IF(D11205=0,2*MAX(6*F11205,75),(D11205-1)*2*MAX(6*F11205,75))/1000</f>
        <v>0.15</v>
      </c>
      <c r="M11205" t="str">
        <v>=</v>
      </c>
      <c r="N11205">
        <f>J11205+L11205</f>
        <v>0.77</v>
      </c>
      <c r="T11205" t="str">
        <v>x</v>
      </c>
      <c r="U11205">
        <f>0.006165*F11205^2</f>
        <v>0.39456</v>
      </c>
      <c r="V11205" t="str">
        <v>x</v>
      </c>
      <c r="W11205">
        <f>IF(D11187-MAX(D11187/4,2*G11185)*2&gt;0,ROUND((D11187-MAX(D11187/4,2*G11185)*2)/H11205,0),0)</f>
        <v>8</v>
      </c>
      <c r="X11205" t="str">
        <v>x</v>
      </c>
      <c r="Y11205">
        <f>D11190</f>
        <v>1</v>
      </c>
      <c r="Z11205" t="str">
        <v>=</v>
      </c>
      <c r="AA11205">
        <f>N11205*U11205*W11205*Y11205</f>
        <v>2.4304896</v>
      </c>
    </row>
    <row r="11206">
      <c r="A11206" t="str">
        <f>A11184</f>
        <v>Lantai Atap</v>
      </c>
      <c r="B11206">
        <f>B11184</f>
        <v>32</v>
      </c>
      <c r="C11206" t="str">
        <v>Sengkang Tumpuan</v>
      </c>
      <c r="D11206">
        <f>VLOOKUP(D11184,'Detail Balok'!$C$10:$AU$110,41,FALSE)</f>
        <v>0</v>
      </c>
      <c r="E11206" t="str">
        <v>D</v>
      </c>
      <c r="F11206">
        <f>VLOOKUP(D11184,'Detail Balok'!$C$10:$AU$110,43,FALSE)</f>
        <v>8</v>
      </c>
      <c r="G11206" t="str">
        <v>-</v>
      </c>
      <c r="H11206">
        <f>VLOOKUP(D11184,'Detail Balok'!$C$10:$AU$110,45,FALSE)</f>
        <v>100</v>
      </c>
      <c r="J11206">
        <f>(IF(D11206=0,(2*(D11185+G11185))-(F$5*8),IF(D11206=3,(2*(D11185+G11185))-(F$5*8)+(G11185-2*F$5),IF(D11206=4,(2*(D11185+G11185))-(F$5*8)+2*(G11185-2*F$5)))))/1000</f>
        <v>0.62</v>
      </c>
      <c r="K11206" t="str">
        <v>+</v>
      </c>
      <c r="L11206">
        <f>IF(D11206=0,2*MAX(6*F11206,75),(D11206-1)*2*MAX(6*F11206,75))/1000</f>
        <v>0.15</v>
      </c>
      <c r="M11206" t="str">
        <v>=</v>
      </c>
      <c r="N11206">
        <f>J11206+L11206</f>
        <v>0.77</v>
      </c>
      <c r="T11206" t="str">
        <v>x</v>
      </c>
      <c r="U11206">
        <f>0.006165*F11206^2</f>
        <v>0.39456</v>
      </c>
      <c r="V11206" t="str">
        <v>x</v>
      </c>
      <c r="W11206">
        <f>IF(D11187&gt;4*G11185,ROUND(MAX(D11187/4,2*G11185)/H11206,0)+1,0)</f>
        <v>7</v>
      </c>
      <c r="X11206" t="str">
        <v>x</v>
      </c>
      <c r="Y11206">
        <f>D11190</f>
        <v>1</v>
      </c>
      <c r="Z11206" t="str">
        <v>=</v>
      </c>
      <c r="AA11206">
        <f>N11206*U11206*W11206*Y11206</f>
        <v>2.1266784</v>
      </c>
    </row>
    <row r="11208">
      <c r="A11208" t="str">
        <f>A11184</f>
        <v>Lantai Atap</v>
      </c>
      <c r="B11208">
        <f>B11184</f>
        <v>32</v>
      </c>
      <c r="C11208" t="str">
        <v>Kait Horizontal Tump.</v>
      </c>
      <c r="D11208">
        <f>VLOOKUP(D11184,'Detail Balok'!$C$10:$BJ$110,46,FALSE)</f>
        <v>0</v>
      </c>
      <c r="E11208" t="str">
        <v>D</v>
      </c>
      <c r="F11208">
        <f>VLOOKUP(D11184,'Detail Balok'!$C$10:$BJ$110,48,FALSE)</f>
        <v>0</v>
      </c>
      <c r="G11208" t="str">
        <v>-</v>
      </c>
      <c r="H11208">
        <f>VLOOKUP(D11184,'Detail Balok'!$C$10:$BJ$110,50,FALSE)</f>
        <v>100</v>
      </c>
      <c r="J11208">
        <f>(D11185-2*F$5)/1000</f>
        <v>0.09</v>
      </c>
      <c r="K11208" t="str">
        <v>+</v>
      </c>
      <c r="L11208">
        <f>IF(D11208=0,2*MAX(6*F11208,75),(D11208-1)*2*MAX(6*F11208,75))/1000</f>
        <v>0.15</v>
      </c>
      <c r="M11208" t="str">
        <v>=</v>
      </c>
      <c r="N11208">
        <f>J11208+L11208</f>
        <v>0.24</v>
      </c>
      <c r="T11208" t="str">
        <v>x</v>
      </c>
      <c r="U11208">
        <f>0.006165*F11208^2</f>
        <v>0</v>
      </c>
      <c r="V11208" t="str">
        <v>x</v>
      </c>
      <c r="W11208">
        <f>W11204</f>
        <v>7</v>
      </c>
      <c r="X11208" t="str">
        <v>x</v>
      </c>
      <c r="Y11208">
        <f>D11194</f>
        <v>2</v>
      </c>
      <c r="Z11208" t="str">
        <v>=</v>
      </c>
      <c r="AA11208">
        <f>N11208*U11208*W11208*Y11208</f>
        <v>0</v>
      </c>
    </row>
    <row r="11209">
      <c r="A11209" t="str">
        <f>A11184</f>
        <v>Lantai Atap</v>
      </c>
      <c r="B11209">
        <f>B11184</f>
        <v>32</v>
      </c>
      <c r="C11209" t="str">
        <v>Kait Horizontal Lap.</v>
      </c>
      <c r="D11209">
        <f>VLOOKUP(D11184,'Detail Balok'!$C$10:$BJ$110,51,FALSE)</f>
        <v>0</v>
      </c>
      <c r="E11209" t="str">
        <v>D</v>
      </c>
      <c r="F11209">
        <f>VLOOKUP(D11184,'Detail Balok'!$C$10:$BJ$110,53,FALSE)</f>
        <v>0</v>
      </c>
      <c r="G11209" t="str">
        <v>-</v>
      </c>
      <c r="H11209">
        <f>VLOOKUP(D11184,'Detail Balok'!$C$10:$BJ$110,55,FALSE)</f>
        <v>100</v>
      </c>
      <c r="J11209">
        <f>(D11185-2*F$5)/1000</f>
        <v>0.09</v>
      </c>
      <c r="K11209" t="str">
        <v>+</v>
      </c>
      <c r="L11209">
        <f>IF(D11209=0,2*MAX(6*F11209,75),(D11209-1)*2*MAX(6*F11209,75))/1000</f>
        <v>0.15</v>
      </c>
      <c r="M11209" t="str">
        <v>=</v>
      </c>
      <c r="N11209">
        <f>J11209+L11209</f>
        <v>0.24</v>
      </c>
      <c r="T11209" t="str">
        <v>x</v>
      </c>
      <c r="U11209">
        <f>0.006165*F11209^2</f>
        <v>0</v>
      </c>
      <c r="V11209" t="str">
        <v>x</v>
      </c>
      <c r="W11209">
        <f>W11205</f>
        <v>8</v>
      </c>
      <c r="X11209" t="str">
        <v>x</v>
      </c>
      <c r="Y11209">
        <f>D11194</f>
        <v>2</v>
      </c>
      <c r="Z11209" t="str">
        <v>=</v>
      </c>
      <c r="AA11209">
        <f>N11209*U11209*W11209*Y11209</f>
        <v>0</v>
      </c>
    </row>
    <row r="11210">
      <c r="A11210" t="str">
        <f>A11184</f>
        <v>Lantai Atap</v>
      </c>
      <c r="B11210">
        <f>B11184</f>
        <v>32</v>
      </c>
      <c r="C11210" t="str">
        <v>Kait Horizontal Tump.</v>
      </c>
      <c r="D11210">
        <f>VLOOKUP(D11184,'Detail Balok'!$C$10:$BJ$110,56,FALSE)</f>
        <v>0</v>
      </c>
      <c r="E11210" t="str">
        <v>D</v>
      </c>
      <c r="F11210">
        <f>VLOOKUP(D11184,'Detail Balok'!$C$10:$BJ$110,58,FALSE)</f>
        <v>0</v>
      </c>
      <c r="G11210" t="str">
        <v>-</v>
      </c>
      <c r="H11210">
        <f>VLOOKUP(D11184,'Detail Balok'!$C$10:$BJ$110,60,FALSE)</f>
        <v>100</v>
      </c>
      <c r="J11210">
        <f>(D11185-2*F$5)/1000</f>
        <v>0.09</v>
      </c>
      <c r="K11210" t="str">
        <v>+</v>
      </c>
      <c r="L11210">
        <f>IF(D11210=0,2*MAX(6*F11210,75),(D11210-1)*2*MAX(6*F11210,75))/1000</f>
        <v>0.15</v>
      </c>
      <c r="M11210" t="str">
        <v>=</v>
      </c>
      <c r="N11210">
        <f>J11210+L11210</f>
        <v>0.24</v>
      </c>
      <c r="T11210" t="str">
        <v>x</v>
      </c>
      <c r="U11210">
        <f>0.006165*F11210^2</f>
        <v>0</v>
      </c>
      <c r="V11210" t="str">
        <v>x</v>
      </c>
      <c r="W11210">
        <f>W11206</f>
        <v>7</v>
      </c>
      <c r="X11210" t="str">
        <v>x</v>
      </c>
      <c r="Y11210">
        <f>D11194</f>
        <v>2</v>
      </c>
      <c r="Z11210" t="str">
        <v>=</v>
      </c>
      <c r="AA11210">
        <f>N11210*U11210*W11210*Y11210</f>
        <v>0</v>
      </c>
    </row>
    <row r="11214">
      <c r="A11214" t="str">
        <f>A11184</f>
        <v>Lantai Atap</v>
      </c>
      <c r="B11214">
        <f>B11184+1</f>
        <v>33</v>
      </c>
      <c r="C11214" t="str">
        <f>CONCATENATE(A11214," no. ",B11214)</f>
        <v>Lantai Atap no. 33</v>
      </c>
      <c r="D11214" t="str">
        <f>VLOOKUP(C11214,'Data Panjang Balok'!$C$9:$N$424,2,FALSE)</f>
        <v>B245-1</v>
      </c>
    </row>
    <row r="11215">
      <c r="C11215" t="str">
        <v>Dimensi</v>
      </c>
      <c r="D11215">
        <f>VLOOKUP(D11214,'Detail Balok'!$C$10:$AU$110,2,FALSE)</f>
        <v>200</v>
      </c>
      <c r="F11215" t="str">
        <v>x</v>
      </c>
      <c r="G11215">
        <f>VLOOKUP(D11214,'Detail Balok'!$C$10:$AU$110,3,FALSE)</f>
        <v>450</v>
      </c>
    </row>
    <row r="11216">
      <c r="C11216" t="str">
        <v>Panjang as ke as</v>
      </c>
      <c r="D11216">
        <f>VLOOKUP(C11214,'Data Panjang Balok'!$C$9:$N$424,4,FALSE)</f>
        <v>5100</v>
      </c>
    </row>
    <row r="11217">
      <c r="C11217" t="str">
        <v>Panjang netto</v>
      </c>
      <c r="D11217">
        <f>VLOOKUP(C11214,'Data Panjang Balok'!$C$9:$N$424,7,FALSE)</f>
        <v>5100</v>
      </c>
    </row>
    <row r="11218">
      <c r="C11218" t="str">
        <v>Kolom / balok kiri</v>
      </c>
      <c r="D11218">
        <f>VLOOKUP(C11214,'Data Panjang Balok'!$C$9:$N$424,9,FALSE)</f>
        <v>0</v>
      </c>
    </row>
    <row r="11219">
      <c r="C11219" t="str">
        <v>Kolom / balok kanan</v>
      </c>
      <c r="D11219">
        <f>VLOOKUP(C11214,'Data Panjang Balok'!$C$9:$N$424,10,FALSE)</f>
        <v>0</v>
      </c>
    </row>
    <row r="11220">
      <c r="C11220" t="str">
        <v>Jumlah</v>
      </c>
      <c r="D11220">
        <f>VLOOKUP(C11214,'Data Panjang Balok'!$C$9:$N$424,3,FALSE)</f>
        <v>1</v>
      </c>
    </row>
    <row r="11221">
      <c r="A11221" t="str">
        <f>A11214</f>
        <v>Lantai Atap</v>
      </c>
      <c r="B11221">
        <f>B11214</f>
        <v>33</v>
      </c>
      <c r="C11221" t="str">
        <v>Tul Atas Tumpuan</v>
      </c>
      <c r="D11221">
        <f>VLOOKUP(D11214,'Detail Balok'!$C$10:$AU$110,4,FALSE)</f>
        <v>2</v>
      </c>
      <c r="E11221" t="str">
        <v>D</v>
      </c>
      <c r="F11221">
        <f>VLOOKUP(D11214,'Detail Balok'!$C$10:$AU$110,6,FALSE)</f>
        <v>13</v>
      </c>
      <c r="I11221" t="str">
        <v>(</v>
      </c>
      <c r="J11221">
        <f>+D11216/4/1000</f>
        <v>1.275</v>
      </c>
      <c r="K11221" t="str">
        <v>+</v>
      </c>
      <c r="L11221">
        <f>MAX(VLOOKUP(F11221,N$6:P$15,3,FALSE)/1000,2/3*D11218/1000)+F$16*F11221/1000</f>
        <v>0.156</v>
      </c>
      <c r="M11221" t="str">
        <v>=</v>
      </c>
      <c r="N11221">
        <f>J11221+L11221</f>
        <v>1.4309999999999998</v>
      </c>
      <c r="O11221" t="str">
        <v>+</v>
      </c>
      <c r="P11221">
        <f>D11221-D11222</f>
        <v>0</v>
      </c>
      <c r="Q11221" t="str">
        <v>x</v>
      </c>
      <c r="R11221">
        <f>IF(P11221&gt;0,$F$18*F11221/1000,0)</f>
        <v>0</v>
      </c>
      <c r="S11221" t="str">
        <v>)</v>
      </c>
      <c r="T11221" t="str">
        <v>x</v>
      </c>
      <c r="U11221">
        <f>0.006165*F11221^2</f>
        <v>1.041885</v>
      </c>
      <c r="X11221" t="str">
        <v>x</v>
      </c>
      <c r="Y11221">
        <f>D11220</f>
        <v>1</v>
      </c>
      <c r="Z11221" t="str">
        <v>=</v>
      </c>
      <c r="AA11221">
        <f>IF(AA11224=0,(D11221*N11221+P11221*R11221)*U11221*Y11221,0)</f>
        <v>0</v>
      </c>
    </row>
    <row r="11222">
      <c r="A11222" t="str">
        <f>A11214</f>
        <v>Lantai Atap</v>
      </c>
      <c r="B11222">
        <f>B11214</f>
        <v>33</v>
      </c>
      <c r="C11222" t="str">
        <v>Tul Atas Lapangan</v>
      </c>
      <c r="D11222">
        <f>VLOOKUP(D11214,'Detail Balok'!$C$10:$AU$110,7,FALSE)</f>
        <v>2</v>
      </c>
      <c r="E11222" t="str">
        <v>D</v>
      </c>
      <c r="F11222">
        <f>VLOOKUP(D11214,'Detail Balok'!$C$10:$AU$110,9,FALSE)</f>
        <v>13</v>
      </c>
      <c r="I11222" t="str">
        <v>(</v>
      </c>
      <c r="J11222">
        <f>+D11216/2/1000</f>
        <v>2.55</v>
      </c>
      <c r="K11222" t="str">
        <v>+</v>
      </c>
      <c r="M11222" t="str">
        <v>=</v>
      </c>
      <c r="N11222">
        <f>J11222+L11222</f>
        <v>2.55</v>
      </c>
      <c r="O11222" t="str">
        <v>+</v>
      </c>
      <c r="P11222">
        <f>MAX(D11222-D11221,D11222-D11223)</f>
        <v>0</v>
      </c>
      <c r="Q11222" t="str">
        <v>x</v>
      </c>
      <c r="R11222">
        <f>IF(P11222&gt;0,2*(1-2*$F$19-1/2)*D11217/1000,0)</f>
        <v>0</v>
      </c>
      <c r="S11222" t="str">
        <v>)</v>
      </c>
      <c r="T11222" t="str">
        <v>x</v>
      </c>
      <c r="U11222">
        <f>0.006165*F11222^2</f>
        <v>1.041885</v>
      </c>
      <c r="X11222" t="str">
        <v>x</v>
      </c>
      <c r="Y11222">
        <f>D11220</f>
        <v>1</v>
      </c>
      <c r="Z11222" t="str">
        <v>=</v>
      </c>
      <c r="AA11222">
        <f>IF(AA11224=0,(D11222*N11222+P11222*R11222)*U11222*Y11222,0)</f>
        <v>0</v>
      </c>
    </row>
    <row r="11223">
      <c r="A11223" t="str">
        <f>A11214</f>
        <v>Lantai Atap</v>
      </c>
      <c r="B11223">
        <f>B11214</f>
        <v>33</v>
      </c>
      <c r="C11223" t="str">
        <v>Tul Atas Tumpuan</v>
      </c>
      <c r="D11223">
        <f>VLOOKUP(D11214,'Detail Balok'!$C$10:$AU$110,10,FALSE)</f>
        <v>2</v>
      </c>
      <c r="E11223" t="str">
        <v>D</v>
      </c>
      <c r="F11223">
        <f>VLOOKUP(D11214,'Detail Balok'!$C$10:$AU$110,12,FALSE)</f>
        <v>13</v>
      </c>
      <c r="I11223" t="str">
        <v>(</v>
      </c>
      <c r="J11223">
        <f>+D11216/4/1000</f>
        <v>1.275</v>
      </c>
      <c r="K11223" t="str">
        <v>+</v>
      </c>
      <c r="L11223">
        <f>MAX(VLOOKUP(F11223,N$6:P$15,3,FALSE)/1000,2/3*D11218/1000)+F$16*F11223/1000</f>
        <v>0.156</v>
      </c>
      <c r="M11223" t="str">
        <v>=</v>
      </c>
      <c r="N11223">
        <f>J11223+L11223</f>
        <v>1.4309999999999998</v>
      </c>
      <c r="O11223" t="str">
        <v>+</v>
      </c>
      <c r="P11223">
        <f>D11223-D11222</f>
        <v>0</v>
      </c>
      <c r="Q11223" t="str">
        <v>x</v>
      </c>
      <c r="R11223">
        <f>IF(P11223&gt;0,$F$18*F11223/1000,0)</f>
        <v>0</v>
      </c>
      <c r="S11223" t="str">
        <v>)</v>
      </c>
      <c r="T11223" t="str">
        <v>x</v>
      </c>
      <c r="U11223">
        <f>0.006165*F11223^2</f>
        <v>1.041885</v>
      </c>
      <c r="X11223" t="str">
        <v>x</v>
      </c>
      <c r="Y11223">
        <f>D11220</f>
        <v>1</v>
      </c>
      <c r="Z11223" t="str">
        <v>=</v>
      </c>
      <c r="AA11223">
        <f>IF(AA11224=0,(D11223*N11223+P11223*R11223)*U11223*Y11223,0)</f>
        <v>0</v>
      </c>
    </row>
    <row r="11224">
      <c r="A11224" t="str">
        <f>A11214</f>
        <v>Lantai Atap</v>
      </c>
      <c r="B11224">
        <f>B11214</f>
        <v>33</v>
      </c>
      <c r="D11224">
        <f>IF(AND(D11221=D11222,D11222=D11223,D11221=D11223),D11221,0)</f>
        <v>2</v>
      </c>
      <c r="E11224" t="str">
        <v>D</v>
      </c>
      <c r="F11224">
        <f>IF(AND(F11221=F11222,F11221=F11223,F11222=F11223),F11221,0)</f>
        <v>13</v>
      </c>
      <c r="L11224" t="str">
        <v>Total panjang per balok</v>
      </c>
      <c r="M11224" t="str">
        <v>=</v>
      </c>
      <c r="N11224">
        <f>IF(AND(D11221=D11222,D11221=D11223,D11222=D11223,F11221=F11222,F11221=F11223,F11222=F11223),SUM(N11221:N11223),0)</f>
        <v>5.412</v>
      </c>
      <c r="O11224" t="str">
        <v>+</v>
      </c>
      <c r="P11224">
        <f>IF(N11224&gt;12,ROUNDDOWN(N11224/12,0),0)</f>
        <v>0</v>
      </c>
      <c r="Q11224" t="str">
        <v>x</v>
      </c>
      <c r="R11224">
        <f>IF(P11224&gt;0,MAX(VLOOKUP(F11224,$D$6:$G$15,3,FALSE),600),0)/1000</f>
        <v>0</v>
      </c>
      <c r="T11224" t="str">
        <v>x</v>
      </c>
      <c r="U11224">
        <f>U11223</f>
        <v>1.041885</v>
      </c>
      <c r="V11224" t="str">
        <v>x</v>
      </c>
      <c r="W11224">
        <f>D11224</f>
        <v>2</v>
      </c>
      <c r="X11224" t="str">
        <v>x</v>
      </c>
      <c r="Y11224">
        <f>Y11223</f>
        <v>1</v>
      </c>
      <c r="Z11224" t="str">
        <v>=</v>
      </c>
      <c r="AA11224">
        <f>(N11224+P11224*R11224/1000)*U11224*W11224*Y11224</f>
        <v>11.27736324</v>
      </c>
    </row>
    <row r="11226">
      <c r="A11226" t="str">
        <f>A11214</f>
        <v>Lantai Atap</v>
      </c>
      <c r="B11226">
        <f>B11214</f>
        <v>33</v>
      </c>
      <c r="C11226" t="str">
        <v>Tul Peminggang</v>
      </c>
      <c r="D11226">
        <f>VLOOKUP(D11214,'Detail Balok'!$C$10:$AU$110,13,FALSE)</f>
        <v>2</v>
      </c>
      <c r="E11226" t="str">
        <v>D</v>
      </c>
      <c r="F11226">
        <f>VLOOKUP(D11214,'Detail Balok'!$C$10:$AU$110,15,FALSE)</f>
        <v>8</v>
      </c>
      <c r="J11226">
        <f>+D11216/1000</f>
        <v>5.1</v>
      </c>
      <c r="K11226" t="str">
        <v>+</v>
      </c>
      <c r="L11226">
        <f>2*$F$16*F11226/1000</f>
        <v>0.192</v>
      </c>
      <c r="M11226" t="str">
        <v>=</v>
      </c>
      <c r="N11226">
        <f>J11226+L11226</f>
        <v>5.292</v>
      </c>
      <c r="O11226" t="str">
        <v>+</v>
      </c>
      <c r="P11226">
        <f>IF(N11226&gt;12,ROUNDDOWN(N11226/12,0),0)</f>
        <v>0</v>
      </c>
      <c r="Q11226" t="str">
        <v>x</v>
      </c>
      <c r="R11226">
        <f>IF(P11226&gt;0,MAX(VLOOKUP(F11226,$D$6:$G$15,3,FALSE),600),0)/1000</f>
        <v>0</v>
      </c>
      <c r="T11226" t="str">
        <v>x</v>
      </c>
      <c r="U11226">
        <f>0.006165*F11226^2</f>
        <v>0.39456</v>
      </c>
      <c r="V11226" t="str">
        <v>x</v>
      </c>
      <c r="W11226">
        <f>+D11226</f>
        <v>2</v>
      </c>
      <c r="X11226" t="str">
        <v>x</v>
      </c>
      <c r="Y11226">
        <f>D11220</f>
        <v>1</v>
      </c>
      <c r="Z11226" t="str">
        <v>=</v>
      </c>
      <c r="AA11226">
        <f>(N11226+P11226*R11226/1000)*U11226*W11226*Y11226</f>
        <v>4.1760230400000005</v>
      </c>
    </row>
    <row r="11229">
      <c r="A11229" t="str">
        <f>A11214</f>
        <v>Lantai Atap</v>
      </c>
      <c r="B11229">
        <f>B11214</f>
        <v>33</v>
      </c>
      <c r="C11229" t="str">
        <v>Tul Bawah Tumpuan</v>
      </c>
      <c r="D11229">
        <f>VLOOKUP(D11214,'Detail Balok'!$C$10:$AU$110,22,FALSE)</f>
        <v>2</v>
      </c>
      <c r="E11229" t="str">
        <v>D</v>
      </c>
      <c r="F11229">
        <f>VLOOKUP(D11214,'Detail Balok'!$C$10:$AU$110,24,FALSE)</f>
        <v>13</v>
      </c>
      <c r="I11229" t="str">
        <v>(</v>
      </c>
      <c r="J11229">
        <f>+J11221</f>
        <v>1.275</v>
      </c>
      <c r="K11229" t="str">
        <v>+</v>
      </c>
      <c r="L11229">
        <f>MAX(VLOOKUP(F11229,N$6:P$15,3,FALSE)/1000,2/3*D11219/1000)+F$16*F11229/1000</f>
        <v>0.156</v>
      </c>
      <c r="M11229" t="str">
        <v>=</v>
      </c>
      <c r="N11229">
        <f>J11229+L11229</f>
        <v>1.4309999999999998</v>
      </c>
      <c r="O11229" t="str">
        <v>+</v>
      </c>
      <c r="P11229">
        <f>D11229-D11230</f>
        <v>0</v>
      </c>
      <c r="Q11229" t="str">
        <v>x</v>
      </c>
      <c r="R11229">
        <f>IF(P11229&gt;0,$F$18*F11229/1000,0)</f>
        <v>0</v>
      </c>
      <c r="S11229" t="str">
        <v>)</v>
      </c>
      <c r="T11229" t="str">
        <v>x</v>
      </c>
      <c r="U11229">
        <f>0.006165*F11229^2</f>
        <v>1.041885</v>
      </c>
      <c r="X11229" t="str">
        <v>x</v>
      </c>
      <c r="Y11229">
        <f>D11220</f>
        <v>1</v>
      </c>
      <c r="Z11229" t="str">
        <v>=</v>
      </c>
      <c r="AA11229">
        <f>IF(AA11232=0,(D11229*N11229+P11229*R11229)*U11229*Y11229,0)</f>
        <v>0</v>
      </c>
    </row>
    <row r="11230">
      <c r="A11230" t="str">
        <f>A11214</f>
        <v>Lantai Atap</v>
      </c>
      <c r="B11230">
        <f>B11214</f>
        <v>33</v>
      </c>
      <c r="C11230" t="str">
        <v>Tul Bawah Lapangan</v>
      </c>
      <c r="D11230">
        <f>VLOOKUP(D11214,'Detail Balok'!$C$10:$AU$110,25,FALSE)</f>
        <v>2</v>
      </c>
      <c r="E11230" t="str">
        <v>D</v>
      </c>
      <c r="F11230">
        <f>VLOOKUP(D11214,'Detail Balok'!$C$10:$AU$110,27,FALSE)</f>
        <v>13</v>
      </c>
      <c r="I11230" t="str">
        <v>(</v>
      </c>
      <c r="J11230">
        <f>+J11222</f>
        <v>2.55</v>
      </c>
      <c r="K11230" t="str">
        <v>+</v>
      </c>
      <c r="M11230" t="str">
        <v>=</v>
      </c>
      <c r="N11230">
        <f>J11230+L11230</f>
        <v>2.55</v>
      </c>
      <c r="O11230" t="str">
        <v>+</v>
      </c>
      <c r="P11230">
        <f>MAX(D11230-D11229,D11230-D11231)</f>
        <v>0</v>
      </c>
      <c r="Q11230" t="str">
        <v>x</v>
      </c>
      <c r="R11230">
        <f>IF(P11230&gt;0,2*(1-2*$F$19-1/2)*D11217/1000,0)</f>
        <v>0</v>
      </c>
      <c r="S11230" t="str">
        <v>)</v>
      </c>
      <c r="T11230" t="str">
        <v>x</v>
      </c>
      <c r="U11230">
        <f>0.006165*F11230^2</f>
        <v>1.041885</v>
      </c>
      <c r="X11230" t="str">
        <v>x</v>
      </c>
      <c r="Y11230">
        <f>D11220</f>
        <v>1</v>
      </c>
      <c r="Z11230" t="str">
        <v>=</v>
      </c>
      <c r="AA11230">
        <f>IF(AA11232=0,(D11230*N11230+P11230*R11230)*U11230*Y11230,0)</f>
        <v>0</v>
      </c>
    </row>
    <row r="11231">
      <c r="A11231" t="str">
        <f>A11214</f>
        <v>Lantai Atap</v>
      </c>
      <c r="B11231">
        <f>B11214</f>
        <v>33</v>
      </c>
      <c r="C11231" t="str">
        <v>Tul Bawah Tumpuan</v>
      </c>
      <c r="D11231">
        <f>VLOOKUP(D11214,'Detail Balok'!$C$10:$AU$110,28,FALSE)</f>
        <v>2</v>
      </c>
      <c r="E11231" t="str">
        <v>D</v>
      </c>
      <c r="F11231">
        <f>VLOOKUP(D11214,'Detail Balok'!$C$10:$AU$110,30,FALSE)</f>
        <v>13</v>
      </c>
      <c r="I11231" t="str">
        <v>(</v>
      </c>
      <c r="J11231">
        <f>+J11223</f>
        <v>1.275</v>
      </c>
      <c r="K11231" t="str">
        <v>+</v>
      </c>
      <c r="L11231">
        <f>MAX(VLOOKUP(F11231,N$6:P$15,3,FALSE)/1000,2/3*D11219/1000)+F$16*F11231/1000</f>
        <v>0.156</v>
      </c>
      <c r="M11231" t="str">
        <v>=</v>
      </c>
      <c r="N11231">
        <f>J11231+L11231</f>
        <v>1.4309999999999998</v>
      </c>
      <c r="O11231" t="str">
        <v>+</v>
      </c>
      <c r="P11231">
        <f>D11231-D11230</f>
        <v>0</v>
      </c>
      <c r="Q11231" t="str">
        <v>x</v>
      </c>
      <c r="R11231">
        <f>IF(P11231&gt;0,$F$18*F11231/1000,0)</f>
        <v>0</v>
      </c>
      <c r="S11231" t="str">
        <v>)</v>
      </c>
      <c r="T11231" t="str">
        <v>x</v>
      </c>
      <c r="U11231">
        <f>0.006165*F11231^2</f>
        <v>1.041885</v>
      </c>
      <c r="X11231" t="str">
        <v>x</v>
      </c>
      <c r="Y11231">
        <f>D11220</f>
        <v>1</v>
      </c>
      <c r="Z11231" t="str">
        <v>=</v>
      </c>
      <c r="AA11231">
        <f>IF(AA11232=0,(D11231*N11231+P11231*R11231)*U11231*Y11231,0)</f>
        <v>0</v>
      </c>
    </row>
    <row r="11232">
      <c r="A11232" t="str">
        <f>A11214</f>
        <v>Lantai Atap</v>
      </c>
      <c r="B11232">
        <f>B11214</f>
        <v>33</v>
      </c>
      <c r="D11232">
        <f>IF(AND(D11229=D11230,D11230=D11231,D11229=D11231),D11229,0)</f>
        <v>2</v>
      </c>
      <c r="E11232" t="str">
        <v>D</v>
      </c>
      <c r="F11232">
        <f>IF(AND(F11229=F11230,F11229=F11231,F11230=F11231),F11229,0)</f>
        <v>13</v>
      </c>
      <c r="L11232" t="str">
        <v>Total panjang per balok</v>
      </c>
      <c r="M11232" t="str">
        <v>=</v>
      </c>
      <c r="N11232">
        <f>IF(AND(D11229=D11230,D11229=D11231,D11230=D11231,F11229=F11230,F11229=F11231,F11230=F11231),SUM(N11229:N11231),0)</f>
        <v>5.412</v>
      </c>
      <c r="O11232" t="str">
        <v>+</v>
      </c>
      <c r="P11232">
        <f>IF(N11232&gt;12,ROUNDDOWN(N11232/12,0),0)</f>
        <v>0</v>
      </c>
      <c r="Q11232" t="str">
        <v>x</v>
      </c>
      <c r="R11232">
        <f>IF(P11232&gt;0,MAX(VLOOKUP(F11232,$D$6:$G$15,3,FALSE),600),0)/1000</f>
        <v>0</v>
      </c>
      <c r="T11232" t="str">
        <v>x</v>
      </c>
      <c r="U11232">
        <f>U11231</f>
        <v>1.041885</v>
      </c>
      <c r="V11232" t="str">
        <v>x</v>
      </c>
      <c r="W11232">
        <f>D11232</f>
        <v>2</v>
      </c>
      <c r="X11232" t="str">
        <v>x</v>
      </c>
      <c r="Y11232">
        <f>Y11231</f>
        <v>1</v>
      </c>
      <c r="Z11232" t="str">
        <v>=</v>
      </c>
      <c r="AA11232">
        <f>(N11232+P11232*R11232/1000)*U11232*W11232*Y11232</f>
        <v>11.27736324</v>
      </c>
    </row>
    <row r="11234">
      <c r="A11234" t="str">
        <f>A11214</f>
        <v>Lantai Atap</v>
      </c>
      <c r="B11234">
        <f>B11214</f>
        <v>33</v>
      </c>
      <c r="C11234" t="str">
        <v>Sengkang Tumpuan</v>
      </c>
      <c r="D11234">
        <f>VLOOKUP(D11214,'Detail Balok'!$C$10:$AU$110,31,FALSE)</f>
        <v>0</v>
      </c>
      <c r="E11234" t="str">
        <v>D</v>
      </c>
      <c r="F11234">
        <f>VLOOKUP(D11214,'Detail Balok'!$C$10:$AU$110,33,FALSE)</f>
        <v>8</v>
      </c>
      <c r="G11234" t="str">
        <v>-</v>
      </c>
      <c r="H11234">
        <f>VLOOKUP(D11214,'Detail Balok'!$C$10:$AU$110,35,FALSE)</f>
        <v>100</v>
      </c>
      <c r="J11234">
        <f>(IF(D11234=0,(2*(D11215+G11215))-(F$5*8),IF(D11234=3,(2*(D11215+G11215))-(F$5*8)+(G11215-2*F$5),IF(D11234=4,(2*(D11215+G11215))-(F$5*8)+2*(G11215-2*F$5)))))/1000</f>
        <v>0.98</v>
      </c>
      <c r="K11234" t="str">
        <v>+</v>
      </c>
      <c r="L11234">
        <f>IF(D11234=0,2*MAX(6*F11234,75),(D11234-1)*2*MAX(6*F11234,75))/1000</f>
        <v>0.15</v>
      </c>
      <c r="M11234" t="str">
        <v>=</v>
      </c>
      <c r="N11234">
        <f>J11234+L11234</f>
        <v>1.13</v>
      </c>
      <c r="T11234" t="str">
        <v>x</v>
      </c>
      <c r="U11234">
        <f>0.006165*F11234^2</f>
        <v>0.39456</v>
      </c>
      <c r="V11234" t="str">
        <v>x</v>
      </c>
      <c r="W11234">
        <f>IF(D11217&gt;4*G11215,ROUND(MAX(D11217/4,2*G11215)/H11234,0)+1,ROUND(D11217/H11234,0)+1)</f>
        <v>14</v>
      </c>
      <c r="X11234" t="str">
        <v>x</v>
      </c>
      <c r="Y11234">
        <f>D11220</f>
        <v>1</v>
      </c>
      <c r="Z11234" t="str">
        <v>=</v>
      </c>
      <c r="AA11234">
        <f>N11234*U11234*W11234*Y11234</f>
        <v>6.2419392</v>
      </c>
    </row>
    <row r="11235">
      <c r="A11235" t="str">
        <f>A11214</f>
        <v>Lantai Atap</v>
      </c>
      <c r="B11235">
        <f>B11214</f>
        <v>33</v>
      </c>
      <c r="C11235" t="str">
        <v>Sengkang Lapangan</v>
      </c>
      <c r="D11235">
        <f>VLOOKUP(D11214,'Detail Balok'!$C$10:$AU$110,36,FALSE)</f>
        <v>0</v>
      </c>
      <c r="E11235" t="str">
        <v>D</v>
      </c>
      <c r="F11235">
        <f>VLOOKUP(D11214,'Detail Balok'!$C$10:$AU$110,38,FALSE)</f>
        <v>8</v>
      </c>
      <c r="G11235" t="str">
        <v>-</v>
      </c>
      <c r="H11235">
        <f>VLOOKUP(D11214,'Detail Balok'!$C$10:$AU$110,40,FALSE)</f>
        <v>200</v>
      </c>
      <c r="J11235">
        <f>(IF(D11235=0,(2*(D11215+G11215))-(F$5*8),IF(D11235=3,(2*(D11215+G11215))-(F$5*8)+(G11215-2*F$5),IF(D11235=4,(2*(D11215+G11215))-(F$5*8)+2*(G11215-2*F$5)))))/1000</f>
        <v>0.98</v>
      </c>
      <c r="K11235" t="str">
        <v>+</v>
      </c>
      <c r="L11235">
        <f>IF(D11235=0,2*MAX(6*F11235,75),(D11235-1)*2*MAX(6*F11235,75))/1000</f>
        <v>0.15</v>
      </c>
      <c r="M11235" t="str">
        <v>=</v>
      </c>
      <c r="N11235">
        <f>J11235+L11235</f>
        <v>1.13</v>
      </c>
      <c r="T11235" t="str">
        <v>x</v>
      </c>
      <c r="U11235">
        <f>0.006165*F11235^2</f>
        <v>0.39456</v>
      </c>
      <c r="V11235" t="str">
        <v>x</v>
      </c>
      <c r="W11235">
        <f>IF(D11217-MAX(D11217/4,2*G11215)*2&gt;0,ROUND((D11217-MAX(D11217/4,2*G11215)*2)/H11235,0),0)</f>
        <v>13</v>
      </c>
      <c r="X11235" t="str">
        <v>x</v>
      </c>
      <c r="Y11235">
        <f>D11220</f>
        <v>1</v>
      </c>
      <c r="Z11235" t="str">
        <v>=</v>
      </c>
      <c r="AA11235">
        <f>N11235*U11235*W11235*Y11235</f>
        <v>5.7960864</v>
      </c>
    </row>
    <row r="11236">
      <c r="A11236" t="str">
        <f>A11214</f>
        <v>Lantai Atap</v>
      </c>
      <c r="B11236">
        <f>B11214</f>
        <v>33</v>
      </c>
      <c r="C11236" t="str">
        <v>Sengkang Tumpuan</v>
      </c>
      <c r="D11236">
        <f>VLOOKUP(D11214,'Detail Balok'!$C$10:$AU$110,41,FALSE)</f>
        <v>0</v>
      </c>
      <c r="E11236" t="str">
        <v>D</v>
      </c>
      <c r="F11236">
        <f>VLOOKUP(D11214,'Detail Balok'!$C$10:$AU$110,43,FALSE)</f>
        <v>8</v>
      </c>
      <c r="G11236" t="str">
        <v>-</v>
      </c>
      <c r="H11236">
        <f>VLOOKUP(D11214,'Detail Balok'!$C$10:$AU$110,45,FALSE)</f>
        <v>100</v>
      </c>
      <c r="J11236">
        <f>(IF(D11236=0,(2*(D11215+G11215))-(F$5*8),IF(D11236=3,(2*(D11215+G11215))-(F$5*8)+(G11215-2*F$5),IF(D11236=4,(2*(D11215+G11215))-(F$5*8)+2*(G11215-2*F$5)))))/1000</f>
        <v>0.98</v>
      </c>
      <c r="K11236" t="str">
        <v>+</v>
      </c>
      <c r="L11236">
        <f>IF(D11236=0,2*MAX(6*F11236,75),(D11236-1)*2*MAX(6*F11236,75))/1000</f>
        <v>0.15</v>
      </c>
      <c r="M11236" t="str">
        <v>=</v>
      </c>
      <c r="N11236">
        <f>J11236+L11236</f>
        <v>1.13</v>
      </c>
      <c r="T11236" t="str">
        <v>x</v>
      </c>
      <c r="U11236">
        <f>0.006165*F11236^2</f>
        <v>0.39456</v>
      </c>
      <c r="V11236" t="str">
        <v>x</v>
      </c>
      <c r="W11236">
        <f>IF(D11217&gt;4*G11215,ROUND(MAX(D11217/4,2*G11215)/H11236,0)+1,0)</f>
        <v>14</v>
      </c>
      <c r="X11236" t="str">
        <v>x</v>
      </c>
      <c r="Y11236">
        <f>D11220</f>
        <v>1</v>
      </c>
      <c r="Z11236" t="str">
        <v>=</v>
      </c>
      <c r="AA11236">
        <f>N11236*U11236*W11236*Y11236</f>
        <v>6.2419392</v>
      </c>
    </row>
    <row r="11238">
      <c r="A11238" t="str">
        <f>A11214</f>
        <v>Lantai Atap</v>
      </c>
      <c r="B11238">
        <f>B11214</f>
        <v>33</v>
      </c>
      <c r="C11238" t="str">
        <v>Kait Horizontal Tump.</v>
      </c>
      <c r="D11238">
        <f>VLOOKUP(D11214,'Detail Balok'!$C$10:$BJ$110,46,FALSE)</f>
        <v>0</v>
      </c>
      <c r="E11238" t="str">
        <v>D</v>
      </c>
      <c r="F11238">
        <f>VLOOKUP(D11214,'Detail Balok'!$C$10:$BJ$110,48,FALSE)</f>
        <v>0</v>
      </c>
      <c r="G11238" t="str">
        <v>-</v>
      </c>
      <c r="H11238">
        <f>VLOOKUP(D11214,'Detail Balok'!$C$10:$BJ$110,50,FALSE)</f>
        <v>100</v>
      </c>
      <c r="J11238">
        <f>(D11215-2*F$5)/1000</f>
        <v>0.12</v>
      </c>
      <c r="K11238" t="str">
        <v>+</v>
      </c>
      <c r="L11238">
        <f>IF(D11238=0,2*MAX(6*F11238,75),(D11238-1)*2*MAX(6*F11238,75))/1000</f>
        <v>0.15</v>
      </c>
      <c r="M11238" t="str">
        <v>=</v>
      </c>
      <c r="N11238">
        <f>J11238+L11238</f>
        <v>0.27</v>
      </c>
      <c r="T11238" t="str">
        <v>x</v>
      </c>
      <c r="U11238">
        <f>0.006165*F11238^2</f>
        <v>0</v>
      </c>
      <c r="V11238" t="str">
        <v>x</v>
      </c>
      <c r="W11238">
        <f>W11234</f>
        <v>14</v>
      </c>
      <c r="X11238" t="str">
        <v>x</v>
      </c>
      <c r="Y11238">
        <f>D11224</f>
        <v>2</v>
      </c>
      <c r="Z11238" t="str">
        <v>=</v>
      </c>
      <c r="AA11238">
        <f>N11238*U11238*W11238*Y11238</f>
        <v>0</v>
      </c>
    </row>
    <row r="11239">
      <c r="A11239" t="str">
        <f>A11214</f>
        <v>Lantai Atap</v>
      </c>
      <c r="B11239">
        <f>B11214</f>
        <v>33</v>
      </c>
      <c r="C11239" t="str">
        <v>Kait Horizontal Lap.</v>
      </c>
      <c r="D11239">
        <f>VLOOKUP(D11214,'Detail Balok'!$C$10:$BJ$110,51,FALSE)</f>
        <v>0</v>
      </c>
      <c r="E11239" t="str">
        <v>D</v>
      </c>
      <c r="F11239">
        <f>VLOOKUP(D11214,'Detail Balok'!$C$10:$BJ$110,53,FALSE)</f>
        <v>0</v>
      </c>
      <c r="G11239" t="str">
        <v>-</v>
      </c>
      <c r="H11239">
        <f>VLOOKUP(D11214,'Detail Balok'!$C$10:$BJ$110,55,FALSE)</f>
        <v>100</v>
      </c>
      <c r="J11239">
        <f>(D11215-2*F$5)/1000</f>
        <v>0.12</v>
      </c>
      <c r="K11239" t="str">
        <v>+</v>
      </c>
      <c r="L11239">
        <f>IF(D11239=0,2*MAX(6*F11239,75),(D11239-1)*2*MAX(6*F11239,75))/1000</f>
        <v>0.15</v>
      </c>
      <c r="M11239" t="str">
        <v>=</v>
      </c>
      <c r="N11239">
        <f>J11239+L11239</f>
        <v>0.27</v>
      </c>
      <c r="T11239" t="str">
        <v>x</v>
      </c>
      <c r="U11239">
        <f>0.006165*F11239^2</f>
        <v>0</v>
      </c>
      <c r="V11239" t="str">
        <v>x</v>
      </c>
      <c r="W11239">
        <f>W11235</f>
        <v>13</v>
      </c>
      <c r="X11239" t="str">
        <v>x</v>
      </c>
      <c r="Y11239">
        <f>D11224</f>
        <v>2</v>
      </c>
      <c r="Z11239" t="str">
        <v>=</v>
      </c>
      <c r="AA11239">
        <f>N11239*U11239*W11239*Y11239</f>
        <v>0</v>
      </c>
    </row>
    <row r="11240">
      <c r="A11240" t="str">
        <f>A11214</f>
        <v>Lantai Atap</v>
      </c>
      <c r="B11240">
        <f>B11214</f>
        <v>33</v>
      </c>
      <c r="C11240" t="str">
        <v>Kait Horizontal Tump.</v>
      </c>
      <c r="D11240">
        <f>VLOOKUP(D11214,'Detail Balok'!$C$10:$BJ$110,56,FALSE)</f>
        <v>0</v>
      </c>
      <c r="E11240" t="str">
        <v>D</v>
      </c>
      <c r="F11240">
        <f>VLOOKUP(D11214,'Detail Balok'!$C$10:$BJ$110,58,FALSE)</f>
        <v>0</v>
      </c>
      <c r="G11240" t="str">
        <v>-</v>
      </c>
      <c r="H11240">
        <f>VLOOKUP(D11214,'Detail Balok'!$C$10:$BJ$110,60,FALSE)</f>
        <v>100</v>
      </c>
      <c r="J11240">
        <f>(D11215-2*F$5)/1000</f>
        <v>0.12</v>
      </c>
      <c r="K11240" t="str">
        <v>+</v>
      </c>
      <c r="L11240">
        <f>IF(D11240=0,2*MAX(6*F11240,75),(D11240-1)*2*MAX(6*F11240,75))/1000</f>
        <v>0.15</v>
      </c>
      <c r="M11240" t="str">
        <v>=</v>
      </c>
      <c r="N11240">
        <f>J11240+L11240</f>
        <v>0.27</v>
      </c>
      <c r="T11240" t="str">
        <v>x</v>
      </c>
      <c r="U11240">
        <f>0.006165*F11240^2</f>
        <v>0</v>
      </c>
      <c r="V11240" t="str">
        <v>x</v>
      </c>
      <c r="W11240">
        <f>W11236</f>
        <v>14</v>
      </c>
      <c r="X11240" t="str">
        <v>x</v>
      </c>
      <c r="Y11240">
        <f>D11224</f>
        <v>2</v>
      </c>
      <c r="Z11240" t="str">
        <v>=</v>
      </c>
      <c r="AA11240">
        <f>N11240*U11240*W11240*Y11240</f>
        <v>0</v>
      </c>
    </row>
    <row r="11244">
      <c r="A11244" t="str">
        <f>A11214</f>
        <v>Lantai Atap</v>
      </c>
      <c r="B11244">
        <f>B11214+1</f>
        <v>34</v>
      </c>
      <c r="C11244" t="str">
        <f>CONCATENATE(A11244," no. ",B11244)</f>
        <v>Lantai Atap no. 34</v>
      </c>
      <c r="D11244" t="str">
        <f>VLOOKUP(C11244,'Data Panjang Balok'!$C$9:$N$424,2,FALSE)</f>
        <v>B1745-1</v>
      </c>
    </row>
    <row r="11245">
      <c r="C11245" t="str">
        <v>Dimensi</v>
      </c>
      <c r="D11245">
        <f>VLOOKUP(D11244,'Detail Balok'!$C$10:$AU$110,2,FALSE)</f>
        <v>170</v>
      </c>
      <c r="F11245" t="str">
        <v>x</v>
      </c>
      <c r="G11245">
        <f>VLOOKUP(D11244,'Detail Balok'!$C$10:$AU$110,3,FALSE)</f>
        <v>450</v>
      </c>
    </row>
    <row r="11246">
      <c r="C11246" t="str">
        <v>Panjang as ke as</v>
      </c>
      <c r="D11246">
        <f>VLOOKUP(C11244,'Data Panjang Balok'!$C$9:$N$424,4,FALSE)</f>
        <v>2900</v>
      </c>
    </row>
    <row r="11247">
      <c r="C11247" t="str">
        <v>Panjang netto</v>
      </c>
      <c r="D11247">
        <f>VLOOKUP(C11244,'Data Panjang Balok'!$C$9:$N$424,7,FALSE)</f>
        <v>2900</v>
      </c>
    </row>
    <row r="11248">
      <c r="C11248" t="str">
        <v>Kolom / balok kiri</v>
      </c>
      <c r="D11248">
        <f>VLOOKUP(C11244,'Data Panjang Balok'!$C$9:$N$424,9,FALSE)</f>
        <v>0</v>
      </c>
    </row>
    <row r="11249">
      <c r="C11249" t="str">
        <v>Kolom / balok kanan</v>
      </c>
      <c r="D11249">
        <f>VLOOKUP(C11244,'Data Panjang Balok'!$C$9:$N$424,10,FALSE)</f>
        <v>0</v>
      </c>
    </row>
    <row r="11250">
      <c r="C11250" t="str">
        <v>Jumlah</v>
      </c>
      <c r="D11250">
        <f>VLOOKUP(C11244,'Data Panjang Balok'!$C$9:$N$424,3,FALSE)</f>
        <v>1</v>
      </c>
    </row>
    <row r="11251">
      <c r="A11251" t="str">
        <f>A11244</f>
        <v>Lantai Atap</v>
      </c>
      <c r="B11251">
        <f>B11244</f>
        <v>34</v>
      </c>
      <c r="C11251" t="str">
        <v>Tul Atas Tumpuan</v>
      </c>
      <c r="D11251">
        <f>VLOOKUP(D11244,'Detail Balok'!$C$10:$AU$110,4,FALSE)</f>
        <v>2</v>
      </c>
      <c r="E11251" t="str">
        <v>D</v>
      </c>
      <c r="F11251">
        <f>VLOOKUP(D11244,'Detail Balok'!$C$10:$AU$110,6,FALSE)</f>
        <v>13</v>
      </c>
      <c r="I11251" t="str">
        <v>(</v>
      </c>
      <c r="J11251">
        <f>+D11246/4/1000</f>
        <v>0.725</v>
      </c>
      <c r="K11251" t="str">
        <v>+</v>
      </c>
      <c r="L11251">
        <f>MAX(VLOOKUP(F11251,N$6:P$15,3,FALSE)/1000,2/3*D11248/1000)+F$16*F11251/1000</f>
        <v>0.156</v>
      </c>
      <c r="M11251" t="str">
        <v>=</v>
      </c>
      <c r="N11251">
        <f>J11251+L11251</f>
        <v>0.881</v>
      </c>
      <c r="O11251" t="str">
        <v>+</v>
      </c>
      <c r="P11251">
        <f>D11251-D11252</f>
        <v>0</v>
      </c>
      <c r="Q11251" t="str">
        <v>x</v>
      </c>
      <c r="R11251">
        <f>IF(P11251&gt;0,$F$18*F11251/1000,0)</f>
        <v>0</v>
      </c>
      <c r="S11251" t="str">
        <v>)</v>
      </c>
      <c r="T11251" t="str">
        <v>x</v>
      </c>
      <c r="U11251">
        <f>0.006165*F11251^2</f>
        <v>1.041885</v>
      </c>
      <c r="X11251" t="str">
        <v>x</v>
      </c>
      <c r="Y11251">
        <f>D11250</f>
        <v>1</v>
      </c>
      <c r="Z11251" t="str">
        <v>=</v>
      </c>
      <c r="AA11251">
        <f>IF(AA11254=0,(D11251*N11251+P11251*R11251)*U11251*Y11251,0)</f>
        <v>0</v>
      </c>
    </row>
    <row r="11252">
      <c r="A11252" t="str">
        <f>A11244</f>
        <v>Lantai Atap</v>
      </c>
      <c r="B11252">
        <f>B11244</f>
        <v>34</v>
      </c>
      <c r="C11252" t="str">
        <v>Tul Atas Lapangan</v>
      </c>
      <c r="D11252">
        <f>VLOOKUP(D11244,'Detail Balok'!$C$10:$AU$110,7,FALSE)</f>
        <v>2</v>
      </c>
      <c r="E11252" t="str">
        <v>D</v>
      </c>
      <c r="F11252">
        <f>VLOOKUP(D11244,'Detail Balok'!$C$10:$AU$110,9,FALSE)</f>
        <v>13</v>
      </c>
      <c r="I11252" t="str">
        <v>(</v>
      </c>
      <c r="J11252">
        <f>+D11246/2/1000</f>
        <v>1.45</v>
      </c>
      <c r="K11252" t="str">
        <v>+</v>
      </c>
      <c r="M11252" t="str">
        <v>=</v>
      </c>
      <c r="N11252">
        <f>J11252+L11252</f>
        <v>1.45</v>
      </c>
      <c r="O11252" t="str">
        <v>+</v>
      </c>
      <c r="P11252">
        <f>MAX(D11252-D11251,D11252-D11253)</f>
        <v>0</v>
      </c>
      <c r="Q11252" t="str">
        <v>x</v>
      </c>
      <c r="R11252">
        <f>IF(P11252&gt;0,2*(1-2*$F$19-1/2)*D11247/1000,0)</f>
        <v>0</v>
      </c>
      <c r="S11252" t="str">
        <v>)</v>
      </c>
      <c r="T11252" t="str">
        <v>x</v>
      </c>
      <c r="U11252">
        <f>0.006165*F11252^2</f>
        <v>1.041885</v>
      </c>
      <c r="X11252" t="str">
        <v>x</v>
      </c>
      <c r="Y11252">
        <f>D11250</f>
        <v>1</v>
      </c>
      <c r="Z11252" t="str">
        <v>=</v>
      </c>
      <c r="AA11252">
        <f>IF(AA11254=0,(D11252*N11252+P11252*R11252)*U11252*Y11252,0)</f>
        <v>0</v>
      </c>
    </row>
    <row r="11253">
      <c r="A11253" t="str">
        <f>A11244</f>
        <v>Lantai Atap</v>
      </c>
      <c r="B11253">
        <f>B11244</f>
        <v>34</v>
      </c>
      <c r="C11253" t="str">
        <v>Tul Atas Tumpuan</v>
      </c>
      <c r="D11253">
        <f>VLOOKUP(D11244,'Detail Balok'!$C$10:$AU$110,10,FALSE)</f>
        <v>2</v>
      </c>
      <c r="E11253" t="str">
        <v>D</v>
      </c>
      <c r="F11253">
        <f>VLOOKUP(D11244,'Detail Balok'!$C$10:$AU$110,12,FALSE)</f>
        <v>13</v>
      </c>
      <c r="I11253" t="str">
        <v>(</v>
      </c>
      <c r="J11253">
        <f>+D11246/4/1000</f>
        <v>0.725</v>
      </c>
      <c r="K11253" t="str">
        <v>+</v>
      </c>
      <c r="L11253">
        <f>MAX(VLOOKUP(F11253,N$6:P$15,3,FALSE)/1000,2/3*D11248/1000)+F$16*F11253/1000</f>
        <v>0.156</v>
      </c>
      <c r="M11253" t="str">
        <v>=</v>
      </c>
      <c r="N11253">
        <f>J11253+L11253</f>
        <v>0.881</v>
      </c>
      <c r="O11253" t="str">
        <v>+</v>
      </c>
      <c r="P11253">
        <f>D11253-D11252</f>
        <v>0</v>
      </c>
      <c r="Q11253" t="str">
        <v>x</v>
      </c>
      <c r="R11253">
        <f>IF(P11253&gt;0,$F$18*F11253/1000,0)</f>
        <v>0</v>
      </c>
      <c r="S11253" t="str">
        <v>)</v>
      </c>
      <c r="T11253" t="str">
        <v>x</v>
      </c>
      <c r="U11253">
        <f>0.006165*F11253^2</f>
        <v>1.041885</v>
      </c>
      <c r="X11253" t="str">
        <v>x</v>
      </c>
      <c r="Y11253">
        <f>D11250</f>
        <v>1</v>
      </c>
      <c r="Z11253" t="str">
        <v>=</v>
      </c>
      <c r="AA11253">
        <f>IF(AA11254=0,(D11253*N11253+P11253*R11253)*U11253*Y11253,0)</f>
        <v>0</v>
      </c>
    </row>
    <row r="11254">
      <c r="A11254" t="str">
        <f>A11244</f>
        <v>Lantai Atap</v>
      </c>
      <c r="B11254">
        <f>B11244</f>
        <v>34</v>
      </c>
      <c r="D11254">
        <f>IF(AND(D11251=D11252,D11252=D11253,D11251=D11253),D11251,0)</f>
        <v>2</v>
      </c>
      <c r="E11254" t="str">
        <v>D</v>
      </c>
      <c r="F11254">
        <f>IF(AND(F11251=F11252,F11251=F11253,F11252=F11253),F11251,0)</f>
        <v>13</v>
      </c>
      <c r="L11254" t="str">
        <v>Total panjang per balok</v>
      </c>
      <c r="M11254" t="str">
        <v>=</v>
      </c>
      <c r="N11254">
        <f>IF(AND(D11251=D11252,D11251=D11253,D11252=D11253,F11251=F11252,F11251=F11253,F11252=F11253),SUM(N11251:N11253),0)</f>
        <v>3.2119999999999997</v>
      </c>
      <c r="O11254" t="str">
        <v>+</v>
      </c>
      <c r="P11254">
        <f>IF(N11254&gt;12,ROUNDDOWN(N11254/12,0),0)</f>
        <v>0</v>
      </c>
      <c r="Q11254" t="str">
        <v>x</v>
      </c>
      <c r="R11254">
        <f>IF(P11254&gt;0,MAX(VLOOKUP(F11254,$D$6:$G$15,3,FALSE),600),0)/1000</f>
        <v>0</v>
      </c>
      <c r="T11254" t="str">
        <v>x</v>
      </c>
      <c r="U11254">
        <f>U11253</f>
        <v>1.041885</v>
      </c>
      <c r="V11254" t="str">
        <v>x</v>
      </c>
      <c r="W11254">
        <f>D11254</f>
        <v>2</v>
      </c>
      <c r="X11254" t="str">
        <v>x</v>
      </c>
      <c r="Y11254">
        <f>Y11253</f>
        <v>1</v>
      </c>
      <c r="Z11254" t="str">
        <v>=</v>
      </c>
      <c r="AA11254">
        <f>(N11254+P11254*R11254/1000)*U11254*W11254*Y11254</f>
        <v>6.693069239999999</v>
      </c>
    </row>
    <row r="11256">
      <c r="A11256" t="str">
        <f>A11244</f>
        <v>Lantai Atap</v>
      </c>
      <c r="B11256">
        <f>B11244</f>
        <v>34</v>
      </c>
      <c r="C11256" t="str">
        <v>Tul Peminggang</v>
      </c>
      <c r="D11256">
        <f>VLOOKUP(D11244,'Detail Balok'!$C$10:$AU$110,13,FALSE)</f>
        <v>2</v>
      </c>
      <c r="E11256" t="str">
        <v>D</v>
      </c>
      <c r="F11256">
        <f>VLOOKUP(D11244,'Detail Balok'!$C$10:$AU$110,15,FALSE)</f>
        <v>8</v>
      </c>
      <c r="J11256">
        <f>+D11246/1000</f>
        <v>2.9</v>
      </c>
      <c r="K11256" t="str">
        <v>+</v>
      </c>
      <c r="L11256">
        <f>2*$F$16*F11256/1000</f>
        <v>0.192</v>
      </c>
      <c r="M11256" t="str">
        <v>=</v>
      </c>
      <c r="N11256">
        <f>J11256+L11256</f>
        <v>3.092</v>
      </c>
      <c r="O11256" t="str">
        <v>+</v>
      </c>
      <c r="P11256">
        <f>IF(N11256&gt;12,ROUNDDOWN(N11256/12,0),0)</f>
        <v>0</v>
      </c>
      <c r="Q11256" t="str">
        <v>x</v>
      </c>
      <c r="R11256">
        <f>IF(P11256&gt;0,MAX(VLOOKUP(F11256,$D$6:$G$15,3,FALSE),600),0)/1000</f>
        <v>0</v>
      </c>
      <c r="T11256" t="str">
        <v>x</v>
      </c>
      <c r="U11256">
        <f>0.006165*F11256^2</f>
        <v>0.39456</v>
      </c>
      <c r="V11256" t="str">
        <v>x</v>
      </c>
      <c r="W11256">
        <f>+D11256</f>
        <v>2</v>
      </c>
      <c r="X11256" t="str">
        <v>x</v>
      </c>
      <c r="Y11256">
        <f>D11250</f>
        <v>1</v>
      </c>
      <c r="Z11256" t="str">
        <v>=</v>
      </c>
      <c r="AA11256">
        <f>(N11256+P11256*R11256/1000)*U11256*W11256*Y11256</f>
        <v>2.43995904</v>
      </c>
    </row>
    <row r="11259">
      <c r="A11259" t="str">
        <f>A11244</f>
        <v>Lantai Atap</v>
      </c>
      <c r="B11259">
        <f>B11244</f>
        <v>34</v>
      </c>
      <c r="C11259" t="str">
        <v>Tul Bawah Tumpuan</v>
      </c>
      <c r="D11259">
        <f>VLOOKUP(D11244,'Detail Balok'!$C$10:$AU$110,22,FALSE)</f>
        <v>2</v>
      </c>
      <c r="E11259" t="str">
        <v>D</v>
      </c>
      <c r="F11259">
        <f>VLOOKUP(D11244,'Detail Balok'!$C$10:$AU$110,24,FALSE)</f>
        <v>13</v>
      </c>
      <c r="I11259" t="str">
        <v>(</v>
      </c>
      <c r="J11259">
        <f>+J11251</f>
        <v>0.725</v>
      </c>
      <c r="K11259" t="str">
        <v>+</v>
      </c>
      <c r="L11259">
        <f>MAX(VLOOKUP(F11259,N$6:P$15,3,FALSE)/1000,2/3*D11249/1000)+F$16*F11259/1000</f>
        <v>0.156</v>
      </c>
      <c r="M11259" t="str">
        <v>=</v>
      </c>
      <c r="N11259">
        <f>J11259+L11259</f>
        <v>0.881</v>
      </c>
      <c r="O11259" t="str">
        <v>+</v>
      </c>
      <c r="P11259">
        <f>D11259-D11260</f>
        <v>0</v>
      </c>
      <c r="Q11259" t="str">
        <v>x</v>
      </c>
      <c r="R11259">
        <f>IF(P11259&gt;0,$F$18*F11259/1000,0)</f>
        <v>0</v>
      </c>
      <c r="S11259" t="str">
        <v>)</v>
      </c>
      <c r="T11259" t="str">
        <v>x</v>
      </c>
      <c r="U11259">
        <f>0.006165*F11259^2</f>
        <v>1.041885</v>
      </c>
      <c r="X11259" t="str">
        <v>x</v>
      </c>
      <c r="Y11259">
        <f>D11250</f>
        <v>1</v>
      </c>
      <c r="Z11259" t="str">
        <v>=</v>
      </c>
      <c r="AA11259">
        <f>IF(AA11262=0,(D11259*N11259+P11259*R11259)*U11259*Y11259,0)</f>
        <v>0</v>
      </c>
    </row>
    <row r="11260">
      <c r="A11260" t="str">
        <f>A11244</f>
        <v>Lantai Atap</v>
      </c>
      <c r="B11260">
        <f>B11244</f>
        <v>34</v>
      </c>
      <c r="C11260" t="str">
        <v>Tul Bawah Lapangan</v>
      </c>
      <c r="D11260">
        <f>VLOOKUP(D11244,'Detail Balok'!$C$10:$AU$110,25,FALSE)</f>
        <v>2</v>
      </c>
      <c r="E11260" t="str">
        <v>D</v>
      </c>
      <c r="F11260">
        <f>VLOOKUP(D11244,'Detail Balok'!$C$10:$AU$110,27,FALSE)</f>
        <v>13</v>
      </c>
      <c r="I11260" t="str">
        <v>(</v>
      </c>
      <c r="J11260">
        <f>+J11252</f>
        <v>1.45</v>
      </c>
      <c r="K11260" t="str">
        <v>+</v>
      </c>
      <c r="M11260" t="str">
        <v>=</v>
      </c>
      <c r="N11260">
        <f>J11260+L11260</f>
        <v>1.45</v>
      </c>
      <c r="O11260" t="str">
        <v>+</v>
      </c>
      <c r="P11260">
        <f>MAX(D11260-D11259,D11260-D11261)</f>
        <v>0</v>
      </c>
      <c r="Q11260" t="str">
        <v>x</v>
      </c>
      <c r="R11260">
        <f>IF(P11260&gt;0,2*(1-2*$F$19-1/2)*D11247/1000,0)</f>
        <v>0</v>
      </c>
      <c r="S11260" t="str">
        <v>)</v>
      </c>
      <c r="T11260" t="str">
        <v>x</v>
      </c>
      <c r="U11260">
        <f>0.006165*F11260^2</f>
        <v>1.041885</v>
      </c>
      <c r="X11260" t="str">
        <v>x</v>
      </c>
      <c r="Y11260">
        <f>D11250</f>
        <v>1</v>
      </c>
      <c r="Z11260" t="str">
        <v>=</v>
      </c>
      <c r="AA11260">
        <f>IF(AA11262=0,(D11260*N11260+P11260*R11260)*U11260*Y11260,0)</f>
        <v>0</v>
      </c>
    </row>
    <row r="11261">
      <c r="A11261" t="str">
        <f>A11244</f>
        <v>Lantai Atap</v>
      </c>
      <c r="B11261">
        <f>B11244</f>
        <v>34</v>
      </c>
      <c r="C11261" t="str">
        <v>Tul Bawah Tumpuan</v>
      </c>
      <c r="D11261">
        <f>VLOOKUP(D11244,'Detail Balok'!$C$10:$AU$110,28,FALSE)</f>
        <v>2</v>
      </c>
      <c r="E11261" t="str">
        <v>D</v>
      </c>
      <c r="F11261">
        <f>VLOOKUP(D11244,'Detail Balok'!$C$10:$AU$110,30,FALSE)</f>
        <v>13</v>
      </c>
      <c r="I11261" t="str">
        <v>(</v>
      </c>
      <c r="J11261">
        <f>+J11253</f>
        <v>0.725</v>
      </c>
      <c r="K11261" t="str">
        <v>+</v>
      </c>
      <c r="L11261">
        <f>MAX(VLOOKUP(F11261,N$6:P$15,3,FALSE)/1000,2/3*D11249/1000)+F$16*F11261/1000</f>
        <v>0.156</v>
      </c>
      <c r="M11261" t="str">
        <v>=</v>
      </c>
      <c r="N11261">
        <f>J11261+L11261</f>
        <v>0.881</v>
      </c>
      <c r="O11261" t="str">
        <v>+</v>
      </c>
      <c r="P11261">
        <f>D11261-D11260</f>
        <v>0</v>
      </c>
      <c r="Q11261" t="str">
        <v>x</v>
      </c>
      <c r="R11261">
        <f>IF(P11261&gt;0,$F$18*F11261/1000,0)</f>
        <v>0</v>
      </c>
      <c r="S11261" t="str">
        <v>)</v>
      </c>
      <c r="T11261" t="str">
        <v>x</v>
      </c>
      <c r="U11261">
        <f>0.006165*F11261^2</f>
        <v>1.041885</v>
      </c>
      <c r="X11261" t="str">
        <v>x</v>
      </c>
      <c r="Y11261">
        <f>D11250</f>
        <v>1</v>
      </c>
      <c r="Z11261" t="str">
        <v>=</v>
      </c>
      <c r="AA11261">
        <f>IF(AA11262=0,(D11261*N11261+P11261*R11261)*U11261*Y11261,0)</f>
        <v>0</v>
      </c>
    </row>
    <row r="11262">
      <c r="A11262" t="str">
        <f>A11244</f>
        <v>Lantai Atap</v>
      </c>
      <c r="B11262">
        <f>B11244</f>
        <v>34</v>
      </c>
      <c r="D11262">
        <f>IF(AND(D11259=D11260,D11260=D11261,D11259=D11261),D11259,0)</f>
        <v>2</v>
      </c>
      <c r="E11262" t="str">
        <v>D</v>
      </c>
      <c r="F11262">
        <f>IF(AND(F11259=F11260,F11259=F11261,F11260=F11261),F11259,0)</f>
        <v>13</v>
      </c>
      <c r="L11262" t="str">
        <v>Total panjang per balok</v>
      </c>
      <c r="M11262" t="str">
        <v>=</v>
      </c>
      <c r="N11262">
        <f>IF(AND(D11259=D11260,D11259=D11261,D11260=D11261,F11259=F11260,F11259=F11261,F11260=F11261),SUM(N11259:N11261),0)</f>
        <v>3.2119999999999997</v>
      </c>
      <c r="O11262" t="str">
        <v>+</v>
      </c>
      <c r="P11262">
        <f>IF(N11262&gt;12,ROUNDDOWN(N11262/12,0),0)</f>
        <v>0</v>
      </c>
      <c r="Q11262" t="str">
        <v>x</v>
      </c>
      <c r="R11262">
        <f>IF(P11262&gt;0,MAX(VLOOKUP(F11262,$D$6:$G$15,3,FALSE),600),0)/1000</f>
        <v>0</v>
      </c>
      <c r="T11262" t="str">
        <v>x</v>
      </c>
      <c r="U11262">
        <f>U11261</f>
        <v>1.041885</v>
      </c>
      <c r="V11262" t="str">
        <v>x</v>
      </c>
      <c r="W11262">
        <f>D11262</f>
        <v>2</v>
      </c>
      <c r="X11262" t="str">
        <v>x</v>
      </c>
      <c r="Y11262">
        <f>Y11261</f>
        <v>1</v>
      </c>
      <c r="Z11262" t="str">
        <v>=</v>
      </c>
      <c r="AA11262">
        <f>(N11262+P11262*R11262/1000)*U11262*W11262*Y11262</f>
        <v>6.693069239999999</v>
      </c>
    </row>
    <row r="11264">
      <c r="A11264" t="str">
        <f>A11244</f>
        <v>Lantai Atap</v>
      </c>
      <c r="B11264">
        <f>B11244</f>
        <v>34</v>
      </c>
      <c r="C11264" t="str">
        <v>Sengkang Tumpuan</v>
      </c>
      <c r="D11264">
        <f>VLOOKUP(D11244,'Detail Balok'!$C$10:$AU$110,31,FALSE)</f>
        <v>0</v>
      </c>
      <c r="E11264" t="str">
        <v>D</v>
      </c>
      <c r="F11264">
        <f>VLOOKUP(D11244,'Detail Balok'!$C$10:$AU$110,33,FALSE)</f>
        <v>8</v>
      </c>
      <c r="G11264" t="str">
        <v>-</v>
      </c>
      <c r="H11264">
        <f>VLOOKUP(D11244,'Detail Balok'!$C$10:$AU$110,35,FALSE)</f>
        <v>75</v>
      </c>
      <c r="J11264">
        <f>(IF(D11264=0,(2*(D11245+G11245))-(F$5*8),IF(D11264=3,(2*(D11245+G11245))-(F$5*8)+(G11245-2*F$5),IF(D11264=4,(2*(D11245+G11245))-(F$5*8)+2*(G11245-2*F$5)))))/1000</f>
        <v>0.92</v>
      </c>
      <c r="K11264" t="str">
        <v>+</v>
      </c>
      <c r="L11264">
        <f>IF(D11264=0,2*MAX(6*F11264,75),(D11264-1)*2*MAX(6*F11264,75))/1000</f>
        <v>0.15</v>
      </c>
      <c r="M11264" t="str">
        <v>=</v>
      </c>
      <c r="N11264">
        <f>J11264+L11264</f>
        <v>1.07</v>
      </c>
      <c r="T11264" t="str">
        <v>x</v>
      </c>
      <c r="U11264">
        <f>0.006165*F11264^2</f>
        <v>0.39456</v>
      </c>
      <c r="V11264" t="str">
        <v>x</v>
      </c>
      <c r="W11264">
        <f>IF(D11247&gt;4*G11245,ROUND(MAX(D11247/4,2*G11245)/H11264,0)+1,ROUND(D11247/H11264,0)+1)</f>
        <v>13</v>
      </c>
      <c r="X11264" t="str">
        <v>x</v>
      </c>
      <c r="Y11264">
        <f>D11250</f>
        <v>1</v>
      </c>
      <c r="Z11264" t="str">
        <v>=</v>
      </c>
      <c r="AA11264">
        <f>N11264*U11264*W11264*Y11264</f>
        <v>5.4883296</v>
      </c>
    </row>
    <row r="11265">
      <c r="A11265" t="str">
        <f>A11244</f>
        <v>Lantai Atap</v>
      </c>
      <c r="B11265">
        <f>B11244</f>
        <v>34</v>
      </c>
      <c r="C11265" t="str">
        <v>Sengkang Lapangan</v>
      </c>
      <c r="D11265">
        <f>VLOOKUP(D11244,'Detail Balok'!$C$10:$AU$110,36,FALSE)</f>
        <v>0</v>
      </c>
      <c r="E11265" t="str">
        <v>D</v>
      </c>
      <c r="F11265">
        <f>VLOOKUP(D11244,'Detail Balok'!$C$10:$AU$110,38,FALSE)</f>
        <v>8</v>
      </c>
      <c r="G11265" t="str">
        <v>-</v>
      </c>
      <c r="H11265">
        <f>VLOOKUP(D11244,'Detail Balok'!$C$10:$AU$110,40,FALSE)</f>
        <v>75</v>
      </c>
      <c r="J11265">
        <f>(IF(D11265=0,(2*(D11245+G11245))-(F$5*8),IF(D11265=3,(2*(D11245+G11245))-(F$5*8)+(G11245-2*F$5),IF(D11265=4,(2*(D11245+G11245))-(F$5*8)+2*(G11245-2*F$5)))))/1000</f>
        <v>0.92</v>
      </c>
      <c r="K11265" t="str">
        <v>+</v>
      </c>
      <c r="L11265">
        <f>IF(D11265=0,2*MAX(6*F11265,75),(D11265-1)*2*MAX(6*F11265,75))/1000</f>
        <v>0.15</v>
      </c>
      <c r="M11265" t="str">
        <v>=</v>
      </c>
      <c r="N11265">
        <f>J11265+L11265</f>
        <v>1.07</v>
      </c>
      <c r="T11265" t="str">
        <v>x</v>
      </c>
      <c r="U11265">
        <f>0.006165*F11265^2</f>
        <v>0.39456</v>
      </c>
      <c r="V11265" t="str">
        <v>x</v>
      </c>
      <c r="W11265">
        <f>IF(D11247-MAX(D11247/4,2*G11245)*2&gt;0,ROUND((D11247-MAX(D11247/4,2*G11245)*2)/H11265,0),0)</f>
        <v>15</v>
      </c>
      <c r="X11265" t="str">
        <v>x</v>
      </c>
      <c r="Y11265">
        <f>D11250</f>
        <v>1</v>
      </c>
      <c r="Z11265" t="str">
        <v>=</v>
      </c>
      <c r="AA11265">
        <f>N11265*U11265*W11265*Y11265</f>
        <v>6.332688</v>
      </c>
    </row>
    <row r="11266">
      <c r="A11266" t="str">
        <f>A11244</f>
        <v>Lantai Atap</v>
      </c>
      <c r="B11266">
        <f>B11244</f>
        <v>34</v>
      </c>
      <c r="C11266" t="str">
        <v>Sengkang Tumpuan</v>
      </c>
      <c r="D11266">
        <f>VLOOKUP(D11244,'Detail Balok'!$C$10:$AU$110,41,FALSE)</f>
        <v>0</v>
      </c>
      <c r="E11266" t="str">
        <v>D</v>
      </c>
      <c r="F11266">
        <f>VLOOKUP(D11244,'Detail Balok'!$C$10:$AU$110,43,FALSE)</f>
        <v>8</v>
      </c>
      <c r="G11266" t="str">
        <v>-</v>
      </c>
      <c r="H11266">
        <f>VLOOKUP(D11244,'Detail Balok'!$C$10:$AU$110,45,FALSE)</f>
        <v>75</v>
      </c>
      <c r="J11266">
        <f>(IF(D11266=0,(2*(D11245+G11245))-(F$5*8),IF(D11266=3,(2*(D11245+G11245))-(F$5*8)+(G11245-2*F$5),IF(D11266=4,(2*(D11245+G11245))-(F$5*8)+2*(G11245-2*F$5)))))/1000</f>
        <v>0.92</v>
      </c>
      <c r="K11266" t="str">
        <v>+</v>
      </c>
      <c r="L11266">
        <f>IF(D11266=0,2*MAX(6*F11266,75),(D11266-1)*2*MAX(6*F11266,75))/1000</f>
        <v>0.15</v>
      </c>
      <c r="M11266" t="str">
        <v>=</v>
      </c>
      <c r="N11266">
        <f>J11266+L11266</f>
        <v>1.07</v>
      </c>
      <c r="T11266" t="str">
        <v>x</v>
      </c>
      <c r="U11266">
        <f>0.006165*F11266^2</f>
        <v>0.39456</v>
      </c>
      <c r="V11266" t="str">
        <v>x</v>
      </c>
      <c r="W11266">
        <f>IF(D11247&gt;4*G11245,ROUND(MAX(D11247/4,2*G11245)/H11266,0)+1,0)</f>
        <v>13</v>
      </c>
      <c r="X11266" t="str">
        <v>x</v>
      </c>
      <c r="Y11266">
        <f>D11250</f>
        <v>1</v>
      </c>
      <c r="Z11266" t="str">
        <v>=</v>
      </c>
      <c r="AA11266">
        <f>N11266*U11266*W11266*Y11266</f>
        <v>5.4883296</v>
      </c>
    </row>
    <row r="11268">
      <c r="A11268" t="str">
        <f>A11244</f>
        <v>Lantai Atap</v>
      </c>
      <c r="B11268">
        <f>B11244</f>
        <v>34</v>
      </c>
      <c r="C11268" t="str">
        <v>Kait Horizontal Tump.</v>
      </c>
      <c r="D11268">
        <f>VLOOKUP(D11244,'Detail Balok'!$C$10:$BJ$110,46,FALSE)</f>
        <v>0</v>
      </c>
      <c r="E11268" t="str">
        <v>D</v>
      </c>
      <c r="F11268">
        <f>VLOOKUP(D11244,'Detail Balok'!$C$10:$BJ$110,48,FALSE)</f>
        <v>0</v>
      </c>
      <c r="G11268" t="str">
        <v>-</v>
      </c>
      <c r="H11268">
        <f>VLOOKUP(D11244,'Detail Balok'!$C$10:$BJ$110,50,FALSE)</f>
        <v>100</v>
      </c>
      <c r="J11268">
        <f>(D11245-2*F$5)/1000</f>
        <v>0.09</v>
      </c>
      <c r="K11268" t="str">
        <v>+</v>
      </c>
      <c r="L11268">
        <f>IF(D11268=0,2*MAX(6*F11268,75),(D11268-1)*2*MAX(6*F11268,75))/1000</f>
        <v>0.15</v>
      </c>
      <c r="M11268" t="str">
        <v>=</v>
      </c>
      <c r="N11268">
        <f>J11268+L11268</f>
        <v>0.24</v>
      </c>
      <c r="T11268" t="str">
        <v>x</v>
      </c>
      <c r="U11268">
        <f>0.006165*F11268^2</f>
        <v>0</v>
      </c>
      <c r="V11268" t="str">
        <v>x</v>
      </c>
      <c r="W11268">
        <f>W11264</f>
        <v>13</v>
      </c>
      <c r="X11268" t="str">
        <v>x</v>
      </c>
      <c r="Y11268">
        <f>D11254</f>
        <v>2</v>
      </c>
      <c r="Z11268" t="str">
        <v>=</v>
      </c>
      <c r="AA11268">
        <f>N11268*U11268*W11268*Y11268</f>
        <v>0</v>
      </c>
    </row>
    <row r="11269">
      <c r="A11269" t="str">
        <f>A11244</f>
        <v>Lantai Atap</v>
      </c>
      <c r="B11269">
        <f>B11244</f>
        <v>34</v>
      </c>
      <c r="C11269" t="str">
        <v>Kait Horizontal Lap.</v>
      </c>
      <c r="D11269">
        <f>VLOOKUP(D11244,'Detail Balok'!$C$10:$BJ$110,51,FALSE)</f>
        <v>0</v>
      </c>
      <c r="E11269" t="str">
        <v>D</v>
      </c>
      <c r="F11269">
        <f>VLOOKUP(D11244,'Detail Balok'!$C$10:$BJ$110,53,FALSE)</f>
        <v>0</v>
      </c>
      <c r="G11269" t="str">
        <v>-</v>
      </c>
      <c r="H11269">
        <f>VLOOKUP(D11244,'Detail Balok'!$C$10:$BJ$110,55,FALSE)</f>
        <v>100</v>
      </c>
      <c r="J11269">
        <f>(D11245-2*F$5)/1000</f>
        <v>0.09</v>
      </c>
      <c r="K11269" t="str">
        <v>+</v>
      </c>
      <c r="L11269">
        <f>IF(D11269=0,2*MAX(6*F11269,75),(D11269-1)*2*MAX(6*F11269,75))/1000</f>
        <v>0.15</v>
      </c>
      <c r="M11269" t="str">
        <v>=</v>
      </c>
      <c r="N11269">
        <f>J11269+L11269</f>
        <v>0.24</v>
      </c>
      <c r="T11269" t="str">
        <v>x</v>
      </c>
      <c r="U11269">
        <f>0.006165*F11269^2</f>
        <v>0</v>
      </c>
      <c r="V11269" t="str">
        <v>x</v>
      </c>
      <c r="W11269">
        <f>W11265</f>
        <v>15</v>
      </c>
      <c r="X11269" t="str">
        <v>x</v>
      </c>
      <c r="Y11269">
        <f>D11254</f>
        <v>2</v>
      </c>
      <c r="Z11269" t="str">
        <v>=</v>
      </c>
      <c r="AA11269">
        <f>N11269*U11269*W11269*Y11269</f>
        <v>0</v>
      </c>
    </row>
    <row r="11270">
      <c r="A11270" t="str">
        <f>A11244</f>
        <v>Lantai Atap</v>
      </c>
      <c r="B11270">
        <f>B11244</f>
        <v>34</v>
      </c>
      <c r="C11270" t="str">
        <v>Kait Horizontal Tump.</v>
      </c>
      <c r="D11270">
        <f>VLOOKUP(D11244,'Detail Balok'!$C$10:$BJ$110,56,FALSE)</f>
        <v>0</v>
      </c>
      <c r="E11270" t="str">
        <v>D</v>
      </c>
      <c r="F11270">
        <f>VLOOKUP(D11244,'Detail Balok'!$C$10:$BJ$110,58,FALSE)</f>
        <v>0</v>
      </c>
      <c r="G11270" t="str">
        <v>-</v>
      </c>
      <c r="H11270">
        <f>VLOOKUP(D11244,'Detail Balok'!$C$10:$BJ$110,60,FALSE)</f>
        <v>100</v>
      </c>
      <c r="J11270">
        <f>(D11245-2*F$5)/1000</f>
        <v>0.09</v>
      </c>
      <c r="K11270" t="str">
        <v>+</v>
      </c>
      <c r="L11270">
        <f>IF(D11270=0,2*MAX(6*F11270,75),(D11270-1)*2*MAX(6*F11270,75))/1000</f>
        <v>0.15</v>
      </c>
      <c r="M11270" t="str">
        <v>=</v>
      </c>
      <c r="N11270">
        <f>J11270+L11270</f>
        <v>0.24</v>
      </c>
      <c r="T11270" t="str">
        <v>x</v>
      </c>
      <c r="U11270">
        <f>0.006165*F11270^2</f>
        <v>0</v>
      </c>
      <c r="V11270" t="str">
        <v>x</v>
      </c>
      <c r="W11270">
        <f>W11266</f>
        <v>13</v>
      </c>
      <c r="X11270" t="str">
        <v>x</v>
      </c>
      <c r="Y11270">
        <f>D11254</f>
        <v>2</v>
      </c>
      <c r="Z11270" t="str">
        <v>=</v>
      </c>
      <c r="AA11270">
        <f>N11270*U11270*W11270*Y11270</f>
        <v>0</v>
      </c>
    </row>
    <row r="11274">
      <c r="A11274" t="str">
        <f>A11244</f>
        <v>Lantai Atap</v>
      </c>
      <c r="B11274">
        <f>B11244+1</f>
        <v>35</v>
      </c>
      <c r="C11274" t="str">
        <f>CONCATENATE(A11274," no. ",B11274)</f>
        <v>Lantai Atap no. 35</v>
      </c>
      <c r="D11274" t="str">
        <f>VLOOKUP(C11274,'Data Panjang Balok'!$C$9:$N$424,2,FALSE)</f>
        <v>Potongan F</v>
      </c>
    </row>
    <row r="11275">
      <c r="C11275" t="str">
        <v>Dimensi</v>
      </c>
      <c r="D11275">
        <f>VLOOKUP(D11274,'Detail Balok'!$C$10:$AU$110,2,FALSE)</f>
        <v>200</v>
      </c>
      <c r="F11275" t="str">
        <v>x</v>
      </c>
      <c r="G11275">
        <f>VLOOKUP(D11274,'Detail Balok'!$C$10:$AU$110,3,FALSE)</f>
        <v>450</v>
      </c>
    </row>
    <row r="11276">
      <c r="C11276" t="str">
        <v>Panjang as ke as</v>
      </c>
      <c r="D11276">
        <f>VLOOKUP(C11274,'Data Panjang Balok'!$C$9:$N$424,4,FALSE)</f>
        <v>2700</v>
      </c>
    </row>
    <row r="11277">
      <c r="C11277" t="str">
        <v>Panjang netto</v>
      </c>
      <c r="D11277">
        <f>VLOOKUP(C11274,'Data Panjang Balok'!$C$9:$N$424,7,FALSE)</f>
        <v>2700</v>
      </c>
    </row>
    <row r="11278">
      <c r="C11278" t="str">
        <v>Kolom / balok kiri</v>
      </c>
      <c r="D11278">
        <f>VLOOKUP(C11274,'Data Panjang Balok'!$C$9:$N$424,9,FALSE)</f>
        <v>0</v>
      </c>
    </row>
    <row r="11279">
      <c r="C11279" t="str">
        <v>Kolom / balok kanan</v>
      </c>
      <c r="D11279">
        <f>VLOOKUP(C11274,'Data Panjang Balok'!$C$9:$N$424,10,FALSE)</f>
        <v>0</v>
      </c>
    </row>
    <row r="11280">
      <c r="C11280" t="str">
        <v>Jumlah</v>
      </c>
      <c r="D11280">
        <f>VLOOKUP(C11274,'Data Panjang Balok'!$C$9:$N$424,3,FALSE)</f>
        <v>1</v>
      </c>
    </row>
    <row r="11281">
      <c r="A11281" t="str">
        <f>A11274</f>
        <v>Lantai Atap</v>
      </c>
      <c r="B11281">
        <f>B11274</f>
        <v>35</v>
      </c>
      <c r="C11281" t="str">
        <v>Tul Atas Tumpuan</v>
      </c>
      <c r="D11281">
        <f>VLOOKUP(D11274,'Detail Balok'!$C$10:$AU$110,4,FALSE)</f>
        <v>5</v>
      </c>
      <c r="E11281" t="str">
        <v>D</v>
      </c>
      <c r="F11281">
        <f>VLOOKUP(D11274,'Detail Balok'!$C$10:$AU$110,6,FALSE)</f>
        <v>16</v>
      </c>
      <c r="I11281" t="str">
        <v>(</v>
      </c>
      <c r="J11281">
        <f>+D11276/4/1000</f>
        <v>0.675</v>
      </c>
      <c r="K11281" t="str">
        <v>+</v>
      </c>
      <c r="L11281">
        <f>MAX(VLOOKUP(F11281,N$6:P$15,3,FALSE)/1000,2/3*D11278/1000)+F$16*F11281/1000</f>
        <v>0.192</v>
      </c>
      <c r="M11281" t="str">
        <v>=</v>
      </c>
      <c r="N11281">
        <f>J11281+L11281</f>
        <v>0.867</v>
      </c>
      <c r="O11281" t="str">
        <v>+</v>
      </c>
      <c r="P11281">
        <f>D11281-D11282</f>
        <v>0</v>
      </c>
      <c r="Q11281" t="str">
        <v>x</v>
      </c>
      <c r="R11281">
        <f>IF(P11281&gt;0,$F$18*F11281/1000,0)</f>
        <v>0</v>
      </c>
      <c r="S11281" t="str">
        <v>)</v>
      </c>
      <c r="T11281" t="str">
        <v>x</v>
      </c>
      <c r="U11281">
        <f>0.006165*F11281^2</f>
        <v>1.57824</v>
      </c>
      <c r="X11281" t="str">
        <v>x</v>
      </c>
      <c r="Y11281">
        <f>D11280</f>
        <v>1</v>
      </c>
      <c r="Z11281" t="str">
        <v>=</v>
      </c>
      <c r="AA11281">
        <f>IF(AA11284=0,(D11281*N11281+P11281*R11281)*U11281*Y11281,0)</f>
        <v>0</v>
      </c>
    </row>
    <row r="11282">
      <c r="A11282" t="str">
        <f>A11274</f>
        <v>Lantai Atap</v>
      </c>
      <c r="B11282">
        <f>B11274</f>
        <v>35</v>
      </c>
      <c r="C11282" t="str">
        <v>Tul Atas Lapangan</v>
      </c>
      <c r="D11282">
        <f>VLOOKUP(D11274,'Detail Balok'!$C$10:$AU$110,7,FALSE)</f>
        <v>5</v>
      </c>
      <c r="E11282" t="str">
        <v>D</v>
      </c>
      <c r="F11282">
        <f>VLOOKUP(D11274,'Detail Balok'!$C$10:$AU$110,9,FALSE)</f>
        <v>16</v>
      </c>
      <c r="I11282" t="str">
        <v>(</v>
      </c>
      <c r="J11282">
        <f>+D11276/2/1000</f>
        <v>1.35</v>
      </c>
      <c r="K11282" t="str">
        <v>+</v>
      </c>
      <c r="M11282" t="str">
        <v>=</v>
      </c>
      <c r="N11282">
        <f>J11282+L11282</f>
        <v>1.35</v>
      </c>
      <c r="O11282" t="str">
        <v>+</v>
      </c>
      <c r="P11282">
        <f>MAX(D11282-D11281,D11282-D11283)</f>
        <v>0</v>
      </c>
      <c r="Q11282" t="str">
        <v>x</v>
      </c>
      <c r="R11282">
        <f>IF(P11282&gt;0,2*(1-2*$F$19-1/2)*D11277/1000,0)</f>
        <v>0</v>
      </c>
      <c r="S11282" t="str">
        <v>)</v>
      </c>
      <c r="T11282" t="str">
        <v>x</v>
      </c>
      <c r="U11282">
        <f>0.006165*F11282^2</f>
        <v>1.57824</v>
      </c>
      <c r="X11282" t="str">
        <v>x</v>
      </c>
      <c r="Y11282">
        <f>D11280</f>
        <v>1</v>
      </c>
      <c r="Z11282" t="str">
        <v>=</v>
      </c>
      <c r="AA11282">
        <f>IF(AA11284=0,(D11282*N11282+P11282*R11282)*U11282*Y11282,0)</f>
        <v>0</v>
      </c>
    </row>
    <row r="11283">
      <c r="A11283" t="str">
        <f>A11274</f>
        <v>Lantai Atap</v>
      </c>
      <c r="B11283">
        <f>B11274</f>
        <v>35</v>
      </c>
      <c r="C11283" t="str">
        <v>Tul Atas Tumpuan</v>
      </c>
      <c r="D11283">
        <f>VLOOKUP(D11274,'Detail Balok'!$C$10:$AU$110,10,FALSE)</f>
        <v>5</v>
      </c>
      <c r="E11283" t="str">
        <v>D</v>
      </c>
      <c r="F11283">
        <f>VLOOKUP(D11274,'Detail Balok'!$C$10:$AU$110,12,FALSE)</f>
        <v>16</v>
      </c>
      <c r="I11283" t="str">
        <v>(</v>
      </c>
      <c r="J11283">
        <f>+D11276/4/1000</f>
        <v>0.675</v>
      </c>
      <c r="K11283" t="str">
        <v>+</v>
      </c>
      <c r="L11283">
        <f>MAX(VLOOKUP(F11283,N$6:P$15,3,FALSE)/1000,2/3*D11278/1000)+F$16*F11283/1000</f>
        <v>0.192</v>
      </c>
      <c r="M11283" t="str">
        <v>=</v>
      </c>
      <c r="N11283">
        <f>J11283+L11283</f>
        <v>0.867</v>
      </c>
      <c r="O11283" t="str">
        <v>+</v>
      </c>
      <c r="P11283">
        <f>D11283-D11282</f>
        <v>0</v>
      </c>
      <c r="Q11283" t="str">
        <v>x</v>
      </c>
      <c r="R11283">
        <f>IF(P11283&gt;0,$F$18*F11283/1000,0)</f>
        <v>0</v>
      </c>
      <c r="S11283" t="str">
        <v>)</v>
      </c>
      <c r="T11283" t="str">
        <v>x</v>
      </c>
      <c r="U11283">
        <f>0.006165*F11283^2</f>
        <v>1.57824</v>
      </c>
      <c r="X11283" t="str">
        <v>x</v>
      </c>
      <c r="Y11283">
        <f>D11280</f>
        <v>1</v>
      </c>
      <c r="Z11283" t="str">
        <v>=</v>
      </c>
      <c r="AA11283">
        <f>IF(AA11284=0,(D11283*N11283+P11283*R11283)*U11283*Y11283,0)</f>
        <v>0</v>
      </c>
    </row>
    <row r="11284">
      <c r="A11284" t="str">
        <f>A11274</f>
        <v>Lantai Atap</v>
      </c>
      <c r="B11284">
        <f>B11274</f>
        <v>35</v>
      </c>
      <c r="D11284">
        <f>IF(AND(D11281=D11282,D11282=D11283,D11281=D11283),D11281,0)</f>
        <v>5</v>
      </c>
      <c r="E11284" t="str">
        <v>D</v>
      </c>
      <c r="F11284">
        <f>IF(AND(F11281=F11282,F11281=F11283,F11282=F11283),F11281,0)</f>
        <v>16</v>
      </c>
      <c r="L11284" t="str">
        <v>Total panjang per balok</v>
      </c>
      <c r="M11284" t="str">
        <v>=</v>
      </c>
      <c r="N11284">
        <f>IF(AND(D11281=D11282,D11281=D11283,D11282=D11283,F11281=F11282,F11281=F11283,F11282=F11283),SUM(N11281:N11283),0)</f>
        <v>3.084</v>
      </c>
      <c r="O11284" t="str">
        <v>+</v>
      </c>
      <c r="P11284">
        <f>IF(N11284&gt;12,ROUNDDOWN(N11284/12,0),0)</f>
        <v>0</v>
      </c>
      <c r="Q11284" t="str">
        <v>x</v>
      </c>
      <c r="R11284">
        <f>IF(P11284&gt;0,MAX(VLOOKUP(F11284,$D$6:$G$15,3,FALSE),600),0)/1000</f>
        <v>0</v>
      </c>
      <c r="T11284" t="str">
        <v>x</v>
      </c>
      <c r="U11284">
        <f>U11283</f>
        <v>1.57824</v>
      </c>
      <c r="V11284" t="str">
        <v>x</v>
      </c>
      <c r="W11284">
        <f>D11284</f>
        <v>5</v>
      </c>
      <c r="X11284" t="str">
        <v>x</v>
      </c>
      <c r="Y11284">
        <f>Y11283</f>
        <v>1</v>
      </c>
      <c r="Z11284" t="str">
        <v>=</v>
      </c>
      <c r="AA11284">
        <f>(N11284+P11284*R11284/1000)*U11284*W11284*Y11284</f>
        <v>24.336460800000005</v>
      </c>
    </row>
    <row r="11286">
      <c r="A11286" t="str">
        <f>A11274</f>
        <v>Lantai Atap</v>
      </c>
      <c r="B11286">
        <f>B11274</f>
        <v>35</v>
      </c>
      <c r="C11286" t="str">
        <v>Tul Peminggang</v>
      </c>
      <c r="D11286">
        <f>VLOOKUP(D11274,'Detail Balok'!$C$10:$AU$110,13,FALSE)</f>
        <v>2</v>
      </c>
      <c r="E11286" t="str">
        <v>D</v>
      </c>
      <c r="F11286">
        <f>VLOOKUP(D11274,'Detail Balok'!$C$10:$AU$110,15,FALSE)</f>
        <v>10</v>
      </c>
      <c r="J11286">
        <f>+D11276/1000</f>
        <v>2.7</v>
      </c>
      <c r="K11286" t="str">
        <v>+</v>
      </c>
      <c r="L11286">
        <f>2*$F$16*F11286/1000</f>
        <v>0.24</v>
      </c>
      <c r="M11286" t="str">
        <v>=</v>
      </c>
      <c r="N11286">
        <f>J11286+L11286</f>
        <v>2.9400000000000004</v>
      </c>
      <c r="O11286" t="str">
        <v>+</v>
      </c>
      <c r="P11286">
        <f>IF(N11286&gt;12,ROUNDDOWN(N11286/12,0),0)</f>
        <v>0</v>
      </c>
      <c r="Q11286" t="str">
        <v>x</v>
      </c>
      <c r="R11286">
        <f>IF(P11286&gt;0,MAX(VLOOKUP(F11286,$D$6:$G$15,3,FALSE),600),0)/1000</f>
        <v>0</v>
      </c>
      <c r="T11286" t="str">
        <v>x</v>
      </c>
      <c r="U11286">
        <f>0.006165*F11286^2</f>
        <v>0.6165</v>
      </c>
      <c r="V11286" t="str">
        <v>x</v>
      </c>
      <c r="W11286">
        <f>+D11286</f>
        <v>2</v>
      </c>
      <c r="X11286" t="str">
        <v>x</v>
      </c>
      <c r="Y11286">
        <f>D11280</f>
        <v>1</v>
      </c>
      <c r="Z11286" t="str">
        <v>=</v>
      </c>
      <c r="AA11286">
        <f>(N11286+P11286*R11286/1000)*U11286*W11286*Y11286</f>
        <v>3.6250200000000006</v>
      </c>
    </row>
    <row r="11289">
      <c r="A11289" t="str">
        <f>A11274</f>
        <v>Lantai Atap</v>
      </c>
      <c r="B11289">
        <f>B11274</f>
        <v>35</v>
      </c>
      <c r="C11289" t="str">
        <v>Tul Bawah Tumpuan</v>
      </c>
      <c r="D11289">
        <f>VLOOKUP(D11274,'Detail Balok'!$C$10:$AU$110,22,FALSE)</f>
        <v>3</v>
      </c>
      <c r="E11289" t="str">
        <v>D</v>
      </c>
      <c r="F11289">
        <f>VLOOKUP(D11274,'Detail Balok'!$C$10:$AU$110,24,FALSE)</f>
        <v>16</v>
      </c>
      <c r="I11289" t="str">
        <v>(</v>
      </c>
      <c r="J11289">
        <f>+J11281</f>
        <v>0.675</v>
      </c>
      <c r="K11289" t="str">
        <v>+</v>
      </c>
      <c r="L11289">
        <f>MAX(VLOOKUP(F11289,N$6:P$15,3,FALSE)/1000,2/3*D11279/1000)+F$16*F11289/1000</f>
        <v>0.192</v>
      </c>
      <c r="M11289" t="str">
        <v>=</v>
      </c>
      <c r="N11289">
        <f>J11289+L11289</f>
        <v>0.867</v>
      </c>
      <c r="O11289" t="str">
        <v>+</v>
      </c>
      <c r="P11289">
        <f>D11289-D11290</f>
        <v>0</v>
      </c>
      <c r="Q11289" t="str">
        <v>x</v>
      </c>
      <c r="R11289">
        <f>IF(P11289&gt;0,$F$18*F11289/1000,0)</f>
        <v>0</v>
      </c>
      <c r="S11289" t="str">
        <v>)</v>
      </c>
      <c r="T11289" t="str">
        <v>x</v>
      </c>
      <c r="U11289">
        <f>0.006165*F11289^2</f>
        <v>1.57824</v>
      </c>
      <c r="X11289" t="str">
        <v>x</v>
      </c>
      <c r="Y11289">
        <f>D11280</f>
        <v>1</v>
      </c>
      <c r="Z11289" t="str">
        <v>=</v>
      </c>
      <c r="AA11289">
        <f>IF(AA11292=0,(D11289*N11289+P11289*R11289)*U11289*Y11289,0)</f>
        <v>0</v>
      </c>
    </row>
    <row r="11290">
      <c r="A11290" t="str">
        <f>A11274</f>
        <v>Lantai Atap</v>
      </c>
      <c r="B11290">
        <f>B11274</f>
        <v>35</v>
      </c>
      <c r="C11290" t="str">
        <v>Tul Bawah Lapangan</v>
      </c>
      <c r="D11290">
        <f>VLOOKUP(D11274,'Detail Balok'!$C$10:$AU$110,25,FALSE)</f>
        <v>3</v>
      </c>
      <c r="E11290" t="str">
        <v>D</v>
      </c>
      <c r="F11290">
        <f>VLOOKUP(D11274,'Detail Balok'!$C$10:$AU$110,27,FALSE)</f>
        <v>16</v>
      </c>
      <c r="I11290" t="str">
        <v>(</v>
      </c>
      <c r="J11290">
        <f>+J11282</f>
        <v>1.35</v>
      </c>
      <c r="K11290" t="str">
        <v>+</v>
      </c>
      <c r="M11290" t="str">
        <v>=</v>
      </c>
      <c r="N11290">
        <f>J11290+L11290</f>
        <v>1.35</v>
      </c>
      <c r="O11290" t="str">
        <v>+</v>
      </c>
      <c r="P11290">
        <f>MAX(D11290-D11289,D11290-D11291)</f>
        <v>0</v>
      </c>
      <c r="Q11290" t="str">
        <v>x</v>
      </c>
      <c r="R11290">
        <f>IF(P11290&gt;0,2*(1-2*$F$19-1/2)*D11277/1000,0)</f>
        <v>0</v>
      </c>
      <c r="S11290" t="str">
        <v>)</v>
      </c>
      <c r="T11290" t="str">
        <v>x</v>
      </c>
      <c r="U11290">
        <f>0.006165*F11290^2</f>
        <v>1.57824</v>
      </c>
      <c r="X11290" t="str">
        <v>x</v>
      </c>
      <c r="Y11290">
        <f>D11280</f>
        <v>1</v>
      </c>
      <c r="Z11290" t="str">
        <v>=</v>
      </c>
      <c r="AA11290">
        <f>IF(AA11292=0,(D11290*N11290+P11290*R11290)*U11290*Y11290,0)</f>
        <v>0</v>
      </c>
    </row>
    <row r="11291">
      <c r="A11291" t="str">
        <f>A11274</f>
        <v>Lantai Atap</v>
      </c>
      <c r="B11291">
        <f>B11274</f>
        <v>35</v>
      </c>
      <c r="C11291" t="str">
        <v>Tul Bawah Tumpuan</v>
      </c>
      <c r="D11291">
        <f>VLOOKUP(D11274,'Detail Balok'!$C$10:$AU$110,28,FALSE)</f>
        <v>3</v>
      </c>
      <c r="E11291" t="str">
        <v>D</v>
      </c>
      <c r="F11291">
        <f>VLOOKUP(D11274,'Detail Balok'!$C$10:$AU$110,30,FALSE)</f>
        <v>16</v>
      </c>
      <c r="I11291" t="str">
        <v>(</v>
      </c>
      <c r="J11291">
        <f>+J11283</f>
        <v>0.675</v>
      </c>
      <c r="K11291" t="str">
        <v>+</v>
      </c>
      <c r="L11291">
        <f>MAX(VLOOKUP(F11291,N$6:P$15,3,FALSE)/1000,2/3*D11279/1000)+F$16*F11291/1000</f>
        <v>0.192</v>
      </c>
      <c r="M11291" t="str">
        <v>=</v>
      </c>
      <c r="N11291">
        <f>J11291+L11291</f>
        <v>0.867</v>
      </c>
      <c r="O11291" t="str">
        <v>+</v>
      </c>
      <c r="P11291">
        <f>D11291-D11290</f>
        <v>0</v>
      </c>
      <c r="Q11291" t="str">
        <v>x</v>
      </c>
      <c r="R11291">
        <f>IF(P11291&gt;0,$F$18*F11291/1000,0)</f>
        <v>0</v>
      </c>
      <c r="S11291" t="str">
        <v>)</v>
      </c>
      <c r="T11291" t="str">
        <v>x</v>
      </c>
      <c r="U11291">
        <f>0.006165*F11291^2</f>
        <v>1.57824</v>
      </c>
      <c r="X11291" t="str">
        <v>x</v>
      </c>
      <c r="Y11291">
        <f>D11280</f>
        <v>1</v>
      </c>
      <c r="Z11291" t="str">
        <v>=</v>
      </c>
      <c r="AA11291">
        <f>IF(AA11292=0,(D11291*N11291+P11291*R11291)*U11291*Y11291,0)</f>
        <v>0</v>
      </c>
    </row>
    <row r="11292">
      <c r="A11292" t="str">
        <f>A11274</f>
        <v>Lantai Atap</v>
      </c>
      <c r="B11292">
        <f>B11274</f>
        <v>35</v>
      </c>
      <c r="D11292">
        <f>IF(AND(D11289=D11290,D11290=D11291,D11289=D11291),D11289,0)</f>
        <v>3</v>
      </c>
      <c r="E11292" t="str">
        <v>D</v>
      </c>
      <c r="F11292">
        <f>IF(AND(F11289=F11290,F11289=F11291,F11290=F11291),F11289,0)</f>
        <v>16</v>
      </c>
      <c r="L11292" t="str">
        <v>Total panjang per balok</v>
      </c>
      <c r="M11292" t="str">
        <v>=</v>
      </c>
      <c r="N11292">
        <f>IF(AND(D11289=D11290,D11289=D11291,D11290=D11291,F11289=F11290,F11289=F11291,F11290=F11291),SUM(N11289:N11291),0)</f>
        <v>3.084</v>
      </c>
      <c r="O11292" t="str">
        <v>+</v>
      </c>
      <c r="P11292">
        <f>IF(N11292&gt;12,ROUNDDOWN(N11292/12,0),0)</f>
        <v>0</v>
      </c>
      <c r="Q11292" t="str">
        <v>x</v>
      </c>
      <c r="R11292">
        <f>IF(P11292&gt;0,MAX(VLOOKUP(F11292,$D$6:$G$15,3,FALSE),600),0)/1000</f>
        <v>0</v>
      </c>
      <c r="T11292" t="str">
        <v>x</v>
      </c>
      <c r="U11292">
        <f>U11291</f>
        <v>1.57824</v>
      </c>
      <c r="V11292" t="str">
        <v>x</v>
      </c>
      <c r="W11292">
        <f>D11292</f>
        <v>3</v>
      </c>
      <c r="X11292" t="str">
        <v>x</v>
      </c>
      <c r="Y11292">
        <f>Y11291</f>
        <v>1</v>
      </c>
      <c r="Z11292" t="str">
        <v>=</v>
      </c>
      <c r="AA11292">
        <f>(N11292+P11292*R11292/1000)*U11292*W11292*Y11292</f>
        <v>14.601876480000001</v>
      </c>
    </row>
    <row r="11294">
      <c r="A11294" t="str">
        <f>A11274</f>
        <v>Lantai Atap</v>
      </c>
      <c r="B11294">
        <f>B11274</f>
        <v>35</v>
      </c>
      <c r="C11294" t="str">
        <v>Sengkang Tumpuan</v>
      </c>
      <c r="D11294">
        <f>VLOOKUP(D11274,'Detail Balok'!$C$10:$AU$110,31,FALSE)</f>
        <v>0</v>
      </c>
      <c r="E11294" t="str">
        <v>D</v>
      </c>
      <c r="F11294">
        <f>VLOOKUP(D11274,'Detail Balok'!$C$10:$AU$110,33,FALSE)</f>
        <v>10</v>
      </c>
      <c r="G11294" t="str">
        <v>-</v>
      </c>
      <c r="H11294">
        <f>VLOOKUP(D11274,'Detail Balok'!$C$10:$AU$110,35,FALSE)</f>
        <v>100</v>
      </c>
      <c r="J11294">
        <f>(IF(D11294=0,(2*(D11275+G11275))-(F$5*8),IF(D11294=3,(2*(D11275+G11275))-(F$5*8)+(G11275-2*F$5),IF(D11294=4,(2*(D11275+G11275))-(F$5*8)+2*(G11275-2*F$5)))))/1000</f>
        <v>0.98</v>
      </c>
      <c r="K11294" t="str">
        <v>+</v>
      </c>
      <c r="L11294">
        <f>IF(D11294=0,2*MAX(6*F11294,75),(D11294-1)*2*MAX(6*F11294,75))/1000</f>
        <v>0.15</v>
      </c>
      <c r="M11294" t="str">
        <v>=</v>
      </c>
      <c r="N11294">
        <f>J11294+L11294</f>
        <v>1.13</v>
      </c>
      <c r="T11294" t="str">
        <v>x</v>
      </c>
      <c r="U11294">
        <f>0.006165*F11294^2</f>
        <v>0.6165</v>
      </c>
      <c r="V11294" t="str">
        <v>x</v>
      </c>
      <c r="W11294">
        <f>IF(D11277&gt;4*G11275,ROUND(MAX(D11277/4,2*G11275)/H11294,0)+1,ROUND(D11277/H11294,0)+1)</f>
        <v>10</v>
      </c>
      <c r="X11294" t="str">
        <v>x</v>
      </c>
      <c r="Y11294">
        <f>D11280</f>
        <v>1</v>
      </c>
      <c r="Z11294" t="str">
        <v>=</v>
      </c>
      <c r="AA11294">
        <f>N11294*U11294*W11294*Y11294</f>
        <v>6.96645</v>
      </c>
    </row>
    <row r="11295">
      <c r="A11295" t="str">
        <f>A11274</f>
        <v>Lantai Atap</v>
      </c>
      <c r="B11295">
        <f>B11274</f>
        <v>35</v>
      </c>
      <c r="C11295" t="str">
        <v>Sengkang Lapangan</v>
      </c>
      <c r="D11295">
        <f>VLOOKUP(D11274,'Detail Balok'!$C$10:$AU$110,36,FALSE)</f>
        <v>0</v>
      </c>
      <c r="E11295" t="str">
        <v>D</v>
      </c>
      <c r="F11295">
        <f>VLOOKUP(D11274,'Detail Balok'!$C$10:$AU$110,38,FALSE)</f>
        <v>10</v>
      </c>
      <c r="G11295" t="str">
        <v>-</v>
      </c>
      <c r="H11295">
        <f>VLOOKUP(D11274,'Detail Balok'!$C$10:$AU$110,40,FALSE)</f>
        <v>100</v>
      </c>
      <c r="J11295">
        <f>(IF(D11295=0,(2*(D11275+G11275))-(F$5*8),IF(D11295=3,(2*(D11275+G11275))-(F$5*8)+(G11275-2*F$5),IF(D11295=4,(2*(D11275+G11275))-(F$5*8)+2*(G11275-2*F$5)))))/1000</f>
        <v>0.98</v>
      </c>
      <c r="K11295" t="str">
        <v>+</v>
      </c>
      <c r="L11295">
        <f>IF(D11295=0,2*MAX(6*F11295,75),(D11295-1)*2*MAX(6*F11295,75))/1000</f>
        <v>0.15</v>
      </c>
      <c r="M11295" t="str">
        <v>=</v>
      </c>
      <c r="N11295">
        <f>J11295+L11295</f>
        <v>1.13</v>
      </c>
      <c r="T11295" t="str">
        <v>x</v>
      </c>
      <c r="U11295">
        <f>0.006165*F11295^2</f>
        <v>0.6165</v>
      </c>
      <c r="V11295" t="str">
        <v>x</v>
      </c>
      <c r="W11295">
        <f>IF(D11277-MAX(D11277/4,2*G11275)*2&gt;0,ROUND((D11277-MAX(D11277/4,2*G11275)*2)/H11295,0),0)</f>
        <v>9</v>
      </c>
      <c r="X11295" t="str">
        <v>x</v>
      </c>
      <c r="Y11295">
        <f>D11280</f>
        <v>1</v>
      </c>
      <c r="Z11295" t="str">
        <v>=</v>
      </c>
      <c r="AA11295">
        <f>N11295*U11295*W11295*Y11295</f>
        <v>6.269805</v>
      </c>
    </row>
    <row r="11296">
      <c r="A11296" t="str">
        <f>A11274</f>
        <v>Lantai Atap</v>
      </c>
      <c r="B11296">
        <f>B11274</f>
        <v>35</v>
      </c>
      <c r="C11296" t="str">
        <v>Sengkang Tumpuan</v>
      </c>
      <c r="D11296">
        <f>VLOOKUP(D11274,'Detail Balok'!$C$10:$AU$110,41,FALSE)</f>
        <v>0</v>
      </c>
      <c r="E11296" t="str">
        <v>D</v>
      </c>
      <c r="F11296">
        <f>VLOOKUP(D11274,'Detail Balok'!$C$10:$AU$110,43,FALSE)</f>
        <v>10</v>
      </c>
      <c r="G11296" t="str">
        <v>-</v>
      </c>
      <c r="H11296">
        <f>VLOOKUP(D11274,'Detail Balok'!$C$10:$AU$110,45,FALSE)</f>
        <v>100</v>
      </c>
      <c r="J11296">
        <f>(IF(D11296=0,(2*(D11275+G11275))-(F$5*8),IF(D11296=3,(2*(D11275+G11275))-(F$5*8)+(G11275-2*F$5),IF(D11296=4,(2*(D11275+G11275))-(F$5*8)+2*(G11275-2*F$5)))))/1000</f>
        <v>0.98</v>
      </c>
      <c r="K11296" t="str">
        <v>+</v>
      </c>
      <c r="L11296">
        <f>IF(D11296=0,2*MAX(6*F11296,75),(D11296-1)*2*MAX(6*F11296,75))/1000</f>
        <v>0.15</v>
      </c>
      <c r="M11296" t="str">
        <v>=</v>
      </c>
      <c r="N11296">
        <f>J11296+L11296</f>
        <v>1.13</v>
      </c>
      <c r="T11296" t="str">
        <v>x</v>
      </c>
      <c r="U11296">
        <f>0.006165*F11296^2</f>
        <v>0.6165</v>
      </c>
      <c r="V11296" t="str">
        <v>x</v>
      </c>
      <c r="W11296">
        <f>IF(D11277&gt;4*G11275,ROUND(MAX(D11277/4,2*G11275)/H11296,0)+1,0)</f>
        <v>10</v>
      </c>
      <c r="X11296" t="str">
        <v>x</v>
      </c>
      <c r="Y11296">
        <f>D11280</f>
        <v>1</v>
      </c>
      <c r="Z11296" t="str">
        <v>=</v>
      </c>
      <c r="AA11296">
        <f>N11296*U11296*W11296*Y11296</f>
        <v>6.96645</v>
      </c>
    </row>
    <row r="11298">
      <c r="A11298" t="str">
        <f>A11274</f>
        <v>Lantai Atap</v>
      </c>
      <c r="B11298">
        <f>B11274</f>
        <v>35</v>
      </c>
      <c r="C11298" t="str">
        <v>Kait Horizontal Tump.</v>
      </c>
      <c r="D11298">
        <f>VLOOKUP(D11274,'Detail Balok'!$C$10:$BJ$110,46,FALSE)</f>
        <v>0</v>
      </c>
      <c r="E11298" t="str">
        <v>D</v>
      </c>
      <c r="F11298">
        <f>VLOOKUP(D11274,'Detail Balok'!$C$10:$BJ$110,48,FALSE)</f>
        <v>0</v>
      </c>
      <c r="G11298" t="str">
        <v>-</v>
      </c>
      <c r="H11298">
        <f>VLOOKUP(D11274,'Detail Balok'!$C$10:$BJ$110,50,FALSE)</f>
        <v>100</v>
      </c>
      <c r="J11298">
        <f>(D11275-2*F$5)/1000</f>
        <v>0.12</v>
      </c>
      <c r="K11298" t="str">
        <v>+</v>
      </c>
      <c r="L11298">
        <f>IF(D11298=0,2*MAX(6*F11298,75),(D11298-1)*2*MAX(6*F11298,75))/1000</f>
        <v>0.15</v>
      </c>
      <c r="M11298" t="str">
        <v>=</v>
      </c>
      <c r="N11298">
        <f>J11298+L11298</f>
        <v>0.27</v>
      </c>
      <c r="T11298" t="str">
        <v>x</v>
      </c>
      <c r="U11298">
        <f>0.006165*F11298^2</f>
        <v>0</v>
      </c>
      <c r="V11298" t="str">
        <v>x</v>
      </c>
      <c r="W11298">
        <f>W11294</f>
        <v>10</v>
      </c>
      <c r="X11298" t="str">
        <v>x</v>
      </c>
      <c r="Y11298">
        <f>D11284</f>
        <v>5</v>
      </c>
      <c r="Z11298" t="str">
        <v>=</v>
      </c>
      <c r="AA11298">
        <f>N11298*U11298*W11298*Y11298</f>
        <v>0</v>
      </c>
    </row>
    <row r="11299">
      <c r="A11299" t="str">
        <f>A11274</f>
        <v>Lantai Atap</v>
      </c>
      <c r="B11299">
        <f>B11274</f>
        <v>35</v>
      </c>
      <c r="C11299" t="str">
        <v>Kait Horizontal Lap.</v>
      </c>
      <c r="D11299">
        <f>VLOOKUP(D11274,'Detail Balok'!$C$10:$BJ$110,51,FALSE)</f>
        <v>0</v>
      </c>
      <c r="E11299" t="str">
        <v>D</v>
      </c>
      <c r="F11299">
        <f>VLOOKUP(D11274,'Detail Balok'!$C$10:$BJ$110,53,FALSE)</f>
        <v>0</v>
      </c>
      <c r="G11299" t="str">
        <v>-</v>
      </c>
      <c r="H11299">
        <f>VLOOKUP(D11274,'Detail Balok'!$C$10:$BJ$110,55,FALSE)</f>
        <v>100</v>
      </c>
      <c r="J11299">
        <f>(D11275-2*F$5)/1000</f>
        <v>0.12</v>
      </c>
      <c r="K11299" t="str">
        <v>+</v>
      </c>
      <c r="L11299">
        <f>IF(D11299=0,2*MAX(6*F11299,75),(D11299-1)*2*MAX(6*F11299,75))/1000</f>
        <v>0.15</v>
      </c>
      <c r="M11299" t="str">
        <v>=</v>
      </c>
      <c r="N11299">
        <f>J11299+L11299</f>
        <v>0.27</v>
      </c>
      <c r="T11299" t="str">
        <v>x</v>
      </c>
      <c r="U11299">
        <f>0.006165*F11299^2</f>
        <v>0</v>
      </c>
      <c r="V11299" t="str">
        <v>x</v>
      </c>
      <c r="W11299">
        <f>W11295</f>
        <v>9</v>
      </c>
      <c r="X11299" t="str">
        <v>x</v>
      </c>
      <c r="Y11299">
        <f>D11284</f>
        <v>5</v>
      </c>
      <c r="Z11299" t="str">
        <v>=</v>
      </c>
      <c r="AA11299">
        <f>N11299*U11299*W11299*Y11299</f>
        <v>0</v>
      </c>
    </row>
    <row r="11300">
      <c r="A11300" t="str">
        <f>A11274</f>
        <v>Lantai Atap</v>
      </c>
      <c r="B11300">
        <f>B11274</f>
        <v>35</v>
      </c>
      <c r="C11300" t="str">
        <v>Kait Horizontal Tump.</v>
      </c>
      <c r="D11300">
        <f>VLOOKUP(D11274,'Detail Balok'!$C$10:$BJ$110,56,FALSE)</f>
        <v>0</v>
      </c>
      <c r="E11300" t="str">
        <v>D</v>
      </c>
      <c r="F11300">
        <f>VLOOKUP(D11274,'Detail Balok'!$C$10:$BJ$110,58,FALSE)</f>
        <v>0</v>
      </c>
      <c r="G11300" t="str">
        <v>-</v>
      </c>
      <c r="H11300">
        <f>VLOOKUP(D11274,'Detail Balok'!$C$10:$BJ$110,60,FALSE)</f>
        <v>100</v>
      </c>
      <c r="J11300">
        <f>(D11275-2*F$5)/1000</f>
        <v>0.12</v>
      </c>
      <c r="K11300" t="str">
        <v>+</v>
      </c>
      <c r="L11300">
        <f>IF(D11300=0,2*MAX(6*F11300,75),(D11300-1)*2*MAX(6*F11300,75))/1000</f>
        <v>0.15</v>
      </c>
      <c r="M11300" t="str">
        <v>=</v>
      </c>
      <c r="N11300">
        <f>J11300+L11300</f>
        <v>0.27</v>
      </c>
      <c r="T11300" t="str">
        <v>x</v>
      </c>
      <c r="U11300">
        <f>0.006165*F11300^2</f>
        <v>0</v>
      </c>
      <c r="V11300" t="str">
        <v>x</v>
      </c>
      <c r="W11300">
        <f>W11296</f>
        <v>10</v>
      </c>
      <c r="X11300" t="str">
        <v>x</v>
      </c>
      <c r="Y11300">
        <f>D11284</f>
        <v>5</v>
      </c>
      <c r="Z11300" t="str">
        <v>=</v>
      </c>
      <c r="AA11300">
        <f>N11300*U11300*W11300*Y11300</f>
        <v>0</v>
      </c>
    </row>
    <row r="11304">
      <c r="A11304" t="str">
        <f>A11274</f>
        <v>Lantai Atap</v>
      </c>
      <c r="B11304">
        <f>B11274+1</f>
        <v>36</v>
      </c>
      <c r="C11304" t="str">
        <f>CONCATENATE(A11304," no. ",B11304)</f>
        <v>Lantai Atap no. 36</v>
      </c>
      <c r="D11304" t="str">
        <f>VLOOKUP(C11304,'Data Panjang Balok'!$C$9:$N$424,2,FALSE)</f>
        <v>B245-1</v>
      </c>
    </row>
    <row r="11305">
      <c r="C11305" t="str">
        <v>Dimensi</v>
      </c>
      <c r="D11305">
        <f>VLOOKUP(D11304,'Detail Balok'!$C$10:$AU$110,2,FALSE)</f>
        <v>200</v>
      </c>
      <c r="F11305" t="str">
        <v>x</v>
      </c>
      <c r="G11305">
        <f>VLOOKUP(D11304,'Detail Balok'!$C$10:$AU$110,3,FALSE)</f>
        <v>450</v>
      </c>
    </row>
    <row r="11306">
      <c r="C11306" t="str">
        <v>Panjang as ke as</v>
      </c>
      <c r="D11306">
        <f>VLOOKUP(C11304,'Data Panjang Balok'!$C$9:$N$424,4,FALSE)</f>
        <v>2100</v>
      </c>
    </row>
    <row r="11307">
      <c r="C11307" t="str">
        <v>Panjang netto</v>
      </c>
      <c r="D11307">
        <f>VLOOKUP(C11304,'Data Panjang Balok'!$C$9:$N$424,7,FALSE)</f>
        <v>2100</v>
      </c>
    </row>
    <row r="11308">
      <c r="C11308" t="str">
        <v>Kolom / balok kiri</v>
      </c>
      <c r="D11308">
        <f>VLOOKUP(C11304,'Data Panjang Balok'!$C$9:$N$424,9,FALSE)</f>
        <v>0</v>
      </c>
    </row>
    <row r="11309">
      <c r="C11309" t="str">
        <v>Kolom / balok kanan</v>
      </c>
      <c r="D11309">
        <f>VLOOKUP(C11304,'Data Panjang Balok'!$C$9:$N$424,10,FALSE)</f>
        <v>0</v>
      </c>
    </row>
    <row r="11310">
      <c r="C11310" t="str">
        <v>Jumlah</v>
      </c>
      <c r="D11310">
        <f>VLOOKUP(C11304,'Data Panjang Balok'!$C$9:$N$424,3,FALSE)</f>
        <v>1</v>
      </c>
    </row>
    <row r="11311">
      <c r="A11311" t="str">
        <f>A11304</f>
        <v>Lantai Atap</v>
      </c>
      <c r="B11311">
        <f>B11304</f>
        <v>36</v>
      </c>
      <c r="C11311" t="str">
        <v>Tul Atas Tumpuan</v>
      </c>
      <c r="D11311">
        <f>VLOOKUP(D11304,'Detail Balok'!$C$10:$AU$110,4,FALSE)</f>
        <v>2</v>
      </c>
      <c r="E11311" t="str">
        <v>D</v>
      </c>
      <c r="F11311">
        <f>VLOOKUP(D11304,'Detail Balok'!$C$10:$AU$110,6,FALSE)</f>
        <v>13</v>
      </c>
      <c r="I11311" t="str">
        <v>(</v>
      </c>
      <c r="J11311">
        <f>+D11306/4/1000</f>
        <v>0.525</v>
      </c>
      <c r="K11311" t="str">
        <v>+</v>
      </c>
      <c r="L11311">
        <f>MAX(VLOOKUP(F11311,N$6:P$15,3,FALSE)/1000,2/3*D11308/1000)+F$16*F11311/1000</f>
        <v>0.156</v>
      </c>
      <c r="M11311" t="str">
        <v>=</v>
      </c>
      <c r="N11311">
        <f>J11311+L11311</f>
        <v>0.681</v>
      </c>
      <c r="O11311" t="str">
        <v>+</v>
      </c>
      <c r="P11311">
        <f>D11311-D11312</f>
        <v>0</v>
      </c>
      <c r="Q11311" t="str">
        <v>x</v>
      </c>
      <c r="R11311">
        <f>IF(P11311&gt;0,$F$18*F11311/1000,0)</f>
        <v>0</v>
      </c>
      <c r="S11311" t="str">
        <v>)</v>
      </c>
      <c r="T11311" t="str">
        <v>x</v>
      </c>
      <c r="U11311">
        <f>0.006165*F11311^2</f>
        <v>1.041885</v>
      </c>
      <c r="X11311" t="str">
        <v>x</v>
      </c>
      <c r="Y11311">
        <f>D11310</f>
        <v>1</v>
      </c>
      <c r="Z11311" t="str">
        <v>=</v>
      </c>
      <c r="AA11311">
        <f>IF(AA11314=0,(D11311*N11311+P11311*R11311)*U11311*Y11311,0)</f>
        <v>0</v>
      </c>
    </row>
    <row r="11312">
      <c r="A11312" t="str">
        <f>A11304</f>
        <v>Lantai Atap</v>
      </c>
      <c r="B11312">
        <f>B11304</f>
        <v>36</v>
      </c>
      <c r="C11312" t="str">
        <v>Tul Atas Lapangan</v>
      </c>
      <c r="D11312">
        <f>VLOOKUP(D11304,'Detail Balok'!$C$10:$AU$110,7,FALSE)</f>
        <v>2</v>
      </c>
      <c r="E11312" t="str">
        <v>D</v>
      </c>
      <c r="F11312">
        <f>VLOOKUP(D11304,'Detail Balok'!$C$10:$AU$110,9,FALSE)</f>
        <v>13</v>
      </c>
      <c r="I11312" t="str">
        <v>(</v>
      </c>
      <c r="J11312">
        <f>+D11306/2/1000</f>
        <v>1.05</v>
      </c>
      <c r="K11312" t="str">
        <v>+</v>
      </c>
      <c r="M11312" t="str">
        <v>=</v>
      </c>
      <c r="N11312">
        <f>J11312+L11312</f>
        <v>1.05</v>
      </c>
      <c r="O11312" t="str">
        <v>+</v>
      </c>
      <c r="P11312">
        <f>MAX(D11312-D11311,D11312-D11313)</f>
        <v>0</v>
      </c>
      <c r="Q11312" t="str">
        <v>x</v>
      </c>
      <c r="R11312">
        <f>IF(P11312&gt;0,2*(1-2*$F$19-1/2)*D11307/1000,0)</f>
        <v>0</v>
      </c>
      <c r="S11312" t="str">
        <v>)</v>
      </c>
      <c r="T11312" t="str">
        <v>x</v>
      </c>
      <c r="U11312">
        <f>0.006165*F11312^2</f>
        <v>1.041885</v>
      </c>
      <c r="X11312" t="str">
        <v>x</v>
      </c>
      <c r="Y11312">
        <f>D11310</f>
        <v>1</v>
      </c>
      <c r="Z11312" t="str">
        <v>=</v>
      </c>
      <c r="AA11312">
        <f>IF(AA11314=0,(D11312*N11312+P11312*R11312)*U11312*Y11312,0)</f>
        <v>0</v>
      </c>
    </row>
    <row r="11313">
      <c r="A11313" t="str">
        <f>A11304</f>
        <v>Lantai Atap</v>
      </c>
      <c r="B11313">
        <f>B11304</f>
        <v>36</v>
      </c>
      <c r="C11313" t="str">
        <v>Tul Atas Tumpuan</v>
      </c>
      <c r="D11313">
        <f>VLOOKUP(D11304,'Detail Balok'!$C$10:$AU$110,10,FALSE)</f>
        <v>2</v>
      </c>
      <c r="E11313" t="str">
        <v>D</v>
      </c>
      <c r="F11313">
        <f>VLOOKUP(D11304,'Detail Balok'!$C$10:$AU$110,12,FALSE)</f>
        <v>13</v>
      </c>
      <c r="I11313" t="str">
        <v>(</v>
      </c>
      <c r="J11313">
        <f>+D11306/4/1000</f>
        <v>0.525</v>
      </c>
      <c r="K11313" t="str">
        <v>+</v>
      </c>
      <c r="L11313">
        <f>MAX(VLOOKUP(F11313,N$6:P$15,3,FALSE)/1000,2/3*D11308/1000)+F$16*F11313/1000</f>
        <v>0.156</v>
      </c>
      <c r="M11313" t="str">
        <v>=</v>
      </c>
      <c r="N11313">
        <f>J11313+L11313</f>
        <v>0.681</v>
      </c>
      <c r="O11313" t="str">
        <v>+</v>
      </c>
      <c r="P11313">
        <f>D11313-D11312</f>
        <v>0</v>
      </c>
      <c r="Q11313" t="str">
        <v>x</v>
      </c>
      <c r="R11313">
        <f>IF(P11313&gt;0,$F$18*F11313/1000,0)</f>
        <v>0</v>
      </c>
      <c r="S11313" t="str">
        <v>)</v>
      </c>
      <c r="T11313" t="str">
        <v>x</v>
      </c>
      <c r="U11313">
        <f>0.006165*F11313^2</f>
        <v>1.041885</v>
      </c>
      <c r="X11313" t="str">
        <v>x</v>
      </c>
      <c r="Y11313">
        <f>D11310</f>
        <v>1</v>
      </c>
      <c r="Z11313" t="str">
        <v>=</v>
      </c>
      <c r="AA11313">
        <f>IF(AA11314=0,(D11313*N11313+P11313*R11313)*U11313*Y11313,0)</f>
        <v>0</v>
      </c>
    </row>
    <row r="11314">
      <c r="A11314" t="str">
        <f>A11304</f>
        <v>Lantai Atap</v>
      </c>
      <c r="B11314">
        <f>B11304</f>
        <v>36</v>
      </c>
      <c r="D11314">
        <f>IF(AND(D11311=D11312,D11312=D11313,D11311=D11313),D11311,0)</f>
        <v>2</v>
      </c>
      <c r="E11314" t="str">
        <v>D</v>
      </c>
      <c r="F11314">
        <f>IF(AND(F11311=F11312,F11311=F11313,F11312=F11313),F11311,0)</f>
        <v>13</v>
      </c>
      <c r="L11314" t="str">
        <v>Total panjang per balok</v>
      </c>
      <c r="M11314" t="str">
        <v>=</v>
      </c>
      <c r="N11314">
        <f>IF(AND(D11311=D11312,D11311=D11313,D11312=D11313,F11311=F11312,F11311=F11313,F11312=F11313),SUM(N11311:N11313),0)</f>
        <v>2.412</v>
      </c>
      <c r="O11314" t="str">
        <v>+</v>
      </c>
      <c r="P11314">
        <f>IF(N11314&gt;12,ROUNDDOWN(N11314/12,0),0)</f>
        <v>0</v>
      </c>
      <c r="Q11314" t="str">
        <v>x</v>
      </c>
      <c r="R11314">
        <f>IF(P11314&gt;0,MAX(VLOOKUP(F11314,$D$6:$G$15,3,FALSE),600),0)/1000</f>
        <v>0</v>
      </c>
      <c r="T11314" t="str">
        <v>x</v>
      </c>
      <c r="U11314">
        <f>U11313</f>
        <v>1.041885</v>
      </c>
      <c r="V11314" t="str">
        <v>x</v>
      </c>
      <c r="W11314">
        <f>D11314</f>
        <v>2</v>
      </c>
      <c r="X11314" t="str">
        <v>x</v>
      </c>
      <c r="Y11314">
        <f>Y11313</f>
        <v>1</v>
      </c>
      <c r="Z11314" t="str">
        <v>=</v>
      </c>
      <c r="AA11314">
        <f>(N11314+P11314*R11314/1000)*U11314*W11314*Y11314</f>
        <v>5.0260532399999995</v>
      </c>
    </row>
    <row r="11316">
      <c r="A11316" t="str">
        <f>A11304</f>
        <v>Lantai Atap</v>
      </c>
      <c r="B11316">
        <f>B11304</f>
        <v>36</v>
      </c>
      <c r="C11316" t="str">
        <v>Tul Peminggang</v>
      </c>
      <c r="D11316">
        <f>VLOOKUP(D11304,'Detail Balok'!$C$10:$AU$110,13,FALSE)</f>
        <v>2</v>
      </c>
      <c r="E11316" t="str">
        <v>D</v>
      </c>
      <c r="F11316">
        <f>VLOOKUP(D11304,'Detail Balok'!$C$10:$AU$110,15,FALSE)</f>
        <v>8</v>
      </c>
      <c r="J11316">
        <f>+D11306/1000</f>
        <v>2.1</v>
      </c>
      <c r="K11316" t="str">
        <v>+</v>
      </c>
      <c r="L11316">
        <f>2*$F$16*F11316/1000</f>
        <v>0.192</v>
      </c>
      <c r="M11316" t="str">
        <v>=</v>
      </c>
      <c r="N11316">
        <f>J11316+L11316</f>
        <v>2.2920000000000003</v>
      </c>
      <c r="O11316" t="str">
        <v>+</v>
      </c>
      <c r="P11316">
        <f>IF(N11316&gt;12,ROUNDDOWN(N11316/12,0),0)</f>
        <v>0</v>
      </c>
      <c r="Q11316" t="str">
        <v>x</v>
      </c>
      <c r="R11316">
        <f>IF(P11316&gt;0,MAX(VLOOKUP(F11316,$D$6:$G$15,3,FALSE),600),0)/1000</f>
        <v>0</v>
      </c>
      <c r="T11316" t="str">
        <v>x</v>
      </c>
      <c r="U11316">
        <f>0.006165*F11316^2</f>
        <v>0.39456</v>
      </c>
      <c r="V11316" t="str">
        <v>x</v>
      </c>
      <c r="W11316">
        <f>+D11316</f>
        <v>2</v>
      </c>
      <c r="X11316" t="str">
        <v>x</v>
      </c>
      <c r="Y11316">
        <f>D11310</f>
        <v>1</v>
      </c>
      <c r="Z11316" t="str">
        <v>=</v>
      </c>
      <c r="AA11316">
        <f>(N11316+P11316*R11316/1000)*U11316*W11316*Y11316</f>
        <v>1.8086630400000003</v>
      </c>
    </row>
    <row r="11319">
      <c r="A11319" t="str">
        <f>A11304</f>
        <v>Lantai Atap</v>
      </c>
      <c r="B11319">
        <f>B11304</f>
        <v>36</v>
      </c>
      <c r="C11319" t="str">
        <v>Tul Bawah Tumpuan</v>
      </c>
      <c r="D11319">
        <f>VLOOKUP(D11304,'Detail Balok'!$C$10:$AU$110,22,FALSE)</f>
        <v>2</v>
      </c>
      <c r="E11319" t="str">
        <v>D</v>
      </c>
      <c r="F11319">
        <f>VLOOKUP(D11304,'Detail Balok'!$C$10:$AU$110,24,FALSE)</f>
        <v>13</v>
      </c>
      <c r="I11319" t="str">
        <v>(</v>
      </c>
      <c r="J11319">
        <f>+J11311</f>
        <v>0.525</v>
      </c>
      <c r="K11319" t="str">
        <v>+</v>
      </c>
      <c r="L11319">
        <f>MAX(VLOOKUP(F11319,N$6:P$15,3,FALSE)/1000,2/3*D11309/1000)+F$16*F11319/1000</f>
        <v>0.156</v>
      </c>
      <c r="M11319" t="str">
        <v>=</v>
      </c>
      <c r="N11319">
        <f>J11319+L11319</f>
        <v>0.681</v>
      </c>
      <c r="O11319" t="str">
        <v>+</v>
      </c>
      <c r="P11319">
        <f>D11319-D11320</f>
        <v>0</v>
      </c>
      <c r="Q11319" t="str">
        <v>x</v>
      </c>
      <c r="R11319">
        <f>IF(P11319&gt;0,$F$18*F11319/1000,0)</f>
        <v>0</v>
      </c>
      <c r="S11319" t="str">
        <v>)</v>
      </c>
      <c r="T11319" t="str">
        <v>x</v>
      </c>
      <c r="U11319">
        <f>0.006165*F11319^2</f>
        <v>1.041885</v>
      </c>
      <c r="X11319" t="str">
        <v>x</v>
      </c>
      <c r="Y11319">
        <f>D11310</f>
        <v>1</v>
      </c>
      <c r="Z11319" t="str">
        <v>=</v>
      </c>
      <c r="AA11319">
        <f>IF(AA11322=0,(D11319*N11319+P11319*R11319)*U11319*Y11319,0)</f>
        <v>0</v>
      </c>
    </row>
    <row r="11320">
      <c r="A11320" t="str">
        <f>A11304</f>
        <v>Lantai Atap</v>
      </c>
      <c r="B11320">
        <f>B11304</f>
        <v>36</v>
      </c>
      <c r="C11320" t="str">
        <v>Tul Bawah Lapangan</v>
      </c>
      <c r="D11320">
        <f>VLOOKUP(D11304,'Detail Balok'!$C$10:$AU$110,25,FALSE)</f>
        <v>2</v>
      </c>
      <c r="E11320" t="str">
        <v>D</v>
      </c>
      <c r="F11320">
        <f>VLOOKUP(D11304,'Detail Balok'!$C$10:$AU$110,27,FALSE)</f>
        <v>13</v>
      </c>
      <c r="I11320" t="str">
        <v>(</v>
      </c>
      <c r="J11320">
        <f>+J11312</f>
        <v>1.05</v>
      </c>
      <c r="K11320" t="str">
        <v>+</v>
      </c>
      <c r="M11320" t="str">
        <v>=</v>
      </c>
      <c r="N11320">
        <f>J11320+L11320</f>
        <v>1.05</v>
      </c>
      <c r="O11320" t="str">
        <v>+</v>
      </c>
      <c r="P11320">
        <f>MAX(D11320-D11319,D11320-D11321)</f>
        <v>0</v>
      </c>
      <c r="Q11320" t="str">
        <v>x</v>
      </c>
      <c r="R11320">
        <f>IF(P11320&gt;0,2*(1-2*$F$19-1/2)*D11307/1000,0)</f>
        <v>0</v>
      </c>
      <c r="S11320" t="str">
        <v>)</v>
      </c>
      <c r="T11320" t="str">
        <v>x</v>
      </c>
      <c r="U11320">
        <f>0.006165*F11320^2</f>
        <v>1.041885</v>
      </c>
      <c r="X11320" t="str">
        <v>x</v>
      </c>
      <c r="Y11320">
        <f>D11310</f>
        <v>1</v>
      </c>
      <c r="Z11320" t="str">
        <v>=</v>
      </c>
      <c r="AA11320">
        <f>IF(AA11322=0,(D11320*N11320+P11320*R11320)*U11320*Y11320,0)</f>
        <v>0</v>
      </c>
    </row>
    <row r="11321">
      <c r="A11321" t="str">
        <f>A11304</f>
        <v>Lantai Atap</v>
      </c>
      <c r="B11321">
        <f>B11304</f>
        <v>36</v>
      </c>
      <c r="C11321" t="str">
        <v>Tul Bawah Tumpuan</v>
      </c>
      <c r="D11321">
        <f>VLOOKUP(D11304,'Detail Balok'!$C$10:$AU$110,28,FALSE)</f>
        <v>2</v>
      </c>
      <c r="E11321" t="str">
        <v>D</v>
      </c>
      <c r="F11321">
        <f>VLOOKUP(D11304,'Detail Balok'!$C$10:$AU$110,30,FALSE)</f>
        <v>13</v>
      </c>
      <c r="I11321" t="str">
        <v>(</v>
      </c>
      <c r="J11321">
        <f>+J11313</f>
        <v>0.525</v>
      </c>
      <c r="K11321" t="str">
        <v>+</v>
      </c>
      <c r="L11321">
        <f>MAX(VLOOKUP(F11321,N$6:P$15,3,FALSE)/1000,2/3*D11309/1000)+F$16*F11321/1000</f>
        <v>0.156</v>
      </c>
      <c r="M11321" t="str">
        <v>=</v>
      </c>
      <c r="N11321">
        <f>J11321+L11321</f>
        <v>0.681</v>
      </c>
      <c r="O11321" t="str">
        <v>+</v>
      </c>
      <c r="P11321">
        <f>D11321-D11320</f>
        <v>0</v>
      </c>
      <c r="Q11321" t="str">
        <v>x</v>
      </c>
      <c r="R11321">
        <f>IF(P11321&gt;0,$F$18*F11321/1000,0)</f>
        <v>0</v>
      </c>
      <c r="S11321" t="str">
        <v>)</v>
      </c>
      <c r="T11321" t="str">
        <v>x</v>
      </c>
      <c r="U11321">
        <f>0.006165*F11321^2</f>
        <v>1.041885</v>
      </c>
      <c r="X11321" t="str">
        <v>x</v>
      </c>
      <c r="Y11321">
        <f>D11310</f>
        <v>1</v>
      </c>
      <c r="Z11321" t="str">
        <v>=</v>
      </c>
      <c r="AA11321">
        <f>IF(AA11322=0,(D11321*N11321+P11321*R11321)*U11321*Y11321,0)</f>
        <v>0</v>
      </c>
    </row>
    <row r="11322">
      <c r="A11322" t="str">
        <f>A11304</f>
        <v>Lantai Atap</v>
      </c>
      <c r="B11322">
        <f>B11304</f>
        <v>36</v>
      </c>
      <c r="D11322">
        <f>IF(AND(D11319=D11320,D11320=D11321,D11319=D11321),D11319,0)</f>
        <v>2</v>
      </c>
      <c r="E11322" t="str">
        <v>D</v>
      </c>
      <c r="F11322">
        <f>IF(AND(F11319=F11320,F11319=F11321,F11320=F11321),F11319,0)</f>
        <v>13</v>
      </c>
      <c r="L11322" t="str">
        <v>Total panjang per balok</v>
      </c>
      <c r="M11322" t="str">
        <v>=</v>
      </c>
      <c r="N11322">
        <f>IF(AND(D11319=D11320,D11319=D11321,D11320=D11321,F11319=F11320,F11319=F11321,F11320=F11321),SUM(N11319:N11321),0)</f>
        <v>2.412</v>
      </c>
      <c r="O11322" t="str">
        <v>+</v>
      </c>
      <c r="P11322">
        <f>IF(N11322&gt;12,ROUNDDOWN(N11322/12,0),0)</f>
        <v>0</v>
      </c>
      <c r="Q11322" t="str">
        <v>x</v>
      </c>
      <c r="R11322">
        <f>IF(P11322&gt;0,MAX(VLOOKUP(F11322,$D$6:$G$15,3,FALSE),600),0)/1000</f>
        <v>0</v>
      </c>
      <c r="T11322" t="str">
        <v>x</v>
      </c>
      <c r="U11322">
        <f>U11321</f>
        <v>1.041885</v>
      </c>
      <c r="V11322" t="str">
        <v>x</v>
      </c>
      <c r="W11322">
        <f>D11322</f>
        <v>2</v>
      </c>
      <c r="X11322" t="str">
        <v>x</v>
      </c>
      <c r="Y11322">
        <f>Y11321</f>
        <v>1</v>
      </c>
      <c r="Z11322" t="str">
        <v>=</v>
      </c>
      <c r="AA11322">
        <f>(N11322+P11322*R11322/1000)*U11322*W11322*Y11322</f>
        <v>5.0260532399999995</v>
      </c>
    </row>
    <row r="11324">
      <c r="A11324" t="str">
        <f>A11304</f>
        <v>Lantai Atap</v>
      </c>
      <c r="B11324">
        <f>B11304</f>
        <v>36</v>
      </c>
      <c r="C11324" t="str">
        <v>Sengkang Tumpuan</v>
      </c>
      <c r="D11324">
        <f>VLOOKUP(D11304,'Detail Balok'!$C$10:$AU$110,31,FALSE)</f>
        <v>0</v>
      </c>
      <c r="E11324" t="str">
        <v>D</v>
      </c>
      <c r="F11324">
        <f>VLOOKUP(D11304,'Detail Balok'!$C$10:$AU$110,33,FALSE)</f>
        <v>8</v>
      </c>
      <c r="G11324" t="str">
        <v>-</v>
      </c>
      <c r="H11324">
        <f>VLOOKUP(D11304,'Detail Balok'!$C$10:$AU$110,35,FALSE)</f>
        <v>100</v>
      </c>
      <c r="J11324">
        <f>(IF(D11324=0,(2*(D11305+G11305))-(F$5*8),IF(D11324=3,(2*(D11305+G11305))-(F$5*8)+(G11305-2*F$5),IF(D11324=4,(2*(D11305+G11305))-(F$5*8)+2*(G11305-2*F$5)))))/1000</f>
        <v>0.98</v>
      </c>
      <c r="K11324" t="str">
        <v>+</v>
      </c>
      <c r="L11324">
        <f>IF(D11324=0,2*MAX(6*F11324,75),(D11324-1)*2*MAX(6*F11324,75))/1000</f>
        <v>0.15</v>
      </c>
      <c r="M11324" t="str">
        <v>=</v>
      </c>
      <c r="N11324">
        <f>J11324+L11324</f>
        <v>1.13</v>
      </c>
      <c r="T11324" t="str">
        <v>x</v>
      </c>
      <c r="U11324">
        <f>0.006165*F11324^2</f>
        <v>0.39456</v>
      </c>
      <c r="V11324" t="str">
        <v>x</v>
      </c>
      <c r="W11324">
        <f>IF(D11307&gt;4*G11305,ROUND(MAX(D11307/4,2*G11305)/H11324,0)+1,ROUND(D11307/H11324,0)+1)</f>
        <v>10</v>
      </c>
      <c r="X11324" t="str">
        <v>x</v>
      </c>
      <c r="Y11324">
        <f>D11310</f>
        <v>1</v>
      </c>
      <c r="Z11324" t="str">
        <v>=</v>
      </c>
      <c r="AA11324">
        <f>N11324*U11324*W11324*Y11324</f>
        <v>4.458528</v>
      </c>
    </row>
    <row r="11325">
      <c r="A11325" t="str">
        <f>A11304</f>
        <v>Lantai Atap</v>
      </c>
      <c r="B11325">
        <f>B11304</f>
        <v>36</v>
      </c>
      <c r="C11325" t="str">
        <v>Sengkang Lapangan</v>
      </c>
      <c r="D11325">
        <f>VLOOKUP(D11304,'Detail Balok'!$C$10:$AU$110,36,FALSE)</f>
        <v>0</v>
      </c>
      <c r="E11325" t="str">
        <v>D</v>
      </c>
      <c r="F11325">
        <f>VLOOKUP(D11304,'Detail Balok'!$C$10:$AU$110,38,FALSE)</f>
        <v>8</v>
      </c>
      <c r="G11325" t="str">
        <v>-</v>
      </c>
      <c r="H11325">
        <f>VLOOKUP(D11304,'Detail Balok'!$C$10:$AU$110,40,FALSE)</f>
        <v>200</v>
      </c>
      <c r="J11325">
        <f>(IF(D11325=0,(2*(D11305+G11305))-(F$5*8),IF(D11325=3,(2*(D11305+G11305))-(F$5*8)+(G11305-2*F$5),IF(D11325=4,(2*(D11305+G11305))-(F$5*8)+2*(G11305-2*F$5)))))/1000</f>
        <v>0.98</v>
      </c>
      <c r="K11325" t="str">
        <v>+</v>
      </c>
      <c r="L11325">
        <f>IF(D11325=0,2*MAX(6*F11325,75),(D11325-1)*2*MAX(6*F11325,75))/1000</f>
        <v>0.15</v>
      </c>
      <c r="M11325" t="str">
        <v>=</v>
      </c>
      <c r="N11325">
        <f>J11325+L11325</f>
        <v>1.13</v>
      </c>
      <c r="T11325" t="str">
        <v>x</v>
      </c>
      <c r="U11325">
        <f>0.006165*F11325^2</f>
        <v>0.39456</v>
      </c>
      <c r="V11325" t="str">
        <v>x</v>
      </c>
      <c r="W11325">
        <f>IF(D11307-MAX(D11307/4,2*G11305)*2&gt;0,ROUND((D11307-MAX(D11307/4,2*G11305)*2)/H11325,0),0)</f>
        <v>2</v>
      </c>
      <c r="X11325" t="str">
        <v>x</v>
      </c>
      <c r="Y11325">
        <f>D11310</f>
        <v>1</v>
      </c>
      <c r="Z11325" t="str">
        <v>=</v>
      </c>
      <c r="AA11325">
        <f>N11325*U11325*W11325*Y11325</f>
        <v>0.8917056</v>
      </c>
    </row>
    <row r="11326">
      <c r="A11326" t="str">
        <f>A11304</f>
        <v>Lantai Atap</v>
      </c>
      <c r="B11326">
        <f>B11304</f>
        <v>36</v>
      </c>
      <c r="C11326" t="str">
        <v>Sengkang Tumpuan</v>
      </c>
      <c r="D11326">
        <f>VLOOKUP(D11304,'Detail Balok'!$C$10:$AU$110,41,FALSE)</f>
        <v>0</v>
      </c>
      <c r="E11326" t="str">
        <v>D</v>
      </c>
      <c r="F11326">
        <f>VLOOKUP(D11304,'Detail Balok'!$C$10:$AU$110,43,FALSE)</f>
        <v>8</v>
      </c>
      <c r="G11326" t="str">
        <v>-</v>
      </c>
      <c r="H11326">
        <f>VLOOKUP(D11304,'Detail Balok'!$C$10:$AU$110,45,FALSE)</f>
        <v>100</v>
      </c>
      <c r="J11326">
        <f>(IF(D11326=0,(2*(D11305+G11305))-(F$5*8),IF(D11326=3,(2*(D11305+G11305))-(F$5*8)+(G11305-2*F$5),IF(D11326=4,(2*(D11305+G11305))-(F$5*8)+2*(G11305-2*F$5)))))/1000</f>
        <v>0.98</v>
      </c>
      <c r="K11326" t="str">
        <v>+</v>
      </c>
      <c r="L11326">
        <f>IF(D11326=0,2*MAX(6*F11326,75),(D11326-1)*2*MAX(6*F11326,75))/1000</f>
        <v>0.15</v>
      </c>
      <c r="M11326" t="str">
        <v>=</v>
      </c>
      <c r="N11326">
        <f>J11326+L11326</f>
        <v>1.13</v>
      </c>
      <c r="T11326" t="str">
        <v>x</v>
      </c>
      <c r="U11326">
        <f>0.006165*F11326^2</f>
        <v>0.39456</v>
      </c>
      <c r="V11326" t="str">
        <v>x</v>
      </c>
      <c r="W11326">
        <f>IF(D11307&gt;4*G11305,ROUND(MAX(D11307/4,2*G11305)/H11326,0)+1,0)</f>
        <v>10</v>
      </c>
      <c r="X11326" t="str">
        <v>x</v>
      </c>
      <c r="Y11326">
        <f>D11310</f>
        <v>1</v>
      </c>
      <c r="Z11326" t="str">
        <v>=</v>
      </c>
      <c r="AA11326">
        <f>N11326*U11326*W11326*Y11326</f>
        <v>4.458528</v>
      </c>
    </row>
    <row r="11328">
      <c r="A11328" t="str">
        <f>A11304</f>
        <v>Lantai Atap</v>
      </c>
      <c r="B11328">
        <f>B11304</f>
        <v>36</v>
      </c>
      <c r="C11328" t="str">
        <v>Kait Horizontal Tump.</v>
      </c>
      <c r="D11328">
        <f>VLOOKUP(D11304,'Detail Balok'!$C$10:$BJ$110,46,FALSE)</f>
        <v>0</v>
      </c>
      <c r="E11328" t="str">
        <v>D</v>
      </c>
      <c r="F11328">
        <f>VLOOKUP(D11304,'Detail Balok'!$C$10:$BJ$110,48,FALSE)</f>
        <v>0</v>
      </c>
      <c r="G11328" t="str">
        <v>-</v>
      </c>
      <c r="H11328">
        <f>VLOOKUP(D11304,'Detail Balok'!$C$10:$BJ$110,50,FALSE)</f>
        <v>100</v>
      </c>
      <c r="J11328">
        <f>(D11305-2*F$5)/1000</f>
        <v>0.12</v>
      </c>
      <c r="K11328" t="str">
        <v>+</v>
      </c>
      <c r="L11328">
        <f>IF(D11328=0,2*MAX(6*F11328,75),(D11328-1)*2*MAX(6*F11328,75))/1000</f>
        <v>0.15</v>
      </c>
      <c r="M11328" t="str">
        <v>=</v>
      </c>
      <c r="N11328">
        <f>J11328+L11328</f>
        <v>0.27</v>
      </c>
      <c r="T11328" t="str">
        <v>x</v>
      </c>
      <c r="U11328">
        <f>0.006165*F11328^2</f>
        <v>0</v>
      </c>
      <c r="V11328" t="str">
        <v>x</v>
      </c>
      <c r="W11328">
        <f>W11324</f>
        <v>10</v>
      </c>
      <c r="X11328" t="str">
        <v>x</v>
      </c>
      <c r="Y11328">
        <f>D11314</f>
        <v>2</v>
      </c>
      <c r="Z11328" t="str">
        <v>=</v>
      </c>
      <c r="AA11328">
        <f>N11328*U11328*W11328*Y11328</f>
        <v>0</v>
      </c>
    </row>
    <row r="11329">
      <c r="A11329" t="str">
        <f>A11304</f>
        <v>Lantai Atap</v>
      </c>
      <c r="B11329">
        <f>B11304</f>
        <v>36</v>
      </c>
      <c r="C11329" t="str">
        <v>Kait Horizontal Lap.</v>
      </c>
      <c r="D11329">
        <f>VLOOKUP(D11304,'Detail Balok'!$C$10:$BJ$110,51,FALSE)</f>
        <v>0</v>
      </c>
      <c r="E11329" t="str">
        <v>D</v>
      </c>
      <c r="F11329">
        <f>VLOOKUP(D11304,'Detail Balok'!$C$10:$BJ$110,53,FALSE)</f>
        <v>0</v>
      </c>
      <c r="G11329" t="str">
        <v>-</v>
      </c>
      <c r="H11329">
        <f>VLOOKUP(D11304,'Detail Balok'!$C$10:$BJ$110,55,FALSE)</f>
        <v>100</v>
      </c>
      <c r="J11329">
        <f>(D11305-2*F$5)/1000</f>
        <v>0.12</v>
      </c>
      <c r="K11329" t="str">
        <v>+</v>
      </c>
      <c r="L11329">
        <f>IF(D11329=0,2*MAX(6*F11329,75),(D11329-1)*2*MAX(6*F11329,75))/1000</f>
        <v>0.15</v>
      </c>
      <c r="M11329" t="str">
        <v>=</v>
      </c>
      <c r="N11329">
        <f>J11329+L11329</f>
        <v>0.27</v>
      </c>
      <c r="T11329" t="str">
        <v>x</v>
      </c>
      <c r="U11329">
        <f>0.006165*F11329^2</f>
        <v>0</v>
      </c>
      <c r="V11329" t="str">
        <v>x</v>
      </c>
      <c r="W11329">
        <f>W11325</f>
        <v>2</v>
      </c>
      <c r="X11329" t="str">
        <v>x</v>
      </c>
      <c r="Y11329">
        <f>D11314</f>
        <v>2</v>
      </c>
      <c r="Z11329" t="str">
        <v>=</v>
      </c>
      <c r="AA11329">
        <f>N11329*U11329*W11329*Y11329</f>
        <v>0</v>
      </c>
    </row>
    <row r="11330">
      <c r="A11330" t="str">
        <f>A11304</f>
        <v>Lantai Atap</v>
      </c>
      <c r="B11330">
        <f>B11304</f>
        <v>36</v>
      </c>
      <c r="C11330" t="str">
        <v>Kait Horizontal Tump.</v>
      </c>
      <c r="D11330">
        <f>VLOOKUP(D11304,'Detail Balok'!$C$10:$BJ$110,56,FALSE)</f>
        <v>0</v>
      </c>
      <c r="E11330" t="str">
        <v>D</v>
      </c>
      <c r="F11330">
        <f>VLOOKUP(D11304,'Detail Balok'!$C$10:$BJ$110,58,FALSE)</f>
        <v>0</v>
      </c>
      <c r="G11330" t="str">
        <v>-</v>
      </c>
      <c r="H11330">
        <f>VLOOKUP(D11304,'Detail Balok'!$C$10:$BJ$110,60,FALSE)</f>
        <v>100</v>
      </c>
      <c r="J11330">
        <f>(D11305-2*F$5)/1000</f>
        <v>0.12</v>
      </c>
      <c r="K11330" t="str">
        <v>+</v>
      </c>
      <c r="L11330">
        <f>IF(D11330=0,2*MAX(6*F11330,75),(D11330-1)*2*MAX(6*F11330,75))/1000</f>
        <v>0.15</v>
      </c>
      <c r="M11330" t="str">
        <v>=</v>
      </c>
      <c r="N11330">
        <f>J11330+L11330</f>
        <v>0.27</v>
      </c>
      <c r="T11330" t="str">
        <v>x</v>
      </c>
      <c r="U11330">
        <f>0.006165*F11330^2</f>
        <v>0</v>
      </c>
      <c r="V11330" t="str">
        <v>x</v>
      </c>
      <c r="W11330">
        <f>W11326</f>
        <v>10</v>
      </c>
      <c r="X11330" t="str">
        <v>x</v>
      </c>
      <c r="Y11330">
        <f>D11314</f>
        <v>2</v>
      </c>
      <c r="Z11330" t="str">
        <v>=</v>
      </c>
      <c r="AA11330">
        <f>N11330*U11330*W11330*Y11330</f>
        <v>0</v>
      </c>
    </row>
    <row r="11334">
      <c r="A11334" t="str">
        <f>A11304</f>
        <v>Lantai Atap</v>
      </c>
      <c r="B11334">
        <f>B11304+1</f>
        <v>37</v>
      </c>
      <c r="C11334" t="str">
        <f>CONCATENATE(A11334," no. ",B11334)</f>
        <v>Lantai Atap no. 37</v>
      </c>
      <c r="D11334" t="str">
        <f>VLOOKUP(C11334,'Data Panjang Balok'!$C$9:$N$424,2,FALSE)</f>
        <v>B245-1</v>
      </c>
    </row>
    <row r="11335">
      <c r="C11335" t="str">
        <v>Dimensi</v>
      </c>
      <c r="D11335">
        <f>VLOOKUP(D11334,'Detail Balok'!$C$10:$AU$110,2,FALSE)</f>
        <v>200</v>
      </c>
      <c r="F11335" t="str">
        <v>x</v>
      </c>
      <c r="G11335">
        <f>VLOOKUP(D11334,'Detail Balok'!$C$10:$AU$110,3,FALSE)</f>
        <v>450</v>
      </c>
    </row>
    <row r="11336">
      <c r="C11336" t="str">
        <v>Panjang as ke as</v>
      </c>
      <c r="D11336">
        <f>VLOOKUP(C11334,'Data Panjang Balok'!$C$9:$N$424,4,FALSE)</f>
        <v>2700</v>
      </c>
    </row>
    <row r="11337">
      <c r="C11337" t="str">
        <v>Panjang netto</v>
      </c>
      <c r="D11337">
        <f>VLOOKUP(C11334,'Data Panjang Balok'!$C$9:$N$424,7,FALSE)</f>
        <v>2700</v>
      </c>
    </row>
    <row r="11338">
      <c r="C11338" t="str">
        <v>Kolom / balok kiri</v>
      </c>
      <c r="D11338">
        <f>VLOOKUP(C11334,'Data Panjang Balok'!$C$9:$N$424,9,FALSE)</f>
        <v>0</v>
      </c>
    </row>
    <row r="11339">
      <c r="C11339" t="str">
        <v>Kolom / balok kanan</v>
      </c>
      <c r="D11339">
        <f>VLOOKUP(C11334,'Data Panjang Balok'!$C$9:$N$424,10,FALSE)</f>
        <v>0</v>
      </c>
    </row>
    <row r="11340">
      <c r="C11340" t="str">
        <v>Jumlah</v>
      </c>
      <c r="D11340">
        <f>VLOOKUP(C11334,'Data Panjang Balok'!$C$9:$N$424,3,FALSE)</f>
        <v>1</v>
      </c>
    </row>
    <row r="11341">
      <c r="A11341" t="str">
        <f>A11334</f>
        <v>Lantai Atap</v>
      </c>
      <c r="B11341">
        <f>B11334</f>
        <v>37</v>
      </c>
      <c r="C11341" t="str">
        <v>Tul Atas Tumpuan</v>
      </c>
      <c r="D11341">
        <f>VLOOKUP(D11334,'Detail Balok'!$C$10:$AU$110,4,FALSE)</f>
        <v>2</v>
      </c>
      <c r="E11341" t="str">
        <v>D</v>
      </c>
      <c r="F11341">
        <f>VLOOKUP(D11334,'Detail Balok'!$C$10:$AU$110,6,FALSE)</f>
        <v>13</v>
      </c>
      <c r="I11341" t="str">
        <v>(</v>
      </c>
      <c r="J11341">
        <f>+D11336/4/1000</f>
        <v>0.675</v>
      </c>
      <c r="K11341" t="str">
        <v>+</v>
      </c>
      <c r="L11341">
        <f>MAX(VLOOKUP(F11341,N$6:P$15,3,FALSE)/1000,2/3*D11338/1000)+F$16*F11341/1000</f>
        <v>0.156</v>
      </c>
      <c r="M11341" t="str">
        <v>=</v>
      </c>
      <c r="N11341">
        <f>J11341+L11341</f>
        <v>0.8310000000000001</v>
      </c>
      <c r="O11341" t="str">
        <v>+</v>
      </c>
      <c r="P11341">
        <f>D11341-D11342</f>
        <v>0</v>
      </c>
      <c r="Q11341" t="str">
        <v>x</v>
      </c>
      <c r="R11341">
        <f>IF(P11341&gt;0,$F$18*F11341/1000,0)</f>
        <v>0</v>
      </c>
      <c r="S11341" t="str">
        <v>)</v>
      </c>
      <c r="T11341" t="str">
        <v>x</v>
      </c>
      <c r="U11341">
        <f>0.006165*F11341^2</f>
        <v>1.041885</v>
      </c>
      <c r="X11341" t="str">
        <v>x</v>
      </c>
      <c r="Y11341">
        <f>D11340</f>
        <v>1</v>
      </c>
      <c r="Z11341" t="str">
        <v>=</v>
      </c>
      <c r="AA11341">
        <f>IF(AA11344=0,(D11341*N11341+P11341*R11341)*U11341*Y11341,0)</f>
        <v>0</v>
      </c>
    </row>
    <row r="11342">
      <c r="A11342" t="str">
        <f>A11334</f>
        <v>Lantai Atap</v>
      </c>
      <c r="B11342">
        <f>B11334</f>
        <v>37</v>
      </c>
      <c r="C11342" t="str">
        <v>Tul Atas Lapangan</v>
      </c>
      <c r="D11342">
        <f>VLOOKUP(D11334,'Detail Balok'!$C$10:$AU$110,7,FALSE)</f>
        <v>2</v>
      </c>
      <c r="E11342" t="str">
        <v>D</v>
      </c>
      <c r="F11342">
        <f>VLOOKUP(D11334,'Detail Balok'!$C$10:$AU$110,9,FALSE)</f>
        <v>13</v>
      </c>
      <c r="I11342" t="str">
        <v>(</v>
      </c>
      <c r="J11342">
        <f>+D11336/2/1000</f>
        <v>1.35</v>
      </c>
      <c r="K11342" t="str">
        <v>+</v>
      </c>
      <c r="M11342" t="str">
        <v>=</v>
      </c>
      <c r="N11342">
        <f>J11342+L11342</f>
        <v>1.35</v>
      </c>
      <c r="O11342" t="str">
        <v>+</v>
      </c>
      <c r="P11342">
        <f>MAX(D11342-D11341,D11342-D11343)</f>
        <v>0</v>
      </c>
      <c r="Q11342" t="str">
        <v>x</v>
      </c>
      <c r="R11342">
        <f>IF(P11342&gt;0,2*(1-2*$F$19-1/2)*D11337/1000,0)</f>
        <v>0</v>
      </c>
      <c r="S11342" t="str">
        <v>)</v>
      </c>
      <c r="T11342" t="str">
        <v>x</v>
      </c>
      <c r="U11342">
        <f>0.006165*F11342^2</f>
        <v>1.041885</v>
      </c>
      <c r="X11342" t="str">
        <v>x</v>
      </c>
      <c r="Y11342">
        <f>D11340</f>
        <v>1</v>
      </c>
      <c r="Z11342" t="str">
        <v>=</v>
      </c>
      <c r="AA11342">
        <f>IF(AA11344=0,(D11342*N11342+P11342*R11342)*U11342*Y11342,0)</f>
        <v>0</v>
      </c>
    </row>
    <row r="11343">
      <c r="A11343" t="str">
        <f>A11334</f>
        <v>Lantai Atap</v>
      </c>
      <c r="B11343">
        <f>B11334</f>
        <v>37</v>
      </c>
      <c r="C11343" t="str">
        <v>Tul Atas Tumpuan</v>
      </c>
      <c r="D11343">
        <f>VLOOKUP(D11334,'Detail Balok'!$C$10:$AU$110,10,FALSE)</f>
        <v>2</v>
      </c>
      <c r="E11343" t="str">
        <v>D</v>
      </c>
      <c r="F11343">
        <f>VLOOKUP(D11334,'Detail Balok'!$C$10:$AU$110,12,FALSE)</f>
        <v>13</v>
      </c>
      <c r="I11343" t="str">
        <v>(</v>
      </c>
      <c r="J11343">
        <f>+D11336/4/1000</f>
        <v>0.675</v>
      </c>
      <c r="K11343" t="str">
        <v>+</v>
      </c>
      <c r="L11343">
        <f>MAX(VLOOKUP(F11343,N$6:P$15,3,FALSE)/1000,2/3*D11338/1000)+F$16*F11343/1000</f>
        <v>0.156</v>
      </c>
      <c r="M11343" t="str">
        <v>=</v>
      </c>
      <c r="N11343">
        <f>J11343+L11343</f>
        <v>0.8310000000000001</v>
      </c>
      <c r="O11343" t="str">
        <v>+</v>
      </c>
      <c r="P11343">
        <f>D11343-D11342</f>
        <v>0</v>
      </c>
      <c r="Q11343" t="str">
        <v>x</v>
      </c>
      <c r="R11343">
        <f>IF(P11343&gt;0,$F$18*F11343/1000,0)</f>
        <v>0</v>
      </c>
      <c r="S11343" t="str">
        <v>)</v>
      </c>
      <c r="T11343" t="str">
        <v>x</v>
      </c>
      <c r="U11343">
        <f>0.006165*F11343^2</f>
        <v>1.041885</v>
      </c>
      <c r="X11343" t="str">
        <v>x</v>
      </c>
      <c r="Y11343">
        <f>D11340</f>
        <v>1</v>
      </c>
      <c r="Z11343" t="str">
        <v>=</v>
      </c>
      <c r="AA11343">
        <f>IF(AA11344=0,(D11343*N11343+P11343*R11343)*U11343*Y11343,0)</f>
        <v>0</v>
      </c>
    </row>
    <row r="11344">
      <c r="A11344" t="str">
        <f>A11334</f>
        <v>Lantai Atap</v>
      </c>
      <c r="B11344">
        <f>B11334</f>
        <v>37</v>
      </c>
      <c r="D11344">
        <f>IF(AND(D11341=D11342,D11342=D11343,D11341=D11343),D11341,0)</f>
        <v>2</v>
      </c>
      <c r="E11344" t="str">
        <v>D</v>
      </c>
      <c r="F11344">
        <f>IF(AND(F11341=F11342,F11341=F11343,F11342=F11343),F11341,0)</f>
        <v>13</v>
      </c>
      <c r="L11344" t="str">
        <v>Total panjang per balok</v>
      </c>
      <c r="M11344" t="str">
        <v>=</v>
      </c>
      <c r="N11344">
        <f>IF(AND(D11341=D11342,D11341=D11343,D11342=D11343,F11341=F11342,F11341=F11343,F11342=F11343),SUM(N11341:N11343),0)</f>
        <v>3.012</v>
      </c>
      <c r="O11344" t="str">
        <v>+</v>
      </c>
      <c r="P11344">
        <f>IF(N11344&gt;12,ROUNDDOWN(N11344/12,0),0)</f>
        <v>0</v>
      </c>
      <c r="Q11344" t="str">
        <v>x</v>
      </c>
      <c r="R11344">
        <f>IF(P11344&gt;0,MAX(VLOOKUP(F11344,$D$6:$G$15,3,FALSE),600),0)/1000</f>
        <v>0</v>
      </c>
      <c r="T11344" t="str">
        <v>x</v>
      </c>
      <c r="U11344">
        <f>U11343</f>
        <v>1.041885</v>
      </c>
      <c r="V11344" t="str">
        <v>x</v>
      </c>
      <c r="W11344">
        <f>D11344</f>
        <v>2</v>
      </c>
      <c r="X11344" t="str">
        <v>x</v>
      </c>
      <c r="Y11344">
        <f>Y11343</f>
        <v>1</v>
      </c>
      <c r="Z11344" t="str">
        <v>=</v>
      </c>
      <c r="AA11344">
        <f>(N11344+P11344*R11344/1000)*U11344*W11344*Y11344</f>
        <v>6.27631524</v>
      </c>
    </row>
    <row r="11346">
      <c r="A11346" t="str">
        <f>A11334</f>
        <v>Lantai Atap</v>
      </c>
      <c r="B11346">
        <f>B11334</f>
        <v>37</v>
      </c>
      <c r="C11346" t="str">
        <v>Tul Peminggang</v>
      </c>
      <c r="D11346">
        <f>VLOOKUP(D11334,'Detail Balok'!$C$10:$AU$110,13,FALSE)</f>
        <v>2</v>
      </c>
      <c r="E11346" t="str">
        <v>D</v>
      </c>
      <c r="F11346">
        <f>VLOOKUP(D11334,'Detail Balok'!$C$10:$AU$110,15,FALSE)</f>
        <v>8</v>
      </c>
      <c r="J11346">
        <f>+D11336/1000</f>
        <v>2.7</v>
      </c>
      <c r="K11346" t="str">
        <v>+</v>
      </c>
      <c r="L11346">
        <f>2*$F$16*F11346/1000</f>
        <v>0.192</v>
      </c>
      <c r="M11346" t="str">
        <v>=</v>
      </c>
      <c r="N11346">
        <f>J11346+L11346</f>
        <v>2.8920000000000003</v>
      </c>
      <c r="O11346" t="str">
        <v>+</v>
      </c>
      <c r="P11346">
        <f>IF(N11346&gt;12,ROUNDDOWN(N11346/12,0),0)</f>
        <v>0</v>
      </c>
      <c r="Q11346" t="str">
        <v>x</v>
      </c>
      <c r="R11346">
        <f>IF(P11346&gt;0,MAX(VLOOKUP(F11346,$D$6:$G$15,3,FALSE),600),0)/1000</f>
        <v>0</v>
      </c>
      <c r="T11346" t="str">
        <v>x</v>
      </c>
      <c r="U11346">
        <f>0.006165*F11346^2</f>
        <v>0.39456</v>
      </c>
      <c r="V11346" t="str">
        <v>x</v>
      </c>
      <c r="W11346">
        <f>+D11346</f>
        <v>2</v>
      </c>
      <c r="X11346" t="str">
        <v>x</v>
      </c>
      <c r="Y11346">
        <f>D11340</f>
        <v>1</v>
      </c>
      <c r="Z11346" t="str">
        <v>=</v>
      </c>
      <c r="AA11346">
        <f>(N11346+P11346*R11346/1000)*U11346*W11346*Y11346</f>
        <v>2.2821350400000004</v>
      </c>
    </row>
    <row r="11349">
      <c r="A11349" t="str">
        <f>A11334</f>
        <v>Lantai Atap</v>
      </c>
      <c r="B11349">
        <f>B11334</f>
        <v>37</v>
      </c>
      <c r="C11349" t="str">
        <v>Tul Bawah Tumpuan</v>
      </c>
      <c r="D11349">
        <f>VLOOKUP(D11334,'Detail Balok'!$C$10:$AU$110,22,FALSE)</f>
        <v>2</v>
      </c>
      <c r="E11349" t="str">
        <v>D</v>
      </c>
      <c r="F11349">
        <f>VLOOKUP(D11334,'Detail Balok'!$C$10:$AU$110,24,FALSE)</f>
        <v>13</v>
      </c>
      <c r="I11349" t="str">
        <v>(</v>
      </c>
      <c r="J11349">
        <f>+J11341</f>
        <v>0.675</v>
      </c>
      <c r="K11349" t="str">
        <v>+</v>
      </c>
      <c r="L11349">
        <f>MAX(VLOOKUP(F11349,N$6:P$15,3,FALSE)/1000,2/3*D11339/1000)+F$16*F11349/1000</f>
        <v>0.156</v>
      </c>
      <c r="M11349" t="str">
        <v>=</v>
      </c>
      <c r="N11349">
        <f>J11349+L11349</f>
        <v>0.8310000000000001</v>
      </c>
      <c r="O11349" t="str">
        <v>+</v>
      </c>
      <c r="P11349">
        <f>D11349-D11350</f>
        <v>0</v>
      </c>
      <c r="Q11349" t="str">
        <v>x</v>
      </c>
      <c r="R11349">
        <f>IF(P11349&gt;0,$F$18*F11349/1000,0)</f>
        <v>0</v>
      </c>
      <c r="S11349" t="str">
        <v>)</v>
      </c>
      <c r="T11349" t="str">
        <v>x</v>
      </c>
      <c r="U11349">
        <f>0.006165*F11349^2</f>
        <v>1.041885</v>
      </c>
      <c r="X11349" t="str">
        <v>x</v>
      </c>
      <c r="Y11349">
        <f>D11340</f>
        <v>1</v>
      </c>
      <c r="Z11349" t="str">
        <v>=</v>
      </c>
      <c r="AA11349">
        <f>IF(AA11352=0,(D11349*N11349+P11349*R11349)*U11349*Y11349,0)</f>
        <v>0</v>
      </c>
    </row>
    <row r="11350">
      <c r="A11350" t="str">
        <f>A11334</f>
        <v>Lantai Atap</v>
      </c>
      <c r="B11350">
        <f>B11334</f>
        <v>37</v>
      </c>
      <c r="C11350" t="str">
        <v>Tul Bawah Lapangan</v>
      </c>
      <c r="D11350">
        <f>VLOOKUP(D11334,'Detail Balok'!$C$10:$AU$110,25,FALSE)</f>
        <v>2</v>
      </c>
      <c r="E11350" t="str">
        <v>D</v>
      </c>
      <c r="F11350">
        <f>VLOOKUP(D11334,'Detail Balok'!$C$10:$AU$110,27,FALSE)</f>
        <v>13</v>
      </c>
      <c r="I11350" t="str">
        <v>(</v>
      </c>
      <c r="J11350">
        <f>+J11342</f>
        <v>1.35</v>
      </c>
      <c r="K11350" t="str">
        <v>+</v>
      </c>
      <c r="M11350" t="str">
        <v>=</v>
      </c>
      <c r="N11350">
        <f>J11350+L11350</f>
        <v>1.35</v>
      </c>
      <c r="O11350" t="str">
        <v>+</v>
      </c>
      <c r="P11350">
        <f>MAX(D11350-D11349,D11350-D11351)</f>
        <v>0</v>
      </c>
      <c r="Q11350" t="str">
        <v>x</v>
      </c>
      <c r="R11350">
        <f>IF(P11350&gt;0,2*(1-2*$F$19-1/2)*D11337/1000,0)</f>
        <v>0</v>
      </c>
      <c r="S11350" t="str">
        <v>)</v>
      </c>
      <c r="T11350" t="str">
        <v>x</v>
      </c>
      <c r="U11350">
        <f>0.006165*F11350^2</f>
        <v>1.041885</v>
      </c>
      <c r="X11350" t="str">
        <v>x</v>
      </c>
      <c r="Y11350">
        <f>D11340</f>
        <v>1</v>
      </c>
      <c r="Z11350" t="str">
        <v>=</v>
      </c>
      <c r="AA11350">
        <f>IF(AA11352=0,(D11350*N11350+P11350*R11350)*U11350*Y11350,0)</f>
        <v>0</v>
      </c>
    </row>
    <row r="11351">
      <c r="A11351" t="str">
        <f>A11334</f>
        <v>Lantai Atap</v>
      </c>
      <c r="B11351">
        <f>B11334</f>
        <v>37</v>
      </c>
      <c r="C11351" t="str">
        <v>Tul Bawah Tumpuan</v>
      </c>
      <c r="D11351">
        <f>VLOOKUP(D11334,'Detail Balok'!$C$10:$AU$110,28,FALSE)</f>
        <v>2</v>
      </c>
      <c r="E11351" t="str">
        <v>D</v>
      </c>
      <c r="F11351">
        <f>VLOOKUP(D11334,'Detail Balok'!$C$10:$AU$110,30,FALSE)</f>
        <v>13</v>
      </c>
      <c r="I11351" t="str">
        <v>(</v>
      </c>
      <c r="J11351">
        <f>+J11343</f>
        <v>0.675</v>
      </c>
      <c r="K11351" t="str">
        <v>+</v>
      </c>
      <c r="L11351">
        <f>MAX(VLOOKUP(F11351,N$6:P$15,3,FALSE)/1000,2/3*D11339/1000)+F$16*F11351/1000</f>
        <v>0.156</v>
      </c>
      <c r="M11351" t="str">
        <v>=</v>
      </c>
      <c r="N11351">
        <f>J11351+L11351</f>
        <v>0.8310000000000001</v>
      </c>
      <c r="O11351" t="str">
        <v>+</v>
      </c>
      <c r="P11351">
        <f>D11351-D11350</f>
        <v>0</v>
      </c>
      <c r="Q11351" t="str">
        <v>x</v>
      </c>
      <c r="R11351">
        <f>IF(P11351&gt;0,$F$18*F11351/1000,0)</f>
        <v>0</v>
      </c>
      <c r="S11351" t="str">
        <v>)</v>
      </c>
      <c r="T11351" t="str">
        <v>x</v>
      </c>
      <c r="U11351">
        <f>0.006165*F11351^2</f>
        <v>1.041885</v>
      </c>
      <c r="X11351" t="str">
        <v>x</v>
      </c>
      <c r="Y11351">
        <f>D11340</f>
        <v>1</v>
      </c>
      <c r="Z11351" t="str">
        <v>=</v>
      </c>
      <c r="AA11351">
        <f>IF(AA11352=0,(D11351*N11351+P11351*R11351)*U11351*Y11351,0)</f>
        <v>0</v>
      </c>
    </row>
    <row r="11352">
      <c r="A11352" t="str">
        <f>A11334</f>
        <v>Lantai Atap</v>
      </c>
      <c r="B11352">
        <f>B11334</f>
        <v>37</v>
      </c>
      <c r="D11352">
        <f>IF(AND(D11349=D11350,D11350=D11351,D11349=D11351),D11349,0)</f>
        <v>2</v>
      </c>
      <c r="E11352" t="str">
        <v>D</v>
      </c>
      <c r="F11352">
        <f>IF(AND(F11349=F11350,F11349=F11351,F11350=F11351),F11349,0)</f>
        <v>13</v>
      </c>
      <c r="L11352" t="str">
        <v>Total panjang per balok</v>
      </c>
      <c r="M11352" t="str">
        <v>=</v>
      </c>
      <c r="N11352">
        <f>IF(AND(D11349=D11350,D11349=D11351,D11350=D11351,F11349=F11350,F11349=F11351,F11350=F11351),SUM(N11349:N11351),0)</f>
        <v>3.012</v>
      </c>
      <c r="O11352" t="str">
        <v>+</v>
      </c>
      <c r="P11352">
        <f>IF(N11352&gt;12,ROUNDDOWN(N11352/12,0),0)</f>
        <v>0</v>
      </c>
      <c r="Q11352" t="str">
        <v>x</v>
      </c>
      <c r="R11352">
        <f>IF(P11352&gt;0,MAX(VLOOKUP(F11352,$D$6:$G$15,3,FALSE),600),0)/1000</f>
        <v>0</v>
      </c>
      <c r="T11352" t="str">
        <v>x</v>
      </c>
      <c r="U11352">
        <f>U11351</f>
        <v>1.041885</v>
      </c>
      <c r="V11352" t="str">
        <v>x</v>
      </c>
      <c r="W11352">
        <f>D11352</f>
        <v>2</v>
      </c>
      <c r="X11352" t="str">
        <v>x</v>
      </c>
      <c r="Y11352">
        <f>Y11351</f>
        <v>1</v>
      </c>
      <c r="Z11352" t="str">
        <v>=</v>
      </c>
      <c r="AA11352">
        <f>(N11352+P11352*R11352/1000)*U11352*W11352*Y11352</f>
        <v>6.27631524</v>
      </c>
    </row>
    <row r="11354">
      <c r="A11354" t="str">
        <f>A11334</f>
        <v>Lantai Atap</v>
      </c>
      <c r="B11354">
        <f>B11334</f>
        <v>37</v>
      </c>
      <c r="C11354" t="str">
        <v>Sengkang Tumpuan</v>
      </c>
      <c r="D11354">
        <f>VLOOKUP(D11334,'Detail Balok'!$C$10:$AU$110,31,FALSE)</f>
        <v>0</v>
      </c>
      <c r="E11354" t="str">
        <v>D</v>
      </c>
      <c r="F11354">
        <f>VLOOKUP(D11334,'Detail Balok'!$C$10:$AU$110,33,FALSE)</f>
        <v>8</v>
      </c>
      <c r="G11354" t="str">
        <v>-</v>
      </c>
      <c r="H11354">
        <f>VLOOKUP(D11334,'Detail Balok'!$C$10:$AU$110,35,FALSE)</f>
        <v>100</v>
      </c>
      <c r="J11354">
        <f>(IF(D11354=0,(2*(D11335+G11335))-(F$5*8),IF(D11354=3,(2*(D11335+G11335))-(F$5*8)+(G11335-2*F$5),IF(D11354=4,(2*(D11335+G11335))-(F$5*8)+2*(G11335-2*F$5)))))/1000</f>
        <v>0.98</v>
      </c>
      <c r="K11354" t="str">
        <v>+</v>
      </c>
      <c r="L11354">
        <f>IF(D11354=0,2*MAX(6*F11354,75),(D11354-1)*2*MAX(6*F11354,75))/1000</f>
        <v>0.15</v>
      </c>
      <c r="M11354" t="str">
        <v>=</v>
      </c>
      <c r="N11354">
        <f>J11354+L11354</f>
        <v>1.13</v>
      </c>
      <c r="T11354" t="str">
        <v>x</v>
      </c>
      <c r="U11354">
        <f>0.006165*F11354^2</f>
        <v>0.39456</v>
      </c>
      <c r="V11354" t="str">
        <v>x</v>
      </c>
      <c r="W11354">
        <f>IF(D11337&gt;4*G11335,ROUND(MAX(D11337/4,2*G11335)/H11354,0)+1,ROUND(D11337/H11354,0)+1)</f>
        <v>10</v>
      </c>
      <c r="X11354" t="str">
        <v>x</v>
      </c>
      <c r="Y11354">
        <f>D11340</f>
        <v>1</v>
      </c>
      <c r="Z11354" t="str">
        <v>=</v>
      </c>
      <c r="AA11354">
        <f>N11354*U11354*W11354*Y11354</f>
        <v>4.458528</v>
      </c>
    </row>
    <row r="11355">
      <c r="A11355" t="str">
        <f>A11334</f>
        <v>Lantai Atap</v>
      </c>
      <c r="B11355">
        <f>B11334</f>
        <v>37</v>
      </c>
      <c r="C11355" t="str">
        <v>Sengkang Lapangan</v>
      </c>
      <c r="D11355">
        <f>VLOOKUP(D11334,'Detail Balok'!$C$10:$AU$110,36,FALSE)</f>
        <v>0</v>
      </c>
      <c r="E11355" t="str">
        <v>D</v>
      </c>
      <c r="F11355">
        <f>VLOOKUP(D11334,'Detail Balok'!$C$10:$AU$110,38,FALSE)</f>
        <v>8</v>
      </c>
      <c r="G11355" t="str">
        <v>-</v>
      </c>
      <c r="H11355">
        <f>VLOOKUP(D11334,'Detail Balok'!$C$10:$AU$110,40,FALSE)</f>
        <v>200</v>
      </c>
      <c r="J11355">
        <f>(IF(D11355=0,(2*(D11335+G11335))-(F$5*8),IF(D11355=3,(2*(D11335+G11335))-(F$5*8)+(G11335-2*F$5),IF(D11355=4,(2*(D11335+G11335))-(F$5*8)+2*(G11335-2*F$5)))))/1000</f>
        <v>0.98</v>
      </c>
      <c r="K11355" t="str">
        <v>+</v>
      </c>
      <c r="L11355">
        <f>IF(D11355=0,2*MAX(6*F11355,75),(D11355-1)*2*MAX(6*F11355,75))/1000</f>
        <v>0.15</v>
      </c>
      <c r="M11355" t="str">
        <v>=</v>
      </c>
      <c r="N11355">
        <f>J11355+L11355</f>
        <v>1.13</v>
      </c>
      <c r="T11355" t="str">
        <v>x</v>
      </c>
      <c r="U11355">
        <f>0.006165*F11355^2</f>
        <v>0.39456</v>
      </c>
      <c r="V11355" t="str">
        <v>x</v>
      </c>
      <c r="W11355">
        <f>IF(D11337-MAX(D11337/4,2*G11335)*2&gt;0,ROUND((D11337-MAX(D11337/4,2*G11335)*2)/H11355,0),0)</f>
        <v>5</v>
      </c>
      <c r="X11355" t="str">
        <v>x</v>
      </c>
      <c r="Y11355">
        <f>D11340</f>
        <v>1</v>
      </c>
      <c r="Z11355" t="str">
        <v>=</v>
      </c>
      <c r="AA11355">
        <f>N11355*U11355*W11355*Y11355</f>
        <v>2.229264</v>
      </c>
    </row>
    <row r="11356">
      <c r="A11356" t="str">
        <f>A11334</f>
        <v>Lantai Atap</v>
      </c>
      <c r="B11356">
        <f>B11334</f>
        <v>37</v>
      </c>
      <c r="C11356" t="str">
        <v>Sengkang Tumpuan</v>
      </c>
      <c r="D11356">
        <f>VLOOKUP(D11334,'Detail Balok'!$C$10:$AU$110,41,FALSE)</f>
        <v>0</v>
      </c>
      <c r="E11356" t="str">
        <v>D</v>
      </c>
      <c r="F11356">
        <f>VLOOKUP(D11334,'Detail Balok'!$C$10:$AU$110,43,FALSE)</f>
        <v>8</v>
      </c>
      <c r="G11356" t="str">
        <v>-</v>
      </c>
      <c r="H11356">
        <f>VLOOKUP(D11334,'Detail Balok'!$C$10:$AU$110,45,FALSE)</f>
        <v>100</v>
      </c>
      <c r="J11356">
        <f>(IF(D11356=0,(2*(D11335+G11335))-(F$5*8),IF(D11356=3,(2*(D11335+G11335))-(F$5*8)+(G11335-2*F$5),IF(D11356=4,(2*(D11335+G11335))-(F$5*8)+2*(G11335-2*F$5)))))/1000</f>
        <v>0.98</v>
      </c>
      <c r="K11356" t="str">
        <v>+</v>
      </c>
      <c r="L11356">
        <f>IF(D11356=0,2*MAX(6*F11356,75),(D11356-1)*2*MAX(6*F11356,75))/1000</f>
        <v>0.15</v>
      </c>
      <c r="M11356" t="str">
        <v>=</v>
      </c>
      <c r="N11356">
        <f>J11356+L11356</f>
        <v>1.13</v>
      </c>
      <c r="T11356" t="str">
        <v>x</v>
      </c>
      <c r="U11356">
        <f>0.006165*F11356^2</f>
        <v>0.39456</v>
      </c>
      <c r="V11356" t="str">
        <v>x</v>
      </c>
      <c r="W11356">
        <f>IF(D11337&gt;4*G11335,ROUND(MAX(D11337/4,2*G11335)/H11356,0)+1,0)</f>
        <v>10</v>
      </c>
      <c r="X11356" t="str">
        <v>x</v>
      </c>
      <c r="Y11356">
        <f>D11340</f>
        <v>1</v>
      </c>
      <c r="Z11356" t="str">
        <v>=</v>
      </c>
      <c r="AA11356">
        <f>N11356*U11356*W11356*Y11356</f>
        <v>4.458528</v>
      </c>
    </row>
    <row r="11358">
      <c r="A11358" t="str">
        <f>A11334</f>
        <v>Lantai Atap</v>
      </c>
      <c r="B11358">
        <f>B11334</f>
        <v>37</v>
      </c>
      <c r="C11358" t="str">
        <v>Kait Horizontal Tump.</v>
      </c>
      <c r="D11358">
        <f>VLOOKUP(D11334,'Detail Balok'!$C$10:$BJ$110,46,FALSE)</f>
        <v>0</v>
      </c>
      <c r="E11358" t="str">
        <v>D</v>
      </c>
      <c r="F11358">
        <f>VLOOKUP(D11334,'Detail Balok'!$C$10:$BJ$110,48,FALSE)</f>
        <v>0</v>
      </c>
      <c r="G11358" t="str">
        <v>-</v>
      </c>
      <c r="H11358">
        <f>VLOOKUP(D11334,'Detail Balok'!$C$10:$BJ$110,50,FALSE)</f>
        <v>100</v>
      </c>
      <c r="J11358">
        <f>(D11335-2*F$5)/1000</f>
        <v>0.12</v>
      </c>
      <c r="K11358" t="str">
        <v>+</v>
      </c>
      <c r="L11358">
        <f>IF(D11358=0,2*MAX(6*F11358,75),(D11358-1)*2*MAX(6*F11358,75))/1000</f>
        <v>0.15</v>
      </c>
      <c r="M11358" t="str">
        <v>=</v>
      </c>
      <c r="N11358">
        <f>J11358+L11358</f>
        <v>0.27</v>
      </c>
      <c r="T11358" t="str">
        <v>x</v>
      </c>
      <c r="U11358">
        <f>0.006165*F11358^2</f>
        <v>0</v>
      </c>
      <c r="V11358" t="str">
        <v>x</v>
      </c>
      <c r="W11358">
        <f>W11354</f>
        <v>10</v>
      </c>
      <c r="X11358" t="str">
        <v>x</v>
      </c>
      <c r="Y11358">
        <f>D11344</f>
        <v>2</v>
      </c>
      <c r="Z11358" t="str">
        <v>=</v>
      </c>
      <c r="AA11358">
        <f>N11358*U11358*W11358*Y11358</f>
        <v>0</v>
      </c>
    </row>
    <row r="11359">
      <c r="A11359" t="str">
        <f>A11334</f>
        <v>Lantai Atap</v>
      </c>
      <c r="B11359">
        <f>B11334</f>
        <v>37</v>
      </c>
      <c r="C11359" t="str">
        <v>Kait Horizontal Lap.</v>
      </c>
      <c r="D11359">
        <f>VLOOKUP(D11334,'Detail Balok'!$C$10:$BJ$110,51,FALSE)</f>
        <v>0</v>
      </c>
      <c r="E11359" t="str">
        <v>D</v>
      </c>
      <c r="F11359">
        <f>VLOOKUP(D11334,'Detail Balok'!$C$10:$BJ$110,53,FALSE)</f>
        <v>0</v>
      </c>
      <c r="G11359" t="str">
        <v>-</v>
      </c>
      <c r="H11359">
        <f>VLOOKUP(D11334,'Detail Balok'!$C$10:$BJ$110,55,FALSE)</f>
        <v>100</v>
      </c>
      <c r="J11359">
        <f>(D11335-2*F$5)/1000</f>
        <v>0.12</v>
      </c>
      <c r="K11359" t="str">
        <v>+</v>
      </c>
      <c r="L11359">
        <f>IF(D11359=0,2*MAX(6*F11359,75),(D11359-1)*2*MAX(6*F11359,75))/1000</f>
        <v>0.15</v>
      </c>
      <c r="M11359" t="str">
        <v>=</v>
      </c>
      <c r="N11359">
        <f>J11359+L11359</f>
        <v>0.27</v>
      </c>
      <c r="T11359" t="str">
        <v>x</v>
      </c>
      <c r="U11359">
        <f>0.006165*F11359^2</f>
        <v>0</v>
      </c>
      <c r="V11359" t="str">
        <v>x</v>
      </c>
      <c r="W11359">
        <f>W11355</f>
        <v>5</v>
      </c>
      <c r="X11359" t="str">
        <v>x</v>
      </c>
      <c r="Y11359">
        <f>D11344</f>
        <v>2</v>
      </c>
      <c r="Z11359" t="str">
        <v>=</v>
      </c>
      <c r="AA11359">
        <f>N11359*U11359*W11359*Y11359</f>
        <v>0</v>
      </c>
    </row>
    <row r="11360">
      <c r="A11360" t="str">
        <f>A11334</f>
        <v>Lantai Atap</v>
      </c>
      <c r="B11360">
        <f>B11334</f>
        <v>37</v>
      </c>
      <c r="C11360" t="str">
        <v>Kait Horizontal Tump.</v>
      </c>
      <c r="D11360">
        <f>VLOOKUP(D11334,'Detail Balok'!$C$10:$BJ$110,56,FALSE)</f>
        <v>0</v>
      </c>
      <c r="E11360" t="str">
        <v>D</v>
      </c>
      <c r="F11360">
        <f>VLOOKUP(D11334,'Detail Balok'!$C$10:$BJ$110,58,FALSE)</f>
        <v>0</v>
      </c>
      <c r="G11360" t="str">
        <v>-</v>
      </c>
      <c r="H11360">
        <f>VLOOKUP(D11334,'Detail Balok'!$C$10:$BJ$110,60,FALSE)</f>
        <v>100</v>
      </c>
      <c r="J11360">
        <f>(D11335-2*F$5)/1000</f>
        <v>0.12</v>
      </c>
      <c r="K11360" t="str">
        <v>+</v>
      </c>
      <c r="L11360">
        <f>IF(D11360=0,2*MAX(6*F11360,75),(D11360-1)*2*MAX(6*F11360,75))/1000</f>
        <v>0.15</v>
      </c>
      <c r="M11360" t="str">
        <v>=</v>
      </c>
      <c r="N11360">
        <f>J11360+L11360</f>
        <v>0.27</v>
      </c>
      <c r="T11360" t="str">
        <v>x</v>
      </c>
      <c r="U11360">
        <f>0.006165*F11360^2</f>
        <v>0</v>
      </c>
      <c r="V11360" t="str">
        <v>x</v>
      </c>
      <c r="W11360">
        <f>W11356</f>
        <v>10</v>
      </c>
      <c r="X11360" t="str">
        <v>x</v>
      </c>
      <c r="Y11360">
        <f>D11344</f>
        <v>2</v>
      </c>
      <c r="Z11360" t="str">
        <v>=</v>
      </c>
      <c r="AA11360">
        <f>N11360*U11360*W11360*Y11360</f>
        <v>0</v>
      </c>
    </row>
    <row r="11364">
      <c r="A11364" t="str">
        <f>A11334</f>
        <v>Lantai Atap</v>
      </c>
      <c r="B11364">
        <f>B11334+1</f>
        <v>38</v>
      </c>
      <c r="C11364" t="str">
        <f>CONCATENATE(A11364," no. ",B11364)</f>
        <v>Lantai Atap no. 38</v>
      </c>
      <c r="D11364" t="str">
        <f>VLOOKUP(C11364,'Data Panjang Balok'!$C$9:$N$424,2,FALSE)</f>
        <v>B24-1</v>
      </c>
    </row>
    <row r="11365">
      <c r="C11365" t="str">
        <v>Dimensi</v>
      </c>
      <c r="D11365">
        <f>VLOOKUP(D11364,'Detail Balok'!$C$10:$AU$110,2,FALSE)</f>
        <v>200</v>
      </c>
      <c r="F11365" t="str">
        <v>x</v>
      </c>
      <c r="G11365">
        <f>VLOOKUP(D11364,'Detail Balok'!$C$10:$AU$110,3,FALSE)</f>
        <v>400</v>
      </c>
    </row>
    <row r="11366">
      <c r="C11366" t="str">
        <v>Panjang as ke as</v>
      </c>
      <c r="D11366">
        <f>VLOOKUP(C11364,'Data Panjang Balok'!$C$9:$N$424,4,FALSE)</f>
        <v>2100</v>
      </c>
    </row>
    <row r="11367">
      <c r="C11367" t="str">
        <v>Panjang netto</v>
      </c>
      <c r="D11367">
        <f>VLOOKUP(C11364,'Data Panjang Balok'!$C$9:$N$424,7,FALSE)</f>
        <v>2100</v>
      </c>
    </row>
    <row r="11368">
      <c r="C11368" t="str">
        <v>Kolom / balok kiri</v>
      </c>
      <c r="D11368">
        <f>VLOOKUP(C11364,'Data Panjang Balok'!$C$9:$N$424,9,FALSE)</f>
        <v>0</v>
      </c>
    </row>
    <row r="11369">
      <c r="C11369" t="str">
        <v>Kolom / balok kanan</v>
      </c>
      <c r="D11369">
        <f>VLOOKUP(C11364,'Data Panjang Balok'!$C$9:$N$424,10,FALSE)</f>
        <v>0</v>
      </c>
    </row>
    <row r="11370">
      <c r="C11370" t="str">
        <v>Jumlah</v>
      </c>
      <c r="D11370">
        <f>VLOOKUP(C11364,'Data Panjang Balok'!$C$9:$N$424,3,FALSE)</f>
        <v>1</v>
      </c>
    </row>
    <row r="11371">
      <c r="A11371" t="str">
        <f>A11364</f>
        <v>Lantai Atap</v>
      </c>
      <c r="B11371">
        <f>B11364</f>
        <v>38</v>
      </c>
      <c r="C11371" t="str">
        <v>Tul Atas Tumpuan</v>
      </c>
      <c r="D11371">
        <f>VLOOKUP(D11364,'Detail Balok'!$C$10:$AU$110,4,FALSE)</f>
        <v>2</v>
      </c>
      <c r="E11371" t="str">
        <v>D</v>
      </c>
      <c r="F11371">
        <f>VLOOKUP(D11364,'Detail Balok'!$C$10:$AU$110,6,FALSE)</f>
        <v>13</v>
      </c>
      <c r="I11371" t="str">
        <v>(</v>
      </c>
      <c r="J11371">
        <f>+D11366/4/1000</f>
        <v>0.525</v>
      </c>
      <c r="K11371" t="str">
        <v>+</v>
      </c>
      <c r="L11371">
        <f>MAX(VLOOKUP(F11371,N$6:P$15,3,FALSE)/1000,2/3*D11368/1000)+F$16*F11371/1000</f>
        <v>0.156</v>
      </c>
      <c r="M11371" t="str">
        <v>=</v>
      </c>
      <c r="N11371">
        <f>J11371+L11371</f>
        <v>0.681</v>
      </c>
      <c r="O11371" t="str">
        <v>+</v>
      </c>
      <c r="P11371">
        <f>D11371-D11372</f>
        <v>0</v>
      </c>
      <c r="Q11371" t="str">
        <v>x</v>
      </c>
      <c r="R11371">
        <f>IF(P11371&gt;0,$F$18*F11371/1000,0)</f>
        <v>0</v>
      </c>
      <c r="S11371" t="str">
        <v>)</v>
      </c>
      <c r="T11371" t="str">
        <v>x</v>
      </c>
      <c r="U11371">
        <f>0.006165*F11371^2</f>
        <v>1.041885</v>
      </c>
      <c r="X11371" t="str">
        <v>x</v>
      </c>
      <c r="Y11371">
        <f>D11370</f>
        <v>1</v>
      </c>
      <c r="Z11371" t="str">
        <v>=</v>
      </c>
      <c r="AA11371">
        <f>IF(AA11374=0,(D11371*N11371+P11371*R11371)*U11371*Y11371,0)</f>
        <v>0</v>
      </c>
    </row>
    <row r="11372">
      <c r="A11372" t="str">
        <f>A11364</f>
        <v>Lantai Atap</v>
      </c>
      <c r="B11372">
        <f>B11364</f>
        <v>38</v>
      </c>
      <c r="C11372" t="str">
        <v>Tul Atas Lapangan</v>
      </c>
      <c r="D11372">
        <f>VLOOKUP(D11364,'Detail Balok'!$C$10:$AU$110,7,FALSE)</f>
        <v>2</v>
      </c>
      <c r="E11372" t="str">
        <v>D</v>
      </c>
      <c r="F11372">
        <f>VLOOKUP(D11364,'Detail Balok'!$C$10:$AU$110,9,FALSE)</f>
        <v>13</v>
      </c>
      <c r="I11372" t="str">
        <v>(</v>
      </c>
      <c r="J11372">
        <f>+D11366/2/1000</f>
        <v>1.05</v>
      </c>
      <c r="K11372" t="str">
        <v>+</v>
      </c>
      <c r="M11372" t="str">
        <v>=</v>
      </c>
      <c r="N11372">
        <f>J11372+L11372</f>
        <v>1.05</v>
      </c>
      <c r="O11372" t="str">
        <v>+</v>
      </c>
      <c r="P11372">
        <f>MAX(D11372-D11371,D11372-D11373)</f>
        <v>0</v>
      </c>
      <c r="Q11372" t="str">
        <v>x</v>
      </c>
      <c r="R11372">
        <f>IF(P11372&gt;0,2*(1-2*$F$19-1/2)*D11367/1000,0)</f>
        <v>0</v>
      </c>
      <c r="S11372" t="str">
        <v>)</v>
      </c>
      <c r="T11372" t="str">
        <v>x</v>
      </c>
      <c r="U11372">
        <f>0.006165*F11372^2</f>
        <v>1.041885</v>
      </c>
      <c r="X11372" t="str">
        <v>x</v>
      </c>
      <c r="Y11372">
        <f>D11370</f>
        <v>1</v>
      </c>
      <c r="Z11372" t="str">
        <v>=</v>
      </c>
      <c r="AA11372">
        <f>IF(AA11374=0,(D11372*N11372+P11372*R11372)*U11372*Y11372,0)</f>
        <v>0</v>
      </c>
    </row>
    <row r="11373">
      <c r="A11373" t="str">
        <f>A11364</f>
        <v>Lantai Atap</v>
      </c>
      <c r="B11373">
        <f>B11364</f>
        <v>38</v>
      </c>
      <c r="C11373" t="str">
        <v>Tul Atas Tumpuan</v>
      </c>
      <c r="D11373">
        <f>VLOOKUP(D11364,'Detail Balok'!$C$10:$AU$110,10,FALSE)</f>
        <v>2</v>
      </c>
      <c r="E11373" t="str">
        <v>D</v>
      </c>
      <c r="F11373">
        <f>VLOOKUP(D11364,'Detail Balok'!$C$10:$AU$110,12,FALSE)</f>
        <v>13</v>
      </c>
      <c r="I11373" t="str">
        <v>(</v>
      </c>
      <c r="J11373">
        <f>+D11366/4/1000</f>
        <v>0.525</v>
      </c>
      <c r="K11373" t="str">
        <v>+</v>
      </c>
      <c r="L11373">
        <f>MAX(VLOOKUP(F11373,N$6:P$15,3,FALSE)/1000,2/3*D11368/1000)+F$16*F11373/1000</f>
        <v>0.156</v>
      </c>
      <c r="M11373" t="str">
        <v>=</v>
      </c>
      <c r="N11373">
        <f>J11373+L11373</f>
        <v>0.681</v>
      </c>
      <c r="O11373" t="str">
        <v>+</v>
      </c>
      <c r="P11373">
        <f>D11373-D11372</f>
        <v>0</v>
      </c>
      <c r="Q11373" t="str">
        <v>x</v>
      </c>
      <c r="R11373">
        <f>IF(P11373&gt;0,$F$18*F11373/1000,0)</f>
        <v>0</v>
      </c>
      <c r="S11373" t="str">
        <v>)</v>
      </c>
      <c r="T11373" t="str">
        <v>x</v>
      </c>
      <c r="U11373">
        <f>0.006165*F11373^2</f>
        <v>1.041885</v>
      </c>
      <c r="X11373" t="str">
        <v>x</v>
      </c>
      <c r="Y11373">
        <f>D11370</f>
        <v>1</v>
      </c>
      <c r="Z11373" t="str">
        <v>=</v>
      </c>
      <c r="AA11373">
        <f>IF(AA11374=0,(D11373*N11373+P11373*R11373)*U11373*Y11373,0)</f>
        <v>0</v>
      </c>
    </row>
    <row r="11374">
      <c r="A11374" t="str">
        <f>A11364</f>
        <v>Lantai Atap</v>
      </c>
      <c r="B11374">
        <f>B11364</f>
        <v>38</v>
      </c>
      <c r="D11374">
        <f>IF(AND(D11371=D11372,D11372=D11373,D11371=D11373),D11371,0)</f>
        <v>2</v>
      </c>
      <c r="E11374" t="str">
        <v>D</v>
      </c>
      <c r="F11374">
        <f>IF(AND(F11371=F11372,F11371=F11373,F11372=F11373),F11371,0)</f>
        <v>13</v>
      </c>
      <c r="L11374" t="str">
        <v>Total panjang per balok</v>
      </c>
      <c r="M11374" t="str">
        <v>=</v>
      </c>
      <c r="N11374">
        <f>IF(AND(D11371=D11372,D11371=D11373,D11372=D11373,F11371=F11372,F11371=F11373,F11372=F11373),SUM(N11371:N11373),0)</f>
        <v>2.412</v>
      </c>
      <c r="O11374" t="str">
        <v>+</v>
      </c>
      <c r="P11374">
        <f>IF(N11374&gt;12,ROUNDDOWN(N11374/12,0),0)</f>
        <v>0</v>
      </c>
      <c r="Q11374" t="str">
        <v>x</v>
      </c>
      <c r="R11374">
        <f>IF(P11374&gt;0,MAX(VLOOKUP(F11374,$D$6:$G$15,3,FALSE),600),0)/1000</f>
        <v>0</v>
      </c>
      <c r="T11374" t="str">
        <v>x</v>
      </c>
      <c r="U11374">
        <f>U11373</f>
        <v>1.041885</v>
      </c>
      <c r="V11374" t="str">
        <v>x</v>
      </c>
      <c r="W11374">
        <f>D11374</f>
        <v>2</v>
      </c>
      <c r="X11374" t="str">
        <v>x</v>
      </c>
      <c r="Y11374">
        <f>Y11373</f>
        <v>1</v>
      </c>
      <c r="Z11374" t="str">
        <v>=</v>
      </c>
      <c r="AA11374">
        <f>(N11374+P11374*R11374/1000)*U11374*W11374*Y11374</f>
        <v>5.0260532399999995</v>
      </c>
    </row>
    <row r="11376">
      <c r="A11376" t="str">
        <f>A11364</f>
        <v>Lantai Atap</v>
      </c>
      <c r="B11376">
        <f>B11364</f>
        <v>38</v>
      </c>
      <c r="C11376" t="str">
        <v>Tul Peminggang</v>
      </c>
      <c r="D11376">
        <f>VLOOKUP(D11364,'Detail Balok'!$C$10:$AU$110,13,FALSE)</f>
        <v>0</v>
      </c>
      <c r="E11376" t="str">
        <v>D</v>
      </c>
      <c r="F11376">
        <f>VLOOKUP(D11364,'Detail Balok'!$C$10:$AU$110,15,FALSE)</f>
        <v>6</v>
      </c>
      <c r="J11376">
        <f>+D11366/1000</f>
        <v>2.1</v>
      </c>
      <c r="K11376" t="str">
        <v>+</v>
      </c>
      <c r="L11376">
        <f>2*$F$16*F11376/1000</f>
        <v>0.144</v>
      </c>
      <c r="M11376" t="str">
        <v>=</v>
      </c>
      <c r="N11376">
        <f>J11376+L11376</f>
        <v>2.244</v>
      </c>
      <c r="O11376" t="str">
        <v>+</v>
      </c>
      <c r="P11376">
        <f>IF(N11376&gt;12,ROUNDDOWN(N11376/12,0),0)</f>
        <v>0</v>
      </c>
      <c r="Q11376" t="str">
        <v>x</v>
      </c>
      <c r="R11376">
        <f>IF(P11376&gt;0,MAX(VLOOKUP(F11376,$D$6:$G$15,3,FALSE),600),0)/1000</f>
        <v>0</v>
      </c>
      <c r="T11376" t="str">
        <v>x</v>
      </c>
      <c r="U11376">
        <f>0.006165*F11376^2</f>
        <v>0.22194000000000003</v>
      </c>
      <c r="V11376" t="str">
        <v>x</v>
      </c>
      <c r="W11376">
        <f>+D11376</f>
        <v>0</v>
      </c>
      <c r="X11376" t="str">
        <v>x</v>
      </c>
      <c r="Y11376">
        <f>D11370</f>
        <v>1</v>
      </c>
      <c r="Z11376" t="str">
        <v>=</v>
      </c>
      <c r="AA11376">
        <f>(N11376+P11376*R11376/1000)*U11376*W11376*Y11376</f>
        <v>0</v>
      </c>
    </row>
    <row r="11379">
      <c r="A11379" t="str">
        <f>A11364</f>
        <v>Lantai Atap</v>
      </c>
      <c r="B11379">
        <f>B11364</f>
        <v>38</v>
      </c>
      <c r="C11379" t="str">
        <v>Tul Bawah Tumpuan</v>
      </c>
      <c r="D11379">
        <f>VLOOKUP(D11364,'Detail Balok'!$C$10:$AU$110,22,FALSE)</f>
        <v>2</v>
      </c>
      <c r="E11379" t="str">
        <v>D</v>
      </c>
      <c r="F11379">
        <f>VLOOKUP(D11364,'Detail Balok'!$C$10:$AU$110,24,FALSE)</f>
        <v>13</v>
      </c>
      <c r="I11379" t="str">
        <v>(</v>
      </c>
      <c r="J11379">
        <f>+J11371</f>
        <v>0.525</v>
      </c>
      <c r="K11379" t="str">
        <v>+</v>
      </c>
      <c r="L11379">
        <f>MAX(VLOOKUP(F11379,N$6:P$15,3,FALSE)/1000,2/3*D11369/1000)+F$16*F11379/1000</f>
        <v>0.156</v>
      </c>
      <c r="M11379" t="str">
        <v>=</v>
      </c>
      <c r="N11379">
        <f>J11379+L11379</f>
        <v>0.681</v>
      </c>
      <c r="O11379" t="str">
        <v>+</v>
      </c>
      <c r="P11379">
        <f>D11379-D11380</f>
        <v>0</v>
      </c>
      <c r="Q11379" t="str">
        <v>x</v>
      </c>
      <c r="R11379">
        <f>IF(P11379&gt;0,$F$18*F11379/1000,0)</f>
        <v>0</v>
      </c>
      <c r="S11379" t="str">
        <v>)</v>
      </c>
      <c r="T11379" t="str">
        <v>x</v>
      </c>
      <c r="U11379">
        <f>0.006165*F11379^2</f>
        <v>1.041885</v>
      </c>
      <c r="X11379" t="str">
        <v>x</v>
      </c>
      <c r="Y11379">
        <f>D11370</f>
        <v>1</v>
      </c>
      <c r="Z11379" t="str">
        <v>=</v>
      </c>
      <c r="AA11379">
        <f>IF(AA11382=0,(D11379*N11379+P11379*R11379)*U11379*Y11379,0)</f>
        <v>0</v>
      </c>
    </row>
    <row r="11380">
      <c r="A11380" t="str">
        <f>A11364</f>
        <v>Lantai Atap</v>
      </c>
      <c r="B11380">
        <f>B11364</f>
        <v>38</v>
      </c>
      <c r="C11380" t="str">
        <v>Tul Bawah Lapangan</v>
      </c>
      <c r="D11380">
        <f>VLOOKUP(D11364,'Detail Balok'!$C$10:$AU$110,25,FALSE)</f>
        <v>2</v>
      </c>
      <c r="E11380" t="str">
        <v>D</v>
      </c>
      <c r="F11380">
        <f>VLOOKUP(D11364,'Detail Balok'!$C$10:$AU$110,27,FALSE)</f>
        <v>13</v>
      </c>
      <c r="I11380" t="str">
        <v>(</v>
      </c>
      <c r="J11380">
        <f>+J11372</f>
        <v>1.05</v>
      </c>
      <c r="K11380" t="str">
        <v>+</v>
      </c>
      <c r="M11380" t="str">
        <v>=</v>
      </c>
      <c r="N11380">
        <f>J11380+L11380</f>
        <v>1.05</v>
      </c>
      <c r="O11380" t="str">
        <v>+</v>
      </c>
      <c r="P11380">
        <f>MAX(D11380-D11379,D11380-D11381)</f>
        <v>0</v>
      </c>
      <c r="Q11380" t="str">
        <v>x</v>
      </c>
      <c r="R11380">
        <f>IF(P11380&gt;0,2*(1-2*$F$19-1/2)*D11367/1000,0)</f>
        <v>0</v>
      </c>
      <c r="S11380" t="str">
        <v>)</v>
      </c>
      <c r="T11380" t="str">
        <v>x</v>
      </c>
      <c r="U11380">
        <f>0.006165*F11380^2</f>
        <v>1.041885</v>
      </c>
      <c r="X11380" t="str">
        <v>x</v>
      </c>
      <c r="Y11380">
        <f>D11370</f>
        <v>1</v>
      </c>
      <c r="Z11380" t="str">
        <v>=</v>
      </c>
      <c r="AA11380">
        <f>IF(AA11382=0,(D11380*N11380+P11380*R11380)*U11380*Y11380,0)</f>
        <v>0</v>
      </c>
    </row>
    <row r="11381">
      <c r="A11381" t="str">
        <f>A11364</f>
        <v>Lantai Atap</v>
      </c>
      <c r="B11381">
        <f>B11364</f>
        <v>38</v>
      </c>
      <c r="C11381" t="str">
        <v>Tul Bawah Tumpuan</v>
      </c>
      <c r="D11381">
        <f>VLOOKUP(D11364,'Detail Balok'!$C$10:$AU$110,28,FALSE)</f>
        <v>2</v>
      </c>
      <c r="E11381" t="str">
        <v>D</v>
      </c>
      <c r="F11381">
        <f>VLOOKUP(D11364,'Detail Balok'!$C$10:$AU$110,30,FALSE)</f>
        <v>13</v>
      </c>
      <c r="I11381" t="str">
        <v>(</v>
      </c>
      <c r="J11381">
        <f>+J11373</f>
        <v>0.525</v>
      </c>
      <c r="K11381" t="str">
        <v>+</v>
      </c>
      <c r="L11381">
        <f>MAX(VLOOKUP(F11381,N$6:P$15,3,FALSE)/1000,2/3*D11369/1000)+F$16*F11381/1000</f>
        <v>0.156</v>
      </c>
      <c r="M11381" t="str">
        <v>=</v>
      </c>
      <c r="N11381">
        <f>J11381+L11381</f>
        <v>0.681</v>
      </c>
      <c r="O11381" t="str">
        <v>+</v>
      </c>
      <c r="P11381">
        <f>D11381-D11380</f>
        <v>0</v>
      </c>
      <c r="Q11381" t="str">
        <v>x</v>
      </c>
      <c r="R11381">
        <f>IF(P11381&gt;0,$F$18*F11381/1000,0)</f>
        <v>0</v>
      </c>
      <c r="S11381" t="str">
        <v>)</v>
      </c>
      <c r="T11381" t="str">
        <v>x</v>
      </c>
      <c r="U11381">
        <f>0.006165*F11381^2</f>
        <v>1.041885</v>
      </c>
      <c r="X11381" t="str">
        <v>x</v>
      </c>
      <c r="Y11381">
        <f>D11370</f>
        <v>1</v>
      </c>
      <c r="Z11381" t="str">
        <v>=</v>
      </c>
      <c r="AA11381">
        <f>IF(AA11382=0,(D11381*N11381+P11381*R11381)*U11381*Y11381,0)</f>
        <v>0</v>
      </c>
    </row>
    <row r="11382">
      <c r="A11382" t="str">
        <f>A11364</f>
        <v>Lantai Atap</v>
      </c>
      <c r="B11382">
        <f>B11364</f>
        <v>38</v>
      </c>
      <c r="D11382">
        <f>IF(AND(D11379=D11380,D11380=D11381,D11379=D11381),D11379,0)</f>
        <v>2</v>
      </c>
      <c r="E11382" t="str">
        <v>D</v>
      </c>
      <c r="F11382">
        <f>IF(AND(F11379=F11380,F11379=F11381,F11380=F11381),F11379,0)</f>
        <v>13</v>
      </c>
      <c r="L11382" t="str">
        <v>Total panjang per balok</v>
      </c>
      <c r="M11382" t="str">
        <v>=</v>
      </c>
      <c r="N11382">
        <f>IF(AND(D11379=D11380,D11379=D11381,D11380=D11381,F11379=F11380,F11379=F11381,F11380=F11381),SUM(N11379:N11381),0)</f>
        <v>2.412</v>
      </c>
      <c r="O11382" t="str">
        <v>+</v>
      </c>
      <c r="P11382">
        <f>IF(N11382&gt;12,ROUNDDOWN(N11382/12,0),0)</f>
        <v>0</v>
      </c>
      <c r="Q11382" t="str">
        <v>x</v>
      </c>
      <c r="R11382">
        <f>IF(P11382&gt;0,MAX(VLOOKUP(F11382,$D$6:$G$15,3,FALSE),600),0)/1000</f>
        <v>0</v>
      </c>
      <c r="T11382" t="str">
        <v>x</v>
      </c>
      <c r="U11382">
        <f>U11381</f>
        <v>1.041885</v>
      </c>
      <c r="V11382" t="str">
        <v>x</v>
      </c>
      <c r="W11382">
        <f>D11382</f>
        <v>2</v>
      </c>
      <c r="X11382" t="str">
        <v>x</v>
      </c>
      <c r="Y11382">
        <f>Y11381</f>
        <v>1</v>
      </c>
      <c r="Z11382" t="str">
        <v>=</v>
      </c>
      <c r="AA11382">
        <f>(N11382+P11382*R11382/1000)*U11382*W11382*Y11382</f>
        <v>5.0260532399999995</v>
      </c>
    </row>
    <row r="11384">
      <c r="A11384" t="str">
        <f>A11364</f>
        <v>Lantai Atap</v>
      </c>
      <c r="B11384">
        <f>B11364</f>
        <v>38</v>
      </c>
      <c r="C11384" t="str">
        <v>Sengkang Tumpuan</v>
      </c>
      <c r="D11384">
        <f>VLOOKUP(D11364,'Detail Balok'!$C$10:$AU$110,31,FALSE)</f>
        <v>0</v>
      </c>
      <c r="E11384" t="str">
        <v>D</v>
      </c>
      <c r="F11384">
        <f>VLOOKUP(D11364,'Detail Balok'!$C$10:$AU$110,33,FALSE)</f>
        <v>8</v>
      </c>
      <c r="G11384" t="str">
        <v>-</v>
      </c>
      <c r="H11384">
        <f>VLOOKUP(D11364,'Detail Balok'!$C$10:$AU$110,35,FALSE)</f>
        <v>100</v>
      </c>
      <c r="J11384">
        <f>(IF(D11384=0,(2*(D11365+G11365))-(F$5*8),IF(D11384=3,(2*(D11365+G11365))-(F$5*8)+(G11365-2*F$5),IF(D11384=4,(2*(D11365+G11365))-(F$5*8)+2*(G11365-2*F$5)))))/1000</f>
        <v>0.88</v>
      </c>
      <c r="K11384" t="str">
        <v>+</v>
      </c>
      <c r="L11384">
        <f>IF(D11384=0,2*MAX(6*F11384,75),(D11384-1)*2*MAX(6*F11384,75))/1000</f>
        <v>0.15</v>
      </c>
      <c r="M11384" t="str">
        <v>=</v>
      </c>
      <c r="N11384">
        <f>J11384+L11384</f>
        <v>1.03</v>
      </c>
      <c r="T11384" t="str">
        <v>x</v>
      </c>
      <c r="U11384">
        <f>0.006165*F11384^2</f>
        <v>0.39456</v>
      </c>
      <c r="V11384" t="str">
        <v>x</v>
      </c>
      <c r="W11384">
        <f>IF(D11367&gt;4*G11365,ROUND(MAX(D11367/4,2*G11365)/H11384,0)+1,ROUND(D11367/H11384,0)+1)</f>
        <v>9</v>
      </c>
      <c r="X11384" t="str">
        <v>x</v>
      </c>
      <c r="Y11384">
        <f>D11370</f>
        <v>1</v>
      </c>
      <c r="Z11384" t="str">
        <v>=</v>
      </c>
      <c r="AA11384">
        <f>N11384*U11384*W11384*Y11384</f>
        <v>3.6575712000000005</v>
      </c>
    </row>
    <row r="11385">
      <c r="A11385" t="str">
        <f>A11364</f>
        <v>Lantai Atap</v>
      </c>
      <c r="B11385">
        <f>B11364</f>
        <v>38</v>
      </c>
      <c r="C11385" t="str">
        <v>Sengkang Lapangan</v>
      </c>
      <c r="D11385">
        <f>VLOOKUP(D11364,'Detail Balok'!$C$10:$AU$110,36,FALSE)</f>
        <v>0</v>
      </c>
      <c r="E11385" t="str">
        <v>D</v>
      </c>
      <c r="F11385">
        <f>VLOOKUP(D11364,'Detail Balok'!$C$10:$AU$110,38,FALSE)</f>
        <v>8</v>
      </c>
      <c r="G11385" t="str">
        <v>-</v>
      </c>
      <c r="H11385">
        <f>VLOOKUP(D11364,'Detail Balok'!$C$10:$AU$110,40,FALSE)</f>
        <v>200</v>
      </c>
      <c r="J11385">
        <f>(IF(D11385=0,(2*(D11365+G11365))-(F$5*8),IF(D11385=3,(2*(D11365+G11365))-(F$5*8)+(G11365-2*F$5),IF(D11385=4,(2*(D11365+G11365))-(F$5*8)+2*(G11365-2*F$5)))))/1000</f>
        <v>0.88</v>
      </c>
      <c r="K11385" t="str">
        <v>+</v>
      </c>
      <c r="L11385">
        <f>IF(D11385=0,2*MAX(6*F11385,75),(D11385-1)*2*MAX(6*F11385,75))/1000</f>
        <v>0.15</v>
      </c>
      <c r="M11385" t="str">
        <v>=</v>
      </c>
      <c r="N11385">
        <f>J11385+L11385</f>
        <v>1.03</v>
      </c>
      <c r="T11385" t="str">
        <v>x</v>
      </c>
      <c r="U11385">
        <f>0.006165*F11385^2</f>
        <v>0.39456</v>
      </c>
      <c r="V11385" t="str">
        <v>x</v>
      </c>
      <c r="W11385">
        <f>IF(D11367-MAX(D11367/4,2*G11365)*2&gt;0,ROUND((D11367-MAX(D11367/4,2*G11365)*2)/H11385,0),0)</f>
        <v>3</v>
      </c>
      <c r="X11385" t="str">
        <v>x</v>
      </c>
      <c r="Y11385">
        <f>D11370</f>
        <v>1</v>
      </c>
      <c r="Z11385" t="str">
        <v>=</v>
      </c>
      <c r="AA11385">
        <f>N11385*U11385*W11385*Y11385</f>
        <v>1.2191904000000002</v>
      </c>
    </row>
    <row r="11386">
      <c r="A11386" t="str">
        <f>A11364</f>
        <v>Lantai Atap</v>
      </c>
      <c r="B11386">
        <f>B11364</f>
        <v>38</v>
      </c>
      <c r="C11386" t="str">
        <v>Sengkang Tumpuan</v>
      </c>
      <c r="D11386">
        <f>VLOOKUP(D11364,'Detail Balok'!$C$10:$AU$110,41,FALSE)</f>
        <v>0</v>
      </c>
      <c r="E11386" t="str">
        <v>D</v>
      </c>
      <c r="F11386">
        <f>VLOOKUP(D11364,'Detail Balok'!$C$10:$AU$110,43,FALSE)</f>
        <v>8</v>
      </c>
      <c r="G11386" t="str">
        <v>-</v>
      </c>
      <c r="H11386">
        <f>VLOOKUP(D11364,'Detail Balok'!$C$10:$AU$110,45,FALSE)</f>
        <v>100</v>
      </c>
      <c r="J11386">
        <f>(IF(D11386=0,(2*(D11365+G11365))-(F$5*8),IF(D11386=3,(2*(D11365+G11365))-(F$5*8)+(G11365-2*F$5),IF(D11386=4,(2*(D11365+G11365))-(F$5*8)+2*(G11365-2*F$5)))))/1000</f>
        <v>0.88</v>
      </c>
      <c r="K11386" t="str">
        <v>+</v>
      </c>
      <c r="L11386">
        <f>IF(D11386=0,2*MAX(6*F11386,75),(D11386-1)*2*MAX(6*F11386,75))/1000</f>
        <v>0.15</v>
      </c>
      <c r="M11386" t="str">
        <v>=</v>
      </c>
      <c r="N11386">
        <f>J11386+L11386</f>
        <v>1.03</v>
      </c>
      <c r="T11386" t="str">
        <v>x</v>
      </c>
      <c r="U11386">
        <f>0.006165*F11386^2</f>
        <v>0.39456</v>
      </c>
      <c r="V11386" t="str">
        <v>x</v>
      </c>
      <c r="W11386">
        <f>IF(D11367&gt;4*G11365,ROUND(MAX(D11367/4,2*G11365)/H11386,0)+1,0)</f>
        <v>9</v>
      </c>
      <c r="X11386" t="str">
        <v>x</v>
      </c>
      <c r="Y11386">
        <f>D11370</f>
        <v>1</v>
      </c>
      <c r="Z11386" t="str">
        <v>=</v>
      </c>
      <c r="AA11386">
        <f>N11386*U11386*W11386*Y11386</f>
        <v>3.6575712000000005</v>
      </c>
    </row>
    <row r="11388">
      <c r="A11388" t="str">
        <f>A11364</f>
        <v>Lantai Atap</v>
      </c>
      <c r="B11388">
        <f>B11364</f>
        <v>38</v>
      </c>
      <c r="C11388" t="str">
        <v>Kait Horizontal Tump.</v>
      </c>
      <c r="D11388">
        <f>VLOOKUP(D11364,'Detail Balok'!$C$10:$BJ$110,46,FALSE)</f>
        <v>0</v>
      </c>
      <c r="E11388" t="str">
        <v>D</v>
      </c>
      <c r="F11388">
        <f>VLOOKUP(D11364,'Detail Balok'!$C$10:$BJ$110,48,FALSE)</f>
        <v>0</v>
      </c>
      <c r="G11388" t="str">
        <v>-</v>
      </c>
      <c r="H11388">
        <f>VLOOKUP(D11364,'Detail Balok'!$C$10:$BJ$110,50,FALSE)</f>
        <v>100</v>
      </c>
      <c r="J11388">
        <f>(D11365-2*F$5)/1000</f>
        <v>0.12</v>
      </c>
      <c r="K11388" t="str">
        <v>+</v>
      </c>
      <c r="L11388">
        <f>IF(D11388=0,2*MAX(6*F11388,75),(D11388-1)*2*MAX(6*F11388,75))/1000</f>
        <v>0.15</v>
      </c>
      <c r="M11388" t="str">
        <v>=</v>
      </c>
      <c r="N11388">
        <f>J11388+L11388</f>
        <v>0.27</v>
      </c>
      <c r="T11388" t="str">
        <v>x</v>
      </c>
      <c r="U11388">
        <f>0.006165*F11388^2</f>
        <v>0</v>
      </c>
      <c r="V11388" t="str">
        <v>x</v>
      </c>
      <c r="W11388">
        <f>W11384</f>
        <v>9</v>
      </c>
      <c r="X11388" t="str">
        <v>x</v>
      </c>
      <c r="Y11388">
        <f>D11374</f>
        <v>2</v>
      </c>
      <c r="Z11388" t="str">
        <v>=</v>
      </c>
      <c r="AA11388">
        <f>N11388*U11388*W11388*Y11388</f>
        <v>0</v>
      </c>
    </row>
    <row r="11389">
      <c r="A11389" t="str">
        <f>A11364</f>
        <v>Lantai Atap</v>
      </c>
      <c r="B11389">
        <f>B11364</f>
        <v>38</v>
      </c>
      <c r="C11389" t="str">
        <v>Kait Horizontal Lap.</v>
      </c>
      <c r="D11389">
        <f>VLOOKUP(D11364,'Detail Balok'!$C$10:$BJ$110,51,FALSE)</f>
        <v>0</v>
      </c>
      <c r="E11389" t="str">
        <v>D</v>
      </c>
      <c r="F11389">
        <f>VLOOKUP(D11364,'Detail Balok'!$C$10:$BJ$110,53,FALSE)</f>
        <v>0</v>
      </c>
      <c r="G11389" t="str">
        <v>-</v>
      </c>
      <c r="H11389">
        <f>VLOOKUP(D11364,'Detail Balok'!$C$10:$BJ$110,55,FALSE)</f>
        <v>100</v>
      </c>
      <c r="J11389">
        <f>(D11365-2*F$5)/1000</f>
        <v>0.12</v>
      </c>
      <c r="K11389" t="str">
        <v>+</v>
      </c>
      <c r="L11389">
        <f>IF(D11389=0,2*MAX(6*F11389,75),(D11389-1)*2*MAX(6*F11389,75))/1000</f>
        <v>0.15</v>
      </c>
      <c r="M11389" t="str">
        <v>=</v>
      </c>
      <c r="N11389">
        <f>J11389+L11389</f>
        <v>0.27</v>
      </c>
      <c r="T11389" t="str">
        <v>x</v>
      </c>
      <c r="U11389">
        <f>0.006165*F11389^2</f>
        <v>0</v>
      </c>
      <c r="V11389" t="str">
        <v>x</v>
      </c>
      <c r="W11389">
        <f>W11385</f>
        <v>3</v>
      </c>
      <c r="X11389" t="str">
        <v>x</v>
      </c>
      <c r="Y11389">
        <f>D11374</f>
        <v>2</v>
      </c>
      <c r="Z11389" t="str">
        <v>=</v>
      </c>
      <c r="AA11389">
        <f>N11389*U11389*W11389*Y11389</f>
        <v>0</v>
      </c>
    </row>
    <row r="11390">
      <c r="A11390" t="str">
        <f>A11364</f>
        <v>Lantai Atap</v>
      </c>
      <c r="B11390">
        <f>B11364</f>
        <v>38</v>
      </c>
      <c r="C11390" t="str">
        <v>Kait Horizontal Tump.</v>
      </c>
      <c r="D11390">
        <f>VLOOKUP(D11364,'Detail Balok'!$C$10:$BJ$110,56,FALSE)</f>
        <v>0</v>
      </c>
      <c r="E11390" t="str">
        <v>D</v>
      </c>
      <c r="F11390">
        <f>VLOOKUP(D11364,'Detail Balok'!$C$10:$BJ$110,58,FALSE)</f>
        <v>0</v>
      </c>
      <c r="G11390" t="str">
        <v>-</v>
      </c>
      <c r="H11390">
        <f>VLOOKUP(D11364,'Detail Balok'!$C$10:$BJ$110,60,FALSE)</f>
        <v>100</v>
      </c>
      <c r="J11390">
        <f>(D11365-2*F$5)/1000</f>
        <v>0.12</v>
      </c>
      <c r="K11390" t="str">
        <v>+</v>
      </c>
      <c r="L11390">
        <f>IF(D11390=0,2*MAX(6*F11390,75),(D11390-1)*2*MAX(6*F11390,75))/1000</f>
        <v>0.15</v>
      </c>
      <c r="M11390" t="str">
        <v>=</v>
      </c>
      <c r="N11390">
        <f>J11390+L11390</f>
        <v>0.27</v>
      </c>
      <c r="T11390" t="str">
        <v>x</v>
      </c>
      <c r="U11390">
        <f>0.006165*F11390^2</f>
        <v>0</v>
      </c>
      <c r="V11390" t="str">
        <v>x</v>
      </c>
      <c r="W11390">
        <f>W11386</f>
        <v>9</v>
      </c>
      <c r="X11390" t="str">
        <v>x</v>
      </c>
      <c r="Y11390">
        <f>D11374</f>
        <v>2</v>
      </c>
      <c r="Z11390" t="str">
        <v>=</v>
      </c>
      <c r="AA11390">
        <f>N11390*U11390*W11390*Y11390</f>
        <v>0</v>
      </c>
    </row>
    <row r="11394">
      <c r="A11394" t="str">
        <f>A11364</f>
        <v>Lantai Atap</v>
      </c>
      <c r="B11394">
        <f>B11364+1</f>
        <v>39</v>
      </c>
      <c r="C11394" t="str">
        <f>CONCATENATE(A11394," no. ",B11394)</f>
        <v>Lantai Atap no. 39</v>
      </c>
      <c r="D11394" t="str">
        <f>VLOOKUP(C11394,'Data Panjang Balok'!$C$9:$N$424,2,FALSE)</f>
        <v>B25-1</v>
      </c>
    </row>
    <row r="11395">
      <c r="C11395" t="str">
        <v>Dimensi</v>
      </c>
      <c r="D11395">
        <f>VLOOKUP(D11394,'Detail Balok'!$C$10:$AU$110,2,FALSE)</f>
        <v>200</v>
      </c>
      <c r="F11395" t="str">
        <v>x</v>
      </c>
      <c r="G11395">
        <f>VLOOKUP(D11394,'Detail Balok'!$C$10:$AU$110,3,FALSE)</f>
        <v>500</v>
      </c>
    </row>
    <row r="11396">
      <c r="C11396" t="str">
        <v>Panjang as ke as</v>
      </c>
      <c r="D11396">
        <f>VLOOKUP(C11394,'Data Panjang Balok'!$C$9:$N$424,4,FALSE)</f>
        <v>4325</v>
      </c>
    </row>
    <row r="11397">
      <c r="C11397" t="str">
        <v>Panjang netto</v>
      </c>
      <c r="D11397">
        <f>VLOOKUP(C11394,'Data Panjang Balok'!$C$9:$N$424,7,FALSE)</f>
        <v>4325</v>
      </c>
    </row>
    <row r="11398">
      <c r="C11398" t="str">
        <v>Kolom / balok kiri</v>
      </c>
      <c r="D11398">
        <f>VLOOKUP(C11394,'Data Panjang Balok'!$C$9:$N$424,9,FALSE)</f>
        <v>0</v>
      </c>
    </row>
    <row r="11399">
      <c r="C11399" t="str">
        <v>Kolom / balok kanan</v>
      </c>
      <c r="D11399">
        <f>VLOOKUP(C11394,'Data Panjang Balok'!$C$9:$N$424,10,FALSE)</f>
        <v>0</v>
      </c>
    </row>
    <row r="11400">
      <c r="C11400" t="str">
        <v>Jumlah</v>
      </c>
      <c r="D11400">
        <f>VLOOKUP(C11394,'Data Panjang Balok'!$C$9:$N$424,3,FALSE)</f>
        <v>1</v>
      </c>
    </row>
    <row r="11401">
      <c r="A11401" t="str">
        <f>A11394</f>
        <v>Lantai Atap</v>
      </c>
      <c r="B11401">
        <f>B11394</f>
        <v>39</v>
      </c>
      <c r="C11401" t="str">
        <v>Tul Atas Tumpuan</v>
      </c>
      <c r="D11401">
        <f>VLOOKUP(D11394,'Detail Balok'!$C$10:$AU$110,4,FALSE)</f>
        <v>2</v>
      </c>
      <c r="E11401" t="str">
        <v>D</v>
      </c>
      <c r="F11401">
        <f>VLOOKUP(D11394,'Detail Balok'!$C$10:$AU$110,6,FALSE)</f>
        <v>16</v>
      </c>
      <c r="I11401" t="str">
        <v>(</v>
      </c>
      <c r="J11401">
        <f>+D11396/4/1000</f>
        <v>1.08125</v>
      </c>
      <c r="K11401" t="str">
        <v>+</v>
      </c>
      <c r="L11401">
        <f>MAX(VLOOKUP(F11401,N$6:P$15,3,FALSE)/1000,2/3*D11398/1000)+F$16*F11401/1000</f>
        <v>0.192</v>
      </c>
      <c r="M11401" t="str">
        <v>=</v>
      </c>
      <c r="N11401">
        <f>J11401+L11401</f>
        <v>1.27325</v>
      </c>
      <c r="O11401" t="str">
        <v>+</v>
      </c>
      <c r="P11401">
        <f>D11401-D11402</f>
        <v>0</v>
      </c>
      <c r="Q11401" t="str">
        <v>x</v>
      </c>
      <c r="R11401">
        <f>IF(P11401&gt;0,$F$18*F11401/1000,0)</f>
        <v>0</v>
      </c>
      <c r="S11401" t="str">
        <v>)</v>
      </c>
      <c r="T11401" t="str">
        <v>x</v>
      </c>
      <c r="U11401">
        <f>0.006165*F11401^2</f>
        <v>1.57824</v>
      </c>
      <c r="X11401" t="str">
        <v>x</v>
      </c>
      <c r="Y11401">
        <f>D11400</f>
        <v>1</v>
      </c>
      <c r="Z11401" t="str">
        <v>=</v>
      </c>
      <c r="AA11401">
        <f>IF(AA11404=0,(D11401*N11401+P11401*R11401)*U11401*Y11401,0)</f>
        <v>0</v>
      </c>
    </row>
    <row r="11402">
      <c r="A11402" t="str">
        <f>A11394</f>
        <v>Lantai Atap</v>
      </c>
      <c r="B11402">
        <f>B11394</f>
        <v>39</v>
      </c>
      <c r="C11402" t="str">
        <v>Tul Atas Lapangan</v>
      </c>
      <c r="D11402">
        <f>VLOOKUP(D11394,'Detail Balok'!$C$10:$AU$110,7,FALSE)</f>
        <v>2</v>
      </c>
      <c r="E11402" t="str">
        <v>D</v>
      </c>
      <c r="F11402">
        <f>VLOOKUP(D11394,'Detail Balok'!$C$10:$AU$110,9,FALSE)</f>
        <v>16</v>
      </c>
      <c r="I11402" t="str">
        <v>(</v>
      </c>
      <c r="J11402">
        <f>+D11396/2/1000</f>
        <v>2.1625</v>
      </c>
      <c r="K11402" t="str">
        <v>+</v>
      </c>
      <c r="M11402" t="str">
        <v>=</v>
      </c>
      <c r="N11402">
        <f>J11402+L11402</f>
        <v>2.1625</v>
      </c>
      <c r="O11402" t="str">
        <v>+</v>
      </c>
      <c r="P11402">
        <f>MAX(D11402-D11401,D11402-D11403)</f>
        <v>0</v>
      </c>
      <c r="Q11402" t="str">
        <v>x</v>
      </c>
      <c r="R11402">
        <f>IF(P11402&gt;0,2*(1-2*$F$19-1/2)*D11397/1000,0)</f>
        <v>0</v>
      </c>
      <c r="S11402" t="str">
        <v>)</v>
      </c>
      <c r="T11402" t="str">
        <v>x</v>
      </c>
      <c r="U11402">
        <f>0.006165*F11402^2</f>
        <v>1.57824</v>
      </c>
      <c r="X11402" t="str">
        <v>x</v>
      </c>
      <c r="Y11402">
        <f>D11400</f>
        <v>1</v>
      </c>
      <c r="Z11402" t="str">
        <v>=</v>
      </c>
      <c r="AA11402">
        <f>IF(AA11404=0,(D11402*N11402+P11402*R11402)*U11402*Y11402,0)</f>
        <v>0</v>
      </c>
    </row>
    <row r="11403">
      <c r="A11403" t="str">
        <f>A11394</f>
        <v>Lantai Atap</v>
      </c>
      <c r="B11403">
        <f>B11394</f>
        <v>39</v>
      </c>
      <c r="C11403" t="str">
        <v>Tul Atas Tumpuan</v>
      </c>
      <c r="D11403">
        <f>VLOOKUP(D11394,'Detail Balok'!$C$10:$AU$110,10,FALSE)</f>
        <v>2</v>
      </c>
      <c r="E11403" t="str">
        <v>D</v>
      </c>
      <c r="F11403">
        <f>VLOOKUP(D11394,'Detail Balok'!$C$10:$AU$110,12,FALSE)</f>
        <v>16</v>
      </c>
      <c r="I11403" t="str">
        <v>(</v>
      </c>
      <c r="J11403">
        <f>+D11396/4/1000</f>
        <v>1.08125</v>
      </c>
      <c r="K11403" t="str">
        <v>+</v>
      </c>
      <c r="L11403">
        <f>MAX(VLOOKUP(F11403,N$6:P$15,3,FALSE)/1000,2/3*D11398/1000)+F$16*F11403/1000</f>
        <v>0.192</v>
      </c>
      <c r="M11403" t="str">
        <v>=</v>
      </c>
      <c r="N11403">
        <f>J11403+L11403</f>
        <v>1.27325</v>
      </c>
      <c r="O11403" t="str">
        <v>+</v>
      </c>
      <c r="P11403">
        <f>D11403-D11402</f>
        <v>0</v>
      </c>
      <c r="Q11403" t="str">
        <v>x</v>
      </c>
      <c r="R11403">
        <f>IF(P11403&gt;0,$F$18*F11403/1000,0)</f>
        <v>0</v>
      </c>
      <c r="S11403" t="str">
        <v>)</v>
      </c>
      <c r="T11403" t="str">
        <v>x</v>
      </c>
      <c r="U11403">
        <f>0.006165*F11403^2</f>
        <v>1.57824</v>
      </c>
      <c r="X11403" t="str">
        <v>x</v>
      </c>
      <c r="Y11403">
        <f>D11400</f>
        <v>1</v>
      </c>
      <c r="Z11403" t="str">
        <v>=</v>
      </c>
      <c r="AA11403">
        <f>IF(AA11404=0,(D11403*N11403+P11403*R11403)*U11403*Y11403,0)</f>
        <v>0</v>
      </c>
    </row>
    <row r="11404">
      <c r="A11404" t="str">
        <f>A11394</f>
        <v>Lantai Atap</v>
      </c>
      <c r="B11404">
        <f>B11394</f>
        <v>39</v>
      </c>
      <c r="D11404">
        <f>IF(AND(D11401=D11402,D11402=D11403,D11401=D11403),D11401,0)</f>
        <v>2</v>
      </c>
      <c r="E11404" t="str">
        <v>D</v>
      </c>
      <c r="F11404">
        <f>IF(AND(F11401=F11402,F11401=F11403,F11402=F11403),F11401,0)</f>
        <v>16</v>
      </c>
      <c r="L11404" t="str">
        <v>Total panjang per balok</v>
      </c>
      <c r="M11404" t="str">
        <v>=</v>
      </c>
      <c r="N11404">
        <f>IF(AND(D11401=D11402,D11401=D11403,D11402=D11403,F11401=F11402,F11401=F11403,F11402=F11403),SUM(N11401:N11403),0)</f>
        <v>4.709</v>
      </c>
      <c r="O11404" t="str">
        <v>+</v>
      </c>
      <c r="P11404">
        <f>IF(N11404&gt;12,ROUNDDOWN(N11404/12,0),0)</f>
        <v>0</v>
      </c>
      <c r="Q11404" t="str">
        <v>x</v>
      </c>
      <c r="R11404">
        <f>IF(P11404&gt;0,MAX(VLOOKUP(F11404,$D$6:$G$15,3,FALSE),600),0)/1000</f>
        <v>0</v>
      </c>
      <c r="T11404" t="str">
        <v>x</v>
      </c>
      <c r="U11404">
        <f>U11403</f>
        <v>1.57824</v>
      </c>
      <c r="V11404" t="str">
        <v>x</v>
      </c>
      <c r="W11404">
        <f>D11404</f>
        <v>2</v>
      </c>
      <c r="X11404" t="str">
        <v>x</v>
      </c>
      <c r="Y11404">
        <f>Y11403</f>
        <v>1</v>
      </c>
      <c r="Z11404" t="str">
        <v>=</v>
      </c>
      <c r="AA11404">
        <f>(N11404+P11404*R11404/1000)*U11404*W11404*Y11404</f>
        <v>14.86386432</v>
      </c>
    </row>
    <row r="11406">
      <c r="A11406" t="str">
        <f>A11394</f>
        <v>Lantai Atap</v>
      </c>
      <c r="B11406">
        <f>B11394</f>
        <v>39</v>
      </c>
      <c r="C11406" t="str">
        <v>Tul Peminggang</v>
      </c>
      <c r="D11406">
        <f>VLOOKUP(D11394,'Detail Balok'!$C$10:$AU$110,13,FALSE)</f>
        <v>2</v>
      </c>
      <c r="E11406" t="str">
        <v>D</v>
      </c>
      <c r="F11406">
        <f>VLOOKUP(D11394,'Detail Balok'!$C$10:$AU$110,15,FALSE)</f>
        <v>10</v>
      </c>
      <c r="J11406">
        <f>+D11396/1000</f>
        <v>4.325</v>
      </c>
      <c r="K11406" t="str">
        <v>+</v>
      </c>
      <c r="L11406">
        <f>2*$F$16*F11406/1000</f>
        <v>0.24</v>
      </c>
      <c r="M11406" t="str">
        <v>=</v>
      </c>
      <c r="N11406">
        <f>J11406+L11406</f>
        <v>4.565</v>
      </c>
      <c r="O11406" t="str">
        <v>+</v>
      </c>
      <c r="P11406">
        <f>IF(N11406&gt;12,ROUNDDOWN(N11406/12,0),0)</f>
        <v>0</v>
      </c>
      <c r="Q11406" t="str">
        <v>x</v>
      </c>
      <c r="R11406">
        <f>IF(P11406&gt;0,MAX(VLOOKUP(F11406,$D$6:$G$15,3,FALSE),600),0)/1000</f>
        <v>0</v>
      </c>
      <c r="T11406" t="str">
        <v>x</v>
      </c>
      <c r="U11406">
        <f>0.006165*F11406^2</f>
        <v>0.6165</v>
      </c>
      <c r="V11406" t="str">
        <v>x</v>
      </c>
      <c r="W11406">
        <f>+D11406</f>
        <v>2</v>
      </c>
      <c r="X11406" t="str">
        <v>x</v>
      </c>
      <c r="Y11406">
        <f>D11400</f>
        <v>1</v>
      </c>
      <c r="Z11406" t="str">
        <v>=</v>
      </c>
      <c r="AA11406">
        <f>(N11406+P11406*R11406/1000)*U11406*W11406*Y11406</f>
        <v>5.628645000000001</v>
      </c>
    </row>
    <row r="11409">
      <c r="A11409" t="str">
        <f>A11394</f>
        <v>Lantai Atap</v>
      </c>
      <c r="B11409">
        <f>B11394</f>
        <v>39</v>
      </c>
      <c r="C11409" t="str">
        <v>Tul Bawah Tumpuan</v>
      </c>
      <c r="D11409">
        <f>VLOOKUP(D11394,'Detail Balok'!$C$10:$AU$110,22,FALSE)</f>
        <v>2</v>
      </c>
      <c r="E11409" t="str">
        <v>D</v>
      </c>
      <c r="F11409">
        <f>VLOOKUP(D11394,'Detail Balok'!$C$10:$AU$110,24,FALSE)</f>
        <v>16</v>
      </c>
      <c r="I11409" t="str">
        <v>(</v>
      </c>
      <c r="J11409">
        <f>+J11401</f>
        <v>1.08125</v>
      </c>
      <c r="K11409" t="str">
        <v>+</v>
      </c>
      <c r="L11409">
        <f>MAX(VLOOKUP(F11409,N$6:P$15,3,FALSE)/1000,2/3*D11399/1000)+F$16*F11409/1000</f>
        <v>0.192</v>
      </c>
      <c r="M11409" t="str">
        <v>=</v>
      </c>
      <c r="N11409">
        <f>J11409+L11409</f>
        <v>1.27325</v>
      </c>
      <c r="O11409" t="str">
        <v>+</v>
      </c>
      <c r="P11409">
        <f>D11409-D11410</f>
        <v>0</v>
      </c>
      <c r="Q11409" t="str">
        <v>x</v>
      </c>
      <c r="R11409">
        <f>IF(P11409&gt;0,$F$18*F11409/1000,0)</f>
        <v>0</v>
      </c>
      <c r="S11409" t="str">
        <v>)</v>
      </c>
      <c r="T11409" t="str">
        <v>x</v>
      </c>
      <c r="U11409">
        <f>0.006165*F11409^2</f>
        <v>1.57824</v>
      </c>
      <c r="X11409" t="str">
        <v>x</v>
      </c>
      <c r="Y11409">
        <f>D11400</f>
        <v>1</v>
      </c>
      <c r="Z11409" t="str">
        <v>=</v>
      </c>
      <c r="AA11409">
        <f>IF(AA11412=0,(D11409*N11409+P11409*R11409)*U11409*Y11409,0)</f>
        <v>0</v>
      </c>
    </row>
    <row r="11410">
      <c r="A11410" t="str">
        <f>A11394</f>
        <v>Lantai Atap</v>
      </c>
      <c r="B11410">
        <f>B11394</f>
        <v>39</v>
      </c>
      <c r="C11410" t="str">
        <v>Tul Bawah Lapangan</v>
      </c>
      <c r="D11410">
        <f>VLOOKUP(D11394,'Detail Balok'!$C$10:$AU$110,25,FALSE)</f>
        <v>2</v>
      </c>
      <c r="E11410" t="str">
        <v>D</v>
      </c>
      <c r="F11410">
        <f>VLOOKUP(D11394,'Detail Balok'!$C$10:$AU$110,27,FALSE)</f>
        <v>16</v>
      </c>
      <c r="I11410" t="str">
        <v>(</v>
      </c>
      <c r="J11410">
        <f>+J11402</f>
        <v>2.1625</v>
      </c>
      <c r="K11410" t="str">
        <v>+</v>
      </c>
      <c r="M11410" t="str">
        <v>=</v>
      </c>
      <c r="N11410">
        <f>J11410+L11410</f>
        <v>2.1625</v>
      </c>
      <c r="O11410" t="str">
        <v>+</v>
      </c>
      <c r="P11410">
        <f>MAX(D11410-D11409,D11410-D11411)</f>
        <v>0</v>
      </c>
      <c r="Q11410" t="str">
        <v>x</v>
      </c>
      <c r="R11410">
        <f>IF(P11410&gt;0,2*(1-2*$F$19-1/2)*D11397/1000,0)</f>
        <v>0</v>
      </c>
      <c r="S11410" t="str">
        <v>)</v>
      </c>
      <c r="T11410" t="str">
        <v>x</v>
      </c>
      <c r="U11410">
        <f>0.006165*F11410^2</f>
        <v>1.57824</v>
      </c>
      <c r="X11410" t="str">
        <v>x</v>
      </c>
      <c r="Y11410">
        <f>D11400</f>
        <v>1</v>
      </c>
      <c r="Z11410" t="str">
        <v>=</v>
      </c>
      <c r="AA11410">
        <f>IF(AA11412=0,(D11410*N11410+P11410*R11410)*U11410*Y11410,0)</f>
        <v>0</v>
      </c>
    </row>
    <row r="11411">
      <c r="A11411" t="str">
        <f>A11394</f>
        <v>Lantai Atap</v>
      </c>
      <c r="B11411">
        <f>B11394</f>
        <v>39</v>
      </c>
      <c r="C11411" t="str">
        <v>Tul Bawah Tumpuan</v>
      </c>
      <c r="D11411">
        <f>VLOOKUP(D11394,'Detail Balok'!$C$10:$AU$110,28,FALSE)</f>
        <v>2</v>
      </c>
      <c r="E11411" t="str">
        <v>D</v>
      </c>
      <c r="F11411">
        <f>VLOOKUP(D11394,'Detail Balok'!$C$10:$AU$110,30,FALSE)</f>
        <v>16</v>
      </c>
      <c r="I11411" t="str">
        <v>(</v>
      </c>
      <c r="J11411">
        <f>+J11403</f>
        <v>1.08125</v>
      </c>
      <c r="K11411" t="str">
        <v>+</v>
      </c>
      <c r="L11411">
        <f>MAX(VLOOKUP(F11411,N$6:P$15,3,FALSE)/1000,2/3*D11399/1000)+F$16*F11411/1000</f>
        <v>0.192</v>
      </c>
      <c r="M11411" t="str">
        <v>=</v>
      </c>
      <c r="N11411">
        <f>J11411+L11411</f>
        <v>1.27325</v>
      </c>
      <c r="O11411" t="str">
        <v>+</v>
      </c>
      <c r="P11411">
        <f>D11411-D11410</f>
        <v>0</v>
      </c>
      <c r="Q11411" t="str">
        <v>x</v>
      </c>
      <c r="R11411">
        <f>IF(P11411&gt;0,$F$18*F11411/1000,0)</f>
        <v>0</v>
      </c>
      <c r="S11411" t="str">
        <v>)</v>
      </c>
      <c r="T11411" t="str">
        <v>x</v>
      </c>
      <c r="U11411">
        <f>0.006165*F11411^2</f>
        <v>1.57824</v>
      </c>
      <c r="X11411" t="str">
        <v>x</v>
      </c>
      <c r="Y11411">
        <f>D11400</f>
        <v>1</v>
      </c>
      <c r="Z11411" t="str">
        <v>=</v>
      </c>
      <c r="AA11411">
        <f>IF(AA11412=0,(D11411*N11411+P11411*R11411)*U11411*Y11411,0)</f>
        <v>0</v>
      </c>
    </row>
    <row r="11412">
      <c r="A11412" t="str">
        <f>A11394</f>
        <v>Lantai Atap</v>
      </c>
      <c r="B11412">
        <f>B11394</f>
        <v>39</v>
      </c>
      <c r="D11412">
        <f>IF(AND(D11409=D11410,D11410=D11411,D11409=D11411),D11409,0)</f>
        <v>2</v>
      </c>
      <c r="E11412" t="str">
        <v>D</v>
      </c>
      <c r="F11412">
        <f>IF(AND(F11409=F11410,F11409=F11411,F11410=F11411),F11409,0)</f>
        <v>16</v>
      </c>
      <c r="L11412" t="str">
        <v>Total panjang per balok</v>
      </c>
      <c r="M11412" t="str">
        <v>=</v>
      </c>
      <c r="N11412">
        <f>IF(AND(D11409=D11410,D11409=D11411,D11410=D11411,F11409=F11410,F11409=F11411,F11410=F11411),SUM(N11409:N11411),0)</f>
        <v>4.709</v>
      </c>
      <c r="O11412" t="str">
        <v>+</v>
      </c>
      <c r="P11412">
        <f>IF(N11412&gt;12,ROUNDDOWN(N11412/12,0),0)</f>
        <v>0</v>
      </c>
      <c r="Q11412" t="str">
        <v>x</v>
      </c>
      <c r="R11412">
        <f>IF(P11412&gt;0,MAX(VLOOKUP(F11412,$D$6:$G$15,3,FALSE),600),0)/1000</f>
        <v>0</v>
      </c>
      <c r="T11412" t="str">
        <v>x</v>
      </c>
      <c r="U11412">
        <f>U11411</f>
        <v>1.57824</v>
      </c>
      <c r="V11412" t="str">
        <v>x</v>
      </c>
      <c r="W11412">
        <f>D11412</f>
        <v>2</v>
      </c>
      <c r="X11412" t="str">
        <v>x</v>
      </c>
      <c r="Y11412">
        <f>Y11411</f>
        <v>1</v>
      </c>
      <c r="Z11412" t="str">
        <v>=</v>
      </c>
      <c r="AA11412">
        <f>(N11412+P11412*R11412/1000)*U11412*W11412*Y11412</f>
        <v>14.86386432</v>
      </c>
    </row>
    <row r="11414">
      <c r="A11414" t="str">
        <f>A11394</f>
        <v>Lantai Atap</v>
      </c>
      <c r="B11414">
        <f>B11394</f>
        <v>39</v>
      </c>
      <c r="C11414" t="str">
        <v>Sengkang Tumpuan</v>
      </c>
      <c r="D11414">
        <f>VLOOKUP(D11394,'Detail Balok'!$C$10:$AU$110,31,FALSE)</f>
        <v>0</v>
      </c>
      <c r="E11414" t="str">
        <v>D</v>
      </c>
      <c r="F11414">
        <f>VLOOKUP(D11394,'Detail Balok'!$C$10:$AU$110,33,FALSE)</f>
        <v>10</v>
      </c>
      <c r="G11414" t="str">
        <v>-</v>
      </c>
      <c r="H11414">
        <f>VLOOKUP(D11394,'Detail Balok'!$C$10:$AU$110,35,FALSE)</f>
        <v>100</v>
      </c>
      <c r="J11414">
        <f>(IF(D11414=0,(2*(D11395+G11395))-(F$5*8),IF(D11414=3,(2*(D11395+G11395))-(F$5*8)+(G11395-2*F$5),IF(D11414=4,(2*(D11395+G11395))-(F$5*8)+2*(G11395-2*F$5)))))/1000</f>
        <v>1.08</v>
      </c>
      <c r="K11414" t="str">
        <v>+</v>
      </c>
      <c r="L11414">
        <f>IF(D11414=0,2*MAX(6*F11414,75),(D11414-1)*2*MAX(6*F11414,75))/1000</f>
        <v>0.15</v>
      </c>
      <c r="M11414" t="str">
        <v>=</v>
      </c>
      <c r="N11414">
        <f>J11414+L11414</f>
        <v>1.23</v>
      </c>
      <c r="T11414" t="str">
        <v>x</v>
      </c>
      <c r="U11414">
        <f>0.006165*F11414^2</f>
        <v>0.6165</v>
      </c>
      <c r="V11414" t="str">
        <v>x</v>
      </c>
      <c r="W11414">
        <f>IF(D11397&gt;4*G11395,ROUND(MAX(D11397/4,2*G11395)/H11414,0)+1,ROUND(D11397/H11414,0)+1)</f>
        <v>12</v>
      </c>
      <c r="X11414" t="str">
        <v>x</v>
      </c>
      <c r="Y11414">
        <f>D11400</f>
        <v>1</v>
      </c>
      <c r="Z11414" t="str">
        <v>=</v>
      </c>
      <c r="AA11414">
        <f>N11414*U11414*W11414*Y11414</f>
        <v>9.099540000000001</v>
      </c>
    </row>
    <row r="11415">
      <c r="A11415" t="str">
        <f>A11394</f>
        <v>Lantai Atap</v>
      </c>
      <c r="B11415">
        <f>B11394</f>
        <v>39</v>
      </c>
      <c r="C11415" t="str">
        <v>Sengkang Lapangan</v>
      </c>
      <c r="D11415">
        <f>VLOOKUP(D11394,'Detail Balok'!$C$10:$AU$110,36,FALSE)</f>
        <v>0</v>
      </c>
      <c r="E11415" t="str">
        <v>D</v>
      </c>
      <c r="F11415">
        <f>VLOOKUP(D11394,'Detail Balok'!$C$10:$AU$110,38,FALSE)</f>
        <v>10</v>
      </c>
      <c r="G11415" t="str">
        <v>-</v>
      </c>
      <c r="H11415">
        <f>VLOOKUP(D11394,'Detail Balok'!$C$10:$AU$110,40,FALSE)</f>
        <v>200</v>
      </c>
      <c r="J11415">
        <f>(IF(D11415=0,(2*(D11395+G11395))-(F$5*8),IF(D11415=3,(2*(D11395+G11395))-(F$5*8)+(G11395-2*F$5),IF(D11415=4,(2*(D11395+G11395))-(F$5*8)+2*(G11395-2*F$5)))))/1000</f>
        <v>1.08</v>
      </c>
      <c r="K11415" t="str">
        <v>+</v>
      </c>
      <c r="L11415">
        <f>IF(D11415=0,2*MAX(6*F11415,75),(D11415-1)*2*MAX(6*F11415,75))/1000</f>
        <v>0.15</v>
      </c>
      <c r="M11415" t="str">
        <v>=</v>
      </c>
      <c r="N11415">
        <f>J11415+L11415</f>
        <v>1.23</v>
      </c>
      <c r="T11415" t="str">
        <v>x</v>
      </c>
      <c r="U11415">
        <f>0.006165*F11415^2</f>
        <v>0.6165</v>
      </c>
      <c r="V11415" t="str">
        <v>x</v>
      </c>
      <c r="W11415">
        <f>IF(D11397-MAX(D11397/4,2*G11395)*2&gt;0,ROUND((D11397-MAX(D11397/4,2*G11395)*2)/H11415,0),0)</f>
        <v>11</v>
      </c>
      <c r="X11415" t="str">
        <v>x</v>
      </c>
      <c r="Y11415">
        <f>D11400</f>
        <v>1</v>
      </c>
      <c r="Z11415" t="str">
        <v>=</v>
      </c>
      <c r="AA11415">
        <f>N11415*U11415*W11415*Y11415</f>
        <v>8.341245</v>
      </c>
    </row>
    <row r="11416">
      <c r="A11416" t="str">
        <f>A11394</f>
        <v>Lantai Atap</v>
      </c>
      <c r="B11416">
        <f>B11394</f>
        <v>39</v>
      </c>
      <c r="C11416" t="str">
        <v>Sengkang Tumpuan</v>
      </c>
      <c r="D11416">
        <f>VLOOKUP(D11394,'Detail Balok'!$C$10:$AU$110,41,FALSE)</f>
        <v>0</v>
      </c>
      <c r="E11416" t="str">
        <v>D</v>
      </c>
      <c r="F11416">
        <f>VLOOKUP(D11394,'Detail Balok'!$C$10:$AU$110,43,FALSE)</f>
        <v>10</v>
      </c>
      <c r="G11416" t="str">
        <v>-</v>
      </c>
      <c r="H11416">
        <f>VLOOKUP(D11394,'Detail Balok'!$C$10:$AU$110,45,FALSE)</f>
        <v>100</v>
      </c>
      <c r="J11416">
        <f>(IF(D11416=0,(2*(D11395+G11395))-(F$5*8),IF(D11416=3,(2*(D11395+G11395))-(F$5*8)+(G11395-2*F$5),IF(D11416=4,(2*(D11395+G11395))-(F$5*8)+2*(G11395-2*F$5)))))/1000</f>
        <v>1.08</v>
      </c>
      <c r="K11416" t="str">
        <v>+</v>
      </c>
      <c r="L11416">
        <f>IF(D11416=0,2*MAX(6*F11416,75),(D11416-1)*2*MAX(6*F11416,75))/1000</f>
        <v>0.15</v>
      </c>
      <c r="M11416" t="str">
        <v>=</v>
      </c>
      <c r="N11416">
        <f>J11416+L11416</f>
        <v>1.23</v>
      </c>
      <c r="T11416" t="str">
        <v>x</v>
      </c>
      <c r="U11416">
        <f>0.006165*F11416^2</f>
        <v>0.6165</v>
      </c>
      <c r="V11416" t="str">
        <v>x</v>
      </c>
      <c r="W11416">
        <f>IF(D11397&gt;4*G11395,ROUND(MAX(D11397/4,2*G11395)/H11416,0)+1,0)</f>
        <v>12</v>
      </c>
      <c r="X11416" t="str">
        <v>x</v>
      </c>
      <c r="Y11416">
        <f>D11400</f>
        <v>1</v>
      </c>
      <c r="Z11416" t="str">
        <v>=</v>
      </c>
      <c r="AA11416">
        <f>N11416*U11416*W11416*Y11416</f>
        <v>9.099540000000001</v>
      </c>
    </row>
    <row r="11418">
      <c r="A11418" t="str">
        <f>A11394</f>
        <v>Lantai Atap</v>
      </c>
      <c r="B11418">
        <f>B11394</f>
        <v>39</v>
      </c>
      <c r="C11418" t="str">
        <v>Kait Horizontal Tump.</v>
      </c>
      <c r="D11418">
        <f>VLOOKUP(D11394,'Detail Balok'!$C$10:$BJ$110,46,FALSE)</f>
        <v>0</v>
      </c>
      <c r="E11418" t="str">
        <v>D</v>
      </c>
      <c r="F11418">
        <f>VLOOKUP(D11394,'Detail Balok'!$C$10:$BJ$110,48,FALSE)</f>
        <v>0</v>
      </c>
      <c r="G11418" t="str">
        <v>-</v>
      </c>
      <c r="H11418">
        <f>VLOOKUP(D11394,'Detail Balok'!$C$10:$BJ$110,50,FALSE)</f>
        <v>100</v>
      </c>
      <c r="J11418">
        <f>(D11395-2*F$5)/1000</f>
        <v>0.12</v>
      </c>
      <c r="K11418" t="str">
        <v>+</v>
      </c>
      <c r="L11418">
        <f>IF(D11418=0,2*MAX(6*F11418,75),(D11418-1)*2*MAX(6*F11418,75))/1000</f>
        <v>0.15</v>
      </c>
      <c r="M11418" t="str">
        <v>=</v>
      </c>
      <c r="N11418">
        <f>J11418+L11418</f>
        <v>0.27</v>
      </c>
      <c r="T11418" t="str">
        <v>x</v>
      </c>
      <c r="U11418">
        <f>0.006165*F11418^2</f>
        <v>0</v>
      </c>
      <c r="V11418" t="str">
        <v>x</v>
      </c>
      <c r="W11418">
        <f>W11414</f>
        <v>12</v>
      </c>
      <c r="X11418" t="str">
        <v>x</v>
      </c>
      <c r="Y11418">
        <f>D11404</f>
        <v>2</v>
      </c>
      <c r="Z11418" t="str">
        <v>=</v>
      </c>
      <c r="AA11418">
        <f>N11418*U11418*W11418*Y11418</f>
        <v>0</v>
      </c>
    </row>
    <row r="11419">
      <c r="A11419" t="str">
        <f>A11394</f>
        <v>Lantai Atap</v>
      </c>
      <c r="B11419">
        <f>B11394</f>
        <v>39</v>
      </c>
      <c r="C11419" t="str">
        <v>Kait Horizontal Lap.</v>
      </c>
      <c r="D11419">
        <f>VLOOKUP(D11394,'Detail Balok'!$C$10:$BJ$110,51,FALSE)</f>
        <v>0</v>
      </c>
      <c r="E11419" t="str">
        <v>D</v>
      </c>
      <c r="F11419">
        <f>VLOOKUP(D11394,'Detail Balok'!$C$10:$BJ$110,53,FALSE)</f>
        <v>0</v>
      </c>
      <c r="G11419" t="str">
        <v>-</v>
      </c>
      <c r="H11419">
        <f>VLOOKUP(D11394,'Detail Balok'!$C$10:$BJ$110,55,FALSE)</f>
        <v>100</v>
      </c>
      <c r="J11419">
        <f>(D11395-2*F$5)/1000</f>
        <v>0.12</v>
      </c>
      <c r="K11419" t="str">
        <v>+</v>
      </c>
      <c r="L11419">
        <f>IF(D11419=0,2*MAX(6*F11419,75),(D11419-1)*2*MAX(6*F11419,75))/1000</f>
        <v>0.15</v>
      </c>
      <c r="M11419" t="str">
        <v>=</v>
      </c>
      <c r="N11419">
        <f>J11419+L11419</f>
        <v>0.27</v>
      </c>
      <c r="T11419" t="str">
        <v>x</v>
      </c>
      <c r="U11419">
        <f>0.006165*F11419^2</f>
        <v>0</v>
      </c>
      <c r="V11419" t="str">
        <v>x</v>
      </c>
      <c r="W11419">
        <f>W11415</f>
        <v>11</v>
      </c>
      <c r="X11419" t="str">
        <v>x</v>
      </c>
      <c r="Y11419">
        <f>D11404</f>
        <v>2</v>
      </c>
      <c r="Z11419" t="str">
        <v>=</v>
      </c>
      <c r="AA11419">
        <f>N11419*U11419*W11419*Y11419</f>
        <v>0</v>
      </c>
    </row>
    <row r="11420">
      <c r="A11420" t="str">
        <f>A11394</f>
        <v>Lantai Atap</v>
      </c>
      <c r="B11420">
        <f>B11394</f>
        <v>39</v>
      </c>
      <c r="C11420" t="str">
        <v>Kait Horizontal Tump.</v>
      </c>
      <c r="D11420">
        <f>VLOOKUP(D11394,'Detail Balok'!$C$10:$BJ$110,56,FALSE)</f>
        <v>0</v>
      </c>
      <c r="E11420" t="str">
        <v>D</v>
      </c>
      <c r="F11420">
        <f>VLOOKUP(D11394,'Detail Balok'!$C$10:$BJ$110,58,FALSE)</f>
        <v>0</v>
      </c>
      <c r="G11420" t="str">
        <v>-</v>
      </c>
      <c r="H11420">
        <f>VLOOKUP(D11394,'Detail Balok'!$C$10:$BJ$110,60,FALSE)</f>
        <v>100</v>
      </c>
      <c r="J11420">
        <f>(D11395-2*F$5)/1000</f>
        <v>0.12</v>
      </c>
      <c r="K11420" t="str">
        <v>+</v>
      </c>
      <c r="L11420">
        <f>IF(D11420=0,2*MAX(6*F11420,75),(D11420-1)*2*MAX(6*F11420,75))/1000</f>
        <v>0.15</v>
      </c>
      <c r="M11420" t="str">
        <v>=</v>
      </c>
      <c r="N11420">
        <f>J11420+L11420</f>
        <v>0.27</v>
      </c>
      <c r="T11420" t="str">
        <v>x</v>
      </c>
      <c r="U11420">
        <f>0.006165*F11420^2</f>
        <v>0</v>
      </c>
      <c r="V11420" t="str">
        <v>x</v>
      </c>
      <c r="W11420">
        <f>W11416</f>
        <v>12</v>
      </c>
      <c r="X11420" t="str">
        <v>x</v>
      </c>
      <c r="Y11420">
        <f>D11404</f>
        <v>2</v>
      </c>
      <c r="Z11420" t="str">
        <v>=</v>
      </c>
      <c r="AA11420">
        <f>N11420*U11420*W11420*Y11420</f>
        <v>0</v>
      </c>
    </row>
    <row r="11424">
      <c r="A11424" t="str">
        <f>A11394</f>
        <v>Lantai Atap</v>
      </c>
      <c r="B11424">
        <f>B11394+1</f>
        <v>40</v>
      </c>
      <c r="C11424" t="str">
        <f>CONCATENATE(A11424," no. ",B11424)</f>
        <v>Lantai Atap no. 40</v>
      </c>
      <c r="D11424" t="str">
        <f>VLOOKUP(C11424,'Data Panjang Balok'!$C$9:$N$424,2,FALSE)</f>
        <v>B25-4</v>
      </c>
    </row>
    <row r="11425">
      <c r="C11425" t="str">
        <v>Dimensi</v>
      </c>
      <c r="D11425">
        <f>VLOOKUP(D11424,'Detail Balok'!$C$10:$AU$110,2,FALSE)</f>
        <v>200</v>
      </c>
      <c r="F11425" t="str">
        <v>x</v>
      </c>
      <c r="G11425">
        <f>VLOOKUP(D11424,'Detail Balok'!$C$10:$AU$110,3,FALSE)</f>
        <v>500</v>
      </c>
    </row>
    <row r="11426">
      <c r="C11426" t="str">
        <v>Panjang as ke as</v>
      </c>
      <c r="D11426">
        <f>VLOOKUP(C11424,'Data Panjang Balok'!$C$9:$N$424,4,FALSE)</f>
        <v>6565</v>
      </c>
    </row>
    <row r="11427">
      <c r="C11427" t="str">
        <v>Panjang netto</v>
      </c>
      <c r="D11427">
        <f>VLOOKUP(C11424,'Data Panjang Balok'!$C$9:$N$424,7,FALSE)</f>
        <v>6565</v>
      </c>
    </row>
    <row r="11428">
      <c r="C11428" t="str">
        <v>Kolom / balok kiri</v>
      </c>
      <c r="D11428">
        <f>VLOOKUP(C11424,'Data Panjang Balok'!$C$9:$N$424,9,FALSE)</f>
        <v>0</v>
      </c>
    </row>
    <row r="11429">
      <c r="C11429" t="str">
        <v>Kolom / balok kanan</v>
      </c>
      <c r="D11429">
        <f>VLOOKUP(C11424,'Data Panjang Balok'!$C$9:$N$424,10,FALSE)</f>
        <v>0</v>
      </c>
    </row>
    <row r="11430">
      <c r="C11430" t="str">
        <v>Jumlah</v>
      </c>
      <c r="D11430">
        <f>VLOOKUP(C11424,'Data Panjang Balok'!$C$9:$N$424,3,FALSE)</f>
        <v>1</v>
      </c>
    </row>
    <row r="11431">
      <c r="A11431" t="str">
        <f>A11424</f>
        <v>Lantai Atap</v>
      </c>
      <c r="B11431">
        <f>B11424</f>
        <v>40</v>
      </c>
      <c r="C11431" t="str">
        <v>Tul Atas Tumpuan</v>
      </c>
      <c r="D11431">
        <f>VLOOKUP(D11424,'Detail Balok'!$C$10:$AU$110,4,FALSE)</f>
        <v>6</v>
      </c>
      <c r="E11431" t="str">
        <v>D</v>
      </c>
      <c r="F11431">
        <f>VLOOKUP(D11424,'Detail Balok'!$C$10:$AU$110,6,FALSE)</f>
        <v>16</v>
      </c>
      <c r="I11431" t="str">
        <v>(</v>
      </c>
      <c r="J11431">
        <f>+D11426/4/1000</f>
        <v>1.64125</v>
      </c>
      <c r="K11431" t="str">
        <v>+</v>
      </c>
      <c r="L11431">
        <f>MAX(VLOOKUP(F11431,N$6:P$15,3,FALSE)/1000,2/3*D11428/1000)+F$16*F11431/1000</f>
        <v>0.192</v>
      </c>
      <c r="M11431" t="str">
        <v>=</v>
      </c>
      <c r="N11431">
        <f>J11431+L11431</f>
        <v>1.83325</v>
      </c>
      <c r="O11431" t="str">
        <v>+</v>
      </c>
      <c r="P11431">
        <f>D11431-D11432</f>
        <v>2</v>
      </c>
      <c r="Q11431" t="str">
        <v>x</v>
      </c>
      <c r="R11431">
        <f>IF(P11431&gt;0,$F$18*F11431/1000,0)</f>
        <v>0.24</v>
      </c>
      <c r="S11431" t="str">
        <v>)</v>
      </c>
      <c r="T11431" t="str">
        <v>x</v>
      </c>
      <c r="U11431">
        <f>0.006165*F11431^2</f>
        <v>1.57824</v>
      </c>
      <c r="X11431" t="str">
        <v>x</v>
      </c>
      <c r="Y11431">
        <f>D11430</f>
        <v>1</v>
      </c>
      <c r="Z11431" t="str">
        <v>=</v>
      </c>
      <c r="AA11431">
        <f>IF(AA11434=0,(D11431*N11431+P11431*R11431)*U11431*Y11431,0)</f>
        <v>18.117406080000002</v>
      </c>
    </row>
    <row r="11432">
      <c r="A11432" t="str">
        <f>A11424</f>
        <v>Lantai Atap</v>
      </c>
      <c r="B11432">
        <f>B11424</f>
        <v>40</v>
      </c>
      <c r="C11432" t="str">
        <v>Tul Atas Lapangan</v>
      </c>
      <c r="D11432">
        <f>VLOOKUP(D11424,'Detail Balok'!$C$10:$AU$110,7,FALSE)</f>
        <v>4</v>
      </c>
      <c r="E11432" t="str">
        <v>D</v>
      </c>
      <c r="F11432">
        <f>VLOOKUP(D11424,'Detail Balok'!$C$10:$AU$110,9,FALSE)</f>
        <v>16</v>
      </c>
      <c r="I11432" t="str">
        <v>(</v>
      </c>
      <c r="J11432">
        <f>+D11426/2/1000</f>
        <v>3.2825</v>
      </c>
      <c r="K11432" t="str">
        <v>+</v>
      </c>
      <c r="M11432" t="str">
        <v>=</v>
      </c>
      <c r="N11432">
        <f>J11432+L11432</f>
        <v>3.2825</v>
      </c>
      <c r="O11432" t="str">
        <v>+</v>
      </c>
      <c r="P11432">
        <f>MAX(D11432-D11431,D11432-D11433)</f>
        <v>0</v>
      </c>
      <c r="Q11432" t="str">
        <v>x</v>
      </c>
      <c r="R11432">
        <f>IF(P11432&gt;0,2*(1-2*$F$19-1/2)*D11427/1000,0)</f>
        <v>0</v>
      </c>
      <c r="S11432" t="str">
        <v>)</v>
      </c>
      <c r="T11432" t="str">
        <v>x</v>
      </c>
      <c r="U11432">
        <f>0.006165*F11432^2</f>
        <v>1.57824</v>
      </c>
      <c r="X11432" t="str">
        <v>x</v>
      </c>
      <c r="Y11432">
        <f>D11430</f>
        <v>1</v>
      </c>
      <c r="Z11432" t="str">
        <v>=</v>
      </c>
      <c r="AA11432">
        <f>IF(AA11434=0,(D11432*N11432+P11432*R11432)*U11432*Y11432,0)</f>
        <v>20.7222912</v>
      </c>
    </row>
    <row r="11433">
      <c r="A11433" t="str">
        <f>A11424</f>
        <v>Lantai Atap</v>
      </c>
      <c r="B11433">
        <f>B11424</f>
        <v>40</v>
      </c>
      <c r="C11433" t="str">
        <v>Tul Atas Tumpuan</v>
      </c>
      <c r="D11433">
        <f>VLOOKUP(D11424,'Detail Balok'!$C$10:$AU$110,10,FALSE)</f>
        <v>4</v>
      </c>
      <c r="E11433" t="str">
        <v>D</v>
      </c>
      <c r="F11433">
        <f>VLOOKUP(D11424,'Detail Balok'!$C$10:$AU$110,12,FALSE)</f>
        <v>16</v>
      </c>
      <c r="I11433" t="str">
        <v>(</v>
      </c>
      <c r="J11433">
        <f>+D11426/4/1000</f>
        <v>1.64125</v>
      </c>
      <c r="K11433" t="str">
        <v>+</v>
      </c>
      <c r="L11433">
        <f>MAX(VLOOKUP(F11433,N$6:P$15,3,FALSE)/1000,2/3*D11428/1000)+F$16*F11433/1000</f>
        <v>0.192</v>
      </c>
      <c r="M11433" t="str">
        <v>=</v>
      </c>
      <c r="N11433">
        <f>J11433+L11433</f>
        <v>1.83325</v>
      </c>
      <c r="O11433" t="str">
        <v>+</v>
      </c>
      <c r="P11433">
        <f>D11433-D11432</f>
        <v>0</v>
      </c>
      <c r="Q11433" t="str">
        <v>x</v>
      </c>
      <c r="R11433">
        <f>IF(P11433&gt;0,$F$18*F11433/1000,0)</f>
        <v>0</v>
      </c>
      <c r="S11433" t="str">
        <v>)</v>
      </c>
      <c r="T11433" t="str">
        <v>x</v>
      </c>
      <c r="U11433">
        <f>0.006165*F11433^2</f>
        <v>1.57824</v>
      </c>
      <c r="X11433" t="str">
        <v>x</v>
      </c>
      <c r="Y11433">
        <f>D11430</f>
        <v>1</v>
      </c>
      <c r="Z11433" t="str">
        <v>=</v>
      </c>
      <c r="AA11433">
        <f>IF(AA11434=0,(D11433*N11433+P11433*R11433)*U11433*Y11433,0)</f>
        <v>11.573233920000002</v>
      </c>
    </row>
    <row r="11434">
      <c r="A11434" t="str">
        <f>A11424</f>
        <v>Lantai Atap</v>
      </c>
      <c r="B11434">
        <f>B11424</f>
        <v>40</v>
      </c>
      <c r="D11434">
        <f>IF(AND(D11431=D11432,D11432=D11433,D11431=D11433),D11431,0)</f>
        <v>0</v>
      </c>
      <c r="E11434" t="str">
        <v>D</v>
      </c>
      <c r="F11434">
        <f>IF(AND(F11431=F11432,F11431=F11433,F11432=F11433),F11431,0)</f>
        <v>16</v>
      </c>
      <c r="L11434" t="str">
        <v>Total panjang per balok</v>
      </c>
      <c r="M11434" t="str">
        <v>=</v>
      </c>
      <c r="N11434">
        <f>IF(AND(D11431=D11432,D11431=D11433,D11432=D11433,F11431=F11432,F11431=F11433,F11432=F11433),SUM(N11431:N11433),0)</f>
        <v>0</v>
      </c>
      <c r="O11434" t="str">
        <v>+</v>
      </c>
      <c r="P11434">
        <f>IF(N11434&gt;12,ROUNDDOWN(N11434/12,0),0)</f>
        <v>0</v>
      </c>
      <c r="Q11434" t="str">
        <v>x</v>
      </c>
      <c r="R11434">
        <f>IF(P11434&gt;0,MAX(VLOOKUP(F11434,$D$6:$G$15,3,FALSE),600),0)/1000</f>
        <v>0</v>
      </c>
      <c r="T11434" t="str">
        <v>x</v>
      </c>
      <c r="U11434">
        <f>U11433</f>
        <v>1.57824</v>
      </c>
      <c r="V11434" t="str">
        <v>x</v>
      </c>
      <c r="W11434">
        <f>D11434</f>
        <v>0</v>
      </c>
      <c r="X11434" t="str">
        <v>x</v>
      </c>
      <c r="Y11434">
        <f>Y11433</f>
        <v>1</v>
      </c>
      <c r="Z11434" t="str">
        <v>=</v>
      </c>
      <c r="AA11434">
        <f>(N11434+P11434*R11434/1000)*U11434*W11434*Y11434</f>
        <v>0</v>
      </c>
    </row>
    <row r="11436">
      <c r="A11436" t="str">
        <f>A11424</f>
        <v>Lantai Atap</v>
      </c>
      <c r="B11436">
        <f>B11424</f>
        <v>40</v>
      </c>
      <c r="C11436" t="str">
        <v>Tul Peminggang</v>
      </c>
      <c r="D11436">
        <f>VLOOKUP(D11424,'Detail Balok'!$C$10:$AU$110,13,FALSE)</f>
        <v>2</v>
      </c>
      <c r="E11436" t="str">
        <v>D</v>
      </c>
      <c r="F11436">
        <f>VLOOKUP(D11424,'Detail Balok'!$C$10:$AU$110,15,FALSE)</f>
        <v>10</v>
      </c>
      <c r="J11436">
        <f>+D11426/1000</f>
        <v>6.565</v>
      </c>
      <c r="K11436" t="str">
        <v>+</v>
      </c>
      <c r="L11436">
        <f>2*$F$16*F11436/1000</f>
        <v>0.24</v>
      </c>
      <c r="M11436" t="str">
        <v>=</v>
      </c>
      <c r="N11436">
        <f>J11436+L11436</f>
        <v>6.805000000000001</v>
      </c>
      <c r="O11436" t="str">
        <v>+</v>
      </c>
      <c r="P11436">
        <f>IF(N11436&gt;12,ROUNDDOWN(N11436/12,0),0)</f>
        <v>0</v>
      </c>
      <c r="Q11436" t="str">
        <v>x</v>
      </c>
      <c r="R11436">
        <f>IF(P11436&gt;0,MAX(VLOOKUP(F11436,$D$6:$G$15,3,FALSE),600),0)/1000</f>
        <v>0</v>
      </c>
      <c r="T11436" t="str">
        <v>x</v>
      </c>
      <c r="U11436">
        <f>0.006165*F11436^2</f>
        <v>0.6165</v>
      </c>
      <c r="V11436" t="str">
        <v>x</v>
      </c>
      <c r="W11436">
        <f>+D11436</f>
        <v>2</v>
      </c>
      <c r="X11436" t="str">
        <v>x</v>
      </c>
      <c r="Y11436">
        <f>D11430</f>
        <v>1</v>
      </c>
      <c r="Z11436" t="str">
        <v>=</v>
      </c>
      <c r="AA11436">
        <f>(N11436+P11436*R11436/1000)*U11436*W11436*Y11436</f>
        <v>8.390565000000002</v>
      </c>
    </row>
    <row r="11439">
      <c r="A11439" t="str">
        <f>A11424</f>
        <v>Lantai Atap</v>
      </c>
      <c r="B11439">
        <f>B11424</f>
        <v>40</v>
      </c>
      <c r="C11439" t="str">
        <v>Tul Bawah Tumpuan</v>
      </c>
      <c r="D11439">
        <f>VLOOKUP(D11424,'Detail Balok'!$C$10:$AU$110,22,FALSE)</f>
        <v>5</v>
      </c>
      <c r="E11439" t="str">
        <v>D</v>
      </c>
      <c r="F11439">
        <f>VLOOKUP(D11424,'Detail Balok'!$C$10:$AU$110,24,FALSE)</f>
        <v>16</v>
      </c>
      <c r="I11439" t="str">
        <v>(</v>
      </c>
      <c r="J11439">
        <f>+J11431</f>
        <v>1.64125</v>
      </c>
      <c r="K11439" t="str">
        <v>+</v>
      </c>
      <c r="L11439">
        <f>MAX(VLOOKUP(F11439,N$6:P$15,3,FALSE)/1000,2/3*D11429/1000)+F$16*F11439/1000</f>
        <v>0.192</v>
      </c>
      <c r="M11439" t="str">
        <v>=</v>
      </c>
      <c r="N11439">
        <f>J11439+L11439</f>
        <v>1.83325</v>
      </c>
      <c r="O11439" t="str">
        <v>+</v>
      </c>
      <c r="P11439">
        <f>D11439-D11440</f>
        <v>0</v>
      </c>
      <c r="Q11439" t="str">
        <v>x</v>
      </c>
      <c r="R11439">
        <f>IF(P11439&gt;0,$F$18*F11439/1000,0)</f>
        <v>0</v>
      </c>
      <c r="S11439" t="str">
        <v>)</v>
      </c>
      <c r="T11439" t="str">
        <v>x</v>
      </c>
      <c r="U11439">
        <f>0.006165*F11439^2</f>
        <v>1.57824</v>
      </c>
      <c r="X11439" t="str">
        <v>x</v>
      </c>
      <c r="Y11439">
        <f>D11430</f>
        <v>1</v>
      </c>
      <c r="Z11439" t="str">
        <v>=</v>
      </c>
      <c r="AA11439">
        <f>IF(AA11442=0,(D11439*N11439+P11439*R11439)*U11439*Y11439,0)</f>
        <v>0</v>
      </c>
    </row>
    <row r="11440">
      <c r="A11440" t="str">
        <f>A11424</f>
        <v>Lantai Atap</v>
      </c>
      <c r="B11440">
        <f>B11424</f>
        <v>40</v>
      </c>
      <c r="C11440" t="str">
        <v>Tul Bawah Lapangan</v>
      </c>
      <c r="D11440">
        <f>VLOOKUP(D11424,'Detail Balok'!$C$10:$AU$110,25,FALSE)</f>
        <v>5</v>
      </c>
      <c r="E11440" t="str">
        <v>D</v>
      </c>
      <c r="F11440">
        <f>VLOOKUP(D11424,'Detail Balok'!$C$10:$AU$110,27,FALSE)</f>
        <v>16</v>
      </c>
      <c r="I11440" t="str">
        <v>(</v>
      </c>
      <c r="J11440">
        <f>+J11432</f>
        <v>3.2825</v>
      </c>
      <c r="K11440" t="str">
        <v>+</v>
      </c>
      <c r="M11440" t="str">
        <v>=</v>
      </c>
      <c r="N11440">
        <f>J11440+L11440</f>
        <v>3.2825</v>
      </c>
      <c r="O11440" t="str">
        <v>+</v>
      </c>
      <c r="P11440">
        <f>MAX(D11440-D11439,D11440-D11441)</f>
        <v>0</v>
      </c>
      <c r="Q11440" t="str">
        <v>x</v>
      </c>
      <c r="R11440">
        <f>IF(P11440&gt;0,2*(1-2*$F$19-1/2)*D11427/1000,0)</f>
        <v>0</v>
      </c>
      <c r="S11440" t="str">
        <v>)</v>
      </c>
      <c r="T11440" t="str">
        <v>x</v>
      </c>
      <c r="U11440">
        <f>0.006165*F11440^2</f>
        <v>1.57824</v>
      </c>
      <c r="X11440" t="str">
        <v>x</v>
      </c>
      <c r="Y11440">
        <f>D11430</f>
        <v>1</v>
      </c>
      <c r="Z11440" t="str">
        <v>=</v>
      </c>
      <c r="AA11440">
        <f>IF(AA11442=0,(D11440*N11440+P11440*R11440)*U11440*Y11440,0)</f>
        <v>0</v>
      </c>
    </row>
    <row r="11441">
      <c r="A11441" t="str">
        <f>A11424</f>
        <v>Lantai Atap</v>
      </c>
      <c r="B11441">
        <f>B11424</f>
        <v>40</v>
      </c>
      <c r="C11441" t="str">
        <v>Tul Bawah Tumpuan</v>
      </c>
      <c r="D11441">
        <f>VLOOKUP(D11424,'Detail Balok'!$C$10:$AU$110,28,FALSE)</f>
        <v>5</v>
      </c>
      <c r="E11441" t="str">
        <v>D</v>
      </c>
      <c r="F11441">
        <f>VLOOKUP(D11424,'Detail Balok'!$C$10:$AU$110,30,FALSE)</f>
        <v>16</v>
      </c>
      <c r="I11441" t="str">
        <v>(</v>
      </c>
      <c r="J11441">
        <f>+J11433</f>
        <v>1.64125</v>
      </c>
      <c r="K11441" t="str">
        <v>+</v>
      </c>
      <c r="L11441">
        <f>MAX(VLOOKUP(F11441,N$6:P$15,3,FALSE)/1000,2/3*D11429/1000)+F$16*F11441/1000</f>
        <v>0.192</v>
      </c>
      <c r="M11441" t="str">
        <v>=</v>
      </c>
      <c r="N11441">
        <f>J11441+L11441</f>
        <v>1.83325</v>
      </c>
      <c r="O11441" t="str">
        <v>+</v>
      </c>
      <c r="P11441">
        <f>D11441-D11440</f>
        <v>0</v>
      </c>
      <c r="Q11441" t="str">
        <v>x</v>
      </c>
      <c r="R11441">
        <f>IF(P11441&gt;0,$F$18*F11441/1000,0)</f>
        <v>0</v>
      </c>
      <c r="S11441" t="str">
        <v>)</v>
      </c>
      <c r="T11441" t="str">
        <v>x</v>
      </c>
      <c r="U11441">
        <f>0.006165*F11441^2</f>
        <v>1.57824</v>
      </c>
      <c r="X11441" t="str">
        <v>x</v>
      </c>
      <c r="Y11441">
        <f>D11430</f>
        <v>1</v>
      </c>
      <c r="Z11441" t="str">
        <v>=</v>
      </c>
      <c r="AA11441">
        <f>IF(AA11442=0,(D11441*N11441+P11441*R11441)*U11441*Y11441,0)</f>
        <v>0</v>
      </c>
    </row>
    <row r="11442">
      <c r="A11442" t="str">
        <f>A11424</f>
        <v>Lantai Atap</v>
      </c>
      <c r="B11442">
        <f>B11424</f>
        <v>40</v>
      </c>
      <c r="D11442">
        <f>IF(AND(D11439=D11440,D11440=D11441,D11439=D11441),D11439,0)</f>
        <v>5</v>
      </c>
      <c r="E11442" t="str">
        <v>D</v>
      </c>
      <c r="F11442">
        <f>IF(AND(F11439=F11440,F11439=F11441,F11440=F11441),F11439,0)</f>
        <v>16</v>
      </c>
      <c r="L11442" t="str">
        <v>Total panjang per balok</v>
      </c>
      <c r="M11442" t="str">
        <v>=</v>
      </c>
      <c r="N11442">
        <f>IF(AND(D11439=D11440,D11439=D11441,D11440=D11441,F11439=F11440,F11439=F11441,F11440=F11441),SUM(N11439:N11441),0)</f>
        <v>6.949</v>
      </c>
      <c r="O11442" t="str">
        <v>+</v>
      </c>
      <c r="P11442">
        <f>IF(N11442&gt;12,ROUNDDOWN(N11442/12,0),0)</f>
        <v>0</v>
      </c>
      <c r="Q11442" t="str">
        <v>x</v>
      </c>
      <c r="R11442">
        <f>IF(P11442&gt;0,MAX(VLOOKUP(F11442,$D$6:$G$15,3,FALSE),600),0)/1000</f>
        <v>0</v>
      </c>
      <c r="T11442" t="str">
        <v>x</v>
      </c>
      <c r="U11442">
        <f>U11441</f>
        <v>1.57824</v>
      </c>
      <c r="V11442" t="str">
        <v>x</v>
      </c>
      <c r="W11442">
        <f>D11442</f>
        <v>5</v>
      </c>
      <c r="X11442" t="str">
        <v>x</v>
      </c>
      <c r="Y11442">
        <f>Y11441</f>
        <v>1</v>
      </c>
      <c r="Z11442" t="str">
        <v>=</v>
      </c>
      <c r="AA11442">
        <f>(N11442+P11442*R11442/1000)*U11442*W11442*Y11442</f>
        <v>54.8359488</v>
      </c>
    </row>
    <row r="11444">
      <c r="A11444" t="str">
        <f>A11424</f>
        <v>Lantai Atap</v>
      </c>
      <c r="B11444">
        <f>B11424</f>
        <v>40</v>
      </c>
      <c r="C11444" t="str">
        <v>Sengkang Tumpuan</v>
      </c>
      <c r="D11444">
        <f>VLOOKUP(D11424,'Detail Balok'!$C$10:$AU$110,31,FALSE)</f>
        <v>0</v>
      </c>
      <c r="E11444" t="str">
        <v>D</v>
      </c>
      <c r="F11444">
        <f>VLOOKUP(D11424,'Detail Balok'!$C$10:$AU$110,33,FALSE)</f>
        <v>10</v>
      </c>
      <c r="G11444" t="str">
        <v>-</v>
      </c>
      <c r="H11444">
        <f>VLOOKUP(D11424,'Detail Balok'!$C$10:$AU$110,35,FALSE)</f>
        <v>90</v>
      </c>
      <c r="J11444">
        <f>(IF(D11444=0,(2*(D11425+G11425))-(F$5*8),IF(D11444=3,(2*(D11425+G11425))-(F$5*8)+(G11425-2*F$5),IF(D11444=4,(2*(D11425+G11425))-(F$5*8)+2*(G11425-2*F$5)))))/1000</f>
        <v>1.08</v>
      </c>
      <c r="K11444" t="str">
        <v>+</v>
      </c>
      <c r="L11444">
        <f>IF(D11444=0,2*MAX(6*F11444,75),(D11444-1)*2*MAX(6*F11444,75))/1000</f>
        <v>0.15</v>
      </c>
      <c r="M11444" t="str">
        <v>=</v>
      </c>
      <c r="N11444">
        <f>J11444+L11444</f>
        <v>1.23</v>
      </c>
      <c r="T11444" t="str">
        <v>x</v>
      </c>
      <c r="U11444">
        <f>0.006165*F11444^2</f>
        <v>0.6165</v>
      </c>
      <c r="V11444" t="str">
        <v>x</v>
      </c>
      <c r="W11444">
        <f>IF(D11427&gt;4*G11425,ROUND(MAX(D11427/4,2*G11425)/H11444,0)+1,ROUND(D11427/H11444,0)+1)</f>
        <v>19</v>
      </c>
      <c r="X11444" t="str">
        <v>x</v>
      </c>
      <c r="Y11444">
        <f>D11430</f>
        <v>1</v>
      </c>
      <c r="Z11444" t="str">
        <v>=</v>
      </c>
      <c r="AA11444">
        <f>N11444*U11444*W11444*Y11444</f>
        <v>14.407605</v>
      </c>
    </row>
    <row r="11445">
      <c r="A11445" t="str">
        <f>A11424</f>
        <v>Lantai Atap</v>
      </c>
      <c r="B11445">
        <f>B11424</f>
        <v>40</v>
      </c>
      <c r="C11445" t="str">
        <v>Sengkang Lapangan</v>
      </c>
      <c r="D11445">
        <f>VLOOKUP(D11424,'Detail Balok'!$C$10:$AU$110,36,FALSE)</f>
        <v>0</v>
      </c>
      <c r="E11445" t="str">
        <v>D</v>
      </c>
      <c r="F11445">
        <f>VLOOKUP(D11424,'Detail Balok'!$C$10:$AU$110,38,FALSE)</f>
        <v>10</v>
      </c>
      <c r="G11445" t="str">
        <v>-</v>
      </c>
      <c r="H11445">
        <f>VLOOKUP(D11424,'Detail Balok'!$C$10:$AU$110,40,FALSE)</f>
        <v>200</v>
      </c>
      <c r="J11445">
        <f>(IF(D11445=0,(2*(D11425+G11425))-(F$5*8),IF(D11445=3,(2*(D11425+G11425))-(F$5*8)+(G11425-2*F$5),IF(D11445=4,(2*(D11425+G11425))-(F$5*8)+2*(G11425-2*F$5)))))/1000</f>
        <v>1.08</v>
      </c>
      <c r="K11445" t="str">
        <v>+</v>
      </c>
      <c r="L11445">
        <f>IF(D11445=0,2*MAX(6*F11445,75),(D11445-1)*2*MAX(6*F11445,75))/1000</f>
        <v>0.15</v>
      </c>
      <c r="M11445" t="str">
        <v>=</v>
      </c>
      <c r="N11445">
        <f>J11445+L11445</f>
        <v>1.23</v>
      </c>
      <c r="T11445" t="str">
        <v>x</v>
      </c>
      <c r="U11445">
        <f>0.006165*F11445^2</f>
        <v>0.6165</v>
      </c>
      <c r="V11445" t="str">
        <v>x</v>
      </c>
      <c r="W11445">
        <f>IF(D11427-MAX(D11427/4,2*G11425)*2&gt;0,ROUND((D11427-MAX(D11427/4,2*G11425)*2)/H11445,0),0)</f>
        <v>16</v>
      </c>
      <c r="X11445" t="str">
        <v>x</v>
      </c>
      <c r="Y11445">
        <f>D11430</f>
        <v>1</v>
      </c>
      <c r="Z11445" t="str">
        <v>=</v>
      </c>
      <c r="AA11445">
        <f>N11445*U11445*W11445*Y11445</f>
        <v>12.13272</v>
      </c>
    </row>
    <row r="11446">
      <c r="A11446" t="str">
        <f>A11424</f>
        <v>Lantai Atap</v>
      </c>
      <c r="B11446">
        <f>B11424</f>
        <v>40</v>
      </c>
      <c r="C11446" t="str">
        <v>Sengkang Tumpuan</v>
      </c>
      <c r="D11446">
        <f>VLOOKUP(D11424,'Detail Balok'!$C$10:$AU$110,41,FALSE)</f>
        <v>0</v>
      </c>
      <c r="E11446" t="str">
        <v>D</v>
      </c>
      <c r="F11446">
        <f>VLOOKUP(D11424,'Detail Balok'!$C$10:$AU$110,43,FALSE)</f>
        <v>10</v>
      </c>
      <c r="G11446" t="str">
        <v>-</v>
      </c>
      <c r="H11446">
        <f>VLOOKUP(D11424,'Detail Balok'!$C$10:$AU$110,45,FALSE)</f>
        <v>90</v>
      </c>
      <c r="J11446">
        <f>(IF(D11446=0,(2*(D11425+G11425))-(F$5*8),IF(D11446=3,(2*(D11425+G11425))-(F$5*8)+(G11425-2*F$5),IF(D11446=4,(2*(D11425+G11425))-(F$5*8)+2*(G11425-2*F$5)))))/1000</f>
        <v>1.08</v>
      </c>
      <c r="K11446" t="str">
        <v>+</v>
      </c>
      <c r="L11446">
        <f>IF(D11446=0,2*MAX(6*F11446,75),(D11446-1)*2*MAX(6*F11446,75))/1000</f>
        <v>0.15</v>
      </c>
      <c r="M11446" t="str">
        <v>=</v>
      </c>
      <c r="N11446">
        <f>J11446+L11446</f>
        <v>1.23</v>
      </c>
      <c r="T11446" t="str">
        <v>x</v>
      </c>
      <c r="U11446">
        <f>0.006165*F11446^2</f>
        <v>0.6165</v>
      </c>
      <c r="V11446" t="str">
        <v>x</v>
      </c>
      <c r="W11446">
        <f>IF(D11427&gt;4*G11425,ROUND(MAX(D11427/4,2*G11425)/H11446,0)+1,0)</f>
        <v>19</v>
      </c>
      <c r="X11446" t="str">
        <v>x</v>
      </c>
      <c r="Y11446">
        <f>D11430</f>
        <v>1</v>
      </c>
      <c r="Z11446" t="str">
        <v>=</v>
      </c>
      <c r="AA11446">
        <f>N11446*U11446*W11446*Y11446</f>
        <v>14.407605</v>
      </c>
    </row>
    <row r="11448">
      <c r="A11448" t="str">
        <f>A11424</f>
        <v>Lantai Atap</v>
      </c>
      <c r="B11448">
        <f>B11424</f>
        <v>40</v>
      </c>
      <c r="C11448" t="str">
        <v>Kait Horizontal Tump.</v>
      </c>
      <c r="D11448">
        <f>VLOOKUP(D11424,'Detail Balok'!$C$10:$BJ$110,46,FALSE)</f>
        <v>0</v>
      </c>
      <c r="E11448" t="str">
        <v>D</v>
      </c>
      <c r="F11448">
        <f>VLOOKUP(D11424,'Detail Balok'!$C$10:$BJ$110,48,FALSE)</f>
        <v>0</v>
      </c>
      <c r="G11448" t="str">
        <v>-</v>
      </c>
      <c r="H11448">
        <f>VLOOKUP(D11424,'Detail Balok'!$C$10:$BJ$110,50,FALSE)</f>
        <v>100</v>
      </c>
      <c r="J11448">
        <f>(D11425-2*F$5)/1000</f>
        <v>0.12</v>
      </c>
      <c r="K11448" t="str">
        <v>+</v>
      </c>
      <c r="L11448">
        <f>IF(D11448=0,2*MAX(6*F11448,75),(D11448-1)*2*MAX(6*F11448,75))/1000</f>
        <v>0.15</v>
      </c>
      <c r="M11448" t="str">
        <v>=</v>
      </c>
      <c r="N11448">
        <f>J11448+L11448</f>
        <v>0.27</v>
      </c>
      <c r="T11448" t="str">
        <v>x</v>
      </c>
      <c r="U11448">
        <f>0.006165*F11448^2</f>
        <v>0</v>
      </c>
      <c r="V11448" t="str">
        <v>x</v>
      </c>
      <c r="W11448">
        <f>W11444</f>
        <v>19</v>
      </c>
      <c r="X11448" t="str">
        <v>x</v>
      </c>
      <c r="Y11448">
        <f>D11434</f>
        <v>0</v>
      </c>
      <c r="Z11448" t="str">
        <v>=</v>
      </c>
      <c r="AA11448">
        <f>N11448*U11448*W11448*Y11448</f>
        <v>0</v>
      </c>
    </row>
    <row r="11449">
      <c r="A11449" t="str">
        <f>A11424</f>
        <v>Lantai Atap</v>
      </c>
      <c r="B11449">
        <f>B11424</f>
        <v>40</v>
      </c>
      <c r="C11449" t="str">
        <v>Kait Horizontal Lap.</v>
      </c>
      <c r="D11449">
        <f>VLOOKUP(D11424,'Detail Balok'!$C$10:$BJ$110,51,FALSE)</f>
        <v>0</v>
      </c>
      <c r="E11449" t="str">
        <v>D</v>
      </c>
      <c r="F11449">
        <f>VLOOKUP(D11424,'Detail Balok'!$C$10:$BJ$110,53,FALSE)</f>
        <v>0</v>
      </c>
      <c r="G11449" t="str">
        <v>-</v>
      </c>
      <c r="H11449">
        <f>VLOOKUP(D11424,'Detail Balok'!$C$10:$BJ$110,55,FALSE)</f>
        <v>100</v>
      </c>
      <c r="J11449">
        <f>(D11425-2*F$5)/1000</f>
        <v>0.12</v>
      </c>
      <c r="K11449" t="str">
        <v>+</v>
      </c>
      <c r="L11449">
        <f>IF(D11449=0,2*MAX(6*F11449,75),(D11449-1)*2*MAX(6*F11449,75))/1000</f>
        <v>0.15</v>
      </c>
      <c r="M11449" t="str">
        <v>=</v>
      </c>
      <c r="N11449">
        <f>J11449+L11449</f>
        <v>0.27</v>
      </c>
      <c r="T11449" t="str">
        <v>x</v>
      </c>
      <c r="U11449">
        <f>0.006165*F11449^2</f>
        <v>0</v>
      </c>
      <c r="V11449" t="str">
        <v>x</v>
      </c>
      <c r="W11449">
        <f>W11445</f>
        <v>16</v>
      </c>
      <c r="X11449" t="str">
        <v>x</v>
      </c>
      <c r="Y11449">
        <f>D11434</f>
        <v>0</v>
      </c>
      <c r="Z11449" t="str">
        <v>=</v>
      </c>
      <c r="AA11449">
        <f>N11449*U11449*W11449*Y11449</f>
        <v>0</v>
      </c>
    </row>
    <row r="11450">
      <c r="A11450" t="str">
        <f>A11424</f>
        <v>Lantai Atap</v>
      </c>
      <c r="B11450">
        <f>B11424</f>
        <v>40</v>
      </c>
      <c r="C11450" t="str">
        <v>Kait Horizontal Tump.</v>
      </c>
      <c r="D11450">
        <f>VLOOKUP(D11424,'Detail Balok'!$C$10:$BJ$110,56,FALSE)</f>
        <v>0</v>
      </c>
      <c r="E11450" t="str">
        <v>D</v>
      </c>
      <c r="F11450">
        <f>VLOOKUP(D11424,'Detail Balok'!$C$10:$BJ$110,58,FALSE)</f>
        <v>0</v>
      </c>
      <c r="G11450" t="str">
        <v>-</v>
      </c>
      <c r="H11450">
        <f>VLOOKUP(D11424,'Detail Balok'!$C$10:$BJ$110,60,FALSE)</f>
        <v>100</v>
      </c>
      <c r="J11450">
        <f>(D11425-2*F$5)/1000</f>
        <v>0.12</v>
      </c>
      <c r="K11450" t="str">
        <v>+</v>
      </c>
      <c r="L11450">
        <f>IF(D11450=0,2*MAX(6*F11450,75),(D11450-1)*2*MAX(6*F11450,75))/1000</f>
        <v>0.15</v>
      </c>
      <c r="M11450" t="str">
        <v>=</v>
      </c>
      <c r="N11450">
        <f>J11450+L11450</f>
        <v>0.27</v>
      </c>
      <c r="T11450" t="str">
        <v>x</v>
      </c>
      <c r="U11450">
        <f>0.006165*F11450^2</f>
        <v>0</v>
      </c>
      <c r="V11450" t="str">
        <v>x</v>
      </c>
      <c r="W11450">
        <f>W11446</f>
        <v>19</v>
      </c>
      <c r="X11450" t="str">
        <v>x</v>
      </c>
      <c r="Y11450">
        <f>D11434</f>
        <v>0</v>
      </c>
      <c r="Z11450" t="str">
        <v>=</v>
      </c>
      <c r="AA11450">
        <f>N11450*U11450*W11450*Y11450</f>
        <v>0</v>
      </c>
    </row>
    <row r="11454">
      <c r="A11454" t="str">
        <f>A11424</f>
        <v>Lantai Atap</v>
      </c>
      <c r="B11454">
        <f>B11424+1</f>
        <v>41</v>
      </c>
      <c r="C11454" t="str">
        <f>CONCATENATE(A11454," no. ",B11454)</f>
        <v>Lantai Atap no. 41</v>
      </c>
      <c r="D11454" t="str">
        <f>VLOOKUP(C11454,'Data Panjang Balok'!$C$9:$N$424,2,FALSE)</f>
        <v>B245-5</v>
      </c>
    </row>
    <row r="11455">
      <c r="C11455" t="str">
        <v>Dimensi</v>
      </c>
      <c r="D11455">
        <f>VLOOKUP(D11454,'Detail Balok'!$C$10:$AU$110,2,FALSE)</f>
        <v>200</v>
      </c>
      <c r="F11455" t="str">
        <v>x</v>
      </c>
      <c r="G11455">
        <f>VLOOKUP(D11454,'Detail Balok'!$C$10:$AU$110,3,FALSE)</f>
        <v>450</v>
      </c>
    </row>
    <row r="11456">
      <c r="C11456" t="str">
        <v>Panjang as ke as</v>
      </c>
      <c r="D11456">
        <f>VLOOKUP(C11454,'Data Panjang Balok'!$C$9:$N$424,4,FALSE)</f>
        <v>3700</v>
      </c>
    </row>
    <row r="11457">
      <c r="C11457" t="str">
        <v>Panjang netto</v>
      </c>
      <c r="D11457">
        <f>VLOOKUP(C11454,'Data Panjang Balok'!$C$9:$N$424,7,FALSE)</f>
        <v>3700</v>
      </c>
    </row>
    <row r="11458">
      <c r="C11458" t="str">
        <v>Kolom / balok kiri</v>
      </c>
      <c r="D11458">
        <f>VLOOKUP(C11454,'Data Panjang Balok'!$C$9:$N$424,9,FALSE)</f>
        <v>0</v>
      </c>
    </row>
    <row r="11459">
      <c r="C11459" t="str">
        <v>Kolom / balok kanan</v>
      </c>
      <c r="D11459">
        <f>VLOOKUP(C11454,'Data Panjang Balok'!$C$9:$N$424,10,FALSE)</f>
        <v>0</v>
      </c>
    </row>
    <row r="11460">
      <c r="C11460" t="str">
        <v>Jumlah</v>
      </c>
      <c r="D11460">
        <f>VLOOKUP(C11454,'Data Panjang Balok'!$C$9:$N$424,3,FALSE)</f>
        <v>1</v>
      </c>
    </row>
    <row r="11461">
      <c r="A11461" t="str">
        <f>A11454</f>
        <v>Lantai Atap</v>
      </c>
      <c r="B11461">
        <f>B11454</f>
        <v>41</v>
      </c>
      <c r="C11461" t="str">
        <v>Tul Atas Tumpuan</v>
      </c>
      <c r="D11461">
        <f>VLOOKUP(D11454,'Detail Balok'!$C$10:$AU$110,4,FALSE)</f>
        <v>3</v>
      </c>
      <c r="E11461" t="str">
        <v>D</v>
      </c>
      <c r="F11461">
        <f>VLOOKUP(D11454,'Detail Balok'!$C$10:$AU$110,6,FALSE)</f>
        <v>16</v>
      </c>
      <c r="I11461" t="str">
        <v>(</v>
      </c>
      <c r="J11461">
        <f>+D11456/4/1000</f>
        <v>0.925</v>
      </c>
      <c r="K11461" t="str">
        <v>+</v>
      </c>
      <c r="L11461">
        <f>MAX(VLOOKUP(F11461,N$6:P$15,3,FALSE)/1000,2/3*D11458/1000)+F$16*F11461/1000</f>
        <v>0.192</v>
      </c>
      <c r="M11461" t="str">
        <v>=</v>
      </c>
      <c r="N11461">
        <f>J11461+L11461</f>
        <v>1.117</v>
      </c>
      <c r="O11461" t="str">
        <v>+</v>
      </c>
      <c r="P11461">
        <f>D11461-D11462</f>
        <v>0</v>
      </c>
      <c r="Q11461" t="str">
        <v>x</v>
      </c>
      <c r="R11461">
        <f>IF(P11461&gt;0,$F$18*F11461/1000,0)</f>
        <v>0</v>
      </c>
      <c r="S11461" t="str">
        <v>)</v>
      </c>
      <c r="T11461" t="str">
        <v>x</v>
      </c>
      <c r="U11461">
        <f>0.006165*F11461^2</f>
        <v>1.57824</v>
      </c>
      <c r="X11461" t="str">
        <v>x</v>
      </c>
      <c r="Y11461">
        <f>D11460</f>
        <v>1</v>
      </c>
      <c r="Z11461" t="str">
        <v>=</v>
      </c>
      <c r="AA11461">
        <f>IF(AA11464=0,(D11461*N11461+P11461*R11461)*U11461*Y11461,0)</f>
        <v>0</v>
      </c>
    </row>
    <row r="11462">
      <c r="A11462" t="str">
        <f>A11454</f>
        <v>Lantai Atap</v>
      </c>
      <c r="B11462">
        <f>B11454</f>
        <v>41</v>
      </c>
      <c r="C11462" t="str">
        <v>Tul Atas Lapangan</v>
      </c>
      <c r="D11462">
        <f>VLOOKUP(D11454,'Detail Balok'!$C$10:$AU$110,7,FALSE)</f>
        <v>3</v>
      </c>
      <c r="E11462" t="str">
        <v>D</v>
      </c>
      <c r="F11462">
        <f>VLOOKUP(D11454,'Detail Balok'!$C$10:$AU$110,9,FALSE)</f>
        <v>16</v>
      </c>
      <c r="I11462" t="str">
        <v>(</v>
      </c>
      <c r="J11462">
        <f>+D11456/2/1000</f>
        <v>1.85</v>
      </c>
      <c r="K11462" t="str">
        <v>+</v>
      </c>
      <c r="M11462" t="str">
        <v>=</v>
      </c>
      <c r="N11462">
        <f>J11462+L11462</f>
        <v>1.85</v>
      </c>
      <c r="O11462" t="str">
        <v>+</v>
      </c>
      <c r="P11462">
        <f>MAX(D11462-D11461,D11462-D11463)</f>
        <v>0</v>
      </c>
      <c r="Q11462" t="str">
        <v>x</v>
      </c>
      <c r="R11462">
        <f>IF(P11462&gt;0,2*(1-2*$F$19-1/2)*D11457/1000,0)</f>
        <v>0</v>
      </c>
      <c r="S11462" t="str">
        <v>)</v>
      </c>
      <c r="T11462" t="str">
        <v>x</v>
      </c>
      <c r="U11462">
        <f>0.006165*F11462^2</f>
        <v>1.57824</v>
      </c>
      <c r="X11462" t="str">
        <v>x</v>
      </c>
      <c r="Y11462">
        <f>D11460</f>
        <v>1</v>
      </c>
      <c r="Z11462" t="str">
        <v>=</v>
      </c>
      <c r="AA11462">
        <f>IF(AA11464=0,(D11462*N11462+P11462*R11462)*U11462*Y11462,0)</f>
        <v>0</v>
      </c>
    </row>
    <row r="11463">
      <c r="A11463" t="str">
        <f>A11454</f>
        <v>Lantai Atap</v>
      </c>
      <c r="B11463">
        <f>B11454</f>
        <v>41</v>
      </c>
      <c r="C11463" t="str">
        <v>Tul Atas Tumpuan</v>
      </c>
      <c r="D11463">
        <f>VLOOKUP(D11454,'Detail Balok'!$C$10:$AU$110,10,FALSE)</f>
        <v>3</v>
      </c>
      <c r="E11463" t="str">
        <v>D</v>
      </c>
      <c r="F11463">
        <f>VLOOKUP(D11454,'Detail Balok'!$C$10:$AU$110,12,FALSE)</f>
        <v>16</v>
      </c>
      <c r="I11463" t="str">
        <v>(</v>
      </c>
      <c r="J11463">
        <f>+D11456/4/1000</f>
        <v>0.925</v>
      </c>
      <c r="K11463" t="str">
        <v>+</v>
      </c>
      <c r="L11463">
        <f>MAX(VLOOKUP(F11463,N$6:P$15,3,FALSE)/1000,2/3*D11458/1000)+F$16*F11463/1000</f>
        <v>0.192</v>
      </c>
      <c r="M11463" t="str">
        <v>=</v>
      </c>
      <c r="N11463">
        <f>J11463+L11463</f>
        <v>1.117</v>
      </c>
      <c r="O11463" t="str">
        <v>+</v>
      </c>
      <c r="P11463">
        <f>D11463-D11462</f>
        <v>0</v>
      </c>
      <c r="Q11463" t="str">
        <v>x</v>
      </c>
      <c r="R11463">
        <f>IF(P11463&gt;0,$F$18*F11463/1000,0)</f>
        <v>0</v>
      </c>
      <c r="S11463" t="str">
        <v>)</v>
      </c>
      <c r="T11463" t="str">
        <v>x</v>
      </c>
      <c r="U11463">
        <f>0.006165*F11463^2</f>
        <v>1.57824</v>
      </c>
      <c r="X11463" t="str">
        <v>x</v>
      </c>
      <c r="Y11463">
        <f>D11460</f>
        <v>1</v>
      </c>
      <c r="Z11463" t="str">
        <v>=</v>
      </c>
      <c r="AA11463">
        <f>IF(AA11464=0,(D11463*N11463+P11463*R11463)*U11463*Y11463,0)</f>
        <v>0</v>
      </c>
    </row>
    <row r="11464">
      <c r="A11464" t="str">
        <f>A11454</f>
        <v>Lantai Atap</v>
      </c>
      <c r="B11464">
        <f>B11454</f>
        <v>41</v>
      </c>
      <c r="D11464">
        <f>IF(AND(D11461=D11462,D11462=D11463,D11461=D11463),D11461,0)</f>
        <v>3</v>
      </c>
      <c r="E11464" t="str">
        <v>D</v>
      </c>
      <c r="F11464">
        <f>IF(AND(F11461=F11462,F11461=F11463,F11462=F11463),F11461,0)</f>
        <v>16</v>
      </c>
      <c r="L11464" t="str">
        <v>Total panjang per balok</v>
      </c>
      <c r="M11464" t="str">
        <v>=</v>
      </c>
      <c r="N11464">
        <f>IF(AND(D11461=D11462,D11461=D11463,D11462=D11463,F11461=F11462,F11461=F11463,F11462=F11463),SUM(N11461:N11463),0)</f>
        <v>4.084</v>
      </c>
      <c r="O11464" t="str">
        <v>+</v>
      </c>
      <c r="P11464">
        <f>IF(N11464&gt;12,ROUNDDOWN(N11464/12,0),0)</f>
        <v>0</v>
      </c>
      <c r="Q11464" t="str">
        <v>x</v>
      </c>
      <c r="R11464">
        <f>IF(P11464&gt;0,MAX(VLOOKUP(F11464,$D$6:$G$15,3,FALSE),600),0)/1000</f>
        <v>0</v>
      </c>
      <c r="T11464" t="str">
        <v>x</v>
      </c>
      <c r="U11464">
        <f>U11463</f>
        <v>1.57824</v>
      </c>
      <c r="V11464" t="str">
        <v>x</v>
      </c>
      <c r="W11464">
        <f>D11464</f>
        <v>3</v>
      </c>
      <c r="X11464" t="str">
        <v>x</v>
      </c>
      <c r="Y11464">
        <f>Y11463</f>
        <v>1</v>
      </c>
      <c r="Z11464" t="str">
        <v>=</v>
      </c>
      <c r="AA11464">
        <f>(N11464+P11464*R11464/1000)*U11464*W11464*Y11464</f>
        <v>19.33659648</v>
      </c>
    </row>
    <row r="11466">
      <c r="A11466" t="str">
        <f>A11454</f>
        <v>Lantai Atap</v>
      </c>
      <c r="B11466">
        <f>B11454</f>
        <v>41</v>
      </c>
      <c r="C11466" t="str">
        <v>Tul Peminggang</v>
      </c>
      <c r="D11466">
        <f>VLOOKUP(D11454,'Detail Balok'!$C$10:$AU$110,13,FALSE)</f>
        <v>2</v>
      </c>
      <c r="E11466" t="str">
        <v>D</v>
      </c>
      <c r="F11466">
        <f>VLOOKUP(D11454,'Detail Balok'!$C$10:$AU$110,15,FALSE)</f>
        <v>10</v>
      </c>
      <c r="J11466">
        <f>+D11456/1000</f>
        <v>3.7</v>
      </c>
      <c r="K11466" t="str">
        <v>+</v>
      </c>
      <c r="L11466">
        <f>2*$F$16*F11466/1000</f>
        <v>0.24</v>
      </c>
      <c r="M11466" t="str">
        <v>=</v>
      </c>
      <c r="N11466">
        <f>J11466+L11466</f>
        <v>3.9400000000000004</v>
      </c>
      <c r="O11466" t="str">
        <v>+</v>
      </c>
      <c r="P11466">
        <f>IF(N11466&gt;12,ROUNDDOWN(N11466/12,0),0)</f>
        <v>0</v>
      </c>
      <c r="Q11466" t="str">
        <v>x</v>
      </c>
      <c r="R11466">
        <f>IF(P11466&gt;0,MAX(VLOOKUP(F11466,$D$6:$G$15,3,FALSE),600),0)/1000</f>
        <v>0</v>
      </c>
      <c r="T11466" t="str">
        <v>x</v>
      </c>
      <c r="U11466">
        <f>0.006165*F11466^2</f>
        <v>0.6165</v>
      </c>
      <c r="V11466" t="str">
        <v>x</v>
      </c>
      <c r="W11466">
        <f>+D11466</f>
        <v>2</v>
      </c>
      <c r="X11466" t="str">
        <v>x</v>
      </c>
      <c r="Y11466">
        <f>D11460</f>
        <v>1</v>
      </c>
      <c r="Z11466" t="str">
        <v>=</v>
      </c>
      <c r="AA11466">
        <f>(N11466+P11466*R11466/1000)*U11466*W11466*Y11466</f>
        <v>4.858020000000001</v>
      </c>
    </row>
    <row r="11469">
      <c r="A11469" t="str">
        <f>A11454</f>
        <v>Lantai Atap</v>
      </c>
      <c r="B11469">
        <f>B11454</f>
        <v>41</v>
      </c>
      <c r="C11469" t="str">
        <v>Tul Bawah Tumpuan</v>
      </c>
      <c r="D11469">
        <f>VLOOKUP(D11454,'Detail Balok'!$C$10:$AU$110,22,FALSE)</f>
        <v>4</v>
      </c>
      <c r="E11469" t="str">
        <v>D</v>
      </c>
      <c r="F11469">
        <f>VLOOKUP(D11454,'Detail Balok'!$C$10:$AU$110,24,FALSE)</f>
        <v>16</v>
      </c>
      <c r="I11469" t="str">
        <v>(</v>
      </c>
      <c r="J11469">
        <f>+J11461</f>
        <v>0.925</v>
      </c>
      <c r="K11469" t="str">
        <v>+</v>
      </c>
      <c r="L11469">
        <f>MAX(VLOOKUP(F11469,N$6:P$15,3,FALSE)/1000,2/3*D11459/1000)+F$16*F11469/1000</f>
        <v>0.192</v>
      </c>
      <c r="M11469" t="str">
        <v>=</v>
      </c>
      <c r="N11469">
        <f>J11469+L11469</f>
        <v>1.117</v>
      </c>
      <c r="O11469" t="str">
        <v>+</v>
      </c>
      <c r="P11469">
        <f>D11469-D11470</f>
        <v>0</v>
      </c>
      <c r="Q11469" t="str">
        <v>x</v>
      </c>
      <c r="R11469">
        <f>IF(P11469&gt;0,$F$18*F11469/1000,0)</f>
        <v>0</v>
      </c>
      <c r="S11469" t="str">
        <v>)</v>
      </c>
      <c r="T11469" t="str">
        <v>x</v>
      </c>
      <c r="U11469">
        <f>0.006165*F11469^2</f>
        <v>1.57824</v>
      </c>
      <c r="X11469" t="str">
        <v>x</v>
      </c>
      <c r="Y11469">
        <f>D11460</f>
        <v>1</v>
      </c>
      <c r="Z11469" t="str">
        <v>=</v>
      </c>
      <c r="AA11469">
        <f>IF(AA11472=0,(D11469*N11469+P11469*R11469)*U11469*Y11469,0)</f>
        <v>0</v>
      </c>
    </row>
    <row r="11470">
      <c r="A11470" t="str">
        <f>A11454</f>
        <v>Lantai Atap</v>
      </c>
      <c r="B11470">
        <f>B11454</f>
        <v>41</v>
      </c>
      <c r="C11470" t="str">
        <v>Tul Bawah Lapangan</v>
      </c>
      <c r="D11470">
        <f>VLOOKUP(D11454,'Detail Balok'!$C$10:$AU$110,25,FALSE)</f>
        <v>4</v>
      </c>
      <c r="E11470" t="str">
        <v>D</v>
      </c>
      <c r="F11470">
        <f>VLOOKUP(D11454,'Detail Balok'!$C$10:$AU$110,27,FALSE)</f>
        <v>16</v>
      </c>
      <c r="I11470" t="str">
        <v>(</v>
      </c>
      <c r="J11470">
        <f>+J11462</f>
        <v>1.85</v>
      </c>
      <c r="K11470" t="str">
        <v>+</v>
      </c>
      <c r="M11470" t="str">
        <v>=</v>
      </c>
      <c r="N11470">
        <f>J11470+L11470</f>
        <v>1.85</v>
      </c>
      <c r="O11470" t="str">
        <v>+</v>
      </c>
      <c r="P11470">
        <f>MAX(D11470-D11469,D11470-D11471)</f>
        <v>0</v>
      </c>
      <c r="Q11470" t="str">
        <v>x</v>
      </c>
      <c r="R11470">
        <f>IF(P11470&gt;0,2*(1-2*$F$19-1/2)*D11457/1000,0)</f>
        <v>0</v>
      </c>
      <c r="S11470" t="str">
        <v>)</v>
      </c>
      <c r="T11470" t="str">
        <v>x</v>
      </c>
      <c r="U11470">
        <f>0.006165*F11470^2</f>
        <v>1.57824</v>
      </c>
      <c r="X11470" t="str">
        <v>x</v>
      </c>
      <c r="Y11470">
        <f>D11460</f>
        <v>1</v>
      </c>
      <c r="Z11470" t="str">
        <v>=</v>
      </c>
      <c r="AA11470">
        <f>IF(AA11472=0,(D11470*N11470+P11470*R11470)*U11470*Y11470,0)</f>
        <v>0</v>
      </c>
    </row>
    <row r="11471">
      <c r="A11471" t="str">
        <f>A11454</f>
        <v>Lantai Atap</v>
      </c>
      <c r="B11471">
        <f>B11454</f>
        <v>41</v>
      </c>
      <c r="C11471" t="str">
        <v>Tul Bawah Tumpuan</v>
      </c>
      <c r="D11471">
        <f>VLOOKUP(D11454,'Detail Balok'!$C$10:$AU$110,28,FALSE)</f>
        <v>4</v>
      </c>
      <c r="E11471" t="str">
        <v>D</v>
      </c>
      <c r="F11471">
        <f>VLOOKUP(D11454,'Detail Balok'!$C$10:$AU$110,30,FALSE)</f>
        <v>16</v>
      </c>
      <c r="I11471" t="str">
        <v>(</v>
      </c>
      <c r="J11471">
        <f>+J11463</f>
        <v>0.925</v>
      </c>
      <c r="K11471" t="str">
        <v>+</v>
      </c>
      <c r="L11471">
        <f>MAX(VLOOKUP(F11471,N$6:P$15,3,FALSE)/1000,2/3*D11459/1000)+F$16*F11471/1000</f>
        <v>0.192</v>
      </c>
      <c r="M11471" t="str">
        <v>=</v>
      </c>
      <c r="N11471">
        <f>J11471+L11471</f>
        <v>1.117</v>
      </c>
      <c r="O11471" t="str">
        <v>+</v>
      </c>
      <c r="P11471">
        <f>D11471-D11470</f>
        <v>0</v>
      </c>
      <c r="Q11471" t="str">
        <v>x</v>
      </c>
      <c r="R11471">
        <f>IF(P11471&gt;0,$F$18*F11471/1000,0)</f>
        <v>0</v>
      </c>
      <c r="S11471" t="str">
        <v>)</v>
      </c>
      <c r="T11471" t="str">
        <v>x</v>
      </c>
      <c r="U11471">
        <f>0.006165*F11471^2</f>
        <v>1.57824</v>
      </c>
      <c r="X11471" t="str">
        <v>x</v>
      </c>
      <c r="Y11471">
        <f>D11460</f>
        <v>1</v>
      </c>
      <c r="Z11471" t="str">
        <v>=</v>
      </c>
      <c r="AA11471">
        <f>IF(AA11472=0,(D11471*N11471+P11471*R11471)*U11471*Y11471,0)</f>
        <v>0</v>
      </c>
    </row>
    <row r="11472">
      <c r="A11472" t="str">
        <f>A11454</f>
        <v>Lantai Atap</v>
      </c>
      <c r="B11472">
        <f>B11454</f>
        <v>41</v>
      </c>
      <c r="D11472">
        <f>IF(AND(D11469=D11470,D11470=D11471,D11469=D11471),D11469,0)</f>
        <v>4</v>
      </c>
      <c r="E11472" t="str">
        <v>D</v>
      </c>
      <c r="F11472">
        <f>IF(AND(F11469=F11470,F11469=F11471,F11470=F11471),F11469,0)</f>
        <v>16</v>
      </c>
      <c r="L11472" t="str">
        <v>Total panjang per balok</v>
      </c>
      <c r="M11472" t="str">
        <v>=</v>
      </c>
      <c r="N11472">
        <f>IF(AND(D11469=D11470,D11469=D11471,D11470=D11471,F11469=F11470,F11469=F11471,F11470=F11471),SUM(N11469:N11471),0)</f>
        <v>4.084</v>
      </c>
      <c r="O11472" t="str">
        <v>+</v>
      </c>
      <c r="P11472">
        <f>IF(N11472&gt;12,ROUNDDOWN(N11472/12,0),0)</f>
        <v>0</v>
      </c>
      <c r="Q11472" t="str">
        <v>x</v>
      </c>
      <c r="R11472">
        <f>IF(P11472&gt;0,MAX(VLOOKUP(F11472,$D$6:$G$15,3,FALSE),600),0)/1000</f>
        <v>0</v>
      </c>
      <c r="T11472" t="str">
        <v>x</v>
      </c>
      <c r="U11472">
        <f>U11471</f>
        <v>1.57824</v>
      </c>
      <c r="V11472" t="str">
        <v>x</v>
      </c>
      <c r="W11472">
        <f>D11472</f>
        <v>4</v>
      </c>
      <c r="X11472" t="str">
        <v>x</v>
      </c>
      <c r="Y11472">
        <f>Y11471</f>
        <v>1</v>
      </c>
      <c r="Z11472" t="str">
        <v>=</v>
      </c>
      <c r="AA11472">
        <f>(N11472+P11472*R11472/1000)*U11472*W11472*Y11472</f>
        <v>25.78212864</v>
      </c>
    </row>
    <row r="11474">
      <c r="A11474" t="str">
        <f>A11454</f>
        <v>Lantai Atap</v>
      </c>
      <c r="B11474">
        <f>B11454</f>
        <v>41</v>
      </c>
      <c r="C11474" t="str">
        <v>Sengkang Tumpuan</v>
      </c>
      <c r="D11474">
        <f>VLOOKUP(D11454,'Detail Balok'!$C$10:$AU$110,31,FALSE)</f>
        <v>0</v>
      </c>
      <c r="E11474" t="str">
        <v>D</v>
      </c>
      <c r="F11474">
        <f>VLOOKUP(D11454,'Detail Balok'!$C$10:$AU$110,33,FALSE)</f>
        <v>10</v>
      </c>
      <c r="G11474" t="str">
        <v>-</v>
      </c>
      <c r="H11474">
        <f>VLOOKUP(D11454,'Detail Balok'!$C$10:$AU$110,35,FALSE)</f>
        <v>80</v>
      </c>
      <c r="J11474">
        <f>(IF(D11474=0,(2*(D11455+G11455))-(F$5*8),IF(D11474=3,(2*(D11455+G11455))-(F$5*8)+(G11455-2*F$5),IF(D11474=4,(2*(D11455+G11455))-(F$5*8)+2*(G11455-2*F$5)))))/1000</f>
        <v>0.98</v>
      </c>
      <c r="K11474" t="str">
        <v>+</v>
      </c>
      <c r="L11474">
        <f>IF(D11474=0,2*MAX(6*F11474,75),(D11474-1)*2*MAX(6*F11474,75))/1000</f>
        <v>0.15</v>
      </c>
      <c r="M11474" t="str">
        <v>=</v>
      </c>
      <c r="N11474">
        <f>J11474+L11474</f>
        <v>1.13</v>
      </c>
      <c r="T11474" t="str">
        <v>x</v>
      </c>
      <c r="U11474">
        <f>0.006165*F11474^2</f>
        <v>0.6165</v>
      </c>
      <c r="V11474" t="str">
        <v>x</v>
      </c>
      <c r="W11474">
        <f>IF(D11457&gt;4*G11455,ROUND(MAX(D11457/4,2*G11455)/H11474,0)+1,ROUND(D11457/H11474,0)+1)</f>
        <v>13</v>
      </c>
      <c r="X11474" t="str">
        <v>x</v>
      </c>
      <c r="Y11474">
        <f>D11460</f>
        <v>1</v>
      </c>
      <c r="Z11474" t="str">
        <v>=</v>
      </c>
      <c r="AA11474">
        <f>N11474*U11474*W11474*Y11474</f>
        <v>9.056384999999999</v>
      </c>
    </row>
    <row r="11475">
      <c r="A11475" t="str">
        <f>A11454</f>
        <v>Lantai Atap</v>
      </c>
      <c r="B11475">
        <f>B11454</f>
        <v>41</v>
      </c>
      <c r="C11475" t="str">
        <v>Sengkang Lapangan</v>
      </c>
      <c r="D11475">
        <f>VLOOKUP(D11454,'Detail Balok'!$C$10:$AU$110,36,FALSE)</f>
        <v>0</v>
      </c>
      <c r="E11475" t="str">
        <v>D</v>
      </c>
      <c r="F11475">
        <f>VLOOKUP(D11454,'Detail Balok'!$C$10:$AU$110,38,FALSE)</f>
        <v>10</v>
      </c>
      <c r="G11475" t="str">
        <v>-</v>
      </c>
      <c r="H11475">
        <f>VLOOKUP(D11454,'Detail Balok'!$C$10:$AU$110,40,FALSE)</f>
        <v>200</v>
      </c>
      <c r="J11475">
        <f>(IF(D11475=0,(2*(D11455+G11455))-(F$5*8),IF(D11475=3,(2*(D11455+G11455))-(F$5*8)+(G11455-2*F$5),IF(D11475=4,(2*(D11455+G11455))-(F$5*8)+2*(G11455-2*F$5)))))/1000</f>
        <v>0.98</v>
      </c>
      <c r="K11475" t="str">
        <v>+</v>
      </c>
      <c r="L11475">
        <f>IF(D11475=0,2*MAX(6*F11475,75),(D11475-1)*2*MAX(6*F11475,75))/1000</f>
        <v>0.15</v>
      </c>
      <c r="M11475" t="str">
        <v>=</v>
      </c>
      <c r="N11475">
        <f>J11475+L11475</f>
        <v>1.13</v>
      </c>
      <c r="T11475" t="str">
        <v>x</v>
      </c>
      <c r="U11475">
        <f>0.006165*F11475^2</f>
        <v>0.6165</v>
      </c>
      <c r="V11475" t="str">
        <v>x</v>
      </c>
      <c r="W11475">
        <f>IF(D11457-MAX(D11457/4,2*G11455)*2&gt;0,ROUND((D11457-MAX(D11457/4,2*G11455)*2)/H11475,0),0)</f>
        <v>9</v>
      </c>
      <c r="X11475" t="str">
        <v>x</v>
      </c>
      <c r="Y11475">
        <f>D11460</f>
        <v>1</v>
      </c>
      <c r="Z11475" t="str">
        <v>=</v>
      </c>
      <c r="AA11475">
        <f>N11475*U11475*W11475*Y11475</f>
        <v>6.269805</v>
      </c>
    </row>
    <row r="11476">
      <c r="A11476" t="str">
        <f>A11454</f>
        <v>Lantai Atap</v>
      </c>
      <c r="B11476">
        <f>B11454</f>
        <v>41</v>
      </c>
      <c r="C11476" t="str">
        <v>Sengkang Tumpuan</v>
      </c>
      <c r="D11476">
        <f>VLOOKUP(D11454,'Detail Balok'!$C$10:$AU$110,41,FALSE)</f>
        <v>0</v>
      </c>
      <c r="E11476" t="str">
        <v>D</v>
      </c>
      <c r="F11476">
        <f>VLOOKUP(D11454,'Detail Balok'!$C$10:$AU$110,43,FALSE)</f>
        <v>10</v>
      </c>
      <c r="G11476" t="str">
        <v>-</v>
      </c>
      <c r="H11476">
        <f>VLOOKUP(D11454,'Detail Balok'!$C$10:$AU$110,45,FALSE)</f>
        <v>80</v>
      </c>
      <c r="J11476">
        <f>(IF(D11476=0,(2*(D11455+G11455))-(F$5*8),IF(D11476=3,(2*(D11455+G11455))-(F$5*8)+(G11455-2*F$5),IF(D11476=4,(2*(D11455+G11455))-(F$5*8)+2*(G11455-2*F$5)))))/1000</f>
        <v>0.98</v>
      </c>
      <c r="K11476" t="str">
        <v>+</v>
      </c>
      <c r="L11476">
        <f>IF(D11476=0,2*MAX(6*F11476,75),(D11476-1)*2*MAX(6*F11476,75))/1000</f>
        <v>0.15</v>
      </c>
      <c r="M11476" t="str">
        <v>=</v>
      </c>
      <c r="N11476">
        <f>J11476+L11476</f>
        <v>1.13</v>
      </c>
      <c r="T11476" t="str">
        <v>x</v>
      </c>
      <c r="U11476">
        <f>0.006165*F11476^2</f>
        <v>0.6165</v>
      </c>
      <c r="V11476" t="str">
        <v>x</v>
      </c>
      <c r="W11476">
        <f>IF(D11457&gt;4*G11455,ROUND(MAX(D11457/4,2*G11455)/H11476,0)+1,0)</f>
        <v>13</v>
      </c>
      <c r="X11476" t="str">
        <v>x</v>
      </c>
      <c r="Y11476">
        <f>D11460</f>
        <v>1</v>
      </c>
      <c r="Z11476" t="str">
        <v>=</v>
      </c>
      <c r="AA11476">
        <f>N11476*U11476*W11476*Y11476</f>
        <v>9.056384999999999</v>
      </c>
    </row>
    <row r="11478">
      <c r="A11478" t="str">
        <f>A11454</f>
        <v>Lantai Atap</v>
      </c>
      <c r="B11478">
        <f>B11454</f>
        <v>41</v>
      </c>
      <c r="C11478" t="str">
        <v>Kait Horizontal Tump.</v>
      </c>
      <c r="D11478">
        <f>VLOOKUP(D11454,'Detail Balok'!$C$10:$BJ$110,46,FALSE)</f>
        <v>0</v>
      </c>
      <c r="E11478" t="str">
        <v>D</v>
      </c>
      <c r="F11478">
        <f>VLOOKUP(D11454,'Detail Balok'!$C$10:$BJ$110,48,FALSE)</f>
        <v>0</v>
      </c>
      <c r="G11478" t="str">
        <v>-</v>
      </c>
      <c r="H11478">
        <f>VLOOKUP(D11454,'Detail Balok'!$C$10:$BJ$110,50,FALSE)</f>
        <v>100</v>
      </c>
      <c r="J11478">
        <f>(D11455-2*F$5)/1000</f>
        <v>0.12</v>
      </c>
      <c r="K11478" t="str">
        <v>+</v>
      </c>
      <c r="L11478">
        <f>IF(D11478=0,2*MAX(6*F11478,75),(D11478-1)*2*MAX(6*F11478,75))/1000</f>
        <v>0.15</v>
      </c>
      <c r="M11478" t="str">
        <v>=</v>
      </c>
      <c r="N11478">
        <f>J11478+L11478</f>
        <v>0.27</v>
      </c>
      <c r="T11478" t="str">
        <v>x</v>
      </c>
      <c r="U11478">
        <f>0.006165*F11478^2</f>
        <v>0</v>
      </c>
      <c r="V11478" t="str">
        <v>x</v>
      </c>
      <c r="W11478">
        <f>W11474</f>
        <v>13</v>
      </c>
      <c r="X11478" t="str">
        <v>x</v>
      </c>
      <c r="Y11478">
        <f>D11464</f>
        <v>3</v>
      </c>
      <c r="Z11478" t="str">
        <v>=</v>
      </c>
      <c r="AA11478">
        <f>N11478*U11478*W11478*Y11478</f>
        <v>0</v>
      </c>
    </row>
    <row r="11479">
      <c r="A11479" t="str">
        <f>A11454</f>
        <v>Lantai Atap</v>
      </c>
      <c r="B11479">
        <f>B11454</f>
        <v>41</v>
      </c>
      <c r="C11479" t="str">
        <v>Kait Horizontal Lap.</v>
      </c>
      <c r="D11479">
        <f>VLOOKUP(D11454,'Detail Balok'!$C$10:$BJ$110,51,FALSE)</f>
        <v>0</v>
      </c>
      <c r="E11479" t="str">
        <v>D</v>
      </c>
      <c r="F11479">
        <f>VLOOKUP(D11454,'Detail Balok'!$C$10:$BJ$110,53,FALSE)</f>
        <v>0</v>
      </c>
      <c r="G11479" t="str">
        <v>-</v>
      </c>
      <c r="H11479">
        <f>VLOOKUP(D11454,'Detail Balok'!$C$10:$BJ$110,55,FALSE)</f>
        <v>100</v>
      </c>
      <c r="J11479">
        <f>(D11455-2*F$5)/1000</f>
        <v>0.12</v>
      </c>
      <c r="K11479" t="str">
        <v>+</v>
      </c>
      <c r="L11479">
        <f>IF(D11479=0,2*MAX(6*F11479,75),(D11479-1)*2*MAX(6*F11479,75))/1000</f>
        <v>0.15</v>
      </c>
      <c r="M11479" t="str">
        <v>=</v>
      </c>
      <c r="N11479">
        <f>J11479+L11479</f>
        <v>0.27</v>
      </c>
      <c r="T11479" t="str">
        <v>x</v>
      </c>
      <c r="U11479">
        <f>0.006165*F11479^2</f>
        <v>0</v>
      </c>
      <c r="V11479" t="str">
        <v>x</v>
      </c>
      <c r="W11479">
        <f>W11475</f>
        <v>9</v>
      </c>
      <c r="X11479" t="str">
        <v>x</v>
      </c>
      <c r="Y11479">
        <f>D11464</f>
        <v>3</v>
      </c>
      <c r="Z11479" t="str">
        <v>=</v>
      </c>
      <c r="AA11479">
        <f>N11479*U11479*W11479*Y11479</f>
        <v>0</v>
      </c>
    </row>
    <row r="11480">
      <c r="A11480" t="str">
        <f>A11454</f>
        <v>Lantai Atap</v>
      </c>
      <c r="B11480">
        <f>B11454</f>
        <v>41</v>
      </c>
      <c r="C11480" t="str">
        <v>Kait Horizontal Tump.</v>
      </c>
      <c r="D11480">
        <f>VLOOKUP(D11454,'Detail Balok'!$C$10:$BJ$110,56,FALSE)</f>
        <v>0</v>
      </c>
      <c r="E11480" t="str">
        <v>D</v>
      </c>
      <c r="F11480">
        <f>VLOOKUP(D11454,'Detail Balok'!$C$10:$BJ$110,58,FALSE)</f>
        <v>0</v>
      </c>
      <c r="G11480" t="str">
        <v>-</v>
      </c>
      <c r="H11480">
        <f>VLOOKUP(D11454,'Detail Balok'!$C$10:$BJ$110,60,FALSE)</f>
        <v>100</v>
      </c>
      <c r="J11480">
        <f>(D11455-2*F$5)/1000</f>
        <v>0.12</v>
      </c>
      <c r="K11480" t="str">
        <v>+</v>
      </c>
      <c r="L11480">
        <f>IF(D11480=0,2*MAX(6*F11480,75),(D11480-1)*2*MAX(6*F11480,75))/1000</f>
        <v>0.15</v>
      </c>
      <c r="M11480" t="str">
        <v>=</v>
      </c>
      <c r="N11480">
        <f>J11480+L11480</f>
        <v>0.27</v>
      </c>
      <c r="T11480" t="str">
        <v>x</v>
      </c>
      <c r="U11480">
        <f>0.006165*F11480^2</f>
        <v>0</v>
      </c>
      <c r="V11480" t="str">
        <v>x</v>
      </c>
      <c r="W11480">
        <f>W11476</f>
        <v>13</v>
      </c>
      <c r="X11480" t="str">
        <v>x</v>
      </c>
      <c r="Y11480">
        <f>D11464</f>
        <v>3</v>
      </c>
      <c r="Z11480" t="str">
        <v>=</v>
      </c>
      <c r="AA11480">
        <f>N11480*U11480*W11480*Y11480</f>
        <v>0</v>
      </c>
    </row>
    <row r="11484">
      <c r="A11484" t="str">
        <f>A11454</f>
        <v>Lantai Atap</v>
      </c>
      <c r="B11484">
        <f>B11454+1</f>
        <v>42</v>
      </c>
      <c r="C11484" t="str">
        <f>CONCATENATE(A11484," no. ",B11484)</f>
        <v>Lantai Atap no. 42</v>
      </c>
      <c r="D11484" t="str">
        <f>VLOOKUP(C11484,'Data Panjang Balok'!$C$9:$N$424,2,FALSE)</f>
        <v>B245-4</v>
      </c>
    </row>
    <row r="11485">
      <c r="C11485" t="str">
        <v>Dimensi</v>
      </c>
      <c r="D11485">
        <f>VLOOKUP(D11484,'Detail Balok'!$C$10:$AU$110,2,FALSE)</f>
        <v>200</v>
      </c>
      <c r="F11485" t="str">
        <v>x</v>
      </c>
      <c r="G11485">
        <f>VLOOKUP(D11484,'Detail Balok'!$C$10:$AU$110,3,FALSE)</f>
        <v>450</v>
      </c>
    </row>
    <row r="11486">
      <c r="C11486" t="str">
        <v>Panjang as ke as</v>
      </c>
      <c r="D11486">
        <f>VLOOKUP(C11484,'Data Panjang Balok'!$C$9:$N$424,4,FALSE)</f>
        <v>2000</v>
      </c>
    </row>
    <row r="11487">
      <c r="C11487" t="str">
        <v>Panjang netto</v>
      </c>
      <c r="D11487">
        <f>VLOOKUP(C11484,'Data Panjang Balok'!$C$9:$N$424,7,FALSE)</f>
        <v>2000</v>
      </c>
    </row>
    <row r="11488">
      <c r="C11488" t="str">
        <v>Kolom / balok kiri</v>
      </c>
      <c r="D11488">
        <f>VLOOKUP(C11484,'Data Panjang Balok'!$C$9:$N$424,9,FALSE)</f>
        <v>0</v>
      </c>
    </row>
    <row r="11489">
      <c r="C11489" t="str">
        <v>Kolom / balok kanan</v>
      </c>
      <c r="D11489">
        <f>VLOOKUP(C11484,'Data Panjang Balok'!$C$9:$N$424,10,FALSE)</f>
        <v>0</v>
      </c>
    </row>
    <row r="11490">
      <c r="C11490" t="str">
        <v>Jumlah</v>
      </c>
      <c r="D11490">
        <f>VLOOKUP(C11484,'Data Panjang Balok'!$C$9:$N$424,3,FALSE)</f>
        <v>1</v>
      </c>
    </row>
    <row r="11491">
      <c r="A11491" t="str">
        <f>A11484</f>
        <v>Lantai Atap</v>
      </c>
      <c r="B11491">
        <f>B11484</f>
        <v>42</v>
      </c>
      <c r="C11491" t="str">
        <v>Tul Atas Tumpuan</v>
      </c>
      <c r="D11491">
        <f>VLOOKUP(D11484,'Detail Balok'!$C$10:$AU$110,4,FALSE)</f>
        <v>3</v>
      </c>
      <c r="E11491" t="str">
        <v>D</v>
      </c>
      <c r="F11491">
        <f>VLOOKUP(D11484,'Detail Balok'!$C$10:$AU$110,6,FALSE)</f>
        <v>16</v>
      </c>
      <c r="I11491" t="str">
        <v>(</v>
      </c>
      <c r="J11491">
        <f>+D11486/4/1000</f>
        <v>0.5</v>
      </c>
      <c r="K11491" t="str">
        <v>+</v>
      </c>
      <c r="L11491">
        <f>MAX(VLOOKUP(F11491,N$6:P$15,3,FALSE)/1000,2/3*D11488/1000)+F$16*F11491/1000</f>
        <v>0.192</v>
      </c>
      <c r="M11491" t="str">
        <v>=</v>
      </c>
      <c r="N11491">
        <f>J11491+L11491</f>
        <v>0.692</v>
      </c>
      <c r="O11491" t="str">
        <v>+</v>
      </c>
      <c r="P11491">
        <f>D11491-D11492</f>
        <v>0</v>
      </c>
      <c r="Q11491" t="str">
        <v>x</v>
      </c>
      <c r="R11491">
        <f>IF(P11491&gt;0,$F$18*F11491/1000,0)</f>
        <v>0</v>
      </c>
      <c r="S11491" t="str">
        <v>)</v>
      </c>
      <c r="T11491" t="str">
        <v>x</v>
      </c>
      <c r="U11491">
        <f>0.006165*F11491^2</f>
        <v>1.57824</v>
      </c>
      <c r="X11491" t="str">
        <v>x</v>
      </c>
      <c r="Y11491">
        <f>D11490</f>
        <v>1</v>
      </c>
      <c r="Z11491" t="str">
        <v>=</v>
      </c>
      <c r="AA11491">
        <f>IF(AA11494=0,(D11491*N11491+P11491*R11491)*U11491*Y11491,0)</f>
        <v>0</v>
      </c>
    </row>
    <row r="11492">
      <c r="A11492" t="str">
        <f>A11484</f>
        <v>Lantai Atap</v>
      </c>
      <c r="B11492">
        <f>B11484</f>
        <v>42</v>
      </c>
      <c r="C11492" t="str">
        <v>Tul Atas Lapangan</v>
      </c>
      <c r="D11492">
        <f>VLOOKUP(D11484,'Detail Balok'!$C$10:$AU$110,7,FALSE)</f>
        <v>3</v>
      </c>
      <c r="E11492" t="str">
        <v>D</v>
      </c>
      <c r="F11492">
        <f>VLOOKUP(D11484,'Detail Balok'!$C$10:$AU$110,9,FALSE)</f>
        <v>16</v>
      </c>
      <c r="I11492" t="str">
        <v>(</v>
      </c>
      <c r="J11492">
        <f>+D11486/2/1000</f>
        <v>1</v>
      </c>
      <c r="K11492" t="str">
        <v>+</v>
      </c>
      <c r="M11492" t="str">
        <v>=</v>
      </c>
      <c r="N11492">
        <f>J11492+L11492</f>
        <v>1</v>
      </c>
      <c r="O11492" t="str">
        <v>+</v>
      </c>
      <c r="P11492">
        <f>MAX(D11492-D11491,D11492-D11493)</f>
        <v>0</v>
      </c>
      <c r="Q11492" t="str">
        <v>x</v>
      </c>
      <c r="R11492">
        <f>IF(P11492&gt;0,2*(1-2*$F$19-1/2)*D11487/1000,0)</f>
        <v>0</v>
      </c>
      <c r="S11492" t="str">
        <v>)</v>
      </c>
      <c r="T11492" t="str">
        <v>x</v>
      </c>
      <c r="U11492">
        <f>0.006165*F11492^2</f>
        <v>1.57824</v>
      </c>
      <c r="X11492" t="str">
        <v>x</v>
      </c>
      <c r="Y11492">
        <f>D11490</f>
        <v>1</v>
      </c>
      <c r="Z11492" t="str">
        <v>=</v>
      </c>
      <c r="AA11492">
        <f>IF(AA11494=0,(D11492*N11492+P11492*R11492)*U11492*Y11492,0)</f>
        <v>0</v>
      </c>
    </row>
    <row r="11493">
      <c r="A11493" t="str">
        <f>A11484</f>
        <v>Lantai Atap</v>
      </c>
      <c r="B11493">
        <f>B11484</f>
        <v>42</v>
      </c>
      <c r="C11493" t="str">
        <v>Tul Atas Tumpuan</v>
      </c>
      <c r="D11493">
        <f>VLOOKUP(D11484,'Detail Balok'!$C$10:$AU$110,10,FALSE)</f>
        <v>3</v>
      </c>
      <c r="E11493" t="str">
        <v>D</v>
      </c>
      <c r="F11493">
        <f>VLOOKUP(D11484,'Detail Balok'!$C$10:$AU$110,12,FALSE)</f>
        <v>16</v>
      </c>
      <c r="I11493" t="str">
        <v>(</v>
      </c>
      <c r="J11493">
        <f>+D11486/4/1000</f>
        <v>0.5</v>
      </c>
      <c r="K11493" t="str">
        <v>+</v>
      </c>
      <c r="L11493">
        <f>MAX(VLOOKUP(F11493,N$6:P$15,3,FALSE)/1000,2/3*D11488/1000)+F$16*F11493/1000</f>
        <v>0.192</v>
      </c>
      <c r="M11493" t="str">
        <v>=</v>
      </c>
      <c r="N11493">
        <f>J11493+L11493</f>
        <v>0.692</v>
      </c>
      <c r="O11493" t="str">
        <v>+</v>
      </c>
      <c r="P11493">
        <f>D11493-D11492</f>
        <v>0</v>
      </c>
      <c r="Q11493" t="str">
        <v>x</v>
      </c>
      <c r="R11493">
        <f>IF(P11493&gt;0,$F$18*F11493/1000,0)</f>
        <v>0</v>
      </c>
      <c r="S11493" t="str">
        <v>)</v>
      </c>
      <c r="T11493" t="str">
        <v>x</v>
      </c>
      <c r="U11493">
        <f>0.006165*F11493^2</f>
        <v>1.57824</v>
      </c>
      <c r="X11493" t="str">
        <v>x</v>
      </c>
      <c r="Y11493">
        <f>D11490</f>
        <v>1</v>
      </c>
      <c r="Z11493" t="str">
        <v>=</v>
      </c>
      <c r="AA11493">
        <f>IF(AA11494=0,(D11493*N11493+P11493*R11493)*U11493*Y11493,0)</f>
        <v>0</v>
      </c>
    </row>
    <row r="11494">
      <c r="A11494" t="str">
        <f>A11484</f>
        <v>Lantai Atap</v>
      </c>
      <c r="B11494">
        <f>B11484</f>
        <v>42</v>
      </c>
      <c r="D11494">
        <f>IF(AND(D11491=D11492,D11492=D11493,D11491=D11493),D11491,0)</f>
        <v>3</v>
      </c>
      <c r="E11494" t="str">
        <v>D</v>
      </c>
      <c r="F11494">
        <f>IF(AND(F11491=F11492,F11491=F11493,F11492=F11493),F11491,0)</f>
        <v>16</v>
      </c>
      <c r="L11494" t="str">
        <v>Total panjang per balok</v>
      </c>
      <c r="M11494" t="str">
        <v>=</v>
      </c>
      <c r="N11494">
        <f>IF(AND(D11491=D11492,D11491=D11493,D11492=D11493,F11491=F11492,F11491=F11493,F11492=F11493),SUM(N11491:N11493),0)</f>
        <v>2.384</v>
      </c>
      <c r="O11494" t="str">
        <v>+</v>
      </c>
      <c r="P11494">
        <f>IF(N11494&gt;12,ROUNDDOWN(N11494/12,0),0)</f>
        <v>0</v>
      </c>
      <c r="Q11494" t="str">
        <v>x</v>
      </c>
      <c r="R11494">
        <f>IF(P11494&gt;0,MAX(VLOOKUP(F11494,$D$6:$G$15,3,FALSE),600),0)/1000</f>
        <v>0</v>
      </c>
      <c r="T11494" t="str">
        <v>x</v>
      </c>
      <c r="U11494">
        <f>U11493</f>
        <v>1.57824</v>
      </c>
      <c r="V11494" t="str">
        <v>x</v>
      </c>
      <c r="W11494">
        <f>D11494</f>
        <v>3</v>
      </c>
      <c r="X11494" t="str">
        <v>x</v>
      </c>
      <c r="Y11494">
        <f>Y11493</f>
        <v>1</v>
      </c>
      <c r="Z11494" t="str">
        <v>=</v>
      </c>
      <c r="AA11494">
        <f>(N11494+P11494*R11494/1000)*U11494*W11494*Y11494</f>
        <v>11.28757248</v>
      </c>
    </row>
    <row r="11496">
      <c r="A11496" t="str">
        <f>A11484</f>
        <v>Lantai Atap</v>
      </c>
      <c r="B11496">
        <f>B11484</f>
        <v>42</v>
      </c>
      <c r="C11496" t="str">
        <v>Tul Peminggang</v>
      </c>
      <c r="D11496">
        <f>VLOOKUP(D11484,'Detail Balok'!$C$10:$AU$110,13,FALSE)</f>
        <v>2</v>
      </c>
      <c r="E11496" t="str">
        <v>D</v>
      </c>
      <c r="F11496">
        <f>VLOOKUP(D11484,'Detail Balok'!$C$10:$AU$110,15,FALSE)</f>
        <v>8</v>
      </c>
      <c r="J11496">
        <f>+D11486/1000</f>
        <v>2</v>
      </c>
      <c r="K11496" t="str">
        <v>+</v>
      </c>
      <c r="L11496">
        <f>2*$F$16*F11496/1000</f>
        <v>0.192</v>
      </c>
      <c r="M11496" t="str">
        <v>=</v>
      </c>
      <c r="N11496">
        <f>J11496+L11496</f>
        <v>2.192</v>
      </c>
      <c r="O11496" t="str">
        <v>+</v>
      </c>
      <c r="P11496">
        <f>IF(N11496&gt;12,ROUNDDOWN(N11496/12,0),0)</f>
        <v>0</v>
      </c>
      <c r="Q11496" t="str">
        <v>x</v>
      </c>
      <c r="R11496">
        <f>IF(P11496&gt;0,MAX(VLOOKUP(F11496,$D$6:$G$15,3,FALSE),600),0)/1000</f>
        <v>0</v>
      </c>
      <c r="T11496" t="str">
        <v>x</v>
      </c>
      <c r="U11496">
        <f>0.006165*F11496^2</f>
        <v>0.39456</v>
      </c>
      <c r="V11496" t="str">
        <v>x</v>
      </c>
      <c r="W11496">
        <f>+D11496</f>
        <v>2</v>
      </c>
      <c r="X11496" t="str">
        <v>x</v>
      </c>
      <c r="Y11496">
        <f>D11490</f>
        <v>1</v>
      </c>
      <c r="Z11496" t="str">
        <v>=</v>
      </c>
      <c r="AA11496">
        <f>(N11496+P11496*R11496/1000)*U11496*W11496*Y11496</f>
        <v>1.7297510400000002</v>
      </c>
    </row>
    <row r="11499">
      <c r="A11499" t="str">
        <f>A11484</f>
        <v>Lantai Atap</v>
      </c>
      <c r="B11499">
        <f>B11484</f>
        <v>42</v>
      </c>
      <c r="C11499" t="str">
        <v>Tul Bawah Tumpuan</v>
      </c>
      <c r="D11499">
        <f>VLOOKUP(D11484,'Detail Balok'!$C$10:$AU$110,22,FALSE)</f>
        <v>3</v>
      </c>
      <c r="E11499" t="str">
        <v>D</v>
      </c>
      <c r="F11499">
        <f>VLOOKUP(D11484,'Detail Balok'!$C$10:$AU$110,24,FALSE)</f>
        <v>16</v>
      </c>
      <c r="I11499" t="str">
        <v>(</v>
      </c>
      <c r="J11499">
        <f>+J11491</f>
        <v>0.5</v>
      </c>
      <c r="K11499" t="str">
        <v>+</v>
      </c>
      <c r="L11499">
        <f>MAX(VLOOKUP(F11499,N$6:P$15,3,FALSE)/1000,2/3*D11489/1000)+F$16*F11499/1000</f>
        <v>0.192</v>
      </c>
      <c r="M11499" t="str">
        <v>=</v>
      </c>
      <c r="N11499">
        <f>J11499+L11499</f>
        <v>0.692</v>
      </c>
      <c r="O11499" t="str">
        <v>+</v>
      </c>
      <c r="P11499">
        <f>D11499-D11500</f>
        <v>0</v>
      </c>
      <c r="Q11499" t="str">
        <v>x</v>
      </c>
      <c r="R11499">
        <f>IF(P11499&gt;0,$F$18*F11499/1000,0)</f>
        <v>0</v>
      </c>
      <c r="S11499" t="str">
        <v>)</v>
      </c>
      <c r="T11499" t="str">
        <v>x</v>
      </c>
      <c r="U11499">
        <f>0.006165*F11499^2</f>
        <v>1.57824</v>
      </c>
      <c r="X11499" t="str">
        <v>x</v>
      </c>
      <c r="Y11499">
        <f>D11490</f>
        <v>1</v>
      </c>
      <c r="Z11499" t="str">
        <v>=</v>
      </c>
      <c r="AA11499">
        <f>IF(AA11502=0,(D11499*N11499+P11499*R11499)*U11499*Y11499,0)</f>
        <v>0</v>
      </c>
    </row>
    <row r="11500">
      <c r="A11500" t="str">
        <f>A11484</f>
        <v>Lantai Atap</v>
      </c>
      <c r="B11500">
        <f>B11484</f>
        <v>42</v>
      </c>
      <c r="C11500" t="str">
        <v>Tul Bawah Lapangan</v>
      </c>
      <c r="D11500">
        <f>VLOOKUP(D11484,'Detail Balok'!$C$10:$AU$110,25,FALSE)</f>
        <v>3</v>
      </c>
      <c r="E11500" t="str">
        <v>D</v>
      </c>
      <c r="F11500">
        <f>VLOOKUP(D11484,'Detail Balok'!$C$10:$AU$110,27,FALSE)</f>
        <v>16</v>
      </c>
      <c r="I11500" t="str">
        <v>(</v>
      </c>
      <c r="J11500">
        <f>+J11492</f>
        <v>1</v>
      </c>
      <c r="K11500" t="str">
        <v>+</v>
      </c>
      <c r="M11500" t="str">
        <v>=</v>
      </c>
      <c r="N11500">
        <f>J11500+L11500</f>
        <v>1</v>
      </c>
      <c r="O11500" t="str">
        <v>+</v>
      </c>
      <c r="P11500">
        <f>MAX(D11500-D11499,D11500-D11501)</f>
        <v>0</v>
      </c>
      <c r="Q11500" t="str">
        <v>x</v>
      </c>
      <c r="R11500">
        <f>IF(P11500&gt;0,2*(1-2*$F$19-1/2)*D11487/1000,0)</f>
        <v>0</v>
      </c>
      <c r="S11500" t="str">
        <v>)</v>
      </c>
      <c r="T11500" t="str">
        <v>x</v>
      </c>
      <c r="U11500">
        <f>0.006165*F11500^2</f>
        <v>1.57824</v>
      </c>
      <c r="X11500" t="str">
        <v>x</v>
      </c>
      <c r="Y11500">
        <f>D11490</f>
        <v>1</v>
      </c>
      <c r="Z11500" t="str">
        <v>=</v>
      </c>
      <c r="AA11500">
        <f>IF(AA11502=0,(D11500*N11500+P11500*R11500)*U11500*Y11500,0)</f>
        <v>0</v>
      </c>
    </row>
    <row r="11501">
      <c r="A11501" t="str">
        <f>A11484</f>
        <v>Lantai Atap</v>
      </c>
      <c r="B11501">
        <f>B11484</f>
        <v>42</v>
      </c>
      <c r="C11501" t="str">
        <v>Tul Bawah Tumpuan</v>
      </c>
      <c r="D11501">
        <f>VLOOKUP(D11484,'Detail Balok'!$C$10:$AU$110,28,FALSE)</f>
        <v>3</v>
      </c>
      <c r="E11501" t="str">
        <v>D</v>
      </c>
      <c r="F11501">
        <f>VLOOKUP(D11484,'Detail Balok'!$C$10:$AU$110,30,FALSE)</f>
        <v>16</v>
      </c>
      <c r="I11501" t="str">
        <v>(</v>
      </c>
      <c r="J11501">
        <f>+J11493</f>
        <v>0.5</v>
      </c>
      <c r="K11501" t="str">
        <v>+</v>
      </c>
      <c r="L11501">
        <f>MAX(VLOOKUP(F11501,N$6:P$15,3,FALSE)/1000,2/3*D11489/1000)+F$16*F11501/1000</f>
        <v>0.192</v>
      </c>
      <c r="M11501" t="str">
        <v>=</v>
      </c>
      <c r="N11501">
        <f>J11501+L11501</f>
        <v>0.692</v>
      </c>
      <c r="O11501" t="str">
        <v>+</v>
      </c>
      <c r="P11501">
        <f>D11501-D11500</f>
        <v>0</v>
      </c>
      <c r="Q11501" t="str">
        <v>x</v>
      </c>
      <c r="R11501">
        <f>IF(P11501&gt;0,$F$18*F11501/1000,0)</f>
        <v>0</v>
      </c>
      <c r="S11501" t="str">
        <v>)</v>
      </c>
      <c r="T11501" t="str">
        <v>x</v>
      </c>
      <c r="U11501">
        <f>0.006165*F11501^2</f>
        <v>1.57824</v>
      </c>
      <c r="X11501" t="str">
        <v>x</v>
      </c>
      <c r="Y11501">
        <f>D11490</f>
        <v>1</v>
      </c>
      <c r="Z11501" t="str">
        <v>=</v>
      </c>
      <c r="AA11501">
        <f>IF(AA11502=0,(D11501*N11501+P11501*R11501)*U11501*Y11501,0)</f>
        <v>0</v>
      </c>
    </row>
    <row r="11502">
      <c r="A11502" t="str">
        <f>A11484</f>
        <v>Lantai Atap</v>
      </c>
      <c r="B11502">
        <f>B11484</f>
        <v>42</v>
      </c>
      <c r="D11502">
        <f>IF(AND(D11499=D11500,D11500=D11501,D11499=D11501),D11499,0)</f>
        <v>3</v>
      </c>
      <c r="E11502" t="str">
        <v>D</v>
      </c>
      <c r="F11502">
        <f>IF(AND(F11499=F11500,F11499=F11501,F11500=F11501),F11499,0)</f>
        <v>16</v>
      </c>
      <c r="L11502" t="str">
        <v>Total panjang per balok</v>
      </c>
      <c r="M11502" t="str">
        <v>=</v>
      </c>
      <c r="N11502">
        <f>IF(AND(D11499=D11500,D11499=D11501,D11500=D11501,F11499=F11500,F11499=F11501,F11500=F11501),SUM(N11499:N11501),0)</f>
        <v>2.384</v>
      </c>
      <c r="O11502" t="str">
        <v>+</v>
      </c>
      <c r="P11502">
        <f>IF(N11502&gt;12,ROUNDDOWN(N11502/12,0),0)</f>
        <v>0</v>
      </c>
      <c r="Q11502" t="str">
        <v>x</v>
      </c>
      <c r="R11502">
        <f>IF(P11502&gt;0,MAX(VLOOKUP(F11502,$D$6:$G$15,3,FALSE),600),0)/1000</f>
        <v>0</v>
      </c>
      <c r="T11502" t="str">
        <v>x</v>
      </c>
      <c r="U11502">
        <f>U11501</f>
        <v>1.57824</v>
      </c>
      <c r="V11502" t="str">
        <v>x</v>
      </c>
      <c r="W11502">
        <f>D11502</f>
        <v>3</v>
      </c>
      <c r="X11502" t="str">
        <v>x</v>
      </c>
      <c r="Y11502">
        <f>Y11501</f>
        <v>1</v>
      </c>
      <c r="Z11502" t="str">
        <v>=</v>
      </c>
      <c r="AA11502">
        <f>(N11502+P11502*R11502/1000)*U11502*W11502*Y11502</f>
        <v>11.28757248</v>
      </c>
    </row>
    <row r="11504">
      <c r="A11504" t="str">
        <f>A11484</f>
        <v>Lantai Atap</v>
      </c>
      <c r="B11504">
        <f>B11484</f>
        <v>42</v>
      </c>
      <c r="C11504" t="str">
        <v>Sengkang Tumpuan</v>
      </c>
      <c r="D11504">
        <f>VLOOKUP(D11484,'Detail Balok'!$C$10:$AU$110,31,FALSE)</f>
        <v>0</v>
      </c>
      <c r="E11504" t="str">
        <v>D</v>
      </c>
      <c r="F11504">
        <f>VLOOKUP(D11484,'Detail Balok'!$C$10:$AU$110,33,FALSE)</f>
        <v>8</v>
      </c>
      <c r="G11504" t="str">
        <v>-</v>
      </c>
      <c r="H11504">
        <f>VLOOKUP(D11484,'Detail Balok'!$C$10:$AU$110,35,FALSE)</f>
        <v>100</v>
      </c>
      <c r="J11504">
        <f>(IF(D11504=0,(2*(D11485+G11485))-(F$5*8),IF(D11504=3,(2*(D11485+G11485))-(F$5*8)+(G11485-2*F$5),IF(D11504=4,(2*(D11485+G11485))-(F$5*8)+2*(G11485-2*F$5)))))/1000</f>
        <v>0.98</v>
      </c>
      <c r="K11504" t="str">
        <v>+</v>
      </c>
      <c r="L11504">
        <f>IF(D11504=0,2*MAX(6*F11504,75),(D11504-1)*2*MAX(6*F11504,75))/1000</f>
        <v>0.15</v>
      </c>
      <c r="M11504" t="str">
        <v>=</v>
      </c>
      <c r="N11504">
        <f>J11504+L11504</f>
        <v>1.13</v>
      </c>
      <c r="T11504" t="str">
        <v>x</v>
      </c>
      <c r="U11504">
        <f>0.006165*F11504^2</f>
        <v>0.39456</v>
      </c>
      <c r="V11504" t="str">
        <v>x</v>
      </c>
      <c r="W11504">
        <f>IF(D11487&gt;4*G11485,ROUND(MAX(D11487/4,2*G11485)/H11504,0)+1,ROUND(D11487/H11504,0)+1)</f>
        <v>10</v>
      </c>
      <c r="X11504" t="str">
        <v>x</v>
      </c>
      <c r="Y11504">
        <f>D11490</f>
        <v>1</v>
      </c>
      <c r="Z11504" t="str">
        <v>=</v>
      </c>
      <c r="AA11504">
        <f>N11504*U11504*W11504*Y11504</f>
        <v>4.458528</v>
      </c>
    </row>
    <row r="11505">
      <c r="A11505" t="str">
        <f>A11484</f>
        <v>Lantai Atap</v>
      </c>
      <c r="B11505">
        <f>B11484</f>
        <v>42</v>
      </c>
      <c r="C11505" t="str">
        <v>Sengkang Lapangan</v>
      </c>
      <c r="D11505">
        <f>VLOOKUP(D11484,'Detail Balok'!$C$10:$AU$110,36,FALSE)</f>
        <v>0</v>
      </c>
      <c r="E11505" t="str">
        <v>D</v>
      </c>
      <c r="F11505">
        <f>VLOOKUP(D11484,'Detail Balok'!$C$10:$AU$110,38,FALSE)</f>
        <v>8</v>
      </c>
      <c r="G11505" t="str">
        <v>-</v>
      </c>
      <c r="H11505">
        <f>VLOOKUP(D11484,'Detail Balok'!$C$10:$AU$110,40,FALSE)</f>
        <v>200</v>
      </c>
      <c r="J11505">
        <f>(IF(D11505=0,(2*(D11485+G11485))-(F$5*8),IF(D11505=3,(2*(D11485+G11485))-(F$5*8)+(G11485-2*F$5),IF(D11505=4,(2*(D11485+G11485))-(F$5*8)+2*(G11485-2*F$5)))))/1000</f>
        <v>0.98</v>
      </c>
      <c r="K11505" t="str">
        <v>+</v>
      </c>
      <c r="L11505">
        <f>IF(D11505=0,2*MAX(6*F11505,75),(D11505-1)*2*MAX(6*F11505,75))/1000</f>
        <v>0.15</v>
      </c>
      <c r="M11505" t="str">
        <v>=</v>
      </c>
      <c r="N11505">
        <f>J11505+L11505</f>
        <v>1.13</v>
      </c>
      <c r="T11505" t="str">
        <v>x</v>
      </c>
      <c r="U11505">
        <f>0.006165*F11505^2</f>
        <v>0.39456</v>
      </c>
      <c r="V11505" t="str">
        <v>x</v>
      </c>
      <c r="W11505">
        <f>IF(D11487-MAX(D11487/4,2*G11485)*2&gt;0,ROUND((D11487-MAX(D11487/4,2*G11485)*2)/H11505,0),0)</f>
        <v>1</v>
      </c>
      <c r="X11505" t="str">
        <v>x</v>
      </c>
      <c r="Y11505">
        <f>D11490</f>
        <v>1</v>
      </c>
      <c r="Z11505" t="str">
        <v>=</v>
      </c>
      <c r="AA11505">
        <f>N11505*U11505*W11505*Y11505</f>
        <v>0.4458528</v>
      </c>
    </row>
    <row r="11506">
      <c r="A11506" t="str">
        <f>A11484</f>
        <v>Lantai Atap</v>
      </c>
      <c r="B11506">
        <f>B11484</f>
        <v>42</v>
      </c>
      <c r="C11506" t="str">
        <v>Sengkang Tumpuan</v>
      </c>
      <c r="D11506">
        <f>VLOOKUP(D11484,'Detail Balok'!$C$10:$AU$110,41,FALSE)</f>
        <v>0</v>
      </c>
      <c r="E11506" t="str">
        <v>D</v>
      </c>
      <c r="F11506">
        <f>VLOOKUP(D11484,'Detail Balok'!$C$10:$AU$110,43,FALSE)</f>
        <v>8</v>
      </c>
      <c r="G11506" t="str">
        <v>-</v>
      </c>
      <c r="H11506">
        <f>VLOOKUP(D11484,'Detail Balok'!$C$10:$AU$110,45,FALSE)</f>
        <v>100</v>
      </c>
      <c r="J11506">
        <f>(IF(D11506=0,(2*(D11485+G11485))-(F$5*8),IF(D11506=3,(2*(D11485+G11485))-(F$5*8)+(G11485-2*F$5),IF(D11506=4,(2*(D11485+G11485))-(F$5*8)+2*(G11485-2*F$5)))))/1000</f>
        <v>0.98</v>
      </c>
      <c r="K11506" t="str">
        <v>+</v>
      </c>
      <c r="L11506">
        <f>IF(D11506=0,2*MAX(6*F11506,75),(D11506-1)*2*MAX(6*F11506,75))/1000</f>
        <v>0.15</v>
      </c>
      <c r="M11506" t="str">
        <v>=</v>
      </c>
      <c r="N11506">
        <f>J11506+L11506</f>
        <v>1.13</v>
      </c>
      <c r="T11506" t="str">
        <v>x</v>
      </c>
      <c r="U11506">
        <f>0.006165*F11506^2</f>
        <v>0.39456</v>
      </c>
      <c r="V11506" t="str">
        <v>x</v>
      </c>
      <c r="W11506">
        <f>IF(D11487&gt;4*G11485,ROUND(MAX(D11487/4,2*G11485)/H11506,0)+1,0)</f>
        <v>10</v>
      </c>
      <c r="X11506" t="str">
        <v>x</v>
      </c>
      <c r="Y11506">
        <f>D11490</f>
        <v>1</v>
      </c>
      <c r="Z11506" t="str">
        <v>=</v>
      </c>
      <c r="AA11506">
        <f>N11506*U11506*W11506*Y11506</f>
        <v>4.458528</v>
      </c>
    </row>
    <row r="11508">
      <c r="A11508" t="str">
        <f>A11484</f>
        <v>Lantai Atap</v>
      </c>
      <c r="B11508">
        <f>B11484</f>
        <v>42</v>
      </c>
      <c r="C11508" t="str">
        <v>Kait Horizontal Tump.</v>
      </c>
      <c r="D11508">
        <f>VLOOKUP(D11484,'Detail Balok'!$C$10:$BJ$110,46,FALSE)</f>
        <v>0</v>
      </c>
      <c r="E11508" t="str">
        <v>D</v>
      </c>
      <c r="F11508">
        <f>VLOOKUP(D11484,'Detail Balok'!$C$10:$BJ$110,48,FALSE)</f>
        <v>0</v>
      </c>
      <c r="G11508" t="str">
        <v>-</v>
      </c>
      <c r="H11508">
        <f>VLOOKUP(D11484,'Detail Balok'!$C$10:$BJ$110,50,FALSE)</f>
        <v>100</v>
      </c>
      <c r="J11508">
        <f>(D11485-2*F$5)/1000</f>
        <v>0.12</v>
      </c>
      <c r="K11508" t="str">
        <v>+</v>
      </c>
      <c r="L11508">
        <f>IF(D11508=0,2*MAX(6*F11508,75),(D11508-1)*2*MAX(6*F11508,75))/1000</f>
        <v>0.15</v>
      </c>
      <c r="M11508" t="str">
        <v>=</v>
      </c>
      <c r="N11508">
        <f>J11508+L11508</f>
        <v>0.27</v>
      </c>
      <c r="T11508" t="str">
        <v>x</v>
      </c>
      <c r="U11508">
        <f>0.006165*F11508^2</f>
        <v>0</v>
      </c>
      <c r="V11508" t="str">
        <v>x</v>
      </c>
      <c r="W11508">
        <f>W11504</f>
        <v>10</v>
      </c>
      <c r="X11508" t="str">
        <v>x</v>
      </c>
      <c r="Y11508">
        <f>D11494</f>
        <v>3</v>
      </c>
      <c r="Z11508" t="str">
        <v>=</v>
      </c>
      <c r="AA11508">
        <f>N11508*U11508*W11508*Y11508</f>
        <v>0</v>
      </c>
    </row>
    <row r="11509">
      <c r="A11509" t="str">
        <f>A11484</f>
        <v>Lantai Atap</v>
      </c>
      <c r="B11509">
        <f>B11484</f>
        <v>42</v>
      </c>
      <c r="C11509" t="str">
        <v>Kait Horizontal Lap.</v>
      </c>
      <c r="D11509">
        <f>VLOOKUP(D11484,'Detail Balok'!$C$10:$BJ$110,51,FALSE)</f>
        <v>0</v>
      </c>
      <c r="E11509" t="str">
        <v>D</v>
      </c>
      <c r="F11509">
        <f>VLOOKUP(D11484,'Detail Balok'!$C$10:$BJ$110,53,FALSE)</f>
        <v>0</v>
      </c>
      <c r="G11509" t="str">
        <v>-</v>
      </c>
      <c r="H11509">
        <f>VLOOKUP(D11484,'Detail Balok'!$C$10:$BJ$110,55,FALSE)</f>
        <v>100</v>
      </c>
      <c r="J11509">
        <f>(D11485-2*F$5)/1000</f>
        <v>0.12</v>
      </c>
      <c r="K11509" t="str">
        <v>+</v>
      </c>
      <c r="L11509">
        <f>IF(D11509=0,2*MAX(6*F11509,75),(D11509-1)*2*MAX(6*F11509,75))/1000</f>
        <v>0.15</v>
      </c>
      <c r="M11509" t="str">
        <v>=</v>
      </c>
      <c r="N11509">
        <f>J11509+L11509</f>
        <v>0.27</v>
      </c>
      <c r="T11509" t="str">
        <v>x</v>
      </c>
      <c r="U11509">
        <f>0.006165*F11509^2</f>
        <v>0</v>
      </c>
      <c r="V11509" t="str">
        <v>x</v>
      </c>
      <c r="W11509">
        <f>W11505</f>
        <v>1</v>
      </c>
      <c r="X11509" t="str">
        <v>x</v>
      </c>
      <c r="Y11509">
        <f>D11494</f>
        <v>3</v>
      </c>
      <c r="Z11509" t="str">
        <v>=</v>
      </c>
      <c r="AA11509">
        <f>N11509*U11509*W11509*Y11509</f>
        <v>0</v>
      </c>
    </row>
    <row r="11510">
      <c r="A11510" t="str">
        <f>A11484</f>
        <v>Lantai Atap</v>
      </c>
      <c r="B11510">
        <f>B11484</f>
        <v>42</v>
      </c>
      <c r="C11510" t="str">
        <v>Kait Horizontal Tump.</v>
      </c>
      <c r="D11510">
        <f>VLOOKUP(D11484,'Detail Balok'!$C$10:$BJ$110,56,FALSE)</f>
        <v>0</v>
      </c>
      <c r="E11510" t="str">
        <v>D</v>
      </c>
      <c r="F11510">
        <f>VLOOKUP(D11484,'Detail Balok'!$C$10:$BJ$110,58,FALSE)</f>
        <v>0</v>
      </c>
      <c r="G11510" t="str">
        <v>-</v>
      </c>
      <c r="H11510">
        <f>VLOOKUP(D11484,'Detail Balok'!$C$10:$BJ$110,60,FALSE)</f>
        <v>100</v>
      </c>
      <c r="J11510">
        <f>(D11485-2*F$5)/1000</f>
        <v>0.12</v>
      </c>
      <c r="K11510" t="str">
        <v>+</v>
      </c>
      <c r="L11510">
        <f>IF(D11510=0,2*MAX(6*F11510,75),(D11510-1)*2*MAX(6*F11510,75))/1000</f>
        <v>0.15</v>
      </c>
      <c r="M11510" t="str">
        <v>=</v>
      </c>
      <c r="N11510">
        <f>J11510+L11510</f>
        <v>0.27</v>
      </c>
      <c r="T11510" t="str">
        <v>x</v>
      </c>
      <c r="U11510">
        <f>0.006165*F11510^2</f>
        <v>0</v>
      </c>
      <c r="V11510" t="str">
        <v>x</v>
      </c>
      <c r="W11510">
        <f>W11506</f>
        <v>10</v>
      </c>
      <c r="X11510" t="str">
        <v>x</v>
      </c>
      <c r="Y11510">
        <f>D11494</f>
        <v>3</v>
      </c>
      <c r="Z11510" t="str">
        <v>=</v>
      </c>
      <c r="AA11510">
        <f>N11510*U11510*W11510*Y11510</f>
        <v>0</v>
      </c>
    </row>
    <row r="11514">
      <c r="A11514" t="str">
        <f>A11484</f>
        <v>Lantai Atap</v>
      </c>
      <c r="B11514">
        <f>B11484+1</f>
        <v>43</v>
      </c>
      <c r="C11514" t="str">
        <f>CONCATENATE(A11514," no. ",B11514)</f>
        <v>Lantai Atap no. 43</v>
      </c>
      <c r="D11514" t="str">
        <f>VLOOKUP(C11514,'Data Panjang Balok'!$C$9:$N$424,2,FALSE)</f>
        <v>B245-3</v>
      </c>
    </row>
    <row r="11515">
      <c r="C11515" t="str">
        <v>Dimensi</v>
      </c>
      <c r="D11515">
        <f>VLOOKUP(D11514,'Detail Balok'!$C$10:$AU$110,2,FALSE)</f>
        <v>200</v>
      </c>
      <c r="F11515" t="str">
        <v>x</v>
      </c>
      <c r="G11515">
        <f>VLOOKUP(D11514,'Detail Balok'!$C$10:$AU$110,3,FALSE)</f>
        <v>450</v>
      </c>
    </row>
    <row r="11516">
      <c r="C11516" t="str">
        <v>Panjang as ke as</v>
      </c>
      <c r="D11516">
        <f>VLOOKUP(C11514,'Data Panjang Balok'!$C$9:$N$424,4,FALSE)</f>
        <v>4400</v>
      </c>
    </row>
    <row r="11517">
      <c r="C11517" t="str">
        <v>Panjang netto</v>
      </c>
      <c r="D11517">
        <f>VLOOKUP(C11514,'Data Panjang Balok'!$C$9:$N$424,7,FALSE)</f>
        <v>4400</v>
      </c>
    </row>
    <row r="11518">
      <c r="C11518" t="str">
        <v>Kolom / balok kiri</v>
      </c>
      <c r="D11518">
        <f>VLOOKUP(C11514,'Data Panjang Balok'!$C$9:$N$424,9,FALSE)</f>
        <v>0</v>
      </c>
    </row>
    <row r="11519">
      <c r="C11519" t="str">
        <v>Kolom / balok kanan</v>
      </c>
      <c r="D11519">
        <f>VLOOKUP(C11514,'Data Panjang Balok'!$C$9:$N$424,10,FALSE)</f>
        <v>0</v>
      </c>
    </row>
    <row r="11520">
      <c r="C11520" t="str">
        <v>Jumlah</v>
      </c>
      <c r="D11520">
        <f>VLOOKUP(C11514,'Data Panjang Balok'!$C$9:$N$424,3,FALSE)</f>
        <v>1</v>
      </c>
    </row>
    <row r="11521">
      <c r="A11521" t="str">
        <f>A11514</f>
        <v>Lantai Atap</v>
      </c>
      <c r="B11521">
        <f>B11514</f>
        <v>43</v>
      </c>
      <c r="C11521" t="str">
        <v>Tul Atas Tumpuan</v>
      </c>
      <c r="D11521">
        <f>VLOOKUP(D11514,'Detail Balok'!$C$10:$AU$110,4,FALSE)</f>
        <v>2</v>
      </c>
      <c r="E11521" t="str">
        <v>D</v>
      </c>
      <c r="F11521">
        <f>VLOOKUP(D11514,'Detail Balok'!$C$10:$AU$110,6,FALSE)</f>
        <v>16</v>
      </c>
      <c r="I11521" t="str">
        <v>(</v>
      </c>
      <c r="J11521">
        <f>+D11516/4/1000</f>
        <v>1.1</v>
      </c>
      <c r="K11521" t="str">
        <v>+</v>
      </c>
      <c r="L11521">
        <f>MAX(VLOOKUP(F11521,N$6:P$15,3,FALSE)/1000,2/3*D11518/1000)+F$16*F11521/1000</f>
        <v>0.192</v>
      </c>
      <c r="M11521" t="str">
        <v>=</v>
      </c>
      <c r="N11521">
        <f>J11521+L11521</f>
        <v>1.292</v>
      </c>
      <c r="O11521" t="str">
        <v>+</v>
      </c>
      <c r="P11521">
        <f>D11521-D11522</f>
        <v>0</v>
      </c>
      <c r="Q11521" t="str">
        <v>x</v>
      </c>
      <c r="R11521">
        <f>IF(P11521&gt;0,$F$18*F11521/1000,0)</f>
        <v>0</v>
      </c>
      <c r="S11521" t="str">
        <v>)</v>
      </c>
      <c r="T11521" t="str">
        <v>x</v>
      </c>
      <c r="U11521">
        <f>0.006165*F11521^2</f>
        <v>1.57824</v>
      </c>
      <c r="X11521" t="str">
        <v>x</v>
      </c>
      <c r="Y11521">
        <f>D11520</f>
        <v>1</v>
      </c>
      <c r="Z11521" t="str">
        <v>=</v>
      </c>
      <c r="AA11521">
        <f>IF(AA11524=0,(D11521*N11521+P11521*R11521)*U11521*Y11521,0)</f>
        <v>0</v>
      </c>
    </row>
    <row r="11522">
      <c r="A11522" t="str">
        <f>A11514</f>
        <v>Lantai Atap</v>
      </c>
      <c r="B11522">
        <f>B11514</f>
        <v>43</v>
      </c>
      <c r="C11522" t="str">
        <v>Tul Atas Lapangan</v>
      </c>
      <c r="D11522">
        <f>VLOOKUP(D11514,'Detail Balok'!$C$10:$AU$110,7,FALSE)</f>
        <v>2</v>
      </c>
      <c r="E11522" t="str">
        <v>D</v>
      </c>
      <c r="F11522">
        <f>VLOOKUP(D11514,'Detail Balok'!$C$10:$AU$110,9,FALSE)</f>
        <v>16</v>
      </c>
      <c r="I11522" t="str">
        <v>(</v>
      </c>
      <c r="J11522">
        <f>+D11516/2/1000</f>
        <v>2.2</v>
      </c>
      <c r="K11522" t="str">
        <v>+</v>
      </c>
      <c r="M11522" t="str">
        <v>=</v>
      </c>
      <c r="N11522">
        <f>J11522+L11522</f>
        <v>2.2</v>
      </c>
      <c r="O11522" t="str">
        <v>+</v>
      </c>
      <c r="P11522">
        <f>MAX(D11522-D11521,D11522-D11523)</f>
        <v>0</v>
      </c>
      <c r="Q11522" t="str">
        <v>x</v>
      </c>
      <c r="R11522">
        <f>IF(P11522&gt;0,2*(1-2*$F$19-1/2)*D11517/1000,0)</f>
        <v>0</v>
      </c>
      <c r="S11522" t="str">
        <v>)</v>
      </c>
      <c r="T11522" t="str">
        <v>x</v>
      </c>
      <c r="U11522">
        <f>0.006165*F11522^2</f>
        <v>1.57824</v>
      </c>
      <c r="X11522" t="str">
        <v>x</v>
      </c>
      <c r="Y11522">
        <f>D11520</f>
        <v>1</v>
      </c>
      <c r="Z11522" t="str">
        <v>=</v>
      </c>
      <c r="AA11522">
        <f>IF(AA11524=0,(D11522*N11522+P11522*R11522)*U11522*Y11522,0)</f>
        <v>0</v>
      </c>
    </row>
    <row r="11523">
      <c r="A11523" t="str">
        <f>A11514</f>
        <v>Lantai Atap</v>
      </c>
      <c r="B11523">
        <f>B11514</f>
        <v>43</v>
      </c>
      <c r="C11523" t="str">
        <v>Tul Atas Tumpuan</v>
      </c>
      <c r="D11523">
        <f>VLOOKUP(D11514,'Detail Balok'!$C$10:$AU$110,10,FALSE)</f>
        <v>2</v>
      </c>
      <c r="E11523" t="str">
        <v>D</v>
      </c>
      <c r="F11523">
        <f>VLOOKUP(D11514,'Detail Balok'!$C$10:$AU$110,12,FALSE)</f>
        <v>16</v>
      </c>
      <c r="I11523" t="str">
        <v>(</v>
      </c>
      <c r="J11523">
        <f>+D11516/4/1000</f>
        <v>1.1</v>
      </c>
      <c r="K11523" t="str">
        <v>+</v>
      </c>
      <c r="L11523">
        <f>MAX(VLOOKUP(F11523,N$6:P$15,3,FALSE)/1000,2/3*D11518/1000)+F$16*F11523/1000</f>
        <v>0.192</v>
      </c>
      <c r="M11523" t="str">
        <v>=</v>
      </c>
      <c r="N11523">
        <f>J11523+L11523</f>
        <v>1.292</v>
      </c>
      <c r="O11523" t="str">
        <v>+</v>
      </c>
      <c r="P11523">
        <f>D11523-D11522</f>
        <v>0</v>
      </c>
      <c r="Q11523" t="str">
        <v>x</v>
      </c>
      <c r="R11523">
        <f>IF(P11523&gt;0,$F$18*F11523/1000,0)</f>
        <v>0</v>
      </c>
      <c r="S11523" t="str">
        <v>)</v>
      </c>
      <c r="T11523" t="str">
        <v>x</v>
      </c>
      <c r="U11523">
        <f>0.006165*F11523^2</f>
        <v>1.57824</v>
      </c>
      <c r="X11523" t="str">
        <v>x</v>
      </c>
      <c r="Y11523">
        <f>D11520</f>
        <v>1</v>
      </c>
      <c r="Z11523" t="str">
        <v>=</v>
      </c>
      <c r="AA11523">
        <f>IF(AA11524=0,(D11523*N11523+P11523*R11523)*U11523*Y11523,0)</f>
        <v>0</v>
      </c>
    </row>
    <row r="11524">
      <c r="A11524" t="str">
        <f>A11514</f>
        <v>Lantai Atap</v>
      </c>
      <c r="B11524">
        <f>B11514</f>
        <v>43</v>
      </c>
      <c r="D11524">
        <f>IF(AND(D11521=D11522,D11522=D11523,D11521=D11523),D11521,0)</f>
        <v>2</v>
      </c>
      <c r="E11524" t="str">
        <v>D</v>
      </c>
      <c r="F11524">
        <f>IF(AND(F11521=F11522,F11521=F11523,F11522=F11523),F11521,0)</f>
        <v>16</v>
      </c>
      <c r="L11524" t="str">
        <v>Total panjang per balok</v>
      </c>
      <c r="M11524" t="str">
        <v>=</v>
      </c>
      <c r="N11524">
        <f>IF(AND(D11521=D11522,D11521=D11523,D11522=D11523,F11521=F11522,F11521=F11523,F11522=F11523),SUM(N11521:N11523),0)</f>
        <v>4.784</v>
      </c>
      <c r="O11524" t="str">
        <v>+</v>
      </c>
      <c r="P11524">
        <f>IF(N11524&gt;12,ROUNDDOWN(N11524/12,0),0)</f>
        <v>0</v>
      </c>
      <c r="Q11524" t="str">
        <v>x</v>
      </c>
      <c r="R11524">
        <f>IF(P11524&gt;0,MAX(VLOOKUP(F11524,$D$6:$G$15,3,FALSE),600),0)/1000</f>
        <v>0</v>
      </c>
      <c r="T11524" t="str">
        <v>x</v>
      </c>
      <c r="U11524">
        <f>U11523</f>
        <v>1.57824</v>
      </c>
      <c r="V11524" t="str">
        <v>x</v>
      </c>
      <c r="W11524">
        <f>D11524</f>
        <v>2</v>
      </c>
      <c r="X11524" t="str">
        <v>x</v>
      </c>
      <c r="Y11524">
        <f>Y11523</f>
        <v>1</v>
      </c>
      <c r="Z11524" t="str">
        <v>=</v>
      </c>
      <c r="AA11524">
        <f>(N11524+P11524*R11524/1000)*U11524*W11524*Y11524</f>
        <v>15.10060032</v>
      </c>
    </row>
    <row r="11526">
      <c r="A11526" t="str">
        <f>A11514</f>
        <v>Lantai Atap</v>
      </c>
      <c r="B11526">
        <f>B11514</f>
        <v>43</v>
      </c>
      <c r="C11526" t="str">
        <v>Tul Peminggang</v>
      </c>
      <c r="D11526">
        <f>VLOOKUP(D11514,'Detail Balok'!$C$10:$AU$110,13,FALSE)</f>
        <v>2</v>
      </c>
      <c r="E11526" t="str">
        <v>D</v>
      </c>
      <c r="F11526">
        <f>VLOOKUP(D11514,'Detail Balok'!$C$10:$AU$110,15,FALSE)</f>
        <v>10</v>
      </c>
      <c r="J11526">
        <f>+D11516/1000</f>
        <v>4.4</v>
      </c>
      <c r="K11526" t="str">
        <v>+</v>
      </c>
      <c r="L11526">
        <f>2*$F$16*F11526/1000</f>
        <v>0.24</v>
      </c>
      <c r="M11526" t="str">
        <v>=</v>
      </c>
      <c r="N11526">
        <f>J11526+L11526</f>
        <v>4.640000000000001</v>
      </c>
      <c r="O11526" t="str">
        <v>+</v>
      </c>
      <c r="P11526">
        <f>IF(N11526&gt;12,ROUNDDOWN(N11526/12,0),0)</f>
        <v>0</v>
      </c>
      <c r="Q11526" t="str">
        <v>x</v>
      </c>
      <c r="R11526">
        <f>IF(P11526&gt;0,MAX(VLOOKUP(F11526,$D$6:$G$15,3,FALSE),600),0)/1000</f>
        <v>0</v>
      </c>
      <c r="T11526" t="str">
        <v>x</v>
      </c>
      <c r="U11526">
        <f>0.006165*F11526^2</f>
        <v>0.6165</v>
      </c>
      <c r="V11526" t="str">
        <v>x</v>
      </c>
      <c r="W11526">
        <f>+D11526</f>
        <v>2</v>
      </c>
      <c r="X11526" t="str">
        <v>x</v>
      </c>
      <c r="Y11526">
        <f>D11520</f>
        <v>1</v>
      </c>
      <c r="Z11526" t="str">
        <v>=</v>
      </c>
      <c r="AA11526">
        <f>(N11526+P11526*R11526/1000)*U11526*W11526*Y11526</f>
        <v>5.721120000000001</v>
      </c>
    </row>
    <row r="11529">
      <c r="A11529" t="str">
        <f>A11514</f>
        <v>Lantai Atap</v>
      </c>
      <c r="B11529">
        <f>B11514</f>
        <v>43</v>
      </c>
      <c r="C11529" t="str">
        <v>Tul Bawah Tumpuan</v>
      </c>
      <c r="D11529">
        <f>VLOOKUP(D11514,'Detail Balok'!$C$10:$AU$110,22,FALSE)</f>
        <v>2</v>
      </c>
      <c r="E11529" t="str">
        <v>D</v>
      </c>
      <c r="F11529">
        <f>VLOOKUP(D11514,'Detail Balok'!$C$10:$AU$110,24,FALSE)</f>
        <v>16</v>
      </c>
      <c r="I11529" t="str">
        <v>(</v>
      </c>
      <c r="J11529">
        <f>+J11521</f>
        <v>1.1</v>
      </c>
      <c r="K11529" t="str">
        <v>+</v>
      </c>
      <c r="L11529">
        <f>MAX(VLOOKUP(F11529,N$6:P$15,3,FALSE)/1000,2/3*D11519/1000)+F$16*F11529/1000</f>
        <v>0.192</v>
      </c>
      <c r="M11529" t="str">
        <v>=</v>
      </c>
      <c r="N11529">
        <f>J11529+L11529</f>
        <v>1.292</v>
      </c>
      <c r="O11529" t="str">
        <v>+</v>
      </c>
      <c r="P11529">
        <f>D11529-D11530</f>
        <v>0</v>
      </c>
      <c r="Q11529" t="str">
        <v>x</v>
      </c>
      <c r="R11529">
        <f>IF(P11529&gt;0,$F$18*F11529/1000,0)</f>
        <v>0</v>
      </c>
      <c r="S11529" t="str">
        <v>)</v>
      </c>
      <c r="T11529" t="str">
        <v>x</v>
      </c>
      <c r="U11529">
        <f>0.006165*F11529^2</f>
        <v>1.57824</v>
      </c>
      <c r="X11529" t="str">
        <v>x</v>
      </c>
      <c r="Y11529">
        <f>D11520</f>
        <v>1</v>
      </c>
      <c r="Z11529" t="str">
        <v>=</v>
      </c>
      <c r="AA11529">
        <f>IF(AA11532=0,(D11529*N11529+P11529*R11529)*U11529*Y11529,0)</f>
        <v>0</v>
      </c>
    </row>
    <row r="11530">
      <c r="A11530" t="str">
        <f>A11514</f>
        <v>Lantai Atap</v>
      </c>
      <c r="B11530">
        <f>B11514</f>
        <v>43</v>
      </c>
      <c r="C11530" t="str">
        <v>Tul Bawah Lapangan</v>
      </c>
      <c r="D11530">
        <f>VLOOKUP(D11514,'Detail Balok'!$C$10:$AU$110,25,FALSE)</f>
        <v>2</v>
      </c>
      <c r="E11530" t="str">
        <v>D</v>
      </c>
      <c r="F11530">
        <f>VLOOKUP(D11514,'Detail Balok'!$C$10:$AU$110,27,FALSE)</f>
        <v>16</v>
      </c>
      <c r="I11530" t="str">
        <v>(</v>
      </c>
      <c r="J11530">
        <f>+J11522</f>
        <v>2.2</v>
      </c>
      <c r="K11530" t="str">
        <v>+</v>
      </c>
      <c r="M11530" t="str">
        <v>=</v>
      </c>
      <c r="N11530">
        <f>J11530+L11530</f>
        <v>2.2</v>
      </c>
      <c r="O11530" t="str">
        <v>+</v>
      </c>
      <c r="P11530">
        <f>MAX(D11530-D11529,D11530-D11531)</f>
        <v>0</v>
      </c>
      <c r="Q11530" t="str">
        <v>x</v>
      </c>
      <c r="R11530">
        <f>IF(P11530&gt;0,2*(1-2*$F$19-1/2)*D11517/1000,0)</f>
        <v>0</v>
      </c>
      <c r="S11530" t="str">
        <v>)</v>
      </c>
      <c r="T11530" t="str">
        <v>x</v>
      </c>
      <c r="U11530">
        <f>0.006165*F11530^2</f>
        <v>1.57824</v>
      </c>
      <c r="X11530" t="str">
        <v>x</v>
      </c>
      <c r="Y11530">
        <f>D11520</f>
        <v>1</v>
      </c>
      <c r="Z11530" t="str">
        <v>=</v>
      </c>
      <c r="AA11530">
        <f>IF(AA11532=0,(D11530*N11530+P11530*R11530)*U11530*Y11530,0)</f>
        <v>0</v>
      </c>
    </row>
    <row r="11531">
      <c r="A11531" t="str">
        <f>A11514</f>
        <v>Lantai Atap</v>
      </c>
      <c r="B11531">
        <f>B11514</f>
        <v>43</v>
      </c>
      <c r="C11531" t="str">
        <v>Tul Bawah Tumpuan</v>
      </c>
      <c r="D11531">
        <f>VLOOKUP(D11514,'Detail Balok'!$C$10:$AU$110,28,FALSE)</f>
        <v>2</v>
      </c>
      <c r="E11531" t="str">
        <v>D</v>
      </c>
      <c r="F11531">
        <f>VLOOKUP(D11514,'Detail Balok'!$C$10:$AU$110,30,FALSE)</f>
        <v>16</v>
      </c>
      <c r="I11531" t="str">
        <v>(</v>
      </c>
      <c r="J11531">
        <f>+J11523</f>
        <v>1.1</v>
      </c>
      <c r="K11531" t="str">
        <v>+</v>
      </c>
      <c r="L11531">
        <f>MAX(VLOOKUP(F11531,N$6:P$15,3,FALSE)/1000,2/3*D11519/1000)+F$16*F11531/1000</f>
        <v>0.192</v>
      </c>
      <c r="M11531" t="str">
        <v>=</v>
      </c>
      <c r="N11531">
        <f>J11531+L11531</f>
        <v>1.292</v>
      </c>
      <c r="O11531" t="str">
        <v>+</v>
      </c>
      <c r="P11531">
        <f>D11531-D11530</f>
        <v>0</v>
      </c>
      <c r="Q11531" t="str">
        <v>x</v>
      </c>
      <c r="R11531">
        <f>IF(P11531&gt;0,$F$18*F11531/1000,0)</f>
        <v>0</v>
      </c>
      <c r="S11531" t="str">
        <v>)</v>
      </c>
      <c r="T11531" t="str">
        <v>x</v>
      </c>
      <c r="U11531">
        <f>0.006165*F11531^2</f>
        <v>1.57824</v>
      </c>
      <c r="X11531" t="str">
        <v>x</v>
      </c>
      <c r="Y11531">
        <f>D11520</f>
        <v>1</v>
      </c>
      <c r="Z11531" t="str">
        <v>=</v>
      </c>
      <c r="AA11531">
        <f>IF(AA11532=0,(D11531*N11531+P11531*R11531)*U11531*Y11531,0)</f>
        <v>0</v>
      </c>
    </row>
    <row r="11532">
      <c r="A11532" t="str">
        <f>A11514</f>
        <v>Lantai Atap</v>
      </c>
      <c r="B11532">
        <f>B11514</f>
        <v>43</v>
      </c>
      <c r="D11532">
        <f>IF(AND(D11529=D11530,D11530=D11531,D11529=D11531),D11529,0)</f>
        <v>2</v>
      </c>
      <c r="E11532" t="str">
        <v>D</v>
      </c>
      <c r="F11532">
        <f>IF(AND(F11529=F11530,F11529=F11531,F11530=F11531),F11529,0)</f>
        <v>16</v>
      </c>
      <c r="L11532" t="str">
        <v>Total panjang per balok</v>
      </c>
      <c r="M11532" t="str">
        <v>=</v>
      </c>
      <c r="N11532">
        <f>IF(AND(D11529=D11530,D11529=D11531,D11530=D11531,F11529=F11530,F11529=F11531,F11530=F11531),SUM(N11529:N11531),0)</f>
        <v>4.784</v>
      </c>
      <c r="O11532" t="str">
        <v>+</v>
      </c>
      <c r="P11532">
        <f>IF(N11532&gt;12,ROUNDDOWN(N11532/12,0),0)</f>
        <v>0</v>
      </c>
      <c r="Q11532" t="str">
        <v>x</v>
      </c>
      <c r="R11532">
        <f>IF(P11532&gt;0,MAX(VLOOKUP(F11532,$D$6:$G$15,3,FALSE),600),0)/1000</f>
        <v>0</v>
      </c>
      <c r="T11532" t="str">
        <v>x</v>
      </c>
      <c r="U11532">
        <f>U11531</f>
        <v>1.57824</v>
      </c>
      <c r="V11532" t="str">
        <v>x</v>
      </c>
      <c r="W11532">
        <f>D11532</f>
        <v>2</v>
      </c>
      <c r="X11532" t="str">
        <v>x</v>
      </c>
      <c r="Y11532">
        <f>Y11531</f>
        <v>1</v>
      </c>
      <c r="Z11532" t="str">
        <v>=</v>
      </c>
      <c r="AA11532">
        <f>(N11532+P11532*R11532/1000)*U11532*W11532*Y11532</f>
        <v>15.10060032</v>
      </c>
    </row>
    <row r="11534">
      <c r="A11534" t="str">
        <f>A11514</f>
        <v>Lantai Atap</v>
      </c>
      <c r="B11534">
        <f>B11514</f>
        <v>43</v>
      </c>
      <c r="C11534" t="str">
        <v>Sengkang Tumpuan</v>
      </c>
      <c r="D11534">
        <f>VLOOKUP(D11514,'Detail Balok'!$C$10:$AU$110,31,FALSE)</f>
        <v>0</v>
      </c>
      <c r="E11534" t="str">
        <v>D</v>
      </c>
      <c r="F11534">
        <f>VLOOKUP(D11514,'Detail Balok'!$C$10:$AU$110,33,FALSE)</f>
        <v>10</v>
      </c>
      <c r="G11534" t="str">
        <v>-</v>
      </c>
      <c r="H11534">
        <f>VLOOKUP(D11514,'Detail Balok'!$C$10:$AU$110,35,FALSE)</f>
        <v>90</v>
      </c>
      <c r="J11534">
        <f>(IF(D11534=0,(2*(D11515+G11515))-(F$5*8),IF(D11534=3,(2*(D11515+G11515))-(F$5*8)+(G11515-2*F$5),IF(D11534=4,(2*(D11515+G11515))-(F$5*8)+2*(G11515-2*F$5)))))/1000</f>
        <v>0.98</v>
      </c>
      <c r="K11534" t="str">
        <v>+</v>
      </c>
      <c r="L11534">
        <f>IF(D11534=0,2*MAX(6*F11534,75),(D11534-1)*2*MAX(6*F11534,75))/1000</f>
        <v>0.15</v>
      </c>
      <c r="M11534" t="str">
        <v>=</v>
      </c>
      <c r="N11534">
        <f>J11534+L11534</f>
        <v>1.13</v>
      </c>
      <c r="T11534" t="str">
        <v>x</v>
      </c>
      <c r="U11534">
        <f>0.006165*F11534^2</f>
        <v>0.6165</v>
      </c>
      <c r="V11534" t="str">
        <v>x</v>
      </c>
      <c r="W11534">
        <f>IF(D11517&gt;4*G11515,ROUND(MAX(D11517/4,2*G11515)/H11534,0)+1,ROUND(D11517/H11534,0)+1)</f>
        <v>13</v>
      </c>
      <c r="X11534" t="str">
        <v>x</v>
      </c>
      <c r="Y11534">
        <f>D11520</f>
        <v>1</v>
      </c>
      <c r="Z11534" t="str">
        <v>=</v>
      </c>
      <c r="AA11534">
        <f>N11534*U11534*W11534*Y11534</f>
        <v>9.056384999999999</v>
      </c>
    </row>
    <row r="11535">
      <c r="A11535" t="str">
        <f>A11514</f>
        <v>Lantai Atap</v>
      </c>
      <c r="B11535">
        <f>B11514</f>
        <v>43</v>
      </c>
      <c r="C11535" t="str">
        <v>Sengkang Lapangan</v>
      </c>
      <c r="D11535">
        <f>VLOOKUP(D11514,'Detail Balok'!$C$10:$AU$110,36,FALSE)</f>
        <v>0</v>
      </c>
      <c r="E11535" t="str">
        <v>D</v>
      </c>
      <c r="F11535">
        <f>VLOOKUP(D11514,'Detail Balok'!$C$10:$AU$110,38,FALSE)</f>
        <v>10</v>
      </c>
      <c r="G11535" t="str">
        <v>-</v>
      </c>
      <c r="H11535">
        <f>VLOOKUP(D11514,'Detail Balok'!$C$10:$AU$110,40,FALSE)</f>
        <v>175</v>
      </c>
      <c r="J11535">
        <f>(IF(D11535=0,(2*(D11515+G11515))-(F$5*8),IF(D11535=3,(2*(D11515+G11515))-(F$5*8)+(G11515-2*F$5),IF(D11535=4,(2*(D11515+G11515))-(F$5*8)+2*(G11515-2*F$5)))))/1000</f>
        <v>0.98</v>
      </c>
      <c r="K11535" t="str">
        <v>+</v>
      </c>
      <c r="L11535">
        <f>IF(D11535=0,2*MAX(6*F11535,75),(D11535-1)*2*MAX(6*F11535,75))/1000</f>
        <v>0.15</v>
      </c>
      <c r="M11535" t="str">
        <v>=</v>
      </c>
      <c r="N11535">
        <f>J11535+L11535</f>
        <v>1.13</v>
      </c>
      <c r="T11535" t="str">
        <v>x</v>
      </c>
      <c r="U11535">
        <f>0.006165*F11535^2</f>
        <v>0.6165</v>
      </c>
      <c r="V11535" t="str">
        <v>x</v>
      </c>
      <c r="W11535">
        <f>IF(D11517-MAX(D11517/4,2*G11515)*2&gt;0,ROUND((D11517-MAX(D11517/4,2*G11515)*2)/H11535,0),0)</f>
        <v>13</v>
      </c>
      <c r="X11535" t="str">
        <v>x</v>
      </c>
      <c r="Y11535">
        <f>D11520</f>
        <v>1</v>
      </c>
      <c r="Z11535" t="str">
        <v>=</v>
      </c>
      <c r="AA11535">
        <f>N11535*U11535*W11535*Y11535</f>
        <v>9.056384999999999</v>
      </c>
    </row>
    <row r="11536">
      <c r="A11536" t="str">
        <f>A11514</f>
        <v>Lantai Atap</v>
      </c>
      <c r="B11536">
        <f>B11514</f>
        <v>43</v>
      </c>
      <c r="C11536" t="str">
        <v>Sengkang Tumpuan</v>
      </c>
      <c r="D11536">
        <f>VLOOKUP(D11514,'Detail Balok'!$C$10:$AU$110,41,FALSE)</f>
        <v>0</v>
      </c>
      <c r="E11536" t="str">
        <v>D</v>
      </c>
      <c r="F11536">
        <f>VLOOKUP(D11514,'Detail Balok'!$C$10:$AU$110,43,FALSE)</f>
        <v>10</v>
      </c>
      <c r="G11536" t="str">
        <v>-</v>
      </c>
      <c r="H11536">
        <f>VLOOKUP(D11514,'Detail Balok'!$C$10:$AU$110,45,FALSE)</f>
        <v>90</v>
      </c>
      <c r="J11536">
        <f>(IF(D11536=0,(2*(D11515+G11515))-(F$5*8),IF(D11536=3,(2*(D11515+G11515))-(F$5*8)+(G11515-2*F$5),IF(D11536=4,(2*(D11515+G11515))-(F$5*8)+2*(G11515-2*F$5)))))/1000</f>
        <v>0.98</v>
      </c>
      <c r="K11536" t="str">
        <v>+</v>
      </c>
      <c r="L11536">
        <f>IF(D11536=0,2*MAX(6*F11536,75),(D11536-1)*2*MAX(6*F11536,75))/1000</f>
        <v>0.15</v>
      </c>
      <c r="M11536" t="str">
        <v>=</v>
      </c>
      <c r="N11536">
        <f>J11536+L11536</f>
        <v>1.13</v>
      </c>
      <c r="T11536" t="str">
        <v>x</v>
      </c>
      <c r="U11536">
        <f>0.006165*F11536^2</f>
        <v>0.6165</v>
      </c>
      <c r="V11536" t="str">
        <v>x</v>
      </c>
      <c r="W11536">
        <f>IF(D11517&gt;4*G11515,ROUND(MAX(D11517/4,2*G11515)/H11536,0)+1,0)</f>
        <v>13</v>
      </c>
      <c r="X11536" t="str">
        <v>x</v>
      </c>
      <c r="Y11536">
        <f>D11520</f>
        <v>1</v>
      </c>
      <c r="Z11536" t="str">
        <v>=</v>
      </c>
      <c r="AA11536">
        <f>N11536*U11536*W11536*Y11536</f>
        <v>9.056384999999999</v>
      </c>
    </row>
    <row r="11538">
      <c r="A11538" t="str">
        <f>A11514</f>
        <v>Lantai Atap</v>
      </c>
      <c r="B11538">
        <f>B11514</f>
        <v>43</v>
      </c>
      <c r="C11538" t="str">
        <v>Kait Horizontal Tump.</v>
      </c>
      <c r="D11538">
        <f>VLOOKUP(D11514,'Detail Balok'!$C$10:$BJ$110,46,FALSE)</f>
        <v>0</v>
      </c>
      <c r="E11538" t="str">
        <v>D</v>
      </c>
      <c r="F11538">
        <f>VLOOKUP(D11514,'Detail Balok'!$C$10:$BJ$110,48,FALSE)</f>
        <v>0</v>
      </c>
      <c r="G11538" t="str">
        <v>-</v>
      </c>
      <c r="H11538">
        <f>VLOOKUP(D11514,'Detail Balok'!$C$10:$BJ$110,50,FALSE)</f>
        <v>100</v>
      </c>
      <c r="J11538">
        <f>(D11515-2*F$5)/1000</f>
        <v>0.12</v>
      </c>
      <c r="K11538" t="str">
        <v>+</v>
      </c>
      <c r="L11538">
        <f>IF(D11538=0,2*MAX(6*F11538,75),(D11538-1)*2*MAX(6*F11538,75))/1000</f>
        <v>0.15</v>
      </c>
      <c r="M11538" t="str">
        <v>=</v>
      </c>
      <c r="N11538">
        <f>J11538+L11538</f>
        <v>0.27</v>
      </c>
      <c r="T11538" t="str">
        <v>x</v>
      </c>
      <c r="U11538">
        <f>0.006165*F11538^2</f>
        <v>0</v>
      </c>
      <c r="V11538" t="str">
        <v>x</v>
      </c>
      <c r="W11538">
        <f>W11534</f>
        <v>13</v>
      </c>
      <c r="X11538" t="str">
        <v>x</v>
      </c>
      <c r="Y11538">
        <f>D11524</f>
        <v>2</v>
      </c>
      <c r="Z11538" t="str">
        <v>=</v>
      </c>
      <c r="AA11538">
        <f>N11538*U11538*W11538*Y11538</f>
        <v>0</v>
      </c>
    </row>
    <row r="11539">
      <c r="A11539" t="str">
        <f>A11514</f>
        <v>Lantai Atap</v>
      </c>
      <c r="B11539">
        <f>B11514</f>
        <v>43</v>
      </c>
      <c r="C11539" t="str">
        <v>Kait Horizontal Lap.</v>
      </c>
      <c r="D11539">
        <f>VLOOKUP(D11514,'Detail Balok'!$C$10:$BJ$110,51,FALSE)</f>
        <v>0</v>
      </c>
      <c r="E11539" t="str">
        <v>D</v>
      </c>
      <c r="F11539">
        <f>VLOOKUP(D11514,'Detail Balok'!$C$10:$BJ$110,53,FALSE)</f>
        <v>0</v>
      </c>
      <c r="G11539" t="str">
        <v>-</v>
      </c>
      <c r="H11539">
        <f>VLOOKUP(D11514,'Detail Balok'!$C$10:$BJ$110,55,FALSE)</f>
        <v>100</v>
      </c>
      <c r="J11539">
        <f>(D11515-2*F$5)/1000</f>
        <v>0.12</v>
      </c>
      <c r="K11539" t="str">
        <v>+</v>
      </c>
      <c r="L11539">
        <f>IF(D11539=0,2*MAX(6*F11539,75),(D11539-1)*2*MAX(6*F11539,75))/1000</f>
        <v>0.15</v>
      </c>
      <c r="M11539" t="str">
        <v>=</v>
      </c>
      <c r="N11539">
        <f>J11539+L11539</f>
        <v>0.27</v>
      </c>
      <c r="T11539" t="str">
        <v>x</v>
      </c>
      <c r="U11539">
        <f>0.006165*F11539^2</f>
        <v>0</v>
      </c>
      <c r="V11539" t="str">
        <v>x</v>
      </c>
      <c r="W11539">
        <f>W11535</f>
        <v>13</v>
      </c>
      <c r="X11539" t="str">
        <v>x</v>
      </c>
      <c r="Y11539">
        <f>D11524</f>
        <v>2</v>
      </c>
      <c r="Z11539" t="str">
        <v>=</v>
      </c>
      <c r="AA11539">
        <f>N11539*U11539*W11539*Y11539</f>
        <v>0</v>
      </c>
    </row>
    <row r="11540">
      <c r="A11540" t="str">
        <f>A11514</f>
        <v>Lantai Atap</v>
      </c>
      <c r="B11540">
        <f>B11514</f>
        <v>43</v>
      </c>
      <c r="C11540" t="str">
        <v>Kait Horizontal Tump.</v>
      </c>
      <c r="D11540">
        <f>VLOOKUP(D11514,'Detail Balok'!$C$10:$BJ$110,56,FALSE)</f>
        <v>0</v>
      </c>
      <c r="E11540" t="str">
        <v>D</v>
      </c>
      <c r="F11540">
        <f>VLOOKUP(D11514,'Detail Balok'!$C$10:$BJ$110,58,FALSE)</f>
        <v>0</v>
      </c>
      <c r="G11540" t="str">
        <v>-</v>
      </c>
      <c r="H11540">
        <f>VLOOKUP(D11514,'Detail Balok'!$C$10:$BJ$110,60,FALSE)</f>
        <v>100</v>
      </c>
      <c r="J11540">
        <f>(D11515-2*F$5)/1000</f>
        <v>0.12</v>
      </c>
      <c r="K11540" t="str">
        <v>+</v>
      </c>
      <c r="L11540">
        <f>IF(D11540=0,2*MAX(6*F11540,75),(D11540-1)*2*MAX(6*F11540,75))/1000</f>
        <v>0.15</v>
      </c>
      <c r="M11540" t="str">
        <v>=</v>
      </c>
      <c r="N11540">
        <f>J11540+L11540</f>
        <v>0.27</v>
      </c>
      <c r="T11540" t="str">
        <v>x</v>
      </c>
      <c r="U11540">
        <f>0.006165*F11540^2</f>
        <v>0</v>
      </c>
      <c r="V11540" t="str">
        <v>x</v>
      </c>
      <c r="W11540">
        <f>W11536</f>
        <v>13</v>
      </c>
      <c r="X11540" t="str">
        <v>x</v>
      </c>
      <c r="Y11540">
        <f>D11524</f>
        <v>2</v>
      </c>
      <c r="Z11540" t="str">
        <v>=</v>
      </c>
      <c r="AA11540">
        <f>N11540*U11540*W11540*Y11540</f>
        <v>0</v>
      </c>
    </row>
    <row r="11544">
      <c r="A11544" t="str">
        <f>A11514</f>
        <v>Lantai Atap</v>
      </c>
      <c r="B11544">
        <f>B11514+1</f>
        <v>44</v>
      </c>
      <c r="C11544" t="str">
        <f>CONCATENATE(A11544," no. ",B11544)</f>
        <v>Lantai Atap no. 44</v>
      </c>
      <c r="D11544" t="str">
        <f>VLOOKUP(C11544,'Data Panjang Balok'!$C$9:$N$424,2,FALSE)</f>
        <v>B245-4</v>
      </c>
    </row>
    <row r="11545">
      <c r="C11545" t="str">
        <v>Dimensi</v>
      </c>
      <c r="D11545">
        <f>VLOOKUP(D11544,'Detail Balok'!$C$10:$AU$110,2,FALSE)</f>
        <v>200</v>
      </c>
      <c r="F11545" t="str">
        <v>x</v>
      </c>
      <c r="G11545">
        <f>VLOOKUP(D11544,'Detail Balok'!$C$10:$AU$110,3,FALSE)</f>
        <v>450</v>
      </c>
    </row>
    <row r="11546">
      <c r="C11546" t="str">
        <v>Panjang as ke as</v>
      </c>
      <c r="D11546">
        <f>VLOOKUP(C11544,'Data Panjang Balok'!$C$9:$N$424,4,FALSE)</f>
        <v>5500</v>
      </c>
    </row>
    <row r="11547">
      <c r="C11547" t="str">
        <v>Panjang netto</v>
      </c>
      <c r="D11547">
        <f>VLOOKUP(C11544,'Data Panjang Balok'!$C$9:$N$424,7,FALSE)</f>
        <v>5500</v>
      </c>
    </row>
    <row r="11548">
      <c r="C11548" t="str">
        <v>Kolom / balok kiri</v>
      </c>
      <c r="D11548">
        <f>VLOOKUP(C11544,'Data Panjang Balok'!$C$9:$N$424,9,FALSE)</f>
        <v>0</v>
      </c>
    </row>
    <row r="11549">
      <c r="C11549" t="str">
        <v>Kolom / balok kanan</v>
      </c>
      <c r="D11549">
        <f>VLOOKUP(C11544,'Data Panjang Balok'!$C$9:$N$424,10,FALSE)</f>
        <v>0</v>
      </c>
    </row>
    <row r="11550">
      <c r="C11550" t="str">
        <v>Jumlah</v>
      </c>
      <c r="D11550">
        <f>VLOOKUP(C11544,'Data Panjang Balok'!$C$9:$N$424,3,FALSE)</f>
        <v>1</v>
      </c>
    </row>
    <row r="11551">
      <c r="A11551" t="str">
        <f>A11544</f>
        <v>Lantai Atap</v>
      </c>
      <c r="B11551">
        <f>B11544</f>
        <v>44</v>
      </c>
      <c r="C11551" t="str">
        <v>Tul Atas Tumpuan</v>
      </c>
      <c r="D11551">
        <f>VLOOKUP(D11544,'Detail Balok'!$C$10:$AU$110,4,FALSE)</f>
        <v>3</v>
      </c>
      <c r="E11551" t="str">
        <v>D</v>
      </c>
      <c r="F11551">
        <f>VLOOKUP(D11544,'Detail Balok'!$C$10:$AU$110,6,FALSE)</f>
        <v>16</v>
      </c>
      <c r="I11551" t="str">
        <v>(</v>
      </c>
      <c r="J11551">
        <f>+D11546/4/1000</f>
        <v>1.375</v>
      </c>
      <c r="K11551" t="str">
        <v>+</v>
      </c>
      <c r="L11551">
        <f>MAX(VLOOKUP(F11551,N$6:P$15,3,FALSE)/1000,2/3*D11548/1000)+F$16*F11551/1000</f>
        <v>0.192</v>
      </c>
      <c r="M11551" t="str">
        <v>=</v>
      </c>
      <c r="N11551">
        <f>J11551+L11551</f>
        <v>1.567</v>
      </c>
      <c r="O11551" t="str">
        <v>+</v>
      </c>
      <c r="P11551">
        <f>D11551-D11552</f>
        <v>0</v>
      </c>
      <c r="Q11551" t="str">
        <v>x</v>
      </c>
      <c r="R11551">
        <f>IF(P11551&gt;0,$F$18*F11551/1000,0)</f>
        <v>0</v>
      </c>
      <c r="S11551" t="str">
        <v>)</v>
      </c>
      <c r="T11551" t="str">
        <v>x</v>
      </c>
      <c r="U11551">
        <f>0.006165*F11551^2</f>
        <v>1.57824</v>
      </c>
      <c r="X11551" t="str">
        <v>x</v>
      </c>
      <c r="Y11551">
        <f>D11550</f>
        <v>1</v>
      </c>
      <c r="Z11551" t="str">
        <v>=</v>
      </c>
      <c r="AA11551">
        <f>IF(AA11554=0,(D11551*N11551+P11551*R11551)*U11551*Y11551,0)</f>
        <v>0</v>
      </c>
    </row>
    <row r="11552">
      <c r="A11552" t="str">
        <f>A11544</f>
        <v>Lantai Atap</v>
      </c>
      <c r="B11552">
        <f>B11544</f>
        <v>44</v>
      </c>
      <c r="C11552" t="str">
        <v>Tul Atas Lapangan</v>
      </c>
      <c r="D11552">
        <f>VLOOKUP(D11544,'Detail Balok'!$C$10:$AU$110,7,FALSE)</f>
        <v>3</v>
      </c>
      <c r="E11552" t="str">
        <v>D</v>
      </c>
      <c r="F11552">
        <f>VLOOKUP(D11544,'Detail Balok'!$C$10:$AU$110,9,FALSE)</f>
        <v>16</v>
      </c>
      <c r="I11552" t="str">
        <v>(</v>
      </c>
      <c r="J11552">
        <f>+D11546/2/1000</f>
        <v>2.75</v>
      </c>
      <c r="K11552" t="str">
        <v>+</v>
      </c>
      <c r="M11552" t="str">
        <v>=</v>
      </c>
      <c r="N11552">
        <f>J11552+L11552</f>
        <v>2.75</v>
      </c>
      <c r="O11552" t="str">
        <v>+</v>
      </c>
      <c r="P11552">
        <f>MAX(D11552-D11551,D11552-D11553)</f>
        <v>0</v>
      </c>
      <c r="Q11552" t="str">
        <v>x</v>
      </c>
      <c r="R11552">
        <f>IF(P11552&gt;0,2*(1-2*$F$19-1/2)*D11547/1000,0)</f>
        <v>0</v>
      </c>
      <c r="S11552" t="str">
        <v>)</v>
      </c>
      <c r="T11552" t="str">
        <v>x</v>
      </c>
      <c r="U11552">
        <f>0.006165*F11552^2</f>
        <v>1.57824</v>
      </c>
      <c r="X11552" t="str">
        <v>x</v>
      </c>
      <c r="Y11552">
        <f>D11550</f>
        <v>1</v>
      </c>
      <c r="Z11552" t="str">
        <v>=</v>
      </c>
      <c r="AA11552">
        <f>IF(AA11554=0,(D11552*N11552+P11552*R11552)*U11552*Y11552,0)</f>
        <v>0</v>
      </c>
    </row>
    <row r="11553">
      <c r="A11553" t="str">
        <f>A11544</f>
        <v>Lantai Atap</v>
      </c>
      <c r="B11553">
        <f>B11544</f>
        <v>44</v>
      </c>
      <c r="C11553" t="str">
        <v>Tul Atas Tumpuan</v>
      </c>
      <c r="D11553">
        <f>VLOOKUP(D11544,'Detail Balok'!$C$10:$AU$110,10,FALSE)</f>
        <v>3</v>
      </c>
      <c r="E11553" t="str">
        <v>D</v>
      </c>
      <c r="F11553">
        <f>VLOOKUP(D11544,'Detail Balok'!$C$10:$AU$110,12,FALSE)</f>
        <v>16</v>
      </c>
      <c r="I11553" t="str">
        <v>(</v>
      </c>
      <c r="J11553">
        <f>+D11546/4/1000</f>
        <v>1.375</v>
      </c>
      <c r="K11553" t="str">
        <v>+</v>
      </c>
      <c r="L11553">
        <f>MAX(VLOOKUP(F11553,N$6:P$15,3,FALSE)/1000,2/3*D11548/1000)+F$16*F11553/1000</f>
        <v>0.192</v>
      </c>
      <c r="M11553" t="str">
        <v>=</v>
      </c>
      <c r="N11553">
        <f>J11553+L11553</f>
        <v>1.567</v>
      </c>
      <c r="O11553" t="str">
        <v>+</v>
      </c>
      <c r="P11553">
        <f>D11553-D11552</f>
        <v>0</v>
      </c>
      <c r="Q11553" t="str">
        <v>x</v>
      </c>
      <c r="R11553">
        <f>IF(P11553&gt;0,$F$18*F11553/1000,0)</f>
        <v>0</v>
      </c>
      <c r="S11553" t="str">
        <v>)</v>
      </c>
      <c r="T11553" t="str">
        <v>x</v>
      </c>
      <c r="U11553">
        <f>0.006165*F11553^2</f>
        <v>1.57824</v>
      </c>
      <c r="X11553" t="str">
        <v>x</v>
      </c>
      <c r="Y11553">
        <f>D11550</f>
        <v>1</v>
      </c>
      <c r="Z11553" t="str">
        <v>=</v>
      </c>
      <c r="AA11553">
        <f>IF(AA11554=0,(D11553*N11553+P11553*R11553)*U11553*Y11553,0)</f>
        <v>0</v>
      </c>
    </row>
    <row r="11554">
      <c r="A11554" t="str">
        <f>A11544</f>
        <v>Lantai Atap</v>
      </c>
      <c r="B11554">
        <f>B11544</f>
        <v>44</v>
      </c>
      <c r="D11554">
        <f>IF(AND(D11551=D11552,D11552=D11553,D11551=D11553),D11551,0)</f>
        <v>3</v>
      </c>
      <c r="E11554" t="str">
        <v>D</v>
      </c>
      <c r="F11554">
        <f>IF(AND(F11551=F11552,F11551=F11553,F11552=F11553),F11551,0)</f>
        <v>16</v>
      </c>
      <c r="L11554" t="str">
        <v>Total panjang per balok</v>
      </c>
      <c r="M11554" t="str">
        <v>=</v>
      </c>
      <c r="N11554">
        <f>IF(AND(D11551=D11552,D11551=D11553,D11552=D11553,F11551=F11552,F11551=F11553,F11552=F11553),SUM(N11551:N11553),0)</f>
        <v>5.884</v>
      </c>
      <c r="O11554" t="str">
        <v>+</v>
      </c>
      <c r="P11554">
        <f>IF(N11554&gt;12,ROUNDDOWN(N11554/12,0),0)</f>
        <v>0</v>
      </c>
      <c r="Q11554" t="str">
        <v>x</v>
      </c>
      <c r="R11554">
        <f>IF(P11554&gt;0,MAX(VLOOKUP(F11554,$D$6:$G$15,3,FALSE),600),0)/1000</f>
        <v>0</v>
      </c>
      <c r="T11554" t="str">
        <v>x</v>
      </c>
      <c r="U11554">
        <f>U11553</f>
        <v>1.57824</v>
      </c>
      <c r="V11554" t="str">
        <v>x</v>
      </c>
      <c r="W11554">
        <f>D11554</f>
        <v>3</v>
      </c>
      <c r="X11554" t="str">
        <v>x</v>
      </c>
      <c r="Y11554">
        <f>Y11553</f>
        <v>1</v>
      </c>
      <c r="Z11554" t="str">
        <v>=</v>
      </c>
      <c r="AA11554">
        <f>(N11554+P11554*R11554/1000)*U11554*W11554*Y11554</f>
        <v>27.859092480000005</v>
      </c>
    </row>
    <row r="11556">
      <c r="A11556" t="str">
        <f>A11544</f>
        <v>Lantai Atap</v>
      </c>
      <c r="B11556">
        <f>B11544</f>
        <v>44</v>
      </c>
      <c r="C11556" t="str">
        <v>Tul Peminggang</v>
      </c>
      <c r="D11556">
        <f>VLOOKUP(D11544,'Detail Balok'!$C$10:$AU$110,13,FALSE)</f>
        <v>2</v>
      </c>
      <c r="E11556" t="str">
        <v>D</v>
      </c>
      <c r="F11556">
        <f>VLOOKUP(D11544,'Detail Balok'!$C$10:$AU$110,15,FALSE)</f>
        <v>8</v>
      </c>
      <c r="J11556">
        <f>+D11546/1000</f>
        <v>5.5</v>
      </c>
      <c r="K11556" t="str">
        <v>+</v>
      </c>
      <c r="L11556">
        <f>2*$F$16*F11556/1000</f>
        <v>0.192</v>
      </c>
      <c r="M11556" t="str">
        <v>=</v>
      </c>
      <c r="N11556">
        <f>J11556+L11556</f>
        <v>5.692</v>
      </c>
      <c r="O11556" t="str">
        <v>+</v>
      </c>
      <c r="P11556">
        <f>IF(N11556&gt;12,ROUNDDOWN(N11556/12,0),0)</f>
        <v>0</v>
      </c>
      <c r="Q11556" t="str">
        <v>x</v>
      </c>
      <c r="R11556">
        <f>IF(P11556&gt;0,MAX(VLOOKUP(F11556,$D$6:$G$15,3,FALSE),600),0)/1000</f>
        <v>0</v>
      </c>
      <c r="T11556" t="str">
        <v>x</v>
      </c>
      <c r="U11556">
        <f>0.006165*F11556^2</f>
        <v>0.39456</v>
      </c>
      <c r="V11556" t="str">
        <v>x</v>
      </c>
      <c r="W11556">
        <f>+D11556</f>
        <v>2</v>
      </c>
      <c r="X11556" t="str">
        <v>x</v>
      </c>
      <c r="Y11556">
        <f>D11550</f>
        <v>1</v>
      </c>
      <c r="Z11556" t="str">
        <v>=</v>
      </c>
      <c r="AA11556">
        <f>(N11556+P11556*R11556/1000)*U11556*W11556*Y11556</f>
        <v>4.49167104</v>
      </c>
    </row>
    <row r="11559">
      <c r="A11559" t="str">
        <f>A11544</f>
        <v>Lantai Atap</v>
      </c>
      <c r="B11559">
        <f>B11544</f>
        <v>44</v>
      </c>
      <c r="C11559" t="str">
        <v>Tul Bawah Tumpuan</v>
      </c>
      <c r="D11559">
        <f>VLOOKUP(D11544,'Detail Balok'!$C$10:$AU$110,22,FALSE)</f>
        <v>3</v>
      </c>
      <c r="E11559" t="str">
        <v>D</v>
      </c>
      <c r="F11559">
        <f>VLOOKUP(D11544,'Detail Balok'!$C$10:$AU$110,24,FALSE)</f>
        <v>16</v>
      </c>
      <c r="I11559" t="str">
        <v>(</v>
      </c>
      <c r="J11559">
        <f>+J11551</f>
        <v>1.375</v>
      </c>
      <c r="K11559" t="str">
        <v>+</v>
      </c>
      <c r="L11559">
        <f>MAX(VLOOKUP(F11559,N$6:P$15,3,FALSE)/1000,2/3*D11549/1000)+F$16*F11559/1000</f>
        <v>0.192</v>
      </c>
      <c r="M11559" t="str">
        <v>=</v>
      </c>
      <c r="N11559">
        <f>J11559+L11559</f>
        <v>1.567</v>
      </c>
      <c r="O11559" t="str">
        <v>+</v>
      </c>
      <c r="P11559">
        <f>D11559-D11560</f>
        <v>0</v>
      </c>
      <c r="Q11559" t="str">
        <v>x</v>
      </c>
      <c r="R11559">
        <f>IF(P11559&gt;0,$F$18*F11559/1000,0)</f>
        <v>0</v>
      </c>
      <c r="S11559" t="str">
        <v>)</v>
      </c>
      <c r="T11559" t="str">
        <v>x</v>
      </c>
      <c r="U11559">
        <f>0.006165*F11559^2</f>
        <v>1.57824</v>
      </c>
      <c r="X11559" t="str">
        <v>x</v>
      </c>
      <c r="Y11559">
        <f>D11550</f>
        <v>1</v>
      </c>
      <c r="Z11559" t="str">
        <v>=</v>
      </c>
      <c r="AA11559">
        <f>IF(AA11562=0,(D11559*N11559+P11559*R11559)*U11559*Y11559,0)</f>
        <v>0</v>
      </c>
    </row>
    <row r="11560">
      <c r="A11560" t="str">
        <f>A11544</f>
        <v>Lantai Atap</v>
      </c>
      <c r="B11560">
        <f>B11544</f>
        <v>44</v>
      </c>
      <c r="C11560" t="str">
        <v>Tul Bawah Lapangan</v>
      </c>
      <c r="D11560">
        <f>VLOOKUP(D11544,'Detail Balok'!$C$10:$AU$110,25,FALSE)</f>
        <v>3</v>
      </c>
      <c r="E11560" t="str">
        <v>D</v>
      </c>
      <c r="F11560">
        <f>VLOOKUP(D11544,'Detail Balok'!$C$10:$AU$110,27,FALSE)</f>
        <v>16</v>
      </c>
      <c r="I11560" t="str">
        <v>(</v>
      </c>
      <c r="J11560">
        <f>+J11552</f>
        <v>2.75</v>
      </c>
      <c r="K11560" t="str">
        <v>+</v>
      </c>
      <c r="M11560" t="str">
        <v>=</v>
      </c>
      <c r="N11560">
        <f>J11560+L11560</f>
        <v>2.75</v>
      </c>
      <c r="O11560" t="str">
        <v>+</v>
      </c>
      <c r="P11560">
        <f>MAX(D11560-D11559,D11560-D11561)</f>
        <v>0</v>
      </c>
      <c r="Q11560" t="str">
        <v>x</v>
      </c>
      <c r="R11560">
        <f>IF(P11560&gt;0,2*(1-2*$F$19-1/2)*D11547/1000,0)</f>
        <v>0</v>
      </c>
      <c r="S11560" t="str">
        <v>)</v>
      </c>
      <c r="T11560" t="str">
        <v>x</v>
      </c>
      <c r="U11560">
        <f>0.006165*F11560^2</f>
        <v>1.57824</v>
      </c>
      <c r="X11560" t="str">
        <v>x</v>
      </c>
      <c r="Y11560">
        <f>D11550</f>
        <v>1</v>
      </c>
      <c r="Z11560" t="str">
        <v>=</v>
      </c>
      <c r="AA11560">
        <f>IF(AA11562=0,(D11560*N11560+P11560*R11560)*U11560*Y11560,0)</f>
        <v>0</v>
      </c>
    </row>
    <row r="11561">
      <c r="A11561" t="str">
        <f>A11544</f>
        <v>Lantai Atap</v>
      </c>
      <c r="B11561">
        <f>B11544</f>
        <v>44</v>
      </c>
      <c r="C11561" t="str">
        <v>Tul Bawah Tumpuan</v>
      </c>
      <c r="D11561">
        <f>VLOOKUP(D11544,'Detail Balok'!$C$10:$AU$110,28,FALSE)</f>
        <v>3</v>
      </c>
      <c r="E11561" t="str">
        <v>D</v>
      </c>
      <c r="F11561">
        <f>VLOOKUP(D11544,'Detail Balok'!$C$10:$AU$110,30,FALSE)</f>
        <v>16</v>
      </c>
      <c r="I11561" t="str">
        <v>(</v>
      </c>
      <c r="J11561">
        <f>+J11553</f>
        <v>1.375</v>
      </c>
      <c r="K11561" t="str">
        <v>+</v>
      </c>
      <c r="L11561">
        <f>MAX(VLOOKUP(F11561,N$6:P$15,3,FALSE)/1000,2/3*D11549/1000)+F$16*F11561/1000</f>
        <v>0.192</v>
      </c>
      <c r="M11561" t="str">
        <v>=</v>
      </c>
      <c r="N11561">
        <f>J11561+L11561</f>
        <v>1.567</v>
      </c>
      <c r="O11561" t="str">
        <v>+</v>
      </c>
      <c r="P11561">
        <f>D11561-D11560</f>
        <v>0</v>
      </c>
      <c r="Q11561" t="str">
        <v>x</v>
      </c>
      <c r="R11561">
        <f>IF(P11561&gt;0,$F$18*F11561/1000,0)</f>
        <v>0</v>
      </c>
      <c r="S11561" t="str">
        <v>)</v>
      </c>
      <c r="T11561" t="str">
        <v>x</v>
      </c>
      <c r="U11561">
        <f>0.006165*F11561^2</f>
        <v>1.57824</v>
      </c>
      <c r="X11561" t="str">
        <v>x</v>
      </c>
      <c r="Y11561">
        <f>D11550</f>
        <v>1</v>
      </c>
      <c r="Z11561" t="str">
        <v>=</v>
      </c>
      <c r="AA11561">
        <f>IF(AA11562=0,(D11561*N11561+P11561*R11561)*U11561*Y11561,0)</f>
        <v>0</v>
      </c>
    </row>
    <row r="11562">
      <c r="A11562" t="str">
        <f>A11544</f>
        <v>Lantai Atap</v>
      </c>
      <c r="B11562">
        <f>B11544</f>
        <v>44</v>
      </c>
      <c r="D11562">
        <f>IF(AND(D11559=D11560,D11560=D11561,D11559=D11561),D11559,0)</f>
        <v>3</v>
      </c>
      <c r="E11562" t="str">
        <v>D</v>
      </c>
      <c r="F11562">
        <f>IF(AND(F11559=F11560,F11559=F11561,F11560=F11561),F11559,0)</f>
        <v>16</v>
      </c>
      <c r="L11562" t="str">
        <v>Total panjang per balok</v>
      </c>
      <c r="M11562" t="str">
        <v>=</v>
      </c>
      <c r="N11562">
        <f>IF(AND(D11559=D11560,D11559=D11561,D11560=D11561,F11559=F11560,F11559=F11561,F11560=F11561),SUM(N11559:N11561),0)</f>
        <v>5.884</v>
      </c>
      <c r="O11562" t="str">
        <v>+</v>
      </c>
      <c r="P11562">
        <f>IF(N11562&gt;12,ROUNDDOWN(N11562/12,0),0)</f>
        <v>0</v>
      </c>
      <c r="Q11562" t="str">
        <v>x</v>
      </c>
      <c r="R11562">
        <f>IF(P11562&gt;0,MAX(VLOOKUP(F11562,$D$6:$G$15,3,FALSE),600),0)/1000</f>
        <v>0</v>
      </c>
      <c r="T11562" t="str">
        <v>x</v>
      </c>
      <c r="U11562">
        <f>U11561</f>
        <v>1.57824</v>
      </c>
      <c r="V11562" t="str">
        <v>x</v>
      </c>
      <c r="W11562">
        <f>D11562</f>
        <v>3</v>
      </c>
      <c r="X11562" t="str">
        <v>x</v>
      </c>
      <c r="Y11562">
        <f>Y11561</f>
        <v>1</v>
      </c>
      <c r="Z11562" t="str">
        <v>=</v>
      </c>
      <c r="AA11562">
        <f>(N11562+P11562*R11562/1000)*U11562*W11562*Y11562</f>
        <v>27.859092480000005</v>
      </c>
    </row>
    <row r="11564">
      <c r="A11564" t="str">
        <f>A11544</f>
        <v>Lantai Atap</v>
      </c>
      <c r="B11564">
        <f>B11544</f>
        <v>44</v>
      </c>
      <c r="C11564" t="str">
        <v>Sengkang Tumpuan</v>
      </c>
      <c r="D11564">
        <f>VLOOKUP(D11544,'Detail Balok'!$C$10:$AU$110,31,FALSE)</f>
        <v>0</v>
      </c>
      <c r="E11564" t="str">
        <v>D</v>
      </c>
      <c r="F11564">
        <f>VLOOKUP(D11544,'Detail Balok'!$C$10:$AU$110,33,FALSE)</f>
        <v>8</v>
      </c>
      <c r="G11564" t="str">
        <v>-</v>
      </c>
      <c r="H11564">
        <f>VLOOKUP(D11544,'Detail Balok'!$C$10:$AU$110,35,FALSE)</f>
        <v>100</v>
      </c>
      <c r="J11564">
        <f>(IF(D11564=0,(2*(D11545+G11545))-(F$5*8),IF(D11564=3,(2*(D11545+G11545))-(F$5*8)+(G11545-2*F$5),IF(D11564=4,(2*(D11545+G11545))-(F$5*8)+2*(G11545-2*F$5)))))/1000</f>
        <v>0.98</v>
      </c>
      <c r="K11564" t="str">
        <v>+</v>
      </c>
      <c r="L11564">
        <f>IF(D11564=0,2*MAX(6*F11564,75),(D11564-1)*2*MAX(6*F11564,75))/1000</f>
        <v>0.15</v>
      </c>
      <c r="M11564" t="str">
        <v>=</v>
      </c>
      <c r="N11564">
        <f>J11564+L11564</f>
        <v>1.13</v>
      </c>
      <c r="T11564" t="str">
        <v>x</v>
      </c>
      <c r="U11564">
        <f>0.006165*F11564^2</f>
        <v>0.39456</v>
      </c>
      <c r="V11564" t="str">
        <v>x</v>
      </c>
      <c r="W11564">
        <f>IF(D11547&gt;4*G11545,ROUND(MAX(D11547/4,2*G11545)/H11564,0)+1,ROUND(D11547/H11564,0)+1)</f>
        <v>15</v>
      </c>
      <c r="X11564" t="str">
        <v>x</v>
      </c>
      <c r="Y11564">
        <f>D11550</f>
        <v>1</v>
      </c>
      <c r="Z11564" t="str">
        <v>=</v>
      </c>
      <c r="AA11564">
        <f>N11564*U11564*W11564*Y11564</f>
        <v>6.687792</v>
      </c>
    </row>
    <row r="11565">
      <c r="A11565" t="str">
        <f>A11544</f>
        <v>Lantai Atap</v>
      </c>
      <c r="B11565">
        <f>B11544</f>
        <v>44</v>
      </c>
      <c r="C11565" t="str">
        <v>Sengkang Lapangan</v>
      </c>
      <c r="D11565">
        <f>VLOOKUP(D11544,'Detail Balok'!$C$10:$AU$110,36,FALSE)</f>
        <v>0</v>
      </c>
      <c r="E11565" t="str">
        <v>D</v>
      </c>
      <c r="F11565">
        <f>VLOOKUP(D11544,'Detail Balok'!$C$10:$AU$110,38,FALSE)</f>
        <v>8</v>
      </c>
      <c r="G11565" t="str">
        <v>-</v>
      </c>
      <c r="H11565">
        <f>VLOOKUP(D11544,'Detail Balok'!$C$10:$AU$110,40,FALSE)</f>
        <v>200</v>
      </c>
      <c r="J11565">
        <f>(IF(D11565=0,(2*(D11545+G11545))-(F$5*8),IF(D11565=3,(2*(D11545+G11545))-(F$5*8)+(G11545-2*F$5),IF(D11565=4,(2*(D11545+G11545))-(F$5*8)+2*(G11545-2*F$5)))))/1000</f>
        <v>0.98</v>
      </c>
      <c r="K11565" t="str">
        <v>+</v>
      </c>
      <c r="L11565">
        <f>IF(D11565=0,2*MAX(6*F11565,75),(D11565-1)*2*MAX(6*F11565,75))/1000</f>
        <v>0.15</v>
      </c>
      <c r="M11565" t="str">
        <v>=</v>
      </c>
      <c r="N11565">
        <f>J11565+L11565</f>
        <v>1.13</v>
      </c>
      <c r="T11565" t="str">
        <v>x</v>
      </c>
      <c r="U11565">
        <f>0.006165*F11565^2</f>
        <v>0.39456</v>
      </c>
      <c r="V11565" t="str">
        <v>x</v>
      </c>
      <c r="W11565">
        <f>IF(D11547-MAX(D11547/4,2*G11545)*2&gt;0,ROUND((D11547-MAX(D11547/4,2*G11545)*2)/H11565,0),0)</f>
        <v>14</v>
      </c>
      <c r="X11565" t="str">
        <v>x</v>
      </c>
      <c r="Y11565">
        <f>D11550</f>
        <v>1</v>
      </c>
      <c r="Z11565" t="str">
        <v>=</v>
      </c>
      <c r="AA11565">
        <f>N11565*U11565*W11565*Y11565</f>
        <v>6.2419392</v>
      </c>
    </row>
    <row r="11566">
      <c r="A11566" t="str">
        <f>A11544</f>
        <v>Lantai Atap</v>
      </c>
      <c r="B11566">
        <f>B11544</f>
        <v>44</v>
      </c>
      <c r="C11566" t="str">
        <v>Sengkang Tumpuan</v>
      </c>
      <c r="D11566">
        <f>VLOOKUP(D11544,'Detail Balok'!$C$10:$AU$110,41,FALSE)</f>
        <v>0</v>
      </c>
      <c r="E11566" t="str">
        <v>D</v>
      </c>
      <c r="F11566">
        <f>VLOOKUP(D11544,'Detail Balok'!$C$10:$AU$110,43,FALSE)</f>
        <v>8</v>
      </c>
      <c r="G11566" t="str">
        <v>-</v>
      </c>
      <c r="H11566">
        <f>VLOOKUP(D11544,'Detail Balok'!$C$10:$AU$110,45,FALSE)</f>
        <v>100</v>
      </c>
      <c r="J11566">
        <f>(IF(D11566=0,(2*(D11545+G11545))-(F$5*8),IF(D11566=3,(2*(D11545+G11545))-(F$5*8)+(G11545-2*F$5),IF(D11566=4,(2*(D11545+G11545))-(F$5*8)+2*(G11545-2*F$5)))))/1000</f>
        <v>0.98</v>
      </c>
      <c r="K11566" t="str">
        <v>+</v>
      </c>
      <c r="L11566">
        <f>IF(D11566=0,2*MAX(6*F11566,75),(D11566-1)*2*MAX(6*F11566,75))/1000</f>
        <v>0.15</v>
      </c>
      <c r="M11566" t="str">
        <v>=</v>
      </c>
      <c r="N11566">
        <f>J11566+L11566</f>
        <v>1.13</v>
      </c>
      <c r="T11566" t="str">
        <v>x</v>
      </c>
      <c r="U11566">
        <f>0.006165*F11566^2</f>
        <v>0.39456</v>
      </c>
      <c r="V11566" t="str">
        <v>x</v>
      </c>
      <c r="W11566">
        <f>IF(D11547&gt;4*G11545,ROUND(MAX(D11547/4,2*G11545)/H11566,0)+1,0)</f>
        <v>15</v>
      </c>
      <c r="X11566" t="str">
        <v>x</v>
      </c>
      <c r="Y11566">
        <f>D11550</f>
        <v>1</v>
      </c>
      <c r="Z11566" t="str">
        <v>=</v>
      </c>
      <c r="AA11566">
        <f>N11566*U11566*W11566*Y11566</f>
        <v>6.687792</v>
      </c>
    </row>
    <row r="11568">
      <c r="A11568" t="str">
        <f>A11544</f>
        <v>Lantai Atap</v>
      </c>
      <c r="B11568">
        <f>B11544</f>
        <v>44</v>
      </c>
      <c r="C11568" t="str">
        <v>Kait Horizontal Tump.</v>
      </c>
      <c r="D11568">
        <f>VLOOKUP(D11544,'Detail Balok'!$C$10:$BJ$110,46,FALSE)</f>
        <v>0</v>
      </c>
      <c r="E11568" t="str">
        <v>D</v>
      </c>
      <c r="F11568">
        <f>VLOOKUP(D11544,'Detail Balok'!$C$10:$BJ$110,48,FALSE)</f>
        <v>0</v>
      </c>
      <c r="G11568" t="str">
        <v>-</v>
      </c>
      <c r="H11568">
        <f>VLOOKUP(D11544,'Detail Balok'!$C$10:$BJ$110,50,FALSE)</f>
        <v>100</v>
      </c>
      <c r="J11568">
        <f>(D11545-2*F$5)/1000</f>
        <v>0.12</v>
      </c>
      <c r="K11568" t="str">
        <v>+</v>
      </c>
      <c r="L11568">
        <f>IF(D11568=0,2*MAX(6*F11568,75),(D11568-1)*2*MAX(6*F11568,75))/1000</f>
        <v>0.15</v>
      </c>
      <c r="M11568" t="str">
        <v>=</v>
      </c>
      <c r="N11568">
        <f>J11568+L11568</f>
        <v>0.27</v>
      </c>
      <c r="T11568" t="str">
        <v>x</v>
      </c>
      <c r="U11568">
        <f>0.006165*F11568^2</f>
        <v>0</v>
      </c>
      <c r="V11568" t="str">
        <v>x</v>
      </c>
      <c r="W11568">
        <f>W11564</f>
        <v>15</v>
      </c>
      <c r="X11568" t="str">
        <v>x</v>
      </c>
      <c r="Y11568">
        <f>D11554</f>
        <v>3</v>
      </c>
      <c r="Z11568" t="str">
        <v>=</v>
      </c>
      <c r="AA11568">
        <f>N11568*U11568*W11568*Y11568</f>
        <v>0</v>
      </c>
    </row>
    <row r="11569">
      <c r="A11569" t="str">
        <f>A11544</f>
        <v>Lantai Atap</v>
      </c>
      <c r="B11569">
        <f>B11544</f>
        <v>44</v>
      </c>
      <c r="C11569" t="str">
        <v>Kait Horizontal Lap.</v>
      </c>
      <c r="D11569">
        <f>VLOOKUP(D11544,'Detail Balok'!$C$10:$BJ$110,51,FALSE)</f>
        <v>0</v>
      </c>
      <c r="E11569" t="str">
        <v>D</v>
      </c>
      <c r="F11569">
        <f>VLOOKUP(D11544,'Detail Balok'!$C$10:$BJ$110,53,FALSE)</f>
        <v>0</v>
      </c>
      <c r="G11569" t="str">
        <v>-</v>
      </c>
      <c r="H11569">
        <f>VLOOKUP(D11544,'Detail Balok'!$C$10:$BJ$110,55,FALSE)</f>
        <v>100</v>
      </c>
      <c r="J11569">
        <f>(D11545-2*F$5)/1000</f>
        <v>0.12</v>
      </c>
      <c r="K11569" t="str">
        <v>+</v>
      </c>
      <c r="L11569">
        <f>IF(D11569=0,2*MAX(6*F11569,75),(D11569-1)*2*MAX(6*F11569,75))/1000</f>
        <v>0.15</v>
      </c>
      <c r="M11569" t="str">
        <v>=</v>
      </c>
      <c r="N11569">
        <f>J11569+L11569</f>
        <v>0.27</v>
      </c>
      <c r="T11569" t="str">
        <v>x</v>
      </c>
      <c r="U11569">
        <f>0.006165*F11569^2</f>
        <v>0</v>
      </c>
      <c r="V11569" t="str">
        <v>x</v>
      </c>
      <c r="W11569">
        <f>W11565</f>
        <v>14</v>
      </c>
      <c r="X11569" t="str">
        <v>x</v>
      </c>
      <c r="Y11569">
        <f>D11554</f>
        <v>3</v>
      </c>
      <c r="Z11569" t="str">
        <v>=</v>
      </c>
      <c r="AA11569">
        <f>N11569*U11569*W11569*Y11569</f>
        <v>0</v>
      </c>
    </row>
    <row r="11570">
      <c r="A11570" t="str">
        <f>A11544</f>
        <v>Lantai Atap</v>
      </c>
      <c r="B11570">
        <f>B11544</f>
        <v>44</v>
      </c>
      <c r="C11570" t="str">
        <v>Kait Horizontal Tump.</v>
      </c>
      <c r="D11570">
        <f>VLOOKUP(D11544,'Detail Balok'!$C$10:$BJ$110,56,FALSE)</f>
        <v>0</v>
      </c>
      <c r="E11570" t="str">
        <v>D</v>
      </c>
      <c r="F11570">
        <f>VLOOKUP(D11544,'Detail Balok'!$C$10:$BJ$110,58,FALSE)</f>
        <v>0</v>
      </c>
      <c r="G11570" t="str">
        <v>-</v>
      </c>
      <c r="H11570">
        <f>VLOOKUP(D11544,'Detail Balok'!$C$10:$BJ$110,60,FALSE)</f>
        <v>100</v>
      </c>
      <c r="J11570">
        <f>(D11545-2*F$5)/1000</f>
        <v>0.12</v>
      </c>
      <c r="K11570" t="str">
        <v>+</v>
      </c>
      <c r="L11570">
        <f>IF(D11570=0,2*MAX(6*F11570,75),(D11570-1)*2*MAX(6*F11570,75))/1000</f>
        <v>0.15</v>
      </c>
      <c r="M11570" t="str">
        <v>=</v>
      </c>
      <c r="N11570">
        <f>J11570+L11570</f>
        <v>0.27</v>
      </c>
      <c r="T11570" t="str">
        <v>x</v>
      </c>
      <c r="U11570">
        <f>0.006165*F11570^2</f>
        <v>0</v>
      </c>
      <c r="V11570" t="str">
        <v>x</v>
      </c>
      <c r="W11570">
        <f>W11566</f>
        <v>15</v>
      </c>
      <c r="X11570" t="str">
        <v>x</v>
      </c>
      <c r="Y11570">
        <f>D11554</f>
        <v>3</v>
      </c>
      <c r="Z11570" t="str">
        <v>=</v>
      </c>
      <c r="AA11570">
        <f>N11570*U11570*W11570*Y11570</f>
        <v>0</v>
      </c>
    </row>
    <row r="11574">
      <c r="A11574" t="str">
        <f>A11544</f>
        <v>Lantai Atap</v>
      </c>
      <c r="B11574">
        <f>B11544+1</f>
        <v>45</v>
      </c>
      <c r="C11574" t="str">
        <f>CONCATENATE(A11574," no. ",B11574)</f>
        <v>Lantai Atap no. 45</v>
      </c>
      <c r="D11574" t="str">
        <f>VLOOKUP(C11574,'Data Panjang Balok'!$C$9:$N$424,2,FALSE)</f>
        <v>B245-3</v>
      </c>
    </row>
    <row r="11575">
      <c r="C11575" t="str">
        <v>Dimensi</v>
      </c>
      <c r="D11575">
        <f>VLOOKUP(D11574,'Detail Balok'!$C$10:$AU$110,2,FALSE)</f>
        <v>200</v>
      </c>
      <c r="F11575" t="str">
        <v>x</v>
      </c>
      <c r="G11575">
        <f>VLOOKUP(D11574,'Detail Balok'!$C$10:$AU$110,3,FALSE)</f>
        <v>450</v>
      </c>
    </row>
    <row r="11576">
      <c r="C11576" t="str">
        <v>Panjang as ke as</v>
      </c>
      <c r="D11576">
        <f>VLOOKUP(C11574,'Data Panjang Balok'!$C$9:$N$424,4,FALSE)</f>
        <v>4600</v>
      </c>
    </row>
    <row r="11577">
      <c r="C11577" t="str">
        <v>Panjang netto</v>
      </c>
      <c r="D11577">
        <f>VLOOKUP(C11574,'Data Panjang Balok'!$C$9:$N$424,7,FALSE)</f>
        <v>4600</v>
      </c>
    </row>
    <row r="11578">
      <c r="C11578" t="str">
        <v>Kolom / balok kiri</v>
      </c>
      <c r="D11578">
        <f>VLOOKUP(C11574,'Data Panjang Balok'!$C$9:$N$424,9,FALSE)</f>
        <v>0</v>
      </c>
    </row>
    <row r="11579">
      <c r="C11579" t="str">
        <v>Kolom / balok kanan</v>
      </c>
      <c r="D11579">
        <f>VLOOKUP(C11574,'Data Panjang Balok'!$C$9:$N$424,10,FALSE)</f>
        <v>0</v>
      </c>
    </row>
    <row r="11580">
      <c r="C11580" t="str">
        <v>Jumlah</v>
      </c>
      <c r="D11580">
        <f>VLOOKUP(C11574,'Data Panjang Balok'!$C$9:$N$424,3,FALSE)</f>
        <v>1</v>
      </c>
    </row>
    <row r="11581">
      <c r="A11581" t="str">
        <f>A11574</f>
        <v>Lantai Atap</v>
      </c>
      <c r="B11581">
        <f>B11574</f>
        <v>45</v>
      </c>
      <c r="C11581" t="str">
        <v>Tul Atas Tumpuan</v>
      </c>
      <c r="D11581">
        <f>VLOOKUP(D11574,'Detail Balok'!$C$10:$AU$110,4,FALSE)</f>
        <v>2</v>
      </c>
      <c r="E11581" t="str">
        <v>D</v>
      </c>
      <c r="F11581">
        <f>VLOOKUP(D11574,'Detail Balok'!$C$10:$AU$110,6,FALSE)</f>
        <v>16</v>
      </c>
      <c r="I11581" t="str">
        <v>(</v>
      </c>
      <c r="J11581">
        <f>+D11576/4/1000</f>
        <v>1.15</v>
      </c>
      <c r="K11581" t="str">
        <v>+</v>
      </c>
      <c r="L11581">
        <f>MAX(VLOOKUP(F11581,N$6:P$15,3,FALSE)/1000,2/3*D11578/1000)+F$16*F11581/1000</f>
        <v>0.192</v>
      </c>
      <c r="M11581" t="str">
        <v>=</v>
      </c>
      <c r="N11581">
        <f>J11581+L11581</f>
        <v>1.3419999999999999</v>
      </c>
      <c r="O11581" t="str">
        <v>+</v>
      </c>
      <c r="P11581">
        <f>D11581-D11582</f>
        <v>0</v>
      </c>
      <c r="Q11581" t="str">
        <v>x</v>
      </c>
      <c r="R11581">
        <f>IF(P11581&gt;0,$F$18*F11581/1000,0)</f>
        <v>0</v>
      </c>
      <c r="S11581" t="str">
        <v>)</v>
      </c>
      <c r="T11581" t="str">
        <v>x</v>
      </c>
      <c r="U11581">
        <f>0.006165*F11581^2</f>
        <v>1.57824</v>
      </c>
      <c r="X11581" t="str">
        <v>x</v>
      </c>
      <c r="Y11581">
        <f>D11580</f>
        <v>1</v>
      </c>
      <c r="Z11581" t="str">
        <v>=</v>
      </c>
      <c r="AA11581">
        <f>IF(AA11584=0,(D11581*N11581+P11581*R11581)*U11581*Y11581,0)</f>
        <v>0</v>
      </c>
    </row>
    <row r="11582">
      <c r="A11582" t="str">
        <f>A11574</f>
        <v>Lantai Atap</v>
      </c>
      <c r="B11582">
        <f>B11574</f>
        <v>45</v>
      </c>
      <c r="C11582" t="str">
        <v>Tul Atas Lapangan</v>
      </c>
      <c r="D11582">
        <f>VLOOKUP(D11574,'Detail Balok'!$C$10:$AU$110,7,FALSE)</f>
        <v>2</v>
      </c>
      <c r="E11582" t="str">
        <v>D</v>
      </c>
      <c r="F11582">
        <f>VLOOKUP(D11574,'Detail Balok'!$C$10:$AU$110,9,FALSE)</f>
        <v>16</v>
      </c>
      <c r="I11582" t="str">
        <v>(</v>
      </c>
      <c r="J11582">
        <f>+D11576/2/1000</f>
        <v>2.3</v>
      </c>
      <c r="K11582" t="str">
        <v>+</v>
      </c>
      <c r="M11582" t="str">
        <v>=</v>
      </c>
      <c r="N11582">
        <f>J11582+L11582</f>
        <v>2.3</v>
      </c>
      <c r="O11582" t="str">
        <v>+</v>
      </c>
      <c r="P11582">
        <f>MAX(D11582-D11581,D11582-D11583)</f>
        <v>0</v>
      </c>
      <c r="Q11582" t="str">
        <v>x</v>
      </c>
      <c r="R11582">
        <f>IF(P11582&gt;0,2*(1-2*$F$19-1/2)*D11577/1000,0)</f>
        <v>0</v>
      </c>
      <c r="S11582" t="str">
        <v>)</v>
      </c>
      <c r="T11582" t="str">
        <v>x</v>
      </c>
      <c r="U11582">
        <f>0.006165*F11582^2</f>
        <v>1.57824</v>
      </c>
      <c r="X11582" t="str">
        <v>x</v>
      </c>
      <c r="Y11582">
        <f>D11580</f>
        <v>1</v>
      </c>
      <c r="Z11582" t="str">
        <v>=</v>
      </c>
      <c r="AA11582">
        <f>IF(AA11584=0,(D11582*N11582+P11582*R11582)*U11582*Y11582,0)</f>
        <v>0</v>
      </c>
    </row>
    <row r="11583">
      <c r="A11583" t="str">
        <f>A11574</f>
        <v>Lantai Atap</v>
      </c>
      <c r="B11583">
        <f>B11574</f>
        <v>45</v>
      </c>
      <c r="C11583" t="str">
        <v>Tul Atas Tumpuan</v>
      </c>
      <c r="D11583">
        <f>VLOOKUP(D11574,'Detail Balok'!$C$10:$AU$110,10,FALSE)</f>
        <v>2</v>
      </c>
      <c r="E11583" t="str">
        <v>D</v>
      </c>
      <c r="F11583">
        <f>VLOOKUP(D11574,'Detail Balok'!$C$10:$AU$110,12,FALSE)</f>
        <v>16</v>
      </c>
      <c r="I11583" t="str">
        <v>(</v>
      </c>
      <c r="J11583">
        <f>+D11576/4/1000</f>
        <v>1.15</v>
      </c>
      <c r="K11583" t="str">
        <v>+</v>
      </c>
      <c r="L11583">
        <f>MAX(VLOOKUP(F11583,N$6:P$15,3,FALSE)/1000,2/3*D11578/1000)+F$16*F11583/1000</f>
        <v>0.192</v>
      </c>
      <c r="M11583" t="str">
        <v>=</v>
      </c>
      <c r="N11583">
        <f>J11583+L11583</f>
        <v>1.3419999999999999</v>
      </c>
      <c r="O11583" t="str">
        <v>+</v>
      </c>
      <c r="P11583">
        <f>D11583-D11582</f>
        <v>0</v>
      </c>
      <c r="Q11583" t="str">
        <v>x</v>
      </c>
      <c r="R11583">
        <f>IF(P11583&gt;0,$F$18*F11583/1000,0)</f>
        <v>0</v>
      </c>
      <c r="S11583" t="str">
        <v>)</v>
      </c>
      <c r="T11583" t="str">
        <v>x</v>
      </c>
      <c r="U11583">
        <f>0.006165*F11583^2</f>
        <v>1.57824</v>
      </c>
      <c r="X11583" t="str">
        <v>x</v>
      </c>
      <c r="Y11583">
        <f>D11580</f>
        <v>1</v>
      </c>
      <c r="Z11583" t="str">
        <v>=</v>
      </c>
      <c r="AA11583">
        <f>IF(AA11584=0,(D11583*N11583+P11583*R11583)*U11583*Y11583,0)</f>
        <v>0</v>
      </c>
    </row>
    <row r="11584">
      <c r="A11584" t="str">
        <f>A11574</f>
        <v>Lantai Atap</v>
      </c>
      <c r="B11584">
        <f>B11574</f>
        <v>45</v>
      </c>
      <c r="D11584">
        <f>IF(AND(D11581=D11582,D11582=D11583,D11581=D11583),D11581,0)</f>
        <v>2</v>
      </c>
      <c r="E11584" t="str">
        <v>D</v>
      </c>
      <c r="F11584">
        <f>IF(AND(F11581=F11582,F11581=F11583,F11582=F11583),F11581,0)</f>
        <v>16</v>
      </c>
      <c r="L11584" t="str">
        <v>Total panjang per balok</v>
      </c>
      <c r="M11584" t="str">
        <v>=</v>
      </c>
      <c r="N11584">
        <f>IF(AND(D11581=D11582,D11581=D11583,D11582=D11583,F11581=F11582,F11581=F11583,F11582=F11583),SUM(N11581:N11583),0)</f>
        <v>4.983999999999999</v>
      </c>
      <c r="O11584" t="str">
        <v>+</v>
      </c>
      <c r="P11584">
        <f>IF(N11584&gt;12,ROUNDDOWN(N11584/12,0),0)</f>
        <v>0</v>
      </c>
      <c r="Q11584" t="str">
        <v>x</v>
      </c>
      <c r="R11584">
        <f>IF(P11584&gt;0,MAX(VLOOKUP(F11584,$D$6:$G$15,3,FALSE),600),0)/1000</f>
        <v>0</v>
      </c>
      <c r="T11584" t="str">
        <v>x</v>
      </c>
      <c r="U11584">
        <f>U11583</f>
        <v>1.57824</v>
      </c>
      <c r="V11584" t="str">
        <v>x</v>
      </c>
      <c r="W11584">
        <f>D11584</f>
        <v>2</v>
      </c>
      <c r="X11584" t="str">
        <v>x</v>
      </c>
      <c r="Y11584">
        <f>Y11583</f>
        <v>1</v>
      </c>
      <c r="Z11584" t="str">
        <v>=</v>
      </c>
      <c r="AA11584">
        <f>(N11584+P11584*R11584/1000)*U11584*W11584*Y11584</f>
        <v>15.731896319999999</v>
      </c>
    </row>
    <row r="11586">
      <c r="A11586" t="str">
        <f>A11574</f>
        <v>Lantai Atap</v>
      </c>
      <c r="B11586">
        <f>B11574</f>
        <v>45</v>
      </c>
      <c r="C11586" t="str">
        <v>Tul Peminggang</v>
      </c>
      <c r="D11586">
        <f>VLOOKUP(D11574,'Detail Balok'!$C$10:$AU$110,13,FALSE)</f>
        <v>2</v>
      </c>
      <c r="E11586" t="str">
        <v>D</v>
      </c>
      <c r="F11586">
        <f>VLOOKUP(D11574,'Detail Balok'!$C$10:$AU$110,15,FALSE)</f>
        <v>10</v>
      </c>
      <c r="J11586">
        <f>+D11576/1000</f>
        <v>4.6</v>
      </c>
      <c r="K11586" t="str">
        <v>+</v>
      </c>
      <c r="L11586">
        <f>2*$F$16*F11586/1000</f>
        <v>0.24</v>
      </c>
      <c r="M11586" t="str">
        <v>=</v>
      </c>
      <c r="N11586">
        <f>J11586+L11586</f>
        <v>4.84</v>
      </c>
      <c r="O11586" t="str">
        <v>+</v>
      </c>
      <c r="P11586">
        <f>IF(N11586&gt;12,ROUNDDOWN(N11586/12,0),0)</f>
        <v>0</v>
      </c>
      <c r="Q11586" t="str">
        <v>x</v>
      </c>
      <c r="R11586">
        <f>IF(P11586&gt;0,MAX(VLOOKUP(F11586,$D$6:$G$15,3,FALSE),600),0)/1000</f>
        <v>0</v>
      </c>
      <c r="T11586" t="str">
        <v>x</v>
      </c>
      <c r="U11586">
        <f>0.006165*F11586^2</f>
        <v>0.6165</v>
      </c>
      <c r="V11586" t="str">
        <v>x</v>
      </c>
      <c r="W11586">
        <f>+D11586</f>
        <v>2</v>
      </c>
      <c r="X11586" t="str">
        <v>x</v>
      </c>
      <c r="Y11586">
        <f>D11580</f>
        <v>1</v>
      </c>
      <c r="Z11586" t="str">
        <v>=</v>
      </c>
      <c r="AA11586">
        <f>(N11586+P11586*R11586/1000)*U11586*W11586*Y11586</f>
        <v>5.96772</v>
      </c>
    </row>
    <row r="11589">
      <c r="A11589" t="str">
        <f>A11574</f>
        <v>Lantai Atap</v>
      </c>
      <c r="B11589">
        <f>B11574</f>
        <v>45</v>
      </c>
      <c r="C11589" t="str">
        <v>Tul Bawah Tumpuan</v>
      </c>
      <c r="D11589">
        <f>VLOOKUP(D11574,'Detail Balok'!$C$10:$AU$110,22,FALSE)</f>
        <v>2</v>
      </c>
      <c r="E11589" t="str">
        <v>D</v>
      </c>
      <c r="F11589">
        <f>VLOOKUP(D11574,'Detail Balok'!$C$10:$AU$110,24,FALSE)</f>
        <v>16</v>
      </c>
      <c r="I11589" t="str">
        <v>(</v>
      </c>
      <c r="J11589">
        <f>+J11581</f>
        <v>1.15</v>
      </c>
      <c r="K11589" t="str">
        <v>+</v>
      </c>
      <c r="L11589">
        <f>MAX(VLOOKUP(F11589,N$6:P$15,3,FALSE)/1000,2/3*D11579/1000)+F$16*F11589/1000</f>
        <v>0.192</v>
      </c>
      <c r="M11589" t="str">
        <v>=</v>
      </c>
      <c r="N11589">
        <f>J11589+L11589</f>
        <v>1.3419999999999999</v>
      </c>
      <c r="O11589" t="str">
        <v>+</v>
      </c>
      <c r="P11589">
        <f>D11589-D11590</f>
        <v>0</v>
      </c>
      <c r="Q11589" t="str">
        <v>x</v>
      </c>
      <c r="R11589">
        <f>IF(P11589&gt;0,$F$18*F11589/1000,0)</f>
        <v>0</v>
      </c>
      <c r="S11589" t="str">
        <v>)</v>
      </c>
      <c r="T11589" t="str">
        <v>x</v>
      </c>
      <c r="U11589">
        <f>0.006165*F11589^2</f>
        <v>1.57824</v>
      </c>
      <c r="X11589" t="str">
        <v>x</v>
      </c>
      <c r="Y11589">
        <f>D11580</f>
        <v>1</v>
      </c>
      <c r="Z11589" t="str">
        <v>=</v>
      </c>
      <c r="AA11589">
        <f>IF(AA11592=0,(D11589*N11589+P11589*R11589)*U11589*Y11589,0)</f>
        <v>0</v>
      </c>
    </row>
    <row r="11590">
      <c r="A11590" t="str">
        <f>A11574</f>
        <v>Lantai Atap</v>
      </c>
      <c r="B11590">
        <f>B11574</f>
        <v>45</v>
      </c>
      <c r="C11590" t="str">
        <v>Tul Bawah Lapangan</v>
      </c>
      <c r="D11590">
        <f>VLOOKUP(D11574,'Detail Balok'!$C$10:$AU$110,25,FALSE)</f>
        <v>2</v>
      </c>
      <c r="E11590" t="str">
        <v>D</v>
      </c>
      <c r="F11590">
        <f>VLOOKUP(D11574,'Detail Balok'!$C$10:$AU$110,27,FALSE)</f>
        <v>16</v>
      </c>
      <c r="I11590" t="str">
        <v>(</v>
      </c>
      <c r="J11590">
        <f>+J11582</f>
        <v>2.3</v>
      </c>
      <c r="K11590" t="str">
        <v>+</v>
      </c>
      <c r="M11590" t="str">
        <v>=</v>
      </c>
      <c r="N11590">
        <f>J11590+L11590</f>
        <v>2.3</v>
      </c>
      <c r="O11590" t="str">
        <v>+</v>
      </c>
      <c r="P11590">
        <f>MAX(D11590-D11589,D11590-D11591)</f>
        <v>0</v>
      </c>
      <c r="Q11590" t="str">
        <v>x</v>
      </c>
      <c r="R11590">
        <f>IF(P11590&gt;0,2*(1-2*$F$19-1/2)*D11577/1000,0)</f>
        <v>0</v>
      </c>
      <c r="S11590" t="str">
        <v>)</v>
      </c>
      <c r="T11590" t="str">
        <v>x</v>
      </c>
      <c r="U11590">
        <f>0.006165*F11590^2</f>
        <v>1.57824</v>
      </c>
      <c r="X11590" t="str">
        <v>x</v>
      </c>
      <c r="Y11590">
        <f>D11580</f>
        <v>1</v>
      </c>
      <c r="Z11590" t="str">
        <v>=</v>
      </c>
      <c r="AA11590">
        <f>IF(AA11592=0,(D11590*N11590+P11590*R11590)*U11590*Y11590,0)</f>
        <v>0</v>
      </c>
    </row>
    <row r="11591">
      <c r="A11591" t="str">
        <f>A11574</f>
        <v>Lantai Atap</v>
      </c>
      <c r="B11591">
        <f>B11574</f>
        <v>45</v>
      </c>
      <c r="C11591" t="str">
        <v>Tul Bawah Tumpuan</v>
      </c>
      <c r="D11591">
        <f>VLOOKUP(D11574,'Detail Balok'!$C$10:$AU$110,28,FALSE)</f>
        <v>2</v>
      </c>
      <c r="E11591" t="str">
        <v>D</v>
      </c>
      <c r="F11591">
        <f>VLOOKUP(D11574,'Detail Balok'!$C$10:$AU$110,30,FALSE)</f>
        <v>16</v>
      </c>
      <c r="I11591" t="str">
        <v>(</v>
      </c>
      <c r="J11591">
        <f>+J11583</f>
        <v>1.15</v>
      </c>
      <c r="K11591" t="str">
        <v>+</v>
      </c>
      <c r="L11591">
        <f>MAX(VLOOKUP(F11591,N$6:P$15,3,FALSE)/1000,2/3*D11579/1000)+F$16*F11591/1000</f>
        <v>0.192</v>
      </c>
      <c r="M11591" t="str">
        <v>=</v>
      </c>
      <c r="N11591">
        <f>J11591+L11591</f>
        <v>1.3419999999999999</v>
      </c>
      <c r="O11591" t="str">
        <v>+</v>
      </c>
      <c r="P11591">
        <f>D11591-D11590</f>
        <v>0</v>
      </c>
      <c r="Q11591" t="str">
        <v>x</v>
      </c>
      <c r="R11591">
        <f>IF(P11591&gt;0,$F$18*F11591/1000,0)</f>
        <v>0</v>
      </c>
      <c r="S11591" t="str">
        <v>)</v>
      </c>
      <c r="T11591" t="str">
        <v>x</v>
      </c>
      <c r="U11591">
        <f>0.006165*F11591^2</f>
        <v>1.57824</v>
      </c>
      <c r="X11591" t="str">
        <v>x</v>
      </c>
      <c r="Y11591">
        <f>D11580</f>
        <v>1</v>
      </c>
      <c r="Z11591" t="str">
        <v>=</v>
      </c>
      <c r="AA11591">
        <f>IF(AA11592=0,(D11591*N11591+P11591*R11591)*U11591*Y11591,0)</f>
        <v>0</v>
      </c>
    </row>
    <row r="11592">
      <c r="A11592" t="str">
        <f>A11574</f>
        <v>Lantai Atap</v>
      </c>
      <c r="B11592">
        <f>B11574</f>
        <v>45</v>
      </c>
      <c r="D11592">
        <f>IF(AND(D11589=D11590,D11590=D11591,D11589=D11591),D11589,0)</f>
        <v>2</v>
      </c>
      <c r="E11592" t="str">
        <v>D</v>
      </c>
      <c r="F11592">
        <f>IF(AND(F11589=F11590,F11589=F11591,F11590=F11591),F11589,0)</f>
        <v>16</v>
      </c>
      <c r="L11592" t="str">
        <v>Total panjang per balok</v>
      </c>
      <c r="M11592" t="str">
        <v>=</v>
      </c>
      <c r="N11592">
        <f>IF(AND(D11589=D11590,D11589=D11591,D11590=D11591,F11589=F11590,F11589=F11591,F11590=F11591),SUM(N11589:N11591),0)</f>
        <v>4.983999999999999</v>
      </c>
      <c r="O11592" t="str">
        <v>+</v>
      </c>
      <c r="P11592">
        <f>IF(N11592&gt;12,ROUNDDOWN(N11592/12,0),0)</f>
        <v>0</v>
      </c>
      <c r="Q11592" t="str">
        <v>x</v>
      </c>
      <c r="R11592">
        <f>IF(P11592&gt;0,MAX(VLOOKUP(F11592,$D$6:$G$15,3,FALSE),600),0)/1000</f>
        <v>0</v>
      </c>
      <c r="T11592" t="str">
        <v>x</v>
      </c>
      <c r="U11592">
        <f>U11591</f>
        <v>1.57824</v>
      </c>
      <c r="V11592" t="str">
        <v>x</v>
      </c>
      <c r="W11592">
        <f>D11592</f>
        <v>2</v>
      </c>
      <c r="X11592" t="str">
        <v>x</v>
      </c>
      <c r="Y11592">
        <f>Y11591</f>
        <v>1</v>
      </c>
      <c r="Z11592" t="str">
        <v>=</v>
      </c>
      <c r="AA11592">
        <f>(N11592+P11592*R11592/1000)*U11592*W11592*Y11592</f>
        <v>15.731896319999999</v>
      </c>
    </row>
    <row r="11594">
      <c r="A11594" t="str">
        <f>A11574</f>
        <v>Lantai Atap</v>
      </c>
      <c r="B11594">
        <f>B11574</f>
        <v>45</v>
      </c>
      <c r="C11594" t="str">
        <v>Sengkang Tumpuan</v>
      </c>
      <c r="D11594">
        <f>VLOOKUP(D11574,'Detail Balok'!$C$10:$AU$110,31,FALSE)</f>
        <v>0</v>
      </c>
      <c r="E11594" t="str">
        <v>D</v>
      </c>
      <c r="F11594">
        <f>VLOOKUP(D11574,'Detail Balok'!$C$10:$AU$110,33,FALSE)</f>
        <v>10</v>
      </c>
      <c r="G11594" t="str">
        <v>-</v>
      </c>
      <c r="H11594">
        <f>VLOOKUP(D11574,'Detail Balok'!$C$10:$AU$110,35,FALSE)</f>
        <v>90</v>
      </c>
      <c r="J11594">
        <f>(IF(D11594=0,(2*(D11575+G11575))-(F$5*8),IF(D11594=3,(2*(D11575+G11575))-(F$5*8)+(G11575-2*F$5),IF(D11594=4,(2*(D11575+G11575))-(F$5*8)+2*(G11575-2*F$5)))))/1000</f>
        <v>0.98</v>
      </c>
      <c r="K11594" t="str">
        <v>+</v>
      </c>
      <c r="L11594">
        <f>IF(D11594=0,2*MAX(6*F11594,75),(D11594-1)*2*MAX(6*F11594,75))/1000</f>
        <v>0.15</v>
      </c>
      <c r="M11594" t="str">
        <v>=</v>
      </c>
      <c r="N11594">
        <f>J11594+L11594</f>
        <v>1.13</v>
      </c>
      <c r="T11594" t="str">
        <v>x</v>
      </c>
      <c r="U11594">
        <f>0.006165*F11594^2</f>
        <v>0.6165</v>
      </c>
      <c r="V11594" t="str">
        <v>x</v>
      </c>
      <c r="W11594">
        <f>IF(D11577&gt;4*G11575,ROUND(MAX(D11577/4,2*G11575)/H11594,0)+1,ROUND(D11577/H11594,0)+1)</f>
        <v>14</v>
      </c>
      <c r="X11594" t="str">
        <v>x</v>
      </c>
      <c r="Y11594">
        <f>D11580</f>
        <v>1</v>
      </c>
      <c r="Z11594" t="str">
        <v>=</v>
      </c>
      <c r="AA11594">
        <f>N11594*U11594*W11594*Y11594</f>
        <v>9.753029999999999</v>
      </c>
    </row>
    <row r="11595">
      <c r="A11595" t="str">
        <f>A11574</f>
        <v>Lantai Atap</v>
      </c>
      <c r="B11595">
        <f>B11574</f>
        <v>45</v>
      </c>
      <c r="C11595" t="str">
        <v>Sengkang Lapangan</v>
      </c>
      <c r="D11595">
        <f>VLOOKUP(D11574,'Detail Balok'!$C$10:$AU$110,36,FALSE)</f>
        <v>0</v>
      </c>
      <c r="E11595" t="str">
        <v>D</v>
      </c>
      <c r="F11595">
        <f>VLOOKUP(D11574,'Detail Balok'!$C$10:$AU$110,38,FALSE)</f>
        <v>10</v>
      </c>
      <c r="G11595" t="str">
        <v>-</v>
      </c>
      <c r="H11595">
        <f>VLOOKUP(D11574,'Detail Balok'!$C$10:$AU$110,40,FALSE)</f>
        <v>175</v>
      </c>
      <c r="J11595">
        <f>(IF(D11595=0,(2*(D11575+G11575))-(F$5*8),IF(D11595=3,(2*(D11575+G11575))-(F$5*8)+(G11575-2*F$5),IF(D11595=4,(2*(D11575+G11575))-(F$5*8)+2*(G11575-2*F$5)))))/1000</f>
        <v>0.98</v>
      </c>
      <c r="K11595" t="str">
        <v>+</v>
      </c>
      <c r="L11595">
        <f>IF(D11595=0,2*MAX(6*F11595,75),(D11595-1)*2*MAX(6*F11595,75))/1000</f>
        <v>0.15</v>
      </c>
      <c r="M11595" t="str">
        <v>=</v>
      </c>
      <c r="N11595">
        <f>J11595+L11595</f>
        <v>1.13</v>
      </c>
      <c r="T11595" t="str">
        <v>x</v>
      </c>
      <c r="U11595">
        <f>0.006165*F11595^2</f>
        <v>0.6165</v>
      </c>
      <c r="V11595" t="str">
        <v>x</v>
      </c>
      <c r="W11595">
        <f>IF(D11577-MAX(D11577/4,2*G11575)*2&gt;0,ROUND((D11577-MAX(D11577/4,2*G11575)*2)/H11595,0),0)</f>
        <v>13</v>
      </c>
      <c r="X11595" t="str">
        <v>x</v>
      </c>
      <c r="Y11595">
        <f>D11580</f>
        <v>1</v>
      </c>
      <c r="Z11595" t="str">
        <v>=</v>
      </c>
      <c r="AA11595">
        <f>N11595*U11595*W11595*Y11595</f>
        <v>9.056384999999999</v>
      </c>
    </row>
    <row r="11596">
      <c r="A11596" t="str">
        <f>A11574</f>
        <v>Lantai Atap</v>
      </c>
      <c r="B11596">
        <f>B11574</f>
        <v>45</v>
      </c>
      <c r="C11596" t="str">
        <v>Sengkang Tumpuan</v>
      </c>
      <c r="D11596">
        <f>VLOOKUP(D11574,'Detail Balok'!$C$10:$AU$110,41,FALSE)</f>
        <v>0</v>
      </c>
      <c r="E11596" t="str">
        <v>D</v>
      </c>
      <c r="F11596">
        <f>VLOOKUP(D11574,'Detail Balok'!$C$10:$AU$110,43,FALSE)</f>
        <v>10</v>
      </c>
      <c r="G11596" t="str">
        <v>-</v>
      </c>
      <c r="H11596">
        <f>VLOOKUP(D11574,'Detail Balok'!$C$10:$AU$110,45,FALSE)</f>
        <v>90</v>
      </c>
      <c r="J11596">
        <f>(IF(D11596=0,(2*(D11575+G11575))-(F$5*8),IF(D11596=3,(2*(D11575+G11575))-(F$5*8)+(G11575-2*F$5),IF(D11596=4,(2*(D11575+G11575))-(F$5*8)+2*(G11575-2*F$5)))))/1000</f>
        <v>0.98</v>
      </c>
      <c r="K11596" t="str">
        <v>+</v>
      </c>
      <c r="L11596">
        <f>IF(D11596=0,2*MAX(6*F11596,75),(D11596-1)*2*MAX(6*F11596,75))/1000</f>
        <v>0.15</v>
      </c>
      <c r="M11596" t="str">
        <v>=</v>
      </c>
      <c r="N11596">
        <f>J11596+L11596</f>
        <v>1.13</v>
      </c>
      <c r="T11596" t="str">
        <v>x</v>
      </c>
      <c r="U11596">
        <f>0.006165*F11596^2</f>
        <v>0.6165</v>
      </c>
      <c r="V11596" t="str">
        <v>x</v>
      </c>
      <c r="W11596">
        <f>IF(D11577&gt;4*G11575,ROUND(MAX(D11577/4,2*G11575)/H11596,0)+1,0)</f>
        <v>14</v>
      </c>
      <c r="X11596" t="str">
        <v>x</v>
      </c>
      <c r="Y11596">
        <f>D11580</f>
        <v>1</v>
      </c>
      <c r="Z11596" t="str">
        <v>=</v>
      </c>
      <c r="AA11596">
        <f>N11596*U11596*W11596*Y11596</f>
        <v>9.753029999999999</v>
      </c>
    </row>
    <row r="11598">
      <c r="A11598" t="str">
        <f>A11574</f>
        <v>Lantai Atap</v>
      </c>
      <c r="B11598">
        <f>B11574</f>
        <v>45</v>
      </c>
      <c r="C11598" t="str">
        <v>Kait Horizontal Tump.</v>
      </c>
      <c r="D11598">
        <f>VLOOKUP(D11574,'Detail Balok'!$C$10:$BJ$110,46,FALSE)</f>
        <v>0</v>
      </c>
      <c r="E11598" t="str">
        <v>D</v>
      </c>
      <c r="F11598">
        <f>VLOOKUP(D11574,'Detail Balok'!$C$10:$BJ$110,48,FALSE)</f>
        <v>0</v>
      </c>
      <c r="G11598" t="str">
        <v>-</v>
      </c>
      <c r="H11598">
        <f>VLOOKUP(D11574,'Detail Balok'!$C$10:$BJ$110,50,FALSE)</f>
        <v>100</v>
      </c>
      <c r="J11598">
        <f>(D11575-2*F$5)/1000</f>
        <v>0.12</v>
      </c>
      <c r="K11598" t="str">
        <v>+</v>
      </c>
      <c r="L11598">
        <f>IF(D11598=0,2*MAX(6*F11598,75),(D11598-1)*2*MAX(6*F11598,75))/1000</f>
        <v>0.15</v>
      </c>
      <c r="M11598" t="str">
        <v>=</v>
      </c>
      <c r="N11598">
        <f>J11598+L11598</f>
        <v>0.27</v>
      </c>
      <c r="T11598" t="str">
        <v>x</v>
      </c>
      <c r="U11598">
        <f>0.006165*F11598^2</f>
        <v>0</v>
      </c>
      <c r="V11598" t="str">
        <v>x</v>
      </c>
      <c r="W11598">
        <f>W11594</f>
        <v>14</v>
      </c>
      <c r="X11598" t="str">
        <v>x</v>
      </c>
      <c r="Y11598">
        <f>D11584</f>
        <v>2</v>
      </c>
      <c r="Z11598" t="str">
        <v>=</v>
      </c>
      <c r="AA11598">
        <f>N11598*U11598*W11598*Y11598</f>
        <v>0</v>
      </c>
    </row>
    <row r="11599">
      <c r="A11599" t="str">
        <f>A11574</f>
        <v>Lantai Atap</v>
      </c>
      <c r="B11599">
        <f>B11574</f>
        <v>45</v>
      </c>
      <c r="C11599" t="str">
        <v>Kait Horizontal Lap.</v>
      </c>
      <c r="D11599">
        <f>VLOOKUP(D11574,'Detail Balok'!$C$10:$BJ$110,51,FALSE)</f>
        <v>0</v>
      </c>
      <c r="E11599" t="str">
        <v>D</v>
      </c>
      <c r="F11599">
        <f>VLOOKUP(D11574,'Detail Balok'!$C$10:$BJ$110,53,FALSE)</f>
        <v>0</v>
      </c>
      <c r="G11599" t="str">
        <v>-</v>
      </c>
      <c r="H11599">
        <f>VLOOKUP(D11574,'Detail Balok'!$C$10:$BJ$110,55,FALSE)</f>
        <v>100</v>
      </c>
      <c r="J11599">
        <f>(D11575-2*F$5)/1000</f>
        <v>0.12</v>
      </c>
      <c r="K11599" t="str">
        <v>+</v>
      </c>
      <c r="L11599">
        <f>IF(D11599=0,2*MAX(6*F11599,75),(D11599-1)*2*MAX(6*F11599,75))/1000</f>
        <v>0.15</v>
      </c>
      <c r="M11599" t="str">
        <v>=</v>
      </c>
      <c r="N11599">
        <f>J11599+L11599</f>
        <v>0.27</v>
      </c>
      <c r="T11599" t="str">
        <v>x</v>
      </c>
      <c r="U11599">
        <f>0.006165*F11599^2</f>
        <v>0</v>
      </c>
      <c r="V11599" t="str">
        <v>x</v>
      </c>
      <c r="W11599">
        <f>W11595</f>
        <v>13</v>
      </c>
      <c r="X11599" t="str">
        <v>x</v>
      </c>
      <c r="Y11599">
        <f>D11584</f>
        <v>2</v>
      </c>
      <c r="Z11599" t="str">
        <v>=</v>
      </c>
      <c r="AA11599">
        <f>N11599*U11599*W11599*Y11599</f>
        <v>0</v>
      </c>
    </row>
    <row r="11600">
      <c r="A11600" t="str">
        <f>A11574</f>
        <v>Lantai Atap</v>
      </c>
      <c r="B11600">
        <f>B11574</f>
        <v>45</v>
      </c>
      <c r="C11600" t="str">
        <v>Kait Horizontal Tump.</v>
      </c>
      <c r="D11600">
        <f>VLOOKUP(D11574,'Detail Balok'!$C$10:$BJ$110,56,FALSE)</f>
        <v>0</v>
      </c>
      <c r="E11600" t="str">
        <v>D</v>
      </c>
      <c r="F11600">
        <f>VLOOKUP(D11574,'Detail Balok'!$C$10:$BJ$110,58,FALSE)</f>
        <v>0</v>
      </c>
      <c r="G11600" t="str">
        <v>-</v>
      </c>
      <c r="H11600">
        <f>VLOOKUP(D11574,'Detail Balok'!$C$10:$BJ$110,60,FALSE)</f>
        <v>100</v>
      </c>
      <c r="J11600">
        <f>(D11575-2*F$5)/1000</f>
        <v>0.12</v>
      </c>
      <c r="K11600" t="str">
        <v>+</v>
      </c>
      <c r="L11600">
        <f>IF(D11600=0,2*MAX(6*F11600,75),(D11600-1)*2*MAX(6*F11600,75))/1000</f>
        <v>0.15</v>
      </c>
      <c r="M11600" t="str">
        <v>=</v>
      </c>
      <c r="N11600">
        <f>J11600+L11600</f>
        <v>0.27</v>
      </c>
      <c r="T11600" t="str">
        <v>x</v>
      </c>
      <c r="U11600">
        <f>0.006165*F11600^2</f>
        <v>0</v>
      </c>
      <c r="V11600" t="str">
        <v>x</v>
      </c>
      <c r="W11600">
        <f>W11596</f>
        <v>14</v>
      </c>
      <c r="X11600" t="str">
        <v>x</v>
      </c>
      <c r="Y11600">
        <f>D11584</f>
        <v>2</v>
      </c>
      <c r="Z11600" t="str">
        <v>=</v>
      </c>
      <c r="AA11600">
        <f>N11600*U11600*W11600*Y11600</f>
        <v>0</v>
      </c>
    </row>
    <row r="11604">
      <c r="A11604" t="str">
        <f>A11574</f>
        <v>Lantai Atap</v>
      </c>
      <c r="B11604">
        <f>B11574+1</f>
        <v>46</v>
      </c>
      <c r="C11604" t="str">
        <f>CONCATENATE(A11604," no. ",B11604)</f>
        <v>Lantai Atap no. 46</v>
      </c>
      <c r="D11604" t="str">
        <f>VLOOKUP(C11604,'Data Panjang Balok'!$C$9:$N$424,2,FALSE)</f>
        <v>B245-1</v>
      </c>
    </row>
    <row r="11605">
      <c r="C11605" t="str">
        <v>Dimensi</v>
      </c>
      <c r="D11605">
        <f>VLOOKUP(D11604,'Detail Balok'!$C$10:$AU$110,2,FALSE)</f>
        <v>200</v>
      </c>
      <c r="F11605" t="str">
        <v>x</v>
      </c>
      <c r="G11605">
        <f>VLOOKUP(D11604,'Detail Balok'!$C$10:$AU$110,3,FALSE)</f>
        <v>450</v>
      </c>
    </row>
    <row r="11606">
      <c r="C11606" t="str">
        <v>Panjang as ke as</v>
      </c>
      <c r="D11606">
        <f>VLOOKUP(C11604,'Data Panjang Balok'!$C$9:$N$424,4,FALSE)</f>
        <v>2700</v>
      </c>
    </row>
    <row r="11607">
      <c r="C11607" t="str">
        <v>Panjang netto</v>
      </c>
      <c r="D11607">
        <f>VLOOKUP(C11604,'Data Panjang Balok'!$C$9:$N$424,7,FALSE)</f>
        <v>2700</v>
      </c>
    </row>
    <row r="11608">
      <c r="C11608" t="str">
        <v>Kolom / balok kiri</v>
      </c>
      <c r="D11608">
        <f>VLOOKUP(C11604,'Data Panjang Balok'!$C$9:$N$424,9,FALSE)</f>
        <v>0</v>
      </c>
    </row>
    <row r="11609">
      <c r="C11609" t="str">
        <v>Kolom / balok kanan</v>
      </c>
      <c r="D11609">
        <f>VLOOKUP(C11604,'Data Panjang Balok'!$C$9:$N$424,10,FALSE)</f>
        <v>0</v>
      </c>
    </row>
    <row r="11610">
      <c r="C11610" t="str">
        <v>Jumlah</v>
      </c>
      <c r="D11610">
        <f>VLOOKUP(C11604,'Data Panjang Balok'!$C$9:$N$424,3,FALSE)</f>
        <v>1</v>
      </c>
    </row>
    <row r="11611">
      <c r="A11611" t="str">
        <f>A11604</f>
        <v>Lantai Atap</v>
      </c>
      <c r="B11611">
        <f>B11604</f>
        <v>46</v>
      </c>
      <c r="C11611" t="str">
        <v>Tul Atas Tumpuan</v>
      </c>
      <c r="D11611">
        <f>VLOOKUP(D11604,'Detail Balok'!$C$10:$AU$110,4,FALSE)</f>
        <v>2</v>
      </c>
      <c r="E11611" t="str">
        <v>D</v>
      </c>
      <c r="F11611">
        <f>VLOOKUP(D11604,'Detail Balok'!$C$10:$AU$110,6,FALSE)</f>
        <v>13</v>
      </c>
      <c r="I11611" t="str">
        <v>(</v>
      </c>
      <c r="J11611">
        <f>+D11606/4/1000</f>
        <v>0.675</v>
      </c>
      <c r="K11611" t="str">
        <v>+</v>
      </c>
      <c r="L11611">
        <f>MAX(VLOOKUP(F11611,N$6:P$15,3,FALSE)/1000,2/3*D11608/1000)+F$16*F11611/1000</f>
        <v>0.156</v>
      </c>
      <c r="M11611" t="str">
        <v>=</v>
      </c>
      <c r="N11611">
        <f>J11611+L11611</f>
        <v>0.8310000000000001</v>
      </c>
      <c r="O11611" t="str">
        <v>+</v>
      </c>
      <c r="P11611">
        <f>D11611-D11612</f>
        <v>0</v>
      </c>
      <c r="Q11611" t="str">
        <v>x</v>
      </c>
      <c r="R11611">
        <f>IF(P11611&gt;0,$F$18*F11611/1000,0)</f>
        <v>0</v>
      </c>
      <c r="S11611" t="str">
        <v>)</v>
      </c>
      <c r="T11611" t="str">
        <v>x</v>
      </c>
      <c r="U11611">
        <f>0.006165*F11611^2</f>
        <v>1.041885</v>
      </c>
      <c r="X11611" t="str">
        <v>x</v>
      </c>
      <c r="Y11611">
        <f>D11610</f>
        <v>1</v>
      </c>
      <c r="Z11611" t="str">
        <v>=</v>
      </c>
      <c r="AA11611">
        <f>IF(AA11614=0,(D11611*N11611+P11611*R11611)*U11611*Y11611,0)</f>
        <v>0</v>
      </c>
    </row>
    <row r="11612">
      <c r="A11612" t="str">
        <f>A11604</f>
        <v>Lantai Atap</v>
      </c>
      <c r="B11612">
        <f>B11604</f>
        <v>46</v>
      </c>
      <c r="C11612" t="str">
        <v>Tul Atas Lapangan</v>
      </c>
      <c r="D11612">
        <f>VLOOKUP(D11604,'Detail Balok'!$C$10:$AU$110,7,FALSE)</f>
        <v>2</v>
      </c>
      <c r="E11612" t="str">
        <v>D</v>
      </c>
      <c r="F11612">
        <f>VLOOKUP(D11604,'Detail Balok'!$C$10:$AU$110,9,FALSE)</f>
        <v>13</v>
      </c>
      <c r="I11612" t="str">
        <v>(</v>
      </c>
      <c r="J11612">
        <f>+D11606/2/1000</f>
        <v>1.35</v>
      </c>
      <c r="K11612" t="str">
        <v>+</v>
      </c>
      <c r="M11612" t="str">
        <v>=</v>
      </c>
      <c r="N11612">
        <f>J11612+L11612</f>
        <v>1.35</v>
      </c>
      <c r="O11612" t="str">
        <v>+</v>
      </c>
      <c r="P11612">
        <f>MAX(D11612-D11611,D11612-D11613)</f>
        <v>0</v>
      </c>
      <c r="Q11612" t="str">
        <v>x</v>
      </c>
      <c r="R11612">
        <f>IF(P11612&gt;0,2*(1-2*$F$19-1/2)*D11607/1000,0)</f>
        <v>0</v>
      </c>
      <c r="S11612" t="str">
        <v>)</v>
      </c>
      <c r="T11612" t="str">
        <v>x</v>
      </c>
      <c r="U11612">
        <f>0.006165*F11612^2</f>
        <v>1.041885</v>
      </c>
      <c r="X11612" t="str">
        <v>x</v>
      </c>
      <c r="Y11612">
        <f>D11610</f>
        <v>1</v>
      </c>
      <c r="Z11612" t="str">
        <v>=</v>
      </c>
      <c r="AA11612">
        <f>IF(AA11614=0,(D11612*N11612+P11612*R11612)*U11612*Y11612,0)</f>
        <v>0</v>
      </c>
    </row>
    <row r="11613">
      <c r="A11613" t="str">
        <f>A11604</f>
        <v>Lantai Atap</v>
      </c>
      <c r="B11613">
        <f>B11604</f>
        <v>46</v>
      </c>
      <c r="C11613" t="str">
        <v>Tul Atas Tumpuan</v>
      </c>
      <c r="D11613">
        <f>VLOOKUP(D11604,'Detail Balok'!$C$10:$AU$110,10,FALSE)</f>
        <v>2</v>
      </c>
      <c r="E11613" t="str">
        <v>D</v>
      </c>
      <c r="F11613">
        <f>VLOOKUP(D11604,'Detail Balok'!$C$10:$AU$110,12,FALSE)</f>
        <v>13</v>
      </c>
      <c r="I11613" t="str">
        <v>(</v>
      </c>
      <c r="J11613">
        <f>+D11606/4/1000</f>
        <v>0.675</v>
      </c>
      <c r="K11613" t="str">
        <v>+</v>
      </c>
      <c r="L11613">
        <f>MAX(VLOOKUP(F11613,N$6:P$15,3,FALSE)/1000,2/3*D11608/1000)+F$16*F11613/1000</f>
        <v>0.156</v>
      </c>
      <c r="M11613" t="str">
        <v>=</v>
      </c>
      <c r="N11613">
        <f>J11613+L11613</f>
        <v>0.8310000000000001</v>
      </c>
      <c r="O11613" t="str">
        <v>+</v>
      </c>
      <c r="P11613">
        <f>D11613-D11612</f>
        <v>0</v>
      </c>
      <c r="Q11613" t="str">
        <v>x</v>
      </c>
      <c r="R11613">
        <f>IF(P11613&gt;0,$F$18*F11613/1000,0)</f>
        <v>0</v>
      </c>
      <c r="S11613" t="str">
        <v>)</v>
      </c>
      <c r="T11613" t="str">
        <v>x</v>
      </c>
      <c r="U11613">
        <f>0.006165*F11613^2</f>
        <v>1.041885</v>
      </c>
      <c r="X11613" t="str">
        <v>x</v>
      </c>
      <c r="Y11613">
        <f>D11610</f>
        <v>1</v>
      </c>
      <c r="Z11613" t="str">
        <v>=</v>
      </c>
      <c r="AA11613">
        <f>IF(AA11614=0,(D11613*N11613+P11613*R11613)*U11613*Y11613,0)</f>
        <v>0</v>
      </c>
    </row>
    <row r="11614">
      <c r="A11614" t="str">
        <f>A11604</f>
        <v>Lantai Atap</v>
      </c>
      <c r="B11614">
        <f>B11604</f>
        <v>46</v>
      </c>
      <c r="D11614">
        <f>IF(AND(D11611=D11612,D11612=D11613,D11611=D11613),D11611,0)</f>
        <v>2</v>
      </c>
      <c r="E11614" t="str">
        <v>D</v>
      </c>
      <c r="F11614">
        <f>IF(AND(F11611=F11612,F11611=F11613,F11612=F11613),F11611,0)</f>
        <v>13</v>
      </c>
      <c r="L11614" t="str">
        <v>Total panjang per balok</v>
      </c>
      <c r="M11614" t="str">
        <v>=</v>
      </c>
      <c r="N11614">
        <f>IF(AND(D11611=D11612,D11611=D11613,D11612=D11613,F11611=F11612,F11611=F11613,F11612=F11613),SUM(N11611:N11613),0)</f>
        <v>3.012</v>
      </c>
      <c r="O11614" t="str">
        <v>+</v>
      </c>
      <c r="P11614">
        <f>IF(N11614&gt;12,ROUNDDOWN(N11614/12,0),0)</f>
        <v>0</v>
      </c>
      <c r="Q11614" t="str">
        <v>x</v>
      </c>
      <c r="R11614">
        <f>IF(P11614&gt;0,MAX(VLOOKUP(F11614,$D$6:$G$15,3,FALSE),600),0)/1000</f>
        <v>0</v>
      </c>
      <c r="T11614" t="str">
        <v>x</v>
      </c>
      <c r="U11614">
        <f>U11613</f>
        <v>1.041885</v>
      </c>
      <c r="V11614" t="str">
        <v>x</v>
      </c>
      <c r="W11614">
        <f>D11614</f>
        <v>2</v>
      </c>
      <c r="X11614" t="str">
        <v>x</v>
      </c>
      <c r="Y11614">
        <f>Y11613</f>
        <v>1</v>
      </c>
      <c r="Z11614" t="str">
        <v>=</v>
      </c>
      <c r="AA11614">
        <f>(N11614+P11614*R11614/1000)*U11614*W11614*Y11614</f>
        <v>6.27631524</v>
      </c>
    </row>
    <row r="11616">
      <c r="A11616" t="str">
        <f>A11604</f>
        <v>Lantai Atap</v>
      </c>
      <c r="B11616">
        <f>B11604</f>
        <v>46</v>
      </c>
      <c r="C11616" t="str">
        <v>Tul Peminggang</v>
      </c>
      <c r="D11616">
        <f>VLOOKUP(D11604,'Detail Balok'!$C$10:$AU$110,13,FALSE)</f>
        <v>2</v>
      </c>
      <c r="E11616" t="str">
        <v>D</v>
      </c>
      <c r="F11616">
        <f>VLOOKUP(D11604,'Detail Balok'!$C$10:$AU$110,15,FALSE)</f>
        <v>8</v>
      </c>
      <c r="J11616">
        <f>+D11606/1000</f>
        <v>2.7</v>
      </c>
      <c r="K11616" t="str">
        <v>+</v>
      </c>
      <c r="L11616">
        <f>2*$F$16*F11616/1000</f>
        <v>0.192</v>
      </c>
      <c r="M11616" t="str">
        <v>=</v>
      </c>
      <c r="N11616">
        <f>J11616+L11616</f>
        <v>2.8920000000000003</v>
      </c>
      <c r="O11616" t="str">
        <v>+</v>
      </c>
      <c r="P11616">
        <f>IF(N11616&gt;12,ROUNDDOWN(N11616/12,0),0)</f>
        <v>0</v>
      </c>
      <c r="Q11616" t="str">
        <v>x</v>
      </c>
      <c r="R11616">
        <f>IF(P11616&gt;0,MAX(VLOOKUP(F11616,$D$6:$G$15,3,FALSE),600),0)/1000</f>
        <v>0</v>
      </c>
      <c r="T11616" t="str">
        <v>x</v>
      </c>
      <c r="U11616">
        <f>0.006165*F11616^2</f>
        <v>0.39456</v>
      </c>
      <c r="V11616" t="str">
        <v>x</v>
      </c>
      <c r="W11616">
        <f>+D11616</f>
        <v>2</v>
      </c>
      <c r="X11616" t="str">
        <v>x</v>
      </c>
      <c r="Y11616">
        <f>D11610</f>
        <v>1</v>
      </c>
      <c r="Z11616" t="str">
        <v>=</v>
      </c>
      <c r="AA11616">
        <f>(N11616+P11616*R11616/1000)*U11616*W11616*Y11616</f>
        <v>2.2821350400000004</v>
      </c>
    </row>
    <row r="11619">
      <c r="A11619" t="str">
        <f>A11604</f>
        <v>Lantai Atap</v>
      </c>
      <c r="B11619">
        <f>B11604</f>
        <v>46</v>
      </c>
      <c r="C11619" t="str">
        <v>Tul Bawah Tumpuan</v>
      </c>
      <c r="D11619">
        <f>VLOOKUP(D11604,'Detail Balok'!$C$10:$AU$110,22,FALSE)</f>
        <v>2</v>
      </c>
      <c r="E11619" t="str">
        <v>D</v>
      </c>
      <c r="F11619">
        <f>VLOOKUP(D11604,'Detail Balok'!$C$10:$AU$110,24,FALSE)</f>
        <v>13</v>
      </c>
      <c r="I11619" t="str">
        <v>(</v>
      </c>
      <c r="J11619">
        <f>+J11611</f>
        <v>0.675</v>
      </c>
      <c r="K11619" t="str">
        <v>+</v>
      </c>
      <c r="L11619">
        <f>MAX(VLOOKUP(F11619,N$6:P$15,3,FALSE)/1000,2/3*D11609/1000)+F$16*F11619/1000</f>
        <v>0.156</v>
      </c>
      <c r="M11619" t="str">
        <v>=</v>
      </c>
      <c r="N11619">
        <f>J11619+L11619</f>
        <v>0.8310000000000001</v>
      </c>
      <c r="O11619" t="str">
        <v>+</v>
      </c>
      <c r="P11619">
        <f>D11619-D11620</f>
        <v>0</v>
      </c>
      <c r="Q11619" t="str">
        <v>x</v>
      </c>
      <c r="R11619">
        <f>IF(P11619&gt;0,$F$18*F11619/1000,0)</f>
        <v>0</v>
      </c>
      <c r="S11619" t="str">
        <v>)</v>
      </c>
      <c r="T11619" t="str">
        <v>x</v>
      </c>
      <c r="U11619">
        <f>0.006165*F11619^2</f>
        <v>1.041885</v>
      </c>
      <c r="X11619" t="str">
        <v>x</v>
      </c>
      <c r="Y11619">
        <f>D11610</f>
        <v>1</v>
      </c>
      <c r="Z11619" t="str">
        <v>=</v>
      </c>
      <c r="AA11619">
        <f>IF(AA11622=0,(D11619*N11619+P11619*R11619)*U11619*Y11619,0)</f>
        <v>0</v>
      </c>
    </row>
    <row r="11620">
      <c r="A11620" t="str">
        <f>A11604</f>
        <v>Lantai Atap</v>
      </c>
      <c r="B11620">
        <f>B11604</f>
        <v>46</v>
      </c>
      <c r="C11620" t="str">
        <v>Tul Bawah Lapangan</v>
      </c>
      <c r="D11620">
        <f>VLOOKUP(D11604,'Detail Balok'!$C$10:$AU$110,25,FALSE)</f>
        <v>2</v>
      </c>
      <c r="E11620" t="str">
        <v>D</v>
      </c>
      <c r="F11620">
        <f>VLOOKUP(D11604,'Detail Balok'!$C$10:$AU$110,27,FALSE)</f>
        <v>13</v>
      </c>
      <c r="I11620" t="str">
        <v>(</v>
      </c>
      <c r="J11620">
        <f>+J11612</f>
        <v>1.35</v>
      </c>
      <c r="K11620" t="str">
        <v>+</v>
      </c>
      <c r="M11620" t="str">
        <v>=</v>
      </c>
      <c r="N11620">
        <f>J11620+L11620</f>
        <v>1.35</v>
      </c>
      <c r="O11620" t="str">
        <v>+</v>
      </c>
      <c r="P11620">
        <f>MAX(D11620-D11619,D11620-D11621)</f>
        <v>0</v>
      </c>
      <c r="Q11620" t="str">
        <v>x</v>
      </c>
      <c r="R11620">
        <f>IF(P11620&gt;0,2*(1-2*$F$19-1/2)*D11607/1000,0)</f>
        <v>0</v>
      </c>
      <c r="S11620" t="str">
        <v>)</v>
      </c>
      <c r="T11620" t="str">
        <v>x</v>
      </c>
      <c r="U11620">
        <f>0.006165*F11620^2</f>
        <v>1.041885</v>
      </c>
      <c r="X11620" t="str">
        <v>x</v>
      </c>
      <c r="Y11620">
        <f>D11610</f>
        <v>1</v>
      </c>
      <c r="Z11620" t="str">
        <v>=</v>
      </c>
      <c r="AA11620">
        <f>IF(AA11622=0,(D11620*N11620+P11620*R11620)*U11620*Y11620,0)</f>
        <v>0</v>
      </c>
    </row>
    <row r="11621">
      <c r="A11621" t="str">
        <f>A11604</f>
        <v>Lantai Atap</v>
      </c>
      <c r="B11621">
        <f>B11604</f>
        <v>46</v>
      </c>
      <c r="C11621" t="str">
        <v>Tul Bawah Tumpuan</v>
      </c>
      <c r="D11621">
        <f>VLOOKUP(D11604,'Detail Balok'!$C$10:$AU$110,28,FALSE)</f>
        <v>2</v>
      </c>
      <c r="E11621" t="str">
        <v>D</v>
      </c>
      <c r="F11621">
        <f>VLOOKUP(D11604,'Detail Balok'!$C$10:$AU$110,30,FALSE)</f>
        <v>13</v>
      </c>
      <c r="I11621" t="str">
        <v>(</v>
      </c>
      <c r="J11621">
        <f>+J11613</f>
        <v>0.675</v>
      </c>
      <c r="K11621" t="str">
        <v>+</v>
      </c>
      <c r="L11621">
        <f>MAX(VLOOKUP(F11621,N$6:P$15,3,FALSE)/1000,2/3*D11609/1000)+F$16*F11621/1000</f>
        <v>0.156</v>
      </c>
      <c r="M11621" t="str">
        <v>=</v>
      </c>
      <c r="N11621">
        <f>J11621+L11621</f>
        <v>0.8310000000000001</v>
      </c>
      <c r="O11621" t="str">
        <v>+</v>
      </c>
      <c r="P11621">
        <f>D11621-D11620</f>
        <v>0</v>
      </c>
      <c r="Q11621" t="str">
        <v>x</v>
      </c>
      <c r="R11621">
        <f>IF(P11621&gt;0,$F$18*F11621/1000,0)</f>
        <v>0</v>
      </c>
      <c r="S11621" t="str">
        <v>)</v>
      </c>
      <c r="T11621" t="str">
        <v>x</v>
      </c>
      <c r="U11621">
        <f>0.006165*F11621^2</f>
        <v>1.041885</v>
      </c>
      <c r="X11621" t="str">
        <v>x</v>
      </c>
      <c r="Y11621">
        <f>D11610</f>
        <v>1</v>
      </c>
      <c r="Z11621" t="str">
        <v>=</v>
      </c>
      <c r="AA11621">
        <f>IF(AA11622=0,(D11621*N11621+P11621*R11621)*U11621*Y11621,0)</f>
        <v>0</v>
      </c>
    </row>
    <row r="11622">
      <c r="A11622" t="str">
        <f>A11604</f>
        <v>Lantai Atap</v>
      </c>
      <c r="B11622">
        <f>B11604</f>
        <v>46</v>
      </c>
      <c r="D11622">
        <f>IF(AND(D11619=D11620,D11620=D11621,D11619=D11621),D11619,0)</f>
        <v>2</v>
      </c>
      <c r="E11622" t="str">
        <v>D</v>
      </c>
      <c r="F11622">
        <f>IF(AND(F11619=F11620,F11619=F11621,F11620=F11621),F11619,0)</f>
        <v>13</v>
      </c>
      <c r="L11622" t="str">
        <v>Total panjang per balok</v>
      </c>
      <c r="M11622" t="str">
        <v>=</v>
      </c>
      <c r="N11622">
        <f>IF(AND(D11619=D11620,D11619=D11621,D11620=D11621,F11619=F11620,F11619=F11621,F11620=F11621),SUM(N11619:N11621),0)</f>
        <v>3.012</v>
      </c>
      <c r="O11622" t="str">
        <v>+</v>
      </c>
      <c r="P11622">
        <f>IF(N11622&gt;12,ROUNDDOWN(N11622/12,0),0)</f>
        <v>0</v>
      </c>
      <c r="Q11622" t="str">
        <v>x</v>
      </c>
      <c r="R11622">
        <f>IF(P11622&gt;0,MAX(VLOOKUP(F11622,$D$6:$G$15,3,FALSE),600),0)/1000</f>
        <v>0</v>
      </c>
      <c r="T11622" t="str">
        <v>x</v>
      </c>
      <c r="U11622">
        <f>U11621</f>
        <v>1.041885</v>
      </c>
      <c r="V11622" t="str">
        <v>x</v>
      </c>
      <c r="W11622">
        <f>D11622</f>
        <v>2</v>
      </c>
      <c r="X11622" t="str">
        <v>x</v>
      </c>
      <c r="Y11622">
        <f>Y11621</f>
        <v>1</v>
      </c>
      <c r="Z11622" t="str">
        <v>=</v>
      </c>
      <c r="AA11622">
        <f>(N11622+P11622*R11622/1000)*U11622*W11622*Y11622</f>
        <v>6.27631524</v>
      </c>
    </row>
    <row r="11624">
      <c r="A11624" t="str">
        <f>A11604</f>
        <v>Lantai Atap</v>
      </c>
      <c r="B11624">
        <f>B11604</f>
        <v>46</v>
      </c>
      <c r="C11624" t="str">
        <v>Sengkang Tumpuan</v>
      </c>
      <c r="D11624">
        <f>VLOOKUP(D11604,'Detail Balok'!$C$10:$AU$110,31,FALSE)</f>
        <v>0</v>
      </c>
      <c r="E11624" t="str">
        <v>D</v>
      </c>
      <c r="F11624">
        <f>VLOOKUP(D11604,'Detail Balok'!$C$10:$AU$110,33,FALSE)</f>
        <v>8</v>
      </c>
      <c r="G11624" t="str">
        <v>-</v>
      </c>
      <c r="H11624">
        <f>VLOOKUP(D11604,'Detail Balok'!$C$10:$AU$110,35,FALSE)</f>
        <v>100</v>
      </c>
      <c r="J11624">
        <f>(IF(D11624=0,(2*(D11605+G11605))-(F$5*8),IF(D11624=3,(2*(D11605+G11605))-(F$5*8)+(G11605-2*F$5),IF(D11624=4,(2*(D11605+G11605))-(F$5*8)+2*(G11605-2*F$5)))))/1000</f>
        <v>0.98</v>
      </c>
      <c r="K11624" t="str">
        <v>+</v>
      </c>
      <c r="L11624">
        <f>IF(D11624=0,2*MAX(6*F11624,75),(D11624-1)*2*MAX(6*F11624,75))/1000</f>
        <v>0.15</v>
      </c>
      <c r="M11624" t="str">
        <v>=</v>
      </c>
      <c r="N11624">
        <f>J11624+L11624</f>
        <v>1.13</v>
      </c>
      <c r="T11624" t="str">
        <v>x</v>
      </c>
      <c r="U11624">
        <f>0.006165*F11624^2</f>
        <v>0.39456</v>
      </c>
      <c r="V11624" t="str">
        <v>x</v>
      </c>
      <c r="W11624">
        <f>IF(D11607&gt;4*G11605,ROUND(MAX(D11607/4,2*G11605)/H11624,0)+1,ROUND(D11607/H11624,0)+1)</f>
        <v>10</v>
      </c>
      <c r="X11624" t="str">
        <v>x</v>
      </c>
      <c r="Y11624">
        <f>D11610</f>
        <v>1</v>
      </c>
      <c r="Z11624" t="str">
        <v>=</v>
      </c>
      <c r="AA11624">
        <f>N11624*U11624*W11624*Y11624</f>
        <v>4.458528</v>
      </c>
    </row>
    <row r="11625">
      <c r="A11625" t="str">
        <f>A11604</f>
        <v>Lantai Atap</v>
      </c>
      <c r="B11625">
        <f>B11604</f>
        <v>46</v>
      </c>
      <c r="C11625" t="str">
        <v>Sengkang Lapangan</v>
      </c>
      <c r="D11625">
        <f>VLOOKUP(D11604,'Detail Balok'!$C$10:$AU$110,36,FALSE)</f>
        <v>0</v>
      </c>
      <c r="E11625" t="str">
        <v>D</v>
      </c>
      <c r="F11625">
        <f>VLOOKUP(D11604,'Detail Balok'!$C$10:$AU$110,38,FALSE)</f>
        <v>8</v>
      </c>
      <c r="G11625" t="str">
        <v>-</v>
      </c>
      <c r="H11625">
        <f>VLOOKUP(D11604,'Detail Balok'!$C$10:$AU$110,40,FALSE)</f>
        <v>200</v>
      </c>
      <c r="J11625">
        <f>(IF(D11625=0,(2*(D11605+G11605))-(F$5*8),IF(D11625=3,(2*(D11605+G11605))-(F$5*8)+(G11605-2*F$5),IF(D11625=4,(2*(D11605+G11605))-(F$5*8)+2*(G11605-2*F$5)))))/1000</f>
        <v>0.98</v>
      </c>
      <c r="K11625" t="str">
        <v>+</v>
      </c>
      <c r="L11625">
        <f>IF(D11625=0,2*MAX(6*F11625,75),(D11625-1)*2*MAX(6*F11625,75))/1000</f>
        <v>0.15</v>
      </c>
      <c r="M11625" t="str">
        <v>=</v>
      </c>
      <c r="N11625">
        <f>J11625+L11625</f>
        <v>1.13</v>
      </c>
      <c r="T11625" t="str">
        <v>x</v>
      </c>
      <c r="U11625">
        <f>0.006165*F11625^2</f>
        <v>0.39456</v>
      </c>
      <c r="V11625" t="str">
        <v>x</v>
      </c>
      <c r="W11625">
        <f>IF(D11607-MAX(D11607/4,2*G11605)*2&gt;0,ROUND((D11607-MAX(D11607/4,2*G11605)*2)/H11625,0),0)</f>
        <v>5</v>
      </c>
      <c r="X11625" t="str">
        <v>x</v>
      </c>
      <c r="Y11625">
        <f>D11610</f>
        <v>1</v>
      </c>
      <c r="Z11625" t="str">
        <v>=</v>
      </c>
      <c r="AA11625">
        <f>N11625*U11625*W11625*Y11625</f>
        <v>2.229264</v>
      </c>
    </row>
    <row r="11626">
      <c r="A11626" t="str">
        <f>A11604</f>
        <v>Lantai Atap</v>
      </c>
      <c r="B11626">
        <f>B11604</f>
        <v>46</v>
      </c>
      <c r="C11626" t="str">
        <v>Sengkang Tumpuan</v>
      </c>
      <c r="D11626">
        <f>VLOOKUP(D11604,'Detail Balok'!$C$10:$AU$110,41,FALSE)</f>
        <v>0</v>
      </c>
      <c r="E11626" t="str">
        <v>D</v>
      </c>
      <c r="F11626">
        <f>VLOOKUP(D11604,'Detail Balok'!$C$10:$AU$110,43,FALSE)</f>
        <v>8</v>
      </c>
      <c r="G11626" t="str">
        <v>-</v>
      </c>
      <c r="H11626">
        <f>VLOOKUP(D11604,'Detail Balok'!$C$10:$AU$110,45,FALSE)</f>
        <v>100</v>
      </c>
      <c r="J11626">
        <f>(IF(D11626=0,(2*(D11605+G11605))-(F$5*8),IF(D11626=3,(2*(D11605+G11605))-(F$5*8)+(G11605-2*F$5),IF(D11626=4,(2*(D11605+G11605))-(F$5*8)+2*(G11605-2*F$5)))))/1000</f>
        <v>0.98</v>
      </c>
      <c r="K11626" t="str">
        <v>+</v>
      </c>
      <c r="L11626">
        <f>IF(D11626=0,2*MAX(6*F11626,75),(D11626-1)*2*MAX(6*F11626,75))/1000</f>
        <v>0.15</v>
      </c>
      <c r="M11626" t="str">
        <v>=</v>
      </c>
      <c r="N11626">
        <f>J11626+L11626</f>
        <v>1.13</v>
      </c>
      <c r="T11626" t="str">
        <v>x</v>
      </c>
      <c r="U11626">
        <f>0.006165*F11626^2</f>
        <v>0.39456</v>
      </c>
      <c r="V11626" t="str">
        <v>x</v>
      </c>
      <c r="W11626">
        <f>IF(D11607&gt;4*G11605,ROUND(MAX(D11607/4,2*G11605)/H11626,0)+1,0)</f>
        <v>10</v>
      </c>
      <c r="X11626" t="str">
        <v>x</v>
      </c>
      <c r="Y11626">
        <f>D11610</f>
        <v>1</v>
      </c>
      <c r="Z11626" t="str">
        <v>=</v>
      </c>
      <c r="AA11626">
        <f>N11626*U11626*W11626*Y11626</f>
        <v>4.458528</v>
      </c>
    </row>
    <row r="11628">
      <c r="A11628" t="str">
        <f>A11604</f>
        <v>Lantai Atap</v>
      </c>
      <c r="B11628">
        <f>B11604</f>
        <v>46</v>
      </c>
      <c r="C11628" t="str">
        <v>Kait Horizontal Tump.</v>
      </c>
      <c r="D11628">
        <f>VLOOKUP(D11604,'Detail Balok'!$C$10:$BJ$110,46,FALSE)</f>
        <v>0</v>
      </c>
      <c r="E11628" t="str">
        <v>D</v>
      </c>
      <c r="F11628">
        <f>VLOOKUP(D11604,'Detail Balok'!$C$10:$BJ$110,48,FALSE)</f>
        <v>0</v>
      </c>
      <c r="G11628" t="str">
        <v>-</v>
      </c>
      <c r="H11628">
        <f>VLOOKUP(D11604,'Detail Balok'!$C$10:$BJ$110,50,FALSE)</f>
        <v>100</v>
      </c>
      <c r="J11628">
        <f>(D11605-2*F$5)/1000</f>
        <v>0.12</v>
      </c>
      <c r="K11628" t="str">
        <v>+</v>
      </c>
      <c r="L11628">
        <f>IF(D11628=0,2*MAX(6*F11628,75),(D11628-1)*2*MAX(6*F11628,75))/1000</f>
        <v>0.15</v>
      </c>
      <c r="M11628" t="str">
        <v>=</v>
      </c>
      <c r="N11628">
        <f>J11628+L11628</f>
        <v>0.27</v>
      </c>
      <c r="T11628" t="str">
        <v>x</v>
      </c>
      <c r="U11628">
        <f>0.006165*F11628^2</f>
        <v>0</v>
      </c>
      <c r="V11628" t="str">
        <v>x</v>
      </c>
      <c r="W11628">
        <f>W11624</f>
        <v>10</v>
      </c>
      <c r="X11628" t="str">
        <v>x</v>
      </c>
      <c r="Y11628">
        <f>D11614</f>
        <v>2</v>
      </c>
      <c r="Z11628" t="str">
        <v>=</v>
      </c>
      <c r="AA11628">
        <f>N11628*U11628*W11628*Y11628</f>
        <v>0</v>
      </c>
    </row>
    <row r="11629">
      <c r="A11629" t="str">
        <f>A11604</f>
        <v>Lantai Atap</v>
      </c>
      <c r="B11629">
        <f>B11604</f>
        <v>46</v>
      </c>
      <c r="C11629" t="str">
        <v>Kait Horizontal Lap.</v>
      </c>
      <c r="D11629">
        <f>VLOOKUP(D11604,'Detail Balok'!$C$10:$BJ$110,51,FALSE)</f>
        <v>0</v>
      </c>
      <c r="E11629" t="str">
        <v>D</v>
      </c>
      <c r="F11629">
        <f>VLOOKUP(D11604,'Detail Balok'!$C$10:$BJ$110,53,FALSE)</f>
        <v>0</v>
      </c>
      <c r="G11629" t="str">
        <v>-</v>
      </c>
      <c r="H11629">
        <f>VLOOKUP(D11604,'Detail Balok'!$C$10:$BJ$110,55,FALSE)</f>
        <v>100</v>
      </c>
      <c r="J11629">
        <f>(D11605-2*F$5)/1000</f>
        <v>0.12</v>
      </c>
      <c r="K11629" t="str">
        <v>+</v>
      </c>
      <c r="L11629">
        <f>IF(D11629=0,2*MAX(6*F11629,75),(D11629-1)*2*MAX(6*F11629,75))/1000</f>
        <v>0.15</v>
      </c>
      <c r="M11629" t="str">
        <v>=</v>
      </c>
      <c r="N11629">
        <f>J11629+L11629</f>
        <v>0.27</v>
      </c>
      <c r="T11629" t="str">
        <v>x</v>
      </c>
      <c r="U11629">
        <f>0.006165*F11629^2</f>
        <v>0</v>
      </c>
      <c r="V11629" t="str">
        <v>x</v>
      </c>
      <c r="W11629">
        <f>W11625</f>
        <v>5</v>
      </c>
      <c r="X11629" t="str">
        <v>x</v>
      </c>
      <c r="Y11629">
        <f>D11614</f>
        <v>2</v>
      </c>
      <c r="Z11629" t="str">
        <v>=</v>
      </c>
      <c r="AA11629">
        <f>N11629*U11629*W11629*Y11629</f>
        <v>0</v>
      </c>
    </row>
    <row r="11630">
      <c r="A11630" t="str">
        <f>A11604</f>
        <v>Lantai Atap</v>
      </c>
      <c r="B11630">
        <f>B11604</f>
        <v>46</v>
      </c>
      <c r="C11630" t="str">
        <v>Kait Horizontal Tump.</v>
      </c>
      <c r="D11630">
        <f>VLOOKUP(D11604,'Detail Balok'!$C$10:$BJ$110,56,FALSE)</f>
        <v>0</v>
      </c>
      <c r="E11630" t="str">
        <v>D</v>
      </c>
      <c r="F11630">
        <f>VLOOKUP(D11604,'Detail Balok'!$C$10:$BJ$110,58,FALSE)</f>
        <v>0</v>
      </c>
      <c r="G11630" t="str">
        <v>-</v>
      </c>
      <c r="H11630">
        <f>VLOOKUP(D11604,'Detail Balok'!$C$10:$BJ$110,60,FALSE)</f>
        <v>100</v>
      </c>
      <c r="J11630">
        <f>(D11605-2*F$5)/1000</f>
        <v>0.12</v>
      </c>
      <c r="K11630" t="str">
        <v>+</v>
      </c>
      <c r="L11630">
        <f>IF(D11630=0,2*MAX(6*F11630,75),(D11630-1)*2*MAX(6*F11630,75))/1000</f>
        <v>0.15</v>
      </c>
      <c r="M11630" t="str">
        <v>=</v>
      </c>
      <c r="N11630">
        <f>J11630+L11630</f>
        <v>0.27</v>
      </c>
      <c r="T11630" t="str">
        <v>x</v>
      </c>
      <c r="U11630">
        <f>0.006165*F11630^2</f>
        <v>0</v>
      </c>
      <c r="V11630" t="str">
        <v>x</v>
      </c>
      <c r="W11630">
        <f>W11626</f>
        <v>10</v>
      </c>
      <c r="X11630" t="str">
        <v>x</v>
      </c>
      <c r="Y11630">
        <f>D11614</f>
        <v>2</v>
      </c>
      <c r="Z11630" t="str">
        <v>=</v>
      </c>
      <c r="AA11630">
        <f>N11630*U11630*W11630*Y11630</f>
        <v>0</v>
      </c>
    </row>
    <row r="11634">
      <c r="A11634" t="str">
        <f>A11604</f>
        <v>Lantai Atap</v>
      </c>
      <c r="B11634">
        <f>B11604+1</f>
        <v>47</v>
      </c>
      <c r="C11634" t="str">
        <f>CONCATENATE(A11634," no. ",B11634)</f>
        <v>Lantai Atap no. 47</v>
      </c>
      <c r="D11634" t="str">
        <f>VLOOKUP(C11634,'Data Panjang Balok'!$C$9:$N$424,2,FALSE)</f>
        <v>B245-1</v>
      </c>
    </row>
    <row r="11635">
      <c r="C11635" t="str">
        <v>Dimensi</v>
      </c>
      <c r="D11635">
        <f>VLOOKUP(D11634,'Detail Balok'!$C$10:$AU$110,2,FALSE)</f>
        <v>200</v>
      </c>
      <c r="F11635" t="str">
        <v>x</v>
      </c>
      <c r="G11635">
        <f>VLOOKUP(D11634,'Detail Balok'!$C$10:$AU$110,3,FALSE)</f>
        <v>450</v>
      </c>
    </row>
    <row r="11636">
      <c r="C11636" t="str">
        <v>Panjang as ke as</v>
      </c>
      <c r="D11636">
        <f>VLOOKUP(C11634,'Data Panjang Balok'!$C$9:$N$424,4,FALSE)</f>
        <v>2700</v>
      </c>
    </row>
    <row r="11637">
      <c r="C11637" t="str">
        <v>Panjang netto</v>
      </c>
      <c r="D11637">
        <f>VLOOKUP(C11634,'Data Panjang Balok'!$C$9:$N$424,7,FALSE)</f>
        <v>2700</v>
      </c>
    </row>
    <row r="11638">
      <c r="C11638" t="str">
        <v>Kolom / balok kiri</v>
      </c>
      <c r="D11638">
        <f>VLOOKUP(C11634,'Data Panjang Balok'!$C$9:$N$424,9,FALSE)</f>
        <v>0</v>
      </c>
    </row>
    <row r="11639">
      <c r="C11639" t="str">
        <v>Kolom / balok kanan</v>
      </c>
      <c r="D11639">
        <f>VLOOKUP(C11634,'Data Panjang Balok'!$C$9:$N$424,10,FALSE)</f>
        <v>0</v>
      </c>
    </row>
    <row r="11640">
      <c r="C11640" t="str">
        <v>Jumlah</v>
      </c>
      <c r="D11640">
        <f>VLOOKUP(C11634,'Data Panjang Balok'!$C$9:$N$424,3,FALSE)</f>
        <v>1</v>
      </c>
    </row>
    <row r="11641">
      <c r="A11641" t="str">
        <f>A11634</f>
        <v>Lantai Atap</v>
      </c>
      <c r="B11641">
        <f>B11634</f>
        <v>47</v>
      </c>
      <c r="C11641" t="str">
        <v>Tul Atas Tumpuan</v>
      </c>
      <c r="D11641">
        <f>VLOOKUP(D11634,'Detail Balok'!$C$10:$AU$110,4,FALSE)</f>
        <v>2</v>
      </c>
      <c r="E11641" t="str">
        <v>D</v>
      </c>
      <c r="F11641">
        <f>VLOOKUP(D11634,'Detail Balok'!$C$10:$AU$110,6,FALSE)</f>
        <v>13</v>
      </c>
      <c r="I11641" t="str">
        <v>(</v>
      </c>
      <c r="J11641">
        <f>+D11636/4/1000</f>
        <v>0.675</v>
      </c>
      <c r="K11641" t="str">
        <v>+</v>
      </c>
      <c r="L11641">
        <f>MAX(VLOOKUP(F11641,N$6:P$15,3,FALSE)/1000,2/3*D11638/1000)+F$16*F11641/1000</f>
        <v>0.156</v>
      </c>
      <c r="M11641" t="str">
        <v>=</v>
      </c>
      <c r="N11641">
        <f>J11641+L11641</f>
        <v>0.8310000000000001</v>
      </c>
      <c r="O11641" t="str">
        <v>+</v>
      </c>
      <c r="P11641">
        <f>D11641-D11642</f>
        <v>0</v>
      </c>
      <c r="Q11641" t="str">
        <v>x</v>
      </c>
      <c r="R11641">
        <f>IF(P11641&gt;0,$F$18*F11641/1000,0)</f>
        <v>0</v>
      </c>
      <c r="S11641" t="str">
        <v>)</v>
      </c>
      <c r="T11641" t="str">
        <v>x</v>
      </c>
      <c r="U11641">
        <f>0.006165*F11641^2</f>
        <v>1.041885</v>
      </c>
      <c r="X11641" t="str">
        <v>x</v>
      </c>
      <c r="Y11641">
        <f>D11640</f>
        <v>1</v>
      </c>
      <c r="Z11641" t="str">
        <v>=</v>
      </c>
      <c r="AA11641">
        <f>IF(AA11644=0,(D11641*N11641+P11641*R11641)*U11641*Y11641,0)</f>
        <v>0</v>
      </c>
    </row>
    <row r="11642">
      <c r="A11642" t="str">
        <f>A11634</f>
        <v>Lantai Atap</v>
      </c>
      <c r="B11642">
        <f>B11634</f>
        <v>47</v>
      </c>
      <c r="C11642" t="str">
        <v>Tul Atas Lapangan</v>
      </c>
      <c r="D11642">
        <f>VLOOKUP(D11634,'Detail Balok'!$C$10:$AU$110,7,FALSE)</f>
        <v>2</v>
      </c>
      <c r="E11642" t="str">
        <v>D</v>
      </c>
      <c r="F11642">
        <f>VLOOKUP(D11634,'Detail Balok'!$C$10:$AU$110,9,FALSE)</f>
        <v>13</v>
      </c>
      <c r="I11642" t="str">
        <v>(</v>
      </c>
      <c r="J11642">
        <f>+D11636/2/1000</f>
        <v>1.35</v>
      </c>
      <c r="K11642" t="str">
        <v>+</v>
      </c>
      <c r="M11642" t="str">
        <v>=</v>
      </c>
      <c r="N11642">
        <f>J11642+L11642</f>
        <v>1.35</v>
      </c>
      <c r="O11642" t="str">
        <v>+</v>
      </c>
      <c r="P11642">
        <f>MAX(D11642-D11641,D11642-D11643)</f>
        <v>0</v>
      </c>
      <c r="Q11642" t="str">
        <v>x</v>
      </c>
      <c r="R11642">
        <f>IF(P11642&gt;0,2*(1-2*$F$19-1/2)*D11637/1000,0)</f>
        <v>0</v>
      </c>
      <c r="S11642" t="str">
        <v>)</v>
      </c>
      <c r="T11642" t="str">
        <v>x</v>
      </c>
      <c r="U11642">
        <f>0.006165*F11642^2</f>
        <v>1.041885</v>
      </c>
      <c r="X11642" t="str">
        <v>x</v>
      </c>
      <c r="Y11642">
        <f>D11640</f>
        <v>1</v>
      </c>
      <c r="Z11642" t="str">
        <v>=</v>
      </c>
      <c r="AA11642">
        <f>IF(AA11644=0,(D11642*N11642+P11642*R11642)*U11642*Y11642,0)</f>
        <v>0</v>
      </c>
    </row>
    <row r="11643">
      <c r="A11643" t="str">
        <f>A11634</f>
        <v>Lantai Atap</v>
      </c>
      <c r="B11643">
        <f>B11634</f>
        <v>47</v>
      </c>
      <c r="C11643" t="str">
        <v>Tul Atas Tumpuan</v>
      </c>
      <c r="D11643">
        <f>VLOOKUP(D11634,'Detail Balok'!$C$10:$AU$110,10,FALSE)</f>
        <v>2</v>
      </c>
      <c r="E11643" t="str">
        <v>D</v>
      </c>
      <c r="F11643">
        <f>VLOOKUP(D11634,'Detail Balok'!$C$10:$AU$110,12,FALSE)</f>
        <v>13</v>
      </c>
      <c r="I11643" t="str">
        <v>(</v>
      </c>
      <c r="J11643">
        <f>+D11636/4/1000</f>
        <v>0.675</v>
      </c>
      <c r="K11643" t="str">
        <v>+</v>
      </c>
      <c r="L11643">
        <f>MAX(VLOOKUP(F11643,N$6:P$15,3,FALSE)/1000,2/3*D11638/1000)+F$16*F11643/1000</f>
        <v>0.156</v>
      </c>
      <c r="M11643" t="str">
        <v>=</v>
      </c>
      <c r="N11643">
        <f>J11643+L11643</f>
        <v>0.8310000000000001</v>
      </c>
      <c r="O11643" t="str">
        <v>+</v>
      </c>
      <c r="P11643">
        <f>D11643-D11642</f>
        <v>0</v>
      </c>
      <c r="Q11643" t="str">
        <v>x</v>
      </c>
      <c r="R11643">
        <f>IF(P11643&gt;0,$F$18*F11643/1000,0)</f>
        <v>0</v>
      </c>
      <c r="S11643" t="str">
        <v>)</v>
      </c>
      <c r="T11643" t="str">
        <v>x</v>
      </c>
      <c r="U11643">
        <f>0.006165*F11643^2</f>
        <v>1.041885</v>
      </c>
      <c r="X11643" t="str">
        <v>x</v>
      </c>
      <c r="Y11643">
        <f>D11640</f>
        <v>1</v>
      </c>
      <c r="Z11643" t="str">
        <v>=</v>
      </c>
      <c r="AA11643">
        <f>IF(AA11644=0,(D11643*N11643+P11643*R11643)*U11643*Y11643,0)</f>
        <v>0</v>
      </c>
    </row>
    <row r="11644">
      <c r="A11644" t="str">
        <f>A11634</f>
        <v>Lantai Atap</v>
      </c>
      <c r="B11644">
        <f>B11634</f>
        <v>47</v>
      </c>
      <c r="D11644">
        <f>IF(AND(D11641=D11642,D11642=D11643,D11641=D11643),D11641,0)</f>
        <v>2</v>
      </c>
      <c r="E11644" t="str">
        <v>D</v>
      </c>
      <c r="F11644">
        <f>IF(AND(F11641=F11642,F11641=F11643,F11642=F11643),F11641,0)</f>
        <v>13</v>
      </c>
      <c r="L11644" t="str">
        <v>Total panjang per balok</v>
      </c>
      <c r="M11644" t="str">
        <v>=</v>
      </c>
      <c r="N11644">
        <f>IF(AND(D11641=D11642,D11641=D11643,D11642=D11643,F11641=F11642,F11641=F11643,F11642=F11643),SUM(N11641:N11643),0)</f>
        <v>3.012</v>
      </c>
      <c r="O11644" t="str">
        <v>+</v>
      </c>
      <c r="P11644">
        <f>IF(N11644&gt;12,ROUNDDOWN(N11644/12,0),0)</f>
        <v>0</v>
      </c>
      <c r="Q11644" t="str">
        <v>x</v>
      </c>
      <c r="R11644">
        <f>IF(P11644&gt;0,MAX(VLOOKUP(F11644,$D$6:$G$15,3,FALSE),600),0)/1000</f>
        <v>0</v>
      </c>
      <c r="T11644" t="str">
        <v>x</v>
      </c>
      <c r="U11644">
        <f>U11643</f>
        <v>1.041885</v>
      </c>
      <c r="V11644" t="str">
        <v>x</v>
      </c>
      <c r="W11644">
        <f>D11644</f>
        <v>2</v>
      </c>
      <c r="X11644" t="str">
        <v>x</v>
      </c>
      <c r="Y11644">
        <f>Y11643</f>
        <v>1</v>
      </c>
      <c r="Z11644" t="str">
        <v>=</v>
      </c>
      <c r="AA11644">
        <f>(N11644+P11644*R11644/1000)*U11644*W11644*Y11644</f>
        <v>6.27631524</v>
      </c>
    </row>
    <row r="11646">
      <c r="A11646" t="str">
        <f>A11634</f>
        <v>Lantai Atap</v>
      </c>
      <c r="B11646">
        <f>B11634</f>
        <v>47</v>
      </c>
      <c r="C11646" t="str">
        <v>Tul Peminggang</v>
      </c>
      <c r="D11646">
        <f>VLOOKUP(D11634,'Detail Balok'!$C$10:$AU$110,13,FALSE)</f>
        <v>2</v>
      </c>
      <c r="E11646" t="str">
        <v>D</v>
      </c>
      <c r="F11646">
        <f>VLOOKUP(D11634,'Detail Balok'!$C$10:$AU$110,15,FALSE)</f>
        <v>8</v>
      </c>
      <c r="J11646">
        <f>+D11636/1000</f>
        <v>2.7</v>
      </c>
      <c r="K11646" t="str">
        <v>+</v>
      </c>
      <c r="L11646">
        <f>2*$F$16*F11646/1000</f>
        <v>0.192</v>
      </c>
      <c r="M11646" t="str">
        <v>=</v>
      </c>
      <c r="N11646">
        <f>J11646+L11646</f>
        <v>2.8920000000000003</v>
      </c>
      <c r="O11646" t="str">
        <v>+</v>
      </c>
      <c r="P11646">
        <f>IF(N11646&gt;12,ROUNDDOWN(N11646/12,0),0)</f>
        <v>0</v>
      </c>
      <c r="Q11646" t="str">
        <v>x</v>
      </c>
      <c r="R11646">
        <f>IF(P11646&gt;0,MAX(VLOOKUP(F11646,$D$6:$G$15,3,FALSE),600),0)/1000</f>
        <v>0</v>
      </c>
      <c r="T11646" t="str">
        <v>x</v>
      </c>
      <c r="U11646">
        <f>0.006165*F11646^2</f>
        <v>0.39456</v>
      </c>
      <c r="V11646" t="str">
        <v>x</v>
      </c>
      <c r="W11646">
        <f>+D11646</f>
        <v>2</v>
      </c>
      <c r="X11646" t="str">
        <v>x</v>
      </c>
      <c r="Y11646">
        <f>D11640</f>
        <v>1</v>
      </c>
      <c r="Z11646" t="str">
        <v>=</v>
      </c>
      <c r="AA11646">
        <f>(N11646+P11646*R11646/1000)*U11646*W11646*Y11646</f>
        <v>2.2821350400000004</v>
      </c>
    </row>
    <row r="11649">
      <c r="A11649" t="str">
        <f>A11634</f>
        <v>Lantai Atap</v>
      </c>
      <c r="B11649">
        <f>B11634</f>
        <v>47</v>
      </c>
      <c r="C11649" t="str">
        <v>Tul Bawah Tumpuan</v>
      </c>
      <c r="D11649">
        <f>VLOOKUP(D11634,'Detail Balok'!$C$10:$AU$110,22,FALSE)</f>
        <v>2</v>
      </c>
      <c r="E11649" t="str">
        <v>D</v>
      </c>
      <c r="F11649">
        <f>VLOOKUP(D11634,'Detail Balok'!$C$10:$AU$110,24,FALSE)</f>
        <v>13</v>
      </c>
      <c r="I11649" t="str">
        <v>(</v>
      </c>
      <c r="J11649">
        <f>+J11641</f>
        <v>0.675</v>
      </c>
      <c r="K11649" t="str">
        <v>+</v>
      </c>
      <c r="L11649">
        <f>MAX(VLOOKUP(F11649,N$6:P$15,3,FALSE)/1000,2/3*D11639/1000)+F$16*F11649/1000</f>
        <v>0.156</v>
      </c>
      <c r="M11649" t="str">
        <v>=</v>
      </c>
      <c r="N11649">
        <f>J11649+L11649</f>
        <v>0.8310000000000001</v>
      </c>
      <c r="O11649" t="str">
        <v>+</v>
      </c>
      <c r="P11649">
        <f>D11649-D11650</f>
        <v>0</v>
      </c>
      <c r="Q11649" t="str">
        <v>x</v>
      </c>
      <c r="R11649">
        <f>IF(P11649&gt;0,$F$18*F11649/1000,0)</f>
        <v>0</v>
      </c>
      <c r="S11649" t="str">
        <v>)</v>
      </c>
      <c r="T11649" t="str">
        <v>x</v>
      </c>
      <c r="U11649">
        <f>0.006165*F11649^2</f>
        <v>1.041885</v>
      </c>
      <c r="X11649" t="str">
        <v>x</v>
      </c>
      <c r="Y11649">
        <f>D11640</f>
        <v>1</v>
      </c>
      <c r="Z11649" t="str">
        <v>=</v>
      </c>
      <c r="AA11649">
        <f>IF(AA11652=0,(D11649*N11649+P11649*R11649)*U11649*Y11649,0)</f>
        <v>0</v>
      </c>
    </row>
    <row r="11650">
      <c r="A11650" t="str">
        <f>A11634</f>
        <v>Lantai Atap</v>
      </c>
      <c r="B11650">
        <f>B11634</f>
        <v>47</v>
      </c>
      <c r="C11650" t="str">
        <v>Tul Bawah Lapangan</v>
      </c>
      <c r="D11650">
        <f>VLOOKUP(D11634,'Detail Balok'!$C$10:$AU$110,25,FALSE)</f>
        <v>2</v>
      </c>
      <c r="E11650" t="str">
        <v>D</v>
      </c>
      <c r="F11650">
        <f>VLOOKUP(D11634,'Detail Balok'!$C$10:$AU$110,27,FALSE)</f>
        <v>13</v>
      </c>
      <c r="I11650" t="str">
        <v>(</v>
      </c>
      <c r="J11650">
        <f>+J11642</f>
        <v>1.35</v>
      </c>
      <c r="K11650" t="str">
        <v>+</v>
      </c>
      <c r="M11650" t="str">
        <v>=</v>
      </c>
      <c r="N11650">
        <f>J11650+L11650</f>
        <v>1.35</v>
      </c>
      <c r="O11650" t="str">
        <v>+</v>
      </c>
      <c r="P11650">
        <f>MAX(D11650-D11649,D11650-D11651)</f>
        <v>0</v>
      </c>
      <c r="Q11650" t="str">
        <v>x</v>
      </c>
      <c r="R11650">
        <f>IF(P11650&gt;0,2*(1-2*$F$19-1/2)*D11637/1000,0)</f>
        <v>0</v>
      </c>
      <c r="S11650" t="str">
        <v>)</v>
      </c>
      <c r="T11650" t="str">
        <v>x</v>
      </c>
      <c r="U11650">
        <f>0.006165*F11650^2</f>
        <v>1.041885</v>
      </c>
      <c r="X11650" t="str">
        <v>x</v>
      </c>
      <c r="Y11650">
        <f>D11640</f>
        <v>1</v>
      </c>
      <c r="Z11650" t="str">
        <v>=</v>
      </c>
      <c r="AA11650">
        <f>IF(AA11652=0,(D11650*N11650+P11650*R11650)*U11650*Y11650,0)</f>
        <v>0</v>
      </c>
    </row>
    <row r="11651">
      <c r="A11651" t="str">
        <f>A11634</f>
        <v>Lantai Atap</v>
      </c>
      <c r="B11651">
        <f>B11634</f>
        <v>47</v>
      </c>
      <c r="C11651" t="str">
        <v>Tul Bawah Tumpuan</v>
      </c>
      <c r="D11651">
        <f>VLOOKUP(D11634,'Detail Balok'!$C$10:$AU$110,28,FALSE)</f>
        <v>2</v>
      </c>
      <c r="E11651" t="str">
        <v>D</v>
      </c>
      <c r="F11651">
        <f>VLOOKUP(D11634,'Detail Balok'!$C$10:$AU$110,30,FALSE)</f>
        <v>13</v>
      </c>
      <c r="I11651" t="str">
        <v>(</v>
      </c>
      <c r="J11651">
        <f>+J11643</f>
        <v>0.675</v>
      </c>
      <c r="K11651" t="str">
        <v>+</v>
      </c>
      <c r="L11651">
        <f>MAX(VLOOKUP(F11651,N$6:P$15,3,FALSE)/1000,2/3*D11639/1000)+F$16*F11651/1000</f>
        <v>0.156</v>
      </c>
      <c r="M11651" t="str">
        <v>=</v>
      </c>
      <c r="N11651">
        <f>J11651+L11651</f>
        <v>0.8310000000000001</v>
      </c>
      <c r="O11651" t="str">
        <v>+</v>
      </c>
      <c r="P11651">
        <f>D11651-D11650</f>
        <v>0</v>
      </c>
      <c r="Q11651" t="str">
        <v>x</v>
      </c>
      <c r="R11651">
        <f>IF(P11651&gt;0,$F$18*F11651/1000,0)</f>
        <v>0</v>
      </c>
      <c r="S11651" t="str">
        <v>)</v>
      </c>
      <c r="T11651" t="str">
        <v>x</v>
      </c>
      <c r="U11651">
        <f>0.006165*F11651^2</f>
        <v>1.041885</v>
      </c>
      <c r="X11651" t="str">
        <v>x</v>
      </c>
      <c r="Y11651">
        <f>D11640</f>
        <v>1</v>
      </c>
      <c r="Z11651" t="str">
        <v>=</v>
      </c>
      <c r="AA11651">
        <f>IF(AA11652=0,(D11651*N11651+P11651*R11651)*U11651*Y11651,0)</f>
        <v>0</v>
      </c>
    </row>
    <row r="11652">
      <c r="A11652" t="str">
        <f>A11634</f>
        <v>Lantai Atap</v>
      </c>
      <c r="B11652">
        <f>B11634</f>
        <v>47</v>
      </c>
      <c r="D11652">
        <f>IF(AND(D11649=D11650,D11650=D11651,D11649=D11651),D11649,0)</f>
        <v>2</v>
      </c>
      <c r="E11652" t="str">
        <v>D</v>
      </c>
      <c r="F11652">
        <f>IF(AND(F11649=F11650,F11649=F11651,F11650=F11651),F11649,0)</f>
        <v>13</v>
      </c>
      <c r="L11652" t="str">
        <v>Total panjang per balok</v>
      </c>
      <c r="M11652" t="str">
        <v>=</v>
      </c>
      <c r="N11652">
        <f>IF(AND(D11649=D11650,D11649=D11651,D11650=D11651,F11649=F11650,F11649=F11651,F11650=F11651),SUM(N11649:N11651),0)</f>
        <v>3.012</v>
      </c>
      <c r="O11652" t="str">
        <v>+</v>
      </c>
      <c r="P11652">
        <f>IF(N11652&gt;12,ROUNDDOWN(N11652/12,0),0)</f>
        <v>0</v>
      </c>
      <c r="Q11652" t="str">
        <v>x</v>
      </c>
      <c r="R11652">
        <f>IF(P11652&gt;0,MAX(VLOOKUP(F11652,$D$6:$G$15,3,FALSE),600),0)/1000</f>
        <v>0</v>
      </c>
      <c r="T11652" t="str">
        <v>x</v>
      </c>
      <c r="U11652">
        <f>U11651</f>
        <v>1.041885</v>
      </c>
      <c r="V11652" t="str">
        <v>x</v>
      </c>
      <c r="W11652">
        <f>D11652</f>
        <v>2</v>
      </c>
      <c r="X11652" t="str">
        <v>x</v>
      </c>
      <c r="Y11652">
        <f>Y11651</f>
        <v>1</v>
      </c>
      <c r="Z11652" t="str">
        <v>=</v>
      </c>
      <c r="AA11652">
        <f>(N11652+P11652*R11652/1000)*U11652*W11652*Y11652</f>
        <v>6.27631524</v>
      </c>
    </row>
    <row r="11654">
      <c r="A11654" t="str">
        <f>A11634</f>
        <v>Lantai Atap</v>
      </c>
      <c r="B11654">
        <f>B11634</f>
        <v>47</v>
      </c>
      <c r="C11654" t="str">
        <v>Sengkang Tumpuan</v>
      </c>
      <c r="D11654">
        <f>VLOOKUP(D11634,'Detail Balok'!$C$10:$AU$110,31,FALSE)</f>
        <v>0</v>
      </c>
      <c r="E11654" t="str">
        <v>D</v>
      </c>
      <c r="F11654">
        <f>VLOOKUP(D11634,'Detail Balok'!$C$10:$AU$110,33,FALSE)</f>
        <v>8</v>
      </c>
      <c r="G11654" t="str">
        <v>-</v>
      </c>
      <c r="H11654">
        <f>VLOOKUP(D11634,'Detail Balok'!$C$10:$AU$110,35,FALSE)</f>
        <v>100</v>
      </c>
      <c r="J11654">
        <f>(IF(D11654=0,(2*(D11635+G11635))-(F$5*8),IF(D11654=3,(2*(D11635+G11635))-(F$5*8)+(G11635-2*F$5),IF(D11654=4,(2*(D11635+G11635))-(F$5*8)+2*(G11635-2*F$5)))))/1000</f>
        <v>0.98</v>
      </c>
      <c r="K11654" t="str">
        <v>+</v>
      </c>
      <c r="L11654">
        <f>IF(D11654=0,2*MAX(6*F11654,75),(D11654-1)*2*MAX(6*F11654,75))/1000</f>
        <v>0.15</v>
      </c>
      <c r="M11654" t="str">
        <v>=</v>
      </c>
      <c r="N11654">
        <f>J11654+L11654</f>
        <v>1.13</v>
      </c>
      <c r="T11654" t="str">
        <v>x</v>
      </c>
      <c r="U11654">
        <f>0.006165*F11654^2</f>
        <v>0.39456</v>
      </c>
      <c r="V11654" t="str">
        <v>x</v>
      </c>
      <c r="W11654">
        <f>IF(D11637&gt;4*G11635,ROUND(MAX(D11637/4,2*G11635)/H11654,0)+1,ROUND(D11637/H11654,0)+1)</f>
        <v>10</v>
      </c>
      <c r="X11654" t="str">
        <v>x</v>
      </c>
      <c r="Y11654">
        <f>D11640</f>
        <v>1</v>
      </c>
      <c r="Z11654" t="str">
        <v>=</v>
      </c>
      <c r="AA11654">
        <f>N11654*U11654*W11654*Y11654</f>
        <v>4.458528</v>
      </c>
    </row>
    <row r="11655">
      <c r="A11655" t="str">
        <f>A11634</f>
        <v>Lantai Atap</v>
      </c>
      <c r="B11655">
        <f>B11634</f>
        <v>47</v>
      </c>
      <c r="C11655" t="str">
        <v>Sengkang Lapangan</v>
      </c>
      <c r="D11655">
        <f>VLOOKUP(D11634,'Detail Balok'!$C$10:$AU$110,36,FALSE)</f>
        <v>0</v>
      </c>
      <c r="E11655" t="str">
        <v>D</v>
      </c>
      <c r="F11655">
        <f>VLOOKUP(D11634,'Detail Balok'!$C$10:$AU$110,38,FALSE)</f>
        <v>8</v>
      </c>
      <c r="G11655" t="str">
        <v>-</v>
      </c>
      <c r="H11655">
        <f>VLOOKUP(D11634,'Detail Balok'!$C$10:$AU$110,40,FALSE)</f>
        <v>200</v>
      </c>
      <c r="J11655">
        <f>(IF(D11655=0,(2*(D11635+G11635))-(F$5*8),IF(D11655=3,(2*(D11635+G11635))-(F$5*8)+(G11635-2*F$5),IF(D11655=4,(2*(D11635+G11635))-(F$5*8)+2*(G11635-2*F$5)))))/1000</f>
        <v>0.98</v>
      </c>
      <c r="K11655" t="str">
        <v>+</v>
      </c>
      <c r="L11655">
        <f>IF(D11655=0,2*MAX(6*F11655,75),(D11655-1)*2*MAX(6*F11655,75))/1000</f>
        <v>0.15</v>
      </c>
      <c r="M11655" t="str">
        <v>=</v>
      </c>
      <c r="N11655">
        <f>J11655+L11655</f>
        <v>1.13</v>
      </c>
      <c r="T11655" t="str">
        <v>x</v>
      </c>
      <c r="U11655">
        <f>0.006165*F11655^2</f>
        <v>0.39456</v>
      </c>
      <c r="V11655" t="str">
        <v>x</v>
      </c>
      <c r="W11655">
        <f>IF(D11637-MAX(D11637/4,2*G11635)*2&gt;0,ROUND((D11637-MAX(D11637/4,2*G11635)*2)/H11655,0),0)</f>
        <v>5</v>
      </c>
      <c r="X11655" t="str">
        <v>x</v>
      </c>
      <c r="Y11655">
        <f>D11640</f>
        <v>1</v>
      </c>
      <c r="Z11655" t="str">
        <v>=</v>
      </c>
      <c r="AA11655">
        <f>N11655*U11655*W11655*Y11655</f>
        <v>2.229264</v>
      </c>
    </row>
    <row r="11656">
      <c r="A11656" t="str">
        <f>A11634</f>
        <v>Lantai Atap</v>
      </c>
      <c r="B11656">
        <f>B11634</f>
        <v>47</v>
      </c>
      <c r="C11656" t="str">
        <v>Sengkang Tumpuan</v>
      </c>
      <c r="D11656">
        <f>VLOOKUP(D11634,'Detail Balok'!$C$10:$AU$110,41,FALSE)</f>
        <v>0</v>
      </c>
      <c r="E11656" t="str">
        <v>D</v>
      </c>
      <c r="F11656">
        <f>VLOOKUP(D11634,'Detail Balok'!$C$10:$AU$110,43,FALSE)</f>
        <v>8</v>
      </c>
      <c r="G11656" t="str">
        <v>-</v>
      </c>
      <c r="H11656">
        <f>VLOOKUP(D11634,'Detail Balok'!$C$10:$AU$110,45,FALSE)</f>
        <v>100</v>
      </c>
      <c r="J11656">
        <f>(IF(D11656=0,(2*(D11635+G11635))-(F$5*8),IF(D11656=3,(2*(D11635+G11635))-(F$5*8)+(G11635-2*F$5),IF(D11656=4,(2*(D11635+G11635))-(F$5*8)+2*(G11635-2*F$5)))))/1000</f>
        <v>0.98</v>
      </c>
      <c r="K11656" t="str">
        <v>+</v>
      </c>
      <c r="L11656">
        <f>IF(D11656=0,2*MAX(6*F11656,75),(D11656-1)*2*MAX(6*F11656,75))/1000</f>
        <v>0.15</v>
      </c>
      <c r="M11656" t="str">
        <v>=</v>
      </c>
      <c r="N11656">
        <f>J11656+L11656</f>
        <v>1.13</v>
      </c>
      <c r="T11656" t="str">
        <v>x</v>
      </c>
      <c r="U11656">
        <f>0.006165*F11656^2</f>
        <v>0.39456</v>
      </c>
      <c r="V11656" t="str">
        <v>x</v>
      </c>
      <c r="W11656">
        <f>IF(D11637&gt;4*G11635,ROUND(MAX(D11637/4,2*G11635)/H11656,0)+1,0)</f>
        <v>10</v>
      </c>
      <c r="X11656" t="str">
        <v>x</v>
      </c>
      <c r="Y11656">
        <f>D11640</f>
        <v>1</v>
      </c>
      <c r="Z11656" t="str">
        <v>=</v>
      </c>
      <c r="AA11656">
        <f>N11656*U11656*W11656*Y11656</f>
        <v>4.458528</v>
      </c>
    </row>
    <row r="11658">
      <c r="A11658" t="str">
        <f>A11634</f>
        <v>Lantai Atap</v>
      </c>
      <c r="B11658">
        <f>B11634</f>
        <v>47</v>
      </c>
      <c r="C11658" t="str">
        <v>Kait Horizontal Tump.</v>
      </c>
      <c r="D11658">
        <f>VLOOKUP(D11634,'Detail Balok'!$C$10:$BJ$110,46,FALSE)</f>
        <v>0</v>
      </c>
      <c r="E11658" t="str">
        <v>D</v>
      </c>
      <c r="F11658">
        <f>VLOOKUP(D11634,'Detail Balok'!$C$10:$BJ$110,48,FALSE)</f>
        <v>0</v>
      </c>
      <c r="G11658" t="str">
        <v>-</v>
      </c>
      <c r="H11658">
        <f>VLOOKUP(D11634,'Detail Balok'!$C$10:$BJ$110,50,FALSE)</f>
        <v>100</v>
      </c>
      <c r="J11658">
        <f>(D11635-2*F$5)/1000</f>
        <v>0.12</v>
      </c>
      <c r="K11658" t="str">
        <v>+</v>
      </c>
      <c r="L11658">
        <f>IF(D11658=0,2*MAX(6*F11658,75),(D11658-1)*2*MAX(6*F11658,75))/1000</f>
        <v>0.15</v>
      </c>
      <c r="M11658" t="str">
        <v>=</v>
      </c>
      <c r="N11658">
        <f>J11658+L11658</f>
        <v>0.27</v>
      </c>
      <c r="T11658" t="str">
        <v>x</v>
      </c>
      <c r="U11658">
        <f>0.006165*F11658^2</f>
        <v>0</v>
      </c>
      <c r="V11658" t="str">
        <v>x</v>
      </c>
      <c r="W11658">
        <f>W11654</f>
        <v>10</v>
      </c>
      <c r="X11658" t="str">
        <v>x</v>
      </c>
      <c r="Y11658">
        <f>D11644</f>
        <v>2</v>
      </c>
      <c r="Z11658" t="str">
        <v>=</v>
      </c>
      <c r="AA11658">
        <f>N11658*U11658*W11658*Y11658</f>
        <v>0</v>
      </c>
    </row>
    <row r="11659">
      <c r="A11659" t="str">
        <f>A11634</f>
        <v>Lantai Atap</v>
      </c>
      <c r="B11659">
        <f>B11634</f>
        <v>47</v>
      </c>
      <c r="C11659" t="str">
        <v>Kait Horizontal Lap.</v>
      </c>
      <c r="D11659">
        <f>VLOOKUP(D11634,'Detail Balok'!$C$10:$BJ$110,51,FALSE)</f>
        <v>0</v>
      </c>
      <c r="E11659" t="str">
        <v>D</v>
      </c>
      <c r="F11659">
        <f>VLOOKUP(D11634,'Detail Balok'!$C$10:$BJ$110,53,FALSE)</f>
        <v>0</v>
      </c>
      <c r="G11659" t="str">
        <v>-</v>
      </c>
      <c r="H11659">
        <f>VLOOKUP(D11634,'Detail Balok'!$C$10:$BJ$110,55,FALSE)</f>
        <v>100</v>
      </c>
      <c r="J11659">
        <f>(D11635-2*F$5)/1000</f>
        <v>0.12</v>
      </c>
      <c r="K11659" t="str">
        <v>+</v>
      </c>
      <c r="L11659">
        <f>IF(D11659=0,2*MAX(6*F11659,75),(D11659-1)*2*MAX(6*F11659,75))/1000</f>
        <v>0.15</v>
      </c>
      <c r="M11659" t="str">
        <v>=</v>
      </c>
      <c r="N11659">
        <f>J11659+L11659</f>
        <v>0.27</v>
      </c>
      <c r="T11659" t="str">
        <v>x</v>
      </c>
      <c r="U11659">
        <f>0.006165*F11659^2</f>
        <v>0</v>
      </c>
      <c r="V11659" t="str">
        <v>x</v>
      </c>
      <c r="W11659">
        <f>W11655</f>
        <v>5</v>
      </c>
      <c r="X11659" t="str">
        <v>x</v>
      </c>
      <c r="Y11659">
        <f>D11644</f>
        <v>2</v>
      </c>
      <c r="Z11659" t="str">
        <v>=</v>
      </c>
      <c r="AA11659">
        <f>N11659*U11659*W11659*Y11659</f>
        <v>0</v>
      </c>
    </row>
    <row r="11660">
      <c r="A11660" t="str">
        <f>A11634</f>
        <v>Lantai Atap</v>
      </c>
      <c r="B11660">
        <f>B11634</f>
        <v>47</v>
      </c>
      <c r="C11660" t="str">
        <v>Kait Horizontal Tump.</v>
      </c>
      <c r="D11660">
        <f>VLOOKUP(D11634,'Detail Balok'!$C$10:$BJ$110,56,FALSE)</f>
        <v>0</v>
      </c>
      <c r="E11660" t="str">
        <v>D</v>
      </c>
      <c r="F11660">
        <f>VLOOKUP(D11634,'Detail Balok'!$C$10:$BJ$110,58,FALSE)</f>
        <v>0</v>
      </c>
      <c r="G11660" t="str">
        <v>-</v>
      </c>
      <c r="H11660">
        <f>VLOOKUP(D11634,'Detail Balok'!$C$10:$BJ$110,60,FALSE)</f>
        <v>100</v>
      </c>
      <c r="J11660">
        <f>(D11635-2*F$5)/1000</f>
        <v>0.12</v>
      </c>
      <c r="K11660" t="str">
        <v>+</v>
      </c>
      <c r="L11660">
        <f>IF(D11660=0,2*MAX(6*F11660,75),(D11660-1)*2*MAX(6*F11660,75))/1000</f>
        <v>0.15</v>
      </c>
      <c r="M11660" t="str">
        <v>=</v>
      </c>
      <c r="N11660">
        <f>J11660+L11660</f>
        <v>0.27</v>
      </c>
      <c r="T11660" t="str">
        <v>x</v>
      </c>
      <c r="U11660">
        <f>0.006165*F11660^2</f>
        <v>0</v>
      </c>
      <c r="V11660" t="str">
        <v>x</v>
      </c>
      <c r="W11660">
        <f>W11656</f>
        <v>10</v>
      </c>
      <c r="X11660" t="str">
        <v>x</v>
      </c>
      <c r="Y11660">
        <f>D11644</f>
        <v>2</v>
      </c>
      <c r="Z11660" t="str">
        <v>=</v>
      </c>
      <c r="AA11660">
        <f>N11660*U11660*W11660*Y11660</f>
        <v>0</v>
      </c>
    </row>
    <row r="11664">
      <c r="A11664" t="str">
        <f>A11634</f>
        <v>Lantai Atap</v>
      </c>
      <c r="B11664">
        <f>B11634+1</f>
        <v>48</v>
      </c>
      <c r="C11664" t="str">
        <f>CONCATENATE(A11664," no. ",B11664)</f>
        <v>Lantai Atap no. 48</v>
      </c>
      <c r="D11664" t="str">
        <f>VLOOKUP(C11664,'Data Panjang Balok'!$C$9:$N$424,2,FALSE)</f>
        <v>B24-1</v>
      </c>
    </row>
    <row r="11665">
      <c r="C11665" t="str">
        <v>Dimensi</v>
      </c>
      <c r="D11665">
        <f>VLOOKUP(D11664,'Detail Balok'!$C$10:$AU$110,2,FALSE)</f>
        <v>200</v>
      </c>
      <c r="F11665" t="str">
        <v>x</v>
      </c>
      <c r="G11665">
        <f>VLOOKUP(D11664,'Detail Balok'!$C$10:$AU$110,3,FALSE)</f>
        <v>400</v>
      </c>
    </row>
    <row r="11666">
      <c r="C11666" t="str">
        <v>Panjang as ke as</v>
      </c>
      <c r="D11666">
        <f>VLOOKUP(C11664,'Data Panjang Balok'!$C$9:$N$424,4,FALSE)</f>
        <v>2000</v>
      </c>
    </row>
    <row r="11667">
      <c r="C11667" t="str">
        <v>Panjang netto</v>
      </c>
      <c r="D11667">
        <f>VLOOKUP(C11664,'Data Panjang Balok'!$C$9:$N$424,7,FALSE)</f>
        <v>2000</v>
      </c>
    </row>
    <row r="11668">
      <c r="C11668" t="str">
        <v>Kolom / balok kiri</v>
      </c>
      <c r="D11668">
        <f>VLOOKUP(C11664,'Data Panjang Balok'!$C$9:$N$424,9,FALSE)</f>
        <v>0</v>
      </c>
    </row>
    <row r="11669">
      <c r="C11669" t="str">
        <v>Kolom / balok kanan</v>
      </c>
      <c r="D11669">
        <f>VLOOKUP(C11664,'Data Panjang Balok'!$C$9:$N$424,10,FALSE)</f>
        <v>0</v>
      </c>
    </row>
    <row r="11670">
      <c r="C11670" t="str">
        <v>Jumlah</v>
      </c>
      <c r="D11670">
        <f>VLOOKUP(C11664,'Data Panjang Balok'!$C$9:$N$424,3,FALSE)</f>
        <v>1</v>
      </c>
    </row>
    <row r="11671">
      <c r="A11671" t="str">
        <f>A11664</f>
        <v>Lantai Atap</v>
      </c>
      <c r="B11671">
        <f>B11664</f>
        <v>48</v>
      </c>
      <c r="C11671" t="str">
        <v>Tul Atas Tumpuan</v>
      </c>
      <c r="D11671">
        <f>VLOOKUP(D11664,'Detail Balok'!$C$10:$AU$110,4,FALSE)</f>
        <v>2</v>
      </c>
      <c r="E11671" t="str">
        <v>D</v>
      </c>
      <c r="F11671">
        <f>VLOOKUP(D11664,'Detail Balok'!$C$10:$AU$110,6,FALSE)</f>
        <v>13</v>
      </c>
      <c r="I11671" t="str">
        <v>(</v>
      </c>
      <c r="J11671">
        <f>+D11666/4/1000</f>
        <v>0.5</v>
      </c>
      <c r="K11671" t="str">
        <v>+</v>
      </c>
      <c r="L11671">
        <f>MAX(VLOOKUP(F11671,N$6:P$15,3,FALSE)/1000,2/3*D11668/1000)+F$16*F11671/1000</f>
        <v>0.156</v>
      </c>
      <c r="M11671" t="str">
        <v>=</v>
      </c>
      <c r="N11671">
        <f>J11671+L11671</f>
        <v>0.656</v>
      </c>
      <c r="O11671" t="str">
        <v>+</v>
      </c>
      <c r="P11671">
        <f>D11671-D11672</f>
        <v>0</v>
      </c>
      <c r="Q11671" t="str">
        <v>x</v>
      </c>
      <c r="R11671">
        <f>IF(P11671&gt;0,$F$18*F11671/1000,0)</f>
        <v>0</v>
      </c>
      <c r="S11671" t="str">
        <v>)</v>
      </c>
      <c r="T11671" t="str">
        <v>x</v>
      </c>
      <c r="U11671">
        <f>0.006165*F11671^2</f>
        <v>1.041885</v>
      </c>
      <c r="X11671" t="str">
        <v>x</v>
      </c>
      <c r="Y11671">
        <f>D11670</f>
        <v>1</v>
      </c>
      <c r="Z11671" t="str">
        <v>=</v>
      </c>
      <c r="AA11671">
        <f>IF(AA11674=0,(D11671*N11671+P11671*R11671)*U11671*Y11671,0)</f>
        <v>0</v>
      </c>
    </row>
    <row r="11672">
      <c r="A11672" t="str">
        <f>A11664</f>
        <v>Lantai Atap</v>
      </c>
      <c r="B11672">
        <f>B11664</f>
        <v>48</v>
      </c>
      <c r="C11672" t="str">
        <v>Tul Atas Lapangan</v>
      </c>
      <c r="D11672">
        <f>VLOOKUP(D11664,'Detail Balok'!$C$10:$AU$110,7,FALSE)</f>
        <v>2</v>
      </c>
      <c r="E11672" t="str">
        <v>D</v>
      </c>
      <c r="F11672">
        <f>VLOOKUP(D11664,'Detail Balok'!$C$10:$AU$110,9,FALSE)</f>
        <v>13</v>
      </c>
      <c r="I11672" t="str">
        <v>(</v>
      </c>
      <c r="J11672">
        <f>+D11666/2/1000</f>
        <v>1</v>
      </c>
      <c r="K11672" t="str">
        <v>+</v>
      </c>
      <c r="M11672" t="str">
        <v>=</v>
      </c>
      <c r="N11672">
        <f>J11672+L11672</f>
        <v>1</v>
      </c>
      <c r="O11672" t="str">
        <v>+</v>
      </c>
      <c r="P11672">
        <f>MAX(D11672-D11671,D11672-D11673)</f>
        <v>0</v>
      </c>
      <c r="Q11672" t="str">
        <v>x</v>
      </c>
      <c r="R11672">
        <f>IF(P11672&gt;0,2*(1-2*$F$19-1/2)*D11667/1000,0)</f>
        <v>0</v>
      </c>
      <c r="S11672" t="str">
        <v>)</v>
      </c>
      <c r="T11672" t="str">
        <v>x</v>
      </c>
      <c r="U11672">
        <f>0.006165*F11672^2</f>
        <v>1.041885</v>
      </c>
      <c r="X11672" t="str">
        <v>x</v>
      </c>
      <c r="Y11672">
        <f>D11670</f>
        <v>1</v>
      </c>
      <c r="Z11672" t="str">
        <v>=</v>
      </c>
      <c r="AA11672">
        <f>IF(AA11674=0,(D11672*N11672+P11672*R11672)*U11672*Y11672,0)</f>
        <v>0</v>
      </c>
    </row>
    <row r="11673">
      <c r="A11673" t="str">
        <f>A11664</f>
        <v>Lantai Atap</v>
      </c>
      <c r="B11673">
        <f>B11664</f>
        <v>48</v>
      </c>
      <c r="C11673" t="str">
        <v>Tul Atas Tumpuan</v>
      </c>
      <c r="D11673">
        <f>VLOOKUP(D11664,'Detail Balok'!$C$10:$AU$110,10,FALSE)</f>
        <v>2</v>
      </c>
      <c r="E11673" t="str">
        <v>D</v>
      </c>
      <c r="F11673">
        <f>VLOOKUP(D11664,'Detail Balok'!$C$10:$AU$110,12,FALSE)</f>
        <v>13</v>
      </c>
      <c r="I11673" t="str">
        <v>(</v>
      </c>
      <c r="J11673">
        <f>+D11666/4/1000</f>
        <v>0.5</v>
      </c>
      <c r="K11673" t="str">
        <v>+</v>
      </c>
      <c r="L11673">
        <f>MAX(VLOOKUP(F11673,N$6:P$15,3,FALSE)/1000,2/3*D11668/1000)+F$16*F11673/1000</f>
        <v>0.156</v>
      </c>
      <c r="M11673" t="str">
        <v>=</v>
      </c>
      <c r="N11673">
        <f>J11673+L11673</f>
        <v>0.656</v>
      </c>
      <c r="O11673" t="str">
        <v>+</v>
      </c>
      <c r="P11673">
        <f>D11673-D11672</f>
        <v>0</v>
      </c>
      <c r="Q11673" t="str">
        <v>x</v>
      </c>
      <c r="R11673">
        <f>IF(P11673&gt;0,$F$18*F11673/1000,0)</f>
        <v>0</v>
      </c>
      <c r="S11673" t="str">
        <v>)</v>
      </c>
      <c r="T11673" t="str">
        <v>x</v>
      </c>
      <c r="U11673">
        <f>0.006165*F11673^2</f>
        <v>1.041885</v>
      </c>
      <c r="X11673" t="str">
        <v>x</v>
      </c>
      <c r="Y11673">
        <f>D11670</f>
        <v>1</v>
      </c>
      <c r="Z11673" t="str">
        <v>=</v>
      </c>
      <c r="AA11673">
        <f>IF(AA11674=0,(D11673*N11673+P11673*R11673)*U11673*Y11673,0)</f>
        <v>0</v>
      </c>
    </row>
    <row r="11674">
      <c r="A11674" t="str">
        <f>A11664</f>
        <v>Lantai Atap</v>
      </c>
      <c r="B11674">
        <f>B11664</f>
        <v>48</v>
      </c>
      <c r="D11674">
        <f>IF(AND(D11671=D11672,D11672=D11673,D11671=D11673),D11671,0)</f>
        <v>2</v>
      </c>
      <c r="E11674" t="str">
        <v>D</v>
      </c>
      <c r="F11674">
        <f>IF(AND(F11671=F11672,F11671=F11673,F11672=F11673),F11671,0)</f>
        <v>13</v>
      </c>
      <c r="L11674" t="str">
        <v>Total panjang per balok</v>
      </c>
      <c r="M11674" t="str">
        <v>=</v>
      </c>
      <c r="N11674">
        <f>IF(AND(D11671=D11672,D11671=D11673,D11672=D11673,F11671=F11672,F11671=F11673,F11672=F11673),SUM(N11671:N11673),0)</f>
        <v>2.3120000000000003</v>
      </c>
      <c r="O11674" t="str">
        <v>+</v>
      </c>
      <c r="P11674">
        <f>IF(N11674&gt;12,ROUNDDOWN(N11674/12,0),0)</f>
        <v>0</v>
      </c>
      <c r="Q11674" t="str">
        <v>x</v>
      </c>
      <c r="R11674">
        <f>IF(P11674&gt;0,MAX(VLOOKUP(F11674,$D$6:$G$15,3,FALSE),600),0)/1000</f>
        <v>0</v>
      </c>
      <c r="T11674" t="str">
        <v>x</v>
      </c>
      <c r="U11674">
        <f>U11673</f>
        <v>1.041885</v>
      </c>
      <c r="V11674" t="str">
        <v>x</v>
      </c>
      <c r="W11674">
        <f>D11674</f>
        <v>2</v>
      </c>
      <c r="X11674" t="str">
        <v>x</v>
      </c>
      <c r="Y11674">
        <f>Y11673</f>
        <v>1</v>
      </c>
      <c r="Z11674" t="str">
        <v>=</v>
      </c>
      <c r="AA11674">
        <f>(N11674+P11674*R11674/1000)*U11674*W11674*Y11674</f>
        <v>4.81767624</v>
      </c>
    </row>
    <row r="11676">
      <c r="A11676" t="str">
        <f>A11664</f>
        <v>Lantai Atap</v>
      </c>
      <c r="B11676">
        <f>B11664</f>
        <v>48</v>
      </c>
      <c r="C11676" t="str">
        <v>Tul Peminggang</v>
      </c>
      <c r="D11676">
        <f>VLOOKUP(D11664,'Detail Balok'!$C$10:$AU$110,13,FALSE)</f>
        <v>0</v>
      </c>
      <c r="E11676" t="str">
        <v>D</v>
      </c>
      <c r="F11676">
        <f>VLOOKUP(D11664,'Detail Balok'!$C$10:$AU$110,15,FALSE)</f>
        <v>6</v>
      </c>
      <c r="J11676">
        <f>+D11666/1000</f>
        <v>2</v>
      </c>
      <c r="K11676" t="str">
        <v>+</v>
      </c>
      <c r="L11676">
        <f>2*$F$16*F11676/1000</f>
        <v>0.144</v>
      </c>
      <c r="M11676" t="str">
        <v>=</v>
      </c>
      <c r="N11676">
        <f>J11676+L11676</f>
        <v>2.144</v>
      </c>
      <c r="O11676" t="str">
        <v>+</v>
      </c>
      <c r="P11676">
        <f>IF(N11676&gt;12,ROUNDDOWN(N11676/12,0),0)</f>
        <v>0</v>
      </c>
      <c r="Q11676" t="str">
        <v>x</v>
      </c>
      <c r="R11676">
        <f>IF(P11676&gt;0,MAX(VLOOKUP(F11676,$D$6:$G$15,3,FALSE),600),0)/1000</f>
        <v>0</v>
      </c>
      <c r="T11676" t="str">
        <v>x</v>
      </c>
      <c r="U11676">
        <f>0.006165*F11676^2</f>
        <v>0.22194000000000003</v>
      </c>
      <c r="V11676" t="str">
        <v>x</v>
      </c>
      <c r="W11676">
        <f>+D11676</f>
        <v>0</v>
      </c>
      <c r="X11676" t="str">
        <v>x</v>
      </c>
      <c r="Y11676">
        <f>D11670</f>
        <v>1</v>
      </c>
      <c r="Z11676" t="str">
        <v>=</v>
      </c>
      <c r="AA11676">
        <f>(N11676+P11676*R11676/1000)*U11676*W11676*Y11676</f>
        <v>0</v>
      </c>
    </row>
    <row r="11679">
      <c r="A11679" t="str">
        <f>A11664</f>
        <v>Lantai Atap</v>
      </c>
      <c r="B11679">
        <f>B11664</f>
        <v>48</v>
      </c>
      <c r="C11679" t="str">
        <v>Tul Bawah Tumpuan</v>
      </c>
      <c r="D11679">
        <f>VLOOKUP(D11664,'Detail Balok'!$C$10:$AU$110,22,FALSE)</f>
        <v>2</v>
      </c>
      <c r="E11679" t="str">
        <v>D</v>
      </c>
      <c r="F11679">
        <f>VLOOKUP(D11664,'Detail Balok'!$C$10:$AU$110,24,FALSE)</f>
        <v>13</v>
      </c>
      <c r="I11679" t="str">
        <v>(</v>
      </c>
      <c r="J11679">
        <f>+J11671</f>
        <v>0.5</v>
      </c>
      <c r="K11679" t="str">
        <v>+</v>
      </c>
      <c r="L11679">
        <f>MAX(VLOOKUP(F11679,N$6:P$15,3,FALSE)/1000,2/3*D11669/1000)+F$16*F11679/1000</f>
        <v>0.156</v>
      </c>
      <c r="M11679" t="str">
        <v>=</v>
      </c>
      <c r="N11679">
        <f>J11679+L11679</f>
        <v>0.656</v>
      </c>
      <c r="O11679" t="str">
        <v>+</v>
      </c>
      <c r="P11679">
        <f>D11679-D11680</f>
        <v>0</v>
      </c>
      <c r="Q11679" t="str">
        <v>x</v>
      </c>
      <c r="R11679">
        <f>IF(P11679&gt;0,$F$18*F11679/1000,0)</f>
        <v>0</v>
      </c>
      <c r="S11679" t="str">
        <v>)</v>
      </c>
      <c r="T11679" t="str">
        <v>x</v>
      </c>
      <c r="U11679">
        <f>0.006165*F11679^2</f>
        <v>1.041885</v>
      </c>
      <c r="X11679" t="str">
        <v>x</v>
      </c>
      <c r="Y11679">
        <f>D11670</f>
        <v>1</v>
      </c>
      <c r="Z11679" t="str">
        <v>=</v>
      </c>
      <c r="AA11679">
        <f>IF(AA11682=0,(D11679*N11679+P11679*R11679)*U11679*Y11679,0)</f>
        <v>0</v>
      </c>
    </row>
    <row r="11680">
      <c r="A11680" t="str">
        <f>A11664</f>
        <v>Lantai Atap</v>
      </c>
      <c r="B11680">
        <f>B11664</f>
        <v>48</v>
      </c>
      <c r="C11680" t="str">
        <v>Tul Bawah Lapangan</v>
      </c>
      <c r="D11680">
        <f>VLOOKUP(D11664,'Detail Balok'!$C$10:$AU$110,25,FALSE)</f>
        <v>2</v>
      </c>
      <c r="E11680" t="str">
        <v>D</v>
      </c>
      <c r="F11680">
        <f>VLOOKUP(D11664,'Detail Balok'!$C$10:$AU$110,27,FALSE)</f>
        <v>13</v>
      </c>
      <c r="I11680" t="str">
        <v>(</v>
      </c>
      <c r="J11680">
        <f>+J11672</f>
        <v>1</v>
      </c>
      <c r="K11680" t="str">
        <v>+</v>
      </c>
      <c r="M11680" t="str">
        <v>=</v>
      </c>
      <c r="N11680">
        <f>J11680+L11680</f>
        <v>1</v>
      </c>
      <c r="O11680" t="str">
        <v>+</v>
      </c>
      <c r="P11680">
        <f>MAX(D11680-D11679,D11680-D11681)</f>
        <v>0</v>
      </c>
      <c r="Q11680" t="str">
        <v>x</v>
      </c>
      <c r="R11680">
        <f>IF(P11680&gt;0,2*(1-2*$F$19-1/2)*D11667/1000,0)</f>
        <v>0</v>
      </c>
      <c r="S11680" t="str">
        <v>)</v>
      </c>
      <c r="T11680" t="str">
        <v>x</v>
      </c>
      <c r="U11680">
        <f>0.006165*F11680^2</f>
        <v>1.041885</v>
      </c>
      <c r="X11680" t="str">
        <v>x</v>
      </c>
      <c r="Y11680">
        <f>D11670</f>
        <v>1</v>
      </c>
      <c r="Z11680" t="str">
        <v>=</v>
      </c>
      <c r="AA11680">
        <f>IF(AA11682=0,(D11680*N11680+P11680*R11680)*U11680*Y11680,0)</f>
        <v>0</v>
      </c>
    </row>
    <row r="11681">
      <c r="A11681" t="str">
        <f>A11664</f>
        <v>Lantai Atap</v>
      </c>
      <c r="B11681">
        <f>B11664</f>
        <v>48</v>
      </c>
      <c r="C11681" t="str">
        <v>Tul Bawah Tumpuan</v>
      </c>
      <c r="D11681">
        <f>VLOOKUP(D11664,'Detail Balok'!$C$10:$AU$110,28,FALSE)</f>
        <v>2</v>
      </c>
      <c r="E11681" t="str">
        <v>D</v>
      </c>
      <c r="F11681">
        <f>VLOOKUP(D11664,'Detail Balok'!$C$10:$AU$110,30,FALSE)</f>
        <v>13</v>
      </c>
      <c r="I11681" t="str">
        <v>(</v>
      </c>
      <c r="J11681">
        <f>+J11673</f>
        <v>0.5</v>
      </c>
      <c r="K11681" t="str">
        <v>+</v>
      </c>
      <c r="L11681">
        <f>MAX(VLOOKUP(F11681,N$6:P$15,3,FALSE)/1000,2/3*D11669/1000)+F$16*F11681/1000</f>
        <v>0.156</v>
      </c>
      <c r="M11681" t="str">
        <v>=</v>
      </c>
      <c r="N11681">
        <f>J11681+L11681</f>
        <v>0.656</v>
      </c>
      <c r="O11681" t="str">
        <v>+</v>
      </c>
      <c r="P11681">
        <f>D11681-D11680</f>
        <v>0</v>
      </c>
      <c r="Q11681" t="str">
        <v>x</v>
      </c>
      <c r="R11681">
        <f>IF(P11681&gt;0,$F$18*F11681/1000,0)</f>
        <v>0</v>
      </c>
      <c r="S11681" t="str">
        <v>)</v>
      </c>
      <c r="T11681" t="str">
        <v>x</v>
      </c>
      <c r="U11681">
        <f>0.006165*F11681^2</f>
        <v>1.041885</v>
      </c>
      <c r="X11681" t="str">
        <v>x</v>
      </c>
      <c r="Y11681">
        <f>D11670</f>
        <v>1</v>
      </c>
      <c r="Z11681" t="str">
        <v>=</v>
      </c>
      <c r="AA11681">
        <f>IF(AA11682=0,(D11681*N11681+P11681*R11681)*U11681*Y11681,0)</f>
        <v>0</v>
      </c>
    </row>
    <row r="11682">
      <c r="A11682" t="str">
        <f>A11664</f>
        <v>Lantai Atap</v>
      </c>
      <c r="B11682">
        <f>B11664</f>
        <v>48</v>
      </c>
      <c r="D11682">
        <f>IF(AND(D11679=D11680,D11680=D11681,D11679=D11681),D11679,0)</f>
        <v>2</v>
      </c>
      <c r="E11682" t="str">
        <v>D</v>
      </c>
      <c r="F11682">
        <f>IF(AND(F11679=F11680,F11679=F11681,F11680=F11681),F11679,0)</f>
        <v>13</v>
      </c>
      <c r="L11682" t="str">
        <v>Total panjang per balok</v>
      </c>
      <c r="M11682" t="str">
        <v>=</v>
      </c>
      <c r="N11682">
        <f>IF(AND(D11679=D11680,D11679=D11681,D11680=D11681,F11679=F11680,F11679=F11681,F11680=F11681),SUM(N11679:N11681),0)</f>
        <v>2.3120000000000003</v>
      </c>
      <c r="O11682" t="str">
        <v>+</v>
      </c>
      <c r="P11682">
        <f>IF(N11682&gt;12,ROUNDDOWN(N11682/12,0),0)</f>
        <v>0</v>
      </c>
      <c r="Q11682" t="str">
        <v>x</v>
      </c>
      <c r="R11682">
        <f>IF(P11682&gt;0,MAX(VLOOKUP(F11682,$D$6:$G$15,3,FALSE),600),0)/1000</f>
        <v>0</v>
      </c>
      <c r="T11682" t="str">
        <v>x</v>
      </c>
      <c r="U11682">
        <f>U11681</f>
        <v>1.041885</v>
      </c>
      <c r="V11682" t="str">
        <v>x</v>
      </c>
      <c r="W11682">
        <f>D11682</f>
        <v>2</v>
      </c>
      <c r="X11682" t="str">
        <v>x</v>
      </c>
      <c r="Y11682">
        <f>Y11681</f>
        <v>1</v>
      </c>
      <c r="Z11682" t="str">
        <v>=</v>
      </c>
      <c r="AA11682">
        <f>(N11682+P11682*R11682/1000)*U11682*W11682*Y11682</f>
        <v>4.81767624</v>
      </c>
    </row>
    <row r="11684">
      <c r="A11684" t="str">
        <f>A11664</f>
        <v>Lantai Atap</v>
      </c>
      <c r="B11684">
        <f>B11664</f>
        <v>48</v>
      </c>
      <c r="C11684" t="str">
        <v>Sengkang Tumpuan</v>
      </c>
      <c r="D11684">
        <f>VLOOKUP(D11664,'Detail Balok'!$C$10:$AU$110,31,FALSE)</f>
        <v>0</v>
      </c>
      <c r="E11684" t="str">
        <v>D</v>
      </c>
      <c r="F11684">
        <f>VLOOKUP(D11664,'Detail Balok'!$C$10:$AU$110,33,FALSE)</f>
        <v>8</v>
      </c>
      <c r="G11684" t="str">
        <v>-</v>
      </c>
      <c r="H11684">
        <f>VLOOKUP(D11664,'Detail Balok'!$C$10:$AU$110,35,FALSE)</f>
        <v>100</v>
      </c>
      <c r="J11684">
        <f>(IF(D11684=0,(2*(D11665+G11665))-(F$5*8),IF(D11684=3,(2*(D11665+G11665))-(F$5*8)+(G11665-2*F$5),IF(D11684=4,(2*(D11665+G11665))-(F$5*8)+2*(G11665-2*F$5)))))/1000</f>
        <v>0.88</v>
      </c>
      <c r="K11684" t="str">
        <v>+</v>
      </c>
      <c r="L11684">
        <f>IF(D11684=0,2*MAX(6*F11684,75),(D11684-1)*2*MAX(6*F11684,75))/1000</f>
        <v>0.15</v>
      </c>
      <c r="M11684" t="str">
        <v>=</v>
      </c>
      <c r="N11684">
        <f>J11684+L11684</f>
        <v>1.03</v>
      </c>
      <c r="T11684" t="str">
        <v>x</v>
      </c>
      <c r="U11684">
        <f>0.006165*F11684^2</f>
        <v>0.39456</v>
      </c>
      <c r="V11684" t="str">
        <v>x</v>
      </c>
      <c r="W11684">
        <f>IF(D11667&gt;4*G11665,ROUND(MAX(D11667/4,2*G11665)/H11684,0)+1,ROUND(D11667/H11684,0)+1)</f>
        <v>9</v>
      </c>
      <c r="X11684" t="str">
        <v>x</v>
      </c>
      <c r="Y11684">
        <f>D11670</f>
        <v>1</v>
      </c>
      <c r="Z11684" t="str">
        <v>=</v>
      </c>
      <c r="AA11684">
        <f>N11684*U11684*W11684*Y11684</f>
        <v>3.6575712000000005</v>
      </c>
    </row>
    <row r="11685">
      <c r="A11685" t="str">
        <f>A11664</f>
        <v>Lantai Atap</v>
      </c>
      <c r="B11685">
        <f>B11664</f>
        <v>48</v>
      </c>
      <c r="C11685" t="str">
        <v>Sengkang Lapangan</v>
      </c>
      <c r="D11685">
        <f>VLOOKUP(D11664,'Detail Balok'!$C$10:$AU$110,36,FALSE)</f>
        <v>0</v>
      </c>
      <c r="E11685" t="str">
        <v>D</v>
      </c>
      <c r="F11685">
        <f>VLOOKUP(D11664,'Detail Balok'!$C$10:$AU$110,38,FALSE)</f>
        <v>8</v>
      </c>
      <c r="G11685" t="str">
        <v>-</v>
      </c>
      <c r="H11685">
        <f>VLOOKUP(D11664,'Detail Balok'!$C$10:$AU$110,40,FALSE)</f>
        <v>200</v>
      </c>
      <c r="J11685">
        <f>(IF(D11685=0,(2*(D11665+G11665))-(F$5*8),IF(D11685=3,(2*(D11665+G11665))-(F$5*8)+(G11665-2*F$5),IF(D11685=4,(2*(D11665+G11665))-(F$5*8)+2*(G11665-2*F$5)))))/1000</f>
        <v>0.88</v>
      </c>
      <c r="K11685" t="str">
        <v>+</v>
      </c>
      <c r="L11685">
        <f>IF(D11685=0,2*MAX(6*F11685,75),(D11685-1)*2*MAX(6*F11685,75))/1000</f>
        <v>0.15</v>
      </c>
      <c r="M11685" t="str">
        <v>=</v>
      </c>
      <c r="N11685">
        <f>J11685+L11685</f>
        <v>1.03</v>
      </c>
      <c r="T11685" t="str">
        <v>x</v>
      </c>
      <c r="U11685">
        <f>0.006165*F11685^2</f>
        <v>0.39456</v>
      </c>
      <c r="V11685" t="str">
        <v>x</v>
      </c>
      <c r="W11685">
        <f>IF(D11667-MAX(D11667/4,2*G11665)*2&gt;0,ROUND((D11667-MAX(D11667/4,2*G11665)*2)/H11685,0),0)</f>
        <v>2</v>
      </c>
      <c r="X11685" t="str">
        <v>x</v>
      </c>
      <c r="Y11685">
        <f>D11670</f>
        <v>1</v>
      </c>
      <c r="Z11685" t="str">
        <v>=</v>
      </c>
      <c r="AA11685">
        <f>N11685*U11685*W11685*Y11685</f>
        <v>0.8127936000000001</v>
      </c>
    </row>
    <row r="11686">
      <c r="A11686" t="str">
        <f>A11664</f>
        <v>Lantai Atap</v>
      </c>
      <c r="B11686">
        <f>B11664</f>
        <v>48</v>
      </c>
      <c r="C11686" t="str">
        <v>Sengkang Tumpuan</v>
      </c>
      <c r="D11686">
        <f>VLOOKUP(D11664,'Detail Balok'!$C$10:$AU$110,41,FALSE)</f>
        <v>0</v>
      </c>
      <c r="E11686" t="str">
        <v>D</v>
      </c>
      <c r="F11686">
        <f>VLOOKUP(D11664,'Detail Balok'!$C$10:$AU$110,43,FALSE)</f>
        <v>8</v>
      </c>
      <c r="G11686" t="str">
        <v>-</v>
      </c>
      <c r="H11686">
        <f>VLOOKUP(D11664,'Detail Balok'!$C$10:$AU$110,45,FALSE)</f>
        <v>100</v>
      </c>
      <c r="J11686">
        <f>(IF(D11686=0,(2*(D11665+G11665))-(F$5*8),IF(D11686=3,(2*(D11665+G11665))-(F$5*8)+(G11665-2*F$5),IF(D11686=4,(2*(D11665+G11665))-(F$5*8)+2*(G11665-2*F$5)))))/1000</f>
        <v>0.88</v>
      </c>
      <c r="K11686" t="str">
        <v>+</v>
      </c>
      <c r="L11686">
        <f>IF(D11686=0,2*MAX(6*F11686,75),(D11686-1)*2*MAX(6*F11686,75))/1000</f>
        <v>0.15</v>
      </c>
      <c r="M11686" t="str">
        <v>=</v>
      </c>
      <c r="N11686">
        <f>J11686+L11686</f>
        <v>1.03</v>
      </c>
      <c r="T11686" t="str">
        <v>x</v>
      </c>
      <c r="U11686">
        <f>0.006165*F11686^2</f>
        <v>0.39456</v>
      </c>
      <c r="V11686" t="str">
        <v>x</v>
      </c>
      <c r="W11686">
        <f>IF(D11667&gt;4*G11665,ROUND(MAX(D11667/4,2*G11665)/H11686,0)+1,0)</f>
        <v>9</v>
      </c>
      <c r="X11686" t="str">
        <v>x</v>
      </c>
      <c r="Y11686">
        <f>D11670</f>
        <v>1</v>
      </c>
      <c r="Z11686" t="str">
        <v>=</v>
      </c>
      <c r="AA11686">
        <f>N11686*U11686*W11686*Y11686</f>
        <v>3.6575712000000005</v>
      </c>
    </row>
    <row r="11688">
      <c r="A11688" t="str">
        <f>A11664</f>
        <v>Lantai Atap</v>
      </c>
      <c r="B11688">
        <f>B11664</f>
        <v>48</v>
      </c>
      <c r="C11688" t="str">
        <v>Kait Horizontal Tump.</v>
      </c>
      <c r="D11688">
        <f>VLOOKUP(D11664,'Detail Balok'!$C$10:$BJ$110,46,FALSE)</f>
        <v>0</v>
      </c>
      <c r="E11688" t="str">
        <v>D</v>
      </c>
      <c r="F11688">
        <f>VLOOKUP(D11664,'Detail Balok'!$C$10:$BJ$110,48,FALSE)</f>
        <v>0</v>
      </c>
      <c r="G11688" t="str">
        <v>-</v>
      </c>
      <c r="H11688">
        <f>VLOOKUP(D11664,'Detail Balok'!$C$10:$BJ$110,50,FALSE)</f>
        <v>100</v>
      </c>
      <c r="J11688">
        <f>(D11665-2*F$5)/1000</f>
        <v>0.12</v>
      </c>
      <c r="K11688" t="str">
        <v>+</v>
      </c>
      <c r="L11688">
        <f>IF(D11688=0,2*MAX(6*F11688,75),(D11688-1)*2*MAX(6*F11688,75))/1000</f>
        <v>0.15</v>
      </c>
      <c r="M11688" t="str">
        <v>=</v>
      </c>
      <c r="N11688">
        <f>J11688+L11688</f>
        <v>0.27</v>
      </c>
      <c r="T11688" t="str">
        <v>x</v>
      </c>
      <c r="U11688">
        <f>0.006165*F11688^2</f>
        <v>0</v>
      </c>
      <c r="V11688" t="str">
        <v>x</v>
      </c>
      <c r="W11688">
        <f>W11684</f>
        <v>9</v>
      </c>
      <c r="X11688" t="str">
        <v>x</v>
      </c>
      <c r="Y11688">
        <f>D11674</f>
        <v>2</v>
      </c>
      <c r="Z11688" t="str">
        <v>=</v>
      </c>
      <c r="AA11688">
        <f>N11688*U11688*W11688*Y11688</f>
        <v>0</v>
      </c>
    </row>
    <row r="11689">
      <c r="A11689" t="str">
        <f>A11664</f>
        <v>Lantai Atap</v>
      </c>
      <c r="B11689">
        <f>B11664</f>
        <v>48</v>
      </c>
      <c r="C11689" t="str">
        <v>Kait Horizontal Lap.</v>
      </c>
      <c r="D11689">
        <f>VLOOKUP(D11664,'Detail Balok'!$C$10:$BJ$110,51,FALSE)</f>
        <v>0</v>
      </c>
      <c r="E11689" t="str">
        <v>D</v>
      </c>
      <c r="F11689">
        <f>VLOOKUP(D11664,'Detail Balok'!$C$10:$BJ$110,53,FALSE)</f>
        <v>0</v>
      </c>
      <c r="G11689" t="str">
        <v>-</v>
      </c>
      <c r="H11689">
        <f>VLOOKUP(D11664,'Detail Balok'!$C$10:$BJ$110,55,FALSE)</f>
        <v>100</v>
      </c>
      <c r="J11689">
        <f>(D11665-2*F$5)/1000</f>
        <v>0.12</v>
      </c>
      <c r="K11689" t="str">
        <v>+</v>
      </c>
      <c r="L11689">
        <f>IF(D11689=0,2*MAX(6*F11689,75),(D11689-1)*2*MAX(6*F11689,75))/1000</f>
        <v>0.15</v>
      </c>
      <c r="M11689" t="str">
        <v>=</v>
      </c>
      <c r="N11689">
        <f>J11689+L11689</f>
        <v>0.27</v>
      </c>
      <c r="T11689" t="str">
        <v>x</v>
      </c>
      <c r="U11689">
        <f>0.006165*F11689^2</f>
        <v>0</v>
      </c>
      <c r="V11689" t="str">
        <v>x</v>
      </c>
      <c r="W11689">
        <f>W11685</f>
        <v>2</v>
      </c>
      <c r="X11689" t="str">
        <v>x</v>
      </c>
      <c r="Y11689">
        <f>D11674</f>
        <v>2</v>
      </c>
      <c r="Z11689" t="str">
        <v>=</v>
      </c>
      <c r="AA11689">
        <f>N11689*U11689*W11689*Y11689</f>
        <v>0</v>
      </c>
    </row>
    <row r="11690">
      <c r="A11690" t="str">
        <f>A11664</f>
        <v>Lantai Atap</v>
      </c>
      <c r="B11690">
        <f>B11664</f>
        <v>48</v>
      </c>
      <c r="C11690" t="str">
        <v>Kait Horizontal Tump.</v>
      </c>
      <c r="D11690">
        <f>VLOOKUP(D11664,'Detail Balok'!$C$10:$BJ$110,56,FALSE)</f>
        <v>0</v>
      </c>
      <c r="E11690" t="str">
        <v>D</v>
      </c>
      <c r="F11690">
        <f>VLOOKUP(D11664,'Detail Balok'!$C$10:$BJ$110,58,FALSE)</f>
        <v>0</v>
      </c>
      <c r="G11690" t="str">
        <v>-</v>
      </c>
      <c r="H11690">
        <f>VLOOKUP(D11664,'Detail Balok'!$C$10:$BJ$110,60,FALSE)</f>
        <v>100</v>
      </c>
      <c r="J11690">
        <f>(D11665-2*F$5)/1000</f>
        <v>0.12</v>
      </c>
      <c r="K11690" t="str">
        <v>+</v>
      </c>
      <c r="L11690">
        <f>IF(D11690=0,2*MAX(6*F11690,75),(D11690-1)*2*MAX(6*F11690,75))/1000</f>
        <v>0.15</v>
      </c>
      <c r="M11690" t="str">
        <v>=</v>
      </c>
      <c r="N11690">
        <f>J11690+L11690</f>
        <v>0.27</v>
      </c>
      <c r="T11690" t="str">
        <v>x</v>
      </c>
      <c r="U11690">
        <f>0.006165*F11690^2</f>
        <v>0</v>
      </c>
      <c r="V11690" t="str">
        <v>x</v>
      </c>
      <c r="W11690">
        <f>W11686</f>
        <v>9</v>
      </c>
      <c r="X11690" t="str">
        <v>x</v>
      </c>
      <c r="Y11690">
        <f>D11674</f>
        <v>2</v>
      </c>
      <c r="Z11690" t="str">
        <v>=</v>
      </c>
      <c r="AA11690">
        <f>N11690*U11690*W11690*Y11690</f>
        <v>0</v>
      </c>
    </row>
    <row r="11694">
      <c r="A11694" t="str">
        <f>A11664</f>
        <v>Lantai Atap</v>
      </c>
      <c r="B11694">
        <f>B11664+1</f>
        <v>49</v>
      </c>
      <c r="C11694" t="str">
        <f>CONCATENATE(A11694," no. ",B11694)</f>
        <v>Lantai Atap no. 49</v>
      </c>
      <c r="D11694" t="str">
        <f>VLOOKUP(C11694,'Data Panjang Balok'!$C$9:$N$424,2,FALSE)</f>
        <v>B24-1</v>
      </c>
    </row>
    <row r="11695">
      <c r="C11695" t="str">
        <v>Dimensi</v>
      </c>
      <c r="D11695">
        <f>VLOOKUP(D11694,'Detail Balok'!$C$10:$AU$110,2,FALSE)</f>
        <v>200</v>
      </c>
      <c r="F11695" t="str">
        <v>x</v>
      </c>
      <c r="G11695">
        <f>VLOOKUP(D11694,'Detail Balok'!$C$10:$AU$110,3,FALSE)</f>
        <v>400</v>
      </c>
    </row>
    <row r="11696">
      <c r="C11696" t="str">
        <v>Panjang as ke as</v>
      </c>
      <c r="D11696">
        <f>VLOOKUP(C11694,'Data Panjang Balok'!$C$9:$N$424,4,FALSE)</f>
        <v>900</v>
      </c>
    </row>
    <row r="11697">
      <c r="C11697" t="str">
        <v>Panjang netto</v>
      </c>
      <c r="D11697">
        <f>VLOOKUP(C11694,'Data Panjang Balok'!$C$9:$N$424,7,FALSE)</f>
        <v>900</v>
      </c>
    </row>
    <row r="11698">
      <c r="C11698" t="str">
        <v>Kolom / balok kiri</v>
      </c>
      <c r="D11698">
        <f>VLOOKUP(C11694,'Data Panjang Balok'!$C$9:$N$424,9,FALSE)</f>
        <v>0</v>
      </c>
    </row>
    <row r="11699">
      <c r="C11699" t="str">
        <v>Kolom / balok kanan</v>
      </c>
      <c r="D11699">
        <f>VLOOKUP(C11694,'Data Panjang Balok'!$C$9:$N$424,10,FALSE)</f>
        <v>0</v>
      </c>
    </row>
    <row r="11700">
      <c r="C11700" t="str">
        <v>Jumlah</v>
      </c>
      <c r="D11700">
        <f>VLOOKUP(C11694,'Data Panjang Balok'!$C$9:$N$424,3,FALSE)</f>
        <v>1</v>
      </c>
    </row>
    <row r="11701">
      <c r="A11701" t="str">
        <f>A11694</f>
        <v>Lantai Atap</v>
      </c>
      <c r="B11701">
        <f>B11694</f>
        <v>49</v>
      </c>
      <c r="C11701" t="str">
        <v>Tul Atas Tumpuan</v>
      </c>
      <c r="D11701">
        <f>VLOOKUP(D11694,'Detail Balok'!$C$10:$AU$110,4,FALSE)</f>
        <v>2</v>
      </c>
      <c r="E11701" t="str">
        <v>D</v>
      </c>
      <c r="F11701">
        <f>VLOOKUP(D11694,'Detail Balok'!$C$10:$AU$110,6,FALSE)</f>
        <v>13</v>
      </c>
      <c r="I11701" t="str">
        <v>(</v>
      </c>
      <c r="J11701">
        <f>+D11696/4/1000</f>
        <v>0.225</v>
      </c>
      <c r="K11701" t="str">
        <v>+</v>
      </c>
      <c r="L11701">
        <f>MAX(VLOOKUP(F11701,N$6:P$15,3,FALSE)/1000,2/3*D11698/1000)+F$16*F11701/1000</f>
        <v>0.156</v>
      </c>
      <c r="M11701" t="str">
        <v>=</v>
      </c>
      <c r="N11701">
        <f>J11701+L11701</f>
        <v>0.381</v>
      </c>
      <c r="O11701" t="str">
        <v>+</v>
      </c>
      <c r="P11701">
        <f>D11701-D11702</f>
        <v>0</v>
      </c>
      <c r="Q11701" t="str">
        <v>x</v>
      </c>
      <c r="R11701">
        <f>IF(P11701&gt;0,$F$18*F11701/1000,0)</f>
        <v>0</v>
      </c>
      <c r="S11701" t="str">
        <v>)</v>
      </c>
      <c r="T11701" t="str">
        <v>x</v>
      </c>
      <c r="U11701">
        <f>0.006165*F11701^2</f>
        <v>1.041885</v>
      </c>
      <c r="X11701" t="str">
        <v>x</v>
      </c>
      <c r="Y11701">
        <f>D11700</f>
        <v>1</v>
      </c>
      <c r="Z11701" t="str">
        <v>=</v>
      </c>
      <c r="AA11701">
        <f>IF(AA11704=0,(D11701*N11701+P11701*R11701)*U11701*Y11701,0)</f>
        <v>0</v>
      </c>
    </row>
    <row r="11702">
      <c r="A11702" t="str">
        <f>A11694</f>
        <v>Lantai Atap</v>
      </c>
      <c r="B11702">
        <f>B11694</f>
        <v>49</v>
      </c>
      <c r="C11702" t="str">
        <v>Tul Atas Lapangan</v>
      </c>
      <c r="D11702">
        <f>VLOOKUP(D11694,'Detail Balok'!$C$10:$AU$110,7,FALSE)</f>
        <v>2</v>
      </c>
      <c r="E11702" t="str">
        <v>D</v>
      </c>
      <c r="F11702">
        <f>VLOOKUP(D11694,'Detail Balok'!$C$10:$AU$110,9,FALSE)</f>
        <v>13</v>
      </c>
      <c r="I11702" t="str">
        <v>(</v>
      </c>
      <c r="J11702">
        <f>+D11696/2/1000</f>
        <v>0.45</v>
      </c>
      <c r="K11702" t="str">
        <v>+</v>
      </c>
      <c r="M11702" t="str">
        <v>=</v>
      </c>
      <c r="N11702">
        <f>J11702+L11702</f>
        <v>0.45</v>
      </c>
      <c r="O11702" t="str">
        <v>+</v>
      </c>
      <c r="P11702">
        <f>MAX(D11702-D11701,D11702-D11703)</f>
        <v>0</v>
      </c>
      <c r="Q11702" t="str">
        <v>x</v>
      </c>
      <c r="R11702">
        <f>IF(P11702&gt;0,2*(1-2*$F$19-1/2)*D11697/1000,0)</f>
        <v>0</v>
      </c>
      <c r="S11702" t="str">
        <v>)</v>
      </c>
      <c r="T11702" t="str">
        <v>x</v>
      </c>
      <c r="U11702">
        <f>0.006165*F11702^2</f>
        <v>1.041885</v>
      </c>
      <c r="X11702" t="str">
        <v>x</v>
      </c>
      <c r="Y11702">
        <f>D11700</f>
        <v>1</v>
      </c>
      <c r="Z11702" t="str">
        <v>=</v>
      </c>
      <c r="AA11702">
        <f>IF(AA11704=0,(D11702*N11702+P11702*R11702)*U11702*Y11702,0)</f>
        <v>0</v>
      </c>
    </row>
    <row r="11703">
      <c r="A11703" t="str">
        <f>A11694</f>
        <v>Lantai Atap</v>
      </c>
      <c r="B11703">
        <f>B11694</f>
        <v>49</v>
      </c>
      <c r="C11703" t="str">
        <v>Tul Atas Tumpuan</v>
      </c>
      <c r="D11703">
        <f>VLOOKUP(D11694,'Detail Balok'!$C$10:$AU$110,10,FALSE)</f>
        <v>2</v>
      </c>
      <c r="E11703" t="str">
        <v>D</v>
      </c>
      <c r="F11703">
        <f>VLOOKUP(D11694,'Detail Balok'!$C$10:$AU$110,12,FALSE)</f>
        <v>13</v>
      </c>
      <c r="I11703" t="str">
        <v>(</v>
      </c>
      <c r="J11703">
        <f>+D11696/4/1000</f>
        <v>0.225</v>
      </c>
      <c r="K11703" t="str">
        <v>+</v>
      </c>
      <c r="L11703">
        <f>MAX(VLOOKUP(F11703,N$6:P$15,3,FALSE)/1000,2/3*D11698/1000)+F$16*F11703/1000</f>
        <v>0.156</v>
      </c>
      <c r="M11703" t="str">
        <v>=</v>
      </c>
      <c r="N11703">
        <f>J11703+L11703</f>
        <v>0.381</v>
      </c>
      <c r="O11703" t="str">
        <v>+</v>
      </c>
      <c r="P11703">
        <f>D11703-D11702</f>
        <v>0</v>
      </c>
      <c r="Q11703" t="str">
        <v>x</v>
      </c>
      <c r="R11703">
        <f>IF(P11703&gt;0,$F$18*F11703/1000,0)</f>
        <v>0</v>
      </c>
      <c r="S11703" t="str">
        <v>)</v>
      </c>
      <c r="T11703" t="str">
        <v>x</v>
      </c>
      <c r="U11703">
        <f>0.006165*F11703^2</f>
        <v>1.041885</v>
      </c>
      <c r="X11703" t="str">
        <v>x</v>
      </c>
      <c r="Y11703">
        <f>D11700</f>
        <v>1</v>
      </c>
      <c r="Z11703" t="str">
        <v>=</v>
      </c>
      <c r="AA11703">
        <f>IF(AA11704=0,(D11703*N11703+P11703*R11703)*U11703*Y11703,0)</f>
        <v>0</v>
      </c>
    </row>
    <row r="11704">
      <c r="A11704" t="str">
        <f>A11694</f>
        <v>Lantai Atap</v>
      </c>
      <c r="B11704">
        <f>B11694</f>
        <v>49</v>
      </c>
      <c r="D11704">
        <f>IF(AND(D11701=D11702,D11702=D11703,D11701=D11703),D11701,0)</f>
        <v>2</v>
      </c>
      <c r="E11704" t="str">
        <v>D</v>
      </c>
      <c r="F11704">
        <f>IF(AND(F11701=F11702,F11701=F11703,F11702=F11703),F11701,0)</f>
        <v>13</v>
      </c>
      <c r="L11704" t="str">
        <v>Total panjang per balok</v>
      </c>
      <c r="M11704" t="str">
        <v>=</v>
      </c>
      <c r="N11704">
        <f>IF(AND(D11701=D11702,D11701=D11703,D11702=D11703,F11701=F11702,F11701=F11703,F11702=F11703),SUM(N11701:N11703),0)</f>
        <v>1.212</v>
      </c>
      <c r="O11704" t="str">
        <v>+</v>
      </c>
      <c r="P11704">
        <f>IF(N11704&gt;12,ROUNDDOWN(N11704/12,0),0)</f>
        <v>0</v>
      </c>
      <c r="Q11704" t="str">
        <v>x</v>
      </c>
      <c r="R11704">
        <f>IF(P11704&gt;0,MAX(VLOOKUP(F11704,$D$6:$G$15,3,FALSE),600),0)/1000</f>
        <v>0</v>
      </c>
      <c r="T11704" t="str">
        <v>x</v>
      </c>
      <c r="U11704">
        <f>U11703</f>
        <v>1.041885</v>
      </c>
      <c r="V11704" t="str">
        <v>x</v>
      </c>
      <c r="W11704">
        <f>D11704</f>
        <v>2</v>
      </c>
      <c r="X11704" t="str">
        <v>x</v>
      </c>
      <c r="Y11704">
        <f>Y11703</f>
        <v>1</v>
      </c>
      <c r="Z11704" t="str">
        <v>=</v>
      </c>
      <c r="AA11704">
        <f>(N11704+P11704*R11704/1000)*U11704*W11704*Y11704</f>
        <v>2.52552924</v>
      </c>
    </row>
    <row r="11706">
      <c r="A11706" t="str">
        <f>A11694</f>
        <v>Lantai Atap</v>
      </c>
      <c r="B11706">
        <f>B11694</f>
        <v>49</v>
      </c>
      <c r="C11706" t="str">
        <v>Tul Peminggang</v>
      </c>
      <c r="D11706">
        <f>VLOOKUP(D11694,'Detail Balok'!$C$10:$AU$110,13,FALSE)</f>
        <v>0</v>
      </c>
      <c r="E11706" t="str">
        <v>D</v>
      </c>
      <c r="F11706">
        <f>VLOOKUP(D11694,'Detail Balok'!$C$10:$AU$110,15,FALSE)</f>
        <v>6</v>
      </c>
      <c r="J11706">
        <f>+D11696/1000</f>
        <v>0.9</v>
      </c>
      <c r="K11706" t="str">
        <v>+</v>
      </c>
      <c r="L11706">
        <f>2*$F$16*F11706/1000</f>
        <v>0.144</v>
      </c>
      <c r="M11706" t="str">
        <v>=</v>
      </c>
      <c r="N11706">
        <f>J11706+L11706</f>
        <v>1.044</v>
      </c>
      <c r="O11706" t="str">
        <v>+</v>
      </c>
      <c r="P11706">
        <f>IF(N11706&gt;12,ROUNDDOWN(N11706/12,0),0)</f>
        <v>0</v>
      </c>
      <c r="Q11706" t="str">
        <v>x</v>
      </c>
      <c r="R11706">
        <f>IF(P11706&gt;0,MAX(VLOOKUP(F11706,$D$6:$G$15,3,FALSE),600),0)/1000</f>
        <v>0</v>
      </c>
      <c r="T11706" t="str">
        <v>x</v>
      </c>
      <c r="U11706">
        <f>0.006165*F11706^2</f>
        <v>0.22194000000000003</v>
      </c>
      <c r="V11706" t="str">
        <v>x</v>
      </c>
      <c r="W11706">
        <f>+D11706</f>
        <v>0</v>
      </c>
      <c r="X11706" t="str">
        <v>x</v>
      </c>
      <c r="Y11706">
        <f>D11700</f>
        <v>1</v>
      </c>
      <c r="Z11706" t="str">
        <v>=</v>
      </c>
      <c r="AA11706">
        <f>(N11706+P11706*R11706/1000)*U11706*W11706*Y11706</f>
        <v>0</v>
      </c>
    </row>
    <row r="11709">
      <c r="A11709" t="str">
        <f>A11694</f>
        <v>Lantai Atap</v>
      </c>
      <c r="B11709">
        <f>B11694</f>
        <v>49</v>
      </c>
      <c r="C11709" t="str">
        <v>Tul Bawah Tumpuan</v>
      </c>
      <c r="D11709">
        <f>VLOOKUP(D11694,'Detail Balok'!$C$10:$AU$110,22,FALSE)</f>
        <v>2</v>
      </c>
      <c r="E11709" t="str">
        <v>D</v>
      </c>
      <c r="F11709">
        <f>VLOOKUP(D11694,'Detail Balok'!$C$10:$AU$110,24,FALSE)</f>
        <v>13</v>
      </c>
      <c r="I11709" t="str">
        <v>(</v>
      </c>
      <c r="J11709">
        <f>+J11701</f>
        <v>0.225</v>
      </c>
      <c r="K11709" t="str">
        <v>+</v>
      </c>
      <c r="L11709">
        <f>MAX(VLOOKUP(F11709,N$6:P$15,3,FALSE)/1000,2/3*D11699/1000)+F$16*F11709/1000</f>
        <v>0.156</v>
      </c>
      <c r="M11709" t="str">
        <v>=</v>
      </c>
      <c r="N11709">
        <f>J11709+L11709</f>
        <v>0.381</v>
      </c>
      <c r="O11709" t="str">
        <v>+</v>
      </c>
      <c r="P11709">
        <f>D11709-D11710</f>
        <v>0</v>
      </c>
      <c r="Q11709" t="str">
        <v>x</v>
      </c>
      <c r="R11709">
        <f>IF(P11709&gt;0,$F$18*F11709/1000,0)</f>
        <v>0</v>
      </c>
      <c r="S11709" t="str">
        <v>)</v>
      </c>
      <c r="T11709" t="str">
        <v>x</v>
      </c>
      <c r="U11709">
        <f>0.006165*F11709^2</f>
        <v>1.041885</v>
      </c>
      <c r="X11709" t="str">
        <v>x</v>
      </c>
      <c r="Y11709">
        <f>D11700</f>
        <v>1</v>
      </c>
      <c r="Z11709" t="str">
        <v>=</v>
      </c>
      <c r="AA11709">
        <f>IF(AA11712=0,(D11709*N11709+P11709*R11709)*U11709*Y11709,0)</f>
        <v>0</v>
      </c>
    </row>
    <row r="11710">
      <c r="A11710" t="str">
        <f>A11694</f>
        <v>Lantai Atap</v>
      </c>
      <c r="B11710">
        <f>B11694</f>
        <v>49</v>
      </c>
      <c r="C11710" t="str">
        <v>Tul Bawah Lapangan</v>
      </c>
      <c r="D11710">
        <f>VLOOKUP(D11694,'Detail Balok'!$C$10:$AU$110,25,FALSE)</f>
        <v>2</v>
      </c>
      <c r="E11710" t="str">
        <v>D</v>
      </c>
      <c r="F11710">
        <f>VLOOKUP(D11694,'Detail Balok'!$C$10:$AU$110,27,FALSE)</f>
        <v>13</v>
      </c>
      <c r="I11710" t="str">
        <v>(</v>
      </c>
      <c r="J11710">
        <f>+J11702</f>
        <v>0.45</v>
      </c>
      <c r="K11710" t="str">
        <v>+</v>
      </c>
      <c r="M11710" t="str">
        <v>=</v>
      </c>
      <c r="N11710">
        <f>J11710+L11710</f>
        <v>0.45</v>
      </c>
      <c r="O11710" t="str">
        <v>+</v>
      </c>
      <c r="P11710">
        <f>MAX(D11710-D11709,D11710-D11711)</f>
        <v>0</v>
      </c>
      <c r="Q11710" t="str">
        <v>x</v>
      </c>
      <c r="R11710">
        <f>IF(P11710&gt;0,2*(1-2*$F$19-1/2)*D11697/1000,0)</f>
        <v>0</v>
      </c>
      <c r="S11710" t="str">
        <v>)</v>
      </c>
      <c r="T11710" t="str">
        <v>x</v>
      </c>
      <c r="U11710">
        <f>0.006165*F11710^2</f>
        <v>1.041885</v>
      </c>
      <c r="X11710" t="str">
        <v>x</v>
      </c>
      <c r="Y11710">
        <f>D11700</f>
        <v>1</v>
      </c>
      <c r="Z11710" t="str">
        <v>=</v>
      </c>
      <c r="AA11710">
        <f>IF(AA11712=0,(D11710*N11710+P11710*R11710)*U11710*Y11710,0)</f>
        <v>0</v>
      </c>
    </row>
    <row r="11711">
      <c r="A11711" t="str">
        <f>A11694</f>
        <v>Lantai Atap</v>
      </c>
      <c r="B11711">
        <f>B11694</f>
        <v>49</v>
      </c>
      <c r="C11711" t="str">
        <v>Tul Bawah Tumpuan</v>
      </c>
      <c r="D11711">
        <f>VLOOKUP(D11694,'Detail Balok'!$C$10:$AU$110,28,FALSE)</f>
        <v>2</v>
      </c>
      <c r="E11711" t="str">
        <v>D</v>
      </c>
      <c r="F11711">
        <f>VLOOKUP(D11694,'Detail Balok'!$C$10:$AU$110,30,FALSE)</f>
        <v>13</v>
      </c>
      <c r="I11711" t="str">
        <v>(</v>
      </c>
      <c r="J11711">
        <f>+J11703</f>
        <v>0.225</v>
      </c>
      <c r="K11711" t="str">
        <v>+</v>
      </c>
      <c r="L11711">
        <f>MAX(VLOOKUP(F11711,N$6:P$15,3,FALSE)/1000,2/3*D11699/1000)+F$16*F11711/1000</f>
        <v>0.156</v>
      </c>
      <c r="M11711" t="str">
        <v>=</v>
      </c>
      <c r="N11711">
        <f>J11711+L11711</f>
        <v>0.381</v>
      </c>
      <c r="O11711" t="str">
        <v>+</v>
      </c>
      <c r="P11711">
        <f>D11711-D11710</f>
        <v>0</v>
      </c>
      <c r="Q11711" t="str">
        <v>x</v>
      </c>
      <c r="R11711">
        <f>IF(P11711&gt;0,$F$18*F11711/1000,0)</f>
        <v>0</v>
      </c>
      <c r="S11711" t="str">
        <v>)</v>
      </c>
      <c r="T11711" t="str">
        <v>x</v>
      </c>
      <c r="U11711">
        <f>0.006165*F11711^2</f>
        <v>1.041885</v>
      </c>
      <c r="X11711" t="str">
        <v>x</v>
      </c>
      <c r="Y11711">
        <f>D11700</f>
        <v>1</v>
      </c>
      <c r="Z11711" t="str">
        <v>=</v>
      </c>
      <c r="AA11711">
        <f>IF(AA11712=0,(D11711*N11711+P11711*R11711)*U11711*Y11711,0)</f>
        <v>0</v>
      </c>
    </row>
    <row r="11712">
      <c r="A11712" t="str">
        <f>A11694</f>
        <v>Lantai Atap</v>
      </c>
      <c r="B11712">
        <f>B11694</f>
        <v>49</v>
      </c>
      <c r="D11712">
        <f>IF(AND(D11709=D11710,D11710=D11711,D11709=D11711),D11709,0)</f>
        <v>2</v>
      </c>
      <c r="E11712" t="str">
        <v>D</v>
      </c>
      <c r="F11712">
        <f>IF(AND(F11709=F11710,F11709=F11711,F11710=F11711),F11709,0)</f>
        <v>13</v>
      </c>
      <c r="L11712" t="str">
        <v>Total panjang per balok</v>
      </c>
      <c r="M11712" t="str">
        <v>=</v>
      </c>
      <c r="N11712">
        <f>IF(AND(D11709=D11710,D11709=D11711,D11710=D11711,F11709=F11710,F11709=F11711,F11710=F11711),SUM(N11709:N11711),0)</f>
        <v>1.212</v>
      </c>
      <c r="O11712" t="str">
        <v>+</v>
      </c>
      <c r="P11712">
        <f>IF(N11712&gt;12,ROUNDDOWN(N11712/12,0),0)</f>
        <v>0</v>
      </c>
      <c r="Q11712" t="str">
        <v>x</v>
      </c>
      <c r="R11712">
        <f>IF(P11712&gt;0,MAX(VLOOKUP(F11712,$D$6:$G$15,3,FALSE),600),0)/1000</f>
        <v>0</v>
      </c>
      <c r="T11712" t="str">
        <v>x</v>
      </c>
      <c r="U11712">
        <f>U11711</f>
        <v>1.041885</v>
      </c>
      <c r="V11712" t="str">
        <v>x</v>
      </c>
      <c r="W11712">
        <f>D11712</f>
        <v>2</v>
      </c>
      <c r="X11712" t="str">
        <v>x</v>
      </c>
      <c r="Y11712">
        <f>Y11711</f>
        <v>1</v>
      </c>
      <c r="Z11712" t="str">
        <v>=</v>
      </c>
      <c r="AA11712">
        <f>(N11712+P11712*R11712/1000)*U11712*W11712*Y11712</f>
        <v>2.52552924</v>
      </c>
    </row>
    <row r="11714">
      <c r="A11714" t="str">
        <f>A11694</f>
        <v>Lantai Atap</v>
      </c>
      <c r="B11714">
        <f>B11694</f>
        <v>49</v>
      </c>
      <c r="C11714" t="str">
        <v>Sengkang Tumpuan</v>
      </c>
      <c r="D11714">
        <f>VLOOKUP(D11694,'Detail Balok'!$C$10:$AU$110,31,FALSE)</f>
        <v>0</v>
      </c>
      <c r="E11714" t="str">
        <v>D</v>
      </c>
      <c r="F11714">
        <f>VLOOKUP(D11694,'Detail Balok'!$C$10:$AU$110,33,FALSE)</f>
        <v>8</v>
      </c>
      <c r="G11714" t="str">
        <v>-</v>
      </c>
      <c r="H11714">
        <f>VLOOKUP(D11694,'Detail Balok'!$C$10:$AU$110,35,FALSE)</f>
        <v>100</v>
      </c>
      <c r="J11714">
        <f>(IF(D11714=0,(2*(D11695+G11695))-(F$5*8),IF(D11714=3,(2*(D11695+G11695))-(F$5*8)+(G11695-2*F$5),IF(D11714=4,(2*(D11695+G11695))-(F$5*8)+2*(G11695-2*F$5)))))/1000</f>
        <v>0.88</v>
      </c>
      <c r="K11714" t="str">
        <v>+</v>
      </c>
      <c r="L11714">
        <f>IF(D11714=0,2*MAX(6*F11714,75),(D11714-1)*2*MAX(6*F11714,75))/1000</f>
        <v>0.15</v>
      </c>
      <c r="M11714" t="str">
        <v>=</v>
      </c>
      <c r="N11714">
        <f>J11714+L11714</f>
        <v>1.03</v>
      </c>
      <c r="T11714" t="str">
        <v>x</v>
      </c>
      <c r="U11714">
        <f>0.006165*F11714^2</f>
        <v>0.39456</v>
      </c>
      <c r="V11714" t="str">
        <v>x</v>
      </c>
      <c r="W11714">
        <f>IF(D11697&gt;4*G11695,ROUND(MAX(D11697/4,2*G11695)/H11714,0)+1,ROUND(D11697/H11714,0)+1)</f>
        <v>10</v>
      </c>
      <c r="X11714" t="str">
        <v>x</v>
      </c>
      <c r="Y11714">
        <f>D11700</f>
        <v>1</v>
      </c>
      <c r="Z11714" t="str">
        <v>=</v>
      </c>
      <c r="AA11714">
        <f>N11714*U11714*W11714*Y11714</f>
        <v>4.063968000000001</v>
      </c>
    </row>
    <row r="11715">
      <c r="A11715" t="str">
        <f>A11694</f>
        <v>Lantai Atap</v>
      </c>
      <c r="B11715">
        <f>B11694</f>
        <v>49</v>
      </c>
      <c r="C11715" t="str">
        <v>Sengkang Lapangan</v>
      </c>
      <c r="D11715">
        <f>VLOOKUP(D11694,'Detail Balok'!$C$10:$AU$110,36,FALSE)</f>
        <v>0</v>
      </c>
      <c r="E11715" t="str">
        <v>D</v>
      </c>
      <c r="F11715">
        <f>VLOOKUP(D11694,'Detail Balok'!$C$10:$AU$110,38,FALSE)</f>
        <v>8</v>
      </c>
      <c r="G11715" t="str">
        <v>-</v>
      </c>
      <c r="H11715">
        <f>VLOOKUP(D11694,'Detail Balok'!$C$10:$AU$110,40,FALSE)</f>
        <v>200</v>
      </c>
      <c r="J11715">
        <f>(IF(D11715=0,(2*(D11695+G11695))-(F$5*8),IF(D11715=3,(2*(D11695+G11695))-(F$5*8)+(G11695-2*F$5),IF(D11715=4,(2*(D11695+G11695))-(F$5*8)+2*(G11695-2*F$5)))))/1000</f>
        <v>0.88</v>
      </c>
      <c r="K11715" t="str">
        <v>+</v>
      </c>
      <c r="L11715">
        <f>IF(D11715=0,2*MAX(6*F11715,75),(D11715-1)*2*MAX(6*F11715,75))/1000</f>
        <v>0.15</v>
      </c>
      <c r="M11715" t="str">
        <v>=</v>
      </c>
      <c r="N11715">
        <f>J11715+L11715</f>
        <v>1.03</v>
      </c>
      <c r="T11715" t="str">
        <v>x</v>
      </c>
      <c r="U11715">
        <f>0.006165*F11715^2</f>
        <v>0.39456</v>
      </c>
      <c r="V11715" t="str">
        <v>x</v>
      </c>
      <c r="W11715">
        <f>IF(D11697-MAX(D11697/4,2*G11695)*2&gt;0,ROUND((D11697-MAX(D11697/4,2*G11695)*2)/H11715,0),0)</f>
        <v>0</v>
      </c>
      <c r="X11715" t="str">
        <v>x</v>
      </c>
      <c r="Y11715">
        <f>D11700</f>
        <v>1</v>
      </c>
      <c r="Z11715" t="str">
        <v>=</v>
      </c>
      <c r="AA11715">
        <f>N11715*U11715*W11715*Y11715</f>
        <v>0</v>
      </c>
    </row>
    <row r="11716">
      <c r="A11716" t="str">
        <f>A11694</f>
        <v>Lantai Atap</v>
      </c>
      <c r="B11716">
        <f>B11694</f>
        <v>49</v>
      </c>
      <c r="C11716" t="str">
        <v>Sengkang Tumpuan</v>
      </c>
      <c r="D11716">
        <f>VLOOKUP(D11694,'Detail Balok'!$C$10:$AU$110,41,FALSE)</f>
        <v>0</v>
      </c>
      <c r="E11716" t="str">
        <v>D</v>
      </c>
      <c r="F11716">
        <f>VLOOKUP(D11694,'Detail Balok'!$C$10:$AU$110,43,FALSE)</f>
        <v>8</v>
      </c>
      <c r="G11716" t="str">
        <v>-</v>
      </c>
      <c r="H11716">
        <f>VLOOKUP(D11694,'Detail Balok'!$C$10:$AU$110,45,FALSE)</f>
        <v>100</v>
      </c>
      <c r="J11716">
        <f>(IF(D11716=0,(2*(D11695+G11695))-(F$5*8),IF(D11716=3,(2*(D11695+G11695))-(F$5*8)+(G11695-2*F$5),IF(D11716=4,(2*(D11695+G11695))-(F$5*8)+2*(G11695-2*F$5)))))/1000</f>
        <v>0.88</v>
      </c>
      <c r="K11716" t="str">
        <v>+</v>
      </c>
      <c r="L11716">
        <f>IF(D11716=0,2*MAX(6*F11716,75),(D11716-1)*2*MAX(6*F11716,75))/1000</f>
        <v>0.15</v>
      </c>
      <c r="M11716" t="str">
        <v>=</v>
      </c>
      <c r="N11716">
        <f>J11716+L11716</f>
        <v>1.03</v>
      </c>
      <c r="T11716" t="str">
        <v>x</v>
      </c>
      <c r="U11716">
        <f>0.006165*F11716^2</f>
        <v>0.39456</v>
      </c>
      <c r="V11716" t="str">
        <v>x</v>
      </c>
      <c r="W11716">
        <f>IF(D11697&gt;4*G11695,ROUND(MAX(D11697/4,2*G11695)/H11716,0)+1,0)</f>
        <v>0</v>
      </c>
      <c r="X11716" t="str">
        <v>x</v>
      </c>
      <c r="Y11716">
        <f>D11700</f>
        <v>1</v>
      </c>
      <c r="Z11716" t="str">
        <v>=</v>
      </c>
      <c r="AA11716">
        <f>N11716*U11716*W11716*Y11716</f>
        <v>0</v>
      </c>
    </row>
    <row r="11718">
      <c r="A11718" t="str">
        <f>A11694</f>
        <v>Lantai Atap</v>
      </c>
      <c r="B11718">
        <f>B11694</f>
        <v>49</v>
      </c>
      <c r="C11718" t="str">
        <v>Kait Horizontal Tump.</v>
      </c>
      <c r="D11718">
        <f>VLOOKUP(D11694,'Detail Balok'!$C$10:$BJ$110,46,FALSE)</f>
        <v>0</v>
      </c>
      <c r="E11718" t="str">
        <v>D</v>
      </c>
      <c r="F11718">
        <f>VLOOKUP(D11694,'Detail Balok'!$C$10:$BJ$110,48,FALSE)</f>
        <v>0</v>
      </c>
      <c r="G11718" t="str">
        <v>-</v>
      </c>
      <c r="H11718">
        <f>VLOOKUP(D11694,'Detail Balok'!$C$10:$BJ$110,50,FALSE)</f>
        <v>100</v>
      </c>
      <c r="J11718">
        <f>(D11695-2*F$5)/1000</f>
        <v>0.12</v>
      </c>
      <c r="K11718" t="str">
        <v>+</v>
      </c>
      <c r="L11718">
        <f>IF(D11718=0,2*MAX(6*F11718,75),(D11718-1)*2*MAX(6*F11718,75))/1000</f>
        <v>0.15</v>
      </c>
      <c r="M11718" t="str">
        <v>=</v>
      </c>
      <c r="N11718">
        <f>J11718+L11718</f>
        <v>0.27</v>
      </c>
      <c r="T11718" t="str">
        <v>x</v>
      </c>
      <c r="U11718">
        <f>0.006165*F11718^2</f>
        <v>0</v>
      </c>
      <c r="V11718" t="str">
        <v>x</v>
      </c>
      <c r="W11718">
        <f>W11714</f>
        <v>10</v>
      </c>
      <c r="X11718" t="str">
        <v>x</v>
      </c>
      <c r="Y11718">
        <f>D11704</f>
        <v>2</v>
      </c>
      <c r="Z11718" t="str">
        <v>=</v>
      </c>
      <c r="AA11718">
        <f>N11718*U11718*W11718*Y11718</f>
        <v>0</v>
      </c>
    </row>
    <row r="11719">
      <c r="A11719" t="str">
        <f>A11694</f>
        <v>Lantai Atap</v>
      </c>
      <c r="B11719">
        <f>B11694</f>
        <v>49</v>
      </c>
      <c r="C11719" t="str">
        <v>Kait Horizontal Lap.</v>
      </c>
      <c r="D11719">
        <f>VLOOKUP(D11694,'Detail Balok'!$C$10:$BJ$110,51,FALSE)</f>
        <v>0</v>
      </c>
      <c r="E11719" t="str">
        <v>D</v>
      </c>
      <c r="F11719">
        <f>VLOOKUP(D11694,'Detail Balok'!$C$10:$BJ$110,53,FALSE)</f>
        <v>0</v>
      </c>
      <c r="G11719" t="str">
        <v>-</v>
      </c>
      <c r="H11719">
        <f>VLOOKUP(D11694,'Detail Balok'!$C$10:$BJ$110,55,FALSE)</f>
        <v>100</v>
      </c>
      <c r="J11719">
        <f>(D11695-2*F$5)/1000</f>
        <v>0.12</v>
      </c>
      <c r="K11719" t="str">
        <v>+</v>
      </c>
      <c r="L11719">
        <f>IF(D11719=0,2*MAX(6*F11719,75),(D11719-1)*2*MAX(6*F11719,75))/1000</f>
        <v>0.15</v>
      </c>
      <c r="M11719" t="str">
        <v>=</v>
      </c>
      <c r="N11719">
        <f>J11719+L11719</f>
        <v>0.27</v>
      </c>
      <c r="T11719" t="str">
        <v>x</v>
      </c>
      <c r="U11719">
        <f>0.006165*F11719^2</f>
        <v>0</v>
      </c>
      <c r="V11719" t="str">
        <v>x</v>
      </c>
      <c r="W11719">
        <f>W11715</f>
        <v>0</v>
      </c>
      <c r="X11719" t="str">
        <v>x</v>
      </c>
      <c r="Y11719">
        <f>D11704</f>
        <v>2</v>
      </c>
      <c r="Z11719" t="str">
        <v>=</v>
      </c>
      <c r="AA11719">
        <f>N11719*U11719*W11719*Y11719</f>
        <v>0</v>
      </c>
    </row>
    <row r="11720">
      <c r="A11720" t="str">
        <f>A11694</f>
        <v>Lantai Atap</v>
      </c>
      <c r="B11720">
        <f>B11694</f>
        <v>49</v>
      </c>
      <c r="C11720" t="str">
        <v>Kait Horizontal Tump.</v>
      </c>
      <c r="D11720">
        <f>VLOOKUP(D11694,'Detail Balok'!$C$10:$BJ$110,56,FALSE)</f>
        <v>0</v>
      </c>
      <c r="E11720" t="str">
        <v>D</v>
      </c>
      <c r="F11720">
        <f>VLOOKUP(D11694,'Detail Balok'!$C$10:$BJ$110,58,FALSE)</f>
        <v>0</v>
      </c>
      <c r="G11720" t="str">
        <v>-</v>
      </c>
      <c r="H11720">
        <f>VLOOKUP(D11694,'Detail Balok'!$C$10:$BJ$110,60,FALSE)</f>
        <v>100</v>
      </c>
      <c r="J11720">
        <f>(D11695-2*F$5)/1000</f>
        <v>0.12</v>
      </c>
      <c r="K11720" t="str">
        <v>+</v>
      </c>
      <c r="L11720">
        <f>IF(D11720=0,2*MAX(6*F11720,75),(D11720-1)*2*MAX(6*F11720,75))/1000</f>
        <v>0.15</v>
      </c>
      <c r="M11720" t="str">
        <v>=</v>
      </c>
      <c r="N11720">
        <f>J11720+L11720</f>
        <v>0.27</v>
      </c>
      <c r="T11720" t="str">
        <v>x</v>
      </c>
      <c r="U11720">
        <f>0.006165*F11720^2</f>
        <v>0</v>
      </c>
      <c r="V11720" t="str">
        <v>x</v>
      </c>
      <c r="W11720">
        <f>W11716</f>
        <v>0</v>
      </c>
      <c r="X11720" t="str">
        <v>x</v>
      </c>
      <c r="Y11720">
        <f>D11704</f>
        <v>2</v>
      </c>
      <c r="Z11720" t="str">
        <v>=</v>
      </c>
      <c r="AA11720">
        <f>N11720*U11720*W11720*Y11720</f>
        <v>0</v>
      </c>
    </row>
    <row r="11724">
      <c r="A11724" t="str">
        <f>A11694</f>
        <v>Lantai Atap</v>
      </c>
      <c r="B11724">
        <f>B11694+1</f>
        <v>50</v>
      </c>
      <c r="C11724" t="str">
        <f>CONCATENATE(A11724," no. ",B11724)</f>
        <v>Lantai Atap no. 50</v>
      </c>
      <c r="D11724" t="str">
        <f>VLOOKUP(C11724,'Data Panjang Balok'!$C$9:$N$424,2,FALSE)</f>
        <v>B245-1</v>
      </c>
    </row>
    <row r="11725">
      <c r="C11725" t="str">
        <v>Dimensi</v>
      </c>
      <c r="D11725">
        <f>VLOOKUP(D11724,'Detail Balok'!$C$10:$AU$110,2,FALSE)</f>
        <v>200</v>
      </c>
      <c r="F11725" t="str">
        <v>x</v>
      </c>
      <c r="G11725">
        <f>VLOOKUP(D11724,'Detail Balok'!$C$10:$AU$110,3,FALSE)</f>
        <v>450</v>
      </c>
    </row>
    <row r="11726">
      <c r="C11726" t="str">
        <v>Panjang as ke as</v>
      </c>
      <c r="D11726">
        <f>VLOOKUP(C11724,'Data Panjang Balok'!$C$9:$N$424,4,FALSE)</f>
        <v>5700</v>
      </c>
    </row>
    <row r="11727">
      <c r="C11727" t="str">
        <v>Panjang netto</v>
      </c>
      <c r="D11727">
        <f>VLOOKUP(C11724,'Data Panjang Balok'!$C$9:$N$424,7,FALSE)</f>
        <v>5700</v>
      </c>
    </row>
    <row r="11728">
      <c r="C11728" t="str">
        <v>Kolom / balok kiri</v>
      </c>
      <c r="D11728">
        <f>VLOOKUP(C11724,'Data Panjang Balok'!$C$9:$N$424,9,FALSE)</f>
        <v>0</v>
      </c>
    </row>
    <row r="11729">
      <c r="C11729" t="str">
        <v>Kolom / balok kanan</v>
      </c>
      <c r="D11729">
        <f>VLOOKUP(C11724,'Data Panjang Balok'!$C$9:$N$424,10,FALSE)</f>
        <v>0</v>
      </c>
    </row>
    <row r="11730">
      <c r="C11730" t="str">
        <v>Jumlah</v>
      </c>
      <c r="D11730">
        <f>VLOOKUP(C11724,'Data Panjang Balok'!$C$9:$N$424,3,FALSE)</f>
        <v>1</v>
      </c>
    </row>
    <row r="11731">
      <c r="A11731" t="str">
        <f>A11724</f>
        <v>Lantai Atap</v>
      </c>
      <c r="B11731">
        <f>B11724</f>
        <v>50</v>
      </c>
      <c r="C11731" t="str">
        <v>Tul Atas Tumpuan</v>
      </c>
      <c r="D11731">
        <f>VLOOKUP(D11724,'Detail Balok'!$C$10:$AU$110,4,FALSE)</f>
        <v>2</v>
      </c>
      <c r="E11731" t="str">
        <v>D</v>
      </c>
      <c r="F11731">
        <f>VLOOKUP(D11724,'Detail Balok'!$C$10:$AU$110,6,FALSE)</f>
        <v>13</v>
      </c>
      <c r="I11731" t="str">
        <v>(</v>
      </c>
      <c r="J11731">
        <f>+D11726/4/1000</f>
        <v>1.425</v>
      </c>
      <c r="K11731" t="str">
        <v>+</v>
      </c>
      <c r="L11731">
        <f>MAX(VLOOKUP(F11731,N$6:P$15,3,FALSE)/1000,2/3*D11728/1000)+F$16*F11731/1000</f>
        <v>0.156</v>
      </c>
      <c r="M11731" t="str">
        <v>=</v>
      </c>
      <c r="N11731">
        <f>J11731+L11731</f>
        <v>1.581</v>
      </c>
      <c r="O11731" t="str">
        <v>+</v>
      </c>
      <c r="P11731">
        <f>D11731-D11732</f>
        <v>0</v>
      </c>
      <c r="Q11731" t="str">
        <v>x</v>
      </c>
      <c r="R11731">
        <f>IF(P11731&gt;0,$F$18*F11731/1000,0)</f>
        <v>0</v>
      </c>
      <c r="S11731" t="str">
        <v>)</v>
      </c>
      <c r="T11731" t="str">
        <v>x</v>
      </c>
      <c r="U11731">
        <f>0.006165*F11731^2</f>
        <v>1.041885</v>
      </c>
      <c r="X11731" t="str">
        <v>x</v>
      </c>
      <c r="Y11731">
        <f>D11730</f>
        <v>1</v>
      </c>
      <c r="Z11731" t="str">
        <v>=</v>
      </c>
      <c r="AA11731">
        <f>IF(AA11734=0,(D11731*N11731+P11731*R11731)*U11731*Y11731,0)</f>
        <v>0</v>
      </c>
    </row>
    <row r="11732">
      <c r="A11732" t="str">
        <f>A11724</f>
        <v>Lantai Atap</v>
      </c>
      <c r="B11732">
        <f>B11724</f>
        <v>50</v>
      </c>
      <c r="C11732" t="str">
        <v>Tul Atas Lapangan</v>
      </c>
      <c r="D11732">
        <f>VLOOKUP(D11724,'Detail Balok'!$C$10:$AU$110,7,FALSE)</f>
        <v>2</v>
      </c>
      <c r="E11732" t="str">
        <v>D</v>
      </c>
      <c r="F11732">
        <f>VLOOKUP(D11724,'Detail Balok'!$C$10:$AU$110,9,FALSE)</f>
        <v>13</v>
      </c>
      <c r="I11732" t="str">
        <v>(</v>
      </c>
      <c r="J11732">
        <f>+D11726/2/1000</f>
        <v>2.85</v>
      </c>
      <c r="K11732" t="str">
        <v>+</v>
      </c>
      <c r="M11732" t="str">
        <v>=</v>
      </c>
      <c r="N11732">
        <f>J11732+L11732</f>
        <v>2.85</v>
      </c>
      <c r="O11732" t="str">
        <v>+</v>
      </c>
      <c r="P11732">
        <f>MAX(D11732-D11731,D11732-D11733)</f>
        <v>0</v>
      </c>
      <c r="Q11732" t="str">
        <v>x</v>
      </c>
      <c r="R11732">
        <f>IF(P11732&gt;0,2*(1-2*$F$19-1/2)*D11727/1000,0)</f>
        <v>0</v>
      </c>
      <c r="S11732" t="str">
        <v>)</v>
      </c>
      <c r="T11732" t="str">
        <v>x</v>
      </c>
      <c r="U11732">
        <f>0.006165*F11732^2</f>
        <v>1.041885</v>
      </c>
      <c r="X11732" t="str">
        <v>x</v>
      </c>
      <c r="Y11732">
        <f>D11730</f>
        <v>1</v>
      </c>
      <c r="Z11732" t="str">
        <v>=</v>
      </c>
      <c r="AA11732">
        <f>IF(AA11734=0,(D11732*N11732+P11732*R11732)*U11732*Y11732,0)</f>
        <v>0</v>
      </c>
    </row>
    <row r="11733">
      <c r="A11733" t="str">
        <f>A11724</f>
        <v>Lantai Atap</v>
      </c>
      <c r="B11733">
        <f>B11724</f>
        <v>50</v>
      </c>
      <c r="C11733" t="str">
        <v>Tul Atas Tumpuan</v>
      </c>
      <c r="D11733">
        <f>VLOOKUP(D11724,'Detail Balok'!$C$10:$AU$110,10,FALSE)</f>
        <v>2</v>
      </c>
      <c r="E11733" t="str">
        <v>D</v>
      </c>
      <c r="F11733">
        <f>VLOOKUP(D11724,'Detail Balok'!$C$10:$AU$110,12,FALSE)</f>
        <v>13</v>
      </c>
      <c r="I11733" t="str">
        <v>(</v>
      </c>
      <c r="J11733">
        <f>+D11726/4/1000</f>
        <v>1.425</v>
      </c>
      <c r="K11733" t="str">
        <v>+</v>
      </c>
      <c r="L11733">
        <f>MAX(VLOOKUP(F11733,N$6:P$15,3,FALSE)/1000,2/3*D11728/1000)+F$16*F11733/1000</f>
        <v>0.156</v>
      </c>
      <c r="M11733" t="str">
        <v>=</v>
      </c>
      <c r="N11733">
        <f>J11733+L11733</f>
        <v>1.581</v>
      </c>
      <c r="O11733" t="str">
        <v>+</v>
      </c>
      <c r="P11733">
        <f>D11733-D11732</f>
        <v>0</v>
      </c>
      <c r="Q11733" t="str">
        <v>x</v>
      </c>
      <c r="R11733">
        <f>IF(P11733&gt;0,$F$18*F11733/1000,0)</f>
        <v>0</v>
      </c>
      <c r="S11733" t="str">
        <v>)</v>
      </c>
      <c r="T11733" t="str">
        <v>x</v>
      </c>
      <c r="U11733">
        <f>0.006165*F11733^2</f>
        <v>1.041885</v>
      </c>
      <c r="X11733" t="str">
        <v>x</v>
      </c>
      <c r="Y11733">
        <f>D11730</f>
        <v>1</v>
      </c>
      <c r="Z11733" t="str">
        <v>=</v>
      </c>
      <c r="AA11733">
        <f>IF(AA11734=0,(D11733*N11733+P11733*R11733)*U11733*Y11733,0)</f>
        <v>0</v>
      </c>
    </row>
    <row r="11734">
      <c r="A11734" t="str">
        <f>A11724</f>
        <v>Lantai Atap</v>
      </c>
      <c r="B11734">
        <f>B11724</f>
        <v>50</v>
      </c>
      <c r="D11734">
        <f>IF(AND(D11731=D11732,D11732=D11733,D11731=D11733),D11731,0)</f>
        <v>2</v>
      </c>
      <c r="E11734" t="str">
        <v>D</v>
      </c>
      <c r="F11734">
        <f>IF(AND(F11731=F11732,F11731=F11733,F11732=F11733),F11731,0)</f>
        <v>13</v>
      </c>
      <c r="L11734" t="str">
        <v>Total panjang per balok</v>
      </c>
      <c r="M11734" t="str">
        <v>=</v>
      </c>
      <c r="N11734">
        <f>IF(AND(D11731=D11732,D11731=D11733,D11732=D11733,F11731=F11732,F11731=F11733,F11732=F11733),SUM(N11731:N11733),0)</f>
        <v>6.0120000000000005</v>
      </c>
      <c r="O11734" t="str">
        <v>+</v>
      </c>
      <c r="P11734">
        <f>IF(N11734&gt;12,ROUNDDOWN(N11734/12,0),0)</f>
        <v>0</v>
      </c>
      <c r="Q11734" t="str">
        <v>x</v>
      </c>
      <c r="R11734">
        <f>IF(P11734&gt;0,MAX(VLOOKUP(F11734,$D$6:$G$15,3,FALSE),600),0)/1000</f>
        <v>0</v>
      </c>
      <c r="T11734" t="str">
        <v>x</v>
      </c>
      <c r="U11734">
        <f>U11733</f>
        <v>1.041885</v>
      </c>
      <c r="V11734" t="str">
        <v>x</v>
      </c>
      <c r="W11734">
        <f>D11734</f>
        <v>2</v>
      </c>
      <c r="X11734" t="str">
        <v>x</v>
      </c>
      <c r="Y11734">
        <f>Y11733</f>
        <v>1</v>
      </c>
      <c r="Z11734" t="str">
        <v>=</v>
      </c>
      <c r="AA11734">
        <f>(N11734+P11734*R11734/1000)*U11734*W11734*Y11734</f>
        <v>12.52762524</v>
      </c>
    </row>
    <row r="11736">
      <c r="A11736" t="str">
        <f>A11724</f>
        <v>Lantai Atap</v>
      </c>
      <c r="B11736">
        <f>B11724</f>
        <v>50</v>
      </c>
      <c r="C11736" t="str">
        <v>Tul Peminggang</v>
      </c>
      <c r="D11736">
        <f>VLOOKUP(D11724,'Detail Balok'!$C$10:$AU$110,13,FALSE)</f>
        <v>2</v>
      </c>
      <c r="E11736" t="str">
        <v>D</v>
      </c>
      <c r="F11736">
        <f>VLOOKUP(D11724,'Detail Balok'!$C$10:$AU$110,15,FALSE)</f>
        <v>8</v>
      </c>
      <c r="J11736">
        <f>+D11726/1000</f>
        <v>5.7</v>
      </c>
      <c r="K11736" t="str">
        <v>+</v>
      </c>
      <c r="L11736">
        <f>2*$F$16*F11736/1000</f>
        <v>0.192</v>
      </c>
      <c r="M11736" t="str">
        <v>=</v>
      </c>
      <c r="N11736">
        <f>J11736+L11736</f>
        <v>5.892</v>
      </c>
      <c r="O11736" t="str">
        <v>+</v>
      </c>
      <c r="P11736">
        <f>IF(N11736&gt;12,ROUNDDOWN(N11736/12,0),0)</f>
        <v>0</v>
      </c>
      <c r="Q11736" t="str">
        <v>x</v>
      </c>
      <c r="R11736">
        <f>IF(P11736&gt;0,MAX(VLOOKUP(F11736,$D$6:$G$15,3,FALSE),600),0)/1000</f>
        <v>0</v>
      </c>
      <c r="T11736" t="str">
        <v>x</v>
      </c>
      <c r="U11736">
        <f>0.006165*F11736^2</f>
        <v>0.39456</v>
      </c>
      <c r="V11736" t="str">
        <v>x</v>
      </c>
      <c r="W11736">
        <f>+D11736</f>
        <v>2</v>
      </c>
      <c r="X11736" t="str">
        <v>x</v>
      </c>
      <c r="Y11736">
        <f>D11730</f>
        <v>1</v>
      </c>
      <c r="Z11736" t="str">
        <v>=</v>
      </c>
      <c r="AA11736">
        <f>(N11736+P11736*R11736/1000)*U11736*W11736*Y11736</f>
        <v>4.649495040000001</v>
      </c>
    </row>
    <row r="11739">
      <c r="A11739" t="str">
        <f>A11724</f>
        <v>Lantai Atap</v>
      </c>
      <c r="B11739">
        <f>B11724</f>
        <v>50</v>
      </c>
      <c r="C11739" t="str">
        <v>Tul Bawah Tumpuan</v>
      </c>
      <c r="D11739">
        <f>VLOOKUP(D11724,'Detail Balok'!$C$10:$AU$110,22,FALSE)</f>
        <v>2</v>
      </c>
      <c r="E11739" t="str">
        <v>D</v>
      </c>
      <c r="F11739">
        <f>VLOOKUP(D11724,'Detail Balok'!$C$10:$AU$110,24,FALSE)</f>
        <v>13</v>
      </c>
      <c r="I11739" t="str">
        <v>(</v>
      </c>
      <c r="J11739">
        <f>+J11731</f>
        <v>1.425</v>
      </c>
      <c r="K11739" t="str">
        <v>+</v>
      </c>
      <c r="L11739">
        <f>MAX(VLOOKUP(F11739,N$6:P$15,3,FALSE)/1000,2/3*D11729/1000)+F$16*F11739/1000</f>
        <v>0.156</v>
      </c>
      <c r="M11739" t="str">
        <v>=</v>
      </c>
      <c r="N11739">
        <f>J11739+L11739</f>
        <v>1.581</v>
      </c>
      <c r="O11739" t="str">
        <v>+</v>
      </c>
      <c r="P11739">
        <f>D11739-D11740</f>
        <v>0</v>
      </c>
      <c r="Q11739" t="str">
        <v>x</v>
      </c>
      <c r="R11739">
        <f>IF(P11739&gt;0,$F$18*F11739/1000,0)</f>
        <v>0</v>
      </c>
      <c r="S11739" t="str">
        <v>)</v>
      </c>
      <c r="T11739" t="str">
        <v>x</v>
      </c>
      <c r="U11739">
        <f>0.006165*F11739^2</f>
        <v>1.041885</v>
      </c>
      <c r="X11739" t="str">
        <v>x</v>
      </c>
      <c r="Y11739">
        <f>D11730</f>
        <v>1</v>
      </c>
      <c r="Z11739" t="str">
        <v>=</v>
      </c>
      <c r="AA11739">
        <f>IF(AA11742=0,(D11739*N11739+P11739*R11739)*U11739*Y11739,0)</f>
        <v>0</v>
      </c>
    </row>
    <row r="11740">
      <c r="A11740" t="str">
        <f>A11724</f>
        <v>Lantai Atap</v>
      </c>
      <c r="B11740">
        <f>B11724</f>
        <v>50</v>
      </c>
      <c r="C11740" t="str">
        <v>Tul Bawah Lapangan</v>
      </c>
      <c r="D11740">
        <f>VLOOKUP(D11724,'Detail Balok'!$C$10:$AU$110,25,FALSE)</f>
        <v>2</v>
      </c>
      <c r="E11740" t="str">
        <v>D</v>
      </c>
      <c r="F11740">
        <f>VLOOKUP(D11724,'Detail Balok'!$C$10:$AU$110,27,FALSE)</f>
        <v>13</v>
      </c>
      <c r="I11740" t="str">
        <v>(</v>
      </c>
      <c r="J11740">
        <f>+J11732</f>
        <v>2.85</v>
      </c>
      <c r="K11740" t="str">
        <v>+</v>
      </c>
      <c r="M11740" t="str">
        <v>=</v>
      </c>
      <c r="N11740">
        <f>J11740+L11740</f>
        <v>2.85</v>
      </c>
      <c r="O11740" t="str">
        <v>+</v>
      </c>
      <c r="P11740">
        <f>MAX(D11740-D11739,D11740-D11741)</f>
        <v>0</v>
      </c>
      <c r="Q11740" t="str">
        <v>x</v>
      </c>
      <c r="R11740">
        <f>IF(P11740&gt;0,2*(1-2*$F$19-1/2)*D11727/1000,0)</f>
        <v>0</v>
      </c>
      <c r="S11740" t="str">
        <v>)</v>
      </c>
      <c r="T11740" t="str">
        <v>x</v>
      </c>
      <c r="U11740">
        <f>0.006165*F11740^2</f>
        <v>1.041885</v>
      </c>
      <c r="X11740" t="str">
        <v>x</v>
      </c>
      <c r="Y11740">
        <f>D11730</f>
        <v>1</v>
      </c>
      <c r="Z11740" t="str">
        <v>=</v>
      </c>
      <c r="AA11740">
        <f>IF(AA11742=0,(D11740*N11740+P11740*R11740)*U11740*Y11740,0)</f>
        <v>0</v>
      </c>
    </row>
    <row r="11741">
      <c r="A11741" t="str">
        <f>A11724</f>
        <v>Lantai Atap</v>
      </c>
      <c r="B11741">
        <f>B11724</f>
        <v>50</v>
      </c>
      <c r="C11741" t="str">
        <v>Tul Bawah Tumpuan</v>
      </c>
      <c r="D11741">
        <f>VLOOKUP(D11724,'Detail Balok'!$C$10:$AU$110,28,FALSE)</f>
        <v>2</v>
      </c>
      <c r="E11741" t="str">
        <v>D</v>
      </c>
      <c r="F11741">
        <f>VLOOKUP(D11724,'Detail Balok'!$C$10:$AU$110,30,FALSE)</f>
        <v>13</v>
      </c>
      <c r="I11741" t="str">
        <v>(</v>
      </c>
      <c r="J11741">
        <f>+J11733</f>
        <v>1.425</v>
      </c>
      <c r="K11741" t="str">
        <v>+</v>
      </c>
      <c r="L11741">
        <f>MAX(VLOOKUP(F11741,N$6:P$15,3,FALSE)/1000,2/3*D11729/1000)+F$16*F11741/1000</f>
        <v>0.156</v>
      </c>
      <c r="M11741" t="str">
        <v>=</v>
      </c>
      <c r="N11741">
        <f>J11741+L11741</f>
        <v>1.581</v>
      </c>
      <c r="O11741" t="str">
        <v>+</v>
      </c>
      <c r="P11741">
        <f>D11741-D11740</f>
        <v>0</v>
      </c>
      <c r="Q11741" t="str">
        <v>x</v>
      </c>
      <c r="R11741">
        <f>IF(P11741&gt;0,$F$18*F11741/1000,0)</f>
        <v>0</v>
      </c>
      <c r="S11741" t="str">
        <v>)</v>
      </c>
      <c r="T11741" t="str">
        <v>x</v>
      </c>
      <c r="U11741">
        <f>0.006165*F11741^2</f>
        <v>1.041885</v>
      </c>
      <c r="X11741" t="str">
        <v>x</v>
      </c>
      <c r="Y11741">
        <f>D11730</f>
        <v>1</v>
      </c>
      <c r="Z11741" t="str">
        <v>=</v>
      </c>
      <c r="AA11741">
        <f>IF(AA11742=0,(D11741*N11741+P11741*R11741)*U11741*Y11741,0)</f>
        <v>0</v>
      </c>
    </row>
    <row r="11742">
      <c r="A11742" t="str">
        <f>A11724</f>
        <v>Lantai Atap</v>
      </c>
      <c r="B11742">
        <f>B11724</f>
        <v>50</v>
      </c>
      <c r="D11742">
        <f>IF(AND(D11739=D11740,D11740=D11741,D11739=D11741),D11739,0)</f>
        <v>2</v>
      </c>
      <c r="E11742" t="str">
        <v>D</v>
      </c>
      <c r="F11742">
        <f>IF(AND(F11739=F11740,F11739=F11741,F11740=F11741),F11739,0)</f>
        <v>13</v>
      </c>
      <c r="L11742" t="str">
        <v>Total panjang per balok</v>
      </c>
      <c r="M11742" t="str">
        <v>=</v>
      </c>
      <c r="N11742">
        <f>IF(AND(D11739=D11740,D11739=D11741,D11740=D11741,F11739=F11740,F11739=F11741,F11740=F11741),SUM(N11739:N11741),0)</f>
        <v>6.0120000000000005</v>
      </c>
      <c r="O11742" t="str">
        <v>+</v>
      </c>
      <c r="P11742">
        <f>IF(N11742&gt;12,ROUNDDOWN(N11742/12,0),0)</f>
        <v>0</v>
      </c>
      <c r="Q11742" t="str">
        <v>x</v>
      </c>
      <c r="R11742">
        <f>IF(P11742&gt;0,MAX(VLOOKUP(F11742,$D$6:$G$15,3,FALSE),600),0)/1000</f>
        <v>0</v>
      </c>
      <c r="T11742" t="str">
        <v>x</v>
      </c>
      <c r="U11742">
        <f>U11741</f>
        <v>1.041885</v>
      </c>
      <c r="V11742" t="str">
        <v>x</v>
      </c>
      <c r="W11742">
        <f>D11742</f>
        <v>2</v>
      </c>
      <c r="X11742" t="str">
        <v>x</v>
      </c>
      <c r="Y11742">
        <f>Y11741</f>
        <v>1</v>
      </c>
      <c r="Z11742" t="str">
        <v>=</v>
      </c>
      <c r="AA11742">
        <f>(N11742+P11742*R11742/1000)*U11742*W11742*Y11742</f>
        <v>12.52762524</v>
      </c>
    </row>
    <row r="11744">
      <c r="A11744" t="str">
        <f>A11724</f>
        <v>Lantai Atap</v>
      </c>
      <c r="B11744">
        <f>B11724</f>
        <v>50</v>
      </c>
      <c r="C11744" t="str">
        <v>Sengkang Tumpuan</v>
      </c>
      <c r="D11744">
        <f>VLOOKUP(D11724,'Detail Balok'!$C$10:$AU$110,31,FALSE)</f>
        <v>0</v>
      </c>
      <c r="E11744" t="str">
        <v>D</v>
      </c>
      <c r="F11744">
        <f>VLOOKUP(D11724,'Detail Balok'!$C$10:$AU$110,33,FALSE)</f>
        <v>8</v>
      </c>
      <c r="G11744" t="str">
        <v>-</v>
      </c>
      <c r="H11744">
        <f>VLOOKUP(D11724,'Detail Balok'!$C$10:$AU$110,35,FALSE)</f>
        <v>100</v>
      </c>
      <c r="J11744">
        <f>(IF(D11744=0,(2*(D11725+G11725))-(F$5*8),IF(D11744=3,(2*(D11725+G11725))-(F$5*8)+(G11725-2*F$5),IF(D11744=4,(2*(D11725+G11725))-(F$5*8)+2*(G11725-2*F$5)))))/1000</f>
        <v>0.98</v>
      </c>
      <c r="K11744" t="str">
        <v>+</v>
      </c>
      <c r="L11744">
        <f>IF(D11744=0,2*MAX(6*F11744,75),(D11744-1)*2*MAX(6*F11744,75))/1000</f>
        <v>0.15</v>
      </c>
      <c r="M11744" t="str">
        <v>=</v>
      </c>
      <c r="N11744">
        <f>J11744+L11744</f>
        <v>1.13</v>
      </c>
      <c r="T11744" t="str">
        <v>x</v>
      </c>
      <c r="U11744">
        <f>0.006165*F11744^2</f>
        <v>0.39456</v>
      </c>
      <c r="V11744" t="str">
        <v>x</v>
      </c>
      <c r="W11744">
        <f>IF(D11727&gt;4*G11725,ROUND(MAX(D11727/4,2*G11725)/H11744,0)+1,ROUND(D11727/H11744,0)+1)</f>
        <v>15</v>
      </c>
      <c r="X11744" t="str">
        <v>x</v>
      </c>
      <c r="Y11744">
        <f>D11730</f>
        <v>1</v>
      </c>
      <c r="Z11744" t="str">
        <v>=</v>
      </c>
      <c r="AA11744">
        <f>N11744*U11744*W11744*Y11744</f>
        <v>6.687792</v>
      </c>
    </row>
    <row r="11745">
      <c r="A11745" t="str">
        <f>A11724</f>
        <v>Lantai Atap</v>
      </c>
      <c r="B11745">
        <f>B11724</f>
        <v>50</v>
      </c>
      <c r="C11745" t="str">
        <v>Sengkang Lapangan</v>
      </c>
      <c r="D11745">
        <f>VLOOKUP(D11724,'Detail Balok'!$C$10:$AU$110,36,FALSE)</f>
        <v>0</v>
      </c>
      <c r="E11745" t="str">
        <v>D</v>
      </c>
      <c r="F11745">
        <f>VLOOKUP(D11724,'Detail Balok'!$C$10:$AU$110,38,FALSE)</f>
        <v>8</v>
      </c>
      <c r="G11745" t="str">
        <v>-</v>
      </c>
      <c r="H11745">
        <f>VLOOKUP(D11724,'Detail Balok'!$C$10:$AU$110,40,FALSE)</f>
        <v>200</v>
      </c>
      <c r="J11745">
        <f>(IF(D11745=0,(2*(D11725+G11725))-(F$5*8),IF(D11745=3,(2*(D11725+G11725))-(F$5*8)+(G11725-2*F$5),IF(D11745=4,(2*(D11725+G11725))-(F$5*8)+2*(G11725-2*F$5)))))/1000</f>
        <v>0.98</v>
      </c>
      <c r="K11745" t="str">
        <v>+</v>
      </c>
      <c r="L11745">
        <f>IF(D11745=0,2*MAX(6*F11745,75),(D11745-1)*2*MAX(6*F11745,75))/1000</f>
        <v>0.15</v>
      </c>
      <c r="M11745" t="str">
        <v>=</v>
      </c>
      <c r="N11745">
        <f>J11745+L11745</f>
        <v>1.13</v>
      </c>
      <c r="T11745" t="str">
        <v>x</v>
      </c>
      <c r="U11745">
        <f>0.006165*F11745^2</f>
        <v>0.39456</v>
      </c>
      <c r="V11745" t="str">
        <v>x</v>
      </c>
      <c r="W11745">
        <f>IF(D11727-MAX(D11727/4,2*G11725)*2&gt;0,ROUND((D11727-MAX(D11727/4,2*G11725)*2)/H11745,0),0)</f>
        <v>14</v>
      </c>
      <c r="X11745" t="str">
        <v>x</v>
      </c>
      <c r="Y11745">
        <f>D11730</f>
        <v>1</v>
      </c>
      <c r="Z11745" t="str">
        <v>=</v>
      </c>
      <c r="AA11745">
        <f>N11745*U11745*W11745*Y11745</f>
        <v>6.2419392</v>
      </c>
    </row>
    <row r="11746">
      <c r="A11746" t="str">
        <f>A11724</f>
        <v>Lantai Atap</v>
      </c>
      <c r="B11746">
        <f>B11724</f>
        <v>50</v>
      </c>
      <c r="C11746" t="str">
        <v>Sengkang Tumpuan</v>
      </c>
      <c r="D11746">
        <f>VLOOKUP(D11724,'Detail Balok'!$C$10:$AU$110,41,FALSE)</f>
        <v>0</v>
      </c>
      <c r="E11746" t="str">
        <v>D</v>
      </c>
      <c r="F11746">
        <f>VLOOKUP(D11724,'Detail Balok'!$C$10:$AU$110,43,FALSE)</f>
        <v>8</v>
      </c>
      <c r="G11746" t="str">
        <v>-</v>
      </c>
      <c r="H11746">
        <f>VLOOKUP(D11724,'Detail Balok'!$C$10:$AU$110,45,FALSE)</f>
        <v>100</v>
      </c>
      <c r="J11746">
        <f>(IF(D11746=0,(2*(D11725+G11725))-(F$5*8),IF(D11746=3,(2*(D11725+G11725))-(F$5*8)+(G11725-2*F$5),IF(D11746=4,(2*(D11725+G11725))-(F$5*8)+2*(G11725-2*F$5)))))/1000</f>
        <v>0.98</v>
      </c>
      <c r="K11746" t="str">
        <v>+</v>
      </c>
      <c r="L11746">
        <f>IF(D11746=0,2*MAX(6*F11746,75),(D11746-1)*2*MAX(6*F11746,75))/1000</f>
        <v>0.15</v>
      </c>
      <c r="M11746" t="str">
        <v>=</v>
      </c>
      <c r="N11746">
        <f>J11746+L11746</f>
        <v>1.13</v>
      </c>
      <c r="T11746" t="str">
        <v>x</v>
      </c>
      <c r="U11746">
        <f>0.006165*F11746^2</f>
        <v>0.39456</v>
      </c>
      <c r="V11746" t="str">
        <v>x</v>
      </c>
      <c r="W11746">
        <f>IF(D11727&gt;4*G11725,ROUND(MAX(D11727/4,2*G11725)/H11746,0)+1,0)</f>
        <v>15</v>
      </c>
      <c r="X11746" t="str">
        <v>x</v>
      </c>
      <c r="Y11746">
        <f>D11730</f>
        <v>1</v>
      </c>
      <c r="Z11746" t="str">
        <v>=</v>
      </c>
      <c r="AA11746">
        <f>N11746*U11746*W11746*Y11746</f>
        <v>6.687792</v>
      </c>
    </row>
    <row r="11748">
      <c r="A11748" t="str">
        <f>A11724</f>
        <v>Lantai Atap</v>
      </c>
      <c r="B11748">
        <f>B11724</f>
        <v>50</v>
      </c>
      <c r="C11748" t="str">
        <v>Kait Horizontal Tump.</v>
      </c>
      <c r="D11748">
        <f>VLOOKUP(D11724,'Detail Balok'!$C$10:$BJ$110,46,FALSE)</f>
        <v>0</v>
      </c>
      <c r="E11748" t="str">
        <v>D</v>
      </c>
      <c r="F11748">
        <f>VLOOKUP(D11724,'Detail Balok'!$C$10:$BJ$110,48,FALSE)</f>
        <v>0</v>
      </c>
      <c r="G11748" t="str">
        <v>-</v>
      </c>
      <c r="H11748">
        <f>VLOOKUP(D11724,'Detail Balok'!$C$10:$BJ$110,50,FALSE)</f>
        <v>100</v>
      </c>
      <c r="J11748">
        <f>(D11725-2*F$5)/1000</f>
        <v>0.12</v>
      </c>
      <c r="K11748" t="str">
        <v>+</v>
      </c>
      <c r="L11748">
        <f>IF(D11748=0,2*MAX(6*F11748,75),(D11748-1)*2*MAX(6*F11748,75))/1000</f>
        <v>0.15</v>
      </c>
      <c r="M11748" t="str">
        <v>=</v>
      </c>
      <c r="N11748">
        <f>J11748+L11748</f>
        <v>0.27</v>
      </c>
      <c r="T11748" t="str">
        <v>x</v>
      </c>
      <c r="U11748">
        <f>0.006165*F11748^2</f>
        <v>0</v>
      </c>
      <c r="V11748" t="str">
        <v>x</v>
      </c>
      <c r="W11748">
        <f>W11744</f>
        <v>15</v>
      </c>
      <c r="X11748" t="str">
        <v>x</v>
      </c>
      <c r="Y11748">
        <f>D11734</f>
        <v>2</v>
      </c>
      <c r="Z11748" t="str">
        <v>=</v>
      </c>
      <c r="AA11748">
        <f>N11748*U11748*W11748*Y11748</f>
        <v>0</v>
      </c>
    </row>
    <row r="11749">
      <c r="A11749" t="str">
        <f>A11724</f>
        <v>Lantai Atap</v>
      </c>
      <c r="B11749">
        <f>B11724</f>
        <v>50</v>
      </c>
      <c r="C11749" t="str">
        <v>Kait Horizontal Lap.</v>
      </c>
      <c r="D11749">
        <f>VLOOKUP(D11724,'Detail Balok'!$C$10:$BJ$110,51,FALSE)</f>
        <v>0</v>
      </c>
      <c r="E11749" t="str">
        <v>D</v>
      </c>
      <c r="F11749">
        <f>VLOOKUP(D11724,'Detail Balok'!$C$10:$BJ$110,53,FALSE)</f>
        <v>0</v>
      </c>
      <c r="G11749" t="str">
        <v>-</v>
      </c>
      <c r="H11749">
        <f>VLOOKUP(D11724,'Detail Balok'!$C$10:$BJ$110,55,FALSE)</f>
        <v>100</v>
      </c>
      <c r="J11749">
        <f>(D11725-2*F$5)/1000</f>
        <v>0.12</v>
      </c>
      <c r="K11749" t="str">
        <v>+</v>
      </c>
      <c r="L11749">
        <f>IF(D11749=0,2*MAX(6*F11749,75),(D11749-1)*2*MAX(6*F11749,75))/1000</f>
        <v>0.15</v>
      </c>
      <c r="M11749" t="str">
        <v>=</v>
      </c>
      <c r="N11749">
        <f>J11749+L11749</f>
        <v>0.27</v>
      </c>
      <c r="T11749" t="str">
        <v>x</v>
      </c>
      <c r="U11749">
        <f>0.006165*F11749^2</f>
        <v>0</v>
      </c>
      <c r="V11749" t="str">
        <v>x</v>
      </c>
      <c r="W11749">
        <f>W11745</f>
        <v>14</v>
      </c>
      <c r="X11749" t="str">
        <v>x</v>
      </c>
      <c r="Y11749">
        <f>D11734</f>
        <v>2</v>
      </c>
      <c r="Z11749" t="str">
        <v>=</v>
      </c>
      <c r="AA11749">
        <f>N11749*U11749*W11749*Y11749</f>
        <v>0</v>
      </c>
    </row>
    <row r="11750">
      <c r="A11750" t="str">
        <f>A11724</f>
        <v>Lantai Atap</v>
      </c>
      <c r="B11750">
        <f>B11724</f>
        <v>50</v>
      </c>
      <c r="C11750" t="str">
        <v>Kait Horizontal Tump.</v>
      </c>
      <c r="D11750">
        <f>VLOOKUP(D11724,'Detail Balok'!$C$10:$BJ$110,56,FALSE)</f>
        <v>0</v>
      </c>
      <c r="E11750" t="str">
        <v>D</v>
      </c>
      <c r="F11750">
        <f>VLOOKUP(D11724,'Detail Balok'!$C$10:$BJ$110,58,FALSE)</f>
        <v>0</v>
      </c>
      <c r="G11750" t="str">
        <v>-</v>
      </c>
      <c r="H11750">
        <f>VLOOKUP(D11724,'Detail Balok'!$C$10:$BJ$110,60,FALSE)</f>
        <v>100</v>
      </c>
      <c r="J11750">
        <f>(D11725-2*F$5)/1000</f>
        <v>0.12</v>
      </c>
      <c r="K11750" t="str">
        <v>+</v>
      </c>
      <c r="L11750">
        <f>IF(D11750=0,2*MAX(6*F11750,75),(D11750-1)*2*MAX(6*F11750,75))/1000</f>
        <v>0.15</v>
      </c>
      <c r="M11750" t="str">
        <v>=</v>
      </c>
      <c r="N11750">
        <f>J11750+L11750</f>
        <v>0.27</v>
      </c>
      <c r="T11750" t="str">
        <v>x</v>
      </c>
      <c r="U11750">
        <f>0.006165*F11750^2</f>
        <v>0</v>
      </c>
      <c r="V11750" t="str">
        <v>x</v>
      </c>
      <c r="W11750">
        <f>W11746</f>
        <v>15</v>
      </c>
      <c r="X11750" t="str">
        <v>x</v>
      </c>
      <c r="Y11750">
        <f>D11734</f>
        <v>2</v>
      </c>
      <c r="Z11750" t="str">
        <v>=</v>
      </c>
      <c r="AA11750">
        <f>N11750*U11750*W11750*Y11750</f>
        <v>0</v>
      </c>
    </row>
    <row r="11754">
      <c r="A11754" t="str">
        <f>A11724</f>
        <v>Lantai Atap</v>
      </c>
      <c r="B11754">
        <f>B11724+1</f>
        <v>51</v>
      </c>
      <c r="C11754" t="str">
        <f>CONCATENATE(A11754," no. ",B11754)</f>
        <v>Lantai Atap no. 51</v>
      </c>
      <c r="D11754" t="str">
        <f>VLOOKUP(C11754,'Data Panjang Balok'!$C$9:$N$424,2,FALSE)</f>
        <v>B24-2</v>
      </c>
    </row>
    <row r="11755">
      <c r="C11755" t="str">
        <v>Dimensi</v>
      </c>
      <c r="D11755">
        <f>VLOOKUP(D11754,'Detail Balok'!$C$10:$AU$110,2,FALSE)</f>
        <v>200</v>
      </c>
      <c r="F11755" t="str">
        <v>x</v>
      </c>
      <c r="G11755">
        <f>VLOOKUP(D11754,'Detail Balok'!$C$10:$AU$110,3,FALSE)</f>
        <v>400</v>
      </c>
    </row>
    <row r="11756">
      <c r="C11756" t="str">
        <v>Panjang as ke as</v>
      </c>
      <c r="D11756">
        <f>VLOOKUP(C11754,'Data Panjang Balok'!$C$9:$N$424,4,FALSE)</f>
        <v>900</v>
      </c>
    </row>
    <row r="11757">
      <c r="C11757" t="str">
        <v>Panjang netto</v>
      </c>
      <c r="D11757">
        <f>VLOOKUP(C11754,'Data Panjang Balok'!$C$9:$N$424,7,FALSE)</f>
        <v>900</v>
      </c>
    </row>
    <row r="11758">
      <c r="C11758" t="str">
        <v>Kolom / balok kiri</v>
      </c>
      <c r="D11758">
        <f>VLOOKUP(C11754,'Data Panjang Balok'!$C$9:$N$424,9,FALSE)</f>
        <v>0</v>
      </c>
    </row>
    <row r="11759">
      <c r="C11759" t="str">
        <v>Kolom / balok kanan</v>
      </c>
      <c r="D11759">
        <f>VLOOKUP(C11754,'Data Panjang Balok'!$C$9:$N$424,10,FALSE)</f>
        <v>0</v>
      </c>
    </row>
    <row r="11760">
      <c r="C11760" t="str">
        <v>Jumlah</v>
      </c>
      <c r="D11760">
        <f>VLOOKUP(C11754,'Data Panjang Balok'!$C$9:$N$424,3,FALSE)</f>
        <v>1</v>
      </c>
    </row>
    <row r="11761">
      <c r="A11761" t="str">
        <f>A11754</f>
        <v>Lantai Atap</v>
      </c>
      <c r="B11761">
        <f>B11754</f>
        <v>51</v>
      </c>
      <c r="C11761" t="str">
        <v>Tul Atas Tumpuan</v>
      </c>
      <c r="D11761">
        <f>VLOOKUP(D11754,'Detail Balok'!$C$10:$AU$110,4,FALSE)</f>
        <v>2</v>
      </c>
      <c r="E11761" t="str">
        <v>D</v>
      </c>
      <c r="F11761">
        <f>VLOOKUP(D11754,'Detail Balok'!$C$10:$AU$110,6,FALSE)</f>
        <v>16</v>
      </c>
      <c r="I11761" t="str">
        <v>(</v>
      </c>
      <c r="J11761">
        <f>+D11756/4/1000</f>
        <v>0.225</v>
      </c>
      <c r="K11761" t="str">
        <v>+</v>
      </c>
      <c r="L11761">
        <f>MAX(VLOOKUP(F11761,N$6:P$15,3,FALSE)/1000,2/3*D11758/1000)+F$16*F11761/1000</f>
        <v>0.192</v>
      </c>
      <c r="M11761" t="str">
        <v>=</v>
      </c>
      <c r="N11761">
        <f>J11761+L11761</f>
        <v>0.41700000000000004</v>
      </c>
      <c r="O11761" t="str">
        <v>+</v>
      </c>
      <c r="P11761">
        <f>D11761-D11762</f>
        <v>0</v>
      </c>
      <c r="Q11761" t="str">
        <v>x</v>
      </c>
      <c r="R11761">
        <f>IF(P11761&gt;0,$F$18*F11761/1000,0)</f>
        <v>0</v>
      </c>
      <c r="S11761" t="str">
        <v>)</v>
      </c>
      <c r="T11761" t="str">
        <v>x</v>
      </c>
      <c r="U11761">
        <f>0.006165*F11761^2</f>
        <v>1.57824</v>
      </c>
      <c r="X11761" t="str">
        <v>x</v>
      </c>
      <c r="Y11761">
        <f>D11760</f>
        <v>1</v>
      </c>
      <c r="Z11761" t="str">
        <v>=</v>
      </c>
      <c r="AA11761">
        <f>IF(AA11764=0,(D11761*N11761+P11761*R11761)*U11761*Y11761,0)</f>
        <v>0</v>
      </c>
    </row>
    <row r="11762">
      <c r="A11762" t="str">
        <f>A11754</f>
        <v>Lantai Atap</v>
      </c>
      <c r="B11762">
        <f>B11754</f>
        <v>51</v>
      </c>
      <c r="C11762" t="str">
        <v>Tul Atas Lapangan</v>
      </c>
      <c r="D11762">
        <f>VLOOKUP(D11754,'Detail Balok'!$C$10:$AU$110,7,FALSE)</f>
        <v>2</v>
      </c>
      <c r="E11762" t="str">
        <v>D</v>
      </c>
      <c r="F11762">
        <f>VLOOKUP(D11754,'Detail Balok'!$C$10:$AU$110,9,FALSE)</f>
        <v>16</v>
      </c>
      <c r="I11762" t="str">
        <v>(</v>
      </c>
      <c r="J11762">
        <f>+D11756/2/1000</f>
        <v>0.45</v>
      </c>
      <c r="K11762" t="str">
        <v>+</v>
      </c>
      <c r="M11762" t="str">
        <v>=</v>
      </c>
      <c r="N11762">
        <f>J11762+L11762</f>
        <v>0.45</v>
      </c>
      <c r="O11762" t="str">
        <v>+</v>
      </c>
      <c r="P11762">
        <f>MAX(D11762-D11761,D11762-D11763)</f>
        <v>0</v>
      </c>
      <c r="Q11762" t="str">
        <v>x</v>
      </c>
      <c r="R11762">
        <f>IF(P11762&gt;0,2*(1-2*$F$19-1/2)*D11757/1000,0)</f>
        <v>0</v>
      </c>
      <c r="S11762" t="str">
        <v>)</v>
      </c>
      <c r="T11762" t="str">
        <v>x</v>
      </c>
      <c r="U11762">
        <f>0.006165*F11762^2</f>
        <v>1.57824</v>
      </c>
      <c r="X11762" t="str">
        <v>x</v>
      </c>
      <c r="Y11762">
        <f>D11760</f>
        <v>1</v>
      </c>
      <c r="Z11762" t="str">
        <v>=</v>
      </c>
      <c r="AA11762">
        <f>IF(AA11764=0,(D11762*N11762+P11762*R11762)*U11762*Y11762,0)</f>
        <v>0</v>
      </c>
    </row>
    <row r="11763">
      <c r="A11763" t="str">
        <f>A11754</f>
        <v>Lantai Atap</v>
      </c>
      <c r="B11763">
        <f>B11754</f>
        <v>51</v>
      </c>
      <c r="C11763" t="str">
        <v>Tul Atas Tumpuan</v>
      </c>
      <c r="D11763">
        <f>VLOOKUP(D11754,'Detail Balok'!$C$10:$AU$110,10,FALSE)</f>
        <v>2</v>
      </c>
      <c r="E11763" t="str">
        <v>D</v>
      </c>
      <c r="F11763">
        <f>VLOOKUP(D11754,'Detail Balok'!$C$10:$AU$110,12,FALSE)</f>
        <v>16</v>
      </c>
      <c r="I11763" t="str">
        <v>(</v>
      </c>
      <c r="J11763">
        <f>+D11756/4/1000</f>
        <v>0.225</v>
      </c>
      <c r="K11763" t="str">
        <v>+</v>
      </c>
      <c r="L11763">
        <f>MAX(VLOOKUP(F11763,N$6:P$15,3,FALSE)/1000,2/3*D11758/1000)+F$16*F11763/1000</f>
        <v>0.192</v>
      </c>
      <c r="M11763" t="str">
        <v>=</v>
      </c>
      <c r="N11763">
        <f>J11763+L11763</f>
        <v>0.41700000000000004</v>
      </c>
      <c r="O11763" t="str">
        <v>+</v>
      </c>
      <c r="P11763">
        <f>D11763-D11762</f>
        <v>0</v>
      </c>
      <c r="Q11763" t="str">
        <v>x</v>
      </c>
      <c r="R11763">
        <f>IF(P11763&gt;0,$F$18*F11763/1000,0)</f>
        <v>0</v>
      </c>
      <c r="S11763" t="str">
        <v>)</v>
      </c>
      <c r="T11763" t="str">
        <v>x</v>
      </c>
      <c r="U11763">
        <f>0.006165*F11763^2</f>
        <v>1.57824</v>
      </c>
      <c r="X11763" t="str">
        <v>x</v>
      </c>
      <c r="Y11763">
        <f>D11760</f>
        <v>1</v>
      </c>
      <c r="Z11763" t="str">
        <v>=</v>
      </c>
      <c r="AA11763">
        <f>IF(AA11764=0,(D11763*N11763+P11763*R11763)*U11763*Y11763,0)</f>
        <v>0</v>
      </c>
    </row>
    <row r="11764">
      <c r="A11764" t="str">
        <f>A11754</f>
        <v>Lantai Atap</v>
      </c>
      <c r="B11764">
        <f>B11754</f>
        <v>51</v>
      </c>
      <c r="D11764">
        <f>IF(AND(D11761=D11762,D11762=D11763,D11761=D11763),D11761,0)</f>
        <v>2</v>
      </c>
      <c r="E11764" t="str">
        <v>D</v>
      </c>
      <c r="F11764">
        <f>IF(AND(F11761=F11762,F11761=F11763,F11762=F11763),F11761,0)</f>
        <v>16</v>
      </c>
      <c r="L11764" t="str">
        <v>Total panjang per balok</v>
      </c>
      <c r="M11764" t="str">
        <v>=</v>
      </c>
      <c r="N11764">
        <f>IF(AND(D11761=D11762,D11761=D11763,D11762=D11763,F11761=F11762,F11761=F11763,F11762=F11763),SUM(N11761:N11763),0)</f>
        <v>1.284</v>
      </c>
      <c r="O11764" t="str">
        <v>+</v>
      </c>
      <c r="P11764">
        <f>IF(N11764&gt;12,ROUNDDOWN(N11764/12,0),0)</f>
        <v>0</v>
      </c>
      <c r="Q11764" t="str">
        <v>x</v>
      </c>
      <c r="R11764">
        <f>IF(P11764&gt;0,MAX(VLOOKUP(F11764,$D$6:$G$15,3,FALSE),600),0)/1000</f>
        <v>0</v>
      </c>
      <c r="T11764" t="str">
        <v>x</v>
      </c>
      <c r="U11764">
        <f>U11763</f>
        <v>1.57824</v>
      </c>
      <c r="V11764" t="str">
        <v>x</v>
      </c>
      <c r="W11764">
        <f>D11764</f>
        <v>2</v>
      </c>
      <c r="X11764" t="str">
        <v>x</v>
      </c>
      <c r="Y11764">
        <f>Y11763</f>
        <v>1</v>
      </c>
      <c r="Z11764" t="str">
        <v>=</v>
      </c>
      <c r="AA11764">
        <f>(N11764+P11764*R11764/1000)*U11764*W11764*Y11764</f>
        <v>4.05292032</v>
      </c>
    </row>
    <row r="11766">
      <c r="A11766" t="str">
        <f>A11754</f>
        <v>Lantai Atap</v>
      </c>
      <c r="B11766">
        <f>B11754</f>
        <v>51</v>
      </c>
      <c r="C11766" t="str">
        <v>Tul Peminggang</v>
      </c>
      <c r="D11766">
        <f>VLOOKUP(D11754,'Detail Balok'!$C$10:$AU$110,13,FALSE)</f>
        <v>0</v>
      </c>
      <c r="E11766" t="str">
        <v>D</v>
      </c>
      <c r="F11766">
        <f>VLOOKUP(D11754,'Detail Balok'!$C$10:$AU$110,15,FALSE)</f>
        <v>6</v>
      </c>
      <c r="J11766">
        <f>+D11756/1000</f>
        <v>0.9</v>
      </c>
      <c r="K11766" t="str">
        <v>+</v>
      </c>
      <c r="L11766">
        <f>2*$F$16*F11766/1000</f>
        <v>0.144</v>
      </c>
      <c r="M11766" t="str">
        <v>=</v>
      </c>
      <c r="N11766">
        <f>J11766+L11766</f>
        <v>1.044</v>
      </c>
      <c r="O11766" t="str">
        <v>+</v>
      </c>
      <c r="P11766">
        <f>IF(N11766&gt;12,ROUNDDOWN(N11766/12,0),0)</f>
        <v>0</v>
      </c>
      <c r="Q11766" t="str">
        <v>x</v>
      </c>
      <c r="R11766">
        <f>IF(P11766&gt;0,MAX(VLOOKUP(F11766,$D$6:$G$15,3,FALSE),600),0)/1000</f>
        <v>0</v>
      </c>
      <c r="T11766" t="str">
        <v>x</v>
      </c>
      <c r="U11766">
        <f>0.006165*F11766^2</f>
        <v>0.22194000000000003</v>
      </c>
      <c r="V11766" t="str">
        <v>x</v>
      </c>
      <c r="W11766">
        <f>+D11766</f>
        <v>0</v>
      </c>
      <c r="X11766" t="str">
        <v>x</v>
      </c>
      <c r="Y11766">
        <f>D11760</f>
        <v>1</v>
      </c>
      <c r="Z11766" t="str">
        <v>=</v>
      </c>
      <c r="AA11766">
        <f>(N11766+P11766*R11766/1000)*U11766*W11766*Y11766</f>
        <v>0</v>
      </c>
    </row>
    <row r="11769">
      <c r="A11769" t="str">
        <f>A11754</f>
        <v>Lantai Atap</v>
      </c>
      <c r="B11769">
        <f>B11754</f>
        <v>51</v>
      </c>
      <c r="C11769" t="str">
        <v>Tul Bawah Tumpuan</v>
      </c>
      <c r="D11769">
        <f>VLOOKUP(D11754,'Detail Balok'!$C$10:$AU$110,22,FALSE)</f>
        <v>2</v>
      </c>
      <c r="E11769" t="str">
        <v>D</v>
      </c>
      <c r="F11769">
        <f>VLOOKUP(D11754,'Detail Balok'!$C$10:$AU$110,24,FALSE)</f>
        <v>16</v>
      </c>
      <c r="I11769" t="str">
        <v>(</v>
      </c>
      <c r="J11769">
        <f>+J11761</f>
        <v>0.225</v>
      </c>
      <c r="K11769" t="str">
        <v>+</v>
      </c>
      <c r="L11769">
        <f>MAX(VLOOKUP(F11769,N$6:P$15,3,FALSE)/1000,2/3*D11759/1000)+F$16*F11769/1000</f>
        <v>0.192</v>
      </c>
      <c r="M11769" t="str">
        <v>=</v>
      </c>
      <c r="N11769">
        <f>J11769+L11769</f>
        <v>0.41700000000000004</v>
      </c>
      <c r="O11769" t="str">
        <v>+</v>
      </c>
      <c r="P11769">
        <f>D11769-D11770</f>
        <v>0</v>
      </c>
      <c r="Q11769" t="str">
        <v>x</v>
      </c>
      <c r="R11769">
        <f>IF(P11769&gt;0,$F$18*F11769/1000,0)</f>
        <v>0</v>
      </c>
      <c r="S11769" t="str">
        <v>)</v>
      </c>
      <c r="T11769" t="str">
        <v>x</v>
      </c>
      <c r="U11769">
        <f>0.006165*F11769^2</f>
        <v>1.57824</v>
      </c>
      <c r="X11769" t="str">
        <v>x</v>
      </c>
      <c r="Y11769">
        <f>D11760</f>
        <v>1</v>
      </c>
      <c r="Z11769" t="str">
        <v>=</v>
      </c>
      <c r="AA11769">
        <f>IF(AA11772=0,(D11769*N11769+P11769*R11769)*U11769*Y11769,0)</f>
        <v>0</v>
      </c>
    </row>
    <row r="11770">
      <c r="A11770" t="str">
        <f>A11754</f>
        <v>Lantai Atap</v>
      </c>
      <c r="B11770">
        <f>B11754</f>
        <v>51</v>
      </c>
      <c r="C11770" t="str">
        <v>Tul Bawah Lapangan</v>
      </c>
      <c r="D11770">
        <f>VLOOKUP(D11754,'Detail Balok'!$C$10:$AU$110,25,FALSE)</f>
        <v>2</v>
      </c>
      <c r="E11770" t="str">
        <v>D</v>
      </c>
      <c r="F11770">
        <f>VLOOKUP(D11754,'Detail Balok'!$C$10:$AU$110,27,FALSE)</f>
        <v>16</v>
      </c>
      <c r="I11770" t="str">
        <v>(</v>
      </c>
      <c r="J11770">
        <f>+J11762</f>
        <v>0.45</v>
      </c>
      <c r="K11770" t="str">
        <v>+</v>
      </c>
      <c r="M11770" t="str">
        <v>=</v>
      </c>
      <c r="N11770">
        <f>J11770+L11770</f>
        <v>0.45</v>
      </c>
      <c r="O11770" t="str">
        <v>+</v>
      </c>
      <c r="P11770">
        <f>MAX(D11770-D11769,D11770-D11771)</f>
        <v>0</v>
      </c>
      <c r="Q11770" t="str">
        <v>x</v>
      </c>
      <c r="R11770">
        <f>IF(P11770&gt;0,2*(1-2*$F$19-1/2)*D11757/1000,0)</f>
        <v>0</v>
      </c>
      <c r="S11770" t="str">
        <v>)</v>
      </c>
      <c r="T11770" t="str">
        <v>x</v>
      </c>
      <c r="U11770">
        <f>0.006165*F11770^2</f>
        <v>1.57824</v>
      </c>
      <c r="X11770" t="str">
        <v>x</v>
      </c>
      <c r="Y11770">
        <f>D11760</f>
        <v>1</v>
      </c>
      <c r="Z11770" t="str">
        <v>=</v>
      </c>
      <c r="AA11770">
        <f>IF(AA11772=0,(D11770*N11770+P11770*R11770)*U11770*Y11770,0)</f>
        <v>0</v>
      </c>
    </row>
    <row r="11771">
      <c r="A11771" t="str">
        <f>A11754</f>
        <v>Lantai Atap</v>
      </c>
      <c r="B11771">
        <f>B11754</f>
        <v>51</v>
      </c>
      <c r="C11771" t="str">
        <v>Tul Bawah Tumpuan</v>
      </c>
      <c r="D11771">
        <f>VLOOKUP(D11754,'Detail Balok'!$C$10:$AU$110,28,FALSE)</f>
        <v>2</v>
      </c>
      <c r="E11771" t="str">
        <v>D</v>
      </c>
      <c r="F11771">
        <f>VLOOKUP(D11754,'Detail Balok'!$C$10:$AU$110,30,FALSE)</f>
        <v>16</v>
      </c>
      <c r="I11771" t="str">
        <v>(</v>
      </c>
      <c r="J11771">
        <f>+J11763</f>
        <v>0.225</v>
      </c>
      <c r="K11771" t="str">
        <v>+</v>
      </c>
      <c r="L11771">
        <f>MAX(VLOOKUP(F11771,N$6:P$15,3,FALSE)/1000,2/3*D11759/1000)+F$16*F11771/1000</f>
        <v>0.192</v>
      </c>
      <c r="M11771" t="str">
        <v>=</v>
      </c>
      <c r="N11771">
        <f>J11771+L11771</f>
        <v>0.41700000000000004</v>
      </c>
      <c r="O11771" t="str">
        <v>+</v>
      </c>
      <c r="P11771">
        <f>D11771-D11770</f>
        <v>0</v>
      </c>
      <c r="Q11771" t="str">
        <v>x</v>
      </c>
      <c r="R11771">
        <f>IF(P11771&gt;0,$F$18*F11771/1000,0)</f>
        <v>0</v>
      </c>
      <c r="S11771" t="str">
        <v>)</v>
      </c>
      <c r="T11771" t="str">
        <v>x</v>
      </c>
      <c r="U11771">
        <f>0.006165*F11771^2</f>
        <v>1.57824</v>
      </c>
      <c r="X11771" t="str">
        <v>x</v>
      </c>
      <c r="Y11771">
        <f>D11760</f>
        <v>1</v>
      </c>
      <c r="Z11771" t="str">
        <v>=</v>
      </c>
      <c r="AA11771">
        <f>IF(AA11772=0,(D11771*N11771+P11771*R11771)*U11771*Y11771,0)</f>
        <v>0</v>
      </c>
    </row>
    <row r="11772">
      <c r="A11772" t="str">
        <f>A11754</f>
        <v>Lantai Atap</v>
      </c>
      <c r="B11772">
        <f>B11754</f>
        <v>51</v>
      </c>
      <c r="D11772">
        <f>IF(AND(D11769=D11770,D11770=D11771,D11769=D11771),D11769,0)</f>
        <v>2</v>
      </c>
      <c r="E11772" t="str">
        <v>D</v>
      </c>
      <c r="F11772">
        <f>IF(AND(F11769=F11770,F11769=F11771,F11770=F11771),F11769,0)</f>
        <v>16</v>
      </c>
      <c r="L11772" t="str">
        <v>Total panjang per balok</v>
      </c>
      <c r="M11772" t="str">
        <v>=</v>
      </c>
      <c r="N11772">
        <f>IF(AND(D11769=D11770,D11769=D11771,D11770=D11771,F11769=F11770,F11769=F11771,F11770=F11771),SUM(N11769:N11771),0)</f>
        <v>1.284</v>
      </c>
      <c r="O11772" t="str">
        <v>+</v>
      </c>
      <c r="P11772">
        <f>IF(N11772&gt;12,ROUNDDOWN(N11772/12,0),0)</f>
        <v>0</v>
      </c>
      <c r="Q11772" t="str">
        <v>x</v>
      </c>
      <c r="R11772">
        <f>IF(P11772&gt;0,MAX(VLOOKUP(F11772,$D$6:$G$15,3,FALSE),600),0)/1000</f>
        <v>0</v>
      </c>
      <c r="T11772" t="str">
        <v>x</v>
      </c>
      <c r="U11772">
        <f>U11771</f>
        <v>1.57824</v>
      </c>
      <c r="V11772" t="str">
        <v>x</v>
      </c>
      <c r="W11772">
        <f>D11772</f>
        <v>2</v>
      </c>
      <c r="X11772" t="str">
        <v>x</v>
      </c>
      <c r="Y11772">
        <f>Y11771</f>
        <v>1</v>
      </c>
      <c r="Z11772" t="str">
        <v>=</v>
      </c>
      <c r="AA11772">
        <f>(N11772+P11772*R11772/1000)*U11772*W11772*Y11772</f>
        <v>4.05292032</v>
      </c>
    </row>
    <row r="11774">
      <c r="A11774" t="str">
        <f>A11754</f>
        <v>Lantai Atap</v>
      </c>
      <c r="B11774">
        <f>B11754</f>
        <v>51</v>
      </c>
      <c r="C11774" t="str">
        <v>Sengkang Tumpuan</v>
      </c>
      <c r="D11774">
        <f>VLOOKUP(D11754,'Detail Balok'!$C$10:$AU$110,31,FALSE)</f>
        <v>0</v>
      </c>
      <c r="E11774" t="str">
        <v>D</v>
      </c>
      <c r="F11774">
        <f>VLOOKUP(D11754,'Detail Balok'!$C$10:$AU$110,33,FALSE)</f>
        <v>8</v>
      </c>
      <c r="G11774" t="str">
        <v>-</v>
      </c>
      <c r="H11774">
        <f>VLOOKUP(D11754,'Detail Balok'!$C$10:$AU$110,35,FALSE)</f>
        <v>100</v>
      </c>
      <c r="J11774">
        <f>(IF(D11774=0,(2*(D11755+G11755))-(F$5*8),IF(D11774=3,(2*(D11755+G11755))-(F$5*8)+(G11755-2*F$5),IF(D11774=4,(2*(D11755+G11755))-(F$5*8)+2*(G11755-2*F$5)))))/1000</f>
        <v>0.88</v>
      </c>
      <c r="K11774" t="str">
        <v>+</v>
      </c>
      <c r="L11774">
        <f>IF(D11774=0,2*MAX(6*F11774,75),(D11774-1)*2*MAX(6*F11774,75))/1000</f>
        <v>0.15</v>
      </c>
      <c r="M11774" t="str">
        <v>=</v>
      </c>
      <c r="N11774">
        <f>J11774+L11774</f>
        <v>1.03</v>
      </c>
      <c r="T11774" t="str">
        <v>x</v>
      </c>
      <c r="U11774">
        <f>0.006165*F11774^2</f>
        <v>0.39456</v>
      </c>
      <c r="V11774" t="str">
        <v>x</v>
      </c>
      <c r="W11774">
        <f>IF(D11757&gt;4*G11755,ROUND(MAX(D11757/4,2*G11755)/H11774,0)+1,ROUND(D11757/H11774,0)+1)</f>
        <v>10</v>
      </c>
      <c r="X11774" t="str">
        <v>x</v>
      </c>
      <c r="Y11774">
        <f>D11760</f>
        <v>1</v>
      </c>
      <c r="Z11774" t="str">
        <v>=</v>
      </c>
      <c r="AA11774">
        <f>N11774*U11774*W11774*Y11774</f>
        <v>4.063968000000001</v>
      </c>
    </row>
    <row r="11775">
      <c r="A11775" t="str">
        <f>A11754</f>
        <v>Lantai Atap</v>
      </c>
      <c r="B11775">
        <f>B11754</f>
        <v>51</v>
      </c>
      <c r="C11775" t="str">
        <v>Sengkang Lapangan</v>
      </c>
      <c r="D11775">
        <f>VLOOKUP(D11754,'Detail Balok'!$C$10:$AU$110,36,FALSE)</f>
        <v>0</v>
      </c>
      <c r="E11775" t="str">
        <v>D</v>
      </c>
      <c r="F11775">
        <f>VLOOKUP(D11754,'Detail Balok'!$C$10:$AU$110,38,FALSE)</f>
        <v>8</v>
      </c>
      <c r="G11775" t="str">
        <v>-</v>
      </c>
      <c r="H11775">
        <f>VLOOKUP(D11754,'Detail Balok'!$C$10:$AU$110,40,FALSE)</f>
        <v>200</v>
      </c>
      <c r="J11775">
        <f>(IF(D11775=0,(2*(D11755+G11755))-(F$5*8),IF(D11775=3,(2*(D11755+G11755))-(F$5*8)+(G11755-2*F$5),IF(D11775=4,(2*(D11755+G11755))-(F$5*8)+2*(G11755-2*F$5)))))/1000</f>
        <v>0.88</v>
      </c>
      <c r="K11775" t="str">
        <v>+</v>
      </c>
      <c r="L11775">
        <f>IF(D11775=0,2*MAX(6*F11775,75),(D11775-1)*2*MAX(6*F11775,75))/1000</f>
        <v>0.15</v>
      </c>
      <c r="M11775" t="str">
        <v>=</v>
      </c>
      <c r="N11775">
        <f>J11775+L11775</f>
        <v>1.03</v>
      </c>
      <c r="T11775" t="str">
        <v>x</v>
      </c>
      <c r="U11775">
        <f>0.006165*F11775^2</f>
        <v>0.39456</v>
      </c>
      <c r="V11775" t="str">
        <v>x</v>
      </c>
      <c r="W11775">
        <f>IF(D11757-MAX(D11757/4,2*G11755)*2&gt;0,ROUND((D11757-MAX(D11757/4,2*G11755)*2)/H11775,0),0)</f>
        <v>0</v>
      </c>
      <c r="X11775" t="str">
        <v>x</v>
      </c>
      <c r="Y11775">
        <f>D11760</f>
        <v>1</v>
      </c>
      <c r="Z11775" t="str">
        <v>=</v>
      </c>
      <c r="AA11775">
        <f>N11775*U11775*W11775*Y11775</f>
        <v>0</v>
      </c>
    </row>
    <row r="11776">
      <c r="A11776" t="str">
        <f>A11754</f>
        <v>Lantai Atap</v>
      </c>
      <c r="B11776">
        <f>B11754</f>
        <v>51</v>
      </c>
      <c r="C11776" t="str">
        <v>Sengkang Tumpuan</v>
      </c>
      <c r="D11776">
        <f>VLOOKUP(D11754,'Detail Balok'!$C$10:$AU$110,41,FALSE)</f>
        <v>0</v>
      </c>
      <c r="E11776" t="str">
        <v>D</v>
      </c>
      <c r="F11776">
        <f>VLOOKUP(D11754,'Detail Balok'!$C$10:$AU$110,43,FALSE)</f>
        <v>8</v>
      </c>
      <c r="G11776" t="str">
        <v>-</v>
      </c>
      <c r="H11776">
        <f>VLOOKUP(D11754,'Detail Balok'!$C$10:$AU$110,45,FALSE)</f>
        <v>100</v>
      </c>
      <c r="J11776">
        <f>(IF(D11776=0,(2*(D11755+G11755))-(F$5*8),IF(D11776=3,(2*(D11755+G11755))-(F$5*8)+(G11755-2*F$5),IF(D11776=4,(2*(D11755+G11755))-(F$5*8)+2*(G11755-2*F$5)))))/1000</f>
        <v>0.88</v>
      </c>
      <c r="K11776" t="str">
        <v>+</v>
      </c>
      <c r="L11776">
        <f>IF(D11776=0,2*MAX(6*F11776,75),(D11776-1)*2*MAX(6*F11776,75))/1000</f>
        <v>0.15</v>
      </c>
      <c r="M11776" t="str">
        <v>=</v>
      </c>
      <c r="N11776">
        <f>J11776+L11776</f>
        <v>1.03</v>
      </c>
      <c r="T11776" t="str">
        <v>x</v>
      </c>
      <c r="U11776">
        <f>0.006165*F11776^2</f>
        <v>0.39456</v>
      </c>
      <c r="V11776" t="str">
        <v>x</v>
      </c>
      <c r="W11776">
        <f>IF(D11757&gt;4*G11755,ROUND(MAX(D11757/4,2*G11755)/H11776,0)+1,0)</f>
        <v>0</v>
      </c>
      <c r="X11776" t="str">
        <v>x</v>
      </c>
      <c r="Y11776">
        <f>D11760</f>
        <v>1</v>
      </c>
      <c r="Z11776" t="str">
        <v>=</v>
      </c>
      <c r="AA11776">
        <f>N11776*U11776*W11776*Y11776</f>
        <v>0</v>
      </c>
    </row>
    <row r="11778">
      <c r="A11778" t="str">
        <f>A11754</f>
        <v>Lantai Atap</v>
      </c>
      <c r="B11778">
        <f>B11754</f>
        <v>51</v>
      </c>
      <c r="C11778" t="str">
        <v>Kait Horizontal Tump.</v>
      </c>
      <c r="D11778">
        <f>VLOOKUP(D11754,'Detail Balok'!$C$10:$BJ$110,46,FALSE)</f>
        <v>0</v>
      </c>
      <c r="E11778" t="str">
        <v>D</v>
      </c>
      <c r="F11778">
        <f>VLOOKUP(D11754,'Detail Balok'!$C$10:$BJ$110,48,FALSE)</f>
        <v>0</v>
      </c>
      <c r="G11778" t="str">
        <v>-</v>
      </c>
      <c r="H11778">
        <f>VLOOKUP(D11754,'Detail Balok'!$C$10:$BJ$110,50,FALSE)</f>
        <v>100</v>
      </c>
      <c r="J11778">
        <f>(D11755-2*F$5)/1000</f>
        <v>0.12</v>
      </c>
      <c r="K11778" t="str">
        <v>+</v>
      </c>
      <c r="L11778">
        <f>IF(D11778=0,2*MAX(6*F11778,75),(D11778-1)*2*MAX(6*F11778,75))/1000</f>
        <v>0.15</v>
      </c>
      <c r="M11778" t="str">
        <v>=</v>
      </c>
      <c r="N11778">
        <f>J11778+L11778</f>
        <v>0.27</v>
      </c>
      <c r="T11778" t="str">
        <v>x</v>
      </c>
      <c r="U11778">
        <f>0.006165*F11778^2</f>
        <v>0</v>
      </c>
      <c r="V11778" t="str">
        <v>x</v>
      </c>
      <c r="W11778">
        <f>W11774</f>
        <v>10</v>
      </c>
      <c r="X11778" t="str">
        <v>x</v>
      </c>
      <c r="Y11778">
        <f>D11764</f>
        <v>2</v>
      </c>
      <c r="Z11778" t="str">
        <v>=</v>
      </c>
      <c r="AA11778">
        <f>N11778*U11778*W11778*Y11778</f>
        <v>0</v>
      </c>
    </row>
    <row r="11779">
      <c r="A11779" t="str">
        <f>A11754</f>
        <v>Lantai Atap</v>
      </c>
      <c r="B11779">
        <f>B11754</f>
        <v>51</v>
      </c>
      <c r="C11779" t="str">
        <v>Kait Horizontal Lap.</v>
      </c>
      <c r="D11779">
        <f>VLOOKUP(D11754,'Detail Balok'!$C$10:$BJ$110,51,FALSE)</f>
        <v>0</v>
      </c>
      <c r="E11779" t="str">
        <v>D</v>
      </c>
      <c r="F11779">
        <f>VLOOKUP(D11754,'Detail Balok'!$C$10:$BJ$110,53,FALSE)</f>
        <v>0</v>
      </c>
      <c r="G11779" t="str">
        <v>-</v>
      </c>
      <c r="H11779">
        <f>VLOOKUP(D11754,'Detail Balok'!$C$10:$BJ$110,55,FALSE)</f>
        <v>100</v>
      </c>
      <c r="J11779">
        <f>(D11755-2*F$5)/1000</f>
        <v>0.12</v>
      </c>
      <c r="K11779" t="str">
        <v>+</v>
      </c>
      <c r="L11779">
        <f>IF(D11779=0,2*MAX(6*F11779,75),(D11779-1)*2*MAX(6*F11779,75))/1000</f>
        <v>0.15</v>
      </c>
      <c r="M11779" t="str">
        <v>=</v>
      </c>
      <c r="N11779">
        <f>J11779+L11779</f>
        <v>0.27</v>
      </c>
      <c r="T11779" t="str">
        <v>x</v>
      </c>
      <c r="U11779">
        <f>0.006165*F11779^2</f>
        <v>0</v>
      </c>
      <c r="V11779" t="str">
        <v>x</v>
      </c>
      <c r="W11779">
        <f>W11775</f>
        <v>0</v>
      </c>
      <c r="X11779" t="str">
        <v>x</v>
      </c>
      <c r="Y11779">
        <f>D11764</f>
        <v>2</v>
      </c>
      <c r="Z11779" t="str">
        <v>=</v>
      </c>
      <c r="AA11779">
        <f>N11779*U11779*W11779*Y11779</f>
        <v>0</v>
      </c>
    </row>
    <row r="11780">
      <c r="A11780" t="str">
        <f>A11754</f>
        <v>Lantai Atap</v>
      </c>
      <c r="B11780">
        <f>B11754</f>
        <v>51</v>
      </c>
      <c r="C11780" t="str">
        <v>Kait Horizontal Tump.</v>
      </c>
      <c r="D11780">
        <f>VLOOKUP(D11754,'Detail Balok'!$C$10:$BJ$110,56,FALSE)</f>
        <v>0</v>
      </c>
      <c r="E11780" t="str">
        <v>D</v>
      </c>
      <c r="F11780">
        <f>VLOOKUP(D11754,'Detail Balok'!$C$10:$BJ$110,58,FALSE)</f>
        <v>0</v>
      </c>
      <c r="G11780" t="str">
        <v>-</v>
      </c>
      <c r="H11780">
        <f>VLOOKUP(D11754,'Detail Balok'!$C$10:$BJ$110,60,FALSE)</f>
        <v>100</v>
      </c>
      <c r="J11780">
        <f>(D11755-2*F$5)/1000</f>
        <v>0.12</v>
      </c>
      <c r="K11780" t="str">
        <v>+</v>
      </c>
      <c r="L11780">
        <f>IF(D11780=0,2*MAX(6*F11780,75),(D11780-1)*2*MAX(6*F11780,75))/1000</f>
        <v>0.15</v>
      </c>
      <c r="M11780" t="str">
        <v>=</v>
      </c>
      <c r="N11780">
        <f>J11780+L11780</f>
        <v>0.27</v>
      </c>
      <c r="T11780" t="str">
        <v>x</v>
      </c>
      <c r="U11780">
        <f>0.006165*F11780^2</f>
        <v>0</v>
      </c>
      <c r="V11780" t="str">
        <v>x</v>
      </c>
      <c r="W11780">
        <f>W11776</f>
        <v>0</v>
      </c>
      <c r="X11780" t="str">
        <v>x</v>
      </c>
      <c r="Y11780">
        <f>D11764</f>
        <v>2</v>
      </c>
      <c r="Z11780" t="str">
        <v>=</v>
      </c>
      <c r="AA11780">
        <f>N11780*U11780*W11780*Y11780</f>
        <v>0</v>
      </c>
    </row>
    <row r="11784">
      <c r="A11784" t="str">
        <f>A11754</f>
        <v>Lantai Atap</v>
      </c>
      <c r="B11784">
        <f>B11754+1</f>
        <v>52</v>
      </c>
      <c r="C11784" t="str">
        <f>CONCATENATE(A11784," no. ",B11784)</f>
        <v>Lantai Atap no. 52</v>
      </c>
      <c r="D11784" t="str">
        <f>VLOOKUP(C11784,'Data Panjang Balok'!$C$9:$N$424,2,FALSE)</f>
        <v>B24-3</v>
      </c>
    </row>
    <row r="11785">
      <c r="C11785" t="str">
        <v>Dimensi</v>
      </c>
      <c r="D11785">
        <f>VLOOKUP(D11784,'Detail Balok'!$C$10:$AU$110,2,FALSE)</f>
        <v>200</v>
      </c>
      <c r="F11785" t="str">
        <v>x</v>
      </c>
      <c r="G11785">
        <f>VLOOKUP(D11784,'Detail Balok'!$C$10:$AU$110,3,FALSE)</f>
        <v>400</v>
      </c>
    </row>
    <row r="11786">
      <c r="C11786" t="str">
        <v>Panjang as ke as</v>
      </c>
      <c r="D11786">
        <f>VLOOKUP(C11784,'Data Panjang Balok'!$C$9:$N$424,4,FALSE)</f>
        <v>5700</v>
      </c>
    </row>
    <row r="11787">
      <c r="C11787" t="str">
        <v>Panjang netto</v>
      </c>
      <c r="D11787">
        <f>VLOOKUP(C11784,'Data Panjang Balok'!$C$9:$N$424,7,FALSE)</f>
        <v>5700</v>
      </c>
    </row>
    <row r="11788">
      <c r="C11788" t="str">
        <v>Kolom / balok kiri</v>
      </c>
      <c r="D11788">
        <f>VLOOKUP(C11784,'Data Panjang Balok'!$C$9:$N$424,9,FALSE)</f>
        <v>0</v>
      </c>
    </row>
    <row r="11789">
      <c r="C11789" t="str">
        <v>Kolom / balok kanan</v>
      </c>
      <c r="D11789">
        <f>VLOOKUP(C11784,'Data Panjang Balok'!$C$9:$N$424,10,FALSE)</f>
        <v>0</v>
      </c>
    </row>
    <row r="11790">
      <c r="C11790" t="str">
        <v>Jumlah</v>
      </c>
      <c r="D11790">
        <f>VLOOKUP(C11784,'Data Panjang Balok'!$C$9:$N$424,3,FALSE)</f>
        <v>1</v>
      </c>
    </row>
    <row r="11791">
      <c r="A11791" t="str">
        <f>A11784</f>
        <v>Lantai Atap</v>
      </c>
      <c r="B11791">
        <f>B11784</f>
        <v>52</v>
      </c>
      <c r="C11791" t="str">
        <v>Tul Atas Tumpuan</v>
      </c>
      <c r="D11791">
        <f>VLOOKUP(D11784,'Detail Balok'!$C$10:$AU$110,4,FALSE)</f>
        <v>3</v>
      </c>
      <c r="E11791" t="str">
        <v>D</v>
      </c>
      <c r="F11791">
        <f>VLOOKUP(D11784,'Detail Balok'!$C$10:$AU$110,6,FALSE)</f>
        <v>16</v>
      </c>
      <c r="I11791" t="str">
        <v>(</v>
      </c>
      <c r="J11791">
        <f>+D11786/4/1000</f>
        <v>1.425</v>
      </c>
      <c r="K11791" t="str">
        <v>+</v>
      </c>
      <c r="L11791">
        <f>MAX(VLOOKUP(F11791,N$6:P$15,3,FALSE)/1000,2/3*D11788/1000)+F$16*F11791/1000</f>
        <v>0.192</v>
      </c>
      <c r="M11791" t="str">
        <v>=</v>
      </c>
      <c r="N11791">
        <f>J11791+L11791</f>
        <v>1.617</v>
      </c>
      <c r="O11791" t="str">
        <v>+</v>
      </c>
      <c r="P11791">
        <f>D11791-D11792</f>
        <v>0</v>
      </c>
      <c r="Q11791" t="str">
        <v>x</v>
      </c>
      <c r="R11791">
        <f>IF(P11791&gt;0,$F$18*F11791/1000,0)</f>
        <v>0</v>
      </c>
      <c r="S11791" t="str">
        <v>)</v>
      </c>
      <c r="T11791" t="str">
        <v>x</v>
      </c>
      <c r="U11791">
        <f>0.006165*F11791^2</f>
        <v>1.57824</v>
      </c>
      <c r="X11791" t="str">
        <v>x</v>
      </c>
      <c r="Y11791">
        <f>D11790</f>
        <v>1</v>
      </c>
      <c r="Z11791" t="str">
        <v>=</v>
      </c>
      <c r="AA11791">
        <f>IF(AA11794=0,(D11791*N11791+P11791*R11791)*U11791*Y11791,0)</f>
        <v>0</v>
      </c>
    </row>
    <row r="11792">
      <c r="A11792" t="str">
        <f>A11784</f>
        <v>Lantai Atap</v>
      </c>
      <c r="B11792">
        <f>B11784</f>
        <v>52</v>
      </c>
      <c r="C11792" t="str">
        <v>Tul Atas Lapangan</v>
      </c>
      <c r="D11792">
        <f>VLOOKUP(D11784,'Detail Balok'!$C$10:$AU$110,7,FALSE)</f>
        <v>3</v>
      </c>
      <c r="E11792" t="str">
        <v>D</v>
      </c>
      <c r="F11792">
        <f>VLOOKUP(D11784,'Detail Balok'!$C$10:$AU$110,9,FALSE)</f>
        <v>16</v>
      </c>
      <c r="I11792" t="str">
        <v>(</v>
      </c>
      <c r="J11792">
        <f>+D11786/2/1000</f>
        <v>2.85</v>
      </c>
      <c r="K11792" t="str">
        <v>+</v>
      </c>
      <c r="M11792" t="str">
        <v>=</v>
      </c>
      <c r="N11792">
        <f>J11792+L11792</f>
        <v>2.85</v>
      </c>
      <c r="O11792" t="str">
        <v>+</v>
      </c>
      <c r="P11792">
        <f>MAX(D11792-D11791,D11792-D11793)</f>
        <v>0</v>
      </c>
      <c r="Q11792" t="str">
        <v>x</v>
      </c>
      <c r="R11792">
        <f>IF(P11792&gt;0,2*(1-2*$F$19-1/2)*D11787/1000,0)</f>
        <v>0</v>
      </c>
      <c r="S11792" t="str">
        <v>)</v>
      </c>
      <c r="T11792" t="str">
        <v>x</v>
      </c>
      <c r="U11792">
        <f>0.006165*F11792^2</f>
        <v>1.57824</v>
      </c>
      <c r="X11792" t="str">
        <v>x</v>
      </c>
      <c r="Y11792">
        <f>D11790</f>
        <v>1</v>
      </c>
      <c r="Z11792" t="str">
        <v>=</v>
      </c>
      <c r="AA11792">
        <f>IF(AA11794=0,(D11792*N11792+P11792*R11792)*U11792*Y11792,0)</f>
        <v>0</v>
      </c>
    </row>
    <row r="11793">
      <c r="A11793" t="str">
        <f>A11784</f>
        <v>Lantai Atap</v>
      </c>
      <c r="B11793">
        <f>B11784</f>
        <v>52</v>
      </c>
      <c r="C11793" t="str">
        <v>Tul Atas Tumpuan</v>
      </c>
      <c r="D11793">
        <f>VLOOKUP(D11784,'Detail Balok'!$C$10:$AU$110,10,FALSE)</f>
        <v>3</v>
      </c>
      <c r="E11793" t="str">
        <v>D</v>
      </c>
      <c r="F11793">
        <f>VLOOKUP(D11784,'Detail Balok'!$C$10:$AU$110,12,FALSE)</f>
        <v>16</v>
      </c>
      <c r="I11793" t="str">
        <v>(</v>
      </c>
      <c r="J11793">
        <f>+D11786/4/1000</f>
        <v>1.425</v>
      </c>
      <c r="K11793" t="str">
        <v>+</v>
      </c>
      <c r="L11793">
        <f>MAX(VLOOKUP(F11793,N$6:P$15,3,FALSE)/1000,2/3*D11788/1000)+F$16*F11793/1000</f>
        <v>0.192</v>
      </c>
      <c r="M11793" t="str">
        <v>=</v>
      </c>
      <c r="N11793">
        <f>J11793+L11793</f>
        <v>1.617</v>
      </c>
      <c r="O11793" t="str">
        <v>+</v>
      </c>
      <c r="P11793">
        <f>D11793-D11792</f>
        <v>0</v>
      </c>
      <c r="Q11793" t="str">
        <v>x</v>
      </c>
      <c r="R11793">
        <f>IF(P11793&gt;0,$F$18*F11793/1000,0)</f>
        <v>0</v>
      </c>
      <c r="S11793" t="str">
        <v>)</v>
      </c>
      <c r="T11793" t="str">
        <v>x</v>
      </c>
      <c r="U11793">
        <f>0.006165*F11793^2</f>
        <v>1.57824</v>
      </c>
      <c r="X11793" t="str">
        <v>x</v>
      </c>
      <c r="Y11793">
        <f>D11790</f>
        <v>1</v>
      </c>
      <c r="Z11793" t="str">
        <v>=</v>
      </c>
      <c r="AA11793">
        <f>IF(AA11794=0,(D11793*N11793+P11793*R11793)*U11793*Y11793,0)</f>
        <v>0</v>
      </c>
    </row>
    <row r="11794">
      <c r="A11794" t="str">
        <f>A11784</f>
        <v>Lantai Atap</v>
      </c>
      <c r="B11794">
        <f>B11784</f>
        <v>52</v>
      </c>
      <c r="D11794">
        <f>IF(AND(D11791=D11792,D11792=D11793,D11791=D11793),D11791,0)</f>
        <v>3</v>
      </c>
      <c r="E11794" t="str">
        <v>D</v>
      </c>
      <c r="F11794">
        <f>IF(AND(F11791=F11792,F11791=F11793,F11792=F11793),F11791,0)</f>
        <v>16</v>
      </c>
      <c r="L11794" t="str">
        <v>Total panjang per balok</v>
      </c>
      <c r="M11794" t="str">
        <v>=</v>
      </c>
      <c r="N11794">
        <f>IF(AND(D11791=D11792,D11791=D11793,D11792=D11793,F11791=F11792,F11791=F11793,F11792=F11793),SUM(N11791:N11793),0)</f>
        <v>6.0840000000000005</v>
      </c>
      <c r="O11794" t="str">
        <v>+</v>
      </c>
      <c r="P11794">
        <f>IF(N11794&gt;12,ROUNDDOWN(N11794/12,0),0)</f>
        <v>0</v>
      </c>
      <c r="Q11794" t="str">
        <v>x</v>
      </c>
      <c r="R11794">
        <f>IF(P11794&gt;0,MAX(VLOOKUP(F11794,$D$6:$G$15,3,FALSE),600),0)/1000</f>
        <v>0</v>
      </c>
      <c r="T11794" t="str">
        <v>x</v>
      </c>
      <c r="U11794">
        <f>U11793</f>
        <v>1.57824</v>
      </c>
      <c r="V11794" t="str">
        <v>x</v>
      </c>
      <c r="W11794">
        <f>D11794</f>
        <v>3</v>
      </c>
      <c r="X11794" t="str">
        <v>x</v>
      </c>
      <c r="Y11794">
        <f>Y11793</f>
        <v>1</v>
      </c>
      <c r="Z11794" t="str">
        <v>=</v>
      </c>
      <c r="AA11794">
        <f>(N11794+P11794*R11794/1000)*U11794*W11794*Y11794</f>
        <v>28.806036480000003</v>
      </c>
    </row>
    <row r="11796">
      <c r="A11796" t="str">
        <f>A11784</f>
        <v>Lantai Atap</v>
      </c>
      <c r="B11796">
        <f>B11784</f>
        <v>52</v>
      </c>
      <c r="C11796" t="str">
        <v>Tul Peminggang</v>
      </c>
      <c r="D11796">
        <f>VLOOKUP(D11784,'Detail Balok'!$C$10:$AU$110,13,FALSE)</f>
        <v>0</v>
      </c>
      <c r="E11796" t="str">
        <v>D</v>
      </c>
      <c r="F11796">
        <f>VLOOKUP(D11784,'Detail Balok'!$C$10:$AU$110,15,FALSE)</f>
        <v>6</v>
      </c>
      <c r="J11796">
        <f>+D11786/1000</f>
        <v>5.7</v>
      </c>
      <c r="K11796" t="str">
        <v>+</v>
      </c>
      <c r="L11796">
        <f>2*$F$16*F11796/1000</f>
        <v>0.144</v>
      </c>
      <c r="M11796" t="str">
        <v>=</v>
      </c>
      <c r="N11796">
        <f>J11796+L11796</f>
        <v>5.844</v>
      </c>
      <c r="O11796" t="str">
        <v>+</v>
      </c>
      <c r="P11796">
        <f>IF(N11796&gt;12,ROUNDDOWN(N11796/12,0),0)</f>
        <v>0</v>
      </c>
      <c r="Q11796" t="str">
        <v>x</v>
      </c>
      <c r="R11796">
        <f>IF(P11796&gt;0,MAX(VLOOKUP(F11796,$D$6:$G$15,3,FALSE),600),0)/1000</f>
        <v>0</v>
      </c>
      <c r="T11796" t="str">
        <v>x</v>
      </c>
      <c r="U11796">
        <f>0.006165*F11796^2</f>
        <v>0.22194000000000003</v>
      </c>
      <c r="V11796" t="str">
        <v>x</v>
      </c>
      <c r="W11796">
        <f>+D11796</f>
        <v>0</v>
      </c>
      <c r="X11796" t="str">
        <v>x</v>
      </c>
      <c r="Y11796">
        <f>D11790</f>
        <v>1</v>
      </c>
      <c r="Z11796" t="str">
        <v>=</v>
      </c>
      <c r="AA11796">
        <f>(N11796+P11796*R11796/1000)*U11796*W11796*Y11796</f>
        <v>0</v>
      </c>
    </row>
    <row r="11799">
      <c r="A11799" t="str">
        <f>A11784</f>
        <v>Lantai Atap</v>
      </c>
      <c r="B11799">
        <f>B11784</f>
        <v>52</v>
      </c>
      <c r="C11799" t="str">
        <v>Tul Bawah Tumpuan</v>
      </c>
      <c r="D11799">
        <f>VLOOKUP(D11784,'Detail Balok'!$C$10:$AU$110,22,FALSE)</f>
        <v>3</v>
      </c>
      <c r="E11799" t="str">
        <v>D</v>
      </c>
      <c r="F11799">
        <f>VLOOKUP(D11784,'Detail Balok'!$C$10:$AU$110,24,FALSE)</f>
        <v>16</v>
      </c>
      <c r="I11799" t="str">
        <v>(</v>
      </c>
      <c r="J11799">
        <f>+J11791</f>
        <v>1.425</v>
      </c>
      <c r="K11799" t="str">
        <v>+</v>
      </c>
      <c r="L11799">
        <f>MAX(VLOOKUP(F11799,N$6:P$15,3,FALSE)/1000,2/3*D11789/1000)+F$16*F11799/1000</f>
        <v>0.192</v>
      </c>
      <c r="M11799" t="str">
        <v>=</v>
      </c>
      <c r="N11799">
        <f>J11799+L11799</f>
        <v>1.617</v>
      </c>
      <c r="O11799" t="str">
        <v>+</v>
      </c>
      <c r="P11799">
        <f>D11799-D11800</f>
        <v>0</v>
      </c>
      <c r="Q11799" t="str">
        <v>x</v>
      </c>
      <c r="R11799">
        <f>IF(P11799&gt;0,$F$18*F11799/1000,0)</f>
        <v>0</v>
      </c>
      <c r="S11799" t="str">
        <v>)</v>
      </c>
      <c r="T11799" t="str">
        <v>x</v>
      </c>
      <c r="U11799">
        <f>0.006165*F11799^2</f>
        <v>1.57824</v>
      </c>
      <c r="X11799" t="str">
        <v>x</v>
      </c>
      <c r="Y11799">
        <f>D11790</f>
        <v>1</v>
      </c>
      <c r="Z11799" t="str">
        <v>=</v>
      </c>
      <c r="AA11799">
        <f>IF(AA11802=0,(D11799*N11799+P11799*R11799)*U11799*Y11799,0)</f>
        <v>0</v>
      </c>
    </row>
    <row r="11800">
      <c r="A11800" t="str">
        <f>A11784</f>
        <v>Lantai Atap</v>
      </c>
      <c r="B11800">
        <f>B11784</f>
        <v>52</v>
      </c>
      <c r="C11800" t="str">
        <v>Tul Bawah Lapangan</v>
      </c>
      <c r="D11800">
        <f>VLOOKUP(D11784,'Detail Balok'!$C$10:$AU$110,25,FALSE)</f>
        <v>3</v>
      </c>
      <c r="E11800" t="str">
        <v>D</v>
      </c>
      <c r="F11800">
        <f>VLOOKUP(D11784,'Detail Balok'!$C$10:$AU$110,27,FALSE)</f>
        <v>16</v>
      </c>
      <c r="I11800" t="str">
        <v>(</v>
      </c>
      <c r="J11800">
        <f>+J11792</f>
        <v>2.85</v>
      </c>
      <c r="K11800" t="str">
        <v>+</v>
      </c>
      <c r="M11800" t="str">
        <v>=</v>
      </c>
      <c r="N11800">
        <f>J11800+L11800</f>
        <v>2.85</v>
      </c>
      <c r="O11800" t="str">
        <v>+</v>
      </c>
      <c r="P11800">
        <f>MAX(D11800-D11799,D11800-D11801)</f>
        <v>0</v>
      </c>
      <c r="Q11800" t="str">
        <v>x</v>
      </c>
      <c r="R11800">
        <f>IF(P11800&gt;0,2*(1-2*$F$19-1/2)*D11787/1000,0)</f>
        <v>0</v>
      </c>
      <c r="S11800" t="str">
        <v>)</v>
      </c>
      <c r="T11800" t="str">
        <v>x</v>
      </c>
      <c r="U11800">
        <f>0.006165*F11800^2</f>
        <v>1.57824</v>
      </c>
      <c r="X11800" t="str">
        <v>x</v>
      </c>
      <c r="Y11800">
        <f>D11790</f>
        <v>1</v>
      </c>
      <c r="Z11800" t="str">
        <v>=</v>
      </c>
      <c r="AA11800">
        <f>IF(AA11802=0,(D11800*N11800+P11800*R11800)*U11800*Y11800,0)</f>
        <v>0</v>
      </c>
    </row>
    <row r="11801">
      <c r="A11801" t="str">
        <f>A11784</f>
        <v>Lantai Atap</v>
      </c>
      <c r="B11801">
        <f>B11784</f>
        <v>52</v>
      </c>
      <c r="C11801" t="str">
        <v>Tul Bawah Tumpuan</v>
      </c>
      <c r="D11801">
        <f>VLOOKUP(D11784,'Detail Balok'!$C$10:$AU$110,28,FALSE)</f>
        <v>3</v>
      </c>
      <c r="E11801" t="str">
        <v>D</v>
      </c>
      <c r="F11801">
        <f>VLOOKUP(D11784,'Detail Balok'!$C$10:$AU$110,30,FALSE)</f>
        <v>16</v>
      </c>
      <c r="I11801" t="str">
        <v>(</v>
      </c>
      <c r="J11801">
        <f>+J11793</f>
        <v>1.425</v>
      </c>
      <c r="K11801" t="str">
        <v>+</v>
      </c>
      <c r="L11801">
        <f>MAX(VLOOKUP(F11801,N$6:P$15,3,FALSE)/1000,2/3*D11789/1000)+F$16*F11801/1000</f>
        <v>0.192</v>
      </c>
      <c r="M11801" t="str">
        <v>=</v>
      </c>
      <c r="N11801">
        <f>J11801+L11801</f>
        <v>1.617</v>
      </c>
      <c r="O11801" t="str">
        <v>+</v>
      </c>
      <c r="P11801">
        <f>D11801-D11800</f>
        <v>0</v>
      </c>
      <c r="Q11801" t="str">
        <v>x</v>
      </c>
      <c r="R11801">
        <f>IF(P11801&gt;0,$F$18*F11801/1000,0)</f>
        <v>0</v>
      </c>
      <c r="S11801" t="str">
        <v>)</v>
      </c>
      <c r="T11801" t="str">
        <v>x</v>
      </c>
      <c r="U11801">
        <f>0.006165*F11801^2</f>
        <v>1.57824</v>
      </c>
      <c r="X11801" t="str">
        <v>x</v>
      </c>
      <c r="Y11801">
        <f>D11790</f>
        <v>1</v>
      </c>
      <c r="Z11801" t="str">
        <v>=</v>
      </c>
      <c r="AA11801">
        <f>IF(AA11802=0,(D11801*N11801+P11801*R11801)*U11801*Y11801,0)</f>
        <v>0</v>
      </c>
    </row>
    <row r="11802">
      <c r="A11802" t="str">
        <f>A11784</f>
        <v>Lantai Atap</v>
      </c>
      <c r="B11802">
        <f>B11784</f>
        <v>52</v>
      </c>
      <c r="D11802">
        <f>IF(AND(D11799=D11800,D11800=D11801,D11799=D11801),D11799,0)</f>
        <v>3</v>
      </c>
      <c r="E11802" t="str">
        <v>D</v>
      </c>
      <c r="F11802">
        <f>IF(AND(F11799=F11800,F11799=F11801,F11800=F11801),F11799,0)</f>
        <v>16</v>
      </c>
      <c r="L11802" t="str">
        <v>Total panjang per balok</v>
      </c>
      <c r="M11802" t="str">
        <v>=</v>
      </c>
      <c r="N11802">
        <f>IF(AND(D11799=D11800,D11799=D11801,D11800=D11801,F11799=F11800,F11799=F11801,F11800=F11801),SUM(N11799:N11801),0)</f>
        <v>6.0840000000000005</v>
      </c>
      <c r="O11802" t="str">
        <v>+</v>
      </c>
      <c r="P11802">
        <f>IF(N11802&gt;12,ROUNDDOWN(N11802/12,0),0)</f>
        <v>0</v>
      </c>
      <c r="Q11802" t="str">
        <v>x</v>
      </c>
      <c r="R11802">
        <f>IF(P11802&gt;0,MAX(VLOOKUP(F11802,$D$6:$G$15,3,FALSE),600),0)/1000</f>
        <v>0</v>
      </c>
      <c r="T11802" t="str">
        <v>x</v>
      </c>
      <c r="U11802">
        <f>U11801</f>
        <v>1.57824</v>
      </c>
      <c r="V11802" t="str">
        <v>x</v>
      </c>
      <c r="W11802">
        <f>D11802</f>
        <v>3</v>
      </c>
      <c r="X11802" t="str">
        <v>x</v>
      </c>
      <c r="Y11802">
        <f>Y11801</f>
        <v>1</v>
      </c>
      <c r="Z11802" t="str">
        <v>=</v>
      </c>
      <c r="AA11802">
        <f>(N11802+P11802*R11802/1000)*U11802*W11802*Y11802</f>
        <v>28.806036480000003</v>
      </c>
    </row>
    <row r="11804">
      <c r="A11804" t="str">
        <f>A11784</f>
        <v>Lantai Atap</v>
      </c>
      <c r="B11804">
        <f>B11784</f>
        <v>52</v>
      </c>
      <c r="C11804" t="str">
        <v>Sengkang Tumpuan</v>
      </c>
      <c r="D11804">
        <f>VLOOKUP(D11784,'Detail Balok'!$C$10:$AU$110,31,FALSE)</f>
        <v>0</v>
      </c>
      <c r="E11804" t="str">
        <v>D</v>
      </c>
      <c r="F11804">
        <f>VLOOKUP(D11784,'Detail Balok'!$C$10:$AU$110,33,FALSE)</f>
        <v>10</v>
      </c>
      <c r="G11804" t="str">
        <v>-</v>
      </c>
      <c r="H11804">
        <f>VLOOKUP(D11784,'Detail Balok'!$C$10:$AU$110,35,FALSE)</f>
        <v>100</v>
      </c>
      <c r="J11804">
        <f>(IF(D11804=0,(2*(D11785+G11785))-(F$5*8),IF(D11804=3,(2*(D11785+G11785))-(F$5*8)+(G11785-2*F$5),IF(D11804=4,(2*(D11785+G11785))-(F$5*8)+2*(G11785-2*F$5)))))/1000</f>
        <v>0.88</v>
      </c>
      <c r="K11804" t="str">
        <v>+</v>
      </c>
      <c r="L11804">
        <f>IF(D11804=0,2*MAX(6*F11804,75),(D11804-1)*2*MAX(6*F11804,75))/1000</f>
        <v>0.15</v>
      </c>
      <c r="M11804" t="str">
        <v>=</v>
      </c>
      <c r="N11804">
        <f>J11804+L11804</f>
        <v>1.03</v>
      </c>
      <c r="T11804" t="str">
        <v>x</v>
      </c>
      <c r="U11804">
        <f>0.006165*F11804^2</f>
        <v>0.6165</v>
      </c>
      <c r="V11804" t="str">
        <v>x</v>
      </c>
      <c r="W11804">
        <f>IF(D11787&gt;4*G11785,ROUND(MAX(D11787/4,2*G11785)/H11804,0)+1,ROUND(D11787/H11804,0)+1)</f>
        <v>15</v>
      </c>
      <c r="X11804" t="str">
        <v>x</v>
      </c>
      <c r="Y11804">
        <f>D11790</f>
        <v>1</v>
      </c>
      <c r="Z11804" t="str">
        <v>=</v>
      </c>
      <c r="AA11804">
        <f>N11804*U11804*W11804*Y11804</f>
        <v>9.524925000000001</v>
      </c>
    </row>
    <row r="11805">
      <c r="A11805" t="str">
        <f>A11784</f>
        <v>Lantai Atap</v>
      </c>
      <c r="B11805">
        <f>B11784</f>
        <v>52</v>
      </c>
      <c r="C11805" t="str">
        <v>Sengkang Lapangan</v>
      </c>
      <c r="D11805">
        <f>VLOOKUP(D11784,'Detail Balok'!$C$10:$AU$110,36,FALSE)</f>
        <v>0</v>
      </c>
      <c r="E11805" t="str">
        <v>D</v>
      </c>
      <c r="F11805">
        <f>VLOOKUP(D11784,'Detail Balok'!$C$10:$AU$110,38,FALSE)</f>
        <v>10</v>
      </c>
      <c r="G11805" t="str">
        <v>-</v>
      </c>
      <c r="H11805">
        <f>VLOOKUP(D11784,'Detail Balok'!$C$10:$AU$110,40,FALSE)</f>
        <v>200</v>
      </c>
      <c r="J11805">
        <f>(IF(D11805=0,(2*(D11785+G11785))-(F$5*8),IF(D11805=3,(2*(D11785+G11785))-(F$5*8)+(G11785-2*F$5),IF(D11805=4,(2*(D11785+G11785))-(F$5*8)+2*(G11785-2*F$5)))))/1000</f>
        <v>0.88</v>
      </c>
      <c r="K11805" t="str">
        <v>+</v>
      </c>
      <c r="L11805">
        <f>IF(D11805=0,2*MAX(6*F11805,75),(D11805-1)*2*MAX(6*F11805,75))/1000</f>
        <v>0.15</v>
      </c>
      <c r="M11805" t="str">
        <v>=</v>
      </c>
      <c r="N11805">
        <f>J11805+L11805</f>
        <v>1.03</v>
      </c>
      <c r="T11805" t="str">
        <v>x</v>
      </c>
      <c r="U11805">
        <f>0.006165*F11805^2</f>
        <v>0.6165</v>
      </c>
      <c r="V11805" t="str">
        <v>x</v>
      </c>
      <c r="W11805">
        <f>IF(D11787-MAX(D11787/4,2*G11785)*2&gt;0,ROUND((D11787-MAX(D11787/4,2*G11785)*2)/H11805,0),0)</f>
        <v>14</v>
      </c>
      <c r="X11805" t="str">
        <v>x</v>
      </c>
      <c r="Y11805">
        <f>D11790</f>
        <v>1</v>
      </c>
      <c r="Z11805" t="str">
        <v>=</v>
      </c>
      <c r="AA11805">
        <f>N11805*U11805*W11805*Y11805</f>
        <v>8.889930000000001</v>
      </c>
    </row>
    <row r="11806">
      <c r="A11806" t="str">
        <f>A11784</f>
        <v>Lantai Atap</v>
      </c>
      <c r="B11806">
        <f>B11784</f>
        <v>52</v>
      </c>
      <c r="C11806" t="str">
        <v>Sengkang Tumpuan</v>
      </c>
      <c r="D11806">
        <f>VLOOKUP(D11784,'Detail Balok'!$C$10:$AU$110,41,FALSE)</f>
        <v>0</v>
      </c>
      <c r="E11806" t="str">
        <v>D</v>
      </c>
      <c r="F11806">
        <f>VLOOKUP(D11784,'Detail Balok'!$C$10:$AU$110,43,FALSE)</f>
        <v>10</v>
      </c>
      <c r="G11806" t="str">
        <v>-</v>
      </c>
      <c r="H11806">
        <f>VLOOKUP(D11784,'Detail Balok'!$C$10:$AU$110,45,FALSE)</f>
        <v>100</v>
      </c>
      <c r="J11806">
        <f>(IF(D11806=0,(2*(D11785+G11785))-(F$5*8),IF(D11806=3,(2*(D11785+G11785))-(F$5*8)+(G11785-2*F$5),IF(D11806=4,(2*(D11785+G11785))-(F$5*8)+2*(G11785-2*F$5)))))/1000</f>
        <v>0.88</v>
      </c>
      <c r="K11806" t="str">
        <v>+</v>
      </c>
      <c r="L11806">
        <f>IF(D11806=0,2*MAX(6*F11806,75),(D11806-1)*2*MAX(6*F11806,75))/1000</f>
        <v>0.15</v>
      </c>
      <c r="M11806" t="str">
        <v>=</v>
      </c>
      <c r="N11806">
        <f>J11806+L11806</f>
        <v>1.03</v>
      </c>
      <c r="T11806" t="str">
        <v>x</v>
      </c>
      <c r="U11806">
        <f>0.006165*F11806^2</f>
        <v>0.6165</v>
      </c>
      <c r="V11806" t="str">
        <v>x</v>
      </c>
      <c r="W11806">
        <f>IF(D11787&gt;4*G11785,ROUND(MAX(D11787/4,2*G11785)/H11806,0)+1,0)</f>
        <v>15</v>
      </c>
      <c r="X11806" t="str">
        <v>x</v>
      </c>
      <c r="Y11806">
        <f>D11790</f>
        <v>1</v>
      </c>
      <c r="Z11806" t="str">
        <v>=</v>
      </c>
      <c r="AA11806">
        <f>N11806*U11806*W11806*Y11806</f>
        <v>9.524925000000001</v>
      </c>
    </row>
    <row r="11808">
      <c r="A11808" t="str">
        <f>A11784</f>
        <v>Lantai Atap</v>
      </c>
      <c r="B11808">
        <f>B11784</f>
        <v>52</v>
      </c>
      <c r="C11808" t="str">
        <v>Kait Horizontal Tump.</v>
      </c>
      <c r="D11808">
        <f>VLOOKUP(D11784,'Detail Balok'!$C$10:$BJ$110,46,FALSE)</f>
        <v>0</v>
      </c>
      <c r="E11808" t="str">
        <v>D</v>
      </c>
      <c r="F11808">
        <f>VLOOKUP(D11784,'Detail Balok'!$C$10:$BJ$110,48,FALSE)</f>
        <v>0</v>
      </c>
      <c r="G11808" t="str">
        <v>-</v>
      </c>
      <c r="H11808">
        <f>VLOOKUP(D11784,'Detail Balok'!$C$10:$BJ$110,50,FALSE)</f>
        <v>100</v>
      </c>
      <c r="J11808">
        <f>(D11785-2*F$5)/1000</f>
        <v>0.12</v>
      </c>
      <c r="K11808" t="str">
        <v>+</v>
      </c>
      <c r="L11808">
        <f>IF(D11808=0,2*MAX(6*F11808,75),(D11808-1)*2*MAX(6*F11808,75))/1000</f>
        <v>0.15</v>
      </c>
      <c r="M11808" t="str">
        <v>=</v>
      </c>
      <c r="N11808">
        <f>J11808+L11808</f>
        <v>0.27</v>
      </c>
      <c r="T11808" t="str">
        <v>x</v>
      </c>
      <c r="U11808">
        <f>0.006165*F11808^2</f>
        <v>0</v>
      </c>
      <c r="V11808" t="str">
        <v>x</v>
      </c>
      <c r="W11808">
        <f>W11804</f>
        <v>15</v>
      </c>
      <c r="X11808" t="str">
        <v>x</v>
      </c>
      <c r="Y11808">
        <f>D11794</f>
        <v>3</v>
      </c>
      <c r="Z11808" t="str">
        <v>=</v>
      </c>
      <c r="AA11808">
        <f>N11808*U11808*W11808*Y11808</f>
        <v>0</v>
      </c>
    </row>
    <row r="11809">
      <c r="A11809" t="str">
        <f>A11784</f>
        <v>Lantai Atap</v>
      </c>
      <c r="B11809">
        <f>B11784</f>
        <v>52</v>
      </c>
      <c r="C11809" t="str">
        <v>Kait Horizontal Lap.</v>
      </c>
      <c r="D11809">
        <f>VLOOKUP(D11784,'Detail Balok'!$C$10:$BJ$110,51,FALSE)</f>
        <v>0</v>
      </c>
      <c r="E11809" t="str">
        <v>D</v>
      </c>
      <c r="F11809">
        <f>VLOOKUP(D11784,'Detail Balok'!$C$10:$BJ$110,53,FALSE)</f>
        <v>0</v>
      </c>
      <c r="G11809" t="str">
        <v>-</v>
      </c>
      <c r="H11809">
        <f>VLOOKUP(D11784,'Detail Balok'!$C$10:$BJ$110,55,FALSE)</f>
        <v>100</v>
      </c>
      <c r="J11809">
        <f>(D11785-2*F$5)/1000</f>
        <v>0.12</v>
      </c>
      <c r="K11809" t="str">
        <v>+</v>
      </c>
      <c r="L11809">
        <f>IF(D11809=0,2*MAX(6*F11809,75),(D11809-1)*2*MAX(6*F11809,75))/1000</f>
        <v>0.15</v>
      </c>
      <c r="M11809" t="str">
        <v>=</v>
      </c>
      <c r="N11809">
        <f>J11809+L11809</f>
        <v>0.27</v>
      </c>
      <c r="T11809" t="str">
        <v>x</v>
      </c>
      <c r="U11809">
        <f>0.006165*F11809^2</f>
        <v>0</v>
      </c>
      <c r="V11809" t="str">
        <v>x</v>
      </c>
      <c r="W11809">
        <f>W11805</f>
        <v>14</v>
      </c>
      <c r="X11809" t="str">
        <v>x</v>
      </c>
      <c r="Y11809">
        <f>D11794</f>
        <v>3</v>
      </c>
      <c r="Z11809" t="str">
        <v>=</v>
      </c>
      <c r="AA11809">
        <f>N11809*U11809*W11809*Y11809</f>
        <v>0</v>
      </c>
    </row>
    <row r="11810">
      <c r="A11810" t="str">
        <f>A11784</f>
        <v>Lantai Atap</v>
      </c>
      <c r="B11810">
        <f>B11784</f>
        <v>52</v>
      </c>
      <c r="C11810" t="str">
        <v>Kait Horizontal Tump.</v>
      </c>
      <c r="D11810">
        <f>VLOOKUP(D11784,'Detail Balok'!$C$10:$BJ$110,56,FALSE)</f>
        <v>0</v>
      </c>
      <c r="E11810" t="str">
        <v>D</v>
      </c>
      <c r="F11810">
        <f>VLOOKUP(D11784,'Detail Balok'!$C$10:$BJ$110,58,FALSE)</f>
        <v>0</v>
      </c>
      <c r="G11810" t="str">
        <v>-</v>
      </c>
      <c r="H11810">
        <f>VLOOKUP(D11784,'Detail Balok'!$C$10:$BJ$110,60,FALSE)</f>
        <v>100</v>
      </c>
      <c r="J11810">
        <f>(D11785-2*F$5)/1000</f>
        <v>0.12</v>
      </c>
      <c r="K11810" t="str">
        <v>+</v>
      </c>
      <c r="L11810">
        <f>IF(D11810=0,2*MAX(6*F11810,75),(D11810-1)*2*MAX(6*F11810,75))/1000</f>
        <v>0.15</v>
      </c>
      <c r="M11810" t="str">
        <v>=</v>
      </c>
      <c r="N11810">
        <f>J11810+L11810</f>
        <v>0.27</v>
      </c>
      <c r="T11810" t="str">
        <v>x</v>
      </c>
      <c r="U11810">
        <f>0.006165*F11810^2</f>
        <v>0</v>
      </c>
      <c r="V11810" t="str">
        <v>x</v>
      </c>
      <c r="W11810">
        <f>W11806</f>
        <v>15</v>
      </c>
      <c r="X11810" t="str">
        <v>x</v>
      </c>
      <c r="Y11810">
        <f>D11794</f>
        <v>3</v>
      </c>
      <c r="Z11810" t="str">
        <v>=</v>
      </c>
      <c r="AA11810">
        <f>N11810*U11810*W11810*Y11810</f>
        <v>0</v>
      </c>
    </row>
    <row r="11814">
      <c r="A11814" t="str">
        <f>A11784</f>
        <v>Lantai Atap</v>
      </c>
      <c r="B11814">
        <f>B11784+1</f>
        <v>53</v>
      </c>
      <c r="C11814" t="str">
        <f>CONCATENATE(A11814," no. ",B11814)</f>
        <v>Lantai Atap no. 53</v>
      </c>
      <c r="D11814" t="str">
        <f>VLOOKUP(C11814,'Data Panjang Balok'!$C$9:$N$424,2,FALSE)</f>
        <v>B24-3</v>
      </c>
    </row>
    <row r="11815">
      <c r="C11815" t="str">
        <v>Dimensi</v>
      </c>
      <c r="D11815">
        <f>VLOOKUP(D11814,'Detail Balok'!$C$10:$AU$110,2,FALSE)</f>
        <v>200</v>
      </c>
      <c r="F11815" t="str">
        <v>x</v>
      </c>
      <c r="G11815">
        <f>VLOOKUP(D11814,'Detail Balok'!$C$10:$AU$110,3,FALSE)</f>
        <v>400</v>
      </c>
    </row>
    <row r="11816">
      <c r="C11816" t="str">
        <v>Panjang as ke as</v>
      </c>
      <c r="D11816">
        <f>VLOOKUP(C11814,'Data Panjang Balok'!$C$9:$N$424,4,FALSE)</f>
        <v>1900</v>
      </c>
    </row>
    <row r="11817">
      <c r="C11817" t="str">
        <v>Panjang netto</v>
      </c>
      <c r="D11817">
        <f>VLOOKUP(C11814,'Data Panjang Balok'!$C$9:$N$424,7,FALSE)</f>
        <v>1900</v>
      </c>
    </row>
    <row r="11818">
      <c r="C11818" t="str">
        <v>Kolom / balok kiri</v>
      </c>
      <c r="D11818">
        <f>VLOOKUP(C11814,'Data Panjang Balok'!$C$9:$N$424,9,FALSE)</f>
        <v>0</v>
      </c>
    </row>
    <row r="11819">
      <c r="C11819" t="str">
        <v>Kolom / balok kanan</v>
      </c>
      <c r="D11819">
        <f>VLOOKUP(C11814,'Data Panjang Balok'!$C$9:$N$424,10,FALSE)</f>
        <v>0</v>
      </c>
    </row>
    <row r="11820">
      <c r="C11820" t="str">
        <v>Jumlah</v>
      </c>
      <c r="D11820">
        <f>VLOOKUP(C11814,'Data Panjang Balok'!$C$9:$N$424,3,FALSE)</f>
        <v>1</v>
      </c>
    </row>
    <row r="11821">
      <c r="A11821" t="str">
        <f>A11814</f>
        <v>Lantai Atap</v>
      </c>
      <c r="B11821">
        <f>B11814</f>
        <v>53</v>
      </c>
      <c r="C11821" t="str">
        <v>Tul Atas Tumpuan</v>
      </c>
      <c r="D11821">
        <f>VLOOKUP(D11814,'Detail Balok'!$C$10:$AU$110,4,FALSE)</f>
        <v>3</v>
      </c>
      <c r="E11821" t="str">
        <v>D</v>
      </c>
      <c r="F11821">
        <f>VLOOKUP(D11814,'Detail Balok'!$C$10:$AU$110,6,FALSE)</f>
        <v>16</v>
      </c>
      <c r="I11821" t="str">
        <v>(</v>
      </c>
      <c r="J11821">
        <f>+D11816/4/1000</f>
        <v>0.475</v>
      </c>
      <c r="K11821" t="str">
        <v>+</v>
      </c>
      <c r="L11821">
        <f>MAX(VLOOKUP(F11821,N$6:P$15,3,FALSE)/1000,2/3*D11818/1000)+F$16*F11821/1000</f>
        <v>0.192</v>
      </c>
      <c r="M11821" t="str">
        <v>=</v>
      </c>
      <c r="N11821">
        <f>J11821+L11821</f>
        <v>0.667</v>
      </c>
      <c r="O11821" t="str">
        <v>+</v>
      </c>
      <c r="P11821">
        <f>D11821-D11822</f>
        <v>0</v>
      </c>
      <c r="Q11821" t="str">
        <v>x</v>
      </c>
      <c r="R11821">
        <f>IF(P11821&gt;0,$F$18*F11821/1000,0)</f>
        <v>0</v>
      </c>
      <c r="S11821" t="str">
        <v>)</v>
      </c>
      <c r="T11821" t="str">
        <v>x</v>
      </c>
      <c r="U11821">
        <f>0.006165*F11821^2</f>
        <v>1.57824</v>
      </c>
      <c r="X11821" t="str">
        <v>x</v>
      </c>
      <c r="Y11821">
        <f>D11820</f>
        <v>1</v>
      </c>
      <c r="Z11821" t="str">
        <v>=</v>
      </c>
      <c r="AA11821">
        <f>IF(AA11824=0,(D11821*N11821+P11821*R11821)*U11821*Y11821,0)</f>
        <v>0</v>
      </c>
    </row>
    <row r="11822">
      <c r="A11822" t="str">
        <f>A11814</f>
        <v>Lantai Atap</v>
      </c>
      <c r="B11822">
        <f>B11814</f>
        <v>53</v>
      </c>
      <c r="C11822" t="str">
        <v>Tul Atas Lapangan</v>
      </c>
      <c r="D11822">
        <f>VLOOKUP(D11814,'Detail Balok'!$C$10:$AU$110,7,FALSE)</f>
        <v>3</v>
      </c>
      <c r="E11822" t="str">
        <v>D</v>
      </c>
      <c r="F11822">
        <f>VLOOKUP(D11814,'Detail Balok'!$C$10:$AU$110,9,FALSE)</f>
        <v>16</v>
      </c>
      <c r="I11822" t="str">
        <v>(</v>
      </c>
      <c r="J11822">
        <f>+D11816/2/1000</f>
        <v>0.95</v>
      </c>
      <c r="K11822" t="str">
        <v>+</v>
      </c>
      <c r="M11822" t="str">
        <v>=</v>
      </c>
      <c r="N11822">
        <f>J11822+L11822</f>
        <v>0.95</v>
      </c>
      <c r="O11822" t="str">
        <v>+</v>
      </c>
      <c r="P11822">
        <f>MAX(D11822-D11821,D11822-D11823)</f>
        <v>0</v>
      </c>
      <c r="Q11822" t="str">
        <v>x</v>
      </c>
      <c r="R11822">
        <f>IF(P11822&gt;0,2*(1-2*$F$19-1/2)*D11817/1000,0)</f>
        <v>0</v>
      </c>
      <c r="S11822" t="str">
        <v>)</v>
      </c>
      <c r="T11822" t="str">
        <v>x</v>
      </c>
      <c r="U11822">
        <f>0.006165*F11822^2</f>
        <v>1.57824</v>
      </c>
      <c r="X11822" t="str">
        <v>x</v>
      </c>
      <c r="Y11822">
        <f>D11820</f>
        <v>1</v>
      </c>
      <c r="Z11822" t="str">
        <v>=</v>
      </c>
      <c r="AA11822">
        <f>IF(AA11824=0,(D11822*N11822+P11822*R11822)*U11822*Y11822,0)</f>
        <v>0</v>
      </c>
    </row>
    <row r="11823">
      <c r="A11823" t="str">
        <f>A11814</f>
        <v>Lantai Atap</v>
      </c>
      <c r="B11823">
        <f>B11814</f>
        <v>53</v>
      </c>
      <c r="C11823" t="str">
        <v>Tul Atas Tumpuan</v>
      </c>
      <c r="D11823">
        <f>VLOOKUP(D11814,'Detail Balok'!$C$10:$AU$110,10,FALSE)</f>
        <v>3</v>
      </c>
      <c r="E11823" t="str">
        <v>D</v>
      </c>
      <c r="F11823">
        <f>VLOOKUP(D11814,'Detail Balok'!$C$10:$AU$110,12,FALSE)</f>
        <v>16</v>
      </c>
      <c r="I11823" t="str">
        <v>(</v>
      </c>
      <c r="J11823">
        <f>+D11816/4/1000</f>
        <v>0.475</v>
      </c>
      <c r="K11823" t="str">
        <v>+</v>
      </c>
      <c r="L11823">
        <f>MAX(VLOOKUP(F11823,N$6:P$15,3,FALSE)/1000,2/3*D11818/1000)+F$16*F11823/1000</f>
        <v>0.192</v>
      </c>
      <c r="M11823" t="str">
        <v>=</v>
      </c>
      <c r="N11823">
        <f>J11823+L11823</f>
        <v>0.667</v>
      </c>
      <c r="O11823" t="str">
        <v>+</v>
      </c>
      <c r="P11823">
        <f>D11823-D11822</f>
        <v>0</v>
      </c>
      <c r="Q11823" t="str">
        <v>x</v>
      </c>
      <c r="R11823">
        <f>IF(P11823&gt;0,$F$18*F11823/1000,0)</f>
        <v>0</v>
      </c>
      <c r="S11823" t="str">
        <v>)</v>
      </c>
      <c r="T11823" t="str">
        <v>x</v>
      </c>
      <c r="U11823">
        <f>0.006165*F11823^2</f>
        <v>1.57824</v>
      </c>
      <c r="X11823" t="str">
        <v>x</v>
      </c>
      <c r="Y11823">
        <f>D11820</f>
        <v>1</v>
      </c>
      <c r="Z11823" t="str">
        <v>=</v>
      </c>
      <c r="AA11823">
        <f>IF(AA11824=0,(D11823*N11823+P11823*R11823)*U11823*Y11823,0)</f>
        <v>0</v>
      </c>
    </row>
    <row r="11824">
      <c r="A11824" t="str">
        <f>A11814</f>
        <v>Lantai Atap</v>
      </c>
      <c r="B11824">
        <f>B11814</f>
        <v>53</v>
      </c>
      <c r="D11824">
        <f>IF(AND(D11821=D11822,D11822=D11823,D11821=D11823),D11821,0)</f>
        <v>3</v>
      </c>
      <c r="E11824" t="str">
        <v>D</v>
      </c>
      <c r="F11824">
        <f>IF(AND(F11821=F11822,F11821=F11823,F11822=F11823),F11821,0)</f>
        <v>16</v>
      </c>
      <c r="L11824" t="str">
        <v>Total panjang per balok</v>
      </c>
      <c r="M11824" t="str">
        <v>=</v>
      </c>
      <c r="N11824">
        <f>IF(AND(D11821=D11822,D11821=D11823,D11822=D11823,F11821=F11822,F11821=F11823,F11822=F11823),SUM(N11821:N11823),0)</f>
        <v>2.284</v>
      </c>
      <c r="O11824" t="str">
        <v>+</v>
      </c>
      <c r="P11824">
        <f>IF(N11824&gt;12,ROUNDDOWN(N11824/12,0),0)</f>
        <v>0</v>
      </c>
      <c r="Q11824" t="str">
        <v>x</v>
      </c>
      <c r="R11824">
        <f>IF(P11824&gt;0,MAX(VLOOKUP(F11824,$D$6:$G$15,3,FALSE),600),0)/1000</f>
        <v>0</v>
      </c>
      <c r="T11824" t="str">
        <v>x</v>
      </c>
      <c r="U11824">
        <f>U11823</f>
        <v>1.57824</v>
      </c>
      <c r="V11824" t="str">
        <v>x</v>
      </c>
      <c r="W11824">
        <f>D11824</f>
        <v>3</v>
      </c>
      <c r="X11824" t="str">
        <v>x</v>
      </c>
      <c r="Y11824">
        <f>Y11823</f>
        <v>1</v>
      </c>
      <c r="Z11824" t="str">
        <v>=</v>
      </c>
      <c r="AA11824">
        <f>(N11824+P11824*R11824/1000)*U11824*W11824*Y11824</f>
        <v>10.814100479999999</v>
      </c>
    </row>
    <row r="11826">
      <c r="A11826" t="str">
        <f>A11814</f>
        <v>Lantai Atap</v>
      </c>
      <c r="B11826">
        <f>B11814</f>
        <v>53</v>
      </c>
      <c r="C11826" t="str">
        <v>Tul Peminggang</v>
      </c>
      <c r="D11826">
        <f>VLOOKUP(D11814,'Detail Balok'!$C$10:$AU$110,13,FALSE)</f>
        <v>0</v>
      </c>
      <c r="E11826" t="str">
        <v>D</v>
      </c>
      <c r="F11826">
        <f>VLOOKUP(D11814,'Detail Balok'!$C$10:$AU$110,15,FALSE)</f>
        <v>6</v>
      </c>
      <c r="J11826">
        <f>+D11816/1000</f>
        <v>1.9</v>
      </c>
      <c r="K11826" t="str">
        <v>+</v>
      </c>
      <c r="L11826">
        <f>2*$F$16*F11826/1000</f>
        <v>0.144</v>
      </c>
      <c r="M11826" t="str">
        <v>=</v>
      </c>
      <c r="N11826">
        <f>J11826+L11826</f>
        <v>2.044</v>
      </c>
      <c r="O11826" t="str">
        <v>+</v>
      </c>
      <c r="P11826">
        <f>IF(N11826&gt;12,ROUNDDOWN(N11826/12,0),0)</f>
        <v>0</v>
      </c>
      <c r="Q11826" t="str">
        <v>x</v>
      </c>
      <c r="R11826">
        <f>IF(P11826&gt;0,MAX(VLOOKUP(F11826,$D$6:$G$15,3,FALSE),600),0)/1000</f>
        <v>0</v>
      </c>
      <c r="T11826" t="str">
        <v>x</v>
      </c>
      <c r="U11826">
        <f>0.006165*F11826^2</f>
        <v>0.22194000000000003</v>
      </c>
      <c r="V11826" t="str">
        <v>x</v>
      </c>
      <c r="W11826">
        <f>+D11826</f>
        <v>0</v>
      </c>
      <c r="X11826" t="str">
        <v>x</v>
      </c>
      <c r="Y11826">
        <f>D11820</f>
        <v>1</v>
      </c>
      <c r="Z11826" t="str">
        <v>=</v>
      </c>
      <c r="AA11826">
        <f>(N11826+P11826*R11826/1000)*U11826*W11826*Y11826</f>
        <v>0</v>
      </c>
    </row>
    <row r="11829">
      <c r="A11829" t="str">
        <f>A11814</f>
        <v>Lantai Atap</v>
      </c>
      <c r="B11829">
        <f>B11814</f>
        <v>53</v>
      </c>
      <c r="C11829" t="str">
        <v>Tul Bawah Tumpuan</v>
      </c>
      <c r="D11829">
        <f>VLOOKUP(D11814,'Detail Balok'!$C$10:$AU$110,22,FALSE)</f>
        <v>3</v>
      </c>
      <c r="E11829" t="str">
        <v>D</v>
      </c>
      <c r="F11829">
        <f>VLOOKUP(D11814,'Detail Balok'!$C$10:$AU$110,24,FALSE)</f>
        <v>16</v>
      </c>
      <c r="I11829" t="str">
        <v>(</v>
      </c>
      <c r="J11829">
        <f>+J11821</f>
        <v>0.475</v>
      </c>
      <c r="K11829" t="str">
        <v>+</v>
      </c>
      <c r="L11829">
        <f>MAX(VLOOKUP(F11829,N$6:P$15,3,FALSE)/1000,2/3*D11819/1000)+F$16*F11829/1000</f>
        <v>0.192</v>
      </c>
      <c r="M11829" t="str">
        <v>=</v>
      </c>
      <c r="N11829">
        <f>J11829+L11829</f>
        <v>0.667</v>
      </c>
      <c r="O11829" t="str">
        <v>+</v>
      </c>
      <c r="P11829">
        <f>D11829-D11830</f>
        <v>0</v>
      </c>
      <c r="Q11829" t="str">
        <v>x</v>
      </c>
      <c r="R11829">
        <f>IF(P11829&gt;0,$F$18*F11829/1000,0)</f>
        <v>0</v>
      </c>
      <c r="S11829" t="str">
        <v>)</v>
      </c>
      <c r="T11829" t="str">
        <v>x</v>
      </c>
      <c r="U11829">
        <f>0.006165*F11829^2</f>
        <v>1.57824</v>
      </c>
      <c r="X11829" t="str">
        <v>x</v>
      </c>
      <c r="Y11829">
        <f>D11820</f>
        <v>1</v>
      </c>
      <c r="Z11829" t="str">
        <v>=</v>
      </c>
      <c r="AA11829">
        <f>IF(AA11832=0,(D11829*N11829+P11829*R11829)*U11829*Y11829,0)</f>
        <v>0</v>
      </c>
    </row>
    <row r="11830">
      <c r="A11830" t="str">
        <f>A11814</f>
        <v>Lantai Atap</v>
      </c>
      <c r="B11830">
        <f>B11814</f>
        <v>53</v>
      </c>
      <c r="C11830" t="str">
        <v>Tul Bawah Lapangan</v>
      </c>
      <c r="D11830">
        <f>VLOOKUP(D11814,'Detail Balok'!$C$10:$AU$110,25,FALSE)</f>
        <v>3</v>
      </c>
      <c r="E11830" t="str">
        <v>D</v>
      </c>
      <c r="F11830">
        <f>VLOOKUP(D11814,'Detail Balok'!$C$10:$AU$110,27,FALSE)</f>
        <v>16</v>
      </c>
      <c r="I11830" t="str">
        <v>(</v>
      </c>
      <c r="J11830">
        <f>+J11822</f>
        <v>0.95</v>
      </c>
      <c r="K11830" t="str">
        <v>+</v>
      </c>
      <c r="M11830" t="str">
        <v>=</v>
      </c>
      <c r="N11830">
        <f>J11830+L11830</f>
        <v>0.95</v>
      </c>
      <c r="O11830" t="str">
        <v>+</v>
      </c>
      <c r="P11830">
        <f>MAX(D11830-D11829,D11830-D11831)</f>
        <v>0</v>
      </c>
      <c r="Q11830" t="str">
        <v>x</v>
      </c>
      <c r="R11830">
        <f>IF(P11830&gt;0,2*(1-2*$F$19-1/2)*D11817/1000,0)</f>
        <v>0</v>
      </c>
      <c r="S11830" t="str">
        <v>)</v>
      </c>
      <c r="T11830" t="str">
        <v>x</v>
      </c>
      <c r="U11830">
        <f>0.006165*F11830^2</f>
        <v>1.57824</v>
      </c>
      <c r="X11830" t="str">
        <v>x</v>
      </c>
      <c r="Y11830">
        <f>D11820</f>
        <v>1</v>
      </c>
      <c r="Z11830" t="str">
        <v>=</v>
      </c>
      <c r="AA11830">
        <f>IF(AA11832=0,(D11830*N11830+P11830*R11830)*U11830*Y11830,0)</f>
        <v>0</v>
      </c>
    </row>
    <row r="11831">
      <c r="A11831" t="str">
        <f>A11814</f>
        <v>Lantai Atap</v>
      </c>
      <c r="B11831">
        <f>B11814</f>
        <v>53</v>
      </c>
      <c r="C11831" t="str">
        <v>Tul Bawah Tumpuan</v>
      </c>
      <c r="D11831">
        <f>VLOOKUP(D11814,'Detail Balok'!$C$10:$AU$110,28,FALSE)</f>
        <v>3</v>
      </c>
      <c r="E11831" t="str">
        <v>D</v>
      </c>
      <c r="F11831">
        <f>VLOOKUP(D11814,'Detail Balok'!$C$10:$AU$110,30,FALSE)</f>
        <v>16</v>
      </c>
      <c r="I11831" t="str">
        <v>(</v>
      </c>
      <c r="J11831">
        <f>+J11823</f>
        <v>0.475</v>
      </c>
      <c r="K11831" t="str">
        <v>+</v>
      </c>
      <c r="L11831">
        <f>MAX(VLOOKUP(F11831,N$6:P$15,3,FALSE)/1000,2/3*D11819/1000)+F$16*F11831/1000</f>
        <v>0.192</v>
      </c>
      <c r="M11831" t="str">
        <v>=</v>
      </c>
      <c r="N11831">
        <f>J11831+L11831</f>
        <v>0.667</v>
      </c>
      <c r="O11831" t="str">
        <v>+</v>
      </c>
      <c r="P11831">
        <f>D11831-D11830</f>
        <v>0</v>
      </c>
      <c r="Q11831" t="str">
        <v>x</v>
      </c>
      <c r="R11831">
        <f>IF(P11831&gt;0,$F$18*F11831/1000,0)</f>
        <v>0</v>
      </c>
      <c r="S11831" t="str">
        <v>)</v>
      </c>
      <c r="T11831" t="str">
        <v>x</v>
      </c>
      <c r="U11831">
        <f>0.006165*F11831^2</f>
        <v>1.57824</v>
      </c>
      <c r="X11831" t="str">
        <v>x</v>
      </c>
      <c r="Y11831">
        <f>D11820</f>
        <v>1</v>
      </c>
      <c r="Z11831" t="str">
        <v>=</v>
      </c>
      <c r="AA11831">
        <f>IF(AA11832=0,(D11831*N11831+P11831*R11831)*U11831*Y11831,0)</f>
        <v>0</v>
      </c>
    </row>
    <row r="11832">
      <c r="A11832" t="str">
        <f>A11814</f>
        <v>Lantai Atap</v>
      </c>
      <c r="B11832">
        <f>B11814</f>
        <v>53</v>
      </c>
      <c r="D11832">
        <f>IF(AND(D11829=D11830,D11830=D11831,D11829=D11831),D11829,0)</f>
        <v>3</v>
      </c>
      <c r="E11832" t="str">
        <v>D</v>
      </c>
      <c r="F11832">
        <f>IF(AND(F11829=F11830,F11829=F11831,F11830=F11831),F11829,0)</f>
        <v>16</v>
      </c>
      <c r="L11832" t="str">
        <v>Total panjang per balok</v>
      </c>
      <c r="M11832" t="str">
        <v>=</v>
      </c>
      <c r="N11832">
        <f>IF(AND(D11829=D11830,D11829=D11831,D11830=D11831,F11829=F11830,F11829=F11831,F11830=F11831),SUM(N11829:N11831),0)</f>
        <v>2.284</v>
      </c>
      <c r="O11832" t="str">
        <v>+</v>
      </c>
      <c r="P11832">
        <f>IF(N11832&gt;12,ROUNDDOWN(N11832/12,0),0)</f>
        <v>0</v>
      </c>
      <c r="Q11832" t="str">
        <v>x</v>
      </c>
      <c r="R11832">
        <f>IF(P11832&gt;0,MAX(VLOOKUP(F11832,$D$6:$G$15,3,FALSE),600),0)/1000</f>
        <v>0</v>
      </c>
      <c r="T11832" t="str">
        <v>x</v>
      </c>
      <c r="U11832">
        <f>U11831</f>
        <v>1.57824</v>
      </c>
      <c r="V11832" t="str">
        <v>x</v>
      </c>
      <c r="W11832">
        <f>D11832</f>
        <v>3</v>
      </c>
      <c r="X11832" t="str">
        <v>x</v>
      </c>
      <c r="Y11832">
        <f>Y11831</f>
        <v>1</v>
      </c>
      <c r="Z11832" t="str">
        <v>=</v>
      </c>
      <c r="AA11832">
        <f>(N11832+P11832*R11832/1000)*U11832*W11832*Y11832</f>
        <v>10.814100479999999</v>
      </c>
    </row>
    <row r="11834">
      <c r="A11834" t="str">
        <f>A11814</f>
        <v>Lantai Atap</v>
      </c>
      <c r="B11834">
        <f>B11814</f>
        <v>53</v>
      </c>
      <c r="C11834" t="str">
        <v>Sengkang Tumpuan</v>
      </c>
      <c r="D11834">
        <f>VLOOKUP(D11814,'Detail Balok'!$C$10:$AU$110,31,FALSE)</f>
        <v>0</v>
      </c>
      <c r="E11834" t="str">
        <v>D</v>
      </c>
      <c r="F11834">
        <f>VLOOKUP(D11814,'Detail Balok'!$C$10:$AU$110,33,FALSE)</f>
        <v>10</v>
      </c>
      <c r="G11834" t="str">
        <v>-</v>
      </c>
      <c r="H11834">
        <f>VLOOKUP(D11814,'Detail Balok'!$C$10:$AU$110,35,FALSE)</f>
        <v>100</v>
      </c>
      <c r="J11834">
        <f>(IF(D11834=0,(2*(D11815+G11815))-(F$5*8),IF(D11834=3,(2*(D11815+G11815))-(F$5*8)+(G11815-2*F$5),IF(D11834=4,(2*(D11815+G11815))-(F$5*8)+2*(G11815-2*F$5)))))/1000</f>
        <v>0.88</v>
      </c>
      <c r="K11834" t="str">
        <v>+</v>
      </c>
      <c r="L11834">
        <f>IF(D11834=0,2*MAX(6*F11834,75),(D11834-1)*2*MAX(6*F11834,75))/1000</f>
        <v>0.15</v>
      </c>
      <c r="M11834" t="str">
        <v>=</v>
      </c>
      <c r="N11834">
        <f>J11834+L11834</f>
        <v>1.03</v>
      </c>
      <c r="T11834" t="str">
        <v>x</v>
      </c>
      <c r="U11834">
        <f>0.006165*F11834^2</f>
        <v>0.6165</v>
      </c>
      <c r="V11834" t="str">
        <v>x</v>
      </c>
      <c r="W11834">
        <f>IF(D11817&gt;4*G11815,ROUND(MAX(D11817/4,2*G11815)/H11834,0)+1,ROUND(D11817/H11834,0)+1)</f>
        <v>9</v>
      </c>
      <c r="X11834" t="str">
        <v>x</v>
      </c>
      <c r="Y11834">
        <f>D11820</f>
        <v>1</v>
      </c>
      <c r="Z11834" t="str">
        <v>=</v>
      </c>
      <c r="AA11834">
        <f>N11834*U11834*W11834*Y11834</f>
        <v>5.714955000000001</v>
      </c>
    </row>
    <row r="11835">
      <c r="A11835" t="str">
        <f>A11814</f>
        <v>Lantai Atap</v>
      </c>
      <c r="B11835">
        <f>B11814</f>
        <v>53</v>
      </c>
      <c r="C11835" t="str">
        <v>Sengkang Lapangan</v>
      </c>
      <c r="D11835">
        <f>VLOOKUP(D11814,'Detail Balok'!$C$10:$AU$110,36,FALSE)</f>
        <v>0</v>
      </c>
      <c r="E11835" t="str">
        <v>D</v>
      </c>
      <c r="F11835">
        <f>VLOOKUP(D11814,'Detail Balok'!$C$10:$AU$110,38,FALSE)</f>
        <v>10</v>
      </c>
      <c r="G11835" t="str">
        <v>-</v>
      </c>
      <c r="H11835">
        <f>VLOOKUP(D11814,'Detail Balok'!$C$10:$AU$110,40,FALSE)</f>
        <v>200</v>
      </c>
      <c r="J11835">
        <f>(IF(D11835=0,(2*(D11815+G11815))-(F$5*8),IF(D11835=3,(2*(D11815+G11815))-(F$5*8)+(G11815-2*F$5),IF(D11835=4,(2*(D11815+G11815))-(F$5*8)+2*(G11815-2*F$5)))))/1000</f>
        <v>0.88</v>
      </c>
      <c r="K11835" t="str">
        <v>+</v>
      </c>
      <c r="L11835">
        <f>IF(D11835=0,2*MAX(6*F11835,75),(D11835-1)*2*MAX(6*F11835,75))/1000</f>
        <v>0.15</v>
      </c>
      <c r="M11835" t="str">
        <v>=</v>
      </c>
      <c r="N11835">
        <f>J11835+L11835</f>
        <v>1.03</v>
      </c>
      <c r="T11835" t="str">
        <v>x</v>
      </c>
      <c r="U11835">
        <f>0.006165*F11835^2</f>
        <v>0.6165</v>
      </c>
      <c r="V11835" t="str">
        <v>x</v>
      </c>
      <c r="W11835">
        <f>IF(D11817-MAX(D11817/4,2*G11815)*2&gt;0,ROUND((D11817-MAX(D11817/4,2*G11815)*2)/H11835,0),0)</f>
        <v>2</v>
      </c>
      <c r="X11835" t="str">
        <v>x</v>
      </c>
      <c r="Y11835">
        <f>D11820</f>
        <v>1</v>
      </c>
      <c r="Z11835" t="str">
        <v>=</v>
      </c>
      <c r="AA11835">
        <f>N11835*U11835*W11835*Y11835</f>
        <v>1.2699900000000002</v>
      </c>
    </row>
    <row r="11836">
      <c r="A11836" t="str">
        <f>A11814</f>
        <v>Lantai Atap</v>
      </c>
      <c r="B11836">
        <f>B11814</f>
        <v>53</v>
      </c>
      <c r="C11836" t="str">
        <v>Sengkang Tumpuan</v>
      </c>
      <c r="D11836">
        <f>VLOOKUP(D11814,'Detail Balok'!$C$10:$AU$110,41,FALSE)</f>
        <v>0</v>
      </c>
      <c r="E11836" t="str">
        <v>D</v>
      </c>
      <c r="F11836">
        <f>VLOOKUP(D11814,'Detail Balok'!$C$10:$AU$110,43,FALSE)</f>
        <v>10</v>
      </c>
      <c r="G11836" t="str">
        <v>-</v>
      </c>
      <c r="H11836">
        <f>VLOOKUP(D11814,'Detail Balok'!$C$10:$AU$110,45,FALSE)</f>
        <v>100</v>
      </c>
      <c r="J11836">
        <f>(IF(D11836=0,(2*(D11815+G11815))-(F$5*8),IF(D11836=3,(2*(D11815+G11815))-(F$5*8)+(G11815-2*F$5),IF(D11836=4,(2*(D11815+G11815))-(F$5*8)+2*(G11815-2*F$5)))))/1000</f>
        <v>0.88</v>
      </c>
      <c r="K11836" t="str">
        <v>+</v>
      </c>
      <c r="L11836">
        <f>IF(D11836=0,2*MAX(6*F11836,75),(D11836-1)*2*MAX(6*F11836,75))/1000</f>
        <v>0.15</v>
      </c>
      <c r="M11836" t="str">
        <v>=</v>
      </c>
      <c r="N11836">
        <f>J11836+L11836</f>
        <v>1.03</v>
      </c>
      <c r="T11836" t="str">
        <v>x</v>
      </c>
      <c r="U11836">
        <f>0.006165*F11836^2</f>
        <v>0.6165</v>
      </c>
      <c r="V11836" t="str">
        <v>x</v>
      </c>
      <c r="W11836">
        <f>IF(D11817&gt;4*G11815,ROUND(MAX(D11817/4,2*G11815)/H11836,0)+1,0)</f>
        <v>9</v>
      </c>
      <c r="X11836" t="str">
        <v>x</v>
      </c>
      <c r="Y11836">
        <f>D11820</f>
        <v>1</v>
      </c>
      <c r="Z11836" t="str">
        <v>=</v>
      </c>
      <c r="AA11836">
        <f>N11836*U11836*W11836*Y11836</f>
        <v>5.714955000000001</v>
      </c>
    </row>
    <row r="11838">
      <c r="A11838" t="str">
        <f>A11814</f>
        <v>Lantai Atap</v>
      </c>
      <c r="B11838">
        <f>B11814</f>
        <v>53</v>
      </c>
      <c r="C11838" t="str">
        <v>Kait Horizontal Tump.</v>
      </c>
      <c r="D11838">
        <f>VLOOKUP(D11814,'Detail Balok'!$C$10:$BJ$110,46,FALSE)</f>
        <v>0</v>
      </c>
      <c r="E11838" t="str">
        <v>D</v>
      </c>
      <c r="F11838">
        <f>VLOOKUP(D11814,'Detail Balok'!$C$10:$BJ$110,48,FALSE)</f>
        <v>0</v>
      </c>
      <c r="G11838" t="str">
        <v>-</v>
      </c>
      <c r="H11838">
        <f>VLOOKUP(D11814,'Detail Balok'!$C$10:$BJ$110,50,FALSE)</f>
        <v>100</v>
      </c>
      <c r="J11838">
        <f>(D11815-2*F$5)/1000</f>
        <v>0.12</v>
      </c>
      <c r="K11838" t="str">
        <v>+</v>
      </c>
      <c r="L11838">
        <f>IF(D11838=0,2*MAX(6*F11838,75),(D11838-1)*2*MAX(6*F11838,75))/1000</f>
        <v>0.15</v>
      </c>
      <c r="M11838" t="str">
        <v>=</v>
      </c>
      <c r="N11838">
        <f>J11838+L11838</f>
        <v>0.27</v>
      </c>
      <c r="T11838" t="str">
        <v>x</v>
      </c>
      <c r="U11838">
        <f>0.006165*F11838^2</f>
        <v>0</v>
      </c>
      <c r="V11838" t="str">
        <v>x</v>
      </c>
      <c r="W11838">
        <f>W11834</f>
        <v>9</v>
      </c>
      <c r="X11838" t="str">
        <v>x</v>
      </c>
      <c r="Y11838">
        <f>D11824</f>
        <v>3</v>
      </c>
      <c r="Z11838" t="str">
        <v>=</v>
      </c>
      <c r="AA11838">
        <f>N11838*U11838*W11838*Y11838</f>
        <v>0</v>
      </c>
    </row>
    <row r="11839">
      <c r="A11839" t="str">
        <f>A11814</f>
        <v>Lantai Atap</v>
      </c>
      <c r="B11839">
        <f>B11814</f>
        <v>53</v>
      </c>
      <c r="C11839" t="str">
        <v>Kait Horizontal Lap.</v>
      </c>
      <c r="D11839">
        <f>VLOOKUP(D11814,'Detail Balok'!$C$10:$BJ$110,51,FALSE)</f>
        <v>0</v>
      </c>
      <c r="E11839" t="str">
        <v>D</v>
      </c>
      <c r="F11839">
        <f>VLOOKUP(D11814,'Detail Balok'!$C$10:$BJ$110,53,FALSE)</f>
        <v>0</v>
      </c>
      <c r="G11839" t="str">
        <v>-</v>
      </c>
      <c r="H11839">
        <f>VLOOKUP(D11814,'Detail Balok'!$C$10:$BJ$110,55,FALSE)</f>
        <v>100</v>
      </c>
      <c r="J11839">
        <f>(D11815-2*F$5)/1000</f>
        <v>0.12</v>
      </c>
      <c r="K11839" t="str">
        <v>+</v>
      </c>
      <c r="L11839">
        <f>IF(D11839=0,2*MAX(6*F11839,75),(D11839-1)*2*MAX(6*F11839,75))/1000</f>
        <v>0.15</v>
      </c>
      <c r="M11839" t="str">
        <v>=</v>
      </c>
      <c r="N11839">
        <f>J11839+L11839</f>
        <v>0.27</v>
      </c>
      <c r="T11839" t="str">
        <v>x</v>
      </c>
      <c r="U11839">
        <f>0.006165*F11839^2</f>
        <v>0</v>
      </c>
      <c r="V11839" t="str">
        <v>x</v>
      </c>
      <c r="W11839">
        <f>W11835</f>
        <v>2</v>
      </c>
      <c r="X11839" t="str">
        <v>x</v>
      </c>
      <c r="Y11839">
        <f>D11824</f>
        <v>3</v>
      </c>
      <c r="Z11839" t="str">
        <v>=</v>
      </c>
      <c r="AA11839">
        <f>N11839*U11839*W11839*Y11839</f>
        <v>0</v>
      </c>
    </row>
    <row r="11840">
      <c r="A11840" t="str">
        <f>A11814</f>
        <v>Lantai Atap</v>
      </c>
      <c r="B11840">
        <f>B11814</f>
        <v>53</v>
      </c>
      <c r="C11840" t="str">
        <v>Kait Horizontal Tump.</v>
      </c>
      <c r="D11840">
        <f>VLOOKUP(D11814,'Detail Balok'!$C$10:$BJ$110,56,FALSE)</f>
        <v>0</v>
      </c>
      <c r="E11840" t="str">
        <v>D</v>
      </c>
      <c r="F11840">
        <f>VLOOKUP(D11814,'Detail Balok'!$C$10:$BJ$110,58,FALSE)</f>
        <v>0</v>
      </c>
      <c r="G11840" t="str">
        <v>-</v>
      </c>
      <c r="H11840">
        <f>VLOOKUP(D11814,'Detail Balok'!$C$10:$BJ$110,60,FALSE)</f>
        <v>100</v>
      </c>
      <c r="J11840">
        <f>(D11815-2*F$5)/1000</f>
        <v>0.12</v>
      </c>
      <c r="K11840" t="str">
        <v>+</v>
      </c>
      <c r="L11840">
        <f>IF(D11840=0,2*MAX(6*F11840,75),(D11840-1)*2*MAX(6*F11840,75))/1000</f>
        <v>0.15</v>
      </c>
      <c r="M11840" t="str">
        <v>=</v>
      </c>
      <c r="N11840">
        <f>J11840+L11840</f>
        <v>0.27</v>
      </c>
      <c r="T11840" t="str">
        <v>x</v>
      </c>
      <c r="U11840">
        <f>0.006165*F11840^2</f>
        <v>0</v>
      </c>
      <c r="V11840" t="str">
        <v>x</v>
      </c>
      <c r="W11840">
        <f>W11836</f>
        <v>9</v>
      </c>
      <c r="X11840" t="str">
        <v>x</v>
      </c>
      <c r="Y11840">
        <f>D11824</f>
        <v>3</v>
      </c>
      <c r="Z11840" t="str">
        <v>=</v>
      </c>
      <c r="AA11840">
        <f>N11840*U11840*W11840*Y11840</f>
        <v>0</v>
      </c>
    </row>
    <row r="11844">
      <c r="A11844" t="str">
        <f>A11814</f>
        <v>Lantai Atap</v>
      </c>
      <c r="B11844">
        <f>B11814+1</f>
        <v>54</v>
      </c>
      <c r="C11844" t="str">
        <f>CONCATENATE(A11844," no. ",B11844)</f>
        <v>Lantai Atap no. 54</v>
      </c>
      <c r="D11844" t="str">
        <f>VLOOKUP(C11844,'Data Panjang Balok'!$C$9:$N$424,2,FALSE)</f>
        <v>B24-3</v>
      </c>
    </row>
    <row r="11845">
      <c r="C11845" t="str">
        <v>Dimensi</v>
      </c>
      <c r="D11845">
        <f>VLOOKUP(D11844,'Detail Balok'!$C$10:$AU$110,2,FALSE)</f>
        <v>200</v>
      </c>
      <c r="F11845" t="str">
        <v>x</v>
      </c>
      <c r="G11845">
        <f>VLOOKUP(D11844,'Detail Balok'!$C$10:$AU$110,3,FALSE)</f>
        <v>400</v>
      </c>
    </row>
    <row r="11846">
      <c r="C11846" t="str">
        <v>Panjang as ke as</v>
      </c>
      <c r="D11846">
        <f>VLOOKUP(C11844,'Data Panjang Balok'!$C$9:$N$424,4,FALSE)</f>
        <v>8000</v>
      </c>
    </row>
    <row r="11847">
      <c r="C11847" t="str">
        <v>Panjang netto</v>
      </c>
      <c r="D11847">
        <f>VLOOKUP(C11844,'Data Panjang Balok'!$C$9:$N$424,7,FALSE)</f>
        <v>8000</v>
      </c>
    </row>
    <row r="11848">
      <c r="C11848" t="str">
        <v>Kolom / balok kiri</v>
      </c>
      <c r="D11848">
        <f>VLOOKUP(C11844,'Data Panjang Balok'!$C$9:$N$424,9,FALSE)</f>
        <v>0</v>
      </c>
    </row>
    <row r="11849">
      <c r="C11849" t="str">
        <v>Kolom / balok kanan</v>
      </c>
      <c r="D11849">
        <f>VLOOKUP(C11844,'Data Panjang Balok'!$C$9:$N$424,10,FALSE)</f>
        <v>0</v>
      </c>
    </row>
    <row r="11850">
      <c r="C11850" t="str">
        <v>Jumlah</v>
      </c>
      <c r="D11850">
        <f>VLOOKUP(C11844,'Data Panjang Balok'!$C$9:$N$424,3,FALSE)</f>
        <v>1</v>
      </c>
    </row>
    <row r="11851">
      <c r="A11851" t="str">
        <f>A11844</f>
        <v>Lantai Atap</v>
      </c>
      <c r="B11851">
        <f>B11844</f>
        <v>54</v>
      </c>
      <c r="C11851" t="str">
        <v>Tul Atas Tumpuan</v>
      </c>
      <c r="D11851">
        <f>VLOOKUP(D11844,'Detail Balok'!$C$10:$AU$110,4,FALSE)</f>
        <v>3</v>
      </c>
      <c r="E11851" t="str">
        <v>D</v>
      </c>
      <c r="F11851">
        <f>VLOOKUP(D11844,'Detail Balok'!$C$10:$AU$110,6,FALSE)</f>
        <v>16</v>
      </c>
      <c r="I11851" t="str">
        <v>(</v>
      </c>
      <c r="J11851">
        <f>+D11846/4/1000</f>
        <v>2</v>
      </c>
      <c r="K11851" t="str">
        <v>+</v>
      </c>
      <c r="L11851">
        <f>MAX(VLOOKUP(F11851,N$6:P$15,3,FALSE)/1000,2/3*D11848/1000)+F$16*F11851/1000</f>
        <v>0.192</v>
      </c>
      <c r="M11851" t="str">
        <v>=</v>
      </c>
      <c r="N11851">
        <f>J11851+L11851</f>
        <v>2.192</v>
      </c>
      <c r="O11851" t="str">
        <v>+</v>
      </c>
      <c r="P11851">
        <f>D11851-D11852</f>
        <v>0</v>
      </c>
      <c r="Q11851" t="str">
        <v>x</v>
      </c>
      <c r="R11851">
        <f>IF(P11851&gt;0,$F$18*F11851/1000,0)</f>
        <v>0</v>
      </c>
      <c r="S11851" t="str">
        <v>)</v>
      </c>
      <c r="T11851" t="str">
        <v>x</v>
      </c>
      <c r="U11851">
        <f>0.006165*F11851^2</f>
        <v>1.57824</v>
      </c>
      <c r="X11851" t="str">
        <v>x</v>
      </c>
      <c r="Y11851">
        <f>D11850</f>
        <v>1</v>
      </c>
      <c r="Z11851" t="str">
        <v>=</v>
      </c>
      <c r="AA11851">
        <f>IF(AA11854=0,(D11851*N11851+P11851*R11851)*U11851*Y11851,0)</f>
        <v>0</v>
      </c>
    </row>
    <row r="11852">
      <c r="A11852" t="str">
        <f>A11844</f>
        <v>Lantai Atap</v>
      </c>
      <c r="B11852">
        <f>B11844</f>
        <v>54</v>
      </c>
      <c r="C11852" t="str">
        <v>Tul Atas Lapangan</v>
      </c>
      <c r="D11852">
        <f>VLOOKUP(D11844,'Detail Balok'!$C$10:$AU$110,7,FALSE)</f>
        <v>3</v>
      </c>
      <c r="E11852" t="str">
        <v>D</v>
      </c>
      <c r="F11852">
        <f>VLOOKUP(D11844,'Detail Balok'!$C$10:$AU$110,9,FALSE)</f>
        <v>16</v>
      </c>
      <c r="I11852" t="str">
        <v>(</v>
      </c>
      <c r="J11852">
        <f>+D11846/2/1000</f>
        <v>4</v>
      </c>
      <c r="K11852" t="str">
        <v>+</v>
      </c>
      <c r="M11852" t="str">
        <v>=</v>
      </c>
      <c r="N11852">
        <f>J11852+L11852</f>
        <v>4</v>
      </c>
      <c r="O11852" t="str">
        <v>+</v>
      </c>
      <c r="P11852">
        <f>MAX(D11852-D11851,D11852-D11853)</f>
        <v>0</v>
      </c>
      <c r="Q11852" t="str">
        <v>x</v>
      </c>
      <c r="R11852">
        <f>IF(P11852&gt;0,2*(1-2*$F$19-1/2)*D11847/1000,0)</f>
        <v>0</v>
      </c>
      <c r="S11852" t="str">
        <v>)</v>
      </c>
      <c r="T11852" t="str">
        <v>x</v>
      </c>
      <c r="U11852">
        <f>0.006165*F11852^2</f>
        <v>1.57824</v>
      </c>
      <c r="X11852" t="str">
        <v>x</v>
      </c>
      <c r="Y11852">
        <f>D11850</f>
        <v>1</v>
      </c>
      <c r="Z11852" t="str">
        <v>=</v>
      </c>
      <c r="AA11852">
        <f>IF(AA11854=0,(D11852*N11852+P11852*R11852)*U11852*Y11852,0)</f>
        <v>0</v>
      </c>
    </row>
    <row r="11853">
      <c r="A11853" t="str">
        <f>A11844</f>
        <v>Lantai Atap</v>
      </c>
      <c r="B11853">
        <f>B11844</f>
        <v>54</v>
      </c>
      <c r="C11853" t="str">
        <v>Tul Atas Tumpuan</v>
      </c>
      <c r="D11853">
        <f>VLOOKUP(D11844,'Detail Balok'!$C$10:$AU$110,10,FALSE)</f>
        <v>3</v>
      </c>
      <c r="E11853" t="str">
        <v>D</v>
      </c>
      <c r="F11853">
        <f>VLOOKUP(D11844,'Detail Balok'!$C$10:$AU$110,12,FALSE)</f>
        <v>16</v>
      </c>
      <c r="I11853" t="str">
        <v>(</v>
      </c>
      <c r="J11853">
        <f>+D11846/4/1000</f>
        <v>2</v>
      </c>
      <c r="K11853" t="str">
        <v>+</v>
      </c>
      <c r="L11853">
        <f>MAX(VLOOKUP(F11853,N$6:P$15,3,FALSE)/1000,2/3*D11848/1000)+F$16*F11853/1000</f>
        <v>0.192</v>
      </c>
      <c r="M11853" t="str">
        <v>=</v>
      </c>
      <c r="N11853">
        <f>J11853+L11853</f>
        <v>2.192</v>
      </c>
      <c r="O11853" t="str">
        <v>+</v>
      </c>
      <c r="P11853">
        <f>D11853-D11852</f>
        <v>0</v>
      </c>
      <c r="Q11853" t="str">
        <v>x</v>
      </c>
      <c r="R11853">
        <f>IF(P11853&gt;0,$F$18*F11853/1000,0)</f>
        <v>0</v>
      </c>
      <c r="S11853" t="str">
        <v>)</v>
      </c>
      <c r="T11853" t="str">
        <v>x</v>
      </c>
      <c r="U11853">
        <f>0.006165*F11853^2</f>
        <v>1.57824</v>
      </c>
      <c r="X11853" t="str">
        <v>x</v>
      </c>
      <c r="Y11853">
        <f>D11850</f>
        <v>1</v>
      </c>
      <c r="Z11853" t="str">
        <v>=</v>
      </c>
      <c r="AA11853">
        <f>IF(AA11854=0,(D11853*N11853+P11853*R11853)*U11853*Y11853,0)</f>
        <v>0</v>
      </c>
    </row>
    <row r="11854">
      <c r="A11854" t="str">
        <f>A11844</f>
        <v>Lantai Atap</v>
      </c>
      <c r="B11854">
        <f>B11844</f>
        <v>54</v>
      </c>
      <c r="D11854">
        <f>IF(AND(D11851=D11852,D11852=D11853,D11851=D11853),D11851,0)</f>
        <v>3</v>
      </c>
      <c r="E11854" t="str">
        <v>D</v>
      </c>
      <c r="F11854">
        <f>IF(AND(F11851=F11852,F11851=F11853,F11852=F11853),F11851,0)</f>
        <v>16</v>
      </c>
      <c r="L11854" t="str">
        <v>Total panjang per balok</v>
      </c>
      <c r="M11854" t="str">
        <v>=</v>
      </c>
      <c r="N11854">
        <f>IF(AND(D11851=D11852,D11851=D11853,D11852=D11853,F11851=F11852,F11851=F11853,F11852=F11853),SUM(N11851:N11853),0)</f>
        <v>8.384</v>
      </c>
      <c r="O11854" t="str">
        <v>+</v>
      </c>
      <c r="P11854">
        <f>IF(N11854&gt;12,ROUNDDOWN(N11854/12,0),0)</f>
        <v>0</v>
      </c>
      <c r="Q11854" t="str">
        <v>x</v>
      </c>
      <c r="R11854">
        <f>IF(P11854&gt;0,MAX(VLOOKUP(F11854,$D$6:$G$15,3,FALSE),600),0)/1000</f>
        <v>0</v>
      </c>
      <c r="T11854" t="str">
        <v>x</v>
      </c>
      <c r="U11854">
        <f>U11853</f>
        <v>1.57824</v>
      </c>
      <c r="V11854" t="str">
        <v>x</v>
      </c>
      <c r="W11854">
        <f>D11854</f>
        <v>3</v>
      </c>
      <c r="X11854" t="str">
        <v>x</v>
      </c>
      <c r="Y11854">
        <f>Y11853</f>
        <v>1</v>
      </c>
      <c r="Z11854" t="str">
        <v>=</v>
      </c>
      <c r="AA11854">
        <f>(N11854+P11854*R11854/1000)*U11854*W11854*Y11854</f>
        <v>39.69589248</v>
      </c>
    </row>
    <row r="11856">
      <c r="A11856" t="str">
        <f>A11844</f>
        <v>Lantai Atap</v>
      </c>
      <c r="B11856">
        <f>B11844</f>
        <v>54</v>
      </c>
      <c r="C11856" t="str">
        <v>Tul Peminggang</v>
      </c>
      <c r="D11856">
        <f>VLOOKUP(D11844,'Detail Balok'!$C$10:$AU$110,13,FALSE)</f>
        <v>0</v>
      </c>
      <c r="E11856" t="str">
        <v>D</v>
      </c>
      <c r="F11856">
        <f>VLOOKUP(D11844,'Detail Balok'!$C$10:$AU$110,15,FALSE)</f>
        <v>6</v>
      </c>
      <c r="J11856">
        <f>+D11846/1000</f>
        <v>8</v>
      </c>
      <c r="K11856" t="str">
        <v>+</v>
      </c>
      <c r="L11856">
        <f>2*$F$16*F11856/1000</f>
        <v>0.144</v>
      </c>
      <c r="M11856" t="str">
        <v>=</v>
      </c>
      <c r="N11856">
        <f>J11856+L11856</f>
        <v>8.144</v>
      </c>
      <c r="O11856" t="str">
        <v>+</v>
      </c>
      <c r="P11856">
        <f>IF(N11856&gt;12,ROUNDDOWN(N11856/12,0),0)</f>
        <v>0</v>
      </c>
      <c r="Q11856" t="str">
        <v>x</v>
      </c>
      <c r="R11856">
        <f>IF(P11856&gt;0,MAX(VLOOKUP(F11856,$D$6:$G$15,3,FALSE),600),0)/1000</f>
        <v>0</v>
      </c>
      <c r="T11856" t="str">
        <v>x</v>
      </c>
      <c r="U11856">
        <f>0.006165*F11856^2</f>
        <v>0.22194000000000003</v>
      </c>
      <c r="V11856" t="str">
        <v>x</v>
      </c>
      <c r="W11856">
        <f>+D11856</f>
        <v>0</v>
      </c>
      <c r="X11856" t="str">
        <v>x</v>
      </c>
      <c r="Y11856">
        <f>D11850</f>
        <v>1</v>
      </c>
      <c r="Z11856" t="str">
        <v>=</v>
      </c>
      <c r="AA11856">
        <f>(N11856+P11856*R11856/1000)*U11856*W11856*Y11856</f>
        <v>0</v>
      </c>
    </row>
    <row r="11859">
      <c r="A11859" t="str">
        <f>A11844</f>
        <v>Lantai Atap</v>
      </c>
      <c r="B11859">
        <f>B11844</f>
        <v>54</v>
      </c>
      <c r="C11859" t="str">
        <v>Tul Bawah Tumpuan</v>
      </c>
      <c r="D11859">
        <f>VLOOKUP(D11844,'Detail Balok'!$C$10:$AU$110,22,FALSE)</f>
        <v>3</v>
      </c>
      <c r="E11859" t="str">
        <v>D</v>
      </c>
      <c r="F11859">
        <f>VLOOKUP(D11844,'Detail Balok'!$C$10:$AU$110,24,FALSE)</f>
        <v>16</v>
      </c>
      <c r="I11859" t="str">
        <v>(</v>
      </c>
      <c r="J11859">
        <f>+J11851</f>
        <v>2</v>
      </c>
      <c r="K11859" t="str">
        <v>+</v>
      </c>
      <c r="L11859">
        <f>MAX(VLOOKUP(F11859,N$6:P$15,3,FALSE)/1000,2/3*D11849/1000)+F$16*F11859/1000</f>
        <v>0.192</v>
      </c>
      <c r="M11859" t="str">
        <v>=</v>
      </c>
      <c r="N11859">
        <f>J11859+L11859</f>
        <v>2.192</v>
      </c>
      <c r="O11859" t="str">
        <v>+</v>
      </c>
      <c r="P11859">
        <f>D11859-D11860</f>
        <v>0</v>
      </c>
      <c r="Q11859" t="str">
        <v>x</v>
      </c>
      <c r="R11859">
        <f>IF(P11859&gt;0,$F$18*F11859/1000,0)</f>
        <v>0</v>
      </c>
      <c r="S11859" t="str">
        <v>)</v>
      </c>
      <c r="T11859" t="str">
        <v>x</v>
      </c>
      <c r="U11859">
        <f>0.006165*F11859^2</f>
        <v>1.57824</v>
      </c>
      <c r="X11859" t="str">
        <v>x</v>
      </c>
      <c r="Y11859">
        <f>D11850</f>
        <v>1</v>
      </c>
      <c r="Z11859" t="str">
        <v>=</v>
      </c>
      <c r="AA11859">
        <f>IF(AA11862=0,(D11859*N11859+P11859*R11859)*U11859*Y11859,0)</f>
        <v>0</v>
      </c>
    </row>
    <row r="11860">
      <c r="A11860" t="str">
        <f>A11844</f>
        <v>Lantai Atap</v>
      </c>
      <c r="B11860">
        <f>B11844</f>
        <v>54</v>
      </c>
      <c r="C11860" t="str">
        <v>Tul Bawah Lapangan</v>
      </c>
      <c r="D11860">
        <f>VLOOKUP(D11844,'Detail Balok'!$C$10:$AU$110,25,FALSE)</f>
        <v>3</v>
      </c>
      <c r="E11860" t="str">
        <v>D</v>
      </c>
      <c r="F11860">
        <f>VLOOKUP(D11844,'Detail Balok'!$C$10:$AU$110,27,FALSE)</f>
        <v>16</v>
      </c>
      <c r="I11860" t="str">
        <v>(</v>
      </c>
      <c r="J11860">
        <f>+J11852</f>
        <v>4</v>
      </c>
      <c r="K11860" t="str">
        <v>+</v>
      </c>
      <c r="M11860" t="str">
        <v>=</v>
      </c>
      <c r="N11860">
        <f>J11860+L11860</f>
        <v>4</v>
      </c>
      <c r="O11860" t="str">
        <v>+</v>
      </c>
      <c r="P11860">
        <f>MAX(D11860-D11859,D11860-D11861)</f>
        <v>0</v>
      </c>
      <c r="Q11860" t="str">
        <v>x</v>
      </c>
      <c r="R11860">
        <f>IF(P11860&gt;0,2*(1-2*$F$19-1/2)*D11847/1000,0)</f>
        <v>0</v>
      </c>
      <c r="S11860" t="str">
        <v>)</v>
      </c>
      <c r="T11860" t="str">
        <v>x</v>
      </c>
      <c r="U11860">
        <f>0.006165*F11860^2</f>
        <v>1.57824</v>
      </c>
      <c r="X11860" t="str">
        <v>x</v>
      </c>
      <c r="Y11860">
        <f>D11850</f>
        <v>1</v>
      </c>
      <c r="Z11860" t="str">
        <v>=</v>
      </c>
      <c r="AA11860">
        <f>IF(AA11862=0,(D11860*N11860+P11860*R11860)*U11860*Y11860,0)</f>
        <v>0</v>
      </c>
    </row>
    <row r="11861">
      <c r="A11861" t="str">
        <f>A11844</f>
        <v>Lantai Atap</v>
      </c>
      <c r="B11861">
        <f>B11844</f>
        <v>54</v>
      </c>
      <c r="C11861" t="str">
        <v>Tul Bawah Tumpuan</v>
      </c>
      <c r="D11861">
        <f>VLOOKUP(D11844,'Detail Balok'!$C$10:$AU$110,28,FALSE)</f>
        <v>3</v>
      </c>
      <c r="E11861" t="str">
        <v>D</v>
      </c>
      <c r="F11861">
        <f>VLOOKUP(D11844,'Detail Balok'!$C$10:$AU$110,30,FALSE)</f>
        <v>16</v>
      </c>
      <c r="I11861" t="str">
        <v>(</v>
      </c>
      <c r="J11861">
        <f>+J11853</f>
        <v>2</v>
      </c>
      <c r="K11861" t="str">
        <v>+</v>
      </c>
      <c r="L11861">
        <f>MAX(VLOOKUP(F11861,N$6:P$15,3,FALSE)/1000,2/3*D11849/1000)+F$16*F11861/1000</f>
        <v>0.192</v>
      </c>
      <c r="M11861" t="str">
        <v>=</v>
      </c>
      <c r="N11861">
        <f>J11861+L11861</f>
        <v>2.192</v>
      </c>
      <c r="O11861" t="str">
        <v>+</v>
      </c>
      <c r="P11861">
        <f>D11861-D11860</f>
        <v>0</v>
      </c>
      <c r="Q11861" t="str">
        <v>x</v>
      </c>
      <c r="R11861">
        <f>IF(P11861&gt;0,$F$18*F11861/1000,0)</f>
        <v>0</v>
      </c>
      <c r="S11861" t="str">
        <v>)</v>
      </c>
      <c r="T11861" t="str">
        <v>x</v>
      </c>
      <c r="U11861">
        <f>0.006165*F11861^2</f>
        <v>1.57824</v>
      </c>
      <c r="X11861" t="str">
        <v>x</v>
      </c>
      <c r="Y11861">
        <f>D11850</f>
        <v>1</v>
      </c>
      <c r="Z11861" t="str">
        <v>=</v>
      </c>
      <c r="AA11861">
        <f>IF(AA11862=0,(D11861*N11861+P11861*R11861)*U11861*Y11861,0)</f>
        <v>0</v>
      </c>
    </row>
    <row r="11862">
      <c r="A11862" t="str">
        <f>A11844</f>
        <v>Lantai Atap</v>
      </c>
      <c r="B11862">
        <f>B11844</f>
        <v>54</v>
      </c>
      <c r="D11862">
        <f>IF(AND(D11859=D11860,D11860=D11861,D11859=D11861),D11859,0)</f>
        <v>3</v>
      </c>
      <c r="E11862" t="str">
        <v>D</v>
      </c>
      <c r="F11862">
        <f>IF(AND(F11859=F11860,F11859=F11861,F11860=F11861),F11859,0)</f>
        <v>16</v>
      </c>
      <c r="L11862" t="str">
        <v>Total panjang per balok</v>
      </c>
      <c r="M11862" t="str">
        <v>=</v>
      </c>
      <c r="N11862">
        <f>IF(AND(D11859=D11860,D11859=D11861,D11860=D11861,F11859=F11860,F11859=F11861,F11860=F11861),SUM(N11859:N11861),0)</f>
        <v>8.384</v>
      </c>
      <c r="O11862" t="str">
        <v>+</v>
      </c>
      <c r="P11862">
        <f>IF(N11862&gt;12,ROUNDDOWN(N11862/12,0),0)</f>
        <v>0</v>
      </c>
      <c r="Q11862" t="str">
        <v>x</v>
      </c>
      <c r="R11862">
        <f>IF(P11862&gt;0,MAX(VLOOKUP(F11862,$D$6:$G$15,3,FALSE),600),0)/1000</f>
        <v>0</v>
      </c>
      <c r="T11862" t="str">
        <v>x</v>
      </c>
      <c r="U11862">
        <f>U11861</f>
        <v>1.57824</v>
      </c>
      <c r="V11862" t="str">
        <v>x</v>
      </c>
      <c r="W11862">
        <f>D11862</f>
        <v>3</v>
      </c>
      <c r="X11862" t="str">
        <v>x</v>
      </c>
      <c r="Y11862">
        <f>Y11861</f>
        <v>1</v>
      </c>
      <c r="Z11862" t="str">
        <v>=</v>
      </c>
      <c r="AA11862">
        <f>(N11862+P11862*R11862/1000)*U11862*W11862*Y11862</f>
        <v>39.69589248</v>
      </c>
    </row>
    <row r="11864">
      <c r="A11864" t="str">
        <f>A11844</f>
        <v>Lantai Atap</v>
      </c>
      <c r="B11864">
        <f>B11844</f>
        <v>54</v>
      </c>
      <c r="C11864" t="str">
        <v>Sengkang Tumpuan</v>
      </c>
      <c r="D11864">
        <f>VLOOKUP(D11844,'Detail Balok'!$C$10:$AU$110,31,FALSE)</f>
        <v>0</v>
      </c>
      <c r="E11864" t="str">
        <v>D</v>
      </c>
      <c r="F11864">
        <f>VLOOKUP(D11844,'Detail Balok'!$C$10:$AU$110,33,FALSE)</f>
        <v>10</v>
      </c>
      <c r="G11864" t="str">
        <v>-</v>
      </c>
      <c r="H11864">
        <f>VLOOKUP(D11844,'Detail Balok'!$C$10:$AU$110,35,FALSE)</f>
        <v>100</v>
      </c>
      <c r="J11864">
        <f>(IF(D11864=0,(2*(D11845+G11845))-(F$5*8),IF(D11864=3,(2*(D11845+G11845))-(F$5*8)+(G11845-2*F$5),IF(D11864=4,(2*(D11845+G11845))-(F$5*8)+2*(G11845-2*F$5)))))/1000</f>
        <v>0.88</v>
      </c>
      <c r="K11864" t="str">
        <v>+</v>
      </c>
      <c r="L11864">
        <f>IF(D11864=0,2*MAX(6*F11864,75),(D11864-1)*2*MAX(6*F11864,75))/1000</f>
        <v>0.15</v>
      </c>
      <c r="M11864" t="str">
        <v>=</v>
      </c>
      <c r="N11864">
        <f>J11864+L11864</f>
        <v>1.03</v>
      </c>
      <c r="T11864" t="str">
        <v>x</v>
      </c>
      <c r="U11864">
        <f>0.006165*F11864^2</f>
        <v>0.6165</v>
      </c>
      <c r="V11864" t="str">
        <v>x</v>
      </c>
      <c r="W11864">
        <f>IF(D11847&gt;4*G11845,ROUND(MAX(D11847/4,2*G11845)/H11864,0)+1,ROUND(D11847/H11864,0)+1)</f>
        <v>21</v>
      </c>
      <c r="X11864" t="str">
        <v>x</v>
      </c>
      <c r="Y11864">
        <f>D11850</f>
        <v>1</v>
      </c>
      <c r="Z11864" t="str">
        <v>=</v>
      </c>
      <c r="AA11864">
        <f>N11864*U11864*W11864*Y11864</f>
        <v>13.334895000000001</v>
      </c>
    </row>
    <row r="11865">
      <c r="A11865" t="str">
        <f>A11844</f>
        <v>Lantai Atap</v>
      </c>
      <c r="B11865">
        <f>B11844</f>
        <v>54</v>
      </c>
      <c r="C11865" t="str">
        <v>Sengkang Lapangan</v>
      </c>
      <c r="D11865">
        <f>VLOOKUP(D11844,'Detail Balok'!$C$10:$AU$110,36,FALSE)</f>
        <v>0</v>
      </c>
      <c r="E11865" t="str">
        <v>D</v>
      </c>
      <c r="F11865">
        <f>VLOOKUP(D11844,'Detail Balok'!$C$10:$AU$110,38,FALSE)</f>
        <v>10</v>
      </c>
      <c r="G11865" t="str">
        <v>-</v>
      </c>
      <c r="H11865">
        <f>VLOOKUP(D11844,'Detail Balok'!$C$10:$AU$110,40,FALSE)</f>
        <v>200</v>
      </c>
      <c r="J11865">
        <f>(IF(D11865=0,(2*(D11845+G11845))-(F$5*8),IF(D11865=3,(2*(D11845+G11845))-(F$5*8)+(G11845-2*F$5),IF(D11865=4,(2*(D11845+G11845))-(F$5*8)+2*(G11845-2*F$5)))))/1000</f>
        <v>0.88</v>
      </c>
      <c r="K11865" t="str">
        <v>+</v>
      </c>
      <c r="L11865">
        <f>IF(D11865=0,2*MAX(6*F11865,75),(D11865-1)*2*MAX(6*F11865,75))/1000</f>
        <v>0.15</v>
      </c>
      <c r="M11865" t="str">
        <v>=</v>
      </c>
      <c r="N11865">
        <f>J11865+L11865</f>
        <v>1.03</v>
      </c>
      <c r="T11865" t="str">
        <v>x</v>
      </c>
      <c r="U11865">
        <f>0.006165*F11865^2</f>
        <v>0.6165</v>
      </c>
      <c r="V11865" t="str">
        <v>x</v>
      </c>
      <c r="W11865">
        <f>IF(D11847-MAX(D11847/4,2*G11845)*2&gt;0,ROUND((D11847-MAX(D11847/4,2*G11845)*2)/H11865,0),0)</f>
        <v>20</v>
      </c>
      <c r="X11865" t="str">
        <v>x</v>
      </c>
      <c r="Y11865">
        <f>D11850</f>
        <v>1</v>
      </c>
      <c r="Z11865" t="str">
        <v>=</v>
      </c>
      <c r="AA11865">
        <f>N11865*U11865*W11865*Y11865</f>
        <v>12.699900000000001</v>
      </c>
    </row>
    <row r="11866">
      <c r="A11866" t="str">
        <f>A11844</f>
        <v>Lantai Atap</v>
      </c>
      <c r="B11866">
        <f>B11844</f>
        <v>54</v>
      </c>
      <c r="C11866" t="str">
        <v>Sengkang Tumpuan</v>
      </c>
      <c r="D11866">
        <f>VLOOKUP(D11844,'Detail Balok'!$C$10:$AU$110,41,FALSE)</f>
        <v>0</v>
      </c>
      <c r="E11866" t="str">
        <v>D</v>
      </c>
      <c r="F11866">
        <f>VLOOKUP(D11844,'Detail Balok'!$C$10:$AU$110,43,FALSE)</f>
        <v>10</v>
      </c>
      <c r="G11866" t="str">
        <v>-</v>
      </c>
      <c r="H11866">
        <f>VLOOKUP(D11844,'Detail Balok'!$C$10:$AU$110,45,FALSE)</f>
        <v>100</v>
      </c>
      <c r="J11866">
        <f>(IF(D11866=0,(2*(D11845+G11845))-(F$5*8),IF(D11866=3,(2*(D11845+G11845))-(F$5*8)+(G11845-2*F$5),IF(D11866=4,(2*(D11845+G11845))-(F$5*8)+2*(G11845-2*F$5)))))/1000</f>
        <v>0.88</v>
      </c>
      <c r="K11866" t="str">
        <v>+</v>
      </c>
      <c r="L11866">
        <f>IF(D11866=0,2*MAX(6*F11866,75),(D11866-1)*2*MAX(6*F11866,75))/1000</f>
        <v>0.15</v>
      </c>
      <c r="M11866" t="str">
        <v>=</v>
      </c>
      <c r="N11866">
        <f>J11866+L11866</f>
        <v>1.03</v>
      </c>
      <c r="T11866" t="str">
        <v>x</v>
      </c>
      <c r="U11866">
        <f>0.006165*F11866^2</f>
        <v>0.6165</v>
      </c>
      <c r="V11866" t="str">
        <v>x</v>
      </c>
      <c r="W11866">
        <f>IF(D11847&gt;4*G11845,ROUND(MAX(D11847/4,2*G11845)/H11866,0)+1,0)</f>
        <v>21</v>
      </c>
      <c r="X11866" t="str">
        <v>x</v>
      </c>
      <c r="Y11866">
        <f>D11850</f>
        <v>1</v>
      </c>
      <c r="Z11866" t="str">
        <v>=</v>
      </c>
      <c r="AA11866">
        <f>N11866*U11866*W11866*Y11866</f>
        <v>13.334895000000001</v>
      </c>
    </row>
    <row r="11868">
      <c r="A11868" t="str">
        <f>A11844</f>
        <v>Lantai Atap</v>
      </c>
      <c r="B11868">
        <f>B11844</f>
        <v>54</v>
      </c>
      <c r="C11868" t="str">
        <v>Kait Horizontal Tump.</v>
      </c>
      <c r="D11868">
        <f>VLOOKUP(D11844,'Detail Balok'!$C$10:$BJ$110,46,FALSE)</f>
        <v>0</v>
      </c>
      <c r="E11868" t="str">
        <v>D</v>
      </c>
      <c r="F11868">
        <f>VLOOKUP(D11844,'Detail Balok'!$C$10:$BJ$110,48,FALSE)</f>
        <v>0</v>
      </c>
      <c r="G11868" t="str">
        <v>-</v>
      </c>
      <c r="H11868">
        <f>VLOOKUP(D11844,'Detail Balok'!$C$10:$BJ$110,50,FALSE)</f>
        <v>100</v>
      </c>
      <c r="J11868">
        <f>(D11845-2*F$5)/1000</f>
        <v>0.12</v>
      </c>
      <c r="K11868" t="str">
        <v>+</v>
      </c>
      <c r="L11868">
        <f>IF(D11868=0,2*MAX(6*F11868,75),(D11868-1)*2*MAX(6*F11868,75))/1000</f>
        <v>0.15</v>
      </c>
      <c r="M11868" t="str">
        <v>=</v>
      </c>
      <c r="N11868">
        <f>J11868+L11868</f>
        <v>0.27</v>
      </c>
      <c r="T11868" t="str">
        <v>x</v>
      </c>
      <c r="U11868">
        <f>0.006165*F11868^2</f>
        <v>0</v>
      </c>
      <c r="V11868" t="str">
        <v>x</v>
      </c>
      <c r="W11868">
        <f>W11864</f>
        <v>21</v>
      </c>
      <c r="X11868" t="str">
        <v>x</v>
      </c>
      <c r="Y11868">
        <f>D11854</f>
        <v>3</v>
      </c>
      <c r="Z11868" t="str">
        <v>=</v>
      </c>
      <c r="AA11868">
        <f>N11868*U11868*W11868*Y11868</f>
        <v>0</v>
      </c>
    </row>
    <row r="11869">
      <c r="A11869" t="str">
        <f>A11844</f>
        <v>Lantai Atap</v>
      </c>
      <c r="B11869">
        <f>B11844</f>
        <v>54</v>
      </c>
      <c r="C11869" t="str">
        <v>Kait Horizontal Lap.</v>
      </c>
      <c r="D11869">
        <f>VLOOKUP(D11844,'Detail Balok'!$C$10:$BJ$110,51,FALSE)</f>
        <v>0</v>
      </c>
      <c r="E11869" t="str">
        <v>D</v>
      </c>
      <c r="F11869">
        <f>VLOOKUP(D11844,'Detail Balok'!$C$10:$BJ$110,53,FALSE)</f>
        <v>0</v>
      </c>
      <c r="G11869" t="str">
        <v>-</v>
      </c>
      <c r="H11869">
        <f>VLOOKUP(D11844,'Detail Balok'!$C$10:$BJ$110,55,FALSE)</f>
        <v>100</v>
      </c>
      <c r="J11869">
        <f>(D11845-2*F$5)/1000</f>
        <v>0.12</v>
      </c>
      <c r="K11869" t="str">
        <v>+</v>
      </c>
      <c r="L11869">
        <f>IF(D11869=0,2*MAX(6*F11869,75),(D11869-1)*2*MAX(6*F11869,75))/1000</f>
        <v>0.15</v>
      </c>
      <c r="M11869" t="str">
        <v>=</v>
      </c>
      <c r="N11869">
        <f>J11869+L11869</f>
        <v>0.27</v>
      </c>
      <c r="T11869" t="str">
        <v>x</v>
      </c>
      <c r="U11869">
        <f>0.006165*F11869^2</f>
        <v>0</v>
      </c>
      <c r="V11869" t="str">
        <v>x</v>
      </c>
      <c r="W11869">
        <f>W11865</f>
        <v>20</v>
      </c>
      <c r="X11869" t="str">
        <v>x</v>
      </c>
      <c r="Y11869">
        <f>D11854</f>
        <v>3</v>
      </c>
      <c r="Z11869" t="str">
        <v>=</v>
      </c>
      <c r="AA11869">
        <f>N11869*U11869*W11869*Y11869</f>
        <v>0</v>
      </c>
    </row>
    <row r="11870">
      <c r="A11870" t="str">
        <f>A11844</f>
        <v>Lantai Atap</v>
      </c>
      <c r="B11870">
        <f>B11844</f>
        <v>54</v>
      </c>
      <c r="C11870" t="str">
        <v>Kait Horizontal Tump.</v>
      </c>
      <c r="D11870">
        <f>VLOOKUP(D11844,'Detail Balok'!$C$10:$BJ$110,56,FALSE)</f>
        <v>0</v>
      </c>
      <c r="E11870" t="str">
        <v>D</v>
      </c>
      <c r="F11870">
        <f>VLOOKUP(D11844,'Detail Balok'!$C$10:$BJ$110,58,FALSE)</f>
        <v>0</v>
      </c>
      <c r="G11870" t="str">
        <v>-</v>
      </c>
      <c r="H11870">
        <f>VLOOKUP(D11844,'Detail Balok'!$C$10:$BJ$110,60,FALSE)</f>
        <v>100</v>
      </c>
      <c r="J11870">
        <f>(D11845-2*F$5)/1000</f>
        <v>0.12</v>
      </c>
      <c r="K11870" t="str">
        <v>+</v>
      </c>
      <c r="L11870">
        <f>IF(D11870=0,2*MAX(6*F11870,75),(D11870-1)*2*MAX(6*F11870,75))/1000</f>
        <v>0.15</v>
      </c>
      <c r="M11870" t="str">
        <v>=</v>
      </c>
      <c r="N11870">
        <f>J11870+L11870</f>
        <v>0.27</v>
      </c>
      <c r="T11870" t="str">
        <v>x</v>
      </c>
      <c r="U11870">
        <f>0.006165*F11870^2</f>
        <v>0</v>
      </c>
      <c r="V11870" t="str">
        <v>x</v>
      </c>
      <c r="W11870">
        <f>W11866</f>
        <v>21</v>
      </c>
      <c r="X11870" t="str">
        <v>x</v>
      </c>
      <c r="Y11870">
        <f>D11854</f>
        <v>3</v>
      </c>
      <c r="Z11870" t="str">
        <v>=</v>
      </c>
      <c r="AA11870">
        <f>N11870*U11870*W11870*Y11870</f>
        <v>0</v>
      </c>
    </row>
    <row r="11874">
      <c r="A11874" t="str">
        <f>A11844</f>
        <v>Lantai Atap</v>
      </c>
      <c r="B11874">
        <f>B11844+1</f>
        <v>55</v>
      </c>
      <c r="C11874" t="str">
        <f>CONCATENATE(A11874," no. ",B11874)</f>
        <v>Lantai Atap no. 55</v>
      </c>
      <c r="D11874" t="str">
        <f>VLOOKUP(C11874,'Data Panjang Balok'!$C$9:$N$424,2,FALSE)</f>
        <v>B24-2</v>
      </c>
    </row>
    <row r="11875">
      <c r="C11875" t="str">
        <v>Dimensi</v>
      </c>
      <c r="D11875">
        <f>VLOOKUP(D11874,'Detail Balok'!$C$10:$AU$110,2,FALSE)</f>
        <v>200</v>
      </c>
      <c r="F11875" t="str">
        <v>x</v>
      </c>
      <c r="G11875">
        <f>VLOOKUP(D11874,'Detail Balok'!$C$10:$AU$110,3,FALSE)</f>
        <v>400</v>
      </c>
    </row>
    <row r="11876">
      <c r="C11876" t="str">
        <v>Panjang as ke as</v>
      </c>
      <c r="D11876">
        <f>VLOOKUP(C11874,'Data Panjang Balok'!$C$9:$N$424,4,FALSE)</f>
        <v>5400</v>
      </c>
    </row>
    <row r="11877">
      <c r="C11877" t="str">
        <v>Panjang netto</v>
      </c>
      <c r="D11877">
        <f>VLOOKUP(C11874,'Data Panjang Balok'!$C$9:$N$424,7,FALSE)</f>
        <v>5400</v>
      </c>
    </row>
    <row r="11878">
      <c r="C11878" t="str">
        <v>Kolom / balok kiri</v>
      </c>
      <c r="D11878">
        <f>VLOOKUP(C11874,'Data Panjang Balok'!$C$9:$N$424,9,FALSE)</f>
        <v>0</v>
      </c>
    </row>
    <row r="11879">
      <c r="C11879" t="str">
        <v>Kolom / balok kanan</v>
      </c>
      <c r="D11879">
        <f>VLOOKUP(C11874,'Data Panjang Balok'!$C$9:$N$424,10,FALSE)</f>
        <v>0</v>
      </c>
    </row>
    <row r="11880">
      <c r="C11880" t="str">
        <v>Jumlah</v>
      </c>
      <c r="D11880">
        <f>VLOOKUP(C11874,'Data Panjang Balok'!$C$9:$N$424,3,FALSE)</f>
        <v>1</v>
      </c>
    </row>
    <row r="11881">
      <c r="A11881" t="str">
        <f>A11874</f>
        <v>Lantai Atap</v>
      </c>
      <c r="B11881">
        <f>B11874</f>
        <v>55</v>
      </c>
      <c r="C11881" t="str">
        <v>Tul Atas Tumpuan</v>
      </c>
      <c r="D11881">
        <f>VLOOKUP(D11874,'Detail Balok'!$C$10:$AU$110,4,FALSE)</f>
        <v>2</v>
      </c>
      <c r="E11881" t="str">
        <v>D</v>
      </c>
      <c r="F11881">
        <f>VLOOKUP(D11874,'Detail Balok'!$C$10:$AU$110,6,FALSE)</f>
        <v>16</v>
      </c>
      <c r="I11881" t="str">
        <v>(</v>
      </c>
      <c r="J11881">
        <f>+D11876/4/1000</f>
        <v>1.35</v>
      </c>
      <c r="K11881" t="str">
        <v>+</v>
      </c>
      <c r="L11881">
        <f>MAX(VLOOKUP(F11881,N$6:P$15,3,FALSE)/1000,2/3*D11878/1000)+F$16*F11881/1000</f>
        <v>0.192</v>
      </c>
      <c r="M11881" t="str">
        <v>=</v>
      </c>
      <c r="N11881">
        <f>J11881+L11881</f>
        <v>1.542</v>
      </c>
      <c r="O11881" t="str">
        <v>+</v>
      </c>
      <c r="P11881">
        <f>D11881-D11882</f>
        <v>0</v>
      </c>
      <c r="Q11881" t="str">
        <v>x</v>
      </c>
      <c r="R11881">
        <f>IF(P11881&gt;0,$F$18*F11881/1000,0)</f>
        <v>0</v>
      </c>
      <c r="S11881" t="str">
        <v>)</v>
      </c>
      <c r="T11881" t="str">
        <v>x</v>
      </c>
      <c r="U11881">
        <f>0.006165*F11881^2</f>
        <v>1.57824</v>
      </c>
      <c r="X11881" t="str">
        <v>x</v>
      </c>
      <c r="Y11881">
        <f>D11880</f>
        <v>1</v>
      </c>
      <c r="Z11881" t="str">
        <v>=</v>
      </c>
      <c r="AA11881">
        <f>IF(AA11884=0,(D11881*N11881+P11881*R11881)*U11881*Y11881,0)</f>
        <v>0</v>
      </c>
    </row>
    <row r="11882">
      <c r="A11882" t="str">
        <f>A11874</f>
        <v>Lantai Atap</v>
      </c>
      <c r="B11882">
        <f>B11874</f>
        <v>55</v>
      </c>
      <c r="C11882" t="str">
        <v>Tul Atas Lapangan</v>
      </c>
      <c r="D11882">
        <f>VLOOKUP(D11874,'Detail Balok'!$C$10:$AU$110,7,FALSE)</f>
        <v>2</v>
      </c>
      <c r="E11882" t="str">
        <v>D</v>
      </c>
      <c r="F11882">
        <f>VLOOKUP(D11874,'Detail Balok'!$C$10:$AU$110,9,FALSE)</f>
        <v>16</v>
      </c>
      <c r="I11882" t="str">
        <v>(</v>
      </c>
      <c r="J11882">
        <f>+D11876/2/1000</f>
        <v>2.7</v>
      </c>
      <c r="K11882" t="str">
        <v>+</v>
      </c>
      <c r="M11882" t="str">
        <v>=</v>
      </c>
      <c r="N11882">
        <f>J11882+L11882</f>
        <v>2.7</v>
      </c>
      <c r="O11882" t="str">
        <v>+</v>
      </c>
      <c r="P11882">
        <f>MAX(D11882-D11881,D11882-D11883)</f>
        <v>0</v>
      </c>
      <c r="Q11882" t="str">
        <v>x</v>
      </c>
      <c r="R11882">
        <f>IF(P11882&gt;0,2*(1-2*$F$19-1/2)*D11877/1000,0)</f>
        <v>0</v>
      </c>
      <c r="S11882" t="str">
        <v>)</v>
      </c>
      <c r="T11882" t="str">
        <v>x</v>
      </c>
      <c r="U11882">
        <f>0.006165*F11882^2</f>
        <v>1.57824</v>
      </c>
      <c r="X11882" t="str">
        <v>x</v>
      </c>
      <c r="Y11882">
        <f>D11880</f>
        <v>1</v>
      </c>
      <c r="Z11882" t="str">
        <v>=</v>
      </c>
      <c r="AA11882">
        <f>IF(AA11884=0,(D11882*N11882+P11882*R11882)*U11882*Y11882,0)</f>
        <v>0</v>
      </c>
    </row>
    <row r="11883">
      <c r="A11883" t="str">
        <f>A11874</f>
        <v>Lantai Atap</v>
      </c>
      <c r="B11883">
        <f>B11874</f>
        <v>55</v>
      </c>
      <c r="C11883" t="str">
        <v>Tul Atas Tumpuan</v>
      </c>
      <c r="D11883">
        <f>VLOOKUP(D11874,'Detail Balok'!$C$10:$AU$110,10,FALSE)</f>
        <v>2</v>
      </c>
      <c r="E11883" t="str">
        <v>D</v>
      </c>
      <c r="F11883">
        <f>VLOOKUP(D11874,'Detail Balok'!$C$10:$AU$110,12,FALSE)</f>
        <v>16</v>
      </c>
      <c r="I11883" t="str">
        <v>(</v>
      </c>
      <c r="J11883">
        <f>+D11876/4/1000</f>
        <v>1.35</v>
      </c>
      <c r="K11883" t="str">
        <v>+</v>
      </c>
      <c r="L11883">
        <f>MAX(VLOOKUP(F11883,N$6:P$15,3,FALSE)/1000,2/3*D11878/1000)+F$16*F11883/1000</f>
        <v>0.192</v>
      </c>
      <c r="M11883" t="str">
        <v>=</v>
      </c>
      <c r="N11883">
        <f>J11883+L11883</f>
        <v>1.542</v>
      </c>
      <c r="O11883" t="str">
        <v>+</v>
      </c>
      <c r="P11883">
        <f>D11883-D11882</f>
        <v>0</v>
      </c>
      <c r="Q11883" t="str">
        <v>x</v>
      </c>
      <c r="R11883">
        <f>IF(P11883&gt;0,$F$18*F11883/1000,0)</f>
        <v>0</v>
      </c>
      <c r="S11883" t="str">
        <v>)</v>
      </c>
      <c r="T11883" t="str">
        <v>x</v>
      </c>
      <c r="U11883">
        <f>0.006165*F11883^2</f>
        <v>1.57824</v>
      </c>
      <c r="X11883" t="str">
        <v>x</v>
      </c>
      <c r="Y11883">
        <f>D11880</f>
        <v>1</v>
      </c>
      <c r="Z11883" t="str">
        <v>=</v>
      </c>
      <c r="AA11883">
        <f>IF(AA11884=0,(D11883*N11883+P11883*R11883)*U11883*Y11883,0)</f>
        <v>0</v>
      </c>
    </row>
    <row r="11884">
      <c r="A11884" t="str">
        <f>A11874</f>
        <v>Lantai Atap</v>
      </c>
      <c r="B11884">
        <f>B11874</f>
        <v>55</v>
      </c>
      <c r="D11884">
        <f>IF(AND(D11881=D11882,D11882=D11883,D11881=D11883),D11881,0)</f>
        <v>2</v>
      </c>
      <c r="E11884" t="str">
        <v>D</v>
      </c>
      <c r="F11884">
        <f>IF(AND(F11881=F11882,F11881=F11883,F11882=F11883),F11881,0)</f>
        <v>16</v>
      </c>
      <c r="L11884" t="str">
        <v>Total panjang per balok</v>
      </c>
      <c r="M11884" t="str">
        <v>=</v>
      </c>
      <c r="N11884">
        <f>IF(AND(D11881=D11882,D11881=D11883,D11882=D11883,F11881=F11882,F11881=F11883,F11882=F11883),SUM(N11881:N11883),0)</f>
        <v>5.784</v>
      </c>
      <c r="O11884" t="str">
        <v>+</v>
      </c>
      <c r="P11884">
        <f>IF(N11884&gt;12,ROUNDDOWN(N11884/12,0),0)</f>
        <v>0</v>
      </c>
      <c r="Q11884" t="str">
        <v>x</v>
      </c>
      <c r="R11884">
        <f>IF(P11884&gt;0,MAX(VLOOKUP(F11884,$D$6:$G$15,3,FALSE),600),0)/1000</f>
        <v>0</v>
      </c>
      <c r="T11884" t="str">
        <v>x</v>
      </c>
      <c r="U11884">
        <f>U11883</f>
        <v>1.57824</v>
      </c>
      <c r="V11884" t="str">
        <v>x</v>
      </c>
      <c r="W11884">
        <f>D11884</f>
        <v>2</v>
      </c>
      <c r="X11884" t="str">
        <v>x</v>
      </c>
      <c r="Y11884">
        <f>Y11883</f>
        <v>1</v>
      </c>
      <c r="Z11884" t="str">
        <v>=</v>
      </c>
      <c r="AA11884">
        <f>(N11884+P11884*R11884/1000)*U11884*W11884*Y11884</f>
        <v>18.25708032</v>
      </c>
    </row>
    <row r="11886">
      <c r="A11886" t="str">
        <f>A11874</f>
        <v>Lantai Atap</v>
      </c>
      <c r="B11886">
        <f>B11874</f>
        <v>55</v>
      </c>
      <c r="C11886" t="str">
        <v>Tul Peminggang</v>
      </c>
      <c r="D11886">
        <f>VLOOKUP(D11874,'Detail Balok'!$C$10:$AU$110,13,FALSE)</f>
        <v>0</v>
      </c>
      <c r="E11886" t="str">
        <v>D</v>
      </c>
      <c r="F11886">
        <f>VLOOKUP(D11874,'Detail Balok'!$C$10:$AU$110,15,FALSE)</f>
        <v>6</v>
      </c>
      <c r="J11886">
        <f>+D11876/1000</f>
        <v>5.4</v>
      </c>
      <c r="K11886" t="str">
        <v>+</v>
      </c>
      <c r="L11886">
        <f>2*$F$16*F11886/1000</f>
        <v>0.144</v>
      </c>
      <c r="M11886" t="str">
        <v>=</v>
      </c>
      <c r="N11886">
        <f>J11886+L11886</f>
        <v>5.5440000000000005</v>
      </c>
      <c r="O11886" t="str">
        <v>+</v>
      </c>
      <c r="P11886">
        <f>IF(N11886&gt;12,ROUNDDOWN(N11886/12,0),0)</f>
        <v>0</v>
      </c>
      <c r="Q11886" t="str">
        <v>x</v>
      </c>
      <c r="R11886">
        <f>IF(P11886&gt;0,MAX(VLOOKUP(F11886,$D$6:$G$15,3,FALSE),600),0)/1000</f>
        <v>0</v>
      </c>
      <c r="T11886" t="str">
        <v>x</v>
      </c>
      <c r="U11886">
        <f>0.006165*F11886^2</f>
        <v>0.22194000000000003</v>
      </c>
      <c r="V11886" t="str">
        <v>x</v>
      </c>
      <c r="W11886">
        <f>+D11886</f>
        <v>0</v>
      </c>
      <c r="X11886" t="str">
        <v>x</v>
      </c>
      <c r="Y11886">
        <f>D11880</f>
        <v>1</v>
      </c>
      <c r="Z11886" t="str">
        <v>=</v>
      </c>
      <c r="AA11886">
        <f>(N11886+P11886*R11886/1000)*U11886*W11886*Y11886</f>
        <v>0</v>
      </c>
    </row>
    <row r="11889">
      <c r="A11889" t="str">
        <f>A11874</f>
        <v>Lantai Atap</v>
      </c>
      <c r="B11889">
        <f>B11874</f>
        <v>55</v>
      </c>
      <c r="C11889" t="str">
        <v>Tul Bawah Tumpuan</v>
      </c>
      <c r="D11889">
        <f>VLOOKUP(D11874,'Detail Balok'!$C$10:$AU$110,22,FALSE)</f>
        <v>2</v>
      </c>
      <c r="E11889" t="str">
        <v>D</v>
      </c>
      <c r="F11889">
        <f>VLOOKUP(D11874,'Detail Balok'!$C$10:$AU$110,24,FALSE)</f>
        <v>16</v>
      </c>
      <c r="I11889" t="str">
        <v>(</v>
      </c>
      <c r="J11889">
        <f>+J11881</f>
        <v>1.35</v>
      </c>
      <c r="K11889" t="str">
        <v>+</v>
      </c>
      <c r="L11889">
        <f>MAX(VLOOKUP(F11889,N$6:P$15,3,FALSE)/1000,2/3*D11879/1000)+F$16*F11889/1000</f>
        <v>0.192</v>
      </c>
      <c r="M11889" t="str">
        <v>=</v>
      </c>
      <c r="N11889">
        <f>J11889+L11889</f>
        <v>1.542</v>
      </c>
      <c r="O11889" t="str">
        <v>+</v>
      </c>
      <c r="P11889">
        <f>D11889-D11890</f>
        <v>0</v>
      </c>
      <c r="Q11889" t="str">
        <v>x</v>
      </c>
      <c r="R11889">
        <f>IF(P11889&gt;0,$F$18*F11889/1000,0)</f>
        <v>0</v>
      </c>
      <c r="S11889" t="str">
        <v>)</v>
      </c>
      <c r="T11889" t="str">
        <v>x</v>
      </c>
      <c r="U11889">
        <f>0.006165*F11889^2</f>
        <v>1.57824</v>
      </c>
      <c r="X11889" t="str">
        <v>x</v>
      </c>
      <c r="Y11889">
        <f>D11880</f>
        <v>1</v>
      </c>
      <c r="Z11889" t="str">
        <v>=</v>
      </c>
      <c r="AA11889">
        <f>IF(AA11892=0,(D11889*N11889+P11889*R11889)*U11889*Y11889,0)</f>
        <v>0</v>
      </c>
    </row>
    <row r="11890">
      <c r="A11890" t="str">
        <f>A11874</f>
        <v>Lantai Atap</v>
      </c>
      <c r="B11890">
        <f>B11874</f>
        <v>55</v>
      </c>
      <c r="C11890" t="str">
        <v>Tul Bawah Lapangan</v>
      </c>
      <c r="D11890">
        <f>VLOOKUP(D11874,'Detail Balok'!$C$10:$AU$110,25,FALSE)</f>
        <v>2</v>
      </c>
      <c r="E11890" t="str">
        <v>D</v>
      </c>
      <c r="F11890">
        <f>VLOOKUP(D11874,'Detail Balok'!$C$10:$AU$110,27,FALSE)</f>
        <v>16</v>
      </c>
      <c r="I11890" t="str">
        <v>(</v>
      </c>
      <c r="J11890">
        <f>+J11882</f>
        <v>2.7</v>
      </c>
      <c r="K11890" t="str">
        <v>+</v>
      </c>
      <c r="M11890" t="str">
        <v>=</v>
      </c>
      <c r="N11890">
        <f>J11890+L11890</f>
        <v>2.7</v>
      </c>
      <c r="O11890" t="str">
        <v>+</v>
      </c>
      <c r="P11890">
        <f>MAX(D11890-D11889,D11890-D11891)</f>
        <v>0</v>
      </c>
      <c r="Q11890" t="str">
        <v>x</v>
      </c>
      <c r="R11890">
        <f>IF(P11890&gt;0,2*(1-2*$F$19-1/2)*D11877/1000,0)</f>
        <v>0</v>
      </c>
      <c r="S11890" t="str">
        <v>)</v>
      </c>
      <c r="T11890" t="str">
        <v>x</v>
      </c>
      <c r="U11890">
        <f>0.006165*F11890^2</f>
        <v>1.57824</v>
      </c>
      <c r="X11890" t="str">
        <v>x</v>
      </c>
      <c r="Y11890">
        <f>D11880</f>
        <v>1</v>
      </c>
      <c r="Z11890" t="str">
        <v>=</v>
      </c>
      <c r="AA11890">
        <f>IF(AA11892=0,(D11890*N11890+P11890*R11890)*U11890*Y11890,0)</f>
        <v>0</v>
      </c>
    </row>
    <row r="11891">
      <c r="A11891" t="str">
        <f>A11874</f>
        <v>Lantai Atap</v>
      </c>
      <c r="B11891">
        <f>B11874</f>
        <v>55</v>
      </c>
      <c r="C11891" t="str">
        <v>Tul Bawah Tumpuan</v>
      </c>
      <c r="D11891">
        <f>VLOOKUP(D11874,'Detail Balok'!$C$10:$AU$110,28,FALSE)</f>
        <v>2</v>
      </c>
      <c r="E11891" t="str">
        <v>D</v>
      </c>
      <c r="F11891">
        <f>VLOOKUP(D11874,'Detail Balok'!$C$10:$AU$110,30,FALSE)</f>
        <v>16</v>
      </c>
      <c r="I11891" t="str">
        <v>(</v>
      </c>
      <c r="J11891">
        <f>+J11883</f>
        <v>1.35</v>
      </c>
      <c r="K11891" t="str">
        <v>+</v>
      </c>
      <c r="L11891">
        <f>MAX(VLOOKUP(F11891,N$6:P$15,3,FALSE)/1000,2/3*D11879/1000)+F$16*F11891/1000</f>
        <v>0.192</v>
      </c>
      <c r="M11891" t="str">
        <v>=</v>
      </c>
      <c r="N11891">
        <f>J11891+L11891</f>
        <v>1.542</v>
      </c>
      <c r="O11891" t="str">
        <v>+</v>
      </c>
      <c r="P11891">
        <f>D11891-D11890</f>
        <v>0</v>
      </c>
      <c r="Q11891" t="str">
        <v>x</v>
      </c>
      <c r="R11891">
        <f>IF(P11891&gt;0,$F$18*F11891/1000,0)</f>
        <v>0</v>
      </c>
      <c r="S11891" t="str">
        <v>)</v>
      </c>
      <c r="T11891" t="str">
        <v>x</v>
      </c>
      <c r="U11891">
        <f>0.006165*F11891^2</f>
        <v>1.57824</v>
      </c>
      <c r="X11891" t="str">
        <v>x</v>
      </c>
      <c r="Y11891">
        <f>D11880</f>
        <v>1</v>
      </c>
      <c r="Z11891" t="str">
        <v>=</v>
      </c>
      <c r="AA11891">
        <f>IF(AA11892=0,(D11891*N11891+P11891*R11891)*U11891*Y11891,0)</f>
        <v>0</v>
      </c>
    </row>
    <row r="11892">
      <c r="A11892" t="str">
        <f>A11874</f>
        <v>Lantai Atap</v>
      </c>
      <c r="B11892">
        <f>B11874</f>
        <v>55</v>
      </c>
      <c r="D11892">
        <f>IF(AND(D11889=D11890,D11890=D11891,D11889=D11891),D11889,0)</f>
        <v>2</v>
      </c>
      <c r="E11892" t="str">
        <v>D</v>
      </c>
      <c r="F11892">
        <f>IF(AND(F11889=F11890,F11889=F11891,F11890=F11891),F11889,0)</f>
        <v>16</v>
      </c>
      <c r="L11892" t="str">
        <v>Total panjang per balok</v>
      </c>
      <c r="M11892" t="str">
        <v>=</v>
      </c>
      <c r="N11892">
        <f>IF(AND(D11889=D11890,D11889=D11891,D11890=D11891,F11889=F11890,F11889=F11891,F11890=F11891),SUM(N11889:N11891),0)</f>
        <v>5.784</v>
      </c>
      <c r="O11892" t="str">
        <v>+</v>
      </c>
      <c r="P11892">
        <f>IF(N11892&gt;12,ROUNDDOWN(N11892/12,0),0)</f>
        <v>0</v>
      </c>
      <c r="Q11892" t="str">
        <v>x</v>
      </c>
      <c r="R11892">
        <f>IF(P11892&gt;0,MAX(VLOOKUP(F11892,$D$6:$G$15,3,FALSE),600),0)/1000</f>
        <v>0</v>
      </c>
      <c r="T11892" t="str">
        <v>x</v>
      </c>
      <c r="U11892">
        <f>U11891</f>
        <v>1.57824</v>
      </c>
      <c r="V11892" t="str">
        <v>x</v>
      </c>
      <c r="W11892">
        <f>D11892</f>
        <v>2</v>
      </c>
      <c r="X11892" t="str">
        <v>x</v>
      </c>
      <c r="Y11892">
        <f>Y11891</f>
        <v>1</v>
      </c>
      <c r="Z11892" t="str">
        <v>=</v>
      </c>
      <c r="AA11892">
        <f>(N11892+P11892*R11892/1000)*U11892*W11892*Y11892</f>
        <v>18.25708032</v>
      </c>
    </row>
    <row r="11894">
      <c r="A11894" t="str">
        <f>A11874</f>
        <v>Lantai Atap</v>
      </c>
      <c r="B11894">
        <f>B11874</f>
        <v>55</v>
      </c>
      <c r="C11894" t="str">
        <v>Sengkang Tumpuan</v>
      </c>
      <c r="D11894">
        <f>VLOOKUP(D11874,'Detail Balok'!$C$10:$AU$110,31,FALSE)</f>
        <v>0</v>
      </c>
      <c r="E11894" t="str">
        <v>D</v>
      </c>
      <c r="F11894">
        <f>VLOOKUP(D11874,'Detail Balok'!$C$10:$AU$110,33,FALSE)</f>
        <v>8</v>
      </c>
      <c r="G11894" t="str">
        <v>-</v>
      </c>
      <c r="H11894">
        <f>VLOOKUP(D11874,'Detail Balok'!$C$10:$AU$110,35,FALSE)</f>
        <v>100</v>
      </c>
      <c r="J11894">
        <f>(IF(D11894=0,(2*(D11875+G11875))-(F$5*8),IF(D11894=3,(2*(D11875+G11875))-(F$5*8)+(G11875-2*F$5),IF(D11894=4,(2*(D11875+G11875))-(F$5*8)+2*(G11875-2*F$5)))))/1000</f>
        <v>0.88</v>
      </c>
      <c r="K11894" t="str">
        <v>+</v>
      </c>
      <c r="L11894">
        <f>IF(D11894=0,2*MAX(6*F11894,75),(D11894-1)*2*MAX(6*F11894,75))/1000</f>
        <v>0.15</v>
      </c>
      <c r="M11894" t="str">
        <v>=</v>
      </c>
      <c r="N11894">
        <f>J11894+L11894</f>
        <v>1.03</v>
      </c>
      <c r="T11894" t="str">
        <v>x</v>
      </c>
      <c r="U11894">
        <f>0.006165*F11894^2</f>
        <v>0.39456</v>
      </c>
      <c r="V11894" t="str">
        <v>x</v>
      </c>
      <c r="W11894">
        <f>IF(D11877&gt;4*G11875,ROUND(MAX(D11877/4,2*G11875)/H11894,0)+1,ROUND(D11877/H11894,0)+1)</f>
        <v>15</v>
      </c>
      <c r="X11894" t="str">
        <v>x</v>
      </c>
      <c r="Y11894">
        <f>D11880</f>
        <v>1</v>
      </c>
      <c r="Z11894" t="str">
        <v>=</v>
      </c>
      <c r="AA11894">
        <f>N11894*U11894*W11894*Y11894</f>
        <v>6.0959520000000005</v>
      </c>
    </row>
    <row r="11895">
      <c r="A11895" t="str">
        <f>A11874</f>
        <v>Lantai Atap</v>
      </c>
      <c r="B11895">
        <f>B11874</f>
        <v>55</v>
      </c>
      <c r="C11895" t="str">
        <v>Sengkang Lapangan</v>
      </c>
      <c r="D11895">
        <f>VLOOKUP(D11874,'Detail Balok'!$C$10:$AU$110,36,FALSE)</f>
        <v>0</v>
      </c>
      <c r="E11895" t="str">
        <v>D</v>
      </c>
      <c r="F11895">
        <f>VLOOKUP(D11874,'Detail Balok'!$C$10:$AU$110,38,FALSE)</f>
        <v>8</v>
      </c>
      <c r="G11895" t="str">
        <v>-</v>
      </c>
      <c r="H11895">
        <f>VLOOKUP(D11874,'Detail Balok'!$C$10:$AU$110,40,FALSE)</f>
        <v>200</v>
      </c>
      <c r="J11895">
        <f>(IF(D11895=0,(2*(D11875+G11875))-(F$5*8),IF(D11895=3,(2*(D11875+G11875))-(F$5*8)+(G11875-2*F$5),IF(D11895=4,(2*(D11875+G11875))-(F$5*8)+2*(G11875-2*F$5)))))/1000</f>
        <v>0.88</v>
      </c>
      <c r="K11895" t="str">
        <v>+</v>
      </c>
      <c r="L11895">
        <f>IF(D11895=0,2*MAX(6*F11895,75),(D11895-1)*2*MAX(6*F11895,75))/1000</f>
        <v>0.15</v>
      </c>
      <c r="M11895" t="str">
        <v>=</v>
      </c>
      <c r="N11895">
        <f>J11895+L11895</f>
        <v>1.03</v>
      </c>
      <c r="T11895" t="str">
        <v>x</v>
      </c>
      <c r="U11895">
        <f>0.006165*F11895^2</f>
        <v>0.39456</v>
      </c>
      <c r="V11895" t="str">
        <v>x</v>
      </c>
      <c r="W11895">
        <f>IF(D11877-MAX(D11877/4,2*G11875)*2&gt;0,ROUND((D11877-MAX(D11877/4,2*G11875)*2)/H11895,0),0)</f>
        <v>14</v>
      </c>
      <c r="X11895" t="str">
        <v>x</v>
      </c>
      <c r="Y11895">
        <f>D11880</f>
        <v>1</v>
      </c>
      <c r="Z11895" t="str">
        <v>=</v>
      </c>
      <c r="AA11895">
        <f>N11895*U11895*W11895*Y11895</f>
        <v>5.689555200000001</v>
      </c>
    </row>
    <row r="11896">
      <c r="A11896" t="str">
        <f>A11874</f>
        <v>Lantai Atap</v>
      </c>
      <c r="B11896">
        <f>B11874</f>
        <v>55</v>
      </c>
      <c r="C11896" t="str">
        <v>Sengkang Tumpuan</v>
      </c>
      <c r="D11896">
        <f>VLOOKUP(D11874,'Detail Balok'!$C$10:$AU$110,41,FALSE)</f>
        <v>0</v>
      </c>
      <c r="E11896" t="str">
        <v>D</v>
      </c>
      <c r="F11896">
        <f>VLOOKUP(D11874,'Detail Balok'!$C$10:$AU$110,43,FALSE)</f>
        <v>8</v>
      </c>
      <c r="G11896" t="str">
        <v>-</v>
      </c>
      <c r="H11896">
        <f>VLOOKUP(D11874,'Detail Balok'!$C$10:$AU$110,45,FALSE)</f>
        <v>100</v>
      </c>
      <c r="J11896">
        <f>(IF(D11896=0,(2*(D11875+G11875))-(F$5*8),IF(D11896=3,(2*(D11875+G11875))-(F$5*8)+(G11875-2*F$5),IF(D11896=4,(2*(D11875+G11875))-(F$5*8)+2*(G11875-2*F$5)))))/1000</f>
        <v>0.88</v>
      </c>
      <c r="K11896" t="str">
        <v>+</v>
      </c>
      <c r="L11896">
        <f>IF(D11896=0,2*MAX(6*F11896,75),(D11896-1)*2*MAX(6*F11896,75))/1000</f>
        <v>0.15</v>
      </c>
      <c r="M11896" t="str">
        <v>=</v>
      </c>
      <c r="N11896">
        <f>J11896+L11896</f>
        <v>1.03</v>
      </c>
      <c r="T11896" t="str">
        <v>x</v>
      </c>
      <c r="U11896">
        <f>0.006165*F11896^2</f>
        <v>0.39456</v>
      </c>
      <c r="V11896" t="str">
        <v>x</v>
      </c>
      <c r="W11896">
        <f>IF(D11877&gt;4*G11875,ROUND(MAX(D11877/4,2*G11875)/H11896,0)+1,0)</f>
        <v>15</v>
      </c>
      <c r="X11896" t="str">
        <v>x</v>
      </c>
      <c r="Y11896">
        <f>D11880</f>
        <v>1</v>
      </c>
      <c r="Z11896" t="str">
        <v>=</v>
      </c>
      <c r="AA11896">
        <f>N11896*U11896*W11896*Y11896</f>
        <v>6.0959520000000005</v>
      </c>
    </row>
    <row r="11898">
      <c r="A11898" t="str">
        <f>A11874</f>
        <v>Lantai Atap</v>
      </c>
      <c r="B11898">
        <f>B11874</f>
        <v>55</v>
      </c>
      <c r="C11898" t="str">
        <v>Kait Horizontal Tump.</v>
      </c>
      <c r="D11898">
        <f>VLOOKUP(D11874,'Detail Balok'!$C$10:$BJ$110,46,FALSE)</f>
        <v>0</v>
      </c>
      <c r="E11898" t="str">
        <v>D</v>
      </c>
      <c r="F11898">
        <f>VLOOKUP(D11874,'Detail Balok'!$C$10:$BJ$110,48,FALSE)</f>
        <v>0</v>
      </c>
      <c r="G11898" t="str">
        <v>-</v>
      </c>
      <c r="H11898">
        <f>VLOOKUP(D11874,'Detail Balok'!$C$10:$BJ$110,50,FALSE)</f>
        <v>100</v>
      </c>
      <c r="J11898">
        <f>(D11875-2*F$5)/1000</f>
        <v>0.12</v>
      </c>
      <c r="K11898" t="str">
        <v>+</v>
      </c>
      <c r="L11898">
        <f>IF(D11898=0,2*MAX(6*F11898,75),(D11898-1)*2*MAX(6*F11898,75))/1000</f>
        <v>0.15</v>
      </c>
      <c r="M11898" t="str">
        <v>=</v>
      </c>
      <c r="N11898">
        <f>J11898+L11898</f>
        <v>0.27</v>
      </c>
      <c r="T11898" t="str">
        <v>x</v>
      </c>
      <c r="U11898">
        <f>0.006165*F11898^2</f>
        <v>0</v>
      </c>
      <c r="V11898" t="str">
        <v>x</v>
      </c>
      <c r="W11898">
        <f>W11894</f>
        <v>15</v>
      </c>
      <c r="X11898" t="str">
        <v>x</v>
      </c>
      <c r="Y11898">
        <f>D11884</f>
        <v>2</v>
      </c>
      <c r="Z11898" t="str">
        <v>=</v>
      </c>
      <c r="AA11898">
        <f>N11898*U11898*W11898*Y11898</f>
        <v>0</v>
      </c>
    </row>
    <row r="11899">
      <c r="A11899" t="str">
        <f>A11874</f>
        <v>Lantai Atap</v>
      </c>
      <c r="B11899">
        <f>B11874</f>
        <v>55</v>
      </c>
      <c r="C11899" t="str">
        <v>Kait Horizontal Lap.</v>
      </c>
      <c r="D11899">
        <f>VLOOKUP(D11874,'Detail Balok'!$C$10:$BJ$110,51,FALSE)</f>
        <v>0</v>
      </c>
      <c r="E11899" t="str">
        <v>D</v>
      </c>
      <c r="F11899">
        <f>VLOOKUP(D11874,'Detail Balok'!$C$10:$BJ$110,53,FALSE)</f>
        <v>0</v>
      </c>
      <c r="G11899" t="str">
        <v>-</v>
      </c>
      <c r="H11899">
        <f>VLOOKUP(D11874,'Detail Balok'!$C$10:$BJ$110,55,FALSE)</f>
        <v>100</v>
      </c>
      <c r="J11899">
        <f>(D11875-2*F$5)/1000</f>
        <v>0.12</v>
      </c>
      <c r="K11899" t="str">
        <v>+</v>
      </c>
      <c r="L11899">
        <f>IF(D11899=0,2*MAX(6*F11899,75),(D11899-1)*2*MAX(6*F11899,75))/1000</f>
        <v>0.15</v>
      </c>
      <c r="M11899" t="str">
        <v>=</v>
      </c>
      <c r="N11899">
        <f>J11899+L11899</f>
        <v>0.27</v>
      </c>
      <c r="T11899" t="str">
        <v>x</v>
      </c>
      <c r="U11899">
        <f>0.006165*F11899^2</f>
        <v>0</v>
      </c>
      <c r="V11899" t="str">
        <v>x</v>
      </c>
      <c r="W11899">
        <f>W11895</f>
        <v>14</v>
      </c>
      <c r="X11899" t="str">
        <v>x</v>
      </c>
      <c r="Y11899">
        <f>D11884</f>
        <v>2</v>
      </c>
      <c r="Z11899" t="str">
        <v>=</v>
      </c>
      <c r="AA11899">
        <f>N11899*U11899*W11899*Y11899</f>
        <v>0</v>
      </c>
    </row>
    <row r="11900">
      <c r="A11900" t="str">
        <f>A11874</f>
        <v>Lantai Atap</v>
      </c>
      <c r="B11900">
        <f>B11874</f>
        <v>55</v>
      </c>
      <c r="C11900" t="str">
        <v>Kait Horizontal Tump.</v>
      </c>
      <c r="D11900">
        <f>VLOOKUP(D11874,'Detail Balok'!$C$10:$BJ$110,56,FALSE)</f>
        <v>0</v>
      </c>
      <c r="E11900" t="str">
        <v>D</v>
      </c>
      <c r="F11900">
        <f>VLOOKUP(D11874,'Detail Balok'!$C$10:$BJ$110,58,FALSE)</f>
        <v>0</v>
      </c>
      <c r="G11900" t="str">
        <v>-</v>
      </c>
      <c r="H11900">
        <f>VLOOKUP(D11874,'Detail Balok'!$C$10:$BJ$110,60,FALSE)</f>
        <v>100</v>
      </c>
      <c r="J11900">
        <f>(D11875-2*F$5)/1000</f>
        <v>0.12</v>
      </c>
      <c r="K11900" t="str">
        <v>+</v>
      </c>
      <c r="L11900">
        <f>IF(D11900=0,2*MAX(6*F11900,75),(D11900-1)*2*MAX(6*F11900,75))/1000</f>
        <v>0.15</v>
      </c>
      <c r="M11900" t="str">
        <v>=</v>
      </c>
      <c r="N11900">
        <f>J11900+L11900</f>
        <v>0.27</v>
      </c>
      <c r="T11900" t="str">
        <v>x</v>
      </c>
      <c r="U11900">
        <f>0.006165*F11900^2</f>
        <v>0</v>
      </c>
      <c r="V11900" t="str">
        <v>x</v>
      </c>
      <c r="W11900">
        <f>W11896</f>
        <v>15</v>
      </c>
      <c r="X11900" t="str">
        <v>x</v>
      </c>
      <c r="Y11900">
        <f>D11884</f>
        <v>2</v>
      </c>
      <c r="Z11900" t="str">
        <v>=</v>
      </c>
      <c r="AA11900">
        <f>N11900*U11900*W11900*Y11900</f>
        <v>0</v>
      </c>
    </row>
    <row r="11904">
      <c r="A11904" t="str">
        <f>A11874</f>
        <v>Lantai Atap</v>
      </c>
      <c r="B11904">
        <f>B11874+1</f>
        <v>56</v>
      </c>
      <c r="C11904" t="str">
        <f>CONCATENATE(A11904," no. ",B11904)</f>
        <v>Lantai Atap no. 56</v>
      </c>
      <c r="D11904" t="str">
        <f>VLOOKUP(C11904,'Data Panjang Balok'!$C$9:$N$424,2,FALSE)</f>
        <v>CL24-1</v>
      </c>
    </row>
    <row r="11905">
      <c r="C11905" t="str">
        <v>Dimensi</v>
      </c>
      <c r="D11905">
        <f>VLOOKUP(D11904,'Detail Balok'!$C$10:$AU$110,2,FALSE)</f>
        <v>200</v>
      </c>
      <c r="F11905" t="str">
        <v>x</v>
      </c>
      <c r="G11905">
        <f>VLOOKUP(D11904,'Detail Balok'!$C$10:$AU$110,3,FALSE)</f>
        <v>400</v>
      </c>
    </row>
    <row r="11906">
      <c r="C11906" t="str">
        <v>Panjang as ke as</v>
      </c>
      <c r="D11906">
        <f>VLOOKUP(C11904,'Data Panjang Balok'!$C$9:$N$424,4,FALSE)</f>
        <v>1900</v>
      </c>
    </row>
    <row r="11907">
      <c r="C11907" t="str">
        <v>Panjang netto</v>
      </c>
      <c r="D11907">
        <f>VLOOKUP(C11904,'Data Panjang Balok'!$C$9:$N$424,7,FALSE)</f>
        <v>1900</v>
      </c>
    </row>
    <row r="11908">
      <c r="C11908" t="str">
        <v>Kolom / balok kiri</v>
      </c>
      <c r="D11908">
        <f>VLOOKUP(C11904,'Data Panjang Balok'!$C$9:$N$424,9,FALSE)</f>
        <v>0</v>
      </c>
    </row>
    <row r="11909">
      <c r="C11909" t="str">
        <v>Kolom / balok kanan</v>
      </c>
      <c r="D11909">
        <f>VLOOKUP(C11904,'Data Panjang Balok'!$C$9:$N$424,10,FALSE)</f>
        <v>0</v>
      </c>
    </row>
    <row r="11910">
      <c r="C11910" t="str">
        <v>Jumlah</v>
      </c>
      <c r="D11910">
        <f>VLOOKUP(C11904,'Data Panjang Balok'!$C$9:$N$424,3,FALSE)</f>
        <v>1</v>
      </c>
    </row>
    <row r="11911">
      <c r="A11911" t="str">
        <f>A11904</f>
        <v>Lantai Atap</v>
      </c>
      <c r="B11911">
        <f>B11904</f>
        <v>56</v>
      </c>
      <c r="C11911" t="str">
        <v>Tul Atas Tumpuan</v>
      </c>
      <c r="D11911">
        <f>VLOOKUP(D11904,'Detail Balok'!$C$10:$AU$110,4,FALSE)</f>
        <v>3</v>
      </c>
      <c r="E11911" t="str">
        <v>D</v>
      </c>
      <c r="F11911">
        <f>VLOOKUP(D11904,'Detail Balok'!$C$10:$AU$110,6,FALSE)</f>
        <v>16</v>
      </c>
      <c r="I11911" t="str">
        <v>(</v>
      </c>
      <c r="J11911">
        <f>+D11906/4/1000</f>
        <v>0.475</v>
      </c>
      <c r="K11911" t="str">
        <v>+</v>
      </c>
      <c r="L11911">
        <f>MAX(VLOOKUP(F11911,N$6:P$15,3,FALSE)/1000,2/3*D11908/1000)+F$16*F11911/1000</f>
        <v>0.192</v>
      </c>
      <c r="M11911" t="str">
        <v>=</v>
      </c>
      <c r="N11911">
        <f>J11911+L11911</f>
        <v>0.667</v>
      </c>
      <c r="O11911" t="str">
        <v>+</v>
      </c>
      <c r="P11911">
        <f>D11911-D11912</f>
        <v>0</v>
      </c>
      <c r="Q11911" t="str">
        <v>x</v>
      </c>
      <c r="R11911">
        <f>IF(P11911&gt;0,$F$18*F11911/1000,0)</f>
        <v>0</v>
      </c>
      <c r="S11911" t="str">
        <v>)</v>
      </c>
      <c r="T11911" t="str">
        <v>x</v>
      </c>
      <c r="U11911">
        <f>0.006165*F11911^2</f>
        <v>1.57824</v>
      </c>
      <c r="X11911" t="str">
        <v>x</v>
      </c>
      <c r="Y11911">
        <f>D11910</f>
        <v>1</v>
      </c>
      <c r="Z11911" t="str">
        <v>=</v>
      </c>
      <c r="AA11911">
        <f>IF(AA11914=0,(D11911*N11911+P11911*R11911)*U11911*Y11911,0)</f>
        <v>0</v>
      </c>
    </row>
    <row r="11912">
      <c r="A11912" t="str">
        <f>A11904</f>
        <v>Lantai Atap</v>
      </c>
      <c r="B11912">
        <f>B11904</f>
        <v>56</v>
      </c>
      <c r="C11912" t="str">
        <v>Tul Atas Lapangan</v>
      </c>
      <c r="D11912">
        <f>VLOOKUP(D11904,'Detail Balok'!$C$10:$AU$110,7,FALSE)</f>
        <v>3</v>
      </c>
      <c r="E11912" t="str">
        <v>D</v>
      </c>
      <c r="F11912">
        <f>VLOOKUP(D11904,'Detail Balok'!$C$10:$AU$110,9,FALSE)</f>
        <v>16</v>
      </c>
      <c r="I11912" t="str">
        <v>(</v>
      </c>
      <c r="J11912">
        <f>+D11906/2/1000</f>
        <v>0.95</v>
      </c>
      <c r="K11912" t="str">
        <v>+</v>
      </c>
      <c r="M11912" t="str">
        <v>=</v>
      </c>
      <c r="N11912">
        <f>J11912+L11912</f>
        <v>0.95</v>
      </c>
      <c r="O11912" t="str">
        <v>+</v>
      </c>
      <c r="P11912">
        <f>MAX(D11912-D11911,D11912-D11913)</f>
        <v>0</v>
      </c>
      <c r="Q11912" t="str">
        <v>x</v>
      </c>
      <c r="R11912">
        <f>IF(P11912&gt;0,2*(1-2*$F$19-1/2)*D11907/1000,0)</f>
        <v>0</v>
      </c>
      <c r="S11912" t="str">
        <v>)</v>
      </c>
      <c r="T11912" t="str">
        <v>x</v>
      </c>
      <c r="U11912">
        <f>0.006165*F11912^2</f>
        <v>1.57824</v>
      </c>
      <c r="X11912" t="str">
        <v>x</v>
      </c>
      <c r="Y11912">
        <f>D11910</f>
        <v>1</v>
      </c>
      <c r="Z11912" t="str">
        <v>=</v>
      </c>
      <c r="AA11912">
        <f>IF(AA11914=0,(D11912*N11912+P11912*R11912)*U11912*Y11912,0)</f>
        <v>0</v>
      </c>
    </row>
    <row r="11913">
      <c r="A11913" t="str">
        <f>A11904</f>
        <v>Lantai Atap</v>
      </c>
      <c r="B11913">
        <f>B11904</f>
        <v>56</v>
      </c>
      <c r="C11913" t="str">
        <v>Tul Atas Tumpuan</v>
      </c>
      <c r="D11913">
        <f>VLOOKUP(D11904,'Detail Balok'!$C$10:$AU$110,10,FALSE)</f>
        <v>3</v>
      </c>
      <c r="E11913" t="str">
        <v>D</v>
      </c>
      <c r="F11913">
        <f>VLOOKUP(D11904,'Detail Balok'!$C$10:$AU$110,12,FALSE)</f>
        <v>16</v>
      </c>
      <c r="I11913" t="str">
        <v>(</v>
      </c>
      <c r="J11913">
        <f>+D11906/4/1000</f>
        <v>0.475</v>
      </c>
      <c r="K11913" t="str">
        <v>+</v>
      </c>
      <c r="L11913">
        <f>MAX(VLOOKUP(F11913,N$6:P$15,3,FALSE)/1000,2/3*D11908/1000)+F$16*F11913/1000</f>
        <v>0.192</v>
      </c>
      <c r="M11913" t="str">
        <v>=</v>
      </c>
      <c r="N11913">
        <f>J11913+L11913</f>
        <v>0.667</v>
      </c>
      <c r="O11913" t="str">
        <v>+</v>
      </c>
      <c r="P11913">
        <f>D11913-D11912</f>
        <v>0</v>
      </c>
      <c r="Q11913" t="str">
        <v>x</v>
      </c>
      <c r="R11913">
        <f>IF(P11913&gt;0,$F$18*F11913/1000,0)</f>
        <v>0</v>
      </c>
      <c r="S11913" t="str">
        <v>)</v>
      </c>
      <c r="T11913" t="str">
        <v>x</v>
      </c>
      <c r="U11913">
        <f>0.006165*F11913^2</f>
        <v>1.57824</v>
      </c>
      <c r="X11913" t="str">
        <v>x</v>
      </c>
      <c r="Y11913">
        <f>D11910</f>
        <v>1</v>
      </c>
      <c r="Z11913" t="str">
        <v>=</v>
      </c>
      <c r="AA11913">
        <f>IF(AA11914=0,(D11913*N11913+P11913*R11913)*U11913*Y11913,0)</f>
        <v>0</v>
      </c>
    </row>
    <row r="11914">
      <c r="A11914" t="str">
        <f>A11904</f>
        <v>Lantai Atap</v>
      </c>
      <c r="B11914">
        <f>B11904</f>
        <v>56</v>
      </c>
      <c r="D11914">
        <f>IF(AND(D11911=D11912,D11912=D11913,D11911=D11913),D11911,0)</f>
        <v>3</v>
      </c>
      <c r="E11914" t="str">
        <v>D</v>
      </c>
      <c r="F11914">
        <f>IF(AND(F11911=F11912,F11911=F11913,F11912=F11913),F11911,0)</f>
        <v>16</v>
      </c>
      <c r="L11914" t="str">
        <v>Total panjang per balok</v>
      </c>
      <c r="M11914" t="str">
        <v>=</v>
      </c>
      <c r="N11914">
        <f>IF(AND(D11911=D11912,D11911=D11913,D11912=D11913,F11911=F11912,F11911=F11913,F11912=F11913),SUM(N11911:N11913),0)</f>
        <v>2.284</v>
      </c>
      <c r="O11914" t="str">
        <v>+</v>
      </c>
      <c r="P11914">
        <f>IF(N11914&gt;12,ROUNDDOWN(N11914/12,0),0)</f>
        <v>0</v>
      </c>
      <c r="Q11914" t="str">
        <v>x</v>
      </c>
      <c r="R11914">
        <f>IF(P11914&gt;0,MAX(VLOOKUP(F11914,$D$6:$G$15,3,FALSE),600),0)/1000</f>
        <v>0</v>
      </c>
      <c r="T11914" t="str">
        <v>x</v>
      </c>
      <c r="U11914">
        <f>U11913</f>
        <v>1.57824</v>
      </c>
      <c r="V11914" t="str">
        <v>x</v>
      </c>
      <c r="W11914">
        <f>D11914</f>
        <v>3</v>
      </c>
      <c r="X11914" t="str">
        <v>x</v>
      </c>
      <c r="Y11914">
        <f>Y11913</f>
        <v>1</v>
      </c>
      <c r="Z11914" t="str">
        <v>=</v>
      </c>
      <c r="AA11914">
        <f>(N11914+P11914*R11914/1000)*U11914*W11914*Y11914</f>
        <v>10.814100479999999</v>
      </c>
    </row>
    <row r="11916">
      <c r="A11916" t="str">
        <f>A11904</f>
        <v>Lantai Atap</v>
      </c>
      <c r="B11916">
        <f>B11904</f>
        <v>56</v>
      </c>
      <c r="C11916" t="str">
        <v>Tul Peminggang</v>
      </c>
      <c r="D11916">
        <f>VLOOKUP(D11904,'Detail Balok'!$C$10:$AU$110,13,FALSE)</f>
        <v>0</v>
      </c>
      <c r="E11916" t="str">
        <v>D</v>
      </c>
      <c r="F11916">
        <f>VLOOKUP(D11904,'Detail Balok'!$C$10:$AU$110,15,FALSE)</f>
        <v>6</v>
      </c>
      <c r="J11916">
        <f>+D11906/1000</f>
        <v>1.9</v>
      </c>
      <c r="K11916" t="str">
        <v>+</v>
      </c>
      <c r="L11916">
        <f>2*$F$16*F11916/1000</f>
        <v>0.144</v>
      </c>
      <c r="M11916" t="str">
        <v>=</v>
      </c>
      <c r="N11916">
        <f>J11916+L11916</f>
        <v>2.044</v>
      </c>
      <c r="O11916" t="str">
        <v>+</v>
      </c>
      <c r="P11916">
        <f>IF(N11916&gt;12,ROUNDDOWN(N11916/12,0),0)</f>
        <v>0</v>
      </c>
      <c r="Q11916" t="str">
        <v>x</v>
      </c>
      <c r="R11916">
        <f>IF(P11916&gt;0,MAX(VLOOKUP(F11916,$D$6:$G$15,3,FALSE),600),0)/1000</f>
        <v>0</v>
      </c>
      <c r="T11916" t="str">
        <v>x</v>
      </c>
      <c r="U11916">
        <f>0.006165*F11916^2</f>
        <v>0.22194000000000003</v>
      </c>
      <c r="V11916" t="str">
        <v>x</v>
      </c>
      <c r="W11916">
        <f>+D11916</f>
        <v>0</v>
      </c>
      <c r="X11916" t="str">
        <v>x</v>
      </c>
      <c r="Y11916">
        <f>D11910</f>
        <v>1</v>
      </c>
      <c r="Z11916" t="str">
        <v>=</v>
      </c>
      <c r="AA11916">
        <f>(N11916+P11916*R11916/1000)*U11916*W11916*Y11916</f>
        <v>0</v>
      </c>
    </row>
    <row r="11919">
      <c r="A11919" t="str">
        <f>A11904</f>
        <v>Lantai Atap</v>
      </c>
      <c r="B11919">
        <f>B11904</f>
        <v>56</v>
      </c>
      <c r="C11919" t="str">
        <v>Tul Bawah Tumpuan</v>
      </c>
      <c r="D11919">
        <f>VLOOKUP(D11904,'Detail Balok'!$C$10:$AU$110,22,FALSE)</f>
        <v>2</v>
      </c>
      <c r="E11919" t="str">
        <v>D</v>
      </c>
      <c r="F11919">
        <f>VLOOKUP(D11904,'Detail Balok'!$C$10:$AU$110,24,FALSE)</f>
        <v>16</v>
      </c>
      <c r="I11919" t="str">
        <v>(</v>
      </c>
      <c r="J11919">
        <f>+J11911</f>
        <v>0.475</v>
      </c>
      <c r="K11919" t="str">
        <v>+</v>
      </c>
      <c r="L11919">
        <f>MAX(VLOOKUP(F11919,N$6:P$15,3,FALSE)/1000,2/3*D11909/1000)+F$16*F11919/1000</f>
        <v>0.192</v>
      </c>
      <c r="M11919" t="str">
        <v>=</v>
      </c>
      <c r="N11919">
        <f>J11919+L11919</f>
        <v>0.667</v>
      </c>
      <c r="O11919" t="str">
        <v>+</v>
      </c>
      <c r="P11919">
        <f>D11919-D11920</f>
        <v>0</v>
      </c>
      <c r="Q11919" t="str">
        <v>x</v>
      </c>
      <c r="R11919">
        <f>IF(P11919&gt;0,$F$18*F11919/1000,0)</f>
        <v>0</v>
      </c>
      <c r="S11919" t="str">
        <v>)</v>
      </c>
      <c r="T11919" t="str">
        <v>x</v>
      </c>
      <c r="U11919">
        <f>0.006165*F11919^2</f>
        <v>1.57824</v>
      </c>
      <c r="X11919" t="str">
        <v>x</v>
      </c>
      <c r="Y11919">
        <f>D11910</f>
        <v>1</v>
      </c>
      <c r="Z11919" t="str">
        <v>=</v>
      </c>
      <c r="AA11919">
        <f>IF(AA11922=0,(D11919*N11919+P11919*R11919)*U11919*Y11919,0)</f>
        <v>0</v>
      </c>
    </row>
    <row r="11920">
      <c r="A11920" t="str">
        <f>A11904</f>
        <v>Lantai Atap</v>
      </c>
      <c r="B11920">
        <f>B11904</f>
        <v>56</v>
      </c>
      <c r="C11920" t="str">
        <v>Tul Bawah Lapangan</v>
      </c>
      <c r="D11920">
        <f>VLOOKUP(D11904,'Detail Balok'!$C$10:$AU$110,25,FALSE)</f>
        <v>2</v>
      </c>
      <c r="E11920" t="str">
        <v>D</v>
      </c>
      <c r="F11920">
        <f>VLOOKUP(D11904,'Detail Balok'!$C$10:$AU$110,27,FALSE)</f>
        <v>16</v>
      </c>
      <c r="I11920" t="str">
        <v>(</v>
      </c>
      <c r="J11920">
        <f>+J11912</f>
        <v>0.95</v>
      </c>
      <c r="K11920" t="str">
        <v>+</v>
      </c>
      <c r="M11920" t="str">
        <v>=</v>
      </c>
      <c r="N11920">
        <f>J11920+L11920</f>
        <v>0.95</v>
      </c>
      <c r="O11920" t="str">
        <v>+</v>
      </c>
      <c r="P11920">
        <f>MAX(D11920-D11919,D11920-D11921)</f>
        <v>0</v>
      </c>
      <c r="Q11920" t="str">
        <v>x</v>
      </c>
      <c r="R11920">
        <f>IF(P11920&gt;0,2*(1-2*$F$19-1/2)*D11907/1000,0)</f>
        <v>0</v>
      </c>
      <c r="S11920" t="str">
        <v>)</v>
      </c>
      <c r="T11920" t="str">
        <v>x</v>
      </c>
      <c r="U11920">
        <f>0.006165*F11920^2</f>
        <v>1.57824</v>
      </c>
      <c r="X11920" t="str">
        <v>x</v>
      </c>
      <c r="Y11920">
        <f>D11910</f>
        <v>1</v>
      </c>
      <c r="Z11920" t="str">
        <v>=</v>
      </c>
      <c r="AA11920">
        <f>IF(AA11922=0,(D11920*N11920+P11920*R11920)*U11920*Y11920,0)</f>
        <v>0</v>
      </c>
    </row>
    <row r="11921">
      <c r="A11921" t="str">
        <f>A11904</f>
        <v>Lantai Atap</v>
      </c>
      <c r="B11921">
        <f>B11904</f>
        <v>56</v>
      </c>
      <c r="C11921" t="str">
        <v>Tul Bawah Tumpuan</v>
      </c>
      <c r="D11921">
        <f>VLOOKUP(D11904,'Detail Balok'!$C$10:$AU$110,28,FALSE)</f>
        <v>2</v>
      </c>
      <c r="E11921" t="str">
        <v>D</v>
      </c>
      <c r="F11921">
        <f>VLOOKUP(D11904,'Detail Balok'!$C$10:$AU$110,30,FALSE)</f>
        <v>16</v>
      </c>
      <c r="I11921" t="str">
        <v>(</v>
      </c>
      <c r="J11921">
        <f>+J11913</f>
        <v>0.475</v>
      </c>
      <c r="K11921" t="str">
        <v>+</v>
      </c>
      <c r="L11921">
        <f>MAX(VLOOKUP(F11921,N$6:P$15,3,FALSE)/1000,2/3*D11909/1000)+F$16*F11921/1000</f>
        <v>0.192</v>
      </c>
      <c r="M11921" t="str">
        <v>=</v>
      </c>
      <c r="N11921">
        <f>J11921+L11921</f>
        <v>0.667</v>
      </c>
      <c r="O11921" t="str">
        <v>+</v>
      </c>
      <c r="P11921">
        <f>D11921-D11920</f>
        <v>0</v>
      </c>
      <c r="Q11921" t="str">
        <v>x</v>
      </c>
      <c r="R11921">
        <f>IF(P11921&gt;0,$F$18*F11921/1000,0)</f>
        <v>0</v>
      </c>
      <c r="S11921" t="str">
        <v>)</v>
      </c>
      <c r="T11921" t="str">
        <v>x</v>
      </c>
      <c r="U11921">
        <f>0.006165*F11921^2</f>
        <v>1.57824</v>
      </c>
      <c r="X11921" t="str">
        <v>x</v>
      </c>
      <c r="Y11921">
        <f>D11910</f>
        <v>1</v>
      </c>
      <c r="Z11921" t="str">
        <v>=</v>
      </c>
      <c r="AA11921">
        <f>IF(AA11922=0,(D11921*N11921+P11921*R11921)*U11921*Y11921,0)</f>
        <v>0</v>
      </c>
    </row>
    <row r="11922">
      <c r="A11922" t="str">
        <f>A11904</f>
        <v>Lantai Atap</v>
      </c>
      <c r="B11922">
        <f>B11904</f>
        <v>56</v>
      </c>
      <c r="D11922">
        <f>IF(AND(D11919=D11920,D11920=D11921,D11919=D11921),D11919,0)</f>
        <v>2</v>
      </c>
      <c r="E11922" t="str">
        <v>D</v>
      </c>
      <c r="F11922">
        <f>IF(AND(F11919=F11920,F11919=F11921,F11920=F11921),F11919,0)</f>
        <v>16</v>
      </c>
      <c r="L11922" t="str">
        <v>Total panjang per balok</v>
      </c>
      <c r="M11922" t="str">
        <v>=</v>
      </c>
      <c r="N11922">
        <f>IF(AND(D11919=D11920,D11919=D11921,D11920=D11921,F11919=F11920,F11919=F11921,F11920=F11921),SUM(N11919:N11921),0)</f>
        <v>2.284</v>
      </c>
      <c r="O11922" t="str">
        <v>+</v>
      </c>
      <c r="P11922">
        <f>IF(N11922&gt;12,ROUNDDOWN(N11922/12,0),0)</f>
        <v>0</v>
      </c>
      <c r="Q11922" t="str">
        <v>x</v>
      </c>
      <c r="R11922">
        <f>IF(P11922&gt;0,MAX(VLOOKUP(F11922,$D$6:$G$15,3,FALSE),600),0)/1000</f>
        <v>0</v>
      </c>
      <c r="T11922" t="str">
        <v>x</v>
      </c>
      <c r="U11922">
        <f>U11921</f>
        <v>1.57824</v>
      </c>
      <c r="V11922" t="str">
        <v>x</v>
      </c>
      <c r="W11922">
        <f>D11922</f>
        <v>2</v>
      </c>
      <c r="X11922" t="str">
        <v>x</v>
      </c>
      <c r="Y11922">
        <f>Y11921</f>
        <v>1</v>
      </c>
      <c r="Z11922" t="str">
        <v>=</v>
      </c>
      <c r="AA11922">
        <f>(N11922+P11922*R11922/1000)*U11922*W11922*Y11922</f>
        <v>7.209400319999999</v>
      </c>
    </row>
    <row r="11924">
      <c r="A11924" t="str">
        <f>A11904</f>
        <v>Lantai Atap</v>
      </c>
      <c r="B11924">
        <f>B11904</f>
        <v>56</v>
      </c>
      <c r="C11924" t="str">
        <v>Sengkang Tumpuan</v>
      </c>
      <c r="D11924">
        <f>VLOOKUP(D11904,'Detail Balok'!$C$10:$AU$110,31,FALSE)</f>
        <v>0</v>
      </c>
      <c r="E11924" t="str">
        <v>D</v>
      </c>
      <c r="F11924">
        <f>VLOOKUP(D11904,'Detail Balok'!$C$10:$AU$110,33,FALSE)</f>
        <v>8</v>
      </c>
      <c r="G11924" t="str">
        <v>-</v>
      </c>
      <c r="H11924">
        <f>VLOOKUP(D11904,'Detail Balok'!$C$10:$AU$110,35,FALSE)</f>
        <v>200</v>
      </c>
      <c r="J11924">
        <f>(IF(D11924=0,(2*(D11905+G11905))-(F$5*8),IF(D11924=3,(2*(D11905+G11905))-(F$5*8)+(G11905-2*F$5),IF(D11924=4,(2*(D11905+G11905))-(F$5*8)+2*(G11905-2*F$5)))))/1000</f>
        <v>0.88</v>
      </c>
      <c r="K11924" t="str">
        <v>+</v>
      </c>
      <c r="L11924">
        <f>IF(D11924=0,2*MAX(6*F11924,75),(D11924-1)*2*MAX(6*F11924,75))/1000</f>
        <v>0.15</v>
      </c>
      <c r="M11924" t="str">
        <v>=</v>
      </c>
      <c r="N11924">
        <f>J11924+L11924</f>
        <v>1.03</v>
      </c>
      <c r="T11924" t="str">
        <v>x</v>
      </c>
      <c r="U11924">
        <f>0.006165*F11924^2</f>
        <v>0.39456</v>
      </c>
      <c r="V11924" t="str">
        <v>x</v>
      </c>
      <c r="W11924">
        <f>IF(D11907&gt;4*G11905,ROUND(MAX(D11907/4,2*G11905)/H11924,0)+1,ROUND(D11907/H11924,0)+1)</f>
        <v>5</v>
      </c>
      <c r="X11924" t="str">
        <v>x</v>
      </c>
      <c r="Y11924">
        <f>D11910</f>
        <v>1</v>
      </c>
      <c r="Z11924" t="str">
        <v>=</v>
      </c>
      <c r="AA11924">
        <f>N11924*U11924*W11924*Y11924</f>
        <v>2.0319840000000005</v>
      </c>
    </row>
    <row r="11925">
      <c r="A11925" t="str">
        <f>A11904</f>
        <v>Lantai Atap</v>
      </c>
      <c r="B11925">
        <f>B11904</f>
        <v>56</v>
      </c>
      <c r="C11925" t="str">
        <v>Sengkang Lapangan</v>
      </c>
      <c r="D11925">
        <f>VLOOKUP(D11904,'Detail Balok'!$C$10:$AU$110,36,FALSE)</f>
        <v>0</v>
      </c>
      <c r="E11925" t="str">
        <v>D</v>
      </c>
      <c r="F11925">
        <f>VLOOKUP(D11904,'Detail Balok'!$C$10:$AU$110,38,FALSE)</f>
        <v>8</v>
      </c>
      <c r="G11925" t="str">
        <v>-</v>
      </c>
      <c r="H11925">
        <f>VLOOKUP(D11904,'Detail Balok'!$C$10:$AU$110,40,FALSE)</f>
        <v>200</v>
      </c>
      <c r="J11925">
        <f>(IF(D11925=0,(2*(D11905+G11905))-(F$5*8),IF(D11925=3,(2*(D11905+G11905))-(F$5*8)+(G11905-2*F$5),IF(D11925=4,(2*(D11905+G11905))-(F$5*8)+2*(G11905-2*F$5)))))/1000</f>
        <v>0.88</v>
      </c>
      <c r="K11925" t="str">
        <v>+</v>
      </c>
      <c r="L11925">
        <f>IF(D11925=0,2*MAX(6*F11925,75),(D11925-1)*2*MAX(6*F11925,75))/1000</f>
        <v>0.15</v>
      </c>
      <c r="M11925" t="str">
        <v>=</v>
      </c>
      <c r="N11925">
        <f>J11925+L11925</f>
        <v>1.03</v>
      </c>
      <c r="T11925" t="str">
        <v>x</v>
      </c>
      <c r="U11925">
        <f>0.006165*F11925^2</f>
        <v>0.39456</v>
      </c>
      <c r="V11925" t="str">
        <v>x</v>
      </c>
      <c r="W11925">
        <f>IF(D11907-MAX(D11907/4,2*G11905)*2&gt;0,ROUND((D11907-MAX(D11907/4,2*G11905)*2)/H11925,0),0)</f>
        <v>2</v>
      </c>
      <c r="X11925" t="str">
        <v>x</v>
      </c>
      <c r="Y11925">
        <f>D11910</f>
        <v>1</v>
      </c>
      <c r="Z11925" t="str">
        <v>=</v>
      </c>
      <c r="AA11925">
        <f>N11925*U11925*W11925*Y11925</f>
        <v>0.8127936000000001</v>
      </c>
    </row>
    <row r="11926">
      <c r="A11926" t="str">
        <f>A11904</f>
        <v>Lantai Atap</v>
      </c>
      <c r="B11926">
        <f>B11904</f>
        <v>56</v>
      </c>
      <c r="C11926" t="str">
        <v>Sengkang Tumpuan</v>
      </c>
      <c r="D11926">
        <f>VLOOKUP(D11904,'Detail Balok'!$C$10:$AU$110,41,FALSE)</f>
        <v>0</v>
      </c>
      <c r="E11926" t="str">
        <v>D</v>
      </c>
      <c r="F11926">
        <f>VLOOKUP(D11904,'Detail Balok'!$C$10:$AU$110,43,FALSE)</f>
        <v>8</v>
      </c>
      <c r="G11926" t="str">
        <v>-</v>
      </c>
      <c r="H11926">
        <f>VLOOKUP(D11904,'Detail Balok'!$C$10:$AU$110,45,FALSE)</f>
        <v>200</v>
      </c>
      <c r="J11926">
        <f>(IF(D11926=0,(2*(D11905+G11905))-(F$5*8),IF(D11926=3,(2*(D11905+G11905))-(F$5*8)+(G11905-2*F$5),IF(D11926=4,(2*(D11905+G11905))-(F$5*8)+2*(G11905-2*F$5)))))/1000</f>
        <v>0.88</v>
      </c>
      <c r="K11926" t="str">
        <v>+</v>
      </c>
      <c r="L11926">
        <f>IF(D11926=0,2*MAX(6*F11926,75),(D11926-1)*2*MAX(6*F11926,75))/1000</f>
        <v>0.15</v>
      </c>
      <c r="M11926" t="str">
        <v>=</v>
      </c>
      <c r="N11926">
        <f>J11926+L11926</f>
        <v>1.03</v>
      </c>
      <c r="T11926" t="str">
        <v>x</v>
      </c>
      <c r="U11926">
        <f>0.006165*F11926^2</f>
        <v>0.39456</v>
      </c>
      <c r="V11926" t="str">
        <v>x</v>
      </c>
      <c r="W11926">
        <f>IF(D11907&gt;4*G11905,ROUND(MAX(D11907/4,2*G11905)/H11926,0)+1,0)</f>
        <v>5</v>
      </c>
      <c r="X11926" t="str">
        <v>x</v>
      </c>
      <c r="Y11926">
        <f>D11910</f>
        <v>1</v>
      </c>
      <c r="Z11926" t="str">
        <v>=</v>
      </c>
      <c r="AA11926">
        <f>N11926*U11926*W11926*Y11926</f>
        <v>2.0319840000000005</v>
      </c>
    </row>
    <row r="11928">
      <c r="A11928" t="str">
        <f>A11904</f>
        <v>Lantai Atap</v>
      </c>
      <c r="B11928">
        <f>B11904</f>
        <v>56</v>
      </c>
      <c r="C11928" t="str">
        <v>Kait Horizontal Tump.</v>
      </c>
      <c r="D11928">
        <f>VLOOKUP(D11904,'Detail Balok'!$C$10:$BJ$110,46,FALSE)</f>
        <v>0</v>
      </c>
      <c r="E11928" t="str">
        <v>D</v>
      </c>
      <c r="F11928">
        <f>VLOOKUP(D11904,'Detail Balok'!$C$10:$BJ$110,48,FALSE)</f>
        <v>0</v>
      </c>
      <c r="G11928" t="str">
        <v>-</v>
      </c>
      <c r="H11928">
        <f>VLOOKUP(D11904,'Detail Balok'!$C$10:$BJ$110,50,FALSE)</f>
        <v>100</v>
      </c>
      <c r="J11928">
        <f>(D11905-2*F$5)/1000</f>
        <v>0.12</v>
      </c>
      <c r="K11928" t="str">
        <v>+</v>
      </c>
      <c r="L11928">
        <f>IF(D11928=0,2*MAX(6*F11928,75),(D11928-1)*2*MAX(6*F11928,75))/1000</f>
        <v>0.15</v>
      </c>
      <c r="M11928" t="str">
        <v>=</v>
      </c>
      <c r="N11928">
        <f>J11928+L11928</f>
        <v>0.27</v>
      </c>
      <c r="T11928" t="str">
        <v>x</v>
      </c>
      <c r="U11928">
        <f>0.006165*F11928^2</f>
        <v>0</v>
      </c>
      <c r="V11928" t="str">
        <v>x</v>
      </c>
      <c r="W11928">
        <f>W11924</f>
        <v>5</v>
      </c>
      <c r="X11928" t="str">
        <v>x</v>
      </c>
      <c r="Y11928">
        <f>D11914</f>
        <v>3</v>
      </c>
      <c r="Z11928" t="str">
        <v>=</v>
      </c>
      <c r="AA11928">
        <f>N11928*U11928*W11928*Y11928</f>
        <v>0</v>
      </c>
    </row>
    <row r="11929">
      <c r="A11929" t="str">
        <f>A11904</f>
        <v>Lantai Atap</v>
      </c>
      <c r="B11929">
        <f>B11904</f>
        <v>56</v>
      </c>
      <c r="C11929" t="str">
        <v>Kait Horizontal Lap.</v>
      </c>
      <c r="D11929">
        <f>VLOOKUP(D11904,'Detail Balok'!$C$10:$BJ$110,51,FALSE)</f>
        <v>0</v>
      </c>
      <c r="E11929" t="str">
        <v>D</v>
      </c>
      <c r="F11929">
        <f>VLOOKUP(D11904,'Detail Balok'!$C$10:$BJ$110,53,FALSE)</f>
        <v>0</v>
      </c>
      <c r="G11929" t="str">
        <v>-</v>
      </c>
      <c r="H11929">
        <f>VLOOKUP(D11904,'Detail Balok'!$C$10:$BJ$110,55,FALSE)</f>
        <v>100</v>
      </c>
      <c r="J11929">
        <f>(D11905-2*F$5)/1000</f>
        <v>0.12</v>
      </c>
      <c r="K11929" t="str">
        <v>+</v>
      </c>
      <c r="L11929">
        <f>IF(D11929=0,2*MAX(6*F11929,75),(D11929-1)*2*MAX(6*F11929,75))/1000</f>
        <v>0.15</v>
      </c>
      <c r="M11929" t="str">
        <v>=</v>
      </c>
      <c r="N11929">
        <f>J11929+L11929</f>
        <v>0.27</v>
      </c>
      <c r="T11929" t="str">
        <v>x</v>
      </c>
      <c r="U11929">
        <f>0.006165*F11929^2</f>
        <v>0</v>
      </c>
      <c r="V11929" t="str">
        <v>x</v>
      </c>
      <c r="W11929">
        <f>W11925</f>
        <v>2</v>
      </c>
      <c r="X11929" t="str">
        <v>x</v>
      </c>
      <c r="Y11929">
        <f>D11914</f>
        <v>3</v>
      </c>
      <c r="Z11929" t="str">
        <v>=</v>
      </c>
      <c r="AA11929">
        <f>N11929*U11929*W11929*Y11929</f>
        <v>0</v>
      </c>
    </row>
    <row r="11930">
      <c r="A11930" t="str">
        <f>A11904</f>
        <v>Lantai Atap</v>
      </c>
      <c r="B11930">
        <f>B11904</f>
        <v>56</v>
      </c>
      <c r="C11930" t="str">
        <v>Kait Horizontal Tump.</v>
      </c>
      <c r="D11930">
        <f>VLOOKUP(D11904,'Detail Balok'!$C$10:$BJ$110,56,FALSE)</f>
        <v>0</v>
      </c>
      <c r="E11930" t="str">
        <v>D</v>
      </c>
      <c r="F11930">
        <f>VLOOKUP(D11904,'Detail Balok'!$C$10:$BJ$110,58,FALSE)</f>
        <v>0</v>
      </c>
      <c r="G11930" t="str">
        <v>-</v>
      </c>
      <c r="H11930">
        <f>VLOOKUP(D11904,'Detail Balok'!$C$10:$BJ$110,60,FALSE)</f>
        <v>100</v>
      </c>
      <c r="J11930">
        <f>(D11905-2*F$5)/1000</f>
        <v>0.12</v>
      </c>
      <c r="K11930" t="str">
        <v>+</v>
      </c>
      <c r="L11930">
        <f>IF(D11930=0,2*MAX(6*F11930,75),(D11930-1)*2*MAX(6*F11930,75))/1000</f>
        <v>0.15</v>
      </c>
      <c r="M11930" t="str">
        <v>=</v>
      </c>
      <c r="N11930">
        <f>J11930+L11930</f>
        <v>0.27</v>
      </c>
      <c r="T11930" t="str">
        <v>x</v>
      </c>
      <c r="U11930">
        <f>0.006165*F11930^2</f>
        <v>0</v>
      </c>
      <c r="V11930" t="str">
        <v>x</v>
      </c>
      <c r="W11930">
        <f>W11926</f>
        <v>5</v>
      </c>
      <c r="X11930" t="str">
        <v>x</v>
      </c>
      <c r="Y11930">
        <f>D11914</f>
        <v>3</v>
      </c>
      <c r="Z11930" t="str">
        <v>=</v>
      </c>
      <c r="AA11930">
        <f>N11930*U11930*W11930*Y11930</f>
        <v>0</v>
      </c>
    </row>
    <row r="11934">
      <c r="A11934" t="str">
        <f>A11904</f>
        <v>Lantai Atap</v>
      </c>
      <c r="B11934">
        <f>B11904+1</f>
        <v>57</v>
      </c>
      <c r="C11934" t="str">
        <f>CONCATENATE(A11934," no. ",B11934)</f>
        <v>Lantai Atap no. 57</v>
      </c>
      <c r="D11934" t="str">
        <f>VLOOKUP(C11934,'Data Panjang Balok'!$C$9:$N$424,2,FALSE)</f>
        <v>B24-4</v>
      </c>
    </row>
    <row r="11935">
      <c r="C11935" t="str">
        <v>Dimensi</v>
      </c>
      <c r="D11935">
        <f>VLOOKUP(D11934,'Detail Balok'!$C$10:$AU$110,2,FALSE)</f>
        <v>200</v>
      </c>
      <c r="F11935" t="str">
        <v>x</v>
      </c>
      <c r="G11935">
        <f>VLOOKUP(D11934,'Detail Balok'!$C$10:$AU$110,3,FALSE)</f>
        <v>400</v>
      </c>
    </row>
    <row r="11936">
      <c r="C11936" t="str">
        <v>Panjang as ke as</v>
      </c>
      <c r="D11936">
        <f>VLOOKUP(C11934,'Data Panjang Balok'!$C$9:$N$424,4,FALSE)</f>
        <v>8100</v>
      </c>
    </row>
    <row r="11937">
      <c r="C11937" t="str">
        <v>Panjang netto</v>
      </c>
      <c r="D11937">
        <f>VLOOKUP(C11934,'Data Panjang Balok'!$C$9:$N$424,7,FALSE)</f>
        <v>8100</v>
      </c>
    </row>
    <row r="11938">
      <c r="C11938" t="str">
        <v>Kolom / balok kiri</v>
      </c>
      <c r="D11938">
        <f>VLOOKUP(C11934,'Data Panjang Balok'!$C$9:$N$424,9,FALSE)</f>
        <v>0</v>
      </c>
    </row>
    <row r="11939">
      <c r="C11939" t="str">
        <v>Kolom / balok kanan</v>
      </c>
      <c r="D11939">
        <f>VLOOKUP(C11934,'Data Panjang Balok'!$C$9:$N$424,10,FALSE)</f>
        <v>0</v>
      </c>
    </row>
    <row r="11940">
      <c r="C11940" t="str">
        <v>Jumlah</v>
      </c>
      <c r="D11940">
        <f>VLOOKUP(C11934,'Data Panjang Balok'!$C$9:$N$424,3,FALSE)</f>
        <v>1</v>
      </c>
    </row>
    <row r="11941">
      <c r="A11941" t="str">
        <f>A11934</f>
        <v>Lantai Atap</v>
      </c>
      <c r="B11941">
        <f>B11934</f>
        <v>57</v>
      </c>
      <c r="C11941" t="str">
        <v>Tul Atas Tumpuan</v>
      </c>
      <c r="D11941">
        <f>VLOOKUP(D11934,'Detail Balok'!$C$10:$AU$110,4,FALSE)</f>
        <v>4</v>
      </c>
      <c r="E11941" t="str">
        <v>D</v>
      </c>
      <c r="F11941">
        <f>VLOOKUP(D11934,'Detail Balok'!$C$10:$AU$110,6,FALSE)</f>
        <v>16</v>
      </c>
      <c r="I11941" t="str">
        <v>(</v>
      </c>
      <c r="J11941">
        <f>+D11936/4/1000</f>
        <v>2.025</v>
      </c>
      <c r="K11941" t="str">
        <v>+</v>
      </c>
      <c r="L11941">
        <f>MAX(VLOOKUP(F11941,N$6:P$15,3,FALSE)/1000,2/3*D11938/1000)+F$16*F11941/1000</f>
        <v>0.192</v>
      </c>
      <c r="M11941" t="str">
        <v>=</v>
      </c>
      <c r="N11941">
        <f>J11941+L11941</f>
        <v>2.217</v>
      </c>
      <c r="O11941" t="str">
        <v>+</v>
      </c>
      <c r="P11941">
        <f>D11941-D11942</f>
        <v>2</v>
      </c>
      <c r="Q11941" t="str">
        <v>x</v>
      </c>
      <c r="R11941">
        <f>IF(P11941&gt;0,$F$18*F11941/1000,0)</f>
        <v>0.24</v>
      </c>
      <c r="S11941" t="str">
        <v>)</v>
      </c>
      <c r="T11941" t="str">
        <v>x</v>
      </c>
      <c r="U11941">
        <f>0.006165*F11941^2</f>
        <v>1.57824</v>
      </c>
      <c r="X11941" t="str">
        <v>x</v>
      </c>
      <c r="Y11941">
        <f>D11940</f>
        <v>1</v>
      </c>
      <c r="Z11941" t="str">
        <v>=</v>
      </c>
      <c r="AA11941">
        <f>IF(AA11944=0,(D11941*N11941+P11941*R11941)*U11941*Y11941,0)</f>
        <v>14.753387520000002</v>
      </c>
    </row>
    <row r="11942">
      <c r="A11942" t="str">
        <f>A11934</f>
        <v>Lantai Atap</v>
      </c>
      <c r="B11942">
        <f>B11934</f>
        <v>57</v>
      </c>
      <c r="C11942" t="str">
        <v>Tul Atas Lapangan</v>
      </c>
      <c r="D11942">
        <f>VLOOKUP(D11934,'Detail Balok'!$C$10:$AU$110,7,FALSE)</f>
        <v>2</v>
      </c>
      <c r="E11942" t="str">
        <v>D</v>
      </c>
      <c r="F11942">
        <f>VLOOKUP(D11934,'Detail Balok'!$C$10:$AU$110,9,FALSE)</f>
        <v>16</v>
      </c>
      <c r="I11942" t="str">
        <v>(</v>
      </c>
      <c r="J11942">
        <f>+D11936/2/1000</f>
        <v>4.05</v>
      </c>
      <c r="K11942" t="str">
        <v>+</v>
      </c>
      <c r="M11942" t="str">
        <v>=</v>
      </c>
      <c r="N11942">
        <f>J11942+L11942</f>
        <v>4.05</v>
      </c>
      <c r="O11942" t="str">
        <v>+</v>
      </c>
      <c r="P11942">
        <f>MAX(D11942-D11941,D11942-D11943)</f>
        <v>-2</v>
      </c>
      <c r="Q11942" t="str">
        <v>x</v>
      </c>
      <c r="R11942">
        <f>IF(P11942&gt;0,2*(1-2*$F$19-1/2)*D11937/1000,0)</f>
        <v>0</v>
      </c>
      <c r="S11942" t="str">
        <v>)</v>
      </c>
      <c r="T11942" t="str">
        <v>x</v>
      </c>
      <c r="U11942">
        <f>0.006165*F11942^2</f>
        <v>1.57824</v>
      </c>
      <c r="X11942" t="str">
        <v>x</v>
      </c>
      <c r="Y11942">
        <f>D11940</f>
        <v>1</v>
      </c>
      <c r="Z11942" t="str">
        <v>=</v>
      </c>
      <c r="AA11942">
        <f>IF(AA11944=0,(D11942*N11942+P11942*R11942)*U11942*Y11942,0)</f>
        <v>12.783744</v>
      </c>
    </row>
    <row r="11943">
      <c r="A11943" t="str">
        <f>A11934</f>
        <v>Lantai Atap</v>
      </c>
      <c r="B11943">
        <f>B11934</f>
        <v>57</v>
      </c>
      <c r="C11943" t="str">
        <v>Tul Atas Tumpuan</v>
      </c>
      <c r="D11943">
        <f>VLOOKUP(D11934,'Detail Balok'!$C$10:$AU$110,10,FALSE)</f>
        <v>4</v>
      </c>
      <c r="E11943" t="str">
        <v>D</v>
      </c>
      <c r="F11943">
        <f>VLOOKUP(D11934,'Detail Balok'!$C$10:$AU$110,12,FALSE)</f>
        <v>16</v>
      </c>
      <c r="I11943" t="str">
        <v>(</v>
      </c>
      <c r="J11943">
        <f>+D11936/4/1000</f>
        <v>2.025</v>
      </c>
      <c r="K11943" t="str">
        <v>+</v>
      </c>
      <c r="L11943">
        <f>MAX(VLOOKUP(F11943,N$6:P$15,3,FALSE)/1000,2/3*D11938/1000)+F$16*F11943/1000</f>
        <v>0.192</v>
      </c>
      <c r="M11943" t="str">
        <v>=</v>
      </c>
      <c r="N11943">
        <f>J11943+L11943</f>
        <v>2.217</v>
      </c>
      <c r="O11943" t="str">
        <v>+</v>
      </c>
      <c r="P11943">
        <f>D11943-D11942</f>
        <v>2</v>
      </c>
      <c r="Q11943" t="str">
        <v>x</v>
      </c>
      <c r="R11943">
        <f>IF(P11943&gt;0,$F$18*F11943/1000,0)</f>
        <v>0.24</v>
      </c>
      <c r="S11943" t="str">
        <v>)</v>
      </c>
      <c r="T11943" t="str">
        <v>x</v>
      </c>
      <c r="U11943">
        <f>0.006165*F11943^2</f>
        <v>1.57824</v>
      </c>
      <c r="X11943" t="str">
        <v>x</v>
      </c>
      <c r="Y11943">
        <f>D11940</f>
        <v>1</v>
      </c>
      <c r="Z11943" t="str">
        <v>=</v>
      </c>
      <c r="AA11943">
        <f>IF(AA11944=0,(D11943*N11943+P11943*R11943)*U11943*Y11943,0)</f>
        <v>14.753387520000002</v>
      </c>
    </row>
    <row r="11944">
      <c r="A11944" t="str">
        <f>A11934</f>
        <v>Lantai Atap</v>
      </c>
      <c r="B11944">
        <f>B11934</f>
        <v>57</v>
      </c>
      <c r="D11944">
        <f>IF(AND(D11941=D11942,D11942=D11943,D11941=D11943),D11941,0)</f>
        <v>0</v>
      </c>
      <c r="E11944" t="str">
        <v>D</v>
      </c>
      <c r="F11944">
        <f>IF(AND(F11941=F11942,F11941=F11943,F11942=F11943),F11941,0)</f>
        <v>16</v>
      </c>
      <c r="L11944" t="str">
        <v>Total panjang per balok</v>
      </c>
      <c r="M11944" t="str">
        <v>=</v>
      </c>
      <c r="N11944">
        <f>IF(AND(D11941=D11942,D11941=D11943,D11942=D11943,F11941=F11942,F11941=F11943,F11942=F11943),SUM(N11941:N11943),0)</f>
        <v>0</v>
      </c>
      <c r="O11944" t="str">
        <v>+</v>
      </c>
      <c r="P11944">
        <f>IF(N11944&gt;12,ROUNDDOWN(N11944/12,0),0)</f>
        <v>0</v>
      </c>
      <c r="Q11944" t="str">
        <v>x</v>
      </c>
      <c r="R11944">
        <f>IF(P11944&gt;0,MAX(VLOOKUP(F11944,$D$6:$G$15,3,FALSE),600),0)/1000</f>
        <v>0</v>
      </c>
      <c r="T11944" t="str">
        <v>x</v>
      </c>
      <c r="U11944">
        <f>U11943</f>
        <v>1.57824</v>
      </c>
      <c r="V11944" t="str">
        <v>x</v>
      </c>
      <c r="W11944">
        <f>D11944</f>
        <v>0</v>
      </c>
      <c r="X11944" t="str">
        <v>x</v>
      </c>
      <c r="Y11944">
        <f>Y11943</f>
        <v>1</v>
      </c>
      <c r="Z11944" t="str">
        <v>=</v>
      </c>
      <c r="AA11944">
        <f>(N11944+P11944*R11944/1000)*U11944*W11944*Y11944</f>
        <v>0</v>
      </c>
    </row>
    <row r="11946">
      <c r="A11946" t="str">
        <f>A11934</f>
        <v>Lantai Atap</v>
      </c>
      <c r="B11946">
        <f>B11934</f>
        <v>57</v>
      </c>
      <c r="C11946" t="str">
        <v>Tul Peminggang</v>
      </c>
      <c r="D11946">
        <f>VLOOKUP(D11934,'Detail Balok'!$C$10:$AU$110,13,FALSE)</f>
        <v>0</v>
      </c>
      <c r="E11946" t="str">
        <v>D</v>
      </c>
      <c r="F11946">
        <f>VLOOKUP(D11934,'Detail Balok'!$C$10:$AU$110,15,FALSE)</f>
        <v>6</v>
      </c>
      <c r="J11946">
        <f>+D11936/1000</f>
        <v>8.1</v>
      </c>
      <c r="K11946" t="str">
        <v>+</v>
      </c>
      <c r="L11946">
        <f>2*$F$16*F11946/1000</f>
        <v>0.144</v>
      </c>
      <c r="M11946" t="str">
        <v>=</v>
      </c>
      <c r="N11946">
        <f>J11946+L11946</f>
        <v>8.244</v>
      </c>
      <c r="O11946" t="str">
        <v>+</v>
      </c>
      <c r="P11946">
        <f>IF(N11946&gt;12,ROUNDDOWN(N11946/12,0),0)</f>
        <v>0</v>
      </c>
      <c r="Q11946" t="str">
        <v>x</v>
      </c>
      <c r="R11946">
        <f>IF(P11946&gt;0,MAX(VLOOKUP(F11946,$D$6:$G$15,3,FALSE),600),0)/1000</f>
        <v>0</v>
      </c>
      <c r="T11946" t="str">
        <v>x</v>
      </c>
      <c r="U11946">
        <f>0.006165*F11946^2</f>
        <v>0.22194000000000003</v>
      </c>
      <c r="V11946" t="str">
        <v>x</v>
      </c>
      <c r="W11946">
        <f>+D11946</f>
        <v>0</v>
      </c>
      <c r="X11946" t="str">
        <v>x</v>
      </c>
      <c r="Y11946">
        <f>D11940</f>
        <v>1</v>
      </c>
      <c r="Z11946" t="str">
        <v>=</v>
      </c>
      <c r="AA11946">
        <f>(N11946+P11946*R11946/1000)*U11946*W11946*Y11946</f>
        <v>0</v>
      </c>
    </row>
    <row r="11949">
      <c r="A11949" t="str">
        <f>A11934</f>
        <v>Lantai Atap</v>
      </c>
      <c r="B11949">
        <f>B11934</f>
        <v>57</v>
      </c>
      <c r="C11949" t="str">
        <v>Tul Bawah Tumpuan</v>
      </c>
      <c r="D11949">
        <f>VLOOKUP(D11934,'Detail Balok'!$C$10:$AU$110,22,FALSE)</f>
        <v>2</v>
      </c>
      <c r="E11949" t="str">
        <v>D</v>
      </c>
      <c r="F11949">
        <f>VLOOKUP(D11934,'Detail Balok'!$C$10:$AU$110,24,FALSE)</f>
        <v>16</v>
      </c>
      <c r="I11949" t="str">
        <v>(</v>
      </c>
      <c r="J11949">
        <f>+J11941</f>
        <v>2.025</v>
      </c>
      <c r="K11949" t="str">
        <v>+</v>
      </c>
      <c r="L11949">
        <f>MAX(VLOOKUP(F11949,N$6:P$15,3,FALSE)/1000,2/3*D11939/1000)+F$16*F11949/1000</f>
        <v>0.192</v>
      </c>
      <c r="M11949" t="str">
        <v>=</v>
      </c>
      <c r="N11949">
        <f>J11949+L11949</f>
        <v>2.217</v>
      </c>
      <c r="O11949" t="str">
        <v>+</v>
      </c>
      <c r="P11949">
        <f>D11949-D11950</f>
        <v>-2</v>
      </c>
      <c r="Q11949" t="str">
        <v>x</v>
      </c>
      <c r="R11949">
        <f>IF(P11949&gt;0,$F$18*F11949/1000,0)</f>
        <v>0</v>
      </c>
      <c r="S11949" t="str">
        <v>)</v>
      </c>
      <c r="T11949" t="str">
        <v>x</v>
      </c>
      <c r="U11949">
        <f>0.006165*F11949^2</f>
        <v>1.57824</v>
      </c>
      <c r="X11949" t="str">
        <v>x</v>
      </c>
      <c r="Y11949">
        <f>D11940</f>
        <v>1</v>
      </c>
      <c r="Z11949" t="str">
        <v>=</v>
      </c>
      <c r="AA11949">
        <f>IF(AA11952=0,(D11949*N11949+P11949*R11949)*U11949*Y11949,0)</f>
        <v>6.997916160000001</v>
      </c>
    </row>
    <row r="11950">
      <c r="A11950" t="str">
        <f>A11934</f>
        <v>Lantai Atap</v>
      </c>
      <c r="B11950">
        <f>B11934</f>
        <v>57</v>
      </c>
      <c r="C11950" t="str">
        <v>Tul Bawah Lapangan</v>
      </c>
      <c r="D11950">
        <f>VLOOKUP(D11934,'Detail Balok'!$C$10:$AU$110,25,FALSE)</f>
        <v>4</v>
      </c>
      <c r="E11950" t="str">
        <v>D</v>
      </c>
      <c r="F11950">
        <f>VLOOKUP(D11934,'Detail Balok'!$C$10:$AU$110,27,FALSE)</f>
        <v>16</v>
      </c>
      <c r="I11950" t="str">
        <v>(</v>
      </c>
      <c r="J11950">
        <f>+J11942</f>
        <v>4.05</v>
      </c>
      <c r="K11950" t="str">
        <v>+</v>
      </c>
      <c r="M11950" t="str">
        <v>=</v>
      </c>
      <c r="N11950">
        <f>J11950+L11950</f>
        <v>4.05</v>
      </c>
      <c r="O11950" t="str">
        <v>+</v>
      </c>
      <c r="P11950">
        <f>MAX(D11950-D11949,D11950-D11951)</f>
        <v>2</v>
      </c>
      <c r="Q11950" t="str">
        <v>x</v>
      </c>
      <c r="R11950">
        <f>IF(P11950&gt;0,2*(1-2*$F$19-1/2)*D11937/1000,0)</f>
        <v>1.6199999999999994</v>
      </c>
      <c r="S11950" t="str">
        <v>)</v>
      </c>
      <c r="T11950" t="str">
        <v>x</v>
      </c>
      <c r="U11950">
        <f>0.006165*F11950^2</f>
        <v>1.57824</v>
      </c>
      <c r="X11950" t="str">
        <v>x</v>
      </c>
      <c r="Y11950">
        <f>D11940</f>
        <v>1</v>
      </c>
      <c r="Z11950" t="str">
        <v>=</v>
      </c>
      <c r="AA11950">
        <f>IF(AA11952=0,(D11950*N11950+P11950*R11950)*U11950*Y11950,0)</f>
        <v>30.6809856</v>
      </c>
    </row>
    <row r="11951">
      <c r="A11951" t="str">
        <f>A11934</f>
        <v>Lantai Atap</v>
      </c>
      <c r="B11951">
        <f>B11934</f>
        <v>57</v>
      </c>
      <c r="C11951" t="str">
        <v>Tul Bawah Tumpuan</v>
      </c>
      <c r="D11951">
        <f>VLOOKUP(D11934,'Detail Balok'!$C$10:$AU$110,28,FALSE)</f>
        <v>2</v>
      </c>
      <c r="E11951" t="str">
        <v>D</v>
      </c>
      <c r="F11951">
        <f>VLOOKUP(D11934,'Detail Balok'!$C$10:$AU$110,30,FALSE)</f>
        <v>16</v>
      </c>
      <c r="I11951" t="str">
        <v>(</v>
      </c>
      <c r="J11951">
        <f>+J11943</f>
        <v>2.025</v>
      </c>
      <c r="K11951" t="str">
        <v>+</v>
      </c>
      <c r="L11951">
        <f>MAX(VLOOKUP(F11951,N$6:P$15,3,FALSE)/1000,2/3*D11939/1000)+F$16*F11951/1000</f>
        <v>0.192</v>
      </c>
      <c r="M11951" t="str">
        <v>=</v>
      </c>
      <c r="N11951">
        <f>J11951+L11951</f>
        <v>2.217</v>
      </c>
      <c r="O11951" t="str">
        <v>+</v>
      </c>
      <c r="P11951">
        <f>D11951-D11950</f>
        <v>-2</v>
      </c>
      <c r="Q11951" t="str">
        <v>x</v>
      </c>
      <c r="R11951">
        <f>IF(P11951&gt;0,$F$18*F11951/1000,0)</f>
        <v>0</v>
      </c>
      <c r="S11951" t="str">
        <v>)</v>
      </c>
      <c r="T11951" t="str">
        <v>x</v>
      </c>
      <c r="U11951">
        <f>0.006165*F11951^2</f>
        <v>1.57824</v>
      </c>
      <c r="X11951" t="str">
        <v>x</v>
      </c>
      <c r="Y11951">
        <f>D11940</f>
        <v>1</v>
      </c>
      <c r="Z11951" t="str">
        <v>=</v>
      </c>
      <c r="AA11951">
        <f>IF(AA11952=0,(D11951*N11951+P11951*R11951)*U11951*Y11951,0)</f>
        <v>6.997916160000001</v>
      </c>
    </row>
    <row r="11952">
      <c r="A11952" t="str">
        <f>A11934</f>
        <v>Lantai Atap</v>
      </c>
      <c r="B11952">
        <f>B11934</f>
        <v>57</v>
      </c>
      <c r="D11952">
        <f>IF(AND(D11949=D11950,D11950=D11951,D11949=D11951),D11949,0)</f>
        <v>0</v>
      </c>
      <c r="E11952" t="str">
        <v>D</v>
      </c>
      <c r="F11952">
        <f>IF(AND(F11949=F11950,F11949=F11951,F11950=F11951),F11949,0)</f>
        <v>16</v>
      </c>
      <c r="L11952" t="str">
        <v>Total panjang per balok</v>
      </c>
      <c r="M11952" t="str">
        <v>=</v>
      </c>
      <c r="N11952">
        <f>IF(AND(D11949=D11950,D11949=D11951,D11950=D11951,F11949=F11950,F11949=F11951,F11950=F11951),SUM(N11949:N11951),0)</f>
        <v>0</v>
      </c>
      <c r="O11952" t="str">
        <v>+</v>
      </c>
      <c r="P11952">
        <f>IF(N11952&gt;12,ROUNDDOWN(N11952/12,0),0)</f>
        <v>0</v>
      </c>
      <c r="Q11952" t="str">
        <v>x</v>
      </c>
      <c r="R11952">
        <f>IF(P11952&gt;0,MAX(VLOOKUP(F11952,$D$6:$G$15,3,FALSE),600),0)/1000</f>
        <v>0</v>
      </c>
      <c r="T11952" t="str">
        <v>x</v>
      </c>
      <c r="U11952">
        <f>U11951</f>
        <v>1.57824</v>
      </c>
      <c r="V11952" t="str">
        <v>x</v>
      </c>
      <c r="W11952">
        <f>D11952</f>
        <v>0</v>
      </c>
      <c r="X11952" t="str">
        <v>x</v>
      </c>
      <c r="Y11952">
        <f>Y11951</f>
        <v>1</v>
      </c>
      <c r="Z11952" t="str">
        <v>=</v>
      </c>
      <c r="AA11952">
        <f>(N11952+P11952*R11952/1000)*U11952*W11952*Y11952</f>
        <v>0</v>
      </c>
    </row>
    <row r="11954">
      <c r="A11954" t="str">
        <f>A11934</f>
        <v>Lantai Atap</v>
      </c>
      <c r="B11954">
        <f>B11934</f>
        <v>57</v>
      </c>
      <c r="C11954" t="str">
        <v>Sengkang Tumpuan</v>
      </c>
      <c r="D11954">
        <f>VLOOKUP(D11934,'Detail Balok'!$C$10:$AU$110,31,FALSE)</f>
        <v>0</v>
      </c>
      <c r="E11954" t="str">
        <v>D</v>
      </c>
      <c r="F11954">
        <f>VLOOKUP(D11934,'Detail Balok'!$C$10:$AU$110,33,FALSE)</f>
        <v>8</v>
      </c>
      <c r="G11954" t="str">
        <v>-</v>
      </c>
      <c r="H11954">
        <f>VLOOKUP(D11934,'Detail Balok'!$C$10:$AU$110,35,FALSE)</f>
        <v>80</v>
      </c>
      <c r="J11954">
        <f>(IF(D11954=0,(2*(D11935+G11935))-(F$5*8),IF(D11954=3,(2*(D11935+G11935))-(F$5*8)+(G11935-2*F$5),IF(D11954=4,(2*(D11935+G11935))-(F$5*8)+2*(G11935-2*F$5)))))/1000</f>
        <v>0.88</v>
      </c>
      <c r="K11954" t="str">
        <v>+</v>
      </c>
      <c r="L11954">
        <f>IF(D11954=0,2*MAX(6*F11954,75),(D11954-1)*2*MAX(6*F11954,75))/1000</f>
        <v>0.15</v>
      </c>
      <c r="M11954" t="str">
        <v>=</v>
      </c>
      <c r="N11954">
        <f>J11954+L11954</f>
        <v>1.03</v>
      </c>
      <c r="T11954" t="str">
        <v>x</v>
      </c>
      <c r="U11954">
        <f>0.006165*F11954^2</f>
        <v>0.39456</v>
      </c>
      <c r="V11954" t="str">
        <v>x</v>
      </c>
      <c r="W11954">
        <f>IF(D11937&gt;4*G11935,ROUND(MAX(D11937/4,2*G11935)/H11954,0)+1,ROUND(D11937/H11954,0)+1)</f>
        <v>26</v>
      </c>
      <c r="X11954" t="str">
        <v>x</v>
      </c>
      <c r="Y11954">
        <f>D11940</f>
        <v>1</v>
      </c>
      <c r="Z11954" t="str">
        <v>=</v>
      </c>
      <c r="AA11954">
        <f>N11954*U11954*W11954*Y11954</f>
        <v>10.566316800000001</v>
      </c>
    </row>
    <row r="11955">
      <c r="A11955" t="str">
        <f>A11934</f>
        <v>Lantai Atap</v>
      </c>
      <c r="B11955">
        <f>B11934</f>
        <v>57</v>
      </c>
      <c r="C11955" t="str">
        <v>Sengkang Lapangan</v>
      </c>
      <c r="D11955">
        <f>VLOOKUP(D11934,'Detail Balok'!$C$10:$AU$110,36,FALSE)</f>
        <v>0</v>
      </c>
      <c r="E11955" t="str">
        <v>D</v>
      </c>
      <c r="F11955">
        <f>VLOOKUP(D11934,'Detail Balok'!$C$10:$AU$110,38,FALSE)</f>
        <v>8</v>
      </c>
      <c r="G11955" t="str">
        <v>-</v>
      </c>
      <c r="H11955">
        <f>VLOOKUP(D11934,'Detail Balok'!$C$10:$AU$110,40,FALSE)</f>
        <v>200</v>
      </c>
      <c r="J11955">
        <f>(IF(D11955=0,(2*(D11935+G11935))-(F$5*8),IF(D11955=3,(2*(D11935+G11935))-(F$5*8)+(G11935-2*F$5),IF(D11955=4,(2*(D11935+G11935))-(F$5*8)+2*(G11935-2*F$5)))))/1000</f>
        <v>0.88</v>
      </c>
      <c r="K11955" t="str">
        <v>+</v>
      </c>
      <c r="L11955">
        <f>IF(D11955=0,2*MAX(6*F11955,75),(D11955-1)*2*MAX(6*F11955,75))/1000</f>
        <v>0.15</v>
      </c>
      <c r="M11955" t="str">
        <v>=</v>
      </c>
      <c r="N11955">
        <f>J11955+L11955</f>
        <v>1.03</v>
      </c>
      <c r="T11955" t="str">
        <v>x</v>
      </c>
      <c r="U11955">
        <f>0.006165*F11955^2</f>
        <v>0.39456</v>
      </c>
      <c r="V11955" t="str">
        <v>x</v>
      </c>
      <c r="W11955">
        <f>IF(D11937-MAX(D11937/4,2*G11935)*2&gt;0,ROUND((D11937-MAX(D11937/4,2*G11935)*2)/H11955,0),0)</f>
        <v>20</v>
      </c>
      <c r="X11955" t="str">
        <v>x</v>
      </c>
      <c r="Y11955">
        <f>D11940</f>
        <v>1</v>
      </c>
      <c r="Z11955" t="str">
        <v>=</v>
      </c>
      <c r="AA11955">
        <f>N11955*U11955*W11955*Y11955</f>
        <v>8.127936000000002</v>
      </c>
    </row>
    <row r="11956">
      <c r="A11956" t="str">
        <f>A11934</f>
        <v>Lantai Atap</v>
      </c>
      <c r="B11956">
        <f>B11934</f>
        <v>57</v>
      </c>
      <c r="C11956" t="str">
        <v>Sengkang Tumpuan</v>
      </c>
      <c r="D11956">
        <f>VLOOKUP(D11934,'Detail Balok'!$C$10:$AU$110,41,FALSE)</f>
        <v>0</v>
      </c>
      <c r="E11956" t="str">
        <v>D</v>
      </c>
      <c r="F11956">
        <f>VLOOKUP(D11934,'Detail Balok'!$C$10:$AU$110,43,FALSE)</f>
        <v>8</v>
      </c>
      <c r="G11956" t="str">
        <v>-</v>
      </c>
      <c r="H11956">
        <f>VLOOKUP(D11934,'Detail Balok'!$C$10:$AU$110,45,FALSE)</f>
        <v>80</v>
      </c>
      <c r="J11956">
        <f>(IF(D11956=0,(2*(D11935+G11935))-(F$5*8),IF(D11956=3,(2*(D11935+G11935))-(F$5*8)+(G11935-2*F$5),IF(D11956=4,(2*(D11935+G11935))-(F$5*8)+2*(G11935-2*F$5)))))/1000</f>
        <v>0.88</v>
      </c>
      <c r="K11956" t="str">
        <v>+</v>
      </c>
      <c r="L11956">
        <f>IF(D11956=0,2*MAX(6*F11956,75),(D11956-1)*2*MAX(6*F11956,75))/1000</f>
        <v>0.15</v>
      </c>
      <c r="M11956" t="str">
        <v>=</v>
      </c>
      <c r="N11956">
        <f>J11956+L11956</f>
        <v>1.03</v>
      </c>
      <c r="T11956" t="str">
        <v>x</v>
      </c>
      <c r="U11956">
        <f>0.006165*F11956^2</f>
        <v>0.39456</v>
      </c>
      <c r="V11956" t="str">
        <v>x</v>
      </c>
      <c r="W11956">
        <f>IF(D11937&gt;4*G11935,ROUND(MAX(D11937/4,2*G11935)/H11956,0)+1,0)</f>
        <v>26</v>
      </c>
      <c r="X11956" t="str">
        <v>x</v>
      </c>
      <c r="Y11956">
        <f>D11940</f>
        <v>1</v>
      </c>
      <c r="Z11956" t="str">
        <v>=</v>
      </c>
      <c r="AA11956">
        <f>N11956*U11956*W11956*Y11956</f>
        <v>10.566316800000001</v>
      </c>
    </row>
    <row r="11958">
      <c r="A11958" t="str">
        <f>A11934</f>
        <v>Lantai Atap</v>
      </c>
      <c r="B11958">
        <f>B11934</f>
        <v>57</v>
      </c>
      <c r="C11958" t="str">
        <v>Kait Horizontal Tump.</v>
      </c>
      <c r="D11958">
        <f>VLOOKUP(D11934,'Detail Balok'!$C$10:$BJ$110,46,FALSE)</f>
        <v>0</v>
      </c>
      <c r="E11958" t="str">
        <v>D</v>
      </c>
      <c r="F11958">
        <f>VLOOKUP(D11934,'Detail Balok'!$C$10:$BJ$110,48,FALSE)</f>
        <v>0</v>
      </c>
      <c r="G11958" t="str">
        <v>-</v>
      </c>
      <c r="H11958">
        <f>VLOOKUP(D11934,'Detail Balok'!$C$10:$BJ$110,50,FALSE)</f>
        <v>100</v>
      </c>
      <c r="J11958">
        <f>(D11935-2*F$5)/1000</f>
        <v>0.12</v>
      </c>
      <c r="K11958" t="str">
        <v>+</v>
      </c>
      <c r="L11958">
        <f>IF(D11958=0,2*MAX(6*F11958,75),(D11958-1)*2*MAX(6*F11958,75))/1000</f>
        <v>0.15</v>
      </c>
      <c r="M11958" t="str">
        <v>=</v>
      </c>
      <c r="N11958">
        <f>J11958+L11958</f>
        <v>0.27</v>
      </c>
      <c r="T11958" t="str">
        <v>x</v>
      </c>
      <c r="U11958">
        <f>0.006165*F11958^2</f>
        <v>0</v>
      </c>
      <c r="V11958" t="str">
        <v>x</v>
      </c>
      <c r="W11958">
        <f>W11954</f>
        <v>26</v>
      </c>
      <c r="X11958" t="str">
        <v>x</v>
      </c>
      <c r="Y11958">
        <f>D11944</f>
        <v>0</v>
      </c>
      <c r="Z11958" t="str">
        <v>=</v>
      </c>
      <c r="AA11958">
        <f>N11958*U11958*W11958*Y11958</f>
        <v>0</v>
      </c>
    </row>
    <row r="11959">
      <c r="A11959" t="str">
        <f>A11934</f>
        <v>Lantai Atap</v>
      </c>
      <c r="B11959">
        <f>B11934</f>
        <v>57</v>
      </c>
      <c r="C11959" t="str">
        <v>Kait Horizontal Lap.</v>
      </c>
      <c r="D11959">
        <f>VLOOKUP(D11934,'Detail Balok'!$C$10:$BJ$110,51,FALSE)</f>
        <v>0</v>
      </c>
      <c r="E11959" t="str">
        <v>D</v>
      </c>
      <c r="F11959">
        <f>VLOOKUP(D11934,'Detail Balok'!$C$10:$BJ$110,53,FALSE)</f>
        <v>0</v>
      </c>
      <c r="G11959" t="str">
        <v>-</v>
      </c>
      <c r="H11959">
        <f>VLOOKUP(D11934,'Detail Balok'!$C$10:$BJ$110,55,FALSE)</f>
        <v>100</v>
      </c>
      <c r="J11959">
        <f>(D11935-2*F$5)/1000</f>
        <v>0.12</v>
      </c>
      <c r="K11959" t="str">
        <v>+</v>
      </c>
      <c r="L11959">
        <f>IF(D11959=0,2*MAX(6*F11959,75),(D11959-1)*2*MAX(6*F11959,75))/1000</f>
        <v>0.15</v>
      </c>
      <c r="M11959" t="str">
        <v>=</v>
      </c>
      <c r="N11959">
        <f>J11959+L11959</f>
        <v>0.27</v>
      </c>
      <c r="T11959" t="str">
        <v>x</v>
      </c>
      <c r="U11959">
        <f>0.006165*F11959^2</f>
        <v>0</v>
      </c>
      <c r="V11959" t="str">
        <v>x</v>
      </c>
      <c r="W11959">
        <f>W11955</f>
        <v>20</v>
      </c>
      <c r="X11959" t="str">
        <v>x</v>
      </c>
      <c r="Y11959">
        <f>D11944</f>
        <v>0</v>
      </c>
      <c r="Z11959" t="str">
        <v>=</v>
      </c>
      <c r="AA11959">
        <f>N11959*U11959*W11959*Y11959</f>
        <v>0</v>
      </c>
    </row>
    <row r="11960">
      <c r="A11960" t="str">
        <f>A11934</f>
        <v>Lantai Atap</v>
      </c>
      <c r="B11960">
        <f>B11934</f>
        <v>57</v>
      </c>
      <c r="C11960" t="str">
        <v>Kait Horizontal Tump.</v>
      </c>
      <c r="D11960">
        <f>VLOOKUP(D11934,'Detail Balok'!$C$10:$BJ$110,56,FALSE)</f>
        <v>0</v>
      </c>
      <c r="E11960" t="str">
        <v>D</v>
      </c>
      <c r="F11960">
        <f>VLOOKUP(D11934,'Detail Balok'!$C$10:$BJ$110,58,FALSE)</f>
        <v>0</v>
      </c>
      <c r="G11960" t="str">
        <v>-</v>
      </c>
      <c r="H11960">
        <f>VLOOKUP(D11934,'Detail Balok'!$C$10:$BJ$110,60,FALSE)</f>
        <v>100</v>
      </c>
      <c r="J11960">
        <f>(D11935-2*F$5)/1000</f>
        <v>0.12</v>
      </c>
      <c r="K11960" t="str">
        <v>+</v>
      </c>
      <c r="L11960">
        <f>IF(D11960=0,2*MAX(6*F11960,75),(D11960-1)*2*MAX(6*F11960,75))/1000</f>
        <v>0.15</v>
      </c>
      <c r="M11960" t="str">
        <v>=</v>
      </c>
      <c r="N11960">
        <f>J11960+L11960</f>
        <v>0.27</v>
      </c>
      <c r="T11960" t="str">
        <v>x</v>
      </c>
      <c r="U11960">
        <f>0.006165*F11960^2</f>
        <v>0</v>
      </c>
      <c r="V11960" t="str">
        <v>x</v>
      </c>
      <c r="W11960">
        <f>W11956</f>
        <v>26</v>
      </c>
      <c r="X11960" t="str">
        <v>x</v>
      </c>
      <c r="Y11960">
        <f>D11944</f>
        <v>0</v>
      </c>
      <c r="Z11960" t="str">
        <v>=</v>
      </c>
      <c r="AA11960">
        <f>N11960*U11960*W11960*Y11960</f>
        <v>0</v>
      </c>
    </row>
    <row r="11964">
      <c r="A11964" t="str">
        <f>A11934</f>
        <v>Lantai Atap</v>
      </c>
      <c r="B11964">
        <f>B11934+1</f>
        <v>58</v>
      </c>
      <c r="C11964" t="str">
        <f>CONCATENATE(A11964," no. ",B11964)</f>
        <v>Lantai Atap no. 58</v>
      </c>
      <c r="D11964" t="str">
        <f>VLOOKUP(C11964,'Data Panjang Balok'!$C$9:$N$424,2,FALSE)</f>
        <v>B24-2</v>
      </c>
    </row>
    <row r="11965">
      <c r="C11965" t="str">
        <v>Dimensi</v>
      </c>
      <c r="D11965">
        <f>VLOOKUP(D11964,'Detail Balok'!$C$10:$AU$110,2,FALSE)</f>
        <v>200</v>
      </c>
      <c r="F11965" t="str">
        <v>x</v>
      </c>
      <c r="G11965">
        <f>VLOOKUP(D11964,'Detail Balok'!$C$10:$AU$110,3,FALSE)</f>
        <v>400</v>
      </c>
    </row>
    <row r="11966">
      <c r="C11966" t="str">
        <v>Panjang as ke as</v>
      </c>
      <c r="D11966">
        <f>VLOOKUP(C11964,'Data Panjang Balok'!$C$9:$N$424,4,FALSE)</f>
        <v>8200</v>
      </c>
    </row>
    <row r="11967">
      <c r="C11967" t="str">
        <v>Panjang netto</v>
      </c>
      <c r="D11967">
        <f>VLOOKUP(C11964,'Data Panjang Balok'!$C$9:$N$424,7,FALSE)</f>
        <v>8200</v>
      </c>
    </row>
    <row r="11968">
      <c r="C11968" t="str">
        <v>Kolom / balok kiri</v>
      </c>
      <c r="D11968">
        <f>VLOOKUP(C11964,'Data Panjang Balok'!$C$9:$N$424,9,FALSE)</f>
        <v>0</v>
      </c>
    </row>
    <row r="11969">
      <c r="C11969" t="str">
        <v>Kolom / balok kanan</v>
      </c>
      <c r="D11969">
        <f>VLOOKUP(C11964,'Data Panjang Balok'!$C$9:$N$424,10,FALSE)</f>
        <v>0</v>
      </c>
    </row>
    <row r="11970">
      <c r="C11970" t="str">
        <v>Jumlah</v>
      </c>
      <c r="D11970">
        <f>VLOOKUP(C11964,'Data Panjang Balok'!$C$9:$N$424,3,FALSE)</f>
        <v>1</v>
      </c>
    </row>
    <row r="11971">
      <c r="A11971" t="str">
        <f>A11964</f>
        <v>Lantai Atap</v>
      </c>
      <c r="B11971">
        <f>B11964</f>
        <v>58</v>
      </c>
      <c r="C11971" t="str">
        <v>Tul Atas Tumpuan</v>
      </c>
      <c r="D11971">
        <f>VLOOKUP(D11964,'Detail Balok'!$C$10:$AU$110,4,FALSE)</f>
        <v>2</v>
      </c>
      <c r="E11971" t="str">
        <v>D</v>
      </c>
      <c r="F11971">
        <f>VLOOKUP(D11964,'Detail Balok'!$C$10:$AU$110,6,FALSE)</f>
        <v>16</v>
      </c>
      <c r="I11971" t="str">
        <v>(</v>
      </c>
      <c r="J11971">
        <f>+D11966/4/1000</f>
        <v>2.05</v>
      </c>
      <c r="K11971" t="str">
        <v>+</v>
      </c>
      <c r="L11971">
        <f>MAX(VLOOKUP(F11971,N$6:P$15,3,FALSE)/1000,2/3*D11968/1000)+F$16*F11971/1000</f>
        <v>0.192</v>
      </c>
      <c r="M11971" t="str">
        <v>=</v>
      </c>
      <c r="N11971">
        <f>J11971+L11971</f>
        <v>2.242</v>
      </c>
      <c r="O11971" t="str">
        <v>+</v>
      </c>
      <c r="P11971">
        <f>D11971-D11972</f>
        <v>0</v>
      </c>
      <c r="Q11971" t="str">
        <v>x</v>
      </c>
      <c r="R11971">
        <f>IF(P11971&gt;0,$F$18*F11971/1000,0)</f>
        <v>0</v>
      </c>
      <c r="S11971" t="str">
        <v>)</v>
      </c>
      <c r="T11971" t="str">
        <v>x</v>
      </c>
      <c r="U11971">
        <f>0.006165*F11971^2</f>
        <v>1.57824</v>
      </c>
      <c r="X11971" t="str">
        <v>x</v>
      </c>
      <c r="Y11971">
        <f>D11970</f>
        <v>1</v>
      </c>
      <c r="Z11971" t="str">
        <v>=</v>
      </c>
      <c r="AA11971">
        <f>IF(AA11974=0,(D11971*N11971+P11971*R11971)*U11971*Y11971,0)</f>
        <v>0</v>
      </c>
    </row>
    <row r="11972">
      <c r="A11972" t="str">
        <f>A11964</f>
        <v>Lantai Atap</v>
      </c>
      <c r="B11972">
        <f>B11964</f>
        <v>58</v>
      </c>
      <c r="C11972" t="str">
        <v>Tul Atas Lapangan</v>
      </c>
      <c r="D11972">
        <f>VLOOKUP(D11964,'Detail Balok'!$C$10:$AU$110,7,FALSE)</f>
        <v>2</v>
      </c>
      <c r="E11972" t="str">
        <v>D</v>
      </c>
      <c r="F11972">
        <f>VLOOKUP(D11964,'Detail Balok'!$C$10:$AU$110,9,FALSE)</f>
        <v>16</v>
      </c>
      <c r="I11972" t="str">
        <v>(</v>
      </c>
      <c r="J11972">
        <f>+D11966/2/1000</f>
        <v>4.1</v>
      </c>
      <c r="K11972" t="str">
        <v>+</v>
      </c>
      <c r="M11972" t="str">
        <v>=</v>
      </c>
      <c r="N11972">
        <f>J11972+L11972</f>
        <v>4.1</v>
      </c>
      <c r="O11972" t="str">
        <v>+</v>
      </c>
      <c r="P11972">
        <f>MAX(D11972-D11971,D11972-D11973)</f>
        <v>0</v>
      </c>
      <c r="Q11972" t="str">
        <v>x</v>
      </c>
      <c r="R11972">
        <f>IF(P11972&gt;0,2*(1-2*$F$19-1/2)*D11967/1000,0)</f>
        <v>0</v>
      </c>
      <c r="S11972" t="str">
        <v>)</v>
      </c>
      <c r="T11972" t="str">
        <v>x</v>
      </c>
      <c r="U11972">
        <f>0.006165*F11972^2</f>
        <v>1.57824</v>
      </c>
      <c r="X11972" t="str">
        <v>x</v>
      </c>
      <c r="Y11972">
        <f>D11970</f>
        <v>1</v>
      </c>
      <c r="Z11972" t="str">
        <v>=</v>
      </c>
      <c r="AA11972">
        <f>IF(AA11974=0,(D11972*N11972+P11972*R11972)*U11972*Y11972,0)</f>
        <v>0</v>
      </c>
    </row>
    <row r="11973">
      <c r="A11973" t="str">
        <f>A11964</f>
        <v>Lantai Atap</v>
      </c>
      <c r="B11973">
        <f>B11964</f>
        <v>58</v>
      </c>
      <c r="C11973" t="str">
        <v>Tul Atas Tumpuan</v>
      </c>
      <c r="D11973">
        <f>VLOOKUP(D11964,'Detail Balok'!$C$10:$AU$110,10,FALSE)</f>
        <v>2</v>
      </c>
      <c r="E11973" t="str">
        <v>D</v>
      </c>
      <c r="F11973">
        <f>VLOOKUP(D11964,'Detail Balok'!$C$10:$AU$110,12,FALSE)</f>
        <v>16</v>
      </c>
      <c r="I11973" t="str">
        <v>(</v>
      </c>
      <c r="J11973">
        <f>+D11966/4/1000</f>
        <v>2.05</v>
      </c>
      <c r="K11973" t="str">
        <v>+</v>
      </c>
      <c r="L11973">
        <f>MAX(VLOOKUP(F11973,N$6:P$15,3,FALSE)/1000,2/3*D11968/1000)+F$16*F11973/1000</f>
        <v>0.192</v>
      </c>
      <c r="M11973" t="str">
        <v>=</v>
      </c>
      <c r="N11973">
        <f>J11973+L11973</f>
        <v>2.242</v>
      </c>
      <c r="O11973" t="str">
        <v>+</v>
      </c>
      <c r="P11973">
        <f>D11973-D11972</f>
        <v>0</v>
      </c>
      <c r="Q11973" t="str">
        <v>x</v>
      </c>
      <c r="R11973">
        <f>IF(P11973&gt;0,$F$18*F11973/1000,0)</f>
        <v>0</v>
      </c>
      <c r="S11973" t="str">
        <v>)</v>
      </c>
      <c r="T11973" t="str">
        <v>x</v>
      </c>
      <c r="U11973">
        <f>0.006165*F11973^2</f>
        <v>1.57824</v>
      </c>
      <c r="X11973" t="str">
        <v>x</v>
      </c>
      <c r="Y11973">
        <f>D11970</f>
        <v>1</v>
      </c>
      <c r="Z11973" t="str">
        <v>=</v>
      </c>
      <c r="AA11973">
        <f>IF(AA11974=0,(D11973*N11973+P11973*R11973)*U11973*Y11973,0)</f>
        <v>0</v>
      </c>
    </row>
    <row r="11974">
      <c r="A11974" t="str">
        <f>A11964</f>
        <v>Lantai Atap</v>
      </c>
      <c r="B11974">
        <f>B11964</f>
        <v>58</v>
      </c>
      <c r="D11974">
        <f>IF(AND(D11971=D11972,D11972=D11973,D11971=D11973),D11971,0)</f>
        <v>2</v>
      </c>
      <c r="E11974" t="str">
        <v>D</v>
      </c>
      <c r="F11974">
        <f>IF(AND(F11971=F11972,F11971=F11973,F11972=F11973),F11971,0)</f>
        <v>16</v>
      </c>
      <c r="L11974" t="str">
        <v>Total panjang per balok</v>
      </c>
      <c r="M11974" t="str">
        <v>=</v>
      </c>
      <c r="N11974">
        <f>IF(AND(D11971=D11972,D11971=D11973,D11972=D11973,F11971=F11972,F11971=F11973,F11972=F11973),SUM(N11971:N11973),0)</f>
        <v>8.584</v>
      </c>
      <c r="O11974" t="str">
        <v>+</v>
      </c>
      <c r="P11974">
        <f>IF(N11974&gt;12,ROUNDDOWN(N11974/12,0),0)</f>
        <v>0</v>
      </c>
      <c r="Q11974" t="str">
        <v>x</v>
      </c>
      <c r="R11974">
        <f>IF(P11974&gt;0,MAX(VLOOKUP(F11974,$D$6:$G$15,3,FALSE),600),0)/1000</f>
        <v>0</v>
      </c>
      <c r="T11974" t="str">
        <v>x</v>
      </c>
      <c r="U11974">
        <f>U11973</f>
        <v>1.57824</v>
      </c>
      <c r="V11974" t="str">
        <v>x</v>
      </c>
      <c r="W11974">
        <f>D11974</f>
        <v>2</v>
      </c>
      <c r="X11974" t="str">
        <v>x</v>
      </c>
      <c r="Y11974">
        <f>Y11973</f>
        <v>1</v>
      </c>
      <c r="Z11974" t="str">
        <v>=</v>
      </c>
      <c r="AA11974">
        <f>(N11974+P11974*R11974/1000)*U11974*W11974*Y11974</f>
        <v>27.09522432</v>
      </c>
    </row>
    <row r="11976">
      <c r="A11976" t="str">
        <f>A11964</f>
        <v>Lantai Atap</v>
      </c>
      <c r="B11976">
        <f>B11964</f>
        <v>58</v>
      </c>
      <c r="C11976" t="str">
        <v>Tul Peminggang</v>
      </c>
      <c r="D11976">
        <f>VLOOKUP(D11964,'Detail Balok'!$C$10:$AU$110,13,FALSE)</f>
        <v>0</v>
      </c>
      <c r="E11976" t="str">
        <v>D</v>
      </c>
      <c r="F11976">
        <f>VLOOKUP(D11964,'Detail Balok'!$C$10:$AU$110,15,FALSE)</f>
        <v>6</v>
      </c>
      <c r="J11976">
        <f>+D11966/1000</f>
        <v>8.2</v>
      </c>
      <c r="K11976" t="str">
        <v>+</v>
      </c>
      <c r="L11976">
        <f>2*$F$16*F11976/1000</f>
        <v>0.144</v>
      </c>
      <c r="M11976" t="str">
        <v>=</v>
      </c>
      <c r="N11976">
        <f>J11976+L11976</f>
        <v>8.344</v>
      </c>
      <c r="O11976" t="str">
        <v>+</v>
      </c>
      <c r="P11976">
        <f>IF(N11976&gt;12,ROUNDDOWN(N11976/12,0),0)</f>
        <v>0</v>
      </c>
      <c r="Q11976" t="str">
        <v>x</v>
      </c>
      <c r="R11976">
        <f>IF(P11976&gt;0,MAX(VLOOKUP(F11976,$D$6:$G$15,3,FALSE),600),0)/1000</f>
        <v>0</v>
      </c>
      <c r="T11976" t="str">
        <v>x</v>
      </c>
      <c r="U11976">
        <f>0.006165*F11976^2</f>
        <v>0.22194000000000003</v>
      </c>
      <c r="V11976" t="str">
        <v>x</v>
      </c>
      <c r="W11976">
        <f>+D11976</f>
        <v>0</v>
      </c>
      <c r="X11976" t="str">
        <v>x</v>
      </c>
      <c r="Y11976">
        <f>D11970</f>
        <v>1</v>
      </c>
      <c r="Z11976" t="str">
        <v>=</v>
      </c>
      <c r="AA11976">
        <f>(N11976+P11976*R11976/1000)*U11976*W11976*Y11976</f>
        <v>0</v>
      </c>
    </row>
    <row r="11979">
      <c r="A11979" t="str">
        <f>A11964</f>
        <v>Lantai Atap</v>
      </c>
      <c r="B11979">
        <f>B11964</f>
        <v>58</v>
      </c>
      <c r="C11979" t="str">
        <v>Tul Bawah Tumpuan</v>
      </c>
      <c r="D11979">
        <f>VLOOKUP(D11964,'Detail Balok'!$C$10:$AU$110,22,FALSE)</f>
        <v>2</v>
      </c>
      <c r="E11979" t="str">
        <v>D</v>
      </c>
      <c r="F11979">
        <f>VLOOKUP(D11964,'Detail Balok'!$C$10:$AU$110,24,FALSE)</f>
        <v>16</v>
      </c>
      <c r="I11979" t="str">
        <v>(</v>
      </c>
      <c r="J11979">
        <f>+J11971</f>
        <v>2.05</v>
      </c>
      <c r="K11979" t="str">
        <v>+</v>
      </c>
      <c r="L11979">
        <f>MAX(VLOOKUP(F11979,N$6:P$15,3,FALSE)/1000,2/3*D11969/1000)+F$16*F11979/1000</f>
        <v>0.192</v>
      </c>
      <c r="M11979" t="str">
        <v>=</v>
      </c>
      <c r="N11979">
        <f>J11979+L11979</f>
        <v>2.242</v>
      </c>
      <c r="O11979" t="str">
        <v>+</v>
      </c>
      <c r="P11979">
        <f>D11979-D11980</f>
        <v>0</v>
      </c>
      <c r="Q11979" t="str">
        <v>x</v>
      </c>
      <c r="R11979">
        <f>IF(P11979&gt;0,$F$18*F11979/1000,0)</f>
        <v>0</v>
      </c>
      <c r="S11979" t="str">
        <v>)</v>
      </c>
      <c r="T11979" t="str">
        <v>x</v>
      </c>
      <c r="U11979">
        <f>0.006165*F11979^2</f>
        <v>1.57824</v>
      </c>
      <c r="X11979" t="str">
        <v>x</v>
      </c>
      <c r="Y11979">
        <f>D11970</f>
        <v>1</v>
      </c>
      <c r="Z11979" t="str">
        <v>=</v>
      </c>
      <c r="AA11979">
        <f>IF(AA11982=0,(D11979*N11979+P11979*R11979)*U11979*Y11979,0)</f>
        <v>0</v>
      </c>
    </row>
    <row r="11980">
      <c r="A11980" t="str">
        <f>A11964</f>
        <v>Lantai Atap</v>
      </c>
      <c r="B11980">
        <f>B11964</f>
        <v>58</v>
      </c>
      <c r="C11980" t="str">
        <v>Tul Bawah Lapangan</v>
      </c>
      <c r="D11980">
        <f>VLOOKUP(D11964,'Detail Balok'!$C$10:$AU$110,25,FALSE)</f>
        <v>2</v>
      </c>
      <c r="E11980" t="str">
        <v>D</v>
      </c>
      <c r="F11980">
        <f>VLOOKUP(D11964,'Detail Balok'!$C$10:$AU$110,27,FALSE)</f>
        <v>16</v>
      </c>
      <c r="I11980" t="str">
        <v>(</v>
      </c>
      <c r="J11980">
        <f>+J11972</f>
        <v>4.1</v>
      </c>
      <c r="K11980" t="str">
        <v>+</v>
      </c>
      <c r="M11980" t="str">
        <v>=</v>
      </c>
      <c r="N11980">
        <f>J11980+L11980</f>
        <v>4.1</v>
      </c>
      <c r="O11980" t="str">
        <v>+</v>
      </c>
      <c r="P11980">
        <f>MAX(D11980-D11979,D11980-D11981)</f>
        <v>0</v>
      </c>
      <c r="Q11980" t="str">
        <v>x</v>
      </c>
      <c r="R11980">
        <f>IF(P11980&gt;0,2*(1-2*$F$19-1/2)*D11967/1000,0)</f>
        <v>0</v>
      </c>
      <c r="S11980" t="str">
        <v>)</v>
      </c>
      <c r="T11980" t="str">
        <v>x</v>
      </c>
      <c r="U11980">
        <f>0.006165*F11980^2</f>
        <v>1.57824</v>
      </c>
      <c r="X11980" t="str">
        <v>x</v>
      </c>
      <c r="Y11980">
        <f>D11970</f>
        <v>1</v>
      </c>
      <c r="Z11980" t="str">
        <v>=</v>
      </c>
      <c r="AA11980">
        <f>IF(AA11982=0,(D11980*N11980+P11980*R11980)*U11980*Y11980,0)</f>
        <v>0</v>
      </c>
    </row>
    <row r="11981">
      <c r="A11981" t="str">
        <f>A11964</f>
        <v>Lantai Atap</v>
      </c>
      <c r="B11981">
        <f>B11964</f>
        <v>58</v>
      </c>
      <c r="C11981" t="str">
        <v>Tul Bawah Tumpuan</v>
      </c>
      <c r="D11981">
        <f>VLOOKUP(D11964,'Detail Balok'!$C$10:$AU$110,28,FALSE)</f>
        <v>2</v>
      </c>
      <c r="E11981" t="str">
        <v>D</v>
      </c>
      <c r="F11981">
        <f>VLOOKUP(D11964,'Detail Balok'!$C$10:$AU$110,30,FALSE)</f>
        <v>16</v>
      </c>
      <c r="I11981" t="str">
        <v>(</v>
      </c>
      <c r="J11981">
        <f>+J11973</f>
        <v>2.05</v>
      </c>
      <c r="K11981" t="str">
        <v>+</v>
      </c>
      <c r="L11981">
        <f>MAX(VLOOKUP(F11981,N$6:P$15,3,FALSE)/1000,2/3*D11969/1000)+F$16*F11981/1000</f>
        <v>0.192</v>
      </c>
      <c r="M11981" t="str">
        <v>=</v>
      </c>
      <c r="N11981">
        <f>J11981+L11981</f>
        <v>2.242</v>
      </c>
      <c r="O11981" t="str">
        <v>+</v>
      </c>
      <c r="P11981">
        <f>D11981-D11980</f>
        <v>0</v>
      </c>
      <c r="Q11981" t="str">
        <v>x</v>
      </c>
      <c r="R11981">
        <f>IF(P11981&gt;0,$F$18*F11981/1000,0)</f>
        <v>0</v>
      </c>
      <c r="S11981" t="str">
        <v>)</v>
      </c>
      <c r="T11981" t="str">
        <v>x</v>
      </c>
      <c r="U11981">
        <f>0.006165*F11981^2</f>
        <v>1.57824</v>
      </c>
      <c r="X11981" t="str">
        <v>x</v>
      </c>
      <c r="Y11981">
        <f>D11970</f>
        <v>1</v>
      </c>
      <c r="Z11981" t="str">
        <v>=</v>
      </c>
      <c r="AA11981">
        <f>IF(AA11982=0,(D11981*N11981+P11981*R11981)*U11981*Y11981,0)</f>
        <v>0</v>
      </c>
    </row>
    <row r="11982">
      <c r="A11982" t="str">
        <f>A11964</f>
        <v>Lantai Atap</v>
      </c>
      <c r="B11982">
        <f>B11964</f>
        <v>58</v>
      </c>
      <c r="D11982">
        <f>IF(AND(D11979=D11980,D11980=D11981,D11979=D11981),D11979,0)</f>
        <v>2</v>
      </c>
      <c r="E11982" t="str">
        <v>D</v>
      </c>
      <c r="F11982">
        <f>IF(AND(F11979=F11980,F11979=F11981,F11980=F11981),F11979,0)</f>
        <v>16</v>
      </c>
      <c r="L11982" t="str">
        <v>Total panjang per balok</v>
      </c>
      <c r="M11982" t="str">
        <v>=</v>
      </c>
      <c r="N11982">
        <f>IF(AND(D11979=D11980,D11979=D11981,D11980=D11981,F11979=F11980,F11979=F11981,F11980=F11981),SUM(N11979:N11981),0)</f>
        <v>8.584</v>
      </c>
      <c r="O11982" t="str">
        <v>+</v>
      </c>
      <c r="P11982">
        <f>IF(N11982&gt;12,ROUNDDOWN(N11982/12,0),0)</f>
        <v>0</v>
      </c>
      <c r="Q11982" t="str">
        <v>x</v>
      </c>
      <c r="R11982">
        <f>IF(P11982&gt;0,MAX(VLOOKUP(F11982,$D$6:$G$15,3,FALSE),600),0)/1000</f>
        <v>0</v>
      </c>
      <c r="T11982" t="str">
        <v>x</v>
      </c>
      <c r="U11982">
        <f>U11981</f>
        <v>1.57824</v>
      </c>
      <c r="V11982" t="str">
        <v>x</v>
      </c>
      <c r="W11982">
        <f>D11982</f>
        <v>2</v>
      </c>
      <c r="X11982" t="str">
        <v>x</v>
      </c>
      <c r="Y11982">
        <f>Y11981</f>
        <v>1</v>
      </c>
      <c r="Z11982" t="str">
        <v>=</v>
      </c>
      <c r="AA11982">
        <f>(N11982+P11982*R11982/1000)*U11982*W11982*Y11982</f>
        <v>27.09522432</v>
      </c>
    </row>
    <row r="11984">
      <c r="A11984" t="str">
        <f>A11964</f>
        <v>Lantai Atap</v>
      </c>
      <c r="B11984">
        <f>B11964</f>
        <v>58</v>
      </c>
      <c r="C11984" t="str">
        <v>Sengkang Tumpuan</v>
      </c>
      <c r="D11984">
        <f>VLOOKUP(D11964,'Detail Balok'!$C$10:$AU$110,31,FALSE)</f>
        <v>0</v>
      </c>
      <c r="E11984" t="str">
        <v>D</v>
      </c>
      <c r="F11984">
        <f>VLOOKUP(D11964,'Detail Balok'!$C$10:$AU$110,33,FALSE)</f>
        <v>8</v>
      </c>
      <c r="G11984" t="str">
        <v>-</v>
      </c>
      <c r="H11984">
        <f>VLOOKUP(D11964,'Detail Balok'!$C$10:$AU$110,35,FALSE)</f>
        <v>100</v>
      </c>
      <c r="J11984">
        <f>(IF(D11984=0,(2*(D11965+G11965))-(F$5*8),IF(D11984=3,(2*(D11965+G11965))-(F$5*8)+(G11965-2*F$5),IF(D11984=4,(2*(D11965+G11965))-(F$5*8)+2*(G11965-2*F$5)))))/1000</f>
        <v>0.88</v>
      </c>
      <c r="K11984" t="str">
        <v>+</v>
      </c>
      <c r="L11984">
        <f>IF(D11984=0,2*MAX(6*F11984,75),(D11984-1)*2*MAX(6*F11984,75))/1000</f>
        <v>0.15</v>
      </c>
      <c r="M11984" t="str">
        <v>=</v>
      </c>
      <c r="N11984">
        <f>J11984+L11984</f>
        <v>1.03</v>
      </c>
      <c r="T11984" t="str">
        <v>x</v>
      </c>
      <c r="U11984">
        <f>0.006165*F11984^2</f>
        <v>0.39456</v>
      </c>
      <c r="V11984" t="str">
        <v>x</v>
      </c>
      <c r="W11984">
        <f>IF(D11967&gt;4*G11965,ROUND(MAX(D11967/4,2*G11965)/H11984,0)+1,ROUND(D11967/H11984,0)+1)</f>
        <v>22</v>
      </c>
      <c r="X11984" t="str">
        <v>x</v>
      </c>
      <c r="Y11984">
        <f>D11970</f>
        <v>1</v>
      </c>
      <c r="Z11984" t="str">
        <v>=</v>
      </c>
      <c r="AA11984">
        <f>N11984*U11984*W11984*Y11984</f>
        <v>8.940729600000001</v>
      </c>
    </row>
    <row r="11985">
      <c r="A11985" t="str">
        <f>A11964</f>
        <v>Lantai Atap</v>
      </c>
      <c r="B11985">
        <f>B11964</f>
        <v>58</v>
      </c>
      <c r="C11985" t="str">
        <v>Sengkang Lapangan</v>
      </c>
      <c r="D11985">
        <f>VLOOKUP(D11964,'Detail Balok'!$C$10:$AU$110,36,FALSE)</f>
        <v>0</v>
      </c>
      <c r="E11985" t="str">
        <v>D</v>
      </c>
      <c r="F11985">
        <f>VLOOKUP(D11964,'Detail Balok'!$C$10:$AU$110,38,FALSE)</f>
        <v>8</v>
      </c>
      <c r="G11985" t="str">
        <v>-</v>
      </c>
      <c r="H11985">
        <f>VLOOKUP(D11964,'Detail Balok'!$C$10:$AU$110,40,FALSE)</f>
        <v>200</v>
      </c>
      <c r="J11985">
        <f>(IF(D11985=0,(2*(D11965+G11965))-(F$5*8),IF(D11985=3,(2*(D11965+G11965))-(F$5*8)+(G11965-2*F$5),IF(D11985=4,(2*(D11965+G11965))-(F$5*8)+2*(G11965-2*F$5)))))/1000</f>
        <v>0.88</v>
      </c>
      <c r="K11985" t="str">
        <v>+</v>
      </c>
      <c r="L11985">
        <f>IF(D11985=0,2*MAX(6*F11985,75),(D11985-1)*2*MAX(6*F11985,75))/1000</f>
        <v>0.15</v>
      </c>
      <c r="M11985" t="str">
        <v>=</v>
      </c>
      <c r="N11985">
        <f>J11985+L11985</f>
        <v>1.03</v>
      </c>
      <c r="T11985" t="str">
        <v>x</v>
      </c>
      <c r="U11985">
        <f>0.006165*F11985^2</f>
        <v>0.39456</v>
      </c>
      <c r="V11985" t="str">
        <v>x</v>
      </c>
      <c r="W11985">
        <f>IF(D11967-MAX(D11967/4,2*G11965)*2&gt;0,ROUND((D11967-MAX(D11967/4,2*G11965)*2)/H11985,0),0)</f>
        <v>21</v>
      </c>
      <c r="X11985" t="str">
        <v>x</v>
      </c>
      <c r="Y11985">
        <f>D11970</f>
        <v>1</v>
      </c>
      <c r="Z11985" t="str">
        <v>=</v>
      </c>
      <c r="AA11985">
        <f>N11985*U11985*W11985*Y11985</f>
        <v>8.534332800000001</v>
      </c>
    </row>
    <row r="11986">
      <c r="A11986" t="str">
        <f>A11964</f>
        <v>Lantai Atap</v>
      </c>
      <c r="B11986">
        <f>B11964</f>
        <v>58</v>
      </c>
      <c r="C11986" t="str">
        <v>Sengkang Tumpuan</v>
      </c>
      <c r="D11986">
        <f>VLOOKUP(D11964,'Detail Balok'!$C$10:$AU$110,41,FALSE)</f>
        <v>0</v>
      </c>
      <c r="E11986" t="str">
        <v>D</v>
      </c>
      <c r="F11986">
        <f>VLOOKUP(D11964,'Detail Balok'!$C$10:$AU$110,43,FALSE)</f>
        <v>8</v>
      </c>
      <c r="G11986" t="str">
        <v>-</v>
      </c>
      <c r="H11986">
        <f>VLOOKUP(D11964,'Detail Balok'!$C$10:$AU$110,45,FALSE)</f>
        <v>100</v>
      </c>
      <c r="J11986">
        <f>(IF(D11986=0,(2*(D11965+G11965))-(F$5*8),IF(D11986=3,(2*(D11965+G11965))-(F$5*8)+(G11965-2*F$5),IF(D11986=4,(2*(D11965+G11965))-(F$5*8)+2*(G11965-2*F$5)))))/1000</f>
        <v>0.88</v>
      </c>
      <c r="K11986" t="str">
        <v>+</v>
      </c>
      <c r="L11986">
        <f>IF(D11986=0,2*MAX(6*F11986,75),(D11986-1)*2*MAX(6*F11986,75))/1000</f>
        <v>0.15</v>
      </c>
      <c r="M11986" t="str">
        <v>=</v>
      </c>
      <c r="N11986">
        <f>J11986+L11986</f>
        <v>1.03</v>
      </c>
      <c r="T11986" t="str">
        <v>x</v>
      </c>
      <c r="U11986">
        <f>0.006165*F11986^2</f>
        <v>0.39456</v>
      </c>
      <c r="V11986" t="str">
        <v>x</v>
      </c>
      <c r="W11986">
        <f>IF(D11967&gt;4*G11965,ROUND(MAX(D11967/4,2*G11965)/H11986,0)+1,0)</f>
        <v>22</v>
      </c>
      <c r="X11986" t="str">
        <v>x</v>
      </c>
      <c r="Y11986">
        <f>D11970</f>
        <v>1</v>
      </c>
      <c r="Z11986" t="str">
        <v>=</v>
      </c>
      <c r="AA11986">
        <f>N11986*U11986*W11986*Y11986</f>
        <v>8.940729600000001</v>
      </c>
    </row>
    <row r="11988">
      <c r="A11988" t="str">
        <f>A11964</f>
        <v>Lantai Atap</v>
      </c>
      <c r="B11988">
        <f>B11964</f>
        <v>58</v>
      </c>
      <c r="C11988" t="str">
        <v>Kait Horizontal Tump.</v>
      </c>
      <c r="D11988">
        <f>VLOOKUP(D11964,'Detail Balok'!$C$10:$BJ$110,46,FALSE)</f>
        <v>0</v>
      </c>
      <c r="E11988" t="str">
        <v>D</v>
      </c>
      <c r="F11988">
        <f>VLOOKUP(D11964,'Detail Balok'!$C$10:$BJ$110,48,FALSE)</f>
        <v>0</v>
      </c>
      <c r="G11988" t="str">
        <v>-</v>
      </c>
      <c r="H11988">
        <f>VLOOKUP(D11964,'Detail Balok'!$C$10:$BJ$110,50,FALSE)</f>
        <v>100</v>
      </c>
      <c r="J11988">
        <f>(D11965-2*F$5)/1000</f>
        <v>0.12</v>
      </c>
      <c r="K11988" t="str">
        <v>+</v>
      </c>
      <c r="L11988">
        <f>IF(D11988=0,2*MAX(6*F11988,75),(D11988-1)*2*MAX(6*F11988,75))/1000</f>
        <v>0.15</v>
      </c>
      <c r="M11988" t="str">
        <v>=</v>
      </c>
      <c r="N11988">
        <f>J11988+L11988</f>
        <v>0.27</v>
      </c>
      <c r="T11988" t="str">
        <v>x</v>
      </c>
      <c r="U11988">
        <f>0.006165*F11988^2</f>
        <v>0</v>
      </c>
      <c r="V11988" t="str">
        <v>x</v>
      </c>
      <c r="W11988">
        <f>W11984</f>
        <v>22</v>
      </c>
      <c r="X11988" t="str">
        <v>x</v>
      </c>
      <c r="Y11988">
        <f>D11974</f>
        <v>2</v>
      </c>
      <c r="Z11988" t="str">
        <v>=</v>
      </c>
      <c r="AA11988">
        <f>N11988*U11988*W11988*Y11988</f>
        <v>0</v>
      </c>
    </row>
    <row r="11989">
      <c r="A11989" t="str">
        <f>A11964</f>
        <v>Lantai Atap</v>
      </c>
      <c r="B11989">
        <f>B11964</f>
        <v>58</v>
      </c>
      <c r="C11989" t="str">
        <v>Kait Horizontal Lap.</v>
      </c>
      <c r="D11989">
        <f>VLOOKUP(D11964,'Detail Balok'!$C$10:$BJ$110,51,FALSE)</f>
        <v>0</v>
      </c>
      <c r="E11989" t="str">
        <v>D</v>
      </c>
      <c r="F11989">
        <f>VLOOKUP(D11964,'Detail Balok'!$C$10:$BJ$110,53,FALSE)</f>
        <v>0</v>
      </c>
      <c r="G11989" t="str">
        <v>-</v>
      </c>
      <c r="H11989">
        <f>VLOOKUP(D11964,'Detail Balok'!$C$10:$BJ$110,55,FALSE)</f>
        <v>100</v>
      </c>
      <c r="J11989">
        <f>(D11965-2*F$5)/1000</f>
        <v>0.12</v>
      </c>
      <c r="K11989" t="str">
        <v>+</v>
      </c>
      <c r="L11989">
        <f>IF(D11989=0,2*MAX(6*F11989,75),(D11989-1)*2*MAX(6*F11989,75))/1000</f>
        <v>0.15</v>
      </c>
      <c r="M11989" t="str">
        <v>=</v>
      </c>
      <c r="N11989">
        <f>J11989+L11989</f>
        <v>0.27</v>
      </c>
      <c r="T11989" t="str">
        <v>x</v>
      </c>
      <c r="U11989">
        <f>0.006165*F11989^2</f>
        <v>0</v>
      </c>
      <c r="V11989" t="str">
        <v>x</v>
      </c>
      <c r="W11989">
        <f>W11985</f>
        <v>21</v>
      </c>
      <c r="X11989" t="str">
        <v>x</v>
      </c>
      <c r="Y11989">
        <f>D11974</f>
        <v>2</v>
      </c>
      <c r="Z11989" t="str">
        <v>=</v>
      </c>
      <c r="AA11989">
        <f>N11989*U11989*W11989*Y11989</f>
        <v>0</v>
      </c>
    </row>
    <row r="11990">
      <c r="A11990" t="str">
        <f>A11964</f>
        <v>Lantai Atap</v>
      </c>
      <c r="B11990">
        <f>B11964</f>
        <v>58</v>
      </c>
      <c r="C11990" t="str">
        <v>Kait Horizontal Tump.</v>
      </c>
      <c r="D11990">
        <f>VLOOKUP(D11964,'Detail Balok'!$C$10:$BJ$110,56,FALSE)</f>
        <v>0</v>
      </c>
      <c r="E11990" t="str">
        <v>D</v>
      </c>
      <c r="F11990">
        <f>VLOOKUP(D11964,'Detail Balok'!$C$10:$BJ$110,58,FALSE)</f>
        <v>0</v>
      </c>
      <c r="G11990" t="str">
        <v>-</v>
      </c>
      <c r="H11990">
        <f>VLOOKUP(D11964,'Detail Balok'!$C$10:$BJ$110,60,FALSE)</f>
        <v>100</v>
      </c>
      <c r="J11990">
        <f>(D11965-2*F$5)/1000</f>
        <v>0.12</v>
      </c>
      <c r="K11990" t="str">
        <v>+</v>
      </c>
      <c r="L11990">
        <f>IF(D11990=0,2*MAX(6*F11990,75),(D11990-1)*2*MAX(6*F11990,75))/1000</f>
        <v>0.15</v>
      </c>
      <c r="M11990" t="str">
        <v>=</v>
      </c>
      <c r="N11990">
        <f>J11990+L11990</f>
        <v>0.27</v>
      </c>
      <c r="T11990" t="str">
        <v>x</v>
      </c>
      <c r="U11990">
        <f>0.006165*F11990^2</f>
        <v>0</v>
      </c>
      <c r="V11990" t="str">
        <v>x</v>
      </c>
      <c r="W11990">
        <f>W11986</f>
        <v>22</v>
      </c>
      <c r="X11990" t="str">
        <v>x</v>
      </c>
      <c r="Y11990">
        <f>D11974</f>
        <v>2</v>
      </c>
      <c r="Z11990" t="str">
        <v>=</v>
      </c>
      <c r="AA11990">
        <f>N11990*U11990*W11990*Y11990</f>
        <v>0</v>
      </c>
    </row>
    <row r="11994">
      <c r="A11994" t="str">
        <f>A11964</f>
        <v>Lantai Atap</v>
      </c>
      <c r="B11994">
        <f>B11964+1</f>
        <v>59</v>
      </c>
      <c r="C11994" t="str">
        <f>CONCATENATE(A11994," no. ",B11994)</f>
        <v>Lantai Atap no. 59</v>
      </c>
      <c r="D11994" t="str">
        <f>VLOOKUP(C11994,'Data Panjang Balok'!$C$9:$N$424,2,FALSE)</f>
        <v>B245-3</v>
      </c>
    </row>
    <row r="11995">
      <c r="C11995" t="str">
        <v>Dimensi</v>
      </c>
      <c r="D11995">
        <f>VLOOKUP(D11994,'Detail Balok'!$C$10:$AU$110,2,FALSE)</f>
        <v>200</v>
      </c>
      <c r="F11995" t="str">
        <v>x</v>
      </c>
      <c r="G11995">
        <f>VLOOKUP(D11994,'Detail Balok'!$C$10:$AU$110,3,FALSE)</f>
        <v>450</v>
      </c>
    </row>
    <row r="11996">
      <c r="C11996" t="str">
        <v>Panjang as ke as</v>
      </c>
      <c r="D11996">
        <f>VLOOKUP(C11994,'Data Panjang Balok'!$C$9:$N$424,4,FALSE)</f>
        <v>3100</v>
      </c>
    </row>
    <row r="11997">
      <c r="C11997" t="str">
        <v>Panjang netto</v>
      </c>
      <c r="D11997">
        <f>VLOOKUP(C11994,'Data Panjang Balok'!$C$9:$N$424,7,FALSE)</f>
        <v>3100</v>
      </c>
    </row>
    <row r="11998">
      <c r="C11998" t="str">
        <v>Kolom / balok kiri</v>
      </c>
      <c r="D11998">
        <f>VLOOKUP(C11994,'Data Panjang Balok'!$C$9:$N$424,9,FALSE)</f>
        <v>0</v>
      </c>
    </row>
    <row r="11999">
      <c r="C11999" t="str">
        <v>Kolom / balok kanan</v>
      </c>
      <c r="D11999">
        <f>VLOOKUP(C11994,'Data Panjang Balok'!$C$9:$N$424,10,FALSE)</f>
        <v>0</v>
      </c>
    </row>
    <row r="12000">
      <c r="C12000" t="str">
        <v>Jumlah</v>
      </c>
      <c r="D12000">
        <f>VLOOKUP(C11994,'Data Panjang Balok'!$C$9:$N$424,3,FALSE)</f>
        <v>1</v>
      </c>
    </row>
    <row r="12001">
      <c r="A12001" t="str">
        <f>A11994</f>
        <v>Lantai Atap</v>
      </c>
      <c r="B12001">
        <f>B11994</f>
        <v>59</v>
      </c>
      <c r="C12001" t="str">
        <v>Tul Atas Tumpuan</v>
      </c>
      <c r="D12001">
        <f>VLOOKUP(D11994,'Detail Balok'!$C$10:$AU$110,4,FALSE)</f>
        <v>2</v>
      </c>
      <c r="E12001" t="str">
        <v>D</v>
      </c>
      <c r="F12001">
        <f>VLOOKUP(D11994,'Detail Balok'!$C$10:$AU$110,6,FALSE)</f>
        <v>16</v>
      </c>
      <c r="I12001" t="str">
        <v>(</v>
      </c>
      <c r="J12001">
        <f>+D11996/4/1000</f>
        <v>0.775</v>
      </c>
      <c r="K12001" t="str">
        <v>+</v>
      </c>
      <c r="L12001">
        <f>MAX(VLOOKUP(F12001,N$6:P$15,3,FALSE)/1000,2/3*D11998/1000)+F$16*F12001/1000</f>
        <v>0.192</v>
      </c>
      <c r="M12001" t="str">
        <v>=</v>
      </c>
      <c r="N12001">
        <f>J12001+L12001</f>
        <v>0.9670000000000001</v>
      </c>
      <c r="O12001" t="str">
        <v>+</v>
      </c>
      <c r="P12001">
        <f>D12001-D12002</f>
        <v>0</v>
      </c>
      <c r="Q12001" t="str">
        <v>x</v>
      </c>
      <c r="R12001">
        <f>IF(P12001&gt;0,$F$18*F12001/1000,0)</f>
        <v>0</v>
      </c>
      <c r="S12001" t="str">
        <v>)</v>
      </c>
      <c r="T12001" t="str">
        <v>x</v>
      </c>
      <c r="U12001">
        <f>0.006165*F12001^2</f>
        <v>1.57824</v>
      </c>
      <c r="X12001" t="str">
        <v>x</v>
      </c>
      <c r="Y12001">
        <f>D12000</f>
        <v>1</v>
      </c>
      <c r="Z12001" t="str">
        <v>=</v>
      </c>
      <c r="AA12001">
        <f>IF(AA12004=0,(D12001*N12001+P12001*R12001)*U12001*Y12001,0)</f>
        <v>0</v>
      </c>
    </row>
    <row r="12002">
      <c r="A12002" t="str">
        <f>A11994</f>
        <v>Lantai Atap</v>
      </c>
      <c r="B12002">
        <f>B11994</f>
        <v>59</v>
      </c>
      <c r="C12002" t="str">
        <v>Tul Atas Lapangan</v>
      </c>
      <c r="D12002">
        <f>VLOOKUP(D11994,'Detail Balok'!$C$10:$AU$110,7,FALSE)</f>
        <v>2</v>
      </c>
      <c r="E12002" t="str">
        <v>D</v>
      </c>
      <c r="F12002">
        <f>VLOOKUP(D11994,'Detail Balok'!$C$10:$AU$110,9,FALSE)</f>
        <v>16</v>
      </c>
      <c r="I12002" t="str">
        <v>(</v>
      </c>
      <c r="J12002">
        <f>+D11996/2/1000</f>
        <v>1.55</v>
      </c>
      <c r="K12002" t="str">
        <v>+</v>
      </c>
      <c r="M12002" t="str">
        <v>=</v>
      </c>
      <c r="N12002">
        <f>J12002+L12002</f>
        <v>1.55</v>
      </c>
      <c r="O12002" t="str">
        <v>+</v>
      </c>
      <c r="P12002">
        <f>MAX(D12002-D12001,D12002-D12003)</f>
        <v>0</v>
      </c>
      <c r="Q12002" t="str">
        <v>x</v>
      </c>
      <c r="R12002">
        <f>IF(P12002&gt;0,2*(1-2*$F$19-1/2)*D11997/1000,0)</f>
        <v>0</v>
      </c>
      <c r="S12002" t="str">
        <v>)</v>
      </c>
      <c r="T12002" t="str">
        <v>x</v>
      </c>
      <c r="U12002">
        <f>0.006165*F12002^2</f>
        <v>1.57824</v>
      </c>
      <c r="X12002" t="str">
        <v>x</v>
      </c>
      <c r="Y12002">
        <f>D12000</f>
        <v>1</v>
      </c>
      <c r="Z12002" t="str">
        <v>=</v>
      </c>
      <c r="AA12002">
        <f>IF(AA12004=0,(D12002*N12002+P12002*R12002)*U12002*Y12002,0)</f>
        <v>0</v>
      </c>
    </row>
    <row r="12003">
      <c r="A12003" t="str">
        <f>A11994</f>
        <v>Lantai Atap</v>
      </c>
      <c r="B12003">
        <f>B11994</f>
        <v>59</v>
      </c>
      <c r="C12003" t="str">
        <v>Tul Atas Tumpuan</v>
      </c>
      <c r="D12003">
        <f>VLOOKUP(D11994,'Detail Balok'!$C$10:$AU$110,10,FALSE)</f>
        <v>2</v>
      </c>
      <c r="E12003" t="str">
        <v>D</v>
      </c>
      <c r="F12003">
        <f>VLOOKUP(D11994,'Detail Balok'!$C$10:$AU$110,12,FALSE)</f>
        <v>16</v>
      </c>
      <c r="I12003" t="str">
        <v>(</v>
      </c>
      <c r="J12003">
        <f>+D11996/4/1000</f>
        <v>0.775</v>
      </c>
      <c r="K12003" t="str">
        <v>+</v>
      </c>
      <c r="L12003">
        <f>MAX(VLOOKUP(F12003,N$6:P$15,3,FALSE)/1000,2/3*D11998/1000)+F$16*F12003/1000</f>
        <v>0.192</v>
      </c>
      <c r="M12003" t="str">
        <v>=</v>
      </c>
      <c r="N12003">
        <f>J12003+L12003</f>
        <v>0.9670000000000001</v>
      </c>
      <c r="O12003" t="str">
        <v>+</v>
      </c>
      <c r="P12003">
        <f>D12003-D12002</f>
        <v>0</v>
      </c>
      <c r="Q12003" t="str">
        <v>x</v>
      </c>
      <c r="R12003">
        <f>IF(P12003&gt;0,$F$18*F12003/1000,0)</f>
        <v>0</v>
      </c>
      <c r="S12003" t="str">
        <v>)</v>
      </c>
      <c r="T12003" t="str">
        <v>x</v>
      </c>
      <c r="U12003">
        <f>0.006165*F12003^2</f>
        <v>1.57824</v>
      </c>
      <c r="X12003" t="str">
        <v>x</v>
      </c>
      <c r="Y12003">
        <f>D12000</f>
        <v>1</v>
      </c>
      <c r="Z12003" t="str">
        <v>=</v>
      </c>
      <c r="AA12003">
        <f>IF(AA12004=0,(D12003*N12003+P12003*R12003)*U12003*Y12003,0)</f>
        <v>0</v>
      </c>
    </row>
    <row r="12004">
      <c r="A12004" t="str">
        <f>A11994</f>
        <v>Lantai Atap</v>
      </c>
      <c r="B12004">
        <f>B11994</f>
        <v>59</v>
      </c>
      <c r="D12004">
        <f>IF(AND(D12001=D12002,D12002=D12003,D12001=D12003),D12001,0)</f>
        <v>2</v>
      </c>
      <c r="E12004" t="str">
        <v>D</v>
      </c>
      <c r="F12004">
        <f>IF(AND(F12001=F12002,F12001=F12003,F12002=F12003),F12001,0)</f>
        <v>16</v>
      </c>
      <c r="L12004" t="str">
        <v>Total panjang per balok</v>
      </c>
      <c r="M12004" t="str">
        <v>=</v>
      </c>
      <c r="N12004">
        <f>IF(AND(D12001=D12002,D12001=D12003,D12002=D12003,F12001=F12002,F12001=F12003,F12002=F12003),SUM(N12001:N12003),0)</f>
        <v>3.4840000000000004</v>
      </c>
      <c r="O12004" t="str">
        <v>+</v>
      </c>
      <c r="P12004">
        <f>IF(N12004&gt;12,ROUNDDOWN(N12004/12,0),0)</f>
        <v>0</v>
      </c>
      <c r="Q12004" t="str">
        <v>x</v>
      </c>
      <c r="R12004">
        <f>IF(P12004&gt;0,MAX(VLOOKUP(F12004,$D$6:$G$15,3,FALSE),600),0)/1000</f>
        <v>0</v>
      </c>
      <c r="T12004" t="str">
        <v>x</v>
      </c>
      <c r="U12004">
        <f>U12003</f>
        <v>1.57824</v>
      </c>
      <c r="V12004" t="str">
        <v>x</v>
      </c>
      <c r="W12004">
        <f>D12004</f>
        <v>2</v>
      </c>
      <c r="X12004" t="str">
        <v>x</v>
      </c>
      <c r="Y12004">
        <f>Y12003</f>
        <v>1</v>
      </c>
      <c r="Z12004" t="str">
        <v>=</v>
      </c>
      <c r="AA12004">
        <f>(N12004+P12004*R12004/1000)*U12004*W12004*Y12004</f>
        <v>10.997176320000001</v>
      </c>
    </row>
    <row r="12006">
      <c r="A12006" t="str">
        <f>A11994</f>
        <v>Lantai Atap</v>
      </c>
      <c r="B12006">
        <f>B11994</f>
        <v>59</v>
      </c>
      <c r="C12006" t="str">
        <v>Tul Peminggang</v>
      </c>
      <c r="D12006">
        <f>VLOOKUP(D11994,'Detail Balok'!$C$10:$AU$110,13,FALSE)</f>
        <v>2</v>
      </c>
      <c r="E12006" t="str">
        <v>D</v>
      </c>
      <c r="F12006">
        <f>VLOOKUP(D11994,'Detail Balok'!$C$10:$AU$110,15,FALSE)</f>
        <v>10</v>
      </c>
      <c r="J12006">
        <f>+D11996/1000</f>
        <v>3.1</v>
      </c>
      <c r="K12006" t="str">
        <v>+</v>
      </c>
      <c r="L12006">
        <f>2*$F$16*F12006/1000</f>
        <v>0.24</v>
      </c>
      <c r="M12006" t="str">
        <v>=</v>
      </c>
      <c r="N12006">
        <f>J12006+L12006</f>
        <v>3.34</v>
      </c>
      <c r="O12006" t="str">
        <v>+</v>
      </c>
      <c r="P12006">
        <f>IF(N12006&gt;12,ROUNDDOWN(N12006/12,0),0)</f>
        <v>0</v>
      </c>
      <c r="Q12006" t="str">
        <v>x</v>
      </c>
      <c r="R12006">
        <f>IF(P12006&gt;0,MAX(VLOOKUP(F12006,$D$6:$G$15,3,FALSE),600),0)/1000</f>
        <v>0</v>
      </c>
      <c r="T12006" t="str">
        <v>x</v>
      </c>
      <c r="U12006">
        <f>0.006165*F12006^2</f>
        <v>0.6165</v>
      </c>
      <c r="V12006" t="str">
        <v>x</v>
      </c>
      <c r="W12006">
        <f>+D12006</f>
        <v>2</v>
      </c>
      <c r="X12006" t="str">
        <v>x</v>
      </c>
      <c r="Y12006">
        <f>D12000</f>
        <v>1</v>
      </c>
      <c r="Z12006" t="str">
        <v>=</v>
      </c>
      <c r="AA12006">
        <f>(N12006+P12006*R12006/1000)*U12006*W12006*Y12006</f>
        <v>4.11822</v>
      </c>
    </row>
    <row r="12009">
      <c r="A12009" t="str">
        <f>A11994</f>
        <v>Lantai Atap</v>
      </c>
      <c r="B12009">
        <f>B11994</f>
        <v>59</v>
      </c>
      <c r="C12009" t="str">
        <v>Tul Bawah Tumpuan</v>
      </c>
      <c r="D12009">
        <f>VLOOKUP(D11994,'Detail Balok'!$C$10:$AU$110,22,FALSE)</f>
        <v>2</v>
      </c>
      <c r="E12009" t="str">
        <v>D</v>
      </c>
      <c r="F12009">
        <f>VLOOKUP(D11994,'Detail Balok'!$C$10:$AU$110,24,FALSE)</f>
        <v>16</v>
      </c>
      <c r="I12009" t="str">
        <v>(</v>
      </c>
      <c r="J12009">
        <f>+J12001</f>
        <v>0.775</v>
      </c>
      <c r="K12009" t="str">
        <v>+</v>
      </c>
      <c r="L12009">
        <f>MAX(VLOOKUP(F12009,N$6:P$15,3,FALSE)/1000,2/3*D11999/1000)+F$16*F12009/1000</f>
        <v>0.192</v>
      </c>
      <c r="M12009" t="str">
        <v>=</v>
      </c>
      <c r="N12009">
        <f>J12009+L12009</f>
        <v>0.9670000000000001</v>
      </c>
      <c r="O12009" t="str">
        <v>+</v>
      </c>
      <c r="P12009">
        <f>D12009-D12010</f>
        <v>0</v>
      </c>
      <c r="Q12009" t="str">
        <v>x</v>
      </c>
      <c r="R12009">
        <f>IF(P12009&gt;0,$F$18*F12009/1000,0)</f>
        <v>0</v>
      </c>
      <c r="S12009" t="str">
        <v>)</v>
      </c>
      <c r="T12009" t="str">
        <v>x</v>
      </c>
      <c r="U12009">
        <f>0.006165*F12009^2</f>
        <v>1.57824</v>
      </c>
      <c r="X12009" t="str">
        <v>x</v>
      </c>
      <c r="Y12009">
        <f>D12000</f>
        <v>1</v>
      </c>
      <c r="Z12009" t="str">
        <v>=</v>
      </c>
      <c r="AA12009">
        <f>IF(AA12012=0,(D12009*N12009+P12009*R12009)*U12009*Y12009,0)</f>
        <v>0</v>
      </c>
    </row>
    <row r="12010">
      <c r="A12010" t="str">
        <f>A11994</f>
        <v>Lantai Atap</v>
      </c>
      <c r="B12010">
        <f>B11994</f>
        <v>59</v>
      </c>
      <c r="C12010" t="str">
        <v>Tul Bawah Lapangan</v>
      </c>
      <c r="D12010">
        <f>VLOOKUP(D11994,'Detail Balok'!$C$10:$AU$110,25,FALSE)</f>
        <v>2</v>
      </c>
      <c r="E12010" t="str">
        <v>D</v>
      </c>
      <c r="F12010">
        <f>VLOOKUP(D11994,'Detail Balok'!$C$10:$AU$110,27,FALSE)</f>
        <v>16</v>
      </c>
      <c r="I12010" t="str">
        <v>(</v>
      </c>
      <c r="J12010">
        <f>+J12002</f>
        <v>1.55</v>
      </c>
      <c r="K12010" t="str">
        <v>+</v>
      </c>
      <c r="M12010" t="str">
        <v>=</v>
      </c>
      <c r="N12010">
        <f>J12010+L12010</f>
        <v>1.55</v>
      </c>
      <c r="O12010" t="str">
        <v>+</v>
      </c>
      <c r="P12010">
        <f>MAX(D12010-D12009,D12010-D12011)</f>
        <v>0</v>
      </c>
      <c r="Q12010" t="str">
        <v>x</v>
      </c>
      <c r="R12010">
        <f>IF(P12010&gt;0,2*(1-2*$F$19-1/2)*D11997/1000,0)</f>
        <v>0</v>
      </c>
      <c r="S12010" t="str">
        <v>)</v>
      </c>
      <c r="T12010" t="str">
        <v>x</v>
      </c>
      <c r="U12010">
        <f>0.006165*F12010^2</f>
        <v>1.57824</v>
      </c>
      <c r="X12010" t="str">
        <v>x</v>
      </c>
      <c r="Y12010">
        <f>D12000</f>
        <v>1</v>
      </c>
      <c r="Z12010" t="str">
        <v>=</v>
      </c>
      <c r="AA12010">
        <f>IF(AA12012=0,(D12010*N12010+P12010*R12010)*U12010*Y12010,0)</f>
        <v>0</v>
      </c>
    </row>
    <row r="12011">
      <c r="A12011" t="str">
        <f>A11994</f>
        <v>Lantai Atap</v>
      </c>
      <c r="B12011">
        <f>B11994</f>
        <v>59</v>
      </c>
      <c r="C12011" t="str">
        <v>Tul Bawah Tumpuan</v>
      </c>
      <c r="D12011">
        <f>VLOOKUP(D11994,'Detail Balok'!$C$10:$AU$110,28,FALSE)</f>
        <v>2</v>
      </c>
      <c r="E12011" t="str">
        <v>D</v>
      </c>
      <c r="F12011">
        <f>VLOOKUP(D11994,'Detail Balok'!$C$10:$AU$110,30,FALSE)</f>
        <v>16</v>
      </c>
      <c r="I12011" t="str">
        <v>(</v>
      </c>
      <c r="J12011">
        <f>+J12003</f>
        <v>0.775</v>
      </c>
      <c r="K12011" t="str">
        <v>+</v>
      </c>
      <c r="L12011">
        <f>MAX(VLOOKUP(F12011,N$6:P$15,3,FALSE)/1000,2/3*D11999/1000)+F$16*F12011/1000</f>
        <v>0.192</v>
      </c>
      <c r="M12011" t="str">
        <v>=</v>
      </c>
      <c r="N12011">
        <f>J12011+L12011</f>
        <v>0.9670000000000001</v>
      </c>
      <c r="O12011" t="str">
        <v>+</v>
      </c>
      <c r="P12011">
        <f>D12011-D12010</f>
        <v>0</v>
      </c>
      <c r="Q12011" t="str">
        <v>x</v>
      </c>
      <c r="R12011">
        <f>IF(P12011&gt;0,$F$18*F12011/1000,0)</f>
        <v>0</v>
      </c>
      <c r="S12011" t="str">
        <v>)</v>
      </c>
      <c r="T12011" t="str">
        <v>x</v>
      </c>
      <c r="U12011">
        <f>0.006165*F12011^2</f>
        <v>1.57824</v>
      </c>
      <c r="X12011" t="str">
        <v>x</v>
      </c>
      <c r="Y12011">
        <f>D12000</f>
        <v>1</v>
      </c>
      <c r="Z12011" t="str">
        <v>=</v>
      </c>
      <c r="AA12011">
        <f>IF(AA12012=0,(D12011*N12011+P12011*R12011)*U12011*Y12011,0)</f>
        <v>0</v>
      </c>
    </row>
    <row r="12012">
      <c r="A12012" t="str">
        <f>A11994</f>
        <v>Lantai Atap</v>
      </c>
      <c r="B12012">
        <f>B11994</f>
        <v>59</v>
      </c>
      <c r="D12012">
        <f>IF(AND(D12009=D12010,D12010=D12011,D12009=D12011),D12009,0)</f>
        <v>2</v>
      </c>
      <c r="E12012" t="str">
        <v>D</v>
      </c>
      <c r="F12012">
        <f>IF(AND(F12009=F12010,F12009=F12011,F12010=F12011),F12009,0)</f>
        <v>16</v>
      </c>
      <c r="L12012" t="str">
        <v>Total panjang per balok</v>
      </c>
      <c r="M12012" t="str">
        <v>=</v>
      </c>
      <c r="N12012">
        <f>IF(AND(D12009=D12010,D12009=D12011,D12010=D12011,F12009=F12010,F12009=F12011,F12010=F12011),SUM(N12009:N12011),0)</f>
        <v>3.4840000000000004</v>
      </c>
      <c r="O12012" t="str">
        <v>+</v>
      </c>
      <c r="P12012">
        <f>IF(N12012&gt;12,ROUNDDOWN(N12012/12,0),0)</f>
        <v>0</v>
      </c>
      <c r="Q12012" t="str">
        <v>x</v>
      </c>
      <c r="R12012">
        <f>IF(P12012&gt;0,MAX(VLOOKUP(F12012,$D$6:$G$15,3,FALSE),600),0)/1000</f>
        <v>0</v>
      </c>
      <c r="T12012" t="str">
        <v>x</v>
      </c>
      <c r="U12012">
        <f>U12011</f>
        <v>1.57824</v>
      </c>
      <c r="V12012" t="str">
        <v>x</v>
      </c>
      <c r="W12012">
        <f>D12012</f>
        <v>2</v>
      </c>
      <c r="X12012" t="str">
        <v>x</v>
      </c>
      <c r="Y12012">
        <f>Y12011</f>
        <v>1</v>
      </c>
      <c r="Z12012" t="str">
        <v>=</v>
      </c>
      <c r="AA12012">
        <f>(N12012+P12012*R12012/1000)*U12012*W12012*Y12012</f>
        <v>10.997176320000001</v>
      </c>
    </row>
    <row r="12014">
      <c r="A12014" t="str">
        <f>A11994</f>
        <v>Lantai Atap</v>
      </c>
      <c r="B12014">
        <f>B11994</f>
        <v>59</v>
      </c>
      <c r="C12014" t="str">
        <v>Sengkang Tumpuan</v>
      </c>
      <c r="D12014">
        <f>VLOOKUP(D11994,'Detail Balok'!$C$10:$AU$110,31,FALSE)</f>
        <v>0</v>
      </c>
      <c r="E12014" t="str">
        <v>D</v>
      </c>
      <c r="F12014">
        <f>VLOOKUP(D11994,'Detail Balok'!$C$10:$AU$110,33,FALSE)</f>
        <v>10</v>
      </c>
      <c r="G12014" t="str">
        <v>-</v>
      </c>
      <c r="H12014">
        <f>VLOOKUP(D11994,'Detail Balok'!$C$10:$AU$110,35,FALSE)</f>
        <v>90</v>
      </c>
      <c r="J12014">
        <f>(IF(D12014=0,(2*(D11995+G11995))-(F$5*8),IF(D12014=3,(2*(D11995+G11995))-(F$5*8)+(G11995-2*F$5),IF(D12014=4,(2*(D11995+G11995))-(F$5*8)+2*(G11995-2*F$5)))))/1000</f>
        <v>0.98</v>
      </c>
      <c r="K12014" t="str">
        <v>+</v>
      </c>
      <c r="L12014">
        <f>IF(D12014=0,2*MAX(6*F12014,75),(D12014-1)*2*MAX(6*F12014,75))/1000</f>
        <v>0.15</v>
      </c>
      <c r="M12014" t="str">
        <v>=</v>
      </c>
      <c r="N12014">
        <f>J12014+L12014</f>
        <v>1.13</v>
      </c>
      <c r="T12014" t="str">
        <v>x</v>
      </c>
      <c r="U12014">
        <f>0.006165*F12014^2</f>
        <v>0.6165</v>
      </c>
      <c r="V12014" t="str">
        <v>x</v>
      </c>
      <c r="W12014">
        <f>IF(D11997&gt;4*G11995,ROUND(MAX(D11997/4,2*G11995)/H12014,0)+1,ROUND(D11997/H12014,0)+1)</f>
        <v>11</v>
      </c>
      <c r="X12014" t="str">
        <v>x</v>
      </c>
      <c r="Y12014">
        <f>D12000</f>
        <v>1</v>
      </c>
      <c r="Z12014" t="str">
        <v>=</v>
      </c>
      <c r="AA12014">
        <f>N12014*U12014*W12014*Y12014</f>
        <v>7.663094999999999</v>
      </c>
    </row>
    <row r="12015">
      <c r="A12015" t="str">
        <f>A11994</f>
        <v>Lantai Atap</v>
      </c>
      <c r="B12015">
        <f>B11994</f>
        <v>59</v>
      </c>
      <c r="C12015" t="str">
        <v>Sengkang Lapangan</v>
      </c>
      <c r="D12015">
        <f>VLOOKUP(D11994,'Detail Balok'!$C$10:$AU$110,36,FALSE)</f>
        <v>0</v>
      </c>
      <c r="E12015" t="str">
        <v>D</v>
      </c>
      <c r="F12015">
        <f>VLOOKUP(D11994,'Detail Balok'!$C$10:$AU$110,38,FALSE)</f>
        <v>10</v>
      </c>
      <c r="G12015" t="str">
        <v>-</v>
      </c>
      <c r="H12015">
        <f>VLOOKUP(D11994,'Detail Balok'!$C$10:$AU$110,40,FALSE)</f>
        <v>175</v>
      </c>
      <c r="J12015">
        <f>(IF(D12015=0,(2*(D11995+G11995))-(F$5*8),IF(D12015=3,(2*(D11995+G11995))-(F$5*8)+(G11995-2*F$5),IF(D12015=4,(2*(D11995+G11995))-(F$5*8)+2*(G11995-2*F$5)))))/1000</f>
        <v>0.98</v>
      </c>
      <c r="K12015" t="str">
        <v>+</v>
      </c>
      <c r="L12015">
        <f>IF(D12015=0,2*MAX(6*F12015,75),(D12015-1)*2*MAX(6*F12015,75))/1000</f>
        <v>0.15</v>
      </c>
      <c r="M12015" t="str">
        <v>=</v>
      </c>
      <c r="N12015">
        <f>J12015+L12015</f>
        <v>1.13</v>
      </c>
      <c r="T12015" t="str">
        <v>x</v>
      </c>
      <c r="U12015">
        <f>0.006165*F12015^2</f>
        <v>0.6165</v>
      </c>
      <c r="V12015" t="str">
        <v>x</v>
      </c>
      <c r="W12015">
        <f>IF(D11997-MAX(D11997/4,2*G11995)*2&gt;0,ROUND((D11997-MAX(D11997/4,2*G11995)*2)/H12015,0),0)</f>
        <v>7</v>
      </c>
      <c r="X12015" t="str">
        <v>x</v>
      </c>
      <c r="Y12015">
        <f>D12000</f>
        <v>1</v>
      </c>
      <c r="Z12015" t="str">
        <v>=</v>
      </c>
      <c r="AA12015">
        <f>N12015*U12015*W12015*Y12015</f>
        <v>4.8765149999999995</v>
      </c>
    </row>
    <row r="12016">
      <c r="A12016" t="str">
        <f>A11994</f>
        <v>Lantai Atap</v>
      </c>
      <c r="B12016">
        <f>B11994</f>
        <v>59</v>
      </c>
      <c r="C12016" t="str">
        <v>Sengkang Tumpuan</v>
      </c>
      <c r="D12016">
        <f>VLOOKUP(D11994,'Detail Balok'!$C$10:$AU$110,41,FALSE)</f>
        <v>0</v>
      </c>
      <c r="E12016" t="str">
        <v>D</v>
      </c>
      <c r="F12016">
        <f>VLOOKUP(D11994,'Detail Balok'!$C$10:$AU$110,43,FALSE)</f>
        <v>10</v>
      </c>
      <c r="G12016" t="str">
        <v>-</v>
      </c>
      <c r="H12016">
        <f>VLOOKUP(D11994,'Detail Balok'!$C$10:$AU$110,45,FALSE)</f>
        <v>90</v>
      </c>
      <c r="J12016">
        <f>(IF(D12016=0,(2*(D11995+G11995))-(F$5*8),IF(D12016=3,(2*(D11995+G11995))-(F$5*8)+(G11995-2*F$5),IF(D12016=4,(2*(D11995+G11995))-(F$5*8)+2*(G11995-2*F$5)))))/1000</f>
        <v>0.98</v>
      </c>
      <c r="K12016" t="str">
        <v>+</v>
      </c>
      <c r="L12016">
        <f>IF(D12016=0,2*MAX(6*F12016,75),(D12016-1)*2*MAX(6*F12016,75))/1000</f>
        <v>0.15</v>
      </c>
      <c r="M12016" t="str">
        <v>=</v>
      </c>
      <c r="N12016">
        <f>J12016+L12016</f>
        <v>1.13</v>
      </c>
      <c r="T12016" t="str">
        <v>x</v>
      </c>
      <c r="U12016">
        <f>0.006165*F12016^2</f>
        <v>0.6165</v>
      </c>
      <c r="V12016" t="str">
        <v>x</v>
      </c>
      <c r="W12016">
        <f>IF(D11997&gt;4*G11995,ROUND(MAX(D11997/4,2*G11995)/H12016,0)+1,0)</f>
        <v>11</v>
      </c>
      <c r="X12016" t="str">
        <v>x</v>
      </c>
      <c r="Y12016">
        <f>D12000</f>
        <v>1</v>
      </c>
      <c r="Z12016" t="str">
        <v>=</v>
      </c>
      <c r="AA12016">
        <f>N12016*U12016*W12016*Y12016</f>
        <v>7.663094999999999</v>
      </c>
    </row>
    <row r="12018">
      <c r="A12018" t="str">
        <f>A11994</f>
        <v>Lantai Atap</v>
      </c>
      <c r="B12018">
        <f>B11994</f>
        <v>59</v>
      </c>
      <c r="C12018" t="str">
        <v>Kait Horizontal Tump.</v>
      </c>
      <c r="D12018">
        <f>VLOOKUP(D11994,'Detail Balok'!$C$10:$BJ$110,46,FALSE)</f>
        <v>0</v>
      </c>
      <c r="E12018" t="str">
        <v>D</v>
      </c>
      <c r="F12018">
        <f>VLOOKUP(D11994,'Detail Balok'!$C$10:$BJ$110,48,FALSE)</f>
        <v>0</v>
      </c>
      <c r="G12018" t="str">
        <v>-</v>
      </c>
      <c r="H12018">
        <f>VLOOKUP(D11994,'Detail Balok'!$C$10:$BJ$110,50,FALSE)</f>
        <v>100</v>
      </c>
      <c r="J12018">
        <f>(D11995-2*F$5)/1000</f>
        <v>0.12</v>
      </c>
      <c r="K12018" t="str">
        <v>+</v>
      </c>
      <c r="L12018">
        <f>IF(D12018=0,2*MAX(6*F12018,75),(D12018-1)*2*MAX(6*F12018,75))/1000</f>
        <v>0.15</v>
      </c>
      <c r="M12018" t="str">
        <v>=</v>
      </c>
      <c r="N12018">
        <f>J12018+L12018</f>
        <v>0.27</v>
      </c>
      <c r="T12018" t="str">
        <v>x</v>
      </c>
      <c r="U12018">
        <f>0.006165*F12018^2</f>
        <v>0</v>
      </c>
      <c r="V12018" t="str">
        <v>x</v>
      </c>
      <c r="W12018">
        <f>W12014</f>
        <v>11</v>
      </c>
      <c r="X12018" t="str">
        <v>x</v>
      </c>
      <c r="Y12018">
        <f>D12004</f>
        <v>2</v>
      </c>
      <c r="Z12018" t="str">
        <v>=</v>
      </c>
      <c r="AA12018">
        <f>N12018*U12018*W12018*Y12018</f>
        <v>0</v>
      </c>
    </row>
    <row r="12019">
      <c r="A12019" t="str">
        <f>A11994</f>
        <v>Lantai Atap</v>
      </c>
      <c r="B12019">
        <f>B11994</f>
        <v>59</v>
      </c>
      <c r="C12019" t="str">
        <v>Kait Horizontal Lap.</v>
      </c>
      <c r="D12019">
        <f>VLOOKUP(D11994,'Detail Balok'!$C$10:$BJ$110,51,FALSE)</f>
        <v>0</v>
      </c>
      <c r="E12019" t="str">
        <v>D</v>
      </c>
      <c r="F12019">
        <f>VLOOKUP(D11994,'Detail Balok'!$C$10:$BJ$110,53,FALSE)</f>
        <v>0</v>
      </c>
      <c r="G12019" t="str">
        <v>-</v>
      </c>
      <c r="H12019">
        <f>VLOOKUP(D11994,'Detail Balok'!$C$10:$BJ$110,55,FALSE)</f>
        <v>100</v>
      </c>
      <c r="J12019">
        <f>(D11995-2*F$5)/1000</f>
        <v>0.12</v>
      </c>
      <c r="K12019" t="str">
        <v>+</v>
      </c>
      <c r="L12019">
        <f>IF(D12019=0,2*MAX(6*F12019,75),(D12019-1)*2*MAX(6*F12019,75))/1000</f>
        <v>0.15</v>
      </c>
      <c r="M12019" t="str">
        <v>=</v>
      </c>
      <c r="N12019">
        <f>J12019+L12019</f>
        <v>0.27</v>
      </c>
      <c r="T12019" t="str">
        <v>x</v>
      </c>
      <c r="U12019">
        <f>0.006165*F12019^2</f>
        <v>0</v>
      </c>
      <c r="V12019" t="str">
        <v>x</v>
      </c>
      <c r="W12019">
        <f>W12015</f>
        <v>7</v>
      </c>
      <c r="X12019" t="str">
        <v>x</v>
      </c>
      <c r="Y12019">
        <f>D12004</f>
        <v>2</v>
      </c>
      <c r="Z12019" t="str">
        <v>=</v>
      </c>
      <c r="AA12019">
        <f>N12019*U12019*W12019*Y12019</f>
        <v>0</v>
      </c>
    </row>
    <row r="12020">
      <c r="A12020" t="str">
        <f>A11994</f>
        <v>Lantai Atap</v>
      </c>
      <c r="B12020">
        <f>B11994</f>
        <v>59</v>
      </c>
      <c r="C12020" t="str">
        <v>Kait Horizontal Tump.</v>
      </c>
      <c r="D12020">
        <f>VLOOKUP(D11994,'Detail Balok'!$C$10:$BJ$110,56,FALSE)</f>
        <v>0</v>
      </c>
      <c r="E12020" t="str">
        <v>D</v>
      </c>
      <c r="F12020">
        <f>VLOOKUP(D11994,'Detail Balok'!$C$10:$BJ$110,58,FALSE)</f>
        <v>0</v>
      </c>
      <c r="G12020" t="str">
        <v>-</v>
      </c>
      <c r="H12020">
        <f>VLOOKUP(D11994,'Detail Balok'!$C$10:$BJ$110,60,FALSE)</f>
        <v>100</v>
      </c>
      <c r="J12020">
        <f>(D11995-2*F$5)/1000</f>
        <v>0.12</v>
      </c>
      <c r="K12020" t="str">
        <v>+</v>
      </c>
      <c r="L12020">
        <f>IF(D12020=0,2*MAX(6*F12020,75),(D12020-1)*2*MAX(6*F12020,75))/1000</f>
        <v>0.15</v>
      </c>
      <c r="M12020" t="str">
        <v>=</v>
      </c>
      <c r="N12020">
        <f>J12020+L12020</f>
        <v>0.27</v>
      </c>
      <c r="T12020" t="str">
        <v>x</v>
      </c>
      <c r="U12020">
        <f>0.006165*F12020^2</f>
        <v>0</v>
      </c>
      <c r="V12020" t="str">
        <v>x</v>
      </c>
      <c r="W12020">
        <f>W12016</f>
        <v>11</v>
      </c>
      <c r="X12020" t="str">
        <v>x</v>
      </c>
      <c r="Y12020">
        <f>D12004</f>
        <v>2</v>
      </c>
      <c r="Z12020" t="str">
        <v>=</v>
      </c>
      <c r="AA12020">
        <f>N12020*U12020*W12020*Y12020</f>
        <v>0</v>
      </c>
    </row>
    <row r="12024">
      <c r="A12024" t="str">
        <f>A11994</f>
        <v>Lantai Atap</v>
      </c>
      <c r="B12024">
        <f>B11994+1</f>
        <v>60</v>
      </c>
      <c r="C12024" t="str">
        <f>CONCATENATE(A12024," no. ",B12024)</f>
        <v>Lantai Atap no. 60</v>
      </c>
      <c r="D12024" t="str">
        <f>VLOOKUP(C12024,'Data Panjang Balok'!$C$9:$N$424,2,FALSE)</f>
        <v>B24-4</v>
      </c>
    </row>
    <row r="12025">
      <c r="C12025" t="str">
        <v>Dimensi</v>
      </c>
      <c r="D12025">
        <f>VLOOKUP(D12024,'Detail Balok'!$C$10:$AU$110,2,FALSE)</f>
        <v>200</v>
      </c>
      <c r="F12025" t="str">
        <v>x</v>
      </c>
      <c r="G12025">
        <f>VLOOKUP(D12024,'Detail Balok'!$C$10:$AU$110,3,FALSE)</f>
        <v>400</v>
      </c>
    </row>
    <row r="12026">
      <c r="C12026" t="str">
        <v>Panjang as ke as</v>
      </c>
      <c r="D12026">
        <f>VLOOKUP(C12024,'Data Panjang Balok'!$C$9:$N$424,4,FALSE)</f>
        <v>6000</v>
      </c>
    </row>
    <row r="12027">
      <c r="C12027" t="str">
        <v>Panjang netto</v>
      </c>
      <c r="D12027">
        <f>VLOOKUP(C12024,'Data Panjang Balok'!$C$9:$N$424,7,FALSE)</f>
        <v>6000</v>
      </c>
    </row>
    <row r="12028">
      <c r="C12028" t="str">
        <v>Kolom / balok kiri</v>
      </c>
      <c r="D12028">
        <f>VLOOKUP(C12024,'Data Panjang Balok'!$C$9:$N$424,9,FALSE)</f>
        <v>0</v>
      </c>
    </row>
    <row r="12029">
      <c r="C12029" t="str">
        <v>Kolom / balok kanan</v>
      </c>
      <c r="D12029">
        <f>VLOOKUP(C12024,'Data Panjang Balok'!$C$9:$N$424,10,FALSE)</f>
        <v>0</v>
      </c>
    </row>
    <row r="12030">
      <c r="C12030" t="str">
        <v>Jumlah</v>
      </c>
      <c r="D12030">
        <f>VLOOKUP(C12024,'Data Panjang Balok'!$C$9:$N$424,3,FALSE)</f>
        <v>1</v>
      </c>
    </row>
    <row r="12031">
      <c r="A12031" t="str">
        <f>A12024</f>
        <v>Lantai Atap</v>
      </c>
      <c r="B12031">
        <f>B12024</f>
        <v>60</v>
      </c>
      <c r="C12031" t="str">
        <v>Tul Atas Tumpuan</v>
      </c>
      <c r="D12031">
        <f>VLOOKUP(D12024,'Detail Balok'!$C$10:$AU$110,4,FALSE)</f>
        <v>4</v>
      </c>
      <c r="E12031" t="str">
        <v>D</v>
      </c>
      <c r="F12031">
        <f>VLOOKUP(D12024,'Detail Balok'!$C$10:$AU$110,6,FALSE)</f>
        <v>16</v>
      </c>
      <c r="I12031" t="str">
        <v>(</v>
      </c>
      <c r="J12031">
        <f>+D12026/4/1000</f>
        <v>1.5</v>
      </c>
      <c r="K12031" t="str">
        <v>+</v>
      </c>
      <c r="L12031">
        <f>MAX(VLOOKUP(F12031,N$6:P$15,3,FALSE)/1000,2/3*D12028/1000)+F$16*F12031/1000</f>
        <v>0.192</v>
      </c>
      <c r="M12031" t="str">
        <v>=</v>
      </c>
      <c r="N12031">
        <f>J12031+L12031</f>
        <v>1.692</v>
      </c>
      <c r="O12031" t="str">
        <v>+</v>
      </c>
      <c r="P12031">
        <f>D12031-D12032</f>
        <v>2</v>
      </c>
      <c r="Q12031" t="str">
        <v>x</v>
      </c>
      <c r="R12031">
        <f>IF(P12031&gt;0,$F$18*F12031/1000,0)</f>
        <v>0.24</v>
      </c>
      <c r="S12031" t="str">
        <v>)</v>
      </c>
      <c r="T12031" t="str">
        <v>x</v>
      </c>
      <c r="U12031">
        <f>0.006165*F12031^2</f>
        <v>1.57824</v>
      </c>
      <c r="X12031" t="str">
        <v>x</v>
      </c>
      <c r="Y12031">
        <f>D12030</f>
        <v>1</v>
      </c>
      <c r="Z12031" t="str">
        <v>=</v>
      </c>
      <c r="AA12031">
        <f>IF(AA12034=0,(D12031*N12031+P12031*R12031)*U12031*Y12031,0)</f>
        <v>11.439083519999999</v>
      </c>
    </row>
    <row r="12032">
      <c r="A12032" t="str">
        <f>A12024</f>
        <v>Lantai Atap</v>
      </c>
      <c r="B12032">
        <f>B12024</f>
        <v>60</v>
      </c>
      <c r="C12032" t="str">
        <v>Tul Atas Lapangan</v>
      </c>
      <c r="D12032">
        <f>VLOOKUP(D12024,'Detail Balok'!$C$10:$AU$110,7,FALSE)</f>
        <v>2</v>
      </c>
      <c r="E12032" t="str">
        <v>D</v>
      </c>
      <c r="F12032">
        <f>VLOOKUP(D12024,'Detail Balok'!$C$10:$AU$110,9,FALSE)</f>
        <v>16</v>
      </c>
      <c r="I12032" t="str">
        <v>(</v>
      </c>
      <c r="J12032">
        <f>+D12026/2/1000</f>
        <v>3</v>
      </c>
      <c r="K12032" t="str">
        <v>+</v>
      </c>
      <c r="M12032" t="str">
        <v>=</v>
      </c>
      <c r="N12032">
        <f>J12032+L12032</f>
        <v>3</v>
      </c>
      <c r="O12032" t="str">
        <v>+</v>
      </c>
      <c r="P12032">
        <f>MAX(D12032-D12031,D12032-D12033)</f>
        <v>-2</v>
      </c>
      <c r="Q12032" t="str">
        <v>x</v>
      </c>
      <c r="R12032">
        <f>IF(P12032&gt;0,2*(1-2*$F$19-1/2)*D12027/1000,0)</f>
        <v>0</v>
      </c>
      <c r="S12032" t="str">
        <v>)</v>
      </c>
      <c r="T12032" t="str">
        <v>x</v>
      </c>
      <c r="U12032">
        <f>0.006165*F12032^2</f>
        <v>1.57824</v>
      </c>
      <c r="X12032" t="str">
        <v>x</v>
      </c>
      <c r="Y12032">
        <f>D12030</f>
        <v>1</v>
      </c>
      <c r="Z12032" t="str">
        <v>=</v>
      </c>
      <c r="AA12032">
        <f>IF(AA12034=0,(D12032*N12032+P12032*R12032)*U12032*Y12032,0)</f>
        <v>9.46944</v>
      </c>
    </row>
    <row r="12033">
      <c r="A12033" t="str">
        <f>A12024</f>
        <v>Lantai Atap</v>
      </c>
      <c r="B12033">
        <f>B12024</f>
        <v>60</v>
      </c>
      <c r="C12033" t="str">
        <v>Tul Atas Tumpuan</v>
      </c>
      <c r="D12033">
        <f>VLOOKUP(D12024,'Detail Balok'!$C$10:$AU$110,10,FALSE)</f>
        <v>4</v>
      </c>
      <c r="E12033" t="str">
        <v>D</v>
      </c>
      <c r="F12033">
        <f>VLOOKUP(D12024,'Detail Balok'!$C$10:$AU$110,12,FALSE)</f>
        <v>16</v>
      </c>
      <c r="I12033" t="str">
        <v>(</v>
      </c>
      <c r="J12033">
        <f>+D12026/4/1000</f>
        <v>1.5</v>
      </c>
      <c r="K12033" t="str">
        <v>+</v>
      </c>
      <c r="L12033">
        <f>MAX(VLOOKUP(F12033,N$6:P$15,3,FALSE)/1000,2/3*D12028/1000)+F$16*F12033/1000</f>
        <v>0.192</v>
      </c>
      <c r="M12033" t="str">
        <v>=</v>
      </c>
      <c r="N12033">
        <f>J12033+L12033</f>
        <v>1.692</v>
      </c>
      <c r="O12033" t="str">
        <v>+</v>
      </c>
      <c r="P12033">
        <f>D12033-D12032</f>
        <v>2</v>
      </c>
      <c r="Q12033" t="str">
        <v>x</v>
      </c>
      <c r="R12033">
        <f>IF(P12033&gt;0,$F$18*F12033/1000,0)</f>
        <v>0.24</v>
      </c>
      <c r="S12033" t="str">
        <v>)</v>
      </c>
      <c r="T12033" t="str">
        <v>x</v>
      </c>
      <c r="U12033">
        <f>0.006165*F12033^2</f>
        <v>1.57824</v>
      </c>
      <c r="X12033" t="str">
        <v>x</v>
      </c>
      <c r="Y12033">
        <f>D12030</f>
        <v>1</v>
      </c>
      <c r="Z12033" t="str">
        <v>=</v>
      </c>
      <c r="AA12033">
        <f>IF(AA12034=0,(D12033*N12033+P12033*R12033)*U12033*Y12033,0)</f>
        <v>11.439083519999999</v>
      </c>
    </row>
    <row r="12034">
      <c r="A12034" t="str">
        <f>A12024</f>
        <v>Lantai Atap</v>
      </c>
      <c r="B12034">
        <f>B12024</f>
        <v>60</v>
      </c>
      <c r="D12034">
        <f>IF(AND(D12031=D12032,D12032=D12033,D12031=D12033),D12031,0)</f>
        <v>0</v>
      </c>
      <c r="E12034" t="str">
        <v>D</v>
      </c>
      <c r="F12034">
        <f>IF(AND(F12031=F12032,F12031=F12033,F12032=F12033),F12031,0)</f>
        <v>16</v>
      </c>
      <c r="L12034" t="str">
        <v>Total panjang per balok</v>
      </c>
      <c r="M12034" t="str">
        <v>=</v>
      </c>
      <c r="N12034">
        <f>IF(AND(D12031=D12032,D12031=D12033,D12032=D12033,F12031=F12032,F12031=F12033,F12032=F12033),SUM(N12031:N12033),0)</f>
        <v>0</v>
      </c>
      <c r="O12034" t="str">
        <v>+</v>
      </c>
      <c r="P12034">
        <f>IF(N12034&gt;12,ROUNDDOWN(N12034/12,0),0)</f>
        <v>0</v>
      </c>
      <c r="Q12034" t="str">
        <v>x</v>
      </c>
      <c r="R12034">
        <f>IF(P12034&gt;0,MAX(VLOOKUP(F12034,$D$6:$G$15,3,FALSE),600),0)/1000</f>
        <v>0</v>
      </c>
      <c r="T12034" t="str">
        <v>x</v>
      </c>
      <c r="U12034">
        <f>U12033</f>
        <v>1.57824</v>
      </c>
      <c r="V12034" t="str">
        <v>x</v>
      </c>
      <c r="W12034">
        <f>D12034</f>
        <v>0</v>
      </c>
      <c r="X12034" t="str">
        <v>x</v>
      </c>
      <c r="Y12034">
        <f>Y12033</f>
        <v>1</v>
      </c>
      <c r="Z12034" t="str">
        <v>=</v>
      </c>
      <c r="AA12034">
        <f>(N12034+P12034*R12034/1000)*U12034*W12034*Y12034</f>
        <v>0</v>
      </c>
    </row>
    <row r="12036">
      <c r="A12036" t="str">
        <f>A12024</f>
        <v>Lantai Atap</v>
      </c>
      <c r="B12036">
        <f>B12024</f>
        <v>60</v>
      </c>
      <c r="C12036" t="str">
        <v>Tul Peminggang</v>
      </c>
      <c r="D12036">
        <f>VLOOKUP(D12024,'Detail Balok'!$C$10:$AU$110,13,FALSE)</f>
        <v>0</v>
      </c>
      <c r="E12036" t="str">
        <v>D</v>
      </c>
      <c r="F12036">
        <f>VLOOKUP(D12024,'Detail Balok'!$C$10:$AU$110,15,FALSE)</f>
        <v>6</v>
      </c>
      <c r="J12036">
        <f>+D12026/1000</f>
        <v>6</v>
      </c>
      <c r="K12036" t="str">
        <v>+</v>
      </c>
      <c r="L12036">
        <f>2*$F$16*F12036/1000</f>
        <v>0.144</v>
      </c>
      <c r="M12036" t="str">
        <v>=</v>
      </c>
      <c r="N12036">
        <f>J12036+L12036</f>
        <v>6.144</v>
      </c>
      <c r="O12036" t="str">
        <v>+</v>
      </c>
      <c r="P12036">
        <f>IF(N12036&gt;12,ROUNDDOWN(N12036/12,0),0)</f>
        <v>0</v>
      </c>
      <c r="Q12036" t="str">
        <v>x</v>
      </c>
      <c r="R12036">
        <f>IF(P12036&gt;0,MAX(VLOOKUP(F12036,$D$6:$G$15,3,FALSE),600),0)/1000</f>
        <v>0</v>
      </c>
      <c r="T12036" t="str">
        <v>x</v>
      </c>
      <c r="U12036">
        <f>0.006165*F12036^2</f>
        <v>0.22194000000000003</v>
      </c>
      <c r="V12036" t="str">
        <v>x</v>
      </c>
      <c r="W12036">
        <f>+D12036</f>
        <v>0</v>
      </c>
      <c r="X12036" t="str">
        <v>x</v>
      </c>
      <c r="Y12036">
        <f>D12030</f>
        <v>1</v>
      </c>
      <c r="Z12036" t="str">
        <v>=</v>
      </c>
      <c r="AA12036">
        <f>(N12036+P12036*R12036/1000)*U12036*W12036*Y12036</f>
        <v>0</v>
      </c>
    </row>
    <row r="12039">
      <c r="A12039" t="str">
        <f>A12024</f>
        <v>Lantai Atap</v>
      </c>
      <c r="B12039">
        <f>B12024</f>
        <v>60</v>
      </c>
      <c r="C12039" t="str">
        <v>Tul Bawah Tumpuan</v>
      </c>
      <c r="D12039">
        <f>VLOOKUP(D12024,'Detail Balok'!$C$10:$AU$110,22,FALSE)</f>
        <v>2</v>
      </c>
      <c r="E12039" t="str">
        <v>D</v>
      </c>
      <c r="F12039">
        <f>VLOOKUP(D12024,'Detail Balok'!$C$10:$AU$110,24,FALSE)</f>
        <v>16</v>
      </c>
      <c r="I12039" t="str">
        <v>(</v>
      </c>
      <c r="J12039">
        <f>+J12031</f>
        <v>1.5</v>
      </c>
      <c r="K12039" t="str">
        <v>+</v>
      </c>
      <c r="L12039">
        <f>MAX(VLOOKUP(F12039,N$6:P$15,3,FALSE)/1000,2/3*D12029/1000)+F$16*F12039/1000</f>
        <v>0.192</v>
      </c>
      <c r="M12039" t="str">
        <v>=</v>
      </c>
      <c r="N12039">
        <f>J12039+L12039</f>
        <v>1.692</v>
      </c>
      <c r="O12039" t="str">
        <v>+</v>
      </c>
      <c r="P12039">
        <f>D12039-D12040</f>
        <v>-2</v>
      </c>
      <c r="Q12039" t="str">
        <v>x</v>
      </c>
      <c r="R12039">
        <f>IF(P12039&gt;0,$F$18*F12039/1000,0)</f>
        <v>0</v>
      </c>
      <c r="S12039" t="str">
        <v>)</v>
      </c>
      <c r="T12039" t="str">
        <v>x</v>
      </c>
      <c r="U12039">
        <f>0.006165*F12039^2</f>
        <v>1.57824</v>
      </c>
      <c r="X12039" t="str">
        <v>x</v>
      </c>
      <c r="Y12039">
        <f>D12030</f>
        <v>1</v>
      </c>
      <c r="Z12039" t="str">
        <v>=</v>
      </c>
      <c r="AA12039">
        <f>IF(AA12042=0,(D12039*N12039+P12039*R12039)*U12039*Y12039,0)</f>
        <v>5.34076416</v>
      </c>
    </row>
    <row r="12040">
      <c r="A12040" t="str">
        <f>A12024</f>
        <v>Lantai Atap</v>
      </c>
      <c r="B12040">
        <f>B12024</f>
        <v>60</v>
      </c>
      <c r="C12040" t="str">
        <v>Tul Bawah Lapangan</v>
      </c>
      <c r="D12040">
        <f>VLOOKUP(D12024,'Detail Balok'!$C$10:$AU$110,25,FALSE)</f>
        <v>4</v>
      </c>
      <c r="E12040" t="str">
        <v>D</v>
      </c>
      <c r="F12040">
        <f>VLOOKUP(D12024,'Detail Balok'!$C$10:$AU$110,27,FALSE)</f>
        <v>16</v>
      </c>
      <c r="I12040" t="str">
        <v>(</v>
      </c>
      <c r="J12040">
        <f>+J12032</f>
        <v>3</v>
      </c>
      <c r="K12040" t="str">
        <v>+</v>
      </c>
      <c r="M12040" t="str">
        <v>=</v>
      </c>
      <c r="N12040">
        <f>J12040+L12040</f>
        <v>3</v>
      </c>
      <c r="O12040" t="str">
        <v>+</v>
      </c>
      <c r="P12040">
        <f>MAX(D12040-D12039,D12040-D12041)</f>
        <v>2</v>
      </c>
      <c r="Q12040" t="str">
        <v>x</v>
      </c>
      <c r="R12040">
        <f>IF(P12040&gt;0,2*(1-2*$F$19-1/2)*D12027/1000,0)</f>
        <v>1.1999999999999997</v>
      </c>
      <c r="S12040" t="str">
        <v>)</v>
      </c>
      <c r="T12040" t="str">
        <v>x</v>
      </c>
      <c r="U12040">
        <f>0.006165*F12040^2</f>
        <v>1.57824</v>
      </c>
      <c r="X12040" t="str">
        <v>x</v>
      </c>
      <c r="Y12040">
        <f>D12030</f>
        <v>1</v>
      </c>
      <c r="Z12040" t="str">
        <v>=</v>
      </c>
      <c r="AA12040">
        <f>IF(AA12042=0,(D12040*N12040+P12040*R12040)*U12040*Y12040,0)</f>
        <v>22.726656</v>
      </c>
    </row>
    <row r="12041">
      <c r="A12041" t="str">
        <f>A12024</f>
        <v>Lantai Atap</v>
      </c>
      <c r="B12041">
        <f>B12024</f>
        <v>60</v>
      </c>
      <c r="C12041" t="str">
        <v>Tul Bawah Tumpuan</v>
      </c>
      <c r="D12041">
        <f>VLOOKUP(D12024,'Detail Balok'!$C$10:$AU$110,28,FALSE)</f>
        <v>2</v>
      </c>
      <c r="E12041" t="str">
        <v>D</v>
      </c>
      <c r="F12041">
        <f>VLOOKUP(D12024,'Detail Balok'!$C$10:$AU$110,30,FALSE)</f>
        <v>16</v>
      </c>
      <c r="I12041" t="str">
        <v>(</v>
      </c>
      <c r="J12041">
        <f>+J12033</f>
        <v>1.5</v>
      </c>
      <c r="K12041" t="str">
        <v>+</v>
      </c>
      <c r="L12041">
        <f>MAX(VLOOKUP(F12041,N$6:P$15,3,FALSE)/1000,2/3*D12029/1000)+F$16*F12041/1000</f>
        <v>0.192</v>
      </c>
      <c r="M12041" t="str">
        <v>=</v>
      </c>
      <c r="N12041">
        <f>J12041+L12041</f>
        <v>1.692</v>
      </c>
      <c r="O12041" t="str">
        <v>+</v>
      </c>
      <c r="P12041">
        <f>D12041-D12040</f>
        <v>-2</v>
      </c>
      <c r="Q12041" t="str">
        <v>x</v>
      </c>
      <c r="R12041">
        <f>IF(P12041&gt;0,$F$18*F12041/1000,0)</f>
        <v>0</v>
      </c>
      <c r="S12041" t="str">
        <v>)</v>
      </c>
      <c r="T12041" t="str">
        <v>x</v>
      </c>
      <c r="U12041">
        <f>0.006165*F12041^2</f>
        <v>1.57824</v>
      </c>
      <c r="X12041" t="str">
        <v>x</v>
      </c>
      <c r="Y12041">
        <f>D12030</f>
        <v>1</v>
      </c>
      <c r="Z12041" t="str">
        <v>=</v>
      </c>
      <c r="AA12041">
        <f>IF(AA12042=0,(D12041*N12041+P12041*R12041)*U12041*Y12041,0)</f>
        <v>5.34076416</v>
      </c>
    </row>
    <row r="12042">
      <c r="A12042" t="str">
        <f>A12024</f>
        <v>Lantai Atap</v>
      </c>
      <c r="B12042">
        <f>B12024</f>
        <v>60</v>
      </c>
      <c r="D12042">
        <f>IF(AND(D12039=D12040,D12040=D12041,D12039=D12041),D12039,0)</f>
        <v>0</v>
      </c>
      <c r="E12042" t="str">
        <v>D</v>
      </c>
      <c r="F12042">
        <f>IF(AND(F12039=F12040,F12039=F12041,F12040=F12041),F12039,0)</f>
        <v>16</v>
      </c>
      <c r="L12042" t="str">
        <v>Total panjang per balok</v>
      </c>
      <c r="M12042" t="str">
        <v>=</v>
      </c>
      <c r="N12042">
        <f>IF(AND(D12039=D12040,D12039=D12041,D12040=D12041,F12039=F12040,F12039=F12041,F12040=F12041),SUM(N12039:N12041),0)</f>
        <v>0</v>
      </c>
      <c r="O12042" t="str">
        <v>+</v>
      </c>
      <c r="P12042">
        <f>IF(N12042&gt;12,ROUNDDOWN(N12042/12,0),0)</f>
        <v>0</v>
      </c>
      <c r="Q12042" t="str">
        <v>x</v>
      </c>
      <c r="R12042">
        <f>IF(P12042&gt;0,MAX(VLOOKUP(F12042,$D$6:$G$15,3,FALSE),600),0)/1000</f>
        <v>0</v>
      </c>
      <c r="T12042" t="str">
        <v>x</v>
      </c>
      <c r="U12042">
        <f>U12041</f>
        <v>1.57824</v>
      </c>
      <c r="V12042" t="str">
        <v>x</v>
      </c>
      <c r="W12042">
        <f>D12042</f>
        <v>0</v>
      </c>
      <c r="X12042" t="str">
        <v>x</v>
      </c>
      <c r="Y12042">
        <f>Y12041</f>
        <v>1</v>
      </c>
      <c r="Z12042" t="str">
        <v>=</v>
      </c>
      <c r="AA12042">
        <f>(N12042+P12042*R12042/1000)*U12042*W12042*Y12042</f>
        <v>0</v>
      </c>
    </row>
    <row r="12044">
      <c r="A12044" t="str">
        <f>A12024</f>
        <v>Lantai Atap</v>
      </c>
      <c r="B12044">
        <f>B12024</f>
        <v>60</v>
      </c>
      <c r="C12044" t="str">
        <v>Sengkang Tumpuan</v>
      </c>
      <c r="D12044">
        <f>VLOOKUP(D12024,'Detail Balok'!$C$10:$AU$110,31,FALSE)</f>
        <v>0</v>
      </c>
      <c r="E12044" t="str">
        <v>D</v>
      </c>
      <c r="F12044">
        <f>VLOOKUP(D12024,'Detail Balok'!$C$10:$AU$110,33,FALSE)</f>
        <v>8</v>
      </c>
      <c r="G12044" t="str">
        <v>-</v>
      </c>
      <c r="H12044">
        <f>VLOOKUP(D12024,'Detail Balok'!$C$10:$AU$110,35,FALSE)</f>
        <v>80</v>
      </c>
      <c r="J12044">
        <f>(IF(D12044=0,(2*(D12025+G12025))-(F$5*8),IF(D12044=3,(2*(D12025+G12025))-(F$5*8)+(G12025-2*F$5),IF(D12044=4,(2*(D12025+G12025))-(F$5*8)+2*(G12025-2*F$5)))))/1000</f>
        <v>0.88</v>
      </c>
      <c r="K12044" t="str">
        <v>+</v>
      </c>
      <c r="L12044">
        <f>IF(D12044=0,2*MAX(6*F12044,75),(D12044-1)*2*MAX(6*F12044,75))/1000</f>
        <v>0.15</v>
      </c>
      <c r="M12044" t="str">
        <v>=</v>
      </c>
      <c r="N12044">
        <f>J12044+L12044</f>
        <v>1.03</v>
      </c>
      <c r="T12044" t="str">
        <v>x</v>
      </c>
      <c r="U12044">
        <f>0.006165*F12044^2</f>
        <v>0.39456</v>
      </c>
      <c r="V12044" t="str">
        <v>x</v>
      </c>
      <c r="W12044">
        <f>IF(D12027&gt;4*G12025,ROUND(MAX(D12027/4,2*G12025)/H12044,0)+1,ROUND(D12027/H12044,0)+1)</f>
        <v>20</v>
      </c>
      <c r="X12044" t="str">
        <v>x</v>
      </c>
      <c r="Y12044">
        <f>D12030</f>
        <v>1</v>
      </c>
      <c r="Z12044" t="str">
        <v>=</v>
      </c>
      <c r="AA12044">
        <f>N12044*U12044*W12044*Y12044</f>
        <v>8.127936000000002</v>
      </c>
    </row>
    <row r="12045">
      <c r="A12045" t="str">
        <f>A12024</f>
        <v>Lantai Atap</v>
      </c>
      <c r="B12045">
        <f>B12024</f>
        <v>60</v>
      </c>
      <c r="C12045" t="str">
        <v>Sengkang Lapangan</v>
      </c>
      <c r="D12045">
        <f>VLOOKUP(D12024,'Detail Balok'!$C$10:$AU$110,36,FALSE)</f>
        <v>0</v>
      </c>
      <c r="E12045" t="str">
        <v>D</v>
      </c>
      <c r="F12045">
        <f>VLOOKUP(D12024,'Detail Balok'!$C$10:$AU$110,38,FALSE)</f>
        <v>8</v>
      </c>
      <c r="G12045" t="str">
        <v>-</v>
      </c>
      <c r="H12045">
        <f>VLOOKUP(D12024,'Detail Balok'!$C$10:$AU$110,40,FALSE)</f>
        <v>200</v>
      </c>
      <c r="J12045">
        <f>(IF(D12045=0,(2*(D12025+G12025))-(F$5*8),IF(D12045=3,(2*(D12025+G12025))-(F$5*8)+(G12025-2*F$5),IF(D12045=4,(2*(D12025+G12025))-(F$5*8)+2*(G12025-2*F$5)))))/1000</f>
        <v>0.88</v>
      </c>
      <c r="K12045" t="str">
        <v>+</v>
      </c>
      <c r="L12045">
        <f>IF(D12045=0,2*MAX(6*F12045,75),(D12045-1)*2*MAX(6*F12045,75))/1000</f>
        <v>0.15</v>
      </c>
      <c r="M12045" t="str">
        <v>=</v>
      </c>
      <c r="N12045">
        <f>J12045+L12045</f>
        <v>1.03</v>
      </c>
      <c r="T12045" t="str">
        <v>x</v>
      </c>
      <c r="U12045">
        <f>0.006165*F12045^2</f>
        <v>0.39456</v>
      </c>
      <c r="V12045" t="str">
        <v>x</v>
      </c>
      <c r="W12045">
        <f>IF(D12027-MAX(D12027/4,2*G12025)*2&gt;0,ROUND((D12027-MAX(D12027/4,2*G12025)*2)/H12045,0),0)</f>
        <v>15</v>
      </c>
      <c r="X12045" t="str">
        <v>x</v>
      </c>
      <c r="Y12045">
        <f>D12030</f>
        <v>1</v>
      </c>
      <c r="Z12045" t="str">
        <v>=</v>
      </c>
      <c r="AA12045">
        <f>N12045*U12045*W12045*Y12045</f>
        <v>6.0959520000000005</v>
      </c>
    </row>
    <row r="12046">
      <c r="A12046" t="str">
        <f>A12024</f>
        <v>Lantai Atap</v>
      </c>
      <c r="B12046">
        <f>B12024</f>
        <v>60</v>
      </c>
      <c r="C12046" t="str">
        <v>Sengkang Tumpuan</v>
      </c>
      <c r="D12046">
        <f>VLOOKUP(D12024,'Detail Balok'!$C$10:$AU$110,41,FALSE)</f>
        <v>0</v>
      </c>
      <c r="E12046" t="str">
        <v>D</v>
      </c>
      <c r="F12046">
        <f>VLOOKUP(D12024,'Detail Balok'!$C$10:$AU$110,43,FALSE)</f>
        <v>8</v>
      </c>
      <c r="G12046" t="str">
        <v>-</v>
      </c>
      <c r="H12046">
        <f>VLOOKUP(D12024,'Detail Balok'!$C$10:$AU$110,45,FALSE)</f>
        <v>80</v>
      </c>
      <c r="J12046">
        <f>(IF(D12046=0,(2*(D12025+G12025))-(F$5*8),IF(D12046=3,(2*(D12025+G12025))-(F$5*8)+(G12025-2*F$5),IF(D12046=4,(2*(D12025+G12025))-(F$5*8)+2*(G12025-2*F$5)))))/1000</f>
        <v>0.88</v>
      </c>
      <c r="K12046" t="str">
        <v>+</v>
      </c>
      <c r="L12046">
        <f>IF(D12046=0,2*MAX(6*F12046,75),(D12046-1)*2*MAX(6*F12046,75))/1000</f>
        <v>0.15</v>
      </c>
      <c r="M12046" t="str">
        <v>=</v>
      </c>
      <c r="N12046">
        <f>J12046+L12046</f>
        <v>1.03</v>
      </c>
      <c r="T12046" t="str">
        <v>x</v>
      </c>
      <c r="U12046">
        <f>0.006165*F12046^2</f>
        <v>0.39456</v>
      </c>
      <c r="V12046" t="str">
        <v>x</v>
      </c>
      <c r="W12046">
        <f>IF(D12027&gt;4*G12025,ROUND(MAX(D12027/4,2*G12025)/H12046,0)+1,0)</f>
        <v>20</v>
      </c>
      <c r="X12046" t="str">
        <v>x</v>
      </c>
      <c r="Y12046">
        <f>D12030</f>
        <v>1</v>
      </c>
      <c r="Z12046" t="str">
        <v>=</v>
      </c>
      <c r="AA12046">
        <f>N12046*U12046*W12046*Y12046</f>
        <v>8.127936000000002</v>
      </c>
    </row>
    <row r="12048">
      <c r="A12048" t="str">
        <f>A12024</f>
        <v>Lantai Atap</v>
      </c>
      <c r="B12048">
        <f>B12024</f>
        <v>60</v>
      </c>
      <c r="C12048" t="str">
        <v>Kait Horizontal Tump.</v>
      </c>
      <c r="D12048">
        <f>VLOOKUP(D12024,'Detail Balok'!$C$10:$BJ$110,46,FALSE)</f>
        <v>0</v>
      </c>
      <c r="E12048" t="str">
        <v>D</v>
      </c>
      <c r="F12048">
        <f>VLOOKUP(D12024,'Detail Balok'!$C$10:$BJ$110,48,FALSE)</f>
        <v>0</v>
      </c>
      <c r="G12048" t="str">
        <v>-</v>
      </c>
      <c r="H12048">
        <f>VLOOKUP(D12024,'Detail Balok'!$C$10:$BJ$110,50,FALSE)</f>
        <v>100</v>
      </c>
      <c r="J12048">
        <f>(D12025-2*F$5)/1000</f>
        <v>0.12</v>
      </c>
      <c r="K12048" t="str">
        <v>+</v>
      </c>
      <c r="L12048">
        <f>IF(D12048=0,2*MAX(6*F12048,75),(D12048-1)*2*MAX(6*F12048,75))/1000</f>
        <v>0.15</v>
      </c>
      <c r="M12048" t="str">
        <v>=</v>
      </c>
      <c r="N12048">
        <f>J12048+L12048</f>
        <v>0.27</v>
      </c>
      <c r="T12048" t="str">
        <v>x</v>
      </c>
      <c r="U12048">
        <f>0.006165*F12048^2</f>
        <v>0</v>
      </c>
      <c r="V12048" t="str">
        <v>x</v>
      </c>
      <c r="W12048">
        <f>W12044</f>
        <v>20</v>
      </c>
      <c r="X12048" t="str">
        <v>x</v>
      </c>
      <c r="Y12048">
        <f>D12034</f>
        <v>0</v>
      </c>
      <c r="Z12048" t="str">
        <v>=</v>
      </c>
      <c r="AA12048">
        <f>N12048*U12048*W12048*Y12048</f>
        <v>0</v>
      </c>
    </row>
    <row r="12049">
      <c r="A12049" t="str">
        <f>A12024</f>
        <v>Lantai Atap</v>
      </c>
      <c r="B12049">
        <f>B12024</f>
        <v>60</v>
      </c>
      <c r="C12049" t="str">
        <v>Kait Horizontal Lap.</v>
      </c>
      <c r="D12049">
        <f>VLOOKUP(D12024,'Detail Balok'!$C$10:$BJ$110,51,FALSE)</f>
        <v>0</v>
      </c>
      <c r="E12049" t="str">
        <v>D</v>
      </c>
      <c r="F12049">
        <f>VLOOKUP(D12024,'Detail Balok'!$C$10:$BJ$110,53,FALSE)</f>
        <v>0</v>
      </c>
      <c r="G12049" t="str">
        <v>-</v>
      </c>
      <c r="H12049">
        <f>VLOOKUP(D12024,'Detail Balok'!$C$10:$BJ$110,55,FALSE)</f>
        <v>100</v>
      </c>
      <c r="J12049">
        <f>(D12025-2*F$5)/1000</f>
        <v>0.12</v>
      </c>
      <c r="K12049" t="str">
        <v>+</v>
      </c>
      <c r="L12049">
        <f>IF(D12049=0,2*MAX(6*F12049,75),(D12049-1)*2*MAX(6*F12049,75))/1000</f>
        <v>0.15</v>
      </c>
      <c r="M12049" t="str">
        <v>=</v>
      </c>
      <c r="N12049">
        <f>J12049+L12049</f>
        <v>0.27</v>
      </c>
      <c r="T12049" t="str">
        <v>x</v>
      </c>
      <c r="U12049">
        <f>0.006165*F12049^2</f>
        <v>0</v>
      </c>
      <c r="V12049" t="str">
        <v>x</v>
      </c>
      <c r="W12049">
        <f>W12045</f>
        <v>15</v>
      </c>
      <c r="X12049" t="str">
        <v>x</v>
      </c>
      <c r="Y12049">
        <f>D12034</f>
        <v>0</v>
      </c>
      <c r="Z12049" t="str">
        <v>=</v>
      </c>
      <c r="AA12049">
        <f>N12049*U12049*W12049*Y12049</f>
        <v>0</v>
      </c>
    </row>
    <row r="12050">
      <c r="A12050" t="str">
        <f>A12024</f>
        <v>Lantai Atap</v>
      </c>
      <c r="B12050">
        <f>B12024</f>
        <v>60</v>
      </c>
      <c r="C12050" t="str">
        <v>Kait Horizontal Tump.</v>
      </c>
      <c r="D12050">
        <f>VLOOKUP(D12024,'Detail Balok'!$C$10:$BJ$110,56,FALSE)</f>
        <v>0</v>
      </c>
      <c r="E12050" t="str">
        <v>D</v>
      </c>
      <c r="F12050">
        <f>VLOOKUP(D12024,'Detail Balok'!$C$10:$BJ$110,58,FALSE)</f>
        <v>0</v>
      </c>
      <c r="G12050" t="str">
        <v>-</v>
      </c>
      <c r="H12050">
        <f>VLOOKUP(D12024,'Detail Balok'!$C$10:$BJ$110,60,FALSE)</f>
        <v>100</v>
      </c>
      <c r="J12050">
        <f>(D12025-2*F$5)/1000</f>
        <v>0.12</v>
      </c>
      <c r="K12050" t="str">
        <v>+</v>
      </c>
      <c r="L12050">
        <f>IF(D12050=0,2*MAX(6*F12050,75),(D12050-1)*2*MAX(6*F12050,75))/1000</f>
        <v>0.15</v>
      </c>
      <c r="M12050" t="str">
        <v>=</v>
      </c>
      <c r="N12050">
        <f>J12050+L12050</f>
        <v>0.27</v>
      </c>
      <c r="T12050" t="str">
        <v>x</v>
      </c>
      <c r="U12050">
        <f>0.006165*F12050^2</f>
        <v>0</v>
      </c>
      <c r="V12050" t="str">
        <v>x</v>
      </c>
      <c r="W12050">
        <f>W12046</f>
        <v>20</v>
      </c>
      <c r="X12050" t="str">
        <v>x</v>
      </c>
      <c r="Y12050">
        <f>D12034</f>
        <v>0</v>
      </c>
      <c r="Z12050" t="str">
        <v>=</v>
      </c>
      <c r="AA12050">
        <f>N12050*U12050*W12050*Y12050</f>
        <v>0</v>
      </c>
    </row>
    <row r="12054">
      <c r="A12054" t="str">
        <f>A12024</f>
        <v>Lantai Atap</v>
      </c>
      <c r="B12054">
        <f>B12024+1</f>
        <v>61</v>
      </c>
      <c r="C12054" t="str">
        <f>CONCATENATE(A12054," no. ",B12054)</f>
        <v>Lantai Atap no. 61</v>
      </c>
      <c r="D12054" t="str">
        <f>VLOOKUP(C12054,'Data Panjang Balok'!$C$9:$N$424,2,FALSE)</f>
        <v>B245-1</v>
      </c>
    </row>
    <row r="12055">
      <c r="C12055" t="str">
        <v>Dimensi</v>
      </c>
      <c r="D12055">
        <f>VLOOKUP(D12054,'Detail Balok'!$C$10:$AU$110,2,FALSE)</f>
        <v>200</v>
      </c>
      <c r="F12055" t="str">
        <v>x</v>
      </c>
      <c r="G12055">
        <f>VLOOKUP(D12054,'Detail Balok'!$C$10:$AU$110,3,FALSE)</f>
        <v>450</v>
      </c>
    </row>
    <row r="12056">
      <c r="C12056" t="str">
        <v>Panjang as ke as</v>
      </c>
      <c r="D12056">
        <f>VLOOKUP(C12054,'Data Panjang Balok'!$C$9:$N$424,4,FALSE)</f>
        <v>2000</v>
      </c>
    </row>
    <row r="12057">
      <c r="C12057" t="str">
        <v>Panjang netto</v>
      </c>
      <c r="D12057">
        <f>VLOOKUP(C12054,'Data Panjang Balok'!$C$9:$N$424,7,FALSE)</f>
        <v>2000</v>
      </c>
    </row>
    <row r="12058">
      <c r="C12058" t="str">
        <v>Kolom / balok kiri</v>
      </c>
      <c r="D12058">
        <f>VLOOKUP(C12054,'Data Panjang Balok'!$C$9:$N$424,9,FALSE)</f>
        <v>0</v>
      </c>
    </row>
    <row r="12059">
      <c r="C12059" t="str">
        <v>Kolom / balok kanan</v>
      </c>
      <c r="D12059">
        <f>VLOOKUP(C12054,'Data Panjang Balok'!$C$9:$N$424,10,FALSE)</f>
        <v>0</v>
      </c>
    </row>
    <row r="12060">
      <c r="C12060" t="str">
        <v>Jumlah</v>
      </c>
      <c r="D12060">
        <f>VLOOKUP(C12054,'Data Panjang Balok'!$C$9:$N$424,3,FALSE)</f>
        <v>1</v>
      </c>
    </row>
    <row r="12061">
      <c r="A12061" t="str">
        <f>A12054</f>
        <v>Lantai Atap</v>
      </c>
      <c r="B12061">
        <f>B12054</f>
        <v>61</v>
      </c>
      <c r="C12061" t="str">
        <v>Tul Atas Tumpuan</v>
      </c>
      <c r="D12061">
        <f>VLOOKUP(D12054,'Detail Balok'!$C$10:$AU$110,4,FALSE)</f>
        <v>2</v>
      </c>
      <c r="E12061" t="str">
        <v>D</v>
      </c>
      <c r="F12061">
        <f>VLOOKUP(D12054,'Detail Balok'!$C$10:$AU$110,6,FALSE)</f>
        <v>13</v>
      </c>
      <c r="I12061" t="str">
        <v>(</v>
      </c>
      <c r="J12061">
        <f>+D12056/4/1000</f>
        <v>0.5</v>
      </c>
      <c r="K12061" t="str">
        <v>+</v>
      </c>
      <c r="L12061">
        <f>MAX(VLOOKUP(F12061,N$6:P$15,3,FALSE)/1000,2/3*D12058/1000)+F$16*F12061/1000</f>
        <v>0.156</v>
      </c>
      <c r="M12061" t="str">
        <v>=</v>
      </c>
      <c r="N12061">
        <f>J12061+L12061</f>
        <v>0.656</v>
      </c>
      <c r="O12061" t="str">
        <v>+</v>
      </c>
      <c r="P12061">
        <f>D12061-D12062</f>
        <v>0</v>
      </c>
      <c r="Q12061" t="str">
        <v>x</v>
      </c>
      <c r="R12061">
        <f>IF(P12061&gt;0,$F$18*F12061/1000,0)</f>
        <v>0</v>
      </c>
      <c r="S12061" t="str">
        <v>)</v>
      </c>
      <c r="T12061" t="str">
        <v>x</v>
      </c>
      <c r="U12061">
        <f>0.006165*F12061^2</f>
        <v>1.041885</v>
      </c>
      <c r="X12061" t="str">
        <v>x</v>
      </c>
      <c r="Y12061">
        <f>D12060</f>
        <v>1</v>
      </c>
      <c r="Z12061" t="str">
        <v>=</v>
      </c>
      <c r="AA12061">
        <f>IF(AA12064=0,(D12061*N12061+P12061*R12061)*U12061*Y12061,0)</f>
        <v>0</v>
      </c>
    </row>
    <row r="12062">
      <c r="A12062" t="str">
        <f>A12054</f>
        <v>Lantai Atap</v>
      </c>
      <c r="B12062">
        <f>B12054</f>
        <v>61</v>
      </c>
      <c r="C12062" t="str">
        <v>Tul Atas Lapangan</v>
      </c>
      <c r="D12062">
        <f>VLOOKUP(D12054,'Detail Balok'!$C$10:$AU$110,7,FALSE)</f>
        <v>2</v>
      </c>
      <c r="E12062" t="str">
        <v>D</v>
      </c>
      <c r="F12062">
        <f>VLOOKUP(D12054,'Detail Balok'!$C$10:$AU$110,9,FALSE)</f>
        <v>13</v>
      </c>
      <c r="I12062" t="str">
        <v>(</v>
      </c>
      <c r="J12062">
        <f>+D12056/2/1000</f>
        <v>1</v>
      </c>
      <c r="K12062" t="str">
        <v>+</v>
      </c>
      <c r="M12062" t="str">
        <v>=</v>
      </c>
      <c r="N12062">
        <f>J12062+L12062</f>
        <v>1</v>
      </c>
      <c r="O12062" t="str">
        <v>+</v>
      </c>
      <c r="P12062">
        <f>MAX(D12062-D12061,D12062-D12063)</f>
        <v>0</v>
      </c>
      <c r="Q12062" t="str">
        <v>x</v>
      </c>
      <c r="R12062">
        <f>IF(P12062&gt;0,2*(1-2*$F$19-1/2)*D12057/1000,0)</f>
        <v>0</v>
      </c>
      <c r="S12062" t="str">
        <v>)</v>
      </c>
      <c r="T12062" t="str">
        <v>x</v>
      </c>
      <c r="U12062">
        <f>0.006165*F12062^2</f>
        <v>1.041885</v>
      </c>
      <c r="X12062" t="str">
        <v>x</v>
      </c>
      <c r="Y12062">
        <f>D12060</f>
        <v>1</v>
      </c>
      <c r="Z12062" t="str">
        <v>=</v>
      </c>
      <c r="AA12062">
        <f>IF(AA12064=0,(D12062*N12062+P12062*R12062)*U12062*Y12062,0)</f>
        <v>0</v>
      </c>
    </row>
    <row r="12063">
      <c r="A12063" t="str">
        <f>A12054</f>
        <v>Lantai Atap</v>
      </c>
      <c r="B12063">
        <f>B12054</f>
        <v>61</v>
      </c>
      <c r="C12063" t="str">
        <v>Tul Atas Tumpuan</v>
      </c>
      <c r="D12063">
        <f>VLOOKUP(D12054,'Detail Balok'!$C$10:$AU$110,10,FALSE)</f>
        <v>2</v>
      </c>
      <c r="E12063" t="str">
        <v>D</v>
      </c>
      <c r="F12063">
        <f>VLOOKUP(D12054,'Detail Balok'!$C$10:$AU$110,12,FALSE)</f>
        <v>13</v>
      </c>
      <c r="I12063" t="str">
        <v>(</v>
      </c>
      <c r="J12063">
        <f>+D12056/4/1000</f>
        <v>0.5</v>
      </c>
      <c r="K12063" t="str">
        <v>+</v>
      </c>
      <c r="L12063">
        <f>MAX(VLOOKUP(F12063,N$6:P$15,3,FALSE)/1000,2/3*D12058/1000)+F$16*F12063/1000</f>
        <v>0.156</v>
      </c>
      <c r="M12063" t="str">
        <v>=</v>
      </c>
      <c r="N12063">
        <f>J12063+L12063</f>
        <v>0.656</v>
      </c>
      <c r="O12063" t="str">
        <v>+</v>
      </c>
      <c r="P12063">
        <f>D12063-D12062</f>
        <v>0</v>
      </c>
      <c r="Q12063" t="str">
        <v>x</v>
      </c>
      <c r="R12063">
        <f>IF(P12063&gt;0,$F$18*F12063/1000,0)</f>
        <v>0</v>
      </c>
      <c r="S12063" t="str">
        <v>)</v>
      </c>
      <c r="T12063" t="str">
        <v>x</v>
      </c>
      <c r="U12063">
        <f>0.006165*F12063^2</f>
        <v>1.041885</v>
      </c>
      <c r="X12063" t="str">
        <v>x</v>
      </c>
      <c r="Y12063">
        <f>D12060</f>
        <v>1</v>
      </c>
      <c r="Z12063" t="str">
        <v>=</v>
      </c>
      <c r="AA12063">
        <f>IF(AA12064=0,(D12063*N12063+P12063*R12063)*U12063*Y12063,0)</f>
        <v>0</v>
      </c>
    </row>
    <row r="12064">
      <c r="A12064" t="str">
        <f>A12054</f>
        <v>Lantai Atap</v>
      </c>
      <c r="B12064">
        <f>B12054</f>
        <v>61</v>
      </c>
      <c r="D12064">
        <f>IF(AND(D12061=D12062,D12062=D12063,D12061=D12063),D12061,0)</f>
        <v>2</v>
      </c>
      <c r="E12064" t="str">
        <v>D</v>
      </c>
      <c r="F12064">
        <f>IF(AND(F12061=F12062,F12061=F12063,F12062=F12063),F12061,0)</f>
        <v>13</v>
      </c>
      <c r="L12064" t="str">
        <v>Total panjang per balok</v>
      </c>
      <c r="M12064" t="str">
        <v>=</v>
      </c>
      <c r="N12064">
        <f>IF(AND(D12061=D12062,D12061=D12063,D12062=D12063,F12061=F12062,F12061=F12063,F12062=F12063),SUM(N12061:N12063),0)</f>
        <v>2.3120000000000003</v>
      </c>
      <c r="O12064" t="str">
        <v>+</v>
      </c>
      <c r="P12064">
        <f>IF(N12064&gt;12,ROUNDDOWN(N12064/12,0),0)</f>
        <v>0</v>
      </c>
      <c r="Q12064" t="str">
        <v>x</v>
      </c>
      <c r="R12064">
        <f>IF(P12064&gt;0,MAX(VLOOKUP(F12064,$D$6:$G$15,3,FALSE),600),0)/1000</f>
        <v>0</v>
      </c>
      <c r="T12064" t="str">
        <v>x</v>
      </c>
      <c r="U12064">
        <f>U12063</f>
        <v>1.041885</v>
      </c>
      <c r="V12064" t="str">
        <v>x</v>
      </c>
      <c r="W12064">
        <f>D12064</f>
        <v>2</v>
      </c>
      <c r="X12064" t="str">
        <v>x</v>
      </c>
      <c r="Y12064">
        <f>Y12063</f>
        <v>1</v>
      </c>
      <c r="Z12064" t="str">
        <v>=</v>
      </c>
      <c r="AA12064">
        <f>(N12064+P12064*R12064/1000)*U12064*W12064*Y12064</f>
        <v>4.81767624</v>
      </c>
    </row>
    <row r="12066">
      <c r="A12066" t="str">
        <f>A12054</f>
        <v>Lantai Atap</v>
      </c>
      <c r="B12066">
        <f>B12054</f>
        <v>61</v>
      </c>
      <c r="C12066" t="str">
        <v>Tul Peminggang</v>
      </c>
      <c r="D12066">
        <f>VLOOKUP(D12054,'Detail Balok'!$C$10:$AU$110,13,FALSE)</f>
        <v>2</v>
      </c>
      <c r="E12066" t="str">
        <v>D</v>
      </c>
      <c r="F12066">
        <f>VLOOKUP(D12054,'Detail Balok'!$C$10:$AU$110,15,FALSE)</f>
        <v>8</v>
      </c>
      <c r="J12066">
        <f>+D12056/1000</f>
        <v>2</v>
      </c>
      <c r="K12066" t="str">
        <v>+</v>
      </c>
      <c r="L12066">
        <f>2*$F$16*F12066/1000</f>
        <v>0.192</v>
      </c>
      <c r="M12066" t="str">
        <v>=</v>
      </c>
      <c r="N12066">
        <f>J12066+L12066</f>
        <v>2.192</v>
      </c>
      <c r="O12066" t="str">
        <v>+</v>
      </c>
      <c r="P12066">
        <f>IF(N12066&gt;12,ROUNDDOWN(N12066/12,0),0)</f>
        <v>0</v>
      </c>
      <c r="Q12066" t="str">
        <v>x</v>
      </c>
      <c r="R12066">
        <f>IF(P12066&gt;0,MAX(VLOOKUP(F12066,$D$6:$G$15,3,FALSE),600),0)/1000</f>
        <v>0</v>
      </c>
      <c r="T12066" t="str">
        <v>x</v>
      </c>
      <c r="U12066">
        <f>0.006165*F12066^2</f>
        <v>0.39456</v>
      </c>
      <c r="V12066" t="str">
        <v>x</v>
      </c>
      <c r="W12066">
        <f>+D12066</f>
        <v>2</v>
      </c>
      <c r="X12066" t="str">
        <v>x</v>
      </c>
      <c r="Y12066">
        <f>D12060</f>
        <v>1</v>
      </c>
      <c r="Z12066" t="str">
        <v>=</v>
      </c>
      <c r="AA12066">
        <f>(N12066+P12066*R12066/1000)*U12066*W12066*Y12066</f>
        <v>1.7297510400000002</v>
      </c>
    </row>
    <row r="12069">
      <c r="A12069" t="str">
        <f>A12054</f>
        <v>Lantai Atap</v>
      </c>
      <c r="B12069">
        <f>B12054</f>
        <v>61</v>
      </c>
      <c r="C12069" t="str">
        <v>Tul Bawah Tumpuan</v>
      </c>
      <c r="D12069">
        <f>VLOOKUP(D12054,'Detail Balok'!$C$10:$AU$110,22,FALSE)</f>
        <v>2</v>
      </c>
      <c r="E12069" t="str">
        <v>D</v>
      </c>
      <c r="F12069">
        <f>VLOOKUP(D12054,'Detail Balok'!$C$10:$AU$110,24,FALSE)</f>
        <v>13</v>
      </c>
      <c r="I12069" t="str">
        <v>(</v>
      </c>
      <c r="J12069">
        <f>+J12061</f>
        <v>0.5</v>
      </c>
      <c r="K12069" t="str">
        <v>+</v>
      </c>
      <c r="L12069">
        <f>MAX(VLOOKUP(F12069,N$6:P$15,3,FALSE)/1000,2/3*D12059/1000)+F$16*F12069/1000</f>
        <v>0.156</v>
      </c>
      <c r="M12069" t="str">
        <v>=</v>
      </c>
      <c r="N12069">
        <f>J12069+L12069</f>
        <v>0.656</v>
      </c>
      <c r="O12069" t="str">
        <v>+</v>
      </c>
      <c r="P12069">
        <f>D12069-D12070</f>
        <v>0</v>
      </c>
      <c r="Q12069" t="str">
        <v>x</v>
      </c>
      <c r="R12069">
        <f>IF(P12069&gt;0,$F$18*F12069/1000,0)</f>
        <v>0</v>
      </c>
      <c r="S12069" t="str">
        <v>)</v>
      </c>
      <c r="T12069" t="str">
        <v>x</v>
      </c>
      <c r="U12069">
        <f>0.006165*F12069^2</f>
        <v>1.041885</v>
      </c>
      <c r="X12069" t="str">
        <v>x</v>
      </c>
      <c r="Y12069">
        <f>D12060</f>
        <v>1</v>
      </c>
      <c r="Z12069" t="str">
        <v>=</v>
      </c>
      <c r="AA12069">
        <f>IF(AA12072=0,(D12069*N12069+P12069*R12069)*U12069*Y12069,0)</f>
        <v>0</v>
      </c>
    </row>
    <row r="12070">
      <c r="A12070" t="str">
        <f>A12054</f>
        <v>Lantai Atap</v>
      </c>
      <c r="B12070">
        <f>B12054</f>
        <v>61</v>
      </c>
      <c r="C12070" t="str">
        <v>Tul Bawah Lapangan</v>
      </c>
      <c r="D12070">
        <f>VLOOKUP(D12054,'Detail Balok'!$C$10:$AU$110,25,FALSE)</f>
        <v>2</v>
      </c>
      <c r="E12070" t="str">
        <v>D</v>
      </c>
      <c r="F12070">
        <f>VLOOKUP(D12054,'Detail Balok'!$C$10:$AU$110,27,FALSE)</f>
        <v>13</v>
      </c>
      <c r="I12070" t="str">
        <v>(</v>
      </c>
      <c r="J12070">
        <f>+J12062</f>
        <v>1</v>
      </c>
      <c r="K12070" t="str">
        <v>+</v>
      </c>
      <c r="M12070" t="str">
        <v>=</v>
      </c>
      <c r="N12070">
        <f>J12070+L12070</f>
        <v>1</v>
      </c>
      <c r="O12070" t="str">
        <v>+</v>
      </c>
      <c r="P12070">
        <f>MAX(D12070-D12069,D12070-D12071)</f>
        <v>0</v>
      </c>
      <c r="Q12070" t="str">
        <v>x</v>
      </c>
      <c r="R12070">
        <f>IF(P12070&gt;0,2*(1-2*$F$19-1/2)*D12057/1000,0)</f>
        <v>0</v>
      </c>
      <c r="S12070" t="str">
        <v>)</v>
      </c>
      <c r="T12070" t="str">
        <v>x</v>
      </c>
      <c r="U12070">
        <f>0.006165*F12070^2</f>
        <v>1.041885</v>
      </c>
      <c r="X12070" t="str">
        <v>x</v>
      </c>
      <c r="Y12070">
        <f>D12060</f>
        <v>1</v>
      </c>
      <c r="Z12070" t="str">
        <v>=</v>
      </c>
      <c r="AA12070">
        <f>IF(AA12072=0,(D12070*N12070+P12070*R12070)*U12070*Y12070,0)</f>
        <v>0</v>
      </c>
    </row>
    <row r="12071">
      <c r="A12071" t="str">
        <f>A12054</f>
        <v>Lantai Atap</v>
      </c>
      <c r="B12071">
        <f>B12054</f>
        <v>61</v>
      </c>
      <c r="C12071" t="str">
        <v>Tul Bawah Tumpuan</v>
      </c>
      <c r="D12071">
        <f>VLOOKUP(D12054,'Detail Balok'!$C$10:$AU$110,28,FALSE)</f>
        <v>2</v>
      </c>
      <c r="E12071" t="str">
        <v>D</v>
      </c>
      <c r="F12071">
        <f>VLOOKUP(D12054,'Detail Balok'!$C$10:$AU$110,30,FALSE)</f>
        <v>13</v>
      </c>
      <c r="I12071" t="str">
        <v>(</v>
      </c>
      <c r="J12071">
        <f>+J12063</f>
        <v>0.5</v>
      </c>
      <c r="K12071" t="str">
        <v>+</v>
      </c>
      <c r="L12071">
        <f>MAX(VLOOKUP(F12071,N$6:P$15,3,FALSE)/1000,2/3*D12059/1000)+F$16*F12071/1000</f>
        <v>0.156</v>
      </c>
      <c r="M12071" t="str">
        <v>=</v>
      </c>
      <c r="N12071">
        <f>J12071+L12071</f>
        <v>0.656</v>
      </c>
      <c r="O12071" t="str">
        <v>+</v>
      </c>
      <c r="P12071">
        <f>D12071-D12070</f>
        <v>0</v>
      </c>
      <c r="Q12071" t="str">
        <v>x</v>
      </c>
      <c r="R12071">
        <f>IF(P12071&gt;0,$F$18*F12071/1000,0)</f>
        <v>0</v>
      </c>
      <c r="S12071" t="str">
        <v>)</v>
      </c>
      <c r="T12071" t="str">
        <v>x</v>
      </c>
      <c r="U12071">
        <f>0.006165*F12071^2</f>
        <v>1.041885</v>
      </c>
      <c r="X12071" t="str">
        <v>x</v>
      </c>
      <c r="Y12071">
        <f>D12060</f>
        <v>1</v>
      </c>
      <c r="Z12071" t="str">
        <v>=</v>
      </c>
      <c r="AA12071">
        <f>IF(AA12072=0,(D12071*N12071+P12071*R12071)*U12071*Y12071,0)</f>
        <v>0</v>
      </c>
    </row>
    <row r="12072">
      <c r="A12072" t="str">
        <f>A12054</f>
        <v>Lantai Atap</v>
      </c>
      <c r="B12072">
        <f>B12054</f>
        <v>61</v>
      </c>
      <c r="D12072">
        <f>IF(AND(D12069=D12070,D12070=D12071,D12069=D12071),D12069,0)</f>
        <v>2</v>
      </c>
      <c r="E12072" t="str">
        <v>D</v>
      </c>
      <c r="F12072">
        <f>IF(AND(F12069=F12070,F12069=F12071,F12070=F12071),F12069,0)</f>
        <v>13</v>
      </c>
      <c r="L12072" t="str">
        <v>Total panjang per balok</v>
      </c>
      <c r="M12072" t="str">
        <v>=</v>
      </c>
      <c r="N12072">
        <f>IF(AND(D12069=D12070,D12069=D12071,D12070=D12071,F12069=F12070,F12069=F12071,F12070=F12071),SUM(N12069:N12071),0)</f>
        <v>2.3120000000000003</v>
      </c>
      <c r="O12072" t="str">
        <v>+</v>
      </c>
      <c r="P12072">
        <f>IF(N12072&gt;12,ROUNDDOWN(N12072/12,0),0)</f>
        <v>0</v>
      </c>
      <c r="Q12072" t="str">
        <v>x</v>
      </c>
      <c r="R12072">
        <f>IF(P12072&gt;0,MAX(VLOOKUP(F12072,$D$6:$G$15,3,FALSE),600),0)/1000</f>
        <v>0</v>
      </c>
      <c r="T12072" t="str">
        <v>x</v>
      </c>
      <c r="U12072">
        <f>U12071</f>
        <v>1.041885</v>
      </c>
      <c r="V12072" t="str">
        <v>x</v>
      </c>
      <c r="W12072">
        <f>D12072</f>
        <v>2</v>
      </c>
      <c r="X12072" t="str">
        <v>x</v>
      </c>
      <c r="Y12072">
        <f>Y12071</f>
        <v>1</v>
      </c>
      <c r="Z12072" t="str">
        <v>=</v>
      </c>
      <c r="AA12072">
        <f>(N12072+P12072*R12072/1000)*U12072*W12072*Y12072</f>
        <v>4.81767624</v>
      </c>
    </row>
    <row r="12074">
      <c r="A12074" t="str">
        <f>A12054</f>
        <v>Lantai Atap</v>
      </c>
      <c r="B12074">
        <f>B12054</f>
        <v>61</v>
      </c>
      <c r="C12074" t="str">
        <v>Sengkang Tumpuan</v>
      </c>
      <c r="D12074">
        <f>VLOOKUP(D12054,'Detail Balok'!$C$10:$AU$110,31,FALSE)</f>
        <v>0</v>
      </c>
      <c r="E12074" t="str">
        <v>D</v>
      </c>
      <c r="F12074">
        <f>VLOOKUP(D12054,'Detail Balok'!$C$10:$AU$110,33,FALSE)</f>
        <v>8</v>
      </c>
      <c r="G12074" t="str">
        <v>-</v>
      </c>
      <c r="H12074">
        <f>VLOOKUP(D12054,'Detail Balok'!$C$10:$AU$110,35,FALSE)</f>
        <v>100</v>
      </c>
      <c r="J12074">
        <f>(IF(D12074=0,(2*(D12055+G12055))-(F$5*8),IF(D12074=3,(2*(D12055+G12055))-(F$5*8)+(G12055-2*F$5),IF(D12074=4,(2*(D12055+G12055))-(F$5*8)+2*(G12055-2*F$5)))))/1000</f>
        <v>0.98</v>
      </c>
      <c r="K12074" t="str">
        <v>+</v>
      </c>
      <c r="L12074">
        <f>IF(D12074=0,2*MAX(6*F12074,75),(D12074-1)*2*MAX(6*F12074,75))/1000</f>
        <v>0.15</v>
      </c>
      <c r="M12074" t="str">
        <v>=</v>
      </c>
      <c r="N12074">
        <f>J12074+L12074</f>
        <v>1.13</v>
      </c>
      <c r="T12074" t="str">
        <v>x</v>
      </c>
      <c r="U12074">
        <f>0.006165*F12074^2</f>
        <v>0.39456</v>
      </c>
      <c r="V12074" t="str">
        <v>x</v>
      </c>
      <c r="W12074">
        <f>IF(D12057&gt;4*G12055,ROUND(MAX(D12057/4,2*G12055)/H12074,0)+1,ROUND(D12057/H12074,0)+1)</f>
        <v>10</v>
      </c>
      <c r="X12074" t="str">
        <v>x</v>
      </c>
      <c r="Y12074">
        <f>D12060</f>
        <v>1</v>
      </c>
      <c r="Z12074" t="str">
        <v>=</v>
      </c>
      <c r="AA12074">
        <f>N12074*U12074*W12074*Y12074</f>
        <v>4.458528</v>
      </c>
    </row>
    <row r="12075">
      <c r="A12075" t="str">
        <f>A12054</f>
        <v>Lantai Atap</v>
      </c>
      <c r="B12075">
        <f>B12054</f>
        <v>61</v>
      </c>
      <c r="C12075" t="str">
        <v>Sengkang Lapangan</v>
      </c>
      <c r="D12075">
        <f>VLOOKUP(D12054,'Detail Balok'!$C$10:$AU$110,36,FALSE)</f>
        <v>0</v>
      </c>
      <c r="E12075" t="str">
        <v>D</v>
      </c>
      <c r="F12075">
        <f>VLOOKUP(D12054,'Detail Balok'!$C$10:$AU$110,38,FALSE)</f>
        <v>8</v>
      </c>
      <c r="G12075" t="str">
        <v>-</v>
      </c>
      <c r="H12075">
        <f>VLOOKUP(D12054,'Detail Balok'!$C$10:$AU$110,40,FALSE)</f>
        <v>200</v>
      </c>
      <c r="J12075">
        <f>(IF(D12075=0,(2*(D12055+G12055))-(F$5*8),IF(D12075=3,(2*(D12055+G12055))-(F$5*8)+(G12055-2*F$5),IF(D12075=4,(2*(D12055+G12055))-(F$5*8)+2*(G12055-2*F$5)))))/1000</f>
        <v>0.98</v>
      </c>
      <c r="K12075" t="str">
        <v>+</v>
      </c>
      <c r="L12075">
        <f>IF(D12075=0,2*MAX(6*F12075,75),(D12075-1)*2*MAX(6*F12075,75))/1000</f>
        <v>0.15</v>
      </c>
      <c r="M12075" t="str">
        <v>=</v>
      </c>
      <c r="N12075">
        <f>J12075+L12075</f>
        <v>1.13</v>
      </c>
      <c r="T12075" t="str">
        <v>x</v>
      </c>
      <c r="U12075">
        <f>0.006165*F12075^2</f>
        <v>0.39456</v>
      </c>
      <c r="V12075" t="str">
        <v>x</v>
      </c>
      <c r="W12075">
        <f>IF(D12057-MAX(D12057/4,2*G12055)*2&gt;0,ROUND((D12057-MAX(D12057/4,2*G12055)*2)/H12075,0),0)</f>
        <v>1</v>
      </c>
      <c r="X12075" t="str">
        <v>x</v>
      </c>
      <c r="Y12075">
        <f>D12060</f>
        <v>1</v>
      </c>
      <c r="Z12075" t="str">
        <v>=</v>
      </c>
      <c r="AA12075">
        <f>N12075*U12075*W12075*Y12075</f>
        <v>0.4458528</v>
      </c>
    </row>
    <row r="12076">
      <c r="A12076" t="str">
        <f>A12054</f>
        <v>Lantai Atap</v>
      </c>
      <c r="B12076">
        <f>B12054</f>
        <v>61</v>
      </c>
      <c r="C12076" t="str">
        <v>Sengkang Tumpuan</v>
      </c>
      <c r="D12076">
        <f>VLOOKUP(D12054,'Detail Balok'!$C$10:$AU$110,41,FALSE)</f>
        <v>0</v>
      </c>
      <c r="E12076" t="str">
        <v>D</v>
      </c>
      <c r="F12076">
        <f>VLOOKUP(D12054,'Detail Balok'!$C$10:$AU$110,43,FALSE)</f>
        <v>8</v>
      </c>
      <c r="G12076" t="str">
        <v>-</v>
      </c>
      <c r="H12076">
        <f>VLOOKUP(D12054,'Detail Balok'!$C$10:$AU$110,45,FALSE)</f>
        <v>100</v>
      </c>
      <c r="J12076">
        <f>(IF(D12076=0,(2*(D12055+G12055))-(F$5*8),IF(D12076=3,(2*(D12055+G12055))-(F$5*8)+(G12055-2*F$5),IF(D12076=4,(2*(D12055+G12055))-(F$5*8)+2*(G12055-2*F$5)))))/1000</f>
        <v>0.98</v>
      </c>
      <c r="K12076" t="str">
        <v>+</v>
      </c>
      <c r="L12076">
        <f>IF(D12076=0,2*MAX(6*F12076,75),(D12076-1)*2*MAX(6*F12076,75))/1000</f>
        <v>0.15</v>
      </c>
      <c r="M12076" t="str">
        <v>=</v>
      </c>
      <c r="N12076">
        <f>J12076+L12076</f>
        <v>1.13</v>
      </c>
      <c r="T12076" t="str">
        <v>x</v>
      </c>
      <c r="U12076">
        <f>0.006165*F12076^2</f>
        <v>0.39456</v>
      </c>
      <c r="V12076" t="str">
        <v>x</v>
      </c>
      <c r="W12076">
        <f>IF(D12057&gt;4*G12055,ROUND(MAX(D12057/4,2*G12055)/H12076,0)+1,0)</f>
        <v>10</v>
      </c>
      <c r="X12076" t="str">
        <v>x</v>
      </c>
      <c r="Y12076">
        <f>D12060</f>
        <v>1</v>
      </c>
      <c r="Z12076" t="str">
        <v>=</v>
      </c>
      <c r="AA12076">
        <f>N12076*U12076*W12076*Y12076</f>
        <v>4.458528</v>
      </c>
    </row>
    <row r="12078">
      <c r="A12078" t="str">
        <f>A12054</f>
        <v>Lantai Atap</v>
      </c>
      <c r="B12078">
        <f>B12054</f>
        <v>61</v>
      </c>
      <c r="C12078" t="str">
        <v>Kait Horizontal Tump.</v>
      </c>
      <c r="D12078">
        <f>VLOOKUP(D12054,'Detail Balok'!$C$10:$BJ$110,46,FALSE)</f>
        <v>0</v>
      </c>
      <c r="E12078" t="str">
        <v>D</v>
      </c>
      <c r="F12078">
        <f>VLOOKUP(D12054,'Detail Balok'!$C$10:$BJ$110,48,FALSE)</f>
        <v>0</v>
      </c>
      <c r="G12078" t="str">
        <v>-</v>
      </c>
      <c r="H12078">
        <f>VLOOKUP(D12054,'Detail Balok'!$C$10:$BJ$110,50,FALSE)</f>
        <v>100</v>
      </c>
      <c r="J12078">
        <f>(D12055-2*F$5)/1000</f>
        <v>0.12</v>
      </c>
      <c r="K12078" t="str">
        <v>+</v>
      </c>
      <c r="L12078">
        <f>IF(D12078=0,2*MAX(6*F12078,75),(D12078-1)*2*MAX(6*F12078,75))/1000</f>
        <v>0.15</v>
      </c>
      <c r="M12078" t="str">
        <v>=</v>
      </c>
      <c r="N12078">
        <f>J12078+L12078</f>
        <v>0.27</v>
      </c>
      <c r="T12078" t="str">
        <v>x</v>
      </c>
      <c r="U12078">
        <f>0.006165*F12078^2</f>
        <v>0</v>
      </c>
      <c r="V12078" t="str">
        <v>x</v>
      </c>
      <c r="W12078">
        <f>W12074</f>
        <v>10</v>
      </c>
      <c r="X12078" t="str">
        <v>x</v>
      </c>
      <c r="Y12078">
        <f>D12064</f>
        <v>2</v>
      </c>
      <c r="Z12078" t="str">
        <v>=</v>
      </c>
      <c r="AA12078">
        <f>N12078*U12078*W12078*Y12078</f>
        <v>0</v>
      </c>
    </row>
    <row r="12079">
      <c r="A12079" t="str">
        <f>A12054</f>
        <v>Lantai Atap</v>
      </c>
      <c r="B12079">
        <f>B12054</f>
        <v>61</v>
      </c>
      <c r="C12079" t="str">
        <v>Kait Horizontal Lap.</v>
      </c>
      <c r="D12079">
        <f>VLOOKUP(D12054,'Detail Balok'!$C$10:$BJ$110,51,FALSE)</f>
        <v>0</v>
      </c>
      <c r="E12079" t="str">
        <v>D</v>
      </c>
      <c r="F12079">
        <f>VLOOKUP(D12054,'Detail Balok'!$C$10:$BJ$110,53,FALSE)</f>
        <v>0</v>
      </c>
      <c r="G12079" t="str">
        <v>-</v>
      </c>
      <c r="H12079">
        <f>VLOOKUP(D12054,'Detail Balok'!$C$10:$BJ$110,55,FALSE)</f>
        <v>100</v>
      </c>
      <c r="J12079">
        <f>(D12055-2*F$5)/1000</f>
        <v>0.12</v>
      </c>
      <c r="K12079" t="str">
        <v>+</v>
      </c>
      <c r="L12079">
        <f>IF(D12079=0,2*MAX(6*F12079,75),(D12079-1)*2*MAX(6*F12079,75))/1000</f>
        <v>0.15</v>
      </c>
      <c r="M12079" t="str">
        <v>=</v>
      </c>
      <c r="N12079">
        <f>J12079+L12079</f>
        <v>0.27</v>
      </c>
      <c r="T12079" t="str">
        <v>x</v>
      </c>
      <c r="U12079">
        <f>0.006165*F12079^2</f>
        <v>0</v>
      </c>
      <c r="V12079" t="str">
        <v>x</v>
      </c>
      <c r="W12079">
        <f>W12075</f>
        <v>1</v>
      </c>
      <c r="X12079" t="str">
        <v>x</v>
      </c>
      <c r="Y12079">
        <f>D12064</f>
        <v>2</v>
      </c>
      <c r="Z12079" t="str">
        <v>=</v>
      </c>
      <c r="AA12079">
        <f>N12079*U12079*W12079*Y12079</f>
        <v>0</v>
      </c>
    </row>
    <row r="12080">
      <c r="A12080" t="str">
        <f>A12054</f>
        <v>Lantai Atap</v>
      </c>
      <c r="B12080">
        <f>B12054</f>
        <v>61</v>
      </c>
      <c r="C12080" t="str">
        <v>Kait Horizontal Tump.</v>
      </c>
      <c r="D12080">
        <f>VLOOKUP(D12054,'Detail Balok'!$C$10:$BJ$110,56,FALSE)</f>
        <v>0</v>
      </c>
      <c r="E12080" t="str">
        <v>D</v>
      </c>
      <c r="F12080">
        <f>VLOOKUP(D12054,'Detail Balok'!$C$10:$BJ$110,58,FALSE)</f>
        <v>0</v>
      </c>
      <c r="G12080" t="str">
        <v>-</v>
      </c>
      <c r="H12080">
        <f>VLOOKUP(D12054,'Detail Balok'!$C$10:$BJ$110,60,FALSE)</f>
        <v>100</v>
      </c>
      <c r="J12080">
        <f>(D12055-2*F$5)/1000</f>
        <v>0.12</v>
      </c>
      <c r="K12080" t="str">
        <v>+</v>
      </c>
      <c r="L12080">
        <f>IF(D12080=0,2*MAX(6*F12080,75),(D12080-1)*2*MAX(6*F12080,75))/1000</f>
        <v>0.15</v>
      </c>
      <c r="M12080" t="str">
        <v>=</v>
      </c>
      <c r="N12080">
        <f>J12080+L12080</f>
        <v>0.27</v>
      </c>
      <c r="T12080" t="str">
        <v>x</v>
      </c>
      <c r="U12080">
        <f>0.006165*F12080^2</f>
        <v>0</v>
      </c>
      <c r="V12080" t="str">
        <v>x</v>
      </c>
      <c r="W12080">
        <f>W12076</f>
        <v>10</v>
      </c>
      <c r="X12080" t="str">
        <v>x</v>
      </c>
      <c r="Y12080">
        <f>D12064</f>
        <v>2</v>
      </c>
      <c r="Z12080" t="str">
        <v>=</v>
      </c>
      <c r="AA12080">
        <f>N12080*U12080*W12080*Y12080</f>
        <v>0</v>
      </c>
    </row>
    <row r="12084">
      <c r="A12084" t="str">
        <f>A12054</f>
        <v>Lantai Atap</v>
      </c>
      <c r="B12084">
        <f>B12054+1</f>
        <v>62</v>
      </c>
      <c r="C12084" t="str">
        <f>CONCATENATE(A12084," no. ",B12084)</f>
        <v>Lantai Atap no. 62</v>
      </c>
      <c r="D12084" t="str">
        <f>VLOOKUP(C12084,'Data Panjang Balok'!$C$9:$N$424,2,FALSE)</f>
        <v>B24-1</v>
      </c>
    </row>
    <row r="12085">
      <c r="C12085" t="str">
        <v>Dimensi</v>
      </c>
      <c r="D12085">
        <f>VLOOKUP(D12084,'Detail Balok'!$C$10:$AU$110,2,FALSE)</f>
        <v>200</v>
      </c>
      <c r="F12085" t="str">
        <v>x</v>
      </c>
      <c r="G12085">
        <f>VLOOKUP(D12084,'Detail Balok'!$C$10:$AU$110,3,FALSE)</f>
        <v>400</v>
      </c>
    </row>
    <row r="12086">
      <c r="C12086" t="str">
        <v>Panjang as ke as</v>
      </c>
      <c r="D12086">
        <f>VLOOKUP(C12084,'Data Panjang Balok'!$C$9:$N$424,4,FALSE)</f>
        <v>2000</v>
      </c>
    </row>
    <row r="12087">
      <c r="C12087" t="str">
        <v>Panjang netto</v>
      </c>
      <c r="D12087">
        <f>VLOOKUP(C12084,'Data Panjang Balok'!$C$9:$N$424,7,FALSE)</f>
        <v>2000</v>
      </c>
    </row>
    <row r="12088">
      <c r="C12088" t="str">
        <v>Kolom / balok kiri</v>
      </c>
      <c r="D12088">
        <f>VLOOKUP(C12084,'Data Panjang Balok'!$C$9:$N$424,9,FALSE)</f>
        <v>0</v>
      </c>
    </row>
    <row r="12089">
      <c r="C12089" t="str">
        <v>Kolom / balok kanan</v>
      </c>
      <c r="D12089">
        <f>VLOOKUP(C12084,'Data Panjang Balok'!$C$9:$N$424,10,FALSE)</f>
        <v>0</v>
      </c>
    </row>
    <row r="12090">
      <c r="C12090" t="str">
        <v>Jumlah</v>
      </c>
      <c r="D12090">
        <f>VLOOKUP(C12084,'Data Panjang Balok'!$C$9:$N$424,3,FALSE)</f>
        <v>1</v>
      </c>
    </row>
    <row r="12091">
      <c r="A12091" t="str">
        <f>A12084</f>
        <v>Lantai Atap</v>
      </c>
      <c r="B12091">
        <f>B12084</f>
        <v>62</v>
      </c>
      <c r="C12091" t="str">
        <v>Tul Atas Tumpuan</v>
      </c>
      <c r="D12091">
        <f>VLOOKUP(D12084,'Detail Balok'!$C$10:$AU$110,4,FALSE)</f>
        <v>2</v>
      </c>
      <c r="E12091" t="str">
        <v>D</v>
      </c>
      <c r="F12091">
        <f>VLOOKUP(D12084,'Detail Balok'!$C$10:$AU$110,6,FALSE)</f>
        <v>13</v>
      </c>
      <c r="I12091" t="str">
        <v>(</v>
      </c>
      <c r="J12091">
        <f>+D12086/4/1000</f>
        <v>0.5</v>
      </c>
      <c r="K12091" t="str">
        <v>+</v>
      </c>
      <c r="L12091">
        <f>MAX(VLOOKUP(F12091,N$6:P$15,3,FALSE)/1000,2/3*D12088/1000)+F$16*F12091/1000</f>
        <v>0.156</v>
      </c>
      <c r="M12091" t="str">
        <v>=</v>
      </c>
      <c r="N12091">
        <f>J12091+L12091</f>
        <v>0.656</v>
      </c>
      <c r="O12091" t="str">
        <v>+</v>
      </c>
      <c r="P12091">
        <f>D12091-D12092</f>
        <v>0</v>
      </c>
      <c r="Q12091" t="str">
        <v>x</v>
      </c>
      <c r="R12091">
        <f>IF(P12091&gt;0,$F$18*F12091/1000,0)</f>
        <v>0</v>
      </c>
      <c r="S12091" t="str">
        <v>)</v>
      </c>
      <c r="T12091" t="str">
        <v>x</v>
      </c>
      <c r="U12091">
        <f>0.006165*F12091^2</f>
        <v>1.041885</v>
      </c>
      <c r="X12091" t="str">
        <v>x</v>
      </c>
      <c r="Y12091">
        <f>D12090</f>
        <v>1</v>
      </c>
      <c r="Z12091" t="str">
        <v>=</v>
      </c>
      <c r="AA12091">
        <f>IF(AA12094=0,(D12091*N12091+P12091*R12091)*U12091*Y12091,0)</f>
        <v>0</v>
      </c>
    </row>
    <row r="12092">
      <c r="A12092" t="str">
        <f>A12084</f>
        <v>Lantai Atap</v>
      </c>
      <c r="B12092">
        <f>B12084</f>
        <v>62</v>
      </c>
      <c r="C12092" t="str">
        <v>Tul Atas Lapangan</v>
      </c>
      <c r="D12092">
        <f>VLOOKUP(D12084,'Detail Balok'!$C$10:$AU$110,7,FALSE)</f>
        <v>2</v>
      </c>
      <c r="E12092" t="str">
        <v>D</v>
      </c>
      <c r="F12092">
        <f>VLOOKUP(D12084,'Detail Balok'!$C$10:$AU$110,9,FALSE)</f>
        <v>13</v>
      </c>
      <c r="I12092" t="str">
        <v>(</v>
      </c>
      <c r="J12092">
        <f>+D12086/2/1000</f>
        <v>1</v>
      </c>
      <c r="K12092" t="str">
        <v>+</v>
      </c>
      <c r="M12092" t="str">
        <v>=</v>
      </c>
      <c r="N12092">
        <f>J12092+L12092</f>
        <v>1</v>
      </c>
      <c r="O12092" t="str">
        <v>+</v>
      </c>
      <c r="P12092">
        <f>MAX(D12092-D12091,D12092-D12093)</f>
        <v>0</v>
      </c>
      <c r="Q12092" t="str">
        <v>x</v>
      </c>
      <c r="R12092">
        <f>IF(P12092&gt;0,2*(1-2*$F$19-1/2)*D12087/1000,0)</f>
        <v>0</v>
      </c>
      <c r="S12092" t="str">
        <v>)</v>
      </c>
      <c r="T12092" t="str">
        <v>x</v>
      </c>
      <c r="U12092">
        <f>0.006165*F12092^2</f>
        <v>1.041885</v>
      </c>
      <c r="X12092" t="str">
        <v>x</v>
      </c>
      <c r="Y12092">
        <f>D12090</f>
        <v>1</v>
      </c>
      <c r="Z12092" t="str">
        <v>=</v>
      </c>
      <c r="AA12092">
        <f>IF(AA12094=0,(D12092*N12092+P12092*R12092)*U12092*Y12092,0)</f>
        <v>0</v>
      </c>
    </row>
    <row r="12093">
      <c r="A12093" t="str">
        <f>A12084</f>
        <v>Lantai Atap</v>
      </c>
      <c r="B12093">
        <f>B12084</f>
        <v>62</v>
      </c>
      <c r="C12093" t="str">
        <v>Tul Atas Tumpuan</v>
      </c>
      <c r="D12093">
        <f>VLOOKUP(D12084,'Detail Balok'!$C$10:$AU$110,10,FALSE)</f>
        <v>2</v>
      </c>
      <c r="E12093" t="str">
        <v>D</v>
      </c>
      <c r="F12093">
        <f>VLOOKUP(D12084,'Detail Balok'!$C$10:$AU$110,12,FALSE)</f>
        <v>13</v>
      </c>
      <c r="I12093" t="str">
        <v>(</v>
      </c>
      <c r="J12093">
        <f>+D12086/4/1000</f>
        <v>0.5</v>
      </c>
      <c r="K12093" t="str">
        <v>+</v>
      </c>
      <c r="L12093">
        <f>MAX(VLOOKUP(F12093,N$6:P$15,3,FALSE)/1000,2/3*D12088/1000)+F$16*F12093/1000</f>
        <v>0.156</v>
      </c>
      <c r="M12093" t="str">
        <v>=</v>
      </c>
      <c r="N12093">
        <f>J12093+L12093</f>
        <v>0.656</v>
      </c>
      <c r="O12093" t="str">
        <v>+</v>
      </c>
      <c r="P12093">
        <f>D12093-D12092</f>
        <v>0</v>
      </c>
      <c r="Q12093" t="str">
        <v>x</v>
      </c>
      <c r="R12093">
        <f>IF(P12093&gt;0,$F$18*F12093/1000,0)</f>
        <v>0</v>
      </c>
      <c r="S12093" t="str">
        <v>)</v>
      </c>
      <c r="T12093" t="str">
        <v>x</v>
      </c>
      <c r="U12093">
        <f>0.006165*F12093^2</f>
        <v>1.041885</v>
      </c>
      <c r="X12093" t="str">
        <v>x</v>
      </c>
      <c r="Y12093">
        <f>D12090</f>
        <v>1</v>
      </c>
      <c r="Z12093" t="str">
        <v>=</v>
      </c>
      <c r="AA12093">
        <f>IF(AA12094=0,(D12093*N12093+P12093*R12093)*U12093*Y12093,0)</f>
        <v>0</v>
      </c>
    </row>
    <row r="12094">
      <c r="A12094" t="str">
        <f>A12084</f>
        <v>Lantai Atap</v>
      </c>
      <c r="B12094">
        <f>B12084</f>
        <v>62</v>
      </c>
      <c r="D12094">
        <f>IF(AND(D12091=D12092,D12092=D12093,D12091=D12093),D12091,0)</f>
        <v>2</v>
      </c>
      <c r="E12094" t="str">
        <v>D</v>
      </c>
      <c r="F12094">
        <f>IF(AND(F12091=F12092,F12091=F12093,F12092=F12093),F12091,0)</f>
        <v>13</v>
      </c>
      <c r="L12094" t="str">
        <v>Total panjang per balok</v>
      </c>
      <c r="M12094" t="str">
        <v>=</v>
      </c>
      <c r="N12094">
        <f>IF(AND(D12091=D12092,D12091=D12093,D12092=D12093,F12091=F12092,F12091=F12093,F12092=F12093),SUM(N12091:N12093),0)</f>
        <v>2.3120000000000003</v>
      </c>
      <c r="O12094" t="str">
        <v>+</v>
      </c>
      <c r="P12094">
        <f>IF(N12094&gt;12,ROUNDDOWN(N12094/12,0),0)</f>
        <v>0</v>
      </c>
      <c r="Q12094" t="str">
        <v>x</v>
      </c>
      <c r="R12094">
        <f>IF(P12094&gt;0,MAX(VLOOKUP(F12094,$D$6:$G$15,3,FALSE),600),0)/1000</f>
        <v>0</v>
      </c>
      <c r="T12094" t="str">
        <v>x</v>
      </c>
      <c r="U12094">
        <f>U12093</f>
        <v>1.041885</v>
      </c>
      <c r="V12094" t="str">
        <v>x</v>
      </c>
      <c r="W12094">
        <f>D12094</f>
        <v>2</v>
      </c>
      <c r="X12094" t="str">
        <v>x</v>
      </c>
      <c r="Y12094">
        <f>Y12093</f>
        <v>1</v>
      </c>
      <c r="Z12094" t="str">
        <v>=</v>
      </c>
      <c r="AA12094">
        <f>(N12094+P12094*R12094/1000)*U12094*W12094*Y12094</f>
        <v>4.81767624</v>
      </c>
    </row>
    <row r="12096">
      <c r="A12096" t="str">
        <f>A12084</f>
        <v>Lantai Atap</v>
      </c>
      <c r="B12096">
        <f>B12084</f>
        <v>62</v>
      </c>
      <c r="C12096" t="str">
        <v>Tul Peminggang</v>
      </c>
      <c r="D12096">
        <f>VLOOKUP(D12084,'Detail Balok'!$C$10:$AU$110,13,FALSE)</f>
        <v>0</v>
      </c>
      <c r="E12096" t="str">
        <v>D</v>
      </c>
      <c r="F12096">
        <f>VLOOKUP(D12084,'Detail Balok'!$C$10:$AU$110,15,FALSE)</f>
        <v>6</v>
      </c>
      <c r="J12096">
        <f>+D12086/1000</f>
        <v>2</v>
      </c>
      <c r="K12096" t="str">
        <v>+</v>
      </c>
      <c r="L12096">
        <f>2*$F$16*F12096/1000</f>
        <v>0.144</v>
      </c>
      <c r="M12096" t="str">
        <v>=</v>
      </c>
      <c r="N12096">
        <f>J12096+L12096</f>
        <v>2.144</v>
      </c>
      <c r="O12096" t="str">
        <v>+</v>
      </c>
      <c r="P12096">
        <f>IF(N12096&gt;12,ROUNDDOWN(N12096/12,0),0)</f>
        <v>0</v>
      </c>
      <c r="Q12096" t="str">
        <v>x</v>
      </c>
      <c r="R12096">
        <f>IF(P12096&gt;0,MAX(VLOOKUP(F12096,$D$6:$G$15,3,FALSE),600),0)/1000</f>
        <v>0</v>
      </c>
      <c r="T12096" t="str">
        <v>x</v>
      </c>
      <c r="U12096">
        <f>0.006165*F12096^2</f>
        <v>0.22194000000000003</v>
      </c>
      <c r="V12096" t="str">
        <v>x</v>
      </c>
      <c r="W12096">
        <f>+D12096</f>
        <v>0</v>
      </c>
      <c r="X12096" t="str">
        <v>x</v>
      </c>
      <c r="Y12096">
        <f>D12090</f>
        <v>1</v>
      </c>
      <c r="Z12096" t="str">
        <v>=</v>
      </c>
      <c r="AA12096">
        <f>(N12096+P12096*R12096/1000)*U12096*W12096*Y12096</f>
        <v>0</v>
      </c>
    </row>
    <row r="12099">
      <c r="A12099" t="str">
        <f>A12084</f>
        <v>Lantai Atap</v>
      </c>
      <c r="B12099">
        <f>B12084</f>
        <v>62</v>
      </c>
      <c r="C12099" t="str">
        <v>Tul Bawah Tumpuan</v>
      </c>
      <c r="D12099">
        <f>VLOOKUP(D12084,'Detail Balok'!$C$10:$AU$110,22,FALSE)</f>
        <v>2</v>
      </c>
      <c r="E12099" t="str">
        <v>D</v>
      </c>
      <c r="F12099">
        <f>VLOOKUP(D12084,'Detail Balok'!$C$10:$AU$110,24,FALSE)</f>
        <v>13</v>
      </c>
      <c r="I12099" t="str">
        <v>(</v>
      </c>
      <c r="J12099">
        <f>+J12091</f>
        <v>0.5</v>
      </c>
      <c r="K12099" t="str">
        <v>+</v>
      </c>
      <c r="L12099">
        <f>MAX(VLOOKUP(F12099,N$6:P$15,3,FALSE)/1000,2/3*D12089/1000)+F$16*F12099/1000</f>
        <v>0.156</v>
      </c>
      <c r="M12099" t="str">
        <v>=</v>
      </c>
      <c r="N12099">
        <f>J12099+L12099</f>
        <v>0.656</v>
      </c>
      <c r="O12099" t="str">
        <v>+</v>
      </c>
      <c r="P12099">
        <f>D12099-D12100</f>
        <v>0</v>
      </c>
      <c r="Q12099" t="str">
        <v>x</v>
      </c>
      <c r="R12099">
        <f>IF(P12099&gt;0,$F$18*F12099/1000,0)</f>
        <v>0</v>
      </c>
      <c r="S12099" t="str">
        <v>)</v>
      </c>
      <c r="T12099" t="str">
        <v>x</v>
      </c>
      <c r="U12099">
        <f>0.006165*F12099^2</f>
        <v>1.041885</v>
      </c>
      <c r="X12099" t="str">
        <v>x</v>
      </c>
      <c r="Y12099">
        <f>D12090</f>
        <v>1</v>
      </c>
      <c r="Z12099" t="str">
        <v>=</v>
      </c>
      <c r="AA12099">
        <f>IF(AA12102=0,(D12099*N12099+P12099*R12099)*U12099*Y12099,0)</f>
        <v>0</v>
      </c>
    </row>
    <row r="12100">
      <c r="A12100" t="str">
        <f>A12084</f>
        <v>Lantai Atap</v>
      </c>
      <c r="B12100">
        <f>B12084</f>
        <v>62</v>
      </c>
      <c r="C12100" t="str">
        <v>Tul Bawah Lapangan</v>
      </c>
      <c r="D12100">
        <f>VLOOKUP(D12084,'Detail Balok'!$C$10:$AU$110,25,FALSE)</f>
        <v>2</v>
      </c>
      <c r="E12100" t="str">
        <v>D</v>
      </c>
      <c r="F12100">
        <f>VLOOKUP(D12084,'Detail Balok'!$C$10:$AU$110,27,FALSE)</f>
        <v>13</v>
      </c>
      <c r="I12100" t="str">
        <v>(</v>
      </c>
      <c r="J12100">
        <f>+J12092</f>
        <v>1</v>
      </c>
      <c r="K12100" t="str">
        <v>+</v>
      </c>
      <c r="M12100" t="str">
        <v>=</v>
      </c>
      <c r="N12100">
        <f>J12100+L12100</f>
        <v>1</v>
      </c>
      <c r="O12100" t="str">
        <v>+</v>
      </c>
      <c r="P12100">
        <f>MAX(D12100-D12099,D12100-D12101)</f>
        <v>0</v>
      </c>
      <c r="Q12100" t="str">
        <v>x</v>
      </c>
      <c r="R12100">
        <f>IF(P12100&gt;0,2*(1-2*$F$19-1/2)*D12087/1000,0)</f>
        <v>0</v>
      </c>
      <c r="S12100" t="str">
        <v>)</v>
      </c>
      <c r="T12100" t="str">
        <v>x</v>
      </c>
      <c r="U12100">
        <f>0.006165*F12100^2</f>
        <v>1.041885</v>
      </c>
      <c r="X12100" t="str">
        <v>x</v>
      </c>
      <c r="Y12100">
        <f>D12090</f>
        <v>1</v>
      </c>
      <c r="Z12100" t="str">
        <v>=</v>
      </c>
      <c r="AA12100">
        <f>IF(AA12102=0,(D12100*N12100+P12100*R12100)*U12100*Y12100,0)</f>
        <v>0</v>
      </c>
    </row>
    <row r="12101">
      <c r="A12101" t="str">
        <f>A12084</f>
        <v>Lantai Atap</v>
      </c>
      <c r="B12101">
        <f>B12084</f>
        <v>62</v>
      </c>
      <c r="C12101" t="str">
        <v>Tul Bawah Tumpuan</v>
      </c>
      <c r="D12101">
        <f>VLOOKUP(D12084,'Detail Balok'!$C$10:$AU$110,28,FALSE)</f>
        <v>2</v>
      </c>
      <c r="E12101" t="str">
        <v>D</v>
      </c>
      <c r="F12101">
        <f>VLOOKUP(D12084,'Detail Balok'!$C$10:$AU$110,30,FALSE)</f>
        <v>13</v>
      </c>
      <c r="I12101" t="str">
        <v>(</v>
      </c>
      <c r="J12101">
        <f>+J12093</f>
        <v>0.5</v>
      </c>
      <c r="K12101" t="str">
        <v>+</v>
      </c>
      <c r="L12101">
        <f>MAX(VLOOKUP(F12101,N$6:P$15,3,FALSE)/1000,2/3*D12089/1000)+F$16*F12101/1000</f>
        <v>0.156</v>
      </c>
      <c r="M12101" t="str">
        <v>=</v>
      </c>
      <c r="N12101">
        <f>J12101+L12101</f>
        <v>0.656</v>
      </c>
      <c r="O12101" t="str">
        <v>+</v>
      </c>
      <c r="P12101">
        <f>D12101-D12100</f>
        <v>0</v>
      </c>
      <c r="Q12101" t="str">
        <v>x</v>
      </c>
      <c r="R12101">
        <f>IF(P12101&gt;0,$F$18*F12101/1000,0)</f>
        <v>0</v>
      </c>
      <c r="S12101" t="str">
        <v>)</v>
      </c>
      <c r="T12101" t="str">
        <v>x</v>
      </c>
      <c r="U12101">
        <f>0.006165*F12101^2</f>
        <v>1.041885</v>
      </c>
      <c r="X12101" t="str">
        <v>x</v>
      </c>
      <c r="Y12101">
        <f>D12090</f>
        <v>1</v>
      </c>
      <c r="Z12101" t="str">
        <v>=</v>
      </c>
      <c r="AA12101">
        <f>IF(AA12102=0,(D12101*N12101+P12101*R12101)*U12101*Y12101,0)</f>
        <v>0</v>
      </c>
    </row>
    <row r="12102">
      <c r="A12102" t="str">
        <f>A12084</f>
        <v>Lantai Atap</v>
      </c>
      <c r="B12102">
        <f>B12084</f>
        <v>62</v>
      </c>
      <c r="D12102">
        <f>IF(AND(D12099=D12100,D12100=D12101,D12099=D12101),D12099,0)</f>
        <v>2</v>
      </c>
      <c r="E12102" t="str">
        <v>D</v>
      </c>
      <c r="F12102">
        <f>IF(AND(F12099=F12100,F12099=F12101,F12100=F12101),F12099,0)</f>
        <v>13</v>
      </c>
      <c r="L12102" t="str">
        <v>Total panjang per balok</v>
      </c>
      <c r="M12102" t="str">
        <v>=</v>
      </c>
      <c r="N12102">
        <f>IF(AND(D12099=D12100,D12099=D12101,D12100=D12101,F12099=F12100,F12099=F12101,F12100=F12101),SUM(N12099:N12101),0)</f>
        <v>2.3120000000000003</v>
      </c>
      <c r="O12102" t="str">
        <v>+</v>
      </c>
      <c r="P12102">
        <f>IF(N12102&gt;12,ROUNDDOWN(N12102/12,0),0)</f>
        <v>0</v>
      </c>
      <c r="Q12102" t="str">
        <v>x</v>
      </c>
      <c r="R12102">
        <f>IF(P12102&gt;0,MAX(VLOOKUP(F12102,$D$6:$G$15,3,FALSE),600),0)/1000</f>
        <v>0</v>
      </c>
      <c r="T12102" t="str">
        <v>x</v>
      </c>
      <c r="U12102">
        <f>U12101</f>
        <v>1.041885</v>
      </c>
      <c r="V12102" t="str">
        <v>x</v>
      </c>
      <c r="W12102">
        <f>D12102</f>
        <v>2</v>
      </c>
      <c r="X12102" t="str">
        <v>x</v>
      </c>
      <c r="Y12102">
        <f>Y12101</f>
        <v>1</v>
      </c>
      <c r="Z12102" t="str">
        <v>=</v>
      </c>
      <c r="AA12102">
        <f>(N12102+P12102*R12102/1000)*U12102*W12102*Y12102</f>
        <v>4.81767624</v>
      </c>
    </row>
    <row r="12104">
      <c r="A12104" t="str">
        <f>A12084</f>
        <v>Lantai Atap</v>
      </c>
      <c r="B12104">
        <f>B12084</f>
        <v>62</v>
      </c>
      <c r="C12104" t="str">
        <v>Sengkang Tumpuan</v>
      </c>
      <c r="D12104">
        <f>VLOOKUP(D12084,'Detail Balok'!$C$10:$AU$110,31,FALSE)</f>
        <v>0</v>
      </c>
      <c r="E12104" t="str">
        <v>D</v>
      </c>
      <c r="F12104">
        <f>VLOOKUP(D12084,'Detail Balok'!$C$10:$AU$110,33,FALSE)</f>
        <v>8</v>
      </c>
      <c r="G12104" t="str">
        <v>-</v>
      </c>
      <c r="H12104">
        <f>VLOOKUP(D12084,'Detail Balok'!$C$10:$AU$110,35,FALSE)</f>
        <v>100</v>
      </c>
      <c r="J12104">
        <f>(IF(D12104=0,(2*(D12085+G12085))-(F$5*8),IF(D12104=3,(2*(D12085+G12085))-(F$5*8)+(G12085-2*F$5),IF(D12104=4,(2*(D12085+G12085))-(F$5*8)+2*(G12085-2*F$5)))))/1000</f>
        <v>0.88</v>
      </c>
      <c r="K12104" t="str">
        <v>+</v>
      </c>
      <c r="L12104">
        <f>IF(D12104=0,2*MAX(6*F12104,75),(D12104-1)*2*MAX(6*F12104,75))/1000</f>
        <v>0.15</v>
      </c>
      <c r="M12104" t="str">
        <v>=</v>
      </c>
      <c r="N12104">
        <f>J12104+L12104</f>
        <v>1.03</v>
      </c>
      <c r="T12104" t="str">
        <v>x</v>
      </c>
      <c r="U12104">
        <f>0.006165*F12104^2</f>
        <v>0.39456</v>
      </c>
      <c r="V12104" t="str">
        <v>x</v>
      </c>
      <c r="W12104">
        <f>IF(D12087&gt;4*G12085,ROUND(MAX(D12087/4,2*G12085)/H12104,0)+1,ROUND(D12087/H12104,0)+1)</f>
        <v>9</v>
      </c>
      <c r="X12104" t="str">
        <v>x</v>
      </c>
      <c r="Y12104">
        <f>D12090</f>
        <v>1</v>
      </c>
      <c r="Z12104" t="str">
        <v>=</v>
      </c>
      <c r="AA12104">
        <f>N12104*U12104*W12104*Y12104</f>
        <v>3.6575712000000005</v>
      </c>
    </row>
    <row r="12105">
      <c r="A12105" t="str">
        <f>A12084</f>
        <v>Lantai Atap</v>
      </c>
      <c r="B12105">
        <f>B12084</f>
        <v>62</v>
      </c>
      <c r="C12105" t="str">
        <v>Sengkang Lapangan</v>
      </c>
      <c r="D12105">
        <f>VLOOKUP(D12084,'Detail Balok'!$C$10:$AU$110,36,FALSE)</f>
        <v>0</v>
      </c>
      <c r="E12105" t="str">
        <v>D</v>
      </c>
      <c r="F12105">
        <f>VLOOKUP(D12084,'Detail Balok'!$C$10:$AU$110,38,FALSE)</f>
        <v>8</v>
      </c>
      <c r="G12105" t="str">
        <v>-</v>
      </c>
      <c r="H12105">
        <f>VLOOKUP(D12084,'Detail Balok'!$C$10:$AU$110,40,FALSE)</f>
        <v>200</v>
      </c>
      <c r="J12105">
        <f>(IF(D12105=0,(2*(D12085+G12085))-(F$5*8),IF(D12105=3,(2*(D12085+G12085))-(F$5*8)+(G12085-2*F$5),IF(D12105=4,(2*(D12085+G12085))-(F$5*8)+2*(G12085-2*F$5)))))/1000</f>
        <v>0.88</v>
      </c>
      <c r="K12105" t="str">
        <v>+</v>
      </c>
      <c r="L12105">
        <f>IF(D12105=0,2*MAX(6*F12105,75),(D12105-1)*2*MAX(6*F12105,75))/1000</f>
        <v>0.15</v>
      </c>
      <c r="M12105" t="str">
        <v>=</v>
      </c>
      <c r="N12105">
        <f>J12105+L12105</f>
        <v>1.03</v>
      </c>
      <c r="T12105" t="str">
        <v>x</v>
      </c>
      <c r="U12105">
        <f>0.006165*F12105^2</f>
        <v>0.39456</v>
      </c>
      <c r="V12105" t="str">
        <v>x</v>
      </c>
      <c r="W12105">
        <f>IF(D12087-MAX(D12087/4,2*G12085)*2&gt;0,ROUND((D12087-MAX(D12087/4,2*G12085)*2)/H12105,0),0)</f>
        <v>2</v>
      </c>
      <c r="X12105" t="str">
        <v>x</v>
      </c>
      <c r="Y12105">
        <f>D12090</f>
        <v>1</v>
      </c>
      <c r="Z12105" t="str">
        <v>=</v>
      </c>
      <c r="AA12105">
        <f>N12105*U12105*W12105*Y12105</f>
        <v>0.8127936000000001</v>
      </c>
    </row>
    <row r="12106">
      <c r="A12106" t="str">
        <f>A12084</f>
        <v>Lantai Atap</v>
      </c>
      <c r="B12106">
        <f>B12084</f>
        <v>62</v>
      </c>
      <c r="C12106" t="str">
        <v>Sengkang Tumpuan</v>
      </c>
      <c r="D12106">
        <f>VLOOKUP(D12084,'Detail Balok'!$C$10:$AU$110,41,FALSE)</f>
        <v>0</v>
      </c>
      <c r="E12106" t="str">
        <v>D</v>
      </c>
      <c r="F12106">
        <f>VLOOKUP(D12084,'Detail Balok'!$C$10:$AU$110,43,FALSE)</f>
        <v>8</v>
      </c>
      <c r="G12106" t="str">
        <v>-</v>
      </c>
      <c r="H12106">
        <f>VLOOKUP(D12084,'Detail Balok'!$C$10:$AU$110,45,FALSE)</f>
        <v>100</v>
      </c>
      <c r="J12106">
        <f>(IF(D12106=0,(2*(D12085+G12085))-(F$5*8),IF(D12106=3,(2*(D12085+G12085))-(F$5*8)+(G12085-2*F$5),IF(D12106=4,(2*(D12085+G12085))-(F$5*8)+2*(G12085-2*F$5)))))/1000</f>
        <v>0.88</v>
      </c>
      <c r="K12106" t="str">
        <v>+</v>
      </c>
      <c r="L12106">
        <f>IF(D12106=0,2*MAX(6*F12106,75),(D12106-1)*2*MAX(6*F12106,75))/1000</f>
        <v>0.15</v>
      </c>
      <c r="M12106" t="str">
        <v>=</v>
      </c>
      <c r="N12106">
        <f>J12106+L12106</f>
        <v>1.03</v>
      </c>
      <c r="T12106" t="str">
        <v>x</v>
      </c>
      <c r="U12106">
        <f>0.006165*F12106^2</f>
        <v>0.39456</v>
      </c>
      <c r="V12106" t="str">
        <v>x</v>
      </c>
      <c r="W12106">
        <f>IF(D12087&gt;4*G12085,ROUND(MAX(D12087/4,2*G12085)/H12106,0)+1,0)</f>
        <v>9</v>
      </c>
      <c r="X12106" t="str">
        <v>x</v>
      </c>
      <c r="Y12106">
        <f>D12090</f>
        <v>1</v>
      </c>
      <c r="Z12106" t="str">
        <v>=</v>
      </c>
      <c r="AA12106">
        <f>N12106*U12106*W12106*Y12106</f>
        <v>3.6575712000000005</v>
      </c>
    </row>
    <row r="12108">
      <c r="A12108" t="str">
        <f>A12084</f>
        <v>Lantai Atap</v>
      </c>
      <c r="B12108">
        <f>B12084</f>
        <v>62</v>
      </c>
      <c r="C12108" t="str">
        <v>Kait Horizontal Tump.</v>
      </c>
      <c r="D12108">
        <f>VLOOKUP(D12084,'Detail Balok'!$C$10:$BJ$110,46,FALSE)</f>
        <v>0</v>
      </c>
      <c r="E12108" t="str">
        <v>D</v>
      </c>
      <c r="F12108">
        <f>VLOOKUP(D12084,'Detail Balok'!$C$10:$BJ$110,48,FALSE)</f>
        <v>0</v>
      </c>
      <c r="G12108" t="str">
        <v>-</v>
      </c>
      <c r="H12108">
        <f>VLOOKUP(D12084,'Detail Balok'!$C$10:$BJ$110,50,FALSE)</f>
        <v>100</v>
      </c>
      <c r="J12108">
        <f>(D12085-2*F$5)/1000</f>
        <v>0.12</v>
      </c>
      <c r="K12108" t="str">
        <v>+</v>
      </c>
      <c r="L12108">
        <f>IF(D12108=0,2*MAX(6*F12108,75),(D12108-1)*2*MAX(6*F12108,75))/1000</f>
        <v>0.15</v>
      </c>
      <c r="M12108" t="str">
        <v>=</v>
      </c>
      <c r="N12108">
        <f>J12108+L12108</f>
        <v>0.27</v>
      </c>
      <c r="T12108" t="str">
        <v>x</v>
      </c>
      <c r="U12108">
        <f>0.006165*F12108^2</f>
        <v>0</v>
      </c>
      <c r="V12108" t="str">
        <v>x</v>
      </c>
      <c r="W12108">
        <f>W12104</f>
        <v>9</v>
      </c>
      <c r="X12108" t="str">
        <v>x</v>
      </c>
      <c r="Y12108">
        <f>D12094</f>
        <v>2</v>
      </c>
      <c r="Z12108" t="str">
        <v>=</v>
      </c>
      <c r="AA12108">
        <f>N12108*U12108*W12108*Y12108</f>
        <v>0</v>
      </c>
    </row>
    <row r="12109">
      <c r="A12109" t="str">
        <f>A12084</f>
        <v>Lantai Atap</v>
      </c>
      <c r="B12109">
        <f>B12084</f>
        <v>62</v>
      </c>
      <c r="C12109" t="str">
        <v>Kait Horizontal Lap.</v>
      </c>
      <c r="D12109">
        <f>VLOOKUP(D12084,'Detail Balok'!$C$10:$BJ$110,51,FALSE)</f>
        <v>0</v>
      </c>
      <c r="E12109" t="str">
        <v>D</v>
      </c>
      <c r="F12109">
        <f>VLOOKUP(D12084,'Detail Balok'!$C$10:$BJ$110,53,FALSE)</f>
        <v>0</v>
      </c>
      <c r="G12109" t="str">
        <v>-</v>
      </c>
      <c r="H12109">
        <f>VLOOKUP(D12084,'Detail Balok'!$C$10:$BJ$110,55,FALSE)</f>
        <v>100</v>
      </c>
      <c r="J12109">
        <f>(D12085-2*F$5)/1000</f>
        <v>0.12</v>
      </c>
      <c r="K12109" t="str">
        <v>+</v>
      </c>
      <c r="L12109">
        <f>IF(D12109=0,2*MAX(6*F12109,75),(D12109-1)*2*MAX(6*F12109,75))/1000</f>
        <v>0.15</v>
      </c>
      <c r="M12109" t="str">
        <v>=</v>
      </c>
      <c r="N12109">
        <f>J12109+L12109</f>
        <v>0.27</v>
      </c>
      <c r="T12109" t="str">
        <v>x</v>
      </c>
      <c r="U12109">
        <f>0.006165*F12109^2</f>
        <v>0</v>
      </c>
      <c r="V12109" t="str">
        <v>x</v>
      </c>
      <c r="W12109">
        <f>W12105</f>
        <v>2</v>
      </c>
      <c r="X12109" t="str">
        <v>x</v>
      </c>
      <c r="Y12109">
        <f>D12094</f>
        <v>2</v>
      </c>
      <c r="Z12109" t="str">
        <v>=</v>
      </c>
      <c r="AA12109">
        <f>N12109*U12109*W12109*Y12109</f>
        <v>0</v>
      </c>
    </row>
    <row r="12110">
      <c r="A12110" t="str">
        <f>A12084</f>
        <v>Lantai Atap</v>
      </c>
      <c r="B12110">
        <f>B12084</f>
        <v>62</v>
      </c>
      <c r="C12110" t="str">
        <v>Kait Horizontal Tump.</v>
      </c>
      <c r="D12110">
        <f>VLOOKUP(D12084,'Detail Balok'!$C$10:$BJ$110,56,FALSE)</f>
        <v>0</v>
      </c>
      <c r="E12110" t="str">
        <v>D</v>
      </c>
      <c r="F12110">
        <f>VLOOKUP(D12084,'Detail Balok'!$C$10:$BJ$110,58,FALSE)</f>
        <v>0</v>
      </c>
      <c r="G12110" t="str">
        <v>-</v>
      </c>
      <c r="H12110">
        <f>VLOOKUP(D12084,'Detail Balok'!$C$10:$BJ$110,60,FALSE)</f>
        <v>100</v>
      </c>
      <c r="J12110">
        <f>(D12085-2*F$5)/1000</f>
        <v>0.12</v>
      </c>
      <c r="K12110" t="str">
        <v>+</v>
      </c>
      <c r="L12110">
        <f>IF(D12110=0,2*MAX(6*F12110,75),(D12110-1)*2*MAX(6*F12110,75))/1000</f>
        <v>0.15</v>
      </c>
      <c r="M12110" t="str">
        <v>=</v>
      </c>
      <c r="N12110">
        <f>J12110+L12110</f>
        <v>0.27</v>
      </c>
      <c r="T12110" t="str">
        <v>x</v>
      </c>
      <c r="U12110">
        <f>0.006165*F12110^2</f>
        <v>0</v>
      </c>
      <c r="V12110" t="str">
        <v>x</v>
      </c>
      <c r="W12110">
        <f>W12106</f>
        <v>9</v>
      </c>
      <c r="X12110" t="str">
        <v>x</v>
      </c>
      <c r="Y12110">
        <f>D12094</f>
        <v>2</v>
      </c>
      <c r="Z12110" t="str">
        <v>=</v>
      </c>
      <c r="AA12110">
        <f>N12110*U12110*W12110*Y12110</f>
        <v>0</v>
      </c>
    </row>
    <row r="12114">
      <c r="A12114" t="str">
        <f>A12084</f>
        <v>Lantai Atap</v>
      </c>
      <c r="B12114">
        <f>B12084+1</f>
        <v>63</v>
      </c>
      <c r="C12114" t="str">
        <f>CONCATENATE(A12114," no. ",B12114)</f>
        <v>Lantai Atap no. 63</v>
      </c>
      <c r="D12114" t="str">
        <f>VLOOKUP(C12114,'Data Panjang Balok'!$C$9:$N$424,2,FALSE)</f>
        <v>B173-1</v>
      </c>
    </row>
    <row r="12115">
      <c r="C12115" t="str">
        <v>Dimensi</v>
      </c>
      <c r="D12115">
        <f>VLOOKUP(D12114,'Detail Balok'!$C$10:$AU$110,2,FALSE)</f>
        <v>170</v>
      </c>
      <c r="F12115" t="str">
        <v>x</v>
      </c>
      <c r="G12115">
        <f>VLOOKUP(D12114,'Detail Balok'!$C$10:$AU$110,3,FALSE)</f>
        <v>300</v>
      </c>
    </row>
    <row r="12116">
      <c r="C12116" t="str">
        <v>Panjang as ke as</v>
      </c>
      <c r="D12116">
        <f>VLOOKUP(C12114,'Data Panjang Balok'!$C$9:$N$424,4,FALSE)</f>
        <v>2300</v>
      </c>
    </row>
    <row r="12117">
      <c r="C12117" t="str">
        <v>Panjang netto</v>
      </c>
      <c r="D12117">
        <f>VLOOKUP(C12114,'Data Panjang Balok'!$C$9:$N$424,7,FALSE)</f>
        <v>2300</v>
      </c>
    </row>
    <row r="12118">
      <c r="C12118" t="str">
        <v>Kolom / balok kiri</v>
      </c>
      <c r="D12118">
        <f>VLOOKUP(C12114,'Data Panjang Balok'!$C$9:$N$424,9,FALSE)</f>
        <v>0</v>
      </c>
    </row>
    <row r="12119">
      <c r="C12119" t="str">
        <v>Kolom / balok kanan</v>
      </c>
      <c r="D12119">
        <f>VLOOKUP(C12114,'Data Panjang Balok'!$C$9:$N$424,10,FALSE)</f>
        <v>0</v>
      </c>
    </row>
    <row r="12120">
      <c r="C12120" t="str">
        <v>Jumlah</v>
      </c>
      <c r="D12120">
        <f>VLOOKUP(C12114,'Data Panjang Balok'!$C$9:$N$424,3,FALSE)</f>
        <v>1</v>
      </c>
    </row>
    <row r="12121">
      <c r="A12121" t="str">
        <f>A12114</f>
        <v>Lantai Atap</v>
      </c>
      <c r="B12121">
        <f>B12114</f>
        <v>63</v>
      </c>
      <c r="C12121" t="str">
        <v>Tul Atas Tumpuan</v>
      </c>
      <c r="D12121">
        <f>VLOOKUP(D12114,'Detail Balok'!$C$10:$AU$110,4,FALSE)</f>
        <v>2</v>
      </c>
      <c r="E12121" t="str">
        <v>D</v>
      </c>
      <c r="F12121">
        <f>VLOOKUP(D12114,'Detail Balok'!$C$10:$AU$110,6,FALSE)</f>
        <v>13</v>
      </c>
      <c r="I12121" t="str">
        <v>(</v>
      </c>
      <c r="J12121">
        <f>+D12116/4/1000</f>
        <v>0.575</v>
      </c>
      <c r="K12121" t="str">
        <v>+</v>
      </c>
      <c r="L12121">
        <f>MAX(VLOOKUP(F12121,N$6:P$15,3,FALSE)/1000,2/3*D12118/1000)+F$16*F12121/1000</f>
        <v>0.156</v>
      </c>
      <c r="M12121" t="str">
        <v>=</v>
      </c>
      <c r="N12121">
        <f>J12121+L12121</f>
        <v>0.731</v>
      </c>
      <c r="O12121" t="str">
        <v>+</v>
      </c>
      <c r="P12121">
        <f>D12121-D12122</f>
        <v>0</v>
      </c>
      <c r="Q12121" t="str">
        <v>x</v>
      </c>
      <c r="R12121">
        <f>IF(P12121&gt;0,$F$18*F12121/1000,0)</f>
        <v>0</v>
      </c>
      <c r="S12121" t="str">
        <v>)</v>
      </c>
      <c r="T12121" t="str">
        <v>x</v>
      </c>
      <c r="U12121">
        <f>0.006165*F12121^2</f>
        <v>1.041885</v>
      </c>
      <c r="X12121" t="str">
        <v>x</v>
      </c>
      <c r="Y12121">
        <f>D12120</f>
        <v>1</v>
      </c>
      <c r="Z12121" t="str">
        <v>=</v>
      </c>
      <c r="AA12121">
        <f>IF(AA12124=0,(D12121*N12121+P12121*R12121)*U12121*Y12121,0)</f>
        <v>0</v>
      </c>
    </row>
    <row r="12122">
      <c r="A12122" t="str">
        <f>A12114</f>
        <v>Lantai Atap</v>
      </c>
      <c r="B12122">
        <f>B12114</f>
        <v>63</v>
      </c>
      <c r="C12122" t="str">
        <v>Tul Atas Lapangan</v>
      </c>
      <c r="D12122">
        <f>VLOOKUP(D12114,'Detail Balok'!$C$10:$AU$110,7,FALSE)</f>
        <v>2</v>
      </c>
      <c r="E12122" t="str">
        <v>D</v>
      </c>
      <c r="F12122">
        <f>VLOOKUP(D12114,'Detail Balok'!$C$10:$AU$110,9,FALSE)</f>
        <v>13</v>
      </c>
      <c r="I12122" t="str">
        <v>(</v>
      </c>
      <c r="J12122">
        <f>+D12116/2/1000</f>
        <v>1.15</v>
      </c>
      <c r="K12122" t="str">
        <v>+</v>
      </c>
      <c r="M12122" t="str">
        <v>=</v>
      </c>
      <c r="N12122">
        <f>J12122+L12122</f>
        <v>1.15</v>
      </c>
      <c r="O12122" t="str">
        <v>+</v>
      </c>
      <c r="P12122">
        <f>MAX(D12122-D12121,D12122-D12123)</f>
        <v>0</v>
      </c>
      <c r="Q12122" t="str">
        <v>x</v>
      </c>
      <c r="R12122">
        <f>IF(P12122&gt;0,2*(1-2*$F$19-1/2)*D12117/1000,0)</f>
        <v>0</v>
      </c>
      <c r="S12122" t="str">
        <v>)</v>
      </c>
      <c r="T12122" t="str">
        <v>x</v>
      </c>
      <c r="U12122">
        <f>0.006165*F12122^2</f>
        <v>1.041885</v>
      </c>
      <c r="X12122" t="str">
        <v>x</v>
      </c>
      <c r="Y12122">
        <f>D12120</f>
        <v>1</v>
      </c>
      <c r="Z12122" t="str">
        <v>=</v>
      </c>
      <c r="AA12122">
        <f>IF(AA12124=0,(D12122*N12122+P12122*R12122)*U12122*Y12122,0)</f>
        <v>0</v>
      </c>
    </row>
    <row r="12123">
      <c r="A12123" t="str">
        <f>A12114</f>
        <v>Lantai Atap</v>
      </c>
      <c r="B12123">
        <f>B12114</f>
        <v>63</v>
      </c>
      <c r="C12123" t="str">
        <v>Tul Atas Tumpuan</v>
      </c>
      <c r="D12123">
        <f>VLOOKUP(D12114,'Detail Balok'!$C$10:$AU$110,10,FALSE)</f>
        <v>2</v>
      </c>
      <c r="E12123" t="str">
        <v>D</v>
      </c>
      <c r="F12123">
        <f>VLOOKUP(D12114,'Detail Balok'!$C$10:$AU$110,12,FALSE)</f>
        <v>13</v>
      </c>
      <c r="I12123" t="str">
        <v>(</v>
      </c>
      <c r="J12123">
        <f>+D12116/4/1000</f>
        <v>0.575</v>
      </c>
      <c r="K12123" t="str">
        <v>+</v>
      </c>
      <c r="L12123">
        <f>MAX(VLOOKUP(F12123,N$6:P$15,3,FALSE)/1000,2/3*D12118/1000)+F$16*F12123/1000</f>
        <v>0.156</v>
      </c>
      <c r="M12123" t="str">
        <v>=</v>
      </c>
      <c r="N12123">
        <f>J12123+L12123</f>
        <v>0.731</v>
      </c>
      <c r="O12123" t="str">
        <v>+</v>
      </c>
      <c r="P12123">
        <f>D12123-D12122</f>
        <v>0</v>
      </c>
      <c r="Q12123" t="str">
        <v>x</v>
      </c>
      <c r="R12123">
        <f>IF(P12123&gt;0,$F$18*F12123/1000,0)</f>
        <v>0</v>
      </c>
      <c r="S12123" t="str">
        <v>)</v>
      </c>
      <c r="T12123" t="str">
        <v>x</v>
      </c>
      <c r="U12123">
        <f>0.006165*F12123^2</f>
        <v>1.041885</v>
      </c>
      <c r="X12123" t="str">
        <v>x</v>
      </c>
      <c r="Y12123">
        <f>D12120</f>
        <v>1</v>
      </c>
      <c r="Z12123" t="str">
        <v>=</v>
      </c>
      <c r="AA12123">
        <f>IF(AA12124=0,(D12123*N12123+P12123*R12123)*U12123*Y12123,0)</f>
        <v>0</v>
      </c>
    </row>
    <row r="12124">
      <c r="A12124" t="str">
        <f>A12114</f>
        <v>Lantai Atap</v>
      </c>
      <c r="B12124">
        <f>B12114</f>
        <v>63</v>
      </c>
      <c r="D12124">
        <f>IF(AND(D12121=D12122,D12122=D12123,D12121=D12123),D12121,0)</f>
        <v>2</v>
      </c>
      <c r="E12124" t="str">
        <v>D</v>
      </c>
      <c r="F12124">
        <f>IF(AND(F12121=F12122,F12121=F12123,F12122=F12123),F12121,0)</f>
        <v>13</v>
      </c>
      <c r="L12124" t="str">
        <v>Total panjang per balok</v>
      </c>
      <c r="M12124" t="str">
        <v>=</v>
      </c>
      <c r="N12124">
        <f>IF(AND(D12121=D12122,D12121=D12123,D12122=D12123,F12121=F12122,F12121=F12123,F12122=F12123),SUM(N12121:N12123),0)</f>
        <v>2.6119999999999997</v>
      </c>
      <c r="O12124" t="str">
        <v>+</v>
      </c>
      <c r="P12124">
        <f>IF(N12124&gt;12,ROUNDDOWN(N12124/12,0),0)</f>
        <v>0</v>
      </c>
      <c r="Q12124" t="str">
        <v>x</v>
      </c>
      <c r="R12124">
        <f>IF(P12124&gt;0,MAX(VLOOKUP(F12124,$D$6:$G$15,3,FALSE),600),0)/1000</f>
        <v>0</v>
      </c>
      <c r="T12124" t="str">
        <v>x</v>
      </c>
      <c r="U12124">
        <f>U12123</f>
        <v>1.041885</v>
      </c>
      <c r="V12124" t="str">
        <v>x</v>
      </c>
      <c r="W12124">
        <f>D12124</f>
        <v>2</v>
      </c>
      <c r="X12124" t="str">
        <v>x</v>
      </c>
      <c r="Y12124">
        <f>Y12123</f>
        <v>1</v>
      </c>
      <c r="Z12124" t="str">
        <v>=</v>
      </c>
      <c r="AA12124">
        <f>(N12124+P12124*R12124/1000)*U12124*W12124*Y12124</f>
        <v>5.442807239999999</v>
      </c>
    </row>
    <row r="12126">
      <c r="A12126" t="str">
        <f>A12114</f>
        <v>Lantai Atap</v>
      </c>
      <c r="B12126">
        <f>B12114</f>
        <v>63</v>
      </c>
      <c r="C12126" t="str">
        <v>Tul Peminggang</v>
      </c>
      <c r="D12126">
        <f>VLOOKUP(D12114,'Detail Balok'!$C$10:$AU$110,13,FALSE)</f>
        <v>0</v>
      </c>
      <c r="E12126" t="str">
        <v>D</v>
      </c>
      <c r="F12126">
        <f>VLOOKUP(D12114,'Detail Balok'!$C$10:$AU$110,15,FALSE)</f>
        <v>6</v>
      </c>
      <c r="J12126">
        <f>+D12116/1000</f>
        <v>2.3</v>
      </c>
      <c r="K12126" t="str">
        <v>+</v>
      </c>
      <c r="L12126">
        <f>2*$F$16*F12126/1000</f>
        <v>0.144</v>
      </c>
      <c r="M12126" t="str">
        <v>=</v>
      </c>
      <c r="N12126">
        <f>J12126+L12126</f>
        <v>2.444</v>
      </c>
      <c r="O12126" t="str">
        <v>+</v>
      </c>
      <c r="P12126">
        <f>IF(N12126&gt;12,ROUNDDOWN(N12126/12,0),0)</f>
        <v>0</v>
      </c>
      <c r="Q12126" t="str">
        <v>x</v>
      </c>
      <c r="R12126">
        <f>IF(P12126&gt;0,MAX(VLOOKUP(F12126,$D$6:$G$15,3,FALSE),600),0)/1000</f>
        <v>0</v>
      </c>
      <c r="T12126" t="str">
        <v>x</v>
      </c>
      <c r="U12126">
        <f>0.006165*F12126^2</f>
        <v>0.22194000000000003</v>
      </c>
      <c r="V12126" t="str">
        <v>x</v>
      </c>
      <c r="W12126">
        <f>+D12126</f>
        <v>0</v>
      </c>
      <c r="X12126" t="str">
        <v>x</v>
      </c>
      <c r="Y12126">
        <f>D12120</f>
        <v>1</v>
      </c>
      <c r="Z12126" t="str">
        <v>=</v>
      </c>
      <c r="AA12126">
        <f>(N12126+P12126*R12126/1000)*U12126*W12126*Y12126</f>
        <v>0</v>
      </c>
    </row>
    <row r="12129">
      <c r="A12129" t="str">
        <f>A12114</f>
        <v>Lantai Atap</v>
      </c>
      <c r="B12129">
        <f>B12114</f>
        <v>63</v>
      </c>
      <c r="C12129" t="str">
        <v>Tul Bawah Tumpuan</v>
      </c>
      <c r="D12129">
        <f>VLOOKUP(D12114,'Detail Balok'!$C$10:$AU$110,22,FALSE)</f>
        <v>2</v>
      </c>
      <c r="E12129" t="str">
        <v>D</v>
      </c>
      <c r="F12129">
        <f>VLOOKUP(D12114,'Detail Balok'!$C$10:$AU$110,24,FALSE)</f>
        <v>13</v>
      </c>
      <c r="I12129" t="str">
        <v>(</v>
      </c>
      <c r="J12129">
        <f>+J12121</f>
        <v>0.575</v>
      </c>
      <c r="K12129" t="str">
        <v>+</v>
      </c>
      <c r="L12129">
        <f>MAX(VLOOKUP(F12129,N$6:P$15,3,FALSE)/1000,2/3*D12119/1000)+F$16*F12129/1000</f>
        <v>0.156</v>
      </c>
      <c r="M12129" t="str">
        <v>=</v>
      </c>
      <c r="N12129">
        <f>J12129+L12129</f>
        <v>0.731</v>
      </c>
      <c r="O12129" t="str">
        <v>+</v>
      </c>
      <c r="P12129">
        <f>D12129-D12130</f>
        <v>0</v>
      </c>
      <c r="Q12129" t="str">
        <v>x</v>
      </c>
      <c r="R12129">
        <f>IF(P12129&gt;0,$F$18*F12129/1000,0)</f>
        <v>0</v>
      </c>
      <c r="S12129" t="str">
        <v>)</v>
      </c>
      <c r="T12129" t="str">
        <v>x</v>
      </c>
      <c r="U12129">
        <f>0.006165*F12129^2</f>
        <v>1.041885</v>
      </c>
      <c r="X12129" t="str">
        <v>x</v>
      </c>
      <c r="Y12129">
        <f>D12120</f>
        <v>1</v>
      </c>
      <c r="Z12129" t="str">
        <v>=</v>
      </c>
      <c r="AA12129">
        <f>IF(AA12132=0,(D12129*N12129+P12129*R12129)*U12129*Y12129,0)</f>
        <v>0</v>
      </c>
    </row>
    <row r="12130">
      <c r="A12130" t="str">
        <f>A12114</f>
        <v>Lantai Atap</v>
      </c>
      <c r="B12130">
        <f>B12114</f>
        <v>63</v>
      </c>
      <c r="C12130" t="str">
        <v>Tul Bawah Lapangan</v>
      </c>
      <c r="D12130">
        <f>VLOOKUP(D12114,'Detail Balok'!$C$10:$AU$110,25,FALSE)</f>
        <v>2</v>
      </c>
      <c r="E12130" t="str">
        <v>D</v>
      </c>
      <c r="F12130">
        <f>VLOOKUP(D12114,'Detail Balok'!$C$10:$AU$110,27,FALSE)</f>
        <v>13</v>
      </c>
      <c r="I12130" t="str">
        <v>(</v>
      </c>
      <c r="J12130">
        <f>+J12122</f>
        <v>1.15</v>
      </c>
      <c r="K12130" t="str">
        <v>+</v>
      </c>
      <c r="M12130" t="str">
        <v>=</v>
      </c>
      <c r="N12130">
        <f>J12130+L12130</f>
        <v>1.15</v>
      </c>
      <c r="O12130" t="str">
        <v>+</v>
      </c>
      <c r="P12130">
        <f>MAX(D12130-D12129,D12130-D12131)</f>
        <v>0</v>
      </c>
      <c r="Q12130" t="str">
        <v>x</v>
      </c>
      <c r="R12130">
        <f>IF(P12130&gt;0,2*(1-2*$F$19-1/2)*D12117/1000,0)</f>
        <v>0</v>
      </c>
      <c r="S12130" t="str">
        <v>)</v>
      </c>
      <c r="T12130" t="str">
        <v>x</v>
      </c>
      <c r="U12130">
        <f>0.006165*F12130^2</f>
        <v>1.041885</v>
      </c>
      <c r="X12130" t="str">
        <v>x</v>
      </c>
      <c r="Y12130">
        <f>D12120</f>
        <v>1</v>
      </c>
      <c r="Z12130" t="str">
        <v>=</v>
      </c>
      <c r="AA12130">
        <f>IF(AA12132=0,(D12130*N12130+P12130*R12130)*U12130*Y12130,0)</f>
        <v>0</v>
      </c>
    </row>
    <row r="12131">
      <c r="A12131" t="str">
        <f>A12114</f>
        <v>Lantai Atap</v>
      </c>
      <c r="B12131">
        <f>B12114</f>
        <v>63</v>
      </c>
      <c r="C12131" t="str">
        <v>Tul Bawah Tumpuan</v>
      </c>
      <c r="D12131">
        <f>VLOOKUP(D12114,'Detail Balok'!$C$10:$AU$110,28,FALSE)</f>
        <v>2</v>
      </c>
      <c r="E12131" t="str">
        <v>D</v>
      </c>
      <c r="F12131">
        <f>VLOOKUP(D12114,'Detail Balok'!$C$10:$AU$110,30,FALSE)</f>
        <v>13</v>
      </c>
      <c r="I12131" t="str">
        <v>(</v>
      </c>
      <c r="J12131">
        <f>+J12123</f>
        <v>0.575</v>
      </c>
      <c r="K12131" t="str">
        <v>+</v>
      </c>
      <c r="L12131">
        <f>MAX(VLOOKUP(F12131,N$6:P$15,3,FALSE)/1000,2/3*D12119/1000)+F$16*F12131/1000</f>
        <v>0.156</v>
      </c>
      <c r="M12131" t="str">
        <v>=</v>
      </c>
      <c r="N12131">
        <f>J12131+L12131</f>
        <v>0.731</v>
      </c>
      <c r="O12131" t="str">
        <v>+</v>
      </c>
      <c r="P12131">
        <f>D12131-D12130</f>
        <v>0</v>
      </c>
      <c r="Q12131" t="str">
        <v>x</v>
      </c>
      <c r="R12131">
        <f>IF(P12131&gt;0,$F$18*F12131/1000,0)</f>
        <v>0</v>
      </c>
      <c r="S12131" t="str">
        <v>)</v>
      </c>
      <c r="T12131" t="str">
        <v>x</v>
      </c>
      <c r="U12131">
        <f>0.006165*F12131^2</f>
        <v>1.041885</v>
      </c>
      <c r="X12131" t="str">
        <v>x</v>
      </c>
      <c r="Y12131">
        <f>D12120</f>
        <v>1</v>
      </c>
      <c r="Z12131" t="str">
        <v>=</v>
      </c>
      <c r="AA12131">
        <f>IF(AA12132=0,(D12131*N12131+P12131*R12131)*U12131*Y12131,0)</f>
        <v>0</v>
      </c>
    </row>
    <row r="12132">
      <c r="A12132" t="str">
        <f>A12114</f>
        <v>Lantai Atap</v>
      </c>
      <c r="B12132">
        <f>B12114</f>
        <v>63</v>
      </c>
      <c r="D12132">
        <f>IF(AND(D12129=D12130,D12130=D12131,D12129=D12131),D12129,0)</f>
        <v>2</v>
      </c>
      <c r="E12132" t="str">
        <v>D</v>
      </c>
      <c r="F12132">
        <f>IF(AND(F12129=F12130,F12129=F12131,F12130=F12131),F12129,0)</f>
        <v>13</v>
      </c>
      <c r="L12132" t="str">
        <v>Total panjang per balok</v>
      </c>
      <c r="M12132" t="str">
        <v>=</v>
      </c>
      <c r="N12132">
        <f>IF(AND(D12129=D12130,D12129=D12131,D12130=D12131,F12129=F12130,F12129=F12131,F12130=F12131),SUM(N12129:N12131),0)</f>
        <v>2.6119999999999997</v>
      </c>
      <c r="O12132" t="str">
        <v>+</v>
      </c>
      <c r="P12132">
        <f>IF(N12132&gt;12,ROUNDDOWN(N12132/12,0),0)</f>
        <v>0</v>
      </c>
      <c r="Q12132" t="str">
        <v>x</v>
      </c>
      <c r="R12132">
        <f>IF(P12132&gt;0,MAX(VLOOKUP(F12132,$D$6:$G$15,3,FALSE),600),0)/1000</f>
        <v>0</v>
      </c>
      <c r="T12132" t="str">
        <v>x</v>
      </c>
      <c r="U12132">
        <f>U12131</f>
        <v>1.041885</v>
      </c>
      <c r="V12132" t="str">
        <v>x</v>
      </c>
      <c r="W12132">
        <f>D12132</f>
        <v>2</v>
      </c>
      <c r="X12132" t="str">
        <v>x</v>
      </c>
      <c r="Y12132">
        <f>Y12131</f>
        <v>1</v>
      </c>
      <c r="Z12132" t="str">
        <v>=</v>
      </c>
      <c r="AA12132">
        <f>(N12132+P12132*R12132/1000)*U12132*W12132*Y12132</f>
        <v>5.442807239999999</v>
      </c>
    </row>
    <row r="12134">
      <c r="A12134" t="str">
        <f>A12114</f>
        <v>Lantai Atap</v>
      </c>
      <c r="B12134">
        <f>B12114</f>
        <v>63</v>
      </c>
      <c r="C12134" t="str">
        <v>Sengkang Tumpuan</v>
      </c>
      <c r="D12134">
        <f>VLOOKUP(D12114,'Detail Balok'!$C$10:$AU$110,31,FALSE)</f>
        <v>0</v>
      </c>
      <c r="E12134" t="str">
        <v>D</v>
      </c>
      <c r="F12134">
        <f>VLOOKUP(D12114,'Detail Balok'!$C$10:$AU$110,33,FALSE)</f>
        <v>8</v>
      </c>
      <c r="G12134" t="str">
        <v>-</v>
      </c>
      <c r="H12134">
        <f>VLOOKUP(D12114,'Detail Balok'!$C$10:$AU$110,35,FALSE)</f>
        <v>100</v>
      </c>
      <c r="J12134">
        <f>(IF(D12134=0,(2*(D12115+G12115))-(F$5*8),IF(D12134=3,(2*(D12115+G12115))-(F$5*8)+(G12115-2*F$5),IF(D12134=4,(2*(D12115+G12115))-(F$5*8)+2*(G12115-2*F$5)))))/1000</f>
        <v>0.62</v>
      </c>
      <c r="K12134" t="str">
        <v>+</v>
      </c>
      <c r="L12134">
        <f>IF(D12134=0,2*MAX(6*F12134,75),(D12134-1)*2*MAX(6*F12134,75))/1000</f>
        <v>0.15</v>
      </c>
      <c r="M12134" t="str">
        <v>=</v>
      </c>
      <c r="N12134">
        <f>J12134+L12134</f>
        <v>0.77</v>
      </c>
      <c r="T12134" t="str">
        <v>x</v>
      </c>
      <c r="U12134">
        <f>0.006165*F12134^2</f>
        <v>0.39456</v>
      </c>
      <c r="V12134" t="str">
        <v>x</v>
      </c>
      <c r="W12134">
        <f>IF(D12117&gt;4*G12115,ROUND(MAX(D12117/4,2*G12115)/H12134,0)+1,ROUND(D12117/H12134,0)+1)</f>
        <v>7</v>
      </c>
      <c r="X12134" t="str">
        <v>x</v>
      </c>
      <c r="Y12134">
        <f>D12120</f>
        <v>1</v>
      </c>
      <c r="Z12134" t="str">
        <v>=</v>
      </c>
      <c r="AA12134">
        <f>N12134*U12134*W12134*Y12134</f>
        <v>2.1266784</v>
      </c>
    </row>
    <row r="12135">
      <c r="A12135" t="str">
        <f>A12114</f>
        <v>Lantai Atap</v>
      </c>
      <c r="B12135">
        <f>B12114</f>
        <v>63</v>
      </c>
      <c r="C12135" t="str">
        <v>Sengkang Lapangan</v>
      </c>
      <c r="D12135">
        <f>VLOOKUP(D12114,'Detail Balok'!$C$10:$AU$110,36,FALSE)</f>
        <v>0</v>
      </c>
      <c r="E12135" t="str">
        <v>D</v>
      </c>
      <c r="F12135">
        <f>VLOOKUP(D12114,'Detail Balok'!$C$10:$AU$110,38,FALSE)</f>
        <v>8</v>
      </c>
      <c r="G12135" t="str">
        <v>-</v>
      </c>
      <c r="H12135">
        <f>VLOOKUP(D12114,'Detail Balok'!$C$10:$AU$110,40,FALSE)</f>
        <v>150</v>
      </c>
      <c r="J12135">
        <f>(IF(D12135=0,(2*(D12115+G12115))-(F$5*8),IF(D12135=3,(2*(D12115+G12115))-(F$5*8)+(G12115-2*F$5),IF(D12135=4,(2*(D12115+G12115))-(F$5*8)+2*(G12115-2*F$5)))))/1000</f>
        <v>0.62</v>
      </c>
      <c r="K12135" t="str">
        <v>+</v>
      </c>
      <c r="L12135">
        <f>IF(D12135=0,2*MAX(6*F12135,75),(D12135-1)*2*MAX(6*F12135,75))/1000</f>
        <v>0.15</v>
      </c>
      <c r="M12135" t="str">
        <v>=</v>
      </c>
      <c r="N12135">
        <f>J12135+L12135</f>
        <v>0.77</v>
      </c>
      <c r="T12135" t="str">
        <v>x</v>
      </c>
      <c r="U12135">
        <f>0.006165*F12135^2</f>
        <v>0.39456</v>
      </c>
      <c r="V12135" t="str">
        <v>x</v>
      </c>
      <c r="W12135">
        <f>IF(D12117-MAX(D12117/4,2*G12115)*2&gt;0,ROUND((D12117-MAX(D12117/4,2*G12115)*2)/H12135,0),0)</f>
        <v>7</v>
      </c>
      <c r="X12135" t="str">
        <v>x</v>
      </c>
      <c r="Y12135">
        <f>D12120</f>
        <v>1</v>
      </c>
      <c r="Z12135" t="str">
        <v>=</v>
      </c>
      <c r="AA12135">
        <f>N12135*U12135*W12135*Y12135</f>
        <v>2.1266784</v>
      </c>
    </row>
    <row r="12136">
      <c r="A12136" t="str">
        <f>A12114</f>
        <v>Lantai Atap</v>
      </c>
      <c r="B12136">
        <f>B12114</f>
        <v>63</v>
      </c>
      <c r="C12136" t="str">
        <v>Sengkang Tumpuan</v>
      </c>
      <c r="D12136">
        <f>VLOOKUP(D12114,'Detail Balok'!$C$10:$AU$110,41,FALSE)</f>
        <v>0</v>
      </c>
      <c r="E12136" t="str">
        <v>D</v>
      </c>
      <c r="F12136">
        <f>VLOOKUP(D12114,'Detail Balok'!$C$10:$AU$110,43,FALSE)</f>
        <v>8</v>
      </c>
      <c r="G12136" t="str">
        <v>-</v>
      </c>
      <c r="H12136">
        <f>VLOOKUP(D12114,'Detail Balok'!$C$10:$AU$110,45,FALSE)</f>
        <v>100</v>
      </c>
      <c r="J12136">
        <f>(IF(D12136=0,(2*(D12115+G12115))-(F$5*8),IF(D12136=3,(2*(D12115+G12115))-(F$5*8)+(G12115-2*F$5),IF(D12136=4,(2*(D12115+G12115))-(F$5*8)+2*(G12115-2*F$5)))))/1000</f>
        <v>0.62</v>
      </c>
      <c r="K12136" t="str">
        <v>+</v>
      </c>
      <c r="L12136">
        <f>IF(D12136=0,2*MAX(6*F12136,75),(D12136-1)*2*MAX(6*F12136,75))/1000</f>
        <v>0.15</v>
      </c>
      <c r="M12136" t="str">
        <v>=</v>
      </c>
      <c r="N12136">
        <f>J12136+L12136</f>
        <v>0.77</v>
      </c>
      <c r="T12136" t="str">
        <v>x</v>
      </c>
      <c r="U12136">
        <f>0.006165*F12136^2</f>
        <v>0.39456</v>
      </c>
      <c r="V12136" t="str">
        <v>x</v>
      </c>
      <c r="W12136">
        <f>IF(D12117&gt;4*G12115,ROUND(MAX(D12117/4,2*G12115)/H12136,0)+1,0)</f>
        <v>7</v>
      </c>
      <c r="X12136" t="str">
        <v>x</v>
      </c>
      <c r="Y12136">
        <f>D12120</f>
        <v>1</v>
      </c>
      <c r="Z12136" t="str">
        <v>=</v>
      </c>
      <c r="AA12136">
        <f>N12136*U12136*W12136*Y12136</f>
        <v>2.1266784</v>
      </c>
    </row>
    <row r="12138">
      <c r="A12138" t="str">
        <f>A12114</f>
        <v>Lantai Atap</v>
      </c>
      <c r="B12138">
        <f>B12114</f>
        <v>63</v>
      </c>
      <c r="C12138" t="str">
        <v>Kait Horizontal Tump.</v>
      </c>
      <c r="D12138">
        <f>VLOOKUP(D12114,'Detail Balok'!$C$10:$BJ$110,46,FALSE)</f>
        <v>0</v>
      </c>
      <c r="E12138" t="str">
        <v>D</v>
      </c>
      <c r="F12138">
        <f>VLOOKUP(D12114,'Detail Balok'!$C$10:$BJ$110,48,FALSE)</f>
        <v>0</v>
      </c>
      <c r="G12138" t="str">
        <v>-</v>
      </c>
      <c r="H12138">
        <f>VLOOKUP(D12114,'Detail Balok'!$C$10:$BJ$110,50,FALSE)</f>
        <v>100</v>
      </c>
      <c r="J12138">
        <f>(D12115-2*F$5)/1000</f>
        <v>0.09</v>
      </c>
      <c r="K12138" t="str">
        <v>+</v>
      </c>
      <c r="L12138">
        <f>IF(D12138=0,2*MAX(6*F12138,75),(D12138-1)*2*MAX(6*F12138,75))/1000</f>
        <v>0.15</v>
      </c>
      <c r="M12138" t="str">
        <v>=</v>
      </c>
      <c r="N12138">
        <f>J12138+L12138</f>
        <v>0.24</v>
      </c>
      <c r="T12138" t="str">
        <v>x</v>
      </c>
      <c r="U12138">
        <f>0.006165*F12138^2</f>
        <v>0</v>
      </c>
      <c r="V12138" t="str">
        <v>x</v>
      </c>
      <c r="W12138">
        <f>W12134</f>
        <v>7</v>
      </c>
      <c r="X12138" t="str">
        <v>x</v>
      </c>
      <c r="Y12138">
        <f>D12124</f>
        <v>2</v>
      </c>
      <c r="Z12138" t="str">
        <v>=</v>
      </c>
      <c r="AA12138">
        <f>N12138*U12138*W12138*Y12138</f>
        <v>0</v>
      </c>
    </row>
    <row r="12139">
      <c r="A12139" t="str">
        <f>A12114</f>
        <v>Lantai Atap</v>
      </c>
      <c r="B12139">
        <f>B12114</f>
        <v>63</v>
      </c>
      <c r="C12139" t="str">
        <v>Kait Horizontal Lap.</v>
      </c>
      <c r="D12139">
        <f>VLOOKUP(D12114,'Detail Balok'!$C$10:$BJ$110,51,FALSE)</f>
        <v>0</v>
      </c>
      <c r="E12139" t="str">
        <v>D</v>
      </c>
      <c r="F12139">
        <f>VLOOKUP(D12114,'Detail Balok'!$C$10:$BJ$110,53,FALSE)</f>
        <v>0</v>
      </c>
      <c r="G12139" t="str">
        <v>-</v>
      </c>
      <c r="H12139">
        <f>VLOOKUP(D12114,'Detail Balok'!$C$10:$BJ$110,55,FALSE)</f>
        <v>100</v>
      </c>
      <c r="J12139">
        <f>(D12115-2*F$5)/1000</f>
        <v>0.09</v>
      </c>
      <c r="K12139" t="str">
        <v>+</v>
      </c>
      <c r="L12139">
        <f>IF(D12139=0,2*MAX(6*F12139,75),(D12139-1)*2*MAX(6*F12139,75))/1000</f>
        <v>0.15</v>
      </c>
      <c r="M12139" t="str">
        <v>=</v>
      </c>
      <c r="N12139">
        <f>J12139+L12139</f>
        <v>0.24</v>
      </c>
      <c r="T12139" t="str">
        <v>x</v>
      </c>
      <c r="U12139">
        <f>0.006165*F12139^2</f>
        <v>0</v>
      </c>
      <c r="V12139" t="str">
        <v>x</v>
      </c>
      <c r="W12139">
        <f>W12135</f>
        <v>7</v>
      </c>
      <c r="X12139" t="str">
        <v>x</v>
      </c>
      <c r="Y12139">
        <f>D12124</f>
        <v>2</v>
      </c>
      <c r="Z12139" t="str">
        <v>=</v>
      </c>
      <c r="AA12139">
        <f>N12139*U12139*W12139*Y12139</f>
        <v>0</v>
      </c>
    </row>
    <row r="12140">
      <c r="A12140" t="str">
        <f>A12114</f>
        <v>Lantai Atap</v>
      </c>
      <c r="B12140">
        <f>B12114</f>
        <v>63</v>
      </c>
      <c r="C12140" t="str">
        <v>Kait Horizontal Tump.</v>
      </c>
      <c r="D12140">
        <f>VLOOKUP(D12114,'Detail Balok'!$C$10:$BJ$110,56,FALSE)</f>
        <v>0</v>
      </c>
      <c r="E12140" t="str">
        <v>D</v>
      </c>
      <c r="F12140">
        <f>VLOOKUP(D12114,'Detail Balok'!$C$10:$BJ$110,58,FALSE)</f>
        <v>0</v>
      </c>
      <c r="G12140" t="str">
        <v>-</v>
      </c>
      <c r="H12140">
        <f>VLOOKUP(D12114,'Detail Balok'!$C$10:$BJ$110,60,FALSE)</f>
        <v>100</v>
      </c>
      <c r="J12140">
        <f>(D12115-2*F$5)/1000</f>
        <v>0.09</v>
      </c>
      <c r="K12140" t="str">
        <v>+</v>
      </c>
      <c r="L12140">
        <f>IF(D12140=0,2*MAX(6*F12140,75),(D12140-1)*2*MAX(6*F12140,75))/1000</f>
        <v>0.15</v>
      </c>
      <c r="M12140" t="str">
        <v>=</v>
      </c>
      <c r="N12140">
        <f>J12140+L12140</f>
        <v>0.24</v>
      </c>
      <c r="T12140" t="str">
        <v>x</v>
      </c>
      <c r="U12140">
        <f>0.006165*F12140^2</f>
        <v>0</v>
      </c>
      <c r="V12140" t="str">
        <v>x</v>
      </c>
      <c r="W12140">
        <f>W12136</f>
        <v>7</v>
      </c>
      <c r="X12140" t="str">
        <v>x</v>
      </c>
      <c r="Y12140">
        <f>D12124</f>
        <v>2</v>
      </c>
      <c r="Z12140" t="str">
        <v>=</v>
      </c>
      <c r="AA12140">
        <f>N12140*U12140*W12140*Y12140</f>
        <v>0</v>
      </c>
    </row>
    <row r="12144">
      <c r="A12144" t="str">
        <f>A12114</f>
        <v>Lantai Atap</v>
      </c>
      <c r="B12144">
        <f>B12114+1</f>
        <v>64</v>
      </c>
      <c r="C12144" t="str">
        <f>CONCATENATE(A12144," no. ",B12144)</f>
        <v>Lantai Atap no. 64</v>
      </c>
      <c r="D12144" t="str">
        <f>VLOOKUP(C12144,'Data Panjang Balok'!$C$9:$N$424,2,FALSE)</f>
        <v>B175-1</v>
      </c>
    </row>
    <row r="12145">
      <c r="C12145" t="str">
        <v>Dimensi</v>
      </c>
      <c r="D12145">
        <f>VLOOKUP(D12144,'Detail Balok'!$C$10:$AU$110,2,FALSE)</f>
        <v>170</v>
      </c>
      <c r="F12145" t="str">
        <v>x</v>
      </c>
      <c r="G12145">
        <f>VLOOKUP(D12144,'Detail Balok'!$C$10:$AU$110,3,FALSE)</f>
        <v>500</v>
      </c>
    </row>
    <row r="12146">
      <c r="C12146" t="str">
        <v>Panjang as ke as</v>
      </c>
      <c r="D12146">
        <f>VLOOKUP(C12144,'Data Panjang Balok'!$C$9:$N$424,4,FALSE)</f>
        <v>8000</v>
      </c>
    </row>
    <row r="12147">
      <c r="C12147" t="str">
        <v>Panjang netto</v>
      </c>
      <c r="D12147">
        <f>VLOOKUP(C12144,'Data Panjang Balok'!$C$9:$N$424,7,FALSE)</f>
        <v>8000</v>
      </c>
    </row>
    <row r="12148">
      <c r="C12148" t="str">
        <v>Kolom / balok kiri</v>
      </c>
      <c r="D12148">
        <f>VLOOKUP(C12144,'Data Panjang Balok'!$C$9:$N$424,9,FALSE)</f>
        <v>0</v>
      </c>
    </row>
    <row r="12149">
      <c r="C12149" t="str">
        <v>Kolom / balok kanan</v>
      </c>
      <c r="D12149">
        <f>VLOOKUP(C12144,'Data Panjang Balok'!$C$9:$N$424,10,FALSE)</f>
        <v>0</v>
      </c>
    </row>
    <row r="12150">
      <c r="C12150" t="str">
        <v>Jumlah</v>
      </c>
      <c r="D12150">
        <f>VLOOKUP(C12144,'Data Panjang Balok'!$C$9:$N$424,3,FALSE)</f>
        <v>1</v>
      </c>
    </row>
    <row r="12151">
      <c r="A12151" t="str">
        <f>A12144</f>
        <v>Lantai Atap</v>
      </c>
      <c r="B12151">
        <f>B12144</f>
        <v>64</v>
      </c>
      <c r="C12151" t="str">
        <v>Tul Atas Tumpuan</v>
      </c>
      <c r="D12151">
        <f>VLOOKUP(D12144,'Detail Balok'!$C$10:$AU$110,4,FALSE)</f>
        <v>2</v>
      </c>
      <c r="E12151" t="str">
        <v>D</v>
      </c>
      <c r="F12151">
        <f>VLOOKUP(D12144,'Detail Balok'!$C$10:$AU$110,6,FALSE)</f>
        <v>13</v>
      </c>
      <c r="I12151" t="str">
        <v>(</v>
      </c>
      <c r="J12151">
        <f>+D12146/4/1000</f>
        <v>2</v>
      </c>
      <c r="K12151" t="str">
        <v>+</v>
      </c>
      <c r="L12151">
        <f>MAX(VLOOKUP(F12151,N$6:P$15,3,FALSE)/1000,2/3*D12148/1000)+F$16*F12151/1000</f>
        <v>0.156</v>
      </c>
      <c r="M12151" t="str">
        <v>=</v>
      </c>
      <c r="N12151">
        <f>J12151+L12151</f>
        <v>2.156</v>
      </c>
      <c r="O12151" t="str">
        <v>+</v>
      </c>
      <c r="P12151">
        <f>D12151-D12152</f>
        <v>0</v>
      </c>
      <c r="Q12151" t="str">
        <v>x</v>
      </c>
      <c r="R12151">
        <f>IF(P12151&gt;0,$F$18*F12151/1000,0)</f>
        <v>0</v>
      </c>
      <c r="S12151" t="str">
        <v>)</v>
      </c>
      <c r="T12151" t="str">
        <v>x</v>
      </c>
      <c r="U12151">
        <f>0.006165*F12151^2</f>
        <v>1.041885</v>
      </c>
      <c r="X12151" t="str">
        <v>x</v>
      </c>
      <c r="Y12151">
        <f>D12150</f>
        <v>1</v>
      </c>
      <c r="Z12151" t="str">
        <v>=</v>
      </c>
      <c r="AA12151">
        <f>IF(AA12154=0,(D12151*N12151+P12151*R12151)*U12151*Y12151,0)</f>
        <v>0</v>
      </c>
    </row>
    <row r="12152">
      <c r="A12152" t="str">
        <f>A12144</f>
        <v>Lantai Atap</v>
      </c>
      <c r="B12152">
        <f>B12144</f>
        <v>64</v>
      </c>
      <c r="C12152" t="str">
        <v>Tul Atas Lapangan</v>
      </c>
      <c r="D12152">
        <f>VLOOKUP(D12144,'Detail Balok'!$C$10:$AU$110,7,FALSE)</f>
        <v>2</v>
      </c>
      <c r="E12152" t="str">
        <v>D</v>
      </c>
      <c r="F12152">
        <f>VLOOKUP(D12144,'Detail Balok'!$C$10:$AU$110,9,FALSE)</f>
        <v>13</v>
      </c>
      <c r="I12152" t="str">
        <v>(</v>
      </c>
      <c r="J12152">
        <f>+D12146/2/1000</f>
        <v>4</v>
      </c>
      <c r="K12152" t="str">
        <v>+</v>
      </c>
      <c r="M12152" t="str">
        <v>=</v>
      </c>
      <c r="N12152">
        <f>J12152+L12152</f>
        <v>4</v>
      </c>
      <c r="O12152" t="str">
        <v>+</v>
      </c>
      <c r="P12152">
        <f>MAX(D12152-D12151,D12152-D12153)</f>
        <v>0</v>
      </c>
      <c r="Q12152" t="str">
        <v>x</v>
      </c>
      <c r="R12152">
        <f>IF(P12152&gt;0,2*(1-2*$F$19-1/2)*D12147/1000,0)</f>
        <v>0</v>
      </c>
      <c r="S12152" t="str">
        <v>)</v>
      </c>
      <c r="T12152" t="str">
        <v>x</v>
      </c>
      <c r="U12152">
        <f>0.006165*F12152^2</f>
        <v>1.041885</v>
      </c>
      <c r="X12152" t="str">
        <v>x</v>
      </c>
      <c r="Y12152">
        <f>D12150</f>
        <v>1</v>
      </c>
      <c r="Z12152" t="str">
        <v>=</v>
      </c>
      <c r="AA12152">
        <f>IF(AA12154=0,(D12152*N12152+P12152*R12152)*U12152*Y12152,0)</f>
        <v>0</v>
      </c>
    </row>
    <row r="12153">
      <c r="A12153" t="str">
        <f>A12144</f>
        <v>Lantai Atap</v>
      </c>
      <c r="B12153">
        <f>B12144</f>
        <v>64</v>
      </c>
      <c r="C12153" t="str">
        <v>Tul Atas Tumpuan</v>
      </c>
      <c r="D12153">
        <f>VLOOKUP(D12144,'Detail Balok'!$C$10:$AU$110,10,FALSE)</f>
        <v>2</v>
      </c>
      <c r="E12153" t="str">
        <v>D</v>
      </c>
      <c r="F12153">
        <f>VLOOKUP(D12144,'Detail Balok'!$C$10:$AU$110,12,FALSE)</f>
        <v>13</v>
      </c>
      <c r="I12153" t="str">
        <v>(</v>
      </c>
      <c r="J12153">
        <f>+D12146/4/1000</f>
        <v>2</v>
      </c>
      <c r="K12153" t="str">
        <v>+</v>
      </c>
      <c r="L12153">
        <f>MAX(VLOOKUP(F12153,N$6:P$15,3,FALSE)/1000,2/3*D12148/1000)+F$16*F12153/1000</f>
        <v>0.156</v>
      </c>
      <c r="M12153" t="str">
        <v>=</v>
      </c>
      <c r="N12153">
        <f>J12153+L12153</f>
        <v>2.156</v>
      </c>
      <c r="O12153" t="str">
        <v>+</v>
      </c>
      <c r="P12153">
        <f>D12153-D12152</f>
        <v>0</v>
      </c>
      <c r="Q12153" t="str">
        <v>x</v>
      </c>
      <c r="R12153">
        <f>IF(P12153&gt;0,$F$18*F12153/1000,0)</f>
        <v>0</v>
      </c>
      <c r="S12153" t="str">
        <v>)</v>
      </c>
      <c r="T12153" t="str">
        <v>x</v>
      </c>
      <c r="U12153">
        <f>0.006165*F12153^2</f>
        <v>1.041885</v>
      </c>
      <c r="X12153" t="str">
        <v>x</v>
      </c>
      <c r="Y12153">
        <f>D12150</f>
        <v>1</v>
      </c>
      <c r="Z12153" t="str">
        <v>=</v>
      </c>
      <c r="AA12153">
        <f>IF(AA12154=0,(D12153*N12153+P12153*R12153)*U12153*Y12153,0)</f>
        <v>0</v>
      </c>
    </row>
    <row r="12154">
      <c r="A12154" t="str">
        <f>A12144</f>
        <v>Lantai Atap</v>
      </c>
      <c r="B12154">
        <f>B12144</f>
        <v>64</v>
      </c>
      <c r="D12154">
        <f>IF(AND(D12151=D12152,D12152=D12153,D12151=D12153),D12151,0)</f>
        <v>2</v>
      </c>
      <c r="E12154" t="str">
        <v>D</v>
      </c>
      <c r="F12154">
        <f>IF(AND(F12151=F12152,F12151=F12153,F12152=F12153),F12151,0)</f>
        <v>13</v>
      </c>
      <c r="L12154" t="str">
        <v>Total panjang per balok</v>
      </c>
      <c r="M12154" t="str">
        <v>=</v>
      </c>
      <c r="N12154">
        <f>IF(AND(D12151=D12152,D12151=D12153,D12152=D12153,F12151=F12152,F12151=F12153,F12152=F12153),SUM(N12151:N12153),0)</f>
        <v>8.312000000000001</v>
      </c>
      <c r="O12154" t="str">
        <v>+</v>
      </c>
      <c r="P12154">
        <f>IF(N12154&gt;12,ROUNDDOWN(N12154/12,0),0)</f>
        <v>0</v>
      </c>
      <c r="Q12154" t="str">
        <v>x</v>
      </c>
      <c r="R12154">
        <f>IF(P12154&gt;0,MAX(VLOOKUP(F12154,$D$6:$G$15,3,FALSE),600),0)/1000</f>
        <v>0</v>
      </c>
      <c r="T12154" t="str">
        <v>x</v>
      </c>
      <c r="U12154">
        <f>U12153</f>
        <v>1.041885</v>
      </c>
      <c r="V12154" t="str">
        <v>x</v>
      </c>
      <c r="W12154">
        <f>D12154</f>
        <v>2</v>
      </c>
      <c r="X12154" t="str">
        <v>x</v>
      </c>
      <c r="Y12154">
        <f>Y12153</f>
        <v>1</v>
      </c>
      <c r="Z12154" t="str">
        <v>=</v>
      </c>
      <c r="AA12154">
        <f>(N12154+P12154*R12154/1000)*U12154*W12154*Y12154</f>
        <v>17.32029624</v>
      </c>
    </row>
    <row r="12156">
      <c r="A12156" t="str">
        <f>A12144</f>
        <v>Lantai Atap</v>
      </c>
      <c r="B12156">
        <f>B12144</f>
        <v>64</v>
      </c>
      <c r="C12156" t="str">
        <v>Tul Peminggang</v>
      </c>
      <c r="D12156">
        <f>VLOOKUP(D12144,'Detail Balok'!$C$10:$AU$110,13,FALSE)</f>
        <v>2</v>
      </c>
      <c r="E12156" t="str">
        <v>D</v>
      </c>
      <c r="F12156">
        <f>VLOOKUP(D12144,'Detail Balok'!$C$10:$AU$110,15,FALSE)</f>
        <v>10</v>
      </c>
      <c r="J12156">
        <f>+D12146/1000</f>
        <v>8</v>
      </c>
      <c r="K12156" t="str">
        <v>+</v>
      </c>
      <c r="L12156">
        <f>2*$F$16*F12156/1000</f>
        <v>0.24</v>
      </c>
      <c r="M12156" t="str">
        <v>=</v>
      </c>
      <c r="N12156">
        <f>J12156+L12156</f>
        <v>8.24</v>
      </c>
      <c r="O12156" t="str">
        <v>+</v>
      </c>
      <c r="P12156">
        <f>IF(N12156&gt;12,ROUNDDOWN(N12156/12,0),0)</f>
        <v>0</v>
      </c>
      <c r="Q12156" t="str">
        <v>x</v>
      </c>
      <c r="R12156">
        <f>IF(P12156&gt;0,MAX(VLOOKUP(F12156,$D$6:$G$15,3,FALSE),600),0)/1000</f>
        <v>0</v>
      </c>
      <c r="T12156" t="str">
        <v>x</v>
      </c>
      <c r="U12156">
        <f>0.006165*F12156^2</f>
        <v>0.6165</v>
      </c>
      <c r="V12156" t="str">
        <v>x</v>
      </c>
      <c r="W12156">
        <f>+D12156</f>
        <v>2</v>
      </c>
      <c r="X12156" t="str">
        <v>x</v>
      </c>
      <c r="Y12156">
        <f>D12150</f>
        <v>1</v>
      </c>
      <c r="Z12156" t="str">
        <v>=</v>
      </c>
      <c r="AA12156">
        <f>(N12156+P12156*R12156/1000)*U12156*W12156*Y12156</f>
        <v>10.159920000000001</v>
      </c>
    </row>
    <row r="12159">
      <c r="A12159" t="str">
        <f>A12144</f>
        <v>Lantai Atap</v>
      </c>
      <c r="B12159">
        <f>B12144</f>
        <v>64</v>
      </c>
      <c r="C12159" t="str">
        <v>Tul Bawah Tumpuan</v>
      </c>
      <c r="D12159">
        <f>VLOOKUP(D12144,'Detail Balok'!$C$10:$AU$110,22,FALSE)</f>
        <v>2</v>
      </c>
      <c r="E12159" t="str">
        <v>D</v>
      </c>
      <c r="F12159">
        <f>VLOOKUP(D12144,'Detail Balok'!$C$10:$AU$110,24,FALSE)</f>
        <v>13</v>
      </c>
      <c r="I12159" t="str">
        <v>(</v>
      </c>
      <c r="J12159">
        <f>+J12151</f>
        <v>2</v>
      </c>
      <c r="K12159" t="str">
        <v>+</v>
      </c>
      <c r="L12159">
        <f>MAX(VLOOKUP(F12159,N$6:P$15,3,FALSE)/1000,2/3*D12149/1000)+F$16*F12159/1000</f>
        <v>0.156</v>
      </c>
      <c r="M12159" t="str">
        <v>=</v>
      </c>
      <c r="N12159">
        <f>J12159+L12159</f>
        <v>2.156</v>
      </c>
      <c r="O12159" t="str">
        <v>+</v>
      </c>
      <c r="P12159">
        <f>D12159-D12160</f>
        <v>0</v>
      </c>
      <c r="Q12159" t="str">
        <v>x</v>
      </c>
      <c r="R12159">
        <f>IF(P12159&gt;0,$F$18*F12159/1000,0)</f>
        <v>0</v>
      </c>
      <c r="S12159" t="str">
        <v>)</v>
      </c>
      <c r="T12159" t="str">
        <v>x</v>
      </c>
      <c r="U12159">
        <f>0.006165*F12159^2</f>
        <v>1.041885</v>
      </c>
      <c r="X12159" t="str">
        <v>x</v>
      </c>
      <c r="Y12159">
        <f>D12150</f>
        <v>1</v>
      </c>
      <c r="Z12159" t="str">
        <v>=</v>
      </c>
      <c r="AA12159">
        <f>IF(AA12162=0,(D12159*N12159+P12159*R12159)*U12159*Y12159,0)</f>
        <v>0</v>
      </c>
    </row>
    <row r="12160">
      <c r="A12160" t="str">
        <f>A12144</f>
        <v>Lantai Atap</v>
      </c>
      <c r="B12160">
        <f>B12144</f>
        <v>64</v>
      </c>
      <c r="C12160" t="str">
        <v>Tul Bawah Lapangan</v>
      </c>
      <c r="D12160">
        <f>VLOOKUP(D12144,'Detail Balok'!$C$10:$AU$110,25,FALSE)</f>
        <v>2</v>
      </c>
      <c r="E12160" t="str">
        <v>D</v>
      </c>
      <c r="F12160">
        <f>VLOOKUP(D12144,'Detail Balok'!$C$10:$AU$110,27,FALSE)</f>
        <v>13</v>
      </c>
      <c r="I12160" t="str">
        <v>(</v>
      </c>
      <c r="J12160">
        <f>+J12152</f>
        <v>4</v>
      </c>
      <c r="K12160" t="str">
        <v>+</v>
      </c>
      <c r="M12160" t="str">
        <v>=</v>
      </c>
      <c r="N12160">
        <f>J12160+L12160</f>
        <v>4</v>
      </c>
      <c r="O12160" t="str">
        <v>+</v>
      </c>
      <c r="P12160">
        <f>MAX(D12160-D12159,D12160-D12161)</f>
        <v>0</v>
      </c>
      <c r="Q12160" t="str">
        <v>x</v>
      </c>
      <c r="R12160">
        <f>IF(P12160&gt;0,2*(1-2*$F$19-1/2)*D12147/1000,0)</f>
        <v>0</v>
      </c>
      <c r="S12160" t="str">
        <v>)</v>
      </c>
      <c r="T12160" t="str">
        <v>x</v>
      </c>
      <c r="U12160">
        <f>0.006165*F12160^2</f>
        <v>1.041885</v>
      </c>
      <c r="X12160" t="str">
        <v>x</v>
      </c>
      <c r="Y12160">
        <f>D12150</f>
        <v>1</v>
      </c>
      <c r="Z12160" t="str">
        <v>=</v>
      </c>
      <c r="AA12160">
        <f>IF(AA12162=0,(D12160*N12160+P12160*R12160)*U12160*Y12160,0)</f>
        <v>0</v>
      </c>
    </row>
    <row r="12161">
      <c r="A12161" t="str">
        <f>A12144</f>
        <v>Lantai Atap</v>
      </c>
      <c r="B12161">
        <f>B12144</f>
        <v>64</v>
      </c>
      <c r="C12161" t="str">
        <v>Tul Bawah Tumpuan</v>
      </c>
      <c r="D12161">
        <f>VLOOKUP(D12144,'Detail Balok'!$C$10:$AU$110,28,FALSE)</f>
        <v>2</v>
      </c>
      <c r="E12161" t="str">
        <v>D</v>
      </c>
      <c r="F12161">
        <f>VLOOKUP(D12144,'Detail Balok'!$C$10:$AU$110,30,FALSE)</f>
        <v>13</v>
      </c>
      <c r="I12161" t="str">
        <v>(</v>
      </c>
      <c r="J12161">
        <f>+J12153</f>
        <v>2</v>
      </c>
      <c r="K12161" t="str">
        <v>+</v>
      </c>
      <c r="L12161">
        <f>MAX(VLOOKUP(F12161,N$6:P$15,3,FALSE)/1000,2/3*D12149/1000)+F$16*F12161/1000</f>
        <v>0.156</v>
      </c>
      <c r="M12161" t="str">
        <v>=</v>
      </c>
      <c r="N12161">
        <f>J12161+L12161</f>
        <v>2.156</v>
      </c>
      <c r="O12161" t="str">
        <v>+</v>
      </c>
      <c r="P12161">
        <f>D12161-D12160</f>
        <v>0</v>
      </c>
      <c r="Q12161" t="str">
        <v>x</v>
      </c>
      <c r="R12161">
        <f>IF(P12161&gt;0,$F$18*F12161/1000,0)</f>
        <v>0</v>
      </c>
      <c r="S12161" t="str">
        <v>)</v>
      </c>
      <c r="T12161" t="str">
        <v>x</v>
      </c>
      <c r="U12161">
        <f>0.006165*F12161^2</f>
        <v>1.041885</v>
      </c>
      <c r="X12161" t="str">
        <v>x</v>
      </c>
      <c r="Y12161">
        <f>D12150</f>
        <v>1</v>
      </c>
      <c r="Z12161" t="str">
        <v>=</v>
      </c>
      <c r="AA12161">
        <f>IF(AA12162=0,(D12161*N12161+P12161*R12161)*U12161*Y12161,0)</f>
        <v>0</v>
      </c>
    </row>
    <row r="12162">
      <c r="A12162" t="str">
        <f>A12144</f>
        <v>Lantai Atap</v>
      </c>
      <c r="B12162">
        <f>B12144</f>
        <v>64</v>
      </c>
      <c r="D12162">
        <f>IF(AND(D12159=D12160,D12160=D12161,D12159=D12161),D12159,0)</f>
        <v>2</v>
      </c>
      <c r="E12162" t="str">
        <v>D</v>
      </c>
      <c r="F12162">
        <f>IF(AND(F12159=F12160,F12159=F12161,F12160=F12161),F12159,0)</f>
        <v>13</v>
      </c>
      <c r="L12162" t="str">
        <v>Total panjang per balok</v>
      </c>
      <c r="M12162" t="str">
        <v>=</v>
      </c>
      <c r="N12162">
        <f>IF(AND(D12159=D12160,D12159=D12161,D12160=D12161,F12159=F12160,F12159=F12161,F12160=F12161),SUM(N12159:N12161),0)</f>
        <v>8.312000000000001</v>
      </c>
      <c r="O12162" t="str">
        <v>+</v>
      </c>
      <c r="P12162">
        <f>IF(N12162&gt;12,ROUNDDOWN(N12162/12,0),0)</f>
        <v>0</v>
      </c>
      <c r="Q12162" t="str">
        <v>x</v>
      </c>
      <c r="R12162">
        <f>IF(P12162&gt;0,MAX(VLOOKUP(F12162,$D$6:$G$15,3,FALSE),600),0)/1000</f>
        <v>0</v>
      </c>
      <c r="T12162" t="str">
        <v>x</v>
      </c>
      <c r="U12162">
        <f>U12161</f>
        <v>1.041885</v>
      </c>
      <c r="V12162" t="str">
        <v>x</v>
      </c>
      <c r="W12162">
        <f>D12162</f>
        <v>2</v>
      </c>
      <c r="X12162" t="str">
        <v>x</v>
      </c>
      <c r="Y12162">
        <f>Y12161</f>
        <v>1</v>
      </c>
      <c r="Z12162" t="str">
        <v>=</v>
      </c>
      <c r="AA12162">
        <f>(N12162+P12162*R12162/1000)*U12162*W12162*Y12162</f>
        <v>17.32029624</v>
      </c>
    </row>
    <row r="12164">
      <c r="A12164" t="str">
        <f>A12144</f>
        <v>Lantai Atap</v>
      </c>
      <c r="B12164">
        <f>B12144</f>
        <v>64</v>
      </c>
      <c r="C12164" t="str">
        <v>Sengkang Tumpuan</v>
      </c>
      <c r="D12164">
        <f>VLOOKUP(D12144,'Detail Balok'!$C$10:$AU$110,31,FALSE)</f>
        <v>0</v>
      </c>
      <c r="E12164" t="str">
        <v>D</v>
      </c>
      <c r="F12164">
        <f>VLOOKUP(D12144,'Detail Balok'!$C$10:$AU$110,33,FALSE)</f>
        <v>10</v>
      </c>
      <c r="G12164" t="str">
        <v>-</v>
      </c>
      <c r="H12164">
        <f>VLOOKUP(D12144,'Detail Balok'!$C$10:$AU$110,35,FALSE)</f>
        <v>80</v>
      </c>
      <c r="J12164">
        <f>(IF(D12164=0,(2*(D12145+G12145))-(F$5*8),IF(D12164=3,(2*(D12145+G12145))-(F$5*8)+(G12145-2*F$5),IF(D12164=4,(2*(D12145+G12145))-(F$5*8)+2*(G12145-2*F$5)))))/1000</f>
        <v>1.02</v>
      </c>
      <c r="K12164" t="str">
        <v>+</v>
      </c>
      <c r="L12164">
        <f>IF(D12164=0,2*MAX(6*F12164,75),(D12164-1)*2*MAX(6*F12164,75))/1000</f>
        <v>0.15</v>
      </c>
      <c r="M12164" t="str">
        <v>=</v>
      </c>
      <c r="N12164">
        <f>J12164+L12164</f>
        <v>1.17</v>
      </c>
      <c r="T12164" t="str">
        <v>x</v>
      </c>
      <c r="U12164">
        <f>0.006165*F12164^2</f>
        <v>0.6165</v>
      </c>
      <c r="V12164" t="str">
        <v>x</v>
      </c>
      <c r="W12164">
        <f>IF(D12147&gt;4*G12145,ROUND(MAX(D12147/4,2*G12145)/H12164,0)+1,ROUND(D12147/H12164,0)+1)</f>
        <v>26</v>
      </c>
      <c r="X12164" t="str">
        <v>x</v>
      </c>
      <c r="Y12164">
        <f>D12150</f>
        <v>1</v>
      </c>
      <c r="Z12164" t="str">
        <v>=</v>
      </c>
      <c r="AA12164">
        <f>N12164*U12164*W12164*Y12164</f>
        <v>18.75393</v>
      </c>
    </row>
    <row r="12165">
      <c r="A12165" t="str">
        <f>A12144</f>
        <v>Lantai Atap</v>
      </c>
      <c r="B12165">
        <f>B12144</f>
        <v>64</v>
      </c>
      <c r="C12165" t="str">
        <v>Sengkang Lapangan</v>
      </c>
      <c r="D12165">
        <f>VLOOKUP(D12144,'Detail Balok'!$C$10:$AU$110,36,FALSE)</f>
        <v>0</v>
      </c>
      <c r="E12165" t="str">
        <v>D</v>
      </c>
      <c r="F12165">
        <f>VLOOKUP(D12144,'Detail Balok'!$C$10:$AU$110,38,FALSE)</f>
        <v>10</v>
      </c>
      <c r="G12165" t="str">
        <v>-</v>
      </c>
      <c r="H12165">
        <f>VLOOKUP(D12144,'Detail Balok'!$C$10:$AU$110,40,FALSE)</f>
        <v>200</v>
      </c>
      <c r="J12165">
        <f>(IF(D12165=0,(2*(D12145+G12145))-(F$5*8),IF(D12165=3,(2*(D12145+G12145))-(F$5*8)+(G12145-2*F$5),IF(D12165=4,(2*(D12145+G12145))-(F$5*8)+2*(G12145-2*F$5)))))/1000</f>
        <v>1.02</v>
      </c>
      <c r="K12165" t="str">
        <v>+</v>
      </c>
      <c r="L12165">
        <f>IF(D12165=0,2*MAX(6*F12165,75),(D12165-1)*2*MAX(6*F12165,75))/1000</f>
        <v>0.15</v>
      </c>
      <c r="M12165" t="str">
        <v>=</v>
      </c>
      <c r="N12165">
        <f>J12165+L12165</f>
        <v>1.17</v>
      </c>
      <c r="T12165" t="str">
        <v>x</v>
      </c>
      <c r="U12165">
        <f>0.006165*F12165^2</f>
        <v>0.6165</v>
      </c>
      <c r="V12165" t="str">
        <v>x</v>
      </c>
      <c r="W12165">
        <f>IF(D12147-MAX(D12147/4,2*G12145)*2&gt;0,ROUND((D12147-MAX(D12147/4,2*G12145)*2)/H12165,0),0)</f>
        <v>20</v>
      </c>
      <c r="X12165" t="str">
        <v>x</v>
      </c>
      <c r="Y12165">
        <f>D12150</f>
        <v>1</v>
      </c>
      <c r="Z12165" t="str">
        <v>=</v>
      </c>
      <c r="AA12165">
        <f>N12165*U12165*W12165*Y12165</f>
        <v>14.4261</v>
      </c>
    </row>
    <row r="12166">
      <c r="A12166" t="str">
        <f>A12144</f>
        <v>Lantai Atap</v>
      </c>
      <c r="B12166">
        <f>B12144</f>
        <v>64</v>
      </c>
      <c r="C12166" t="str">
        <v>Sengkang Tumpuan</v>
      </c>
      <c r="D12166">
        <f>VLOOKUP(D12144,'Detail Balok'!$C$10:$AU$110,41,FALSE)</f>
        <v>0</v>
      </c>
      <c r="E12166" t="str">
        <v>D</v>
      </c>
      <c r="F12166">
        <f>VLOOKUP(D12144,'Detail Balok'!$C$10:$AU$110,43,FALSE)</f>
        <v>10</v>
      </c>
      <c r="G12166" t="str">
        <v>-</v>
      </c>
      <c r="H12166">
        <f>VLOOKUP(D12144,'Detail Balok'!$C$10:$AU$110,45,FALSE)</f>
        <v>80</v>
      </c>
      <c r="J12166">
        <f>(IF(D12166=0,(2*(D12145+G12145))-(F$5*8),IF(D12166=3,(2*(D12145+G12145))-(F$5*8)+(G12145-2*F$5),IF(D12166=4,(2*(D12145+G12145))-(F$5*8)+2*(G12145-2*F$5)))))/1000</f>
        <v>1.02</v>
      </c>
      <c r="K12166" t="str">
        <v>+</v>
      </c>
      <c r="L12166">
        <f>IF(D12166=0,2*MAX(6*F12166,75),(D12166-1)*2*MAX(6*F12166,75))/1000</f>
        <v>0.15</v>
      </c>
      <c r="M12166" t="str">
        <v>=</v>
      </c>
      <c r="N12166">
        <f>J12166+L12166</f>
        <v>1.17</v>
      </c>
      <c r="T12166" t="str">
        <v>x</v>
      </c>
      <c r="U12166">
        <f>0.006165*F12166^2</f>
        <v>0.6165</v>
      </c>
      <c r="V12166" t="str">
        <v>x</v>
      </c>
      <c r="W12166">
        <f>IF(D12147&gt;4*G12145,ROUND(MAX(D12147/4,2*G12145)/H12166,0)+1,0)</f>
        <v>26</v>
      </c>
      <c r="X12166" t="str">
        <v>x</v>
      </c>
      <c r="Y12166">
        <f>D12150</f>
        <v>1</v>
      </c>
      <c r="Z12166" t="str">
        <v>=</v>
      </c>
      <c r="AA12166">
        <f>N12166*U12166*W12166*Y12166</f>
        <v>18.75393</v>
      </c>
    </row>
    <row r="12168">
      <c r="A12168" t="str">
        <f>A12144</f>
        <v>Lantai Atap</v>
      </c>
      <c r="B12168">
        <f>B12144</f>
        <v>64</v>
      </c>
      <c r="C12168" t="str">
        <v>Kait Horizontal Tump.</v>
      </c>
      <c r="D12168">
        <f>VLOOKUP(D12144,'Detail Balok'!$C$10:$BJ$110,46,FALSE)</f>
        <v>0</v>
      </c>
      <c r="E12168" t="str">
        <v>D</v>
      </c>
      <c r="F12168">
        <f>VLOOKUP(D12144,'Detail Balok'!$C$10:$BJ$110,48,FALSE)</f>
        <v>0</v>
      </c>
      <c r="G12168" t="str">
        <v>-</v>
      </c>
      <c r="H12168">
        <f>VLOOKUP(D12144,'Detail Balok'!$C$10:$BJ$110,50,FALSE)</f>
        <v>100</v>
      </c>
      <c r="J12168">
        <f>(D12145-2*F$5)/1000</f>
        <v>0.09</v>
      </c>
      <c r="K12168" t="str">
        <v>+</v>
      </c>
      <c r="L12168">
        <f>IF(D12168=0,2*MAX(6*F12168,75),(D12168-1)*2*MAX(6*F12168,75))/1000</f>
        <v>0.15</v>
      </c>
      <c r="M12168" t="str">
        <v>=</v>
      </c>
      <c r="N12168">
        <f>J12168+L12168</f>
        <v>0.24</v>
      </c>
      <c r="T12168" t="str">
        <v>x</v>
      </c>
      <c r="U12168">
        <f>0.006165*F12168^2</f>
        <v>0</v>
      </c>
      <c r="V12168" t="str">
        <v>x</v>
      </c>
      <c r="W12168">
        <f>W12164</f>
        <v>26</v>
      </c>
      <c r="X12168" t="str">
        <v>x</v>
      </c>
      <c r="Y12168">
        <f>D12154</f>
        <v>2</v>
      </c>
      <c r="Z12168" t="str">
        <v>=</v>
      </c>
      <c r="AA12168">
        <f>N12168*U12168*W12168*Y12168</f>
        <v>0</v>
      </c>
    </row>
    <row r="12169">
      <c r="A12169" t="str">
        <f>A12144</f>
        <v>Lantai Atap</v>
      </c>
      <c r="B12169">
        <f>B12144</f>
        <v>64</v>
      </c>
      <c r="C12169" t="str">
        <v>Kait Horizontal Lap.</v>
      </c>
      <c r="D12169">
        <f>VLOOKUP(D12144,'Detail Balok'!$C$10:$BJ$110,51,FALSE)</f>
        <v>0</v>
      </c>
      <c r="E12169" t="str">
        <v>D</v>
      </c>
      <c r="F12169">
        <f>VLOOKUP(D12144,'Detail Balok'!$C$10:$BJ$110,53,FALSE)</f>
        <v>0</v>
      </c>
      <c r="G12169" t="str">
        <v>-</v>
      </c>
      <c r="H12169">
        <f>VLOOKUP(D12144,'Detail Balok'!$C$10:$BJ$110,55,FALSE)</f>
        <v>100</v>
      </c>
      <c r="J12169">
        <f>(D12145-2*F$5)/1000</f>
        <v>0.09</v>
      </c>
      <c r="K12169" t="str">
        <v>+</v>
      </c>
      <c r="L12169">
        <f>IF(D12169=0,2*MAX(6*F12169,75),(D12169-1)*2*MAX(6*F12169,75))/1000</f>
        <v>0.15</v>
      </c>
      <c r="M12169" t="str">
        <v>=</v>
      </c>
      <c r="N12169">
        <f>J12169+L12169</f>
        <v>0.24</v>
      </c>
      <c r="T12169" t="str">
        <v>x</v>
      </c>
      <c r="U12169">
        <f>0.006165*F12169^2</f>
        <v>0</v>
      </c>
      <c r="V12169" t="str">
        <v>x</v>
      </c>
      <c r="W12169">
        <f>W12165</f>
        <v>20</v>
      </c>
      <c r="X12169" t="str">
        <v>x</v>
      </c>
      <c r="Y12169">
        <f>D12154</f>
        <v>2</v>
      </c>
      <c r="Z12169" t="str">
        <v>=</v>
      </c>
      <c r="AA12169">
        <f>N12169*U12169*W12169*Y12169</f>
        <v>0</v>
      </c>
    </row>
    <row r="12170">
      <c r="A12170" t="str">
        <f>A12144</f>
        <v>Lantai Atap</v>
      </c>
      <c r="B12170">
        <f>B12144</f>
        <v>64</v>
      </c>
      <c r="C12170" t="str">
        <v>Kait Horizontal Tump.</v>
      </c>
      <c r="D12170">
        <f>VLOOKUP(D12144,'Detail Balok'!$C$10:$BJ$110,56,FALSE)</f>
        <v>0</v>
      </c>
      <c r="E12170" t="str">
        <v>D</v>
      </c>
      <c r="F12170">
        <f>VLOOKUP(D12144,'Detail Balok'!$C$10:$BJ$110,58,FALSE)</f>
        <v>0</v>
      </c>
      <c r="G12170" t="str">
        <v>-</v>
      </c>
      <c r="H12170">
        <f>VLOOKUP(D12144,'Detail Balok'!$C$10:$BJ$110,60,FALSE)</f>
        <v>100</v>
      </c>
      <c r="J12170">
        <f>(D12145-2*F$5)/1000</f>
        <v>0.09</v>
      </c>
      <c r="K12170" t="str">
        <v>+</v>
      </c>
      <c r="L12170">
        <f>IF(D12170=0,2*MAX(6*F12170,75),(D12170-1)*2*MAX(6*F12170,75))/1000</f>
        <v>0.15</v>
      </c>
      <c r="M12170" t="str">
        <v>=</v>
      </c>
      <c r="N12170">
        <f>J12170+L12170</f>
        <v>0.24</v>
      </c>
      <c r="T12170" t="str">
        <v>x</v>
      </c>
      <c r="U12170">
        <f>0.006165*F12170^2</f>
        <v>0</v>
      </c>
      <c r="V12170" t="str">
        <v>x</v>
      </c>
      <c r="W12170">
        <f>W12166</f>
        <v>26</v>
      </c>
      <c r="X12170" t="str">
        <v>x</v>
      </c>
      <c r="Y12170">
        <f>D12154</f>
        <v>2</v>
      </c>
      <c r="Z12170" t="str">
        <v>=</v>
      </c>
      <c r="AA12170">
        <f>N12170*U12170*W12170*Y12170</f>
        <v>0</v>
      </c>
    </row>
    <row r="12174">
      <c r="A12174" t="str">
        <f>A12144</f>
        <v>Lantai Atap</v>
      </c>
      <c r="B12174">
        <f>B12144+1</f>
        <v>65</v>
      </c>
      <c r="C12174" t="str">
        <f>CONCATENATE(A12174," no. ",B12174)</f>
        <v>Lantai Atap no. 65</v>
      </c>
      <c r="D12174" t="str">
        <f>VLOOKUP(C12174,'Data Panjang Balok'!$C$9:$N$424,2,FALSE)</f>
        <v>B173-1</v>
      </c>
    </row>
    <row r="12175">
      <c r="C12175" t="str">
        <v>Dimensi</v>
      </c>
      <c r="D12175">
        <f>VLOOKUP(D12174,'Detail Balok'!$C$10:$AU$110,2,FALSE)</f>
        <v>170</v>
      </c>
      <c r="F12175" t="str">
        <v>x</v>
      </c>
      <c r="G12175">
        <f>VLOOKUP(D12174,'Detail Balok'!$C$10:$AU$110,3,FALSE)</f>
        <v>300</v>
      </c>
    </row>
    <row r="12176">
      <c r="C12176" t="str">
        <v>Panjang as ke as</v>
      </c>
      <c r="D12176">
        <f>VLOOKUP(C12174,'Data Panjang Balok'!$C$9:$N$424,4,FALSE)</f>
        <v>3000</v>
      </c>
    </row>
    <row r="12177">
      <c r="C12177" t="str">
        <v>Panjang netto</v>
      </c>
      <c r="D12177">
        <f>VLOOKUP(C12174,'Data Panjang Balok'!$C$9:$N$424,7,FALSE)</f>
        <v>3000</v>
      </c>
    </row>
    <row r="12178">
      <c r="C12178" t="str">
        <v>Kolom / balok kiri</v>
      </c>
      <c r="D12178">
        <f>VLOOKUP(C12174,'Data Panjang Balok'!$C$9:$N$424,9,FALSE)</f>
        <v>0</v>
      </c>
    </row>
    <row r="12179">
      <c r="C12179" t="str">
        <v>Kolom / balok kanan</v>
      </c>
      <c r="D12179">
        <f>VLOOKUP(C12174,'Data Panjang Balok'!$C$9:$N$424,10,FALSE)</f>
        <v>0</v>
      </c>
    </row>
    <row r="12180">
      <c r="C12180" t="str">
        <v>Jumlah</v>
      </c>
      <c r="D12180">
        <f>VLOOKUP(C12174,'Data Panjang Balok'!$C$9:$N$424,3,FALSE)</f>
        <v>1</v>
      </c>
    </row>
    <row r="12181">
      <c r="A12181" t="str">
        <f>A12174</f>
        <v>Lantai Atap</v>
      </c>
      <c r="B12181">
        <f>B12174</f>
        <v>65</v>
      </c>
      <c r="C12181" t="str">
        <v>Tul Atas Tumpuan</v>
      </c>
      <c r="D12181">
        <f>VLOOKUP(D12174,'Detail Balok'!$C$10:$AU$110,4,FALSE)</f>
        <v>2</v>
      </c>
      <c r="E12181" t="str">
        <v>D</v>
      </c>
      <c r="F12181">
        <f>VLOOKUP(D12174,'Detail Balok'!$C$10:$AU$110,6,FALSE)</f>
        <v>13</v>
      </c>
      <c r="I12181" t="str">
        <v>(</v>
      </c>
      <c r="J12181">
        <f>+D12176/4/1000</f>
        <v>0.75</v>
      </c>
      <c r="K12181" t="str">
        <v>+</v>
      </c>
      <c r="L12181">
        <f>MAX(VLOOKUP(F12181,N$6:P$15,3,FALSE)/1000,2/3*D12178/1000)+F$16*F12181/1000</f>
        <v>0.156</v>
      </c>
      <c r="M12181" t="str">
        <v>=</v>
      </c>
      <c r="N12181">
        <f>J12181+L12181</f>
        <v>0.906</v>
      </c>
      <c r="O12181" t="str">
        <v>+</v>
      </c>
      <c r="P12181">
        <f>D12181-D12182</f>
        <v>0</v>
      </c>
      <c r="Q12181" t="str">
        <v>x</v>
      </c>
      <c r="R12181">
        <f>IF(P12181&gt;0,$F$18*F12181/1000,0)</f>
        <v>0</v>
      </c>
      <c r="S12181" t="str">
        <v>)</v>
      </c>
      <c r="T12181" t="str">
        <v>x</v>
      </c>
      <c r="U12181">
        <f>0.006165*F12181^2</f>
        <v>1.041885</v>
      </c>
      <c r="X12181" t="str">
        <v>x</v>
      </c>
      <c r="Y12181">
        <f>D12180</f>
        <v>1</v>
      </c>
      <c r="Z12181" t="str">
        <v>=</v>
      </c>
      <c r="AA12181">
        <f>IF(AA12184=0,(D12181*N12181+P12181*R12181)*U12181*Y12181,0)</f>
        <v>0</v>
      </c>
    </row>
    <row r="12182">
      <c r="A12182" t="str">
        <f>A12174</f>
        <v>Lantai Atap</v>
      </c>
      <c r="B12182">
        <f>B12174</f>
        <v>65</v>
      </c>
      <c r="C12182" t="str">
        <v>Tul Atas Lapangan</v>
      </c>
      <c r="D12182">
        <f>VLOOKUP(D12174,'Detail Balok'!$C$10:$AU$110,7,FALSE)</f>
        <v>2</v>
      </c>
      <c r="E12182" t="str">
        <v>D</v>
      </c>
      <c r="F12182">
        <f>VLOOKUP(D12174,'Detail Balok'!$C$10:$AU$110,9,FALSE)</f>
        <v>13</v>
      </c>
      <c r="I12182" t="str">
        <v>(</v>
      </c>
      <c r="J12182">
        <f>+D12176/2/1000</f>
        <v>1.5</v>
      </c>
      <c r="K12182" t="str">
        <v>+</v>
      </c>
      <c r="M12182" t="str">
        <v>=</v>
      </c>
      <c r="N12182">
        <f>J12182+L12182</f>
        <v>1.5</v>
      </c>
      <c r="O12182" t="str">
        <v>+</v>
      </c>
      <c r="P12182">
        <f>MAX(D12182-D12181,D12182-D12183)</f>
        <v>0</v>
      </c>
      <c r="Q12182" t="str">
        <v>x</v>
      </c>
      <c r="R12182">
        <f>IF(P12182&gt;0,2*(1-2*$F$19-1/2)*D12177/1000,0)</f>
        <v>0</v>
      </c>
      <c r="S12182" t="str">
        <v>)</v>
      </c>
      <c r="T12182" t="str">
        <v>x</v>
      </c>
      <c r="U12182">
        <f>0.006165*F12182^2</f>
        <v>1.041885</v>
      </c>
      <c r="X12182" t="str">
        <v>x</v>
      </c>
      <c r="Y12182">
        <f>D12180</f>
        <v>1</v>
      </c>
      <c r="Z12182" t="str">
        <v>=</v>
      </c>
      <c r="AA12182">
        <f>IF(AA12184=0,(D12182*N12182+P12182*R12182)*U12182*Y12182,0)</f>
        <v>0</v>
      </c>
    </row>
    <row r="12183">
      <c r="A12183" t="str">
        <f>A12174</f>
        <v>Lantai Atap</v>
      </c>
      <c r="B12183">
        <f>B12174</f>
        <v>65</v>
      </c>
      <c r="C12183" t="str">
        <v>Tul Atas Tumpuan</v>
      </c>
      <c r="D12183">
        <f>VLOOKUP(D12174,'Detail Balok'!$C$10:$AU$110,10,FALSE)</f>
        <v>2</v>
      </c>
      <c r="E12183" t="str">
        <v>D</v>
      </c>
      <c r="F12183">
        <f>VLOOKUP(D12174,'Detail Balok'!$C$10:$AU$110,12,FALSE)</f>
        <v>13</v>
      </c>
      <c r="I12183" t="str">
        <v>(</v>
      </c>
      <c r="J12183">
        <f>+D12176/4/1000</f>
        <v>0.75</v>
      </c>
      <c r="K12183" t="str">
        <v>+</v>
      </c>
      <c r="L12183">
        <f>MAX(VLOOKUP(F12183,N$6:P$15,3,FALSE)/1000,2/3*D12178/1000)+F$16*F12183/1000</f>
        <v>0.156</v>
      </c>
      <c r="M12183" t="str">
        <v>=</v>
      </c>
      <c r="N12183">
        <f>J12183+L12183</f>
        <v>0.906</v>
      </c>
      <c r="O12183" t="str">
        <v>+</v>
      </c>
      <c r="P12183">
        <f>D12183-D12182</f>
        <v>0</v>
      </c>
      <c r="Q12183" t="str">
        <v>x</v>
      </c>
      <c r="R12183">
        <f>IF(P12183&gt;0,$F$18*F12183/1000,0)</f>
        <v>0</v>
      </c>
      <c r="S12183" t="str">
        <v>)</v>
      </c>
      <c r="T12183" t="str">
        <v>x</v>
      </c>
      <c r="U12183">
        <f>0.006165*F12183^2</f>
        <v>1.041885</v>
      </c>
      <c r="X12183" t="str">
        <v>x</v>
      </c>
      <c r="Y12183">
        <f>D12180</f>
        <v>1</v>
      </c>
      <c r="Z12183" t="str">
        <v>=</v>
      </c>
      <c r="AA12183">
        <f>IF(AA12184=0,(D12183*N12183+P12183*R12183)*U12183*Y12183,0)</f>
        <v>0</v>
      </c>
    </row>
    <row r="12184">
      <c r="A12184" t="str">
        <f>A12174</f>
        <v>Lantai Atap</v>
      </c>
      <c r="B12184">
        <f>B12174</f>
        <v>65</v>
      </c>
      <c r="D12184">
        <f>IF(AND(D12181=D12182,D12182=D12183,D12181=D12183),D12181,0)</f>
        <v>2</v>
      </c>
      <c r="E12184" t="str">
        <v>D</v>
      </c>
      <c r="F12184">
        <f>IF(AND(F12181=F12182,F12181=F12183,F12182=F12183),F12181,0)</f>
        <v>13</v>
      </c>
      <c r="L12184" t="str">
        <v>Total panjang per balok</v>
      </c>
      <c r="M12184" t="str">
        <v>=</v>
      </c>
      <c r="N12184">
        <f>IF(AND(D12181=D12182,D12181=D12183,D12182=D12183,F12181=F12182,F12181=F12183,F12182=F12183),SUM(N12181:N12183),0)</f>
        <v>3.3120000000000003</v>
      </c>
      <c r="O12184" t="str">
        <v>+</v>
      </c>
      <c r="P12184">
        <f>IF(N12184&gt;12,ROUNDDOWN(N12184/12,0),0)</f>
        <v>0</v>
      </c>
      <c r="Q12184" t="str">
        <v>x</v>
      </c>
      <c r="R12184">
        <f>IF(P12184&gt;0,MAX(VLOOKUP(F12184,$D$6:$G$15,3,FALSE),600),0)/1000</f>
        <v>0</v>
      </c>
      <c r="T12184" t="str">
        <v>x</v>
      </c>
      <c r="U12184">
        <f>U12183</f>
        <v>1.041885</v>
      </c>
      <c r="V12184" t="str">
        <v>x</v>
      </c>
      <c r="W12184">
        <f>D12184</f>
        <v>2</v>
      </c>
      <c r="X12184" t="str">
        <v>x</v>
      </c>
      <c r="Y12184">
        <f>Y12183</f>
        <v>1</v>
      </c>
      <c r="Z12184" t="str">
        <v>=</v>
      </c>
      <c r="AA12184">
        <f>(N12184+P12184*R12184/1000)*U12184*W12184*Y12184</f>
        <v>6.90144624</v>
      </c>
    </row>
    <row r="12186">
      <c r="A12186" t="str">
        <f>A12174</f>
        <v>Lantai Atap</v>
      </c>
      <c r="B12186">
        <f>B12174</f>
        <v>65</v>
      </c>
      <c r="C12186" t="str">
        <v>Tul Peminggang</v>
      </c>
      <c r="D12186">
        <f>VLOOKUP(D12174,'Detail Balok'!$C$10:$AU$110,13,FALSE)</f>
        <v>0</v>
      </c>
      <c r="E12186" t="str">
        <v>D</v>
      </c>
      <c r="F12186">
        <f>VLOOKUP(D12174,'Detail Balok'!$C$10:$AU$110,15,FALSE)</f>
        <v>6</v>
      </c>
      <c r="J12186">
        <f>+D12176/1000</f>
        <v>3</v>
      </c>
      <c r="K12186" t="str">
        <v>+</v>
      </c>
      <c r="L12186">
        <f>2*$F$16*F12186/1000</f>
        <v>0.144</v>
      </c>
      <c r="M12186" t="str">
        <v>=</v>
      </c>
      <c r="N12186">
        <f>J12186+L12186</f>
        <v>3.144</v>
      </c>
      <c r="O12186" t="str">
        <v>+</v>
      </c>
      <c r="P12186">
        <f>IF(N12186&gt;12,ROUNDDOWN(N12186/12,0),0)</f>
        <v>0</v>
      </c>
      <c r="Q12186" t="str">
        <v>x</v>
      </c>
      <c r="R12186">
        <f>IF(P12186&gt;0,MAX(VLOOKUP(F12186,$D$6:$G$15,3,FALSE),600),0)/1000</f>
        <v>0</v>
      </c>
      <c r="T12186" t="str">
        <v>x</v>
      </c>
      <c r="U12186">
        <f>0.006165*F12186^2</f>
        <v>0.22194000000000003</v>
      </c>
      <c r="V12186" t="str">
        <v>x</v>
      </c>
      <c r="W12186">
        <f>+D12186</f>
        <v>0</v>
      </c>
      <c r="X12186" t="str">
        <v>x</v>
      </c>
      <c r="Y12186">
        <f>D12180</f>
        <v>1</v>
      </c>
      <c r="Z12186" t="str">
        <v>=</v>
      </c>
      <c r="AA12186">
        <f>(N12186+P12186*R12186/1000)*U12186*W12186*Y12186</f>
        <v>0</v>
      </c>
    </row>
    <row r="12189">
      <c r="A12189" t="str">
        <f>A12174</f>
        <v>Lantai Atap</v>
      </c>
      <c r="B12189">
        <f>B12174</f>
        <v>65</v>
      </c>
      <c r="C12189" t="str">
        <v>Tul Bawah Tumpuan</v>
      </c>
      <c r="D12189">
        <f>VLOOKUP(D12174,'Detail Balok'!$C$10:$AU$110,22,FALSE)</f>
        <v>2</v>
      </c>
      <c r="E12189" t="str">
        <v>D</v>
      </c>
      <c r="F12189">
        <f>VLOOKUP(D12174,'Detail Balok'!$C$10:$AU$110,24,FALSE)</f>
        <v>13</v>
      </c>
      <c r="I12189" t="str">
        <v>(</v>
      </c>
      <c r="J12189">
        <f>+J12181</f>
        <v>0.75</v>
      </c>
      <c r="K12189" t="str">
        <v>+</v>
      </c>
      <c r="L12189">
        <f>MAX(VLOOKUP(F12189,N$6:P$15,3,FALSE)/1000,2/3*D12179/1000)+F$16*F12189/1000</f>
        <v>0.156</v>
      </c>
      <c r="M12189" t="str">
        <v>=</v>
      </c>
      <c r="N12189">
        <f>J12189+L12189</f>
        <v>0.906</v>
      </c>
      <c r="O12189" t="str">
        <v>+</v>
      </c>
      <c r="P12189">
        <f>D12189-D12190</f>
        <v>0</v>
      </c>
      <c r="Q12189" t="str">
        <v>x</v>
      </c>
      <c r="R12189">
        <f>IF(P12189&gt;0,$F$18*F12189/1000,0)</f>
        <v>0</v>
      </c>
      <c r="S12189" t="str">
        <v>)</v>
      </c>
      <c r="T12189" t="str">
        <v>x</v>
      </c>
      <c r="U12189">
        <f>0.006165*F12189^2</f>
        <v>1.041885</v>
      </c>
      <c r="X12189" t="str">
        <v>x</v>
      </c>
      <c r="Y12189">
        <f>D12180</f>
        <v>1</v>
      </c>
      <c r="Z12189" t="str">
        <v>=</v>
      </c>
      <c r="AA12189">
        <f>IF(AA12192=0,(D12189*N12189+P12189*R12189)*U12189*Y12189,0)</f>
        <v>0</v>
      </c>
    </row>
    <row r="12190">
      <c r="A12190" t="str">
        <f>A12174</f>
        <v>Lantai Atap</v>
      </c>
      <c r="B12190">
        <f>B12174</f>
        <v>65</v>
      </c>
      <c r="C12190" t="str">
        <v>Tul Bawah Lapangan</v>
      </c>
      <c r="D12190">
        <f>VLOOKUP(D12174,'Detail Balok'!$C$10:$AU$110,25,FALSE)</f>
        <v>2</v>
      </c>
      <c r="E12190" t="str">
        <v>D</v>
      </c>
      <c r="F12190">
        <f>VLOOKUP(D12174,'Detail Balok'!$C$10:$AU$110,27,FALSE)</f>
        <v>13</v>
      </c>
      <c r="I12190" t="str">
        <v>(</v>
      </c>
      <c r="J12190">
        <f>+J12182</f>
        <v>1.5</v>
      </c>
      <c r="K12190" t="str">
        <v>+</v>
      </c>
      <c r="M12190" t="str">
        <v>=</v>
      </c>
      <c r="N12190">
        <f>J12190+L12190</f>
        <v>1.5</v>
      </c>
      <c r="O12190" t="str">
        <v>+</v>
      </c>
      <c r="P12190">
        <f>MAX(D12190-D12189,D12190-D12191)</f>
        <v>0</v>
      </c>
      <c r="Q12190" t="str">
        <v>x</v>
      </c>
      <c r="R12190">
        <f>IF(P12190&gt;0,2*(1-2*$F$19-1/2)*D12177/1000,0)</f>
        <v>0</v>
      </c>
      <c r="S12190" t="str">
        <v>)</v>
      </c>
      <c r="T12190" t="str">
        <v>x</v>
      </c>
      <c r="U12190">
        <f>0.006165*F12190^2</f>
        <v>1.041885</v>
      </c>
      <c r="X12190" t="str">
        <v>x</v>
      </c>
      <c r="Y12190">
        <f>D12180</f>
        <v>1</v>
      </c>
      <c r="Z12190" t="str">
        <v>=</v>
      </c>
      <c r="AA12190">
        <f>IF(AA12192=0,(D12190*N12190+P12190*R12190)*U12190*Y12190,0)</f>
        <v>0</v>
      </c>
    </row>
    <row r="12191">
      <c r="A12191" t="str">
        <f>A12174</f>
        <v>Lantai Atap</v>
      </c>
      <c r="B12191">
        <f>B12174</f>
        <v>65</v>
      </c>
      <c r="C12191" t="str">
        <v>Tul Bawah Tumpuan</v>
      </c>
      <c r="D12191">
        <f>VLOOKUP(D12174,'Detail Balok'!$C$10:$AU$110,28,FALSE)</f>
        <v>2</v>
      </c>
      <c r="E12191" t="str">
        <v>D</v>
      </c>
      <c r="F12191">
        <f>VLOOKUP(D12174,'Detail Balok'!$C$10:$AU$110,30,FALSE)</f>
        <v>13</v>
      </c>
      <c r="I12191" t="str">
        <v>(</v>
      </c>
      <c r="J12191">
        <f>+J12183</f>
        <v>0.75</v>
      </c>
      <c r="K12191" t="str">
        <v>+</v>
      </c>
      <c r="L12191">
        <f>MAX(VLOOKUP(F12191,N$6:P$15,3,FALSE)/1000,2/3*D12179/1000)+F$16*F12191/1000</f>
        <v>0.156</v>
      </c>
      <c r="M12191" t="str">
        <v>=</v>
      </c>
      <c r="N12191">
        <f>J12191+L12191</f>
        <v>0.906</v>
      </c>
      <c r="O12191" t="str">
        <v>+</v>
      </c>
      <c r="P12191">
        <f>D12191-D12190</f>
        <v>0</v>
      </c>
      <c r="Q12191" t="str">
        <v>x</v>
      </c>
      <c r="R12191">
        <f>IF(P12191&gt;0,$F$18*F12191/1000,0)</f>
        <v>0</v>
      </c>
      <c r="S12191" t="str">
        <v>)</v>
      </c>
      <c r="T12191" t="str">
        <v>x</v>
      </c>
      <c r="U12191">
        <f>0.006165*F12191^2</f>
        <v>1.041885</v>
      </c>
      <c r="X12191" t="str">
        <v>x</v>
      </c>
      <c r="Y12191">
        <f>D12180</f>
        <v>1</v>
      </c>
      <c r="Z12191" t="str">
        <v>=</v>
      </c>
      <c r="AA12191">
        <f>IF(AA12192=0,(D12191*N12191+P12191*R12191)*U12191*Y12191,0)</f>
        <v>0</v>
      </c>
    </row>
    <row r="12192">
      <c r="A12192" t="str">
        <f>A12174</f>
        <v>Lantai Atap</v>
      </c>
      <c r="B12192">
        <f>B12174</f>
        <v>65</v>
      </c>
      <c r="D12192">
        <f>IF(AND(D12189=D12190,D12190=D12191,D12189=D12191),D12189,0)</f>
        <v>2</v>
      </c>
      <c r="E12192" t="str">
        <v>D</v>
      </c>
      <c r="F12192">
        <f>IF(AND(F12189=F12190,F12189=F12191,F12190=F12191),F12189,0)</f>
        <v>13</v>
      </c>
      <c r="L12192" t="str">
        <v>Total panjang per balok</v>
      </c>
      <c r="M12192" t="str">
        <v>=</v>
      </c>
      <c r="N12192">
        <f>IF(AND(D12189=D12190,D12189=D12191,D12190=D12191,F12189=F12190,F12189=F12191,F12190=F12191),SUM(N12189:N12191),0)</f>
        <v>3.3120000000000003</v>
      </c>
      <c r="O12192" t="str">
        <v>+</v>
      </c>
      <c r="P12192">
        <f>IF(N12192&gt;12,ROUNDDOWN(N12192/12,0),0)</f>
        <v>0</v>
      </c>
      <c r="Q12192" t="str">
        <v>x</v>
      </c>
      <c r="R12192">
        <f>IF(P12192&gt;0,MAX(VLOOKUP(F12192,$D$6:$G$15,3,FALSE),600),0)/1000</f>
        <v>0</v>
      </c>
      <c r="T12192" t="str">
        <v>x</v>
      </c>
      <c r="U12192">
        <f>U12191</f>
        <v>1.041885</v>
      </c>
      <c r="V12192" t="str">
        <v>x</v>
      </c>
      <c r="W12192">
        <f>D12192</f>
        <v>2</v>
      </c>
      <c r="X12192" t="str">
        <v>x</v>
      </c>
      <c r="Y12192">
        <f>Y12191</f>
        <v>1</v>
      </c>
      <c r="Z12192" t="str">
        <v>=</v>
      </c>
      <c r="AA12192">
        <f>(N12192+P12192*R12192/1000)*U12192*W12192*Y12192</f>
        <v>6.90144624</v>
      </c>
    </row>
    <row r="12194">
      <c r="A12194" t="str">
        <f>A12174</f>
        <v>Lantai Atap</v>
      </c>
      <c r="B12194">
        <f>B12174</f>
        <v>65</v>
      </c>
      <c r="C12194" t="str">
        <v>Sengkang Tumpuan</v>
      </c>
      <c r="D12194">
        <f>VLOOKUP(D12174,'Detail Balok'!$C$10:$AU$110,31,FALSE)</f>
        <v>0</v>
      </c>
      <c r="E12194" t="str">
        <v>D</v>
      </c>
      <c r="F12194">
        <f>VLOOKUP(D12174,'Detail Balok'!$C$10:$AU$110,33,FALSE)</f>
        <v>8</v>
      </c>
      <c r="G12194" t="str">
        <v>-</v>
      </c>
      <c r="H12194">
        <f>VLOOKUP(D12174,'Detail Balok'!$C$10:$AU$110,35,FALSE)</f>
        <v>100</v>
      </c>
      <c r="J12194">
        <f>(IF(D12194=0,(2*(D12175+G12175))-(F$5*8),IF(D12194=3,(2*(D12175+G12175))-(F$5*8)+(G12175-2*F$5),IF(D12194=4,(2*(D12175+G12175))-(F$5*8)+2*(G12175-2*F$5)))))/1000</f>
        <v>0.62</v>
      </c>
      <c r="K12194" t="str">
        <v>+</v>
      </c>
      <c r="L12194">
        <f>IF(D12194=0,2*MAX(6*F12194,75),(D12194-1)*2*MAX(6*F12194,75))/1000</f>
        <v>0.15</v>
      </c>
      <c r="M12194" t="str">
        <v>=</v>
      </c>
      <c r="N12194">
        <f>J12194+L12194</f>
        <v>0.77</v>
      </c>
      <c r="T12194" t="str">
        <v>x</v>
      </c>
      <c r="U12194">
        <f>0.006165*F12194^2</f>
        <v>0.39456</v>
      </c>
      <c r="V12194" t="str">
        <v>x</v>
      </c>
      <c r="W12194">
        <f>IF(D12177&gt;4*G12175,ROUND(MAX(D12177/4,2*G12175)/H12194,0)+1,ROUND(D12177/H12194,0)+1)</f>
        <v>9</v>
      </c>
      <c r="X12194" t="str">
        <v>x</v>
      </c>
      <c r="Y12194">
        <f>D12180</f>
        <v>1</v>
      </c>
      <c r="Z12194" t="str">
        <v>=</v>
      </c>
      <c r="AA12194">
        <f>N12194*U12194*W12194*Y12194</f>
        <v>2.7343008</v>
      </c>
    </row>
    <row r="12195">
      <c r="A12195" t="str">
        <f>A12174</f>
        <v>Lantai Atap</v>
      </c>
      <c r="B12195">
        <f>B12174</f>
        <v>65</v>
      </c>
      <c r="C12195" t="str">
        <v>Sengkang Lapangan</v>
      </c>
      <c r="D12195">
        <f>VLOOKUP(D12174,'Detail Balok'!$C$10:$AU$110,36,FALSE)</f>
        <v>0</v>
      </c>
      <c r="E12195" t="str">
        <v>D</v>
      </c>
      <c r="F12195">
        <f>VLOOKUP(D12174,'Detail Balok'!$C$10:$AU$110,38,FALSE)</f>
        <v>8</v>
      </c>
      <c r="G12195" t="str">
        <v>-</v>
      </c>
      <c r="H12195">
        <f>VLOOKUP(D12174,'Detail Balok'!$C$10:$AU$110,40,FALSE)</f>
        <v>150</v>
      </c>
      <c r="J12195">
        <f>(IF(D12195=0,(2*(D12175+G12175))-(F$5*8),IF(D12195=3,(2*(D12175+G12175))-(F$5*8)+(G12175-2*F$5),IF(D12195=4,(2*(D12175+G12175))-(F$5*8)+2*(G12175-2*F$5)))))/1000</f>
        <v>0.62</v>
      </c>
      <c r="K12195" t="str">
        <v>+</v>
      </c>
      <c r="L12195">
        <f>IF(D12195=0,2*MAX(6*F12195,75),(D12195-1)*2*MAX(6*F12195,75))/1000</f>
        <v>0.15</v>
      </c>
      <c r="M12195" t="str">
        <v>=</v>
      </c>
      <c r="N12195">
        <f>J12195+L12195</f>
        <v>0.77</v>
      </c>
      <c r="T12195" t="str">
        <v>x</v>
      </c>
      <c r="U12195">
        <f>0.006165*F12195^2</f>
        <v>0.39456</v>
      </c>
      <c r="V12195" t="str">
        <v>x</v>
      </c>
      <c r="W12195">
        <f>IF(D12177-MAX(D12177/4,2*G12175)*2&gt;0,ROUND((D12177-MAX(D12177/4,2*G12175)*2)/H12195,0),0)</f>
        <v>10</v>
      </c>
      <c r="X12195" t="str">
        <v>x</v>
      </c>
      <c r="Y12195">
        <f>D12180</f>
        <v>1</v>
      </c>
      <c r="Z12195" t="str">
        <v>=</v>
      </c>
      <c r="AA12195">
        <f>N12195*U12195*W12195*Y12195</f>
        <v>3.038112</v>
      </c>
    </row>
    <row r="12196">
      <c r="A12196" t="str">
        <f>A12174</f>
        <v>Lantai Atap</v>
      </c>
      <c r="B12196">
        <f>B12174</f>
        <v>65</v>
      </c>
      <c r="C12196" t="str">
        <v>Sengkang Tumpuan</v>
      </c>
      <c r="D12196">
        <f>VLOOKUP(D12174,'Detail Balok'!$C$10:$AU$110,41,FALSE)</f>
        <v>0</v>
      </c>
      <c r="E12196" t="str">
        <v>D</v>
      </c>
      <c r="F12196">
        <f>VLOOKUP(D12174,'Detail Balok'!$C$10:$AU$110,43,FALSE)</f>
        <v>8</v>
      </c>
      <c r="G12196" t="str">
        <v>-</v>
      </c>
      <c r="H12196">
        <f>VLOOKUP(D12174,'Detail Balok'!$C$10:$AU$110,45,FALSE)</f>
        <v>100</v>
      </c>
      <c r="J12196">
        <f>(IF(D12196=0,(2*(D12175+G12175))-(F$5*8),IF(D12196=3,(2*(D12175+G12175))-(F$5*8)+(G12175-2*F$5),IF(D12196=4,(2*(D12175+G12175))-(F$5*8)+2*(G12175-2*F$5)))))/1000</f>
        <v>0.62</v>
      </c>
      <c r="K12196" t="str">
        <v>+</v>
      </c>
      <c r="L12196">
        <f>IF(D12196=0,2*MAX(6*F12196,75),(D12196-1)*2*MAX(6*F12196,75))/1000</f>
        <v>0.15</v>
      </c>
      <c r="M12196" t="str">
        <v>=</v>
      </c>
      <c r="N12196">
        <f>J12196+L12196</f>
        <v>0.77</v>
      </c>
      <c r="T12196" t="str">
        <v>x</v>
      </c>
      <c r="U12196">
        <f>0.006165*F12196^2</f>
        <v>0.39456</v>
      </c>
      <c r="V12196" t="str">
        <v>x</v>
      </c>
      <c r="W12196">
        <f>IF(D12177&gt;4*G12175,ROUND(MAX(D12177/4,2*G12175)/H12196,0)+1,0)</f>
        <v>9</v>
      </c>
      <c r="X12196" t="str">
        <v>x</v>
      </c>
      <c r="Y12196">
        <f>D12180</f>
        <v>1</v>
      </c>
      <c r="Z12196" t="str">
        <v>=</v>
      </c>
      <c r="AA12196">
        <f>N12196*U12196*W12196*Y12196</f>
        <v>2.7343008</v>
      </c>
    </row>
    <row r="12198">
      <c r="A12198" t="str">
        <f>A12174</f>
        <v>Lantai Atap</v>
      </c>
      <c r="B12198">
        <f>B12174</f>
        <v>65</v>
      </c>
      <c r="C12198" t="str">
        <v>Kait Horizontal Tump.</v>
      </c>
      <c r="D12198">
        <f>VLOOKUP(D12174,'Detail Balok'!$C$10:$BJ$110,46,FALSE)</f>
        <v>0</v>
      </c>
      <c r="E12198" t="str">
        <v>D</v>
      </c>
      <c r="F12198">
        <f>VLOOKUP(D12174,'Detail Balok'!$C$10:$BJ$110,48,FALSE)</f>
        <v>0</v>
      </c>
      <c r="G12198" t="str">
        <v>-</v>
      </c>
      <c r="H12198">
        <f>VLOOKUP(D12174,'Detail Balok'!$C$10:$BJ$110,50,FALSE)</f>
        <v>100</v>
      </c>
      <c r="J12198">
        <f>(D12175-2*F$5)/1000</f>
        <v>0.09</v>
      </c>
      <c r="K12198" t="str">
        <v>+</v>
      </c>
      <c r="L12198">
        <f>IF(D12198=0,2*MAX(6*F12198,75),(D12198-1)*2*MAX(6*F12198,75))/1000</f>
        <v>0.15</v>
      </c>
      <c r="M12198" t="str">
        <v>=</v>
      </c>
      <c r="N12198">
        <f>J12198+L12198</f>
        <v>0.24</v>
      </c>
      <c r="T12198" t="str">
        <v>x</v>
      </c>
      <c r="U12198">
        <f>0.006165*F12198^2</f>
        <v>0</v>
      </c>
      <c r="V12198" t="str">
        <v>x</v>
      </c>
      <c r="W12198">
        <f>W12194</f>
        <v>9</v>
      </c>
      <c r="X12198" t="str">
        <v>x</v>
      </c>
      <c r="Y12198">
        <f>D12184</f>
        <v>2</v>
      </c>
      <c r="Z12198" t="str">
        <v>=</v>
      </c>
      <c r="AA12198">
        <f>N12198*U12198*W12198*Y12198</f>
        <v>0</v>
      </c>
    </row>
    <row r="12199">
      <c r="A12199" t="str">
        <f>A12174</f>
        <v>Lantai Atap</v>
      </c>
      <c r="B12199">
        <f>B12174</f>
        <v>65</v>
      </c>
      <c r="C12199" t="str">
        <v>Kait Horizontal Lap.</v>
      </c>
      <c r="D12199">
        <f>VLOOKUP(D12174,'Detail Balok'!$C$10:$BJ$110,51,FALSE)</f>
        <v>0</v>
      </c>
      <c r="E12199" t="str">
        <v>D</v>
      </c>
      <c r="F12199">
        <f>VLOOKUP(D12174,'Detail Balok'!$C$10:$BJ$110,53,FALSE)</f>
        <v>0</v>
      </c>
      <c r="G12199" t="str">
        <v>-</v>
      </c>
      <c r="H12199">
        <f>VLOOKUP(D12174,'Detail Balok'!$C$10:$BJ$110,55,FALSE)</f>
        <v>100</v>
      </c>
      <c r="J12199">
        <f>(D12175-2*F$5)/1000</f>
        <v>0.09</v>
      </c>
      <c r="K12199" t="str">
        <v>+</v>
      </c>
      <c r="L12199">
        <f>IF(D12199=0,2*MAX(6*F12199,75),(D12199-1)*2*MAX(6*F12199,75))/1000</f>
        <v>0.15</v>
      </c>
      <c r="M12199" t="str">
        <v>=</v>
      </c>
      <c r="N12199">
        <f>J12199+L12199</f>
        <v>0.24</v>
      </c>
      <c r="T12199" t="str">
        <v>x</v>
      </c>
      <c r="U12199">
        <f>0.006165*F12199^2</f>
        <v>0</v>
      </c>
      <c r="V12199" t="str">
        <v>x</v>
      </c>
      <c r="W12199">
        <f>W12195</f>
        <v>10</v>
      </c>
      <c r="X12199" t="str">
        <v>x</v>
      </c>
      <c r="Y12199">
        <f>D12184</f>
        <v>2</v>
      </c>
      <c r="Z12199" t="str">
        <v>=</v>
      </c>
      <c r="AA12199">
        <f>N12199*U12199*W12199*Y12199</f>
        <v>0</v>
      </c>
    </row>
    <row r="12200">
      <c r="A12200" t="str">
        <f>A12174</f>
        <v>Lantai Atap</v>
      </c>
      <c r="B12200">
        <f>B12174</f>
        <v>65</v>
      </c>
      <c r="C12200" t="str">
        <v>Kait Horizontal Tump.</v>
      </c>
      <c r="D12200">
        <f>VLOOKUP(D12174,'Detail Balok'!$C$10:$BJ$110,56,FALSE)</f>
        <v>0</v>
      </c>
      <c r="E12200" t="str">
        <v>D</v>
      </c>
      <c r="F12200">
        <f>VLOOKUP(D12174,'Detail Balok'!$C$10:$BJ$110,58,FALSE)</f>
        <v>0</v>
      </c>
      <c r="G12200" t="str">
        <v>-</v>
      </c>
      <c r="H12200">
        <f>VLOOKUP(D12174,'Detail Balok'!$C$10:$BJ$110,60,FALSE)</f>
        <v>100</v>
      </c>
      <c r="J12200">
        <f>(D12175-2*F$5)/1000</f>
        <v>0.09</v>
      </c>
      <c r="K12200" t="str">
        <v>+</v>
      </c>
      <c r="L12200">
        <f>IF(D12200=0,2*MAX(6*F12200,75),(D12200-1)*2*MAX(6*F12200,75))/1000</f>
        <v>0.15</v>
      </c>
      <c r="M12200" t="str">
        <v>=</v>
      </c>
      <c r="N12200">
        <f>J12200+L12200</f>
        <v>0.24</v>
      </c>
      <c r="T12200" t="str">
        <v>x</v>
      </c>
      <c r="U12200">
        <f>0.006165*F12200^2</f>
        <v>0</v>
      </c>
      <c r="V12200" t="str">
        <v>x</v>
      </c>
      <c r="W12200">
        <f>W12196</f>
        <v>9</v>
      </c>
      <c r="X12200" t="str">
        <v>x</v>
      </c>
      <c r="Y12200">
        <f>D12184</f>
        <v>2</v>
      </c>
      <c r="Z12200" t="str">
        <v>=</v>
      </c>
      <c r="AA12200">
        <f>N12200*U12200*W12200*Y12200</f>
        <v>0</v>
      </c>
    </row>
    <row r="12204">
      <c r="A12204" t="str">
        <f>A12174</f>
        <v>Lantai Atap</v>
      </c>
      <c r="B12204">
        <f>B12174+1</f>
        <v>66</v>
      </c>
      <c r="C12204" t="str">
        <f>CONCATENATE(A12204," no. ",B12204)</f>
        <v>Lantai Atap no. 66</v>
      </c>
      <c r="D12204" t="str">
        <f>VLOOKUP(C12204,'Data Panjang Balok'!$C$9:$N$424,2,FALSE)</f>
        <v>B23-1</v>
      </c>
    </row>
    <row r="12205">
      <c r="C12205" t="str">
        <v>Dimensi</v>
      </c>
      <c r="D12205">
        <f>VLOOKUP(D12204,'Detail Balok'!$C$10:$AU$110,2,FALSE)</f>
        <v>200</v>
      </c>
      <c r="F12205" t="str">
        <v>x</v>
      </c>
      <c r="G12205">
        <f>VLOOKUP(D12204,'Detail Balok'!$C$10:$AU$110,3,FALSE)</f>
        <v>300</v>
      </c>
    </row>
    <row r="12206">
      <c r="C12206" t="str">
        <v>Panjang as ke as</v>
      </c>
      <c r="D12206">
        <f>VLOOKUP(C12204,'Data Panjang Balok'!$C$9:$N$424,4,FALSE)</f>
        <v>4800</v>
      </c>
    </row>
    <row r="12207">
      <c r="C12207" t="str">
        <v>Panjang netto</v>
      </c>
      <c r="D12207">
        <f>VLOOKUP(C12204,'Data Panjang Balok'!$C$9:$N$424,7,FALSE)</f>
        <v>4800</v>
      </c>
    </row>
    <row r="12208">
      <c r="C12208" t="str">
        <v>Kolom / balok kiri</v>
      </c>
      <c r="D12208">
        <f>VLOOKUP(C12204,'Data Panjang Balok'!$C$9:$N$424,9,FALSE)</f>
        <v>0</v>
      </c>
    </row>
    <row r="12209">
      <c r="C12209" t="str">
        <v>Kolom / balok kanan</v>
      </c>
      <c r="D12209">
        <f>VLOOKUP(C12204,'Data Panjang Balok'!$C$9:$N$424,10,FALSE)</f>
        <v>0</v>
      </c>
    </row>
    <row r="12210">
      <c r="C12210" t="str">
        <v>Jumlah</v>
      </c>
      <c r="D12210">
        <f>VLOOKUP(C12204,'Data Panjang Balok'!$C$9:$N$424,3,FALSE)</f>
        <v>1</v>
      </c>
    </row>
    <row r="12211">
      <c r="A12211" t="str">
        <f>A12204</f>
        <v>Lantai Atap</v>
      </c>
      <c r="B12211">
        <f>B12204</f>
        <v>66</v>
      </c>
      <c r="C12211" t="str">
        <v>Tul Atas Tumpuan</v>
      </c>
      <c r="D12211">
        <f>VLOOKUP(D12204,'Detail Balok'!$C$10:$AU$110,4,FALSE)</f>
        <v>2</v>
      </c>
      <c r="E12211" t="str">
        <v>D</v>
      </c>
      <c r="F12211">
        <f>VLOOKUP(D12204,'Detail Balok'!$C$10:$AU$110,6,FALSE)</f>
        <v>13</v>
      </c>
      <c r="I12211" t="str">
        <v>(</v>
      </c>
      <c r="J12211">
        <f>+D12206/4/1000</f>
        <v>1.2</v>
      </c>
      <c r="K12211" t="str">
        <v>+</v>
      </c>
      <c r="L12211">
        <f>MAX(VLOOKUP(F12211,N$6:P$15,3,FALSE)/1000,2/3*D12208/1000)+F$16*F12211/1000</f>
        <v>0.156</v>
      </c>
      <c r="M12211" t="str">
        <v>=</v>
      </c>
      <c r="N12211">
        <f>J12211+L12211</f>
        <v>1.3559999999999999</v>
      </c>
      <c r="O12211" t="str">
        <v>+</v>
      </c>
      <c r="P12211">
        <f>D12211-D12212</f>
        <v>0</v>
      </c>
      <c r="Q12211" t="str">
        <v>x</v>
      </c>
      <c r="R12211">
        <f>IF(P12211&gt;0,$F$18*F12211/1000,0)</f>
        <v>0</v>
      </c>
      <c r="S12211" t="str">
        <v>)</v>
      </c>
      <c r="T12211" t="str">
        <v>x</v>
      </c>
      <c r="U12211">
        <f>0.006165*F12211^2</f>
        <v>1.041885</v>
      </c>
      <c r="X12211" t="str">
        <v>x</v>
      </c>
      <c r="Y12211">
        <f>D12210</f>
        <v>1</v>
      </c>
      <c r="Z12211" t="str">
        <v>=</v>
      </c>
      <c r="AA12211">
        <f>IF(AA12214=0,(D12211*N12211+P12211*R12211)*U12211*Y12211,0)</f>
        <v>0</v>
      </c>
    </row>
    <row r="12212">
      <c r="A12212" t="str">
        <f>A12204</f>
        <v>Lantai Atap</v>
      </c>
      <c r="B12212">
        <f>B12204</f>
        <v>66</v>
      </c>
      <c r="C12212" t="str">
        <v>Tul Atas Lapangan</v>
      </c>
      <c r="D12212">
        <f>VLOOKUP(D12204,'Detail Balok'!$C$10:$AU$110,7,FALSE)</f>
        <v>2</v>
      </c>
      <c r="E12212" t="str">
        <v>D</v>
      </c>
      <c r="F12212">
        <f>VLOOKUP(D12204,'Detail Balok'!$C$10:$AU$110,9,FALSE)</f>
        <v>13</v>
      </c>
      <c r="I12212" t="str">
        <v>(</v>
      </c>
      <c r="J12212">
        <f>+D12206/2/1000</f>
        <v>2.4</v>
      </c>
      <c r="K12212" t="str">
        <v>+</v>
      </c>
      <c r="M12212" t="str">
        <v>=</v>
      </c>
      <c r="N12212">
        <f>J12212+L12212</f>
        <v>2.4</v>
      </c>
      <c r="O12212" t="str">
        <v>+</v>
      </c>
      <c r="P12212">
        <f>MAX(D12212-D12211,D12212-D12213)</f>
        <v>0</v>
      </c>
      <c r="Q12212" t="str">
        <v>x</v>
      </c>
      <c r="R12212">
        <f>IF(P12212&gt;0,2*(1-2*$F$19-1/2)*D12207/1000,0)</f>
        <v>0</v>
      </c>
      <c r="S12212" t="str">
        <v>)</v>
      </c>
      <c r="T12212" t="str">
        <v>x</v>
      </c>
      <c r="U12212">
        <f>0.006165*F12212^2</f>
        <v>1.041885</v>
      </c>
      <c r="X12212" t="str">
        <v>x</v>
      </c>
      <c r="Y12212">
        <f>D12210</f>
        <v>1</v>
      </c>
      <c r="Z12212" t="str">
        <v>=</v>
      </c>
      <c r="AA12212">
        <f>IF(AA12214=0,(D12212*N12212+P12212*R12212)*U12212*Y12212,0)</f>
        <v>0</v>
      </c>
    </row>
    <row r="12213">
      <c r="A12213" t="str">
        <f>A12204</f>
        <v>Lantai Atap</v>
      </c>
      <c r="B12213">
        <f>B12204</f>
        <v>66</v>
      </c>
      <c r="C12213" t="str">
        <v>Tul Atas Tumpuan</v>
      </c>
      <c r="D12213">
        <f>VLOOKUP(D12204,'Detail Balok'!$C$10:$AU$110,10,FALSE)</f>
        <v>2</v>
      </c>
      <c r="E12213" t="str">
        <v>D</v>
      </c>
      <c r="F12213">
        <f>VLOOKUP(D12204,'Detail Balok'!$C$10:$AU$110,12,FALSE)</f>
        <v>13</v>
      </c>
      <c r="I12213" t="str">
        <v>(</v>
      </c>
      <c r="J12213">
        <f>+D12206/4/1000</f>
        <v>1.2</v>
      </c>
      <c r="K12213" t="str">
        <v>+</v>
      </c>
      <c r="L12213">
        <f>MAX(VLOOKUP(F12213,N$6:P$15,3,FALSE)/1000,2/3*D12208/1000)+F$16*F12213/1000</f>
        <v>0.156</v>
      </c>
      <c r="M12213" t="str">
        <v>=</v>
      </c>
      <c r="N12213">
        <f>J12213+L12213</f>
        <v>1.3559999999999999</v>
      </c>
      <c r="O12213" t="str">
        <v>+</v>
      </c>
      <c r="P12213">
        <f>D12213-D12212</f>
        <v>0</v>
      </c>
      <c r="Q12213" t="str">
        <v>x</v>
      </c>
      <c r="R12213">
        <f>IF(P12213&gt;0,$F$18*F12213/1000,0)</f>
        <v>0</v>
      </c>
      <c r="S12213" t="str">
        <v>)</v>
      </c>
      <c r="T12213" t="str">
        <v>x</v>
      </c>
      <c r="U12213">
        <f>0.006165*F12213^2</f>
        <v>1.041885</v>
      </c>
      <c r="X12213" t="str">
        <v>x</v>
      </c>
      <c r="Y12213">
        <f>D12210</f>
        <v>1</v>
      </c>
      <c r="Z12213" t="str">
        <v>=</v>
      </c>
      <c r="AA12213">
        <f>IF(AA12214=0,(D12213*N12213+P12213*R12213)*U12213*Y12213,0)</f>
        <v>0</v>
      </c>
    </row>
    <row r="12214">
      <c r="A12214" t="str">
        <f>A12204</f>
        <v>Lantai Atap</v>
      </c>
      <c r="B12214">
        <f>B12204</f>
        <v>66</v>
      </c>
      <c r="D12214">
        <f>IF(AND(D12211=D12212,D12212=D12213,D12211=D12213),D12211,0)</f>
        <v>2</v>
      </c>
      <c r="E12214" t="str">
        <v>D</v>
      </c>
      <c r="F12214">
        <f>IF(AND(F12211=F12212,F12211=F12213,F12212=F12213),F12211,0)</f>
        <v>13</v>
      </c>
      <c r="L12214" t="str">
        <v>Total panjang per balok</v>
      </c>
      <c r="M12214" t="str">
        <v>=</v>
      </c>
      <c r="N12214">
        <f>IF(AND(D12211=D12212,D12211=D12213,D12212=D12213,F12211=F12212,F12211=F12213,F12212=F12213),SUM(N12211:N12213),0)</f>
        <v>5.112</v>
      </c>
      <c r="O12214" t="str">
        <v>+</v>
      </c>
      <c r="P12214">
        <f>IF(N12214&gt;12,ROUNDDOWN(N12214/12,0),0)</f>
        <v>0</v>
      </c>
      <c r="Q12214" t="str">
        <v>x</v>
      </c>
      <c r="R12214">
        <f>IF(P12214&gt;0,MAX(VLOOKUP(F12214,$D$6:$G$15,3,FALSE),600),0)/1000</f>
        <v>0</v>
      </c>
      <c r="T12214" t="str">
        <v>x</v>
      </c>
      <c r="U12214">
        <f>U12213</f>
        <v>1.041885</v>
      </c>
      <c r="V12214" t="str">
        <v>x</v>
      </c>
      <c r="W12214">
        <f>D12214</f>
        <v>2</v>
      </c>
      <c r="X12214" t="str">
        <v>x</v>
      </c>
      <c r="Y12214">
        <f>Y12213</f>
        <v>1</v>
      </c>
      <c r="Z12214" t="str">
        <v>=</v>
      </c>
      <c r="AA12214">
        <f>(N12214+P12214*R12214/1000)*U12214*W12214*Y12214</f>
        <v>10.65223224</v>
      </c>
    </row>
    <row r="12216">
      <c r="A12216" t="str">
        <f>A12204</f>
        <v>Lantai Atap</v>
      </c>
      <c r="B12216">
        <f>B12204</f>
        <v>66</v>
      </c>
      <c r="C12216" t="str">
        <v>Tul Peminggang</v>
      </c>
      <c r="D12216">
        <f>VLOOKUP(D12204,'Detail Balok'!$C$10:$AU$110,13,FALSE)</f>
        <v>0</v>
      </c>
      <c r="E12216" t="str">
        <v>D</v>
      </c>
      <c r="F12216">
        <f>VLOOKUP(D12204,'Detail Balok'!$C$10:$AU$110,15,FALSE)</f>
        <v>6</v>
      </c>
      <c r="J12216">
        <f>+D12206/1000</f>
        <v>4.8</v>
      </c>
      <c r="K12216" t="str">
        <v>+</v>
      </c>
      <c r="L12216">
        <f>2*$F$16*F12216/1000</f>
        <v>0.144</v>
      </c>
      <c r="M12216" t="str">
        <v>=</v>
      </c>
      <c r="N12216">
        <f>J12216+L12216</f>
        <v>4.944</v>
      </c>
      <c r="O12216" t="str">
        <v>+</v>
      </c>
      <c r="P12216">
        <f>IF(N12216&gt;12,ROUNDDOWN(N12216/12,0),0)</f>
        <v>0</v>
      </c>
      <c r="Q12216" t="str">
        <v>x</v>
      </c>
      <c r="R12216">
        <f>IF(P12216&gt;0,MAX(VLOOKUP(F12216,$D$6:$G$15,3,FALSE),600),0)/1000</f>
        <v>0</v>
      </c>
      <c r="T12216" t="str">
        <v>x</v>
      </c>
      <c r="U12216">
        <f>0.006165*F12216^2</f>
        <v>0.22194000000000003</v>
      </c>
      <c r="V12216" t="str">
        <v>x</v>
      </c>
      <c r="W12216">
        <f>+D12216</f>
        <v>0</v>
      </c>
      <c r="X12216" t="str">
        <v>x</v>
      </c>
      <c r="Y12216">
        <f>D12210</f>
        <v>1</v>
      </c>
      <c r="Z12216" t="str">
        <v>=</v>
      </c>
      <c r="AA12216">
        <f>(N12216+P12216*R12216/1000)*U12216*W12216*Y12216</f>
        <v>0</v>
      </c>
    </row>
    <row r="12219">
      <c r="A12219" t="str">
        <f>A12204</f>
        <v>Lantai Atap</v>
      </c>
      <c r="B12219">
        <f>B12204</f>
        <v>66</v>
      </c>
      <c r="C12219" t="str">
        <v>Tul Bawah Tumpuan</v>
      </c>
      <c r="D12219">
        <f>VLOOKUP(D12204,'Detail Balok'!$C$10:$AU$110,22,FALSE)</f>
        <v>2</v>
      </c>
      <c r="E12219" t="str">
        <v>D</v>
      </c>
      <c r="F12219">
        <f>VLOOKUP(D12204,'Detail Balok'!$C$10:$AU$110,24,FALSE)</f>
        <v>13</v>
      </c>
      <c r="I12219" t="str">
        <v>(</v>
      </c>
      <c r="J12219">
        <f>+J12211</f>
        <v>1.2</v>
      </c>
      <c r="K12219" t="str">
        <v>+</v>
      </c>
      <c r="L12219">
        <f>MAX(VLOOKUP(F12219,N$6:P$15,3,FALSE)/1000,2/3*D12209/1000)+F$16*F12219/1000</f>
        <v>0.156</v>
      </c>
      <c r="M12219" t="str">
        <v>=</v>
      </c>
      <c r="N12219">
        <f>J12219+L12219</f>
        <v>1.3559999999999999</v>
      </c>
      <c r="O12219" t="str">
        <v>+</v>
      </c>
      <c r="P12219">
        <f>D12219-D12220</f>
        <v>0</v>
      </c>
      <c r="Q12219" t="str">
        <v>x</v>
      </c>
      <c r="R12219">
        <f>IF(P12219&gt;0,$F$18*F12219/1000,0)</f>
        <v>0</v>
      </c>
      <c r="S12219" t="str">
        <v>)</v>
      </c>
      <c r="T12219" t="str">
        <v>x</v>
      </c>
      <c r="U12219">
        <f>0.006165*F12219^2</f>
        <v>1.041885</v>
      </c>
      <c r="X12219" t="str">
        <v>x</v>
      </c>
      <c r="Y12219">
        <f>D12210</f>
        <v>1</v>
      </c>
      <c r="Z12219" t="str">
        <v>=</v>
      </c>
      <c r="AA12219">
        <f>IF(AA12222=0,(D12219*N12219+P12219*R12219)*U12219*Y12219,0)</f>
        <v>0</v>
      </c>
    </row>
    <row r="12220">
      <c r="A12220" t="str">
        <f>A12204</f>
        <v>Lantai Atap</v>
      </c>
      <c r="B12220">
        <f>B12204</f>
        <v>66</v>
      </c>
      <c r="C12220" t="str">
        <v>Tul Bawah Lapangan</v>
      </c>
      <c r="D12220">
        <f>VLOOKUP(D12204,'Detail Balok'!$C$10:$AU$110,25,FALSE)</f>
        <v>2</v>
      </c>
      <c r="E12220" t="str">
        <v>D</v>
      </c>
      <c r="F12220">
        <f>VLOOKUP(D12204,'Detail Balok'!$C$10:$AU$110,27,FALSE)</f>
        <v>13</v>
      </c>
      <c r="I12220" t="str">
        <v>(</v>
      </c>
      <c r="J12220">
        <f>+J12212</f>
        <v>2.4</v>
      </c>
      <c r="K12220" t="str">
        <v>+</v>
      </c>
      <c r="M12220" t="str">
        <v>=</v>
      </c>
      <c r="N12220">
        <f>J12220+L12220</f>
        <v>2.4</v>
      </c>
      <c r="O12220" t="str">
        <v>+</v>
      </c>
      <c r="P12220">
        <f>MAX(D12220-D12219,D12220-D12221)</f>
        <v>0</v>
      </c>
      <c r="Q12220" t="str">
        <v>x</v>
      </c>
      <c r="R12220">
        <f>IF(P12220&gt;0,2*(1-2*$F$19-1/2)*D12207/1000,0)</f>
        <v>0</v>
      </c>
      <c r="S12220" t="str">
        <v>)</v>
      </c>
      <c r="T12220" t="str">
        <v>x</v>
      </c>
      <c r="U12220">
        <f>0.006165*F12220^2</f>
        <v>1.041885</v>
      </c>
      <c r="X12220" t="str">
        <v>x</v>
      </c>
      <c r="Y12220">
        <f>D12210</f>
        <v>1</v>
      </c>
      <c r="Z12220" t="str">
        <v>=</v>
      </c>
      <c r="AA12220">
        <f>IF(AA12222=0,(D12220*N12220+P12220*R12220)*U12220*Y12220,0)</f>
        <v>0</v>
      </c>
    </row>
    <row r="12221">
      <c r="A12221" t="str">
        <f>A12204</f>
        <v>Lantai Atap</v>
      </c>
      <c r="B12221">
        <f>B12204</f>
        <v>66</v>
      </c>
      <c r="C12221" t="str">
        <v>Tul Bawah Tumpuan</v>
      </c>
      <c r="D12221">
        <f>VLOOKUP(D12204,'Detail Balok'!$C$10:$AU$110,28,FALSE)</f>
        <v>2</v>
      </c>
      <c r="E12221" t="str">
        <v>D</v>
      </c>
      <c r="F12221">
        <f>VLOOKUP(D12204,'Detail Balok'!$C$10:$AU$110,30,FALSE)</f>
        <v>13</v>
      </c>
      <c r="I12221" t="str">
        <v>(</v>
      </c>
      <c r="J12221">
        <f>+J12213</f>
        <v>1.2</v>
      </c>
      <c r="K12221" t="str">
        <v>+</v>
      </c>
      <c r="L12221">
        <f>MAX(VLOOKUP(F12221,N$6:P$15,3,FALSE)/1000,2/3*D12209/1000)+F$16*F12221/1000</f>
        <v>0.156</v>
      </c>
      <c r="M12221" t="str">
        <v>=</v>
      </c>
      <c r="N12221">
        <f>J12221+L12221</f>
        <v>1.3559999999999999</v>
      </c>
      <c r="O12221" t="str">
        <v>+</v>
      </c>
      <c r="P12221">
        <f>D12221-D12220</f>
        <v>0</v>
      </c>
      <c r="Q12221" t="str">
        <v>x</v>
      </c>
      <c r="R12221">
        <f>IF(P12221&gt;0,$F$18*F12221/1000,0)</f>
        <v>0</v>
      </c>
      <c r="S12221" t="str">
        <v>)</v>
      </c>
      <c r="T12221" t="str">
        <v>x</v>
      </c>
      <c r="U12221">
        <f>0.006165*F12221^2</f>
        <v>1.041885</v>
      </c>
      <c r="X12221" t="str">
        <v>x</v>
      </c>
      <c r="Y12221">
        <f>D12210</f>
        <v>1</v>
      </c>
      <c r="Z12221" t="str">
        <v>=</v>
      </c>
      <c r="AA12221">
        <f>IF(AA12222=0,(D12221*N12221+P12221*R12221)*U12221*Y12221,0)</f>
        <v>0</v>
      </c>
    </row>
    <row r="12222">
      <c r="A12222" t="str">
        <f>A12204</f>
        <v>Lantai Atap</v>
      </c>
      <c r="B12222">
        <f>B12204</f>
        <v>66</v>
      </c>
      <c r="D12222">
        <f>IF(AND(D12219=D12220,D12220=D12221,D12219=D12221),D12219,0)</f>
        <v>2</v>
      </c>
      <c r="E12222" t="str">
        <v>D</v>
      </c>
      <c r="F12222">
        <f>IF(AND(F12219=F12220,F12219=F12221,F12220=F12221),F12219,0)</f>
        <v>13</v>
      </c>
      <c r="L12222" t="str">
        <v>Total panjang per balok</v>
      </c>
      <c r="M12222" t="str">
        <v>=</v>
      </c>
      <c r="N12222">
        <f>IF(AND(D12219=D12220,D12219=D12221,D12220=D12221,F12219=F12220,F12219=F12221,F12220=F12221),SUM(N12219:N12221),0)</f>
        <v>5.112</v>
      </c>
      <c r="O12222" t="str">
        <v>+</v>
      </c>
      <c r="P12222">
        <f>IF(N12222&gt;12,ROUNDDOWN(N12222/12,0),0)</f>
        <v>0</v>
      </c>
      <c r="Q12222" t="str">
        <v>x</v>
      </c>
      <c r="R12222">
        <f>IF(P12222&gt;0,MAX(VLOOKUP(F12222,$D$6:$G$15,3,FALSE),600),0)/1000</f>
        <v>0</v>
      </c>
      <c r="T12222" t="str">
        <v>x</v>
      </c>
      <c r="U12222">
        <f>U12221</f>
        <v>1.041885</v>
      </c>
      <c r="V12222" t="str">
        <v>x</v>
      </c>
      <c r="W12222">
        <f>D12222</f>
        <v>2</v>
      </c>
      <c r="X12222" t="str">
        <v>x</v>
      </c>
      <c r="Y12222">
        <f>Y12221</f>
        <v>1</v>
      </c>
      <c r="Z12222" t="str">
        <v>=</v>
      </c>
      <c r="AA12222">
        <f>(N12222+P12222*R12222/1000)*U12222*W12222*Y12222</f>
        <v>10.65223224</v>
      </c>
    </row>
    <row r="12224">
      <c r="A12224" t="str">
        <f>A12204</f>
        <v>Lantai Atap</v>
      </c>
      <c r="B12224">
        <f>B12204</f>
        <v>66</v>
      </c>
      <c r="C12224" t="str">
        <v>Sengkang Tumpuan</v>
      </c>
      <c r="D12224">
        <f>VLOOKUP(D12204,'Detail Balok'!$C$10:$AU$110,31,FALSE)</f>
        <v>0</v>
      </c>
      <c r="E12224" t="str">
        <v>D</v>
      </c>
      <c r="F12224">
        <f>VLOOKUP(D12204,'Detail Balok'!$C$10:$AU$110,33,FALSE)</f>
        <v>8</v>
      </c>
      <c r="G12224" t="str">
        <v>-</v>
      </c>
      <c r="H12224">
        <f>VLOOKUP(D12204,'Detail Balok'!$C$10:$AU$110,35,FALSE)</f>
        <v>100</v>
      </c>
      <c r="J12224">
        <f>(IF(D12224=0,(2*(D12205+G12205))-(F$5*8),IF(D12224=3,(2*(D12205+G12205))-(F$5*8)+(G12205-2*F$5),IF(D12224=4,(2*(D12205+G12205))-(F$5*8)+2*(G12205-2*F$5)))))/1000</f>
        <v>0.68</v>
      </c>
      <c r="K12224" t="str">
        <v>+</v>
      </c>
      <c r="L12224">
        <f>IF(D12224=0,2*MAX(6*F12224,75),(D12224-1)*2*MAX(6*F12224,75))/1000</f>
        <v>0.15</v>
      </c>
      <c r="M12224" t="str">
        <v>=</v>
      </c>
      <c r="N12224">
        <f>J12224+L12224</f>
        <v>0.8300000000000001</v>
      </c>
      <c r="T12224" t="str">
        <v>x</v>
      </c>
      <c r="U12224">
        <f>0.006165*F12224^2</f>
        <v>0.39456</v>
      </c>
      <c r="V12224" t="str">
        <v>x</v>
      </c>
      <c r="W12224">
        <f>IF(D12207&gt;4*G12205,ROUND(MAX(D12207/4,2*G12205)/H12224,0)+1,ROUND(D12207/H12224,0)+1)</f>
        <v>13</v>
      </c>
      <c r="X12224" t="str">
        <v>x</v>
      </c>
      <c r="Y12224">
        <f>D12210</f>
        <v>1</v>
      </c>
      <c r="Z12224" t="str">
        <v>=</v>
      </c>
      <c r="AA12224">
        <f>N12224*U12224*W12224*Y12224</f>
        <v>4.2573024</v>
      </c>
    </row>
    <row r="12225">
      <c r="A12225" t="str">
        <f>A12204</f>
        <v>Lantai Atap</v>
      </c>
      <c r="B12225">
        <f>B12204</f>
        <v>66</v>
      </c>
      <c r="C12225" t="str">
        <v>Sengkang Lapangan</v>
      </c>
      <c r="D12225">
        <f>VLOOKUP(D12204,'Detail Balok'!$C$10:$AU$110,36,FALSE)</f>
        <v>0</v>
      </c>
      <c r="E12225" t="str">
        <v>D</v>
      </c>
      <c r="F12225">
        <f>VLOOKUP(D12204,'Detail Balok'!$C$10:$AU$110,38,FALSE)</f>
        <v>8</v>
      </c>
      <c r="G12225" t="str">
        <v>-</v>
      </c>
      <c r="H12225">
        <f>VLOOKUP(D12204,'Detail Balok'!$C$10:$AU$110,40,FALSE)</f>
        <v>150</v>
      </c>
      <c r="J12225">
        <f>(IF(D12225=0,(2*(D12205+G12205))-(F$5*8),IF(D12225=3,(2*(D12205+G12205))-(F$5*8)+(G12205-2*F$5),IF(D12225=4,(2*(D12205+G12205))-(F$5*8)+2*(G12205-2*F$5)))))/1000</f>
        <v>0.68</v>
      </c>
      <c r="K12225" t="str">
        <v>+</v>
      </c>
      <c r="L12225">
        <f>IF(D12225=0,2*MAX(6*F12225,75),(D12225-1)*2*MAX(6*F12225,75))/1000</f>
        <v>0.15</v>
      </c>
      <c r="M12225" t="str">
        <v>=</v>
      </c>
      <c r="N12225">
        <f>J12225+L12225</f>
        <v>0.8300000000000001</v>
      </c>
      <c r="T12225" t="str">
        <v>x</v>
      </c>
      <c r="U12225">
        <f>0.006165*F12225^2</f>
        <v>0.39456</v>
      </c>
      <c r="V12225" t="str">
        <v>x</v>
      </c>
      <c r="W12225">
        <f>IF(D12207-MAX(D12207/4,2*G12205)*2&gt;0,ROUND((D12207-MAX(D12207/4,2*G12205)*2)/H12225,0),0)</f>
        <v>16</v>
      </c>
      <c r="X12225" t="str">
        <v>x</v>
      </c>
      <c r="Y12225">
        <f>D12210</f>
        <v>1</v>
      </c>
      <c r="Z12225" t="str">
        <v>=</v>
      </c>
      <c r="AA12225">
        <f>N12225*U12225*W12225*Y12225</f>
        <v>5.2397568</v>
      </c>
    </row>
    <row r="12226">
      <c r="A12226" t="str">
        <f>A12204</f>
        <v>Lantai Atap</v>
      </c>
      <c r="B12226">
        <f>B12204</f>
        <v>66</v>
      </c>
      <c r="C12226" t="str">
        <v>Sengkang Tumpuan</v>
      </c>
      <c r="D12226">
        <f>VLOOKUP(D12204,'Detail Balok'!$C$10:$AU$110,41,FALSE)</f>
        <v>0</v>
      </c>
      <c r="E12226" t="str">
        <v>D</v>
      </c>
      <c r="F12226">
        <f>VLOOKUP(D12204,'Detail Balok'!$C$10:$AU$110,43,FALSE)</f>
        <v>8</v>
      </c>
      <c r="G12226" t="str">
        <v>-</v>
      </c>
      <c r="H12226">
        <f>VLOOKUP(D12204,'Detail Balok'!$C$10:$AU$110,45,FALSE)</f>
        <v>100</v>
      </c>
      <c r="J12226">
        <f>(IF(D12226=0,(2*(D12205+G12205))-(F$5*8),IF(D12226=3,(2*(D12205+G12205))-(F$5*8)+(G12205-2*F$5),IF(D12226=4,(2*(D12205+G12205))-(F$5*8)+2*(G12205-2*F$5)))))/1000</f>
        <v>0.68</v>
      </c>
      <c r="K12226" t="str">
        <v>+</v>
      </c>
      <c r="L12226">
        <f>IF(D12226=0,2*MAX(6*F12226,75),(D12226-1)*2*MAX(6*F12226,75))/1000</f>
        <v>0.15</v>
      </c>
      <c r="M12226" t="str">
        <v>=</v>
      </c>
      <c r="N12226">
        <f>J12226+L12226</f>
        <v>0.8300000000000001</v>
      </c>
      <c r="T12226" t="str">
        <v>x</v>
      </c>
      <c r="U12226">
        <f>0.006165*F12226^2</f>
        <v>0.39456</v>
      </c>
      <c r="V12226" t="str">
        <v>x</v>
      </c>
      <c r="W12226">
        <f>IF(D12207&gt;4*G12205,ROUND(MAX(D12207/4,2*G12205)/H12226,0)+1,0)</f>
        <v>13</v>
      </c>
      <c r="X12226" t="str">
        <v>x</v>
      </c>
      <c r="Y12226">
        <f>D12210</f>
        <v>1</v>
      </c>
      <c r="Z12226" t="str">
        <v>=</v>
      </c>
      <c r="AA12226">
        <f>N12226*U12226*W12226*Y12226</f>
        <v>4.2573024</v>
      </c>
    </row>
    <row r="12228">
      <c r="A12228" t="str">
        <f>A12204</f>
        <v>Lantai Atap</v>
      </c>
      <c r="B12228">
        <f>B12204</f>
        <v>66</v>
      </c>
      <c r="C12228" t="str">
        <v>Kait Horizontal Tump.</v>
      </c>
      <c r="D12228">
        <f>VLOOKUP(D12204,'Detail Balok'!$C$10:$BJ$110,46,FALSE)</f>
        <v>0</v>
      </c>
      <c r="E12228" t="str">
        <v>D</v>
      </c>
      <c r="F12228">
        <f>VLOOKUP(D12204,'Detail Balok'!$C$10:$BJ$110,48,FALSE)</f>
        <v>0</v>
      </c>
      <c r="G12228" t="str">
        <v>-</v>
      </c>
      <c r="H12228">
        <f>VLOOKUP(D12204,'Detail Balok'!$C$10:$BJ$110,50,FALSE)</f>
        <v>100</v>
      </c>
      <c r="J12228">
        <f>(D12205-2*F$5)/1000</f>
        <v>0.12</v>
      </c>
      <c r="K12228" t="str">
        <v>+</v>
      </c>
      <c r="L12228">
        <f>IF(D12228=0,2*MAX(6*F12228,75),(D12228-1)*2*MAX(6*F12228,75))/1000</f>
        <v>0.15</v>
      </c>
      <c r="M12228" t="str">
        <v>=</v>
      </c>
      <c r="N12228">
        <f>J12228+L12228</f>
        <v>0.27</v>
      </c>
      <c r="T12228" t="str">
        <v>x</v>
      </c>
      <c r="U12228">
        <f>0.006165*F12228^2</f>
        <v>0</v>
      </c>
      <c r="V12228" t="str">
        <v>x</v>
      </c>
      <c r="W12228">
        <f>W12224</f>
        <v>13</v>
      </c>
      <c r="X12228" t="str">
        <v>x</v>
      </c>
      <c r="Y12228">
        <f>D12214</f>
        <v>2</v>
      </c>
      <c r="Z12228" t="str">
        <v>=</v>
      </c>
      <c r="AA12228">
        <f>N12228*U12228*W12228*Y12228</f>
        <v>0</v>
      </c>
    </row>
    <row r="12229">
      <c r="A12229" t="str">
        <f>A12204</f>
        <v>Lantai Atap</v>
      </c>
      <c r="B12229">
        <f>B12204</f>
        <v>66</v>
      </c>
      <c r="C12229" t="str">
        <v>Kait Horizontal Lap.</v>
      </c>
      <c r="D12229">
        <f>VLOOKUP(D12204,'Detail Balok'!$C$10:$BJ$110,51,FALSE)</f>
        <v>0</v>
      </c>
      <c r="E12229" t="str">
        <v>D</v>
      </c>
      <c r="F12229">
        <f>VLOOKUP(D12204,'Detail Balok'!$C$10:$BJ$110,53,FALSE)</f>
        <v>0</v>
      </c>
      <c r="G12229" t="str">
        <v>-</v>
      </c>
      <c r="H12229">
        <f>VLOOKUP(D12204,'Detail Balok'!$C$10:$BJ$110,55,FALSE)</f>
        <v>100</v>
      </c>
      <c r="J12229">
        <f>(D12205-2*F$5)/1000</f>
        <v>0.12</v>
      </c>
      <c r="K12229" t="str">
        <v>+</v>
      </c>
      <c r="L12229">
        <f>IF(D12229=0,2*MAX(6*F12229,75),(D12229-1)*2*MAX(6*F12229,75))/1000</f>
        <v>0.15</v>
      </c>
      <c r="M12229" t="str">
        <v>=</v>
      </c>
      <c r="N12229">
        <f>J12229+L12229</f>
        <v>0.27</v>
      </c>
      <c r="T12229" t="str">
        <v>x</v>
      </c>
      <c r="U12229">
        <f>0.006165*F12229^2</f>
        <v>0</v>
      </c>
      <c r="V12229" t="str">
        <v>x</v>
      </c>
      <c r="W12229">
        <f>W12225</f>
        <v>16</v>
      </c>
      <c r="X12229" t="str">
        <v>x</v>
      </c>
      <c r="Y12229">
        <f>D12214</f>
        <v>2</v>
      </c>
      <c r="Z12229" t="str">
        <v>=</v>
      </c>
      <c r="AA12229">
        <f>N12229*U12229*W12229*Y12229</f>
        <v>0</v>
      </c>
    </row>
    <row r="12230">
      <c r="A12230" t="str">
        <f>A12204</f>
        <v>Lantai Atap</v>
      </c>
      <c r="B12230">
        <f>B12204</f>
        <v>66</v>
      </c>
      <c r="C12230" t="str">
        <v>Kait Horizontal Tump.</v>
      </c>
      <c r="D12230">
        <f>VLOOKUP(D12204,'Detail Balok'!$C$10:$BJ$110,56,FALSE)</f>
        <v>0</v>
      </c>
      <c r="E12230" t="str">
        <v>D</v>
      </c>
      <c r="F12230">
        <f>VLOOKUP(D12204,'Detail Balok'!$C$10:$BJ$110,58,FALSE)</f>
        <v>0</v>
      </c>
      <c r="G12230" t="str">
        <v>-</v>
      </c>
      <c r="H12230">
        <f>VLOOKUP(D12204,'Detail Balok'!$C$10:$BJ$110,60,FALSE)</f>
        <v>100</v>
      </c>
      <c r="J12230">
        <f>(D12205-2*F$5)/1000</f>
        <v>0.12</v>
      </c>
      <c r="K12230" t="str">
        <v>+</v>
      </c>
      <c r="L12230">
        <f>IF(D12230=0,2*MAX(6*F12230,75),(D12230-1)*2*MAX(6*F12230,75))/1000</f>
        <v>0.15</v>
      </c>
      <c r="M12230" t="str">
        <v>=</v>
      </c>
      <c r="N12230">
        <f>J12230+L12230</f>
        <v>0.27</v>
      </c>
      <c r="T12230" t="str">
        <v>x</v>
      </c>
      <c r="U12230">
        <f>0.006165*F12230^2</f>
        <v>0</v>
      </c>
      <c r="V12230" t="str">
        <v>x</v>
      </c>
      <c r="W12230">
        <f>W12226</f>
        <v>13</v>
      </c>
      <c r="X12230" t="str">
        <v>x</v>
      </c>
      <c r="Y12230">
        <f>D12214</f>
        <v>2</v>
      </c>
      <c r="Z12230" t="str">
        <v>=</v>
      </c>
      <c r="AA12230">
        <f>N12230*U12230*W12230*Y12230</f>
        <v>0</v>
      </c>
    </row>
    <row r="12234">
      <c r="A12234" t="str">
        <f>A12204</f>
        <v>Lantai Atap</v>
      </c>
      <c r="B12234">
        <f>B12204+1</f>
        <v>67</v>
      </c>
      <c r="C12234" t="str">
        <f>CONCATENATE(A12234," no. ",B12234)</f>
        <v>Lantai Atap no. 67</v>
      </c>
      <c r="D12234" t="str">
        <f>VLOOKUP(C12234,'Data Panjang Balok'!$C$9:$N$424,2,FALSE)</f>
        <v>B174-1</v>
      </c>
    </row>
    <row r="12235">
      <c r="C12235" t="str">
        <v>Dimensi</v>
      </c>
      <c r="D12235">
        <f>VLOOKUP(D12234,'Detail Balok'!$C$10:$AU$110,2,FALSE)</f>
        <v>170</v>
      </c>
      <c r="F12235" t="str">
        <v>x</v>
      </c>
      <c r="G12235">
        <f>VLOOKUP(D12234,'Detail Balok'!$C$10:$AU$110,3,FALSE)</f>
        <v>400</v>
      </c>
    </row>
    <row r="12236">
      <c r="C12236" t="str">
        <v>Panjang as ke as</v>
      </c>
      <c r="D12236">
        <f>VLOOKUP(C12234,'Data Panjang Balok'!$C$9:$N$424,4,FALSE)</f>
        <v>3200</v>
      </c>
    </row>
    <row r="12237">
      <c r="C12237" t="str">
        <v>Panjang netto</v>
      </c>
      <c r="D12237">
        <f>VLOOKUP(C12234,'Data Panjang Balok'!$C$9:$N$424,7,FALSE)</f>
        <v>3200</v>
      </c>
    </row>
    <row r="12238">
      <c r="C12238" t="str">
        <v>Kolom / balok kiri</v>
      </c>
      <c r="D12238">
        <f>VLOOKUP(C12234,'Data Panjang Balok'!$C$9:$N$424,9,FALSE)</f>
        <v>0</v>
      </c>
    </row>
    <row r="12239">
      <c r="C12239" t="str">
        <v>Kolom / balok kanan</v>
      </c>
      <c r="D12239">
        <f>VLOOKUP(C12234,'Data Panjang Balok'!$C$9:$N$424,10,FALSE)</f>
        <v>0</v>
      </c>
    </row>
    <row r="12240">
      <c r="C12240" t="str">
        <v>Jumlah</v>
      </c>
      <c r="D12240">
        <f>VLOOKUP(C12234,'Data Panjang Balok'!$C$9:$N$424,3,FALSE)</f>
        <v>1</v>
      </c>
    </row>
    <row r="12241">
      <c r="A12241" t="str">
        <f>A12234</f>
        <v>Lantai Atap</v>
      </c>
      <c r="B12241">
        <f>B12234</f>
        <v>67</v>
      </c>
      <c r="C12241" t="str">
        <v>Tul Atas Tumpuan</v>
      </c>
      <c r="D12241">
        <f>VLOOKUP(D12234,'Detail Balok'!$C$10:$AU$110,4,FALSE)</f>
        <v>2</v>
      </c>
      <c r="E12241" t="str">
        <v>D</v>
      </c>
      <c r="F12241">
        <f>VLOOKUP(D12234,'Detail Balok'!$C$10:$AU$110,6,FALSE)</f>
        <v>13</v>
      </c>
      <c r="I12241" t="str">
        <v>(</v>
      </c>
      <c r="J12241">
        <f>+D12236/4/1000</f>
        <v>0.8</v>
      </c>
      <c r="K12241" t="str">
        <v>+</v>
      </c>
      <c r="L12241">
        <f>MAX(VLOOKUP(F12241,N$6:P$15,3,FALSE)/1000,2/3*D12238/1000)+F$16*F12241/1000</f>
        <v>0.156</v>
      </c>
      <c r="M12241" t="str">
        <v>=</v>
      </c>
      <c r="N12241">
        <f>J12241+L12241</f>
        <v>0.9560000000000001</v>
      </c>
      <c r="O12241" t="str">
        <v>+</v>
      </c>
      <c r="P12241">
        <f>D12241-D12242</f>
        <v>0</v>
      </c>
      <c r="Q12241" t="str">
        <v>x</v>
      </c>
      <c r="R12241">
        <f>IF(P12241&gt;0,$F$18*F12241/1000,0)</f>
        <v>0</v>
      </c>
      <c r="S12241" t="str">
        <v>)</v>
      </c>
      <c r="T12241" t="str">
        <v>x</v>
      </c>
      <c r="U12241">
        <f>0.006165*F12241^2</f>
        <v>1.041885</v>
      </c>
      <c r="X12241" t="str">
        <v>x</v>
      </c>
      <c r="Y12241">
        <f>D12240</f>
        <v>1</v>
      </c>
      <c r="Z12241" t="str">
        <v>=</v>
      </c>
      <c r="AA12241">
        <f>IF(AA12244=0,(D12241*N12241+P12241*R12241)*U12241*Y12241,0)</f>
        <v>0</v>
      </c>
    </row>
    <row r="12242">
      <c r="A12242" t="str">
        <f>A12234</f>
        <v>Lantai Atap</v>
      </c>
      <c r="B12242">
        <f>B12234</f>
        <v>67</v>
      </c>
      <c r="C12242" t="str">
        <v>Tul Atas Lapangan</v>
      </c>
      <c r="D12242">
        <f>VLOOKUP(D12234,'Detail Balok'!$C$10:$AU$110,7,FALSE)</f>
        <v>2</v>
      </c>
      <c r="E12242" t="str">
        <v>D</v>
      </c>
      <c r="F12242">
        <f>VLOOKUP(D12234,'Detail Balok'!$C$10:$AU$110,9,FALSE)</f>
        <v>13</v>
      </c>
      <c r="I12242" t="str">
        <v>(</v>
      </c>
      <c r="J12242">
        <f>+D12236/2/1000</f>
        <v>1.6</v>
      </c>
      <c r="K12242" t="str">
        <v>+</v>
      </c>
      <c r="M12242" t="str">
        <v>=</v>
      </c>
      <c r="N12242">
        <f>J12242+L12242</f>
        <v>1.6</v>
      </c>
      <c r="O12242" t="str">
        <v>+</v>
      </c>
      <c r="P12242">
        <f>MAX(D12242-D12241,D12242-D12243)</f>
        <v>0</v>
      </c>
      <c r="Q12242" t="str">
        <v>x</v>
      </c>
      <c r="R12242">
        <f>IF(P12242&gt;0,2*(1-2*$F$19-1/2)*D12237/1000,0)</f>
        <v>0</v>
      </c>
      <c r="S12242" t="str">
        <v>)</v>
      </c>
      <c r="T12242" t="str">
        <v>x</v>
      </c>
      <c r="U12242">
        <f>0.006165*F12242^2</f>
        <v>1.041885</v>
      </c>
      <c r="X12242" t="str">
        <v>x</v>
      </c>
      <c r="Y12242">
        <f>D12240</f>
        <v>1</v>
      </c>
      <c r="Z12242" t="str">
        <v>=</v>
      </c>
      <c r="AA12242">
        <f>IF(AA12244=0,(D12242*N12242+P12242*R12242)*U12242*Y12242,0)</f>
        <v>0</v>
      </c>
    </row>
    <row r="12243">
      <c r="A12243" t="str">
        <f>A12234</f>
        <v>Lantai Atap</v>
      </c>
      <c r="B12243">
        <f>B12234</f>
        <v>67</v>
      </c>
      <c r="C12243" t="str">
        <v>Tul Atas Tumpuan</v>
      </c>
      <c r="D12243">
        <f>VLOOKUP(D12234,'Detail Balok'!$C$10:$AU$110,10,FALSE)</f>
        <v>2</v>
      </c>
      <c r="E12243" t="str">
        <v>D</v>
      </c>
      <c r="F12243">
        <f>VLOOKUP(D12234,'Detail Balok'!$C$10:$AU$110,12,FALSE)</f>
        <v>13</v>
      </c>
      <c r="I12243" t="str">
        <v>(</v>
      </c>
      <c r="J12243">
        <f>+D12236/4/1000</f>
        <v>0.8</v>
      </c>
      <c r="K12243" t="str">
        <v>+</v>
      </c>
      <c r="L12243">
        <f>MAX(VLOOKUP(F12243,N$6:P$15,3,FALSE)/1000,2/3*D12238/1000)+F$16*F12243/1000</f>
        <v>0.156</v>
      </c>
      <c r="M12243" t="str">
        <v>=</v>
      </c>
      <c r="N12243">
        <f>J12243+L12243</f>
        <v>0.9560000000000001</v>
      </c>
      <c r="O12243" t="str">
        <v>+</v>
      </c>
      <c r="P12243">
        <f>D12243-D12242</f>
        <v>0</v>
      </c>
      <c r="Q12243" t="str">
        <v>x</v>
      </c>
      <c r="R12243">
        <f>IF(P12243&gt;0,$F$18*F12243/1000,0)</f>
        <v>0</v>
      </c>
      <c r="S12243" t="str">
        <v>)</v>
      </c>
      <c r="T12243" t="str">
        <v>x</v>
      </c>
      <c r="U12243">
        <f>0.006165*F12243^2</f>
        <v>1.041885</v>
      </c>
      <c r="X12243" t="str">
        <v>x</v>
      </c>
      <c r="Y12243">
        <f>D12240</f>
        <v>1</v>
      </c>
      <c r="Z12243" t="str">
        <v>=</v>
      </c>
      <c r="AA12243">
        <f>IF(AA12244=0,(D12243*N12243+P12243*R12243)*U12243*Y12243,0)</f>
        <v>0</v>
      </c>
    </row>
    <row r="12244">
      <c r="A12244" t="str">
        <f>A12234</f>
        <v>Lantai Atap</v>
      </c>
      <c r="B12244">
        <f>B12234</f>
        <v>67</v>
      </c>
      <c r="D12244">
        <f>IF(AND(D12241=D12242,D12242=D12243,D12241=D12243),D12241,0)</f>
        <v>2</v>
      </c>
      <c r="E12244" t="str">
        <v>D</v>
      </c>
      <c r="F12244">
        <f>IF(AND(F12241=F12242,F12241=F12243,F12242=F12243),F12241,0)</f>
        <v>13</v>
      </c>
      <c r="L12244" t="str">
        <v>Total panjang per balok</v>
      </c>
      <c r="M12244" t="str">
        <v>=</v>
      </c>
      <c r="N12244">
        <f>IF(AND(D12241=D12242,D12241=D12243,D12242=D12243,F12241=F12242,F12241=F12243,F12242=F12243),SUM(N12241:N12243),0)</f>
        <v>3.512</v>
      </c>
      <c r="O12244" t="str">
        <v>+</v>
      </c>
      <c r="P12244">
        <f>IF(N12244&gt;12,ROUNDDOWN(N12244/12,0),0)</f>
        <v>0</v>
      </c>
      <c r="Q12244" t="str">
        <v>x</v>
      </c>
      <c r="R12244">
        <f>IF(P12244&gt;0,MAX(VLOOKUP(F12244,$D$6:$G$15,3,FALSE),600),0)/1000</f>
        <v>0</v>
      </c>
      <c r="T12244" t="str">
        <v>x</v>
      </c>
      <c r="U12244">
        <f>U12243</f>
        <v>1.041885</v>
      </c>
      <c r="V12244" t="str">
        <v>x</v>
      </c>
      <c r="W12244">
        <f>D12244</f>
        <v>2</v>
      </c>
      <c r="X12244" t="str">
        <v>x</v>
      </c>
      <c r="Y12244">
        <f>Y12243</f>
        <v>1</v>
      </c>
      <c r="Z12244" t="str">
        <v>=</v>
      </c>
      <c r="AA12244">
        <f>(N12244+P12244*R12244/1000)*U12244*W12244*Y12244</f>
        <v>7.3182002399999995</v>
      </c>
    </row>
    <row r="12246">
      <c r="A12246" t="str">
        <f>A12234</f>
        <v>Lantai Atap</v>
      </c>
      <c r="B12246">
        <f>B12234</f>
        <v>67</v>
      </c>
      <c r="C12246" t="str">
        <v>Tul Peminggang</v>
      </c>
      <c r="D12246">
        <f>VLOOKUP(D12234,'Detail Balok'!$C$10:$AU$110,13,FALSE)</f>
        <v>0</v>
      </c>
      <c r="E12246" t="str">
        <v>D</v>
      </c>
      <c r="F12246">
        <f>VLOOKUP(D12234,'Detail Balok'!$C$10:$AU$110,15,FALSE)</f>
        <v>6</v>
      </c>
      <c r="J12246">
        <f>+D12236/1000</f>
        <v>3.2</v>
      </c>
      <c r="K12246" t="str">
        <v>+</v>
      </c>
      <c r="L12246">
        <f>2*$F$16*F12246/1000</f>
        <v>0.144</v>
      </c>
      <c r="M12246" t="str">
        <v>=</v>
      </c>
      <c r="N12246">
        <f>J12246+L12246</f>
        <v>3.3440000000000003</v>
      </c>
      <c r="O12246" t="str">
        <v>+</v>
      </c>
      <c r="P12246">
        <f>IF(N12246&gt;12,ROUNDDOWN(N12246/12,0),0)</f>
        <v>0</v>
      </c>
      <c r="Q12246" t="str">
        <v>x</v>
      </c>
      <c r="R12246">
        <f>IF(P12246&gt;0,MAX(VLOOKUP(F12246,$D$6:$G$15,3,FALSE),600),0)/1000</f>
        <v>0</v>
      </c>
      <c r="T12246" t="str">
        <v>x</v>
      </c>
      <c r="U12246">
        <f>0.006165*F12246^2</f>
        <v>0.22194000000000003</v>
      </c>
      <c r="V12246" t="str">
        <v>x</v>
      </c>
      <c r="W12246">
        <f>+D12246</f>
        <v>0</v>
      </c>
      <c r="X12246" t="str">
        <v>x</v>
      </c>
      <c r="Y12246">
        <f>D12240</f>
        <v>1</v>
      </c>
      <c r="Z12246" t="str">
        <v>=</v>
      </c>
      <c r="AA12246">
        <f>(N12246+P12246*R12246/1000)*U12246*W12246*Y12246</f>
        <v>0</v>
      </c>
    </row>
    <row r="12249">
      <c r="A12249" t="str">
        <f>A12234</f>
        <v>Lantai Atap</v>
      </c>
      <c r="B12249">
        <f>B12234</f>
        <v>67</v>
      </c>
      <c r="C12249" t="str">
        <v>Tul Bawah Tumpuan</v>
      </c>
      <c r="D12249">
        <f>VLOOKUP(D12234,'Detail Balok'!$C$10:$AU$110,22,FALSE)</f>
        <v>2</v>
      </c>
      <c r="E12249" t="str">
        <v>D</v>
      </c>
      <c r="F12249">
        <f>VLOOKUP(D12234,'Detail Balok'!$C$10:$AU$110,24,FALSE)</f>
        <v>13</v>
      </c>
      <c r="I12249" t="str">
        <v>(</v>
      </c>
      <c r="J12249">
        <f>+J12241</f>
        <v>0.8</v>
      </c>
      <c r="K12249" t="str">
        <v>+</v>
      </c>
      <c r="L12249">
        <f>MAX(VLOOKUP(F12249,N$6:P$15,3,FALSE)/1000,2/3*D12239/1000)+F$16*F12249/1000</f>
        <v>0.156</v>
      </c>
      <c r="M12249" t="str">
        <v>=</v>
      </c>
      <c r="N12249">
        <f>J12249+L12249</f>
        <v>0.9560000000000001</v>
      </c>
      <c r="O12249" t="str">
        <v>+</v>
      </c>
      <c r="P12249">
        <f>D12249-D12250</f>
        <v>0</v>
      </c>
      <c r="Q12249" t="str">
        <v>x</v>
      </c>
      <c r="R12249">
        <f>IF(P12249&gt;0,$F$18*F12249/1000,0)</f>
        <v>0</v>
      </c>
      <c r="S12249" t="str">
        <v>)</v>
      </c>
      <c r="T12249" t="str">
        <v>x</v>
      </c>
      <c r="U12249">
        <f>0.006165*F12249^2</f>
        <v>1.041885</v>
      </c>
      <c r="X12249" t="str">
        <v>x</v>
      </c>
      <c r="Y12249">
        <f>D12240</f>
        <v>1</v>
      </c>
      <c r="Z12249" t="str">
        <v>=</v>
      </c>
      <c r="AA12249">
        <f>IF(AA12252=0,(D12249*N12249+P12249*R12249)*U12249*Y12249,0)</f>
        <v>0</v>
      </c>
    </row>
    <row r="12250">
      <c r="A12250" t="str">
        <f>A12234</f>
        <v>Lantai Atap</v>
      </c>
      <c r="B12250">
        <f>B12234</f>
        <v>67</v>
      </c>
      <c r="C12250" t="str">
        <v>Tul Bawah Lapangan</v>
      </c>
      <c r="D12250">
        <f>VLOOKUP(D12234,'Detail Balok'!$C$10:$AU$110,25,FALSE)</f>
        <v>2</v>
      </c>
      <c r="E12250" t="str">
        <v>D</v>
      </c>
      <c r="F12250">
        <f>VLOOKUP(D12234,'Detail Balok'!$C$10:$AU$110,27,FALSE)</f>
        <v>13</v>
      </c>
      <c r="I12250" t="str">
        <v>(</v>
      </c>
      <c r="J12250">
        <f>+J12242</f>
        <v>1.6</v>
      </c>
      <c r="K12250" t="str">
        <v>+</v>
      </c>
      <c r="M12250" t="str">
        <v>=</v>
      </c>
      <c r="N12250">
        <f>J12250+L12250</f>
        <v>1.6</v>
      </c>
      <c r="O12250" t="str">
        <v>+</v>
      </c>
      <c r="P12250">
        <f>MAX(D12250-D12249,D12250-D12251)</f>
        <v>0</v>
      </c>
      <c r="Q12250" t="str">
        <v>x</v>
      </c>
      <c r="R12250">
        <f>IF(P12250&gt;0,2*(1-2*$F$19-1/2)*D12237/1000,0)</f>
        <v>0</v>
      </c>
      <c r="S12250" t="str">
        <v>)</v>
      </c>
      <c r="T12250" t="str">
        <v>x</v>
      </c>
      <c r="U12250">
        <f>0.006165*F12250^2</f>
        <v>1.041885</v>
      </c>
      <c r="X12250" t="str">
        <v>x</v>
      </c>
      <c r="Y12250">
        <f>D12240</f>
        <v>1</v>
      </c>
      <c r="Z12250" t="str">
        <v>=</v>
      </c>
      <c r="AA12250">
        <f>IF(AA12252=0,(D12250*N12250+P12250*R12250)*U12250*Y12250,0)</f>
        <v>0</v>
      </c>
    </row>
    <row r="12251">
      <c r="A12251" t="str">
        <f>A12234</f>
        <v>Lantai Atap</v>
      </c>
      <c r="B12251">
        <f>B12234</f>
        <v>67</v>
      </c>
      <c r="C12251" t="str">
        <v>Tul Bawah Tumpuan</v>
      </c>
      <c r="D12251">
        <f>VLOOKUP(D12234,'Detail Balok'!$C$10:$AU$110,28,FALSE)</f>
        <v>2</v>
      </c>
      <c r="E12251" t="str">
        <v>D</v>
      </c>
      <c r="F12251">
        <f>VLOOKUP(D12234,'Detail Balok'!$C$10:$AU$110,30,FALSE)</f>
        <v>13</v>
      </c>
      <c r="I12251" t="str">
        <v>(</v>
      </c>
      <c r="J12251">
        <f>+J12243</f>
        <v>0.8</v>
      </c>
      <c r="K12251" t="str">
        <v>+</v>
      </c>
      <c r="L12251">
        <f>MAX(VLOOKUP(F12251,N$6:P$15,3,FALSE)/1000,2/3*D12239/1000)+F$16*F12251/1000</f>
        <v>0.156</v>
      </c>
      <c r="M12251" t="str">
        <v>=</v>
      </c>
      <c r="N12251">
        <f>J12251+L12251</f>
        <v>0.9560000000000001</v>
      </c>
      <c r="O12251" t="str">
        <v>+</v>
      </c>
      <c r="P12251">
        <f>D12251-D12250</f>
        <v>0</v>
      </c>
      <c r="Q12251" t="str">
        <v>x</v>
      </c>
      <c r="R12251">
        <f>IF(P12251&gt;0,$F$18*F12251/1000,0)</f>
        <v>0</v>
      </c>
      <c r="S12251" t="str">
        <v>)</v>
      </c>
      <c r="T12251" t="str">
        <v>x</v>
      </c>
      <c r="U12251">
        <f>0.006165*F12251^2</f>
        <v>1.041885</v>
      </c>
      <c r="X12251" t="str">
        <v>x</v>
      </c>
      <c r="Y12251">
        <f>D12240</f>
        <v>1</v>
      </c>
      <c r="Z12251" t="str">
        <v>=</v>
      </c>
      <c r="AA12251">
        <f>IF(AA12252=0,(D12251*N12251+P12251*R12251)*U12251*Y12251,0)</f>
        <v>0</v>
      </c>
    </row>
    <row r="12252">
      <c r="A12252" t="str">
        <f>A12234</f>
        <v>Lantai Atap</v>
      </c>
      <c r="B12252">
        <f>B12234</f>
        <v>67</v>
      </c>
      <c r="D12252">
        <f>IF(AND(D12249=D12250,D12250=D12251,D12249=D12251),D12249,0)</f>
        <v>2</v>
      </c>
      <c r="E12252" t="str">
        <v>D</v>
      </c>
      <c r="F12252">
        <f>IF(AND(F12249=F12250,F12249=F12251,F12250=F12251),F12249,0)</f>
        <v>13</v>
      </c>
      <c r="L12252" t="str">
        <v>Total panjang per balok</v>
      </c>
      <c r="M12252" t="str">
        <v>=</v>
      </c>
      <c r="N12252">
        <f>IF(AND(D12249=D12250,D12249=D12251,D12250=D12251,F12249=F12250,F12249=F12251,F12250=F12251),SUM(N12249:N12251),0)</f>
        <v>3.512</v>
      </c>
      <c r="O12252" t="str">
        <v>+</v>
      </c>
      <c r="P12252">
        <f>IF(N12252&gt;12,ROUNDDOWN(N12252/12,0),0)</f>
        <v>0</v>
      </c>
      <c r="Q12252" t="str">
        <v>x</v>
      </c>
      <c r="R12252">
        <f>IF(P12252&gt;0,MAX(VLOOKUP(F12252,$D$6:$G$15,3,FALSE),600),0)/1000</f>
        <v>0</v>
      </c>
      <c r="T12252" t="str">
        <v>x</v>
      </c>
      <c r="U12252">
        <f>U12251</f>
        <v>1.041885</v>
      </c>
      <c r="V12252" t="str">
        <v>x</v>
      </c>
      <c r="W12252">
        <f>D12252</f>
        <v>2</v>
      </c>
      <c r="X12252" t="str">
        <v>x</v>
      </c>
      <c r="Y12252">
        <f>Y12251</f>
        <v>1</v>
      </c>
      <c r="Z12252" t="str">
        <v>=</v>
      </c>
      <c r="AA12252">
        <f>(N12252+P12252*R12252/1000)*U12252*W12252*Y12252</f>
        <v>7.3182002399999995</v>
      </c>
    </row>
    <row r="12254">
      <c r="A12254" t="str">
        <f>A12234</f>
        <v>Lantai Atap</v>
      </c>
      <c r="B12254">
        <f>B12234</f>
        <v>67</v>
      </c>
      <c r="C12254" t="str">
        <v>Sengkang Tumpuan</v>
      </c>
      <c r="D12254">
        <f>VLOOKUP(D12234,'Detail Balok'!$C$10:$AU$110,31,FALSE)</f>
        <v>0</v>
      </c>
      <c r="E12254" t="str">
        <v>D</v>
      </c>
      <c r="F12254">
        <f>VLOOKUP(D12234,'Detail Balok'!$C$10:$AU$110,33,FALSE)</f>
        <v>10</v>
      </c>
      <c r="G12254" t="str">
        <v>-</v>
      </c>
      <c r="H12254">
        <f>VLOOKUP(D12234,'Detail Balok'!$C$10:$AU$110,35,FALSE)</f>
        <v>100</v>
      </c>
      <c r="J12254">
        <f>(IF(D12254=0,(2*(D12235+G12235))-(F$5*8),IF(D12254=3,(2*(D12235+G12235))-(F$5*8)+(G12235-2*F$5),IF(D12254=4,(2*(D12235+G12235))-(F$5*8)+2*(G12235-2*F$5)))))/1000</f>
        <v>0.82</v>
      </c>
      <c r="K12254" t="str">
        <v>+</v>
      </c>
      <c r="L12254">
        <f>IF(D12254=0,2*MAX(6*F12254,75),(D12254-1)*2*MAX(6*F12254,75))/1000</f>
        <v>0.15</v>
      </c>
      <c r="M12254" t="str">
        <v>=</v>
      </c>
      <c r="N12254">
        <f>J12254+L12254</f>
        <v>0.97</v>
      </c>
      <c r="T12254" t="str">
        <v>x</v>
      </c>
      <c r="U12254">
        <f>0.006165*F12254^2</f>
        <v>0.6165</v>
      </c>
      <c r="V12254" t="str">
        <v>x</v>
      </c>
      <c r="W12254">
        <f>IF(D12237&gt;4*G12235,ROUND(MAX(D12237/4,2*G12235)/H12254,0)+1,ROUND(D12237/H12254,0)+1)</f>
        <v>9</v>
      </c>
      <c r="X12254" t="str">
        <v>x</v>
      </c>
      <c r="Y12254">
        <f>D12240</f>
        <v>1</v>
      </c>
      <c r="Z12254" t="str">
        <v>=</v>
      </c>
      <c r="AA12254">
        <f>N12254*U12254*W12254*Y12254</f>
        <v>5.382045</v>
      </c>
    </row>
    <row r="12255">
      <c r="A12255" t="str">
        <f>A12234</f>
        <v>Lantai Atap</v>
      </c>
      <c r="B12255">
        <f>B12234</f>
        <v>67</v>
      </c>
      <c r="C12255" t="str">
        <v>Sengkang Lapangan</v>
      </c>
      <c r="D12255">
        <f>VLOOKUP(D12234,'Detail Balok'!$C$10:$AU$110,36,FALSE)</f>
        <v>0</v>
      </c>
      <c r="E12255" t="str">
        <v>D</v>
      </c>
      <c r="F12255">
        <f>VLOOKUP(D12234,'Detail Balok'!$C$10:$AU$110,38,FALSE)</f>
        <v>10</v>
      </c>
      <c r="G12255" t="str">
        <v>-</v>
      </c>
      <c r="H12255">
        <f>VLOOKUP(D12234,'Detail Balok'!$C$10:$AU$110,40,FALSE)</f>
        <v>200</v>
      </c>
      <c r="J12255">
        <f>(IF(D12255=0,(2*(D12235+G12235))-(F$5*8),IF(D12255=3,(2*(D12235+G12235))-(F$5*8)+(G12235-2*F$5),IF(D12255=4,(2*(D12235+G12235))-(F$5*8)+2*(G12235-2*F$5)))))/1000</f>
        <v>0.82</v>
      </c>
      <c r="K12255" t="str">
        <v>+</v>
      </c>
      <c r="L12255">
        <f>IF(D12255=0,2*MAX(6*F12255,75),(D12255-1)*2*MAX(6*F12255,75))/1000</f>
        <v>0.15</v>
      </c>
      <c r="M12255" t="str">
        <v>=</v>
      </c>
      <c r="N12255">
        <f>J12255+L12255</f>
        <v>0.97</v>
      </c>
      <c r="T12255" t="str">
        <v>x</v>
      </c>
      <c r="U12255">
        <f>0.006165*F12255^2</f>
        <v>0.6165</v>
      </c>
      <c r="V12255" t="str">
        <v>x</v>
      </c>
      <c r="W12255">
        <f>IF(D12237-MAX(D12237/4,2*G12235)*2&gt;0,ROUND((D12237-MAX(D12237/4,2*G12235)*2)/H12255,0),0)</f>
        <v>8</v>
      </c>
      <c r="X12255" t="str">
        <v>x</v>
      </c>
      <c r="Y12255">
        <f>D12240</f>
        <v>1</v>
      </c>
      <c r="Z12255" t="str">
        <v>=</v>
      </c>
      <c r="AA12255">
        <f>N12255*U12255*W12255*Y12255</f>
        <v>4.78404</v>
      </c>
    </row>
    <row r="12256">
      <c r="A12256" t="str">
        <f>A12234</f>
        <v>Lantai Atap</v>
      </c>
      <c r="B12256">
        <f>B12234</f>
        <v>67</v>
      </c>
      <c r="C12256" t="str">
        <v>Sengkang Tumpuan</v>
      </c>
      <c r="D12256">
        <f>VLOOKUP(D12234,'Detail Balok'!$C$10:$AU$110,41,FALSE)</f>
        <v>0</v>
      </c>
      <c r="E12256" t="str">
        <v>D</v>
      </c>
      <c r="F12256">
        <f>VLOOKUP(D12234,'Detail Balok'!$C$10:$AU$110,43,FALSE)</f>
        <v>10</v>
      </c>
      <c r="G12256" t="str">
        <v>-</v>
      </c>
      <c r="H12256">
        <f>VLOOKUP(D12234,'Detail Balok'!$C$10:$AU$110,45,FALSE)</f>
        <v>100</v>
      </c>
      <c r="J12256">
        <f>(IF(D12256=0,(2*(D12235+G12235))-(F$5*8),IF(D12256=3,(2*(D12235+G12235))-(F$5*8)+(G12235-2*F$5),IF(D12256=4,(2*(D12235+G12235))-(F$5*8)+2*(G12235-2*F$5)))))/1000</f>
        <v>0.82</v>
      </c>
      <c r="K12256" t="str">
        <v>+</v>
      </c>
      <c r="L12256">
        <f>IF(D12256=0,2*MAX(6*F12256,75),(D12256-1)*2*MAX(6*F12256,75))/1000</f>
        <v>0.15</v>
      </c>
      <c r="M12256" t="str">
        <v>=</v>
      </c>
      <c r="N12256">
        <f>J12256+L12256</f>
        <v>0.97</v>
      </c>
      <c r="T12256" t="str">
        <v>x</v>
      </c>
      <c r="U12256">
        <f>0.006165*F12256^2</f>
        <v>0.6165</v>
      </c>
      <c r="V12256" t="str">
        <v>x</v>
      </c>
      <c r="W12256">
        <f>IF(D12237&gt;4*G12235,ROUND(MAX(D12237/4,2*G12235)/H12256,0)+1,0)</f>
        <v>9</v>
      </c>
      <c r="X12256" t="str">
        <v>x</v>
      </c>
      <c r="Y12256">
        <f>D12240</f>
        <v>1</v>
      </c>
      <c r="Z12256" t="str">
        <v>=</v>
      </c>
      <c r="AA12256">
        <f>N12256*U12256*W12256*Y12256</f>
        <v>5.382045</v>
      </c>
    </row>
    <row r="12258">
      <c r="A12258" t="str">
        <f>A12234</f>
        <v>Lantai Atap</v>
      </c>
      <c r="B12258">
        <f>B12234</f>
        <v>67</v>
      </c>
      <c r="C12258" t="str">
        <v>Kait Horizontal Tump.</v>
      </c>
      <c r="D12258">
        <f>VLOOKUP(D12234,'Detail Balok'!$C$10:$BJ$110,46,FALSE)</f>
        <v>0</v>
      </c>
      <c r="E12258" t="str">
        <v>D</v>
      </c>
      <c r="F12258">
        <f>VLOOKUP(D12234,'Detail Balok'!$C$10:$BJ$110,48,FALSE)</f>
        <v>0</v>
      </c>
      <c r="G12258" t="str">
        <v>-</v>
      </c>
      <c r="H12258">
        <f>VLOOKUP(D12234,'Detail Balok'!$C$10:$BJ$110,50,FALSE)</f>
        <v>100</v>
      </c>
      <c r="J12258">
        <f>(D12235-2*F$5)/1000</f>
        <v>0.09</v>
      </c>
      <c r="K12258" t="str">
        <v>+</v>
      </c>
      <c r="L12258">
        <f>IF(D12258=0,2*MAX(6*F12258,75),(D12258-1)*2*MAX(6*F12258,75))/1000</f>
        <v>0.15</v>
      </c>
      <c r="M12258" t="str">
        <v>=</v>
      </c>
      <c r="N12258">
        <f>J12258+L12258</f>
        <v>0.24</v>
      </c>
      <c r="T12258" t="str">
        <v>x</v>
      </c>
      <c r="U12258">
        <f>0.006165*F12258^2</f>
        <v>0</v>
      </c>
      <c r="V12258" t="str">
        <v>x</v>
      </c>
      <c r="W12258">
        <f>W12254</f>
        <v>9</v>
      </c>
      <c r="X12258" t="str">
        <v>x</v>
      </c>
      <c r="Y12258">
        <f>D12244</f>
        <v>2</v>
      </c>
      <c r="Z12258" t="str">
        <v>=</v>
      </c>
      <c r="AA12258">
        <f>N12258*U12258*W12258*Y12258</f>
        <v>0</v>
      </c>
    </row>
    <row r="12259">
      <c r="A12259" t="str">
        <f>A12234</f>
        <v>Lantai Atap</v>
      </c>
      <c r="B12259">
        <f>B12234</f>
        <v>67</v>
      </c>
      <c r="C12259" t="str">
        <v>Kait Horizontal Lap.</v>
      </c>
      <c r="D12259">
        <f>VLOOKUP(D12234,'Detail Balok'!$C$10:$BJ$110,51,FALSE)</f>
        <v>0</v>
      </c>
      <c r="E12259" t="str">
        <v>D</v>
      </c>
      <c r="F12259">
        <f>VLOOKUP(D12234,'Detail Balok'!$C$10:$BJ$110,53,FALSE)</f>
        <v>0</v>
      </c>
      <c r="G12259" t="str">
        <v>-</v>
      </c>
      <c r="H12259">
        <f>VLOOKUP(D12234,'Detail Balok'!$C$10:$BJ$110,55,FALSE)</f>
        <v>100</v>
      </c>
      <c r="J12259">
        <f>(D12235-2*F$5)/1000</f>
        <v>0.09</v>
      </c>
      <c r="K12259" t="str">
        <v>+</v>
      </c>
      <c r="L12259">
        <f>IF(D12259=0,2*MAX(6*F12259,75),(D12259-1)*2*MAX(6*F12259,75))/1000</f>
        <v>0.15</v>
      </c>
      <c r="M12259" t="str">
        <v>=</v>
      </c>
      <c r="N12259">
        <f>J12259+L12259</f>
        <v>0.24</v>
      </c>
      <c r="T12259" t="str">
        <v>x</v>
      </c>
      <c r="U12259">
        <f>0.006165*F12259^2</f>
        <v>0</v>
      </c>
      <c r="V12259" t="str">
        <v>x</v>
      </c>
      <c r="W12259">
        <f>W12255</f>
        <v>8</v>
      </c>
      <c r="X12259" t="str">
        <v>x</v>
      </c>
      <c r="Y12259">
        <f>D12244</f>
        <v>2</v>
      </c>
      <c r="Z12259" t="str">
        <v>=</v>
      </c>
      <c r="AA12259">
        <f>N12259*U12259*W12259*Y12259</f>
        <v>0</v>
      </c>
    </row>
    <row r="12260">
      <c r="A12260" t="str">
        <f>A12234</f>
        <v>Lantai Atap</v>
      </c>
      <c r="B12260">
        <f>B12234</f>
        <v>67</v>
      </c>
      <c r="C12260" t="str">
        <v>Kait Horizontal Tump.</v>
      </c>
      <c r="D12260">
        <f>VLOOKUP(D12234,'Detail Balok'!$C$10:$BJ$110,56,FALSE)</f>
        <v>0</v>
      </c>
      <c r="E12260" t="str">
        <v>D</v>
      </c>
      <c r="F12260">
        <f>VLOOKUP(D12234,'Detail Balok'!$C$10:$BJ$110,58,FALSE)</f>
        <v>0</v>
      </c>
      <c r="G12260" t="str">
        <v>-</v>
      </c>
      <c r="H12260">
        <f>VLOOKUP(D12234,'Detail Balok'!$C$10:$BJ$110,60,FALSE)</f>
        <v>100</v>
      </c>
      <c r="J12260">
        <f>(D12235-2*F$5)/1000</f>
        <v>0.09</v>
      </c>
      <c r="K12260" t="str">
        <v>+</v>
      </c>
      <c r="L12260">
        <f>IF(D12260=0,2*MAX(6*F12260,75),(D12260-1)*2*MAX(6*F12260,75))/1000</f>
        <v>0.15</v>
      </c>
      <c r="M12260" t="str">
        <v>=</v>
      </c>
      <c r="N12260">
        <f>J12260+L12260</f>
        <v>0.24</v>
      </c>
      <c r="T12260" t="str">
        <v>x</v>
      </c>
      <c r="U12260">
        <f>0.006165*F12260^2</f>
        <v>0</v>
      </c>
      <c r="V12260" t="str">
        <v>x</v>
      </c>
      <c r="W12260">
        <f>W12256</f>
        <v>9</v>
      </c>
      <c r="X12260" t="str">
        <v>x</v>
      </c>
      <c r="Y12260">
        <f>D12244</f>
        <v>2</v>
      </c>
      <c r="Z12260" t="str">
        <v>=</v>
      </c>
      <c r="AA12260">
        <f>N12260*U12260*W12260*Y12260</f>
        <v>0</v>
      </c>
    </row>
    <row r="12264">
      <c r="A12264" t="str">
        <f>A12234</f>
        <v>Lantai Atap</v>
      </c>
      <c r="B12264">
        <f>B12234+1</f>
        <v>68</v>
      </c>
      <c r="C12264" t="str">
        <f>CONCATENATE(A12264," no. ",B12264)</f>
        <v>Lantai Atap no. 68</v>
      </c>
      <c r="D12264" t="str">
        <f>VLOOKUP(C12264,'Data Panjang Balok'!$C$9:$N$424,2,FALSE)</f>
        <v>B24-1</v>
      </c>
    </row>
    <row r="12265">
      <c r="C12265" t="str">
        <v>Dimensi</v>
      </c>
      <c r="D12265">
        <f>VLOOKUP(D12264,'Detail Balok'!$C$10:$AU$110,2,FALSE)</f>
        <v>200</v>
      </c>
      <c r="F12265" t="str">
        <v>x</v>
      </c>
      <c r="G12265">
        <f>VLOOKUP(D12264,'Detail Balok'!$C$10:$AU$110,3,FALSE)</f>
        <v>400</v>
      </c>
    </row>
    <row r="12266">
      <c r="C12266" t="str">
        <v>Panjang as ke as</v>
      </c>
      <c r="D12266">
        <f>VLOOKUP(C12264,'Data Panjang Balok'!$C$9:$N$424,4,FALSE)</f>
        <v>2170</v>
      </c>
    </row>
    <row r="12267">
      <c r="C12267" t="str">
        <v>Panjang netto</v>
      </c>
      <c r="D12267">
        <f>VLOOKUP(C12264,'Data Panjang Balok'!$C$9:$N$424,7,FALSE)</f>
        <v>2170</v>
      </c>
    </row>
    <row r="12268">
      <c r="C12268" t="str">
        <v>Kolom / balok kiri</v>
      </c>
      <c r="D12268">
        <f>VLOOKUP(C12264,'Data Panjang Balok'!$C$9:$N$424,9,FALSE)</f>
        <v>0</v>
      </c>
    </row>
    <row r="12269">
      <c r="C12269" t="str">
        <v>Kolom / balok kanan</v>
      </c>
      <c r="D12269">
        <f>VLOOKUP(C12264,'Data Panjang Balok'!$C$9:$N$424,10,FALSE)</f>
        <v>0</v>
      </c>
    </row>
    <row r="12270">
      <c r="C12270" t="str">
        <v>Jumlah</v>
      </c>
      <c r="D12270">
        <f>VLOOKUP(C12264,'Data Panjang Balok'!$C$9:$N$424,3,FALSE)</f>
        <v>1</v>
      </c>
    </row>
    <row r="12271">
      <c r="A12271" t="str">
        <f>A12264</f>
        <v>Lantai Atap</v>
      </c>
      <c r="B12271">
        <f>B12264</f>
        <v>68</v>
      </c>
      <c r="C12271" t="str">
        <v>Tul Atas Tumpuan</v>
      </c>
      <c r="D12271">
        <f>VLOOKUP(D12264,'Detail Balok'!$C$10:$AU$110,4,FALSE)</f>
        <v>2</v>
      </c>
      <c r="E12271" t="str">
        <v>D</v>
      </c>
      <c r="F12271">
        <f>VLOOKUP(D12264,'Detail Balok'!$C$10:$AU$110,6,FALSE)</f>
        <v>13</v>
      </c>
      <c r="I12271" t="str">
        <v>(</v>
      </c>
      <c r="J12271">
        <f>+D12266/4/1000</f>
        <v>0.5425</v>
      </c>
      <c r="K12271" t="str">
        <v>+</v>
      </c>
      <c r="L12271">
        <f>MAX(VLOOKUP(F12271,N$6:P$15,3,FALSE)/1000,2/3*D12268/1000)+F$16*F12271/1000</f>
        <v>0.156</v>
      </c>
      <c r="M12271" t="str">
        <v>=</v>
      </c>
      <c r="N12271">
        <f>J12271+L12271</f>
        <v>0.6985</v>
      </c>
      <c r="O12271" t="str">
        <v>+</v>
      </c>
      <c r="P12271">
        <f>D12271-D12272</f>
        <v>0</v>
      </c>
      <c r="Q12271" t="str">
        <v>x</v>
      </c>
      <c r="R12271">
        <f>IF(P12271&gt;0,$F$18*F12271/1000,0)</f>
        <v>0</v>
      </c>
      <c r="S12271" t="str">
        <v>)</v>
      </c>
      <c r="T12271" t="str">
        <v>x</v>
      </c>
      <c r="U12271">
        <f>0.006165*F12271^2</f>
        <v>1.041885</v>
      </c>
      <c r="X12271" t="str">
        <v>x</v>
      </c>
      <c r="Y12271">
        <f>D12270</f>
        <v>1</v>
      </c>
      <c r="Z12271" t="str">
        <v>=</v>
      </c>
      <c r="AA12271">
        <f>IF(AA12274=0,(D12271*N12271+P12271*R12271)*U12271*Y12271,0)</f>
        <v>0</v>
      </c>
    </row>
    <row r="12272">
      <c r="A12272" t="str">
        <f>A12264</f>
        <v>Lantai Atap</v>
      </c>
      <c r="B12272">
        <f>B12264</f>
        <v>68</v>
      </c>
      <c r="C12272" t="str">
        <v>Tul Atas Lapangan</v>
      </c>
      <c r="D12272">
        <f>VLOOKUP(D12264,'Detail Balok'!$C$10:$AU$110,7,FALSE)</f>
        <v>2</v>
      </c>
      <c r="E12272" t="str">
        <v>D</v>
      </c>
      <c r="F12272">
        <f>VLOOKUP(D12264,'Detail Balok'!$C$10:$AU$110,9,FALSE)</f>
        <v>13</v>
      </c>
      <c r="I12272" t="str">
        <v>(</v>
      </c>
      <c r="J12272">
        <f>+D12266/2/1000</f>
        <v>1.085</v>
      </c>
      <c r="K12272" t="str">
        <v>+</v>
      </c>
      <c r="M12272" t="str">
        <v>=</v>
      </c>
      <c r="N12272">
        <f>J12272+L12272</f>
        <v>1.085</v>
      </c>
      <c r="O12272" t="str">
        <v>+</v>
      </c>
      <c r="P12272">
        <f>MAX(D12272-D12271,D12272-D12273)</f>
        <v>0</v>
      </c>
      <c r="Q12272" t="str">
        <v>x</v>
      </c>
      <c r="R12272">
        <f>IF(P12272&gt;0,2*(1-2*$F$19-1/2)*D12267/1000,0)</f>
        <v>0</v>
      </c>
      <c r="S12272" t="str">
        <v>)</v>
      </c>
      <c r="T12272" t="str">
        <v>x</v>
      </c>
      <c r="U12272">
        <f>0.006165*F12272^2</f>
        <v>1.041885</v>
      </c>
      <c r="X12272" t="str">
        <v>x</v>
      </c>
      <c r="Y12272">
        <f>D12270</f>
        <v>1</v>
      </c>
      <c r="Z12272" t="str">
        <v>=</v>
      </c>
      <c r="AA12272">
        <f>IF(AA12274=0,(D12272*N12272+P12272*R12272)*U12272*Y12272,0)</f>
        <v>0</v>
      </c>
    </row>
    <row r="12273">
      <c r="A12273" t="str">
        <f>A12264</f>
        <v>Lantai Atap</v>
      </c>
      <c r="B12273">
        <f>B12264</f>
        <v>68</v>
      </c>
      <c r="C12273" t="str">
        <v>Tul Atas Tumpuan</v>
      </c>
      <c r="D12273">
        <f>VLOOKUP(D12264,'Detail Balok'!$C$10:$AU$110,10,FALSE)</f>
        <v>2</v>
      </c>
      <c r="E12273" t="str">
        <v>D</v>
      </c>
      <c r="F12273">
        <f>VLOOKUP(D12264,'Detail Balok'!$C$10:$AU$110,12,FALSE)</f>
        <v>13</v>
      </c>
      <c r="I12273" t="str">
        <v>(</v>
      </c>
      <c r="J12273">
        <f>+D12266/4/1000</f>
        <v>0.5425</v>
      </c>
      <c r="K12273" t="str">
        <v>+</v>
      </c>
      <c r="L12273">
        <f>MAX(VLOOKUP(F12273,N$6:P$15,3,FALSE)/1000,2/3*D12268/1000)+F$16*F12273/1000</f>
        <v>0.156</v>
      </c>
      <c r="M12273" t="str">
        <v>=</v>
      </c>
      <c r="N12273">
        <f>J12273+L12273</f>
        <v>0.6985</v>
      </c>
      <c r="O12273" t="str">
        <v>+</v>
      </c>
      <c r="P12273">
        <f>D12273-D12272</f>
        <v>0</v>
      </c>
      <c r="Q12273" t="str">
        <v>x</v>
      </c>
      <c r="R12273">
        <f>IF(P12273&gt;0,$F$18*F12273/1000,0)</f>
        <v>0</v>
      </c>
      <c r="S12273" t="str">
        <v>)</v>
      </c>
      <c r="T12273" t="str">
        <v>x</v>
      </c>
      <c r="U12273">
        <f>0.006165*F12273^2</f>
        <v>1.041885</v>
      </c>
      <c r="X12273" t="str">
        <v>x</v>
      </c>
      <c r="Y12273">
        <f>D12270</f>
        <v>1</v>
      </c>
      <c r="Z12273" t="str">
        <v>=</v>
      </c>
      <c r="AA12273">
        <f>IF(AA12274=0,(D12273*N12273+P12273*R12273)*U12273*Y12273,0)</f>
        <v>0</v>
      </c>
    </row>
    <row r="12274">
      <c r="A12274" t="str">
        <f>A12264</f>
        <v>Lantai Atap</v>
      </c>
      <c r="B12274">
        <f>B12264</f>
        <v>68</v>
      </c>
      <c r="D12274">
        <f>IF(AND(D12271=D12272,D12272=D12273,D12271=D12273),D12271,0)</f>
        <v>2</v>
      </c>
      <c r="E12274" t="str">
        <v>D</v>
      </c>
      <c r="F12274">
        <f>IF(AND(F12271=F12272,F12271=F12273,F12272=F12273),F12271,0)</f>
        <v>13</v>
      </c>
      <c r="L12274" t="str">
        <v>Total panjang per balok</v>
      </c>
      <c r="M12274" t="str">
        <v>=</v>
      </c>
      <c r="N12274">
        <f>IF(AND(D12271=D12272,D12271=D12273,D12272=D12273,F12271=F12272,F12271=F12273,F12272=F12273),SUM(N12271:N12273),0)</f>
        <v>2.482</v>
      </c>
      <c r="O12274" t="str">
        <v>+</v>
      </c>
      <c r="P12274">
        <f>IF(N12274&gt;12,ROUNDDOWN(N12274/12,0),0)</f>
        <v>0</v>
      </c>
      <c r="Q12274" t="str">
        <v>x</v>
      </c>
      <c r="R12274">
        <f>IF(P12274&gt;0,MAX(VLOOKUP(F12274,$D$6:$G$15,3,FALSE),600),0)/1000</f>
        <v>0</v>
      </c>
      <c r="T12274" t="str">
        <v>x</v>
      </c>
      <c r="U12274">
        <f>U12273</f>
        <v>1.041885</v>
      </c>
      <c r="V12274" t="str">
        <v>x</v>
      </c>
      <c r="W12274">
        <f>D12274</f>
        <v>2</v>
      </c>
      <c r="X12274" t="str">
        <v>x</v>
      </c>
      <c r="Y12274">
        <f>Y12273</f>
        <v>1</v>
      </c>
      <c r="Z12274" t="str">
        <v>=</v>
      </c>
      <c r="AA12274">
        <f>(N12274+P12274*R12274/1000)*U12274*W12274*Y12274</f>
        <v>5.171917140000001</v>
      </c>
    </row>
    <row r="12276">
      <c r="A12276" t="str">
        <f>A12264</f>
        <v>Lantai Atap</v>
      </c>
      <c r="B12276">
        <f>B12264</f>
        <v>68</v>
      </c>
      <c r="C12276" t="str">
        <v>Tul Peminggang</v>
      </c>
      <c r="D12276">
        <f>VLOOKUP(D12264,'Detail Balok'!$C$10:$AU$110,13,FALSE)</f>
        <v>0</v>
      </c>
      <c r="E12276" t="str">
        <v>D</v>
      </c>
      <c r="F12276">
        <f>VLOOKUP(D12264,'Detail Balok'!$C$10:$AU$110,15,FALSE)</f>
        <v>6</v>
      </c>
      <c r="J12276">
        <f>+D12266/1000</f>
        <v>2.17</v>
      </c>
      <c r="K12276" t="str">
        <v>+</v>
      </c>
      <c r="L12276">
        <f>2*$F$16*F12276/1000</f>
        <v>0.144</v>
      </c>
      <c r="M12276" t="str">
        <v>=</v>
      </c>
      <c r="N12276">
        <f>J12276+L12276</f>
        <v>2.314</v>
      </c>
      <c r="O12276" t="str">
        <v>+</v>
      </c>
      <c r="P12276">
        <f>IF(N12276&gt;12,ROUNDDOWN(N12276/12,0),0)</f>
        <v>0</v>
      </c>
      <c r="Q12276" t="str">
        <v>x</v>
      </c>
      <c r="R12276">
        <f>IF(P12276&gt;0,MAX(VLOOKUP(F12276,$D$6:$G$15,3,FALSE),600),0)/1000</f>
        <v>0</v>
      </c>
      <c r="T12276" t="str">
        <v>x</v>
      </c>
      <c r="U12276">
        <f>0.006165*F12276^2</f>
        <v>0.22194000000000003</v>
      </c>
      <c r="V12276" t="str">
        <v>x</v>
      </c>
      <c r="W12276">
        <f>+D12276</f>
        <v>0</v>
      </c>
      <c r="X12276" t="str">
        <v>x</v>
      </c>
      <c r="Y12276">
        <f>D12270</f>
        <v>1</v>
      </c>
      <c r="Z12276" t="str">
        <v>=</v>
      </c>
      <c r="AA12276">
        <f>(N12276+P12276*R12276/1000)*U12276*W12276*Y12276</f>
        <v>0</v>
      </c>
    </row>
    <row r="12279">
      <c r="A12279" t="str">
        <f>A12264</f>
        <v>Lantai Atap</v>
      </c>
      <c r="B12279">
        <f>B12264</f>
        <v>68</v>
      </c>
      <c r="C12279" t="str">
        <v>Tul Bawah Tumpuan</v>
      </c>
      <c r="D12279">
        <f>VLOOKUP(D12264,'Detail Balok'!$C$10:$AU$110,22,FALSE)</f>
        <v>2</v>
      </c>
      <c r="E12279" t="str">
        <v>D</v>
      </c>
      <c r="F12279">
        <f>VLOOKUP(D12264,'Detail Balok'!$C$10:$AU$110,24,FALSE)</f>
        <v>13</v>
      </c>
      <c r="I12279" t="str">
        <v>(</v>
      </c>
      <c r="J12279">
        <f>+J12271</f>
        <v>0.5425</v>
      </c>
      <c r="K12279" t="str">
        <v>+</v>
      </c>
      <c r="L12279">
        <f>MAX(VLOOKUP(F12279,N$6:P$15,3,FALSE)/1000,2/3*D12269/1000)+F$16*F12279/1000</f>
        <v>0.156</v>
      </c>
      <c r="M12279" t="str">
        <v>=</v>
      </c>
      <c r="N12279">
        <f>J12279+L12279</f>
        <v>0.6985</v>
      </c>
      <c r="O12279" t="str">
        <v>+</v>
      </c>
      <c r="P12279">
        <f>D12279-D12280</f>
        <v>0</v>
      </c>
      <c r="Q12279" t="str">
        <v>x</v>
      </c>
      <c r="R12279">
        <f>IF(P12279&gt;0,$F$18*F12279/1000,0)</f>
        <v>0</v>
      </c>
      <c r="S12279" t="str">
        <v>)</v>
      </c>
      <c r="T12279" t="str">
        <v>x</v>
      </c>
      <c r="U12279">
        <f>0.006165*F12279^2</f>
        <v>1.041885</v>
      </c>
      <c r="X12279" t="str">
        <v>x</v>
      </c>
      <c r="Y12279">
        <f>D12270</f>
        <v>1</v>
      </c>
      <c r="Z12279" t="str">
        <v>=</v>
      </c>
      <c r="AA12279">
        <f>IF(AA12282=0,(D12279*N12279+P12279*R12279)*U12279*Y12279,0)</f>
        <v>0</v>
      </c>
    </row>
    <row r="12280">
      <c r="A12280" t="str">
        <f>A12264</f>
        <v>Lantai Atap</v>
      </c>
      <c r="B12280">
        <f>B12264</f>
        <v>68</v>
      </c>
      <c r="C12280" t="str">
        <v>Tul Bawah Lapangan</v>
      </c>
      <c r="D12280">
        <f>VLOOKUP(D12264,'Detail Balok'!$C$10:$AU$110,25,FALSE)</f>
        <v>2</v>
      </c>
      <c r="E12280" t="str">
        <v>D</v>
      </c>
      <c r="F12280">
        <f>VLOOKUP(D12264,'Detail Balok'!$C$10:$AU$110,27,FALSE)</f>
        <v>13</v>
      </c>
      <c r="I12280" t="str">
        <v>(</v>
      </c>
      <c r="J12280">
        <f>+J12272</f>
        <v>1.085</v>
      </c>
      <c r="K12280" t="str">
        <v>+</v>
      </c>
      <c r="M12280" t="str">
        <v>=</v>
      </c>
      <c r="N12280">
        <f>J12280+L12280</f>
        <v>1.085</v>
      </c>
      <c r="O12280" t="str">
        <v>+</v>
      </c>
      <c r="P12280">
        <f>MAX(D12280-D12279,D12280-D12281)</f>
        <v>0</v>
      </c>
      <c r="Q12280" t="str">
        <v>x</v>
      </c>
      <c r="R12280">
        <f>IF(P12280&gt;0,2*(1-2*$F$19-1/2)*D12267/1000,0)</f>
        <v>0</v>
      </c>
      <c r="S12280" t="str">
        <v>)</v>
      </c>
      <c r="T12280" t="str">
        <v>x</v>
      </c>
      <c r="U12280">
        <f>0.006165*F12280^2</f>
        <v>1.041885</v>
      </c>
      <c r="X12280" t="str">
        <v>x</v>
      </c>
      <c r="Y12280">
        <f>D12270</f>
        <v>1</v>
      </c>
      <c r="Z12280" t="str">
        <v>=</v>
      </c>
      <c r="AA12280">
        <f>IF(AA12282=0,(D12280*N12280+P12280*R12280)*U12280*Y12280,0)</f>
        <v>0</v>
      </c>
    </row>
    <row r="12281">
      <c r="A12281" t="str">
        <f>A12264</f>
        <v>Lantai Atap</v>
      </c>
      <c r="B12281">
        <f>B12264</f>
        <v>68</v>
      </c>
      <c r="C12281" t="str">
        <v>Tul Bawah Tumpuan</v>
      </c>
      <c r="D12281">
        <f>VLOOKUP(D12264,'Detail Balok'!$C$10:$AU$110,28,FALSE)</f>
        <v>2</v>
      </c>
      <c r="E12281" t="str">
        <v>D</v>
      </c>
      <c r="F12281">
        <f>VLOOKUP(D12264,'Detail Balok'!$C$10:$AU$110,30,FALSE)</f>
        <v>13</v>
      </c>
      <c r="I12281" t="str">
        <v>(</v>
      </c>
      <c r="J12281">
        <f>+J12273</f>
        <v>0.5425</v>
      </c>
      <c r="K12281" t="str">
        <v>+</v>
      </c>
      <c r="L12281">
        <f>MAX(VLOOKUP(F12281,N$6:P$15,3,FALSE)/1000,2/3*D12269/1000)+F$16*F12281/1000</f>
        <v>0.156</v>
      </c>
      <c r="M12281" t="str">
        <v>=</v>
      </c>
      <c r="N12281">
        <f>J12281+L12281</f>
        <v>0.6985</v>
      </c>
      <c r="O12281" t="str">
        <v>+</v>
      </c>
      <c r="P12281">
        <f>D12281-D12280</f>
        <v>0</v>
      </c>
      <c r="Q12281" t="str">
        <v>x</v>
      </c>
      <c r="R12281">
        <f>IF(P12281&gt;0,$F$18*F12281/1000,0)</f>
        <v>0</v>
      </c>
      <c r="S12281" t="str">
        <v>)</v>
      </c>
      <c r="T12281" t="str">
        <v>x</v>
      </c>
      <c r="U12281">
        <f>0.006165*F12281^2</f>
        <v>1.041885</v>
      </c>
      <c r="X12281" t="str">
        <v>x</v>
      </c>
      <c r="Y12281">
        <f>D12270</f>
        <v>1</v>
      </c>
      <c r="Z12281" t="str">
        <v>=</v>
      </c>
      <c r="AA12281">
        <f>IF(AA12282=0,(D12281*N12281+P12281*R12281)*U12281*Y12281,0)</f>
        <v>0</v>
      </c>
    </row>
    <row r="12282">
      <c r="A12282" t="str">
        <f>A12264</f>
        <v>Lantai Atap</v>
      </c>
      <c r="B12282">
        <f>B12264</f>
        <v>68</v>
      </c>
      <c r="D12282">
        <f>IF(AND(D12279=D12280,D12280=D12281,D12279=D12281),D12279,0)</f>
        <v>2</v>
      </c>
      <c r="E12282" t="str">
        <v>D</v>
      </c>
      <c r="F12282">
        <f>IF(AND(F12279=F12280,F12279=F12281,F12280=F12281),F12279,0)</f>
        <v>13</v>
      </c>
      <c r="L12282" t="str">
        <v>Total panjang per balok</v>
      </c>
      <c r="M12282" t="str">
        <v>=</v>
      </c>
      <c r="N12282">
        <f>IF(AND(D12279=D12280,D12279=D12281,D12280=D12281,F12279=F12280,F12279=F12281,F12280=F12281),SUM(N12279:N12281),0)</f>
        <v>2.482</v>
      </c>
      <c r="O12282" t="str">
        <v>+</v>
      </c>
      <c r="P12282">
        <f>IF(N12282&gt;12,ROUNDDOWN(N12282/12,0),0)</f>
        <v>0</v>
      </c>
      <c r="Q12282" t="str">
        <v>x</v>
      </c>
      <c r="R12282">
        <f>IF(P12282&gt;0,MAX(VLOOKUP(F12282,$D$6:$G$15,3,FALSE),600),0)/1000</f>
        <v>0</v>
      </c>
      <c r="T12282" t="str">
        <v>x</v>
      </c>
      <c r="U12282">
        <f>U12281</f>
        <v>1.041885</v>
      </c>
      <c r="V12282" t="str">
        <v>x</v>
      </c>
      <c r="W12282">
        <f>D12282</f>
        <v>2</v>
      </c>
      <c r="X12282" t="str">
        <v>x</v>
      </c>
      <c r="Y12282">
        <f>Y12281</f>
        <v>1</v>
      </c>
      <c r="Z12282" t="str">
        <v>=</v>
      </c>
      <c r="AA12282">
        <f>(N12282+P12282*R12282/1000)*U12282*W12282*Y12282</f>
        <v>5.171917140000001</v>
      </c>
    </row>
    <row r="12284">
      <c r="A12284" t="str">
        <f>A12264</f>
        <v>Lantai Atap</v>
      </c>
      <c r="B12284">
        <f>B12264</f>
        <v>68</v>
      </c>
      <c r="C12284" t="str">
        <v>Sengkang Tumpuan</v>
      </c>
      <c r="D12284">
        <f>VLOOKUP(D12264,'Detail Balok'!$C$10:$AU$110,31,FALSE)</f>
        <v>0</v>
      </c>
      <c r="E12284" t="str">
        <v>D</v>
      </c>
      <c r="F12284">
        <f>VLOOKUP(D12264,'Detail Balok'!$C$10:$AU$110,33,FALSE)</f>
        <v>8</v>
      </c>
      <c r="G12284" t="str">
        <v>-</v>
      </c>
      <c r="H12284">
        <f>VLOOKUP(D12264,'Detail Balok'!$C$10:$AU$110,35,FALSE)</f>
        <v>100</v>
      </c>
      <c r="J12284">
        <f>(IF(D12284=0,(2*(D12265+G12265))-(F$5*8),IF(D12284=3,(2*(D12265+G12265))-(F$5*8)+(G12265-2*F$5),IF(D12284=4,(2*(D12265+G12265))-(F$5*8)+2*(G12265-2*F$5)))))/1000</f>
        <v>0.88</v>
      </c>
      <c r="K12284" t="str">
        <v>+</v>
      </c>
      <c r="L12284">
        <f>IF(D12284=0,2*MAX(6*F12284,75),(D12284-1)*2*MAX(6*F12284,75))/1000</f>
        <v>0.15</v>
      </c>
      <c r="M12284" t="str">
        <v>=</v>
      </c>
      <c r="N12284">
        <f>J12284+L12284</f>
        <v>1.03</v>
      </c>
      <c r="T12284" t="str">
        <v>x</v>
      </c>
      <c r="U12284">
        <f>0.006165*F12284^2</f>
        <v>0.39456</v>
      </c>
      <c r="V12284" t="str">
        <v>x</v>
      </c>
      <c r="W12284">
        <f>IF(D12267&gt;4*G12265,ROUND(MAX(D12267/4,2*G12265)/H12284,0)+1,ROUND(D12267/H12284,0)+1)</f>
        <v>9</v>
      </c>
      <c r="X12284" t="str">
        <v>x</v>
      </c>
      <c r="Y12284">
        <f>D12270</f>
        <v>1</v>
      </c>
      <c r="Z12284" t="str">
        <v>=</v>
      </c>
      <c r="AA12284">
        <f>N12284*U12284*W12284*Y12284</f>
        <v>3.6575712000000005</v>
      </c>
    </row>
    <row r="12285">
      <c r="A12285" t="str">
        <f>A12264</f>
        <v>Lantai Atap</v>
      </c>
      <c r="B12285">
        <f>B12264</f>
        <v>68</v>
      </c>
      <c r="C12285" t="str">
        <v>Sengkang Lapangan</v>
      </c>
      <c r="D12285">
        <f>VLOOKUP(D12264,'Detail Balok'!$C$10:$AU$110,36,FALSE)</f>
        <v>0</v>
      </c>
      <c r="E12285" t="str">
        <v>D</v>
      </c>
      <c r="F12285">
        <f>VLOOKUP(D12264,'Detail Balok'!$C$10:$AU$110,38,FALSE)</f>
        <v>8</v>
      </c>
      <c r="G12285" t="str">
        <v>-</v>
      </c>
      <c r="H12285">
        <f>VLOOKUP(D12264,'Detail Balok'!$C$10:$AU$110,40,FALSE)</f>
        <v>200</v>
      </c>
      <c r="J12285">
        <f>(IF(D12285=0,(2*(D12265+G12265))-(F$5*8),IF(D12285=3,(2*(D12265+G12265))-(F$5*8)+(G12265-2*F$5),IF(D12285=4,(2*(D12265+G12265))-(F$5*8)+2*(G12265-2*F$5)))))/1000</f>
        <v>0.88</v>
      </c>
      <c r="K12285" t="str">
        <v>+</v>
      </c>
      <c r="L12285">
        <f>IF(D12285=0,2*MAX(6*F12285,75),(D12285-1)*2*MAX(6*F12285,75))/1000</f>
        <v>0.15</v>
      </c>
      <c r="M12285" t="str">
        <v>=</v>
      </c>
      <c r="N12285">
        <f>J12285+L12285</f>
        <v>1.03</v>
      </c>
      <c r="T12285" t="str">
        <v>x</v>
      </c>
      <c r="U12285">
        <f>0.006165*F12285^2</f>
        <v>0.39456</v>
      </c>
      <c r="V12285" t="str">
        <v>x</v>
      </c>
      <c r="W12285">
        <f>IF(D12267-MAX(D12267/4,2*G12265)*2&gt;0,ROUND((D12267-MAX(D12267/4,2*G12265)*2)/H12285,0),0)</f>
        <v>3</v>
      </c>
      <c r="X12285" t="str">
        <v>x</v>
      </c>
      <c r="Y12285">
        <f>D12270</f>
        <v>1</v>
      </c>
      <c r="Z12285" t="str">
        <v>=</v>
      </c>
      <c r="AA12285">
        <f>N12285*U12285*W12285*Y12285</f>
        <v>1.2191904000000002</v>
      </c>
    </row>
    <row r="12286">
      <c r="A12286" t="str">
        <f>A12264</f>
        <v>Lantai Atap</v>
      </c>
      <c r="B12286">
        <f>B12264</f>
        <v>68</v>
      </c>
      <c r="C12286" t="str">
        <v>Sengkang Tumpuan</v>
      </c>
      <c r="D12286">
        <f>VLOOKUP(D12264,'Detail Balok'!$C$10:$AU$110,41,FALSE)</f>
        <v>0</v>
      </c>
      <c r="E12286" t="str">
        <v>D</v>
      </c>
      <c r="F12286">
        <f>VLOOKUP(D12264,'Detail Balok'!$C$10:$AU$110,43,FALSE)</f>
        <v>8</v>
      </c>
      <c r="G12286" t="str">
        <v>-</v>
      </c>
      <c r="H12286">
        <f>VLOOKUP(D12264,'Detail Balok'!$C$10:$AU$110,45,FALSE)</f>
        <v>100</v>
      </c>
      <c r="J12286">
        <f>(IF(D12286=0,(2*(D12265+G12265))-(F$5*8),IF(D12286=3,(2*(D12265+G12265))-(F$5*8)+(G12265-2*F$5),IF(D12286=4,(2*(D12265+G12265))-(F$5*8)+2*(G12265-2*F$5)))))/1000</f>
        <v>0.88</v>
      </c>
      <c r="K12286" t="str">
        <v>+</v>
      </c>
      <c r="L12286">
        <f>IF(D12286=0,2*MAX(6*F12286,75),(D12286-1)*2*MAX(6*F12286,75))/1000</f>
        <v>0.15</v>
      </c>
      <c r="M12286" t="str">
        <v>=</v>
      </c>
      <c r="N12286">
        <f>J12286+L12286</f>
        <v>1.03</v>
      </c>
      <c r="T12286" t="str">
        <v>x</v>
      </c>
      <c r="U12286">
        <f>0.006165*F12286^2</f>
        <v>0.39456</v>
      </c>
      <c r="V12286" t="str">
        <v>x</v>
      </c>
      <c r="W12286">
        <f>IF(D12267&gt;4*G12265,ROUND(MAX(D12267/4,2*G12265)/H12286,0)+1,0)</f>
        <v>9</v>
      </c>
      <c r="X12286" t="str">
        <v>x</v>
      </c>
      <c r="Y12286">
        <f>D12270</f>
        <v>1</v>
      </c>
      <c r="Z12286" t="str">
        <v>=</v>
      </c>
      <c r="AA12286">
        <f>N12286*U12286*W12286*Y12286</f>
        <v>3.6575712000000005</v>
      </c>
    </row>
    <row r="12288">
      <c r="A12288" t="str">
        <f>A12264</f>
        <v>Lantai Atap</v>
      </c>
      <c r="B12288">
        <f>B12264</f>
        <v>68</v>
      </c>
      <c r="C12288" t="str">
        <v>Kait Horizontal Tump.</v>
      </c>
      <c r="D12288">
        <f>VLOOKUP(D12264,'Detail Balok'!$C$10:$BJ$110,46,FALSE)</f>
        <v>0</v>
      </c>
      <c r="E12288" t="str">
        <v>D</v>
      </c>
      <c r="F12288">
        <f>VLOOKUP(D12264,'Detail Balok'!$C$10:$BJ$110,48,FALSE)</f>
        <v>0</v>
      </c>
      <c r="G12288" t="str">
        <v>-</v>
      </c>
      <c r="H12288">
        <f>VLOOKUP(D12264,'Detail Balok'!$C$10:$BJ$110,50,FALSE)</f>
        <v>100</v>
      </c>
      <c r="J12288">
        <f>(D12265-2*F$5)/1000</f>
        <v>0.12</v>
      </c>
      <c r="K12288" t="str">
        <v>+</v>
      </c>
      <c r="L12288">
        <f>IF(D12288=0,2*MAX(6*F12288,75),(D12288-1)*2*MAX(6*F12288,75))/1000</f>
        <v>0.15</v>
      </c>
      <c r="M12288" t="str">
        <v>=</v>
      </c>
      <c r="N12288">
        <f>J12288+L12288</f>
        <v>0.27</v>
      </c>
      <c r="T12288" t="str">
        <v>x</v>
      </c>
      <c r="U12288">
        <f>0.006165*F12288^2</f>
        <v>0</v>
      </c>
      <c r="V12288" t="str">
        <v>x</v>
      </c>
      <c r="W12288">
        <f>W12284</f>
        <v>9</v>
      </c>
      <c r="X12288" t="str">
        <v>x</v>
      </c>
      <c r="Y12288">
        <f>D12274</f>
        <v>2</v>
      </c>
      <c r="Z12288" t="str">
        <v>=</v>
      </c>
      <c r="AA12288">
        <f>N12288*U12288*W12288*Y12288</f>
        <v>0</v>
      </c>
    </row>
    <row r="12289">
      <c r="A12289" t="str">
        <f>A12264</f>
        <v>Lantai Atap</v>
      </c>
      <c r="B12289">
        <f>B12264</f>
        <v>68</v>
      </c>
      <c r="C12289" t="str">
        <v>Kait Horizontal Lap.</v>
      </c>
      <c r="D12289">
        <f>VLOOKUP(D12264,'Detail Balok'!$C$10:$BJ$110,51,FALSE)</f>
        <v>0</v>
      </c>
      <c r="E12289" t="str">
        <v>D</v>
      </c>
      <c r="F12289">
        <f>VLOOKUP(D12264,'Detail Balok'!$C$10:$BJ$110,53,FALSE)</f>
        <v>0</v>
      </c>
      <c r="G12289" t="str">
        <v>-</v>
      </c>
      <c r="H12289">
        <f>VLOOKUP(D12264,'Detail Balok'!$C$10:$BJ$110,55,FALSE)</f>
        <v>100</v>
      </c>
      <c r="J12289">
        <f>(D12265-2*F$5)/1000</f>
        <v>0.12</v>
      </c>
      <c r="K12289" t="str">
        <v>+</v>
      </c>
      <c r="L12289">
        <f>IF(D12289=0,2*MAX(6*F12289,75),(D12289-1)*2*MAX(6*F12289,75))/1000</f>
        <v>0.15</v>
      </c>
      <c r="M12289" t="str">
        <v>=</v>
      </c>
      <c r="N12289">
        <f>J12289+L12289</f>
        <v>0.27</v>
      </c>
      <c r="T12289" t="str">
        <v>x</v>
      </c>
      <c r="U12289">
        <f>0.006165*F12289^2</f>
        <v>0</v>
      </c>
      <c r="V12289" t="str">
        <v>x</v>
      </c>
      <c r="W12289">
        <f>W12285</f>
        <v>3</v>
      </c>
      <c r="X12289" t="str">
        <v>x</v>
      </c>
      <c r="Y12289">
        <f>D12274</f>
        <v>2</v>
      </c>
      <c r="Z12289" t="str">
        <v>=</v>
      </c>
      <c r="AA12289">
        <f>N12289*U12289*W12289*Y12289</f>
        <v>0</v>
      </c>
    </row>
    <row r="12290">
      <c r="A12290" t="str">
        <f>A12264</f>
        <v>Lantai Atap</v>
      </c>
      <c r="B12290">
        <f>B12264</f>
        <v>68</v>
      </c>
      <c r="C12290" t="str">
        <v>Kait Horizontal Tump.</v>
      </c>
      <c r="D12290">
        <f>VLOOKUP(D12264,'Detail Balok'!$C$10:$BJ$110,56,FALSE)</f>
        <v>0</v>
      </c>
      <c r="E12290" t="str">
        <v>D</v>
      </c>
      <c r="F12290">
        <f>VLOOKUP(D12264,'Detail Balok'!$C$10:$BJ$110,58,FALSE)</f>
        <v>0</v>
      </c>
      <c r="G12290" t="str">
        <v>-</v>
      </c>
      <c r="H12290">
        <f>VLOOKUP(D12264,'Detail Balok'!$C$10:$BJ$110,60,FALSE)</f>
        <v>100</v>
      </c>
      <c r="J12290">
        <f>(D12265-2*F$5)/1000</f>
        <v>0.12</v>
      </c>
      <c r="K12290" t="str">
        <v>+</v>
      </c>
      <c r="L12290">
        <f>IF(D12290=0,2*MAX(6*F12290,75),(D12290-1)*2*MAX(6*F12290,75))/1000</f>
        <v>0.15</v>
      </c>
      <c r="M12290" t="str">
        <v>=</v>
      </c>
      <c r="N12290">
        <f>J12290+L12290</f>
        <v>0.27</v>
      </c>
      <c r="T12290" t="str">
        <v>x</v>
      </c>
      <c r="U12290">
        <f>0.006165*F12290^2</f>
        <v>0</v>
      </c>
      <c r="V12290" t="str">
        <v>x</v>
      </c>
      <c r="W12290">
        <f>W12286</f>
        <v>9</v>
      </c>
      <c r="X12290" t="str">
        <v>x</v>
      </c>
      <c r="Y12290">
        <f>D12274</f>
        <v>2</v>
      </c>
      <c r="Z12290" t="str">
        <v>=</v>
      </c>
      <c r="AA12290">
        <f>N12290*U12290*W12290*Y12290</f>
        <v>0</v>
      </c>
    </row>
    <row r="12302">
      <c r="E12302" t="str">
        <v>REKAPITULASI</v>
      </c>
    </row>
    <row r="12303">
      <c r="E12303" t="str">
        <v>Ø</v>
      </c>
      <c r="F12303">
        <v>6</v>
      </c>
      <c r="G12303" t="str">
        <v>=</v>
      </c>
      <c r="H12303">
        <f>SUMIF(F$23:F$12300,F12303,AA$23:AA$12300)</f>
        <v>0</v>
      </c>
      <c r="K12303" t="str">
        <v>kg</v>
      </c>
    </row>
    <row r="12304">
      <c r="E12304" t="str">
        <v>Ø</v>
      </c>
      <c r="F12304">
        <v>8</v>
      </c>
      <c r="G12304" t="str">
        <v>=</v>
      </c>
      <c r="H12304">
        <f>SUMIF(F$23:F$12300,F12304,AA$23:AA$12300)</f>
        <v>3157.1898923520007</v>
      </c>
      <c r="K12304" t="str">
        <v>kg</v>
      </c>
    </row>
    <row r="12305">
      <c r="E12305" t="str">
        <v>Ø</v>
      </c>
      <c r="F12305">
        <v>10</v>
      </c>
      <c r="G12305" t="str">
        <v>=</v>
      </c>
      <c r="H12305">
        <f>SUMIF(F$23:F$12300,F12305,AA$23:AA$12300)</f>
        <v>7348.901940000002</v>
      </c>
      <c r="K12305" t="str">
        <v>kg</v>
      </c>
    </row>
    <row r="12306">
      <c r="E12306" t="str">
        <v>Ø</v>
      </c>
      <c r="F12306">
        <v>12</v>
      </c>
      <c r="G12306" t="str">
        <v>=</v>
      </c>
      <c r="H12306">
        <f>SUMIF(F$23:F$12300,F12306,AA$23:AA$12300)</f>
        <v>0</v>
      </c>
      <c r="K12306" t="str">
        <v>kg</v>
      </c>
    </row>
    <row r="12307">
      <c r="E12307" t="str">
        <v>D</v>
      </c>
      <c r="F12307">
        <v>13</v>
      </c>
      <c r="G12307" t="str">
        <v>=</v>
      </c>
      <c r="H12307">
        <f>SUMIF(F$23:F$12300,F12307,AA$23:AA$12300)</f>
        <v>7018.912105685984</v>
      </c>
      <c r="K12307" t="str">
        <v>kg</v>
      </c>
    </row>
    <row r="12308">
      <c r="E12308" t="str">
        <v>D</v>
      </c>
      <c r="F12308">
        <v>16</v>
      </c>
      <c r="G12308" t="str">
        <v>=</v>
      </c>
      <c r="H12308">
        <f>SUMIF(F$23:F$12300,F12308,AA$23:AA$12300)</f>
        <v>8619.975204480003</v>
      </c>
      <c r="K12308" t="str">
        <v>kg</v>
      </c>
    </row>
    <row r="12309">
      <c r="E12309" t="str">
        <v>D</v>
      </c>
      <c r="F12309">
        <v>19</v>
      </c>
      <c r="G12309" t="str">
        <v>=</v>
      </c>
      <c r="H12309">
        <f>SUMIF(F$23:F$12300,F12309,AA$23:AA$12300)</f>
        <v>3210.9327909675</v>
      </c>
      <c r="K12309" t="str">
        <v>kg</v>
      </c>
    </row>
    <row r="12310">
      <c r="E12310" t="str">
        <v>D</v>
      </c>
      <c r="F12310">
        <v>22</v>
      </c>
      <c r="G12310" t="str">
        <v>=</v>
      </c>
      <c r="H12310">
        <f>SUMIF(F$23:F$12300,F12310,AA$23:AA$12300)</f>
        <v>6781.508137800006</v>
      </c>
      <c r="K12310" t="str">
        <v>kg</v>
      </c>
    </row>
    <row r="12311">
      <c r="E12311" t="str">
        <v>D</v>
      </c>
      <c r="F12311">
        <v>25</v>
      </c>
      <c r="G12311" t="str">
        <v>=</v>
      </c>
      <c r="H12311">
        <f>SUMIF(F$23:F$12300,F12311,AA$23:AA$12300)</f>
        <v>0</v>
      </c>
      <c r="K12311" t="str">
        <v>kg</v>
      </c>
    </row>
    <row r="12312">
      <c r="E12312" t="str">
        <v>D</v>
      </c>
      <c r="F12312">
        <v>29</v>
      </c>
      <c r="G12312" t="str">
        <v>=</v>
      </c>
      <c r="H12312">
        <f>SUMIF(F$23:F$12300,F12312,AA$23:AA$12300)</f>
        <v>0</v>
      </c>
      <c r="K12312" t="str">
        <v>kg</v>
      </c>
    </row>
    <row r="12314">
      <c r="E12314" t="str">
        <v>Total besi</v>
      </c>
      <c r="G12314" t="str">
        <v>=</v>
      </c>
      <c r="H12314">
        <f>SUM(H12303:J12313)</f>
        <v>36137.420071285494</v>
      </c>
      <c r="K12314" t="str">
        <v>kg</v>
      </c>
    </row>
  </sheetData>
  <autoFilter ref="A23:AB150"/>
  <mergeCells count="3304">
    <mergeCell ref="D1226:H1226"/>
    <mergeCell ref="D1227:H1227"/>
    <mergeCell ref="D1195:E1195"/>
    <mergeCell ref="G1195:H1195"/>
    <mergeCell ref="D1196:H1196"/>
    <mergeCell ref="D1197:H1197"/>
    <mergeCell ref="D1198:H1198"/>
    <mergeCell ref="D1199:H1199"/>
    <mergeCell ref="D12234:H12234"/>
    <mergeCell ref="D12235:E12235"/>
    <mergeCell ref="G12235:H12235"/>
    <mergeCell ref="D12236:H12236"/>
    <mergeCell ref="D12237:H12237"/>
    <mergeCell ref="D12238:H12238"/>
    <mergeCell ref="D12239:H12239"/>
    <mergeCell ref="D12240:H12240"/>
    <mergeCell ref="D12264:H12264"/>
    <mergeCell ref="D12265:E12265"/>
    <mergeCell ref="G12265:H12265"/>
    <mergeCell ref="D12266:H12266"/>
    <mergeCell ref="D12267:H12267"/>
    <mergeCell ref="D12268:H12268"/>
    <mergeCell ref="D12269:H12269"/>
    <mergeCell ref="D12270:H12270"/>
    <mergeCell ref="D12150:H12150"/>
    <mergeCell ref="D12174:H12174"/>
    <mergeCell ref="D12175:E12175"/>
    <mergeCell ref="G12175:H12175"/>
    <mergeCell ref="D12176:H12176"/>
    <mergeCell ref="D12177:H12177"/>
    <mergeCell ref="D12178:H12178"/>
    <mergeCell ref="D12179:H12179"/>
    <mergeCell ref="D12180:H12180"/>
    <mergeCell ref="D12204:H12204"/>
    <mergeCell ref="D12205:E12205"/>
    <mergeCell ref="G12205:H12205"/>
    <mergeCell ref="D12206:H12206"/>
    <mergeCell ref="D12207:H12207"/>
    <mergeCell ref="D12208:H12208"/>
    <mergeCell ref="D12209:H12209"/>
    <mergeCell ref="D12210:H12210"/>
    <mergeCell ref="D12089:H12089"/>
    <mergeCell ref="D12090:H12090"/>
    <mergeCell ref="D12114:H12114"/>
    <mergeCell ref="D12115:E12115"/>
    <mergeCell ref="G12115:H12115"/>
    <mergeCell ref="D12116:H12116"/>
    <mergeCell ref="D12117:H12117"/>
    <mergeCell ref="D12118:H12118"/>
    <mergeCell ref="D12119:H12119"/>
    <mergeCell ref="D12120:H12120"/>
    <mergeCell ref="D12144:H12144"/>
    <mergeCell ref="D12145:E12145"/>
    <mergeCell ref="G12145:H12145"/>
    <mergeCell ref="D12146:H12146"/>
    <mergeCell ref="D12147:H12147"/>
    <mergeCell ref="D12148:H12148"/>
    <mergeCell ref="D12149:H12149"/>
    <mergeCell ref="D12028:H12028"/>
    <mergeCell ref="D12029:H12029"/>
    <mergeCell ref="D12030:H12030"/>
    <mergeCell ref="D12054:H12054"/>
    <mergeCell ref="D12055:E12055"/>
    <mergeCell ref="G12055:H12055"/>
    <mergeCell ref="D12056:H12056"/>
    <mergeCell ref="D12057:H12057"/>
    <mergeCell ref="D12058:H12058"/>
    <mergeCell ref="D12059:H12059"/>
    <mergeCell ref="D12060:H12060"/>
    <mergeCell ref="D12084:H12084"/>
    <mergeCell ref="D12085:E12085"/>
    <mergeCell ref="G12085:H12085"/>
    <mergeCell ref="D12086:H12086"/>
    <mergeCell ref="D12087:H12087"/>
    <mergeCell ref="D12088:H12088"/>
    <mergeCell ref="D11967:H11967"/>
    <mergeCell ref="D11968:H11968"/>
    <mergeCell ref="D11969:H11969"/>
    <mergeCell ref="D11970:H11970"/>
    <mergeCell ref="D11994:H11994"/>
    <mergeCell ref="D11995:E11995"/>
    <mergeCell ref="G11995:H11995"/>
    <mergeCell ref="D11996:H11996"/>
    <mergeCell ref="D11997:H11997"/>
    <mergeCell ref="D11998:H11998"/>
    <mergeCell ref="D11999:H11999"/>
    <mergeCell ref="D12000:H12000"/>
    <mergeCell ref="D12024:H12024"/>
    <mergeCell ref="D12025:E12025"/>
    <mergeCell ref="G12025:H12025"/>
    <mergeCell ref="D12026:H12026"/>
    <mergeCell ref="D12027:H12027"/>
    <mergeCell ref="D11906:H11906"/>
    <mergeCell ref="D11907:H11907"/>
    <mergeCell ref="D11908:H11908"/>
    <mergeCell ref="D11909:H11909"/>
    <mergeCell ref="D11910:H11910"/>
    <mergeCell ref="D11934:H11934"/>
    <mergeCell ref="D11935:E11935"/>
    <mergeCell ref="G11935:H11935"/>
    <mergeCell ref="D11936:H11936"/>
    <mergeCell ref="D11937:H11937"/>
    <mergeCell ref="D11938:H11938"/>
    <mergeCell ref="D11939:H11939"/>
    <mergeCell ref="D11940:H11940"/>
    <mergeCell ref="D11964:H11964"/>
    <mergeCell ref="D11965:E11965"/>
    <mergeCell ref="G11965:H11965"/>
    <mergeCell ref="D11966:H11966"/>
    <mergeCell ref="D11845:E11845"/>
    <mergeCell ref="G11845:H11845"/>
    <mergeCell ref="D11846:H11846"/>
    <mergeCell ref="D11847:H11847"/>
    <mergeCell ref="D11848:H11848"/>
    <mergeCell ref="D11849:H11849"/>
    <mergeCell ref="D11850:H11850"/>
    <mergeCell ref="D11874:H11874"/>
    <mergeCell ref="D11875:E11875"/>
    <mergeCell ref="G11875:H11875"/>
    <mergeCell ref="D11876:H11876"/>
    <mergeCell ref="D11877:H11877"/>
    <mergeCell ref="D11878:H11878"/>
    <mergeCell ref="D11879:H11879"/>
    <mergeCell ref="D11880:H11880"/>
    <mergeCell ref="D11904:H11904"/>
    <mergeCell ref="D11905:E11905"/>
    <mergeCell ref="G11905:H11905"/>
    <mergeCell ref="D11784:H11784"/>
    <mergeCell ref="D11785:E11785"/>
    <mergeCell ref="G11785:H11785"/>
    <mergeCell ref="D11786:H11786"/>
    <mergeCell ref="D11787:H11787"/>
    <mergeCell ref="D11788:H11788"/>
    <mergeCell ref="D11789:H11789"/>
    <mergeCell ref="D11790:H11790"/>
    <mergeCell ref="D11814:H11814"/>
    <mergeCell ref="D11815:E11815"/>
    <mergeCell ref="G11815:H11815"/>
    <mergeCell ref="D11816:H11816"/>
    <mergeCell ref="D11817:H11817"/>
    <mergeCell ref="D11818:H11818"/>
    <mergeCell ref="D11819:H11819"/>
    <mergeCell ref="D11820:H11820"/>
    <mergeCell ref="D11844:H11844"/>
    <mergeCell ref="D11700:H11700"/>
    <mergeCell ref="D11724:H11724"/>
    <mergeCell ref="D11725:E11725"/>
    <mergeCell ref="G11725:H11725"/>
    <mergeCell ref="D11726:H11726"/>
    <mergeCell ref="D11727:H11727"/>
    <mergeCell ref="D11728:H11728"/>
    <mergeCell ref="D11729:H11729"/>
    <mergeCell ref="D11730:H11730"/>
    <mergeCell ref="D11754:H11754"/>
    <mergeCell ref="D11755:E11755"/>
    <mergeCell ref="G11755:H11755"/>
    <mergeCell ref="D11756:H11756"/>
    <mergeCell ref="D11757:H11757"/>
    <mergeCell ref="D11758:H11758"/>
    <mergeCell ref="D11759:H11759"/>
    <mergeCell ref="D11760:H11760"/>
    <mergeCell ref="D11639:H11639"/>
    <mergeCell ref="D11640:H11640"/>
    <mergeCell ref="D11664:H11664"/>
    <mergeCell ref="D11665:E11665"/>
    <mergeCell ref="G11665:H11665"/>
    <mergeCell ref="D11666:H11666"/>
    <mergeCell ref="D11667:H11667"/>
    <mergeCell ref="D11668:H11668"/>
    <mergeCell ref="D11669:H11669"/>
    <mergeCell ref="D11670:H11670"/>
    <mergeCell ref="D11694:H11694"/>
    <mergeCell ref="D11695:E11695"/>
    <mergeCell ref="G11695:H11695"/>
    <mergeCell ref="D11696:H11696"/>
    <mergeCell ref="D11697:H11697"/>
    <mergeCell ref="D11698:H11698"/>
    <mergeCell ref="D11699:H11699"/>
    <mergeCell ref="D11636:H11636"/>
    <mergeCell ref="D11637:H11637"/>
    <mergeCell ref="D11638:H11638"/>
    <mergeCell ref="D11575:E11575"/>
    <mergeCell ref="G11575:H11575"/>
    <mergeCell ref="D11576:H11576"/>
    <mergeCell ref="D11577:H11577"/>
    <mergeCell ref="D11578:H11578"/>
    <mergeCell ref="D11579:H11579"/>
    <mergeCell ref="D11580:H11580"/>
    <mergeCell ref="D11604:H11604"/>
    <mergeCell ref="D11605:E11605"/>
    <mergeCell ref="G11605:H11605"/>
    <mergeCell ref="D11606:H11606"/>
    <mergeCell ref="D11607:H11607"/>
    <mergeCell ref="D11608:H11608"/>
    <mergeCell ref="D11609:H11609"/>
    <mergeCell ref="D11610:H11610"/>
    <mergeCell ref="D11485:E11485"/>
    <mergeCell ref="G11485:H11485"/>
    <mergeCell ref="D11486:H11486"/>
    <mergeCell ref="D11487:H11487"/>
    <mergeCell ref="D11488:H11488"/>
    <mergeCell ref="D11489:H11489"/>
    <mergeCell ref="D11490:H11490"/>
    <mergeCell ref="D11634:H11634"/>
    <mergeCell ref="D11635:E11635"/>
    <mergeCell ref="G11635:H11635"/>
    <mergeCell ref="D11514:H11514"/>
    <mergeCell ref="D11515:E11515"/>
    <mergeCell ref="G11515:H11515"/>
    <mergeCell ref="D11516:H11516"/>
    <mergeCell ref="D11517:H11517"/>
    <mergeCell ref="D11518:H11518"/>
    <mergeCell ref="D11519:H11519"/>
    <mergeCell ref="D11520:H11520"/>
    <mergeCell ref="D11574:H11574"/>
    <mergeCell ref="D11544:H11544"/>
    <mergeCell ref="D11545:E11545"/>
    <mergeCell ref="G11545:H11545"/>
    <mergeCell ref="D11546:H11546"/>
    <mergeCell ref="D11547:H11547"/>
    <mergeCell ref="D11548:H11548"/>
    <mergeCell ref="D11549:H11549"/>
    <mergeCell ref="D11550:H11550"/>
    <mergeCell ref="D11424:H11424"/>
    <mergeCell ref="D11425:E11425"/>
    <mergeCell ref="G11425:H11425"/>
    <mergeCell ref="D11426:H11426"/>
    <mergeCell ref="D11427:H11427"/>
    <mergeCell ref="D11428:H11428"/>
    <mergeCell ref="D11429:H11429"/>
    <mergeCell ref="D11430:H11430"/>
    <mergeCell ref="D11454:H11454"/>
    <mergeCell ref="D11455:E11455"/>
    <mergeCell ref="G11455:H11455"/>
    <mergeCell ref="D11456:H11456"/>
    <mergeCell ref="D11457:H11457"/>
    <mergeCell ref="D11458:H11458"/>
    <mergeCell ref="D11459:H11459"/>
    <mergeCell ref="D11460:H11460"/>
    <mergeCell ref="D11484:H11484"/>
    <mergeCell ref="D11340:H11340"/>
    <mergeCell ref="D11364:H11364"/>
    <mergeCell ref="D11365:E11365"/>
    <mergeCell ref="G11365:H11365"/>
    <mergeCell ref="D11366:H11366"/>
    <mergeCell ref="D11367:H11367"/>
    <mergeCell ref="D11368:H11368"/>
    <mergeCell ref="D11369:H11369"/>
    <mergeCell ref="D11370:H11370"/>
    <mergeCell ref="D11394:H11394"/>
    <mergeCell ref="D11395:E11395"/>
    <mergeCell ref="G11395:H11395"/>
    <mergeCell ref="D11396:H11396"/>
    <mergeCell ref="D11397:H11397"/>
    <mergeCell ref="D11398:H11398"/>
    <mergeCell ref="D11399:H11399"/>
    <mergeCell ref="D11400:H11400"/>
    <mergeCell ref="D11279:H11279"/>
    <mergeCell ref="D11280:H11280"/>
    <mergeCell ref="D11304:H11304"/>
    <mergeCell ref="D11305:E11305"/>
    <mergeCell ref="G11305:H11305"/>
    <mergeCell ref="D11306:H11306"/>
    <mergeCell ref="D11307:H11307"/>
    <mergeCell ref="D11308:H11308"/>
    <mergeCell ref="D11309:H11309"/>
    <mergeCell ref="D11310:H11310"/>
    <mergeCell ref="D11334:H11334"/>
    <mergeCell ref="D11335:E11335"/>
    <mergeCell ref="G11335:H11335"/>
    <mergeCell ref="D11336:H11336"/>
    <mergeCell ref="D11337:H11337"/>
    <mergeCell ref="D11338:H11338"/>
    <mergeCell ref="D11339:H11339"/>
    <mergeCell ref="D11218:H11218"/>
    <mergeCell ref="D11219:H11219"/>
    <mergeCell ref="D11220:H11220"/>
    <mergeCell ref="D11244:H11244"/>
    <mergeCell ref="D11245:E11245"/>
    <mergeCell ref="G11245:H11245"/>
    <mergeCell ref="D11246:H11246"/>
    <mergeCell ref="D11247:H11247"/>
    <mergeCell ref="D11248:H11248"/>
    <mergeCell ref="D11249:H11249"/>
    <mergeCell ref="D11250:H11250"/>
    <mergeCell ref="D11274:H11274"/>
    <mergeCell ref="D11275:E11275"/>
    <mergeCell ref="G11275:H11275"/>
    <mergeCell ref="D11276:H11276"/>
    <mergeCell ref="D11277:H11277"/>
    <mergeCell ref="D11278:H11278"/>
    <mergeCell ref="D11157:H11157"/>
    <mergeCell ref="D11158:H11158"/>
    <mergeCell ref="D11159:H11159"/>
    <mergeCell ref="D11160:H11160"/>
    <mergeCell ref="D11184:H11184"/>
    <mergeCell ref="D11185:E11185"/>
    <mergeCell ref="G11185:H11185"/>
    <mergeCell ref="D11186:H11186"/>
    <mergeCell ref="D11187:H11187"/>
    <mergeCell ref="D11188:H11188"/>
    <mergeCell ref="D11189:H11189"/>
    <mergeCell ref="D11190:H11190"/>
    <mergeCell ref="D11214:H11214"/>
    <mergeCell ref="D11215:E11215"/>
    <mergeCell ref="G11215:H11215"/>
    <mergeCell ref="D11216:H11216"/>
    <mergeCell ref="D11217:H11217"/>
    <mergeCell ref="D11096:H11096"/>
    <mergeCell ref="D11097:H11097"/>
    <mergeCell ref="D11098:H11098"/>
    <mergeCell ref="D11099:H11099"/>
    <mergeCell ref="D11100:H11100"/>
    <mergeCell ref="D11124:H11124"/>
    <mergeCell ref="D11125:E11125"/>
    <mergeCell ref="G11125:H11125"/>
    <mergeCell ref="D11126:H11126"/>
    <mergeCell ref="D11127:H11127"/>
    <mergeCell ref="D11128:H11128"/>
    <mergeCell ref="D11129:H11129"/>
    <mergeCell ref="D11130:H11130"/>
    <mergeCell ref="D11154:H11154"/>
    <mergeCell ref="D11155:E11155"/>
    <mergeCell ref="G11155:H11155"/>
    <mergeCell ref="D11156:H11156"/>
    <mergeCell ref="D11035:E11035"/>
    <mergeCell ref="G11035:H11035"/>
    <mergeCell ref="D11036:H11036"/>
    <mergeCell ref="D11037:H11037"/>
    <mergeCell ref="D11038:H11038"/>
    <mergeCell ref="D11039:H11039"/>
    <mergeCell ref="D11040:H11040"/>
    <mergeCell ref="D11064:H11064"/>
    <mergeCell ref="D11065:E11065"/>
    <mergeCell ref="G11065:H11065"/>
    <mergeCell ref="D11066:H11066"/>
    <mergeCell ref="D11067:H11067"/>
    <mergeCell ref="D11068:H11068"/>
    <mergeCell ref="D11069:H11069"/>
    <mergeCell ref="D11070:H11070"/>
    <mergeCell ref="D11094:H11094"/>
    <mergeCell ref="D11095:E11095"/>
    <mergeCell ref="G11095:H11095"/>
    <mergeCell ref="D10974:H10974"/>
    <mergeCell ref="D10975:E10975"/>
    <mergeCell ref="G10975:H10975"/>
    <mergeCell ref="D10976:H10976"/>
    <mergeCell ref="D10977:H10977"/>
    <mergeCell ref="D10978:H10978"/>
    <mergeCell ref="D10979:H10979"/>
    <mergeCell ref="D10980:H10980"/>
    <mergeCell ref="D11004:H11004"/>
    <mergeCell ref="D11005:E11005"/>
    <mergeCell ref="G11005:H11005"/>
    <mergeCell ref="D11006:H11006"/>
    <mergeCell ref="D11007:H11007"/>
    <mergeCell ref="D11008:H11008"/>
    <mergeCell ref="D11009:H11009"/>
    <mergeCell ref="D11010:H11010"/>
    <mergeCell ref="D11034:H11034"/>
    <mergeCell ref="D10890:H10890"/>
    <mergeCell ref="D10914:H10914"/>
    <mergeCell ref="D10915:E10915"/>
    <mergeCell ref="G10915:H10915"/>
    <mergeCell ref="D10916:H10916"/>
    <mergeCell ref="D10917:H10917"/>
    <mergeCell ref="D10918:H10918"/>
    <mergeCell ref="D10919:H10919"/>
    <mergeCell ref="D10920:H10920"/>
    <mergeCell ref="D10944:H10944"/>
    <mergeCell ref="D10945:E10945"/>
    <mergeCell ref="G10945:H10945"/>
    <mergeCell ref="D10946:H10946"/>
    <mergeCell ref="D10947:H10947"/>
    <mergeCell ref="D10948:H10948"/>
    <mergeCell ref="D10949:H10949"/>
    <mergeCell ref="D10950:H10950"/>
    <mergeCell ref="D10829:H10829"/>
    <mergeCell ref="D10830:H10830"/>
    <mergeCell ref="D10854:H10854"/>
    <mergeCell ref="D10855:E10855"/>
    <mergeCell ref="G10855:H10855"/>
    <mergeCell ref="D10856:H10856"/>
    <mergeCell ref="D10857:H10857"/>
    <mergeCell ref="D10858:H10858"/>
    <mergeCell ref="D10859:H10859"/>
    <mergeCell ref="D10860:H10860"/>
    <mergeCell ref="D10884:H10884"/>
    <mergeCell ref="D10885:E10885"/>
    <mergeCell ref="G10885:H10885"/>
    <mergeCell ref="D10886:H10886"/>
    <mergeCell ref="D10887:H10887"/>
    <mergeCell ref="D10888:H10888"/>
    <mergeCell ref="D10889:H10889"/>
    <mergeCell ref="D10768:H10768"/>
    <mergeCell ref="D10769:H10769"/>
    <mergeCell ref="D10770:H10770"/>
    <mergeCell ref="D10794:H10794"/>
    <mergeCell ref="D10795:E10795"/>
    <mergeCell ref="G10795:H10795"/>
    <mergeCell ref="D10796:H10796"/>
    <mergeCell ref="D10797:H10797"/>
    <mergeCell ref="D10798:H10798"/>
    <mergeCell ref="D10799:H10799"/>
    <mergeCell ref="D10800:H10800"/>
    <mergeCell ref="D10824:H10824"/>
    <mergeCell ref="D10825:E10825"/>
    <mergeCell ref="G10825:H10825"/>
    <mergeCell ref="D10826:H10826"/>
    <mergeCell ref="D10827:H10827"/>
    <mergeCell ref="D10828:H10828"/>
    <mergeCell ref="D10707:H10707"/>
    <mergeCell ref="D10708:H10708"/>
    <mergeCell ref="D10709:H10709"/>
    <mergeCell ref="D10710:H10710"/>
    <mergeCell ref="D10734:H10734"/>
    <mergeCell ref="D10735:E10735"/>
    <mergeCell ref="G10735:H10735"/>
    <mergeCell ref="D10736:H10736"/>
    <mergeCell ref="D10737:H10737"/>
    <mergeCell ref="D10738:H10738"/>
    <mergeCell ref="D10739:H10739"/>
    <mergeCell ref="D10740:H10740"/>
    <mergeCell ref="D10764:H10764"/>
    <mergeCell ref="D10765:E10765"/>
    <mergeCell ref="G10765:H10765"/>
    <mergeCell ref="D10766:H10766"/>
    <mergeCell ref="D10767:H10767"/>
    <mergeCell ref="D10646:H10646"/>
    <mergeCell ref="D10647:H10647"/>
    <mergeCell ref="D10648:H10648"/>
    <mergeCell ref="D10649:H10649"/>
    <mergeCell ref="D10650:H10650"/>
    <mergeCell ref="D10674:H10674"/>
    <mergeCell ref="D10675:E10675"/>
    <mergeCell ref="G10675:H10675"/>
    <mergeCell ref="D10676:H10676"/>
    <mergeCell ref="D10677:H10677"/>
    <mergeCell ref="D10678:H10678"/>
    <mergeCell ref="D10679:H10679"/>
    <mergeCell ref="D10680:H10680"/>
    <mergeCell ref="D10704:H10704"/>
    <mergeCell ref="D10705:E10705"/>
    <mergeCell ref="G10705:H10705"/>
    <mergeCell ref="D10706:H10706"/>
    <mergeCell ref="D10585:E10585"/>
    <mergeCell ref="G10585:H10585"/>
    <mergeCell ref="D10586:H10586"/>
    <mergeCell ref="D10587:H10587"/>
    <mergeCell ref="D10588:H10588"/>
    <mergeCell ref="D10589:H10589"/>
    <mergeCell ref="D10590:H10590"/>
    <mergeCell ref="D10614:H10614"/>
    <mergeCell ref="D10615:E10615"/>
    <mergeCell ref="G10615:H10615"/>
    <mergeCell ref="D10616:H10616"/>
    <mergeCell ref="D10617:H10617"/>
    <mergeCell ref="D10618:H10618"/>
    <mergeCell ref="D10619:H10619"/>
    <mergeCell ref="D10620:H10620"/>
    <mergeCell ref="D10644:H10644"/>
    <mergeCell ref="D10645:E10645"/>
    <mergeCell ref="G10645:H10645"/>
    <mergeCell ref="D10524:H10524"/>
    <mergeCell ref="D10525:E10525"/>
    <mergeCell ref="G10525:H10525"/>
    <mergeCell ref="D10526:H10526"/>
    <mergeCell ref="D10527:H10527"/>
    <mergeCell ref="D10528:H10528"/>
    <mergeCell ref="D10529:H10529"/>
    <mergeCell ref="D10530:H10530"/>
    <mergeCell ref="D10554:H10554"/>
    <mergeCell ref="D10555:E10555"/>
    <mergeCell ref="G10555:H10555"/>
    <mergeCell ref="D10556:H10556"/>
    <mergeCell ref="D10557:H10557"/>
    <mergeCell ref="D10558:H10558"/>
    <mergeCell ref="D10559:H10559"/>
    <mergeCell ref="D10560:H10560"/>
    <mergeCell ref="D10584:H10584"/>
    <mergeCell ref="D10440:H10440"/>
    <mergeCell ref="D10464:H10464"/>
    <mergeCell ref="D10465:E10465"/>
    <mergeCell ref="G10465:H10465"/>
    <mergeCell ref="D10466:H10466"/>
    <mergeCell ref="D10467:H10467"/>
    <mergeCell ref="D10468:H10468"/>
    <mergeCell ref="D10469:H10469"/>
    <mergeCell ref="D10470:H10470"/>
    <mergeCell ref="D10494:H10494"/>
    <mergeCell ref="D10495:E10495"/>
    <mergeCell ref="G10495:H10495"/>
    <mergeCell ref="D10496:H10496"/>
    <mergeCell ref="D10497:H10497"/>
    <mergeCell ref="D10498:H10498"/>
    <mergeCell ref="D10499:H10499"/>
    <mergeCell ref="D10500:H10500"/>
    <mergeCell ref="D10379:H10379"/>
    <mergeCell ref="D10380:H10380"/>
    <mergeCell ref="D10404:H10404"/>
    <mergeCell ref="D10405:E10405"/>
    <mergeCell ref="G10405:H10405"/>
    <mergeCell ref="D10406:H10406"/>
    <mergeCell ref="D10407:H10407"/>
    <mergeCell ref="D10408:H10408"/>
    <mergeCell ref="D10409:H10409"/>
    <mergeCell ref="D10410:H10410"/>
    <mergeCell ref="D10434:H10434"/>
    <mergeCell ref="D10435:E10435"/>
    <mergeCell ref="G10435:H10435"/>
    <mergeCell ref="D10436:H10436"/>
    <mergeCell ref="D10437:H10437"/>
    <mergeCell ref="D10438:H10438"/>
    <mergeCell ref="D10439:H10439"/>
    <mergeCell ref="D10318:H10318"/>
    <mergeCell ref="D10319:H10319"/>
    <mergeCell ref="D10320:H10320"/>
    <mergeCell ref="D10344:H10344"/>
    <mergeCell ref="D10345:E10345"/>
    <mergeCell ref="G10345:H10345"/>
    <mergeCell ref="D10346:H10346"/>
    <mergeCell ref="D10347:H10347"/>
    <mergeCell ref="D10348:H10348"/>
    <mergeCell ref="D10349:H10349"/>
    <mergeCell ref="D10350:H10350"/>
    <mergeCell ref="D10374:H10374"/>
    <mergeCell ref="D10375:E10375"/>
    <mergeCell ref="G10375:H10375"/>
    <mergeCell ref="D10376:H10376"/>
    <mergeCell ref="D10377:H10377"/>
    <mergeCell ref="D10378:H10378"/>
    <mergeCell ref="D10257:H10257"/>
    <mergeCell ref="D10258:H10258"/>
    <mergeCell ref="D10259:H10259"/>
    <mergeCell ref="D10260:H10260"/>
    <mergeCell ref="D10284:H10284"/>
    <mergeCell ref="D10285:E10285"/>
    <mergeCell ref="G10285:H10285"/>
    <mergeCell ref="D10286:H10286"/>
    <mergeCell ref="D10287:H10287"/>
    <mergeCell ref="D10288:H10288"/>
    <mergeCell ref="D10289:H10289"/>
    <mergeCell ref="D10290:H10290"/>
    <mergeCell ref="D10314:H10314"/>
    <mergeCell ref="D10315:E10315"/>
    <mergeCell ref="G10315:H10315"/>
    <mergeCell ref="D10316:H10316"/>
    <mergeCell ref="D10317:H10317"/>
    <mergeCell ref="D10196:H10196"/>
    <mergeCell ref="D10197:H10197"/>
    <mergeCell ref="D10198:H10198"/>
    <mergeCell ref="D10199:H10199"/>
    <mergeCell ref="D10200:H10200"/>
    <mergeCell ref="D10224:H10224"/>
    <mergeCell ref="D10225:E10225"/>
    <mergeCell ref="G10225:H10225"/>
    <mergeCell ref="D10226:H10226"/>
    <mergeCell ref="D10227:H10227"/>
    <mergeCell ref="D10228:H10228"/>
    <mergeCell ref="D10229:H10229"/>
    <mergeCell ref="D10230:H10230"/>
    <mergeCell ref="D10254:H10254"/>
    <mergeCell ref="D10255:E10255"/>
    <mergeCell ref="G10255:H10255"/>
    <mergeCell ref="D10256:H10256"/>
    <mergeCell ref="D10135:E10135"/>
    <mergeCell ref="G10135:H10135"/>
    <mergeCell ref="D10136:H10136"/>
    <mergeCell ref="D10137:H10137"/>
    <mergeCell ref="D10138:H10138"/>
    <mergeCell ref="D10139:H10139"/>
    <mergeCell ref="D10140:H10140"/>
    <mergeCell ref="D10164:H10164"/>
    <mergeCell ref="D10165:E10165"/>
    <mergeCell ref="G10165:H10165"/>
    <mergeCell ref="D10166:H10166"/>
    <mergeCell ref="D10167:H10167"/>
    <mergeCell ref="D10168:H10168"/>
    <mergeCell ref="D10169:H10169"/>
    <mergeCell ref="D10170:H10170"/>
    <mergeCell ref="D10194:H10194"/>
    <mergeCell ref="D10195:E10195"/>
    <mergeCell ref="G10195:H10195"/>
    <mergeCell ref="D10074:H10074"/>
    <mergeCell ref="D10075:E10075"/>
    <mergeCell ref="G10075:H10075"/>
    <mergeCell ref="D10076:H10076"/>
    <mergeCell ref="D10077:H10077"/>
    <mergeCell ref="D10078:H10078"/>
    <mergeCell ref="D10079:H10079"/>
    <mergeCell ref="D10080:H10080"/>
    <mergeCell ref="D10104:H10104"/>
    <mergeCell ref="D10105:E10105"/>
    <mergeCell ref="G10105:H10105"/>
    <mergeCell ref="D10106:H10106"/>
    <mergeCell ref="D10107:H10107"/>
    <mergeCell ref="D10108:H10108"/>
    <mergeCell ref="D10109:H10109"/>
    <mergeCell ref="D10110:H10110"/>
    <mergeCell ref="D10134:H10134"/>
    <mergeCell ref="D9990:H9990"/>
    <mergeCell ref="D10014:H10014"/>
    <mergeCell ref="D10015:E10015"/>
    <mergeCell ref="G10015:H10015"/>
    <mergeCell ref="D10016:H10016"/>
    <mergeCell ref="D10017:H10017"/>
    <mergeCell ref="D10018:H10018"/>
    <mergeCell ref="D10019:H10019"/>
    <mergeCell ref="D10020:H10020"/>
    <mergeCell ref="D10044:H10044"/>
    <mergeCell ref="D10045:E10045"/>
    <mergeCell ref="G10045:H10045"/>
    <mergeCell ref="D10046:H10046"/>
    <mergeCell ref="D10047:H10047"/>
    <mergeCell ref="D10048:H10048"/>
    <mergeCell ref="D10049:H10049"/>
    <mergeCell ref="D10050:H10050"/>
    <mergeCell ref="D9929:H9929"/>
    <mergeCell ref="D9930:H9930"/>
    <mergeCell ref="D9954:H9954"/>
    <mergeCell ref="D9955:E9955"/>
    <mergeCell ref="G9955:H9955"/>
    <mergeCell ref="D9956:H9956"/>
    <mergeCell ref="D9957:H9957"/>
    <mergeCell ref="D9958:H9958"/>
    <mergeCell ref="D9959:H9959"/>
    <mergeCell ref="D9960:H9960"/>
    <mergeCell ref="D9984:H9984"/>
    <mergeCell ref="D9985:E9985"/>
    <mergeCell ref="G9985:H9985"/>
    <mergeCell ref="D9986:H9986"/>
    <mergeCell ref="D9987:H9987"/>
    <mergeCell ref="D9988:H9988"/>
    <mergeCell ref="D9989:H9989"/>
    <mergeCell ref="D9868:H9868"/>
    <mergeCell ref="D9869:H9869"/>
    <mergeCell ref="D9870:H9870"/>
    <mergeCell ref="D9894:H9894"/>
    <mergeCell ref="D9895:E9895"/>
    <mergeCell ref="G9895:H9895"/>
    <mergeCell ref="D9896:H9896"/>
    <mergeCell ref="D9897:H9897"/>
    <mergeCell ref="D9898:H9898"/>
    <mergeCell ref="D9899:H9899"/>
    <mergeCell ref="D9900:H9900"/>
    <mergeCell ref="D9924:H9924"/>
    <mergeCell ref="D9925:E9925"/>
    <mergeCell ref="G9925:H9925"/>
    <mergeCell ref="D9926:H9926"/>
    <mergeCell ref="D9927:H9927"/>
    <mergeCell ref="D9928:H9928"/>
    <mergeCell ref="D9807:H9807"/>
    <mergeCell ref="D9808:H9808"/>
    <mergeCell ref="D9809:H9809"/>
    <mergeCell ref="D9810:H9810"/>
    <mergeCell ref="D9834:H9834"/>
    <mergeCell ref="D9835:E9835"/>
    <mergeCell ref="G9835:H9835"/>
    <mergeCell ref="D9836:H9836"/>
    <mergeCell ref="D9837:H9837"/>
    <mergeCell ref="D9838:H9838"/>
    <mergeCell ref="D9839:H9839"/>
    <mergeCell ref="D9840:H9840"/>
    <mergeCell ref="D9864:H9864"/>
    <mergeCell ref="D9865:E9865"/>
    <mergeCell ref="G9865:H9865"/>
    <mergeCell ref="D9866:H9866"/>
    <mergeCell ref="D9867:H9867"/>
    <mergeCell ref="D9746:H9746"/>
    <mergeCell ref="D9747:H9747"/>
    <mergeCell ref="D9748:H9748"/>
    <mergeCell ref="D9749:H9749"/>
    <mergeCell ref="D9750:H9750"/>
    <mergeCell ref="D9774:H9774"/>
    <mergeCell ref="D9775:E9775"/>
    <mergeCell ref="G9775:H9775"/>
    <mergeCell ref="D9776:H9776"/>
    <mergeCell ref="D9777:H9777"/>
    <mergeCell ref="D9778:H9778"/>
    <mergeCell ref="D9779:H9779"/>
    <mergeCell ref="D9780:H9780"/>
    <mergeCell ref="D9804:H9804"/>
    <mergeCell ref="D9805:E9805"/>
    <mergeCell ref="G9805:H9805"/>
    <mergeCell ref="D9806:H9806"/>
    <mergeCell ref="D9685:E9685"/>
    <mergeCell ref="G9685:H9685"/>
    <mergeCell ref="D9686:H9686"/>
    <mergeCell ref="D9687:H9687"/>
    <mergeCell ref="D9688:H9688"/>
    <mergeCell ref="D9689:H9689"/>
    <mergeCell ref="D9690:H9690"/>
    <mergeCell ref="D9714:H9714"/>
    <mergeCell ref="D9715:E9715"/>
    <mergeCell ref="G9715:H9715"/>
    <mergeCell ref="D9716:H9716"/>
    <mergeCell ref="D9717:H9717"/>
    <mergeCell ref="D9718:H9718"/>
    <mergeCell ref="D9719:H9719"/>
    <mergeCell ref="D9720:H9720"/>
    <mergeCell ref="D9744:H9744"/>
    <mergeCell ref="D9745:E9745"/>
    <mergeCell ref="G9745:H9745"/>
    <mergeCell ref="D9624:H9624"/>
    <mergeCell ref="D9625:E9625"/>
    <mergeCell ref="G9625:H9625"/>
    <mergeCell ref="D9626:H9626"/>
    <mergeCell ref="D9627:H9627"/>
    <mergeCell ref="D9628:H9628"/>
    <mergeCell ref="D9629:H9629"/>
    <mergeCell ref="D9630:H9630"/>
    <mergeCell ref="D9654:H9654"/>
    <mergeCell ref="D9655:E9655"/>
    <mergeCell ref="G9655:H9655"/>
    <mergeCell ref="D9656:H9656"/>
    <mergeCell ref="D9657:H9657"/>
    <mergeCell ref="D9658:H9658"/>
    <mergeCell ref="D9659:H9659"/>
    <mergeCell ref="D9660:H9660"/>
    <mergeCell ref="D9684:H9684"/>
    <mergeCell ref="D9505:E9505"/>
    <mergeCell ref="G9505:H9505"/>
    <mergeCell ref="D9506:H9506"/>
    <mergeCell ref="D9507:H9507"/>
    <mergeCell ref="D9508:H9508"/>
    <mergeCell ref="D9509:H9509"/>
    <mergeCell ref="D9510:H9510"/>
    <mergeCell ref="D9534:H9534"/>
    <mergeCell ref="D9535:E9535"/>
    <mergeCell ref="G9535:H9535"/>
    <mergeCell ref="D9536:H9536"/>
    <mergeCell ref="D9537:H9537"/>
    <mergeCell ref="D9538:H9538"/>
    <mergeCell ref="D9539:H9539"/>
    <mergeCell ref="D9540:H9540"/>
    <mergeCell ref="D9564:H9564"/>
    <mergeCell ref="D9565:E9565"/>
    <mergeCell ref="G9565:H9565"/>
    <mergeCell ref="D9566:H9566"/>
    <mergeCell ref="D9567:H9567"/>
    <mergeCell ref="D9568:H9568"/>
    <mergeCell ref="D9569:H9569"/>
    <mergeCell ref="D9570:H9570"/>
    <mergeCell ref="D9594:H9594"/>
    <mergeCell ref="D9595:E9595"/>
    <mergeCell ref="G9595:H9595"/>
    <mergeCell ref="D9596:H9596"/>
    <mergeCell ref="D9597:H9597"/>
    <mergeCell ref="D9598:H9598"/>
    <mergeCell ref="D9599:H9599"/>
    <mergeCell ref="D9600:H9600"/>
    <mergeCell ref="D9389:H9389"/>
    <mergeCell ref="D9390:H9390"/>
    <mergeCell ref="D9414:H9414"/>
    <mergeCell ref="D9415:E9415"/>
    <mergeCell ref="G9415:H9415"/>
    <mergeCell ref="D9416:H9416"/>
    <mergeCell ref="D9417:H9417"/>
    <mergeCell ref="D9418:H9418"/>
    <mergeCell ref="D9419:H9419"/>
    <mergeCell ref="D9420:H9420"/>
    <mergeCell ref="D9504:H9504"/>
    <mergeCell ref="D9444:H9444"/>
    <mergeCell ref="D9445:E9445"/>
    <mergeCell ref="G9445:H9445"/>
    <mergeCell ref="D9446:H9446"/>
    <mergeCell ref="D9447:H9447"/>
    <mergeCell ref="D9448:H9448"/>
    <mergeCell ref="D9474:H9474"/>
    <mergeCell ref="D9475:E9475"/>
    <mergeCell ref="G9475:H9475"/>
    <mergeCell ref="D9476:H9476"/>
    <mergeCell ref="D9477:H9477"/>
    <mergeCell ref="D9478:H9478"/>
    <mergeCell ref="D9479:H9479"/>
    <mergeCell ref="D9480:H9480"/>
    <mergeCell ref="D9327:H9327"/>
    <mergeCell ref="D9328:H9328"/>
    <mergeCell ref="D9329:H9329"/>
    <mergeCell ref="D9330:H9330"/>
    <mergeCell ref="D9354:H9354"/>
    <mergeCell ref="D9355:E9355"/>
    <mergeCell ref="G9355:H9355"/>
    <mergeCell ref="D9356:H9356"/>
    <mergeCell ref="D9357:H9357"/>
    <mergeCell ref="D9358:H9358"/>
    <mergeCell ref="D9359:H9359"/>
    <mergeCell ref="D9384:H9384"/>
    <mergeCell ref="D9385:E9385"/>
    <mergeCell ref="G9385:H9385"/>
    <mergeCell ref="D9386:H9386"/>
    <mergeCell ref="D9387:H9387"/>
    <mergeCell ref="D9388:H9388"/>
    <mergeCell ref="D9360:H9360"/>
    <mergeCell ref="D9236:H9236"/>
    <mergeCell ref="D9237:H9237"/>
    <mergeCell ref="D9238:H9238"/>
    <mergeCell ref="D9239:H9239"/>
    <mergeCell ref="D9240:H9240"/>
    <mergeCell ref="D9208:H9208"/>
    <mergeCell ref="D9209:H9209"/>
    <mergeCell ref="D9210:H9210"/>
    <mergeCell ref="D9234:H9234"/>
    <mergeCell ref="D9235:E9235"/>
    <mergeCell ref="G9235:H9235"/>
    <mergeCell ref="D9265:E9265"/>
    <mergeCell ref="G9265:H9265"/>
    <mergeCell ref="D9266:H9266"/>
    <mergeCell ref="D9267:H9267"/>
    <mergeCell ref="D9268:H9268"/>
    <mergeCell ref="D9269:H9269"/>
    <mergeCell ref="D9264:H9264"/>
    <mergeCell ref="D8309:H8309"/>
    <mergeCell ref="D8310:H8310"/>
    <mergeCell ref="D9177:H9177"/>
    <mergeCell ref="D9178:H9178"/>
    <mergeCell ref="D9179:H9179"/>
    <mergeCell ref="D8334:H8334"/>
    <mergeCell ref="D8335:E8335"/>
    <mergeCell ref="G8335:H8335"/>
    <mergeCell ref="D8336:H8336"/>
    <mergeCell ref="D8337:H8337"/>
    <mergeCell ref="D8338:H8338"/>
    <mergeCell ref="D8339:H8339"/>
    <mergeCell ref="D8340:H8340"/>
    <mergeCell ref="D8364:H8364"/>
    <mergeCell ref="D8365:E8365"/>
    <mergeCell ref="G8365:H8365"/>
    <mergeCell ref="D8366:H8366"/>
    <mergeCell ref="D8367:H8367"/>
    <mergeCell ref="D8368:H8368"/>
    <mergeCell ref="D8369:H8369"/>
    <mergeCell ref="D8370:H8370"/>
    <mergeCell ref="D9146:H9146"/>
    <mergeCell ref="D9147:H9147"/>
    <mergeCell ref="D9148:H9148"/>
    <mergeCell ref="D9149:H9149"/>
    <mergeCell ref="D9056:H9056"/>
    <mergeCell ref="D9057:H9057"/>
    <mergeCell ref="D9058:H9058"/>
    <mergeCell ref="D9059:H9059"/>
    <mergeCell ref="D9060:H9060"/>
    <mergeCell ref="D9084:H9084"/>
    <mergeCell ref="D9028:H9028"/>
    <mergeCell ref="D8248:H8248"/>
    <mergeCell ref="D8249:H8249"/>
    <mergeCell ref="D8250:H8250"/>
    <mergeCell ref="D8274:H8274"/>
    <mergeCell ref="D8275:E8275"/>
    <mergeCell ref="G8275:H8275"/>
    <mergeCell ref="D8276:H8276"/>
    <mergeCell ref="D8277:H8277"/>
    <mergeCell ref="D8278:H8278"/>
    <mergeCell ref="D8279:H8279"/>
    <mergeCell ref="D8280:H8280"/>
    <mergeCell ref="D8304:H8304"/>
    <mergeCell ref="D8305:E8305"/>
    <mergeCell ref="G8305:H8305"/>
    <mergeCell ref="D8306:H8306"/>
    <mergeCell ref="D8307:H8307"/>
    <mergeCell ref="D8308:H8308"/>
    <mergeCell ref="D9054:H9054"/>
    <mergeCell ref="D9055:E9055"/>
    <mergeCell ref="G9055:H9055"/>
    <mergeCell ref="D9000:H9000"/>
    <mergeCell ref="D9024:H9024"/>
    <mergeCell ref="D9025:E9025"/>
    <mergeCell ref="G9025:H9025"/>
    <mergeCell ref="D9026:H9026"/>
    <mergeCell ref="D9027:H9027"/>
    <mergeCell ref="D8187:H8187"/>
    <mergeCell ref="D8188:H8188"/>
    <mergeCell ref="D8189:H8189"/>
    <mergeCell ref="D8190:H8190"/>
    <mergeCell ref="D8214:H8214"/>
    <mergeCell ref="D8215:E8215"/>
    <mergeCell ref="G8215:H8215"/>
    <mergeCell ref="D8216:H8216"/>
    <mergeCell ref="D8217:H8217"/>
    <mergeCell ref="D8218:H8218"/>
    <mergeCell ref="D8219:H8219"/>
    <mergeCell ref="D8220:H8220"/>
    <mergeCell ref="D8244:H8244"/>
    <mergeCell ref="D8245:E8245"/>
    <mergeCell ref="G8245:H8245"/>
    <mergeCell ref="D8246:H8246"/>
    <mergeCell ref="D8247:H8247"/>
    <mergeCell ref="D8995:E8995"/>
    <mergeCell ref="G8995:H8995"/>
    <mergeCell ref="D8996:H8996"/>
    <mergeCell ref="D8997:H8997"/>
    <mergeCell ref="D8998:H8998"/>
    <mergeCell ref="D8999:H8999"/>
    <mergeCell ref="D8126:H8126"/>
    <mergeCell ref="D8127:H8127"/>
    <mergeCell ref="D8128:H8128"/>
    <mergeCell ref="D8129:H8129"/>
    <mergeCell ref="D8130:H8130"/>
    <mergeCell ref="D8154:H8154"/>
    <mergeCell ref="D8155:E8155"/>
    <mergeCell ref="G8155:H8155"/>
    <mergeCell ref="D8156:H8156"/>
    <mergeCell ref="D8157:H8157"/>
    <mergeCell ref="D8158:H8158"/>
    <mergeCell ref="D8159:H8159"/>
    <mergeCell ref="D8160:H8160"/>
    <mergeCell ref="D8184:H8184"/>
    <mergeCell ref="D8185:E8185"/>
    <mergeCell ref="G8185:H8185"/>
    <mergeCell ref="D8186:H8186"/>
    <mergeCell ref="D8065:E8065"/>
    <mergeCell ref="G8065:H8065"/>
    <mergeCell ref="D8066:H8066"/>
    <mergeCell ref="D8067:H8067"/>
    <mergeCell ref="D8068:H8068"/>
    <mergeCell ref="D8069:H8069"/>
    <mergeCell ref="D8070:H8070"/>
    <mergeCell ref="D8094:H8094"/>
    <mergeCell ref="D8095:E8095"/>
    <mergeCell ref="G8095:H8095"/>
    <mergeCell ref="D8096:H8096"/>
    <mergeCell ref="D8097:H8097"/>
    <mergeCell ref="D8098:H8098"/>
    <mergeCell ref="D8099:H8099"/>
    <mergeCell ref="D8100:H8100"/>
    <mergeCell ref="D8124:H8124"/>
    <mergeCell ref="D8125:E8125"/>
    <mergeCell ref="G8125:H8125"/>
    <mergeCell ref="D8004:H8004"/>
    <mergeCell ref="D8005:E8005"/>
    <mergeCell ref="G8005:H8005"/>
    <mergeCell ref="D8006:H8006"/>
    <mergeCell ref="D8007:H8007"/>
    <mergeCell ref="D8008:H8008"/>
    <mergeCell ref="D8009:H8009"/>
    <mergeCell ref="D8010:H8010"/>
    <mergeCell ref="D8034:H8034"/>
    <mergeCell ref="D8035:E8035"/>
    <mergeCell ref="G8035:H8035"/>
    <mergeCell ref="D8036:H8036"/>
    <mergeCell ref="D8037:H8037"/>
    <mergeCell ref="D8038:H8038"/>
    <mergeCell ref="D8039:H8039"/>
    <mergeCell ref="D8040:H8040"/>
    <mergeCell ref="D8064:H8064"/>
    <mergeCell ref="D7920:H7920"/>
    <mergeCell ref="D7944:H7944"/>
    <mergeCell ref="D7945:E7945"/>
    <mergeCell ref="G7945:H7945"/>
    <mergeCell ref="D7946:H7946"/>
    <mergeCell ref="D7947:H7947"/>
    <mergeCell ref="D7948:H7948"/>
    <mergeCell ref="D7949:H7949"/>
    <mergeCell ref="D7950:H7950"/>
    <mergeCell ref="D7974:H7974"/>
    <mergeCell ref="D7975:E7975"/>
    <mergeCell ref="G7975:H7975"/>
    <mergeCell ref="D7976:H7976"/>
    <mergeCell ref="D7977:H7977"/>
    <mergeCell ref="D7978:H7978"/>
    <mergeCell ref="D7979:H7979"/>
    <mergeCell ref="D7980:H7980"/>
    <mergeCell ref="D7859:H7859"/>
    <mergeCell ref="D7860:H7860"/>
    <mergeCell ref="D7884:H7884"/>
    <mergeCell ref="D7885:E7885"/>
    <mergeCell ref="G7885:H7885"/>
    <mergeCell ref="D7886:H7886"/>
    <mergeCell ref="D7887:H7887"/>
    <mergeCell ref="D7888:H7888"/>
    <mergeCell ref="D7889:H7889"/>
    <mergeCell ref="D7890:H7890"/>
    <mergeCell ref="D7914:H7914"/>
    <mergeCell ref="D7915:E7915"/>
    <mergeCell ref="G7915:H7915"/>
    <mergeCell ref="D7916:H7916"/>
    <mergeCell ref="D7917:H7917"/>
    <mergeCell ref="D7918:H7918"/>
    <mergeCell ref="D7919:H7919"/>
    <mergeCell ref="D7798:H7798"/>
    <mergeCell ref="D7799:H7799"/>
    <mergeCell ref="D7800:H7800"/>
    <mergeCell ref="D7824:H7824"/>
    <mergeCell ref="D7825:E7825"/>
    <mergeCell ref="G7825:H7825"/>
    <mergeCell ref="D7826:H7826"/>
    <mergeCell ref="D7827:H7827"/>
    <mergeCell ref="D7828:H7828"/>
    <mergeCell ref="D7829:H7829"/>
    <mergeCell ref="D7830:H7830"/>
    <mergeCell ref="D7854:H7854"/>
    <mergeCell ref="D7855:E7855"/>
    <mergeCell ref="G7855:H7855"/>
    <mergeCell ref="D7856:H7856"/>
    <mergeCell ref="D7857:H7857"/>
    <mergeCell ref="D7858:H7858"/>
    <mergeCell ref="D7737:H7737"/>
    <mergeCell ref="D7738:H7738"/>
    <mergeCell ref="D7739:H7739"/>
    <mergeCell ref="D7740:H7740"/>
    <mergeCell ref="D7764:H7764"/>
    <mergeCell ref="D7765:E7765"/>
    <mergeCell ref="G7765:H7765"/>
    <mergeCell ref="D7766:H7766"/>
    <mergeCell ref="D7767:H7767"/>
    <mergeCell ref="D7768:H7768"/>
    <mergeCell ref="D7769:H7769"/>
    <mergeCell ref="D7770:H7770"/>
    <mergeCell ref="D7794:H7794"/>
    <mergeCell ref="D7795:E7795"/>
    <mergeCell ref="G7795:H7795"/>
    <mergeCell ref="D7796:H7796"/>
    <mergeCell ref="D7797:H7797"/>
    <mergeCell ref="D7676:H7676"/>
    <mergeCell ref="D7677:H7677"/>
    <mergeCell ref="D7678:H7678"/>
    <mergeCell ref="D7679:H7679"/>
    <mergeCell ref="D7680:H7680"/>
    <mergeCell ref="D7704:H7704"/>
    <mergeCell ref="D7705:E7705"/>
    <mergeCell ref="G7705:H7705"/>
    <mergeCell ref="D7706:H7706"/>
    <mergeCell ref="D7707:H7707"/>
    <mergeCell ref="D7708:H7708"/>
    <mergeCell ref="D7709:H7709"/>
    <mergeCell ref="D7710:H7710"/>
    <mergeCell ref="D7734:H7734"/>
    <mergeCell ref="D7735:E7735"/>
    <mergeCell ref="G7735:H7735"/>
    <mergeCell ref="D7736:H7736"/>
    <mergeCell ref="D4378:H4378"/>
    <mergeCell ref="D4379:H4379"/>
    <mergeCell ref="D4380:H4380"/>
    <mergeCell ref="D6324:H6324"/>
    <mergeCell ref="D6325:E6325"/>
    <mergeCell ref="G6325:H6325"/>
    <mergeCell ref="D6326:H6326"/>
    <mergeCell ref="D6327:H6327"/>
    <mergeCell ref="D6328:H6328"/>
    <mergeCell ref="D6329:H6329"/>
    <mergeCell ref="D6330:H6330"/>
    <mergeCell ref="D7254:H7254"/>
    <mergeCell ref="D7255:E7255"/>
    <mergeCell ref="G7255:H7255"/>
    <mergeCell ref="D7256:H7256"/>
    <mergeCell ref="D7257:H7257"/>
    <mergeCell ref="D7258:H7258"/>
    <mergeCell ref="D7226:H7226"/>
    <mergeCell ref="D7227:H7227"/>
    <mergeCell ref="D7228:H7228"/>
    <mergeCell ref="D7229:H7229"/>
    <mergeCell ref="D7230:H7230"/>
    <mergeCell ref="D7136:H7136"/>
    <mergeCell ref="D7137:H7137"/>
    <mergeCell ref="D7138:H7138"/>
    <mergeCell ref="D7139:H7139"/>
    <mergeCell ref="D7140:H7140"/>
    <mergeCell ref="D7164:H7164"/>
    <mergeCell ref="D7108:H7108"/>
    <mergeCell ref="D7109:H7109"/>
    <mergeCell ref="D7110:H7110"/>
    <mergeCell ref="D7134:H7134"/>
    <mergeCell ref="D4317:H4317"/>
    <mergeCell ref="D4318:H4318"/>
    <mergeCell ref="D4319:H4319"/>
    <mergeCell ref="D4320:H4320"/>
    <mergeCell ref="D4344:H4344"/>
    <mergeCell ref="D4345:E4345"/>
    <mergeCell ref="G4345:H4345"/>
    <mergeCell ref="D4346:H4346"/>
    <mergeCell ref="D4347:H4347"/>
    <mergeCell ref="D4348:H4348"/>
    <mergeCell ref="D4349:H4349"/>
    <mergeCell ref="D4350:H4350"/>
    <mergeCell ref="D4374:H4374"/>
    <mergeCell ref="D4375:E4375"/>
    <mergeCell ref="G4375:H4375"/>
    <mergeCell ref="D4376:H4376"/>
    <mergeCell ref="D4377:H4377"/>
    <mergeCell ref="D4256:H4256"/>
    <mergeCell ref="D4257:H4257"/>
    <mergeCell ref="D4258:H4258"/>
    <mergeCell ref="D4259:H4259"/>
    <mergeCell ref="D4260:H4260"/>
    <mergeCell ref="D4284:H4284"/>
    <mergeCell ref="D4285:E4285"/>
    <mergeCell ref="G4285:H4285"/>
    <mergeCell ref="D4286:H4286"/>
    <mergeCell ref="D4287:H4287"/>
    <mergeCell ref="D4288:H4288"/>
    <mergeCell ref="D4289:H4289"/>
    <mergeCell ref="D4290:H4290"/>
    <mergeCell ref="D4314:H4314"/>
    <mergeCell ref="D4315:E4315"/>
    <mergeCell ref="G4315:H4315"/>
    <mergeCell ref="D4316:H4316"/>
    <mergeCell ref="D4195:E4195"/>
    <mergeCell ref="G4195:H4195"/>
    <mergeCell ref="D4196:H4196"/>
    <mergeCell ref="D4197:H4197"/>
    <mergeCell ref="D4198:H4198"/>
    <mergeCell ref="D4199:H4199"/>
    <mergeCell ref="D4200:H4200"/>
    <mergeCell ref="D4224:H4224"/>
    <mergeCell ref="D4225:E4225"/>
    <mergeCell ref="G4225:H4225"/>
    <mergeCell ref="D4226:H4226"/>
    <mergeCell ref="D4227:H4227"/>
    <mergeCell ref="D4228:H4228"/>
    <mergeCell ref="D4229:H4229"/>
    <mergeCell ref="D4230:H4230"/>
    <mergeCell ref="D4254:H4254"/>
    <mergeCell ref="D4255:E4255"/>
    <mergeCell ref="G4255:H4255"/>
    <mergeCell ref="D4134:H4134"/>
    <mergeCell ref="D4135:E4135"/>
    <mergeCell ref="G4135:H4135"/>
    <mergeCell ref="D4136:H4136"/>
    <mergeCell ref="D4137:H4137"/>
    <mergeCell ref="D4138:H4138"/>
    <mergeCell ref="D4139:H4139"/>
    <mergeCell ref="D4140:H4140"/>
    <mergeCell ref="D4164:H4164"/>
    <mergeCell ref="D4165:E4165"/>
    <mergeCell ref="G4165:H4165"/>
    <mergeCell ref="D4166:H4166"/>
    <mergeCell ref="D4167:H4167"/>
    <mergeCell ref="D4168:H4168"/>
    <mergeCell ref="D4169:H4169"/>
    <mergeCell ref="D4170:H4170"/>
    <mergeCell ref="D4194:H4194"/>
    <mergeCell ref="D4050:H4050"/>
    <mergeCell ref="D4074:H4074"/>
    <mergeCell ref="D4075:E4075"/>
    <mergeCell ref="G4075:H4075"/>
    <mergeCell ref="D4076:H4076"/>
    <mergeCell ref="D4077:H4077"/>
    <mergeCell ref="D4078:H4078"/>
    <mergeCell ref="D4079:H4079"/>
    <mergeCell ref="D4080:H4080"/>
    <mergeCell ref="D4104:H4104"/>
    <mergeCell ref="D4105:E4105"/>
    <mergeCell ref="G4105:H4105"/>
    <mergeCell ref="D4106:H4106"/>
    <mergeCell ref="D4107:H4107"/>
    <mergeCell ref="D4108:H4108"/>
    <mergeCell ref="D4109:H4109"/>
    <mergeCell ref="D4110:H4110"/>
    <mergeCell ref="D3989:H3989"/>
    <mergeCell ref="D3990:H3990"/>
    <mergeCell ref="D4014:H4014"/>
    <mergeCell ref="D4015:E4015"/>
    <mergeCell ref="G4015:H4015"/>
    <mergeCell ref="D4016:H4016"/>
    <mergeCell ref="D4017:H4017"/>
    <mergeCell ref="D4018:H4018"/>
    <mergeCell ref="D4019:H4019"/>
    <mergeCell ref="D4020:H4020"/>
    <mergeCell ref="D4044:H4044"/>
    <mergeCell ref="D4045:E4045"/>
    <mergeCell ref="G4045:H4045"/>
    <mergeCell ref="D4046:H4046"/>
    <mergeCell ref="D4047:H4047"/>
    <mergeCell ref="D4048:H4048"/>
    <mergeCell ref="D4049:H4049"/>
    <mergeCell ref="D3928:H3928"/>
    <mergeCell ref="D3929:H3929"/>
    <mergeCell ref="D3930:H3930"/>
    <mergeCell ref="D3954:H3954"/>
    <mergeCell ref="D3955:E3955"/>
    <mergeCell ref="G3955:H3955"/>
    <mergeCell ref="D3956:H3956"/>
    <mergeCell ref="D3957:H3957"/>
    <mergeCell ref="D3958:H3958"/>
    <mergeCell ref="D3959:H3959"/>
    <mergeCell ref="D3960:H3960"/>
    <mergeCell ref="D3984:H3984"/>
    <mergeCell ref="D3985:E3985"/>
    <mergeCell ref="G3985:H3985"/>
    <mergeCell ref="D3986:H3986"/>
    <mergeCell ref="D3987:H3987"/>
    <mergeCell ref="D3988:H3988"/>
    <mergeCell ref="D3867:H3867"/>
    <mergeCell ref="D3868:H3868"/>
    <mergeCell ref="D3869:H3869"/>
    <mergeCell ref="D3870:H3870"/>
    <mergeCell ref="D3894:H3894"/>
    <mergeCell ref="D3895:E3895"/>
    <mergeCell ref="G3895:H3895"/>
    <mergeCell ref="D3896:H3896"/>
    <mergeCell ref="D3897:H3897"/>
    <mergeCell ref="D3898:H3898"/>
    <mergeCell ref="D3899:H3899"/>
    <mergeCell ref="D3900:H3900"/>
    <mergeCell ref="D3924:H3924"/>
    <mergeCell ref="D3925:E3925"/>
    <mergeCell ref="G3925:H3925"/>
    <mergeCell ref="D3926:H3926"/>
    <mergeCell ref="D3927:H3927"/>
    <mergeCell ref="D3806:H3806"/>
    <mergeCell ref="D3807:H3807"/>
    <mergeCell ref="D3808:H3808"/>
    <mergeCell ref="D3809:H3809"/>
    <mergeCell ref="D3810:H3810"/>
    <mergeCell ref="D3834:H3834"/>
    <mergeCell ref="D3835:E3835"/>
    <mergeCell ref="G3835:H3835"/>
    <mergeCell ref="D3836:H3836"/>
    <mergeCell ref="D3837:H3837"/>
    <mergeCell ref="D3838:H3838"/>
    <mergeCell ref="D3839:H3839"/>
    <mergeCell ref="D3840:H3840"/>
    <mergeCell ref="D3864:H3864"/>
    <mergeCell ref="D3865:E3865"/>
    <mergeCell ref="G3865:H3865"/>
    <mergeCell ref="D3866:H3866"/>
    <mergeCell ref="D3745:E3745"/>
    <mergeCell ref="G3745:H3745"/>
    <mergeCell ref="D3746:H3746"/>
    <mergeCell ref="D3747:H3747"/>
    <mergeCell ref="D3748:H3748"/>
    <mergeCell ref="D3749:H3749"/>
    <mergeCell ref="D3750:H3750"/>
    <mergeCell ref="D3774:H3774"/>
    <mergeCell ref="D3775:E3775"/>
    <mergeCell ref="G3775:H3775"/>
    <mergeCell ref="D3776:H3776"/>
    <mergeCell ref="D3777:H3777"/>
    <mergeCell ref="D3778:H3778"/>
    <mergeCell ref="D3779:H3779"/>
    <mergeCell ref="D3780:H3780"/>
    <mergeCell ref="D3804:H3804"/>
    <mergeCell ref="D3805:E3805"/>
    <mergeCell ref="G3805:H3805"/>
    <mergeCell ref="D3684:H3684"/>
    <mergeCell ref="D3685:E3685"/>
    <mergeCell ref="G3685:H3685"/>
    <mergeCell ref="D3686:H3686"/>
    <mergeCell ref="D3687:H3687"/>
    <mergeCell ref="D3688:H3688"/>
    <mergeCell ref="D3689:H3689"/>
    <mergeCell ref="D3690:H3690"/>
    <mergeCell ref="D3714:H3714"/>
    <mergeCell ref="D3715:E3715"/>
    <mergeCell ref="G3715:H3715"/>
    <mergeCell ref="D3716:H3716"/>
    <mergeCell ref="D3717:H3717"/>
    <mergeCell ref="D3718:H3718"/>
    <mergeCell ref="D3719:H3719"/>
    <mergeCell ref="D3720:H3720"/>
    <mergeCell ref="D3744:H3744"/>
    <mergeCell ref="D3655:E3655"/>
    <mergeCell ref="G3655:H3655"/>
    <mergeCell ref="D3656:H3656"/>
    <mergeCell ref="D3657:H3657"/>
    <mergeCell ref="D3658:H3658"/>
    <mergeCell ref="D3659:H3659"/>
    <mergeCell ref="D3660:H3660"/>
    <mergeCell ref="D3354:H3354"/>
    <mergeCell ref="D3355:E3355"/>
    <mergeCell ref="G3355:H3355"/>
    <mergeCell ref="D3356:H3356"/>
    <mergeCell ref="D3357:H3357"/>
    <mergeCell ref="D3358:H3358"/>
    <mergeCell ref="D3359:H3359"/>
    <mergeCell ref="D3360:H3360"/>
    <mergeCell ref="D3384:H3384"/>
    <mergeCell ref="D3385:E3385"/>
    <mergeCell ref="G3385:H3385"/>
    <mergeCell ref="D3386:H3386"/>
    <mergeCell ref="D3387:H3387"/>
    <mergeCell ref="D3388:H3388"/>
    <mergeCell ref="D3389:H3389"/>
    <mergeCell ref="D3390:H3390"/>
    <mergeCell ref="D3414:H3414"/>
    <mergeCell ref="D3415:E3415"/>
    <mergeCell ref="G3415:H3415"/>
    <mergeCell ref="D3416:H3416"/>
    <mergeCell ref="D3417:H3417"/>
    <mergeCell ref="D3418:H3418"/>
    <mergeCell ref="D3419:H3419"/>
    <mergeCell ref="D3420:H3420"/>
    <mergeCell ref="D3594:H3594"/>
    <mergeCell ref="D3595:E3595"/>
    <mergeCell ref="G3595:H3595"/>
    <mergeCell ref="D3596:H3596"/>
    <mergeCell ref="D3597:H3597"/>
    <mergeCell ref="D3598:H3598"/>
    <mergeCell ref="D3599:H3599"/>
    <mergeCell ref="D3600:H3600"/>
    <mergeCell ref="D3624:H3624"/>
    <mergeCell ref="D3625:E3625"/>
    <mergeCell ref="G3625:H3625"/>
    <mergeCell ref="D3626:H3626"/>
    <mergeCell ref="D3627:H3627"/>
    <mergeCell ref="D3628:H3628"/>
    <mergeCell ref="D3629:H3629"/>
    <mergeCell ref="D3630:H3630"/>
    <mergeCell ref="D3654:H3654"/>
    <mergeCell ref="D3510:H3510"/>
    <mergeCell ref="D3534:H3534"/>
    <mergeCell ref="D3535:E3535"/>
    <mergeCell ref="G3535:H3535"/>
    <mergeCell ref="D3536:H3536"/>
    <mergeCell ref="D3537:H3537"/>
    <mergeCell ref="D3538:H3538"/>
    <mergeCell ref="D3539:H3539"/>
    <mergeCell ref="D3540:H3540"/>
    <mergeCell ref="D3564:H3564"/>
    <mergeCell ref="D3565:E3565"/>
    <mergeCell ref="G3565:H3565"/>
    <mergeCell ref="D3566:H3566"/>
    <mergeCell ref="D3567:H3567"/>
    <mergeCell ref="D3568:H3568"/>
    <mergeCell ref="D3569:H3569"/>
    <mergeCell ref="D3325:E3325"/>
    <mergeCell ref="G3325:H3325"/>
    <mergeCell ref="D3326:H3326"/>
    <mergeCell ref="D3327:H3327"/>
    <mergeCell ref="D3328:H3328"/>
    <mergeCell ref="D3329:H3329"/>
    <mergeCell ref="D3330:H3330"/>
    <mergeCell ref="D3444:H3444"/>
    <mergeCell ref="D3445:E3445"/>
    <mergeCell ref="G3445:H3445"/>
    <mergeCell ref="D3446:H3446"/>
    <mergeCell ref="D3447:H3447"/>
    <mergeCell ref="D3448:H3448"/>
    <mergeCell ref="D3570:H3570"/>
    <mergeCell ref="D3449:H3449"/>
    <mergeCell ref="D3450:H3450"/>
    <mergeCell ref="D3474:H3474"/>
    <mergeCell ref="D3475:E3475"/>
    <mergeCell ref="G3475:H3475"/>
    <mergeCell ref="D3476:H3476"/>
    <mergeCell ref="D3477:H3477"/>
    <mergeCell ref="D3478:H3478"/>
    <mergeCell ref="D3479:H3479"/>
    <mergeCell ref="D3480:H3480"/>
    <mergeCell ref="D3504:H3504"/>
    <mergeCell ref="D3505:E3505"/>
    <mergeCell ref="G3505:H3505"/>
    <mergeCell ref="D3506:H3506"/>
    <mergeCell ref="D3507:H3507"/>
    <mergeCell ref="D3508:H3508"/>
    <mergeCell ref="D3509:H3509"/>
    <mergeCell ref="D3264:H3264"/>
    <mergeCell ref="D3265:E3265"/>
    <mergeCell ref="G3265:H3265"/>
    <mergeCell ref="D3266:H3266"/>
    <mergeCell ref="D3267:H3267"/>
    <mergeCell ref="D3268:H3268"/>
    <mergeCell ref="D3269:H3269"/>
    <mergeCell ref="D3270:H3270"/>
    <mergeCell ref="D3294:H3294"/>
    <mergeCell ref="D3295:E3295"/>
    <mergeCell ref="G3295:H3295"/>
    <mergeCell ref="D3296:H3296"/>
    <mergeCell ref="D3297:H3297"/>
    <mergeCell ref="D3298:H3298"/>
    <mergeCell ref="D3299:H3299"/>
    <mergeCell ref="D3300:H3300"/>
    <mergeCell ref="D3324:H3324"/>
    <mergeCell ref="D3180:H3180"/>
    <mergeCell ref="D3204:H3204"/>
    <mergeCell ref="D3205:E3205"/>
    <mergeCell ref="G3205:H3205"/>
    <mergeCell ref="D3206:H3206"/>
    <mergeCell ref="D3207:H3207"/>
    <mergeCell ref="D3208:H3208"/>
    <mergeCell ref="D3209:H3209"/>
    <mergeCell ref="D3210:H3210"/>
    <mergeCell ref="D3234:H3234"/>
    <mergeCell ref="D3235:E3235"/>
    <mergeCell ref="G3235:H3235"/>
    <mergeCell ref="D3236:H3236"/>
    <mergeCell ref="D3237:H3237"/>
    <mergeCell ref="D3238:H3238"/>
    <mergeCell ref="D3239:H3239"/>
    <mergeCell ref="D3240:H3240"/>
    <mergeCell ref="D3119:H3119"/>
    <mergeCell ref="D3120:H3120"/>
    <mergeCell ref="D3144:H3144"/>
    <mergeCell ref="D3145:E3145"/>
    <mergeCell ref="G3145:H3145"/>
    <mergeCell ref="D3146:H3146"/>
    <mergeCell ref="D3147:H3147"/>
    <mergeCell ref="D3148:H3148"/>
    <mergeCell ref="D3149:H3149"/>
    <mergeCell ref="D3150:H3150"/>
    <mergeCell ref="D3174:H3174"/>
    <mergeCell ref="D3175:E3175"/>
    <mergeCell ref="G3175:H3175"/>
    <mergeCell ref="D3176:H3176"/>
    <mergeCell ref="D3177:H3177"/>
    <mergeCell ref="D3178:H3178"/>
    <mergeCell ref="D3179:H3179"/>
    <mergeCell ref="D3058:H3058"/>
    <mergeCell ref="D3059:H3059"/>
    <mergeCell ref="D3060:H3060"/>
    <mergeCell ref="D3084:H3084"/>
    <mergeCell ref="D3085:E3085"/>
    <mergeCell ref="G3085:H3085"/>
    <mergeCell ref="D3086:H3086"/>
    <mergeCell ref="D3087:H3087"/>
    <mergeCell ref="D3088:H3088"/>
    <mergeCell ref="D3089:H3089"/>
    <mergeCell ref="D3090:H3090"/>
    <mergeCell ref="D3114:H3114"/>
    <mergeCell ref="D3115:E3115"/>
    <mergeCell ref="G3115:H3115"/>
    <mergeCell ref="D3116:H3116"/>
    <mergeCell ref="D3117:H3117"/>
    <mergeCell ref="D3118:H3118"/>
    <mergeCell ref="D2997:H2997"/>
    <mergeCell ref="D2998:H2998"/>
    <mergeCell ref="D2999:H2999"/>
    <mergeCell ref="D3000:H3000"/>
    <mergeCell ref="D3024:H3024"/>
    <mergeCell ref="D3025:E3025"/>
    <mergeCell ref="G3025:H3025"/>
    <mergeCell ref="D3026:H3026"/>
    <mergeCell ref="D3027:H3027"/>
    <mergeCell ref="D3028:H3028"/>
    <mergeCell ref="D3029:H3029"/>
    <mergeCell ref="D3030:H3030"/>
    <mergeCell ref="D3054:H3054"/>
    <mergeCell ref="D3055:E3055"/>
    <mergeCell ref="G3055:H3055"/>
    <mergeCell ref="D3056:H3056"/>
    <mergeCell ref="D3057:H3057"/>
    <mergeCell ref="D2936:H2936"/>
    <mergeCell ref="D2937:H2937"/>
    <mergeCell ref="D2938:H2938"/>
    <mergeCell ref="D2939:H2939"/>
    <mergeCell ref="D2940:H2940"/>
    <mergeCell ref="D2964:H2964"/>
    <mergeCell ref="D2965:E2965"/>
    <mergeCell ref="G2965:H2965"/>
    <mergeCell ref="D2966:H2966"/>
    <mergeCell ref="D2967:H2967"/>
    <mergeCell ref="D2968:H2968"/>
    <mergeCell ref="D2969:H2969"/>
    <mergeCell ref="D2970:H2970"/>
    <mergeCell ref="D2994:H2994"/>
    <mergeCell ref="D2995:E2995"/>
    <mergeCell ref="G2995:H2995"/>
    <mergeCell ref="D2996:H2996"/>
    <mergeCell ref="D2875:E2875"/>
    <mergeCell ref="G2875:H2875"/>
    <mergeCell ref="D2876:H2876"/>
    <mergeCell ref="D2877:H2877"/>
    <mergeCell ref="D2878:H2878"/>
    <mergeCell ref="D2879:H2879"/>
    <mergeCell ref="D2880:H2880"/>
    <mergeCell ref="D2904:H2904"/>
    <mergeCell ref="D2905:E2905"/>
    <mergeCell ref="G2905:H2905"/>
    <mergeCell ref="D2906:H2906"/>
    <mergeCell ref="D2907:H2907"/>
    <mergeCell ref="D2908:H2908"/>
    <mergeCell ref="D2909:H2909"/>
    <mergeCell ref="D2910:H2910"/>
    <mergeCell ref="D2934:H2934"/>
    <mergeCell ref="D2935:E2935"/>
    <mergeCell ref="G2935:H2935"/>
    <mergeCell ref="D2814:H2814"/>
    <mergeCell ref="D2815:E2815"/>
    <mergeCell ref="G2815:H2815"/>
    <mergeCell ref="D2816:H2816"/>
    <mergeCell ref="D2817:H2817"/>
    <mergeCell ref="D2818:H2818"/>
    <mergeCell ref="D2819:H2819"/>
    <mergeCell ref="D2820:H2820"/>
    <mergeCell ref="D2844:H2844"/>
    <mergeCell ref="D2845:E2845"/>
    <mergeCell ref="G2845:H2845"/>
    <mergeCell ref="D2846:H2846"/>
    <mergeCell ref="D2847:H2847"/>
    <mergeCell ref="D2848:H2848"/>
    <mergeCell ref="D2849:H2849"/>
    <mergeCell ref="D2850:H2850"/>
    <mergeCell ref="D2874:H2874"/>
    <mergeCell ref="D2730:H2730"/>
    <mergeCell ref="D2754:H2754"/>
    <mergeCell ref="D2755:E2755"/>
    <mergeCell ref="G2755:H2755"/>
    <mergeCell ref="D2756:H2756"/>
    <mergeCell ref="D2757:H2757"/>
    <mergeCell ref="D2758:H2758"/>
    <mergeCell ref="D2759:H2759"/>
    <mergeCell ref="D2760:H2760"/>
    <mergeCell ref="D2784:H2784"/>
    <mergeCell ref="D2785:E2785"/>
    <mergeCell ref="G2785:H2785"/>
    <mergeCell ref="D2786:H2786"/>
    <mergeCell ref="D2787:H2787"/>
    <mergeCell ref="D2788:H2788"/>
    <mergeCell ref="D2789:H2789"/>
    <mergeCell ref="D2790:H2790"/>
    <mergeCell ref="D2669:H2669"/>
    <mergeCell ref="D2670:H2670"/>
    <mergeCell ref="D2694:H2694"/>
    <mergeCell ref="D2695:E2695"/>
    <mergeCell ref="G2695:H2695"/>
    <mergeCell ref="D2696:H2696"/>
    <mergeCell ref="D2697:H2697"/>
    <mergeCell ref="D2698:H2698"/>
    <mergeCell ref="D2699:H2699"/>
    <mergeCell ref="D2700:H2700"/>
    <mergeCell ref="D2724:H2724"/>
    <mergeCell ref="D2725:E2725"/>
    <mergeCell ref="G2725:H2725"/>
    <mergeCell ref="D2726:H2726"/>
    <mergeCell ref="D2727:H2727"/>
    <mergeCell ref="D2728:H2728"/>
    <mergeCell ref="D2729:H2729"/>
    <mergeCell ref="D6748:H6748"/>
    <mergeCell ref="D6749:H6749"/>
    <mergeCell ref="D6750:H6750"/>
    <mergeCell ref="D6774:H6774"/>
    <mergeCell ref="D6775:E6775"/>
    <mergeCell ref="G6775:H6775"/>
    <mergeCell ref="D6720:H6720"/>
    <mergeCell ref="D6744:H6744"/>
    <mergeCell ref="D6745:E6745"/>
    <mergeCell ref="G6745:H6745"/>
    <mergeCell ref="D2604:H2604"/>
    <mergeCell ref="D2605:E2605"/>
    <mergeCell ref="G2605:H2605"/>
    <mergeCell ref="D2606:H2606"/>
    <mergeCell ref="D2607:H2607"/>
    <mergeCell ref="D2608:H2608"/>
    <mergeCell ref="D2609:H2609"/>
    <mergeCell ref="D2610:H2610"/>
    <mergeCell ref="D2634:H2634"/>
    <mergeCell ref="D2635:E2635"/>
    <mergeCell ref="G2635:H2635"/>
    <mergeCell ref="D2636:H2636"/>
    <mergeCell ref="D2637:H2637"/>
    <mergeCell ref="D2638:H2638"/>
    <mergeCell ref="D2639:H2639"/>
    <mergeCell ref="D2640:H2640"/>
    <mergeCell ref="D2664:H2664"/>
    <mergeCell ref="D2665:E2665"/>
    <mergeCell ref="G2665:H2665"/>
    <mergeCell ref="D2666:H2666"/>
    <mergeCell ref="D2667:H2667"/>
    <mergeCell ref="D2668:H2668"/>
    <mergeCell ref="D7529:H7529"/>
    <mergeCell ref="D7530:H7530"/>
    <mergeCell ref="D7554:H7554"/>
    <mergeCell ref="D7555:E7555"/>
    <mergeCell ref="G7555:H7555"/>
    <mergeCell ref="D7556:H7556"/>
    <mergeCell ref="D7557:H7557"/>
    <mergeCell ref="D7558:H7558"/>
    <mergeCell ref="D7559:H7559"/>
    <mergeCell ref="D7560:H7560"/>
    <mergeCell ref="D7617:H7617"/>
    <mergeCell ref="D7618:H7618"/>
    <mergeCell ref="D7619:H7619"/>
    <mergeCell ref="D7620:H7620"/>
    <mergeCell ref="D7644:H7644"/>
    <mergeCell ref="D7645:E7645"/>
    <mergeCell ref="G7645:H7645"/>
    <mergeCell ref="D7584:H7584"/>
    <mergeCell ref="D7585:E7585"/>
    <mergeCell ref="G7585:H7585"/>
    <mergeCell ref="D7586:H7586"/>
    <mergeCell ref="D7587:H7587"/>
    <mergeCell ref="D7588:H7588"/>
    <mergeCell ref="D7589:H7589"/>
    <mergeCell ref="D7590:H7590"/>
    <mergeCell ref="D7614:H7614"/>
    <mergeCell ref="D7615:E7615"/>
    <mergeCell ref="G7615:H7615"/>
    <mergeCell ref="D7616:H7616"/>
    <mergeCell ref="D7646:H7646"/>
    <mergeCell ref="D7647:H7647"/>
    <mergeCell ref="D7648:H7648"/>
    <mergeCell ref="D7649:H7649"/>
    <mergeCell ref="D7650:H7650"/>
    <mergeCell ref="D7674:H7674"/>
    <mergeCell ref="D7675:E7675"/>
    <mergeCell ref="G7675:H7675"/>
    <mergeCell ref="H12314:J12314"/>
    <mergeCell ref="H12308:J12308"/>
    <mergeCell ref="H12309:J12309"/>
    <mergeCell ref="H12310:J12310"/>
    <mergeCell ref="H12311:J12311"/>
    <mergeCell ref="H12312:J12312"/>
    <mergeCell ref="H12313:J12313"/>
    <mergeCell ref="H12303:J12303"/>
    <mergeCell ref="H12304:J12304"/>
    <mergeCell ref="H12305:J12305"/>
    <mergeCell ref="H12306:J12306"/>
    <mergeCell ref="H12307:J12307"/>
    <mergeCell ref="D9150:H9150"/>
    <mergeCell ref="D9174:H9174"/>
    <mergeCell ref="D9118:H9118"/>
    <mergeCell ref="D9119:H9119"/>
    <mergeCell ref="D9120:H9120"/>
    <mergeCell ref="D9144:H9144"/>
    <mergeCell ref="D9145:E9145"/>
    <mergeCell ref="G9145:H9145"/>
    <mergeCell ref="D9090:H9090"/>
    <mergeCell ref="D9114:H9114"/>
    <mergeCell ref="D9115:E9115"/>
    <mergeCell ref="G9115:H9115"/>
    <mergeCell ref="D9116:H9116"/>
    <mergeCell ref="D9117:H9117"/>
    <mergeCell ref="D9085:E9085"/>
    <mergeCell ref="G9085:H9085"/>
    <mergeCell ref="D9086:H9086"/>
    <mergeCell ref="D9087:H9087"/>
    <mergeCell ref="D9088:H9088"/>
    <mergeCell ref="D9089:H9089"/>
    <mergeCell ref="D9449:H9449"/>
    <mergeCell ref="D9450:H9450"/>
    <mergeCell ref="D9180:H9180"/>
    <mergeCell ref="D9204:H9204"/>
    <mergeCell ref="D9205:E9205"/>
    <mergeCell ref="G9205:H9205"/>
    <mergeCell ref="D9206:H9206"/>
    <mergeCell ref="D9207:H9207"/>
    <mergeCell ref="D9175:E9175"/>
    <mergeCell ref="G9175:H9175"/>
    <mergeCell ref="D9176:H9176"/>
    <mergeCell ref="D9299:H9299"/>
    <mergeCell ref="D9300:H9300"/>
    <mergeCell ref="D9324:H9324"/>
    <mergeCell ref="D9325:E9325"/>
    <mergeCell ref="G9325:H9325"/>
    <mergeCell ref="D9326:H9326"/>
    <mergeCell ref="D9270:H9270"/>
    <mergeCell ref="D9294:H9294"/>
    <mergeCell ref="D9295:E9295"/>
    <mergeCell ref="G9295:H9295"/>
    <mergeCell ref="D9296:H9296"/>
    <mergeCell ref="D9297:H9297"/>
    <mergeCell ref="D9298:H9298"/>
    <mergeCell ref="D8966:H8966"/>
    <mergeCell ref="D8967:H8967"/>
    <mergeCell ref="D8968:H8968"/>
    <mergeCell ref="D8969:H8969"/>
    <mergeCell ref="D8970:H8970"/>
    <mergeCell ref="D8994:H8994"/>
    <mergeCell ref="D9029:H9029"/>
    <mergeCell ref="D9030:H9030"/>
    <mergeCell ref="D8938:H8938"/>
    <mergeCell ref="D8939:H8939"/>
    <mergeCell ref="D8940:H8940"/>
    <mergeCell ref="D8964:H8964"/>
    <mergeCell ref="D8965:E8965"/>
    <mergeCell ref="G8965:H8965"/>
    <mergeCell ref="D8910:H8910"/>
    <mergeCell ref="D8934:H8934"/>
    <mergeCell ref="D8935:E8935"/>
    <mergeCell ref="G8935:H8935"/>
    <mergeCell ref="D8936:H8936"/>
    <mergeCell ref="D8937:H8937"/>
    <mergeCell ref="D8905:E8905"/>
    <mergeCell ref="G8905:H8905"/>
    <mergeCell ref="D8906:H8906"/>
    <mergeCell ref="D8907:H8907"/>
    <mergeCell ref="D8908:H8908"/>
    <mergeCell ref="D8909:H8909"/>
    <mergeCell ref="D8876:H8876"/>
    <mergeCell ref="D8877:H8877"/>
    <mergeCell ref="D8878:H8878"/>
    <mergeCell ref="D8879:H8879"/>
    <mergeCell ref="D8880:H8880"/>
    <mergeCell ref="D8904:H8904"/>
    <mergeCell ref="D8848:H8848"/>
    <mergeCell ref="D8849:H8849"/>
    <mergeCell ref="D8850:H8850"/>
    <mergeCell ref="D8874:H8874"/>
    <mergeCell ref="D8875:E8875"/>
    <mergeCell ref="G8875:H8875"/>
    <mergeCell ref="D8844:H8844"/>
    <mergeCell ref="D8845:E8845"/>
    <mergeCell ref="G8845:H8845"/>
    <mergeCell ref="D8846:H8846"/>
    <mergeCell ref="D8847:H8847"/>
    <mergeCell ref="D8815:E8815"/>
    <mergeCell ref="G8815:H8815"/>
    <mergeCell ref="D8816:H8816"/>
    <mergeCell ref="D8817:H8817"/>
    <mergeCell ref="D8818:H8818"/>
    <mergeCell ref="D8819:H8819"/>
    <mergeCell ref="D8786:H8786"/>
    <mergeCell ref="D8787:H8787"/>
    <mergeCell ref="D8788:H8788"/>
    <mergeCell ref="D8789:H8789"/>
    <mergeCell ref="D8790:H8790"/>
    <mergeCell ref="D8814:H8814"/>
    <mergeCell ref="D8820:H8820"/>
    <mergeCell ref="D8758:H8758"/>
    <mergeCell ref="D8759:H8759"/>
    <mergeCell ref="D8760:H8760"/>
    <mergeCell ref="D8784:H8784"/>
    <mergeCell ref="D8785:E8785"/>
    <mergeCell ref="G8785:H8785"/>
    <mergeCell ref="D8730:H8730"/>
    <mergeCell ref="D8754:H8754"/>
    <mergeCell ref="D8755:E8755"/>
    <mergeCell ref="G8755:H8755"/>
    <mergeCell ref="D8756:H8756"/>
    <mergeCell ref="D8757:H8757"/>
    <mergeCell ref="D8725:E8725"/>
    <mergeCell ref="G8725:H8725"/>
    <mergeCell ref="D8726:H8726"/>
    <mergeCell ref="D8727:H8727"/>
    <mergeCell ref="D8728:H8728"/>
    <mergeCell ref="D8729:H8729"/>
    <mergeCell ref="D8696:H8696"/>
    <mergeCell ref="D8697:H8697"/>
    <mergeCell ref="D8698:H8698"/>
    <mergeCell ref="D8699:H8699"/>
    <mergeCell ref="D8700:H8700"/>
    <mergeCell ref="D8724:H8724"/>
    <mergeCell ref="D8668:H8668"/>
    <mergeCell ref="D8669:H8669"/>
    <mergeCell ref="D8670:H8670"/>
    <mergeCell ref="D8694:H8694"/>
    <mergeCell ref="D8695:E8695"/>
    <mergeCell ref="G8695:H8695"/>
    <mergeCell ref="D8640:H8640"/>
    <mergeCell ref="D8664:H8664"/>
    <mergeCell ref="D8665:E8665"/>
    <mergeCell ref="G8665:H8665"/>
    <mergeCell ref="D8666:H8666"/>
    <mergeCell ref="D8667:H8667"/>
    <mergeCell ref="D8635:E8635"/>
    <mergeCell ref="G8635:H8635"/>
    <mergeCell ref="D8636:H8636"/>
    <mergeCell ref="D8637:H8637"/>
    <mergeCell ref="D8638:H8638"/>
    <mergeCell ref="D8639:H8639"/>
    <mergeCell ref="D8606:H8606"/>
    <mergeCell ref="D8607:H8607"/>
    <mergeCell ref="D8608:H8608"/>
    <mergeCell ref="D8609:H8609"/>
    <mergeCell ref="D8610:H8610"/>
    <mergeCell ref="D8634:H8634"/>
    <mergeCell ref="D8578:H8578"/>
    <mergeCell ref="D8579:H8579"/>
    <mergeCell ref="D8580:H8580"/>
    <mergeCell ref="D8604:H8604"/>
    <mergeCell ref="D8605:E8605"/>
    <mergeCell ref="G8605:H8605"/>
    <mergeCell ref="D8550:H8550"/>
    <mergeCell ref="D8574:H8574"/>
    <mergeCell ref="D8575:E8575"/>
    <mergeCell ref="G8575:H8575"/>
    <mergeCell ref="D8576:H8576"/>
    <mergeCell ref="D8577:H8577"/>
    <mergeCell ref="D8545:E8545"/>
    <mergeCell ref="G8545:H8545"/>
    <mergeCell ref="D8546:H8546"/>
    <mergeCell ref="D8547:H8547"/>
    <mergeCell ref="D8548:H8548"/>
    <mergeCell ref="D8549:H8549"/>
    <mergeCell ref="D8516:H8516"/>
    <mergeCell ref="D8517:H8517"/>
    <mergeCell ref="D8518:H8518"/>
    <mergeCell ref="D8519:H8519"/>
    <mergeCell ref="D8520:H8520"/>
    <mergeCell ref="D8544:H8544"/>
    <mergeCell ref="D8488:H8488"/>
    <mergeCell ref="D8489:H8489"/>
    <mergeCell ref="D8490:H8490"/>
    <mergeCell ref="D8514:H8514"/>
    <mergeCell ref="D8515:E8515"/>
    <mergeCell ref="G8515:H8515"/>
    <mergeCell ref="D8460:H8460"/>
    <mergeCell ref="D8484:H8484"/>
    <mergeCell ref="D8485:E8485"/>
    <mergeCell ref="G8485:H8485"/>
    <mergeCell ref="D8486:H8486"/>
    <mergeCell ref="D8487:H8487"/>
    <mergeCell ref="D8455:E8455"/>
    <mergeCell ref="G8455:H8455"/>
    <mergeCell ref="D8456:H8456"/>
    <mergeCell ref="D8457:H8457"/>
    <mergeCell ref="D8458:H8458"/>
    <mergeCell ref="D8459:H8459"/>
    <mergeCell ref="D8426:H8426"/>
    <mergeCell ref="D8427:H8427"/>
    <mergeCell ref="D8428:H8428"/>
    <mergeCell ref="D8429:H8429"/>
    <mergeCell ref="D8430:H8430"/>
    <mergeCell ref="D8454:H8454"/>
    <mergeCell ref="D8398:H8398"/>
    <mergeCell ref="D8399:H8399"/>
    <mergeCell ref="D8400:H8400"/>
    <mergeCell ref="D8424:H8424"/>
    <mergeCell ref="D8425:E8425"/>
    <mergeCell ref="G8425:H8425"/>
    <mergeCell ref="D7470:H7470"/>
    <mergeCell ref="D8394:H8394"/>
    <mergeCell ref="D8395:E8395"/>
    <mergeCell ref="G8395:H8395"/>
    <mergeCell ref="D8396:H8396"/>
    <mergeCell ref="D8397:H8397"/>
    <mergeCell ref="D7494:H7494"/>
    <mergeCell ref="D7495:E7495"/>
    <mergeCell ref="G7495:H7495"/>
    <mergeCell ref="D7496:H7496"/>
    <mergeCell ref="D7497:H7497"/>
    <mergeCell ref="D7498:H7498"/>
    <mergeCell ref="D7499:H7499"/>
    <mergeCell ref="D7500:H7500"/>
    <mergeCell ref="D7524:H7524"/>
    <mergeCell ref="D7525:E7525"/>
    <mergeCell ref="G7525:H7525"/>
    <mergeCell ref="D7526:H7526"/>
    <mergeCell ref="D7527:H7527"/>
    <mergeCell ref="D7528:H7528"/>
    <mergeCell ref="D7465:E7465"/>
    <mergeCell ref="G7465:H7465"/>
    <mergeCell ref="D7466:H7466"/>
    <mergeCell ref="D7467:H7467"/>
    <mergeCell ref="D7468:H7468"/>
    <mergeCell ref="D7469:H7469"/>
    <mergeCell ref="D7436:H7436"/>
    <mergeCell ref="D7437:H7437"/>
    <mergeCell ref="D7438:H7438"/>
    <mergeCell ref="D7439:H7439"/>
    <mergeCell ref="D7440:H7440"/>
    <mergeCell ref="D7464:H7464"/>
    <mergeCell ref="D7408:H7408"/>
    <mergeCell ref="D7409:H7409"/>
    <mergeCell ref="D7410:H7410"/>
    <mergeCell ref="D7434:H7434"/>
    <mergeCell ref="D7435:E7435"/>
    <mergeCell ref="G7435:H7435"/>
    <mergeCell ref="D7380:H7380"/>
    <mergeCell ref="D7404:H7404"/>
    <mergeCell ref="D7405:E7405"/>
    <mergeCell ref="G7405:H7405"/>
    <mergeCell ref="D7406:H7406"/>
    <mergeCell ref="D7407:H7407"/>
    <mergeCell ref="D7375:E7375"/>
    <mergeCell ref="G7375:H7375"/>
    <mergeCell ref="D7376:H7376"/>
    <mergeCell ref="D7377:H7377"/>
    <mergeCell ref="D7378:H7378"/>
    <mergeCell ref="D7379:H7379"/>
    <mergeCell ref="D7346:H7346"/>
    <mergeCell ref="D7347:H7347"/>
    <mergeCell ref="D7348:H7348"/>
    <mergeCell ref="D7349:H7349"/>
    <mergeCell ref="D7350:H7350"/>
    <mergeCell ref="D7374:H7374"/>
    <mergeCell ref="D7318:H7318"/>
    <mergeCell ref="D7319:H7319"/>
    <mergeCell ref="D7320:H7320"/>
    <mergeCell ref="D7344:H7344"/>
    <mergeCell ref="D7345:E7345"/>
    <mergeCell ref="G7345:H7345"/>
    <mergeCell ref="D7290:H7290"/>
    <mergeCell ref="D7314:H7314"/>
    <mergeCell ref="D7315:E7315"/>
    <mergeCell ref="G7315:H7315"/>
    <mergeCell ref="D7316:H7316"/>
    <mergeCell ref="D7317:H7317"/>
    <mergeCell ref="D7285:E7285"/>
    <mergeCell ref="G7285:H7285"/>
    <mergeCell ref="D7286:H7286"/>
    <mergeCell ref="D7287:H7287"/>
    <mergeCell ref="D7288:H7288"/>
    <mergeCell ref="D7289:H7289"/>
    <mergeCell ref="D7284:H7284"/>
    <mergeCell ref="D7198:H7198"/>
    <mergeCell ref="D7199:H7199"/>
    <mergeCell ref="D7200:H7200"/>
    <mergeCell ref="D7224:H7224"/>
    <mergeCell ref="D7225:E7225"/>
    <mergeCell ref="G7225:H7225"/>
    <mergeCell ref="D7170:H7170"/>
    <mergeCell ref="D7194:H7194"/>
    <mergeCell ref="D7195:E7195"/>
    <mergeCell ref="G7195:H7195"/>
    <mergeCell ref="D7196:H7196"/>
    <mergeCell ref="D7197:H7197"/>
    <mergeCell ref="D7259:H7259"/>
    <mergeCell ref="D7260:H7260"/>
    <mergeCell ref="D7165:E7165"/>
    <mergeCell ref="G7165:H7165"/>
    <mergeCell ref="D7166:H7166"/>
    <mergeCell ref="D7167:H7167"/>
    <mergeCell ref="D7168:H7168"/>
    <mergeCell ref="D7169:H7169"/>
    <mergeCell ref="D7135:E7135"/>
    <mergeCell ref="G7135:H7135"/>
    <mergeCell ref="D7080:H7080"/>
    <mergeCell ref="D7104:H7104"/>
    <mergeCell ref="D7105:E7105"/>
    <mergeCell ref="G7105:H7105"/>
    <mergeCell ref="D7106:H7106"/>
    <mergeCell ref="D7107:H7107"/>
    <mergeCell ref="D7075:E7075"/>
    <mergeCell ref="G7075:H7075"/>
    <mergeCell ref="D7076:H7076"/>
    <mergeCell ref="D7077:H7077"/>
    <mergeCell ref="D7078:H7078"/>
    <mergeCell ref="D7079:H7079"/>
    <mergeCell ref="D7046:H7046"/>
    <mergeCell ref="D7047:H7047"/>
    <mergeCell ref="D7048:H7048"/>
    <mergeCell ref="D7049:H7049"/>
    <mergeCell ref="D7050:H7050"/>
    <mergeCell ref="D7074:H7074"/>
    <mergeCell ref="D7018:H7018"/>
    <mergeCell ref="D7019:H7019"/>
    <mergeCell ref="D7020:H7020"/>
    <mergeCell ref="D7044:H7044"/>
    <mergeCell ref="D7045:E7045"/>
    <mergeCell ref="G7045:H7045"/>
    <mergeCell ref="D6990:H6990"/>
    <mergeCell ref="D7014:H7014"/>
    <mergeCell ref="D7015:E7015"/>
    <mergeCell ref="G7015:H7015"/>
    <mergeCell ref="D7016:H7016"/>
    <mergeCell ref="D7017:H7017"/>
    <mergeCell ref="D6985:E6985"/>
    <mergeCell ref="G6985:H6985"/>
    <mergeCell ref="D6986:H6986"/>
    <mergeCell ref="D6987:H6987"/>
    <mergeCell ref="D6988:H6988"/>
    <mergeCell ref="D6989:H6989"/>
    <mergeCell ref="D6956:H6956"/>
    <mergeCell ref="D6957:H6957"/>
    <mergeCell ref="D6958:H6958"/>
    <mergeCell ref="D6959:H6959"/>
    <mergeCell ref="D6960:H6960"/>
    <mergeCell ref="D6984:H6984"/>
    <mergeCell ref="D6928:H6928"/>
    <mergeCell ref="D6929:H6929"/>
    <mergeCell ref="D6930:H6930"/>
    <mergeCell ref="D6954:H6954"/>
    <mergeCell ref="D6955:E6955"/>
    <mergeCell ref="G6955:H6955"/>
    <mergeCell ref="D6900:H6900"/>
    <mergeCell ref="D6924:H6924"/>
    <mergeCell ref="D6925:E6925"/>
    <mergeCell ref="G6925:H6925"/>
    <mergeCell ref="D6926:H6926"/>
    <mergeCell ref="D6927:H6927"/>
    <mergeCell ref="D6895:E6895"/>
    <mergeCell ref="G6895:H6895"/>
    <mergeCell ref="D6896:H6896"/>
    <mergeCell ref="D6897:H6897"/>
    <mergeCell ref="D6898:H6898"/>
    <mergeCell ref="D6899:H6899"/>
    <mergeCell ref="D6866:H6866"/>
    <mergeCell ref="D6867:H6867"/>
    <mergeCell ref="D6868:H6868"/>
    <mergeCell ref="D6869:H6869"/>
    <mergeCell ref="D6870:H6870"/>
    <mergeCell ref="D6894:H6894"/>
    <mergeCell ref="D6838:H6838"/>
    <mergeCell ref="D6839:H6839"/>
    <mergeCell ref="D6840:H6840"/>
    <mergeCell ref="D6864:H6864"/>
    <mergeCell ref="D6865:E6865"/>
    <mergeCell ref="G6865:H6865"/>
    <mergeCell ref="D6810:H6810"/>
    <mergeCell ref="D6834:H6834"/>
    <mergeCell ref="D6835:E6835"/>
    <mergeCell ref="G6835:H6835"/>
    <mergeCell ref="D6836:H6836"/>
    <mergeCell ref="D6837:H6837"/>
    <mergeCell ref="D6805:E6805"/>
    <mergeCell ref="G6805:H6805"/>
    <mergeCell ref="D6806:H6806"/>
    <mergeCell ref="D6807:H6807"/>
    <mergeCell ref="D6808:H6808"/>
    <mergeCell ref="D6809:H6809"/>
    <mergeCell ref="D6776:H6776"/>
    <mergeCell ref="D6777:H6777"/>
    <mergeCell ref="D6778:H6778"/>
    <mergeCell ref="D6779:H6779"/>
    <mergeCell ref="D6780:H6780"/>
    <mergeCell ref="D6804:H6804"/>
    <mergeCell ref="D6654:H6654"/>
    <mergeCell ref="D6655:E6655"/>
    <mergeCell ref="G6655:H6655"/>
    <mergeCell ref="D6656:H6656"/>
    <mergeCell ref="D6657:H6657"/>
    <mergeCell ref="D6625:E6625"/>
    <mergeCell ref="G6625:H6625"/>
    <mergeCell ref="D6626:H6626"/>
    <mergeCell ref="D6627:H6627"/>
    <mergeCell ref="D6628:H6628"/>
    <mergeCell ref="D6629:H6629"/>
    <mergeCell ref="D6746:H6746"/>
    <mergeCell ref="D6747:H6747"/>
    <mergeCell ref="D6715:E6715"/>
    <mergeCell ref="G6715:H6715"/>
    <mergeCell ref="D6716:H6716"/>
    <mergeCell ref="D6717:H6717"/>
    <mergeCell ref="D6718:H6718"/>
    <mergeCell ref="D6719:H6719"/>
    <mergeCell ref="D6686:H6686"/>
    <mergeCell ref="D6687:H6687"/>
    <mergeCell ref="D6688:H6688"/>
    <mergeCell ref="D6689:H6689"/>
    <mergeCell ref="D6690:H6690"/>
    <mergeCell ref="D6714:H6714"/>
    <mergeCell ref="D6658:H6658"/>
    <mergeCell ref="D6659:H6659"/>
    <mergeCell ref="D6660:H6660"/>
    <mergeCell ref="D6684:H6684"/>
    <mergeCell ref="D6685:E6685"/>
    <mergeCell ref="G6685:H6685"/>
    <mergeCell ref="D6596:H6596"/>
    <mergeCell ref="D6597:H6597"/>
    <mergeCell ref="D6598:H6598"/>
    <mergeCell ref="D6599:H6599"/>
    <mergeCell ref="D6600:H6600"/>
    <mergeCell ref="D6624:H6624"/>
    <mergeCell ref="D6630:H6630"/>
    <mergeCell ref="D6568:H6568"/>
    <mergeCell ref="D6569:H6569"/>
    <mergeCell ref="D6570:H6570"/>
    <mergeCell ref="D6594:H6594"/>
    <mergeCell ref="D6595:E6595"/>
    <mergeCell ref="G6595:H6595"/>
    <mergeCell ref="D6540:H6540"/>
    <mergeCell ref="D6564:H6564"/>
    <mergeCell ref="D6565:E6565"/>
    <mergeCell ref="G6565:H6565"/>
    <mergeCell ref="D6566:H6566"/>
    <mergeCell ref="D6567:H6567"/>
    <mergeCell ref="D6535:E6535"/>
    <mergeCell ref="G6535:H6535"/>
    <mergeCell ref="D6536:H6536"/>
    <mergeCell ref="D6537:H6537"/>
    <mergeCell ref="D6538:H6538"/>
    <mergeCell ref="D6539:H6539"/>
    <mergeCell ref="D6506:H6506"/>
    <mergeCell ref="D6507:H6507"/>
    <mergeCell ref="D6508:H6508"/>
    <mergeCell ref="D6509:H6509"/>
    <mergeCell ref="D6510:H6510"/>
    <mergeCell ref="D6534:H6534"/>
    <mergeCell ref="D6478:H6478"/>
    <mergeCell ref="D6479:H6479"/>
    <mergeCell ref="D6480:H6480"/>
    <mergeCell ref="D6504:H6504"/>
    <mergeCell ref="D6505:E6505"/>
    <mergeCell ref="G6505:H6505"/>
    <mergeCell ref="D6420:H6420"/>
    <mergeCell ref="D6474:H6474"/>
    <mergeCell ref="D6475:E6475"/>
    <mergeCell ref="G6475:H6475"/>
    <mergeCell ref="D6476:H6476"/>
    <mergeCell ref="D6477:H6477"/>
    <mergeCell ref="D6444:H6444"/>
    <mergeCell ref="D6445:E6445"/>
    <mergeCell ref="G6445:H6445"/>
    <mergeCell ref="D6446:H6446"/>
    <mergeCell ref="D6447:H6447"/>
    <mergeCell ref="D6448:H6448"/>
    <mergeCell ref="D6449:H6449"/>
    <mergeCell ref="D6450:H6450"/>
    <mergeCell ref="D6415:E6415"/>
    <mergeCell ref="G6415:H6415"/>
    <mergeCell ref="D6416:H6416"/>
    <mergeCell ref="D6417:H6417"/>
    <mergeCell ref="D6418:H6418"/>
    <mergeCell ref="D6419:H6419"/>
    <mergeCell ref="D6386:H6386"/>
    <mergeCell ref="D6387:H6387"/>
    <mergeCell ref="D6388:H6388"/>
    <mergeCell ref="D6389:H6389"/>
    <mergeCell ref="D6390:H6390"/>
    <mergeCell ref="D6414:H6414"/>
    <mergeCell ref="D6358:H6358"/>
    <mergeCell ref="D6359:H6359"/>
    <mergeCell ref="D6360:H6360"/>
    <mergeCell ref="D6384:H6384"/>
    <mergeCell ref="D6385:E6385"/>
    <mergeCell ref="G6385:H6385"/>
    <mergeCell ref="D6300:H6300"/>
    <mergeCell ref="D6354:H6354"/>
    <mergeCell ref="D6355:E6355"/>
    <mergeCell ref="G6355:H6355"/>
    <mergeCell ref="D6356:H6356"/>
    <mergeCell ref="D6357:H6357"/>
    <mergeCell ref="D6295:E6295"/>
    <mergeCell ref="G6295:H6295"/>
    <mergeCell ref="D6296:H6296"/>
    <mergeCell ref="D6297:H6297"/>
    <mergeCell ref="D6298:H6298"/>
    <mergeCell ref="D6299:H6299"/>
    <mergeCell ref="D6266:H6266"/>
    <mergeCell ref="D6267:H6267"/>
    <mergeCell ref="D6268:H6268"/>
    <mergeCell ref="D6269:H6269"/>
    <mergeCell ref="D6270:H6270"/>
    <mergeCell ref="D6294:H6294"/>
    <mergeCell ref="D6238:H6238"/>
    <mergeCell ref="D6239:H6239"/>
    <mergeCell ref="D6240:H6240"/>
    <mergeCell ref="D6264:H6264"/>
    <mergeCell ref="D6265:E6265"/>
    <mergeCell ref="G6265:H6265"/>
    <mergeCell ref="D6210:H6210"/>
    <mergeCell ref="D6234:H6234"/>
    <mergeCell ref="D6235:E6235"/>
    <mergeCell ref="G6235:H6235"/>
    <mergeCell ref="D6236:H6236"/>
    <mergeCell ref="D6237:H6237"/>
    <mergeCell ref="D6205:E6205"/>
    <mergeCell ref="G6205:H6205"/>
    <mergeCell ref="D6206:H6206"/>
    <mergeCell ref="D6207:H6207"/>
    <mergeCell ref="D6208:H6208"/>
    <mergeCell ref="D6209:H6209"/>
    <mergeCell ref="D6176:H6176"/>
    <mergeCell ref="D6177:H6177"/>
    <mergeCell ref="D6178:H6178"/>
    <mergeCell ref="D6179:H6179"/>
    <mergeCell ref="D6180:H6180"/>
    <mergeCell ref="D6204:H6204"/>
    <mergeCell ref="D6148:H6148"/>
    <mergeCell ref="D6149:H6149"/>
    <mergeCell ref="D6150:H6150"/>
    <mergeCell ref="D6174:H6174"/>
    <mergeCell ref="D6175:E6175"/>
    <mergeCell ref="G6175:H6175"/>
    <mergeCell ref="D6120:H6120"/>
    <mergeCell ref="D6144:H6144"/>
    <mergeCell ref="D6145:E6145"/>
    <mergeCell ref="G6145:H6145"/>
    <mergeCell ref="D6146:H6146"/>
    <mergeCell ref="D6147:H6147"/>
    <mergeCell ref="D6115:E6115"/>
    <mergeCell ref="G6115:H6115"/>
    <mergeCell ref="D6116:H6116"/>
    <mergeCell ref="D6117:H6117"/>
    <mergeCell ref="D6118:H6118"/>
    <mergeCell ref="D6119:H6119"/>
    <mergeCell ref="D6086:H6086"/>
    <mergeCell ref="D6087:H6087"/>
    <mergeCell ref="D6088:H6088"/>
    <mergeCell ref="D6089:H6089"/>
    <mergeCell ref="D6090:H6090"/>
    <mergeCell ref="D6114:H6114"/>
    <mergeCell ref="D6058:H6058"/>
    <mergeCell ref="D6059:H6059"/>
    <mergeCell ref="D6060:H6060"/>
    <mergeCell ref="D6084:H6084"/>
    <mergeCell ref="D6085:E6085"/>
    <mergeCell ref="G6085:H6085"/>
    <mergeCell ref="D6030:H6030"/>
    <mergeCell ref="D6054:H6054"/>
    <mergeCell ref="D6055:E6055"/>
    <mergeCell ref="G6055:H6055"/>
    <mergeCell ref="D6056:H6056"/>
    <mergeCell ref="D6057:H6057"/>
    <mergeCell ref="D6025:E6025"/>
    <mergeCell ref="G6025:H6025"/>
    <mergeCell ref="D6026:H6026"/>
    <mergeCell ref="D6027:H6027"/>
    <mergeCell ref="D6028:H6028"/>
    <mergeCell ref="D6029:H6029"/>
    <mergeCell ref="D5486:H5486"/>
    <mergeCell ref="D5487:H5487"/>
    <mergeCell ref="D5488:H5488"/>
    <mergeCell ref="D5489:H5489"/>
    <mergeCell ref="D5490:H5490"/>
    <mergeCell ref="D6024:H6024"/>
    <mergeCell ref="D5514:H5514"/>
    <mergeCell ref="D5515:E5515"/>
    <mergeCell ref="G5515:H5515"/>
    <mergeCell ref="D5516:H5516"/>
    <mergeCell ref="D5517:H5517"/>
    <mergeCell ref="D5518:H5518"/>
    <mergeCell ref="D5519:H5519"/>
    <mergeCell ref="D5520:H5520"/>
    <mergeCell ref="D5544:H5544"/>
    <mergeCell ref="D5545:E5545"/>
    <mergeCell ref="G5545:H5545"/>
    <mergeCell ref="D5546:H5546"/>
    <mergeCell ref="D5547:H5547"/>
    <mergeCell ref="D5548:H5548"/>
    <mergeCell ref="D5549:H5549"/>
    <mergeCell ref="D5550:H5550"/>
    <mergeCell ref="D5574:H5574"/>
    <mergeCell ref="D5575:E5575"/>
    <mergeCell ref="G5575:H5575"/>
    <mergeCell ref="D5576:H5576"/>
    <mergeCell ref="D5458:H5458"/>
    <mergeCell ref="D5459:H5459"/>
    <mergeCell ref="D5460:H5460"/>
    <mergeCell ref="D5484:H5484"/>
    <mergeCell ref="D5485:E5485"/>
    <mergeCell ref="G5485:H5485"/>
    <mergeCell ref="D5430:H5430"/>
    <mergeCell ref="D5454:H5454"/>
    <mergeCell ref="D5455:E5455"/>
    <mergeCell ref="G5455:H5455"/>
    <mergeCell ref="D5456:H5456"/>
    <mergeCell ref="D5457:H5457"/>
    <mergeCell ref="D5425:E5425"/>
    <mergeCell ref="G5425:H5425"/>
    <mergeCell ref="D5426:H5426"/>
    <mergeCell ref="D5427:H5427"/>
    <mergeCell ref="D5428:H5428"/>
    <mergeCell ref="D5429:H5429"/>
    <mergeCell ref="D5396:H5396"/>
    <mergeCell ref="D5397:H5397"/>
    <mergeCell ref="D5398:H5398"/>
    <mergeCell ref="D5399:H5399"/>
    <mergeCell ref="D5400:H5400"/>
    <mergeCell ref="D5424:H5424"/>
    <mergeCell ref="D5368:H5368"/>
    <mergeCell ref="D5369:H5369"/>
    <mergeCell ref="D5370:H5370"/>
    <mergeCell ref="D5394:H5394"/>
    <mergeCell ref="D5395:E5395"/>
    <mergeCell ref="G5395:H5395"/>
    <mergeCell ref="D5340:H5340"/>
    <mergeCell ref="D5364:H5364"/>
    <mergeCell ref="D5365:E5365"/>
    <mergeCell ref="G5365:H5365"/>
    <mergeCell ref="D5366:H5366"/>
    <mergeCell ref="D5367:H5367"/>
    <mergeCell ref="D5335:E5335"/>
    <mergeCell ref="G5335:H5335"/>
    <mergeCell ref="D5336:H5336"/>
    <mergeCell ref="D5337:H5337"/>
    <mergeCell ref="D5338:H5338"/>
    <mergeCell ref="D5339:H5339"/>
    <mergeCell ref="D5306:H5306"/>
    <mergeCell ref="D5307:H5307"/>
    <mergeCell ref="D5308:H5308"/>
    <mergeCell ref="D5309:H5309"/>
    <mergeCell ref="D5310:H5310"/>
    <mergeCell ref="D5334:H5334"/>
    <mergeCell ref="D5278:H5278"/>
    <mergeCell ref="D5279:H5279"/>
    <mergeCell ref="D5280:H5280"/>
    <mergeCell ref="D5304:H5304"/>
    <mergeCell ref="D5305:E5305"/>
    <mergeCell ref="G5305:H5305"/>
    <mergeCell ref="D5274:H5274"/>
    <mergeCell ref="D5275:E5275"/>
    <mergeCell ref="G5275:H5275"/>
    <mergeCell ref="D5276:H5276"/>
    <mergeCell ref="D5277:H5277"/>
    <mergeCell ref="D5246:H5246"/>
    <mergeCell ref="D5247:H5247"/>
    <mergeCell ref="D5248:H5248"/>
    <mergeCell ref="D5249:H5249"/>
    <mergeCell ref="D5250:H5250"/>
    <mergeCell ref="D5218:H5218"/>
    <mergeCell ref="D5219:H5219"/>
    <mergeCell ref="D5220:H5220"/>
    <mergeCell ref="D5244:H5244"/>
    <mergeCell ref="D5245:E5245"/>
    <mergeCell ref="G5245:H5245"/>
    <mergeCell ref="D5190:H5190"/>
    <mergeCell ref="D5214:H5214"/>
    <mergeCell ref="D5215:E5215"/>
    <mergeCell ref="G5215:H5215"/>
    <mergeCell ref="D5216:H5216"/>
    <mergeCell ref="D5217:H5217"/>
    <mergeCell ref="D5185:E5185"/>
    <mergeCell ref="G5185:H5185"/>
    <mergeCell ref="D5186:H5186"/>
    <mergeCell ref="D5187:H5187"/>
    <mergeCell ref="D5188:H5188"/>
    <mergeCell ref="D5189:H5189"/>
    <mergeCell ref="D5156:H5156"/>
    <mergeCell ref="D5157:H5157"/>
    <mergeCell ref="D5158:H5158"/>
    <mergeCell ref="D5159:H5159"/>
    <mergeCell ref="D5160:H5160"/>
    <mergeCell ref="D5184:H5184"/>
    <mergeCell ref="D5128:H5128"/>
    <mergeCell ref="D5129:H5129"/>
    <mergeCell ref="D5130:H5130"/>
    <mergeCell ref="D5154:H5154"/>
    <mergeCell ref="D5155:E5155"/>
    <mergeCell ref="G5155:H5155"/>
    <mergeCell ref="D5100:H5100"/>
    <mergeCell ref="D5124:H5124"/>
    <mergeCell ref="D5125:E5125"/>
    <mergeCell ref="G5125:H5125"/>
    <mergeCell ref="D5126:H5126"/>
    <mergeCell ref="D5127:H5127"/>
    <mergeCell ref="D5095:E5095"/>
    <mergeCell ref="G5095:H5095"/>
    <mergeCell ref="D5096:H5096"/>
    <mergeCell ref="D5097:H5097"/>
    <mergeCell ref="D5098:H5098"/>
    <mergeCell ref="D5099:H5099"/>
    <mergeCell ref="D5066:H5066"/>
    <mergeCell ref="D5067:H5067"/>
    <mergeCell ref="D5068:H5068"/>
    <mergeCell ref="D5069:H5069"/>
    <mergeCell ref="D5070:H5070"/>
    <mergeCell ref="D5094:H5094"/>
    <mergeCell ref="D5038:H5038"/>
    <mergeCell ref="D5039:H5039"/>
    <mergeCell ref="D5040:H5040"/>
    <mergeCell ref="D5064:H5064"/>
    <mergeCell ref="D5065:E5065"/>
    <mergeCell ref="G5065:H5065"/>
    <mergeCell ref="D5010:H5010"/>
    <mergeCell ref="D5034:H5034"/>
    <mergeCell ref="D5035:E5035"/>
    <mergeCell ref="G5035:H5035"/>
    <mergeCell ref="D5036:H5036"/>
    <mergeCell ref="D5037:H5037"/>
    <mergeCell ref="D5005:E5005"/>
    <mergeCell ref="G5005:H5005"/>
    <mergeCell ref="D5006:H5006"/>
    <mergeCell ref="D5007:H5007"/>
    <mergeCell ref="D5008:H5008"/>
    <mergeCell ref="D5009:H5009"/>
    <mergeCell ref="D4976:H4976"/>
    <mergeCell ref="D4977:H4977"/>
    <mergeCell ref="D4978:H4978"/>
    <mergeCell ref="D4979:H4979"/>
    <mergeCell ref="D4980:H4980"/>
    <mergeCell ref="D5004:H5004"/>
    <mergeCell ref="D4948:H4948"/>
    <mergeCell ref="D4949:H4949"/>
    <mergeCell ref="D4950:H4950"/>
    <mergeCell ref="D4974:H4974"/>
    <mergeCell ref="D4975:E4975"/>
    <mergeCell ref="G4975:H4975"/>
    <mergeCell ref="D4920:H4920"/>
    <mergeCell ref="D4944:H4944"/>
    <mergeCell ref="D4945:E4945"/>
    <mergeCell ref="G4945:H4945"/>
    <mergeCell ref="D4946:H4946"/>
    <mergeCell ref="D4947:H4947"/>
    <mergeCell ref="D4915:E4915"/>
    <mergeCell ref="G4915:H4915"/>
    <mergeCell ref="D4916:H4916"/>
    <mergeCell ref="D4917:H4917"/>
    <mergeCell ref="D4918:H4918"/>
    <mergeCell ref="D4919:H4919"/>
    <mergeCell ref="D4886:H4886"/>
    <mergeCell ref="D4887:H4887"/>
    <mergeCell ref="D4888:H4888"/>
    <mergeCell ref="D4889:H4889"/>
    <mergeCell ref="D4890:H4890"/>
    <mergeCell ref="D4914:H4914"/>
    <mergeCell ref="D4858:H4858"/>
    <mergeCell ref="D4859:H4859"/>
    <mergeCell ref="D4860:H4860"/>
    <mergeCell ref="D4884:H4884"/>
    <mergeCell ref="D4885:E4885"/>
    <mergeCell ref="G4885:H4885"/>
    <mergeCell ref="D4830:H4830"/>
    <mergeCell ref="D4854:H4854"/>
    <mergeCell ref="D4855:E4855"/>
    <mergeCell ref="G4855:H4855"/>
    <mergeCell ref="D4856:H4856"/>
    <mergeCell ref="D4857:H4857"/>
    <mergeCell ref="D4825:E4825"/>
    <mergeCell ref="G4825:H4825"/>
    <mergeCell ref="D4826:H4826"/>
    <mergeCell ref="D4827:H4827"/>
    <mergeCell ref="D4828:H4828"/>
    <mergeCell ref="D4829:H4829"/>
    <mergeCell ref="D4796:H4796"/>
    <mergeCell ref="D4797:H4797"/>
    <mergeCell ref="D4798:H4798"/>
    <mergeCell ref="D4799:H4799"/>
    <mergeCell ref="D4800:H4800"/>
    <mergeCell ref="D4824:H4824"/>
    <mergeCell ref="D4768:H4768"/>
    <mergeCell ref="D4769:H4769"/>
    <mergeCell ref="D4770:H4770"/>
    <mergeCell ref="D4794:H4794"/>
    <mergeCell ref="D4795:E4795"/>
    <mergeCell ref="G4795:H4795"/>
    <mergeCell ref="D4740:H4740"/>
    <mergeCell ref="D4764:H4764"/>
    <mergeCell ref="D4765:E4765"/>
    <mergeCell ref="G4765:H4765"/>
    <mergeCell ref="D4766:H4766"/>
    <mergeCell ref="D4767:H4767"/>
    <mergeCell ref="D4735:E4735"/>
    <mergeCell ref="G4735:H4735"/>
    <mergeCell ref="D4736:H4736"/>
    <mergeCell ref="D4737:H4737"/>
    <mergeCell ref="D4738:H4738"/>
    <mergeCell ref="D4739:H4739"/>
    <mergeCell ref="D4706:H4706"/>
    <mergeCell ref="D4707:H4707"/>
    <mergeCell ref="D4708:H4708"/>
    <mergeCell ref="D4709:H4709"/>
    <mergeCell ref="D4710:H4710"/>
    <mergeCell ref="D4734:H4734"/>
    <mergeCell ref="D4678:H4678"/>
    <mergeCell ref="D4679:H4679"/>
    <mergeCell ref="D4680:H4680"/>
    <mergeCell ref="D4704:H4704"/>
    <mergeCell ref="D4705:E4705"/>
    <mergeCell ref="G4705:H4705"/>
    <mergeCell ref="D4650:H4650"/>
    <mergeCell ref="D4674:H4674"/>
    <mergeCell ref="D4675:E4675"/>
    <mergeCell ref="G4675:H4675"/>
    <mergeCell ref="D4676:H4676"/>
    <mergeCell ref="D4677:H4677"/>
    <mergeCell ref="D4645:E4645"/>
    <mergeCell ref="G4645:H4645"/>
    <mergeCell ref="D4646:H4646"/>
    <mergeCell ref="D4647:H4647"/>
    <mergeCell ref="D4648:H4648"/>
    <mergeCell ref="D4649:H4649"/>
    <mergeCell ref="D4616:H4616"/>
    <mergeCell ref="D4617:H4617"/>
    <mergeCell ref="D4618:H4618"/>
    <mergeCell ref="D4619:H4619"/>
    <mergeCell ref="D4620:H4620"/>
    <mergeCell ref="D4644:H4644"/>
    <mergeCell ref="D4588:H4588"/>
    <mergeCell ref="D4589:H4589"/>
    <mergeCell ref="D4590:H4590"/>
    <mergeCell ref="D4614:H4614"/>
    <mergeCell ref="D4615:E4615"/>
    <mergeCell ref="G4615:H4615"/>
    <mergeCell ref="D4560:H4560"/>
    <mergeCell ref="D4584:H4584"/>
    <mergeCell ref="D4585:E4585"/>
    <mergeCell ref="G4585:H4585"/>
    <mergeCell ref="D4586:H4586"/>
    <mergeCell ref="D4587:H4587"/>
    <mergeCell ref="D4555:E4555"/>
    <mergeCell ref="G4555:H4555"/>
    <mergeCell ref="D4556:H4556"/>
    <mergeCell ref="D4557:H4557"/>
    <mergeCell ref="D4558:H4558"/>
    <mergeCell ref="D4559:H4559"/>
    <mergeCell ref="D4526:H4526"/>
    <mergeCell ref="D4527:H4527"/>
    <mergeCell ref="D4528:H4528"/>
    <mergeCell ref="D4529:H4529"/>
    <mergeCell ref="D4530:H4530"/>
    <mergeCell ref="D4554:H4554"/>
    <mergeCell ref="D4498:H4498"/>
    <mergeCell ref="D4499:H4499"/>
    <mergeCell ref="D4500:H4500"/>
    <mergeCell ref="D4524:H4524"/>
    <mergeCell ref="D4525:E4525"/>
    <mergeCell ref="G4525:H4525"/>
    <mergeCell ref="D4470:H4470"/>
    <mergeCell ref="D4494:H4494"/>
    <mergeCell ref="D4495:E4495"/>
    <mergeCell ref="G4495:H4495"/>
    <mergeCell ref="D4496:H4496"/>
    <mergeCell ref="D4497:H4497"/>
    <mergeCell ref="D4465:E4465"/>
    <mergeCell ref="G4465:H4465"/>
    <mergeCell ref="D4466:H4466"/>
    <mergeCell ref="D4467:H4467"/>
    <mergeCell ref="D4468:H4468"/>
    <mergeCell ref="D4469:H4469"/>
    <mergeCell ref="D4436:H4436"/>
    <mergeCell ref="D4437:H4437"/>
    <mergeCell ref="D4438:H4438"/>
    <mergeCell ref="D4439:H4439"/>
    <mergeCell ref="D4440:H4440"/>
    <mergeCell ref="D4464:H4464"/>
    <mergeCell ref="D4408:H4408"/>
    <mergeCell ref="D4409:H4409"/>
    <mergeCell ref="D4410:H4410"/>
    <mergeCell ref="D4434:H4434"/>
    <mergeCell ref="D4435:E4435"/>
    <mergeCell ref="G4435:H4435"/>
    <mergeCell ref="D4404:H4404"/>
    <mergeCell ref="D4405:E4405"/>
    <mergeCell ref="G4405:H4405"/>
    <mergeCell ref="D4406:H4406"/>
    <mergeCell ref="D4407:H4407"/>
    <mergeCell ref="D2576:H2576"/>
    <mergeCell ref="D2577:H2577"/>
    <mergeCell ref="D2578:H2578"/>
    <mergeCell ref="D2579:H2579"/>
    <mergeCell ref="D2580:H2580"/>
    <mergeCell ref="D2548:H2548"/>
    <mergeCell ref="D2549:H2549"/>
    <mergeCell ref="D2550:H2550"/>
    <mergeCell ref="D2574:H2574"/>
    <mergeCell ref="D2575:E2575"/>
    <mergeCell ref="G2575:H2575"/>
    <mergeCell ref="D2520:H2520"/>
    <mergeCell ref="D2544:H2544"/>
    <mergeCell ref="D2545:E2545"/>
    <mergeCell ref="G2545:H2545"/>
    <mergeCell ref="D2546:H2546"/>
    <mergeCell ref="D2547:H2547"/>
    <mergeCell ref="D2515:E2515"/>
    <mergeCell ref="G2515:H2515"/>
    <mergeCell ref="D2516:H2516"/>
    <mergeCell ref="D2517:H2517"/>
    <mergeCell ref="D2518:H2518"/>
    <mergeCell ref="D2519:H2519"/>
    <mergeCell ref="D2486:H2486"/>
    <mergeCell ref="D2487:H2487"/>
    <mergeCell ref="D2488:H2488"/>
    <mergeCell ref="D2489:H2489"/>
    <mergeCell ref="D2490:H2490"/>
    <mergeCell ref="D2514:H2514"/>
    <mergeCell ref="D2458:H2458"/>
    <mergeCell ref="D2459:H2459"/>
    <mergeCell ref="D2460:H2460"/>
    <mergeCell ref="D2484:H2484"/>
    <mergeCell ref="D2485:E2485"/>
    <mergeCell ref="G2485:H2485"/>
    <mergeCell ref="D2430:H2430"/>
    <mergeCell ref="D2454:H2454"/>
    <mergeCell ref="D2455:E2455"/>
    <mergeCell ref="G2455:H2455"/>
    <mergeCell ref="D2456:H2456"/>
    <mergeCell ref="D2457:H2457"/>
    <mergeCell ref="D2425:E2425"/>
    <mergeCell ref="G2425:H2425"/>
    <mergeCell ref="D2426:H2426"/>
    <mergeCell ref="D2427:H2427"/>
    <mergeCell ref="D2428:H2428"/>
    <mergeCell ref="D2429:H2429"/>
    <mergeCell ref="D2396:H2396"/>
    <mergeCell ref="D2397:H2397"/>
    <mergeCell ref="D2398:H2398"/>
    <mergeCell ref="D2399:H2399"/>
    <mergeCell ref="D2400:H2400"/>
    <mergeCell ref="D2424:H2424"/>
    <mergeCell ref="D2368:H2368"/>
    <mergeCell ref="D2369:H2369"/>
    <mergeCell ref="D2370:H2370"/>
    <mergeCell ref="D2394:H2394"/>
    <mergeCell ref="D2395:E2395"/>
    <mergeCell ref="G2395:H2395"/>
    <mergeCell ref="D2340:H2340"/>
    <mergeCell ref="D2364:H2364"/>
    <mergeCell ref="D2365:E2365"/>
    <mergeCell ref="G2365:H2365"/>
    <mergeCell ref="D2366:H2366"/>
    <mergeCell ref="D2367:H2367"/>
    <mergeCell ref="D2335:E2335"/>
    <mergeCell ref="G2335:H2335"/>
    <mergeCell ref="D2336:H2336"/>
    <mergeCell ref="D2337:H2337"/>
    <mergeCell ref="D2338:H2338"/>
    <mergeCell ref="D2339:H2339"/>
    <mergeCell ref="D2306:H2306"/>
    <mergeCell ref="D2307:H2307"/>
    <mergeCell ref="D2308:H2308"/>
    <mergeCell ref="D2309:H2309"/>
    <mergeCell ref="D2310:H2310"/>
    <mergeCell ref="D2334:H2334"/>
    <mergeCell ref="D2278:H2278"/>
    <mergeCell ref="D2279:H2279"/>
    <mergeCell ref="D2280:H2280"/>
    <mergeCell ref="D2304:H2304"/>
    <mergeCell ref="D2305:E2305"/>
    <mergeCell ref="G2305:H2305"/>
    <mergeCell ref="D2250:H2250"/>
    <mergeCell ref="D2274:H2274"/>
    <mergeCell ref="D2275:E2275"/>
    <mergeCell ref="G2275:H2275"/>
    <mergeCell ref="D2276:H2276"/>
    <mergeCell ref="D2277:H2277"/>
    <mergeCell ref="D2245:E2245"/>
    <mergeCell ref="G2245:H2245"/>
    <mergeCell ref="D2246:H2246"/>
    <mergeCell ref="D2247:H2247"/>
    <mergeCell ref="D2248:H2248"/>
    <mergeCell ref="D2249:H2249"/>
    <mergeCell ref="D2216:H2216"/>
    <mergeCell ref="D2217:H2217"/>
    <mergeCell ref="D2218:H2218"/>
    <mergeCell ref="D2219:H2219"/>
    <mergeCell ref="D2220:H2220"/>
    <mergeCell ref="D2244:H2244"/>
    <mergeCell ref="D2188:H2188"/>
    <mergeCell ref="D2189:H2189"/>
    <mergeCell ref="D2190:H2190"/>
    <mergeCell ref="D2214:H2214"/>
    <mergeCell ref="D2215:E2215"/>
    <mergeCell ref="G2215:H2215"/>
    <mergeCell ref="D2160:H2160"/>
    <mergeCell ref="D2184:H2184"/>
    <mergeCell ref="D2185:E2185"/>
    <mergeCell ref="G2185:H2185"/>
    <mergeCell ref="D2186:H2186"/>
    <mergeCell ref="D2187:H2187"/>
    <mergeCell ref="D2155:E2155"/>
    <mergeCell ref="G2155:H2155"/>
    <mergeCell ref="D2156:H2156"/>
    <mergeCell ref="D2157:H2157"/>
    <mergeCell ref="D2158:H2158"/>
    <mergeCell ref="D2159:H2159"/>
    <mergeCell ref="D2096:H2096"/>
    <mergeCell ref="D2097:H2097"/>
    <mergeCell ref="D2098:H2098"/>
    <mergeCell ref="D2099:H2099"/>
    <mergeCell ref="D2100:H2100"/>
    <mergeCell ref="D2154:H2154"/>
    <mergeCell ref="D2124:H2124"/>
    <mergeCell ref="D2125:E2125"/>
    <mergeCell ref="G2125:H2125"/>
    <mergeCell ref="D2126:H2126"/>
    <mergeCell ref="D2127:H2127"/>
    <mergeCell ref="D2128:H2128"/>
    <mergeCell ref="D2129:H2129"/>
    <mergeCell ref="D2130:H2130"/>
    <mergeCell ref="D2068:H2068"/>
    <mergeCell ref="D2069:H2069"/>
    <mergeCell ref="D2070:H2070"/>
    <mergeCell ref="D2094:H2094"/>
    <mergeCell ref="D2095:E2095"/>
    <mergeCell ref="G2095:H2095"/>
    <mergeCell ref="D2040:H2040"/>
    <mergeCell ref="D2064:H2064"/>
    <mergeCell ref="D2065:E2065"/>
    <mergeCell ref="G2065:H2065"/>
    <mergeCell ref="D2066:H2066"/>
    <mergeCell ref="D2067:H2067"/>
    <mergeCell ref="D2035:E2035"/>
    <mergeCell ref="G2035:H2035"/>
    <mergeCell ref="D2036:H2036"/>
    <mergeCell ref="D2037:H2037"/>
    <mergeCell ref="D2038:H2038"/>
    <mergeCell ref="D2039:H2039"/>
    <mergeCell ref="D1948:H1948"/>
    <mergeCell ref="D1949:H1949"/>
    <mergeCell ref="D1916:H1916"/>
    <mergeCell ref="D1917:H1917"/>
    <mergeCell ref="D1918:H1918"/>
    <mergeCell ref="D1919:H1919"/>
    <mergeCell ref="D1920:H1920"/>
    <mergeCell ref="D1944:H1944"/>
    <mergeCell ref="D1914:H1914"/>
    <mergeCell ref="D1915:E1915"/>
    <mergeCell ref="G1915:H1915"/>
    <mergeCell ref="D2006:H2006"/>
    <mergeCell ref="D2007:H2007"/>
    <mergeCell ref="D2008:H2008"/>
    <mergeCell ref="D2009:H2009"/>
    <mergeCell ref="D2010:H2010"/>
    <mergeCell ref="D2034:H2034"/>
    <mergeCell ref="D1978:H1978"/>
    <mergeCell ref="D1979:H1979"/>
    <mergeCell ref="D1980:H1980"/>
    <mergeCell ref="D2004:H2004"/>
    <mergeCell ref="D2005:E2005"/>
    <mergeCell ref="G2005:H2005"/>
    <mergeCell ref="D1950:H1950"/>
    <mergeCell ref="D1974:H1974"/>
    <mergeCell ref="D1975:E1975"/>
    <mergeCell ref="G1975:H1975"/>
    <mergeCell ref="D1976:H1976"/>
    <mergeCell ref="D1977:H1977"/>
    <mergeCell ref="D1890:H1890"/>
    <mergeCell ref="D1885:E1885"/>
    <mergeCell ref="G1885:H1885"/>
    <mergeCell ref="D1886:H1886"/>
    <mergeCell ref="D1887:H1887"/>
    <mergeCell ref="D1888:H1888"/>
    <mergeCell ref="D1889:H1889"/>
    <mergeCell ref="D1856:H1856"/>
    <mergeCell ref="D1857:H1857"/>
    <mergeCell ref="D1858:H1858"/>
    <mergeCell ref="D1859:H1859"/>
    <mergeCell ref="D1860:H1860"/>
    <mergeCell ref="D1884:H1884"/>
    <mergeCell ref="D1945:E1945"/>
    <mergeCell ref="G1945:H1945"/>
    <mergeCell ref="D1946:H1946"/>
    <mergeCell ref="D1947:H1947"/>
    <mergeCell ref="D1828:H1828"/>
    <mergeCell ref="D1829:H1829"/>
    <mergeCell ref="D1830:H1830"/>
    <mergeCell ref="D1854:H1854"/>
    <mergeCell ref="D1855:E1855"/>
    <mergeCell ref="G1855:H1855"/>
    <mergeCell ref="D1800:H1800"/>
    <mergeCell ref="D1824:H1824"/>
    <mergeCell ref="D1825:E1825"/>
    <mergeCell ref="G1825:H1825"/>
    <mergeCell ref="D1826:H1826"/>
    <mergeCell ref="D1827:H1827"/>
    <mergeCell ref="D1795:E1795"/>
    <mergeCell ref="G1795:H1795"/>
    <mergeCell ref="D1796:H1796"/>
    <mergeCell ref="D1797:H1797"/>
    <mergeCell ref="D1798:H1798"/>
    <mergeCell ref="D1799:H1799"/>
    <mergeCell ref="D1766:H1766"/>
    <mergeCell ref="D1767:H1767"/>
    <mergeCell ref="D1768:H1768"/>
    <mergeCell ref="D1769:H1769"/>
    <mergeCell ref="D1770:H1770"/>
    <mergeCell ref="D1794:H1794"/>
    <mergeCell ref="D1738:H1738"/>
    <mergeCell ref="D1739:H1739"/>
    <mergeCell ref="D1740:H1740"/>
    <mergeCell ref="D1764:H1764"/>
    <mergeCell ref="D1765:E1765"/>
    <mergeCell ref="G1765:H1765"/>
    <mergeCell ref="D1710:H1710"/>
    <mergeCell ref="D1734:H1734"/>
    <mergeCell ref="D1735:E1735"/>
    <mergeCell ref="G1735:H1735"/>
    <mergeCell ref="D1736:H1736"/>
    <mergeCell ref="D1737:H1737"/>
    <mergeCell ref="D1705:E1705"/>
    <mergeCell ref="G1705:H1705"/>
    <mergeCell ref="D1706:H1706"/>
    <mergeCell ref="D1707:H1707"/>
    <mergeCell ref="D1708:H1708"/>
    <mergeCell ref="D1709:H1709"/>
    <mergeCell ref="D1676:H1676"/>
    <mergeCell ref="D1677:H1677"/>
    <mergeCell ref="D1678:H1678"/>
    <mergeCell ref="D1679:H1679"/>
    <mergeCell ref="D1680:H1680"/>
    <mergeCell ref="D1704:H1704"/>
    <mergeCell ref="D1648:H1648"/>
    <mergeCell ref="D1649:H1649"/>
    <mergeCell ref="D1650:H1650"/>
    <mergeCell ref="D1674:H1674"/>
    <mergeCell ref="D1675:E1675"/>
    <mergeCell ref="G1675:H1675"/>
    <mergeCell ref="D1620:H1620"/>
    <mergeCell ref="D1644:H1644"/>
    <mergeCell ref="D1645:E1645"/>
    <mergeCell ref="G1645:H1645"/>
    <mergeCell ref="D1646:H1646"/>
    <mergeCell ref="D1647:H1647"/>
    <mergeCell ref="D1615:E1615"/>
    <mergeCell ref="G1615:H1615"/>
    <mergeCell ref="D1616:H1616"/>
    <mergeCell ref="D1617:H1617"/>
    <mergeCell ref="D1618:H1618"/>
    <mergeCell ref="D1619:H1619"/>
    <mergeCell ref="D1586:H1586"/>
    <mergeCell ref="D1587:H1587"/>
    <mergeCell ref="D1588:H1588"/>
    <mergeCell ref="D1589:H1589"/>
    <mergeCell ref="D1590:H1590"/>
    <mergeCell ref="D1614:H1614"/>
    <mergeCell ref="D1558:H1558"/>
    <mergeCell ref="D1559:H1559"/>
    <mergeCell ref="D1560:H1560"/>
    <mergeCell ref="D1584:H1584"/>
    <mergeCell ref="D1585:E1585"/>
    <mergeCell ref="G1585:H1585"/>
    <mergeCell ref="D1530:H1530"/>
    <mergeCell ref="D1554:H1554"/>
    <mergeCell ref="D1555:E1555"/>
    <mergeCell ref="G1555:H1555"/>
    <mergeCell ref="D1556:H1556"/>
    <mergeCell ref="D1557:H1557"/>
    <mergeCell ref="D1525:E1525"/>
    <mergeCell ref="G1525:H1525"/>
    <mergeCell ref="D1526:H1526"/>
    <mergeCell ref="D1527:H1527"/>
    <mergeCell ref="D1528:H1528"/>
    <mergeCell ref="D1529:H1529"/>
    <mergeCell ref="D1496:H1496"/>
    <mergeCell ref="D1497:H1497"/>
    <mergeCell ref="D1498:H1498"/>
    <mergeCell ref="D1499:H1499"/>
    <mergeCell ref="D1500:H1500"/>
    <mergeCell ref="D1524:H1524"/>
    <mergeCell ref="D1468:H1468"/>
    <mergeCell ref="D1469:H1469"/>
    <mergeCell ref="D1470:H1470"/>
    <mergeCell ref="D1494:H1494"/>
    <mergeCell ref="D1495:E1495"/>
    <mergeCell ref="G1495:H1495"/>
    <mergeCell ref="D1440:H1440"/>
    <mergeCell ref="D1464:H1464"/>
    <mergeCell ref="D1465:E1465"/>
    <mergeCell ref="G1465:H1465"/>
    <mergeCell ref="D1466:H1466"/>
    <mergeCell ref="D1467:H1467"/>
    <mergeCell ref="D1436:H1436"/>
    <mergeCell ref="D1437:H1437"/>
    <mergeCell ref="D1438:H1438"/>
    <mergeCell ref="D1439:H1439"/>
    <mergeCell ref="D1406:H1406"/>
    <mergeCell ref="D1407:H1407"/>
    <mergeCell ref="D1408:H1408"/>
    <mergeCell ref="D1409:H1409"/>
    <mergeCell ref="D1410:H1410"/>
    <mergeCell ref="D1434:H1434"/>
    <mergeCell ref="D1348:H1348"/>
    <mergeCell ref="D1349:H1349"/>
    <mergeCell ref="D1350:H1350"/>
    <mergeCell ref="D1404:H1404"/>
    <mergeCell ref="D1405:E1405"/>
    <mergeCell ref="G1405:H1405"/>
    <mergeCell ref="D1374:H1374"/>
    <mergeCell ref="D1375:E1375"/>
    <mergeCell ref="G1375:H1375"/>
    <mergeCell ref="D1376:H1376"/>
    <mergeCell ref="D1377:H1377"/>
    <mergeCell ref="D1378:H1378"/>
    <mergeCell ref="D1379:H1379"/>
    <mergeCell ref="D1380:H1380"/>
    <mergeCell ref="D1346:H1346"/>
    <mergeCell ref="D1347:H1347"/>
    <mergeCell ref="D1315:E1315"/>
    <mergeCell ref="G1315:H1315"/>
    <mergeCell ref="D1316:H1316"/>
    <mergeCell ref="D1317:H1317"/>
    <mergeCell ref="D1318:H1318"/>
    <mergeCell ref="D1319:H1319"/>
    <mergeCell ref="D1256:H1256"/>
    <mergeCell ref="D1257:H1257"/>
    <mergeCell ref="D1258:H1258"/>
    <mergeCell ref="D1259:H1259"/>
    <mergeCell ref="D1260:H1260"/>
    <mergeCell ref="D1314:H1314"/>
    <mergeCell ref="D1290:H1290"/>
    <mergeCell ref="D1435:E1435"/>
    <mergeCell ref="G1435:H1435"/>
    <mergeCell ref="D1284:H1284"/>
    <mergeCell ref="D1285:E1285"/>
    <mergeCell ref="G1285:H1285"/>
    <mergeCell ref="D1286:H1286"/>
    <mergeCell ref="D1287:H1287"/>
    <mergeCell ref="D1288:H1288"/>
    <mergeCell ref="D1289:H1289"/>
    <mergeCell ref="D1194:H1194"/>
    <mergeCell ref="D1228:H1228"/>
    <mergeCell ref="D1229:H1229"/>
    <mergeCell ref="D1230:H1230"/>
    <mergeCell ref="D1166:H1166"/>
    <mergeCell ref="D1167:H1167"/>
    <mergeCell ref="D1168:H1168"/>
    <mergeCell ref="D1080:H1080"/>
    <mergeCell ref="D1104:H1104"/>
    <mergeCell ref="D1105:E1105"/>
    <mergeCell ref="G1105:H1105"/>
    <mergeCell ref="D1106:H1106"/>
    <mergeCell ref="D1107:H1107"/>
    <mergeCell ref="D1320:H1320"/>
    <mergeCell ref="D1344:H1344"/>
    <mergeCell ref="D1345:E1345"/>
    <mergeCell ref="G1345:H1345"/>
    <mergeCell ref="D1134:H1134"/>
    <mergeCell ref="D1135:E1135"/>
    <mergeCell ref="G1135:H1135"/>
    <mergeCell ref="D1136:H1136"/>
    <mergeCell ref="D1137:H1137"/>
    <mergeCell ref="D1138:H1138"/>
    <mergeCell ref="D1139:H1139"/>
    <mergeCell ref="D1140:H1140"/>
    <mergeCell ref="D1254:H1254"/>
    <mergeCell ref="D1255:E1255"/>
    <mergeCell ref="G1255:H1255"/>
    <mergeCell ref="D1200:H1200"/>
    <mergeCell ref="D1224:H1224"/>
    <mergeCell ref="D1225:E1225"/>
    <mergeCell ref="G1225:H1225"/>
    <mergeCell ref="D1075:E1075"/>
    <mergeCell ref="G1075:H1075"/>
    <mergeCell ref="D1076:H1076"/>
    <mergeCell ref="D1077:H1077"/>
    <mergeCell ref="D1078:H1078"/>
    <mergeCell ref="D1079:H1079"/>
    <mergeCell ref="D1169:H1169"/>
    <mergeCell ref="D1170:H1170"/>
    <mergeCell ref="D1046:H1046"/>
    <mergeCell ref="D1047:H1047"/>
    <mergeCell ref="D1048:H1048"/>
    <mergeCell ref="D1049:H1049"/>
    <mergeCell ref="D1050:H1050"/>
    <mergeCell ref="D1074:H1074"/>
    <mergeCell ref="D1018:H1018"/>
    <mergeCell ref="D1019:H1019"/>
    <mergeCell ref="D1020:H1020"/>
    <mergeCell ref="D1044:H1044"/>
    <mergeCell ref="D1045:E1045"/>
    <mergeCell ref="G1045:H1045"/>
    <mergeCell ref="D1108:H1108"/>
    <mergeCell ref="D1109:H1109"/>
    <mergeCell ref="D1110:H1110"/>
    <mergeCell ref="D1164:H1164"/>
    <mergeCell ref="D1165:E1165"/>
    <mergeCell ref="G1165:H1165"/>
    <mergeCell ref="D990:H990"/>
    <mergeCell ref="D1014:H1014"/>
    <mergeCell ref="D1015:E1015"/>
    <mergeCell ref="G1015:H1015"/>
    <mergeCell ref="D1016:H1016"/>
    <mergeCell ref="D1017:H1017"/>
    <mergeCell ref="D985:E985"/>
    <mergeCell ref="G985:H985"/>
    <mergeCell ref="D986:H986"/>
    <mergeCell ref="D987:H987"/>
    <mergeCell ref="D988:H988"/>
    <mergeCell ref="D989:H989"/>
    <mergeCell ref="D896:H896"/>
    <mergeCell ref="D897:H897"/>
    <mergeCell ref="D898:H898"/>
    <mergeCell ref="D899:H899"/>
    <mergeCell ref="D900:H900"/>
    <mergeCell ref="D984:H984"/>
    <mergeCell ref="D928:H928"/>
    <mergeCell ref="D929:H929"/>
    <mergeCell ref="D930:H930"/>
    <mergeCell ref="D954:H954"/>
    <mergeCell ref="D955:E955"/>
    <mergeCell ref="G955:H955"/>
    <mergeCell ref="D956:H956"/>
    <mergeCell ref="D957:H957"/>
    <mergeCell ref="D958:H958"/>
    <mergeCell ref="D959:H959"/>
    <mergeCell ref="D960:H960"/>
    <mergeCell ref="D868:H868"/>
    <mergeCell ref="D869:H869"/>
    <mergeCell ref="D870:H870"/>
    <mergeCell ref="D894:H894"/>
    <mergeCell ref="D895:E895"/>
    <mergeCell ref="G895:H895"/>
    <mergeCell ref="D840:H840"/>
    <mergeCell ref="D864:H864"/>
    <mergeCell ref="D865:E865"/>
    <mergeCell ref="G865:H865"/>
    <mergeCell ref="D866:H866"/>
    <mergeCell ref="D867:H867"/>
    <mergeCell ref="D924:H924"/>
    <mergeCell ref="D925:E925"/>
    <mergeCell ref="G925:H925"/>
    <mergeCell ref="D926:H926"/>
    <mergeCell ref="D927:H927"/>
    <mergeCell ref="D835:E835"/>
    <mergeCell ref="G835:H835"/>
    <mergeCell ref="D836:H836"/>
    <mergeCell ref="D837:H837"/>
    <mergeCell ref="D838:H838"/>
    <mergeCell ref="D839:H839"/>
    <mergeCell ref="D806:H806"/>
    <mergeCell ref="D807:H807"/>
    <mergeCell ref="D808:H808"/>
    <mergeCell ref="D809:H809"/>
    <mergeCell ref="D810:H810"/>
    <mergeCell ref="D834:H834"/>
    <mergeCell ref="D778:H778"/>
    <mergeCell ref="D779:H779"/>
    <mergeCell ref="D780:H780"/>
    <mergeCell ref="D804:H804"/>
    <mergeCell ref="D805:E805"/>
    <mergeCell ref="G805:H805"/>
    <mergeCell ref="D750:H750"/>
    <mergeCell ref="D774:H774"/>
    <mergeCell ref="D775:E775"/>
    <mergeCell ref="G775:H775"/>
    <mergeCell ref="D776:H776"/>
    <mergeCell ref="D777:H777"/>
    <mergeCell ref="D745:E745"/>
    <mergeCell ref="G745:H745"/>
    <mergeCell ref="D746:H746"/>
    <mergeCell ref="D747:H747"/>
    <mergeCell ref="D748:H748"/>
    <mergeCell ref="D749:H749"/>
    <mergeCell ref="D716:H716"/>
    <mergeCell ref="D717:H717"/>
    <mergeCell ref="D718:H718"/>
    <mergeCell ref="D719:H719"/>
    <mergeCell ref="D720:H720"/>
    <mergeCell ref="D744:H744"/>
    <mergeCell ref="D688:H688"/>
    <mergeCell ref="D689:H689"/>
    <mergeCell ref="D690:H690"/>
    <mergeCell ref="D714:H714"/>
    <mergeCell ref="D715:E715"/>
    <mergeCell ref="G715:H715"/>
    <mergeCell ref="D660:H660"/>
    <mergeCell ref="D684:H684"/>
    <mergeCell ref="D685:E685"/>
    <mergeCell ref="G685:H685"/>
    <mergeCell ref="D686:H686"/>
    <mergeCell ref="D687:H687"/>
    <mergeCell ref="D655:E655"/>
    <mergeCell ref="G655:H655"/>
    <mergeCell ref="D656:H656"/>
    <mergeCell ref="D657:H657"/>
    <mergeCell ref="D658:H658"/>
    <mergeCell ref="D659:H659"/>
    <mergeCell ref="D626:H626"/>
    <mergeCell ref="D627:H627"/>
    <mergeCell ref="D628:H628"/>
    <mergeCell ref="D629:H629"/>
    <mergeCell ref="D630:H630"/>
    <mergeCell ref="D654:H654"/>
    <mergeCell ref="D598:H598"/>
    <mergeCell ref="D599:H599"/>
    <mergeCell ref="D600:H600"/>
    <mergeCell ref="D624:H624"/>
    <mergeCell ref="D625:E625"/>
    <mergeCell ref="G625:H625"/>
    <mergeCell ref="D570:H570"/>
    <mergeCell ref="D594:H594"/>
    <mergeCell ref="D595:E595"/>
    <mergeCell ref="G595:H595"/>
    <mergeCell ref="D596:H596"/>
    <mergeCell ref="D597:H597"/>
    <mergeCell ref="D565:E565"/>
    <mergeCell ref="G565:H565"/>
    <mergeCell ref="D566:H566"/>
    <mergeCell ref="D567:H567"/>
    <mergeCell ref="D568:H568"/>
    <mergeCell ref="D569:H569"/>
    <mergeCell ref="D536:H536"/>
    <mergeCell ref="D537:H537"/>
    <mergeCell ref="D538:H538"/>
    <mergeCell ref="D539:H539"/>
    <mergeCell ref="D540:H540"/>
    <mergeCell ref="D564:H564"/>
    <mergeCell ref="D508:H508"/>
    <mergeCell ref="D509:H509"/>
    <mergeCell ref="D510:H510"/>
    <mergeCell ref="D534:H534"/>
    <mergeCell ref="D535:E535"/>
    <mergeCell ref="G535:H535"/>
    <mergeCell ref="D480:H480"/>
    <mergeCell ref="D504:H504"/>
    <mergeCell ref="D505:E505"/>
    <mergeCell ref="G505:H505"/>
    <mergeCell ref="D506:H506"/>
    <mergeCell ref="D507:H507"/>
    <mergeCell ref="D475:E475"/>
    <mergeCell ref="G475:H475"/>
    <mergeCell ref="D476:H476"/>
    <mergeCell ref="D477:H477"/>
    <mergeCell ref="D478:H478"/>
    <mergeCell ref="D479:H479"/>
    <mergeCell ref="D446:H446"/>
    <mergeCell ref="D447:H447"/>
    <mergeCell ref="D448:H448"/>
    <mergeCell ref="D449:H449"/>
    <mergeCell ref="D450:H450"/>
    <mergeCell ref="D474:H474"/>
    <mergeCell ref="D418:H418"/>
    <mergeCell ref="D419:H419"/>
    <mergeCell ref="D420:H420"/>
    <mergeCell ref="D444:H444"/>
    <mergeCell ref="D445:E445"/>
    <mergeCell ref="G445:H445"/>
    <mergeCell ref="D390:H390"/>
    <mergeCell ref="D414:H414"/>
    <mergeCell ref="D415:E415"/>
    <mergeCell ref="G415:H415"/>
    <mergeCell ref="D416:H416"/>
    <mergeCell ref="D417:H417"/>
    <mergeCell ref="D385:E385"/>
    <mergeCell ref="G385:H385"/>
    <mergeCell ref="D386:H386"/>
    <mergeCell ref="D387:H387"/>
    <mergeCell ref="D388:H388"/>
    <mergeCell ref="D389:H389"/>
    <mergeCell ref="G205:H205"/>
    <mergeCell ref="D206:H206"/>
    <mergeCell ref="D207:H207"/>
    <mergeCell ref="D356:H356"/>
    <mergeCell ref="D357:H357"/>
    <mergeCell ref="D358:H358"/>
    <mergeCell ref="D359:H359"/>
    <mergeCell ref="D360:H360"/>
    <mergeCell ref="D384:H384"/>
    <mergeCell ref="D328:H328"/>
    <mergeCell ref="D329:H329"/>
    <mergeCell ref="D330:H330"/>
    <mergeCell ref="D354:H354"/>
    <mergeCell ref="D355:E355"/>
    <mergeCell ref="G355:H355"/>
    <mergeCell ref="D300:H300"/>
    <mergeCell ref="D324:H324"/>
    <mergeCell ref="D325:E325"/>
    <mergeCell ref="G325:H325"/>
    <mergeCell ref="D326:H326"/>
    <mergeCell ref="D327:H327"/>
    <mergeCell ref="G145:H145"/>
    <mergeCell ref="D146:H146"/>
    <mergeCell ref="D147:H147"/>
    <mergeCell ref="D60:H60"/>
    <mergeCell ref="D84:H84"/>
    <mergeCell ref="D85:E85"/>
    <mergeCell ref="G85:H85"/>
    <mergeCell ref="D295:E295"/>
    <mergeCell ref="G295:H295"/>
    <mergeCell ref="D296:H296"/>
    <mergeCell ref="D297:H297"/>
    <mergeCell ref="D298:H298"/>
    <mergeCell ref="D299:H299"/>
    <mergeCell ref="D266:H266"/>
    <mergeCell ref="D267:H267"/>
    <mergeCell ref="D268:H268"/>
    <mergeCell ref="D269:H269"/>
    <mergeCell ref="D270:H270"/>
    <mergeCell ref="D294:H294"/>
    <mergeCell ref="D238:H238"/>
    <mergeCell ref="D239:H239"/>
    <mergeCell ref="D240:H240"/>
    <mergeCell ref="D264:H264"/>
    <mergeCell ref="D265:E265"/>
    <mergeCell ref="G265:H265"/>
    <mergeCell ref="D210:H210"/>
    <mergeCell ref="D234:H234"/>
    <mergeCell ref="D235:E235"/>
    <mergeCell ref="G235:H235"/>
    <mergeCell ref="D236:H236"/>
    <mergeCell ref="D237:H237"/>
    <mergeCell ref="D205:E205"/>
    <mergeCell ref="D115:E115"/>
    <mergeCell ref="G115:H115"/>
    <mergeCell ref="D116:H116"/>
    <mergeCell ref="D117:H117"/>
    <mergeCell ref="D118:H118"/>
    <mergeCell ref="D119:H119"/>
    <mergeCell ref="D86:H86"/>
    <mergeCell ref="D87:H87"/>
    <mergeCell ref="D88:H88"/>
    <mergeCell ref="D89:H89"/>
    <mergeCell ref="D90:H90"/>
    <mergeCell ref="D114:H114"/>
    <mergeCell ref="D57:H57"/>
    <mergeCell ref="D58:H58"/>
    <mergeCell ref="D59:H59"/>
    <mergeCell ref="D208:H208"/>
    <mergeCell ref="D209:H209"/>
    <mergeCell ref="D176:H176"/>
    <mergeCell ref="D177:H177"/>
    <mergeCell ref="D178:H178"/>
    <mergeCell ref="D179:H179"/>
    <mergeCell ref="D180:H180"/>
    <mergeCell ref="D204:H204"/>
    <mergeCell ref="D148:H148"/>
    <mergeCell ref="D149:H149"/>
    <mergeCell ref="D150:H150"/>
    <mergeCell ref="D174:H174"/>
    <mergeCell ref="D175:E175"/>
    <mergeCell ref="G175:H175"/>
    <mergeCell ref="D120:H120"/>
    <mergeCell ref="D144:H144"/>
    <mergeCell ref="D145:E145"/>
    <mergeCell ref="A20:A22"/>
    <mergeCell ref="B20:B22"/>
    <mergeCell ref="C20:C22"/>
    <mergeCell ref="D20:AB20"/>
    <mergeCell ref="D21:H22"/>
    <mergeCell ref="I21:K21"/>
    <mergeCell ref="L21:M21"/>
    <mergeCell ref="N21:O21"/>
    <mergeCell ref="P21:T21"/>
    <mergeCell ref="U21:V21"/>
    <mergeCell ref="D29:H29"/>
    <mergeCell ref="D30:H30"/>
    <mergeCell ref="D54:H54"/>
    <mergeCell ref="D55:E55"/>
    <mergeCell ref="G55:H55"/>
    <mergeCell ref="D56:H56"/>
    <mergeCell ref="D24:H24"/>
    <mergeCell ref="D25:E25"/>
    <mergeCell ref="G25:H25"/>
    <mergeCell ref="D26:H26"/>
    <mergeCell ref="D27:H27"/>
    <mergeCell ref="D28:H28"/>
    <mergeCell ref="W21:X21"/>
    <mergeCell ref="Y21:Z22"/>
    <mergeCell ref="AA21:AB21"/>
    <mergeCell ref="W22:X22"/>
    <mergeCell ref="AA22:AB22"/>
    <mergeCell ref="I22:K22"/>
    <mergeCell ref="L22:M22"/>
    <mergeCell ref="N22:O22"/>
    <mergeCell ref="P22:T22"/>
    <mergeCell ref="U22:V22"/>
    <mergeCell ref="D5577:H5577"/>
    <mergeCell ref="D5578:H5578"/>
    <mergeCell ref="D5579:H5579"/>
    <mergeCell ref="D5580:H5580"/>
    <mergeCell ref="D5634:H5634"/>
    <mergeCell ref="D5635:E5635"/>
    <mergeCell ref="G5635:H5635"/>
    <mergeCell ref="D5636:H5636"/>
    <mergeCell ref="D5637:H5637"/>
    <mergeCell ref="D5638:H5638"/>
    <mergeCell ref="D5639:H5639"/>
    <mergeCell ref="D5640:H5640"/>
    <mergeCell ref="D5664:H5664"/>
    <mergeCell ref="D5665:E5665"/>
    <mergeCell ref="G5665:H5665"/>
    <mergeCell ref="D5666:H5666"/>
    <mergeCell ref="D5667:H5667"/>
    <mergeCell ref="D5604:H5604"/>
    <mergeCell ref="D5605:E5605"/>
    <mergeCell ref="G5605:H5605"/>
    <mergeCell ref="D5606:H5606"/>
    <mergeCell ref="D5607:H5607"/>
    <mergeCell ref="D5608:H5608"/>
    <mergeCell ref="D5609:H5609"/>
    <mergeCell ref="D5610:H5610"/>
    <mergeCell ref="D5668:H5668"/>
    <mergeCell ref="D5669:H5669"/>
    <mergeCell ref="D5670:H5670"/>
    <mergeCell ref="D5694:H5694"/>
    <mergeCell ref="D5695:E5695"/>
    <mergeCell ref="G5695:H5695"/>
    <mergeCell ref="D5696:H5696"/>
    <mergeCell ref="D5697:H5697"/>
    <mergeCell ref="D5698:H5698"/>
    <mergeCell ref="D5699:H5699"/>
    <mergeCell ref="D5700:H5700"/>
    <mergeCell ref="D5724:H5724"/>
    <mergeCell ref="D5725:E5725"/>
    <mergeCell ref="G5725:H5725"/>
    <mergeCell ref="D5726:H5726"/>
    <mergeCell ref="D5727:H5727"/>
    <mergeCell ref="D5728:H5728"/>
    <mergeCell ref="D5729:H5729"/>
    <mergeCell ref="D5730:H5730"/>
    <mergeCell ref="D5754:H5754"/>
    <mergeCell ref="D5755:E5755"/>
    <mergeCell ref="G5755:H5755"/>
    <mergeCell ref="D5756:H5756"/>
    <mergeCell ref="D5757:H5757"/>
    <mergeCell ref="D5758:H5758"/>
    <mergeCell ref="D5759:H5759"/>
    <mergeCell ref="D5760:H5760"/>
    <mergeCell ref="D5784:H5784"/>
    <mergeCell ref="D5785:E5785"/>
    <mergeCell ref="G5785:H5785"/>
    <mergeCell ref="D5786:H5786"/>
    <mergeCell ref="D5787:H5787"/>
    <mergeCell ref="D5788:H5788"/>
    <mergeCell ref="D5789:H5789"/>
    <mergeCell ref="D5790:H5790"/>
    <mergeCell ref="D5814:H5814"/>
    <mergeCell ref="D5815:E5815"/>
    <mergeCell ref="G5815:H5815"/>
    <mergeCell ref="D5816:H5816"/>
    <mergeCell ref="D5817:H5817"/>
    <mergeCell ref="D5818:H5818"/>
    <mergeCell ref="D5819:H5819"/>
    <mergeCell ref="D5820:H5820"/>
    <mergeCell ref="D5844:H5844"/>
    <mergeCell ref="D5845:E5845"/>
    <mergeCell ref="G5845:H5845"/>
    <mergeCell ref="D5846:H5846"/>
    <mergeCell ref="D5847:H5847"/>
    <mergeCell ref="D5848:H5848"/>
    <mergeCell ref="D5849:H5849"/>
    <mergeCell ref="D5850:H5850"/>
    <mergeCell ref="D5874:H5874"/>
    <mergeCell ref="D5875:E5875"/>
    <mergeCell ref="G5875:H5875"/>
    <mergeCell ref="D5876:H5876"/>
    <mergeCell ref="D5877:H5877"/>
    <mergeCell ref="D5878:H5878"/>
    <mergeCell ref="D5879:H5879"/>
    <mergeCell ref="D5880:H5880"/>
    <mergeCell ref="D5904:H5904"/>
    <mergeCell ref="D5905:E5905"/>
    <mergeCell ref="G5905:H5905"/>
    <mergeCell ref="D5906:H5906"/>
    <mergeCell ref="D5968:H5968"/>
    <mergeCell ref="D5969:H5969"/>
    <mergeCell ref="D5970:H5970"/>
    <mergeCell ref="D5994:H5994"/>
    <mergeCell ref="D5995:E5995"/>
    <mergeCell ref="G5995:H5995"/>
    <mergeCell ref="D5996:H5996"/>
    <mergeCell ref="D5997:H5997"/>
    <mergeCell ref="D5998:H5998"/>
    <mergeCell ref="D5999:H5999"/>
    <mergeCell ref="D6000:H6000"/>
    <mergeCell ref="D5907:H5907"/>
    <mergeCell ref="D5908:H5908"/>
    <mergeCell ref="D5909:H5909"/>
    <mergeCell ref="D5910:H5910"/>
    <mergeCell ref="D5934:H5934"/>
    <mergeCell ref="D5935:E5935"/>
    <mergeCell ref="G5935:H5935"/>
    <mergeCell ref="D5936:H5936"/>
    <mergeCell ref="D5937:H5937"/>
    <mergeCell ref="D5938:H5938"/>
    <mergeCell ref="D5939:H5939"/>
    <mergeCell ref="D5940:H5940"/>
    <mergeCell ref="D5964:H5964"/>
    <mergeCell ref="D5965:E5965"/>
    <mergeCell ref="G5965:H5965"/>
    <mergeCell ref="D5966:H5966"/>
    <mergeCell ref="D5967:H5967"/>
  </mergeCells>
  <pageMargins left="0.7" right="0.7" top="0.75" bottom="0.75" header="0.3" footer="0.3"/>
  <ignoredErrors>
    <ignoredError numberStoredAsText="1" sqref="A1:AB12315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B1:BJ110"/>
  <sheetViews>
    <sheetView workbookViewId="0" rightToLeft="0"/>
  </sheetViews>
  <sheetData>
    <row r="1">
      <c r="B1" t="str">
        <v>PT. SARANAH ARSITEK NUGRAHA</v>
      </c>
    </row>
    <row r="2">
      <c r="B2" t="str">
        <v>PAKUWON INDAH PD3 no. 23</v>
      </c>
    </row>
    <row r="5">
      <c r="B5" t="str">
        <v>DETAIL BALOK</v>
      </c>
    </row>
    <row r="6">
      <c r="X6">
        <f>16^2/19^2*7</f>
        <v>4.96398891966759</v>
      </c>
    </row>
    <row r="7">
      <c r="B7" t="str">
        <v>NO</v>
      </c>
      <c r="C7" t="str">
        <v>TIPE</v>
      </c>
      <c r="D7" t="str">
        <v>DIMENSI</v>
      </c>
      <c r="F7" t="str">
        <v>TUL. ATAS</v>
      </c>
      <c r="O7" t="str">
        <v>TUL. SAMPING</v>
      </c>
      <c r="X7" t="str">
        <v>TUL. BAWAH</v>
      </c>
      <c r="AG7" t="str">
        <v>SENGKANG</v>
      </c>
      <c r="AV7" t="str">
        <v>KAIT HORIZONTAL</v>
      </c>
    </row>
    <row r="8">
      <c r="D8" t="str">
        <v>B</v>
      </c>
      <c r="E8" t="str">
        <v>H</v>
      </c>
      <c r="F8" t="str">
        <v>TUMPUAN</v>
      </c>
      <c r="I8" t="str">
        <v>LAPANGAN</v>
      </c>
      <c r="L8" t="str">
        <v>TUMPUAN</v>
      </c>
      <c r="O8" t="str">
        <v>PEMINGGANG</v>
      </c>
      <c r="R8" t="str">
        <v>IKATAN TAMBAHAN</v>
      </c>
      <c r="X8" t="str">
        <v>TUMPUAN</v>
      </c>
      <c r="AA8" t="str">
        <v>LAPANGAN</v>
      </c>
      <c r="AD8" t="str">
        <v>TUMPUAN</v>
      </c>
      <c r="AG8" t="str">
        <v>TUMPUAN</v>
      </c>
      <c r="AL8" t="str">
        <v>LAPANGAN</v>
      </c>
      <c r="AQ8" t="str">
        <v>TUMPUAN</v>
      </c>
      <c r="AV8" t="str">
        <v>TUMPUAN</v>
      </c>
      <c r="BA8" t="str">
        <v>LAPANGAN</v>
      </c>
      <c r="BF8" t="str">
        <v>TUMPUAN</v>
      </c>
    </row>
    <row r="9">
      <c r="C9">
        <f>+B9+1</f>
        <v>1</v>
      </c>
      <c r="D9">
        <f>+C9+1</f>
        <v>2</v>
      </c>
      <c r="E9">
        <f>+D9+1</f>
        <v>3</v>
      </c>
      <c r="F9">
        <f>+E9+1</f>
        <v>4</v>
      </c>
      <c r="G9">
        <f>+F9+1</f>
        <v>5</v>
      </c>
      <c r="H9">
        <f>+G9+1</f>
        <v>6</v>
      </c>
      <c r="I9">
        <f>+H9+1</f>
        <v>7</v>
      </c>
      <c r="J9">
        <f>+I9+1</f>
        <v>8</v>
      </c>
      <c r="K9">
        <f>+J9+1</f>
        <v>9</v>
      </c>
      <c r="L9">
        <f>+K9+1</f>
        <v>10</v>
      </c>
      <c r="M9">
        <f>+L9+1</f>
        <v>11</v>
      </c>
      <c r="N9">
        <f>+M9+1</f>
        <v>12</v>
      </c>
      <c r="O9">
        <f>1+N9</f>
        <v>13</v>
      </c>
      <c r="P9">
        <f>+O9+1</f>
        <v>14</v>
      </c>
      <c r="Q9">
        <f>+P9+1</f>
        <v>15</v>
      </c>
      <c r="R9">
        <f>+Q9+1</f>
        <v>16</v>
      </c>
      <c r="S9">
        <f>+R9+1</f>
        <v>17</v>
      </c>
      <c r="T9">
        <f>+S9+1</f>
        <v>18</v>
      </c>
      <c r="U9">
        <f>1+T9</f>
        <v>19</v>
      </c>
      <c r="V9">
        <f>+U9+1</f>
        <v>20</v>
      </c>
      <c r="W9">
        <f>+V9+1</f>
        <v>21</v>
      </c>
      <c r="X9">
        <f>1+W9</f>
        <v>22</v>
      </c>
      <c r="Y9">
        <f>+X9+1</f>
        <v>23</v>
      </c>
      <c r="Z9">
        <f>+Y9+1</f>
        <v>24</v>
      </c>
      <c r="AA9">
        <f>+Z9+1</f>
        <v>25</v>
      </c>
      <c r="AB9">
        <f>+AA9+1</f>
        <v>26</v>
      </c>
      <c r="AC9">
        <f>+AB9+1</f>
        <v>27</v>
      </c>
      <c r="AD9">
        <f>1+AC9</f>
        <v>28</v>
      </c>
      <c r="AE9">
        <f>+AD9+1</f>
        <v>29</v>
      </c>
      <c r="AF9">
        <f>+AE9+1</f>
        <v>30</v>
      </c>
      <c r="AG9">
        <f>1+AF9</f>
        <v>31</v>
      </c>
      <c r="AH9">
        <f>+AG9+1</f>
        <v>32</v>
      </c>
      <c r="AI9">
        <f>+AH9+1</f>
        <v>33</v>
      </c>
      <c r="AJ9">
        <f>+AI9+1</f>
        <v>34</v>
      </c>
      <c r="AK9">
        <f>+AJ9+1</f>
        <v>35</v>
      </c>
      <c r="AL9">
        <f>+AK9+1</f>
        <v>36</v>
      </c>
      <c r="AM9">
        <f>+AL9+1</f>
        <v>37</v>
      </c>
      <c r="AN9">
        <f>+AM9+1</f>
        <v>38</v>
      </c>
      <c r="AO9">
        <f>+AN9+1</f>
        <v>39</v>
      </c>
      <c r="AP9">
        <f>+AO9+1</f>
        <v>40</v>
      </c>
      <c r="AQ9">
        <f>1+AP9</f>
        <v>41</v>
      </c>
      <c r="AR9">
        <f>+AQ9+1</f>
        <v>42</v>
      </c>
      <c r="AS9">
        <f>+AR9+1</f>
        <v>43</v>
      </c>
      <c r="AT9">
        <f>+AS9+1</f>
        <v>44</v>
      </c>
      <c r="AU9">
        <f>+AT9+1</f>
        <v>45</v>
      </c>
      <c r="AV9">
        <f>1+AU9</f>
        <v>46</v>
      </c>
      <c r="AW9">
        <f>+AV9+1</f>
        <v>47</v>
      </c>
      <c r="AX9">
        <f>+AW9+1</f>
        <v>48</v>
      </c>
      <c r="AY9">
        <f>+AX9+1</f>
        <v>49</v>
      </c>
      <c r="AZ9">
        <f>+AY9+1</f>
        <v>50</v>
      </c>
      <c r="BA9">
        <f>+AZ9+1</f>
        <v>51</v>
      </c>
      <c r="BB9">
        <f>+BA9+1</f>
        <v>52</v>
      </c>
      <c r="BC9">
        <f>+BB9+1</f>
        <v>53</v>
      </c>
      <c r="BD9">
        <f>+BC9+1</f>
        <v>54</v>
      </c>
      <c r="BE9">
        <f>+BD9+1</f>
        <v>55</v>
      </c>
      <c r="BF9">
        <f>1+BE9</f>
        <v>56</v>
      </c>
      <c r="BG9">
        <f>+BF9+1</f>
        <v>57</v>
      </c>
      <c r="BH9">
        <f>+BG9+1</f>
        <v>58</v>
      </c>
      <c r="BI9">
        <f>+BH9+1</f>
        <v>59</v>
      </c>
      <c r="BJ9">
        <f>+BI9+1</f>
        <v>60</v>
      </c>
    </row>
    <row r="11">
      <c r="C11" t="str">
        <v>TB23-1</v>
      </c>
      <c r="D11">
        <v>200</v>
      </c>
      <c r="E11">
        <v>300</v>
      </c>
      <c r="F11">
        <v>2</v>
      </c>
      <c r="G11" t="str">
        <v>D</v>
      </c>
      <c r="H11">
        <v>13</v>
      </c>
      <c r="I11">
        <v>2</v>
      </c>
      <c r="J11" t="str">
        <v>D</v>
      </c>
      <c r="K11">
        <v>13</v>
      </c>
      <c r="L11">
        <v>2</v>
      </c>
      <c r="M11" t="str">
        <v>D</v>
      </c>
      <c r="N11">
        <v>13</v>
      </c>
      <c r="P11" t="str">
        <v>D</v>
      </c>
      <c r="Q11">
        <v>6</v>
      </c>
      <c r="X11">
        <v>2</v>
      </c>
      <c r="Y11" t="str">
        <v>D</v>
      </c>
      <c r="Z11">
        <v>13</v>
      </c>
      <c r="AA11">
        <v>2</v>
      </c>
      <c r="AB11" t="str">
        <v>D</v>
      </c>
      <c r="AC11">
        <v>13</v>
      </c>
      <c r="AD11">
        <v>2</v>
      </c>
      <c r="AE11" t="str">
        <v>D</v>
      </c>
      <c r="AF11">
        <v>13</v>
      </c>
      <c r="AH11" t="str">
        <v>D</v>
      </c>
      <c r="AI11">
        <v>8</v>
      </c>
      <c r="AJ11" t="str">
        <v>-</v>
      </c>
      <c r="AK11">
        <v>150</v>
      </c>
      <c r="AM11" t="str">
        <v>D</v>
      </c>
      <c r="AN11">
        <v>8</v>
      </c>
      <c r="AO11" t="str">
        <v>-</v>
      </c>
      <c r="AP11">
        <v>150</v>
      </c>
      <c r="AR11" t="str">
        <v>D</v>
      </c>
      <c r="AS11">
        <v>8</v>
      </c>
      <c r="AT11" t="str">
        <v>-</v>
      </c>
      <c r="AU11">
        <v>150</v>
      </c>
      <c r="AZ11">
        <v>100</v>
      </c>
      <c r="BE11">
        <v>100</v>
      </c>
      <c r="BJ11">
        <v>100</v>
      </c>
    </row>
    <row r="12">
      <c r="C12" t="str">
        <v>TB24-1</v>
      </c>
      <c r="D12">
        <v>200</v>
      </c>
      <c r="E12">
        <v>400</v>
      </c>
      <c r="F12">
        <v>2</v>
      </c>
      <c r="G12" t="str">
        <v>D</v>
      </c>
      <c r="H12">
        <v>13</v>
      </c>
      <c r="I12">
        <v>2</v>
      </c>
      <c r="J12" t="str">
        <v>D</v>
      </c>
      <c r="K12">
        <v>13</v>
      </c>
      <c r="L12">
        <v>2</v>
      </c>
      <c r="M12" t="str">
        <v>D</v>
      </c>
      <c r="N12">
        <v>13</v>
      </c>
      <c r="P12" t="str">
        <v>D</v>
      </c>
      <c r="Q12">
        <v>6</v>
      </c>
      <c r="X12">
        <v>2</v>
      </c>
      <c r="Y12" t="str">
        <v>D</v>
      </c>
      <c r="Z12">
        <v>13</v>
      </c>
      <c r="AA12">
        <v>2</v>
      </c>
      <c r="AB12" t="str">
        <v>D</v>
      </c>
      <c r="AC12">
        <v>13</v>
      </c>
      <c r="AD12">
        <v>2</v>
      </c>
      <c r="AE12" t="str">
        <v>D</v>
      </c>
      <c r="AF12">
        <v>13</v>
      </c>
      <c r="AH12" t="str">
        <v>D</v>
      </c>
      <c r="AI12">
        <v>8</v>
      </c>
      <c r="AJ12" t="str">
        <v>-</v>
      </c>
      <c r="AK12">
        <v>200</v>
      </c>
      <c r="AM12" t="str">
        <v>D</v>
      </c>
      <c r="AN12">
        <v>8</v>
      </c>
      <c r="AO12" t="str">
        <v>-</v>
      </c>
      <c r="AP12">
        <v>200</v>
      </c>
      <c r="AR12" t="str">
        <v>D</v>
      </c>
      <c r="AS12">
        <v>8</v>
      </c>
      <c r="AT12" t="str">
        <v>-</v>
      </c>
      <c r="AU12">
        <v>200</v>
      </c>
      <c r="AZ12">
        <v>100</v>
      </c>
      <c r="BE12">
        <v>100</v>
      </c>
      <c r="BJ12">
        <v>100</v>
      </c>
    </row>
    <row r="13">
      <c r="C13" t="str">
        <v>TB24-2</v>
      </c>
      <c r="D13">
        <v>200</v>
      </c>
      <c r="E13">
        <v>400</v>
      </c>
      <c r="F13">
        <v>4</v>
      </c>
      <c r="G13" t="str">
        <v>D</v>
      </c>
      <c r="H13">
        <v>13</v>
      </c>
      <c r="I13">
        <v>2</v>
      </c>
      <c r="J13" t="str">
        <v>D</v>
      </c>
      <c r="K13">
        <v>13</v>
      </c>
      <c r="L13">
        <v>4</v>
      </c>
      <c r="M13" t="str">
        <v>D</v>
      </c>
      <c r="N13">
        <v>13</v>
      </c>
      <c r="P13" t="str">
        <v>D</v>
      </c>
      <c r="Q13">
        <v>6</v>
      </c>
      <c r="X13">
        <v>3</v>
      </c>
      <c r="Y13" t="str">
        <v>D</v>
      </c>
      <c r="Z13">
        <v>13</v>
      </c>
      <c r="AA13">
        <v>3</v>
      </c>
      <c r="AB13" t="str">
        <v>D</v>
      </c>
      <c r="AC13">
        <v>13</v>
      </c>
      <c r="AD13">
        <v>3</v>
      </c>
      <c r="AE13" t="str">
        <v>D</v>
      </c>
      <c r="AF13">
        <v>13</v>
      </c>
      <c r="AH13" t="str">
        <v>D</v>
      </c>
      <c r="AI13">
        <v>8</v>
      </c>
      <c r="AJ13" t="str">
        <v>-</v>
      </c>
      <c r="AK13">
        <v>150</v>
      </c>
      <c r="AM13" t="str">
        <v>D</v>
      </c>
      <c r="AN13">
        <v>8</v>
      </c>
      <c r="AO13" t="str">
        <v>-</v>
      </c>
      <c r="AP13">
        <v>200</v>
      </c>
      <c r="AR13" t="str">
        <v>D</v>
      </c>
      <c r="AS13">
        <v>8</v>
      </c>
      <c r="AT13" t="str">
        <v>-</v>
      </c>
      <c r="AU13">
        <v>150</v>
      </c>
      <c r="AZ13">
        <v>100</v>
      </c>
      <c r="BE13">
        <v>100</v>
      </c>
      <c r="BJ13">
        <v>100</v>
      </c>
    </row>
    <row r="14">
      <c r="C14" t="str">
        <v>TB245-1</v>
      </c>
      <c r="D14">
        <v>200</v>
      </c>
      <c r="E14">
        <v>450</v>
      </c>
      <c r="F14">
        <v>3</v>
      </c>
      <c r="G14" t="str">
        <v>D</v>
      </c>
      <c r="H14">
        <v>13</v>
      </c>
      <c r="I14">
        <v>3</v>
      </c>
      <c r="J14" t="str">
        <v>D</v>
      </c>
      <c r="K14">
        <v>13</v>
      </c>
      <c r="L14">
        <v>3</v>
      </c>
      <c r="M14" t="str">
        <v>D</v>
      </c>
      <c r="N14">
        <v>13</v>
      </c>
      <c r="O14">
        <v>2</v>
      </c>
      <c r="P14" t="str">
        <v>D</v>
      </c>
      <c r="Q14">
        <v>8</v>
      </c>
      <c r="X14">
        <v>3</v>
      </c>
      <c r="Y14" t="str">
        <v>D</v>
      </c>
      <c r="Z14">
        <v>13</v>
      </c>
      <c r="AA14">
        <v>3</v>
      </c>
      <c r="AB14" t="str">
        <v>D</v>
      </c>
      <c r="AC14">
        <v>13</v>
      </c>
      <c r="AD14">
        <v>3</v>
      </c>
      <c r="AE14" t="str">
        <v>D</v>
      </c>
      <c r="AF14">
        <v>13</v>
      </c>
      <c r="AH14" t="str">
        <v>D</v>
      </c>
      <c r="AI14">
        <v>8</v>
      </c>
      <c r="AJ14" t="str">
        <v>-</v>
      </c>
      <c r="AK14">
        <v>200</v>
      </c>
      <c r="AM14" t="str">
        <v>D</v>
      </c>
      <c r="AN14">
        <v>8</v>
      </c>
      <c r="AO14" t="str">
        <v>-</v>
      </c>
      <c r="AP14">
        <v>200</v>
      </c>
      <c r="AR14" t="str">
        <v>D</v>
      </c>
      <c r="AS14">
        <v>8</v>
      </c>
      <c r="AT14" t="str">
        <v>-</v>
      </c>
      <c r="AU14">
        <v>200</v>
      </c>
      <c r="AZ14">
        <v>100</v>
      </c>
      <c r="BE14">
        <v>100</v>
      </c>
      <c r="BJ14">
        <v>100</v>
      </c>
    </row>
    <row r="15">
      <c r="C15" t="str">
        <v>TB245-2</v>
      </c>
      <c r="D15">
        <v>200</v>
      </c>
      <c r="E15">
        <v>450</v>
      </c>
      <c r="F15">
        <v>4</v>
      </c>
      <c r="G15" t="str">
        <v>D</v>
      </c>
      <c r="H15">
        <v>13</v>
      </c>
      <c r="I15">
        <v>2</v>
      </c>
      <c r="J15" t="str">
        <v>D</v>
      </c>
      <c r="K15">
        <v>13</v>
      </c>
      <c r="L15">
        <v>4</v>
      </c>
      <c r="M15" t="str">
        <v>D</v>
      </c>
      <c r="N15">
        <v>13</v>
      </c>
      <c r="O15">
        <v>2</v>
      </c>
      <c r="P15" t="str">
        <v>D</v>
      </c>
      <c r="Q15">
        <v>8</v>
      </c>
      <c r="X15">
        <v>4</v>
      </c>
      <c r="Y15" t="str">
        <v>D</v>
      </c>
      <c r="Z15">
        <v>13</v>
      </c>
      <c r="AA15">
        <v>4</v>
      </c>
      <c r="AB15" t="str">
        <v>D</v>
      </c>
      <c r="AC15">
        <v>13</v>
      </c>
      <c r="AD15">
        <v>4</v>
      </c>
      <c r="AE15" t="str">
        <v>D</v>
      </c>
      <c r="AF15">
        <v>13</v>
      </c>
      <c r="AH15" t="str">
        <v>D</v>
      </c>
      <c r="AI15">
        <v>8</v>
      </c>
      <c r="AJ15" t="str">
        <v>-</v>
      </c>
      <c r="AK15">
        <v>125</v>
      </c>
      <c r="AM15" t="str">
        <v>D</v>
      </c>
      <c r="AN15">
        <v>8</v>
      </c>
      <c r="AO15" t="str">
        <v>-</v>
      </c>
      <c r="AP15">
        <v>150</v>
      </c>
      <c r="AR15" t="str">
        <v>D</v>
      </c>
      <c r="AS15">
        <v>8</v>
      </c>
      <c r="AT15" t="str">
        <v>-</v>
      </c>
      <c r="AU15">
        <v>125</v>
      </c>
      <c r="AZ15">
        <v>100</v>
      </c>
      <c r="BE15">
        <v>100</v>
      </c>
      <c r="BJ15">
        <v>100</v>
      </c>
    </row>
    <row r="16">
      <c r="C16" t="str">
        <v>TB25-1</v>
      </c>
      <c r="D16">
        <v>200</v>
      </c>
      <c r="E16">
        <v>500</v>
      </c>
      <c r="F16">
        <v>3</v>
      </c>
      <c r="G16" t="str">
        <v>D</v>
      </c>
      <c r="H16">
        <v>16</v>
      </c>
      <c r="I16">
        <v>3</v>
      </c>
      <c r="J16" t="str">
        <v>D</v>
      </c>
      <c r="K16">
        <v>16</v>
      </c>
      <c r="L16">
        <v>3</v>
      </c>
      <c r="M16" t="str">
        <v>D</v>
      </c>
      <c r="N16">
        <v>16</v>
      </c>
      <c r="O16">
        <v>2</v>
      </c>
      <c r="P16" t="str">
        <v>D</v>
      </c>
      <c r="Q16">
        <v>10</v>
      </c>
      <c r="X16">
        <v>3</v>
      </c>
      <c r="Y16" t="str">
        <v>D</v>
      </c>
      <c r="Z16">
        <v>16</v>
      </c>
      <c r="AA16">
        <v>3</v>
      </c>
      <c r="AB16" t="str">
        <v>D</v>
      </c>
      <c r="AC16">
        <v>16</v>
      </c>
      <c r="AD16">
        <v>3</v>
      </c>
      <c r="AE16" t="str">
        <v>D</v>
      </c>
      <c r="AF16">
        <v>16</v>
      </c>
      <c r="AH16" t="str">
        <v>D</v>
      </c>
      <c r="AI16">
        <v>10</v>
      </c>
      <c r="AJ16" t="str">
        <v>-</v>
      </c>
      <c r="AK16">
        <v>200</v>
      </c>
      <c r="AM16" t="str">
        <v>D</v>
      </c>
      <c r="AN16">
        <v>10</v>
      </c>
      <c r="AO16" t="str">
        <v>-</v>
      </c>
      <c r="AP16">
        <v>200</v>
      </c>
      <c r="AR16" t="str">
        <v>D</v>
      </c>
      <c r="AS16">
        <v>10</v>
      </c>
      <c r="AT16" t="str">
        <v>-</v>
      </c>
      <c r="AU16">
        <v>200</v>
      </c>
      <c r="AZ16">
        <v>100</v>
      </c>
      <c r="BE16">
        <v>100</v>
      </c>
      <c r="BJ16">
        <v>100</v>
      </c>
    </row>
    <row r="17">
      <c r="C17" t="str">
        <v>TB25-2</v>
      </c>
      <c r="D17">
        <v>200</v>
      </c>
      <c r="E17">
        <v>500</v>
      </c>
      <c r="F17">
        <v>4</v>
      </c>
      <c r="G17" t="str">
        <v>D</v>
      </c>
      <c r="H17">
        <v>16</v>
      </c>
      <c r="I17">
        <v>2</v>
      </c>
      <c r="J17" t="str">
        <v>D</v>
      </c>
      <c r="K17">
        <v>16</v>
      </c>
      <c r="L17">
        <v>4</v>
      </c>
      <c r="M17" t="str">
        <v>D</v>
      </c>
      <c r="N17">
        <v>16</v>
      </c>
      <c r="O17">
        <v>2</v>
      </c>
      <c r="P17" t="str">
        <v>D</v>
      </c>
      <c r="Q17">
        <v>10</v>
      </c>
      <c r="X17">
        <v>4</v>
      </c>
      <c r="Y17" t="str">
        <v>D</v>
      </c>
      <c r="Z17">
        <v>16</v>
      </c>
      <c r="AA17">
        <v>4</v>
      </c>
      <c r="AB17" t="str">
        <v>D</v>
      </c>
      <c r="AC17">
        <v>16</v>
      </c>
      <c r="AD17">
        <v>4</v>
      </c>
      <c r="AE17" t="str">
        <v>D</v>
      </c>
      <c r="AF17">
        <v>16</v>
      </c>
      <c r="AH17" t="str">
        <v>D</v>
      </c>
      <c r="AI17">
        <v>10</v>
      </c>
      <c r="AJ17" t="str">
        <v>-</v>
      </c>
      <c r="AK17">
        <v>200</v>
      </c>
      <c r="AM17" t="str">
        <v>D</v>
      </c>
      <c r="AN17">
        <v>10</v>
      </c>
      <c r="AO17" t="str">
        <v>-</v>
      </c>
      <c r="AP17">
        <v>200</v>
      </c>
      <c r="AR17" t="str">
        <v>D</v>
      </c>
      <c r="AS17">
        <v>10</v>
      </c>
      <c r="AT17" t="str">
        <v>-</v>
      </c>
      <c r="AU17">
        <v>200</v>
      </c>
      <c r="AZ17">
        <v>100</v>
      </c>
      <c r="BE17">
        <v>100</v>
      </c>
      <c r="BJ17">
        <v>100</v>
      </c>
    </row>
    <row r="18">
      <c r="C18" t="str">
        <v>TB25-3</v>
      </c>
      <c r="D18">
        <v>200</v>
      </c>
      <c r="E18">
        <v>500</v>
      </c>
      <c r="F18">
        <v>5</v>
      </c>
      <c r="G18" t="str">
        <v>D</v>
      </c>
      <c r="H18">
        <v>16</v>
      </c>
      <c r="I18">
        <v>2</v>
      </c>
      <c r="J18" t="str">
        <v>D</v>
      </c>
      <c r="K18">
        <v>16</v>
      </c>
      <c r="L18">
        <v>5</v>
      </c>
      <c r="M18" t="str">
        <v>D</v>
      </c>
      <c r="N18">
        <v>16</v>
      </c>
      <c r="O18">
        <v>2</v>
      </c>
      <c r="P18" t="str">
        <v>D</v>
      </c>
      <c r="Q18">
        <v>10</v>
      </c>
      <c r="X18">
        <v>4</v>
      </c>
      <c r="Y18" t="str">
        <v>D</v>
      </c>
      <c r="Z18">
        <v>16</v>
      </c>
      <c r="AA18">
        <v>4</v>
      </c>
      <c r="AB18" t="str">
        <v>D</v>
      </c>
      <c r="AC18">
        <v>16</v>
      </c>
      <c r="AD18">
        <v>4</v>
      </c>
      <c r="AE18" t="str">
        <v>D</v>
      </c>
      <c r="AF18">
        <v>16</v>
      </c>
      <c r="AH18" t="str">
        <v>D</v>
      </c>
      <c r="AI18">
        <v>10</v>
      </c>
      <c r="AJ18" t="str">
        <v>-</v>
      </c>
      <c r="AK18">
        <v>200</v>
      </c>
      <c r="AM18" t="str">
        <v>D</v>
      </c>
      <c r="AN18">
        <v>10</v>
      </c>
      <c r="AO18" t="str">
        <v>-</v>
      </c>
      <c r="AP18">
        <v>200</v>
      </c>
      <c r="AR18" t="str">
        <v>D</v>
      </c>
      <c r="AS18">
        <v>10</v>
      </c>
      <c r="AT18" t="str">
        <v>-</v>
      </c>
      <c r="AU18">
        <v>200</v>
      </c>
      <c r="AZ18">
        <v>100</v>
      </c>
      <c r="BE18">
        <v>100</v>
      </c>
      <c r="BJ18">
        <v>100</v>
      </c>
    </row>
    <row r="19">
      <c r="C19" t="str">
        <v>TB35-1</v>
      </c>
      <c r="D19">
        <v>300</v>
      </c>
      <c r="E19">
        <v>500</v>
      </c>
      <c r="F19">
        <v>6</v>
      </c>
      <c r="G19" t="str">
        <v>D</v>
      </c>
      <c r="H19">
        <v>16</v>
      </c>
      <c r="I19">
        <v>3</v>
      </c>
      <c r="J19" t="str">
        <v>D</v>
      </c>
      <c r="K19">
        <v>16</v>
      </c>
      <c r="L19">
        <v>6</v>
      </c>
      <c r="M19" t="str">
        <v>D</v>
      </c>
      <c r="N19">
        <v>16</v>
      </c>
      <c r="O19">
        <v>2</v>
      </c>
      <c r="P19" t="str">
        <v>D</v>
      </c>
      <c r="Q19">
        <v>10</v>
      </c>
      <c r="X19">
        <v>3</v>
      </c>
      <c r="Y19" t="str">
        <v>D</v>
      </c>
      <c r="Z19">
        <v>16</v>
      </c>
      <c r="AA19">
        <v>5</v>
      </c>
      <c r="AB19" t="str">
        <v>D</v>
      </c>
      <c r="AC19">
        <v>16</v>
      </c>
      <c r="AD19">
        <v>3</v>
      </c>
      <c r="AE19" t="str">
        <v>D</v>
      </c>
      <c r="AF19">
        <v>16</v>
      </c>
      <c r="AH19" t="str">
        <v>D</v>
      </c>
      <c r="AI19">
        <v>10</v>
      </c>
      <c r="AJ19" t="str">
        <v>-</v>
      </c>
      <c r="AK19">
        <v>200</v>
      </c>
      <c r="AM19" t="str">
        <v>D</v>
      </c>
      <c r="AN19">
        <v>10</v>
      </c>
      <c r="AO19" t="str">
        <v>-</v>
      </c>
      <c r="AP19">
        <v>200</v>
      </c>
      <c r="AR19" t="str">
        <v>D</v>
      </c>
      <c r="AS19">
        <v>10</v>
      </c>
      <c r="AT19" t="str">
        <v>-</v>
      </c>
      <c r="AU19">
        <v>200</v>
      </c>
      <c r="AZ19">
        <v>100</v>
      </c>
      <c r="BE19">
        <v>100</v>
      </c>
      <c r="BJ19">
        <v>100</v>
      </c>
    </row>
    <row r="20">
      <c r="C20" t="str">
        <v>TB35-2</v>
      </c>
      <c r="D20">
        <v>300</v>
      </c>
      <c r="E20">
        <v>500</v>
      </c>
      <c r="F20">
        <v>7</v>
      </c>
      <c r="G20" t="str">
        <v>D</v>
      </c>
      <c r="H20">
        <v>16</v>
      </c>
      <c r="I20">
        <v>4</v>
      </c>
      <c r="J20" t="str">
        <v>D</v>
      </c>
      <c r="K20">
        <v>16</v>
      </c>
      <c r="L20">
        <v>7</v>
      </c>
      <c r="M20" t="str">
        <v>D</v>
      </c>
      <c r="N20">
        <v>16</v>
      </c>
      <c r="O20">
        <v>2</v>
      </c>
      <c r="P20" t="str">
        <v>D</v>
      </c>
      <c r="Q20">
        <v>10</v>
      </c>
      <c r="X20">
        <v>4</v>
      </c>
      <c r="Y20" t="str">
        <v>D</v>
      </c>
      <c r="Z20">
        <v>16</v>
      </c>
      <c r="AA20">
        <v>7</v>
      </c>
      <c r="AB20" t="str">
        <v>D</v>
      </c>
      <c r="AC20">
        <v>16</v>
      </c>
      <c r="AD20">
        <v>4</v>
      </c>
      <c r="AE20" t="str">
        <v>D</v>
      </c>
      <c r="AF20">
        <v>16</v>
      </c>
      <c r="AH20" t="str">
        <v>D</v>
      </c>
      <c r="AI20">
        <v>10</v>
      </c>
      <c r="AJ20" t="str">
        <v>-</v>
      </c>
      <c r="AK20">
        <v>125</v>
      </c>
      <c r="AM20" t="str">
        <v>D</v>
      </c>
      <c r="AN20">
        <v>10</v>
      </c>
      <c r="AO20" t="str">
        <v>-</v>
      </c>
      <c r="AP20">
        <v>200</v>
      </c>
      <c r="AR20" t="str">
        <v>D</v>
      </c>
      <c r="AS20">
        <v>10</v>
      </c>
      <c r="AT20" t="str">
        <v>-</v>
      </c>
      <c r="AU20">
        <v>125</v>
      </c>
      <c r="AZ20">
        <v>100</v>
      </c>
      <c r="BE20">
        <v>100</v>
      </c>
      <c r="BJ20">
        <v>100</v>
      </c>
    </row>
    <row r="21">
      <c r="C21" t="str">
        <v>TB36-1</v>
      </c>
      <c r="D21">
        <v>300</v>
      </c>
      <c r="E21">
        <v>600</v>
      </c>
      <c r="F21">
        <v>7</v>
      </c>
      <c r="G21" t="str">
        <v>D</v>
      </c>
      <c r="H21">
        <v>19</v>
      </c>
      <c r="I21">
        <v>4</v>
      </c>
      <c r="J21" t="str">
        <v>D</v>
      </c>
      <c r="K21">
        <v>19</v>
      </c>
      <c r="L21">
        <v>4</v>
      </c>
      <c r="M21" t="str">
        <v>D</v>
      </c>
      <c r="N21">
        <v>19</v>
      </c>
      <c r="O21">
        <v>2</v>
      </c>
      <c r="P21" t="str">
        <v>D</v>
      </c>
      <c r="Q21">
        <v>10</v>
      </c>
      <c r="X21">
        <v>4</v>
      </c>
      <c r="Y21" t="str">
        <v>D</v>
      </c>
      <c r="Z21">
        <v>19</v>
      </c>
      <c r="AA21">
        <v>4</v>
      </c>
      <c r="AB21" t="str">
        <v>D</v>
      </c>
      <c r="AC21">
        <v>19</v>
      </c>
      <c r="AD21">
        <v>4</v>
      </c>
      <c r="AE21" t="str">
        <v>D</v>
      </c>
      <c r="AF21">
        <v>19</v>
      </c>
      <c r="AH21" t="str">
        <v>D</v>
      </c>
      <c r="AI21">
        <v>10</v>
      </c>
      <c r="AJ21" t="str">
        <v>-</v>
      </c>
      <c r="AK21">
        <v>175</v>
      </c>
      <c r="AM21" t="str">
        <v>D</v>
      </c>
      <c r="AN21">
        <v>10</v>
      </c>
      <c r="AO21" t="str">
        <v>-</v>
      </c>
      <c r="AP21">
        <v>200</v>
      </c>
      <c r="AR21" t="str">
        <v>D</v>
      </c>
      <c r="AS21">
        <v>10</v>
      </c>
      <c r="AT21" t="str">
        <v>-</v>
      </c>
      <c r="AU21">
        <v>175</v>
      </c>
      <c r="AZ21">
        <v>100</v>
      </c>
      <c r="BE21">
        <v>100</v>
      </c>
      <c r="BJ21">
        <v>100</v>
      </c>
    </row>
    <row r="22">
      <c r="C22" t="str">
        <v>TB46-1</v>
      </c>
      <c r="D22">
        <v>400</v>
      </c>
      <c r="E22">
        <v>600</v>
      </c>
      <c r="F22">
        <v>9</v>
      </c>
      <c r="G22" t="str">
        <v>D</v>
      </c>
      <c r="H22">
        <v>19</v>
      </c>
      <c r="I22">
        <v>9</v>
      </c>
      <c r="J22" t="str">
        <v>D</v>
      </c>
      <c r="K22">
        <v>19</v>
      </c>
      <c r="L22">
        <v>9</v>
      </c>
      <c r="M22" t="str">
        <v>D</v>
      </c>
      <c r="N22">
        <v>19</v>
      </c>
      <c r="O22">
        <v>2</v>
      </c>
      <c r="P22" t="str">
        <v>D</v>
      </c>
      <c r="Q22">
        <v>10</v>
      </c>
      <c r="X22">
        <v>5</v>
      </c>
      <c r="Y22" t="str">
        <v>D</v>
      </c>
      <c r="Z22">
        <v>19</v>
      </c>
      <c r="AA22">
        <v>5</v>
      </c>
      <c r="AB22" t="str">
        <v>D</v>
      </c>
      <c r="AC22">
        <v>19</v>
      </c>
      <c r="AD22">
        <v>5</v>
      </c>
      <c r="AE22" t="str">
        <v>D</v>
      </c>
      <c r="AF22">
        <v>19</v>
      </c>
      <c r="AH22" t="str">
        <v>D</v>
      </c>
      <c r="AI22">
        <v>10</v>
      </c>
      <c r="AJ22" t="str">
        <v>-</v>
      </c>
      <c r="AK22">
        <v>200</v>
      </c>
      <c r="AM22" t="str">
        <v>D</v>
      </c>
      <c r="AN22">
        <v>10</v>
      </c>
      <c r="AO22" t="str">
        <v>-</v>
      </c>
      <c r="AP22">
        <v>200</v>
      </c>
      <c r="AR22" t="str">
        <v>D</v>
      </c>
      <c r="AS22">
        <v>10</v>
      </c>
      <c r="AT22" t="str">
        <v>-</v>
      </c>
      <c r="AU22">
        <v>200</v>
      </c>
      <c r="AZ22">
        <v>100</v>
      </c>
      <c r="BE22">
        <v>100</v>
      </c>
      <c r="BJ22">
        <v>100</v>
      </c>
    </row>
    <row r="23">
      <c r="C23" t="str">
        <v>TB47-1</v>
      </c>
      <c r="D23">
        <v>400</v>
      </c>
      <c r="E23">
        <v>700</v>
      </c>
      <c r="F23">
        <v>9</v>
      </c>
      <c r="G23" t="str">
        <v>D</v>
      </c>
      <c r="H23">
        <v>22</v>
      </c>
      <c r="I23">
        <v>9</v>
      </c>
      <c r="J23" t="str">
        <v>D</v>
      </c>
      <c r="K23">
        <v>22</v>
      </c>
      <c r="L23">
        <v>9</v>
      </c>
      <c r="M23" t="str">
        <v>D</v>
      </c>
      <c r="N23">
        <v>22</v>
      </c>
      <c r="O23">
        <v>2</v>
      </c>
      <c r="P23" t="str">
        <v>D</v>
      </c>
      <c r="Q23">
        <v>10</v>
      </c>
      <c r="X23">
        <v>5</v>
      </c>
      <c r="Y23" t="str">
        <v>D</v>
      </c>
      <c r="Z23">
        <v>22</v>
      </c>
      <c r="AA23">
        <v>5</v>
      </c>
      <c r="AB23" t="str">
        <v>D</v>
      </c>
      <c r="AC23">
        <v>22</v>
      </c>
      <c r="AD23">
        <v>5</v>
      </c>
      <c r="AE23" t="str">
        <v>D</v>
      </c>
      <c r="AF23">
        <v>22</v>
      </c>
      <c r="AH23" t="str">
        <v>D</v>
      </c>
      <c r="AI23">
        <v>10</v>
      </c>
      <c r="AJ23" t="str">
        <v>-</v>
      </c>
      <c r="AK23">
        <v>200</v>
      </c>
      <c r="AM23" t="str">
        <v>D</v>
      </c>
      <c r="AN23">
        <v>10</v>
      </c>
      <c r="AO23" t="str">
        <v>-</v>
      </c>
      <c r="AP23">
        <v>200</v>
      </c>
      <c r="AR23" t="str">
        <v>D</v>
      </c>
      <c r="AS23">
        <v>10</v>
      </c>
      <c r="AT23" t="str">
        <v>-</v>
      </c>
      <c r="AU23">
        <v>200</v>
      </c>
      <c r="AZ23">
        <v>100</v>
      </c>
      <c r="BE23">
        <v>100</v>
      </c>
      <c r="BJ23">
        <v>100</v>
      </c>
    </row>
    <row r="24">
      <c r="C24" t="str">
        <v>TB47-2</v>
      </c>
      <c r="D24">
        <v>400</v>
      </c>
      <c r="E24">
        <v>700</v>
      </c>
      <c r="F24">
        <v>8</v>
      </c>
      <c r="G24" t="str">
        <v>D</v>
      </c>
      <c r="H24">
        <v>22</v>
      </c>
      <c r="I24">
        <v>5</v>
      </c>
      <c r="J24" t="str">
        <v>D</v>
      </c>
      <c r="K24">
        <v>22</v>
      </c>
      <c r="L24">
        <v>5</v>
      </c>
      <c r="M24" t="str">
        <v>D</v>
      </c>
      <c r="N24">
        <v>22</v>
      </c>
      <c r="O24">
        <v>2</v>
      </c>
      <c r="P24" t="str">
        <v>D</v>
      </c>
      <c r="Q24">
        <v>10</v>
      </c>
      <c r="X24">
        <v>4</v>
      </c>
      <c r="Y24" t="str">
        <v>D</v>
      </c>
      <c r="Z24">
        <v>22</v>
      </c>
      <c r="AA24">
        <v>4</v>
      </c>
      <c r="AB24" t="str">
        <v>D</v>
      </c>
      <c r="AC24">
        <v>22</v>
      </c>
      <c r="AD24">
        <v>4</v>
      </c>
      <c r="AE24" t="str">
        <v>D</v>
      </c>
      <c r="AF24">
        <v>22</v>
      </c>
      <c r="AH24" t="str">
        <v>D</v>
      </c>
      <c r="AI24">
        <v>10</v>
      </c>
      <c r="AJ24" t="str">
        <v>-</v>
      </c>
      <c r="AK24">
        <v>200</v>
      </c>
      <c r="AM24" t="str">
        <v>D</v>
      </c>
      <c r="AN24">
        <v>10</v>
      </c>
      <c r="AO24" t="str">
        <v>-</v>
      </c>
      <c r="AP24">
        <v>200</v>
      </c>
      <c r="AR24" t="str">
        <v>D</v>
      </c>
      <c r="AS24">
        <v>10</v>
      </c>
      <c r="AT24" t="str">
        <v>-</v>
      </c>
      <c r="AU24">
        <v>200</v>
      </c>
      <c r="AZ24">
        <v>100</v>
      </c>
      <c r="BE24">
        <v>100</v>
      </c>
      <c r="BJ24">
        <v>100</v>
      </c>
    </row>
    <row r="25">
      <c r="C25" t="str">
        <v>TB57-1</v>
      </c>
      <c r="D25">
        <v>500</v>
      </c>
      <c r="E25">
        <v>700</v>
      </c>
      <c r="F25">
        <v>12</v>
      </c>
      <c r="G25" t="str">
        <v>D</v>
      </c>
      <c r="H25">
        <v>22</v>
      </c>
      <c r="I25">
        <v>4</v>
      </c>
      <c r="J25" t="str">
        <v>D</v>
      </c>
      <c r="K25">
        <v>22</v>
      </c>
      <c r="L25">
        <v>4</v>
      </c>
      <c r="M25" t="str">
        <v>D</v>
      </c>
      <c r="N25">
        <v>22</v>
      </c>
      <c r="O25">
        <v>2</v>
      </c>
      <c r="P25" t="str">
        <v>D</v>
      </c>
      <c r="Q25">
        <v>10</v>
      </c>
      <c r="X25">
        <v>6</v>
      </c>
      <c r="Y25" t="str">
        <v>D</v>
      </c>
      <c r="Z25">
        <v>22</v>
      </c>
      <c r="AA25">
        <v>6</v>
      </c>
      <c r="AB25" t="str">
        <v>D</v>
      </c>
      <c r="AC25">
        <v>22</v>
      </c>
      <c r="AD25">
        <v>4</v>
      </c>
      <c r="AE25" t="str">
        <v>D</v>
      </c>
      <c r="AF25">
        <v>22</v>
      </c>
      <c r="AH25" t="str">
        <v>D</v>
      </c>
      <c r="AI25">
        <v>10</v>
      </c>
      <c r="AJ25" t="str">
        <v>-</v>
      </c>
      <c r="AK25">
        <v>150</v>
      </c>
      <c r="AM25" t="str">
        <v>D</v>
      </c>
      <c r="AN25">
        <v>10</v>
      </c>
      <c r="AO25" t="str">
        <v>-</v>
      </c>
      <c r="AP25">
        <v>200</v>
      </c>
      <c r="AR25" t="str">
        <v>D</v>
      </c>
      <c r="AS25">
        <v>10</v>
      </c>
      <c r="AT25" t="str">
        <v>-</v>
      </c>
      <c r="AU25">
        <v>150</v>
      </c>
      <c r="AZ25">
        <v>100</v>
      </c>
      <c r="BE25">
        <v>100</v>
      </c>
      <c r="BJ25">
        <v>100</v>
      </c>
    </row>
    <row r="26">
      <c r="C26" t="str">
        <v>TBK25-1</v>
      </c>
      <c r="D26">
        <v>200</v>
      </c>
      <c r="E26">
        <v>500</v>
      </c>
      <c r="F26">
        <v>4</v>
      </c>
      <c r="G26" t="str">
        <v>D</v>
      </c>
      <c r="H26">
        <v>16</v>
      </c>
      <c r="I26">
        <v>4</v>
      </c>
      <c r="J26" t="str">
        <v>D</v>
      </c>
      <c r="K26">
        <v>16</v>
      </c>
      <c r="L26">
        <v>4</v>
      </c>
      <c r="M26" t="str">
        <v>D</v>
      </c>
      <c r="N26">
        <v>16</v>
      </c>
      <c r="O26">
        <v>2</v>
      </c>
      <c r="P26" t="str">
        <v>D</v>
      </c>
      <c r="Q26">
        <v>10</v>
      </c>
      <c r="X26">
        <v>3</v>
      </c>
      <c r="Y26" t="str">
        <v>D</v>
      </c>
      <c r="Z26">
        <v>16</v>
      </c>
      <c r="AA26">
        <v>3</v>
      </c>
      <c r="AB26" t="str">
        <v>D</v>
      </c>
      <c r="AC26">
        <v>16</v>
      </c>
      <c r="AD26">
        <v>3</v>
      </c>
      <c r="AE26" t="str">
        <v>D</v>
      </c>
      <c r="AF26">
        <v>16</v>
      </c>
      <c r="AH26" t="str">
        <v>D</v>
      </c>
      <c r="AI26">
        <v>10</v>
      </c>
      <c r="AJ26" t="str">
        <v>-</v>
      </c>
      <c r="AK26">
        <v>150</v>
      </c>
      <c r="AM26" t="str">
        <v>D</v>
      </c>
      <c r="AN26">
        <v>10</v>
      </c>
      <c r="AO26" t="str">
        <v>-</v>
      </c>
      <c r="AP26">
        <v>150</v>
      </c>
      <c r="AR26" t="str">
        <v>D</v>
      </c>
      <c r="AS26">
        <v>10</v>
      </c>
      <c r="AT26" t="str">
        <v>-</v>
      </c>
      <c r="AU26">
        <v>150</v>
      </c>
      <c r="AZ26">
        <v>100</v>
      </c>
      <c r="BE26">
        <v>100</v>
      </c>
      <c r="BJ26">
        <v>100</v>
      </c>
    </row>
    <row r="27">
      <c r="C27" t="str">
        <v>Potongan S1</v>
      </c>
      <c r="D27">
        <v>300</v>
      </c>
      <c r="E27">
        <v>500</v>
      </c>
      <c r="F27">
        <v>7</v>
      </c>
      <c r="G27" t="str">
        <v>D</v>
      </c>
      <c r="H27">
        <v>16</v>
      </c>
      <c r="I27">
        <v>7</v>
      </c>
      <c r="J27" t="str">
        <v>D</v>
      </c>
      <c r="K27">
        <v>16</v>
      </c>
      <c r="L27">
        <v>7</v>
      </c>
      <c r="M27" t="str">
        <v>D</v>
      </c>
      <c r="N27">
        <v>16</v>
      </c>
      <c r="O27">
        <v>2</v>
      </c>
      <c r="P27" t="str">
        <v>D</v>
      </c>
      <c r="Q27">
        <v>10</v>
      </c>
      <c r="X27">
        <v>4</v>
      </c>
      <c r="Y27" t="str">
        <v>D</v>
      </c>
      <c r="Z27">
        <v>16</v>
      </c>
      <c r="AA27">
        <v>4</v>
      </c>
      <c r="AB27" t="str">
        <v>D</v>
      </c>
      <c r="AC27">
        <v>16</v>
      </c>
      <c r="AD27">
        <v>4</v>
      </c>
      <c r="AE27" t="str">
        <v>D</v>
      </c>
      <c r="AF27">
        <v>16</v>
      </c>
      <c r="AH27" t="str">
        <v>D</v>
      </c>
      <c r="AI27">
        <v>10</v>
      </c>
      <c r="AJ27" t="str">
        <v>-</v>
      </c>
      <c r="AK27">
        <v>200</v>
      </c>
      <c r="AM27" t="str">
        <v>D</v>
      </c>
      <c r="AN27">
        <v>10</v>
      </c>
      <c r="AO27" t="str">
        <v>-</v>
      </c>
      <c r="AP27">
        <v>200</v>
      </c>
      <c r="AR27" t="str">
        <v>D</v>
      </c>
      <c r="AS27">
        <v>10</v>
      </c>
      <c r="AT27" t="str">
        <v>-</v>
      </c>
      <c r="AU27">
        <v>200</v>
      </c>
      <c r="AZ27">
        <v>100</v>
      </c>
      <c r="BE27">
        <v>100</v>
      </c>
      <c r="BJ27">
        <v>100</v>
      </c>
    </row>
    <row r="28">
      <c r="C28" t="str">
        <v>Potongan S2</v>
      </c>
      <c r="D28">
        <v>300</v>
      </c>
      <c r="E28">
        <v>600</v>
      </c>
      <c r="F28">
        <v>7</v>
      </c>
      <c r="G28" t="str">
        <v>D</v>
      </c>
      <c r="H28">
        <v>19</v>
      </c>
      <c r="I28">
        <v>7</v>
      </c>
      <c r="J28" t="str">
        <v>D</v>
      </c>
      <c r="K28">
        <v>19</v>
      </c>
      <c r="L28">
        <v>7</v>
      </c>
      <c r="M28" t="str">
        <v>D</v>
      </c>
      <c r="N28">
        <v>19</v>
      </c>
      <c r="O28">
        <v>2</v>
      </c>
      <c r="P28" t="str">
        <v>D</v>
      </c>
      <c r="Q28">
        <v>10</v>
      </c>
      <c r="X28">
        <v>4</v>
      </c>
      <c r="Y28" t="str">
        <v>D</v>
      </c>
      <c r="Z28">
        <v>19</v>
      </c>
      <c r="AA28">
        <v>4</v>
      </c>
      <c r="AB28" t="str">
        <v>D</v>
      </c>
      <c r="AC28">
        <v>19</v>
      </c>
      <c r="AD28">
        <v>4</v>
      </c>
      <c r="AE28" t="str">
        <v>D</v>
      </c>
      <c r="AF28">
        <v>19</v>
      </c>
      <c r="AH28" t="str">
        <v>D</v>
      </c>
      <c r="AI28">
        <v>10</v>
      </c>
      <c r="AJ28" t="str">
        <v>-</v>
      </c>
      <c r="AK28">
        <v>200</v>
      </c>
      <c r="AM28" t="str">
        <v>D</v>
      </c>
      <c r="AN28">
        <v>10</v>
      </c>
      <c r="AO28" t="str">
        <v>-</v>
      </c>
      <c r="AP28">
        <v>200</v>
      </c>
      <c r="AR28" t="str">
        <v>D</v>
      </c>
      <c r="AS28">
        <v>10</v>
      </c>
      <c r="AT28" t="str">
        <v>-</v>
      </c>
      <c r="AU28">
        <v>200</v>
      </c>
      <c r="AZ28">
        <v>100</v>
      </c>
      <c r="BE28">
        <v>100</v>
      </c>
      <c r="BJ28">
        <v>100</v>
      </c>
    </row>
    <row r="29">
      <c r="C29" t="str">
        <v>Potongan S3</v>
      </c>
      <c r="D29">
        <v>200</v>
      </c>
      <c r="E29">
        <v>450</v>
      </c>
      <c r="F29">
        <v>4</v>
      </c>
      <c r="G29" t="str">
        <v>D</v>
      </c>
      <c r="H29">
        <v>13</v>
      </c>
      <c r="I29">
        <v>4</v>
      </c>
      <c r="J29" t="str">
        <v>D</v>
      </c>
      <c r="K29">
        <v>13</v>
      </c>
      <c r="L29">
        <v>4</v>
      </c>
      <c r="M29" t="str">
        <v>D</v>
      </c>
      <c r="N29">
        <v>13</v>
      </c>
      <c r="O29">
        <v>2</v>
      </c>
      <c r="P29" t="str">
        <v>D</v>
      </c>
      <c r="Q29">
        <v>8</v>
      </c>
      <c r="X29">
        <v>2</v>
      </c>
      <c r="Y29" t="str">
        <v>D</v>
      </c>
      <c r="Z29">
        <v>13</v>
      </c>
      <c r="AA29">
        <v>2</v>
      </c>
      <c r="AB29" t="str">
        <v>D</v>
      </c>
      <c r="AC29">
        <v>13</v>
      </c>
      <c r="AD29">
        <v>2</v>
      </c>
      <c r="AE29" t="str">
        <v>D</v>
      </c>
      <c r="AF29">
        <v>13</v>
      </c>
      <c r="AH29" t="str">
        <v>D</v>
      </c>
      <c r="AI29">
        <v>8</v>
      </c>
      <c r="AJ29" t="str">
        <v>-</v>
      </c>
      <c r="AK29">
        <v>200</v>
      </c>
      <c r="AM29" t="str">
        <v>D</v>
      </c>
      <c r="AN29">
        <v>8</v>
      </c>
      <c r="AO29" t="str">
        <v>-</v>
      </c>
      <c r="AP29">
        <v>200</v>
      </c>
      <c r="AR29" t="str">
        <v>D</v>
      </c>
      <c r="AS29">
        <v>8</v>
      </c>
      <c r="AT29" t="str">
        <v>-</v>
      </c>
      <c r="AU29">
        <v>200</v>
      </c>
      <c r="AZ29">
        <v>100</v>
      </c>
      <c r="BE29">
        <v>100</v>
      </c>
      <c r="BJ29">
        <v>100</v>
      </c>
    </row>
    <row r="30">
      <c r="C30" t="str">
        <v>Potongan S4</v>
      </c>
      <c r="D30">
        <v>300</v>
      </c>
      <c r="E30">
        <v>500</v>
      </c>
      <c r="F30">
        <v>5</v>
      </c>
      <c r="G30" t="str">
        <v>D</v>
      </c>
      <c r="H30">
        <v>16</v>
      </c>
      <c r="I30">
        <v>5</v>
      </c>
      <c r="J30" t="str">
        <v>D</v>
      </c>
      <c r="K30">
        <v>16</v>
      </c>
      <c r="L30">
        <v>5</v>
      </c>
      <c r="M30" t="str">
        <v>D</v>
      </c>
      <c r="N30">
        <v>16</v>
      </c>
      <c r="O30">
        <v>2</v>
      </c>
      <c r="P30" t="str">
        <v>D</v>
      </c>
      <c r="Q30">
        <v>10</v>
      </c>
      <c r="X30">
        <v>3</v>
      </c>
      <c r="Y30" t="str">
        <v>D</v>
      </c>
      <c r="Z30">
        <v>16</v>
      </c>
      <c r="AA30">
        <v>3</v>
      </c>
      <c r="AB30" t="str">
        <v>D</v>
      </c>
      <c r="AC30">
        <v>16</v>
      </c>
      <c r="AD30">
        <v>3</v>
      </c>
      <c r="AE30" t="str">
        <v>D</v>
      </c>
      <c r="AF30">
        <v>16</v>
      </c>
      <c r="AH30" t="str">
        <v>D</v>
      </c>
      <c r="AI30">
        <v>10</v>
      </c>
      <c r="AJ30" t="str">
        <v>-</v>
      </c>
      <c r="AK30">
        <v>200</v>
      </c>
      <c r="AM30" t="str">
        <v>D</v>
      </c>
      <c r="AN30">
        <v>10</v>
      </c>
      <c r="AO30" t="str">
        <v>-</v>
      </c>
      <c r="AP30">
        <v>200</v>
      </c>
      <c r="AR30" t="str">
        <v>D</v>
      </c>
      <c r="AS30">
        <v>10</v>
      </c>
      <c r="AT30" t="str">
        <v>-</v>
      </c>
      <c r="AU30">
        <v>200</v>
      </c>
      <c r="AZ30">
        <v>100</v>
      </c>
      <c r="BE30">
        <v>100</v>
      </c>
      <c r="BJ30">
        <v>100</v>
      </c>
    </row>
    <row r="32">
      <c r="C32" t="str">
        <v>B173-1</v>
      </c>
      <c r="D32">
        <v>170</v>
      </c>
      <c r="E32">
        <v>300</v>
      </c>
      <c r="F32">
        <v>2</v>
      </c>
      <c r="G32" t="str">
        <v>D</v>
      </c>
      <c r="H32">
        <v>13</v>
      </c>
      <c r="I32">
        <v>2</v>
      </c>
      <c r="J32" t="str">
        <v>D</v>
      </c>
      <c r="K32">
        <v>13</v>
      </c>
      <c r="L32">
        <v>2</v>
      </c>
      <c r="M32" t="str">
        <v>D</v>
      </c>
      <c r="N32">
        <v>13</v>
      </c>
      <c r="P32" t="str">
        <v>D</v>
      </c>
      <c r="Q32">
        <v>6</v>
      </c>
      <c r="X32">
        <v>2</v>
      </c>
      <c r="Y32" t="str">
        <v>D</v>
      </c>
      <c r="Z32">
        <v>13</v>
      </c>
      <c r="AA32">
        <v>2</v>
      </c>
      <c r="AB32" t="str">
        <v>D</v>
      </c>
      <c r="AC32">
        <v>13</v>
      </c>
      <c r="AD32">
        <v>2</v>
      </c>
      <c r="AE32" t="str">
        <v>D</v>
      </c>
      <c r="AF32">
        <v>13</v>
      </c>
      <c r="AH32" t="str">
        <v>D</v>
      </c>
      <c r="AI32">
        <v>8</v>
      </c>
      <c r="AJ32" t="str">
        <v>-</v>
      </c>
      <c r="AK32">
        <v>100</v>
      </c>
      <c r="AM32" t="str">
        <v>D</v>
      </c>
      <c r="AN32">
        <v>8</v>
      </c>
      <c r="AO32" t="str">
        <v>-</v>
      </c>
      <c r="AP32">
        <v>150</v>
      </c>
      <c r="AR32" t="str">
        <v>D</v>
      </c>
      <c r="AS32">
        <v>8</v>
      </c>
      <c r="AT32" t="str">
        <v>-</v>
      </c>
      <c r="AU32">
        <v>100</v>
      </c>
      <c r="AZ32">
        <v>100</v>
      </c>
      <c r="BE32">
        <v>100</v>
      </c>
      <c r="BJ32">
        <v>100</v>
      </c>
    </row>
    <row r="33">
      <c r="C33" t="str">
        <v>B174-1</v>
      </c>
      <c r="D33">
        <v>170</v>
      </c>
      <c r="E33">
        <v>400</v>
      </c>
      <c r="F33">
        <v>2</v>
      </c>
      <c r="G33" t="str">
        <v>D</v>
      </c>
      <c r="H33">
        <v>13</v>
      </c>
      <c r="I33">
        <v>2</v>
      </c>
      <c r="J33" t="str">
        <v>D</v>
      </c>
      <c r="K33">
        <v>13</v>
      </c>
      <c r="L33">
        <v>2</v>
      </c>
      <c r="M33" t="str">
        <v>D</v>
      </c>
      <c r="N33">
        <v>13</v>
      </c>
      <c r="P33" t="str">
        <v>D</v>
      </c>
      <c r="Q33">
        <v>6</v>
      </c>
      <c r="X33">
        <v>2</v>
      </c>
      <c r="Y33" t="str">
        <v>D</v>
      </c>
      <c r="Z33">
        <v>13</v>
      </c>
      <c r="AA33">
        <v>2</v>
      </c>
      <c r="AB33" t="str">
        <v>D</v>
      </c>
      <c r="AC33">
        <v>13</v>
      </c>
      <c r="AD33">
        <v>2</v>
      </c>
      <c r="AE33" t="str">
        <v>D</v>
      </c>
      <c r="AF33">
        <v>13</v>
      </c>
      <c r="AH33" t="str">
        <v>D</v>
      </c>
      <c r="AI33">
        <v>10</v>
      </c>
      <c r="AJ33" t="str">
        <v>-</v>
      </c>
      <c r="AK33">
        <v>100</v>
      </c>
      <c r="AM33" t="str">
        <v>D</v>
      </c>
      <c r="AN33">
        <v>10</v>
      </c>
      <c r="AO33" t="str">
        <v>-</v>
      </c>
      <c r="AP33">
        <v>200</v>
      </c>
      <c r="AR33" t="str">
        <v>D</v>
      </c>
      <c r="AS33">
        <v>10</v>
      </c>
      <c r="AT33" t="str">
        <v>-</v>
      </c>
      <c r="AU33">
        <v>100</v>
      </c>
      <c r="AZ33">
        <v>100</v>
      </c>
      <c r="BE33">
        <v>100</v>
      </c>
      <c r="BJ33">
        <v>100</v>
      </c>
    </row>
    <row r="34">
      <c r="C34" t="str">
        <v>B174-2</v>
      </c>
      <c r="D34">
        <v>170</v>
      </c>
      <c r="E34">
        <v>400</v>
      </c>
      <c r="F34">
        <v>4</v>
      </c>
      <c r="G34" t="str">
        <v>D</v>
      </c>
      <c r="H34">
        <v>13</v>
      </c>
      <c r="I34">
        <v>2</v>
      </c>
      <c r="J34" t="str">
        <v>D</v>
      </c>
      <c r="K34">
        <v>13</v>
      </c>
      <c r="L34">
        <v>4</v>
      </c>
      <c r="M34" t="str">
        <v>D</v>
      </c>
      <c r="N34">
        <v>13</v>
      </c>
      <c r="P34" t="str">
        <v>D</v>
      </c>
      <c r="Q34">
        <v>6</v>
      </c>
      <c r="X34">
        <v>2</v>
      </c>
      <c r="Y34" t="str">
        <v>D</v>
      </c>
      <c r="Z34">
        <v>13</v>
      </c>
      <c r="AA34">
        <v>4</v>
      </c>
      <c r="AB34" t="str">
        <v>D</v>
      </c>
      <c r="AC34">
        <v>13</v>
      </c>
      <c r="AD34">
        <v>2</v>
      </c>
      <c r="AE34" t="str">
        <v>D</v>
      </c>
      <c r="AF34">
        <v>13</v>
      </c>
      <c r="AH34" t="str">
        <v>D</v>
      </c>
      <c r="AI34">
        <v>10</v>
      </c>
      <c r="AJ34" t="str">
        <v>-</v>
      </c>
      <c r="AK34">
        <v>100</v>
      </c>
      <c r="AM34" t="str">
        <v>D</v>
      </c>
      <c r="AN34">
        <v>10</v>
      </c>
      <c r="AO34" t="str">
        <v>-</v>
      </c>
      <c r="AP34">
        <v>125</v>
      </c>
      <c r="AR34" t="str">
        <v>D</v>
      </c>
      <c r="AS34">
        <v>10</v>
      </c>
      <c r="AT34" t="str">
        <v>-</v>
      </c>
      <c r="AU34">
        <v>100</v>
      </c>
      <c r="AZ34">
        <v>100</v>
      </c>
      <c r="BE34">
        <v>100</v>
      </c>
      <c r="BJ34">
        <v>100</v>
      </c>
    </row>
    <row r="35">
      <c r="C35" t="str">
        <v>B175-1</v>
      </c>
      <c r="D35">
        <v>170</v>
      </c>
      <c r="E35">
        <v>500</v>
      </c>
      <c r="F35">
        <v>2</v>
      </c>
      <c r="G35" t="str">
        <v>D</v>
      </c>
      <c r="H35">
        <v>13</v>
      </c>
      <c r="I35">
        <v>2</v>
      </c>
      <c r="J35" t="str">
        <v>D</v>
      </c>
      <c r="K35">
        <v>13</v>
      </c>
      <c r="L35">
        <v>2</v>
      </c>
      <c r="M35" t="str">
        <v>D</v>
      </c>
      <c r="N35">
        <v>13</v>
      </c>
      <c r="O35">
        <v>2</v>
      </c>
      <c r="P35" t="str">
        <v>D</v>
      </c>
      <c r="Q35">
        <v>10</v>
      </c>
      <c r="X35">
        <v>2</v>
      </c>
      <c r="Y35" t="str">
        <v>D</v>
      </c>
      <c r="Z35">
        <v>13</v>
      </c>
      <c r="AA35">
        <v>2</v>
      </c>
      <c r="AB35" t="str">
        <v>D</v>
      </c>
      <c r="AC35">
        <v>13</v>
      </c>
      <c r="AD35">
        <v>2</v>
      </c>
      <c r="AE35" t="str">
        <v>D</v>
      </c>
      <c r="AF35">
        <v>13</v>
      </c>
      <c r="AH35" t="str">
        <v>D</v>
      </c>
      <c r="AI35">
        <v>10</v>
      </c>
      <c r="AJ35" t="str">
        <v>-</v>
      </c>
      <c r="AK35">
        <v>80</v>
      </c>
      <c r="AM35" t="str">
        <v>D</v>
      </c>
      <c r="AN35">
        <v>10</v>
      </c>
      <c r="AO35" t="str">
        <v>-</v>
      </c>
      <c r="AP35">
        <v>200</v>
      </c>
      <c r="AR35" t="str">
        <v>D</v>
      </c>
      <c r="AS35">
        <v>10</v>
      </c>
      <c r="AT35" t="str">
        <v>-</v>
      </c>
      <c r="AU35">
        <v>80</v>
      </c>
      <c r="AZ35">
        <v>100</v>
      </c>
      <c r="BE35">
        <v>100</v>
      </c>
      <c r="BJ35">
        <v>100</v>
      </c>
    </row>
    <row r="36">
      <c r="C36" t="str">
        <v>B175-2</v>
      </c>
      <c r="D36">
        <v>170</v>
      </c>
      <c r="E36">
        <v>500</v>
      </c>
      <c r="F36">
        <v>4</v>
      </c>
      <c r="G36" t="str">
        <v>D</v>
      </c>
      <c r="H36">
        <v>13</v>
      </c>
      <c r="I36">
        <v>2</v>
      </c>
      <c r="J36" t="str">
        <v>D</v>
      </c>
      <c r="K36">
        <v>13</v>
      </c>
      <c r="L36">
        <v>4</v>
      </c>
      <c r="M36" t="str">
        <v>D</v>
      </c>
      <c r="N36">
        <v>13</v>
      </c>
      <c r="O36">
        <v>2</v>
      </c>
      <c r="P36" t="str">
        <v>D</v>
      </c>
      <c r="Q36">
        <v>10</v>
      </c>
      <c r="X36">
        <v>2</v>
      </c>
      <c r="Y36" t="str">
        <v>D</v>
      </c>
      <c r="Z36">
        <v>13</v>
      </c>
      <c r="AA36">
        <v>5</v>
      </c>
      <c r="AB36" t="str">
        <v>D</v>
      </c>
      <c r="AC36">
        <v>13</v>
      </c>
      <c r="AD36">
        <v>2</v>
      </c>
      <c r="AE36" t="str">
        <v>D</v>
      </c>
      <c r="AF36">
        <v>13</v>
      </c>
      <c r="AH36" t="str">
        <v>D</v>
      </c>
      <c r="AI36">
        <v>10</v>
      </c>
      <c r="AJ36" t="str">
        <v>-</v>
      </c>
      <c r="AK36">
        <v>80</v>
      </c>
      <c r="AM36" t="str">
        <v>D</v>
      </c>
      <c r="AN36">
        <v>10</v>
      </c>
      <c r="AO36" t="str">
        <v>-</v>
      </c>
      <c r="AP36">
        <v>200</v>
      </c>
      <c r="AR36" t="str">
        <v>D</v>
      </c>
      <c r="AS36">
        <v>10</v>
      </c>
      <c r="AT36" t="str">
        <v>-</v>
      </c>
      <c r="AU36">
        <v>80</v>
      </c>
      <c r="AZ36">
        <v>100</v>
      </c>
      <c r="BE36">
        <v>100</v>
      </c>
      <c r="BJ36">
        <v>100</v>
      </c>
    </row>
    <row r="37">
      <c r="C37" t="str">
        <v>B176-1</v>
      </c>
      <c r="D37">
        <v>170</v>
      </c>
      <c r="E37">
        <v>600</v>
      </c>
      <c r="F37">
        <v>3</v>
      </c>
      <c r="G37" t="str">
        <v>D</v>
      </c>
      <c r="H37">
        <v>13</v>
      </c>
      <c r="I37">
        <v>3</v>
      </c>
      <c r="J37" t="str">
        <v>D</v>
      </c>
      <c r="K37">
        <v>13</v>
      </c>
      <c r="L37">
        <v>3</v>
      </c>
      <c r="M37" t="str">
        <v>D</v>
      </c>
      <c r="N37">
        <v>13</v>
      </c>
      <c r="O37">
        <v>2</v>
      </c>
      <c r="P37" t="str">
        <v>D</v>
      </c>
      <c r="Q37">
        <v>10</v>
      </c>
      <c r="X37">
        <v>3</v>
      </c>
      <c r="Y37" t="str">
        <v>D</v>
      </c>
      <c r="Z37">
        <v>13</v>
      </c>
      <c r="AA37">
        <v>3</v>
      </c>
      <c r="AB37" t="str">
        <v>D</v>
      </c>
      <c r="AC37">
        <v>13</v>
      </c>
      <c r="AD37">
        <v>3</v>
      </c>
      <c r="AE37" t="str">
        <v>D</v>
      </c>
      <c r="AF37">
        <v>13</v>
      </c>
      <c r="AH37" t="str">
        <v>D</v>
      </c>
      <c r="AI37">
        <v>10</v>
      </c>
      <c r="AJ37" t="str">
        <v>-</v>
      </c>
      <c r="AK37">
        <v>100</v>
      </c>
      <c r="AM37" t="str">
        <v>D</v>
      </c>
      <c r="AN37">
        <v>10</v>
      </c>
      <c r="AO37" t="str">
        <v>-</v>
      </c>
      <c r="AP37">
        <v>200</v>
      </c>
      <c r="AR37" t="str">
        <v>D</v>
      </c>
      <c r="AS37">
        <v>10</v>
      </c>
      <c r="AT37" t="str">
        <v>-</v>
      </c>
      <c r="AU37">
        <v>100</v>
      </c>
      <c r="AZ37">
        <v>100</v>
      </c>
      <c r="BE37">
        <v>100</v>
      </c>
      <c r="BJ37">
        <v>100</v>
      </c>
    </row>
    <row r="38">
      <c r="C38" t="str">
        <v>CL176-1</v>
      </c>
      <c r="D38">
        <v>170</v>
      </c>
      <c r="E38">
        <v>600</v>
      </c>
      <c r="F38">
        <v>3</v>
      </c>
      <c r="G38" t="str">
        <v>D</v>
      </c>
      <c r="H38">
        <v>16</v>
      </c>
      <c r="I38">
        <v>3</v>
      </c>
      <c r="J38" t="str">
        <v>D</v>
      </c>
      <c r="K38">
        <v>16</v>
      </c>
      <c r="L38">
        <v>3</v>
      </c>
      <c r="M38" t="str">
        <v>D</v>
      </c>
      <c r="N38">
        <v>16</v>
      </c>
      <c r="O38">
        <v>2</v>
      </c>
      <c r="P38" t="str">
        <v>D</v>
      </c>
      <c r="Q38">
        <v>10</v>
      </c>
      <c r="X38">
        <v>2</v>
      </c>
      <c r="Y38" t="str">
        <v>D</v>
      </c>
      <c r="Z38">
        <v>16</v>
      </c>
      <c r="AA38">
        <v>2</v>
      </c>
      <c r="AB38" t="str">
        <v>D</v>
      </c>
      <c r="AC38">
        <v>16</v>
      </c>
      <c r="AD38">
        <v>2</v>
      </c>
      <c r="AE38" t="str">
        <v>D</v>
      </c>
      <c r="AF38">
        <v>16</v>
      </c>
      <c r="AH38" t="str">
        <v>D</v>
      </c>
      <c r="AI38">
        <v>10</v>
      </c>
      <c r="AJ38" t="str">
        <v>-</v>
      </c>
      <c r="AK38">
        <v>200</v>
      </c>
      <c r="AM38" t="str">
        <v>D</v>
      </c>
      <c r="AN38">
        <v>10</v>
      </c>
      <c r="AO38" t="str">
        <v>-</v>
      </c>
      <c r="AP38">
        <v>200</v>
      </c>
      <c r="AR38" t="str">
        <v>D</v>
      </c>
      <c r="AS38">
        <v>10</v>
      </c>
      <c r="AT38" t="str">
        <v>-</v>
      </c>
      <c r="AU38">
        <v>200</v>
      </c>
      <c r="AZ38">
        <v>100</v>
      </c>
      <c r="BE38">
        <v>100</v>
      </c>
      <c r="BJ38">
        <v>100</v>
      </c>
    </row>
    <row r="39">
      <c r="C39" t="str">
        <v>B23-1</v>
      </c>
      <c r="D39">
        <v>200</v>
      </c>
      <c r="E39">
        <v>300</v>
      </c>
      <c r="F39">
        <v>2</v>
      </c>
      <c r="G39" t="str">
        <v>D</v>
      </c>
      <c r="H39">
        <v>13</v>
      </c>
      <c r="I39">
        <v>2</v>
      </c>
      <c r="J39" t="str">
        <v>D</v>
      </c>
      <c r="K39">
        <v>13</v>
      </c>
      <c r="L39">
        <v>2</v>
      </c>
      <c r="M39" t="str">
        <v>D</v>
      </c>
      <c r="N39">
        <v>13</v>
      </c>
      <c r="P39" t="str">
        <v>D</v>
      </c>
      <c r="Q39">
        <v>6</v>
      </c>
      <c r="X39">
        <v>2</v>
      </c>
      <c r="Y39" t="str">
        <v>D</v>
      </c>
      <c r="Z39">
        <v>13</v>
      </c>
      <c r="AA39">
        <v>2</v>
      </c>
      <c r="AB39" t="str">
        <v>D</v>
      </c>
      <c r="AC39">
        <v>13</v>
      </c>
      <c r="AD39">
        <v>2</v>
      </c>
      <c r="AE39" t="str">
        <v>D</v>
      </c>
      <c r="AF39">
        <v>13</v>
      </c>
      <c r="AH39" t="str">
        <v>D</v>
      </c>
      <c r="AI39">
        <v>8</v>
      </c>
      <c r="AJ39" t="str">
        <v>-</v>
      </c>
      <c r="AK39">
        <v>100</v>
      </c>
      <c r="AM39" t="str">
        <v>D</v>
      </c>
      <c r="AN39">
        <v>8</v>
      </c>
      <c r="AO39" t="str">
        <v>-</v>
      </c>
      <c r="AP39">
        <v>150</v>
      </c>
      <c r="AR39" t="str">
        <v>D</v>
      </c>
      <c r="AS39">
        <v>8</v>
      </c>
      <c r="AT39" t="str">
        <v>-</v>
      </c>
      <c r="AU39">
        <v>100</v>
      </c>
      <c r="AZ39">
        <v>100</v>
      </c>
      <c r="BE39">
        <v>100</v>
      </c>
      <c r="BJ39">
        <v>100</v>
      </c>
    </row>
    <row r="40">
      <c r="C40" t="str">
        <v>B23-2</v>
      </c>
      <c r="D40">
        <v>200</v>
      </c>
      <c r="E40">
        <v>300</v>
      </c>
      <c r="F40">
        <v>4</v>
      </c>
      <c r="G40" t="str">
        <v>D</v>
      </c>
      <c r="H40">
        <v>13</v>
      </c>
      <c r="I40">
        <v>2</v>
      </c>
      <c r="J40" t="str">
        <v>D</v>
      </c>
      <c r="K40">
        <v>13</v>
      </c>
      <c r="L40">
        <v>4</v>
      </c>
      <c r="M40" t="str">
        <v>D</v>
      </c>
      <c r="N40">
        <v>13</v>
      </c>
      <c r="P40" t="str">
        <v>D</v>
      </c>
      <c r="Q40">
        <v>6</v>
      </c>
      <c r="X40">
        <v>2</v>
      </c>
      <c r="Y40" t="str">
        <v>D</v>
      </c>
      <c r="Z40">
        <v>13</v>
      </c>
      <c r="AA40">
        <v>2</v>
      </c>
      <c r="AB40" t="str">
        <v>D</v>
      </c>
      <c r="AC40">
        <v>13</v>
      </c>
      <c r="AD40">
        <v>2</v>
      </c>
      <c r="AE40" t="str">
        <v>D</v>
      </c>
      <c r="AF40">
        <v>13</v>
      </c>
      <c r="AH40" t="str">
        <v>D</v>
      </c>
      <c r="AI40">
        <v>8</v>
      </c>
      <c r="AJ40" t="str">
        <v>-</v>
      </c>
      <c r="AK40">
        <v>100</v>
      </c>
      <c r="AM40" t="str">
        <v>D</v>
      </c>
      <c r="AN40">
        <v>8</v>
      </c>
      <c r="AO40" t="str">
        <v>-</v>
      </c>
      <c r="AP40">
        <v>150</v>
      </c>
      <c r="AR40" t="str">
        <v>D</v>
      </c>
      <c r="AS40">
        <v>8</v>
      </c>
      <c r="AT40" t="str">
        <v>-</v>
      </c>
      <c r="AU40">
        <v>100</v>
      </c>
      <c r="AZ40">
        <v>100</v>
      </c>
      <c r="BE40">
        <v>100</v>
      </c>
      <c r="BJ40">
        <v>100</v>
      </c>
    </row>
    <row r="41">
      <c r="C41" t="str">
        <v>B24-1</v>
      </c>
      <c r="D41">
        <v>200</v>
      </c>
      <c r="E41">
        <v>400</v>
      </c>
      <c r="F41">
        <v>2</v>
      </c>
      <c r="G41" t="str">
        <v>D</v>
      </c>
      <c r="H41">
        <v>13</v>
      </c>
      <c r="I41">
        <v>2</v>
      </c>
      <c r="J41" t="str">
        <v>D</v>
      </c>
      <c r="K41">
        <v>13</v>
      </c>
      <c r="L41">
        <v>2</v>
      </c>
      <c r="M41" t="str">
        <v>D</v>
      </c>
      <c r="N41">
        <v>13</v>
      </c>
      <c r="P41" t="str">
        <v>D</v>
      </c>
      <c r="Q41">
        <v>6</v>
      </c>
      <c r="X41">
        <v>2</v>
      </c>
      <c r="Y41" t="str">
        <v>D</v>
      </c>
      <c r="Z41">
        <v>13</v>
      </c>
      <c r="AA41">
        <v>2</v>
      </c>
      <c r="AB41" t="str">
        <v>D</v>
      </c>
      <c r="AC41">
        <v>13</v>
      </c>
      <c r="AD41">
        <v>2</v>
      </c>
      <c r="AE41" t="str">
        <v>D</v>
      </c>
      <c r="AF41">
        <v>13</v>
      </c>
      <c r="AH41" t="str">
        <v>D</v>
      </c>
      <c r="AI41">
        <v>8</v>
      </c>
      <c r="AJ41" t="str">
        <v>-</v>
      </c>
      <c r="AK41">
        <v>100</v>
      </c>
      <c r="AM41" t="str">
        <v>D</v>
      </c>
      <c r="AN41">
        <v>8</v>
      </c>
      <c r="AO41" t="str">
        <v>-</v>
      </c>
      <c r="AP41">
        <v>200</v>
      </c>
      <c r="AR41" t="str">
        <v>D</v>
      </c>
      <c r="AS41">
        <v>8</v>
      </c>
      <c r="AT41" t="str">
        <v>-</v>
      </c>
      <c r="AU41">
        <v>100</v>
      </c>
      <c r="AZ41">
        <v>100</v>
      </c>
      <c r="BE41">
        <v>100</v>
      </c>
      <c r="BJ41">
        <v>100</v>
      </c>
    </row>
    <row r="42">
      <c r="C42" t="str">
        <v>B24-2</v>
      </c>
      <c r="D42">
        <v>200</v>
      </c>
      <c r="E42">
        <v>400</v>
      </c>
      <c r="F42">
        <v>2</v>
      </c>
      <c r="G42" t="str">
        <v>D</v>
      </c>
      <c r="H42">
        <v>16</v>
      </c>
      <c r="I42">
        <v>2</v>
      </c>
      <c r="J42" t="str">
        <v>D</v>
      </c>
      <c r="K42">
        <v>16</v>
      </c>
      <c r="L42">
        <v>2</v>
      </c>
      <c r="M42" t="str">
        <v>D</v>
      </c>
      <c r="N42">
        <v>16</v>
      </c>
      <c r="P42" t="str">
        <v>D</v>
      </c>
      <c r="Q42">
        <v>6</v>
      </c>
      <c r="X42">
        <v>2</v>
      </c>
      <c r="Y42" t="str">
        <v>D</v>
      </c>
      <c r="Z42">
        <v>16</v>
      </c>
      <c r="AA42">
        <v>2</v>
      </c>
      <c r="AB42" t="str">
        <v>D</v>
      </c>
      <c r="AC42">
        <v>16</v>
      </c>
      <c r="AD42">
        <v>2</v>
      </c>
      <c r="AE42" t="str">
        <v>D</v>
      </c>
      <c r="AF42">
        <v>16</v>
      </c>
      <c r="AH42" t="str">
        <v>D</v>
      </c>
      <c r="AI42">
        <v>8</v>
      </c>
      <c r="AJ42" t="str">
        <v>-</v>
      </c>
      <c r="AK42">
        <v>100</v>
      </c>
      <c r="AM42" t="str">
        <v>D</v>
      </c>
      <c r="AN42">
        <v>8</v>
      </c>
      <c r="AO42" t="str">
        <v>-</v>
      </c>
      <c r="AP42">
        <v>200</v>
      </c>
      <c r="AR42" t="str">
        <v>D</v>
      </c>
      <c r="AS42">
        <v>8</v>
      </c>
      <c r="AT42" t="str">
        <v>-</v>
      </c>
      <c r="AU42">
        <v>100</v>
      </c>
      <c r="AZ42">
        <v>100</v>
      </c>
      <c r="BE42">
        <v>100</v>
      </c>
      <c r="BJ42">
        <v>100</v>
      </c>
    </row>
    <row r="43">
      <c r="C43" t="str">
        <v>B24-3</v>
      </c>
      <c r="D43">
        <v>200</v>
      </c>
      <c r="E43">
        <v>400</v>
      </c>
      <c r="F43">
        <v>3</v>
      </c>
      <c r="G43" t="str">
        <v>D</v>
      </c>
      <c r="H43">
        <v>16</v>
      </c>
      <c r="I43">
        <v>3</v>
      </c>
      <c r="J43" t="str">
        <v>D</v>
      </c>
      <c r="K43">
        <v>16</v>
      </c>
      <c r="L43">
        <v>3</v>
      </c>
      <c r="M43" t="str">
        <v>D</v>
      </c>
      <c r="N43">
        <v>16</v>
      </c>
      <c r="P43" t="str">
        <v>D</v>
      </c>
      <c r="Q43">
        <v>6</v>
      </c>
      <c r="X43">
        <v>3</v>
      </c>
      <c r="Y43" t="str">
        <v>D</v>
      </c>
      <c r="Z43">
        <v>16</v>
      </c>
      <c r="AA43">
        <v>3</v>
      </c>
      <c r="AB43" t="str">
        <v>D</v>
      </c>
      <c r="AC43">
        <v>16</v>
      </c>
      <c r="AD43">
        <v>3</v>
      </c>
      <c r="AE43" t="str">
        <v>D</v>
      </c>
      <c r="AF43">
        <v>16</v>
      </c>
      <c r="AH43" t="str">
        <v>D</v>
      </c>
      <c r="AI43">
        <v>10</v>
      </c>
      <c r="AJ43" t="str">
        <v>-</v>
      </c>
      <c r="AK43">
        <v>100</v>
      </c>
      <c r="AM43" t="str">
        <v>D</v>
      </c>
      <c r="AN43">
        <v>10</v>
      </c>
      <c r="AO43" t="str">
        <v>-</v>
      </c>
      <c r="AP43">
        <v>200</v>
      </c>
      <c r="AR43" t="str">
        <v>D</v>
      </c>
      <c r="AS43">
        <v>10</v>
      </c>
      <c r="AT43" t="str">
        <v>-</v>
      </c>
      <c r="AU43">
        <v>100</v>
      </c>
      <c r="AZ43">
        <v>100</v>
      </c>
      <c r="BE43">
        <v>100</v>
      </c>
      <c r="BJ43">
        <v>100</v>
      </c>
    </row>
    <row r="44">
      <c r="C44" t="str">
        <v>B24-4</v>
      </c>
      <c r="D44">
        <v>200</v>
      </c>
      <c r="E44">
        <v>400</v>
      </c>
      <c r="F44">
        <v>4</v>
      </c>
      <c r="G44" t="str">
        <v>D</v>
      </c>
      <c r="H44">
        <v>16</v>
      </c>
      <c r="I44">
        <v>2</v>
      </c>
      <c r="J44" t="str">
        <v>D</v>
      </c>
      <c r="K44">
        <v>16</v>
      </c>
      <c r="L44">
        <v>4</v>
      </c>
      <c r="M44" t="str">
        <v>D</v>
      </c>
      <c r="N44">
        <v>16</v>
      </c>
      <c r="P44" t="str">
        <v>D</v>
      </c>
      <c r="Q44">
        <v>6</v>
      </c>
      <c r="X44">
        <v>2</v>
      </c>
      <c r="Y44" t="str">
        <v>D</v>
      </c>
      <c r="Z44">
        <v>16</v>
      </c>
      <c r="AA44">
        <v>4</v>
      </c>
      <c r="AB44" t="str">
        <v>D</v>
      </c>
      <c r="AC44">
        <v>16</v>
      </c>
      <c r="AD44">
        <v>2</v>
      </c>
      <c r="AE44" t="str">
        <v>D</v>
      </c>
      <c r="AF44">
        <v>16</v>
      </c>
      <c r="AH44" t="str">
        <v>D</v>
      </c>
      <c r="AI44">
        <v>8</v>
      </c>
      <c r="AJ44" t="str">
        <v>-</v>
      </c>
      <c r="AK44">
        <v>80</v>
      </c>
      <c r="AM44" t="str">
        <v>D</v>
      </c>
      <c r="AN44">
        <v>8</v>
      </c>
      <c r="AO44" t="str">
        <v>-</v>
      </c>
      <c r="AP44">
        <v>200</v>
      </c>
      <c r="AR44" t="str">
        <v>D</v>
      </c>
      <c r="AS44">
        <v>8</v>
      </c>
      <c r="AT44" t="str">
        <v>-</v>
      </c>
      <c r="AU44">
        <v>80</v>
      </c>
      <c r="AZ44">
        <v>100</v>
      </c>
      <c r="BE44">
        <v>100</v>
      </c>
      <c r="BJ44">
        <v>100</v>
      </c>
    </row>
    <row r="45">
      <c r="C45" t="str">
        <v>B24-5</v>
      </c>
      <c r="D45">
        <v>200</v>
      </c>
      <c r="E45">
        <v>400</v>
      </c>
      <c r="F45">
        <v>5</v>
      </c>
      <c r="G45" t="str">
        <v>D</v>
      </c>
      <c r="H45">
        <v>16</v>
      </c>
      <c r="I45">
        <v>2</v>
      </c>
      <c r="J45" t="str">
        <v>D</v>
      </c>
      <c r="K45">
        <v>16</v>
      </c>
      <c r="L45">
        <v>5</v>
      </c>
      <c r="M45" t="str">
        <v>D</v>
      </c>
      <c r="N45">
        <v>16</v>
      </c>
      <c r="P45" t="str">
        <v>D</v>
      </c>
      <c r="Q45">
        <v>6</v>
      </c>
      <c r="X45">
        <v>4</v>
      </c>
      <c r="Y45" t="str">
        <v>D</v>
      </c>
      <c r="Z45">
        <v>16</v>
      </c>
      <c r="AA45">
        <v>4</v>
      </c>
      <c r="AB45" t="str">
        <v>D</v>
      </c>
      <c r="AC45">
        <v>16</v>
      </c>
      <c r="AD45">
        <v>4</v>
      </c>
      <c r="AE45" t="str">
        <v>D</v>
      </c>
      <c r="AF45">
        <v>16</v>
      </c>
      <c r="AH45" t="str">
        <v>D</v>
      </c>
      <c r="AI45">
        <v>10</v>
      </c>
      <c r="AJ45" t="str">
        <v>-</v>
      </c>
      <c r="AK45">
        <v>80</v>
      </c>
      <c r="AM45" t="str">
        <v>D</v>
      </c>
      <c r="AN45">
        <v>10</v>
      </c>
      <c r="AO45" t="str">
        <v>-</v>
      </c>
      <c r="AP45">
        <v>200</v>
      </c>
      <c r="AR45" t="str">
        <v>D</v>
      </c>
      <c r="AS45">
        <v>10</v>
      </c>
      <c r="AT45" t="str">
        <v>-</v>
      </c>
      <c r="AU45">
        <v>80</v>
      </c>
      <c r="AZ45">
        <v>100</v>
      </c>
      <c r="BE45">
        <v>100</v>
      </c>
      <c r="BJ45">
        <v>100</v>
      </c>
    </row>
    <row r="46">
      <c r="C46" t="str">
        <v>B24-6</v>
      </c>
      <c r="D46">
        <v>200</v>
      </c>
      <c r="E46">
        <v>400</v>
      </c>
      <c r="F46">
        <v>3</v>
      </c>
      <c r="G46" t="str">
        <v>D</v>
      </c>
      <c r="H46">
        <v>19</v>
      </c>
      <c r="I46">
        <v>3</v>
      </c>
      <c r="J46" t="str">
        <v>D</v>
      </c>
      <c r="K46">
        <v>19</v>
      </c>
      <c r="L46">
        <v>3</v>
      </c>
      <c r="M46" t="str">
        <v>D</v>
      </c>
      <c r="N46">
        <v>19</v>
      </c>
      <c r="P46" t="str">
        <v>D</v>
      </c>
      <c r="Q46">
        <v>6</v>
      </c>
      <c r="X46">
        <v>2</v>
      </c>
      <c r="Y46" t="str">
        <v>D</v>
      </c>
      <c r="Z46">
        <v>19</v>
      </c>
      <c r="AA46">
        <v>2</v>
      </c>
      <c r="AB46" t="str">
        <v>D</v>
      </c>
      <c r="AC46">
        <v>19</v>
      </c>
      <c r="AD46">
        <v>2</v>
      </c>
      <c r="AE46" t="str">
        <v>D</v>
      </c>
      <c r="AF46">
        <v>19</v>
      </c>
      <c r="AH46" t="str">
        <v>D</v>
      </c>
      <c r="AI46">
        <v>10</v>
      </c>
      <c r="AJ46" t="str">
        <v>-</v>
      </c>
      <c r="AK46">
        <v>100</v>
      </c>
      <c r="AM46" t="str">
        <v>D</v>
      </c>
      <c r="AN46">
        <v>10</v>
      </c>
      <c r="AO46" t="str">
        <v>-</v>
      </c>
      <c r="AP46">
        <v>200</v>
      </c>
      <c r="AR46" t="str">
        <v>D</v>
      </c>
      <c r="AS46">
        <v>10</v>
      </c>
      <c r="AT46" t="str">
        <v>-</v>
      </c>
      <c r="AU46">
        <v>100</v>
      </c>
      <c r="AZ46">
        <v>100</v>
      </c>
      <c r="BE46">
        <v>100</v>
      </c>
      <c r="BJ46">
        <v>100</v>
      </c>
    </row>
    <row r="47">
      <c r="C47" t="str">
        <v>B24-7</v>
      </c>
      <c r="D47">
        <v>200</v>
      </c>
      <c r="E47">
        <v>400</v>
      </c>
      <c r="F47">
        <v>2</v>
      </c>
      <c r="G47" t="str">
        <v>D</v>
      </c>
      <c r="H47">
        <v>13</v>
      </c>
      <c r="I47">
        <v>2</v>
      </c>
      <c r="J47" t="str">
        <v>D</v>
      </c>
      <c r="K47">
        <v>13</v>
      </c>
      <c r="L47">
        <v>2</v>
      </c>
      <c r="M47" t="str">
        <v>D</v>
      </c>
      <c r="N47">
        <v>13</v>
      </c>
      <c r="P47" t="str">
        <v>D</v>
      </c>
      <c r="Q47">
        <v>6</v>
      </c>
      <c r="X47">
        <v>3</v>
      </c>
      <c r="Y47" t="str">
        <v>D</v>
      </c>
      <c r="Z47">
        <v>13</v>
      </c>
      <c r="AA47">
        <v>3</v>
      </c>
      <c r="AB47" t="str">
        <v>D</v>
      </c>
      <c r="AC47">
        <v>13</v>
      </c>
      <c r="AD47">
        <v>3</v>
      </c>
      <c r="AE47" t="str">
        <v>D</v>
      </c>
      <c r="AF47">
        <v>13</v>
      </c>
      <c r="AH47" t="str">
        <v>D</v>
      </c>
      <c r="AI47">
        <v>8</v>
      </c>
      <c r="AJ47" t="str">
        <v>-</v>
      </c>
      <c r="AK47">
        <v>80</v>
      </c>
      <c r="AM47" t="str">
        <v>D</v>
      </c>
      <c r="AN47">
        <v>8</v>
      </c>
      <c r="AO47" t="str">
        <v>-</v>
      </c>
      <c r="AP47">
        <v>200</v>
      </c>
      <c r="AR47" t="str">
        <v>D</v>
      </c>
      <c r="AS47">
        <v>8</v>
      </c>
      <c r="AT47" t="str">
        <v>-</v>
      </c>
      <c r="AU47">
        <v>80</v>
      </c>
      <c r="AZ47">
        <v>100</v>
      </c>
      <c r="BE47">
        <v>100</v>
      </c>
      <c r="BJ47">
        <v>100</v>
      </c>
    </row>
    <row r="48">
      <c r="C48" t="str">
        <v>CL24-1</v>
      </c>
      <c r="D48">
        <v>200</v>
      </c>
      <c r="E48">
        <v>400</v>
      </c>
      <c r="F48">
        <v>3</v>
      </c>
      <c r="G48" t="str">
        <v>D</v>
      </c>
      <c r="H48">
        <v>16</v>
      </c>
      <c r="I48">
        <v>3</v>
      </c>
      <c r="J48" t="str">
        <v>D</v>
      </c>
      <c r="K48">
        <v>16</v>
      </c>
      <c r="L48">
        <v>3</v>
      </c>
      <c r="M48" t="str">
        <v>D</v>
      </c>
      <c r="N48">
        <v>16</v>
      </c>
      <c r="P48" t="str">
        <v>D</v>
      </c>
      <c r="Q48">
        <v>6</v>
      </c>
      <c r="X48">
        <v>2</v>
      </c>
      <c r="Y48" t="str">
        <v>D</v>
      </c>
      <c r="Z48">
        <v>16</v>
      </c>
      <c r="AA48">
        <v>2</v>
      </c>
      <c r="AB48" t="str">
        <v>D</v>
      </c>
      <c r="AC48">
        <v>16</v>
      </c>
      <c r="AD48">
        <v>2</v>
      </c>
      <c r="AE48" t="str">
        <v>D</v>
      </c>
      <c r="AF48">
        <v>16</v>
      </c>
      <c r="AH48" t="str">
        <v>D</v>
      </c>
      <c r="AI48">
        <v>8</v>
      </c>
      <c r="AJ48" t="str">
        <v>-</v>
      </c>
      <c r="AK48">
        <v>200</v>
      </c>
      <c r="AM48" t="str">
        <v>D</v>
      </c>
      <c r="AN48">
        <v>8</v>
      </c>
      <c r="AO48" t="str">
        <v>-</v>
      </c>
      <c r="AP48">
        <v>200</v>
      </c>
      <c r="AR48" t="str">
        <v>D</v>
      </c>
      <c r="AS48">
        <v>8</v>
      </c>
      <c r="AT48" t="str">
        <v>-</v>
      </c>
      <c r="AU48">
        <v>200</v>
      </c>
      <c r="AZ48">
        <v>100</v>
      </c>
      <c r="BE48">
        <v>100</v>
      </c>
      <c r="BJ48">
        <v>100</v>
      </c>
    </row>
    <row r="49">
      <c r="C49" t="str">
        <v>B245-1</v>
      </c>
      <c r="D49">
        <v>200</v>
      </c>
      <c r="E49">
        <v>450</v>
      </c>
      <c r="F49">
        <v>2</v>
      </c>
      <c r="G49" t="str">
        <v>D</v>
      </c>
      <c r="H49">
        <v>13</v>
      </c>
      <c r="I49">
        <v>2</v>
      </c>
      <c r="J49" t="str">
        <v>D</v>
      </c>
      <c r="K49">
        <v>13</v>
      </c>
      <c r="L49">
        <v>2</v>
      </c>
      <c r="M49" t="str">
        <v>D</v>
      </c>
      <c r="N49">
        <v>13</v>
      </c>
      <c r="O49">
        <v>2</v>
      </c>
      <c r="P49" t="str">
        <v>D</v>
      </c>
      <c r="Q49">
        <v>8</v>
      </c>
      <c r="X49">
        <v>2</v>
      </c>
      <c r="Y49" t="str">
        <v>D</v>
      </c>
      <c r="Z49">
        <v>13</v>
      </c>
      <c r="AA49">
        <v>2</v>
      </c>
      <c r="AB49" t="str">
        <v>D</v>
      </c>
      <c r="AC49">
        <v>13</v>
      </c>
      <c r="AD49">
        <v>2</v>
      </c>
      <c r="AE49" t="str">
        <v>D</v>
      </c>
      <c r="AF49">
        <v>13</v>
      </c>
      <c r="AH49" t="str">
        <v>D</v>
      </c>
      <c r="AI49">
        <v>8</v>
      </c>
      <c r="AJ49" t="str">
        <v>-</v>
      </c>
      <c r="AK49">
        <v>100</v>
      </c>
      <c r="AM49" t="str">
        <v>D</v>
      </c>
      <c r="AN49">
        <v>8</v>
      </c>
      <c r="AO49" t="str">
        <v>-</v>
      </c>
      <c r="AP49">
        <v>200</v>
      </c>
      <c r="AR49" t="str">
        <v>D</v>
      </c>
      <c r="AS49">
        <v>8</v>
      </c>
      <c r="AT49" t="str">
        <v>-</v>
      </c>
      <c r="AU49">
        <v>100</v>
      </c>
      <c r="AZ49">
        <v>100</v>
      </c>
      <c r="BE49">
        <v>100</v>
      </c>
      <c r="BJ49">
        <v>100</v>
      </c>
    </row>
    <row r="50">
      <c r="C50" t="str">
        <v>CL245-1</v>
      </c>
      <c r="D50">
        <v>200</v>
      </c>
      <c r="E50">
        <v>450</v>
      </c>
      <c r="F50">
        <v>2</v>
      </c>
      <c r="G50" t="str">
        <v>D</v>
      </c>
      <c r="H50">
        <v>13</v>
      </c>
      <c r="I50">
        <v>2</v>
      </c>
      <c r="J50" t="str">
        <v>D</v>
      </c>
      <c r="K50">
        <v>13</v>
      </c>
      <c r="L50">
        <v>2</v>
      </c>
      <c r="M50" t="str">
        <v>D</v>
      </c>
      <c r="N50">
        <v>13</v>
      </c>
      <c r="O50">
        <v>2</v>
      </c>
      <c r="P50" t="str">
        <v>D</v>
      </c>
      <c r="Q50">
        <v>8</v>
      </c>
      <c r="X50">
        <v>2</v>
      </c>
      <c r="Y50" t="str">
        <v>D</v>
      </c>
      <c r="Z50">
        <v>13</v>
      </c>
      <c r="AA50">
        <v>2</v>
      </c>
      <c r="AB50" t="str">
        <v>D</v>
      </c>
      <c r="AC50">
        <v>13</v>
      </c>
      <c r="AD50">
        <v>2</v>
      </c>
      <c r="AE50" t="str">
        <v>D</v>
      </c>
      <c r="AF50">
        <v>13</v>
      </c>
      <c r="AH50" t="str">
        <v>D</v>
      </c>
      <c r="AI50">
        <v>8</v>
      </c>
      <c r="AJ50" t="str">
        <v>-</v>
      </c>
      <c r="AK50">
        <v>100</v>
      </c>
      <c r="AM50" t="str">
        <v>D</v>
      </c>
      <c r="AN50">
        <v>8</v>
      </c>
      <c r="AO50" t="str">
        <v>-</v>
      </c>
      <c r="AP50">
        <v>100</v>
      </c>
      <c r="AR50" t="str">
        <v>D</v>
      </c>
      <c r="AS50">
        <v>8</v>
      </c>
      <c r="AT50" t="str">
        <v>-</v>
      </c>
      <c r="AU50">
        <v>100</v>
      </c>
      <c r="AZ50">
        <v>100</v>
      </c>
      <c r="BE50">
        <v>100</v>
      </c>
      <c r="BJ50">
        <v>100</v>
      </c>
    </row>
    <row r="51">
      <c r="C51" t="str">
        <v>B245-1A</v>
      </c>
      <c r="D51">
        <v>200</v>
      </c>
      <c r="E51">
        <v>450</v>
      </c>
      <c r="F51">
        <v>2</v>
      </c>
      <c r="G51" t="str">
        <v>D</v>
      </c>
      <c r="H51">
        <v>13</v>
      </c>
      <c r="I51">
        <v>2</v>
      </c>
      <c r="J51" t="str">
        <v>D</v>
      </c>
      <c r="K51">
        <v>13</v>
      </c>
      <c r="L51">
        <v>2</v>
      </c>
      <c r="M51" t="str">
        <v>D</v>
      </c>
      <c r="N51">
        <v>13</v>
      </c>
      <c r="O51">
        <v>2</v>
      </c>
      <c r="P51" t="str">
        <v>D</v>
      </c>
      <c r="Q51">
        <v>8</v>
      </c>
      <c r="X51">
        <v>2</v>
      </c>
      <c r="Y51" t="str">
        <v>D</v>
      </c>
      <c r="Z51">
        <v>13</v>
      </c>
      <c r="AA51">
        <v>2</v>
      </c>
      <c r="AB51" t="str">
        <v>D</v>
      </c>
      <c r="AC51">
        <v>13</v>
      </c>
      <c r="AD51">
        <v>2</v>
      </c>
      <c r="AE51" t="str">
        <v>D</v>
      </c>
      <c r="AF51">
        <v>13</v>
      </c>
      <c r="AH51" t="str">
        <v>D</v>
      </c>
      <c r="AI51">
        <v>8</v>
      </c>
      <c r="AJ51" t="str">
        <v>-</v>
      </c>
      <c r="AK51">
        <v>100</v>
      </c>
      <c r="AM51" t="str">
        <v>D</v>
      </c>
      <c r="AN51">
        <v>8</v>
      </c>
      <c r="AO51" t="str">
        <v>-</v>
      </c>
      <c r="AP51">
        <v>200</v>
      </c>
      <c r="AR51" t="str">
        <v>D</v>
      </c>
      <c r="AS51">
        <v>8</v>
      </c>
      <c r="AT51" t="str">
        <v>-</v>
      </c>
      <c r="AU51">
        <v>100</v>
      </c>
      <c r="AZ51">
        <v>100</v>
      </c>
      <c r="BE51">
        <v>100</v>
      </c>
      <c r="BJ51">
        <v>100</v>
      </c>
    </row>
    <row r="52">
      <c r="C52" t="str">
        <v>B245-2</v>
      </c>
      <c r="D52">
        <v>200</v>
      </c>
      <c r="E52">
        <v>450</v>
      </c>
      <c r="F52">
        <v>3</v>
      </c>
      <c r="G52" t="str">
        <v>D</v>
      </c>
      <c r="H52">
        <v>13</v>
      </c>
      <c r="I52">
        <v>3</v>
      </c>
      <c r="J52" t="str">
        <v>D</v>
      </c>
      <c r="K52">
        <v>13</v>
      </c>
      <c r="L52">
        <v>3</v>
      </c>
      <c r="M52" t="str">
        <v>D</v>
      </c>
      <c r="N52">
        <v>13</v>
      </c>
      <c r="O52">
        <v>2</v>
      </c>
      <c r="P52" t="str">
        <v>D</v>
      </c>
      <c r="Q52">
        <v>8</v>
      </c>
      <c r="X52">
        <v>3</v>
      </c>
      <c r="Y52" t="str">
        <v>D</v>
      </c>
      <c r="Z52">
        <v>13</v>
      </c>
      <c r="AA52">
        <v>3</v>
      </c>
      <c r="AB52" t="str">
        <v>D</v>
      </c>
      <c r="AC52">
        <v>13</v>
      </c>
      <c r="AD52">
        <v>3</v>
      </c>
      <c r="AE52" t="str">
        <v>D</v>
      </c>
      <c r="AF52">
        <v>13</v>
      </c>
      <c r="AH52" t="str">
        <v>D</v>
      </c>
      <c r="AI52">
        <v>8</v>
      </c>
      <c r="AJ52" t="str">
        <v>-</v>
      </c>
      <c r="AK52">
        <v>100</v>
      </c>
      <c r="AM52" t="str">
        <v>D</v>
      </c>
      <c r="AN52">
        <v>8</v>
      </c>
      <c r="AO52" t="str">
        <v>-</v>
      </c>
      <c r="AP52">
        <v>200</v>
      </c>
      <c r="AR52" t="str">
        <v>D</v>
      </c>
      <c r="AS52">
        <v>8</v>
      </c>
      <c r="AT52" t="str">
        <v>-</v>
      </c>
      <c r="AU52">
        <v>100</v>
      </c>
      <c r="AZ52">
        <v>100</v>
      </c>
      <c r="BE52">
        <v>100</v>
      </c>
      <c r="BJ52">
        <v>100</v>
      </c>
    </row>
    <row r="53">
      <c r="C53" t="str">
        <v>B245-3</v>
      </c>
      <c r="D53">
        <v>200</v>
      </c>
      <c r="E53">
        <v>450</v>
      </c>
      <c r="F53">
        <v>2</v>
      </c>
      <c r="G53" t="str">
        <v>D</v>
      </c>
      <c r="H53">
        <v>16</v>
      </c>
      <c r="I53">
        <v>2</v>
      </c>
      <c r="J53" t="str">
        <v>D</v>
      </c>
      <c r="K53">
        <v>16</v>
      </c>
      <c r="L53">
        <v>2</v>
      </c>
      <c r="M53" t="str">
        <v>D</v>
      </c>
      <c r="N53">
        <v>16</v>
      </c>
      <c r="O53">
        <v>2</v>
      </c>
      <c r="P53" t="str">
        <v>D</v>
      </c>
      <c r="Q53">
        <v>10</v>
      </c>
      <c r="X53">
        <v>2</v>
      </c>
      <c r="Y53" t="str">
        <v>D</v>
      </c>
      <c r="Z53">
        <v>16</v>
      </c>
      <c r="AA53">
        <v>2</v>
      </c>
      <c r="AB53" t="str">
        <v>D</v>
      </c>
      <c r="AC53">
        <v>16</v>
      </c>
      <c r="AD53">
        <v>2</v>
      </c>
      <c r="AE53" t="str">
        <v>D</v>
      </c>
      <c r="AF53">
        <v>16</v>
      </c>
      <c r="AH53" t="str">
        <v>D</v>
      </c>
      <c r="AI53">
        <v>10</v>
      </c>
      <c r="AJ53" t="str">
        <v>-</v>
      </c>
      <c r="AK53">
        <v>90</v>
      </c>
      <c r="AM53" t="str">
        <v>D</v>
      </c>
      <c r="AN53">
        <v>10</v>
      </c>
      <c r="AO53" t="str">
        <v>-</v>
      </c>
      <c r="AP53">
        <v>175</v>
      </c>
      <c r="AR53" t="str">
        <v>D</v>
      </c>
      <c r="AS53">
        <v>10</v>
      </c>
      <c r="AT53" t="str">
        <v>-</v>
      </c>
      <c r="AU53">
        <v>90</v>
      </c>
      <c r="AZ53">
        <v>100</v>
      </c>
      <c r="BE53">
        <v>100</v>
      </c>
      <c r="BJ53">
        <v>100</v>
      </c>
    </row>
    <row r="54">
      <c r="C54" t="str">
        <v>B245-4</v>
      </c>
      <c r="D54">
        <v>200</v>
      </c>
      <c r="E54">
        <v>450</v>
      </c>
      <c r="F54">
        <v>3</v>
      </c>
      <c r="G54" t="str">
        <v>D</v>
      </c>
      <c r="H54">
        <v>16</v>
      </c>
      <c r="I54">
        <v>3</v>
      </c>
      <c r="J54" t="str">
        <v>D</v>
      </c>
      <c r="K54">
        <v>16</v>
      </c>
      <c r="L54">
        <v>3</v>
      </c>
      <c r="M54" t="str">
        <v>D</v>
      </c>
      <c r="N54">
        <v>16</v>
      </c>
      <c r="O54">
        <v>2</v>
      </c>
      <c r="P54" t="str">
        <v>D</v>
      </c>
      <c r="Q54">
        <v>8</v>
      </c>
      <c r="X54">
        <v>3</v>
      </c>
      <c r="Y54" t="str">
        <v>D</v>
      </c>
      <c r="Z54">
        <v>16</v>
      </c>
      <c r="AA54">
        <v>3</v>
      </c>
      <c r="AB54" t="str">
        <v>D</v>
      </c>
      <c r="AC54">
        <v>16</v>
      </c>
      <c r="AD54">
        <v>3</v>
      </c>
      <c r="AE54" t="str">
        <v>D</v>
      </c>
      <c r="AF54">
        <v>16</v>
      </c>
      <c r="AH54" t="str">
        <v>D</v>
      </c>
      <c r="AI54">
        <v>8</v>
      </c>
      <c r="AJ54" t="str">
        <v>-</v>
      </c>
      <c r="AK54">
        <v>100</v>
      </c>
      <c r="AM54" t="str">
        <v>D</v>
      </c>
      <c r="AN54">
        <v>8</v>
      </c>
      <c r="AO54" t="str">
        <v>-</v>
      </c>
      <c r="AP54">
        <v>200</v>
      </c>
      <c r="AR54" t="str">
        <v>D</v>
      </c>
      <c r="AS54">
        <v>8</v>
      </c>
      <c r="AT54" t="str">
        <v>-</v>
      </c>
      <c r="AU54">
        <v>100</v>
      </c>
      <c r="AZ54">
        <v>100</v>
      </c>
      <c r="BE54">
        <v>100</v>
      </c>
      <c r="BJ54">
        <v>100</v>
      </c>
    </row>
    <row r="55">
      <c r="C55" t="str">
        <v>B245-5</v>
      </c>
      <c r="D55">
        <v>200</v>
      </c>
      <c r="E55">
        <v>450</v>
      </c>
      <c r="F55">
        <v>3</v>
      </c>
      <c r="G55" t="str">
        <v>D</v>
      </c>
      <c r="H55">
        <v>16</v>
      </c>
      <c r="I55">
        <v>3</v>
      </c>
      <c r="J55" t="str">
        <v>D</v>
      </c>
      <c r="K55">
        <v>16</v>
      </c>
      <c r="L55">
        <v>3</v>
      </c>
      <c r="M55" t="str">
        <v>D</v>
      </c>
      <c r="N55">
        <v>16</v>
      </c>
      <c r="O55">
        <v>2</v>
      </c>
      <c r="P55" t="str">
        <v>D</v>
      </c>
      <c r="Q55">
        <v>10</v>
      </c>
      <c r="X55">
        <v>4</v>
      </c>
      <c r="Y55" t="str">
        <v>D</v>
      </c>
      <c r="Z55">
        <v>16</v>
      </c>
      <c r="AA55">
        <v>4</v>
      </c>
      <c r="AB55" t="str">
        <v>D</v>
      </c>
      <c r="AC55">
        <v>16</v>
      </c>
      <c r="AD55">
        <v>4</v>
      </c>
      <c r="AE55" t="str">
        <v>D</v>
      </c>
      <c r="AF55">
        <v>16</v>
      </c>
      <c r="AH55" t="str">
        <v>D</v>
      </c>
      <c r="AI55">
        <v>10</v>
      </c>
      <c r="AJ55" t="str">
        <v>-</v>
      </c>
      <c r="AK55">
        <v>80</v>
      </c>
      <c r="AM55" t="str">
        <v>D</v>
      </c>
      <c r="AN55">
        <v>10</v>
      </c>
      <c r="AO55" t="str">
        <v>-</v>
      </c>
      <c r="AP55">
        <v>200</v>
      </c>
      <c r="AR55" t="str">
        <v>D</v>
      </c>
      <c r="AS55">
        <v>10</v>
      </c>
      <c r="AT55" t="str">
        <v>-</v>
      </c>
      <c r="AU55">
        <v>80</v>
      </c>
      <c r="AZ55">
        <v>100</v>
      </c>
      <c r="BE55">
        <v>100</v>
      </c>
      <c r="BJ55">
        <v>100</v>
      </c>
    </row>
    <row r="56">
      <c r="C56" t="str">
        <v>B245-6</v>
      </c>
      <c r="D56">
        <v>200</v>
      </c>
      <c r="E56">
        <v>450</v>
      </c>
      <c r="F56">
        <v>4</v>
      </c>
      <c r="G56" t="str">
        <v>D</v>
      </c>
      <c r="H56">
        <v>16</v>
      </c>
      <c r="I56">
        <v>2</v>
      </c>
      <c r="J56" t="str">
        <v>D</v>
      </c>
      <c r="K56">
        <v>16</v>
      </c>
      <c r="L56">
        <v>4</v>
      </c>
      <c r="M56" t="str">
        <v>D</v>
      </c>
      <c r="N56">
        <v>16</v>
      </c>
      <c r="O56">
        <v>2</v>
      </c>
      <c r="P56" t="str">
        <v>D</v>
      </c>
      <c r="Q56">
        <v>8</v>
      </c>
      <c r="X56">
        <v>3</v>
      </c>
      <c r="Y56" t="str">
        <v>D</v>
      </c>
      <c r="Z56">
        <v>16</v>
      </c>
      <c r="AA56">
        <v>3</v>
      </c>
      <c r="AB56" t="str">
        <v>D</v>
      </c>
      <c r="AC56">
        <v>16</v>
      </c>
      <c r="AD56">
        <v>3</v>
      </c>
      <c r="AE56" t="str">
        <v>D</v>
      </c>
      <c r="AF56">
        <v>16</v>
      </c>
      <c r="AH56" t="str">
        <v>D</v>
      </c>
      <c r="AI56">
        <v>8</v>
      </c>
      <c r="AJ56" t="str">
        <v>-</v>
      </c>
      <c r="AK56">
        <v>75</v>
      </c>
      <c r="AM56" t="str">
        <v>D</v>
      </c>
      <c r="AN56">
        <v>8</v>
      </c>
      <c r="AO56" t="str">
        <v>-</v>
      </c>
      <c r="AP56">
        <v>200</v>
      </c>
      <c r="AR56" t="str">
        <v>D</v>
      </c>
      <c r="AS56">
        <v>8</v>
      </c>
      <c r="AT56" t="str">
        <v>-</v>
      </c>
      <c r="AU56">
        <v>75</v>
      </c>
      <c r="AZ56">
        <v>100</v>
      </c>
      <c r="BE56">
        <v>100</v>
      </c>
      <c r="BJ56">
        <v>100</v>
      </c>
    </row>
    <row r="57">
      <c r="C57" t="str">
        <v>B245-7</v>
      </c>
      <c r="D57">
        <v>200</v>
      </c>
      <c r="E57">
        <v>450</v>
      </c>
      <c r="F57">
        <v>4</v>
      </c>
      <c r="G57" t="str">
        <v>D</v>
      </c>
      <c r="H57">
        <v>19</v>
      </c>
      <c r="I57">
        <v>2</v>
      </c>
      <c r="J57" t="str">
        <v>D</v>
      </c>
      <c r="K57">
        <v>19</v>
      </c>
      <c r="L57">
        <v>4</v>
      </c>
      <c r="M57" t="str">
        <v>D</v>
      </c>
      <c r="N57">
        <v>19</v>
      </c>
      <c r="O57">
        <v>2</v>
      </c>
      <c r="P57" t="str">
        <v>D</v>
      </c>
      <c r="Q57">
        <v>8</v>
      </c>
      <c r="X57">
        <v>3</v>
      </c>
      <c r="Y57" t="str">
        <v>D</v>
      </c>
      <c r="Z57">
        <v>19</v>
      </c>
      <c r="AA57">
        <v>3</v>
      </c>
      <c r="AB57" t="str">
        <v>D</v>
      </c>
      <c r="AC57">
        <v>19</v>
      </c>
      <c r="AD57">
        <v>3</v>
      </c>
      <c r="AE57" t="str">
        <v>D</v>
      </c>
      <c r="AF57">
        <v>19</v>
      </c>
      <c r="AH57" t="str">
        <v>D</v>
      </c>
      <c r="AI57">
        <v>8</v>
      </c>
      <c r="AJ57" t="str">
        <v>-</v>
      </c>
      <c r="AK57">
        <v>150</v>
      </c>
      <c r="AM57" t="str">
        <v>D</v>
      </c>
      <c r="AN57">
        <v>8</v>
      </c>
      <c r="AO57" t="str">
        <v>-</v>
      </c>
      <c r="AP57">
        <v>200</v>
      </c>
      <c r="AR57" t="str">
        <v>D</v>
      </c>
      <c r="AS57">
        <v>8</v>
      </c>
      <c r="AT57" t="str">
        <v>-</v>
      </c>
      <c r="AU57">
        <v>150</v>
      </c>
      <c r="AZ57">
        <v>100</v>
      </c>
      <c r="BE57">
        <v>100</v>
      </c>
      <c r="BJ57">
        <v>100</v>
      </c>
    </row>
    <row r="58">
      <c r="C58" t="str">
        <v>B25-1</v>
      </c>
      <c r="D58">
        <v>200</v>
      </c>
      <c r="E58">
        <v>500</v>
      </c>
      <c r="F58">
        <v>2</v>
      </c>
      <c r="G58" t="str">
        <v>D</v>
      </c>
      <c r="H58">
        <v>16</v>
      </c>
      <c r="I58">
        <v>2</v>
      </c>
      <c r="J58" t="str">
        <v>D</v>
      </c>
      <c r="K58">
        <v>16</v>
      </c>
      <c r="L58">
        <v>2</v>
      </c>
      <c r="M58" t="str">
        <v>D</v>
      </c>
      <c r="N58">
        <v>16</v>
      </c>
      <c r="O58">
        <v>2</v>
      </c>
      <c r="P58" t="str">
        <v>D</v>
      </c>
      <c r="Q58">
        <v>10</v>
      </c>
      <c r="X58">
        <v>2</v>
      </c>
      <c r="Y58" t="str">
        <v>D</v>
      </c>
      <c r="Z58">
        <v>16</v>
      </c>
      <c r="AA58">
        <v>2</v>
      </c>
      <c r="AB58" t="str">
        <v>D</v>
      </c>
      <c r="AC58">
        <v>16</v>
      </c>
      <c r="AD58">
        <v>2</v>
      </c>
      <c r="AE58" t="str">
        <v>D</v>
      </c>
      <c r="AF58">
        <v>16</v>
      </c>
      <c r="AH58" t="str">
        <v>D</v>
      </c>
      <c r="AI58">
        <v>10</v>
      </c>
      <c r="AJ58" t="str">
        <v>-</v>
      </c>
      <c r="AK58">
        <v>100</v>
      </c>
      <c r="AM58" t="str">
        <v>D</v>
      </c>
      <c r="AN58">
        <v>10</v>
      </c>
      <c r="AO58" t="str">
        <v>-</v>
      </c>
      <c r="AP58">
        <v>200</v>
      </c>
      <c r="AR58" t="str">
        <v>D</v>
      </c>
      <c r="AS58">
        <v>10</v>
      </c>
      <c r="AT58" t="str">
        <v>-</v>
      </c>
      <c r="AU58">
        <v>100</v>
      </c>
      <c r="AZ58">
        <v>100</v>
      </c>
      <c r="BE58">
        <v>100</v>
      </c>
      <c r="BJ58">
        <v>100</v>
      </c>
    </row>
    <row r="59">
      <c r="C59" t="str">
        <v>B25-2</v>
      </c>
      <c r="D59">
        <v>200</v>
      </c>
      <c r="E59">
        <v>500</v>
      </c>
      <c r="F59">
        <v>3</v>
      </c>
      <c r="G59" t="str">
        <v>D</v>
      </c>
      <c r="H59">
        <v>16</v>
      </c>
      <c r="I59">
        <v>3</v>
      </c>
      <c r="J59" t="str">
        <v>D</v>
      </c>
      <c r="K59">
        <v>16</v>
      </c>
      <c r="L59">
        <v>3</v>
      </c>
      <c r="M59" t="str">
        <v>D</v>
      </c>
      <c r="N59">
        <v>16</v>
      </c>
      <c r="O59">
        <v>2</v>
      </c>
      <c r="P59" t="str">
        <v>D</v>
      </c>
      <c r="Q59">
        <v>10</v>
      </c>
      <c r="X59">
        <v>3</v>
      </c>
      <c r="Y59" t="str">
        <v>D</v>
      </c>
      <c r="Z59">
        <v>16</v>
      </c>
      <c r="AA59">
        <v>3</v>
      </c>
      <c r="AB59" t="str">
        <v>D</v>
      </c>
      <c r="AC59">
        <v>16</v>
      </c>
      <c r="AD59">
        <v>3</v>
      </c>
      <c r="AE59" t="str">
        <v>D</v>
      </c>
      <c r="AF59">
        <v>16</v>
      </c>
      <c r="AH59" t="str">
        <v>D</v>
      </c>
      <c r="AI59">
        <v>10</v>
      </c>
      <c r="AJ59" t="str">
        <v>-</v>
      </c>
      <c r="AK59">
        <v>75</v>
      </c>
      <c r="AM59" t="str">
        <v>D</v>
      </c>
      <c r="AN59">
        <v>10</v>
      </c>
      <c r="AO59" t="str">
        <v>-</v>
      </c>
      <c r="AP59">
        <v>125</v>
      </c>
      <c r="AR59" t="str">
        <v>D</v>
      </c>
      <c r="AS59">
        <v>10</v>
      </c>
      <c r="AT59" t="str">
        <v>-</v>
      </c>
      <c r="AU59">
        <v>75</v>
      </c>
      <c r="AZ59">
        <v>100</v>
      </c>
      <c r="BE59">
        <v>100</v>
      </c>
      <c r="BJ59">
        <v>100</v>
      </c>
    </row>
    <row r="60">
      <c r="C60" t="str">
        <v>B25-3</v>
      </c>
      <c r="D60">
        <v>200</v>
      </c>
      <c r="E60">
        <v>500</v>
      </c>
      <c r="F60">
        <v>5</v>
      </c>
      <c r="G60" t="str">
        <v>D</v>
      </c>
      <c r="H60">
        <v>16</v>
      </c>
      <c r="I60">
        <v>2</v>
      </c>
      <c r="J60" t="str">
        <v>D</v>
      </c>
      <c r="K60">
        <v>16</v>
      </c>
      <c r="L60">
        <v>5</v>
      </c>
      <c r="M60" t="str">
        <v>D</v>
      </c>
      <c r="N60">
        <v>16</v>
      </c>
      <c r="O60">
        <v>2</v>
      </c>
      <c r="P60" t="str">
        <v>D</v>
      </c>
      <c r="Q60">
        <v>10</v>
      </c>
      <c r="X60">
        <v>3</v>
      </c>
      <c r="Y60" t="str">
        <v>D</v>
      </c>
      <c r="Z60">
        <v>16</v>
      </c>
      <c r="AA60">
        <v>5</v>
      </c>
      <c r="AB60" t="str">
        <v>D</v>
      </c>
      <c r="AC60">
        <v>16</v>
      </c>
      <c r="AD60">
        <v>3</v>
      </c>
      <c r="AE60" t="str">
        <v>D</v>
      </c>
      <c r="AF60">
        <v>16</v>
      </c>
      <c r="AH60" t="str">
        <v>D</v>
      </c>
      <c r="AI60">
        <v>10</v>
      </c>
      <c r="AJ60" t="str">
        <v>-</v>
      </c>
      <c r="AK60">
        <v>90</v>
      </c>
      <c r="AM60" t="str">
        <v>D</v>
      </c>
      <c r="AN60">
        <v>10</v>
      </c>
      <c r="AO60" t="str">
        <v>-</v>
      </c>
      <c r="AP60">
        <v>200</v>
      </c>
      <c r="AR60" t="str">
        <v>D</v>
      </c>
      <c r="AS60">
        <v>10</v>
      </c>
      <c r="AT60" t="str">
        <v>-</v>
      </c>
      <c r="AU60">
        <v>90</v>
      </c>
      <c r="AZ60">
        <v>100</v>
      </c>
      <c r="BE60">
        <v>100</v>
      </c>
      <c r="BJ60">
        <v>100</v>
      </c>
    </row>
    <row r="61">
      <c r="C61" t="str">
        <v>B25-4</v>
      </c>
      <c r="D61">
        <v>200</v>
      </c>
      <c r="E61">
        <v>500</v>
      </c>
      <c r="F61">
        <v>6</v>
      </c>
      <c r="G61" t="str">
        <v>D</v>
      </c>
      <c r="H61">
        <v>16</v>
      </c>
      <c r="I61">
        <v>4</v>
      </c>
      <c r="J61" t="str">
        <v>D</v>
      </c>
      <c r="K61">
        <v>16</v>
      </c>
      <c r="L61">
        <v>4</v>
      </c>
      <c r="M61" t="str">
        <v>D</v>
      </c>
      <c r="N61">
        <v>16</v>
      </c>
      <c r="O61">
        <v>2</v>
      </c>
      <c r="P61" t="str">
        <v>D</v>
      </c>
      <c r="Q61">
        <v>10</v>
      </c>
      <c r="X61">
        <v>5</v>
      </c>
      <c r="Y61" t="str">
        <v>D</v>
      </c>
      <c r="Z61">
        <v>16</v>
      </c>
      <c r="AA61">
        <v>5</v>
      </c>
      <c r="AB61" t="str">
        <v>D</v>
      </c>
      <c r="AC61">
        <v>16</v>
      </c>
      <c r="AD61">
        <v>5</v>
      </c>
      <c r="AE61" t="str">
        <v>D</v>
      </c>
      <c r="AF61">
        <v>16</v>
      </c>
      <c r="AH61" t="str">
        <v>D</v>
      </c>
      <c r="AI61">
        <v>10</v>
      </c>
      <c r="AJ61" t="str">
        <v>-</v>
      </c>
      <c r="AK61">
        <v>90</v>
      </c>
      <c r="AM61" t="str">
        <v>D</v>
      </c>
      <c r="AN61">
        <v>10</v>
      </c>
      <c r="AO61" t="str">
        <v>-</v>
      </c>
      <c r="AP61">
        <v>200</v>
      </c>
      <c r="AR61" t="str">
        <v>D</v>
      </c>
      <c r="AS61">
        <v>10</v>
      </c>
      <c r="AT61" t="str">
        <v>-</v>
      </c>
      <c r="AU61">
        <v>90</v>
      </c>
      <c r="AZ61">
        <v>100</v>
      </c>
      <c r="BE61">
        <v>100</v>
      </c>
      <c r="BJ61">
        <v>100</v>
      </c>
    </row>
    <row r="62">
      <c r="C62" t="str">
        <v>B25-5</v>
      </c>
      <c r="D62">
        <v>200</v>
      </c>
      <c r="E62">
        <v>500</v>
      </c>
      <c r="F62">
        <v>5</v>
      </c>
      <c r="G62" t="str">
        <v>D</v>
      </c>
      <c r="H62">
        <v>19</v>
      </c>
      <c r="I62">
        <v>2</v>
      </c>
      <c r="J62" t="str">
        <v>D</v>
      </c>
      <c r="K62">
        <v>19</v>
      </c>
      <c r="L62">
        <v>5</v>
      </c>
      <c r="M62" t="str">
        <v>D</v>
      </c>
      <c r="N62">
        <v>19</v>
      </c>
      <c r="O62">
        <v>2</v>
      </c>
      <c r="P62" t="str">
        <v>D</v>
      </c>
      <c r="Q62">
        <v>10</v>
      </c>
      <c r="X62">
        <v>3</v>
      </c>
      <c r="Y62" t="str">
        <v>D</v>
      </c>
      <c r="Z62">
        <v>19</v>
      </c>
      <c r="AA62">
        <v>5</v>
      </c>
      <c r="AB62" t="str">
        <v>D</v>
      </c>
      <c r="AC62">
        <v>19</v>
      </c>
      <c r="AD62">
        <v>3</v>
      </c>
      <c r="AE62" t="str">
        <v>D</v>
      </c>
      <c r="AF62">
        <v>19</v>
      </c>
      <c r="AH62" t="str">
        <v>D</v>
      </c>
      <c r="AI62">
        <v>10</v>
      </c>
      <c r="AJ62" t="str">
        <v>-</v>
      </c>
      <c r="AK62">
        <v>100</v>
      </c>
      <c r="AM62" t="str">
        <v>D</v>
      </c>
      <c r="AN62">
        <v>10</v>
      </c>
      <c r="AO62" t="str">
        <v>-</v>
      </c>
      <c r="AP62">
        <v>200</v>
      </c>
      <c r="AR62" t="str">
        <v>D</v>
      </c>
      <c r="AS62">
        <v>10</v>
      </c>
      <c r="AT62" t="str">
        <v>-</v>
      </c>
      <c r="AU62">
        <v>100</v>
      </c>
      <c r="AZ62">
        <v>100</v>
      </c>
      <c r="BE62">
        <v>100</v>
      </c>
      <c r="BJ62">
        <v>100</v>
      </c>
    </row>
    <row r="63">
      <c r="C63" t="str">
        <v>B25-6</v>
      </c>
      <c r="D63">
        <v>200</v>
      </c>
      <c r="E63">
        <v>500</v>
      </c>
      <c r="F63">
        <v>4</v>
      </c>
      <c r="G63" t="str">
        <v>D</v>
      </c>
      <c r="H63">
        <v>16</v>
      </c>
      <c r="I63">
        <v>2</v>
      </c>
      <c r="J63" t="str">
        <v>D</v>
      </c>
      <c r="K63">
        <v>16</v>
      </c>
      <c r="L63">
        <v>4</v>
      </c>
      <c r="M63" t="str">
        <v>D</v>
      </c>
      <c r="N63">
        <v>16</v>
      </c>
      <c r="O63">
        <v>2</v>
      </c>
      <c r="P63" t="str">
        <v>D</v>
      </c>
      <c r="Q63">
        <v>10</v>
      </c>
      <c r="X63">
        <v>2</v>
      </c>
      <c r="Y63" t="str">
        <v>D</v>
      </c>
      <c r="Z63">
        <v>16</v>
      </c>
      <c r="AA63">
        <v>4</v>
      </c>
      <c r="AB63" t="str">
        <v>D</v>
      </c>
      <c r="AC63">
        <v>16</v>
      </c>
      <c r="AD63">
        <v>4</v>
      </c>
      <c r="AE63" t="str">
        <v>D</v>
      </c>
      <c r="AF63">
        <v>16</v>
      </c>
      <c r="AH63" t="str">
        <v>D</v>
      </c>
      <c r="AI63">
        <v>10</v>
      </c>
      <c r="AJ63" t="str">
        <v>-</v>
      </c>
      <c r="AK63">
        <v>100</v>
      </c>
      <c r="AM63" t="str">
        <v>D</v>
      </c>
      <c r="AN63">
        <v>10</v>
      </c>
      <c r="AO63" t="str">
        <v>-</v>
      </c>
      <c r="AP63">
        <v>200</v>
      </c>
      <c r="AR63" t="str">
        <v>D</v>
      </c>
      <c r="AS63">
        <v>10</v>
      </c>
      <c r="AT63" t="str">
        <v>-</v>
      </c>
      <c r="AU63">
        <v>100</v>
      </c>
      <c r="AZ63">
        <v>100</v>
      </c>
      <c r="BE63">
        <v>100</v>
      </c>
      <c r="BJ63">
        <v>100</v>
      </c>
    </row>
    <row r="64">
      <c r="C64" t="str">
        <v>CL25-1</v>
      </c>
      <c r="D64">
        <v>200</v>
      </c>
      <c r="E64">
        <v>500</v>
      </c>
      <c r="F64">
        <v>5</v>
      </c>
      <c r="G64" t="str">
        <v>D</v>
      </c>
      <c r="H64">
        <v>16</v>
      </c>
      <c r="I64">
        <v>3</v>
      </c>
      <c r="J64" t="str">
        <v>D</v>
      </c>
      <c r="K64">
        <v>16</v>
      </c>
      <c r="L64">
        <v>5</v>
      </c>
      <c r="M64" t="str">
        <v>D</v>
      </c>
      <c r="N64">
        <v>16</v>
      </c>
      <c r="O64">
        <v>2</v>
      </c>
      <c r="P64" t="str">
        <v>D</v>
      </c>
      <c r="Q64">
        <v>10</v>
      </c>
      <c r="X64">
        <v>3</v>
      </c>
      <c r="Y64" t="str">
        <v>D</v>
      </c>
      <c r="Z64">
        <v>16</v>
      </c>
      <c r="AA64">
        <v>3</v>
      </c>
      <c r="AB64" t="str">
        <v>D</v>
      </c>
      <c r="AC64">
        <v>16</v>
      </c>
      <c r="AD64">
        <v>3</v>
      </c>
      <c r="AE64" t="str">
        <v>D</v>
      </c>
      <c r="AF64">
        <v>16</v>
      </c>
      <c r="AH64" t="str">
        <v>D</v>
      </c>
      <c r="AI64">
        <v>10</v>
      </c>
      <c r="AJ64" t="str">
        <v>-</v>
      </c>
      <c r="AK64">
        <v>200</v>
      </c>
      <c r="AM64" t="str">
        <v>D</v>
      </c>
      <c r="AN64">
        <v>10</v>
      </c>
      <c r="AO64" t="str">
        <v>-</v>
      </c>
      <c r="AP64">
        <v>200</v>
      </c>
      <c r="AR64" t="str">
        <v>D</v>
      </c>
      <c r="AS64">
        <v>10</v>
      </c>
      <c r="AT64" t="str">
        <v>-</v>
      </c>
      <c r="AU64">
        <v>200</v>
      </c>
      <c r="AZ64">
        <v>100</v>
      </c>
      <c r="BE64">
        <v>100</v>
      </c>
      <c r="BJ64">
        <v>100</v>
      </c>
    </row>
    <row r="65">
      <c r="C65" t="str">
        <v>B26-1</v>
      </c>
      <c r="D65">
        <v>200</v>
      </c>
      <c r="E65">
        <v>600</v>
      </c>
      <c r="F65">
        <v>2</v>
      </c>
      <c r="G65" t="str">
        <v>D</v>
      </c>
      <c r="H65">
        <v>16</v>
      </c>
      <c r="I65">
        <v>2</v>
      </c>
      <c r="J65" t="str">
        <v>D</v>
      </c>
      <c r="K65">
        <v>16</v>
      </c>
      <c r="L65">
        <v>5</v>
      </c>
      <c r="M65" t="str">
        <v>D</v>
      </c>
      <c r="N65">
        <v>16</v>
      </c>
      <c r="O65">
        <v>2</v>
      </c>
      <c r="P65" t="str">
        <v>D</v>
      </c>
      <c r="Q65">
        <v>10</v>
      </c>
      <c r="X65">
        <v>3</v>
      </c>
      <c r="Y65" t="str">
        <v>D</v>
      </c>
      <c r="Z65">
        <v>16</v>
      </c>
      <c r="AA65">
        <v>5</v>
      </c>
      <c r="AB65" t="str">
        <v>D</v>
      </c>
      <c r="AC65">
        <v>16</v>
      </c>
      <c r="AD65">
        <v>3</v>
      </c>
      <c r="AE65" t="str">
        <v>D</v>
      </c>
      <c r="AF65">
        <v>16</v>
      </c>
      <c r="AH65" t="str">
        <v>D</v>
      </c>
      <c r="AI65">
        <v>10</v>
      </c>
      <c r="AJ65" t="str">
        <v>-</v>
      </c>
      <c r="AK65">
        <v>100</v>
      </c>
      <c r="AM65" t="str">
        <v>D</v>
      </c>
      <c r="AN65">
        <v>10</v>
      </c>
      <c r="AO65" t="str">
        <v>-</v>
      </c>
      <c r="AP65">
        <v>200</v>
      </c>
      <c r="AR65" t="str">
        <v>D</v>
      </c>
      <c r="AS65">
        <v>10</v>
      </c>
      <c r="AT65" t="str">
        <v>-</v>
      </c>
      <c r="AU65">
        <v>100</v>
      </c>
      <c r="AZ65">
        <v>100</v>
      </c>
      <c r="BE65">
        <v>100</v>
      </c>
      <c r="BJ65">
        <v>100</v>
      </c>
    </row>
    <row r="66">
      <c r="C66" t="str">
        <v>B26-2</v>
      </c>
      <c r="D66">
        <v>200</v>
      </c>
      <c r="E66">
        <v>600</v>
      </c>
      <c r="F66">
        <v>6</v>
      </c>
      <c r="G66" t="str">
        <v>D</v>
      </c>
      <c r="H66">
        <v>16</v>
      </c>
      <c r="I66">
        <v>2</v>
      </c>
      <c r="J66" t="str">
        <v>D</v>
      </c>
      <c r="K66">
        <v>16</v>
      </c>
      <c r="L66">
        <v>6</v>
      </c>
      <c r="M66" t="str">
        <v>D</v>
      </c>
      <c r="N66">
        <v>16</v>
      </c>
      <c r="O66">
        <v>2</v>
      </c>
      <c r="P66" t="str">
        <v>D</v>
      </c>
      <c r="Q66">
        <v>10</v>
      </c>
      <c r="X66">
        <v>3</v>
      </c>
      <c r="Y66" t="str">
        <v>D</v>
      </c>
      <c r="Z66">
        <v>16</v>
      </c>
      <c r="AA66">
        <v>5</v>
      </c>
      <c r="AB66" t="str">
        <v>D</v>
      </c>
      <c r="AC66">
        <v>16</v>
      </c>
      <c r="AD66">
        <v>3</v>
      </c>
      <c r="AE66" t="str">
        <v>D</v>
      </c>
      <c r="AF66">
        <v>16</v>
      </c>
      <c r="AH66" t="str">
        <v>D</v>
      </c>
      <c r="AI66">
        <v>10</v>
      </c>
      <c r="AJ66" t="str">
        <v>-</v>
      </c>
      <c r="AK66">
        <v>100</v>
      </c>
      <c r="AM66" t="str">
        <v>D</v>
      </c>
      <c r="AN66">
        <v>10</v>
      </c>
      <c r="AO66" t="str">
        <v>-</v>
      </c>
      <c r="AP66">
        <v>200</v>
      </c>
      <c r="AR66" t="str">
        <v>D</v>
      </c>
      <c r="AS66">
        <v>10</v>
      </c>
      <c r="AT66" t="str">
        <v>-</v>
      </c>
      <c r="AU66">
        <v>100</v>
      </c>
      <c r="AZ66">
        <v>100</v>
      </c>
      <c r="BE66">
        <v>100</v>
      </c>
      <c r="BJ66">
        <v>100</v>
      </c>
    </row>
    <row r="67">
      <c r="C67" t="str">
        <v>B26-3</v>
      </c>
      <c r="D67">
        <v>200</v>
      </c>
      <c r="E67">
        <v>600</v>
      </c>
      <c r="F67">
        <v>3</v>
      </c>
      <c r="G67" t="str">
        <v>D</v>
      </c>
      <c r="H67">
        <v>19</v>
      </c>
      <c r="I67">
        <v>3</v>
      </c>
      <c r="J67" t="str">
        <v>D</v>
      </c>
      <c r="K67">
        <v>19</v>
      </c>
      <c r="L67">
        <v>3</v>
      </c>
      <c r="M67" t="str">
        <v>D</v>
      </c>
      <c r="N67">
        <v>19</v>
      </c>
      <c r="O67">
        <v>2</v>
      </c>
      <c r="P67" t="str">
        <v>D</v>
      </c>
      <c r="Q67">
        <v>10</v>
      </c>
      <c r="X67">
        <v>3</v>
      </c>
      <c r="Y67" t="str">
        <v>D</v>
      </c>
      <c r="Z67">
        <v>19</v>
      </c>
      <c r="AA67">
        <v>3</v>
      </c>
      <c r="AB67" t="str">
        <v>D</v>
      </c>
      <c r="AC67">
        <v>19</v>
      </c>
      <c r="AD67">
        <v>3</v>
      </c>
      <c r="AE67" t="str">
        <v>D</v>
      </c>
      <c r="AF67">
        <v>19</v>
      </c>
      <c r="AH67" t="str">
        <v>D</v>
      </c>
      <c r="AI67">
        <v>10</v>
      </c>
      <c r="AJ67" t="str">
        <v>-</v>
      </c>
      <c r="AK67">
        <v>100</v>
      </c>
      <c r="AM67" t="str">
        <v>D</v>
      </c>
      <c r="AN67">
        <v>10</v>
      </c>
      <c r="AO67" t="str">
        <v>-</v>
      </c>
      <c r="AP67">
        <v>200</v>
      </c>
      <c r="AR67" t="str">
        <v>D</v>
      </c>
      <c r="AS67">
        <v>10</v>
      </c>
      <c r="AT67" t="str">
        <v>-</v>
      </c>
      <c r="AU67">
        <v>100</v>
      </c>
      <c r="AZ67">
        <v>100</v>
      </c>
      <c r="BE67">
        <v>100</v>
      </c>
      <c r="BJ67">
        <v>100</v>
      </c>
    </row>
    <row r="68">
      <c r="C68" t="str">
        <v>B26-4</v>
      </c>
      <c r="D68">
        <v>200</v>
      </c>
      <c r="E68">
        <v>600</v>
      </c>
      <c r="F68">
        <v>3</v>
      </c>
      <c r="G68" t="str">
        <v>D</v>
      </c>
      <c r="H68">
        <v>19</v>
      </c>
      <c r="I68">
        <v>3</v>
      </c>
      <c r="J68" t="str">
        <v>D</v>
      </c>
      <c r="K68">
        <v>19</v>
      </c>
      <c r="L68">
        <v>3</v>
      </c>
      <c r="M68" t="str">
        <v>D</v>
      </c>
      <c r="N68">
        <v>19</v>
      </c>
      <c r="O68">
        <v>2</v>
      </c>
      <c r="P68" t="str">
        <v>D</v>
      </c>
      <c r="Q68">
        <v>10</v>
      </c>
      <c r="X68">
        <v>6</v>
      </c>
      <c r="Y68" t="str">
        <v>D</v>
      </c>
      <c r="Z68">
        <v>19</v>
      </c>
      <c r="AA68">
        <v>6</v>
      </c>
      <c r="AB68" t="str">
        <v>D</v>
      </c>
      <c r="AC68">
        <v>19</v>
      </c>
      <c r="AD68">
        <v>6</v>
      </c>
      <c r="AE68" t="str">
        <v>D</v>
      </c>
      <c r="AF68">
        <v>19</v>
      </c>
      <c r="AG68">
        <v>3</v>
      </c>
      <c r="AH68" t="str">
        <v>D</v>
      </c>
      <c r="AI68">
        <v>10</v>
      </c>
      <c r="AJ68" t="str">
        <v>-</v>
      </c>
      <c r="AK68">
        <v>80</v>
      </c>
      <c r="AM68" t="str">
        <v>D</v>
      </c>
      <c r="AN68">
        <v>10</v>
      </c>
      <c r="AO68" t="str">
        <v>-</v>
      </c>
      <c r="AP68">
        <v>150</v>
      </c>
      <c r="AQ68">
        <v>3</v>
      </c>
      <c r="AR68" t="str">
        <v>D</v>
      </c>
      <c r="AS68">
        <v>10</v>
      </c>
      <c r="AT68" t="str">
        <v>-</v>
      </c>
      <c r="AU68">
        <v>80</v>
      </c>
      <c r="AZ68">
        <v>100</v>
      </c>
      <c r="BE68">
        <v>100</v>
      </c>
      <c r="BJ68">
        <v>100</v>
      </c>
    </row>
    <row r="69">
      <c r="C69" t="str">
        <v>B26-5</v>
      </c>
      <c r="D69">
        <v>200</v>
      </c>
      <c r="E69">
        <v>600</v>
      </c>
      <c r="F69">
        <v>7</v>
      </c>
      <c r="G69" t="str">
        <v>D</v>
      </c>
      <c r="H69">
        <v>19</v>
      </c>
      <c r="I69">
        <v>3</v>
      </c>
      <c r="J69" t="str">
        <v>D</v>
      </c>
      <c r="K69">
        <v>19</v>
      </c>
      <c r="L69">
        <v>3</v>
      </c>
      <c r="M69" t="str">
        <v>D</v>
      </c>
      <c r="N69">
        <v>19</v>
      </c>
      <c r="O69">
        <v>2</v>
      </c>
      <c r="P69" t="str">
        <v>D</v>
      </c>
      <c r="Q69">
        <v>10</v>
      </c>
      <c r="X69">
        <v>4</v>
      </c>
      <c r="Y69" t="str">
        <v>D</v>
      </c>
      <c r="Z69">
        <v>19</v>
      </c>
      <c r="AA69">
        <v>7</v>
      </c>
      <c r="AB69" t="str">
        <v>D</v>
      </c>
      <c r="AC69">
        <v>19</v>
      </c>
      <c r="AD69">
        <v>4</v>
      </c>
      <c r="AE69" t="str">
        <v>D</v>
      </c>
      <c r="AF69">
        <v>19</v>
      </c>
      <c r="AH69" t="str">
        <v>D</v>
      </c>
      <c r="AI69">
        <v>10</v>
      </c>
      <c r="AJ69" t="str">
        <v>-</v>
      </c>
      <c r="AK69">
        <v>80</v>
      </c>
      <c r="AM69" t="str">
        <v>D</v>
      </c>
      <c r="AN69">
        <v>10</v>
      </c>
      <c r="AO69" t="str">
        <v>-</v>
      </c>
      <c r="AP69">
        <v>200</v>
      </c>
      <c r="AR69" t="str">
        <v>D</v>
      </c>
      <c r="AS69">
        <v>10</v>
      </c>
      <c r="AT69" t="str">
        <v>-</v>
      </c>
      <c r="AU69">
        <v>80</v>
      </c>
      <c r="AZ69">
        <v>100</v>
      </c>
      <c r="BE69">
        <v>100</v>
      </c>
      <c r="BJ69">
        <v>100</v>
      </c>
    </row>
    <row r="70">
      <c r="C70" t="str">
        <v>CL26-1</v>
      </c>
      <c r="D70">
        <v>200</v>
      </c>
      <c r="E70">
        <v>600</v>
      </c>
      <c r="F70">
        <v>5</v>
      </c>
      <c r="G70" t="str">
        <v>D</v>
      </c>
      <c r="H70">
        <v>16</v>
      </c>
      <c r="I70">
        <v>3</v>
      </c>
      <c r="J70" t="str">
        <v>D</v>
      </c>
      <c r="K70">
        <v>16</v>
      </c>
      <c r="L70">
        <v>5</v>
      </c>
      <c r="M70" t="str">
        <v>D</v>
      </c>
      <c r="N70">
        <v>16</v>
      </c>
      <c r="O70">
        <v>2</v>
      </c>
      <c r="P70" t="str">
        <v>D</v>
      </c>
      <c r="Q70">
        <v>10</v>
      </c>
      <c r="X70">
        <v>3</v>
      </c>
      <c r="Y70" t="str">
        <v>D</v>
      </c>
      <c r="Z70">
        <v>16</v>
      </c>
      <c r="AA70">
        <v>3</v>
      </c>
      <c r="AB70" t="str">
        <v>D</v>
      </c>
      <c r="AC70">
        <v>16</v>
      </c>
      <c r="AD70">
        <v>3</v>
      </c>
      <c r="AE70" t="str">
        <v>D</v>
      </c>
      <c r="AF70">
        <v>16</v>
      </c>
      <c r="AH70" t="str">
        <v>D</v>
      </c>
      <c r="AI70">
        <v>10</v>
      </c>
      <c r="AJ70" t="str">
        <v>-</v>
      </c>
      <c r="AK70">
        <v>150</v>
      </c>
      <c r="AM70" t="str">
        <v>D</v>
      </c>
      <c r="AN70">
        <v>10</v>
      </c>
      <c r="AO70" t="str">
        <v>-</v>
      </c>
      <c r="AP70">
        <v>150</v>
      </c>
      <c r="AR70" t="str">
        <v>D</v>
      </c>
      <c r="AS70">
        <v>10</v>
      </c>
      <c r="AT70" t="str">
        <v>-</v>
      </c>
      <c r="AU70">
        <v>150</v>
      </c>
      <c r="AZ70">
        <v>100</v>
      </c>
      <c r="BE70">
        <v>100</v>
      </c>
      <c r="BJ70">
        <v>100</v>
      </c>
    </row>
    <row r="71">
      <c r="C71" t="str">
        <v>B2550-1</v>
      </c>
      <c r="D71">
        <v>250</v>
      </c>
      <c r="E71">
        <v>500</v>
      </c>
      <c r="F71">
        <v>6</v>
      </c>
      <c r="G71" t="str">
        <v>D</v>
      </c>
      <c r="H71">
        <v>19</v>
      </c>
      <c r="I71">
        <v>3</v>
      </c>
      <c r="J71" t="str">
        <v>D</v>
      </c>
      <c r="K71">
        <v>19</v>
      </c>
      <c r="L71">
        <v>3</v>
      </c>
      <c r="M71" t="str">
        <v>D</v>
      </c>
      <c r="N71">
        <v>19</v>
      </c>
      <c r="O71">
        <v>2</v>
      </c>
      <c r="P71" t="str">
        <v>D</v>
      </c>
      <c r="Q71">
        <v>10</v>
      </c>
      <c r="X71">
        <v>3</v>
      </c>
      <c r="Y71" t="str">
        <v>D</v>
      </c>
      <c r="Z71">
        <v>19</v>
      </c>
      <c r="AA71">
        <v>6</v>
      </c>
      <c r="AB71" t="str">
        <v>D</v>
      </c>
      <c r="AC71">
        <v>19</v>
      </c>
      <c r="AD71">
        <v>3</v>
      </c>
      <c r="AE71" t="str">
        <v>D</v>
      </c>
      <c r="AF71">
        <v>19</v>
      </c>
      <c r="AH71" t="str">
        <v>D</v>
      </c>
      <c r="AI71">
        <v>10</v>
      </c>
      <c r="AJ71" t="str">
        <v>-</v>
      </c>
      <c r="AK71">
        <v>90</v>
      </c>
      <c r="AM71" t="str">
        <v>D</v>
      </c>
      <c r="AN71">
        <v>10</v>
      </c>
      <c r="AO71" t="str">
        <v>-</v>
      </c>
      <c r="AP71">
        <v>200</v>
      </c>
      <c r="AR71" t="str">
        <v>D</v>
      </c>
      <c r="AS71">
        <v>10</v>
      </c>
      <c r="AT71" t="str">
        <v>-</v>
      </c>
      <c r="AU71">
        <v>90</v>
      </c>
    </row>
    <row r="72">
      <c r="C72" t="str">
        <v>B257-1</v>
      </c>
      <c r="D72">
        <v>250</v>
      </c>
      <c r="E72">
        <v>700</v>
      </c>
      <c r="F72">
        <v>3</v>
      </c>
      <c r="G72" t="str">
        <v>D</v>
      </c>
      <c r="H72">
        <v>16</v>
      </c>
      <c r="I72">
        <v>3</v>
      </c>
      <c r="J72" t="str">
        <v>D</v>
      </c>
      <c r="K72">
        <v>16</v>
      </c>
      <c r="L72">
        <v>3</v>
      </c>
      <c r="M72" t="str">
        <v>D</v>
      </c>
      <c r="N72">
        <v>16</v>
      </c>
      <c r="O72">
        <v>2</v>
      </c>
      <c r="P72" t="str">
        <v>D</v>
      </c>
      <c r="Q72">
        <v>10</v>
      </c>
      <c r="X72">
        <v>3</v>
      </c>
      <c r="Y72" t="str">
        <v>D</v>
      </c>
      <c r="Z72">
        <v>16</v>
      </c>
      <c r="AA72">
        <v>3</v>
      </c>
      <c r="AB72" t="str">
        <v>D</v>
      </c>
      <c r="AC72">
        <v>16</v>
      </c>
      <c r="AD72">
        <v>3</v>
      </c>
      <c r="AE72" t="str">
        <v>D</v>
      </c>
      <c r="AF72">
        <v>16</v>
      </c>
      <c r="AH72" t="str">
        <v>D</v>
      </c>
      <c r="AI72">
        <v>10</v>
      </c>
      <c r="AJ72" t="str">
        <v>-</v>
      </c>
      <c r="AK72">
        <v>100</v>
      </c>
      <c r="AM72" t="str">
        <v>D</v>
      </c>
      <c r="AN72">
        <v>10</v>
      </c>
      <c r="AO72" t="str">
        <v>-</v>
      </c>
      <c r="AP72">
        <v>200</v>
      </c>
      <c r="AR72" t="str">
        <v>D</v>
      </c>
      <c r="AS72">
        <v>10</v>
      </c>
      <c r="AT72" t="str">
        <v>-</v>
      </c>
      <c r="AU72">
        <v>100</v>
      </c>
      <c r="AZ72">
        <v>100</v>
      </c>
      <c r="BE72">
        <v>100</v>
      </c>
      <c r="BJ72">
        <v>100</v>
      </c>
    </row>
    <row r="73">
      <c r="C73" t="str">
        <v>B257-2</v>
      </c>
      <c r="D73">
        <v>250</v>
      </c>
      <c r="E73">
        <v>700</v>
      </c>
      <c r="F73">
        <v>6</v>
      </c>
      <c r="G73" t="str">
        <v>D</v>
      </c>
      <c r="H73">
        <v>22</v>
      </c>
      <c r="I73">
        <v>3</v>
      </c>
      <c r="J73" t="str">
        <v>D</v>
      </c>
      <c r="K73">
        <v>22</v>
      </c>
      <c r="L73">
        <v>6</v>
      </c>
      <c r="M73" t="str">
        <v>D</v>
      </c>
      <c r="N73">
        <v>22</v>
      </c>
      <c r="O73">
        <v>2</v>
      </c>
      <c r="P73" t="str">
        <v>D</v>
      </c>
      <c r="Q73">
        <v>10</v>
      </c>
      <c r="X73">
        <v>3</v>
      </c>
      <c r="Y73" t="str">
        <v>D</v>
      </c>
      <c r="Z73">
        <v>22</v>
      </c>
      <c r="AA73">
        <v>3</v>
      </c>
      <c r="AB73" t="str">
        <v>D</v>
      </c>
      <c r="AC73">
        <v>22</v>
      </c>
      <c r="AD73">
        <v>3</v>
      </c>
      <c r="AE73" t="str">
        <v>D</v>
      </c>
      <c r="AF73">
        <v>22</v>
      </c>
      <c r="AH73" t="str">
        <v>D</v>
      </c>
      <c r="AI73">
        <v>10</v>
      </c>
      <c r="AJ73" t="str">
        <v>-</v>
      </c>
      <c r="AK73">
        <v>80</v>
      </c>
      <c r="AM73" t="str">
        <v>D</v>
      </c>
      <c r="AN73">
        <v>10</v>
      </c>
      <c r="AO73" t="str">
        <v>-</v>
      </c>
      <c r="AP73">
        <v>200</v>
      </c>
      <c r="AR73" t="str">
        <v>D</v>
      </c>
      <c r="AS73">
        <v>10</v>
      </c>
      <c r="AT73" t="str">
        <v>-</v>
      </c>
      <c r="AU73">
        <v>80</v>
      </c>
      <c r="AZ73">
        <v>100</v>
      </c>
      <c r="BE73">
        <v>100</v>
      </c>
      <c r="BJ73">
        <v>100</v>
      </c>
    </row>
    <row r="74">
      <c r="C74" t="str">
        <v>B345-1</v>
      </c>
      <c r="D74">
        <v>300</v>
      </c>
      <c r="E74">
        <v>450</v>
      </c>
      <c r="F74">
        <v>4</v>
      </c>
      <c r="G74" t="str">
        <v>D</v>
      </c>
      <c r="H74">
        <v>16</v>
      </c>
      <c r="I74">
        <v>2</v>
      </c>
      <c r="J74" t="str">
        <v>D</v>
      </c>
      <c r="K74">
        <v>16</v>
      </c>
      <c r="L74">
        <v>4</v>
      </c>
      <c r="M74" t="str">
        <v>D</v>
      </c>
      <c r="N74">
        <v>16</v>
      </c>
      <c r="O74">
        <v>2</v>
      </c>
      <c r="P74" t="str">
        <v>D</v>
      </c>
      <c r="Q74">
        <v>8</v>
      </c>
      <c r="X74">
        <v>3</v>
      </c>
      <c r="Y74" t="str">
        <v>D</v>
      </c>
      <c r="Z74">
        <v>16</v>
      </c>
      <c r="AA74">
        <v>3</v>
      </c>
      <c r="AB74" t="str">
        <v>D</v>
      </c>
      <c r="AC74">
        <v>16</v>
      </c>
      <c r="AD74">
        <v>3</v>
      </c>
      <c r="AE74" t="str">
        <v>D</v>
      </c>
      <c r="AF74">
        <v>16</v>
      </c>
      <c r="AH74" t="str">
        <v>D</v>
      </c>
      <c r="AI74">
        <v>8</v>
      </c>
      <c r="AJ74" t="str">
        <v>-</v>
      </c>
      <c r="AK74">
        <v>100</v>
      </c>
      <c r="AM74" t="str">
        <v>D</v>
      </c>
      <c r="AN74">
        <v>8</v>
      </c>
      <c r="AO74" t="str">
        <v>-</v>
      </c>
      <c r="AP74">
        <v>200</v>
      </c>
      <c r="AR74" t="str">
        <v>D</v>
      </c>
      <c r="AS74">
        <v>8</v>
      </c>
      <c r="AT74" t="str">
        <v>-</v>
      </c>
      <c r="AU74">
        <v>100</v>
      </c>
      <c r="AZ74">
        <v>100</v>
      </c>
      <c r="BE74">
        <v>100</v>
      </c>
      <c r="BJ74">
        <v>100</v>
      </c>
    </row>
    <row r="75">
      <c r="C75" t="str">
        <v>B35-1</v>
      </c>
      <c r="D75">
        <v>300</v>
      </c>
      <c r="E75">
        <v>500</v>
      </c>
      <c r="F75">
        <v>4</v>
      </c>
      <c r="G75" t="str">
        <v>D</v>
      </c>
      <c r="H75">
        <v>16</v>
      </c>
      <c r="I75">
        <v>4</v>
      </c>
      <c r="J75" t="str">
        <v>D</v>
      </c>
      <c r="K75">
        <v>16</v>
      </c>
      <c r="L75">
        <v>4</v>
      </c>
      <c r="M75" t="str">
        <v>D</v>
      </c>
      <c r="N75">
        <v>16</v>
      </c>
      <c r="O75">
        <v>2</v>
      </c>
      <c r="P75" t="str">
        <v>D</v>
      </c>
      <c r="Q75">
        <v>10</v>
      </c>
      <c r="X75">
        <v>3</v>
      </c>
      <c r="Y75" t="str">
        <v>D</v>
      </c>
      <c r="Z75">
        <v>16</v>
      </c>
      <c r="AA75">
        <v>3</v>
      </c>
      <c r="AB75" t="str">
        <v>D</v>
      </c>
      <c r="AC75">
        <v>16</v>
      </c>
      <c r="AD75">
        <v>3</v>
      </c>
      <c r="AE75" t="str">
        <v>D</v>
      </c>
      <c r="AF75">
        <v>16</v>
      </c>
      <c r="AH75" t="str">
        <v>D</v>
      </c>
      <c r="AI75">
        <v>10</v>
      </c>
      <c r="AJ75" t="str">
        <v>-</v>
      </c>
      <c r="AK75">
        <v>200</v>
      </c>
      <c r="AM75" t="str">
        <v>D</v>
      </c>
      <c r="AN75">
        <v>10</v>
      </c>
      <c r="AO75" t="str">
        <v>-</v>
      </c>
      <c r="AP75">
        <v>200</v>
      </c>
      <c r="AR75" t="str">
        <v>D</v>
      </c>
      <c r="AS75">
        <v>10</v>
      </c>
      <c r="AT75" t="str">
        <v>-</v>
      </c>
      <c r="AU75">
        <v>200</v>
      </c>
      <c r="AZ75">
        <v>100</v>
      </c>
      <c r="BE75">
        <v>100</v>
      </c>
      <c r="BJ75">
        <v>100</v>
      </c>
    </row>
    <row r="76">
      <c r="C76" t="str">
        <v>B35-2</v>
      </c>
      <c r="D76">
        <v>300</v>
      </c>
      <c r="E76">
        <v>500</v>
      </c>
      <c r="F76">
        <v>6</v>
      </c>
      <c r="G76" t="str">
        <v>D</v>
      </c>
      <c r="H76">
        <v>19</v>
      </c>
      <c r="I76">
        <v>2</v>
      </c>
      <c r="J76" t="str">
        <v>D</v>
      </c>
      <c r="K76">
        <v>19</v>
      </c>
      <c r="L76">
        <v>6</v>
      </c>
      <c r="M76" t="str">
        <v>D</v>
      </c>
      <c r="N76">
        <v>19</v>
      </c>
      <c r="O76">
        <v>2</v>
      </c>
      <c r="P76" t="str">
        <v>D</v>
      </c>
      <c r="Q76">
        <v>10</v>
      </c>
      <c r="X76">
        <v>5</v>
      </c>
      <c r="Y76" t="str">
        <v>D</v>
      </c>
      <c r="Z76">
        <v>19</v>
      </c>
      <c r="AA76">
        <v>5</v>
      </c>
      <c r="AB76" t="str">
        <v>D</v>
      </c>
      <c r="AC76">
        <v>19</v>
      </c>
      <c r="AD76">
        <v>5</v>
      </c>
      <c r="AE76" t="str">
        <v>D</v>
      </c>
      <c r="AF76">
        <v>19</v>
      </c>
      <c r="AH76" t="str">
        <v>D</v>
      </c>
      <c r="AI76">
        <v>10</v>
      </c>
      <c r="AJ76" t="str">
        <v>-</v>
      </c>
      <c r="AK76">
        <v>90</v>
      </c>
      <c r="AM76" t="str">
        <v>D</v>
      </c>
      <c r="AN76">
        <v>10</v>
      </c>
      <c r="AO76" t="str">
        <v>-</v>
      </c>
      <c r="AP76">
        <v>200</v>
      </c>
      <c r="AR76" t="str">
        <v>D</v>
      </c>
      <c r="AS76">
        <v>10</v>
      </c>
      <c r="AT76" t="str">
        <v>-</v>
      </c>
      <c r="AU76">
        <v>90</v>
      </c>
      <c r="AZ76">
        <v>100</v>
      </c>
      <c r="BE76">
        <v>100</v>
      </c>
      <c r="BJ76">
        <v>100</v>
      </c>
    </row>
    <row r="77">
      <c r="C77" t="str">
        <v>B36-1</v>
      </c>
      <c r="D77">
        <v>300</v>
      </c>
      <c r="E77">
        <v>600</v>
      </c>
      <c r="F77">
        <v>5</v>
      </c>
      <c r="G77" t="str">
        <v>D</v>
      </c>
      <c r="H77">
        <v>16</v>
      </c>
      <c r="I77">
        <v>3</v>
      </c>
      <c r="J77" t="str">
        <v>D</v>
      </c>
      <c r="K77">
        <v>16</v>
      </c>
      <c r="L77">
        <v>5</v>
      </c>
      <c r="M77" t="str">
        <v>D</v>
      </c>
      <c r="N77">
        <v>16</v>
      </c>
      <c r="O77">
        <v>2</v>
      </c>
      <c r="P77" t="str">
        <v>D</v>
      </c>
      <c r="Q77">
        <v>10</v>
      </c>
      <c r="X77">
        <v>3</v>
      </c>
      <c r="Y77" t="str">
        <v>D</v>
      </c>
      <c r="Z77">
        <v>16</v>
      </c>
      <c r="AA77">
        <v>6</v>
      </c>
      <c r="AB77" t="str">
        <v>D</v>
      </c>
      <c r="AC77">
        <v>16</v>
      </c>
      <c r="AD77">
        <v>3</v>
      </c>
      <c r="AE77" t="str">
        <v>D</v>
      </c>
      <c r="AF77">
        <v>16</v>
      </c>
      <c r="AG77">
        <v>3</v>
      </c>
      <c r="AH77" t="str">
        <v>D</v>
      </c>
      <c r="AI77">
        <v>10</v>
      </c>
      <c r="AJ77" t="str">
        <v>-</v>
      </c>
      <c r="AK77">
        <v>75</v>
      </c>
      <c r="AM77" t="str">
        <v>D</v>
      </c>
      <c r="AN77">
        <v>10</v>
      </c>
      <c r="AO77" t="str">
        <v>-</v>
      </c>
      <c r="AP77">
        <v>200</v>
      </c>
      <c r="AQ77">
        <v>3</v>
      </c>
      <c r="AR77" t="str">
        <v>D</v>
      </c>
      <c r="AS77">
        <v>10</v>
      </c>
      <c r="AT77" t="str">
        <v>-</v>
      </c>
      <c r="AU77">
        <v>75</v>
      </c>
      <c r="AZ77">
        <v>100</v>
      </c>
      <c r="BE77">
        <v>100</v>
      </c>
      <c r="BJ77">
        <v>100</v>
      </c>
    </row>
    <row r="78">
      <c r="C78" t="str">
        <v>B36-2</v>
      </c>
      <c r="D78">
        <v>300</v>
      </c>
      <c r="E78">
        <v>600</v>
      </c>
      <c r="F78">
        <v>8</v>
      </c>
      <c r="G78" t="str">
        <v>D</v>
      </c>
      <c r="H78">
        <v>16</v>
      </c>
      <c r="I78">
        <v>3</v>
      </c>
      <c r="J78" t="str">
        <v>D</v>
      </c>
      <c r="K78">
        <v>16</v>
      </c>
      <c r="L78">
        <v>8</v>
      </c>
      <c r="M78" t="str">
        <v>D</v>
      </c>
      <c r="N78">
        <v>16</v>
      </c>
      <c r="O78">
        <v>2</v>
      </c>
      <c r="P78" t="str">
        <v>D</v>
      </c>
      <c r="Q78">
        <v>10</v>
      </c>
      <c r="X78">
        <v>4</v>
      </c>
      <c r="Y78" t="str">
        <v>D</v>
      </c>
      <c r="Z78">
        <v>16</v>
      </c>
      <c r="AA78">
        <v>6</v>
      </c>
      <c r="AB78" t="str">
        <v>D</v>
      </c>
      <c r="AC78">
        <v>16</v>
      </c>
      <c r="AD78">
        <v>4</v>
      </c>
      <c r="AE78" t="str">
        <v>D</v>
      </c>
      <c r="AF78">
        <v>16</v>
      </c>
      <c r="AG78">
        <v>3</v>
      </c>
      <c r="AH78" t="str">
        <v>D</v>
      </c>
      <c r="AI78">
        <v>10</v>
      </c>
      <c r="AJ78" t="str">
        <v>-</v>
      </c>
      <c r="AK78">
        <v>75</v>
      </c>
      <c r="AM78" t="str">
        <v>D</v>
      </c>
      <c r="AN78">
        <v>10</v>
      </c>
      <c r="AO78" t="str">
        <v>-</v>
      </c>
      <c r="AP78">
        <v>200</v>
      </c>
      <c r="AQ78">
        <v>3</v>
      </c>
      <c r="AR78" t="str">
        <v>D</v>
      </c>
      <c r="AS78">
        <v>10</v>
      </c>
      <c r="AT78" t="str">
        <v>-</v>
      </c>
      <c r="AU78">
        <v>75</v>
      </c>
      <c r="AZ78">
        <v>100</v>
      </c>
      <c r="BE78">
        <v>100</v>
      </c>
      <c r="BJ78">
        <v>100</v>
      </c>
    </row>
    <row r="79">
      <c r="C79" t="str">
        <v>B36-3</v>
      </c>
      <c r="D79">
        <v>300</v>
      </c>
      <c r="E79">
        <v>600</v>
      </c>
      <c r="F79">
        <v>8</v>
      </c>
      <c r="G79" t="str">
        <v>D</v>
      </c>
      <c r="H79">
        <v>19</v>
      </c>
      <c r="I79">
        <v>3</v>
      </c>
      <c r="J79" t="str">
        <v>D</v>
      </c>
      <c r="K79">
        <v>19</v>
      </c>
      <c r="L79">
        <v>3</v>
      </c>
      <c r="M79" t="str">
        <v>D</v>
      </c>
      <c r="N79">
        <v>19</v>
      </c>
      <c r="O79">
        <v>2</v>
      </c>
      <c r="P79" t="str">
        <v>D</v>
      </c>
      <c r="Q79">
        <v>10</v>
      </c>
      <c r="X79">
        <v>4</v>
      </c>
      <c r="Y79" t="str">
        <v>D</v>
      </c>
      <c r="Z79">
        <v>19</v>
      </c>
      <c r="AA79">
        <v>8</v>
      </c>
      <c r="AB79" t="str">
        <v>D</v>
      </c>
      <c r="AC79">
        <v>19</v>
      </c>
      <c r="AD79">
        <v>8</v>
      </c>
      <c r="AE79" t="str">
        <v>D</v>
      </c>
      <c r="AF79">
        <v>19</v>
      </c>
      <c r="AG79">
        <v>3</v>
      </c>
      <c r="AH79" t="str">
        <v>D</v>
      </c>
      <c r="AI79">
        <v>10</v>
      </c>
      <c r="AJ79" t="str">
        <v>-</v>
      </c>
      <c r="AK79">
        <v>100</v>
      </c>
      <c r="AM79" t="str">
        <v>D</v>
      </c>
      <c r="AN79">
        <v>10</v>
      </c>
      <c r="AO79" t="str">
        <v>-</v>
      </c>
      <c r="AP79">
        <v>150</v>
      </c>
      <c r="AQ79">
        <v>3</v>
      </c>
      <c r="AR79" t="str">
        <v>D</v>
      </c>
      <c r="AS79">
        <v>10</v>
      </c>
      <c r="AT79" t="str">
        <v>-</v>
      </c>
      <c r="AU79">
        <v>100</v>
      </c>
      <c r="AZ79">
        <v>100</v>
      </c>
      <c r="BE79">
        <v>100</v>
      </c>
      <c r="BJ79">
        <v>100</v>
      </c>
    </row>
    <row r="80">
      <c r="C80" t="str">
        <v>B37-1</v>
      </c>
      <c r="D80">
        <v>300</v>
      </c>
      <c r="E80">
        <v>700</v>
      </c>
      <c r="F80">
        <v>7</v>
      </c>
      <c r="G80" t="str">
        <v>D</v>
      </c>
      <c r="H80">
        <v>22</v>
      </c>
      <c r="I80">
        <v>2</v>
      </c>
      <c r="J80" t="str">
        <v>D</v>
      </c>
      <c r="K80">
        <v>22</v>
      </c>
      <c r="L80">
        <v>7</v>
      </c>
      <c r="M80" t="str">
        <v>D</v>
      </c>
      <c r="N80">
        <v>22</v>
      </c>
      <c r="O80">
        <v>2</v>
      </c>
      <c r="P80" t="str">
        <v>D</v>
      </c>
      <c r="Q80">
        <v>10</v>
      </c>
      <c r="X80">
        <v>4</v>
      </c>
      <c r="Y80" t="str">
        <v>D</v>
      </c>
      <c r="Z80">
        <v>22</v>
      </c>
      <c r="AA80">
        <v>6</v>
      </c>
      <c r="AB80" t="str">
        <v>D</v>
      </c>
      <c r="AC80">
        <v>22</v>
      </c>
      <c r="AD80">
        <v>4</v>
      </c>
      <c r="AE80" t="str">
        <v>D</v>
      </c>
      <c r="AF80">
        <v>22</v>
      </c>
      <c r="AH80" t="str">
        <v>D</v>
      </c>
      <c r="AI80">
        <v>10</v>
      </c>
      <c r="AJ80" t="str">
        <v>-</v>
      </c>
      <c r="AK80">
        <v>80</v>
      </c>
      <c r="AM80" t="str">
        <v>D</v>
      </c>
      <c r="AN80">
        <v>10</v>
      </c>
      <c r="AO80" t="str">
        <v>-</v>
      </c>
      <c r="AP80">
        <v>100</v>
      </c>
      <c r="AR80" t="str">
        <v>D</v>
      </c>
      <c r="AS80">
        <v>10</v>
      </c>
      <c r="AT80" t="str">
        <v>-</v>
      </c>
      <c r="AU80">
        <v>80</v>
      </c>
      <c r="AZ80">
        <v>100</v>
      </c>
      <c r="BE80">
        <v>100</v>
      </c>
      <c r="BJ80">
        <v>100</v>
      </c>
    </row>
    <row r="81">
      <c r="C81" t="str">
        <v>B47-1</v>
      </c>
      <c r="D81">
        <v>400</v>
      </c>
      <c r="E81">
        <v>700</v>
      </c>
      <c r="F81">
        <v>7</v>
      </c>
      <c r="G81" t="str">
        <v>D</v>
      </c>
      <c r="H81">
        <v>16</v>
      </c>
      <c r="I81">
        <v>5</v>
      </c>
      <c r="J81" t="str">
        <v>D</v>
      </c>
      <c r="K81">
        <v>16</v>
      </c>
      <c r="L81">
        <v>5</v>
      </c>
      <c r="M81" t="str">
        <v>D</v>
      </c>
      <c r="N81">
        <v>16</v>
      </c>
      <c r="O81">
        <v>2</v>
      </c>
      <c r="P81" t="str">
        <v>D</v>
      </c>
      <c r="Q81">
        <v>10</v>
      </c>
      <c r="X81">
        <v>6</v>
      </c>
      <c r="Y81" t="str">
        <v>D</v>
      </c>
      <c r="Z81">
        <v>16</v>
      </c>
      <c r="AA81">
        <v>10</v>
      </c>
      <c r="AB81" t="str">
        <v>D</v>
      </c>
      <c r="AC81">
        <v>16</v>
      </c>
      <c r="AD81">
        <v>6</v>
      </c>
      <c r="AE81" t="str">
        <v>D</v>
      </c>
      <c r="AF81">
        <v>16</v>
      </c>
      <c r="AH81" t="str">
        <v>D</v>
      </c>
      <c r="AI81">
        <v>13</v>
      </c>
      <c r="AJ81" t="str">
        <v>-</v>
      </c>
      <c r="AK81">
        <v>75</v>
      </c>
      <c r="AM81" t="str">
        <v>D</v>
      </c>
      <c r="AN81">
        <v>13</v>
      </c>
      <c r="AO81" t="str">
        <v>-</v>
      </c>
      <c r="AP81">
        <v>200</v>
      </c>
      <c r="AR81" t="str">
        <v>D</v>
      </c>
      <c r="AS81">
        <v>13</v>
      </c>
      <c r="AT81" t="str">
        <v>-</v>
      </c>
      <c r="AU81">
        <v>75</v>
      </c>
      <c r="AZ81">
        <v>100</v>
      </c>
      <c r="BE81">
        <v>100</v>
      </c>
      <c r="BJ81">
        <v>100</v>
      </c>
    </row>
    <row r="82">
      <c r="C82" t="str">
        <v>B475-1</v>
      </c>
      <c r="D82">
        <v>400</v>
      </c>
      <c r="E82">
        <v>750</v>
      </c>
      <c r="F82">
        <v>5</v>
      </c>
      <c r="G82" t="str">
        <v>D</v>
      </c>
      <c r="H82">
        <v>16</v>
      </c>
      <c r="I82">
        <v>5</v>
      </c>
      <c r="J82" t="str">
        <v>D</v>
      </c>
      <c r="K82">
        <v>16</v>
      </c>
      <c r="L82">
        <v>5</v>
      </c>
      <c r="M82" t="str">
        <v>D</v>
      </c>
      <c r="N82">
        <v>16</v>
      </c>
      <c r="O82">
        <v>4</v>
      </c>
      <c r="P82" t="str">
        <v>D</v>
      </c>
      <c r="Q82">
        <v>10</v>
      </c>
      <c r="X82">
        <v>6</v>
      </c>
      <c r="Y82" t="str">
        <v>D</v>
      </c>
      <c r="Z82">
        <v>16</v>
      </c>
      <c r="AA82">
        <v>6</v>
      </c>
      <c r="AB82" t="str">
        <v>D</v>
      </c>
      <c r="AC82">
        <v>16</v>
      </c>
      <c r="AD82">
        <v>6</v>
      </c>
      <c r="AE82" t="str">
        <v>D</v>
      </c>
      <c r="AF82">
        <v>16</v>
      </c>
      <c r="AH82" t="str">
        <v>D</v>
      </c>
      <c r="AI82">
        <v>13</v>
      </c>
      <c r="AJ82" t="str">
        <v>-</v>
      </c>
      <c r="AK82">
        <v>75</v>
      </c>
      <c r="AM82" t="str">
        <v>D</v>
      </c>
      <c r="AN82">
        <v>13</v>
      </c>
      <c r="AO82" t="str">
        <v>-</v>
      </c>
      <c r="AP82">
        <v>200</v>
      </c>
      <c r="AR82" t="str">
        <v>D</v>
      </c>
      <c r="AS82">
        <v>13</v>
      </c>
      <c r="AT82" t="str">
        <v>-</v>
      </c>
      <c r="AU82">
        <v>75</v>
      </c>
      <c r="AZ82">
        <v>100</v>
      </c>
      <c r="BE82">
        <v>100</v>
      </c>
      <c r="BJ82">
        <v>100</v>
      </c>
    </row>
    <row r="83">
      <c r="C83" t="str">
        <v>B57-1</v>
      </c>
      <c r="D83">
        <v>500</v>
      </c>
      <c r="E83">
        <v>700</v>
      </c>
      <c r="F83">
        <v>5</v>
      </c>
      <c r="G83" t="str">
        <v>D</v>
      </c>
      <c r="H83">
        <v>22</v>
      </c>
      <c r="I83">
        <v>5</v>
      </c>
      <c r="J83" t="str">
        <v>D</v>
      </c>
      <c r="K83">
        <v>22</v>
      </c>
      <c r="L83">
        <v>5</v>
      </c>
      <c r="M83" t="str">
        <v>D</v>
      </c>
      <c r="N83">
        <v>22</v>
      </c>
      <c r="O83">
        <v>2</v>
      </c>
      <c r="P83" t="str">
        <v>D</v>
      </c>
      <c r="Q83">
        <v>13</v>
      </c>
      <c r="X83">
        <v>5</v>
      </c>
      <c r="Y83" t="str">
        <v>D</v>
      </c>
      <c r="Z83">
        <v>22</v>
      </c>
      <c r="AA83">
        <v>10</v>
      </c>
      <c r="AB83" t="str">
        <v>D</v>
      </c>
      <c r="AC83">
        <v>22</v>
      </c>
      <c r="AD83">
        <v>5</v>
      </c>
      <c r="AE83" t="str">
        <v>D</v>
      </c>
      <c r="AF83">
        <v>22</v>
      </c>
      <c r="AG83">
        <v>3</v>
      </c>
      <c r="AH83" t="str">
        <v>D</v>
      </c>
      <c r="AI83">
        <v>13</v>
      </c>
      <c r="AJ83" t="str">
        <v>-</v>
      </c>
      <c r="AK83">
        <v>75</v>
      </c>
      <c r="AM83" t="str">
        <v>D</v>
      </c>
      <c r="AN83">
        <v>13</v>
      </c>
      <c r="AO83" t="str">
        <v>-</v>
      </c>
      <c r="AP83">
        <v>150</v>
      </c>
      <c r="AQ83">
        <v>3</v>
      </c>
      <c r="AR83" t="str">
        <v>D</v>
      </c>
      <c r="AS83">
        <v>13</v>
      </c>
      <c r="AT83" t="str">
        <v>-</v>
      </c>
      <c r="AU83">
        <v>75</v>
      </c>
      <c r="AZ83">
        <v>100</v>
      </c>
      <c r="BE83">
        <v>100</v>
      </c>
      <c r="BJ83">
        <v>100</v>
      </c>
    </row>
    <row r="84">
      <c r="C84" t="str">
        <v>B57-4</v>
      </c>
      <c r="D84">
        <v>500</v>
      </c>
      <c r="E84">
        <v>700</v>
      </c>
      <c r="F84">
        <v>10</v>
      </c>
      <c r="G84" t="str">
        <v>D</v>
      </c>
      <c r="H84">
        <v>22</v>
      </c>
      <c r="I84">
        <v>4</v>
      </c>
      <c r="J84" t="str">
        <v>D</v>
      </c>
      <c r="K84">
        <v>22</v>
      </c>
      <c r="L84">
        <v>6</v>
      </c>
      <c r="M84" t="str">
        <v>D</v>
      </c>
      <c r="N84">
        <v>22</v>
      </c>
      <c r="O84">
        <v>2</v>
      </c>
      <c r="P84" t="str">
        <v>D</v>
      </c>
      <c r="Q84">
        <v>10</v>
      </c>
      <c r="X84">
        <v>5</v>
      </c>
      <c r="Y84" t="str">
        <v>D</v>
      </c>
      <c r="Z84">
        <v>22</v>
      </c>
      <c r="AA84">
        <v>10</v>
      </c>
      <c r="AB84" t="str">
        <v>D</v>
      </c>
      <c r="AC84">
        <v>22</v>
      </c>
      <c r="AD84">
        <v>5</v>
      </c>
      <c r="AE84" t="str">
        <v>D</v>
      </c>
      <c r="AF84">
        <v>22</v>
      </c>
      <c r="AG84">
        <v>3</v>
      </c>
      <c r="AH84" t="str">
        <v>D</v>
      </c>
      <c r="AI84">
        <v>10</v>
      </c>
      <c r="AJ84" t="str">
        <v>-</v>
      </c>
      <c r="AK84">
        <v>80</v>
      </c>
      <c r="AM84" t="str">
        <v>D</v>
      </c>
      <c r="AN84">
        <v>10</v>
      </c>
      <c r="AO84" t="str">
        <v>-</v>
      </c>
      <c r="AP84">
        <v>150</v>
      </c>
      <c r="AQ84">
        <v>3</v>
      </c>
      <c r="AR84" t="str">
        <v>D</v>
      </c>
      <c r="AS84">
        <v>10</v>
      </c>
      <c r="AT84" t="str">
        <v>-</v>
      </c>
      <c r="AU84">
        <v>80</v>
      </c>
      <c r="AZ84">
        <v>100</v>
      </c>
      <c r="BE84">
        <v>100</v>
      </c>
      <c r="BJ84">
        <v>100</v>
      </c>
    </row>
    <row r="85">
      <c r="C85" t="str">
        <v>B67-1</v>
      </c>
      <c r="D85">
        <v>600</v>
      </c>
      <c r="E85">
        <v>700</v>
      </c>
      <c r="F85">
        <v>6</v>
      </c>
      <c r="G85" t="str">
        <v>D</v>
      </c>
      <c r="H85">
        <v>22</v>
      </c>
      <c r="I85">
        <v>4</v>
      </c>
      <c r="J85" t="str">
        <v>D</v>
      </c>
      <c r="K85">
        <v>22</v>
      </c>
      <c r="L85">
        <v>4</v>
      </c>
      <c r="M85" t="str">
        <v>D</v>
      </c>
      <c r="N85">
        <v>22</v>
      </c>
      <c r="O85">
        <v>2</v>
      </c>
      <c r="P85" t="str">
        <v>D</v>
      </c>
      <c r="Q85">
        <v>10</v>
      </c>
      <c r="X85">
        <v>5</v>
      </c>
      <c r="Y85" t="str">
        <v>D</v>
      </c>
      <c r="Z85">
        <v>22</v>
      </c>
      <c r="AA85">
        <v>9</v>
      </c>
      <c r="AB85" t="str">
        <v>D</v>
      </c>
      <c r="AC85">
        <v>22</v>
      </c>
      <c r="AD85">
        <v>5</v>
      </c>
      <c r="AE85" t="str">
        <v>D</v>
      </c>
      <c r="AF85">
        <v>22</v>
      </c>
      <c r="AG85">
        <v>3</v>
      </c>
      <c r="AH85" t="str">
        <v>D</v>
      </c>
      <c r="AI85">
        <v>13</v>
      </c>
      <c r="AJ85" t="str">
        <v>-</v>
      </c>
      <c r="AK85">
        <v>80</v>
      </c>
      <c r="AM85" t="str">
        <v>D</v>
      </c>
      <c r="AN85">
        <v>13</v>
      </c>
      <c r="AO85" t="str">
        <v>-</v>
      </c>
      <c r="AP85">
        <v>150</v>
      </c>
      <c r="AQ85">
        <v>3</v>
      </c>
      <c r="AR85" t="str">
        <v>D</v>
      </c>
      <c r="AS85">
        <v>13</v>
      </c>
      <c r="AT85" t="str">
        <v>-</v>
      </c>
      <c r="AU85">
        <v>80</v>
      </c>
      <c r="AZ85">
        <v>100</v>
      </c>
      <c r="BE85">
        <v>100</v>
      </c>
      <c r="BJ85">
        <v>100</v>
      </c>
    </row>
    <row r="86">
      <c r="C86" t="str">
        <v>CL68-1</v>
      </c>
      <c r="D86">
        <v>600</v>
      </c>
      <c r="E86">
        <v>800</v>
      </c>
      <c r="F86">
        <v>16</v>
      </c>
      <c r="G86" t="str">
        <v>D</v>
      </c>
      <c r="H86">
        <v>25</v>
      </c>
      <c r="I86">
        <v>8</v>
      </c>
      <c r="J86" t="str">
        <v>D</v>
      </c>
      <c r="K86">
        <v>25</v>
      </c>
      <c r="L86">
        <v>16</v>
      </c>
      <c r="M86" t="str">
        <v>D</v>
      </c>
      <c r="N86">
        <v>25</v>
      </c>
      <c r="O86">
        <v>4</v>
      </c>
      <c r="P86" t="str">
        <v>D</v>
      </c>
      <c r="Q86">
        <v>10</v>
      </c>
      <c r="X86">
        <v>5</v>
      </c>
      <c r="Y86" t="str">
        <v>D</v>
      </c>
      <c r="Z86">
        <v>25</v>
      </c>
      <c r="AA86">
        <v>5</v>
      </c>
      <c r="AB86" t="str">
        <v>D</v>
      </c>
      <c r="AC86">
        <v>25</v>
      </c>
      <c r="AD86">
        <v>5</v>
      </c>
      <c r="AE86" t="str">
        <v>D</v>
      </c>
      <c r="AF86">
        <v>25</v>
      </c>
      <c r="AG86">
        <v>3</v>
      </c>
      <c r="AH86" t="str">
        <v>D</v>
      </c>
      <c r="AI86">
        <v>10</v>
      </c>
      <c r="AJ86" t="str">
        <v>-</v>
      </c>
      <c r="AK86">
        <v>80</v>
      </c>
      <c r="AL86">
        <v>3</v>
      </c>
      <c r="AM86" t="str">
        <v>D</v>
      </c>
      <c r="AN86">
        <v>10</v>
      </c>
      <c r="AO86" t="str">
        <v>-</v>
      </c>
      <c r="AP86">
        <v>80</v>
      </c>
      <c r="AQ86">
        <v>3</v>
      </c>
      <c r="AR86" t="str">
        <v>D</v>
      </c>
      <c r="AS86">
        <v>10</v>
      </c>
      <c r="AT86" t="str">
        <v>-</v>
      </c>
      <c r="AU86">
        <v>80</v>
      </c>
      <c r="AZ86">
        <v>100</v>
      </c>
      <c r="BE86">
        <v>100</v>
      </c>
      <c r="BJ86">
        <v>100</v>
      </c>
    </row>
    <row r="87">
      <c r="C87" t="str">
        <v>B77-1</v>
      </c>
      <c r="D87">
        <v>700</v>
      </c>
      <c r="E87">
        <v>700</v>
      </c>
      <c r="F87">
        <v>9</v>
      </c>
      <c r="G87" t="str">
        <v>D</v>
      </c>
      <c r="H87">
        <v>22</v>
      </c>
      <c r="I87">
        <v>6</v>
      </c>
      <c r="J87" t="str">
        <v>D</v>
      </c>
      <c r="K87">
        <v>22</v>
      </c>
      <c r="L87">
        <v>6</v>
      </c>
      <c r="M87" t="str">
        <v>D</v>
      </c>
      <c r="N87">
        <v>22</v>
      </c>
      <c r="O87">
        <v>2</v>
      </c>
      <c r="P87" t="str">
        <v>D</v>
      </c>
      <c r="Q87">
        <v>10</v>
      </c>
      <c r="X87">
        <v>9</v>
      </c>
      <c r="Y87" t="str">
        <v>D</v>
      </c>
      <c r="Z87">
        <v>22</v>
      </c>
      <c r="AA87">
        <v>16</v>
      </c>
      <c r="AB87" t="str">
        <v>D</v>
      </c>
      <c r="AC87">
        <v>22</v>
      </c>
      <c r="AD87">
        <v>4</v>
      </c>
      <c r="AE87" t="str">
        <v>D</v>
      </c>
      <c r="AF87">
        <v>22</v>
      </c>
      <c r="AG87">
        <v>4</v>
      </c>
      <c r="AH87" t="str">
        <v>D</v>
      </c>
      <c r="AI87">
        <v>13</v>
      </c>
      <c r="AJ87" t="str">
        <v>-</v>
      </c>
      <c r="AK87">
        <v>80</v>
      </c>
      <c r="AL87">
        <v>3</v>
      </c>
      <c r="AM87" t="str">
        <v>D</v>
      </c>
      <c r="AN87">
        <v>13</v>
      </c>
      <c r="AO87" t="str">
        <v>-</v>
      </c>
      <c r="AP87">
        <v>100</v>
      </c>
      <c r="AQ87">
        <v>3</v>
      </c>
      <c r="AR87" t="str">
        <v>D</v>
      </c>
      <c r="AS87">
        <v>13</v>
      </c>
      <c r="AT87" t="str">
        <v>-</v>
      </c>
      <c r="AU87">
        <v>100</v>
      </c>
      <c r="AZ87">
        <v>100</v>
      </c>
      <c r="BE87">
        <v>100</v>
      </c>
      <c r="BJ87">
        <v>100</v>
      </c>
    </row>
    <row r="88">
      <c r="C88" t="str">
        <v>B78-1</v>
      </c>
      <c r="D88">
        <v>700</v>
      </c>
      <c r="E88">
        <v>800</v>
      </c>
      <c r="F88">
        <v>5</v>
      </c>
      <c r="G88" t="str">
        <v>D</v>
      </c>
      <c r="H88">
        <v>22</v>
      </c>
      <c r="I88">
        <v>5</v>
      </c>
      <c r="J88" t="str">
        <v>D</v>
      </c>
      <c r="K88">
        <v>22</v>
      </c>
      <c r="L88">
        <v>11</v>
      </c>
      <c r="M88" t="str">
        <v>D</v>
      </c>
      <c r="N88">
        <v>22</v>
      </c>
      <c r="O88">
        <v>4</v>
      </c>
      <c r="P88" t="str">
        <v>D</v>
      </c>
      <c r="Q88">
        <v>10</v>
      </c>
      <c r="X88">
        <v>6</v>
      </c>
      <c r="Y88" t="str">
        <v>D</v>
      </c>
      <c r="Z88">
        <v>22</v>
      </c>
      <c r="AA88">
        <v>6</v>
      </c>
      <c r="AB88" t="str">
        <v>D</v>
      </c>
      <c r="AC88">
        <v>22</v>
      </c>
      <c r="AD88">
        <v>6</v>
      </c>
      <c r="AE88" t="str">
        <v>D</v>
      </c>
      <c r="AF88">
        <v>22</v>
      </c>
      <c r="AG88">
        <v>3</v>
      </c>
      <c r="AH88" t="str">
        <v>D</v>
      </c>
      <c r="AI88">
        <v>13</v>
      </c>
      <c r="AJ88" t="str">
        <v>-</v>
      </c>
      <c r="AK88">
        <v>125</v>
      </c>
      <c r="AM88" t="str">
        <v>D</v>
      </c>
      <c r="AN88">
        <v>13</v>
      </c>
      <c r="AO88" t="str">
        <v>-</v>
      </c>
      <c r="AP88">
        <v>150</v>
      </c>
      <c r="AQ88">
        <v>4</v>
      </c>
      <c r="AR88" t="str">
        <v>D</v>
      </c>
      <c r="AS88">
        <v>13</v>
      </c>
      <c r="AT88" t="str">
        <v>-</v>
      </c>
      <c r="AU88">
        <v>100</v>
      </c>
      <c r="AZ88">
        <v>100</v>
      </c>
      <c r="BE88">
        <v>100</v>
      </c>
      <c r="BJ88">
        <v>100</v>
      </c>
    </row>
    <row r="89">
      <c r="C89" t="str">
        <v>B1745-1</v>
      </c>
      <c r="D89">
        <v>170</v>
      </c>
      <c r="E89">
        <v>450</v>
      </c>
      <c r="F89">
        <v>2</v>
      </c>
      <c r="G89" t="str">
        <v>D</v>
      </c>
      <c r="H89">
        <v>13</v>
      </c>
      <c r="I89">
        <v>2</v>
      </c>
      <c r="J89" t="str">
        <v>D</v>
      </c>
      <c r="K89">
        <v>13</v>
      </c>
      <c r="L89">
        <v>2</v>
      </c>
      <c r="M89" t="str">
        <v>D</v>
      </c>
      <c r="N89">
        <v>13</v>
      </c>
      <c r="O89">
        <v>2</v>
      </c>
      <c r="P89" t="str">
        <v>D</v>
      </c>
      <c r="Q89">
        <v>8</v>
      </c>
      <c r="X89">
        <v>2</v>
      </c>
      <c r="Y89" t="str">
        <v>D</v>
      </c>
      <c r="Z89">
        <v>13</v>
      </c>
      <c r="AA89">
        <v>2</v>
      </c>
      <c r="AB89" t="str">
        <v>D</v>
      </c>
      <c r="AC89">
        <v>13</v>
      </c>
      <c r="AD89">
        <v>2</v>
      </c>
      <c r="AE89" t="str">
        <v>D</v>
      </c>
      <c r="AF89">
        <v>13</v>
      </c>
      <c r="AH89" t="str">
        <v>D</v>
      </c>
      <c r="AI89">
        <v>8</v>
      </c>
      <c r="AJ89" t="str">
        <v>-</v>
      </c>
      <c r="AK89">
        <v>75</v>
      </c>
      <c r="AM89" t="str">
        <v>D</v>
      </c>
      <c r="AN89">
        <v>8</v>
      </c>
      <c r="AO89" t="str">
        <v>-</v>
      </c>
      <c r="AP89">
        <v>75</v>
      </c>
      <c r="AR89" t="str">
        <v>D</v>
      </c>
      <c r="AS89">
        <v>8</v>
      </c>
      <c r="AT89" t="str">
        <v>-</v>
      </c>
      <c r="AU89">
        <v>75</v>
      </c>
      <c r="AZ89">
        <v>100</v>
      </c>
      <c r="BE89">
        <v>100</v>
      </c>
      <c r="BJ89">
        <v>100</v>
      </c>
    </row>
    <row r="90">
      <c r="C90" t="str">
        <v>B26-6</v>
      </c>
      <c r="D90">
        <v>200</v>
      </c>
      <c r="E90">
        <v>600</v>
      </c>
      <c r="F90">
        <v>2</v>
      </c>
      <c r="G90" t="str">
        <v>D</v>
      </c>
      <c r="H90">
        <v>16</v>
      </c>
      <c r="I90">
        <v>2</v>
      </c>
      <c r="J90" t="str">
        <v>D</v>
      </c>
      <c r="K90">
        <v>16</v>
      </c>
      <c r="L90">
        <v>2</v>
      </c>
      <c r="M90" t="str">
        <v>D</v>
      </c>
      <c r="N90">
        <v>16</v>
      </c>
      <c r="O90">
        <v>2</v>
      </c>
      <c r="P90" t="str">
        <v>D</v>
      </c>
      <c r="Q90">
        <v>10</v>
      </c>
      <c r="X90">
        <v>2</v>
      </c>
      <c r="Y90" t="str">
        <v>D</v>
      </c>
      <c r="Z90">
        <v>16</v>
      </c>
      <c r="AA90">
        <v>2</v>
      </c>
      <c r="AB90" t="str">
        <v>D</v>
      </c>
      <c r="AC90">
        <v>16</v>
      </c>
      <c r="AD90">
        <v>2</v>
      </c>
      <c r="AE90" t="str">
        <v>D</v>
      </c>
      <c r="AF90">
        <v>16</v>
      </c>
      <c r="AH90" t="str">
        <v>D</v>
      </c>
      <c r="AI90">
        <v>10</v>
      </c>
      <c r="AJ90" t="str">
        <v>-</v>
      </c>
      <c r="AK90">
        <v>100</v>
      </c>
      <c r="AM90" t="str">
        <v>D</v>
      </c>
      <c r="AN90">
        <v>10</v>
      </c>
      <c r="AO90" t="str">
        <v>-</v>
      </c>
      <c r="AP90">
        <v>200</v>
      </c>
      <c r="AR90" t="str">
        <v>D</v>
      </c>
      <c r="AS90">
        <v>10</v>
      </c>
      <c r="AT90" t="str">
        <v>-</v>
      </c>
      <c r="AU90">
        <v>100</v>
      </c>
      <c r="AZ90">
        <v>100</v>
      </c>
      <c r="BE90">
        <v>100</v>
      </c>
      <c r="BJ90">
        <v>100</v>
      </c>
    </row>
    <row r="91">
      <c r="C91" t="str">
        <v>Potongan A</v>
      </c>
      <c r="D91">
        <v>250</v>
      </c>
      <c r="E91">
        <v>500</v>
      </c>
      <c r="F91">
        <v>6</v>
      </c>
      <c r="G91" t="str">
        <v>D</v>
      </c>
      <c r="H91">
        <v>19</v>
      </c>
      <c r="I91">
        <v>6</v>
      </c>
      <c r="J91" t="str">
        <v>D</v>
      </c>
      <c r="K91">
        <v>19</v>
      </c>
      <c r="L91">
        <v>6</v>
      </c>
      <c r="M91" t="str">
        <v>D</v>
      </c>
      <c r="N91">
        <v>19</v>
      </c>
      <c r="O91">
        <v>2</v>
      </c>
      <c r="P91" t="str">
        <v>D</v>
      </c>
      <c r="Q91">
        <v>10</v>
      </c>
      <c r="X91">
        <v>3</v>
      </c>
      <c r="Y91" t="str">
        <v>D</v>
      </c>
      <c r="Z91">
        <v>19</v>
      </c>
      <c r="AA91">
        <v>3</v>
      </c>
      <c r="AB91" t="str">
        <v>D</v>
      </c>
      <c r="AC91">
        <v>19</v>
      </c>
      <c r="AD91">
        <v>3</v>
      </c>
      <c r="AE91" t="str">
        <v>D</v>
      </c>
      <c r="AF91">
        <v>19</v>
      </c>
      <c r="AH91" t="str">
        <v>D</v>
      </c>
      <c r="AI91">
        <v>10</v>
      </c>
      <c r="AJ91" t="str">
        <v>-</v>
      </c>
      <c r="AK91">
        <v>100</v>
      </c>
      <c r="AM91" t="str">
        <v>D</v>
      </c>
      <c r="AN91">
        <v>10</v>
      </c>
      <c r="AO91" t="str">
        <v>-</v>
      </c>
      <c r="AP91">
        <v>100</v>
      </c>
      <c r="AR91" t="str">
        <v>D</v>
      </c>
      <c r="AS91">
        <v>10</v>
      </c>
      <c r="AT91" t="str">
        <v>-</v>
      </c>
      <c r="AU91">
        <v>100</v>
      </c>
      <c r="AZ91">
        <v>100</v>
      </c>
      <c r="BE91">
        <v>100</v>
      </c>
      <c r="BJ91">
        <v>100</v>
      </c>
    </row>
    <row r="92">
      <c r="C92" t="str">
        <v>Potongan B</v>
      </c>
      <c r="D92">
        <v>200</v>
      </c>
      <c r="E92">
        <v>500</v>
      </c>
      <c r="F92">
        <v>6</v>
      </c>
      <c r="G92" t="str">
        <v>D</v>
      </c>
      <c r="H92">
        <v>16</v>
      </c>
      <c r="I92">
        <v>6</v>
      </c>
      <c r="J92" t="str">
        <v>D</v>
      </c>
      <c r="K92">
        <v>16</v>
      </c>
      <c r="L92">
        <v>6</v>
      </c>
      <c r="M92" t="str">
        <v>D</v>
      </c>
      <c r="N92">
        <v>16</v>
      </c>
      <c r="O92">
        <v>2</v>
      </c>
      <c r="P92" t="str">
        <v>D</v>
      </c>
      <c r="Q92">
        <v>10</v>
      </c>
      <c r="X92">
        <v>3</v>
      </c>
      <c r="Y92" t="str">
        <v>D</v>
      </c>
      <c r="Z92">
        <v>16</v>
      </c>
      <c r="AA92">
        <v>3</v>
      </c>
      <c r="AB92" t="str">
        <v>D</v>
      </c>
      <c r="AC92">
        <v>16</v>
      </c>
      <c r="AD92">
        <v>3</v>
      </c>
      <c r="AE92" t="str">
        <v>D</v>
      </c>
      <c r="AF92">
        <v>16</v>
      </c>
      <c r="AG92">
        <v>3</v>
      </c>
      <c r="AH92" t="str">
        <v>D</v>
      </c>
      <c r="AI92">
        <v>10</v>
      </c>
      <c r="AJ92" t="str">
        <v>-</v>
      </c>
      <c r="AK92">
        <v>80</v>
      </c>
      <c r="AL92">
        <v>3</v>
      </c>
      <c r="AM92" t="str">
        <v>D</v>
      </c>
      <c r="AN92">
        <v>10</v>
      </c>
      <c r="AO92" t="str">
        <v>-</v>
      </c>
      <c r="AP92">
        <v>80</v>
      </c>
      <c r="AQ92">
        <v>3</v>
      </c>
      <c r="AR92" t="str">
        <v>D</v>
      </c>
      <c r="AS92">
        <v>10</v>
      </c>
      <c r="AT92" t="str">
        <v>-</v>
      </c>
      <c r="AU92">
        <v>80</v>
      </c>
      <c r="AZ92">
        <v>100</v>
      </c>
      <c r="BE92">
        <v>100</v>
      </c>
      <c r="BJ92">
        <v>100</v>
      </c>
    </row>
    <row r="93">
      <c r="C93" t="str">
        <v>Potongan C</v>
      </c>
      <c r="D93">
        <v>200</v>
      </c>
      <c r="E93">
        <v>500</v>
      </c>
      <c r="F93">
        <v>5</v>
      </c>
      <c r="G93" t="str">
        <v>D</v>
      </c>
      <c r="H93">
        <v>19</v>
      </c>
      <c r="I93">
        <v>5</v>
      </c>
      <c r="J93" t="str">
        <v>D</v>
      </c>
      <c r="K93">
        <v>19</v>
      </c>
      <c r="L93">
        <v>5</v>
      </c>
      <c r="M93" t="str">
        <v>D</v>
      </c>
      <c r="N93">
        <v>19</v>
      </c>
      <c r="O93">
        <v>2</v>
      </c>
      <c r="P93" t="str">
        <v>D</v>
      </c>
      <c r="Q93">
        <v>10</v>
      </c>
      <c r="X93">
        <v>4</v>
      </c>
      <c r="Y93" t="str">
        <v>D</v>
      </c>
      <c r="Z93">
        <v>19</v>
      </c>
      <c r="AA93">
        <v>4</v>
      </c>
      <c r="AB93" t="str">
        <v>D</v>
      </c>
      <c r="AC93">
        <v>19</v>
      </c>
      <c r="AD93">
        <v>4</v>
      </c>
      <c r="AE93" t="str">
        <v>D</v>
      </c>
      <c r="AF93">
        <v>19</v>
      </c>
      <c r="AH93" t="str">
        <v>D</v>
      </c>
      <c r="AI93">
        <v>10</v>
      </c>
      <c r="AJ93" t="str">
        <v>-</v>
      </c>
      <c r="AK93">
        <v>75</v>
      </c>
      <c r="AM93" t="str">
        <v>D</v>
      </c>
      <c r="AN93">
        <v>10</v>
      </c>
      <c r="AO93" t="str">
        <v>-</v>
      </c>
      <c r="AP93">
        <v>75</v>
      </c>
      <c r="AR93" t="str">
        <v>D</v>
      </c>
      <c r="AS93">
        <v>10</v>
      </c>
      <c r="AT93" t="str">
        <v>-</v>
      </c>
      <c r="AU93">
        <v>75</v>
      </c>
      <c r="AZ93">
        <v>100</v>
      </c>
      <c r="BE93">
        <v>100</v>
      </c>
      <c r="BJ93">
        <v>100</v>
      </c>
    </row>
    <row r="94">
      <c r="C94" t="str">
        <v>Potongan D</v>
      </c>
      <c r="D94">
        <v>300</v>
      </c>
      <c r="E94">
        <v>600</v>
      </c>
      <c r="F94">
        <v>8</v>
      </c>
      <c r="G94" t="str">
        <v>D</v>
      </c>
      <c r="H94">
        <v>19</v>
      </c>
      <c r="I94">
        <v>8</v>
      </c>
      <c r="J94" t="str">
        <v>D</v>
      </c>
      <c r="K94">
        <v>19</v>
      </c>
      <c r="L94">
        <v>8</v>
      </c>
      <c r="M94" t="str">
        <v>D</v>
      </c>
      <c r="N94">
        <v>19</v>
      </c>
      <c r="O94">
        <v>2</v>
      </c>
      <c r="P94" t="str">
        <v>D</v>
      </c>
      <c r="Q94">
        <v>10</v>
      </c>
      <c r="X94">
        <v>4</v>
      </c>
      <c r="Y94" t="str">
        <v>D</v>
      </c>
      <c r="Z94">
        <v>19</v>
      </c>
      <c r="AA94">
        <v>4</v>
      </c>
      <c r="AB94" t="str">
        <v>D</v>
      </c>
      <c r="AC94">
        <v>19</v>
      </c>
      <c r="AD94">
        <v>4</v>
      </c>
      <c r="AE94" t="str">
        <v>D</v>
      </c>
      <c r="AF94">
        <v>19</v>
      </c>
      <c r="AG94">
        <v>3</v>
      </c>
      <c r="AH94" t="str">
        <v>D</v>
      </c>
      <c r="AI94">
        <v>10</v>
      </c>
      <c r="AJ94" t="str">
        <v>-</v>
      </c>
      <c r="AK94">
        <v>90</v>
      </c>
      <c r="AL94">
        <v>3</v>
      </c>
      <c r="AM94" t="str">
        <v>D</v>
      </c>
      <c r="AN94">
        <v>10</v>
      </c>
      <c r="AO94" t="str">
        <v>-</v>
      </c>
      <c r="AP94">
        <v>90</v>
      </c>
      <c r="AQ94">
        <v>3</v>
      </c>
      <c r="AR94" t="str">
        <v>D</v>
      </c>
      <c r="AS94">
        <v>10</v>
      </c>
      <c r="AT94" t="str">
        <v>-</v>
      </c>
      <c r="AU94">
        <v>90</v>
      </c>
      <c r="AZ94">
        <v>100</v>
      </c>
      <c r="BE94">
        <v>100</v>
      </c>
      <c r="BJ94">
        <v>100</v>
      </c>
    </row>
    <row r="95">
      <c r="C95" t="str">
        <v>Potongan E</v>
      </c>
      <c r="D95">
        <v>400</v>
      </c>
      <c r="E95">
        <v>600</v>
      </c>
      <c r="F95">
        <v>8</v>
      </c>
      <c r="G95" t="str">
        <v>D</v>
      </c>
      <c r="H95">
        <v>19</v>
      </c>
      <c r="I95">
        <v>8</v>
      </c>
      <c r="J95" t="str">
        <v>D</v>
      </c>
      <c r="K95">
        <v>19</v>
      </c>
      <c r="L95">
        <v>8</v>
      </c>
      <c r="M95" t="str">
        <v>D</v>
      </c>
      <c r="N95">
        <v>19</v>
      </c>
      <c r="O95">
        <v>2</v>
      </c>
      <c r="P95" t="str">
        <v>D</v>
      </c>
      <c r="Q95">
        <v>10</v>
      </c>
      <c r="X95">
        <v>4</v>
      </c>
      <c r="Y95" t="str">
        <v>D</v>
      </c>
      <c r="Z95">
        <v>19</v>
      </c>
      <c r="AA95">
        <v>4</v>
      </c>
      <c r="AB95" t="str">
        <v>D</v>
      </c>
      <c r="AC95">
        <v>19</v>
      </c>
      <c r="AD95">
        <v>4</v>
      </c>
      <c r="AE95" t="str">
        <v>D</v>
      </c>
      <c r="AF95">
        <v>19</v>
      </c>
      <c r="AH95" t="str">
        <v>D</v>
      </c>
      <c r="AI95">
        <v>13</v>
      </c>
      <c r="AJ95" t="str">
        <v>-</v>
      </c>
      <c r="AK95">
        <v>90</v>
      </c>
      <c r="AM95" t="str">
        <v>D</v>
      </c>
      <c r="AN95">
        <v>13</v>
      </c>
      <c r="AO95" t="str">
        <v>-</v>
      </c>
      <c r="AP95">
        <v>90</v>
      </c>
      <c r="AR95" t="str">
        <v>D</v>
      </c>
      <c r="AS95">
        <v>13</v>
      </c>
      <c r="AT95" t="str">
        <v>-</v>
      </c>
      <c r="AU95">
        <v>90</v>
      </c>
      <c r="AZ95">
        <v>100</v>
      </c>
      <c r="BE95">
        <v>100</v>
      </c>
      <c r="BJ95">
        <v>100</v>
      </c>
    </row>
    <row r="96">
      <c r="C96" t="str">
        <v>Potongan F</v>
      </c>
      <c r="D96">
        <v>200</v>
      </c>
      <c r="E96">
        <v>450</v>
      </c>
      <c r="F96">
        <v>5</v>
      </c>
      <c r="G96" t="str">
        <v>D</v>
      </c>
      <c r="H96">
        <v>16</v>
      </c>
      <c r="I96">
        <v>5</v>
      </c>
      <c r="J96" t="str">
        <v>D</v>
      </c>
      <c r="K96">
        <v>16</v>
      </c>
      <c r="L96">
        <v>5</v>
      </c>
      <c r="M96" t="str">
        <v>D</v>
      </c>
      <c r="N96">
        <v>16</v>
      </c>
      <c r="O96">
        <v>2</v>
      </c>
      <c r="P96" t="str">
        <v>D</v>
      </c>
      <c r="Q96">
        <v>10</v>
      </c>
      <c r="X96">
        <v>3</v>
      </c>
      <c r="Y96" t="str">
        <v>D</v>
      </c>
      <c r="Z96">
        <v>16</v>
      </c>
      <c r="AA96">
        <v>3</v>
      </c>
      <c r="AB96" t="str">
        <v>D</v>
      </c>
      <c r="AC96">
        <v>16</v>
      </c>
      <c r="AD96">
        <v>3</v>
      </c>
      <c r="AE96" t="str">
        <v>D</v>
      </c>
      <c r="AF96">
        <v>16</v>
      </c>
      <c r="AH96" t="str">
        <v>D</v>
      </c>
      <c r="AI96">
        <v>10</v>
      </c>
      <c r="AJ96" t="str">
        <v>-</v>
      </c>
      <c r="AK96">
        <v>100</v>
      </c>
      <c r="AM96" t="str">
        <v>D</v>
      </c>
      <c r="AN96">
        <v>10</v>
      </c>
      <c r="AO96" t="str">
        <v>-</v>
      </c>
      <c r="AP96">
        <v>100</v>
      </c>
      <c r="AR96" t="str">
        <v>D</v>
      </c>
      <c r="AS96">
        <v>10</v>
      </c>
      <c r="AT96" t="str">
        <v>-</v>
      </c>
      <c r="AU96">
        <v>100</v>
      </c>
      <c r="AZ96">
        <v>100</v>
      </c>
      <c r="BE96">
        <v>100</v>
      </c>
      <c r="BJ96">
        <v>100</v>
      </c>
    </row>
    <row r="97">
      <c r="C97" t="str">
        <v>Potongan G</v>
      </c>
      <c r="D97">
        <v>200</v>
      </c>
      <c r="E97">
        <v>600</v>
      </c>
      <c r="F97">
        <v>6</v>
      </c>
      <c r="G97" t="str">
        <v>D</v>
      </c>
      <c r="H97">
        <v>16</v>
      </c>
      <c r="I97">
        <v>6</v>
      </c>
      <c r="J97" t="str">
        <v>D</v>
      </c>
      <c r="K97">
        <v>16</v>
      </c>
      <c r="L97">
        <v>6</v>
      </c>
      <c r="M97" t="str">
        <v>D</v>
      </c>
      <c r="N97">
        <v>16</v>
      </c>
      <c r="O97">
        <v>2</v>
      </c>
      <c r="P97" t="str">
        <v>D</v>
      </c>
      <c r="Q97">
        <v>10</v>
      </c>
      <c r="X97">
        <v>3</v>
      </c>
      <c r="Y97" t="str">
        <v>D</v>
      </c>
      <c r="Z97">
        <v>16</v>
      </c>
      <c r="AA97">
        <v>3</v>
      </c>
      <c r="AB97" t="str">
        <v>D</v>
      </c>
      <c r="AC97">
        <v>16</v>
      </c>
      <c r="AD97">
        <v>3</v>
      </c>
      <c r="AE97" t="str">
        <v>D</v>
      </c>
      <c r="AF97">
        <v>16</v>
      </c>
      <c r="AH97" t="str">
        <v>D</v>
      </c>
      <c r="AI97">
        <v>10</v>
      </c>
      <c r="AJ97" t="str">
        <v>-</v>
      </c>
      <c r="AK97">
        <v>80</v>
      </c>
      <c r="AM97" t="str">
        <v>D</v>
      </c>
      <c r="AN97">
        <v>10</v>
      </c>
      <c r="AO97" t="str">
        <v>-</v>
      </c>
      <c r="AP97">
        <v>80</v>
      </c>
      <c r="AR97" t="str">
        <v>D</v>
      </c>
      <c r="AS97">
        <v>10</v>
      </c>
      <c r="AT97" t="str">
        <v>-</v>
      </c>
      <c r="AU97">
        <v>80</v>
      </c>
      <c r="AZ97">
        <v>100</v>
      </c>
      <c r="BE97">
        <v>100</v>
      </c>
      <c r="BJ97">
        <v>100</v>
      </c>
    </row>
    <row r="98">
      <c r="C98" t="str">
        <v>Potongan H</v>
      </c>
      <c r="D98">
        <v>400</v>
      </c>
      <c r="E98">
        <v>800</v>
      </c>
      <c r="F98">
        <v>7</v>
      </c>
      <c r="G98" t="str">
        <v>D</v>
      </c>
      <c r="H98">
        <v>16</v>
      </c>
      <c r="I98">
        <v>7</v>
      </c>
      <c r="J98" t="str">
        <v>D</v>
      </c>
      <c r="K98">
        <v>16</v>
      </c>
      <c r="L98">
        <v>7</v>
      </c>
      <c r="M98" t="str">
        <v>D</v>
      </c>
      <c r="N98">
        <v>16</v>
      </c>
      <c r="O98">
        <v>4</v>
      </c>
      <c r="P98" t="str">
        <v>D</v>
      </c>
      <c r="Q98">
        <v>10</v>
      </c>
      <c r="X98">
        <v>5</v>
      </c>
      <c r="Y98" t="str">
        <v>D</v>
      </c>
      <c r="Z98">
        <v>16</v>
      </c>
      <c r="AA98">
        <v>5</v>
      </c>
      <c r="AB98" t="str">
        <v>D</v>
      </c>
      <c r="AC98">
        <v>16</v>
      </c>
      <c r="AD98">
        <v>5</v>
      </c>
      <c r="AE98" t="str">
        <v>D</v>
      </c>
      <c r="AF98">
        <v>16</v>
      </c>
      <c r="AH98" t="str">
        <v>D</v>
      </c>
      <c r="AI98">
        <v>13</v>
      </c>
      <c r="AJ98" t="str">
        <v>-</v>
      </c>
      <c r="AK98">
        <v>80</v>
      </c>
      <c r="AM98" t="str">
        <v>D</v>
      </c>
      <c r="AN98">
        <v>13</v>
      </c>
      <c r="AO98" t="str">
        <v>-</v>
      </c>
      <c r="AP98">
        <v>80</v>
      </c>
      <c r="AR98" t="str">
        <v>D</v>
      </c>
      <c r="AS98">
        <v>13</v>
      </c>
      <c r="AT98" t="str">
        <v>-</v>
      </c>
      <c r="AU98">
        <v>80</v>
      </c>
      <c r="AZ98">
        <v>100</v>
      </c>
      <c r="BE98">
        <v>100</v>
      </c>
      <c r="BJ98">
        <v>100</v>
      </c>
    </row>
    <row r="99">
      <c r="C99" t="str">
        <v>Potongan I</v>
      </c>
      <c r="D99">
        <v>200</v>
      </c>
      <c r="E99">
        <v>450</v>
      </c>
      <c r="F99">
        <v>4</v>
      </c>
      <c r="G99" t="str">
        <v>D</v>
      </c>
      <c r="H99">
        <v>16</v>
      </c>
      <c r="I99">
        <v>4</v>
      </c>
      <c r="J99" t="str">
        <v>D</v>
      </c>
      <c r="K99">
        <v>16</v>
      </c>
      <c r="L99">
        <v>4</v>
      </c>
      <c r="M99" t="str">
        <v>D</v>
      </c>
      <c r="N99">
        <v>16</v>
      </c>
      <c r="O99">
        <v>2</v>
      </c>
      <c r="P99" t="str">
        <v>D</v>
      </c>
      <c r="Q99">
        <v>10</v>
      </c>
      <c r="X99">
        <v>3</v>
      </c>
      <c r="Y99" t="str">
        <v>D</v>
      </c>
      <c r="Z99">
        <v>16</v>
      </c>
      <c r="AA99">
        <v>3</v>
      </c>
      <c r="AB99" t="str">
        <v>D</v>
      </c>
      <c r="AC99">
        <v>16</v>
      </c>
      <c r="AD99">
        <v>3</v>
      </c>
      <c r="AE99" t="str">
        <v>D</v>
      </c>
      <c r="AF99">
        <v>16</v>
      </c>
      <c r="AH99" t="str">
        <v>D</v>
      </c>
      <c r="AI99">
        <v>10</v>
      </c>
      <c r="AJ99" t="str">
        <v>-</v>
      </c>
      <c r="AK99">
        <v>75</v>
      </c>
      <c r="AM99" t="str">
        <v>D</v>
      </c>
      <c r="AN99">
        <v>10</v>
      </c>
      <c r="AO99" t="str">
        <v>-</v>
      </c>
      <c r="AP99">
        <v>75</v>
      </c>
      <c r="AR99" t="str">
        <v>D</v>
      </c>
      <c r="AS99">
        <v>10</v>
      </c>
      <c r="AT99" t="str">
        <v>-</v>
      </c>
      <c r="AU99">
        <v>75</v>
      </c>
      <c r="AZ99">
        <v>100</v>
      </c>
      <c r="BE99">
        <v>100</v>
      </c>
      <c r="BJ99">
        <v>100</v>
      </c>
    </row>
    <row r="100">
      <c r="C100" t="str">
        <v>Potongan J</v>
      </c>
      <c r="D100">
        <v>200</v>
      </c>
      <c r="E100">
        <v>500</v>
      </c>
      <c r="F100">
        <v>5</v>
      </c>
      <c r="G100" t="str">
        <v>D</v>
      </c>
      <c r="H100">
        <v>19</v>
      </c>
      <c r="I100">
        <v>5</v>
      </c>
      <c r="J100" t="str">
        <v>D</v>
      </c>
      <c r="K100">
        <v>19</v>
      </c>
      <c r="L100">
        <v>5</v>
      </c>
      <c r="M100" t="str">
        <v>D</v>
      </c>
      <c r="N100">
        <v>19</v>
      </c>
      <c r="O100">
        <v>2</v>
      </c>
      <c r="P100" t="str">
        <v>D</v>
      </c>
      <c r="Q100">
        <v>10</v>
      </c>
      <c r="X100">
        <v>2</v>
      </c>
      <c r="Y100" t="str">
        <v>D</v>
      </c>
      <c r="Z100">
        <v>19</v>
      </c>
      <c r="AA100">
        <v>2</v>
      </c>
      <c r="AB100" t="str">
        <v>D</v>
      </c>
      <c r="AC100">
        <v>19</v>
      </c>
      <c r="AD100">
        <v>2</v>
      </c>
      <c r="AE100" t="str">
        <v>D</v>
      </c>
      <c r="AF100">
        <v>19</v>
      </c>
      <c r="AH100" t="str">
        <v>D</v>
      </c>
      <c r="AI100">
        <v>10</v>
      </c>
      <c r="AJ100" t="str">
        <v>-</v>
      </c>
      <c r="AK100">
        <v>200</v>
      </c>
      <c r="AM100" t="str">
        <v>D</v>
      </c>
      <c r="AN100">
        <v>10</v>
      </c>
      <c r="AO100" t="str">
        <v>-</v>
      </c>
      <c r="AP100">
        <v>200</v>
      </c>
      <c r="AR100" t="str">
        <v>D</v>
      </c>
      <c r="AS100">
        <v>10</v>
      </c>
      <c r="AT100" t="str">
        <v>-</v>
      </c>
      <c r="AU100">
        <v>200</v>
      </c>
      <c r="AZ100">
        <v>100</v>
      </c>
      <c r="BE100">
        <v>100</v>
      </c>
      <c r="BJ100">
        <v>100</v>
      </c>
    </row>
    <row r="101">
      <c r="C101" t="str">
        <v>Potongan K</v>
      </c>
      <c r="D101">
        <v>200</v>
      </c>
      <c r="E101">
        <v>400</v>
      </c>
      <c r="F101">
        <v>2</v>
      </c>
      <c r="G101" t="str">
        <v>D</v>
      </c>
      <c r="H101">
        <v>16</v>
      </c>
      <c r="I101">
        <v>2</v>
      </c>
      <c r="J101" t="str">
        <v>D</v>
      </c>
      <c r="K101">
        <v>16</v>
      </c>
      <c r="L101">
        <v>2</v>
      </c>
      <c r="M101" t="str">
        <v>D</v>
      </c>
      <c r="N101">
        <v>16</v>
      </c>
      <c r="P101" t="str">
        <v>D</v>
      </c>
      <c r="Q101">
        <v>6</v>
      </c>
      <c r="X101">
        <v>3</v>
      </c>
      <c r="Y101" t="str">
        <v>D</v>
      </c>
      <c r="Z101">
        <v>16</v>
      </c>
      <c r="AA101">
        <v>3</v>
      </c>
      <c r="AB101" t="str">
        <v>D</v>
      </c>
      <c r="AC101">
        <v>16</v>
      </c>
      <c r="AD101">
        <v>3</v>
      </c>
      <c r="AE101" t="str">
        <v>D</v>
      </c>
      <c r="AF101">
        <v>16</v>
      </c>
      <c r="AH101" t="str">
        <v>D</v>
      </c>
      <c r="AI101">
        <v>8</v>
      </c>
      <c r="AJ101" t="str">
        <v>-</v>
      </c>
      <c r="AK101">
        <v>200</v>
      </c>
      <c r="AM101" t="str">
        <v>D</v>
      </c>
      <c r="AN101">
        <v>8</v>
      </c>
      <c r="AO101" t="str">
        <v>-</v>
      </c>
      <c r="AP101">
        <v>200</v>
      </c>
      <c r="AR101" t="str">
        <v>D</v>
      </c>
      <c r="AS101">
        <v>8</v>
      </c>
      <c r="AT101" t="str">
        <v>-</v>
      </c>
      <c r="AU101">
        <v>200</v>
      </c>
      <c r="AZ101">
        <v>100</v>
      </c>
      <c r="BE101">
        <v>100</v>
      </c>
      <c r="BJ101">
        <v>100</v>
      </c>
    </row>
    <row r="102">
      <c r="C102" t="str">
        <v>Potongan L</v>
      </c>
      <c r="D102">
        <v>200</v>
      </c>
      <c r="E102">
        <v>450</v>
      </c>
      <c r="F102">
        <v>3</v>
      </c>
      <c r="G102" t="str">
        <v>D</v>
      </c>
      <c r="H102">
        <v>13</v>
      </c>
      <c r="I102">
        <v>3</v>
      </c>
      <c r="J102" t="str">
        <v>D</v>
      </c>
      <c r="K102">
        <v>13</v>
      </c>
      <c r="L102">
        <v>3</v>
      </c>
      <c r="M102" t="str">
        <v>D</v>
      </c>
      <c r="N102">
        <v>13</v>
      </c>
      <c r="O102">
        <v>2</v>
      </c>
      <c r="P102" t="str">
        <v>D</v>
      </c>
      <c r="Q102">
        <v>8</v>
      </c>
      <c r="X102">
        <v>2</v>
      </c>
      <c r="Y102" t="str">
        <v>D</v>
      </c>
      <c r="Z102">
        <v>13</v>
      </c>
      <c r="AA102">
        <v>2</v>
      </c>
      <c r="AB102" t="str">
        <v>D</v>
      </c>
      <c r="AC102">
        <v>13</v>
      </c>
      <c r="AD102">
        <v>2</v>
      </c>
      <c r="AE102" t="str">
        <v>D</v>
      </c>
      <c r="AF102">
        <v>13</v>
      </c>
      <c r="AH102" t="str">
        <v>D</v>
      </c>
      <c r="AI102">
        <v>8</v>
      </c>
      <c r="AJ102" t="str">
        <v>-</v>
      </c>
      <c r="AK102">
        <v>175</v>
      </c>
      <c r="AM102" t="str">
        <v>D</v>
      </c>
      <c r="AN102">
        <v>8</v>
      </c>
      <c r="AO102" t="str">
        <v>-</v>
      </c>
      <c r="AP102">
        <v>175</v>
      </c>
      <c r="AR102" t="str">
        <v>D</v>
      </c>
      <c r="AS102">
        <v>8</v>
      </c>
      <c r="AT102" t="str">
        <v>-</v>
      </c>
      <c r="AU102">
        <v>175</v>
      </c>
      <c r="AZ102">
        <v>100</v>
      </c>
      <c r="BE102">
        <v>100</v>
      </c>
      <c r="BJ102">
        <v>100</v>
      </c>
    </row>
    <row r="103">
      <c r="C103" t="str">
        <v>Potongan M</v>
      </c>
      <c r="D103">
        <v>500</v>
      </c>
      <c r="E103">
        <v>700</v>
      </c>
      <c r="F103">
        <v>6</v>
      </c>
      <c r="G103" t="str">
        <v>D</v>
      </c>
      <c r="H103">
        <v>22</v>
      </c>
      <c r="I103">
        <v>6</v>
      </c>
      <c r="J103" t="str">
        <v>D</v>
      </c>
      <c r="K103">
        <v>22</v>
      </c>
      <c r="L103">
        <v>6</v>
      </c>
      <c r="M103" t="str">
        <v>D</v>
      </c>
      <c r="N103">
        <v>22</v>
      </c>
      <c r="O103">
        <v>2</v>
      </c>
      <c r="P103" t="str">
        <v>D</v>
      </c>
      <c r="Q103">
        <v>10</v>
      </c>
      <c r="X103">
        <v>5</v>
      </c>
      <c r="Y103" t="str">
        <v>D</v>
      </c>
      <c r="Z103">
        <v>22</v>
      </c>
      <c r="AA103">
        <v>5</v>
      </c>
      <c r="AB103" t="str">
        <v>D</v>
      </c>
      <c r="AC103">
        <v>22</v>
      </c>
      <c r="AD103">
        <v>5</v>
      </c>
      <c r="AE103" t="str">
        <v>D</v>
      </c>
      <c r="AF103">
        <v>22</v>
      </c>
      <c r="AG103">
        <v>3</v>
      </c>
      <c r="AH103" t="str">
        <v>D</v>
      </c>
      <c r="AI103">
        <v>10</v>
      </c>
      <c r="AJ103" t="str">
        <v>-</v>
      </c>
      <c r="AK103">
        <v>80</v>
      </c>
      <c r="AL103">
        <v>3</v>
      </c>
      <c r="AM103" t="str">
        <v>D</v>
      </c>
      <c r="AN103">
        <v>10</v>
      </c>
      <c r="AO103" t="str">
        <v>-</v>
      </c>
      <c r="AP103">
        <v>80</v>
      </c>
      <c r="AQ103">
        <v>3</v>
      </c>
      <c r="AR103" t="str">
        <v>D</v>
      </c>
      <c r="AS103">
        <v>10</v>
      </c>
      <c r="AT103" t="str">
        <v>-</v>
      </c>
      <c r="AU103">
        <v>80</v>
      </c>
      <c r="AZ103">
        <v>100</v>
      </c>
      <c r="BE103">
        <v>100</v>
      </c>
      <c r="BJ103">
        <v>100</v>
      </c>
    </row>
    <row r="104">
      <c r="C104" t="str">
        <v>Potongan N</v>
      </c>
      <c r="D104">
        <v>200</v>
      </c>
      <c r="E104">
        <v>600</v>
      </c>
      <c r="F104">
        <v>5</v>
      </c>
      <c r="G104" t="str">
        <v>D</v>
      </c>
      <c r="H104">
        <v>19</v>
      </c>
      <c r="I104">
        <v>5</v>
      </c>
      <c r="J104" t="str">
        <v>D</v>
      </c>
      <c r="K104">
        <v>19</v>
      </c>
      <c r="L104">
        <v>5</v>
      </c>
      <c r="M104" t="str">
        <v>D</v>
      </c>
      <c r="N104">
        <v>19</v>
      </c>
      <c r="O104">
        <v>2</v>
      </c>
      <c r="P104" t="str">
        <v>D</v>
      </c>
      <c r="Q104">
        <v>10</v>
      </c>
      <c r="X104">
        <v>2</v>
      </c>
      <c r="Y104" t="str">
        <v>D</v>
      </c>
      <c r="Z104">
        <v>19</v>
      </c>
      <c r="AA104">
        <v>2</v>
      </c>
      <c r="AB104" t="str">
        <v>D</v>
      </c>
      <c r="AC104">
        <v>19</v>
      </c>
      <c r="AD104">
        <v>2</v>
      </c>
      <c r="AE104" t="str">
        <v>D</v>
      </c>
      <c r="AF104">
        <v>19</v>
      </c>
      <c r="AH104" t="str">
        <v>D</v>
      </c>
      <c r="AI104">
        <v>10</v>
      </c>
      <c r="AJ104" t="str">
        <v>-</v>
      </c>
      <c r="AK104">
        <v>200</v>
      </c>
      <c r="AM104" t="str">
        <v>D</v>
      </c>
      <c r="AN104">
        <v>10</v>
      </c>
      <c r="AO104" t="str">
        <v>-</v>
      </c>
      <c r="AP104">
        <v>200</v>
      </c>
      <c r="AR104" t="str">
        <v>D</v>
      </c>
      <c r="AS104">
        <v>10</v>
      </c>
      <c r="AT104" t="str">
        <v>-</v>
      </c>
      <c r="AU104">
        <v>200</v>
      </c>
      <c r="AZ104">
        <v>100</v>
      </c>
      <c r="BE104">
        <v>100</v>
      </c>
      <c r="BJ104">
        <v>100</v>
      </c>
    </row>
    <row r="105">
      <c r="C105" t="str">
        <v>Potongan O</v>
      </c>
      <c r="D105">
        <v>300</v>
      </c>
      <c r="E105">
        <v>500</v>
      </c>
      <c r="F105">
        <v>6</v>
      </c>
      <c r="G105" t="str">
        <v>D</v>
      </c>
      <c r="H105">
        <v>19</v>
      </c>
      <c r="I105">
        <v>6</v>
      </c>
      <c r="J105" t="str">
        <v>D</v>
      </c>
      <c r="K105">
        <v>19</v>
      </c>
      <c r="L105">
        <v>6</v>
      </c>
      <c r="M105" t="str">
        <v>D</v>
      </c>
      <c r="N105">
        <v>19</v>
      </c>
      <c r="O105">
        <v>2</v>
      </c>
      <c r="P105" t="str">
        <v>D</v>
      </c>
      <c r="Q105">
        <v>10</v>
      </c>
      <c r="X105">
        <v>5</v>
      </c>
      <c r="Y105" t="str">
        <v>D</v>
      </c>
      <c r="Z105">
        <v>19</v>
      </c>
      <c r="AA105">
        <v>5</v>
      </c>
      <c r="AB105" t="str">
        <v>D</v>
      </c>
      <c r="AC105">
        <v>19</v>
      </c>
      <c r="AD105">
        <v>5</v>
      </c>
      <c r="AE105" t="str">
        <v>D</v>
      </c>
      <c r="AF105">
        <v>19</v>
      </c>
      <c r="AH105" t="str">
        <v>D</v>
      </c>
      <c r="AI105">
        <v>10</v>
      </c>
      <c r="AJ105" t="str">
        <v>-</v>
      </c>
      <c r="AK105">
        <v>90</v>
      </c>
      <c r="AM105" t="str">
        <v>D</v>
      </c>
      <c r="AN105">
        <v>10</v>
      </c>
      <c r="AO105" t="str">
        <v>-</v>
      </c>
      <c r="AP105">
        <v>90</v>
      </c>
      <c r="AR105" t="str">
        <v>D</v>
      </c>
      <c r="AS105">
        <v>10</v>
      </c>
      <c r="AT105" t="str">
        <v>-</v>
      </c>
      <c r="AU105">
        <v>90</v>
      </c>
      <c r="AZ105">
        <v>100</v>
      </c>
      <c r="BE105">
        <v>100</v>
      </c>
      <c r="BJ105">
        <v>100</v>
      </c>
    </row>
    <row r="106">
      <c r="C106" t="str">
        <v>BB</v>
      </c>
      <c r="D106">
        <v>200</v>
      </c>
      <c r="E106">
        <v>150</v>
      </c>
      <c r="F106">
        <v>2</v>
      </c>
      <c r="G106" t="str">
        <v>D</v>
      </c>
      <c r="H106">
        <v>10</v>
      </c>
      <c r="I106">
        <v>2</v>
      </c>
      <c r="J106" t="str">
        <v>D</v>
      </c>
      <c r="K106">
        <v>10</v>
      </c>
      <c r="L106">
        <v>2</v>
      </c>
      <c r="M106" t="str">
        <v>D</v>
      </c>
      <c r="N106">
        <v>10</v>
      </c>
      <c r="P106" t="str">
        <v>D</v>
      </c>
      <c r="Q106">
        <v>6</v>
      </c>
      <c r="X106">
        <v>2</v>
      </c>
      <c r="Y106" t="str">
        <v>D</v>
      </c>
      <c r="Z106">
        <v>10</v>
      </c>
      <c r="AA106">
        <v>2</v>
      </c>
      <c r="AB106" t="str">
        <v>D</v>
      </c>
      <c r="AC106">
        <v>10</v>
      </c>
      <c r="AD106">
        <v>2</v>
      </c>
      <c r="AE106" t="str">
        <v>D</v>
      </c>
      <c r="AF106">
        <v>10</v>
      </c>
      <c r="AH106" t="str">
        <v>D</v>
      </c>
      <c r="AI106">
        <v>8</v>
      </c>
      <c r="AJ106" t="str">
        <v>-</v>
      </c>
      <c r="AK106">
        <v>100</v>
      </c>
      <c r="AM106" t="str">
        <v>D</v>
      </c>
      <c r="AN106">
        <v>8</v>
      </c>
      <c r="AO106" t="str">
        <v>-</v>
      </c>
      <c r="AP106">
        <v>100</v>
      </c>
      <c r="AR106" t="str">
        <v>D</v>
      </c>
      <c r="AS106">
        <v>8</v>
      </c>
      <c r="AT106" t="str">
        <v>-</v>
      </c>
      <c r="AU106">
        <v>100</v>
      </c>
      <c r="AZ106">
        <v>100</v>
      </c>
      <c r="BE106">
        <v>100</v>
      </c>
      <c r="BJ106">
        <v>100</v>
      </c>
    </row>
    <row r="107">
      <c r="G107" t="str">
        <v>D</v>
      </c>
      <c r="J107" t="str">
        <v>D</v>
      </c>
      <c r="M107" t="str">
        <v>D</v>
      </c>
      <c r="P107" t="str">
        <v>D</v>
      </c>
      <c r="Y107" t="str">
        <v>D</v>
      </c>
      <c r="AB107" t="str">
        <v>D</v>
      </c>
      <c r="AE107" t="str">
        <v>D</v>
      </c>
      <c r="AH107" t="str">
        <v>D</v>
      </c>
      <c r="AJ107" t="str">
        <v>-</v>
      </c>
      <c r="AM107" t="str">
        <v>D</v>
      </c>
      <c r="AO107" t="str">
        <v>-</v>
      </c>
      <c r="AR107" t="str">
        <v>D</v>
      </c>
      <c r="AT107" t="str">
        <v>-</v>
      </c>
      <c r="AZ107">
        <v>100</v>
      </c>
      <c r="BE107">
        <v>100</v>
      </c>
      <c r="BJ107">
        <v>100</v>
      </c>
    </row>
    <row r="108">
      <c r="G108" t="str">
        <v>D</v>
      </c>
      <c r="J108" t="str">
        <v>D</v>
      </c>
      <c r="M108" t="str">
        <v>D</v>
      </c>
      <c r="P108" t="str">
        <v>D</v>
      </c>
      <c r="Y108" t="str">
        <v>D</v>
      </c>
      <c r="AB108" t="str">
        <v>D</v>
      </c>
      <c r="AE108" t="str">
        <v>D</v>
      </c>
      <c r="AH108" t="str">
        <v>D</v>
      </c>
      <c r="AJ108" t="str">
        <v>-</v>
      </c>
      <c r="AM108" t="str">
        <v>D</v>
      </c>
      <c r="AO108" t="str">
        <v>-</v>
      </c>
      <c r="AR108" t="str">
        <v>D</v>
      </c>
      <c r="AT108" t="str">
        <v>-</v>
      </c>
      <c r="AZ108">
        <v>100</v>
      </c>
      <c r="BE108">
        <v>100</v>
      </c>
      <c r="BJ108">
        <v>100</v>
      </c>
    </row>
    <row r="109">
      <c r="G109" t="str">
        <v>D</v>
      </c>
      <c r="J109" t="str">
        <v>D</v>
      </c>
      <c r="M109" t="str">
        <v>D</v>
      </c>
      <c r="P109" t="str">
        <v>D</v>
      </c>
      <c r="Y109" t="str">
        <v>D</v>
      </c>
      <c r="AB109" t="str">
        <v>D</v>
      </c>
      <c r="AE109" t="str">
        <v>D</v>
      </c>
      <c r="AH109" t="str">
        <v>D</v>
      </c>
      <c r="AJ109" t="str">
        <v>-</v>
      </c>
      <c r="AM109" t="str">
        <v>D</v>
      </c>
      <c r="AO109" t="str">
        <v>-</v>
      </c>
      <c r="AR109" t="str">
        <v>D</v>
      </c>
      <c r="AT109" t="str">
        <v>-</v>
      </c>
      <c r="AZ109">
        <v>100</v>
      </c>
      <c r="BE109">
        <v>100</v>
      </c>
      <c r="BJ109">
        <v>100</v>
      </c>
    </row>
  </sheetData>
  <autoFilter ref="B10:BH110"/>
  <mergeCells count="22">
    <mergeCell ref="BA8:BE8"/>
    <mergeCell ref="BF8:BJ8"/>
    <mergeCell ref="AG7:AU7"/>
    <mergeCell ref="AV7:BJ7"/>
    <mergeCell ref="F8:H8"/>
    <mergeCell ref="I8:K8"/>
    <mergeCell ref="L8:N8"/>
    <mergeCell ref="O8:Q8"/>
    <mergeCell ref="R8:V8"/>
    <mergeCell ref="X8:Z8"/>
    <mergeCell ref="AA8:AC8"/>
    <mergeCell ref="AD8:AF8"/>
    <mergeCell ref="X7:AF7"/>
    <mergeCell ref="AG8:AK8"/>
    <mergeCell ref="AL8:AP8"/>
    <mergeCell ref="AQ8:AU8"/>
    <mergeCell ref="AV8:AZ8"/>
    <mergeCell ref="B7:B8"/>
    <mergeCell ref="C7:C8"/>
    <mergeCell ref="D7:E7"/>
    <mergeCell ref="F7:N7"/>
    <mergeCell ref="O7:W7"/>
  </mergeCells>
  <pageMargins left="0.7" right="0.7" top="0.75" bottom="0.75" header="0.3" footer="0.3"/>
  <ignoredErrors>
    <ignoredError numberStoredAsText="1" sqref="B1:BJ110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BI1048476"/>
  <sheetViews>
    <sheetView workbookViewId="0" rightToLeft="0"/>
  </sheetViews>
  <sheetData>
    <row r="1">
      <c r="A1" t="str">
        <v>Program Perhitungan Volume Pile Cap + Tanah</v>
      </c>
    </row>
    <row r="3">
      <c r="A3" t="str">
        <v>PROYEK</v>
      </c>
      <c r="F3" t="str">
        <f>'Data-PC'!D2</f>
        <v>: Pakuwon Indah PD3 no. 23</v>
      </c>
      <c r="S3" t="str">
        <v>Elv. Rata Depan</v>
      </c>
    </row>
    <row r="4">
      <c r="A4" t="str">
        <v>AREA</v>
      </c>
      <c r="F4" t="str">
        <v>: All</v>
      </c>
      <c r="S4" t="str">
        <v>Elv. Rata Belakang</v>
      </c>
    </row>
    <row r="6">
      <c r="A6" t="str">
        <v>No.</v>
      </c>
      <c r="B6" t="str">
        <v>TYPE</v>
      </c>
      <c r="C6" t="str">
        <v>Jmlh Pile Cap</v>
      </c>
      <c r="D6" t="str">
        <v>Elv. Top Pile Cap</v>
      </c>
      <c r="E6" t="str">
        <v>Elv. Bottom Galian</v>
      </c>
      <c r="F6" t="str">
        <v>Luas Galian</v>
      </c>
      <c r="G6" t="str">
        <v>Tebal Pile Cap</v>
      </c>
      <c r="H6" t="str">
        <v>Jmlh Titik PANCANG</v>
      </c>
      <c r="I6" t="str">
        <v>Jmlh Titik BORED PILE</v>
      </c>
      <c r="J6" t="str">
        <v>Lantai Kerja</v>
      </c>
      <c r="K6" t="str">
        <v>Pasir Urug</v>
      </c>
      <c r="L6" t="str">
        <v>Galian</v>
      </c>
      <c r="M6" t="str">
        <v>Urugan Kembali</v>
      </c>
      <c r="N6" t="str">
        <v>LUAS</v>
      </c>
      <c r="O6" t="str">
        <v>KEL.</v>
      </c>
      <c r="P6" t="str">
        <v>BUANG TANAH</v>
      </c>
      <c r="S6" t="str">
        <v>Buangan Tanah</v>
      </c>
      <c r="T6" t="str">
        <v>Vol. Beton</v>
      </c>
      <c r="U6" t="str">
        <v>Vol. Bekisting</v>
      </c>
      <c r="V6" t="str">
        <v>Peminggang (Tul. Cincin)</v>
      </c>
      <c r="Y6" t="str">
        <v>Tul. Atas Sejajar Lebar</v>
      </c>
      <c r="AD6" t="str">
        <v>Tul. Atas Sejajar Panjang</v>
      </c>
      <c r="AI6" t="str">
        <v>Tul. Bawah Sejajar Lebar</v>
      </c>
      <c r="AN6" t="str">
        <v>Tul. Bawah Sejajar Panjang</v>
      </c>
      <c r="AS6" t="str">
        <v>Kaki Ayam</v>
      </c>
      <c r="AW6" t="str">
        <v>Tambahan Hook</v>
      </c>
      <c r="BA6" t="str">
        <v>Vol. Besi Total</v>
      </c>
    </row>
    <row r="7">
      <c r="F7" t="str">
        <v>GALIAN</v>
      </c>
      <c r="G7" t="str">
        <v>PC</v>
      </c>
      <c r="N7" t="str">
        <v>BETON</v>
      </c>
      <c r="O7" t="str">
        <v>BKSTG</v>
      </c>
      <c r="P7">
        <v>1</v>
      </c>
      <c r="Q7">
        <v>2</v>
      </c>
      <c r="R7">
        <v>3</v>
      </c>
      <c r="V7" t="str">
        <v>Jml</v>
      </c>
      <c r="W7" t="str">
        <v>D</v>
      </c>
      <c r="X7" t="str">
        <v>Berat</v>
      </c>
      <c r="Y7" t="str">
        <v>D</v>
      </c>
      <c r="Z7" t="str">
        <v>Jarak</v>
      </c>
      <c r="AA7" t="str">
        <v>Jumlah</v>
      </c>
      <c r="AB7" t="str">
        <v>Panjang</v>
      </c>
      <c r="AC7" t="str">
        <v>Berat</v>
      </c>
      <c r="AD7" t="str">
        <v>D</v>
      </c>
      <c r="AE7" t="str">
        <v>Jarak</v>
      </c>
      <c r="AF7" t="str">
        <v>Jumlah</v>
      </c>
      <c r="AG7" t="str">
        <v>Panjang</v>
      </c>
      <c r="AH7" t="str">
        <v>Berat</v>
      </c>
      <c r="AI7" t="str">
        <v>D</v>
      </c>
      <c r="AJ7" t="str">
        <v>Jarak</v>
      </c>
      <c r="AK7" t="str">
        <v>Jumlah</v>
      </c>
      <c r="AL7" t="str">
        <v>Panjang</v>
      </c>
      <c r="AM7" t="str">
        <v>Berat</v>
      </c>
      <c r="AN7" t="str">
        <v>D</v>
      </c>
      <c r="AO7" t="str">
        <v>Jarak</v>
      </c>
      <c r="AP7" t="str">
        <v>Jumlah</v>
      </c>
      <c r="AQ7" t="str">
        <v>Panjang</v>
      </c>
      <c r="AR7" t="str">
        <v>Berat</v>
      </c>
      <c r="AS7" t="str">
        <v>Jumlah</v>
      </c>
      <c r="AT7" t="str">
        <v>Diameter</v>
      </c>
      <c r="AU7" t="str">
        <v>Panjang</v>
      </c>
      <c r="AV7" t="str">
        <v>Berat</v>
      </c>
      <c r="AW7" t="str">
        <v>D</v>
      </c>
      <c r="AX7" t="str">
        <v>Jarak</v>
      </c>
      <c r="AY7" t="str">
        <v>Panjang</v>
      </c>
      <c r="AZ7" t="str">
        <v>Berat</v>
      </c>
    </row>
    <row r="8">
      <c r="C8" t="str">
        <v>bh</v>
      </c>
      <c r="D8" t="str">
        <v>m</v>
      </c>
      <c r="E8" t="str">
        <v>m</v>
      </c>
      <c r="F8" t="str">
        <v>m2</v>
      </c>
      <c r="G8" t="str">
        <v>mm</v>
      </c>
      <c r="J8" t="str">
        <v>m3</v>
      </c>
      <c r="K8" t="str">
        <v>m3</v>
      </c>
      <c r="L8" t="str">
        <v>m3</v>
      </c>
      <c r="M8" t="str">
        <v>m3</v>
      </c>
      <c r="S8" t="str">
        <v>m3</v>
      </c>
      <c r="T8" t="str">
        <v>m3</v>
      </c>
      <c r="U8" t="str">
        <v>m2</v>
      </c>
      <c r="V8" t="str">
        <v>bh</v>
      </c>
      <c r="W8" t="str">
        <v>mm</v>
      </c>
      <c r="X8" t="str">
        <v>kg</v>
      </c>
      <c r="Y8" t="str">
        <v>mm</v>
      </c>
      <c r="Z8" t="str">
        <v>mm</v>
      </c>
      <c r="AA8" t="str">
        <v>bh</v>
      </c>
      <c r="AB8" t="str">
        <v>m</v>
      </c>
      <c r="AC8" t="str">
        <v>kg</v>
      </c>
      <c r="AD8" t="str">
        <v>mm</v>
      </c>
      <c r="AE8" t="str">
        <v>mm</v>
      </c>
      <c r="AF8" t="str">
        <v>bh</v>
      </c>
      <c r="AG8" t="str">
        <v>m</v>
      </c>
      <c r="AH8" t="str">
        <v>kg</v>
      </c>
      <c r="AI8" t="str">
        <v>mm</v>
      </c>
      <c r="AJ8" t="str">
        <v>mm</v>
      </c>
      <c r="AK8" t="str">
        <v>bh</v>
      </c>
      <c r="AL8" t="str">
        <v>m</v>
      </c>
      <c r="AM8" t="str">
        <v>kg</v>
      </c>
      <c r="AN8" t="str">
        <v>mm</v>
      </c>
      <c r="AO8" t="str">
        <v>mm</v>
      </c>
      <c r="AP8" t="str">
        <v>bh</v>
      </c>
      <c r="AQ8" t="str">
        <v>m</v>
      </c>
      <c r="AR8" t="str">
        <v>kg</v>
      </c>
      <c r="AS8" t="str">
        <v>mm</v>
      </c>
      <c r="AT8" t="str">
        <v>mm</v>
      </c>
      <c r="AU8" t="str">
        <v>m</v>
      </c>
      <c r="AV8" t="str">
        <v>kg</v>
      </c>
      <c r="AW8" t="str">
        <v>mm</v>
      </c>
      <c r="AX8" t="str">
        <v>mm</v>
      </c>
      <c r="AY8" t="str">
        <v>m</v>
      </c>
      <c r="AZ8" t="str">
        <v>kg</v>
      </c>
      <c r="BA8" t="str">
        <v>kg</v>
      </c>
    </row>
    <row r="10">
      <c r="A10">
        <v>1</v>
      </c>
      <c r="B10" t="str">
        <v>PC.1</v>
      </c>
      <c r="C10">
        <v>1</v>
      </c>
      <c r="E10">
        <f>D10-(G10+$T$3)/1000</f>
        <v>-0.5</v>
      </c>
      <c r="F10">
        <f>VLOOKUP(B10,'Data-PC'!$B$13:$AP$36,15,FALSE)</f>
        <v>1.96</v>
      </c>
      <c r="G10">
        <f>VLOOKUP(B10,'Data-PC'!$B$13:$G$36,4,FALSE)</f>
        <v>500</v>
      </c>
      <c r="H10">
        <f>C10*VLOOKUP(B10,'Data-PC'!$B$13:$BC$36,18,FALSE)</f>
        <v>1</v>
      </c>
      <c r="I10">
        <f>C10*VLOOKUP(B10,'Data-PC'!$B$13:$BC$36,51,FALSE)</f>
        <v>0</v>
      </c>
      <c r="J10">
        <f>F10*C10*'Data-PC'!$D$5/1000</f>
        <v>0.098</v>
      </c>
      <c r="K10">
        <f>F10*('Data-PC'!$D$4/1000)*C10</f>
        <v>0</v>
      </c>
      <c r="L10">
        <f>C10*F10*($T$3-E10)</f>
        <v>0.98</v>
      </c>
      <c r="M10">
        <f>L10-(T10+J10)</f>
        <v>0.702</v>
      </c>
      <c r="S10">
        <f>L10-M10</f>
        <v>0.278</v>
      </c>
      <c r="T10">
        <f>C10*VLOOKUP(B10,'Data-PC'!$B$13:$AP$36,16,FALSE)*(1+'Data-PC'!$T$3/100)</f>
        <v>0.18</v>
      </c>
      <c r="U10">
        <f>C10*VLOOKUP(B10,'Data-PC'!$B$13:$AP$36,17,FALSE)*(1+'Data-PC'!$T$5/100)</f>
        <v>1.2</v>
      </c>
      <c r="V10">
        <f>VLOOKUP($B10,'Data-PC'!$B$13:$AP$59,19,FALSE)</f>
        <v>1</v>
      </c>
      <c r="W10">
        <f>VLOOKUP($B10,'Data-PC'!$B$13:$AP$59,20,FALSE)</f>
        <v>10</v>
      </c>
      <c r="X10">
        <f>VLOOKUP($B10,'Data-PC'!$B$13:$AP$59,21,FALSE)*C10</f>
        <v>1.4241150000000002</v>
      </c>
      <c r="Y10">
        <f>VLOOKUP($B10,'Data-PC'!$B$13:$AP$59,22,FALSE)</f>
        <v>13</v>
      </c>
      <c r="Z10">
        <f>VLOOKUP($B10,'Data-PC'!$B$13:$AP$59,23,FALSE)</f>
        <v>0</v>
      </c>
      <c r="AA10">
        <f>VLOOKUP($B10,'Data-PC'!$B$13:$AP$59,24,FALSE)</f>
        <v>5</v>
      </c>
      <c r="AB10">
        <f>VLOOKUP($B10,'Data-PC'!$B$13:$AP$59,25,FALSE)</f>
        <v>4.9</v>
      </c>
      <c r="AC10">
        <f>VLOOKUP($B10,'Data-PC'!$B$13:$AP$59,26,FALSE)*C10</f>
        <v>5.1052365</v>
      </c>
      <c r="AD10">
        <f>VLOOKUP($B10,'Data-PC'!$B$13:$AP$59,27,FALSE)</f>
        <v>13</v>
      </c>
      <c r="AE10">
        <f>VLOOKUP($B10,'Data-PC'!$B$13:$AP$59,28,FALSE)</f>
        <v>0</v>
      </c>
      <c r="AF10">
        <f>VLOOKUP($B10,'Data-PC'!$B$13:$AP$59,29,FALSE)</f>
        <v>5</v>
      </c>
      <c r="AG10">
        <f>VLOOKUP($B10,'Data-PC'!$B$13:$AP$59,30,FALSE)</f>
        <v>4.9</v>
      </c>
      <c r="AH10">
        <f>VLOOKUP($B10,'Data-PC'!$B$13:$AP$59,31,FALSE)*C10</f>
        <v>5.1052365</v>
      </c>
      <c r="AI10">
        <f>VLOOKUP($B10,'Data-PC'!$B$13:$AP$59,32,FALSE)</f>
        <v>13</v>
      </c>
      <c r="AJ10">
        <f>VLOOKUP($B10,'Data-PC'!$B$13:$AP$59,33,FALSE)</f>
        <v>0</v>
      </c>
      <c r="AK10">
        <f>VLOOKUP($B10,'Data-PC'!$B$13:$AP$59,34,FALSE)</f>
        <v>5</v>
      </c>
      <c r="AL10">
        <f>VLOOKUP($B10,'Data-PC'!$B$13:$AP$59,35,FALSE)</f>
        <v>7.1</v>
      </c>
      <c r="AM10">
        <f>VLOOKUP($B10,'Data-PC'!$B$13:$AP$59,36,FALSE)*C10</f>
        <v>7.397383499999999</v>
      </c>
      <c r="AN10">
        <f>VLOOKUP($B10,'Data-PC'!$B$13:$AP$59,37,FALSE)</f>
        <v>13</v>
      </c>
      <c r="AO10">
        <f>VLOOKUP($B10,'Data-PC'!$B$13:$AP$59,38,FALSE)</f>
        <v>0</v>
      </c>
      <c r="AP10">
        <f>VLOOKUP($B10,'Data-PC'!$B$13:$AP$59,39,FALSE)</f>
        <v>5</v>
      </c>
      <c r="AQ10">
        <f>VLOOKUP($B10,'Data-PC'!$B$13:$AP$59,40,FALSE)</f>
        <v>7.1</v>
      </c>
      <c r="AR10">
        <f>VLOOKUP($B10,'Data-PC'!$B$13:$AP$59,41,FALSE)*C10</f>
        <v>7.397383499999999</v>
      </c>
      <c r="AS10">
        <f>VLOOKUP($B10,'Data-PC'!$B$13:$AX$59,42,FALSE)</f>
        <v>0</v>
      </c>
      <c r="AT10">
        <f>VLOOKUP($B10,'Data-PC'!$B$13:$AX$59,43,FALSE)</f>
        <v>0</v>
      </c>
      <c r="AU10">
        <f>VLOOKUP($B10,'Data-PC'!$B$13:$AX$59,44,FALSE)</f>
        <v>1180</v>
      </c>
      <c r="AV10">
        <f>VLOOKUP($B10,'Data-PC'!$B$13:$AX$59,45,FALSE)*C10</f>
        <v>0</v>
      </c>
      <c r="AW10">
        <f>VLOOKUP($B10,'Data-PC'!$B$13:$AX$59,46,FALSE)</f>
        <v>0</v>
      </c>
      <c r="AX10">
        <f>VLOOKUP($B10,'Data-PC'!$B$13:$AX$59,47,FALSE)</f>
        <v>0</v>
      </c>
      <c r="AY10">
        <f>VLOOKUP($B10,'Data-PC'!$B$16:$AX$59,48,FALSE)</f>
        <v>0</v>
      </c>
      <c r="AZ10">
        <f>VLOOKUP($B10,'Data-PC'!$B$13:$AX$59,49,FALSE)*C10</f>
        <v>0</v>
      </c>
      <c r="BA10">
        <f>SUM(X10,AC10,AH10,AM10,AR10,AV10,AZ10)</f>
        <v>26.429355</v>
      </c>
    </row>
    <row r="11">
      <c r="A11" t="str">
        <v>1A</v>
      </c>
      <c r="B11" t="str">
        <v>PC.1</v>
      </c>
      <c r="C11">
        <v>1</v>
      </c>
      <c r="E11">
        <f>D11-(G11+$T$3)/1000</f>
        <v>-0.5</v>
      </c>
      <c r="F11">
        <f>VLOOKUP(B11,'Data-PC'!$B$13:$AP$36,15,FALSE)</f>
        <v>1.96</v>
      </c>
      <c r="G11">
        <f>VLOOKUP(B11,'Data-PC'!$B$13:$G$36,4,FALSE)</f>
        <v>500</v>
      </c>
      <c r="H11">
        <f>C11*VLOOKUP(B11,'Data-PC'!$B$13:$BC$36,18,FALSE)</f>
        <v>1</v>
      </c>
      <c r="I11">
        <f>C11*VLOOKUP(B11,'Data-PC'!$B$13:$BC$36,51,FALSE)</f>
        <v>0</v>
      </c>
      <c r="J11">
        <f>F11*C11*'Data-PC'!$D$5/1000</f>
        <v>0.098</v>
      </c>
      <c r="K11">
        <f>F11*('Data-PC'!$D$4/1000)*C11</f>
        <v>0</v>
      </c>
      <c r="L11">
        <f>C11*F11*($T$3-E11)</f>
        <v>0.98</v>
      </c>
      <c r="M11">
        <f>L11-(T11+J11)</f>
        <v>0.702</v>
      </c>
      <c r="S11">
        <f>L11-M11</f>
        <v>0.278</v>
      </c>
      <c r="T11">
        <f>C11*VLOOKUP(B11,'Data-PC'!$B$13:$AP$36,16,FALSE)*(1+'Data-PC'!$T$3/100)</f>
        <v>0.18</v>
      </c>
      <c r="U11">
        <f>C11*VLOOKUP(B11,'Data-PC'!$B$13:$AP$36,17,FALSE)*(1+'Data-PC'!$T$5/100)</f>
        <v>1.2</v>
      </c>
      <c r="V11">
        <f>VLOOKUP($B11,'Data-PC'!$B$13:$AP$59,19,FALSE)</f>
        <v>1</v>
      </c>
      <c r="W11">
        <f>VLOOKUP($B11,'Data-PC'!$B$13:$AP$59,20,FALSE)</f>
        <v>10</v>
      </c>
      <c r="X11">
        <f>VLOOKUP($B11,'Data-PC'!$B$13:$AP$59,21,FALSE)*C11</f>
        <v>1.4241150000000002</v>
      </c>
      <c r="Y11">
        <f>VLOOKUP($B11,'Data-PC'!$B$13:$AP$59,22,FALSE)</f>
        <v>13</v>
      </c>
      <c r="Z11">
        <f>VLOOKUP($B11,'Data-PC'!$B$13:$AP$59,23,FALSE)</f>
        <v>0</v>
      </c>
      <c r="AA11">
        <f>VLOOKUP($B11,'Data-PC'!$B$13:$AP$59,24,FALSE)</f>
        <v>5</v>
      </c>
      <c r="AB11">
        <f>VLOOKUP($B11,'Data-PC'!$B$13:$AP$59,25,FALSE)</f>
        <v>4.9</v>
      </c>
      <c r="AC11">
        <f>VLOOKUP($B11,'Data-PC'!$B$13:$AP$59,26,FALSE)*C11</f>
        <v>5.1052365</v>
      </c>
      <c r="AD11">
        <f>VLOOKUP($B11,'Data-PC'!$B$13:$AP$59,27,FALSE)</f>
        <v>13</v>
      </c>
      <c r="AE11">
        <f>VLOOKUP($B11,'Data-PC'!$B$13:$AP$59,28,FALSE)</f>
        <v>0</v>
      </c>
      <c r="AF11">
        <f>VLOOKUP($B11,'Data-PC'!$B$13:$AP$59,29,FALSE)</f>
        <v>5</v>
      </c>
      <c r="AG11">
        <f>VLOOKUP($B11,'Data-PC'!$B$13:$AP$59,30,FALSE)</f>
        <v>4.9</v>
      </c>
      <c r="AH11">
        <f>VLOOKUP($B11,'Data-PC'!$B$13:$AP$59,31,FALSE)*C11</f>
        <v>5.1052365</v>
      </c>
      <c r="AI11">
        <f>VLOOKUP($B11,'Data-PC'!$B$13:$AP$59,32,FALSE)</f>
        <v>13</v>
      </c>
      <c r="AJ11">
        <f>VLOOKUP($B11,'Data-PC'!$B$13:$AP$59,33,FALSE)</f>
        <v>0</v>
      </c>
      <c r="AK11">
        <f>VLOOKUP($B11,'Data-PC'!$B$13:$AP$59,34,FALSE)</f>
        <v>5</v>
      </c>
      <c r="AL11">
        <f>VLOOKUP($B11,'Data-PC'!$B$13:$AP$59,35,FALSE)</f>
        <v>7.1</v>
      </c>
      <c r="AM11">
        <f>VLOOKUP($B11,'Data-PC'!$B$13:$AP$59,36,FALSE)*C11</f>
        <v>7.397383499999999</v>
      </c>
      <c r="AN11">
        <f>VLOOKUP($B11,'Data-PC'!$B$13:$AP$59,37,FALSE)</f>
        <v>13</v>
      </c>
      <c r="AO11">
        <f>VLOOKUP($B11,'Data-PC'!$B$13:$AP$59,38,FALSE)</f>
        <v>0</v>
      </c>
      <c r="AP11">
        <f>VLOOKUP($B11,'Data-PC'!$B$13:$AP$59,39,FALSE)</f>
        <v>5</v>
      </c>
      <c r="AQ11">
        <f>VLOOKUP($B11,'Data-PC'!$B$13:$AP$59,40,FALSE)</f>
        <v>7.1</v>
      </c>
      <c r="AR11">
        <f>VLOOKUP($B11,'Data-PC'!$B$13:$AP$59,41,FALSE)*C11</f>
        <v>7.397383499999999</v>
      </c>
      <c r="AS11">
        <f>VLOOKUP($B11,'Data-PC'!$B$13:$AX$59,42,FALSE)</f>
        <v>0</v>
      </c>
      <c r="AT11">
        <f>VLOOKUP($B11,'Data-PC'!$B$13:$AX$59,43,FALSE)</f>
        <v>0</v>
      </c>
      <c r="AU11">
        <f>VLOOKUP($B11,'Data-PC'!$B$13:$AX$59,44,FALSE)</f>
        <v>1180</v>
      </c>
      <c r="AV11">
        <f>VLOOKUP($B11,'Data-PC'!$B$13:$AX$59,45,FALSE)*C11</f>
        <v>0</v>
      </c>
      <c r="AW11">
        <f>VLOOKUP($B11,'Data-PC'!$B$13:$AX$59,46,FALSE)</f>
        <v>0</v>
      </c>
      <c r="AX11">
        <f>VLOOKUP($B11,'Data-PC'!$B$13:$AX$59,47,FALSE)</f>
        <v>0</v>
      </c>
      <c r="AY11">
        <f>VLOOKUP($B11,'Data-PC'!$B$16:$AX$59,48,FALSE)</f>
        <v>0</v>
      </c>
      <c r="AZ11">
        <f>VLOOKUP($B11,'Data-PC'!$B$13:$AX$59,49,FALSE)*C11</f>
        <v>0</v>
      </c>
      <c r="BA11">
        <f>SUM(X11,AC11,AH11,AM11,AR11,AV11,AZ11)</f>
        <v>26.429355</v>
      </c>
    </row>
    <row r="12">
      <c r="A12">
        <v>2</v>
      </c>
      <c r="B12" t="str">
        <v>PC.2</v>
      </c>
      <c r="C12">
        <v>1</v>
      </c>
      <c r="E12">
        <f>D12-(G12+$T$3)/1000</f>
        <v>-0.5</v>
      </c>
      <c r="F12">
        <f>VLOOKUP(B12,'Data-PC'!$B$13:$AP$36,15,FALSE)</f>
        <v>3.22</v>
      </c>
      <c r="G12">
        <f>VLOOKUP(B12,'Data-PC'!$B$13:$G$36,4,FALSE)</f>
        <v>500</v>
      </c>
      <c r="H12">
        <f>C12*VLOOKUP(B12,'Data-PC'!$B$13:$BC$36,18,FALSE)</f>
        <v>2</v>
      </c>
      <c r="I12">
        <f>C12*VLOOKUP(B12,'Data-PC'!$B$13:$BC$36,51,FALSE)</f>
        <v>0</v>
      </c>
      <c r="J12">
        <f>F12*C12*'Data-PC'!$D$5/1000</f>
        <v>0.161</v>
      </c>
      <c r="K12">
        <f>F12*('Data-PC'!$D$4/1000)*C12</f>
        <v>0</v>
      </c>
      <c r="L12">
        <f>C12*F12*($T$3-E12)</f>
        <v>1.61</v>
      </c>
      <c r="M12">
        <f>L12-(T12+J12)</f>
        <v>0.9990000000000001</v>
      </c>
      <c r="S12">
        <f>L12-M12</f>
        <v>0.611</v>
      </c>
      <c r="T12">
        <f>C12*VLOOKUP(B12,'Data-PC'!$B$13:$AP$36,16,FALSE)*(1+'Data-PC'!$T$3/100)</f>
        <v>0.45</v>
      </c>
      <c r="U12">
        <f>C12*VLOOKUP(B12,'Data-PC'!$B$13:$AP$36,17,FALSE)*(1+'Data-PC'!$T$5/100)</f>
        <v>2.1</v>
      </c>
      <c r="V12">
        <f>VLOOKUP($B12,'Data-PC'!$B$13:$AP$59,19,FALSE)</f>
        <v>1</v>
      </c>
      <c r="W12">
        <f>VLOOKUP($B12,'Data-PC'!$B$13:$AP$59,20,FALSE)</f>
        <v>10</v>
      </c>
      <c r="X12">
        <f>VLOOKUP($B12,'Data-PC'!$B$13:$AP$59,21,FALSE)*C12</f>
        <v>2.5338150000000006</v>
      </c>
      <c r="Y12">
        <f>VLOOKUP($B12,'Data-PC'!$B$13:$AP$59,22,FALSE)</f>
        <v>13</v>
      </c>
      <c r="Z12">
        <f>VLOOKUP($B12,'Data-PC'!$B$13:$AP$59,23,FALSE)</f>
        <v>0</v>
      </c>
      <c r="AA12">
        <f>VLOOKUP($B12,'Data-PC'!$B$13:$AP$59,24,FALSE)</f>
        <v>5</v>
      </c>
      <c r="AB12">
        <f>VLOOKUP($B12,'Data-PC'!$B$13:$AP$59,25,FALSE)</f>
        <v>9.4</v>
      </c>
      <c r="AC12">
        <f>VLOOKUP($B12,'Data-PC'!$B$13:$AP$59,26,FALSE)*C12</f>
        <v>9.793719</v>
      </c>
      <c r="AD12">
        <f>VLOOKUP($B12,'Data-PC'!$B$13:$AP$59,27,FALSE)</f>
        <v>13</v>
      </c>
      <c r="AE12">
        <f>VLOOKUP($B12,'Data-PC'!$B$13:$AP$59,28,FALSE)</f>
        <v>0</v>
      </c>
      <c r="AF12">
        <f>VLOOKUP($B12,'Data-PC'!$B$13:$AP$59,29,FALSE)</f>
        <v>11</v>
      </c>
      <c r="AG12">
        <f>VLOOKUP($B12,'Data-PC'!$B$13:$AP$59,30,FALSE)</f>
        <v>10.78</v>
      </c>
      <c r="AH12">
        <f>VLOOKUP($B12,'Data-PC'!$B$13:$AP$59,31,FALSE)*C12</f>
        <v>11.2315203</v>
      </c>
      <c r="AI12">
        <f>VLOOKUP($B12,'Data-PC'!$B$13:$AP$59,32,FALSE)</f>
        <v>16</v>
      </c>
      <c r="AJ12">
        <f>VLOOKUP($B12,'Data-PC'!$B$13:$AP$59,33,FALSE)</f>
        <v>0</v>
      </c>
      <c r="AK12">
        <f>VLOOKUP($B12,'Data-PC'!$B$13:$AP$59,34,FALSE)</f>
        <v>5</v>
      </c>
      <c r="AL12">
        <f>VLOOKUP($B12,'Data-PC'!$B$13:$AP$59,35,FALSE)</f>
        <v>11.6</v>
      </c>
      <c r="AM12">
        <f>VLOOKUP($B12,'Data-PC'!$B$13:$AP$59,36,FALSE)*C12</f>
        <v>18.307584000000002</v>
      </c>
      <c r="AN12">
        <f>VLOOKUP($B12,'Data-PC'!$B$13:$AP$59,37,FALSE)</f>
        <v>16</v>
      </c>
      <c r="AO12">
        <f>VLOOKUP($B12,'Data-PC'!$B$13:$AP$59,38,FALSE)</f>
        <v>0</v>
      </c>
      <c r="AP12">
        <f>VLOOKUP($B12,'Data-PC'!$B$13:$AP$59,39,FALSE)</f>
        <v>11</v>
      </c>
      <c r="AQ12">
        <f>VLOOKUP($B12,'Data-PC'!$B$13:$AP$59,40,FALSE)</f>
        <v>15.62</v>
      </c>
      <c r="AR12">
        <f>VLOOKUP($B12,'Data-PC'!$B$13:$AP$59,41,FALSE)*C12</f>
        <v>24.6521088</v>
      </c>
      <c r="AS12">
        <f>VLOOKUP($B12,'Data-PC'!$B$13:$AX$59,42,FALSE)</f>
        <v>0</v>
      </c>
      <c r="AT12">
        <f>VLOOKUP($B12,'Data-PC'!$B$13:$AX$59,43,FALSE)</f>
        <v>0</v>
      </c>
      <c r="AU12">
        <f>VLOOKUP($B12,'Data-PC'!$B$13:$AX$59,44,FALSE)</f>
        <v>1180</v>
      </c>
      <c r="AV12">
        <f>VLOOKUP($B12,'Data-PC'!$B$13:$AX$59,45,FALSE)*C12</f>
        <v>0</v>
      </c>
      <c r="AW12">
        <f>VLOOKUP($B12,'Data-PC'!$B$13:$AX$59,46,FALSE)</f>
        <v>0</v>
      </c>
      <c r="AX12">
        <f>VLOOKUP($B12,'Data-PC'!$B$13:$AX$59,47,FALSE)</f>
        <v>0</v>
      </c>
      <c r="AY12">
        <f>VLOOKUP($B12,'Data-PC'!$B$16:$AX$59,48,FALSE)</f>
        <v>0</v>
      </c>
      <c r="AZ12">
        <f>VLOOKUP($B12,'Data-PC'!$B$13:$AX$59,49,FALSE)*C12</f>
        <v>0</v>
      </c>
      <c r="BA12">
        <f>SUM(X12,AC12,AH12,AM12,AR12,AV12,AZ12)</f>
        <v>66.51874710000001</v>
      </c>
    </row>
    <row r="13">
      <c r="A13">
        <f>A12+1</f>
        <v>3</v>
      </c>
      <c r="B13" t="str">
        <v>PC.2</v>
      </c>
      <c r="C13">
        <v>1</v>
      </c>
      <c r="E13">
        <f>D13-(G13+$T$3)/1000</f>
        <v>-0.5</v>
      </c>
      <c r="F13">
        <f>VLOOKUP(B13,'Data-PC'!$B$13:$AP$36,15,FALSE)</f>
        <v>3.22</v>
      </c>
      <c r="G13">
        <f>VLOOKUP(B13,'Data-PC'!$B$13:$G$36,4,FALSE)</f>
        <v>500</v>
      </c>
      <c r="H13">
        <f>C13*VLOOKUP(B13,'Data-PC'!$B$13:$BC$36,18,FALSE)</f>
        <v>2</v>
      </c>
      <c r="I13">
        <f>C13*VLOOKUP(B13,'Data-PC'!$B$13:$BC$36,51,FALSE)</f>
        <v>0</v>
      </c>
      <c r="J13">
        <f>F13*C13*'Data-PC'!$D$5/1000</f>
        <v>0.161</v>
      </c>
      <c r="K13">
        <f>F13*('Data-PC'!$D$4/1000)*C13</f>
        <v>0</v>
      </c>
      <c r="L13">
        <f>C13*F13*($T$3-E13)</f>
        <v>1.61</v>
      </c>
      <c r="M13">
        <f>L13-(T13+J13)</f>
        <v>0.9990000000000001</v>
      </c>
      <c r="S13">
        <f>L13-M13</f>
        <v>0.611</v>
      </c>
      <c r="T13">
        <f>C13*VLOOKUP(B13,'Data-PC'!$B$13:$AP$36,16,FALSE)*(1+'Data-PC'!$T$3/100)</f>
        <v>0.45</v>
      </c>
      <c r="U13">
        <f>C13*VLOOKUP(B13,'Data-PC'!$B$13:$AP$36,17,FALSE)*(1+'Data-PC'!$T$5/100)</f>
        <v>2.1</v>
      </c>
      <c r="V13">
        <f>VLOOKUP($B13,'Data-PC'!$B$13:$AP$59,19,FALSE)</f>
        <v>1</v>
      </c>
      <c r="W13">
        <f>VLOOKUP($B13,'Data-PC'!$B$13:$AP$59,20,FALSE)</f>
        <v>10</v>
      </c>
      <c r="X13">
        <f>VLOOKUP($B13,'Data-PC'!$B$13:$AP$59,21,FALSE)*C13</f>
        <v>2.5338150000000006</v>
      </c>
      <c r="Y13">
        <f>VLOOKUP($B13,'Data-PC'!$B$13:$AP$59,22,FALSE)</f>
        <v>13</v>
      </c>
      <c r="Z13">
        <f>VLOOKUP($B13,'Data-PC'!$B$13:$AP$59,23,FALSE)</f>
        <v>0</v>
      </c>
      <c r="AA13">
        <f>VLOOKUP($B13,'Data-PC'!$B$13:$AP$59,24,FALSE)</f>
        <v>5</v>
      </c>
      <c r="AB13">
        <f>VLOOKUP($B13,'Data-PC'!$B$13:$AP$59,25,FALSE)</f>
        <v>9.4</v>
      </c>
      <c r="AC13">
        <f>VLOOKUP($B13,'Data-PC'!$B$13:$AP$59,26,FALSE)*C13</f>
        <v>9.793719</v>
      </c>
      <c r="AD13">
        <f>VLOOKUP($B13,'Data-PC'!$B$13:$AP$59,27,FALSE)</f>
        <v>13</v>
      </c>
      <c r="AE13">
        <f>VLOOKUP($B13,'Data-PC'!$B$13:$AP$59,28,FALSE)</f>
        <v>0</v>
      </c>
      <c r="AF13">
        <f>VLOOKUP($B13,'Data-PC'!$B$13:$AP$59,29,FALSE)</f>
        <v>11</v>
      </c>
      <c r="AG13">
        <f>VLOOKUP($B13,'Data-PC'!$B$13:$AP$59,30,FALSE)</f>
        <v>10.78</v>
      </c>
      <c r="AH13">
        <f>VLOOKUP($B13,'Data-PC'!$B$13:$AP$59,31,FALSE)*C13</f>
        <v>11.2315203</v>
      </c>
      <c r="AI13">
        <f>VLOOKUP($B13,'Data-PC'!$B$13:$AP$59,32,FALSE)</f>
        <v>16</v>
      </c>
      <c r="AJ13">
        <f>VLOOKUP($B13,'Data-PC'!$B$13:$AP$59,33,FALSE)</f>
        <v>0</v>
      </c>
      <c r="AK13">
        <f>VLOOKUP($B13,'Data-PC'!$B$13:$AP$59,34,FALSE)</f>
        <v>5</v>
      </c>
      <c r="AL13">
        <f>VLOOKUP($B13,'Data-PC'!$B$13:$AP$59,35,FALSE)</f>
        <v>11.6</v>
      </c>
      <c r="AM13">
        <f>VLOOKUP($B13,'Data-PC'!$B$13:$AP$59,36,FALSE)*C13</f>
        <v>18.307584000000002</v>
      </c>
      <c r="AN13">
        <f>VLOOKUP($B13,'Data-PC'!$B$13:$AP$59,37,FALSE)</f>
        <v>16</v>
      </c>
      <c r="AO13">
        <f>VLOOKUP($B13,'Data-PC'!$B$13:$AP$59,38,FALSE)</f>
        <v>0</v>
      </c>
      <c r="AP13">
        <f>VLOOKUP($B13,'Data-PC'!$B$13:$AP$59,39,FALSE)</f>
        <v>11</v>
      </c>
      <c r="AQ13">
        <f>VLOOKUP($B13,'Data-PC'!$B$13:$AP$59,40,FALSE)</f>
        <v>15.62</v>
      </c>
      <c r="AR13">
        <f>VLOOKUP($B13,'Data-PC'!$B$13:$AP$59,41,FALSE)*C13</f>
        <v>24.6521088</v>
      </c>
      <c r="AS13">
        <f>VLOOKUP($B13,'Data-PC'!$B$13:$AX$59,42,FALSE)</f>
        <v>0</v>
      </c>
      <c r="AT13">
        <f>VLOOKUP($B13,'Data-PC'!$B$13:$AX$59,43,FALSE)</f>
        <v>0</v>
      </c>
      <c r="AU13">
        <f>VLOOKUP($B13,'Data-PC'!$B$13:$AX$59,44,FALSE)</f>
        <v>1180</v>
      </c>
      <c r="AV13">
        <f>VLOOKUP($B13,'Data-PC'!$B$13:$AX$59,45,FALSE)*C13</f>
        <v>0</v>
      </c>
      <c r="AW13">
        <f>VLOOKUP($B13,'Data-PC'!$B$13:$AX$59,46,FALSE)</f>
        <v>0</v>
      </c>
      <c r="AX13">
        <f>VLOOKUP($B13,'Data-PC'!$B$13:$AX$59,47,FALSE)</f>
        <v>0</v>
      </c>
      <c r="AY13">
        <f>VLOOKUP($B13,'Data-PC'!$B$16:$AX$59,48,FALSE)</f>
        <v>0</v>
      </c>
      <c r="AZ13">
        <f>VLOOKUP($B13,'Data-PC'!$B$13:$AX$59,49,FALSE)*C13</f>
        <v>0</v>
      </c>
      <c r="BA13">
        <f>SUM(X13,AC13,AH13,AM13,AR13,AV13,AZ13)</f>
        <v>66.51874710000001</v>
      </c>
    </row>
    <row r="14">
      <c r="A14">
        <f>A13+1</f>
        <v>4</v>
      </c>
      <c r="B14" t="str">
        <v>PC.2</v>
      </c>
      <c r="C14">
        <v>1</v>
      </c>
      <c r="E14">
        <f>D14-(G14+$T$3)/1000</f>
        <v>-0.5</v>
      </c>
      <c r="F14">
        <f>VLOOKUP(B14,'Data-PC'!$B$13:$AP$36,15,FALSE)</f>
        <v>3.22</v>
      </c>
      <c r="G14">
        <f>VLOOKUP(B14,'Data-PC'!$B$13:$G$36,4,FALSE)</f>
        <v>500</v>
      </c>
      <c r="H14">
        <f>C14*VLOOKUP(B14,'Data-PC'!$B$13:$BC$36,18,FALSE)</f>
        <v>2</v>
      </c>
      <c r="I14">
        <f>C14*VLOOKUP(B14,'Data-PC'!$B$13:$BC$36,51,FALSE)</f>
        <v>0</v>
      </c>
      <c r="J14">
        <f>F14*C14*'Data-PC'!$D$5/1000</f>
        <v>0.161</v>
      </c>
      <c r="K14">
        <f>F14*('Data-PC'!$D$4/1000)*C14</f>
        <v>0</v>
      </c>
      <c r="L14">
        <f>C14*F14*($T$3-E14)</f>
        <v>1.61</v>
      </c>
      <c r="M14">
        <f>L14-(T14+J14)</f>
        <v>0.9990000000000001</v>
      </c>
      <c r="S14">
        <f>L14-M14</f>
        <v>0.611</v>
      </c>
      <c r="T14">
        <f>C14*VLOOKUP(B14,'Data-PC'!$B$13:$AP$36,16,FALSE)*(1+'Data-PC'!$T$3/100)</f>
        <v>0.45</v>
      </c>
      <c r="U14">
        <f>C14*VLOOKUP(B14,'Data-PC'!$B$13:$AP$36,17,FALSE)*(1+'Data-PC'!$T$5/100)</f>
        <v>2.1</v>
      </c>
      <c r="V14">
        <f>VLOOKUP($B14,'Data-PC'!$B$13:$AP$59,19,FALSE)</f>
        <v>1</v>
      </c>
      <c r="W14">
        <f>VLOOKUP($B14,'Data-PC'!$B$13:$AP$59,20,FALSE)</f>
        <v>10</v>
      </c>
      <c r="X14">
        <f>VLOOKUP($B14,'Data-PC'!$B$13:$AP$59,21,FALSE)*C14</f>
        <v>2.5338150000000006</v>
      </c>
      <c r="Y14">
        <f>VLOOKUP($B14,'Data-PC'!$B$13:$AP$59,22,FALSE)</f>
        <v>13</v>
      </c>
      <c r="Z14">
        <f>VLOOKUP($B14,'Data-PC'!$B$13:$AP$59,23,FALSE)</f>
        <v>0</v>
      </c>
      <c r="AA14">
        <f>VLOOKUP($B14,'Data-PC'!$B$13:$AP$59,24,FALSE)</f>
        <v>5</v>
      </c>
      <c r="AB14">
        <f>VLOOKUP($B14,'Data-PC'!$B$13:$AP$59,25,FALSE)</f>
        <v>9.4</v>
      </c>
      <c r="AC14">
        <f>VLOOKUP($B14,'Data-PC'!$B$13:$AP$59,26,FALSE)*C14</f>
        <v>9.793719</v>
      </c>
      <c r="AD14">
        <f>VLOOKUP($B14,'Data-PC'!$B$13:$AP$59,27,FALSE)</f>
        <v>13</v>
      </c>
      <c r="AE14">
        <f>VLOOKUP($B14,'Data-PC'!$B$13:$AP$59,28,FALSE)</f>
        <v>0</v>
      </c>
      <c r="AF14">
        <f>VLOOKUP($B14,'Data-PC'!$B$13:$AP$59,29,FALSE)</f>
        <v>11</v>
      </c>
      <c r="AG14">
        <f>VLOOKUP($B14,'Data-PC'!$B$13:$AP$59,30,FALSE)</f>
        <v>10.78</v>
      </c>
      <c r="AH14">
        <f>VLOOKUP($B14,'Data-PC'!$B$13:$AP$59,31,FALSE)*C14</f>
        <v>11.2315203</v>
      </c>
      <c r="AI14">
        <f>VLOOKUP($B14,'Data-PC'!$B$13:$AP$59,32,FALSE)</f>
        <v>16</v>
      </c>
      <c r="AJ14">
        <f>VLOOKUP($B14,'Data-PC'!$B$13:$AP$59,33,FALSE)</f>
        <v>0</v>
      </c>
      <c r="AK14">
        <f>VLOOKUP($B14,'Data-PC'!$B$13:$AP$59,34,FALSE)</f>
        <v>5</v>
      </c>
      <c r="AL14">
        <f>VLOOKUP($B14,'Data-PC'!$B$13:$AP$59,35,FALSE)</f>
        <v>11.6</v>
      </c>
      <c r="AM14">
        <f>VLOOKUP($B14,'Data-PC'!$B$13:$AP$59,36,FALSE)*C14</f>
        <v>18.307584000000002</v>
      </c>
      <c r="AN14">
        <f>VLOOKUP($B14,'Data-PC'!$B$13:$AP$59,37,FALSE)</f>
        <v>16</v>
      </c>
      <c r="AO14">
        <f>VLOOKUP($B14,'Data-PC'!$B$13:$AP$59,38,FALSE)</f>
        <v>0</v>
      </c>
      <c r="AP14">
        <f>VLOOKUP($B14,'Data-PC'!$B$13:$AP$59,39,FALSE)</f>
        <v>11</v>
      </c>
      <c r="AQ14">
        <f>VLOOKUP($B14,'Data-PC'!$B$13:$AP$59,40,FALSE)</f>
        <v>15.62</v>
      </c>
      <c r="AR14">
        <f>VLOOKUP($B14,'Data-PC'!$B$13:$AP$59,41,FALSE)*C14</f>
        <v>24.6521088</v>
      </c>
      <c r="AS14">
        <f>VLOOKUP($B14,'Data-PC'!$B$13:$AX$59,42,FALSE)</f>
        <v>0</v>
      </c>
      <c r="AT14">
        <f>VLOOKUP($B14,'Data-PC'!$B$13:$AX$59,43,FALSE)</f>
        <v>0</v>
      </c>
      <c r="AU14">
        <f>VLOOKUP($B14,'Data-PC'!$B$13:$AX$59,44,FALSE)</f>
        <v>1180</v>
      </c>
      <c r="AV14">
        <f>VLOOKUP($B14,'Data-PC'!$B$13:$AX$59,45,FALSE)*C14</f>
        <v>0</v>
      </c>
      <c r="AW14">
        <f>VLOOKUP($B14,'Data-PC'!$B$13:$AX$59,46,FALSE)</f>
        <v>0</v>
      </c>
      <c r="AX14">
        <f>VLOOKUP($B14,'Data-PC'!$B$13:$AX$59,47,FALSE)</f>
        <v>0</v>
      </c>
      <c r="AY14">
        <f>VLOOKUP($B14,'Data-PC'!$B$16:$AX$59,48,FALSE)</f>
        <v>0</v>
      </c>
      <c r="AZ14">
        <f>VLOOKUP($B14,'Data-PC'!$B$13:$AX$59,49,FALSE)*C14</f>
        <v>0</v>
      </c>
      <c r="BA14">
        <f>SUM(X14,AC14,AH14,AM14,AR14,AV14,AZ14)</f>
        <v>66.51874710000001</v>
      </c>
    </row>
    <row r="15">
      <c r="A15">
        <f>A14+1</f>
        <v>5</v>
      </c>
      <c r="B15" t="str">
        <v>PC.2</v>
      </c>
      <c r="C15">
        <v>1</v>
      </c>
      <c r="E15">
        <f>D15-(G15+$T$3)/1000</f>
        <v>-0.5</v>
      </c>
      <c r="F15">
        <f>VLOOKUP(B15,'Data-PC'!$B$13:$AP$36,15,FALSE)</f>
        <v>3.22</v>
      </c>
      <c r="G15">
        <f>VLOOKUP(B15,'Data-PC'!$B$13:$G$36,4,FALSE)</f>
        <v>500</v>
      </c>
      <c r="H15">
        <f>C15*VLOOKUP(B15,'Data-PC'!$B$13:$BC$36,18,FALSE)</f>
        <v>2</v>
      </c>
      <c r="I15">
        <f>C15*VLOOKUP(B15,'Data-PC'!$B$13:$BC$36,51,FALSE)</f>
        <v>0</v>
      </c>
      <c r="J15">
        <f>F15*C15*'Data-PC'!$D$5/1000</f>
        <v>0.161</v>
      </c>
      <c r="K15">
        <f>F15*('Data-PC'!$D$4/1000)*C15</f>
        <v>0</v>
      </c>
      <c r="L15">
        <f>C15*F15*($T$3-E15)</f>
        <v>1.61</v>
      </c>
      <c r="M15">
        <f>L15-(T15+J15)</f>
        <v>0.9990000000000001</v>
      </c>
      <c r="S15">
        <f>L15-M15</f>
        <v>0.611</v>
      </c>
      <c r="T15">
        <f>C15*VLOOKUP(B15,'Data-PC'!$B$13:$AP$36,16,FALSE)*(1+'Data-PC'!$T$3/100)</f>
        <v>0.45</v>
      </c>
      <c r="U15">
        <f>C15*VLOOKUP(B15,'Data-PC'!$B$13:$AP$36,17,FALSE)*(1+'Data-PC'!$T$5/100)</f>
        <v>2.1</v>
      </c>
      <c r="V15">
        <f>VLOOKUP($B15,'Data-PC'!$B$13:$AP$59,19,FALSE)</f>
        <v>1</v>
      </c>
      <c r="W15">
        <f>VLOOKUP($B15,'Data-PC'!$B$13:$AP$59,20,FALSE)</f>
        <v>10</v>
      </c>
      <c r="X15">
        <f>VLOOKUP($B15,'Data-PC'!$B$13:$AP$59,21,FALSE)*C15</f>
        <v>2.5338150000000006</v>
      </c>
      <c r="Y15">
        <f>VLOOKUP($B15,'Data-PC'!$B$13:$AP$59,22,FALSE)</f>
        <v>13</v>
      </c>
      <c r="Z15">
        <f>VLOOKUP($B15,'Data-PC'!$B$13:$AP$59,23,FALSE)</f>
        <v>0</v>
      </c>
      <c r="AA15">
        <f>VLOOKUP($B15,'Data-PC'!$B$13:$AP$59,24,FALSE)</f>
        <v>5</v>
      </c>
      <c r="AB15">
        <f>VLOOKUP($B15,'Data-PC'!$B$13:$AP$59,25,FALSE)</f>
        <v>9.4</v>
      </c>
      <c r="AC15">
        <f>VLOOKUP($B15,'Data-PC'!$B$13:$AP$59,26,FALSE)*C15</f>
        <v>9.793719</v>
      </c>
      <c r="AD15">
        <f>VLOOKUP($B15,'Data-PC'!$B$13:$AP$59,27,FALSE)</f>
        <v>13</v>
      </c>
      <c r="AE15">
        <f>VLOOKUP($B15,'Data-PC'!$B$13:$AP$59,28,FALSE)</f>
        <v>0</v>
      </c>
      <c r="AF15">
        <f>VLOOKUP($B15,'Data-PC'!$B$13:$AP$59,29,FALSE)</f>
        <v>11</v>
      </c>
      <c r="AG15">
        <f>VLOOKUP($B15,'Data-PC'!$B$13:$AP$59,30,FALSE)</f>
        <v>10.78</v>
      </c>
      <c r="AH15">
        <f>VLOOKUP($B15,'Data-PC'!$B$13:$AP$59,31,FALSE)*C15</f>
        <v>11.2315203</v>
      </c>
      <c r="AI15">
        <f>VLOOKUP($B15,'Data-PC'!$B$13:$AP$59,32,FALSE)</f>
        <v>16</v>
      </c>
      <c r="AJ15">
        <f>VLOOKUP($B15,'Data-PC'!$B$13:$AP$59,33,FALSE)</f>
        <v>0</v>
      </c>
      <c r="AK15">
        <f>VLOOKUP($B15,'Data-PC'!$B$13:$AP$59,34,FALSE)</f>
        <v>5</v>
      </c>
      <c r="AL15">
        <f>VLOOKUP($B15,'Data-PC'!$B$13:$AP$59,35,FALSE)</f>
        <v>11.6</v>
      </c>
      <c r="AM15">
        <f>VLOOKUP($B15,'Data-PC'!$B$13:$AP$59,36,FALSE)*C15</f>
        <v>18.307584000000002</v>
      </c>
      <c r="AN15">
        <f>VLOOKUP($B15,'Data-PC'!$B$13:$AP$59,37,FALSE)</f>
        <v>16</v>
      </c>
      <c r="AO15">
        <f>VLOOKUP($B15,'Data-PC'!$B$13:$AP$59,38,FALSE)</f>
        <v>0</v>
      </c>
      <c r="AP15">
        <f>VLOOKUP($B15,'Data-PC'!$B$13:$AP$59,39,FALSE)</f>
        <v>11</v>
      </c>
      <c r="AQ15">
        <f>VLOOKUP($B15,'Data-PC'!$B$13:$AP$59,40,FALSE)</f>
        <v>15.62</v>
      </c>
      <c r="AR15">
        <f>VLOOKUP($B15,'Data-PC'!$B$13:$AP$59,41,FALSE)*C15</f>
        <v>24.6521088</v>
      </c>
      <c r="AS15">
        <f>VLOOKUP($B15,'Data-PC'!$B$13:$AX$59,42,FALSE)</f>
        <v>0</v>
      </c>
      <c r="AT15">
        <f>VLOOKUP($B15,'Data-PC'!$B$13:$AX$59,43,FALSE)</f>
        <v>0</v>
      </c>
      <c r="AU15">
        <f>VLOOKUP($B15,'Data-PC'!$B$13:$AX$59,44,FALSE)</f>
        <v>1180</v>
      </c>
      <c r="AV15">
        <f>VLOOKUP($B15,'Data-PC'!$B$13:$AX$59,45,FALSE)*C15</f>
        <v>0</v>
      </c>
      <c r="AW15">
        <f>VLOOKUP($B15,'Data-PC'!$B$13:$AX$59,46,FALSE)</f>
        <v>0</v>
      </c>
      <c r="AX15">
        <f>VLOOKUP($B15,'Data-PC'!$B$13:$AX$59,47,FALSE)</f>
        <v>0</v>
      </c>
      <c r="AY15">
        <f>VLOOKUP($B15,'Data-PC'!$B$16:$AX$59,48,FALSE)</f>
        <v>0</v>
      </c>
      <c r="AZ15">
        <f>VLOOKUP($B15,'Data-PC'!$B$13:$AX$59,49,FALSE)*C15</f>
        <v>0</v>
      </c>
      <c r="BA15">
        <f>SUM(X15,AC15,AH15,AM15,AR15,AV15,AZ15)</f>
        <v>66.51874710000001</v>
      </c>
    </row>
    <row r="16">
      <c r="A16">
        <f>A15+1</f>
        <v>6</v>
      </c>
      <c r="B16" t="str">
        <v>PC.2A</v>
      </c>
      <c r="C16">
        <v>1</v>
      </c>
      <c r="E16">
        <f>D16-(G16+$T$3)/1000</f>
        <v>-0.6</v>
      </c>
      <c r="F16">
        <f>VLOOKUP(B16,'Data-PC'!$B$13:$AP$36,15,FALSE)</f>
        <v>3.22</v>
      </c>
      <c r="G16">
        <f>VLOOKUP(B16,'Data-PC'!$B$13:$G$36,4,FALSE)</f>
        <v>600</v>
      </c>
      <c r="H16">
        <f>C16*VLOOKUP(B16,'Data-PC'!$B$13:$BC$36,18,FALSE)</f>
        <v>2</v>
      </c>
      <c r="I16">
        <f>C16*VLOOKUP(B16,'Data-PC'!$B$13:$BC$36,51,FALSE)</f>
        <v>0</v>
      </c>
      <c r="J16">
        <f>F16*C16*'Data-PC'!$D$5/1000</f>
        <v>0.161</v>
      </c>
      <c r="K16">
        <f>F16*('Data-PC'!$D$4/1000)*C16</f>
        <v>0</v>
      </c>
      <c r="L16">
        <f>C16*F16*($T$3-E16)</f>
        <v>1.932</v>
      </c>
      <c r="M16">
        <f>L16-(T16+J16)</f>
        <v>1.2309999999999999</v>
      </c>
      <c r="S16">
        <f>L16-M16</f>
        <v>0.7010000000000001</v>
      </c>
      <c r="T16">
        <f>C16*VLOOKUP(B16,'Data-PC'!$B$13:$AP$36,16,FALSE)*(1+'Data-PC'!$T$3/100)</f>
        <v>0.54</v>
      </c>
      <c r="U16">
        <f>C16*VLOOKUP(B16,'Data-PC'!$B$13:$AP$36,17,FALSE)*(1+'Data-PC'!$T$5/100)</f>
        <v>2.52</v>
      </c>
      <c r="V16">
        <f>VLOOKUP($B16,'Data-PC'!$B$13:$AP$59,19,FALSE)</f>
        <v>1</v>
      </c>
      <c r="W16">
        <f>VLOOKUP($B16,'Data-PC'!$B$13:$AP$59,20,FALSE)</f>
        <v>13</v>
      </c>
      <c r="X16">
        <f>VLOOKUP($B16,'Data-PC'!$B$13:$AP$59,21,FALSE)*C16</f>
        <v>4.2883986599999995</v>
      </c>
      <c r="Y16">
        <f>VLOOKUP($B16,'Data-PC'!$B$13:$AP$59,22,FALSE)</f>
        <v>13</v>
      </c>
      <c r="Z16">
        <f>VLOOKUP($B16,'Data-PC'!$B$13:$AP$59,23,FALSE)</f>
        <v>0</v>
      </c>
      <c r="AA16">
        <f>VLOOKUP($B16,'Data-PC'!$B$13:$AP$59,24,FALSE)</f>
        <v>6</v>
      </c>
      <c r="AB16">
        <f>VLOOKUP($B16,'Data-PC'!$B$13:$AP$59,25,FALSE)</f>
        <v>11.88</v>
      </c>
      <c r="AC16">
        <f>VLOOKUP($B16,'Data-PC'!$B$13:$AP$59,26,FALSE)*C16</f>
        <v>12.3775938</v>
      </c>
      <c r="AD16">
        <f>VLOOKUP($B16,'Data-PC'!$B$13:$AP$59,27,FALSE)</f>
        <v>13</v>
      </c>
      <c r="AE16">
        <f>VLOOKUP($B16,'Data-PC'!$B$13:$AP$59,28,FALSE)</f>
        <v>0</v>
      </c>
      <c r="AF16">
        <f>VLOOKUP($B16,'Data-PC'!$B$13:$AP$59,29,FALSE)</f>
        <v>13</v>
      </c>
      <c r="AG16">
        <f>VLOOKUP($B16,'Data-PC'!$B$13:$AP$59,30,FALSE)</f>
        <v>14.04</v>
      </c>
      <c r="AH16">
        <f>VLOOKUP($B16,'Data-PC'!$B$13:$AP$59,31,FALSE)*C16</f>
        <v>14.628065399999999</v>
      </c>
      <c r="AI16">
        <f>VLOOKUP($B16,'Data-PC'!$B$13:$AP$59,32,FALSE)</f>
        <v>13</v>
      </c>
      <c r="AJ16">
        <f>VLOOKUP($B16,'Data-PC'!$B$13:$AP$59,33,FALSE)</f>
        <v>0</v>
      </c>
      <c r="AK16">
        <f>VLOOKUP($B16,'Data-PC'!$B$13:$AP$59,34,FALSE)</f>
        <v>6</v>
      </c>
      <c r="AL16">
        <f>VLOOKUP($B16,'Data-PC'!$B$13:$AP$59,35,FALSE)</f>
        <v>15.12</v>
      </c>
      <c r="AM16">
        <f>VLOOKUP($B16,'Data-PC'!$B$13:$AP$59,36,FALSE)*C16</f>
        <v>15.7533012</v>
      </c>
      <c r="AN16">
        <f>VLOOKUP($B16,'Data-PC'!$B$13:$AP$59,37,FALSE)</f>
        <v>13</v>
      </c>
      <c r="AO16">
        <f>VLOOKUP($B16,'Data-PC'!$B$13:$AP$59,38,FALSE)</f>
        <v>0</v>
      </c>
      <c r="AP16">
        <f>VLOOKUP($B16,'Data-PC'!$B$13:$AP$59,39,FALSE)</f>
        <v>13</v>
      </c>
      <c r="AQ16">
        <f>VLOOKUP($B16,'Data-PC'!$B$13:$AP$59,40,FALSE)</f>
        <v>21.06</v>
      </c>
      <c r="AR16">
        <f>VLOOKUP($B16,'Data-PC'!$B$13:$AP$59,41,FALSE)*C16</f>
        <v>21.9420981</v>
      </c>
      <c r="AS16">
        <f>VLOOKUP($B16,'Data-PC'!$B$13:$AX$59,42,FALSE)</f>
        <v>0</v>
      </c>
      <c r="AT16">
        <f>VLOOKUP($B16,'Data-PC'!$B$13:$AX$59,43,FALSE)</f>
        <v>0</v>
      </c>
      <c r="AU16">
        <f>VLOOKUP($B16,'Data-PC'!$B$13:$AX$59,44,FALSE)</f>
        <v>1380</v>
      </c>
      <c r="AV16">
        <f>VLOOKUP($B16,'Data-PC'!$B$13:$AX$59,45,FALSE)*C16</f>
        <v>0</v>
      </c>
      <c r="AW16">
        <f>VLOOKUP($B16,'Data-PC'!$B$13:$AX$59,46,FALSE)</f>
        <v>0</v>
      </c>
      <c r="AX16">
        <f>VLOOKUP($B16,'Data-PC'!$B$13:$AX$59,47,FALSE)</f>
        <v>0</v>
      </c>
      <c r="AY16">
        <f>VLOOKUP($B16,'Data-PC'!$B$16:$AX$59,48,FALSE)</f>
        <v>0</v>
      </c>
      <c r="AZ16">
        <f>VLOOKUP($B16,'Data-PC'!$B$13:$AX$59,49,FALSE)*C16</f>
        <v>0</v>
      </c>
      <c r="BA16">
        <f>SUM(X16,AC16,AH16,AM16,AR16,AV16,AZ16)</f>
        <v>68.98945715999999</v>
      </c>
    </row>
    <row r="17">
      <c r="A17">
        <f>A16+1</f>
        <v>7</v>
      </c>
      <c r="B17" t="str">
        <v>PC.3A</v>
      </c>
      <c r="C17">
        <v>1</v>
      </c>
      <c r="E17">
        <f>D17-(G17+$T$3)/1000</f>
        <v>-0.6</v>
      </c>
      <c r="F17">
        <f>VLOOKUP(B17,'Data-PC'!$B$13:$AP$36,15,FALSE)</f>
        <v>4.48</v>
      </c>
      <c r="G17">
        <f>VLOOKUP(B17,'Data-PC'!$B$13:$G$36,4,FALSE)</f>
        <v>600</v>
      </c>
      <c r="H17">
        <f>C17*VLOOKUP(B17,'Data-PC'!$B$13:$BC$36,18,FALSE)</f>
        <v>3</v>
      </c>
      <c r="I17">
        <f>C17*VLOOKUP(B17,'Data-PC'!$B$13:$BC$36,51,FALSE)</f>
        <v>0</v>
      </c>
      <c r="J17">
        <f>F17*C17*'Data-PC'!$D$5/1000</f>
        <v>0.22400000000000003</v>
      </c>
      <c r="K17">
        <f>F17*('Data-PC'!$D$4/1000)*C17</f>
        <v>0</v>
      </c>
      <c r="L17">
        <f>C17*F17*($T$3-E17)</f>
        <v>2.688</v>
      </c>
      <c r="M17">
        <f>L17-(T17+J17)</f>
        <v>1.6</v>
      </c>
      <c r="S17">
        <f>L17-M17</f>
        <v>1.088</v>
      </c>
      <c r="T17">
        <f>C17*VLOOKUP(B17,'Data-PC'!$B$13:$AP$36,16,FALSE)*(1+'Data-PC'!$T$3/100)</f>
        <v>0.864</v>
      </c>
      <c r="U17">
        <f>C17*VLOOKUP(B17,'Data-PC'!$B$13:$AP$36,17,FALSE)*(1+'Data-PC'!$T$5/100)</f>
        <v>3.6</v>
      </c>
      <c r="V17">
        <f>VLOOKUP($B17,'Data-PC'!$B$13:$AP$59,19,FALSE)</f>
        <v>1</v>
      </c>
      <c r="W17">
        <f>VLOOKUP($B17,'Data-PC'!$B$13:$AP$59,20,FALSE)</f>
        <v>13</v>
      </c>
      <c r="X17">
        <f>VLOOKUP($B17,'Data-PC'!$B$13:$AP$59,21,FALSE)*C17</f>
        <v>6.163791659999999</v>
      </c>
      <c r="Y17">
        <f>VLOOKUP($B17,'Data-PC'!$B$13:$AP$59,22,FALSE)</f>
        <v>13</v>
      </c>
      <c r="Z17">
        <f>VLOOKUP($B17,'Data-PC'!$B$13:$AP$59,23,FALSE)</f>
        <v>0</v>
      </c>
      <c r="AA17">
        <f>VLOOKUP($B17,'Data-PC'!$B$13:$AP$59,24,FALSE)</f>
        <v>6</v>
      </c>
      <c r="AB17">
        <f>VLOOKUP($B17,'Data-PC'!$B$13:$AP$59,25,FALSE)</f>
        <v>17.28</v>
      </c>
      <c r="AC17">
        <f>VLOOKUP($B17,'Data-PC'!$B$13:$AP$59,26,FALSE)*C17</f>
        <v>18.0037728</v>
      </c>
      <c r="AD17">
        <f>VLOOKUP($B17,'Data-PC'!$B$13:$AP$59,27,FALSE)</f>
        <v>13</v>
      </c>
      <c r="AE17">
        <f>VLOOKUP($B17,'Data-PC'!$B$13:$AP$59,28,FALSE)</f>
        <v>0</v>
      </c>
      <c r="AF17">
        <f>VLOOKUP($B17,'Data-PC'!$B$13:$AP$59,29,FALSE)</f>
        <v>20</v>
      </c>
      <c r="AG17">
        <f>VLOOKUP($B17,'Data-PC'!$B$13:$AP$59,30,FALSE)</f>
        <v>21.6</v>
      </c>
      <c r="AH17">
        <f>VLOOKUP($B17,'Data-PC'!$B$13:$AP$59,31,FALSE)*C17</f>
        <v>22.504716000000002</v>
      </c>
      <c r="AI17">
        <f>VLOOKUP($B17,'Data-PC'!$B$13:$AP$59,32,FALSE)</f>
        <v>16</v>
      </c>
      <c r="AJ17">
        <f>VLOOKUP($B17,'Data-PC'!$B$13:$AP$59,33,FALSE)</f>
        <v>0</v>
      </c>
      <c r="AK17">
        <f>VLOOKUP($B17,'Data-PC'!$B$13:$AP$59,34,FALSE)</f>
        <v>6</v>
      </c>
      <c r="AL17">
        <f>VLOOKUP($B17,'Data-PC'!$B$13:$AP$59,35,FALSE)</f>
        <v>20.52</v>
      </c>
      <c r="AM17">
        <f>VLOOKUP($B17,'Data-PC'!$B$13:$AP$59,36,FALSE)*C17</f>
        <v>32.3854848</v>
      </c>
      <c r="AN17">
        <f>VLOOKUP($B17,'Data-PC'!$B$13:$AP$59,37,FALSE)</f>
        <v>16</v>
      </c>
      <c r="AO17">
        <f>VLOOKUP($B17,'Data-PC'!$B$13:$AP$59,38,FALSE)</f>
        <v>0</v>
      </c>
      <c r="AP17">
        <f>VLOOKUP($B17,'Data-PC'!$B$13:$AP$59,39,FALSE)</f>
        <v>20</v>
      </c>
      <c r="AQ17">
        <f>VLOOKUP($B17,'Data-PC'!$B$13:$AP$59,40,FALSE)</f>
        <v>32.4</v>
      </c>
      <c r="AR17">
        <f>VLOOKUP($B17,'Data-PC'!$B$13:$AP$59,41,FALSE)*C17</f>
        <v>51.134976</v>
      </c>
      <c r="AS17">
        <f>VLOOKUP($B17,'Data-PC'!$B$13:$AX$59,42,FALSE)</f>
        <v>0</v>
      </c>
      <c r="AT17">
        <f>VLOOKUP($B17,'Data-PC'!$B$13:$AX$59,43,FALSE)</f>
        <v>0</v>
      </c>
      <c r="AU17">
        <f>VLOOKUP($B17,'Data-PC'!$B$13:$AX$59,44,FALSE)</f>
        <v>1380</v>
      </c>
      <c r="AV17">
        <f>VLOOKUP($B17,'Data-PC'!$B$13:$AX$59,45,FALSE)*C17</f>
        <v>0</v>
      </c>
      <c r="AW17">
        <f>VLOOKUP($B17,'Data-PC'!$B$13:$AX$59,46,FALSE)</f>
        <v>0</v>
      </c>
      <c r="AX17">
        <f>VLOOKUP($B17,'Data-PC'!$B$13:$AX$59,47,FALSE)</f>
        <v>0</v>
      </c>
      <c r="AY17">
        <f>VLOOKUP($B17,'Data-PC'!$B$16:$AX$59,48,FALSE)</f>
        <v>0</v>
      </c>
      <c r="AZ17">
        <f>VLOOKUP($B17,'Data-PC'!$B$13:$AX$59,49,FALSE)*C17</f>
        <v>0</v>
      </c>
      <c r="BA17">
        <f>SUM(X17,AC17,AH17,AM17,AR17,AV17,AZ17)</f>
        <v>130.19274126</v>
      </c>
    </row>
    <row r="18">
      <c r="A18">
        <f>A17+1</f>
        <v>8</v>
      </c>
      <c r="B18" t="str">
        <v>PC.2</v>
      </c>
      <c r="C18">
        <v>1</v>
      </c>
      <c r="E18">
        <f>D18-(G18+$T$3)/1000</f>
        <v>-0.5</v>
      </c>
      <c r="F18">
        <f>VLOOKUP(B18,'Data-PC'!$B$13:$AP$36,15,FALSE)</f>
        <v>3.22</v>
      </c>
      <c r="G18">
        <f>VLOOKUP(B18,'Data-PC'!$B$13:$G$36,4,FALSE)</f>
        <v>500</v>
      </c>
      <c r="H18">
        <f>C18*VLOOKUP(B18,'Data-PC'!$B$13:$BC$36,18,FALSE)</f>
        <v>2</v>
      </c>
      <c r="I18">
        <f>C18*VLOOKUP(B18,'Data-PC'!$B$13:$BC$36,51,FALSE)</f>
        <v>0</v>
      </c>
      <c r="J18">
        <f>F18*C18*'Data-PC'!$D$5/1000</f>
        <v>0.161</v>
      </c>
      <c r="K18">
        <f>F18*('Data-PC'!$D$4/1000)*C18</f>
        <v>0</v>
      </c>
      <c r="L18">
        <f>C18*F18*($T$3-E18)</f>
        <v>1.61</v>
      </c>
      <c r="M18">
        <f>L18-(T18+J18)</f>
        <v>0.9990000000000001</v>
      </c>
      <c r="S18">
        <f>L18-M18</f>
        <v>0.611</v>
      </c>
      <c r="T18">
        <f>C18*VLOOKUP(B18,'Data-PC'!$B$13:$AP$36,16,FALSE)*(1+'Data-PC'!$T$3/100)</f>
        <v>0.45</v>
      </c>
      <c r="U18">
        <f>C18*VLOOKUP(B18,'Data-PC'!$B$13:$AP$36,17,FALSE)*(1+'Data-PC'!$T$5/100)</f>
        <v>2.1</v>
      </c>
      <c r="V18">
        <f>VLOOKUP($B18,'Data-PC'!$B$13:$AP$59,19,FALSE)</f>
        <v>1</v>
      </c>
      <c r="W18">
        <f>VLOOKUP($B18,'Data-PC'!$B$13:$AP$59,20,FALSE)</f>
        <v>10</v>
      </c>
      <c r="X18">
        <f>VLOOKUP($B18,'Data-PC'!$B$13:$AP$59,21,FALSE)*C18</f>
        <v>2.5338150000000006</v>
      </c>
      <c r="Y18">
        <f>VLOOKUP($B18,'Data-PC'!$B$13:$AP$59,22,FALSE)</f>
        <v>13</v>
      </c>
      <c r="Z18">
        <f>VLOOKUP($B18,'Data-PC'!$B$13:$AP$59,23,FALSE)</f>
        <v>0</v>
      </c>
      <c r="AA18">
        <f>VLOOKUP($B18,'Data-PC'!$B$13:$AP$59,24,FALSE)</f>
        <v>5</v>
      </c>
      <c r="AB18">
        <f>VLOOKUP($B18,'Data-PC'!$B$13:$AP$59,25,FALSE)</f>
        <v>9.4</v>
      </c>
      <c r="AC18">
        <f>VLOOKUP($B18,'Data-PC'!$B$13:$AP$59,26,FALSE)*C18</f>
        <v>9.793719</v>
      </c>
      <c r="AD18">
        <f>VLOOKUP($B18,'Data-PC'!$B$13:$AP$59,27,FALSE)</f>
        <v>13</v>
      </c>
      <c r="AE18">
        <f>VLOOKUP($B18,'Data-PC'!$B$13:$AP$59,28,FALSE)</f>
        <v>0</v>
      </c>
      <c r="AF18">
        <f>VLOOKUP($B18,'Data-PC'!$B$13:$AP$59,29,FALSE)</f>
        <v>11</v>
      </c>
      <c r="AG18">
        <f>VLOOKUP($B18,'Data-PC'!$B$13:$AP$59,30,FALSE)</f>
        <v>10.78</v>
      </c>
      <c r="AH18">
        <f>VLOOKUP($B18,'Data-PC'!$B$13:$AP$59,31,FALSE)*C18</f>
        <v>11.2315203</v>
      </c>
      <c r="AI18">
        <f>VLOOKUP($B18,'Data-PC'!$B$13:$AP$59,32,FALSE)</f>
        <v>16</v>
      </c>
      <c r="AJ18">
        <f>VLOOKUP($B18,'Data-PC'!$B$13:$AP$59,33,FALSE)</f>
        <v>0</v>
      </c>
      <c r="AK18">
        <f>VLOOKUP($B18,'Data-PC'!$B$13:$AP$59,34,FALSE)</f>
        <v>5</v>
      </c>
      <c r="AL18">
        <f>VLOOKUP($B18,'Data-PC'!$B$13:$AP$59,35,FALSE)</f>
        <v>11.6</v>
      </c>
      <c r="AM18">
        <f>VLOOKUP($B18,'Data-PC'!$B$13:$AP$59,36,FALSE)*C18</f>
        <v>18.307584000000002</v>
      </c>
      <c r="AN18">
        <f>VLOOKUP($B18,'Data-PC'!$B$13:$AP$59,37,FALSE)</f>
        <v>16</v>
      </c>
      <c r="AO18">
        <f>VLOOKUP($B18,'Data-PC'!$B$13:$AP$59,38,FALSE)</f>
        <v>0</v>
      </c>
      <c r="AP18">
        <f>VLOOKUP($B18,'Data-PC'!$B$13:$AP$59,39,FALSE)</f>
        <v>11</v>
      </c>
      <c r="AQ18">
        <f>VLOOKUP($B18,'Data-PC'!$B$13:$AP$59,40,FALSE)</f>
        <v>15.62</v>
      </c>
      <c r="AR18">
        <f>VLOOKUP($B18,'Data-PC'!$B$13:$AP$59,41,FALSE)*C18</f>
        <v>24.6521088</v>
      </c>
      <c r="AS18">
        <f>VLOOKUP($B18,'Data-PC'!$B$13:$AX$59,42,FALSE)</f>
        <v>0</v>
      </c>
      <c r="AT18">
        <f>VLOOKUP($B18,'Data-PC'!$B$13:$AX$59,43,FALSE)</f>
        <v>0</v>
      </c>
      <c r="AU18">
        <f>VLOOKUP($B18,'Data-PC'!$B$13:$AX$59,44,FALSE)</f>
        <v>1180</v>
      </c>
      <c r="AV18">
        <f>VLOOKUP($B18,'Data-PC'!$B$13:$AX$59,45,FALSE)*C18</f>
        <v>0</v>
      </c>
      <c r="AW18">
        <f>VLOOKUP($B18,'Data-PC'!$B$13:$AX$59,46,FALSE)</f>
        <v>0</v>
      </c>
      <c r="AX18">
        <f>VLOOKUP($B18,'Data-PC'!$B$13:$AX$59,47,FALSE)</f>
        <v>0</v>
      </c>
      <c r="AY18">
        <f>VLOOKUP($B18,'Data-PC'!$B$16:$AX$59,48,FALSE)</f>
        <v>0</v>
      </c>
      <c r="AZ18">
        <f>VLOOKUP($B18,'Data-PC'!$B$13:$AX$59,49,FALSE)*C18</f>
        <v>0</v>
      </c>
      <c r="BA18">
        <f>SUM(X18,AC18,AH18,AM18,AR18,AV18,AZ18)</f>
        <v>66.51874710000001</v>
      </c>
    </row>
    <row r="19">
      <c r="A19">
        <f>A18+1</f>
        <v>9</v>
      </c>
      <c r="B19" t="str">
        <v>PC.3A</v>
      </c>
      <c r="C19">
        <v>1</v>
      </c>
      <c r="E19">
        <f>D19-(G19+$T$3)/1000</f>
        <v>-0.6</v>
      </c>
      <c r="F19">
        <f>VLOOKUP(B19,'Data-PC'!$B$13:$AP$36,15,FALSE)</f>
        <v>4.48</v>
      </c>
      <c r="G19">
        <f>VLOOKUP(B19,'Data-PC'!$B$13:$G$36,4,FALSE)</f>
        <v>600</v>
      </c>
      <c r="H19">
        <f>C19*VLOOKUP(B19,'Data-PC'!$B$13:$BC$36,18,FALSE)</f>
        <v>3</v>
      </c>
      <c r="I19">
        <f>C19*VLOOKUP(B19,'Data-PC'!$B$13:$BC$36,51,FALSE)</f>
        <v>0</v>
      </c>
      <c r="J19">
        <f>F19*C19*'Data-PC'!$D$5/1000</f>
        <v>0.22400000000000003</v>
      </c>
      <c r="K19">
        <f>F19*('Data-PC'!$D$4/1000)*C19</f>
        <v>0</v>
      </c>
      <c r="L19">
        <f>C19*F19*($T$3-E19)</f>
        <v>2.688</v>
      </c>
      <c r="M19">
        <f>L19-(T19+J19)</f>
        <v>1.6</v>
      </c>
      <c r="S19">
        <f>L19-M19</f>
        <v>1.088</v>
      </c>
      <c r="T19">
        <f>C19*VLOOKUP(B19,'Data-PC'!$B$13:$AP$36,16,FALSE)*(1+'Data-PC'!$T$3/100)</f>
        <v>0.864</v>
      </c>
      <c r="U19">
        <f>C19*VLOOKUP(B19,'Data-PC'!$B$13:$AP$36,17,FALSE)*(1+'Data-PC'!$T$5/100)</f>
        <v>3.6</v>
      </c>
      <c r="V19">
        <f>VLOOKUP($B19,'Data-PC'!$B$13:$AP$59,19,FALSE)</f>
        <v>1</v>
      </c>
      <c r="W19">
        <f>VLOOKUP($B19,'Data-PC'!$B$13:$AP$59,20,FALSE)</f>
        <v>13</v>
      </c>
      <c r="X19">
        <f>VLOOKUP($B19,'Data-PC'!$B$13:$AP$59,21,FALSE)*C19</f>
        <v>6.163791659999999</v>
      </c>
      <c r="Y19">
        <f>VLOOKUP($B19,'Data-PC'!$B$13:$AP$59,22,FALSE)</f>
        <v>13</v>
      </c>
      <c r="Z19">
        <f>VLOOKUP($B19,'Data-PC'!$B$13:$AP$59,23,FALSE)</f>
        <v>0</v>
      </c>
      <c r="AA19">
        <f>VLOOKUP($B19,'Data-PC'!$B$13:$AP$59,24,FALSE)</f>
        <v>6</v>
      </c>
      <c r="AB19">
        <f>VLOOKUP($B19,'Data-PC'!$B$13:$AP$59,25,FALSE)</f>
        <v>17.28</v>
      </c>
      <c r="AC19">
        <f>VLOOKUP($B19,'Data-PC'!$B$13:$AP$59,26,FALSE)*C19</f>
        <v>18.0037728</v>
      </c>
      <c r="AD19">
        <f>VLOOKUP($B19,'Data-PC'!$B$13:$AP$59,27,FALSE)</f>
        <v>13</v>
      </c>
      <c r="AE19">
        <f>VLOOKUP($B19,'Data-PC'!$B$13:$AP$59,28,FALSE)</f>
        <v>0</v>
      </c>
      <c r="AF19">
        <f>VLOOKUP($B19,'Data-PC'!$B$13:$AP$59,29,FALSE)</f>
        <v>20</v>
      </c>
      <c r="AG19">
        <f>VLOOKUP($B19,'Data-PC'!$B$13:$AP$59,30,FALSE)</f>
        <v>21.6</v>
      </c>
      <c r="AH19">
        <f>VLOOKUP($B19,'Data-PC'!$B$13:$AP$59,31,FALSE)*C19</f>
        <v>22.504716000000002</v>
      </c>
      <c r="AI19">
        <f>VLOOKUP($B19,'Data-PC'!$B$13:$AP$59,32,FALSE)</f>
        <v>16</v>
      </c>
      <c r="AJ19">
        <f>VLOOKUP($B19,'Data-PC'!$B$13:$AP$59,33,FALSE)</f>
        <v>0</v>
      </c>
      <c r="AK19">
        <f>VLOOKUP($B19,'Data-PC'!$B$13:$AP$59,34,FALSE)</f>
        <v>6</v>
      </c>
      <c r="AL19">
        <f>VLOOKUP($B19,'Data-PC'!$B$13:$AP$59,35,FALSE)</f>
        <v>20.52</v>
      </c>
      <c r="AM19">
        <f>VLOOKUP($B19,'Data-PC'!$B$13:$AP$59,36,FALSE)*C19</f>
        <v>32.3854848</v>
      </c>
      <c r="AN19">
        <f>VLOOKUP($B19,'Data-PC'!$B$13:$AP$59,37,FALSE)</f>
        <v>16</v>
      </c>
      <c r="AO19">
        <f>VLOOKUP($B19,'Data-PC'!$B$13:$AP$59,38,FALSE)</f>
        <v>0</v>
      </c>
      <c r="AP19">
        <f>VLOOKUP($B19,'Data-PC'!$B$13:$AP$59,39,FALSE)</f>
        <v>20</v>
      </c>
      <c r="AQ19">
        <f>VLOOKUP($B19,'Data-PC'!$B$13:$AP$59,40,FALSE)</f>
        <v>32.4</v>
      </c>
      <c r="AR19">
        <f>VLOOKUP($B19,'Data-PC'!$B$13:$AP$59,41,FALSE)*C19</f>
        <v>51.134976</v>
      </c>
      <c r="AS19">
        <f>VLOOKUP($B19,'Data-PC'!$B$13:$AX$59,42,FALSE)</f>
        <v>0</v>
      </c>
      <c r="AT19">
        <f>VLOOKUP($B19,'Data-PC'!$B$13:$AX$59,43,FALSE)</f>
        <v>0</v>
      </c>
      <c r="AU19">
        <f>VLOOKUP($B19,'Data-PC'!$B$13:$AX$59,44,FALSE)</f>
        <v>1380</v>
      </c>
      <c r="AV19">
        <f>VLOOKUP($B19,'Data-PC'!$B$13:$AX$59,45,FALSE)*C19</f>
        <v>0</v>
      </c>
      <c r="AW19">
        <f>VLOOKUP($B19,'Data-PC'!$B$13:$AX$59,46,FALSE)</f>
        <v>0</v>
      </c>
      <c r="AX19">
        <f>VLOOKUP($B19,'Data-PC'!$B$13:$AX$59,47,FALSE)</f>
        <v>0</v>
      </c>
      <c r="AY19">
        <f>VLOOKUP($B19,'Data-PC'!$B$16:$AX$59,48,FALSE)</f>
        <v>0</v>
      </c>
      <c r="AZ19">
        <f>VLOOKUP($B19,'Data-PC'!$B$13:$AX$59,49,FALSE)*C19</f>
        <v>0</v>
      </c>
      <c r="BA19">
        <f>SUM(X19,AC19,AH19,AM19,AR19,AV19,AZ19)</f>
        <v>130.19274126</v>
      </c>
    </row>
    <row r="20">
      <c r="A20">
        <f>A19+1</f>
        <v>10</v>
      </c>
      <c r="B20" t="str">
        <v>PC.2</v>
      </c>
      <c r="C20">
        <v>1</v>
      </c>
      <c r="E20">
        <f>D20-(G20+$T$3)/1000</f>
        <v>-0.5</v>
      </c>
      <c r="F20">
        <f>VLOOKUP(B20,'Data-PC'!$B$13:$AP$36,15,FALSE)</f>
        <v>3.22</v>
      </c>
      <c r="G20">
        <f>VLOOKUP(B20,'Data-PC'!$B$13:$G$36,4,FALSE)</f>
        <v>500</v>
      </c>
      <c r="H20">
        <f>C20*VLOOKUP(B20,'Data-PC'!$B$13:$BC$36,18,FALSE)</f>
        <v>2</v>
      </c>
      <c r="I20">
        <f>C20*VLOOKUP(B20,'Data-PC'!$B$13:$BC$36,51,FALSE)</f>
        <v>0</v>
      </c>
      <c r="J20">
        <f>F20*C20*'Data-PC'!$D$5/1000</f>
        <v>0.161</v>
      </c>
      <c r="K20">
        <f>F20*('Data-PC'!$D$4/1000)*C20</f>
        <v>0</v>
      </c>
      <c r="L20">
        <f>C20*F20*($T$3-E20)</f>
        <v>1.61</v>
      </c>
      <c r="M20">
        <f>L20-(T20+J20)</f>
        <v>0.9990000000000001</v>
      </c>
      <c r="S20">
        <f>L20-M20</f>
        <v>0.611</v>
      </c>
      <c r="T20">
        <f>C20*VLOOKUP(B20,'Data-PC'!$B$13:$AP$36,16,FALSE)*(1+'Data-PC'!$T$3/100)</f>
        <v>0.45</v>
      </c>
      <c r="U20">
        <f>C20*VLOOKUP(B20,'Data-PC'!$B$13:$AP$36,17,FALSE)*(1+'Data-PC'!$T$5/100)</f>
        <v>2.1</v>
      </c>
      <c r="V20">
        <f>VLOOKUP($B20,'Data-PC'!$B$13:$AP$59,19,FALSE)</f>
        <v>1</v>
      </c>
      <c r="W20">
        <f>VLOOKUP($B20,'Data-PC'!$B$13:$AP$59,20,FALSE)</f>
        <v>10</v>
      </c>
      <c r="X20">
        <f>VLOOKUP($B20,'Data-PC'!$B$13:$AP$59,21,FALSE)*C20</f>
        <v>2.5338150000000006</v>
      </c>
      <c r="Y20">
        <f>VLOOKUP($B20,'Data-PC'!$B$13:$AP$59,22,FALSE)</f>
        <v>13</v>
      </c>
      <c r="Z20">
        <f>VLOOKUP($B20,'Data-PC'!$B$13:$AP$59,23,FALSE)</f>
        <v>0</v>
      </c>
      <c r="AA20">
        <f>VLOOKUP($B20,'Data-PC'!$B$13:$AP$59,24,FALSE)</f>
        <v>5</v>
      </c>
      <c r="AB20">
        <f>VLOOKUP($B20,'Data-PC'!$B$13:$AP$59,25,FALSE)</f>
        <v>9.4</v>
      </c>
      <c r="AC20">
        <f>VLOOKUP($B20,'Data-PC'!$B$13:$AP$59,26,FALSE)*C20</f>
        <v>9.793719</v>
      </c>
      <c r="AD20">
        <f>VLOOKUP($B20,'Data-PC'!$B$13:$AP$59,27,FALSE)</f>
        <v>13</v>
      </c>
      <c r="AE20">
        <f>VLOOKUP($B20,'Data-PC'!$B$13:$AP$59,28,FALSE)</f>
        <v>0</v>
      </c>
      <c r="AF20">
        <f>VLOOKUP($B20,'Data-PC'!$B$13:$AP$59,29,FALSE)</f>
        <v>11</v>
      </c>
      <c r="AG20">
        <f>VLOOKUP($B20,'Data-PC'!$B$13:$AP$59,30,FALSE)</f>
        <v>10.78</v>
      </c>
      <c r="AH20">
        <f>VLOOKUP($B20,'Data-PC'!$B$13:$AP$59,31,FALSE)*C20</f>
        <v>11.2315203</v>
      </c>
      <c r="AI20">
        <f>VLOOKUP($B20,'Data-PC'!$B$13:$AP$59,32,FALSE)</f>
        <v>16</v>
      </c>
      <c r="AJ20">
        <f>VLOOKUP($B20,'Data-PC'!$B$13:$AP$59,33,FALSE)</f>
        <v>0</v>
      </c>
      <c r="AK20">
        <f>VLOOKUP($B20,'Data-PC'!$B$13:$AP$59,34,FALSE)</f>
        <v>5</v>
      </c>
      <c r="AL20">
        <f>VLOOKUP($B20,'Data-PC'!$B$13:$AP$59,35,FALSE)</f>
        <v>11.6</v>
      </c>
      <c r="AM20">
        <f>VLOOKUP($B20,'Data-PC'!$B$13:$AP$59,36,FALSE)*C20</f>
        <v>18.307584000000002</v>
      </c>
      <c r="AN20">
        <f>VLOOKUP($B20,'Data-PC'!$B$13:$AP$59,37,FALSE)</f>
        <v>16</v>
      </c>
      <c r="AO20">
        <f>VLOOKUP($B20,'Data-PC'!$B$13:$AP$59,38,FALSE)</f>
        <v>0</v>
      </c>
      <c r="AP20">
        <f>VLOOKUP($B20,'Data-PC'!$B$13:$AP$59,39,FALSE)</f>
        <v>11</v>
      </c>
      <c r="AQ20">
        <f>VLOOKUP($B20,'Data-PC'!$B$13:$AP$59,40,FALSE)</f>
        <v>15.62</v>
      </c>
      <c r="AR20">
        <f>VLOOKUP($B20,'Data-PC'!$B$13:$AP$59,41,FALSE)*C20</f>
        <v>24.6521088</v>
      </c>
      <c r="AS20">
        <f>VLOOKUP($B20,'Data-PC'!$B$13:$AX$59,42,FALSE)</f>
        <v>0</v>
      </c>
      <c r="AT20">
        <f>VLOOKUP($B20,'Data-PC'!$B$13:$AX$59,43,FALSE)</f>
        <v>0</v>
      </c>
      <c r="AU20">
        <f>VLOOKUP($B20,'Data-PC'!$B$13:$AX$59,44,FALSE)</f>
        <v>1180</v>
      </c>
      <c r="AV20">
        <f>VLOOKUP($B20,'Data-PC'!$B$13:$AX$59,45,FALSE)*C20</f>
        <v>0</v>
      </c>
      <c r="AW20">
        <f>VLOOKUP($B20,'Data-PC'!$B$13:$AX$59,46,FALSE)</f>
        <v>0</v>
      </c>
      <c r="AX20">
        <f>VLOOKUP($B20,'Data-PC'!$B$13:$AX$59,47,FALSE)</f>
        <v>0</v>
      </c>
      <c r="AY20">
        <f>VLOOKUP($B20,'Data-PC'!$B$16:$AX$59,48,FALSE)</f>
        <v>0</v>
      </c>
      <c r="AZ20">
        <f>VLOOKUP($B20,'Data-PC'!$B$13:$AX$59,49,FALSE)*C20</f>
        <v>0</v>
      </c>
      <c r="BA20">
        <f>SUM(X20,AC20,AH20,AM20,AR20,AV20,AZ20)</f>
        <v>66.51874710000001</v>
      </c>
    </row>
    <row r="21">
      <c r="A21">
        <f>A20+1</f>
        <v>11</v>
      </c>
      <c r="B21" t="str">
        <v>PC.2A</v>
      </c>
      <c r="C21">
        <v>1</v>
      </c>
      <c r="E21">
        <f>D21-(G21+$T$3)/1000</f>
        <v>-0.6</v>
      </c>
      <c r="F21">
        <f>VLOOKUP(B21,'Data-PC'!$B$13:$AP$36,15,FALSE)</f>
        <v>3.22</v>
      </c>
      <c r="G21">
        <f>VLOOKUP(B21,'Data-PC'!$B$13:$G$36,4,FALSE)</f>
        <v>600</v>
      </c>
      <c r="H21">
        <f>C21*VLOOKUP(B21,'Data-PC'!$B$13:$BC$36,18,FALSE)</f>
        <v>2</v>
      </c>
      <c r="I21">
        <f>C21*VLOOKUP(B21,'Data-PC'!$B$13:$BC$36,51,FALSE)</f>
        <v>0</v>
      </c>
      <c r="J21">
        <f>F21*C21*'Data-PC'!$D$5/1000</f>
        <v>0.161</v>
      </c>
      <c r="K21">
        <f>F21*('Data-PC'!$D$4/1000)*C21</f>
        <v>0</v>
      </c>
      <c r="L21">
        <f>C21*F21*($T$3-E21)</f>
        <v>1.932</v>
      </c>
      <c r="M21">
        <f>L21-(T21+J21)</f>
        <v>1.2309999999999999</v>
      </c>
      <c r="S21">
        <f>L21-M21</f>
        <v>0.7010000000000001</v>
      </c>
      <c r="T21">
        <f>C21*VLOOKUP(B21,'Data-PC'!$B$13:$AP$36,16,FALSE)*(1+'Data-PC'!$T$3/100)</f>
        <v>0.54</v>
      </c>
      <c r="U21">
        <f>C21*VLOOKUP(B21,'Data-PC'!$B$13:$AP$36,17,FALSE)*(1+'Data-PC'!$T$5/100)</f>
        <v>2.52</v>
      </c>
      <c r="V21">
        <f>VLOOKUP($B21,'Data-PC'!$B$13:$AP$59,19,FALSE)</f>
        <v>1</v>
      </c>
      <c r="W21">
        <f>VLOOKUP($B21,'Data-PC'!$B$13:$AP$59,20,FALSE)</f>
        <v>13</v>
      </c>
      <c r="X21">
        <f>VLOOKUP($B21,'Data-PC'!$B$13:$AP$59,21,FALSE)*C21</f>
        <v>4.2883986599999995</v>
      </c>
      <c r="Y21">
        <f>VLOOKUP($B21,'Data-PC'!$B$13:$AP$59,22,FALSE)</f>
        <v>13</v>
      </c>
      <c r="Z21">
        <f>VLOOKUP($B21,'Data-PC'!$B$13:$AP$59,23,FALSE)</f>
        <v>0</v>
      </c>
      <c r="AA21">
        <f>VLOOKUP($B21,'Data-PC'!$B$13:$AP$59,24,FALSE)</f>
        <v>6</v>
      </c>
      <c r="AB21">
        <f>VLOOKUP($B21,'Data-PC'!$B$13:$AP$59,25,FALSE)</f>
        <v>11.88</v>
      </c>
      <c r="AC21">
        <f>VLOOKUP($B21,'Data-PC'!$B$13:$AP$59,26,FALSE)*C21</f>
        <v>12.3775938</v>
      </c>
      <c r="AD21">
        <f>VLOOKUP($B21,'Data-PC'!$B$13:$AP$59,27,FALSE)</f>
        <v>13</v>
      </c>
      <c r="AE21">
        <f>VLOOKUP($B21,'Data-PC'!$B$13:$AP$59,28,FALSE)</f>
        <v>0</v>
      </c>
      <c r="AF21">
        <f>VLOOKUP($B21,'Data-PC'!$B$13:$AP$59,29,FALSE)</f>
        <v>13</v>
      </c>
      <c r="AG21">
        <f>VLOOKUP($B21,'Data-PC'!$B$13:$AP$59,30,FALSE)</f>
        <v>14.04</v>
      </c>
      <c r="AH21">
        <f>VLOOKUP($B21,'Data-PC'!$B$13:$AP$59,31,FALSE)*C21</f>
        <v>14.628065399999999</v>
      </c>
      <c r="AI21">
        <f>VLOOKUP($B21,'Data-PC'!$B$13:$AP$59,32,FALSE)</f>
        <v>13</v>
      </c>
      <c r="AJ21">
        <f>VLOOKUP($B21,'Data-PC'!$B$13:$AP$59,33,FALSE)</f>
        <v>0</v>
      </c>
      <c r="AK21">
        <f>VLOOKUP($B21,'Data-PC'!$B$13:$AP$59,34,FALSE)</f>
        <v>6</v>
      </c>
      <c r="AL21">
        <f>VLOOKUP($B21,'Data-PC'!$B$13:$AP$59,35,FALSE)</f>
        <v>15.12</v>
      </c>
      <c r="AM21">
        <f>VLOOKUP($B21,'Data-PC'!$B$13:$AP$59,36,FALSE)*C21</f>
        <v>15.7533012</v>
      </c>
      <c r="AN21">
        <f>VLOOKUP($B21,'Data-PC'!$B$13:$AP$59,37,FALSE)</f>
        <v>13</v>
      </c>
      <c r="AO21">
        <f>VLOOKUP($B21,'Data-PC'!$B$13:$AP$59,38,FALSE)</f>
        <v>0</v>
      </c>
      <c r="AP21">
        <f>VLOOKUP($B21,'Data-PC'!$B$13:$AP$59,39,FALSE)</f>
        <v>13</v>
      </c>
      <c r="AQ21">
        <f>VLOOKUP($B21,'Data-PC'!$B$13:$AP$59,40,FALSE)</f>
        <v>21.06</v>
      </c>
      <c r="AR21">
        <f>VLOOKUP($B21,'Data-PC'!$B$13:$AP$59,41,FALSE)*C21</f>
        <v>21.9420981</v>
      </c>
      <c r="AS21">
        <f>VLOOKUP($B21,'Data-PC'!$B$13:$AX$59,42,FALSE)</f>
        <v>0</v>
      </c>
      <c r="AT21">
        <f>VLOOKUP($B21,'Data-PC'!$B$13:$AX$59,43,FALSE)</f>
        <v>0</v>
      </c>
      <c r="AU21">
        <f>VLOOKUP($B21,'Data-PC'!$B$13:$AX$59,44,FALSE)</f>
        <v>1380</v>
      </c>
      <c r="AV21">
        <f>VLOOKUP($B21,'Data-PC'!$B$13:$AX$59,45,FALSE)*C21</f>
        <v>0</v>
      </c>
      <c r="AW21">
        <f>VLOOKUP($B21,'Data-PC'!$B$13:$AX$59,46,FALSE)</f>
        <v>0</v>
      </c>
      <c r="AX21">
        <f>VLOOKUP($B21,'Data-PC'!$B$13:$AX$59,47,FALSE)</f>
        <v>0</v>
      </c>
      <c r="AY21">
        <f>VLOOKUP($B21,'Data-PC'!$B$16:$AX$59,48,FALSE)</f>
        <v>0</v>
      </c>
      <c r="AZ21">
        <f>VLOOKUP($B21,'Data-PC'!$B$13:$AX$59,49,FALSE)*C21</f>
        <v>0</v>
      </c>
      <c r="BA21">
        <f>SUM(X21,AC21,AH21,AM21,AR21,AV21,AZ21)</f>
        <v>68.98945715999999</v>
      </c>
    </row>
    <row r="22">
      <c r="A22">
        <f>A21+1</f>
        <v>12</v>
      </c>
      <c r="B22" t="str">
        <v>PC.2</v>
      </c>
      <c r="C22">
        <v>1</v>
      </c>
      <c r="E22">
        <f>D22-(G22+$T$3)/1000</f>
        <v>-0.5</v>
      </c>
      <c r="F22">
        <f>VLOOKUP(B22,'Data-PC'!$B$13:$AP$36,15,FALSE)</f>
        <v>3.22</v>
      </c>
      <c r="G22">
        <f>VLOOKUP(B22,'Data-PC'!$B$13:$G$36,4,FALSE)</f>
        <v>500</v>
      </c>
      <c r="H22">
        <f>C22*VLOOKUP(B22,'Data-PC'!$B$13:$BC$36,18,FALSE)</f>
        <v>2</v>
      </c>
      <c r="I22">
        <f>C22*VLOOKUP(B22,'Data-PC'!$B$13:$BC$36,51,FALSE)</f>
        <v>0</v>
      </c>
      <c r="J22">
        <f>F22*C22*'Data-PC'!$D$5/1000</f>
        <v>0.161</v>
      </c>
      <c r="K22">
        <f>F22*('Data-PC'!$D$4/1000)*C22</f>
        <v>0</v>
      </c>
      <c r="L22">
        <f>C22*F22*($T$3-E22)</f>
        <v>1.61</v>
      </c>
      <c r="M22">
        <f>L22-(T22+J22)</f>
        <v>0.9990000000000001</v>
      </c>
      <c r="S22">
        <f>L22-M22</f>
        <v>0.611</v>
      </c>
      <c r="T22">
        <f>C22*VLOOKUP(B22,'Data-PC'!$B$13:$AP$36,16,FALSE)*(1+'Data-PC'!$T$3/100)</f>
        <v>0.45</v>
      </c>
      <c r="U22">
        <f>C22*VLOOKUP(B22,'Data-PC'!$B$13:$AP$36,17,FALSE)*(1+'Data-PC'!$T$5/100)</f>
        <v>2.1</v>
      </c>
      <c r="V22">
        <f>VLOOKUP($B22,'Data-PC'!$B$13:$AP$59,19,FALSE)</f>
        <v>1</v>
      </c>
      <c r="W22">
        <f>VLOOKUP($B22,'Data-PC'!$B$13:$AP$59,20,FALSE)</f>
        <v>10</v>
      </c>
      <c r="X22">
        <f>VLOOKUP($B22,'Data-PC'!$B$13:$AP$59,21,FALSE)*C22</f>
        <v>2.5338150000000006</v>
      </c>
      <c r="Y22">
        <f>VLOOKUP($B22,'Data-PC'!$B$13:$AP$59,22,FALSE)</f>
        <v>13</v>
      </c>
      <c r="Z22">
        <f>VLOOKUP($B22,'Data-PC'!$B$13:$AP$59,23,FALSE)</f>
        <v>0</v>
      </c>
      <c r="AA22">
        <f>VLOOKUP($B22,'Data-PC'!$B$13:$AP$59,24,FALSE)</f>
        <v>5</v>
      </c>
      <c r="AB22">
        <f>VLOOKUP($B22,'Data-PC'!$B$13:$AP$59,25,FALSE)</f>
        <v>9.4</v>
      </c>
      <c r="AC22">
        <f>VLOOKUP($B22,'Data-PC'!$B$13:$AP$59,26,FALSE)*C22</f>
        <v>9.793719</v>
      </c>
      <c r="AD22">
        <f>VLOOKUP($B22,'Data-PC'!$B$13:$AP$59,27,FALSE)</f>
        <v>13</v>
      </c>
      <c r="AE22">
        <f>VLOOKUP($B22,'Data-PC'!$B$13:$AP$59,28,FALSE)</f>
        <v>0</v>
      </c>
      <c r="AF22">
        <f>VLOOKUP($B22,'Data-PC'!$B$13:$AP$59,29,FALSE)</f>
        <v>11</v>
      </c>
      <c r="AG22">
        <f>VLOOKUP($B22,'Data-PC'!$B$13:$AP$59,30,FALSE)</f>
        <v>10.78</v>
      </c>
      <c r="AH22">
        <f>VLOOKUP($B22,'Data-PC'!$B$13:$AP$59,31,FALSE)*C22</f>
        <v>11.2315203</v>
      </c>
      <c r="AI22">
        <f>VLOOKUP($B22,'Data-PC'!$B$13:$AP$59,32,FALSE)</f>
        <v>16</v>
      </c>
      <c r="AJ22">
        <f>VLOOKUP($B22,'Data-PC'!$B$13:$AP$59,33,FALSE)</f>
        <v>0</v>
      </c>
      <c r="AK22">
        <f>VLOOKUP($B22,'Data-PC'!$B$13:$AP$59,34,FALSE)</f>
        <v>5</v>
      </c>
      <c r="AL22">
        <f>VLOOKUP($B22,'Data-PC'!$B$13:$AP$59,35,FALSE)</f>
        <v>11.6</v>
      </c>
      <c r="AM22">
        <f>VLOOKUP($B22,'Data-PC'!$B$13:$AP$59,36,FALSE)*C22</f>
        <v>18.307584000000002</v>
      </c>
      <c r="AN22">
        <f>VLOOKUP($B22,'Data-PC'!$B$13:$AP$59,37,FALSE)</f>
        <v>16</v>
      </c>
      <c r="AO22">
        <f>VLOOKUP($B22,'Data-PC'!$B$13:$AP$59,38,FALSE)</f>
        <v>0</v>
      </c>
      <c r="AP22">
        <f>VLOOKUP($B22,'Data-PC'!$B$13:$AP$59,39,FALSE)</f>
        <v>11</v>
      </c>
      <c r="AQ22">
        <f>VLOOKUP($B22,'Data-PC'!$B$13:$AP$59,40,FALSE)</f>
        <v>15.62</v>
      </c>
      <c r="AR22">
        <f>VLOOKUP($B22,'Data-PC'!$B$13:$AP$59,41,FALSE)*C22</f>
        <v>24.6521088</v>
      </c>
      <c r="AS22">
        <f>VLOOKUP($B22,'Data-PC'!$B$13:$AX$59,42,FALSE)</f>
        <v>0</v>
      </c>
      <c r="AT22">
        <f>VLOOKUP($B22,'Data-PC'!$B$13:$AX$59,43,FALSE)</f>
        <v>0</v>
      </c>
      <c r="AU22">
        <f>VLOOKUP($B22,'Data-PC'!$B$13:$AX$59,44,FALSE)</f>
        <v>1180</v>
      </c>
      <c r="AV22">
        <f>VLOOKUP($B22,'Data-PC'!$B$13:$AX$59,45,FALSE)*C22</f>
        <v>0</v>
      </c>
      <c r="AW22">
        <f>VLOOKUP($B22,'Data-PC'!$B$13:$AX$59,46,FALSE)</f>
        <v>0</v>
      </c>
      <c r="AX22">
        <f>VLOOKUP($B22,'Data-PC'!$B$13:$AX$59,47,FALSE)</f>
        <v>0</v>
      </c>
      <c r="AY22">
        <f>VLOOKUP($B22,'Data-PC'!$B$16:$AX$59,48,FALSE)</f>
        <v>0</v>
      </c>
      <c r="AZ22">
        <f>VLOOKUP($B22,'Data-PC'!$B$13:$AX$59,49,FALSE)*C22</f>
        <v>0</v>
      </c>
      <c r="BA22">
        <f>SUM(X22,AC22,AH22,AM22,AR22,AV22,AZ22)</f>
        <v>66.51874710000001</v>
      </c>
    </row>
    <row r="23">
      <c r="A23">
        <f>A22+1</f>
        <v>13</v>
      </c>
      <c r="B23" t="str">
        <v>PC.1</v>
      </c>
      <c r="C23">
        <v>1</v>
      </c>
      <c r="E23">
        <f>D23-(G23+$T$3)/1000</f>
        <v>-0.5</v>
      </c>
      <c r="F23">
        <f>VLOOKUP(B23,'Data-PC'!$B$13:$AP$36,15,FALSE)</f>
        <v>1.96</v>
      </c>
      <c r="G23">
        <f>VLOOKUP(B23,'Data-PC'!$B$13:$G$36,4,FALSE)</f>
        <v>500</v>
      </c>
      <c r="H23">
        <f>C23*VLOOKUP(B23,'Data-PC'!$B$13:$BC$36,18,FALSE)</f>
        <v>1</v>
      </c>
      <c r="I23">
        <f>C23*VLOOKUP(B23,'Data-PC'!$B$13:$BC$36,51,FALSE)</f>
        <v>0</v>
      </c>
      <c r="J23">
        <f>F23*C23*'Data-PC'!$D$5/1000</f>
        <v>0.098</v>
      </c>
      <c r="K23">
        <f>F23*('Data-PC'!$D$4/1000)*C23</f>
        <v>0</v>
      </c>
      <c r="L23">
        <f>C23*F23*($T$3-E23)</f>
        <v>0.98</v>
      </c>
      <c r="M23">
        <f>L23-(T23+J23)</f>
        <v>0.702</v>
      </c>
      <c r="S23">
        <f>L23-M23</f>
        <v>0.278</v>
      </c>
      <c r="T23">
        <f>C23*VLOOKUP(B23,'Data-PC'!$B$13:$AP$36,16,FALSE)*(1+'Data-PC'!$T$3/100)</f>
        <v>0.18</v>
      </c>
      <c r="U23">
        <f>C23*VLOOKUP(B23,'Data-PC'!$B$13:$AP$36,17,FALSE)*(1+'Data-PC'!$T$5/100)</f>
        <v>1.2</v>
      </c>
      <c r="V23">
        <f>VLOOKUP($B23,'Data-PC'!$B$13:$AP$59,19,FALSE)</f>
        <v>1</v>
      </c>
      <c r="W23">
        <f>VLOOKUP($B23,'Data-PC'!$B$13:$AP$59,20,FALSE)</f>
        <v>10</v>
      </c>
      <c r="X23">
        <f>VLOOKUP($B23,'Data-PC'!$B$13:$AP$59,21,FALSE)*C23</f>
        <v>1.4241150000000002</v>
      </c>
      <c r="Y23">
        <f>VLOOKUP($B23,'Data-PC'!$B$13:$AP$59,22,FALSE)</f>
        <v>13</v>
      </c>
      <c r="Z23">
        <f>VLOOKUP($B23,'Data-PC'!$B$13:$AP$59,23,FALSE)</f>
        <v>0</v>
      </c>
      <c r="AA23">
        <f>VLOOKUP($B23,'Data-PC'!$B$13:$AP$59,24,FALSE)</f>
        <v>5</v>
      </c>
      <c r="AB23">
        <f>VLOOKUP($B23,'Data-PC'!$B$13:$AP$59,25,FALSE)</f>
        <v>4.9</v>
      </c>
      <c r="AC23">
        <f>VLOOKUP($B23,'Data-PC'!$B$13:$AP$59,26,FALSE)*C23</f>
        <v>5.1052365</v>
      </c>
      <c r="AD23">
        <f>VLOOKUP($B23,'Data-PC'!$B$13:$AP$59,27,FALSE)</f>
        <v>13</v>
      </c>
      <c r="AE23">
        <f>VLOOKUP($B23,'Data-PC'!$B$13:$AP$59,28,FALSE)</f>
        <v>0</v>
      </c>
      <c r="AF23">
        <f>VLOOKUP($B23,'Data-PC'!$B$13:$AP$59,29,FALSE)</f>
        <v>5</v>
      </c>
      <c r="AG23">
        <f>VLOOKUP($B23,'Data-PC'!$B$13:$AP$59,30,FALSE)</f>
        <v>4.9</v>
      </c>
      <c r="AH23">
        <f>VLOOKUP($B23,'Data-PC'!$B$13:$AP$59,31,FALSE)*C23</f>
        <v>5.1052365</v>
      </c>
      <c r="AI23">
        <f>VLOOKUP($B23,'Data-PC'!$B$13:$AP$59,32,FALSE)</f>
        <v>13</v>
      </c>
      <c r="AJ23">
        <f>VLOOKUP($B23,'Data-PC'!$B$13:$AP$59,33,FALSE)</f>
        <v>0</v>
      </c>
      <c r="AK23">
        <f>VLOOKUP($B23,'Data-PC'!$B$13:$AP$59,34,FALSE)</f>
        <v>5</v>
      </c>
      <c r="AL23">
        <f>VLOOKUP($B23,'Data-PC'!$B$13:$AP$59,35,FALSE)</f>
        <v>7.1</v>
      </c>
      <c r="AM23">
        <f>VLOOKUP($B23,'Data-PC'!$B$13:$AP$59,36,FALSE)*C23</f>
        <v>7.397383499999999</v>
      </c>
      <c r="AN23">
        <f>VLOOKUP($B23,'Data-PC'!$B$13:$AP$59,37,FALSE)</f>
        <v>13</v>
      </c>
      <c r="AO23">
        <f>VLOOKUP($B23,'Data-PC'!$B$13:$AP$59,38,FALSE)</f>
        <v>0</v>
      </c>
      <c r="AP23">
        <f>VLOOKUP($B23,'Data-PC'!$B$13:$AP$59,39,FALSE)</f>
        <v>5</v>
      </c>
      <c r="AQ23">
        <f>VLOOKUP($B23,'Data-PC'!$B$13:$AP$59,40,FALSE)</f>
        <v>7.1</v>
      </c>
      <c r="AR23">
        <f>VLOOKUP($B23,'Data-PC'!$B$13:$AP$59,41,FALSE)*C23</f>
        <v>7.397383499999999</v>
      </c>
      <c r="AS23">
        <f>VLOOKUP($B23,'Data-PC'!$B$13:$AX$59,42,FALSE)</f>
        <v>0</v>
      </c>
      <c r="AT23">
        <f>VLOOKUP($B23,'Data-PC'!$B$13:$AX$59,43,FALSE)</f>
        <v>0</v>
      </c>
      <c r="AU23">
        <f>VLOOKUP($B23,'Data-PC'!$B$13:$AX$59,44,FALSE)</f>
        <v>1180</v>
      </c>
      <c r="AV23">
        <f>VLOOKUP($B23,'Data-PC'!$B$13:$AX$59,45,FALSE)*C23</f>
        <v>0</v>
      </c>
      <c r="AW23">
        <f>VLOOKUP($B23,'Data-PC'!$B$13:$AX$59,46,FALSE)</f>
        <v>0</v>
      </c>
      <c r="AX23">
        <f>VLOOKUP($B23,'Data-PC'!$B$13:$AX$59,47,FALSE)</f>
        <v>0</v>
      </c>
      <c r="AY23">
        <f>VLOOKUP($B23,'Data-PC'!$B$16:$AX$59,48,FALSE)</f>
        <v>0</v>
      </c>
      <c r="AZ23">
        <f>VLOOKUP($B23,'Data-PC'!$B$13:$AX$59,49,FALSE)*C23</f>
        <v>0</v>
      </c>
      <c r="BA23">
        <f>SUM(X23,AC23,AH23,AM23,AR23,AV23,AZ23)</f>
        <v>26.429355</v>
      </c>
    </row>
    <row r="24">
      <c r="A24">
        <f>A23+1</f>
        <v>14</v>
      </c>
      <c r="B24" t="str">
        <v>PC.2</v>
      </c>
      <c r="C24">
        <v>1</v>
      </c>
      <c r="E24">
        <f>D24-(G24+$T$3)/1000</f>
        <v>-0.5</v>
      </c>
      <c r="F24">
        <f>VLOOKUP(B24,'Data-PC'!$B$13:$AP$36,15,FALSE)</f>
        <v>3.22</v>
      </c>
      <c r="G24">
        <f>VLOOKUP(B24,'Data-PC'!$B$13:$G$36,4,FALSE)</f>
        <v>500</v>
      </c>
      <c r="H24">
        <f>C24*VLOOKUP(B24,'Data-PC'!$B$13:$BC$36,18,FALSE)</f>
        <v>2</v>
      </c>
      <c r="I24">
        <f>C24*VLOOKUP(B24,'Data-PC'!$B$13:$BC$36,51,FALSE)</f>
        <v>0</v>
      </c>
      <c r="J24">
        <f>F24*C24*'Data-PC'!$D$5/1000</f>
        <v>0.161</v>
      </c>
      <c r="K24">
        <f>F24*('Data-PC'!$D$4/1000)*C24</f>
        <v>0</v>
      </c>
      <c r="L24">
        <f>C24*F24*($T$3-E24)</f>
        <v>1.61</v>
      </c>
      <c r="M24">
        <f>L24-(T24+J24)</f>
        <v>0.9990000000000001</v>
      </c>
      <c r="S24">
        <f>L24-M24</f>
        <v>0.611</v>
      </c>
      <c r="T24">
        <f>C24*VLOOKUP(B24,'Data-PC'!$B$13:$AP$36,16,FALSE)*(1+'Data-PC'!$T$3/100)</f>
        <v>0.45</v>
      </c>
      <c r="U24">
        <f>C24*VLOOKUP(B24,'Data-PC'!$B$13:$AP$36,17,FALSE)*(1+'Data-PC'!$T$5/100)</f>
        <v>2.1</v>
      </c>
      <c r="V24">
        <f>VLOOKUP($B24,'Data-PC'!$B$13:$AP$59,19,FALSE)</f>
        <v>1</v>
      </c>
      <c r="W24">
        <f>VLOOKUP($B24,'Data-PC'!$B$13:$AP$59,20,FALSE)</f>
        <v>10</v>
      </c>
      <c r="X24">
        <f>VLOOKUP($B24,'Data-PC'!$B$13:$AP$59,21,FALSE)*C24</f>
        <v>2.5338150000000006</v>
      </c>
      <c r="Y24">
        <f>VLOOKUP($B24,'Data-PC'!$B$13:$AP$59,22,FALSE)</f>
        <v>13</v>
      </c>
      <c r="Z24">
        <f>VLOOKUP($B24,'Data-PC'!$B$13:$AP$59,23,FALSE)</f>
        <v>0</v>
      </c>
      <c r="AA24">
        <f>VLOOKUP($B24,'Data-PC'!$B$13:$AP$59,24,FALSE)</f>
        <v>5</v>
      </c>
      <c r="AB24">
        <f>VLOOKUP($B24,'Data-PC'!$B$13:$AP$59,25,FALSE)</f>
        <v>9.4</v>
      </c>
      <c r="AC24">
        <f>VLOOKUP($B24,'Data-PC'!$B$13:$AP$59,26,FALSE)*C24</f>
        <v>9.793719</v>
      </c>
      <c r="AD24">
        <f>VLOOKUP($B24,'Data-PC'!$B$13:$AP$59,27,FALSE)</f>
        <v>13</v>
      </c>
      <c r="AE24">
        <f>VLOOKUP($B24,'Data-PC'!$B$13:$AP$59,28,FALSE)</f>
        <v>0</v>
      </c>
      <c r="AF24">
        <f>VLOOKUP($B24,'Data-PC'!$B$13:$AP$59,29,FALSE)</f>
        <v>11</v>
      </c>
      <c r="AG24">
        <f>VLOOKUP($B24,'Data-PC'!$B$13:$AP$59,30,FALSE)</f>
        <v>10.78</v>
      </c>
      <c r="AH24">
        <f>VLOOKUP($B24,'Data-PC'!$B$13:$AP$59,31,FALSE)*C24</f>
        <v>11.2315203</v>
      </c>
      <c r="AI24">
        <f>VLOOKUP($B24,'Data-PC'!$B$13:$AP$59,32,FALSE)</f>
        <v>16</v>
      </c>
      <c r="AJ24">
        <f>VLOOKUP($B24,'Data-PC'!$B$13:$AP$59,33,FALSE)</f>
        <v>0</v>
      </c>
      <c r="AK24">
        <f>VLOOKUP($B24,'Data-PC'!$B$13:$AP$59,34,FALSE)</f>
        <v>5</v>
      </c>
      <c r="AL24">
        <f>VLOOKUP($B24,'Data-PC'!$B$13:$AP$59,35,FALSE)</f>
        <v>11.6</v>
      </c>
      <c r="AM24">
        <f>VLOOKUP($B24,'Data-PC'!$B$13:$AP$59,36,FALSE)*C24</f>
        <v>18.307584000000002</v>
      </c>
      <c r="AN24">
        <f>VLOOKUP($B24,'Data-PC'!$B$13:$AP$59,37,FALSE)</f>
        <v>16</v>
      </c>
      <c r="AO24">
        <f>VLOOKUP($B24,'Data-PC'!$B$13:$AP$59,38,FALSE)</f>
        <v>0</v>
      </c>
      <c r="AP24">
        <f>VLOOKUP($B24,'Data-PC'!$B$13:$AP$59,39,FALSE)</f>
        <v>11</v>
      </c>
      <c r="AQ24">
        <f>VLOOKUP($B24,'Data-PC'!$B$13:$AP$59,40,FALSE)</f>
        <v>15.62</v>
      </c>
      <c r="AR24">
        <f>VLOOKUP($B24,'Data-PC'!$B$13:$AP$59,41,FALSE)*C24</f>
        <v>24.6521088</v>
      </c>
      <c r="AS24">
        <f>VLOOKUP($B24,'Data-PC'!$B$13:$AX$59,42,FALSE)</f>
        <v>0</v>
      </c>
      <c r="AT24">
        <f>VLOOKUP($B24,'Data-PC'!$B$13:$AX$59,43,FALSE)</f>
        <v>0</v>
      </c>
      <c r="AU24">
        <f>VLOOKUP($B24,'Data-PC'!$B$13:$AX$59,44,FALSE)</f>
        <v>1180</v>
      </c>
      <c r="AV24">
        <f>VLOOKUP($B24,'Data-PC'!$B$13:$AX$59,45,FALSE)*C24</f>
        <v>0</v>
      </c>
      <c r="AW24">
        <f>VLOOKUP($B24,'Data-PC'!$B$13:$AX$59,46,FALSE)</f>
        <v>0</v>
      </c>
      <c r="AX24">
        <f>VLOOKUP($B24,'Data-PC'!$B$13:$AX$59,47,FALSE)</f>
        <v>0</v>
      </c>
      <c r="AY24">
        <f>VLOOKUP($B24,'Data-PC'!$B$16:$AX$59,48,FALSE)</f>
        <v>0</v>
      </c>
      <c r="AZ24">
        <f>VLOOKUP($B24,'Data-PC'!$B$13:$AX$59,49,FALSE)*C24</f>
        <v>0</v>
      </c>
      <c r="BA24">
        <f>SUM(X24,AC24,AH24,AM24,AR24,AV24,AZ24)</f>
        <v>66.51874710000001</v>
      </c>
    </row>
    <row r="25">
      <c r="A25">
        <f>A24+1</f>
        <v>15</v>
      </c>
      <c r="B25" t="str">
        <v>PC.2</v>
      </c>
      <c r="C25">
        <v>1</v>
      </c>
      <c r="E25">
        <f>D25-(G25+$T$3)/1000</f>
        <v>-0.5</v>
      </c>
      <c r="F25">
        <f>VLOOKUP(B25,'Data-PC'!$B$13:$AP$36,15,FALSE)</f>
        <v>3.22</v>
      </c>
      <c r="G25">
        <f>VLOOKUP(B25,'Data-PC'!$B$13:$G$36,4,FALSE)</f>
        <v>500</v>
      </c>
      <c r="H25">
        <f>C25*VLOOKUP(B25,'Data-PC'!$B$13:$BC$36,18,FALSE)</f>
        <v>2</v>
      </c>
      <c r="I25">
        <f>C25*VLOOKUP(B25,'Data-PC'!$B$13:$BC$36,51,FALSE)</f>
        <v>0</v>
      </c>
      <c r="J25">
        <f>F25*C25*'Data-PC'!$D$5/1000</f>
        <v>0.161</v>
      </c>
      <c r="K25">
        <f>F25*('Data-PC'!$D$4/1000)*C25</f>
        <v>0</v>
      </c>
      <c r="L25">
        <f>C25*F25*($T$3-E25)</f>
        <v>1.61</v>
      </c>
      <c r="M25">
        <f>L25-(T25+J25)</f>
        <v>0.9990000000000001</v>
      </c>
      <c r="S25">
        <f>L25-M25</f>
        <v>0.611</v>
      </c>
      <c r="T25">
        <f>C25*VLOOKUP(B25,'Data-PC'!$B$13:$AP$36,16,FALSE)*(1+'Data-PC'!$T$3/100)</f>
        <v>0.45</v>
      </c>
      <c r="U25">
        <f>C25*VLOOKUP(B25,'Data-PC'!$B$13:$AP$36,17,FALSE)*(1+'Data-PC'!$T$5/100)</f>
        <v>2.1</v>
      </c>
      <c r="V25">
        <f>VLOOKUP($B25,'Data-PC'!$B$13:$AP$59,19,FALSE)</f>
        <v>1</v>
      </c>
      <c r="W25">
        <f>VLOOKUP($B25,'Data-PC'!$B$13:$AP$59,20,FALSE)</f>
        <v>10</v>
      </c>
      <c r="X25">
        <f>VLOOKUP($B25,'Data-PC'!$B$13:$AP$59,21,FALSE)*C25</f>
        <v>2.5338150000000006</v>
      </c>
      <c r="Y25">
        <f>VLOOKUP($B25,'Data-PC'!$B$13:$AP$59,22,FALSE)</f>
        <v>13</v>
      </c>
      <c r="Z25">
        <f>VLOOKUP($B25,'Data-PC'!$B$13:$AP$59,23,FALSE)</f>
        <v>0</v>
      </c>
      <c r="AA25">
        <f>VLOOKUP($B25,'Data-PC'!$B$13:$AP$59,24,FALSE)</f>
        <v>5</v>
      </c>
      <c r="AB25">
        <f>VLOOKUP($B25,'Data-PC'!$B$13:$AP$59,25,FALSE)</f>
        <v>9.4</v>
      </c>
      <c r="AC25">
        <f>VLOOKUP($B25,'Data-PC'!$B$13:$AP$59,26,FALSE)*C25</f>
        <v>9.793719</v>
      </c>
      <c r="AD25">
        <f>VLOOKUP($B25,'Data-PC'!$B$13:$AP$59,27,FALSE)</f>
        <v>13</v>
      </c>
      <c r="AE25">
        <f>VLOOKUP($B25,'Data-PC'!$B$13:$AP$59,28,FALSE)</f>
        <v>0</v>
      </c>
      <c r="AF25">
        <f>VLOOKUP($B25,'Data-PC'!$B$13:$AP$59,29,FALSE)</f>
        <v>11</v>
      </c>
      <c r="AG25">
        <f>VLOOKUP($B25,'Data-PC'!$B$13:$AP$59,30,FALSE)</f>
        <v>10.78</v>
      </c>
      <c r="AH25">
        <f>VLOOKUP($B25,'Data-PC'!$B$13:$AP$59,31,FALSE)*C25</f>
        <v>11.2315203</v>
      </c>
      <c r="AI25">
        <f>VLOOKUP($B25,'Data-PC'!$B$13:$AP$59,32,FALSE)</f>
        <v>16</v>
      </c>
      <c r="AJ25">
        <f>VLOOKUP($B25,'Data-PC'!$B$13:$AP$59,33,FALSE)</f>
        <v>0</v>
      </c>
      <c r="AK25">
        <f>VLOOKUP($B25,'Data-PC'!$B$13:$AP$59,34,FALSE)</f>
        <v>5</v>
      </c>
      <c r="AL25">
        <f>VLOOKUP($B25,'Data-PC'!$B$13:$AP$59,35,FALSE)</f>
        <v>11.6</v>
      </c>
      <c r="AM25">
        <f>VLOOKUP($B25,'Data-PC'!$B$13:$AP$59,36,FALSE)*C25</f>
        <v>18.307584000000002</v>
      </c>
      <c r="AN25">
        <f>VLOOKUP($B25,'Data-PC'!$B$13:$AP$59,37,FALSE)</f>
        <v>16</v>
      </c>
      <c r="AO25">
        <f>VLOOKUP($B25,'Data-PC'!$B$13:$AP$59,38,FALSE)</f>
        <v>0</v>
      </c>
      <c r="AP25">
        <f>VLOOKUP($B25,'Data-PC'!$B$13:$AP$59,39,FALSE)</f>
        <v>11</v>
      </c>
      <c r="AQ25">
        <f>VLOOKUP($B25,'Data-PC'!$B$13:$AP$59,40,FALSE)</f>
        <v>15.62</v>
      </c>
      <c r="AR25">
        <f>VLOOKUP($B25,'Data-PC'!$B$13:$AP$59,41,FALSE)*C25</f>
        <v>24.6521088</v>
      </c>
      <c r="AS25">
        <f>VLOOKUP($B25,'Data-PC'!$B$13:$AX$59,42,FALSE)</f>
        <v>0</v>
      </c>
      <c r="AT25">
        <f>VLOOKUP($B25,'Data-PC'!$B$13:$AX$59,43,FALSE)</f>
        <v>0</v>
      </c>
      <c r="AU25">
        <f>VLOOKUP($B25,'Data-PC'!$B$13:$AX$59,44,FALSE)</f>
        <v>1180</v>
      </c>
      <c r="AV25">
        <f>VLOOKUP($B25,'Data-PC'!$B$13:$AX$59,45,FALSE)*C25</f>
        <v>0</v>
      </c>
      <c r="AW25">
        <f>VLOOKUP($B25,'Data-PC'!$B$13:$AX$59,46,FALSE)</f>
        <v>0</v>
      </c>
      <c r="AX25">
        <f>VLOOKUP($B25,'Data-PC'!$B$13:$AX$59,47,FALSE)</f>
        <v>0</v>
      </c>
      <c r="AY25">
        <f>VLOOKUP($B25,'Data-PC'!$B$16:$AX$59,48,FALSE)</f>
        <v>0</v>
      </c>
      <c r="AZ25">
        <f>VLOOKUP($B25,'Data-PC'!$B$13:$AX$59,49,FALSE)*C25</f>
        <v>0</v>
      </c>
      <c r="BA25">
        <f>SUM(X25,AC25,AH25,AM25,AR25,AV25,AZ25)</f>
        <v>66.51874710000001</v>
      </c>
    </row>
    <row r="26">
      <c r="A26" t="str">
        <v>15A</v>
      </c>
      <c r="B26" t="str">
        <v>PC.1</v>
      </c>
      <c r="C26">
        <v>1</v>
      </c>
      <c r="E26">
        <f>D26-(G26+$T$3)/1000</f>
        <v>-0.5</v>
      </c>
      <c r="F26">
        <f>VLOOKUP(B26,'Data-PC'!$B$13:$AP$36,15,FALSE)</f>
        <v>1.96</v>
      </c>
      <c r="G26">
        <f>VLOOKUP(B26,'Data-PC'!$B$13:$G$36,4,FALSE)</f>
        <v>500</v>
      </c>
      <c r="H26">
        <f>C26*VLOOKUP(B26,'Data-PC'!$B$13:$BC$36,18,FALSE)</f>
        <v>1</v>
      </c>
      <c r="I26">
        <f>C26*VLOOKUP(B26,'Data-PC'!$B$13:$BC$36,51,FALSE)</f>
        <v>0</v>
      </c>
      <c r="J26">
        <f>F26*C26*'Data-PC'!$D$5/1000</f>
        <v>0.098</v>
      </c>
      <c r="K26">
        <f>F26*('Data-PC'!$D$4/1000)*C26</f>
        <v>0</v>
      </c>
      <c r="L26">
        <f>C26*F26*($T$3-E26)</f>
        <v>0.98</v>
      </c>
      <c r="M26">
        <f>L26-(T26+J26)</f>
        <v>0.702</v>
      </c>
      <c r="S26">
        <f>L26-M26</f>
        <v>0.278</v>
      </c>
      <c r="T26">
        <f>C26*VLOOKUP(B26,'Data-PC'!$B$13:$AP$36,16,FALSE)*(1+'Data-PC'!$T$3/100)</f>
        <v>0.18</v>
      </c>
      <c r="U26">
        <f>C26*VLOOKUP(B26,'Data-PC'!$B$13:$AP$36,17,FALSE)*(1+'Data-PC'!$T$5/100)</f>
        <v>1.2</v>
      </c>
      <c r="V26">
        <f>VLOOKUP($B26,'Data-PC'!$B$13:$AP$59,19,FALSE)</f>
        <v>1</v>
      </c>
      <c r="W26">
        <f>VLOOKUP($B26,'Data-PC'!$B$13:$AP$59,20,FALSE)</f>
        <v>10</v>
      </c>
      <c r="X26">
        <f>VLOOKUP($B26,'Data-PC'!$B$13:$AP$59,21,FALSE)*C26</f>
        <v>1.4241150000000002</v>
      </c>
      <c r="Y26">
        <f>VLOOKUP($B26,'Data-PC'!$B$13:$AP$59,22,FALSE)</f>
        <v>13</v>
      </c>
      <c r="Z26">
        <f>VLOOKUP($B26,'Data-PC'!$B$13:$AP$59,23,FALSE)</f>
        <v>0</v>
      </c>
      <c r="AA26">
        <f>VLOOKUP($B26,'Data-PC'!$B$13:$AP$59,24,FALSE)</f>
        <v>5</v>
      </c>
      <c r="AB26">
        <f>VLOOKUP($B26,'Data-PC'!$B$13:$AP$59,25,FALSE)</f>
        <v>4.9</v>
      </c>
      <c r="AC26">
        <f>VLOOKUP($B26,'Data-PC'!$B$13:$AP$59,26,FALSE)*C26</f>
        <v>5.1052365</v>
      </c>
      <c r="AD26">
        <f>VLOOKUP($B26,'Data-PC'!$B$13:$AP$59,27,FALSE)</f>
        <v>13</v>
      </c>
      <c r="AE26">
        <f>VLOOKUP($B26,'Data-PC'!$B$13:$AP$59,28,FALSE)</f>
        <v>0</v>
      </c>
      <c r="AF26">
        <f>VLOOKUP($B26,'Data-PC'!$B$13:$AP$59,29,FALSE)</f>
        <v>5</v>
      </c>
      <c r="AG26">
        <f>VLOOKUP($B26,'Data-PC'!$B$13:$AP$59,30,FALSE)</f>
        <v>4.9</v>
      </c>
      <c r="AH26">
        <f>VLOOKUP($B26,'Data-PC'!$B$13:$AP$59,31,FALSE)*C26</f>
        <v>5.1052365</v>
      </c>
      <c r="AI26">
        <f>VLOOKUP($B26,'Data-PC'!$B$13:$AP$59,32,FALSE)</f>
        <v>13</v>
      </c>
      <c r="AJ26">
        <f>VLOOKUP($B26,'Data-PC'!$B$13:$AP$59,33,FALSE)</f>
        <v>0</v>
      </c>
      <c r="AK26">
        <f>VLOOKUP($B26,'Data-PC'!$B$13:$AP$59,34,FALSE)</f>
        <v>5</v>
      </c>
      <c r="AL26">
        <f>VLOOKUP($B26,'Data-PC'!$B$13:$AP$59,35,FALSE)</f>
        <v>7.1</v>
      </c>
      <c r="AM26">
        <f>VLOOKUP($B26,'Data-PC'!$B$13:$AP$59,36,FALSE)*C26</f>
        <v>7.397383499999999</v>
      </c>
      <c r="AN26">
        <f>VLOOKUP($B26,'Data-PC'!$B$13:$AP$59,37,FALSE)</f>
        <v>13</v>
      </c>
      <c r="AO26">
        <f>VLOOKUP($B26,'Data-PC'!$B$13:$AP$59,38,FALSE)</f>
        <v>0</v>
      </c>
      <c r="AP26">
        <f>VLOOKUP($B26,'Data-PC'!$B$13:$AP$59,39,FALSE)</f>
        <v>5</v>
      </c>
      <c r="AQ26">
        <f>VLOOKUP($B26,'Data-PC'!$B$13:$AP$59,40,FALSE)</f>
        <v>7.1</v>
      </c>
      <c r="AR26">
        <f>VLOOKUP($B26,'Data-PC'!$B$13:$AP$59,41,FALSE)*C26</f>
        <v>7.397383499999999</v>
      </c>
      <c r="AS26">
        <f>VLOOKUP($B26,'Data-PC'!$B$13:$AX$59,42,FALSE)</f>
        <v>0</v>
      </c>
      <c r="AT26">
        <f>VLOOKUP($B26,'Data-PC'!$B$13:$AX$59,43,FALSE)</f>
        <v>0</v>
      </c>
      <c r="AU26">
        <f>VLOOKUP($B26,'Data-PC'!$B$13:$AX$59,44,FALSE)</f>
        <v>1180</v>
      </c>
      <c r="AV26">
        <f>VLOOKUP($B26,'Data-PC'!$B$13:$AX$59,45,FALSE)*C26</f>
        <v>0</v>
      </c>
      <c r="AW26">
        <f>VLOOKUP($B26,'Data-PC'!$B$13:$AX$59,46,FALSE)</f>
        <v>0</v>
      </c>
      <c r="AX26">
        <f>VLOOKUP($B26,'Data-PC'!$B$13:$AX$59,47,FALSE)</f>
        <v>0</v>
      </c>
      <c r="AY26">
        <f>VLOOKUP($B26,'Data-PC'!$B$16:$AX$59,48,FALSE)</f>
        <v>0</v>
      </c>
      <c r="AZ26">
        <f>VLOOKUP($B26,'Data-PC'!$B$13:$AX$59,49,FALSE)*C26</f>
        <v>0</v>
      </c>
      <c r="BA26">
        <f>SUM(X26,AC26,AH26,AM26,AR26,AV26,AZ26)</f>
        <v>26.429355</v>
      </c>
    </row>
    <row r="27">
      <c r="A27">
        <v>16</v>
      </c>
      <c r="B27" t="str">
        <v>PC.2</v>
      </c>
      <c r="C27">
        <v>1</v>
      </c>
      <c r="E27">
        <f>D27-(G27+$T$3)/1000</f>
        <v>-0.5</v>
      </c>
      <c r="F27">
        <f>VLOOKUP(B27,'Data-PC'!$B$13:$AP$36,15,FALSE)</f>
        <v>3.22</v>
      </c>
      <c r="G27">
        <f>VLOOKUP(B27,'Data-PC'!$B$13:$G$36,4,FALSE)</f>
        <v>500</v>
      </c>
      <c r="H27">
        <f>C27*VLOOKUP(B27,'Data-PC'!$B$13:$BC$36,18,FALSE)</f>
        <v>2</v>
      </c>
      <c r="I27">
        <f>C27*VLOOKUP(B27,'Data-PC'!$B$13:$BC$36,51,FALSE)</f>
        <v>0</v>
      </c>
      <c r="J27">
        <f>F27*C27*'Data-PC'!$D$5/1000</f>
        <v>0.161</v>
      </c>
      <c r="K27">
        <f>F27*('Data-PC'!$D$4/1000)*C27</f>
        <v>0</v>
      </c>
      <c r="L27">
        <f>C27*F27*($T$3-E27)</f>
        <v>1.61</v>
      </c>
      <c r="M27">
        <f>L27-(T27+J27)</f>
        <v>0.9990000000000001</v>
      </c>
      <c r="S27">
        <f>L27-M27</f>
        <v>0.611</v>
      </c>
      <c r="T27">
        <f>C27*VLOOKUP(B27,'Data-PC'!$B$13:$AP$36,16,FALSE)*(1+'Data-PC'!$T$3/100)</f>
        <v>0.45</v>
      </c>
      <c r="U27">
        <f>C27*VLOOKUP(B27,'Data-PC'!$B$13:$AP$36,17,FALSE)*(1+'Data-PC'!$T$5/100)</f>
        <v>2.1</v>
      </c>
      <c r="V27">
        <f>VLOOKUP($B27,'Data-PC'!$B$13:$AP$59,19,FALSE)</f>
        <v>1</v>
      </c>
      <c r="W27">
        <f>VLOOKUP($B27,'Data-PC'!$B$13:$AP$59,20,FALSE)</f>
        <v>10</v>
      </c>
      <c r="X27">
        <f>VLOOKUP($B27,'Data-PC'!$B$13:$AP$59,21,FALSE)*C27</f>
        <v>2.5338150000000006</v>
      </c>
      <c r="Y27">
        <f>VLOOKUP($B27,'Data-PC'!$B$13:$AP$59,22,FALSE)</f>
        <v>13</v>
      </c>
      <c r="Z27">
        <f>VLOOKUP($B27,'Data-PC'!$B$13:$AP$59,23,FALSE)</f>
        <v>0</v>
      </c>
      <c r="AA27">
        <f>VLOOKUP($B27,'Data-PC'!$B$13:$AP$59,24,FALSE)</f>
        <v>5</v>
      </c>
      <c r="AB27">
        <f>VLOOKUP($B27,'Data-PC'!$B$13:$AP$59,25,FALSE)</f>
        <v>9.4</v>
      </c>
      <c r="AC27">
        <f>VLOOKUP($B27,'Data-PC'!$B$13:$AP$59,26,FALSE)*C27</f>
        <v>9.793719</v>
      </c>
      <c r="AD27">
        <f>VLOOKUP($B27,'Data-PC'!$B$13:$AP$59,27,FALSE)</f>
        <v>13</v>
      </c>
      <c r="AE27">
        <f>VLOOKUP($B27,'Data-PC'!$B$13:$AP$59,28,FALSE)</f>
        <v>0</v>
      </c>
      <c r="AF27">
        <f>VLOOKUP($B27,'Data-PC'!$B$13:$AP$59,29,FALSE)</f>
        <v>11</v>
      </c>
      <c r="AG27">
        <f>VLOOKUP($B27,'Data-PC'!$B$13:$AP$59,30,FALSE)</f>
        <v>10.78</v>
      </c>
      <c r="AH27">
        <f>VLOOKUP($B27,'Data-PC'!$B$13:$AP$59,31,FALSE)*C27</f>
        <v>11.2315203</v>
      </c>
      <c r="AI27">
        <f>VLOOKUP($B27,'Data-PC'!$B$13:$AP$59,32,FALSE)</f>
        <v>16</v>
      </c>
      <c r="AJ27">
        <f>VLOOKUP($B27,'Data-PC'!$B$13:$AP$59,33,FALSE)</f>
        <v>0</v>
      </c>
      <c r="AK27">
        <f>VLOOKUP($B27,'Data-PC'!$B$13:$AP$59,34,FALSE)</f>
        <v>5</v>
      </c>
      <c r="AL27">
        <f>VLOOKUP($B27,'Data-PC'!$B$13:$AP$59,35,FALSE)</f>
        <v>11.6</v>
      </c>
      <c r="AM27">
        <f>VLOOKUP($B27,'Data-PC'!$B$13:$AP$59,36,FALSE)*C27</f>
        <v>18.307584000000002</v>
      </c>
      <c r="AN27">
        <f>VLOOKUP($B27,'Data-PC'!$B$13:$AP$59,37,FALSE)</f>
        <v>16</v>
      </c>
      <c r="AO27">
        <f>VLOOKUP($B27,'Data-PC'!$B$13:$AP$59,38,FALSE)</f>
        <v>0</v>
      </c>
      <c r="AP27">
        <f>VLOOKUP($B27,'Data-PC'!$B$13:$AP$59,39,FALSE)</f>
        <v>11</v>
      </c>
      <c r="AQ27">
        <f>VLOOKUP($B27,'Data-PC'!$B$13:$AP$59,40,FALSE)</f>
        <v>15.62</v>
      </c>
      <c r="AR27">
        <f>VLOOKUP($B27,'Data-PC'!$B$13:$AP$59,41,FALSE)*C27</f>
        <v>24.6521088</v>
      </c>
      <c r="AS27">
        <f>VLOOKUP($B27,'Data-PC'!$B$13:$AX$59,42,FALSE)</f>
        <v>0</v>
      </c>
      <c r="AT27">
        <f>VLOOKUP($B27,'Data-PC'!$B$13:$AX$59,43,FALSE)</f>
        <v>0</v>
      </c>
      <c r="AU27">
        <f>VLOOKUP($B27,'Data-PC'!$B$13:$AX$59,44,FALSE)</f>
        <v>1180</v>
      </c>
      <c r="AV27">
        <f>VLOOKUP($B27,'Data-PC'!$B$13:$AX$59,45,FALSE)*C27</f>
        <v>0</v>
      </c>
      <c r="AW27">
        <f>VLOOKUP($B27,'Data-PC'!$B$13:$AX$59,46,FALSE)</f>
        <v>0</v>
      </c>
      <c r="AX27">
        <f>VLOOKUP($B27,'Data-PC'!$B$13:$AX$59,47,FALSE)</f>
        <v>0</v>
      </c>
      <c r="AY27">
        <f>VLOOKUP($B27,'Data-PC'!$B$16:$AX$59,48,FALSE)</f>
        <v>0</v>
      </c>
      <c r="AZ27">
        <f>VLOOKUP($B27,'Data-PC'!$B$13:$AX$59,49,FALSE)*C27</f>
        <v>0</v>
      </c>
      <c r="BA27">
        <f>SUM(X27,AC27,AH27,AM27,AR27,AV27,AZ27)</f>
        <v>66.51874710000001</v>
      </c>
    </row>
    <row r="28">
      <c r="A28">
        <f>A27+1</f>
        <v>17</v>
      </c>
      <c r="B28" t="str">
        <v>PC.2</v>
      </c>
      <c r="C28">
        <v>1</v>
      </c>
      <c r="E28">
        <f>D28-(G28+$T$3)/1000</f>
        <v>-0.5</v>
      </c>
      <c r="F28">
        <f>VLOOKUP(B28,'Data-PC'!$B$13:$AP$36,15,FALSE)</f>
        <v>3.22</v>
      </c>
      <c r="G28">
        <f>VLOOKUP(B28,'Data-PC'!$B$13:$G$36,4,FALSE)</f>
        <v>500</v>
      </c>
      <c r="H28">
        <f>C28*VLOOKUP(B28,'Data-PC'!$B$13:$BC$36,18,FALSE)</f>
        <v>2</v>
      </c>
      <c r="I28">
        <f>C28*VLOOKUP(B28,'Data-PC'!$B$13:$BC$36,51,FALSE)</f>
        <v>0</v>
      </c>
      <c r="J28">
        <f>F28*C28*'Data-PC'!$D$5/1000</f>
        <v>0.161</v>
      </c>
      <c r="K28">
        <f>F28*('Data-PC'!$D$4/1000)*C28</f>
        <v>0</v>
      </c>
      <c r="L28">
        <f>C28*F28*($T$3-E28)</f>
        <v>1.61</v>
      </c>
      <c r="M28">
        <f>L28-(T28+J28)</f>
        <v>0.9990000000000001</v>
      </c>
      <c r="S28">
        <f>L28-M28</f>
        <v>0.611</v>
      </c>
      <c r="T28">
        <f>C28*VLOOKUP(B28,'Data-PC'!$B$13:$AP$36,16,FALSE)*(1+'Data-PC'!$T$3/100)</f>
        <v>0.45</v>
      </c>
      <c r="U28">
        <f>C28*VLOOKUP(B28,'Data-PC'!$B$13:$AP$36,17,FALSE)*(1+'Data-PC'!$T$5/100)</f>
        <v>2.1</v>
      </c>
      <c r="V28">
        <f>VLOOKUP($B28,'Data-PC'!$B$13:$AP$59,19,FALSE)</f>
        <v>1</v>
      </c>
      <c r="W28">
        <f>VLOOKUP($B28,'Data-PC'!$B$13:$AP$59,20,FALSE)</f>
        <v>10</v>
      </c>
      <c r="X28">
        <f>VLOOKUP($B28,'Data-PC'!$B$13:$AP$59,21,FALSE)*C28</f>
        <v>2.5338150000000006</v>
      </c>
      <c r="Y28">
        <f>VLOOKUP($B28,'Data-PC'!$B$13:$AP$59,22,FALSE)</f>
        <v>13</v>
      </c>
      <c r="Z28">
        <f>VLOOKUP($B28,'Data-PC'!$B$13:$AP$59,23,FALSE)</f>
        <v>0</v>
      </c>
      <c r="AA28">
        <f>VLOOKUP($B28,'Data-PC'!$B$13:$AP$59,24,FALSE)</f>
        <v>5</v>
      </c>
      <c r="AB28">
        <f>VLOOKUP($B28,'Data-PC'!$B$13:$AP$59,25,FALSE)</f>
        <v>9.4</v>
      </c>
      <c r="AC28">
        <f>VLOOKUP($B28,'Data-PC'!$B$13:$AP$59,26,FALSE)*C28</f>
        <v>9.793719</v>
      </c>
      <c r="AD28">
        <f>VLOOKUP($B28,'Data-PC'!$B$13:$AP$59,27,FALSE)</f>
        <v>13</v>
      </c>
      <c r="AE28">
        <f>VLOOKUP($B28,'Data-PC'!$B$13:$AP$59,28,FALSE)</f>
        <v>0</v>
      </c>
      <c r="AF28">
        <f>VLOOKUP($B28,'Data-PC'!$B$13:$AP$59,29,FALSE)</f>
        <v>11</v>
      </c>
      <c r="AG28">
        <f>VLOOKUP($B28,'Data-PC'!$B$13:$AP$59,30,FALSE)</f>
        <v>10.78</v>
      </c>
      <c r="AH28">
        <f>VLOOKUP($B28,'Data-PC'!$B$13:$AP$59,31,FALSE)*C28</f>
        <v>11.2315203</v>
      </c>
      <c r="AI28">
        <f>VLOOKUP($B28,'Data-PC'!$B$13:$AP$59,32,FALSE)</f>
        <v>16</v>
      </c>
      <c r="AJ28">
        <f>VLOOKUP($B28,'Data-PC'!$B$13:$AP$59,33,FALSE)</f>
        <v>0</v>
      </c>
      <c r="AK28">
        <f>VLOOKUP($B28,'Data-PC'!$B$13:$AP$59,34,FALSE)</f>
        <v>5</v>
      </c>
      <c r="AL28">
        <f>VLOOKUP($B28,'Data-PC'!$B$13:$AP$59,35,FALSE)</f>
        <v>11.6</v>
      </c>
      <c r="AM28">
        <f>VLOOKUP($B28,'Data-PC'!$B$13:$AP$59,36,FALSE)*C28</f>
        <v>18.307584000000002</v>
      </c>
      <c r="AN28">
        <f>VLOOKUP($B28,'Data-PC'!$B$13:$AP$59,37,FALSE)</f>
        <v>16</v>
      </c>
      <c r="AO28">
        <f>VLOOKUP($B28,'Data-PC'!$B$13:$AP$59,38,FALSE)</f>
        <v>0</v>
      </c>
      <c r="AP28">
        <f>VLOOKUP($B28,'Data-PC'!$B$13:$AP$59,39,FALSE)</f>
        <v>11</v>
      </c>
      <c r="AQ28">
        <f>VLOOKUP($B28,'Data-PC'!$B$13:$AP$59,40,FALSE)</f>
        <v>15.62</v>
      </c>
      <c r="AR28">
        <f>VLOOKUP($B28,'Data-PC'!$B$13:$AP$59,41,FALSE)*C28</f>
        <v>24.6521088</v>
      </c>
      <c r="AS28">
        <f>VLOOKUP($B28,'Data-PC'!$B$13:$AX$59,42,FALSE)</f>
        <v>0</v>
      </c>
      <c r="AT28">
        <f>VLOOKUP($B28,'Data-PC'!$B$13:$AX$59,43,FALSE)</f>
        <v>0</v>
      </c>
      <c r="AU28">
        <f>VLOOKUP($B28,'Data-PC'!$B$13:$AX$59,44,FALSE)</f>
        <v>1180</v>
      </c>
      <c r="AV28">
        <f>VLOOKUP($B28,'Data-PC'!$B$13:$AX$59,45,FALSE)*C28</f>
        <v>0</v>
      </c>
      <c r="AW28">
        <f>VLOOKUP($B28,'Data-PC'!$B$13:$AX$59,46,FALSE)</f>
        <v>0</v>
      </c>
      <c r="AX28">
        <f>VLOOKUP($B28,'Data-PC'!$B$13:$AX$59,47,FALSE)</f>
        <v>0</v>
      </c>
      <c r="AY28">
        <f>VLOOKUP($B28,'Data-PC'!$B$16:$AX$59,48,FALSE)</f>
        <v>0</v>
      </c>
      <c r="AZ28">
        <f>VLOOKUP($B28,'Data-PC'!$B$13:$AX$59,49,FALSE)*C28</f>
        <v>0</v>
      </c>
      <c r="BA28">
        <f>SUM(X28,AC28,AH28,AM28,AR28,AV28,AZ28)</f>
        <v>66.51874710000001</v>
      </c>
    </row>
    <row r="29">
      <c r="A29">
        <f>A28+1</f>
        <v>18</v>
      </c>
      <c r="B29" t="str">
        <v>PC.5B</v>
      </c>
      <c r="C29">
        <v>1</v>
      </c>
      <c r="E29">
        <f>D29-(G29+$T$3)/1000</f>
        <v>-0.7</v>
      </c>
      <c r="F29">
        <f>VLOOKUP(B29,'Data-PC'!$B$13:$AP$36,15,FALSE)</f>
        <v>6.406</v>
      </c>
      <c r="G29">
        <f>VLOOKUP(B29,'Data-PC'!$B$13:$G$36,4,FALSE)</f>
        <v>700</v>
      </c>
      <c r="H29">
        <f>C29*VLOOKUP(B29,'Data-PC'!$B$13:$BC$36,18,FALSE)</f>
        <v>5</v>
      </c>
      <c r="I29">
        <f>C29*VLOOKUP(B29,'Data-PC'!$B$13:$BC$36,51,FALSE)</f>
        <v>0</v>
      </c>
      <c r="J29">
        <f>F29*C29*'Data-PC'!$D$5/1000</f>
        <v>0.32030000000000003</v>
      </c>
      <c r="K29">
        <f>F29*('Data-PC'!$D$4/1000)*C29</f>
        <v>0</v>
      </c>
      <c r="L29">
        <f>C29*F29*($T$3-E29)</f>
        <v>4.4841999999999995</v>
      </c>
      <c r="M29">
        <f>L29-(T29+J29)</f>
        <v>2.2444999999999995</v>
      </c>
      <c r="S29">
        <f>L29-M29</f>
        <v>2.2397</v>
      </c>
      <c r="T29">
        <f>C29*VLOOKUP(B29,'Data-PC'!$B$13:$AP$36,16,FALSE)*(1+'Data-PC'!$T$3/100)</f>
        <v>1.9194</v>
      </c>
      <c r="U29">
        <f>C29*VLOOKUP(B29,'Data-PC'!$B$13:$AP$36,17,FALSE)*(1+'Data-PC'!$T$5/100)</f>
        <v>4.705460207389558</v>
      </c>
      <c r="V29">
        <f>VLOOKUP($B29,'Data-PC'!$B$13:$AP$59,19,FALSE)</f>
        <v>1</v>
      </c>
      <c r="W29">
        <f>VLOOKUP($B29,'Data-PC'!$B$13:$AP$59,20,FALSE)</f>
        <v>13</v>
      </c>
      <c r="X29">
        <f>VLOOKUP($B29,'Data-PC'!$B$13:$AP$59,21,FALSE)*C29</f>
        <v>6.791096043108671</v>
      </c>
      <c r="Y29">
        <f>VLOOKUP($B29,'Data-PC'!$B$13:$AP$59,22,FALSE)</f>
        <v>16</v>
      </c>
      <c r="Z29">
        <f>VLOOKUP($B29,'Data-PC'!$B$13:$AP$59,23,FALSE)</f>
        <v>150</v>
      </c>
      <c r="AA29">
        <f>VLOOKUP($B29,'Data-PC'!$B$13:$AP$59,24,FALSE)</f>
        <v>10</v>
      </c>
      <c r="AB29">
        <f>VLOOKUP($B29,'Data-PC'!$B$13:$AP$59,25,FALSE)</f>
        <v>33.34</v>
      </c>
      <c r="AC29">
        <f>VLOOKUP($B29,'Data-PC'!$B$13:$AP$59,26,FALSE)*C29</f>
        <v>52.61852160000001</v>
      </c>
      <c r="AD29">
        <f>VLOOKUP($B29,'Data-PC'!$B$13:$AP$59,27,FALSE)</f>
        <v>16</v>
      </c>
      <c r="AE29">
        <f>VLOOKUP($B29,'Data-PC'!$B$13:$AP$59,28,FALSE)</f>
        <v>160</v>
      </c>
      <c r="AF29">
        <f>VLOOKUP($B29,'Data-PC'!$B$13:$AP$59,29,FALSE)</f>
        <v>16</v>
      </c>
      <c r="AG29">
        <f>VLOOKUP($B29,'Data-PC'!$B$13:$AP$59,30,FALSE)</f>
        <v>27.36</v>
      </c>
      <c r="AH29">
        <f>VLOOKUP($B29,'Data-PC'!$B$13:$AP$59,31,FALSE)*C29</f>
        <v>43.1806464</v>
      </c>
      <c r="AI29">
        <f>VLOOKUP($B29,'Data-PC'!$B$13:$AP$59,32,FALSE)</f>
        <v>16</v>
      </c>
      <c r="AJ29">
        <f>VLOOKUP($B29,'Data-PC'!$B$13:$AP$59,33,FALSE)</f>
        <v>150</v>
      </c>
      <c r="AK29">
        <f>VLOOKUP($B29,'Data-PC'!$B$13:$AP$59,34,FALSE)</f>
        <v>10</v>
      </c>
      <c r="AL29">
        <f>VLOOKUP($B29,'Data-PC'!$B$13:$AP$59,35,FALSE)</f>
        <v>35.26</v>
      </c>
      <c r="AM29">
        <f>VLOOKUP($B29,'Data-PC'!$B$13:$AP$59,36,FALSE)*C29</f>
        <v>55.6487424</v>
      </c>
      <c r="AN29">
        <f>VLOOKUP($B29,'Data-PC'!$B$13:$AP$59,37,FALSE)</f>
        <v>16</v>
      </c>
      <c r="AO29">
        <f>VLOOKUP($B29,'Data-PC'!$B$13:$AP$59,38,FALSE)</f>
        <v>160</v>
      </c>
      <c r="AP29">
        <f>VLOOKUP($B29,'Data-PC'!$B$13:$AP$59,39,FALSE)</f>
        <v>16</v>
      </c>
      <c r="AQ29">
        <f>VLOOKUP($B29,'Data-PC'!$B$13:$AP$59,40,FALSE)</f>
        <v>37.6</v>
      </c>
      <c r="AR29">
        <f>VLOOKUP($B29,'Data-PC'!$B$13:$AP$59,41,FALSE)*C29</f>
        <v>59.341824</v>
      </c>
      <c r="AS29">
        <f>VLOOKUP($B29,'Data-PC'!$B$13:$AX$59,42,FALSE)</f>
        <v>0</v>
      </c>
      <c r="AT29">
        <f>VLOOKUP($B29,'Data-PC'!$B$13:$AX$59,43,FALSE)</f>
        <v>0</v>
      </c>
      <c r="AU29">
        <f>VLOOKUP($B29,'Data-PC'!$B$13:$AX$59,44,FALSE)</f>
        <v>1580</v>
      </c>
      <c r="AV29">
        <f>VLOOKUP($B29,'Data-PC'!$B$13:$AX$59,45,FALSE)*C29</f>
        <v>0</v>
      </c>
      <c r="AW29">
        <f>VLOOKUP($B29,'Data-PC'!$B$13:$AX$59,46,FALSE)</f>
        <v>0</v>
      </c>
      <c r="AX29">
        <f>VLOOKUP($B29,'Data-PC'!$B$13:$AX$59,47,FALSE)</f>
        <v>0</v>
      </c>
      <c r="AY29">
        <f>VLOOKUP($B29,'Data-PC'!$B$16:$AX$59,48,FALSE)</f>
        <v>0</v>
      </c>
      <c r="AZ29">
        <f>VLOOKUP($B29,'Data-PC'!$B$13:$AX$59,49,FALSE)*C29</f>
        <v>0</v>
      </c>
      <c r="BA29">
        <f>SUM(X29,AC29,AH29,AM29,AR29,AV29,AZ29)</f>
        <v>217.58083044310868</v>
      </c>
    </row>
    <row r="30">
      <c r="A30">
        <f>A29+1</f>
        <v>19</v>
      </c>
      <c r="B30" t="str">
        <v>PC.6A</v>
      </c>
      <c r="C30">
        <v>1</v>
      </c>
      <c r="E30">
        <f>D30-(G30+$T$3)/1000</f>
        <v>-0.8</v>
      </c>
      <c r="F30">
        <f>VLOOKUP(B30,'Data-PC'!$B$13:$AP$36,15,FALSE)</f>
        <v>8.274375</v>
      </c>
      <c r="G30">
        <f>VLOOKUP(B30,'Data-PC'!$B$13:$G$36,4,FALSE)</f>
        <v>800</v>
      </c>
      <c r="H30">
        <f>C30*VLOOKUP(B30,'Data-PC'!$B$13:$BC$36,18,FALSE)</f>
        <v>6</v>
      </c>
      <c r="I30">
        <f>C30*VLOOKUP(B30,'Data-PC'!$B$13:$BC$36,51,FALSE)</f>
        <v>0</v>
      </c>
      <c r="J30">
        <f>F30*C30*'Data-PC'!$D$5/1000</f>
        <v>0.41371874999999997</v>
      </c>
      <c r="K30">
        <f>F30*('Data-PC'!$D$4/1000)*C30</f>
        <v>0</v>
      </c>
      <c r="L30">
        <f>C30*F30*($T$3-E30)</f>
        <v>6.6194999999999995</v>
      </c>
      <c r="M30">
        <f>L30-(T30+J30)</f>
        <v>3.1702812499999995</v>
      </c>
      <c r="S30">
        <f>L30-M30</f>
        <v>3.44921875</v>
      </c>
      <c r="T30">
        <f>C30*VLOOKUP(B30,'Data-PC'!$B$13:$AP$36,16,FALSE)*(1+'Data-PC'!$T$3/100)</f>
        <v>3.0355</v>
      </c>
      <c r="U30">
        <f>C30*VLOOKUP(B30,'Data-PC'!$B$13:$AP$36,17,FALSE)*(1+'Data-PC'!$T$5/100)</f>
        <v>6.6724473272817235</v>
      </c>
      <c r="V30">
        <f>VLOOKUP($B30,'Data-PC'!$B$13:$AP$59,19,FALSE)</f>
        <v>2</v>
      </c>
      <c r="W30">
        <f>VLOOKUP($B30,'Data-PC'!$B$13:$AP$59,20,FALSE)</f>
        <v>13</v>
      </c>
      <c r="X30">
        <f>VLOOKUP($B30,'Data-PC'!$B$13:$AP$59,21,FALSE)*C30</f>
        <v>16.954717878962295</v>
      </c>
      <c r="Y30">
        <f>VLOOKUP($B30,'Data-PC'!$B$13:$AP$59,22,FALSE)</f>
        <v>16</v>
      </c>
      <c r="Z30">
        <f>VLOOKUP($B30,'Data-PC'!$B$13:$AP$59,23,FALSE)</f>
        <v>140</v>
      </c>
      <c r="AA30">
        <f>VLOOKUP($B30,'Data-PC'!$B$13:$AP$59,24,FALSE)</f>
        <v>12</v>
      </c>
      <c r="AB30">
        <f>VLOOKUP($B30,'Data-PC'!$B$13:$AP$59,25,FALSE)</f>
        <v>48.725</v>
      </c>
      <c r="AC30">
        <f>VLOOKUP($B30,'Data-PC'!$B$13:$AP$59,26,FALSE)*C30</f>
        <v>76.89974400000001</v>
      </c>
      <c r="AD30">
        <f>VLOOKUP($B30,'Data-PC'!$B$13:$AP$59,27,FALSE)</f>
        <v>16</v>
      </c>
      <c r="AE30">
        <f>VLOOKUP($B30,'Data-PC'!$B$13:$AP$59,28,FALSE)</f>
        <v>140</v>
      </c>
      <c r="AF30">
        <f>VLOOKUP($B30,'Data-PC'!$B$13:$AP$59,29,FALSE)</f>
        <v>25</v>
      </c>
      <c r="AG30">
        <f>VLOOKUP($B30,'Data-PC'!$B$13:$AP$59,30,FALSE)</f>
        <v>43.72</v>
      </c>
      <c r="AH30">
        <f>VLOOKUP($B30,'Data-PC'!$B$13:$AP$59,31,FALSE)*C30</f>
        <v>69.0006528</v>
      </c>
      <c r="AI30">
        <f>VLOOKUP($B30,'Data-PC'!$B$13:$AP$59,32,FALSE)</f>
        <v>16</v>
      </c>
      <c r="AJ30">
        <f>VLOOKUP($B30,'Data-PC'!$B$13:$AP$59,33,FALSE)</f>
        <v>140</v>
      </c>
      <c r="AK30">
        <f>VLOOKUP($B30,'Data-PC'!$B$13:$AP$59,34,FALSE)</f>
        <v>12</v>
      </c>
      <c r="AL30">
        <f>VLOOKUP($B30,'Data-PC'!$B$13:$AP$59,35,FALSE)</f>
        <v>51.685</v>
      </c>
      <c r="AM30">
        <f>VLOOKUP($B30,'Data-PC'!$B$13:$AP$59,36,FALSE)*C30</f>
        <v>81.57133440000001</v>
      </c>
      <c r="AN30">
        <f>VLOOKUP($B30,'Data-PC'!$B$13:$AP$59,37,FALSE)</f>
        <v>16</v>
      </c>
      <c r="AO30">
        <f>VLOOKUP($B30,'Data-PC'!$B$13:$AP$59,38,FALSE)</f>
        <v>140</v>
      </c>
      <c r="AP30">
        <f>VLOOKUP($B30,'Data-PC'!$B$13:$AP$59,39,FALSE)</f>
        <v>25</v>
      </c>
      <c r="AQ30">
        <f>VLOOKUP($B30,'Data-PC'!$B$13:$AP$59,40,FALSE)</f>
        <v>61.48</v>
      </c>
      <c r="AR30">
        <f>VLOOKUP($B30,'Data-PC'!$B$13:$AP$59,41,FALSE)*C30</f>
        <v>97.0301952</v>
      </c>
      <c r="AS30">
        <f>VLOOKUP($B30,'Data-PC'!$B$13:$AX$59,42,FALSE)</f>
        <v>0</v>
      </c>
      <c r="AT30">
        <f>VLOOKUP($B30,'Data-PC'!$B$13:$AX$59,43,FALSE)</f>
        <v>0</v>
      </c>
      <c r="AU30">
        <f>VLOOKUP($B30,'Data-PC'!$B$13:$AX$59,44,FALSE)</f>
        <v>1780</v>
      </c>
      <c r="AV30">
        <f>VLOOKUP($B30,'Data-PC'!$B$13:$AX$59,45,FALSE)*C30</f>
        <v>0</v>
      </c>
      <c r="AW30">
        <f>VLOOKUP($B30,'Data-PC'!$B$13:$AX$59,46,FALSE)</f>
        <v>0</v>
      </c>
      <c r="AX30">
        <f>VLOOKUP($B30,'Data-PC'!$B$13:$AX$59,47,FALSE)</f>
        <v>0</v>
      </c>
      <c r="AY30">
        <f>VLOOKUP($B30,'Data-PC'!$B$16:$AX$59,48,FALSE)</f>
        <v>0</v>
      </c>
      <c r="AZ30">
        <f>VLOOKUP($B30,'Data-PC'!$B$13:$AX$59,49,FALSE)*C30</f>
        <v>0</v>
      </c>
      <c r="BA30">
        <f>SUM(X30,AC30,AH30,AM30,AR30,AV30,AZ30)</f>
        <v>341.4566442789623</v>
      </c>
    </row>
    <row r="31">
      <c r="A31">
        <f>A30+1</f>
        <v>20</v>
      </c>
      <c r="B31" t="str">
        <v>PC.6A</v>
      </c>
      <c r="C31">
        <v>1</v>
      </c>
      <c r="E31">
        <f>D31-(G31+$T$3)/1000</f>
        <v>-0.8</v>
      </c>
      <c r="F31">
        <f>VLOOKUP(B31,'Data-PC'!$B$13:$AP$36,15,FALSE)</f>
        <v>8.274375</v>
      </c>
      <c r="G31">
        <f>VLOOKUP(B31,'Data-PC'!$B$13:$G$36,4,FALSE)</f>
        <v>800</v>
      </c>
      <c r="H31">
        <f>C31*VLOOKUP(B31,'Data-PC'!$B$13:$BC$36,18,FALSE)</f>
        <v>6</v>
      </c>
      <c r="I31">
        <f>C31*VLOOKUP(B31,'Data-PC'!$B$13:$BC$36,51,FALSE)</f>
        <v>0</v>
      </c>
      <c r="J31">
        <f>F31*C31*'Data-PC'!$D$5/1000</f>
        <v>0.41371874999999997</v>
      </c>
      <c r="K31">
        <f>F31*('Data-PC'!$D$4/1000)*C31</f>
        <v>0</v>
      </c>
      <c r="L31">
        <f>C31*F31*($T$3-E31)</f>
        <v>6.6194999999999995</v>
      </c>
      <c r="M31">
        <f>L31-(T31+J31)</f>
        <v>3.1702812499999995</v>
      </c>
      <c r="S31">
        <f>L31-M31</f>
        <v>3.44921875</v>
      </c>
      <c r="T31">
        <f>C31*VLOOKUP(B31,'Data-PC'!$B$13:$AP$36,16,FALSE)*(1+'Data-PC'!$T$3/100)</f>
        <v>3.0355</v>
      </c>
      <c r="U31">
        <f>C31*VLOOKUP(B31,'Data-PC'!$B$13:$AP$36,17,FALSE)*(1+'Data-PC'!$T$5/100)</f>
        <v>6.6724473272817235</v>
      </c>
      <c r="V31">
        <f>VLOOKUP($B31,'Data-PC'!$B$13:$AP$59,19,FALSE)</f>
        <v>2</v>
      </c>
      <c r="W31">
        <f>VLOOKUP($B31,'Data-PC'!$B$13:$AP$59,20,FALSE)</f>
        <v>13</v>
      </c>
      <c r="X31">
        <f>VLOOKUP($B31,'Data-PC'!$B$13:$AP$59,21,FALSE)*C31</f>
        <v>16.954717878962295</v>
      </c>
      <c r="Y31">
        <f>VLOOKUP($B31,'Data-PC'!$B$13:$AP$59,22,FALSE)</f>
        <v>16</v>
      </c>
      <c r="Z31">
        <f>VLOOKUP($B31,'Data-PC'!$B$13:$AP$59,23,FALSE)</f>
        <v>140</v>
      </c>
      <c r="AA31">
        <f>VLOOKUP($B31,'Data-PC'!$B$13:$AP$59,24,FALSE)</f>
        <v>12</v>
      </c>
      <c r="AB31">
        <f>VLOOKUP($B31,'Data-PC'!$B$13:$AP$59,25,FALSE)</f>
        <v>48.725</v>
      </c>
      <c r="AC31">
        <f>VLOOKUP($B31,'Data-PC'!$B$13:$AP$59,26,FALSE)*C31</f>
        <v>76.89974400000001</v>
      </c>
      <c r="AD31">
        <f>VLOOKUP($B31,'Data-PC'!$B$13:$AP$59,27,FALSE)</f>
        <v>16</v>
      </c>
      <c r="AE31">
        <f>VLOOKUP($B31,'Data-PC'!$B$13:$AP$59,28,FALSE)</f>
        <v>140</v>
      </c>
      <c r="AF31">
        <f>VLOOKUP($B31,'Data-PC'!$B$13:$AP$59,29,FALSE)</f>
        <v>25</v>
      </c>
      <c r="AG31">
        <f>VLOOKUP($B31,'Data-PC'!$B$13:$AP$59,30,FALSE)</f>
        <v>43.72</v>
      </c>
      <c r="AH31">
        <f>VLOOKUP($B31,'Data-PC'!$B$13:$AP$59,31,FALSE)*C31</f>
        <v>69.0006528</v>
      </c>
      <c r="AI31">
        <f>VLOOKUP($B31,'Data-PC'!$B$13:$AP$59,32,FALSE)</f>
        <v>16</v>
      </c>
      <c r="AJ31">
        <f>VLOOKUP($B31,'Data-PC'!$B$13:$AP$59,33,FALSE)</f>
        <v>140</v>
      </c>
      <c r="AK31">
        <f>VLOOKUP($B31,'Data-PC'!$B$13:$AP$59,34,FALSE)</f>
        <v>12</v>
      </c>
      <c r="AL31">
        <f>VLOOKUP($B31,'Data-PC'!$B$13:$AP$59,35,FALSE)</f>
        <v>51.685</v>
      </c>
      <c r="AM31">
        <f>VLOOKUP($B31,'Data-PC'!$B$13:$AP$59,36,FALSE)*C31</f>
        <v>81.57133440000001</v>
      </c>
      <c r="AN31">
        <f>VLOOKUP($B31,'Data-PC'!$B$13:$AP$59,37,FALSE)</f>
        <v>16</v>
      </c>
      <c r="AO31">
        <f>VLOOKUP($B31,'Data-PC'!$B$13:$AP$59,38,FALSE)</f>
        <v>140</v>
      </c>
      <c r="AP31">
        <f>VLOOKUP($B31,'Data-PC'!$B$13:$AP$59,39,FALSE)</f>
        <v>25</v>
      </c>
      <c r="AQ31">
        <f>VLOOKUP($B31,'Data-PC'!$B$13:$AP$59,40,FALSE)</f>
        <v>61.48</v>
      </c>
      <c r="AR31">
        <f>VLOOKUP($B31,'Data-PC'!$B$13:$AP$59,41,FALSE)*C31</f>
        <v>97.0301952</v>
      </c>
      <c r="AS31">
        <f>VLOOKUP($B31,'Data-PC'!$B$13:$AX$59,42,FALSE)</f>
        <v>0</v>
      </c>
      <c r="AT31">
        <f>VLOOKUP($B31,'Data-PC'!$B$13:$AX$59,43,FALSE)</f>
        <v>0</v>
      </c>
      <c r="AU31">
        <f>VLOOKUP($B31,'Data-PC'!$B$13:$AX$59,44,FALSE)</f>
        <v>1780</v>
      </c>
      <c r="AV31">
        <f>VLOOKUP($B31,'Data-PC'!$B$13:$AX$59,45,FALSE)*C31</f>
        <v>0</v>
      </c>
      <c r="AW31">
        <f>VLOOKUP($B31,'Data-PC'!$B$13:$AX$59,46,FALSE)</f>
        <v>0</v>
      </c>
      <c r="AX31">
        <f>VLOOKUP($B31,'Data-PC'!$B$13:$AX$59,47,FALSE)</f>
        <v>0</v>
      </c>
      <c r="AY31">
        <f>VLOOKUP($B31,'Data-PC'!$B$16:$AX$59,48,FALSE)</f>
        <v>0</v>
      </c>
      <c r="AZ31">
        <f>VLOOKUP($B31,'Data-PC'!$B$13:$AX$59,49,FALSE)*C31</f>
        <v>0</v>
      </c>
      <c r="BA31">
        <f>SUM(X31,AC31,AH31,AM31,AR31,AV31,AZ31)</f>
        <v>341.4566442789623</v>
      </c>
    </row>
    <row r="32">
      <c r="A32">
        <f>A31+1</f>
        <v>21</v>
      </c>
      <c r="B32" t="str">
        <v>PC.6A</v>
      </c>
      <c r="C32">
        <v>1</v>
      </c>
      <c r="E32">
        <f>D32-(G32+$T$3)/1000</f>
        <v>-0.8</v>
      </c>
      <c r="F32">
        <f>VLOOKUP(B32,'Data-PC'!$B$13:$AP$36,15,FALSE)</f>
        <v>8.274375</v>
      </c>
      <c r="G32">
        <f>VLOOKUP(B32,'Data-PC'!$B$13:$G$36,4,FALSE)</f>
        <v>800</v>
      </c>
      <c r="H32">
        <f>C32*VLOOKUP(B32,'Data-PC'!$B$13:$BC$36,18,FALSE)</f>
        <v>6</v>
      </c>
      <c r="I32">
        <f>C32*VLOOKUP(B32,'Data-PC'!$B$13:$BC$36,51,FALSE)</f>
        <v>0</v>
      </c>
      <c r="J32">
        <f>F32*C32*'Data-PC'!$D$5/1000</f>
        <v>0.41371874999999997</v>
      </c>
      <c r="K32">
        <f>F32*('Data-PC'!$D$4/1000)*C32</f>
        <v>0</v>
      </c>
      <c r="L32">
        <f>C32*F32*($T$3-E32)</f>
        <v>6.6194999999999995</v>
      </c>
      <c r="M32">
        <f>L32-(T32+J32)</f>
        <v>3.1702812499999995</v>
      </c>
      <c r="S32">
        <f>L32-M32</f>
        <v>3.44921875</v>
      </c>
      <c r="T32">
        <f>C32*VLOOKUP(B32,'Data-PC'!$B$13:$AP$36,16,FALSE)*(1+'Data-PC'!$T$3/100)</f>
        <v>3.0355</v>
      </c>
      <c r="U32">
        <f>C32*VLOOKUP(B32,'Data-PC'!$B$13:$AP$36,17,FALSE)*(1+'Data-PC'!$T$5/100)</f>
        <v>6.6724473272817235</v>
      </c>
      <c r="V32">
        <f>VLOOKUP($B32,'Data-PC'!$B$13:$AP$59,19,FALSE)</f>
        <v>2</v>
      </c>
      <c r="W32">
        <f>VLOOKUP($B32,'Data-PC'!$B$13:$AP$59,20,FALSE)</f>
        <v>13</v>
      </c>
      <c r="X32">
        <f>VLOOKUP($B32,'Data-PC'!$B$13:$AP$59,21,FALSE)*C32</f>
        <v>16.954717878962295</v>
      </c>
      <c r="Y32">
        <f>VLOOKUP($B32,'Data-PC'!$B$13:$AP$59,22,FALSE)</f>
        <v>16</v>
      </c>
      <c r="Z32">
        <f>VLOOKUP($B32,'Data-PC'!$B$13:$AP$59,23,FALSE)</f>
        <v>140</v>
      </c>
      <c r="AA32">
        <f>VLOOKUP($B32,'Data-PC'!$B$13:$AP$59,24,FALSE)</f>
        <v>12</v>
      </c>
      <c r="AB32">
        <f>VLOOKUP($B32,'Data-PC'!$B$13:$AP$59,25,FALSE)</f>
        <v>48.725</v>
      </c>
      <c r="AC32">
        <f>VLOOKUP($B32,'Data-PC'!$B$13:$AP$59,26,FALSE)*C32</f>
        <v>76.89974400000001</v>
      </c>
      <c r="AD32">
        <f>VLOOKUP($B32,'Data-PC'!$B$13:$AP$59,27,FALSE)</f>
        <v>16</v>
      </c>
      <c r="AE32">
        <f>VLOOKUP($B32,'Data-PC'!$B$13:$AP$59,28,FALSE)</f>
        <v>140</v>
      </c>
      <c r="AF32">
        <f>VLOOKUP($B32,'Data-PC'!$B$13:$AP$59,29,FALSE)</f>
        <v>25</v>
      </c>
      <c r="AG32">
        <f>VLOOKUP($B32,'Data-PC'!$B$13:$AP$59,30,FALSE)</f>
        <v>43.72</v>
      </c>
      <c r="AH32">
        <f>VLOOKUP($B32,'Data-PC'!$B$13:$AP$59,31,FALSE)*C32</f>
        <v>69.0006528</v>
      </c>
      <c r="AI32">
        <f>VLOOKUP($B32,'Data-PC'!$B$13:$AP$59,32,FALSE)</f>
        <v>16</v>
      </c>
      <c r="AJ32">
        <f>VLOOKUP($B32,'Data-PC'!$B$13:$AP$59,33,FALSE)</f>
        <v>140</v>
      </c>
      <c r="AK32">
        <f>VLOOKUP($B32,'Data-PC'!$B$13:$AP$59,34,FALSE)</f>
        <v>12</v>
      </c>
      <c r="AL32">
        <f>VLOOKUP($B32,'Data-PC'!$B$13:$AP$59,35,FALSE)</f>
        <v>51.685</v>
      </c>
      <c r="AM32">
        <f>VLOOKUP($B32,'Data-PC'!$B$13:$AP$59,36,FALSE)*C32</f>
        <v>81.57133440000001</v>
      </c>
      <c r="AN32">
        <f>VLOOKUP($B32,'Data-PC'!$B$13:$AP$59,37,FALSE)</f>
        <v>16</v>
      </c>
      <c r="AO32">
        <f>VLOOKUP($B32,'Data-PC'!$B$13:$AP$59,38,FALSE)</f>
        <v>140</v>
      </c>
      <c r="AP32">
        <f>VLOOKUP($B32,'Data-PC'!$B$13:$AP$59,39,FALSE)</f>
        <v>25</v>
      </c>
      <c r="AQ32">
        <f>VLOOKUP($B32,'Data-PC'!$B$13:$AP$59,40,FALSE)</f>
        <v>61.48</v>
      </c>
      <c r="AR32">
        <f>VLOOKUP($B32,'Data-PC'!$B$13:$AP$59,41,FALSE)*C32</f>
        <v>97.0301952</v>
      </c>
      <c r="AS32">
        <f>VLOOKUP($B32,'Data-PC'!$B$13:$AX$59,42,FALSE)</f>
        <v>0</v>
      </c>
      <c r="AT32">
        <f>VLOOKUP($B32,'Data-PC'!$B$13:$AX$59,43,FALSE)</f>
        <v>0</v>
      </c>
      <c r="AU32">
        <f>VLOOKUP($B32,'Data-PC'!$B$13:$AX$59,44,FALSE)</f>
        <v>1780</v>
      </c>
      <c r="AV32">
        <f>VLOOKUP($B32,'Data-PC'!$B$13:$AX$59,45,FALSE)*C32</f>
        <v>0</v>
      </c>
      <c r="AW32">
        <f>VLOOKUP($B32,'Data-PC'!$B$13:$AX$59,46,FALSE)</f>
        <v>0</v>
      </c>
      <c r="AX32">
        <f>VLOOKUP($B32,'Data-PC'!$B$13:$AX$59,47,FALSE)</f>
        <v>0</v>
      </c>
      <c r="AY32">
        <f>VLOOKUP($B32,'Data-PC'!$B$16:$AX$59,48,FALSE)</f>
        <v>0</v>
      </c>
      <c r="AZ32">
        <f>VLOOKUP($B32,'Data-PC'!$B$13:$AX$59,49,FALSE)*C32</f>
        <v>0</v>
      </c>
      <c r="BA32">
        <f>SUM(X32,AC32,AH32,AM32,AR32,AV32,AZ32)</f>
        <v>341.4566442789623</v>
      </c>
    </row>
    <row r="33">
      <c r="A33">
        <f>A32+1</f>
        <v>22</v>
      </c>
      <c r="B33" t="str">
        <v>PC.3</v>
      </c>
      <c r="C33">
        <v>1</v>
      </c>
      <c r="E33">
        <f>D33-(G33+$T$3)/1000</f>
        <v>-0.6</v>
      </c>
      <c r="F33">
        <f>VLOOKUP(B33,'Data-PC'!$B$13:$AP$36,15,FALSE)</f>
        <v>4.439</v>
      </c>
      <c r="G33">
        <f>VLOOKUP(B33,'Data-PC'!$B$13:$G$36,4,FALSE)</f>
        <v>600</v>
      </c>
      <c r="H33">
        <f>C33*VLOOKUP(B33,'Data-PC'!$B$13:$BC$36,18,FALSE)</f>
        <v>3</v>
      </c>
      <c r="I33">
        <f>C33*VLOOKUP(B33,'Data-PC'!$B$13:$BC$36,51,FALSE)</f>
        <v>0</v>
      </c>
      <c r="J33">
        <f>F33*C33*'Data-PC'!$D$5/1000</f>
        <v>0.22194999999999998</v>
      </c>
      <c r="K33">
        <f>F33*('Data-PC'!$D$4/1000)*C33</f>
        <v>0</v>
      </c>
      <c r="L33">
        <f>C33*F33*($T$3-E33)</f>
        <v>2.6633999999999998</v>
      </c>
      <c r="M33">
        <f>L33-(T33+J33)</f>
        <v>1.5444499999999997</v>
      </c>
      <c r="S33">
        <f>L33-M33</f>
        <v>1.1189500000000001</v>
      </c>
      <c r="T33">
        <f>C33*VLOOKUP(B33,'Data-PC'!$B$13:$AP$36,16,FALSE)*(1+'Data-PC'!$T$3/100)</f>
        <v>0.8970000000000001</v>
      </c>
      <c r="U33">
        <f>C33*VLOOKUP(B33,'Data-PC'!$B$13:$AP$36,17,FALSE)*(1+'Data-PC'!$T$5/100)</f>
        <v>2.9502326394071194</v>
      </c>
      <c r="V33">
        <f>VLOOKUP($B33,'Data-PC'!$B$13:$AP$59,19,FALSE)</f>
        <v>1</v>
      </c>
      <c r="W33">
        <f>VLOOKUP($B33,'Data-PC'!$B$13:$AP$59,20,FALSE)</f>
        <v>13</v>
      </c>
      <c r="X33">
        <f>VLOOKUP($B33,'Data-PC'!$B$13:$AP$59,21,FALSE)*C33</f>
        <v>4.9104606825144765</v>
      </c>
      <c r="Y33">
        <f>VLOOKUP($B33,'Data-PC'!$B$13:$AP$59,22,FALSE)</f>
        <v>13</v>
      </c>
      <c r="Z33">
        <f>VLOOKUP($B33,'Data-PC'!$B$13:$AP$59,23,FALSE)</f>
        <v>130</v>
      </c>
      <c r="AA33">
        <f>VLOOKUP($B33,'Data-PC'!$B$13:$AP$59,24,FALSE)</f>
        <v>12</v>
      </c>
      <c r="AB33">
        <f>VLOOKUP($B33,'Data-PC'!$B$13:$AP$59,25,FALSE)</f>
        <v>23.445</v>
      </c>
      <c r="AC33">
        <f>VLOOKUP($B33,'Data-PC'!$B$13:$AP$59,26,FALSE)*C33</f>
        <v>24.426993825</v>
      </c>
      <c r="AD33">
        <f>VLOOKUP($B33,'Data-PC'!$B$13:$AP$59,27,FALSE)</f>
        <v>13</v>
      </c>
      <c r="AE33">
        <f>VLOOKUP($B33,'Data-PC'!$B$13:$AP$59,28,FALSE)</f>
        <v>130</v>
      </c>
      <c r="AF33">
        <f>VLOOKUP($B33,'Data-PC'!$B$13:$AP$59,29,FALSE)</f>
        <v>13</v>
      </c>
      <c r="AG33">
        <f>VLOOKUP($B33,'Data-PC'!$B$13:$AP$59,30,FALSE)</f>
        <v>18.32</v>
      </c>
      <c r="AH33">
        <f>VLOOKUP($B33,'Data-PC'!$B$13:$AP$59,31,FALSE)*C33</f>
        <v>19.0873332</v>
      </c>
      <c r="AI33">
        <f>VLOOKUP($B33,'Data-PC'!$B$13:$AP$59,32,FALSE)</f>
        <v>13</v>
      </c>
      <c r="AJ33">
        <f>VLOOKUP($B33,'Data-PC'!$B$13:$AP$59,33,FALSE)</f>
        <v>130</v>
      </c>
      <c r="AK33">
        <f>VLOOKUP($B33,'Data-PC'!$B$13:$AP$59,34,FALSE)</f>
        <v>12</v>
      </c>
      <c r="AL33">
        <f>VLOOKUP($B33,'Data-PC'!$B$13:$AP$59,35,FALSE)</f>
        <v>25.065</v>
      </c>
      <c r="AM33">
        <f>VLOOKUP($B33,'Data-PC'!$B$13:$AP$59,36,FALSE)*C33</f>
        <v>26.114847525000002</v>
      </c>
      <c r="AN33">
        <f>VLOOKUP($B33,'Data-PC'!$B$13:$AP$59,37,FALSE)</f>
        <v>13</v>
      </c>
      <c r="AO33">
        <f>VLOOKUP($B33,'Data-PC'!$B$13:$AP$59,38,FALSE)</f>
        <v>130</v>
      </c>
      <c r="AP33">
        <f>VLOOKUP($B33,'Data-PC'!$B$13:$AP$59,39,FALSE)</f>
        <v>13</v>
      </c>
      <c r="AQ33">
        <f>VLOOKUP($B33,'Data-PC'!$B$13:$AP$59,40,FALSE)</f>
        <v>24.8</v>
      </c>
      <c r="AR33">
        <f>VLOOKUP($B33,'Data-PC'!$B$13:$AP$59,41,FALSE)*C33</f>
        <v>25.838748</v>
      </c>
      <c r="AS33">
        <f>VLOOKUP($B33,'Data-PC'!$B$13:$AX$59,42,FALSE)</f>
        <v>0</v>
      </c>
      <c r="AT33">
        <f>VLOOKUP($B33,'Data-PC'!$B$13:$AX$59,43,FALSE)</f>
        <v>0</v>
      </c>
      <c r="AU33">
        <f>VLOOKUP($B33,'Data-PC'!$B$13:$AX$59,44,FALSE)</f>
        <v>1380</v>
      </c>
      <c r="AV33">
        <f>VLOOKUP($B33,'Data-PC'!$B$13:$AX$59,45,FALSE)*C33</f>
        <v>0</v>
      </c>
      <c r="AW33">
        <f>VLOOKUP($B33,'Data-PC'!$B$13:$AX$59,46,FALSE)</f>
        <v>0</v>
      </c>
      <c r="AX33">
        <f>VLOOKUP($B33,'Data-PC'!$B$13:$AX$59,47,FALSE)</f>
        <v>0</v>
      </c>
      <c r="AY33">
        <f>VLOOKUP($B33,'Data-PC'!$B$16:$AX$59,48,FALSE)</f>
        <v>0</v>
      </c>
      <c r="AZ33">
        <f>VLOOKUP($B33,'Data-PC'!$B$13:$AX$59,49,FALSE)*C33</f>
        <v>0</v>
      </c>
      <c r="BA33">
        <f>SUM(X33,AC33,AH33,AM33,AR33,AV33,AZ33)</f>
        <v>100.37838323251448</v>
      </c>
    </row>
    <row r="34">
      <c r="A34">
        <f>A33+1</f>
        <v>23</v>
      </c>
      <c r="B34" t="str">
        <v>PC.1</v>
      </c>
      <c r="C34">
        <v>1</v>
      </c>
      <c r="E34">
        <f>D34-(G34+$T$3)/1000</f>
        <v>-0.5</v>
      </c>
      <c r="F34">
        <f>VLOOKUP(B34,'Data-PC'!$B$13:$AP$36,15,FALSE)</f>
        <v>1.96</v>
      </c>
      <c r="G34">
        <f>VLOOKUP(B34,'Data-PC'!$B$13:$G$36,4,FALSE)</f>
        <v>500</v>
      </c>
      <c r="H34">
        <f>C34*VLOOKUP(B34,'Data-PC'!$B$13:$BC$36,18,FALSE)</f>
        <v>1</v>
      </c>
      <c r="I34">
        <f>C34*VLOOKUP(B34,'Data-PC'!$B$13:$BC$36,51,FALSE)</f>
        <v>0</v>
      </c>
      <c r="J34">
        <f>F34*C34*'Data-PC'!$D$5/1000</f>
        <v>0.098</v>
      </c>
      <c r="K34">
        <f>F34*('Data-PC'!$D$4/1000)*C34</f>
        <v>0</v>
      </c>
      <c r="L34">
        <f>C34*F34*($T$3-E34)</f>
        <v>0.98</v>
      </c>
      <c r="M34">
        <f>L34-(T34+J34)</f>
        <v>0.702</v>
      </c>
      <c r="S34">
        <f>L34-M34</f>
        <v>0.278</v>
      </c>
      <c r="T34">
        <f>C34*VLOOKUP(B34,'Data-PC'!$B$13:$AP$36,16,FALSE)*(1+'Data-PC'!$T$3/100)</f>
        <v>0.18</v>
      </c>
      <c r="U34">
        <f>C34*VLOOKUP(B34,'Data-PC'!$B$13:$AP$36,17,FALSE)*(1+'Data-PC'!$T$5/100)</f>
        <v>1.2</v>
      </c>
      <c r="V34">
        <f>VLOOKUP($B34,'Data-PC'!$B$13:$AP$59,19,FALSE)</f>
        <v>1</v>
      </c>
      <c r="W34">
        <f>VLOOKUP($B34,'Data-PC'!$B$13:$AP$59,20,FALSE)</f>
        <v>10</v>
      </c>
      <c r="X34">
        <f>VLOOKUP($B34,'Data-PC'!$B$13:$AP$59,21,FALSE)*C34</f>
        <v>1.4241150000000002</v>
      </c>
      <c r="Y34">
        <f>VLOOKUP($B34,'Data-PC'!$B$13:$AP$59,22,FALSE)</f>
        <v>13</v>
      </c>
      <c r="Z34">
        <f>VLOOKUP($B34,'Data-PC'!$B$13:$AP$59,23,FALSE)</f>
        <v>0</v>
      </c>
      <c r="AA34">
        <f>VLOOKUP($B34,'Data-PC'!$B$13:$AP$59,24,FALSE)</f>
        <v>5</v>
      </c>
      <c r="AB34">
        <f>VLOOKUP($B34,'Data-PC'!$B$13:$AP$59,25,FALSE)</f>
        <v>4.9</v>
      </c>
      <c r="AC34">
        <f>VLOOKUP($B34,'Data-PC'!$B$13:$AP$59,26,FALSE)*C34</f>
        <v>5.1052365</v>
      </c>
      <c r="AD34">
        <f>VLOOKUP($B34,'Data-PC'!$B$13:$AP$59,27,FALSE)</f>
        <v>13</v>
      </c>
      <c r="AE34">
        <f>VLOOKUP($B34,'Data-PC'!$B$13:$AP$59,28,FALSE)</f>
        <v>0</v>
      </c>
      <c r="AF34">
        <f>VLOOKUP($B34,'Data-PC'!$B$13:$AP$59,29,FALSE)</f>
        <v>5</v>
      </c>
      <c r="AG34">
        <f>VLOOKUP($B34,'Data-PC'!$B$13:$AP$59,30,FALSE)</f>
        <v>4.9</v>
      </c>
      <c r="AH34">
        <f>VLOOKUP($B34,'Data-PC'!$B$13:$AP$59,31,FALSE)*C34</f>
        <v>5.1052365</v>
      </c>
      <c r="AI34">
        <f>VLOOKUP($B34,'Data-PC'!$B$13:$AP$59,32,FALSE)</f>
        <v>13</v>
      </c>
      <c r="AJ34">
        <f>VLOOKUP($B34,'Data-PC'!$B$13:$AP$59,33,FALSE)</f>
        <v>0</v>
      </c>
      <c r="AK34">
        <f>VLOOKUP($B34,'Data-PC'!$B$13:$AP$59,34,FALSE)</f>
        <v>5</v>
      </c>
      <c r="AL34">
        <f>VLOOKUP($B34,'Data-PC'!$B$13:$AP$59,35,FALSE)</f>
        <v>7.1</v>
      </c>
      <c r="AM34">
        <f>VLOOKUP($B34,'Data-PC'!$B$13:$AP$59,36,FALSE)*C34</f>
        <v>7.397383499999999</v>
      </c>
      <c r="AN34">
        <f>VLOOKUP($B34,'Data-PC'!$B$13:$AP$59,37,FALSE)</f>
        <v>13</v>
      </c>
      <c r="AO34">
        <f>VLOOKUP($B34,'Data-PC'!$B$13:$AP$59,38,FALSE)</f>
        <v>0</v>
      </c>
      <c r="AP34">
        <f>VLOOKUP($B34,'Data-PC'!$B$13:$AP$59,39,FALSE)</f>
        <v>5</v>
      </c>
      <c r="AQ34">
        <f>VLOOKUP($B34,'Data-PC'!$B$13:$AP$59,40,FALSE)</f>
        <v>7.1</v>
      </c>
      <c r="AR34">
        <f>VLOOKUP($B34,'Data-PC'!$B$13:$AP$59,41,FALSE)*C34</f>
        <v>7.397383499999999</v>
      </c>
      <c r="AS34">
        <f>VLOOKUP($B34,'Data-PC'!$B$13:$AX$59,42,FALSE)</f>
        <v>0</v>
      </c>
      <c r="AT34">
        <f>VLOOKUP($B34,'Data-PC'!$B$13:$AX$59,43,FALSE)</f>
        <v>0</v>
      </c>
      <c r="AU34">
        <f>VLOOKUP($B34,'Data-PC'!$B$13:$AX$59,44,FALSE)</f>
        <v>1180</v>
      </c>
      <c r="AV34">
        <f>VLOOKUP($B34,'Data-PC'!$B$13:$AX$59,45,FALSE)*C34</f>
        <v>0</v>
      </c>
      <c r="AW34">
        <f>VLOOKUP($B34,'Data-PC'!$B$13:$AX$59,46,FALSE)</f>
        <v>0</v>
      </c>
      <c r="AX34">
        <f>VLOOKUP($B34,'Data-PC'!$B$13:$AX$59,47,FALSE)</f>
        <v>0</v>
      </c>
      <c r="AY34">
        <f>VLOOKUP($B34,'Data-PC'!$B$16:$AX$59,48,FALSE)</f>
        <v>0</v>
      </c>
      <c r="AZ34">
        <f>VLOOKUP($B34,'Data-PC'!$B$13:$AX$59,49,FALSE)*C34</f>
        <v>0</v>
      </c>
      <c r="BA34">
        <f>SUM(X34,AC34,AH34,AM34,AR34,AV34,AZ34)</f>
        <v>26.429355</v>
      </c>
    </row>
    <row r="35">
      <c r="A35">
        <f>A34+1</f>
        <v>24</v>
      </c>
      <c r="B35" t="str">
        <v>PC.1</v>
      </c>
      <c r="C35">
        <v>1</v>
      </c>
      <c r="E35">
        <f>D35-(G35+$T$3)/1000</f>
        <v>-0.5</v>
      </c>
      <c r="F35">
        <f>VLOOKUP(B35,'Data-PC'!$B$13:$AP$36,15,FALSE)</f>
        <v>1.96</v>
      </c>
      <c r="G35">
        <f>VLOOKUP(B35,'Data-PC'!$B$13:$G$36,4,FALSE)</f>
        <v>500</v>
      </c>
      <c r="H35">
        <f>C35*VLOOKUP(B35,'Data-PC'!$B$13:$BC$36,18,FALSE)</f>
        <v>1</v>
      </c>
      <c r="I35">
        <f>C35*VLOOKUP(B35,'Data-PC'!$B$13:$BC$36,51,FALSE)</f>
        <v>0</v>
      </c>
      <c r="J35">
        <f>F35*C35*'Data-PC'!$D$5/1000</f>
        <v>0.098</v>
      </c>
      <c r="K35">
        <f>F35*('Data-PC'!$D$4/1000)*C35</f>
        <v>0</v>
      </c>
      <c r="L35">
        <f>C35*F35*($T$3-E35)</f>
        <v>0.98</v>
      </c>
      <c r="M35">
        <f>L35-(T35+J35)</f>
        <v>0.702</v>
      </c>
      <c r="S35">
        <f>L35-M35</f>
        <v>0.278</v>
      </c>
      <c r="T35">
        <f>C35*VLOOKUP(B35,'Data-PC'!$B$13:$AP$36,16,FALSE)*(1+'Data-PC'!$T$3/100)</f>
        <v>0.18</v>
      </c>
      <c r="U35">
        <f>C35*VLOOKUP(B35,'Data-PC'!$B$13:$AP$36,17,FALSE)*(1+'Data-PC'!$T$5/100)</f>
        <v>1.2</v>
      </c>
      <c r="V35">
        <f>VLOOKUP($B35,'Data-PC'!$B$13:$AP$59,19,FALSE)</f>
        <v>1</v>
      </c>
      <c r="W35">
        <f>VLOOKUP($B35,'Data-PC'!$B$13:$AP$59,20,FALSE)</f>
        <v>10</v>
      </c>
      <c r="X35">
        <f>VLOOKUP($B35,'Data-PC'!$B$13:$AP$59,21,FALSE)*C35</f>
        <v>1.4241150000000002</v>
      </c>
      <c r="Y35">
        <f>VLOOKUP($B35,'Data-PC'!$B$13:$AP$59,22,FALSE)</f>
        <v>13</v>
      </c>
      <c r="Z35">
        <f>VLOOKUP($B35,'Data-PC'!$B$13:$AP$59,23,FALSE)</f>
        <v>0</v>
      </c>
      <c r="AA35">
        <f>VLOOKUP($B35,'Data-PC'!$B$13:$AP$59,24,FALSE)</f>
        <v>5</v>
      </c>
      <c r="AB35">
        <f>VLOOKUP($B35,'Data-PC'!$B$13:$AP$59,25,FALSE)</f>
        <v>4.9</v>
      </c>
      <c r="AC35">
        <f>VLOOKUP($B35,'Data-PC'!$B$13:$AP$59,26,FALSE)*C35</f>
        <v>5.1052365</v>
      </c>
      <c r="AD35">
        <f>VLOOKUP($B35,'Data-PC'!$B$13:$AP$59,27,FALSE)</f>
        <v>13</v>
      </c>
      <c r="AE35">
        <f>VLOOKUP($B35,'Data-PC'!$B$13:$AP$59,28,FALSE)</f>
        <v>0</v>
      </c>
      <c r="AF35">
        <f>VLOOKUP($B35,'Data-PC'!$B$13:$AP$59,29,FALSE)</f>
        <v>5</v>
      </c>
      <c r="AG35">
        <f>VLOOKUP($B35,'Data-PC'!$B$13:$AP$59,30,FALSE)</f>
        <v>4.9</v>
      </c>
      <c r="AH35">
        <f>VLOOKUP($B35,'Data-PC'!$B$13:$AP$59,31,FALSE)*C35</f>
        <v>5.1052365</v>
      </c>
      <c r="AI35">
        <f>VLOOKUP($B35,'Data-PC'!$B$13:$AP$59,32,FALSE)</f>
        <v>13</v>
      </c>
      <c r="AJ35">
        <f>VLOOKUP($B35,'Data-PC'!$B$13:$AP$59,33,FALSE)</f>
        <v>0</v>
      </c>
      <c r="AK35">
        <f>VLOOKUP($B35,'Data-PC'!$B$13:$AP$59,34,FALSE)</f>
        <v>5</v>
      </c>
      <c r="AL35">
        <f>VLOOKUP($B35,'Data-PC'!$B$13:$AP$59,35,FALSE)</f>
        <v>7.1</v>
      </c>
      <c r="AM35">
        <f>VLOOKUP($B35,'Data-PC'!$B$13:$AP$59,36,FALSE)*C35</f>
        <v>7.397383499999999</v>
      </c>
      <c r="AN35">
        <f>VLOOKUP($B35,'Data-PC'!$B$13:$AP$59,37,FALSE)</f>
        <v>13</v>
      </c>
      <c r="AO35">
        <f>VLOOKUP($B35,'Data-PC'!$B$13:$AP$59,38,FALSE)</f>
        <v>0</v>
      </c>
      <c r="AP35">
        <f>VLOOKUP($B35,'Data-PC'!$B$13:$AP$59,39,FALSE)</f>
        <v>5</v>
      </c>
      <c r="AQ35">
        <f>VLOOKUP($B35,'Data-PC'!$B$13:$AP$59,40,FALSE)</f>
        <v>7.1</v>
      </c>
      <c r="AR35">
        <f>VLOOKUP($B35,'Data-PC'!$B$13:$AP$59,41,FALSE)*C35</f>
        <v>7.397383499999999</v>
      </c>
      <c r="AS35">
        <f>VLOOKUP($B35,'Data-PC'!$B$13:$AX$59,42,FALSE)</f>
        <v>0</v>
      </c>
      <c r="AT35">
        <f>VLOOKUP($B35,'Data-PC'!$B$13:$AX$59,43,FALSE)</f>
        <v>0</v>
      </c>
      <c r="AU35">
        <f>VLOOKUP($B35,'Data-PC'!$B$13:$AX$59,44,FALSE)</f>
        <v>1180</v>
      </c>
      <c r="AV35">
        <f>VLOOKUP($B35,'Data-PC'!$B$13:$AX$59,45,FALSE)*C35</f>
        <v>0</v>
      </c>
      <c r="AW35">
        <f>VLOOKUP($B35,'Data-PC'!$B$13:$AX$59,46,FALSE)</f>
        <v>0</v>
      </c>
      <c r="AX35">
        <f>VLOOKUP($B35,'Data-PC'!$B$13:$AX$59,47,FALSE)</f>
        <v>0</v>
      </c>
      <c r="AY35">
        <f>VLOOKUP($B35,'Data-PC'!$B$16:$AX$59,48,FALSE)</f>
        <v>0</v>
      </c>
      <c r="AZ35">
        <f>VLOOKUP($B35,'Data-PC'!$B$13:$AX$59,49,FALSE)*C35</f>
        <v>0</v>
      </c>
      <c r="BA35">
        <f>SUM(X35,AC35,AH35,AM35,AR35,AV35,AZ35)</f>
        <v>26.429355</v>
      </c>
    </row>
    <row r="36">
      <c r="A36">
        <f>A35+1</f>
        <v>25</v>
      </c>
      <c r="B36" t="str">
        <v>PC.1</v>
      </c>
      <c r="C36">
        <v>1</v>
      </c>
      <c r="E36">
        <f>D36-(G36+$T$3)/1000</f>
        <v>-0.5</v>
      </c>
      <c r="F36">
        <f>VLOOKUP(B36,'Data-PC'!$B$13:$AP$36,15,FALSE)</f>
        <v>1.96</v>
      </c>
      <c r="G36">
        <f>VLOOKUP(B36,'Data-PC'!$B$13:$G$36,4,FALSE)</f>
        <v>500</v>
      </c>
      <c r="H36">
        <f>C36*VLOOKUP(B36,'Data-PC'!$B$13:$BC$36,18,FALSE)</f>
        <v>1</v>
      </c>
      <c r="I36">
        <f>C36*VLOOKUP(B36,'Data-PC'!$B$13:$BC$36,51,FALSE)</f>
        <v>0</v>
      </c>
      <c r="J36">
        <f>F36*C36*'Data-PC'!$D$5/1000</f>
        <v>0.098</v>
      </c>
      <c r="K36">
        <f>F36*('Data-PC'!$D$4/1000)*C36</f>
        <v>0</v>
      </c>
      <c r="L36">
        <f>C36*F36*($T$3-E36)</f>
        <v>0.98</v>
      </c>
      <c r="M36">
        <f>L36-(T36+J36)</f>
        <v>0.702</v>
      </c>
      <c r="S36">
        <f>L36-M36</f>
        <v>0.278</v>
      </c>
      <c r="T36">
        <f>C36*VLOOKUP(B36,'Data-PC'!$B$13:$AP$36,16,FALSE)*(1+'Data-PC'!$T$3/100)</f>
        <v>0.18</v>
      </c>
      <c r="U36">
        <f>C36*VLOOKUP(B36,'Data-PC'!$B$13:$AP$36,17,FALSE)*(1+'Data-PC'!$T$5/100)</f>
        <v>1.2</v>
      </c>
      <c r="V36">
        <f>VLOOKUP($B36,'Data-PC'!$B$13:$AP$59,19,FALSE)</f>
        <v>1</v>
      </c>
      <c r="W36">
        <f>VLOOKUP($B36,'Data-PC'!$B$13:$AP$59,20,FALSE)</f>
        <v>10</v>
      </c>
      <c r="X36">
        <f>VLOOKUP($B36,'Data-PC'!$B$13:$AP$59,21,FALSE)*C36</f>
        <v>1.4241150000000002</v>
      </c>
      <c r="Y36">
        <f>VLOOKUP($B36,'Data-PC'!$B$13:$AP$59,22,FALSE)</f>
        <v>13</v>
      </c>
      <c r="Z36">
        <f>VLOOKUP($B36,'Data-PC'!$B$13:$AP$59,23,FALSE)</f>
        <v>0</v>
      </c>
      <c r="AA36">
        <f>VLOOKUP($B36,'Data-PC'!$B$13:$AP$59,24,FALSE)</f>
        <v>5</v>
      </c>
      <c r="AB36">
        <f>VLOOKUP($B36,'Data-PC'!$B$13:$AP$59,25,FALSE)</f>
        <v>4.9</v>
      </c>
      <c r="AC36">
        <f>VLOOKUP($B36,'Data-PC'!$B$13:$AP$59,26,FALSE)*C36</f>
        <v>5.1052365</v>
      </c>
      <c r="AD36">
        <f>VLOOKUP($B36,'Data-PC'!$B$13:$AP$59,27,FALSE)</f>
        <v>13</v>
      </c>
      <c r="AE36">
        <f>VLOOKUP($B36,'Data-PC'!$B$13:$AP$59,28,FALSE)</f>
        <v>0</v>
      </c>
      <c r="AF36">
        <f>VLOOKUP($B36,'Data-PC'!$B$13:$AP$59,29,FALSE)</f>
        <v>5</v>
      </c>
      <c r="AG36">
        <f>VLOOKUP($B36,'Data-PC'!$B$13:$AP$59,30,FALSE)</f>
        <v>4.9</v>
      </c>
      <c r="AH36">
        <f>VLOOKUP($B36,'Data-PC'!$B$13:$AP$59,31,FALSE)*C36</f>
        <v>5.1052365</v>
      </c>
      <c r="AI36">
        <f>VLOOKUP($B36,'Data-PC'!$B$13:$AP$59,32,FALSE)</f>
        <v>13</v>
      </c>
      <c r="AJ36">
        <f>VLOOKUP($B36,'Data-PC'!$B$13:$AP$59,33,FALSE)</f>
        <v>0</v>
      </c>
      <c r="AK36">
        <f>VLOOKUP($B36,'Data-PC'!$B$13:$AP$59,34,FALSE)</f>
        <v>5</v>
      </c>
      <c r="AL36">
        <f>VLOOKUP($B36,'Data-PC'!$B$13:$AP$59,35,FALSE)</f>
        <v>7.1</v>
      </c>
      <c r="AM36">
        <f>VLOOKUP($B36,'Data-PC'!$B$13:$AP$59,36,FALSE)*C36</f>
        <v>7.397383499999999</v>
      </c>
      <c r="AN36">
        <f>VLOOKUP($B36,'Data-PC'!$B$13:$AP$59,37,FALSE)</f>
        <v>13</v>
      </c>
      <c r="AO36">
        <f>VLOOKUP($B36,'Data-PC'!$B$13:$AP$59,38,FALSE)</f>
        <v>0</v>
      </c>
      <c r="AP36">
        <f>VLOOKUP($B36,'Data-PC'!$B$13:$AP$59,39,FALSE)</f>
        <v>5</v>
      </c>
      <c r="AQ36">
        <f>VLOOKUP($B36,'Data-PC'!$B$13:$AP$59,40,FALSE)</f>
        <v>7.1</v>
      </c>
      <c r="AR36">
        <f>VLOOKUP($B36,'Data-PC'!$B$13:$AP$59,41,FALSE)*C36</f>
        <v>7.397383499999999</v>
      </c>
      <c r="AS36">
        <f>VLOOKUP($B36,'Data-PC'!$B$13:$AX$59,42,FALSE)</f>
        <v>0</v>
      </c>
      <c r="AT36">
        <f>VLOOKUP($B36,'Data-PC'!$B$13:$AX$59,43,FALSE)</f>
        <v>0</v>
      </c>
      <c r="AU36">
        <f>VLOOKUP($B36,'Data-PC'!$B$13:$AX$59,44,FALSE)</f>
        <v>1180</v>
      </c>
      <c r="AV36">
        <f>VLOOKUP($B36,'Data-PC'!$B$13:$AX$59,45,FALSE)*C36</f>
        <v>0</v>
      </c>
      <c r="AW36">
        <f>VLOOKUP($B36,'Data-PC'!$B$13:$AX$59,46,FALSE)</f>
        <v>0</v>
      </c>
      <c r="AX36">
        <f>VLOOKUP($B36,'Data-PC'!$B$13:$AX$59,47,FALSE)</f>
        <v>0</v>
      </c>
      <c r="AY36">
        <f>VLOOKUP($B36,'Data-PC'!$B$16:$AX$59,48,FALSE)</f>
        <v>0</v>
      </c>
      <c r="AZ36">
        <f>VLOOKUP($B36,'Data-PC'!$B$13:$AX$59,49,FALSE)*C36</f>
        <v>0</v>
      </c>
      <c r="BA36">
        <f>SUM(X36,AC36,AH36,AM36,AR36,AV36,AZ36)</f>
        <v>26.429355</v>
      </c>
    </row>
    <row r="37">
      <c r="A37">
        <f>A36+1</f>
        <v>26</v>
      </c>
      <c r="B37" t="str">
        <v>PC.1</v>
      </c>
      <c r="C37">
        <v>1</v>
      </c>
      <c r="E37">
        <f>D37-(G37+$T$3)/1000</f>
        <v>-0.5</v>
      </c>
      <c r="F37">
        <f>VLOOKUP(B37,'Data-PC'!$B$13:$AP$36,15,FALSE)</f>
        <v>1.96</v>
      </c>
      <c r="G37">
        <f>VLOOKUP(B37,'Data-PC'!$B$13:$G$36,4,FALSE)</f>
        <v>500</v>
      </c>
      <c r="H37">
        <f>C37*VLOOKUP(B37,'Data-PC'!$B$13:$BC$36,18,FALSE)</f>
        <v>1</v>
      </c>
      <c r="I37">
        <f>C37*VLOOKUP(B37,'Data-PC'!$B$13:$BC$36,51,FALSE)</f>
        <v>0</v>
      </c>
      <c r="J37">
        <f>F37*C37*'Data-PC'!$D$5/1000</f>
        <v>0.098</v>
      </c>
      <c r="K37">
        <f>F37*('Data-PC'!$D$4/1000)*C37</f>
        <v>0</v>
      </c>
      <c r="L37">
        <f>C37*F37*($T$3-E37)</f>
        <v>0.98</v>
      </c>
      <c r="M37">
        <f>L37-(T37+J37)</f>
        <v>0.702</v>
      </c>
      <c r="S37">
        <f>L37-M37</f>
        <v>0.278</v>
      </c>
      <c r="T37">
        <f>C37*VLOOKUP(B37,'Data-PC'!$B$13:$AP$36,16,FALSE)*(1+'Data-PC'!$T$3/100)</f>
        <v>0.18</v>
      </c>
      <c r="U37">
        <f>C37*VLOOKUP(B37,'Data-PC'!$B$13:$AP$36,17,FALSE)*(1+'Data-PC'!$T$5/100)</f>
        <v>1.2</v>
      </c>
      <c r="V37">
        <f>VLOOKUP($B37,'Data-PC'!$B$13:$AP$59,19,FALSE)</f>
        <v>1</v>
      </c>
      <c r="W37">
        <f>VLOOKUP($B37,'Data-PC'!$B$13:$AP$59,20,FALSE)</f>
        <v>10</v>
      </c>
      <c r="X37">
        <f>VLOOKUP($B37,'Data-PC'!$B$13:$AP$59,21,FALSE)*C37</f>
        <v>1.4241150000000002</v>
      </c>
      <c r="Y37">
        <f>VLOOKUP($B37,'Data-PC'!$B$13:$AP$59,22,FALSE)</f>
        <v>13</v>
      </c>
      <c r="Z37">
        <f>VLOOKUP($B37,'Data-PC'!$B$13:$AP$59,23,FALSE)</f>
        <v>0</v>
      </c>
      <c r="AA37">
        <f>VLOOKUP($B37,'Data-PC'!$B$13:$AP$59,24,FALSE)</f>
        <v>5</v>
      </c>
      <c r="AB37">
        <f>VLOOKUP($B37,'Data-PC'!$B$13:$AP$59,25,FALSE)</f>
        <v>4.9</v>
      </c>
      <c r="AC37">
        <f>VLOOKUP($B37,'Data-PC'!$B$13:$AP$59,26,FALSE)*C37</f>
        <v>5.1052365</v>
      </c>
      <c r="AD37">
        <f>VLOOKUP($B37,'Data-PC'!$B$13:$AP$59,27,FALSE)</f>
        <v>13</v>
      </c>
      <c r="AE37">
        <f>VLOOKUP($B37,'Data-PC'!$B$13:$AP$59,28,FALSE)</f>
        <v>0</v>
      </c>
      <c r="AF37">
        <f>VLOOKUP($B37,'Data-PC'!$B$13:$AP$59,29,FALSE)</f>
        <v>5</v>
      </c>
      <c r="AG37">
        <f>VLOOKUP($B37,'Data-PC'!$B$13:$AP$59,30,FALSE)</f>
        <v>4.9</v>
      </c>
      <c r="AH37">
        <f>VLOOKUP($B37,'Data-PC'!$B$13:$AP$59,31,FALSE)*C37</f>
        <v>5.1052365</v>
      </c>
      <c r="AI37">
        <f>VLOOKUP($B37,'Data-PC'!$B$13:$AP$59,32,FALSE)</f>
        <v>13</v>
      </c>
      <c r="AJ37">
        <f>VLOOKUP($B37,'Data-PC'!$B$13:$AP$59,33,FALSE)</f>
        <v>0</v>
      </c>
      <c r="AK37">
        <f>VLOOKUP($B37,'Data-PC'!$B$13:$AP$59,34,FALSE)</f>
        <v>5</v>
      </c>
      <c r="AL37">
        <f>VLOOKUP($B37,'Data-PC'!$B$13:$AP$59,35,FALSE)</f>
        <v>7.1</v>
      </c>
      <c r="AM37">
        <f>VLOOKUP($B37,'Data-PC'!$B$13:$AP$59,36,FALSE)*C37</f>
        <v>7.397383499999999</v>
      </c>
      <c r="AN37">
        <f>VLOOKUP($B37,'Data-PC'!$B$13:$AP$59,37,FALSE)</f>
        <v>13</v>
      </c>
      <c r="AO37">
        <f>VLOOKUP($B37,'Data-PC'!$B$13:$AP$59,38,FALSE)</f>
        <v>0</v>
      </c>
      <c r="AP37">
        <f>VLOOKUP($B37,'Data-PC'!$B$13:$AP$59,39,FALSE)</f>
        <v>5</v>
      </c>
      <c r="AQ37">
        <f>VLOOKUP($B37,'Data-PC'!$B$13:$AP$59,40,FALSE)</f>
        <v>7.1</v>
      </c>
      <c r="AR37">
        <f>VLOOKUP($B37,'Data-PC'!$B$13:$AP$59,41,FALSE)*C37</f>
        <v>7.397383499999999</v>
      </c>
      <c r="AS37">
        <f>VLOOKUP($B37,'Data-PC'!$B$13:$AX$59,42,FALSE)</f>
        <v>0</v>
      </c>
      <c r="AT37">
        <f>VLOOKUP($B37,'Data-PC'!$B$13:$AX$59,43,FALSE)</f>
        <v>0</v>
      </c>
      <c r="AU37">
        <f>VLOOKUP($B37,'Data-PC'!$B$13:$AX$59,44,FALSE)</f>
        <v>1180</v>
      </c>
      <c r="AV37">
        <f>VLOOKUP($B37,'Data-PC'!$B$13:$AX$59,45,FALSE)*C37</f>
        <v>0</v>
      </c>
      <c r="AW37">
        <f>VLOOKUP($B37,'Data-PC'!$B$13:$AX$59,46,FALSE)</f>
        <v>0</v>
      </c>
      <c r="AX37">
        <f>VLOOKUP($B37,'Data-PC'!$B$13:$AX$59,47,FALSE)</f>
        <v>0</v>
      </c>
      <c r="AY37">
        <f>VLOOKUP($B37,'Data-PC'!$B$16:$AX$59,48,FALSE)</f>
        <v>0</v>
      </c>
      <c r="AZ37">
        <f>VLOOKUP($B37,'Data-PC'!$B$13:$AX$59,49,FALSE)*C37</f>
        <v>0</v>
      </c>
      <c r="BA37">
        <f>SUM(X37,AC37,AH37,AM37,AR37,AV37,AZ37)</f>
        <v>26.429355</v>
      </c>
    </row>
    <row r="38">
      <c r="A38">
        <f>A37+1</f>
        <v>27</v>
      </c>
      <c r="B38" t="str">
        <v>PC.1</v>
      </c>
      <c r="C38">
        <v>1</v>
      </c>
      <c r="E38">
        <f>D38-(G38+$T$3)/1000</f>
        <v>-0.5</v>
      </c>
      <c r="F38">
        <f>VLOOKUP(B38,'Data-PC'!$B$13:$AP$36,15,FALSE)</f>
        <v>1.96</v>
      </c>
      <c r="G38">
        <f>VLOOKUP(B38,'Data-PC'!$B$13:$G$36,4,FALSE)</f>
        <v>500</v>
      </c>
      <c r="H38">
        <f>C38*VLOOKUP(B38,'Data-PC'!$B$13:$BC$36,18,FALSE)</f>
        <v>1</v>
      </c>
      <c r="I38">
        <f>C38*VLOOKUP(B38,'Data-PC'!$B$13:$BC$36,51,FALSE)</f>
        <v>0</v>
      </c>
      <c r="J38">
        <f>F38*C38*'Data-PC'!$D$5/1000</f>
        <v>0.098</v>
      </c>
      <c r="K38">
        <f>F38*('Data-PC'!$D$4/1000)*C38</f>
        <v>0</v>
      </c>
      <c r="L38">
        <f>C38*F38*($T$3-E38)</f>
        <v>0.98</v>
      </c>
      <c r="M38">
        <f>L38-(T38+J38)</f>
        <v>0.702</v>
      </c>
      <c r="S38">
        <f>L38-M38</f>
        <v>0.278</v>
      </c>
      <c r="T38">
        <f>C38*VLOOKUP(B38,'Data-PC'!$B$13:$AP$36,16,FALSE)*(1+'Data-PC'!$T$3/100)</f>
        <v>0.18</v>
      </c>
      <c r="U38">
        <f>C38*VLOOKUP(B38,'Data-PC'!$B$13:$AP$36,17,FALSE)*(1+'Data-PC'!$T$5/100)</f>
        <v>1.2</v>
      </c>
      <c r="V38">
        <f>VLOOKUP($B38,'Data-PC'!$B$13:$AP$59,19,FALSE)</f>
        <v>1</v>
      </c>
      <c r="W38">
        <f>VLOOKUP($B38,'Data-PC'!$B$13:$AP$59,20,FALSE)</f>
        <v>10</v>
      </c>
      <c r="X38">
        <f>VLOOKUP($B38,'Data-PC'!$B$13:$AP$59,21,FALSE)*C38</f>
        <v>1.4241150000000002</v>
      </c>
      <c r="Y38">
        <f>VLOOKUP($B38,'Data-PC'!$B$13:$AP$59,22,FALSE)</f>
        <v>13</v>
      </c>
      <c r="Z38">
        <f>VLOOKUP($B38,'Data-PC'!$B$13:$AP$59,23,FALSE)</f>
        <v>0</v>
      </c>
      <c r="AA38">
        <f>VLOOKUP($B38,'Data-PC'!$B$13:$AP$59,24,FALSE)</f>
        <v>5</v>
      </c>
      <c r="AB38">
        <f>VLOOKUP($B38,'Data-PC'!$B$13:$AP$59,25,FALSE)</f>
        <v>4.9</v>
      </c>
      <c r="AC38">
        <f>VLOOKUP($B38,'Data-PC'!$B$13:$AP$59,26,FALSE)*C38</f>
        <v>5.1052365</v>
      </c>
      <c r="AD38">
        <f>VLOOKUP($B38,'Data-PC'!$B$13:$AP$59,27,FALSE)</f>
        <v>13</v>
      </c>
      <c r="AE38">
        <f>VLOOKUP($B38,'Data-PC'!$B$13:$AP$59,28,FALSE)</f>
        <v>0</v>
      </c>
      <c r="AF38">
        <f>VLOOKUP($B38,'Data-PC'!$B$13:$AP$59,29,FALSE)</f>
        <v>5</v>
      </c>
      <c r="AG38">
        <f>VLOOKUP($B38,'Data-PC'!$B$13:$AP$59,30,FALSE)</f>
        <v>4.9</v>
      </c>
      <c r="AH38">
        <f>VLOOKUP($B38,'Data-PC'!$B$13:$AP$59,31,FALSE)*C38</f>
        <v>5.1052365</v>
      </c>
      <c r="AI38">
        <f>VLOOKUP($B38,'Data-PC'!$B$13:$AP$59,32,FALSE)</f>
        <v>13</v>
      </c>
      <c r="AJ38">
        <f>VLOOKUP($B38,'Data-PC'!$B$13:$AP$59,33,FALSE)</f>
        <v>0</v>
      </c>
      <c r="AK38">
        <f>VLOOKUP($B38,'Data-PC'!$B$13:$AP$59,34,FALSE)</f>
        <v>5</v>
      </c>
      <c r="AL38">
        <f>VLOOKUP($B38,'Data-PC'!$B$13:$AP$59,35,FALSE)</f>
        <v>7.1</v>
      </c>
      <c r="AM38">
        <f>VLOOKUP($B38,'Data-PC'!$B$13:$AP$59,36,FALSE)*C38</f>
        <v>7.397383499999999</v>
      </c>
      <c r="AN38">
        <f>VLOOKUP($B38,'Data-PC'!$B$13:$AP$59,37,FALSE)</f>
        <v>13</v>
      </c>
      <c r="AO38">
        <f>VLOOKUP($B38,'Data-PC'!$B$13:$AP$59,38,FALSE)</f>
        <v>0</v>
      </c>
      <c r="AP38">
        <f>VLOOKUP($B38,'Data-PC'!$B$13:$AP$59,39,FALSE)</f>
        <v>5</v>
      </c>
      <c r="AQ38">
        <f>VLOOKUP($B38,'Data-PC'!$B$13:$AP$59,40,FALSE)</f>
        <v>7.1</v>
      </c>
      <c r="AR38">
        <f>VLOOKUP($B38,'Data-PC'!$B$13:$AP$59,41,FALSE)*C38</f>
        <v>7.397383499999999</v>
      </c>
      <c r="AS38">
        <f>VLOOKUP($B38,'Data-PC'!$B$13:$AX$59,42,FALSE)</f>
        <v>0</v>
      </c>
      <c r="AT38">
        <f>VLOOKUP($B38,'Data-PC'!$B$13:$AX$59,43,FALSE)</f>
        <v>0</v>
      </c>
      <c r="AU38">
        <f>VLOOKUP($B38,'Data-PC'!$B$13:$AX$59,44,FALSE)</f>
        <v>1180</v>
      </c>
      <c r="AV38">
        <f>VLOOKUP($B38,'Data-PC'!$B$13:$AX$59,45,FALSE)*C38</f>
        <v>0</v>
      </c>
      <c r="AW38">
        <f>VLOOKUP($B38,'Data-PC'!$B$13:$AX$59,46,FALSE)</f>
        <v>0</v>
      </c>
      <c r="AX38">
        <f>VLOOKUP($B38,'Data-PC'!$B$13:$AX$59,47,FALSE)</f>
        <v>0</v>
      </c>
      <c r="AY38">
        <f>VLOOKUP($B38,'Data-PC'!$B$16:$AX$59,48,FALSE)</f>
        <v>0</v>
      </c>
      <c r="AZ38">
        <f>VLOOKUP($B38,'Data-PC'!$B$13:$AX$59,49,FALSE)*C38</f>
        <v>0</v>
      </c>
      <c r="BA38">
        <f>SUM(X38,AC38,AH38,AM38,AR38,AV38,AZ38)</f>
        <v>26.429355</v>
      </c>
    </row>
    <row r="39">
      <c r="A39">
        <f>A38+1</f>
        <v>28</v>
      </c>
      <c r="B39" t="str">
        <v>PC.1</v>
      </c>
      <c r="C39">
        <v>1</v>
      </c>
      <c r="E39">
        <f>D39-(G39+$T$3)/1000</f>
        <v>-0.5</v>
      </c>
      <c r="F39">
        <f>VLOOKUP(B39,'Data-PC'!$B$13:$AP$36,15,FALSE)</f>
        <v>1.96</v>
      </c>
      <c r="G39">
        <f>VLOOKUP(B39,'Data-PC'!$B$13:$G$36,4,FALSE)</f>
        <v>500</v>
      </c>
      <c r="H39">
        <f>C39*VLOOKUP(B39,'Data-PC'!$B$13:$BC$36,18,FALSE)</f>
        <v>1</v>
      </c>
      <c r="I39">
        <f>C39*VLOOKUP(B39,'Data-PC'!$B$13:$BC$36,51,FALSE)</f>
        <v>0</v>
      </c>
      <c r="J39">
        <f>F39*C39*'Data-PC'!$D$5/1000</f>
        <v>0.098</v>
      </c>
      <c r="K39">
        <f>F39*('Data-PC'!$D$4/1000)*C39</f>
        <v>0</v>
      </c>
      <c r="L39">
        <f>C39*F39*($T$3-E39)</f>
        <v>0.98</v>
      </c>
      <c r="M39">
        <f>L39-(T39+J39)</f>
        <v>0.702</v>
      </c>
      <c r="S39">
        <f>L39-M39</f>
        <v>0.278</v>
      </c>
      <c r="T39">
        <f>C39*VLOOKUP(B39,'Data-PC'!$B$13:$AP$36,16,FALSE)*(1+'Data-PC'!$T$3/100)</f>
        <v>0.18</v>
      </c>
      <c r="U39">
        <f>C39*VLOOKUP(B39,'Data-PC'!$B$13:$AP$36,17,FALSE)*(1+'Data-PC'!$T$5/100)</f>
        <v>1.2</v>
      </c>
      <c r="V39">
        <f>VLOOKUP($B39,'Data-PC'!$B$13:$AP$59,19,FALSE)</f>
        <v>1</v>
      </c>
      <c r="W39">
        <f>VLOOKUP($B39,'Data-PC'!$B$13:$AP$59,20,FALSE)</f>
        <v>10</v>
      </c>
      <c r="X39">
        <f>VLOOKUP($B39,'Data-PC'!$B$13:$AP$59,21,FALSE)*C39</f>
        <v>1.4241150000000002</v>
      </c>
      <c r="Y39">
        <f>VLOOKUP($B39,'Data-PC'!$B$13:$AP$59,22,FALSE)</f>
        <v>13</v>
      </c>
      <c r="Z39">
        <f>VLOOKUP($B39,'Data-PC'!$B$13:$AP$59,23,FALSE)</f>
        <v>0</v>
      </c>
      <c r="AA39">
        <f>VLOOKUP($B39,'Data-PC'!$B$13:$AP$59,24,FALSE)</f>
        <v>5</v>
      </c>
      <c r="AB39">
        <f>VLOOKUP($B39,'Data-PC'!$B$13:$AP$59,25,FALSE)</f>
        <v>4.9</v>
      </c>
      <c r="AC39">
        <f>VLOOKUP($B39,'Data-PC'!$B$13:$AP$59,26,FALSE)*C39</f>
        <v>5.1052365</v>
      </c>
      <c r="AD39">
        <f>VLOOKUP($B39,'Data-PC'!$B$13:$AP$59,27,FALSE)</f>
        <v>13</v>
      </c>
      <c r="AE39">
        <f>VLOOKUP($B39,'Data-PC'!$B$13:$AP$59,28,FALSE)</f>
        <v>0</v>
      </c>
      <c r="AF39">
        <f>VLOOKUP($B39,'Data-PC'!$B$13:$AP$59,29,FALSE)</f>
        <v>5</v>
      </c>
      <c r="AG39">
        <f>VLOOKUP($B39,'Data-PC'!$B$13:$AP$59,30,FALSE)</f>
        <v>4.9</v>
      </c>
      <c r="AH39">
        <f>VLOOKUP($B39,'Data-PC'!$B$13:$AP$59,31,FALSE)*C39</f>
        <v>5.1052365</v>
      </c>
      <c r="AI39">
        <f>VLOOKUP($B39,'Data-PC'!$B$13:$AP$59,32,FALSE)</f>
        <v>13</v>
      </c>
      <c r="AJ39">
        <f>VLOOKUP($B39,'Data-PC'!$B$13:$AP$59,33,FALSE)</f>
        <v>0</v>
      </c>
      <c r="AK39">
        <f>VLOOKUP($B39,'Data-PC'!$B$13:$AP$59,34,FALSE)</f>
        <v>5</v>
      </c>
      <c r="AL39">
        <f>VLOOKUP($B39,'Data-PC'!$B$13:$AP$59,35,FALSE)</f>
        <v>7.1</v>
      </c>
      <c r="AM39">
        <f>VLOOKUP($B39,'Data-PC'!$B$13:$AP$59,36,FALSE)*C39</f>
        <v>7.397383499999999</v>
      </c>
      <c r="AN39">
        <f>VLOOKUP($B39,'Data-PC'!$B$13:$AP$59,37,FALSE)</f>
        <v>13</v>
      </c>
      <c r="AO39">
        <f>VLOOKUP($B39,'Data-PC'!$B$13:$AP$59,38,FALSE)</f>
        <v>0</v>
      </c>
      <c r="AP39">
        <f>VLOOKUP($B39,'Data-PC'!$B$13:$AP$59,39,FALSE)</f>
        <v>5</v>
      </c>
      <c r="AQ39">
        <f>VLOOKUP($B39,'Data-PC'!$B$13:$AP$59,40,FALSE)</f>
        <v>7.1</v>
      </c>
      <c r="AR39">
        <f>VLOOKUP($B39,'Data-PC'!$B$13:$AP$59,41,FALSE)*C39</f>
        <v>7.397383499999999</v>
      </c>
      <c r="AS39">
        <f>VLOOKUP($B39,'Data-PC'!$B$13:$AX$59,42,FALSE)</f>
        <v>0</v>
      </c>
      <c r="AT39">
        <f>VLOOKUP($B39,'Data-PC'!$B$13:$AX$59,43,FALSE)</f>
        <v>0</v>
      </c>
      <c r="AU39">
        <f>VLOOKUP($B39,'Data-PC'!$B$13:$AX$59,44,FALSE)</f>
        <v>1180</v>
      </c>
      <c r="AV39">
        <f>VLOOKUP($B39,'Data-PC'!$B$13:$AX$59,45,FALSE)*C39</f>
        <v>0</v>
      </c>
      <c r="AW39">
        <f>VLOOKUP($B39,'Data-PC'!$B$13:$AX$59,46,FALSE)</f>
        <v>0</v>
      </c>
      <c r="AX39">
        <f>VLOOKUP($B39,'Data-PC'!$B$13:$AX$59,47,FALSE)</f>
        <v>0</v>
      </c>
      <c r="AY39">
        <f>VLOOKUP($B39,'Data-PC'!$B$16:$AX$59,48,FALSE)</f>
        <v>0</v>
      </c>
      <c r="AZ39">
        <f>VLOOKUP($B39,'Data-PC'!$B$13:$AX$59,49,FALSE)*C39</f>
        <v>0</v>
      </c>
      <c r="BA39">
        <f>SUM(X39,AC39,AH39,AM39,AR39,AV39,AZ39)</f>
        <v>26.429355</v>
      </c>
    </row>
    <row r="40">
      <c r="A40">
        <f>A39+1</f>
        <v>29</v>
      </c>
      <c r="B40" t="str">
        <v>PC.1</v>
      </c>
      <c r="C40">
        <v>1</v>
      </c>
      <c r="E40">
        <f>D40-(G40+$T$3)/1000</f>
        <v>-0.5</v>
      </c>
      <c r="F40">
        <f>VLOOKUP(B40,'Data-PC'!$B$13:$AP$36,15,FALSE)</f>
        <v>1.96</v>
      </c>
      <c r="G40">
        <f>VLOOKUP(B40,'Data-PC'!$B$13:$G$36,4,FALSE)</f>
        <v>500</v>
      </c>
      <c r="H40">
        <f>C40*VLOOKUP(B40,'Data-PC'!$B$13:$BC$36,18,FALSE)</f>
        <v>1</v>
      </c>
      <c r="I40">
        <f>C40*VLOOKUP(B40,'Data-PC'!$B$13:$BC$36,51,FALSE)</f>
        <v>0</v>
      </c>
      <c r="J40">
        <f>F40*C40*'Data-PC'!$D$5/1000</f>
        <v>0.098</v>
      </c>
      <c r="K40">
        <f>F40*('Data-PC'!$D$4/1000)*C40</f>
        <v>0</v>
      </c>
      <c r="L40">
        <f>C40*F40*($T$3-E40)</f>
        <v>0.98</v>
      </c>
      <c r="M40">
        <f>L40-(T40+J40)</f>
        <v>0.702</v>
      </c>
      <c r="S40">
        <f>L40-M40</f>
        <v>0.278</v>
      </c>
      <c r="T40">
        <f>C40*VLOOKUP(B40,'Data-PC'!$B$13:$AP$36,16,FALSE)*(1+'Data-PC'!$T$3/100)</f>
        <v>0.18</v>
      </c>
      <c r="U40">
        <f>C40*VLOOKUP(B40,'Data-PC'!$B$13:$AP$36,17,FALSE)*(1+'Data-PC'!$T$5/100)</f>
        <v>1.2</v>
      </c>
      <c r="V40">
        <f>VLOOKUP($B40,'Data-PC'!$B$13:$AP$59,19,FALSE)</f>
        <v>1</v>
      </c>
      <c r="W40">
        <f>VLOOKUP($B40,'Data-PC'!$B$13:$AP$59,20,FALSE)</f>
        <v>10</v>
      </c>
      <c r="X40">
        <f>VLOOKUP($B40,'Data-PC'!$B$13:$AP$59,21,FALSE)*C40</f>
        <v>1.4241150000000002</v>
      </c>
      <c r="Y40">
        <f>VLOOKUP($B40,'Data-PC'!$B$13:$AP$59,22,FALSE)</f>
        <v>13</v>
      </c>
      <c r="Z40">
        <f>VLOOKUP($B40,'Data-PC'!$B$13:$AP$59,23,FALSE)</f>
        <v>0</v>
      </c>
      <c r="AA40">
        <f>VLOOKUP($B40,'Data-PC'!$B$13:$AP$59,24,FALSE)</f>
        <v>5</v>
      </c>
      <c r="AB40">
        <f>VLOOKUP($B40,'Data-PC'!$B$13:$AP$59,25,FALSE)</f>
        <v>4.9</v>
      </c>
      <c r="AC40">
        <f>VLOOKUP($B40,'Data-PC'!$B$13:$AP$59,26,FALSE)*C40</f>
        <v>5.1052365</v>
      </c>
      <c r="AD40">
        <f>VLOOKUP($B40,'Data-PC'!$B$13:$AP$59,27,FALSE)</f>
        <v>13</v>
      </c>
      <c r="AE40">
        <f>VLOOKUP($B40,'Data-PC'!$B$13:$AP$59,28,FALSE)</f>
        <v>0</v>
      </c>
      <c r="AF40">
        <f>VLOOKUP($B40,'Data-PC'!$B$13:$AP$59,29,FALSE)</f>
        <v>5</v>
      </c>
      <c r="AG40">
        <f>VLOOKUP($B40,'Data-PC'!$B$13:$AP$59,30,FALSE)</f>
        <v>4.9</v>
      </c>
      <c r="AH40">
        <f>VLOOKUP($B40,'Data-PC'!$B$13:$AP$59,31,FALSE)*C40</f>
        <v>5.1052365</v>
      </c>
      <c r="AI40">
        <f>VLOOKUP($B40,'Data-PC'!$B$13:$AP$59,32,FALSE)</f>
        <v>13</v>
      </c>
      <c r="AJ40">
        <f>VLOOKUP($B40,'Data-PC'!$B$13:$AP$59,33,FALSE)</f>
        <v>0</v>
      </c>
      <c r="AK40">
        <f>VLOOKUP($B40,'Data-PC'!$B$13:$AP$59,34,FALSE)</f>
        <v>5</v>
      </c>
      <c r="AL40">
        <f>VLOOKUP($B40,'Data-PC'!$B$13:$AP$59,35,FALSE)</f>
        <v>7.1</v>
      </c>
      <c r="AM40">
        <f>VLOOKUP($B40,'Data-PC'!$B$13:$AP$59,36,FALSE)*C40</f>
        <v>7.397383499999999</v>
      </c>
      <c r="AN40">
        <f>VLOOKUP($B40,'Data-PC'!$B$13:$AP$59,37,FALSE)</f>
        <v>13</v>
      </c>
      <c r="AO40">
        <f>VLOOKUP($B40,'Data-PC'!$B$13:$AP$59,38,FALSE)</f>
        <v>0</v>
      </c>
      <c r="AP40">
        <f>VLOOKUP($B40,'Data-PC'!$B$13:$AP$59,39,FALSE)</f>
        <v>5</v>
      </c>
      <c r="AQ40">
        <f>VLOOKUP($B40,'Data-PC'!$B$13:$AP$59,40,FALSE)</f>
        <v>7.1</v>
      </c>
      <c r="AR40">
        <f>VLOOKUP($B40,'Data-PC'!$B$13:$AP$59,41,FALSE)*C40</f>
        <v>7.397383499999999</v>
      </c>
      <c r="AS40">
        <f>VLOOKUP($B40,'Data-PC'!$B$13:$AX$59,42,FALSE)</f>
        <v>0</v>
      </c>
      <c r="AT40">
        <f>VLOOKUP($B40,'Data-PC'!$B$13:$AX$59,43,FALSE)</f>
        <v>0</v>
      </c>
      <c r="AU40">
        <f>VLOOKUP($B40,'Data-PC'!$B$13:$AX$59,44,FALSE)</f>
        <v>1180</v>
      </c>
      <c r="AV40">
        <f>VLOOKUP($B40,'Data-PC'!$B$13:$AX$59,45,FALSE)*C40</f>
        <v>0</v>
      </c>
      <c r="AW40">
        <f>VLOOKUP($B40,'Data-PC'!$B$13:$AX$59,46,FALSE)</f>
        <v>0</v>
      </c>
      <c r="AX40">
        <f>VLOOKUP($B40,'Data-PC'!$B$13:$AX$59,47,FALSE)</f>
        <v>0</v>
      </c>
      <c r="AY40">
        <f>VLOOKUP($B40,'Data-PC'!$B$16:$AX$59,48,FALSE)</f>
        <v>0</v>
      </c>
      <c r="AZ40">
        <f>VLOOKUP($B40,'Data-PC'!$B$13:$AX$59,49,FALSE)*C40</f>
        <v>0</v>
      </c>
      <c r="BA40">
        <f>SUM(X40,AC40,AH40,AM40,AR40,AV40,AZ40)</f>
        <v>26.429355</v>
      </c>
    </row>
    <row r="41">
      <c r="A41">
        <f>A40+1</f>
        <v>30</v>
      </c>
      <c r="B41" t="str">
        <v>PC.1</v>
      </c>
      <c r="C41">
        <v>1</v>
      </c>
      <c r="E41">
        <f>D41-(G41+$T$3)/1000</f>
        <v>-0.5</v>
      </c>
      <c r="F41">
        <f>VLOOKUP(B41,'Data-PC'!$B$13:$AP$36,15,FALSE)</f>
        <v>1.96</v>
      </c>
      <c r="G41">
        <f>VLOOKUP(B41,'Data-PC'!$B$13:$G$36,4,FALSE)</f>
        <v>500</v>
      </c>
      <c r="H41">
        <f>C41*VLOOKUP(B41,'Data-PC'!$B$13:$BC$36,18,FALSE)</f>
        <v>1</v>
      </c>
      <c r="I41">
        <f>C41*VLOOKUP(B41,'Data-PC'!$B$13:$BC$36,51,FALSE)</f>
        <v>0</v>
      </c>
      <c r="J41">
        <f>F41*C41*'Data-PC'!$D$5/1000</f>
        <v>0.098</v>
      </c>
      <c r="K41">
        <f>F41*('Data-PC'!$D$4/1000)*C41</f>
        <v>0</v>
      </c>
      <c r="L41">
        <f>C41*F41*($T$3-E41)</f>
        <v>0.98</v>
      </c>
      <c r="M41">
        <f>L41-(T41+J41)</f>
        <v>0.702</v>
      </c>
      <c r="S41">
        <f>L41-M41</f>
        <v>0.278</v>
      </c>
      <c r="T41">
        <f>C41*VLOOKUP(B41,'Data-PC'!$B$13:$AP$36,16,FALSE)*(1+'Data-PC'!$T$3/100)</f>
        <v>0.18</v>
      </c>
      <c r="U41">
        <f>C41*VLOOKUP(B41,'Data-PC'!$B$13:$AP$36,17,FALSE)*(1+'Data-PC'!$T$5/100)</f>
        <v>1.2</v>
      </c>
      <c r="V41">
        <f>VLOOKUP($B41,'Data-PC'!$B$13:$AP$59,19,FALSE)</f>
        <v>1</v>
      </c>
      <c r="W41">
        <f>VLOOKUP($B41,'Data-PC'!$B$13:$AP$59,20,FALSE)</f>
        <v>10</v>
      </c>
      <c r="X41">
        <f>VLOOKUP($B41,'Data-PC'!$B$13:$AP$59,21,FALSE)*C41</f>
        <v>1.4241150000000002</v>
      </c>
      <c r="Y41">
        <f>VLOOKUP($B41,'Data-PC'!$B$13:$AP$59,22,FALSE)</f>
        <v>13</v>
      </c>
      <c r="Z41">
        <f>VLOOKUP($B41,'Data-PC'!$B$13:$AP$59,23,FALSE)</f>
        <v>0</v>
      </c>
      <c r="AA41">
        <f>VLOOKUP($B41,'Data-PC'!$B$13:$AP$59,24,FALSE)</f>
        <v>5</v>
      </c>
      <c r="AB41">
        <f>VLOOKUP($B41,'Data-PC'!$B$13:$AP$59,25,FALSE)</f>
        <v>4.9</v>
      </c>
      <c r="AC41">
        <f>VLOOKUP($B41,'Data-PC'!$B$13:$AP$59,26,FALSE)*C41</f>
        <v>5.1052365</v>
      </c>
      <c r="AD41">
        <f>VLOOKUP($B41,'Data-PC'!$B$13:$AP$59,27,FALSE)</f>
        <v>13</v>
      </c>
      <c r="AE41">
        <f>VLOOKUP($B41,'Data-PC'!$B$13:$AP$59,28,FALSE)</f>
        <v>0</v>
      </c>
      <c r="AF41">
        <f>VLOOKUP($B41,'Data-PC'!$B$13:$AP$59,29,FALSE)</f>
        <v>5</v>
      </c>
      <c r="AG41">
        <f>VLOOKUP($B41,'Data-PC'!$B$13:$AP$59,30,FALSE)</f>
        <v>4.9</v>
      </c>
      <c r="AH41">
        <f>VLOOKUP($B41,'Data-PC'!$B$13:$AP$59,31,FALSE)*C41</f>
        <v>5.1052365</v>
      </c>
      <c r="AI41">
        <f>VLOOKUP($B41,'Data-PC'!$B$13:$AP$59,32,FALSE)</f>
        <v>13</v>
      </c>
      <c r="AJ41">
        <f>VLOOKUP($B41,'Data-PC'!$B$13:$AP$59,33,FALSE)</f>
        <v>0</v>
      </c>
      <c r="AK41">
        <f>VLOOKUP($B41,'Data-PC'!$B$13:$AP$59,34,FALSE)</f>
        <v>5</v>
      </c>
      <c r="AL41">
        <f>VLOOKUP($B41,'Data-PC'!$B$13:$AP$59,35,FALSE)</f>
        <v>7.1</v>
      </c>
      <c r="AM41">
        <f>VLOOKUP($B41,'Data-PC'!$B$13:$AP$59,36,FALSE)*C41</f>
        <v>7.397383499999999</v>
      </c>
      <c r="AN41">
        <f>VLOOKUP($B41,'Data-PC'!$B$13:$AP$59,37,FALSE)</f>
        <v>13</v>
      </c>
      <c r="AO41">
        <f>VLOOKUP($B41,'Data-PC'!$B$13:$AP$59,38,FALSE)</f>
        <v>0</v>
      </c>
      <c r="AP41">
        <f>VLOOKUP($B41,'Data-PC'!$B$13:$AP$59,39,FALSE)</f>
        <v>5</v>
      </c>
      <c r="AQ41">
        <f>VLOOKUP($B41,'Data-PC'!$B$13:$AP$59,40,FALSE)</f>
        <v>7.1</v>
      </c>
      <c r="AR41">
        <f>VLOOKUP($B41,'Data-PC'!$B$13:$AP$59,41,FALSE)*C41</f>
        <v>7.397383499999999</v>
      </c>
      <c r="AS41">
        <f>VLOOKUP($B41,'Data-PC'!$B$13:$AX$59,42,FALSE)</f>
        <v>0</v>
      </c>
      <c r="AT41">
        <f>VLOOKUP($B41,'Data-PC'!$B$13:$AX$59,43,FALSE)</f>
        <v>0</v>
      </c>
      <c r="AU41">
        <f>VLOOKUP($B41,'Data-PC'!$B$13:$AX$59,44,FALSE)</f>
        <v>1180</v>
      </c>
      <c r="AV41">
        <f>VLOOKUP($B41,'Data-PC'!$B$13:$AX$59,45,FALSE)*C41</f>
        <v>0</v>
      </c>
      <c r="AW41">
        <f>VLOOKUP($B41,'Data-PC'!$B$13:$AX$59,46,FALSE)</f>
        <v>0</v>
      </c>
      <c r="AX41">
        <f>VLOOKUP($B41,'Data-PC'!$B$13:$AX$59,47,FALSE)</f>
        <v>0</v>
      </c>
      <c r="AY41">
        <f>VLOOKUP($B41,'Data-PC'!$B$16:$AX$59,48,FALSE)</f>
        <v>0</v>
      </c>
      <c r="AZ41">
        <f>VLOOKUP($B41,'Data-PC'!$B$13:$AX$59,49,FALSE)*C41</f>
        <v>0</v>
      </c>
      <c r="BA41">
        <f>SUM(X41,AC41,AH41,AM41,AR41,AV41,AZ41)</f>
        <v>26.429355</v>
      </c>
    </row>
    <row r="42">
      <c r="A42">
        <f>A41+1</f>
        <v>31</v>
      </c>
      <c r="B42" t="str">
        <v>PC.8</v>
      </c>
      <c r="C42">
        <v>1</v>
      </c>
      <c r="E42">
        <f>D42-(G42+$T$3)/1000</f>
        <v>-0.7</v>
      </c>
      <c r="F42">
        <f>VLOOKUP(B42,'Data-PC'!$B$13:$AP$36,15,FALSE)</f>
        <v>9.472</v>
      </c>
      <c r="G42">
        <f>VLOOKUP(B42,'Data-PC'!$B$13:$G$36,4,FALSE)</f>
        <v>700</v>
      </c>
      <c r="H42">
        <f>C42*VLOOKUP(B42,'Data-PC'!$B$13:$BC$36,18,FALSE)</f>
        <v>8</v>
      </c>
      <c r="I42">
        <f>C42*VLOOKUP(B42,'Data-PC'!$B$13:$BC$36,51,FALSE)</f>
        <v>0</v>
      </c>
      <c r="J42">
        <f>F42*C42*'Data-PC'!$D$5/1000</f>
        <v>0.47359999999999997</v>
      </c>
      <c r="K42">
        <f>F42*('Data-PC'!$D$4/1000)*C42</f>
        <v>0</v>
      </c>
      <c r="L42">
        <f>C42*F42*($T$3-E42)</f>
        <v>6.630399999999999</v>
      </c>
      <c r="M42">
        <f>L42-(T42+J42)</f>
        <v>2.5279999999999987</v>
      </c>
      <c r="S42">
        <f>L42-M42</f>
        <v>4.1024</v>
      </c>
      <c r="T42">
        <f>C42*VLOOKUP(B42,'Data-PC'!$B$13:$AP$36,16,FALSE)*(1+'Data-PC'!$T$3/100)</f>
        <v>3.6288</v>
      </c>
      <c r="U42">
        <f>C42*VLOOKUP(B42,'Data-PC'!$B$13:$AP$36,17,FALSE)*(1+'Data-PC'!$T$5/100)</f>
        <v>6.3839999999999995</v>
      </c>
      <c r="V42">
        <f>VLOOKUP($B42,'Data-PC'!$B$13:$AP$59,19,FALSE)</f>
        <v>1</v>
      </c>
      <c r="W42">
        <f>VLOOKUP($B42,'Data-PC'!$B$13:$AP$59,20,FALSE)</f>
        <v>13</v>
      </c>
      <c r="X42">
        <f>VLOOKUP($B42,'Data-PC'!$B$13:$AP$59,21,FALSE)*C42</f>
        <v>9.414472859999998</v>
      </c>
      <c r="Y42">
        <f>VLOOKUP($B42,'Data-PC'!$B$13:$AP$59,22,FALSE)</f>
        <v>16</v>
      </c>
      <c r="Z42">
        <f>VLOOKUP($B42,'Data-PC'!$B$13:$AP$59,23,FALSE)</f>
        <v>0</v>
      </c>
      <c r="AA42">
        <f>VLOOKUP($B42,'Data-PC'!$B$13:$AP$59,24,FALSE)</f>
        <v>15</v>
      </c>
      <c r="AB42">
        <f>VLOOKUP($B42,'Data-PC'!$B$13:$AP$59,25,FALSE)</f>
        <v>44.7</v>
      </c>
      <c r="AC42">
        <f>VLOOKUP($B42,'Data-PC'!$B$13:$AP$59,26,FALSE)*C42</f>
        <v>70.54732800000001</v>
      </c>
      <c r="AD42">
        <f>VLOOKUP($B42,'Data-PC'!$B$13:$AP$59,27,FALSE)</f>
        <v>16</v>
      </c>
      <c r="AE42">
        <f>VLOOKUP($B42,'Data-PC'!$B$13:$AP$59,28,FALSE)</f>
        <v>0</v>
      </c>
      <c r="AF42">
        <f>VLOOKUP($B42,'Data-PC'!$B$13:$AP$59,29,FALSE)</f>
        <v>16</v>
      </c>
      <c r="AG42">
        <f>VLOOKUP($B42,'Data-PC'!$B$13:$AP$59,30,FALSE)</f>
        <v>43.84</v>
      </c>
      <c r="AH42">
        <f>VLOOKUP($B42,'Data-PC'!$B$13:$AP$59,31,FALSE)*C42</f>
        <v>69.19004160000001</v>
      </c>
      <c r="AI42">
        <f>VLOOKUP($B42,'Data-PC'!$B$13:$AP$59,32,FALSE)</f>
        <v>16</v>
      </c>
      <c r="AJ42">
        <f>VLOOKUP($B42,'Data-PC'!$B$13:$AP$59,33,FALSE)</f>
        <v>0</v>
      </c>
      <c r="AK42">
        <f>VLOOKUP($B42,'Data-PC'!$B$13:$AP$59,34,FALSE)</f>
        <v>15</v>
      </c>
      <c r="AL42">
        <f>VLOOKUP($B42,'Data-PC'!$B$13:$AP$59,35,FALSE)</f>
        <v>54.3</v>
      </c>
      <c r="AM42">
        <f>VLOOKUP($B42,'Data-PC'!$B$13:$AP$59,36,FALSE)*C42</f>
        <v>85.698432</v>
      </c>
      <c r="AN42">
        <f>VLOOKUP($B42,'Data-PC'!$B$13:$AP$59,37,FALSE)</f>
        <v>16</v>
      </c>
      <c r="AO42">
        <f>VLOOKUP($B42,'Data-PC'!$B$13:$AP$59,38,FALSE)</f>
        <v>0</v>
      </c>
      <c r="AP42">
        <f>VLOOKUP($B42,'Data-PC'!$B$13:$AP$59,39,FALSE)</f>
        <v>16</v>
      </c>
      <c r="AQ42">
        <f>VLOOKUP($B42,'Data-PC'!$B$13:$AP$59,40,FALSE)</f>
        <v>54.08</v>
      </c>
      <c r="AR42">
        <f>VLOOKUP($B42,'Data-PC'!$B$13:$AP$59,41,FALSE)*C42</f>
        <v>85.3512192</v>
      </c>
      <c r="AS42">
        <f>VLOOKUP($B42,'Data-PC'!$B$13:$AX$59,42,FALSE)</f>
        <v>0</v>
      </c>
      <c r="AT42">
        <f>VLOOKUP($B42,'Data-PC'!$B$13:$AX$59,43,FALSE)</f>
        <v>0</v>
      </c>
      <c r="AU42">
        <f>VLOOKUP($B42,'Data-PC'!$B$13:$AX$59,44,FALSE)</f>
        <v>1580</v>
      </c>
      <c r="AV42">
        <f>VLOOKUP($B42,'Data-PC'!$B$13:$AX$59,45,FALSE)*C42</f>
        <v>0</v>
      </c>
      <c r="AW42">
        <f>VLOOKUP($B42,'Data-PC'!$B$13:$AX$59,46,FALSE)</f>
        <v>0</v>
      </c>
      <c r="AX42">
        <f>VLOOKUP($B42,'Data-PC'!$B$13:$AX$59,47,FALSE)</f>
        <v>0</v>
      </c>
      <c r="AY42">
        <f>VLOOKUP($B42,'Data-PC'!$B$16:$AX$59,48,FALSE)</f>
        <v>0</v>
      </c>
      <c r="AZ42">
        <f>VLOOKUP($B42,'Data-PC'!$B$13:$AX$59,49,FALSE)*C42</f>
        <v>0</v>
      </c>
      <c r="BA42">
        <f>SUM(X42,AC42,AH42,AM42,AR42,AV42,AZ42)</f>
        <v>320.20149366</v>
      </c>
    </row>
    <row r="43">
      <c r="A43">
        <f>A42+1</f>
        <v>32</v>
      </c>
      <c r="B43" t="str">
        <v>PC.4</v>
      </c>
      <c r="C43">
        <v>1</v>
      </c>
      <c r="E43">
        <f>D43-(G43+$T$3)/1000</f>
        <v>-0.5</v>
      </c>
      <c r="F43">
        <f>VLOOKUP(B43,'Data-PC'!$B$13:$AP$36,15,FALSE)</f>
        <v>5.29</v>
      </c>
      <c r="G43">
        <f>VLOOKUP(B43,'Data-PC'!$B$13:$G$36,4,FALSE)</f>
        <v>500</v>
      </c>
      <c r="H43">
        <f>C43*VLOOKUP(B43,'Data-PC'!$B$13:$BC$36,18,FALSE)</f>
        <v>4</v>
      </c>
      <c r="I43">
        <f>C43*VLOOKUP(B43,'Data-PC'!$B$13:$BC$36,51,FALSE)</f>
        <v>0</v>
      </c>
      <c r="J43">
        <f>F43*C43*'Data-PC'!$D$5/1000</f>
        <v>0.2645</v>
      </c>
      <c r="K43">
        <f>F43*('Data-PC'!$D$4/1000)*C43</f>
        <v>0</v>
      </c>
      <c r="L43">
        <f>C43*F43*($T$3-E43)</f>
        <v>2.645</v>
      </c>
      <c r="M43">
        <f>L43-(T43+J43)</f>
        <v>1.2555</v>
      </c>
      <c r="S43">
        <f>L43-M43</f>
        <v>1.3895</v>
      </c>
      <c r="T43">
        <f>C43*VLOOKUP(B43,'Data-PC'!$B$13:$AP$36,16,FALSE)*(1+'Data-PC'!$T$3/100)</f>
        <v>1.125</v>
      </c>
      <c r="U43">
        <f>C43*VLOOKUP(B43,'Data-PC'!$B$13:$AP$36,17,FALSE)*(1+'Data-PC'!$T$5/100)</f>
        <v>3</v>
      </c>
      <c r="V43">
        <f>VLOOKUP($B43,'Data-PC'!$B$13:$AP$59,19,FALSE)</f>
        <v>1</v>
      </c>
      <c r="W43">
        <f>VLOOKUP($B43,'Data-PC'!$B$13:$AP$59,20,FALSE)</f>
        <v>10</v>
      </c>
      <c r="X43">
        <f>VLOOKUP($B43,'Data-PC'!$B$13:$AP$59,21,FALSE)*C43</f>
        <v>3.6435150000000003</v>
      </c>
      <c r="Y43">
        <f>VLOOKUP($B43,'Data-PC'!$B$13:$AP$59,22,FALSE)</f>
        <v>13</v>
      </c>
      <c r="Z43">
        <f>VLOOKUP($B43,'Data-PC'!$B$13:$AP$59,23,FALSE)</f>
        <v>0</v>
      </c>
      <c r="AA43">
        <f>VLOOKUP($B43,'Data-PC'!$B$13:$AP$59,24,FALSE)</f>
        <v>13</v>
      </c>
      <c r="AB43">
        <f>VLOOKUP($B43,'Data-PC'!$B$13:$AP$59,25,FALSE)</f>
        <v>24.44</v>
      </c>
      <c r="AC43">
        <f>VLOOKUP($B43,'Data-PC'!$B$13:$AP$59,26,FALSE)*C43</f>
        <v>25.4636694</v>
      </c>
      <c r="AD43">
        <f>VLOOKUP($B43,'Data-PC'!$B$13:$AP$59,27,FALSE)</f>
        <v>13</v>
      </c>
      <c r="AE43">
        <f>VLOOKUP($B43,'Data-PC'!$B$13:$AP$59,28,FALSE)</f>
        <v>0</v>
      </c>
      <c r="AF43">
        <f>VLOOKUP($B43,'Data-PC'!$B$13:$AP$59,29,FALSE)</f>
        <v>13</v>
      </c>
      <c r="AG43">
        <f>VLOOKUP($B43,'Data-PC'!$B$13:$AP$59,30,FALSE)</f>
        <v>24.44</v>
      </c>
      <c r="AH43">
        <f>VLOOKUP($B43,'Data-PC'!$B$13:$AP$59,31,FALSE)*C43</f>
        <v>25.4636694</v>
      </c>
      <c r="AI43">
        <f>VLOOKUP($B43,'Data-PC'!$B$13:$AP$59,32,FALSE)</f>
        <v>13</v>
      </c>
      <c r="AJ43">
        <f>VLOOKUP($B43,'Data-PC'!$B$13:$AP$59,33,FALSE)</f>
        <v>0</v>
      </c>
      <c r="AK43">
        <f>VLOOKUP($B43,'Data-PC'!$B$13:$AP$59,34,FALSE)</f>
        <v>13</v>
      </c>
      <c r="AL43">
        <f>VLOOKUP($B43,'Data-PC'!$B$13:$AP$59,35,FALSE)</f>
        <v>30.16</v>
      </c>
      <c r="AM43">
        <f>VLOOKUP($B43,'Data-PC'!$B$13:$AP$59,36,FALSE)*C43</f>
        <v>31.4232516</v>
      </c>
      <c r="AN43">
        <f>VLOOKUP($B43,'Data-PC'!$B$13:$AP$59,37,FALSE)</f>
        <v>13</v>
      </c>
      <c r="AO43">
        <f>VLOOKUP($B43,'Data-PC'!$B$13:$AP$59,38,FALSE)</f>
        <v>0</v>
      </c>
      <c r="AP43">
        <f>VLOOKUP($B43,'Data-PC'!$B$13:$AP$59,39,FALSE)</f>
        <v>13</v>
      </c>
      <c r="AQ43">
        <f>VLOOKUP($B43,'Data-PC'!$B$13:$AP$59,40,FALSE)</f>
        <v>30.16</v>
      </c>
      <c r="AR43">
        <f>VLOOKUP($B43,'Data-PC'!$B$13:$AP$59,41,FALSE)*C43</f>
        <v>31.4232516</v>
      </c>
      <c r="AS43">
        <f>VLOOKUP($B43,'Data-PC'!$B$13:$AX$59,42,FALSE)</f>
        <v>0</v>
      </c>
      <c r="AT43">
        <f>VLOOKUP($B43,'Data-PC'!$B$13:$AX$59,43,FALSE)</f>
        <v>0</v>
      </c>
      <c r="AU43">
        <f>VLOOKUP($B43,'Data-PC'!$B$13:$AX$59,44,FALSE)</f>
        <v>1180</v>
      </c>
      <c r="AV43">
        <f>VLOOKUP($B43,'Data-PC'!$B$13:$AX$59,45,FALSE)*C43</f>
        <v>0</v>
      </c>
      <c r="AW43">
        <f>VLOOKUP($B43,'Data-PC'!$B$13:$AX$59,46,FALSE)</f>
        <v>0</v>
      </c>
      <c r="AX43">
        <f>VLOOKUP($B43,'Data-PC'!$B$13:$AX$59,47,FALSE)</f>
        <v>0</v>
      </c>
      <c r="AY43">
        <f>VLOOKUP($B43,'Data-PC'!$B$16:$AX$59,48,FALSE)</f>
        <v>0</v>
      </c>
      <c r="AZ43">
        <f>VLOOKUP($B43,'Data-PC'!$B$13:$AX$59,49,FALSE)*C43</f>
        <v>0</v>
      </c>
      <c r="BA43">
        <f>SUM(X43,AC43,AH43,AM43,AR43,AV43,AZ43)</f>
        <v>117.417357</v>
      </c>
    </row>
    <row r="44">
      <c r="A44">
        <f>A43+1</f>
        <v>33</v>
      </c>
      <c r="B44" t="str">
        <v>PC.3</v>
      </c>
      <c r="C44">
        <v>1</v>
      </c>
      <c r="E44">
        <f>D44-(G44+$T$3)/1000</f>
        <v>-0.6</v>
      </c>
      <c r="F44">
        <f>VLOOKUP(B44,'Data-PC'!$B$13:$AP$36,15,FALSE)</f>
        <v>4.439</v>
      </c>
      <c r="G44">
        <f>VLOOKUP(B44,'Data-PC'!$B$13:$G$36,4,FALSE)</f>
        <v>600</v>
      </c>
      <c r="H44">
        <f>C44*VLOOKUP(B44,'Data-PC'!$B$13:$BC$36,18,FALSE)</f>
        <v>3</v>
      </c>
      <c r="I44">
        <f>C44*VLOOKUP(B44,'Data-PC'!$B$13:$BC$36,51,FALSE)</f>
        <v>0</v>
      </c>
      <c r="J44">
        <f>F44*C44*'Data-PC'!$D$5/1000</f>
        <v>0.22194999999999998</v>
      </c>
      <c r="K44">
        <f>F44*('Data-PC'!$D$4/1000)*C44</f>
        <v>0</v>
      </c>
      <c r="L44">
        <f>C44*F44*($T$3-E44)</f>
        <v>2.6633999999999998</v>
      </c>
      <c r="M44">
        <f>L44-(T44+J44)</f>
        <v>1.5444499999999997</v>
      </c>
      <c r="S44">
        <f>L44-M44</f>
        <v>1.1189500000000001</v>
      </c>
      <c r="T44">
        <f>C44*VLOOKUP(B44,'Data-PC'!$B$13:$AP$36,16,FALSE)*(1+'Data-PC'!$T$3/100)</f>
        <v>0.8970000000000001</v>
      </c>
      <c r="U44">
        <f>C44*VLOOKUP(B44,'Data-PC'!$B$13:$AP$36,17,FALSE)*(1+'Data-PC'!$T$5/100)</f>
        <v>2.9502326394071194</v>
      </c>
      <c r="V44">
        <f>VLOOKUP($B44,'Data-PC'!$B$13:$AP$59,19,FALSE)</f>
        <v>1</v>
      </c>
      <c r="W44">
        <f>VLOOKUP($B44,'Data-PC'!$B$13:$AP$59,20,FALSE)</f>
        <v>13</v>
      </c>
      <c r="X44">
        <f>VLOOKUP($B44,'Data-PC'!$B$13:$AP$59,21,FALSE)*C44</f>
        <v>4.9104606825144765</v>
      </c>
      <c r="Y44">
        <f>VLOOKUP($B44,'Data-PC'!$B$13:$AP$59,22,FALSE)</f>
        <v>13</v>
      </c>
      <c r="Z44">
        <f>VLOOKUP($B44,'Data-PC'!$B$13:$AP$59,23,FALSE)</f>
        <v>130</v>
      </c>
      <c r="AA44">
        <f>VLOOKUP($B44,'Data-PC'!$B$13:$AP$59,24,FALSE)</f>
        <v>12</v>
      </c>
      <c r="AB44">
        <f>VLOOKUP($B44,'Data-PC'!$B$13:$AP$59,25,FALSE)</f>
        <v>23.445</v>
      </c>
      <c r="AC44">
        <f>VLOOKUP($B44,'Data-PC'!$B$13:$AP$59,26,FALSE)*C44</f>
        <v>24.426993825</v>
      </c>
      <c r="AD44">
        <f>VLOOKUP($B44,'Data-PC'!$B$13:$AP$59,27,FALSE)</f>
        <v>13</v>
      </c>
      <c r="AE44">
        <f>VLOOKUP($B44,'Data-PC'!$B$13:$AP$59,28,FALSE)</f>
        <v>130</v>
      </c>
      <c r="AF44">
        <f>VLOOKUP($B44,'Data-PC'!$B$13:$AP$59,29,FALSE)</f>
        <v>13</v>
      </c>
      <c r="AG44">
        <f>VLOOKUP($B44,'Data-PC'!$B$13:$AP$59,30,FALSE)</f>
        <v>18.32</v>
      </c>
      <c r="AH44">
        <f>VLOOKUP($B44,'Data-PC'!$B$13:$AP$59,31,FALSE)*C44</f>
        <v>19.0873332</v>
      </c>
      <c r="AI44">
        <f>VLOOKUP($B44,'Data-PC'!$B$13:$AP$59,32,FALSE)</f>
        <v>13</v>
      </c>
      <c r="AJ44">
        <f>VLOOKUP($B44,'Data-PC'!$B$13:$AP$59,33,FALSE)</f>
        <v>130</v>
      </c>
      <c r="AK44">
        <f>VLOOKUP($B44,'Data-PC'!$B$13:$AP$59,34,FALSE)</f>
        <v>12</v>
      </c>
      <c r="AL44">
        <f>VLOOKUP($B44,'Data-PC'!$B$13:$AP$59,35,FALSE)</f>
        <v>25.065</v>
      </c>
      <c r="AM44">
        <f>VLOOKUP($B44,'Data-PC'!$B$13:$AP$59,36,FALSE)*C44</f>
        <v>26.114847525000002</v>
      </c>
      <c r="AN44">
        <f>VLOOKUP($B44,'Data-PC'!$B$13:$AP$59,37,FALSE)</f>
        <v>13</v>
      </c>
      <c r="AO44">
        <f>VLOOKUP($B44,'Data-PC'!$B$13:$AP$59,38,FALSE)</f>
        <v>130</v>
      </c>
      <c r="AP44">
        <f>VLOOKUP($B44,'Data-PC'!$B$13:$AP$59,39,FALSE)</f>
        <v>13</v>
      </c>
      <c r="AQ44">
        <f>VLOOKUP($B44,'Data-PC'!$B$13:$AP$59,40,FALSE)</f>
        <v>24.8</v>
      </c>
      <c r="AR44">
        <f>VLOOKUP($B44,'Data-PC'!$B$13:$AP$59,41,FALSE)*C44</f>
        <v>25.838748</v>
      </c>
      <c r="AS44">
        <f>VLOOKUP($B44,'Data-PC'!$B$13:$AX$59,42,FALSE)</f>
        <v>0</v>
      </c>
      <c r="AT44">
        <f>VLOOKUP($B44,'Data-PC'!$B$13:$AX$59,43,FALSE)</f>
        <v>0</v>
      </c>
      <c r="AU44">
        <f>VLOOKUP($B44,'Data-PC'!$B$13:$AX$59,44,FALSE)</f>
        <v>1380</v>
      </c>
      <c r="AV44">
        <f>VLOOKUP($B44,'Data-PC'!$B$13:$AX$59,45,FALSE)*C44</f>
        <v>0</v>
      </c>
      <c r="AW44">
        <f>VLOOKUP($B44,'Data-PC'!$B$13:$AX$59,46,FALSE)</f>
        <v>0</v>
      </c>
      <c r="AX44">
        <f>VLOOKUP($B44,'Data-PC'!$B$13:$AX$59,47,FALSE)</f>
        <v>0</v>
      </c>
      <c r="AY44">
        <f>VLOOKUP($B44,'Data-PC'!$B$16:$AX$59,48,FALSE)</f>
        <v>0</v>
      </c>
      <c r="AZ44">
        <f>VLOOKUP($B44,'Data-PC'!$B$13:$AX$59,49,FALSE)*C44</f>
        <v>0</v>
      </c>
      <c r="BA44">
        <f>SUM(X44,AC44,AH44,AM44,AR44,AV44,AZ44)</f>
        <v>100.37838323251448</v>
      </c>
    </row>
    <row r="45">
      <c r="A45">
        <f>A44+1</f>
        <v>34</v>
      </c>
      <c r="B45" t="str">
        <v>PC.2A</v>
      </c>
      <c r="C45">
        <v>1</v>
      </c>
      <c r="E45">
        <f>D45-(G45+$T$3)/1000</f>
        <v>-0.6</v>
      </c>
      <c r="F45">
        <f>VLOOKUP(B45,'Data-PC'!$B$13:$AP$36,15,FALSE)</f>
        <v>3.22</v>
      </c>
      <c r="G45">
        <f>VLOOKUP(B45,'Data-PC'!$B$13:$G$36,4,FALSE)</f>
        <v>600</v>
      </c>
      <c r="H45">
        <f>C45*VLOOKUP(B45,'Data-PC'!$B$13:$BC$36,18,FALSE)</f>
        <v>2</v>
      </c>
      <c r="I45">
        <f>C45*VLOOKUP(B45,'Data-PC'!$B$13:$BC$36,51,FALSE)</f>
        <v>0</v>
      </c>
      <c r="J45">
        <f>F45*C45*'Data-PC'!$D$5/1000</f>
        <v>0.161</v>
      </c>
      <c r="K45">
        <f>F45*('Data-PC'!$D$4/1000)*C45</f>
        <v>0</v>
      </c>
      <c r="L45">
        <f>C45*F45*($T$3-E45)</f>
        <v>1.932</v>
      </c>
      <c r="M45">
        <f>L45-(T45+J45)</f>
        <v>1.2309999999999999</v>
      </c>
      <c r="S45">
        <f>L45-M45</f>
        <v>0.7010000000000001</v>
      </c>
      <c r="T45">
        <f>C45*VLOOKUP(B45,'Data-PC'!$B$13:$AP$36,16,FALSE)*(1+'Data-PC'!$T$3/100)</f>
        <v>0.54</v>
      </c>
      <c r="U45">
        <f>C45*VLOOKUP(B45,'Data-PC'!$B$13:$AP$36,17,FALSE)*(1+'Data-PC'!$T$5/100)</f>
        <v>2.52</v>
      </c>
      <c r="V45">
        <f>VLOOKUP($B45,'Data-PC'!$B$13:$AP$59,19,FALSE)</f>
        <v>1</v>
      </c>
      <c r="W45">
        <f>VLOOKUP($B45,'Data-PC'!$B$13:$AP$59,20,FALSE)</f>
        <v>13</v>
      </c>
      <c r="X45">
        <f>VLOOKUP($B45,'Data-PC'!$B$13:$AP$59,21,FALSE)*C45</f>
        <v>4.2883986599999995</v>
      </c>
      <c r="Y45">
        <f>VLOOKUP($B45,'Data-PC'!$B$13:$AP$59,22,FALSE)</f>
        <v>13</v>
      </c>
      <c r="Z45">
        <f>VLOOKUP($B45,'Data-PC'!$B$13:$AP$59,23,FALSE)</f>
        <v>0</v>
      </c>
      <c r="AA45">
        <f>VLOOKUP($B45,'Data-PC'!$B$13:$AP$59,24,FALSE)</f>
        <v>6</v>
      </c>
      <c r="AB45">
        <f>VLOOKUP($B45,'Data-PC'!$B$13:$AP$59,25,FALSE)</f>
        <v>11.88</v>
      </c>
      <c r="AC45">
        <f>VLOOKUP($B45,'Data-PC'!$B$13:$AP$59,26,FALSE)*C45</f>
        <v>12.3775938</v>
      </c>
      <c r="AD45">
        <f>VLOOKUP($B45,'Data-PC'!$B$13:$AP$59,27,FALSE)</f>
        <v>13</v>
      </c>
      <c r="AE45">
        <f>VLOOKUP($B45,'Data-PC'!$B$13:$AP$59,28,FALSE)</f>
        <v>0</v>
      </c>
      <c r="AF45">
        <f>VLOOKUP($B45,'Data-PC'!$B$13:$AP$59,29,FALSE)</f>
        <v>13</v>
      </c>
      <c r="AG45">
        <f>VLOOKUP($B45,'Data-PC'!$B$13:$AP$59,30,FALSE)</f>
        <v>14.04</v>
      </c>
      <c r="AH45">
        <f>VLOOKUP($B45,'Data-PC'!$B$13:$AP$59,31,FALSE)*C45</f>
        <v>14.628065399999999</v>
      </c>
      <c r="AI45">
        <f>VLOOKUP($B45,'Data-PC'!$B$13:$AP$59,32,FALSE)</f>
        <v>13</v>
      </c>
      <c r="AJ45">
        <f>VLOOKUP($B45,'Data-PC'!$B$13:$AP$59,33,FALSE)</f>
        <v>0</v>
      </c>
      <c r="AK45">
        <f>VLOOKUP($B45,'Data-PC'!$B$13:$AP$59,34,FALSE)</f>
        <v>6</v>
      </c>
      <c r="AL45">
        <f>VLOOKUP($B45,'Data-PC'!$B$13:$AP$59,35,FALSE)</f>
        <v>15.12</v>
      </c>
      <c r="AM45">
        <f>VLOOKUP($B45,'Data-PC'!$B$13:$AP$59,36,FALSE)*C45</f>
        <v>15.7533012</v>
      </c>
      <c r="AN45">
        <f>VLOOKUP($B45,'Data-PC'!$B$13:$AP$59,37,FALSE)</f>
        <v>13</v>
      </c>
      <c r="AO45">
        <f>VLOOKUP($B45,'Data-PC'!$B$13:$AP$59,38,FALSE)</f>
        <v>0</v>
      </c>
      <c r="AP45">
        <f>VLOOKUP($B45,'Data-PC'!$B$13:$AP$59,39,FALSE)</f>
        <v>13</v>
      </c>
      <c r="AQ45">
        <f>VLOOKUP($B45,'Data-PC'!$B$13:$AP$59,40,FALSE)</f>
        <v>21.06</v>
      </c>
      <c r="AR45">
        <f>VLOOKUP($B45,'Data-PC'!$B$13:$AP$59,41,FALSE)*C45</f>
        <v>21.9420981</v>
      </c>
      <c r="AS45">
        <f>VLOOKUP($B45,'Data-PC'!$B$13:$AX$59,42,FALSE)</f>
        <v>0</v>
      </c>
      <c r="AT45">
        <f>VLOOKUP($B45,'Data-PC'!$B$13:$AX$59,43,FALSE)</f>
        <v>0</v>
      </c>
      <c r="AU45">
        <f>VLOOKUP($B45,'Data-PC'!$B$13:$AX$59,44,FALSE)</f>
        <v>1380</v>
      </c>
      <c r="AV45">
        <f>VLOOKUP($B45,'Data-PC'!$B$13:$AX$59,45,FALSE)*C45</f>
        <v>0</v>
      </c>
      <c r="AW45">
        <f>VLOOKUP($B45,'Data-PC'!$B$13:$AX$59,46,FALSE)</f>
        <v>0</v>
      </c>
      <c r="AX45">
        <f>VLOOKUP($B45,'Data-PC'!$B$13:$AX$59,47,FALSE)</f>
        <v>0</v>
      </c>
      <c r="AY45">
        <f>VLOOKUP($B45,'Data-PC'!$B$16:$AX$59,48,FALSE)</f>
        <v>0</v>
      </c>
      <c r="AZ45">
        <f>VLOOKUP($B45,'Data-PC'!$B$13:$AX$59,49,FALSE)*C45</f>
        <v>0</v>
      </c>
      <c r="BA45">
        <f>SUM(X45,AC45,AH45,AM45,AR45,AV45,AZ45)</f>
        <v>68.98945715999999</v>
      </c>
    </row>
    <row r="46">
      <c r="A46">
        <f>A45+1</f>
        <v>35</v>
      </c>
      <c r="B46" t="str">
        <v>PC.1</v>
      </c>
      <c r="C46">
        <v>1</v>
      </c>
      <c r="E46">
        <f>D46-(G46+$T$3)/1000</f>
        <v>-0.5</v>
      </c>
      <c r="F46">
        <f>VLOOKUP(B46,'Data-PC'!$B$13:$AP$36,15,FALSE)</f>
        <v>1.96</v>
      </c>
      <c r="G46">
        <f>VLOOKUP(B46,'Data-PC'!$B$13:$G$36,4,FALSE)</f>
        <v>500</v>
      </c>
      <c r="H46">
        <f>C46*VLOOKUP(B46,'Data-PC'!$B$13:$BC$36,18,FALSE)</f>
        <v>1</v>
      </c>
      <c r="I46">
        <f>C46*VLOOKUP(B46,'Data-PC'!$B$13:$BC$36,51,FALSE)</f>
        <v>0</v>
      </c>
      <c r="J46">
        <f>F46*C46*'Data-PC'!$D$5/1000</f>
        <v>0.098</v>
      </c>
      <c r="K46">
        <f>F46*('Data-PC'!$D$4/1000)*C46</f>
        <v>0</v>
      </c>
      <c r="L46">
        <f>C46*F46*($T$3-E46)</f>
        <v>0.98</v>
      </c>
      <c r="M46">
        <f>L46-(T46+J46)</f>
        <v>0.702</v>
      </c>
      <c r="S46">
        <f>L46-M46</f>
        <v>0.278</v>
      </c>
      <c r="T46">
        <f>C46*VLOOKUP(B46,'Data-PC'!$B$13:$AP$36,16,FALSE)*(1+'Data-PC'!$T$3/100)</f>
        <v>0.18</v>
      </c>
      <c r="U46">
        <f>C46*VLOOKUP(B46,'Data-PC'!$B$13:$AP$36,17,FALSE)*(1+'Data-PC'!$T$5/100)</f>
        <v>1.2</v>
      </c>
      <c r="V46">
        <f>VLOOKUP($B46,'Data-PC'!$B$13:$AP$59,19,FALSE)</f>
        <v>1</v>
      </c>
      <c r="W46">
        <f>VLOOKUP($B46,'Data-PC'!$B$13:$AP$59,20,FALSE)</f>
        <v>10</v>
      </c>
      <c r="X46">
        <f>VLOOKUP($B46,'Data-PC'!$B$13:$AP$59,21,FALSE)*C46</f>
        <v>1.4241150000000002</v>
      </c>
      <c r="Y46">
        <f>VLOOKUP($B46,'Data-PC'!$B$13:$AP$59,22,FALSE)</f>
        <v>13</v>
      </c>
      <c r="Z46">
        <f>VLOOKUP($B46,'Data-PC'!$B$13:$AP$59,23,FALSE)</f>
        <v>0</v>
      </c>
      <c r="AA46">
        <f>VLOOKUP($B46,'Data-PC'!$B$13:$AP$59,24,FALSE)</f>
        <v>5</v>
      </c>
      <c r="AB46">
        <f>VLOOKUP($B46,'Data-PC'!$B$13:$AP$59,25,FALSE)</f>
        <v>4.9</v>
      </c>
      <c r="AC46">
        <f>VLOOKUP($B46,'Data-PC'!$B$13:$AP$59,26,FALSE)*C46</f>
        <v>5.1052365</v>
      </c>
      <c r="AD46">
        <f>VLOOKUP($B46,'Data-PC'!$B$13:$AP$59,27,FALSE)</f>
        <v>13</v>
      </c>
      <c r="AE46">
        <f>VLOOKUP($B46,'Data-PC'!$B$13:$AP$59,28,FALSE)</f>
        <v>0</v>
      </c>
      <c r="AF46">
        <f>VLOOKUP($B46,'Data-PC'!$B$13:$AP$59,29,FALSE)</f>
        <v>5</v>
      </c>
      <c r="AG46">
        <f>VLOOKUP($B46,'Data-PC'!$B$13:$AP$59,30,FALSE)</f>
        <v>4.9</v>
      </c>
      <c r="AH46">
        <f>VLOOKUP($B46,'Data-PC'!$B$13:$AP$59,31,FALSE)*C46</f>
        <v>5.1052365</v>
      </c>
      <c r="AI46">
        <f>VLOOKUP($B46,'Data-PC'!$B$13:$AP$59,32,FALSE)</f>
        <v>13</v>
      </c>
      <c r="AJ46">
        <f>VLOOKUP($B46,'Data-PC'!$B$13:$AP$59,33,FALSE)</f>
        <v>0</v>
      </c>
      <c r="AK46">
        <f>VLOOKUP($B46,'Data-PC'!$B$13:$AP$59,34,FALSE)</f>
        <v>5</v>
      </c>
      <c r="AL46">
        <f>VLOOKUP($B46,'Data-PC'!$B$13:$AP$59,35,FALSE)</f>
        <v>7.1</v>
      </c>
      <c r="AM46">
        <f>VLOOKUP($B46,'Data-PC'!$B$13:$AP$59,36,FALSE)*C46</f>
        <v>7.397383499999999</v>
      </c>
      <c r="AN46">
        <f>VLOOKUP($B46,'Data-PC'!$B$13:$AP$59,37,FALSE)</f>
        <v>13</v>
      </c>
      <c r="AO46">
        <f>VLOOKUP($B46,'Data-PC'!$B$13:$AP$59,38,FALSE)</f>
        <v>0</v>
      </c>
      <c r="AP46">
        <f>VLOOKUP($B46,'Data-PC'!$B$13:$AP$59,39,FALSE)</f>
        <v>5</v>
      </c>
      <c r="AQ46">
        <f>VLOOKUP($B46,'Data-PC'!$B$13:$AP$59,40,FALSE)</f>
        <v>7.1</v>
      </c>
      <c r="AR46">
        <f>VLOOKUP($B46,'Data-PC'!$B$13:$AP$59,41,FALSE)*C46</f>
        <v>7.397383499999999</v>
      </c>
      <c r="AS46">
        <f>VLOOKUP($B46,'Data-PC'!$B$13:$AX$59,42,FALSE)</f>
        <v>0</v>
      </c>
      <c r="AT46">
        <f>VLOOKUP($B46,'Data-PC'!$B$13:$AX$59,43,FALSE)</f>
        <v>0</v>
      </c>
      <c r="AU46">
        <f>VLOOKUP($B46,'Data-PC'!$B$13:$AX$59,44,FALSE)</f>
        <v>1180</v>
      </c>
      <c r="AV46">
        <f>VLOOKUP($B46,'Data-PC'!$B$13:$AX$59,45,FALSE)*C46</f>
        <v>0</v>
      </c>
      <c r="AW46">
        <f>VLOOKUP($B46,'Data-PC'!$B$13:$AX$59,46,FALSE)</f>
        <v>0</v>
      </c>
      <c r="AX46">
        <f>VLOOKUP($B46,'Data-PC'!$B$13:$AX$59,47,FALSE)</f>
        <v>0</v>
      </c>
      <c r="AY46">
        <f>VLOOKUP($B46,'Data-PC'!$B$16:$AX$59,48,FALSE)</f>
        <v>0</v>
      </c>
      <c r="AZ46">
        <f>VLOOKUP($B46,'Data-PC'!$B$13:$AX$59,49,FALSE)*C46</f>
        <v>0</v>
      </c>
      <c r="BA46">
        <f>SUM(X46,AC46,AH46,AM46,AR46,AV46,AZ46)</f>
        <v>26.429355</v>
      </c>
    </row>
    <row r="47">
      <c r="A47">
        <f>A46+1</f>
        <v>36</v>
      </c>
      <c r="B47" t="str">
        <v>PC.1</v>
      </c>
      <c r="C47">
        <v>1</v>
      </c>
      <c r="E47">
        <f>D47-(G47+$T$3)/1000</f>
        <v>-0.5</v>
      </c>
      <c r="F47">
        <f>VLOOKUP(B47,'Data-PC'!$B$13:$AP$36,15,FALSE)</f>
        <v>1.96</v>
      </c>
      <c r="G47">
        <f>VLOOKUP(B47,'Data-PC'!$B$13:$G$36,4,FALSE)</f>
        <v>500</v>
      </c>
      <c r="H47">
        <f>C47*VLOOKUP(B47,'Data-PC'!$B$13:$BC$36,18,FALSE)</f>
        <v>1</v>
      </c>
      <c r="I47">
        <f>C47*VLOOKUP(B47,'Data-PC'!$B$13:$BC$36,51,FALSE)</f>
        <v>0</v>
      </c>
      <c r="J47">
        <f>F47*C47*'Data-PC'!$D$5/1000</f>
        <v>0.098</v>
      </c>
      <c r="K47">
        <f>F47*('Data-PC'!$D$4/1000)*C47</f>
        <v>0</v>
      </c>
      <c r="L47">
        <f>C47*F47*($T$3-E47)</f>
        <v>0.98</v>
      </c>
      <c r="M47">
        <f>L47-(T47+J47)</f>
        <v>0.702</v>
      </c>
      <c r="S47">
        <f>L47-M47</f>
        <v>0.278</v>
      </c>
      <c r="T47">
        <f>C47*VLOOKUP(B47,'Data-PC'!$B$13:$AP$36,16,FALSE)*(1+'Data-PC'!$T$3/100)</f>
        <v>0.18</v>
      </c>
      <c r="U47">
        <f>C47*VLOOKUP(B47,'Data-PC'!$B$13:$AP$36,17,FALSE)*(1+'Data-PC'!$T$5/100)</f>
        <v>1.2</v>
      </c>
      <c r="V47">
        <f>VLOOKUP($B47,'Data-PC'!$B$13:$AP$59,19,FALSE)</f>
        <v>1</v>
      </c>
      <c r="W47">
        <f>VLOOKUP($B47,'Data-PC'!$B$13:$AP$59,20,FALSE)</f>
        <v>10</v>
      </c>
      <c r="X47">
        <f>VLOOKUP($B47,'Data-PC'!$B$13:$AP$59,21,FALSE)*C47</f>
        <v>1.4241150000000002</v>
      </c>
      <c r="Y47">
        <f>VLOOKUP($B47,'Data-PC'!$B$13:$AP$59,22,FALSE)</f>
        <v>13</v>
      </c>
      <c r="Z47">
        <f>VLOOKUP($B47,'Data-PC'!$B$13:$AP$59,23,FALSE)</f>
        <v>0</v>
      </c>
      <c r="AA47">
        <f>VLOOKUP($B47,'Data-PC'!$B$13:$AP$59,24,FALSE)</f>
        <v>5</v>
      </c>
      <c r="AB47">
        <f>VLOOKUP($B47,'Data-PC'!$B$13:$AP$59,25,FALSE)</f>
        <v>4.9</v>
      </c>
      <c r="AC47">
        <f>VLOOKUP($B47,'Data-PC'!$B$13:$AP$59,26,FALSE)*C47</f>
        <v>5.1052365</v>
      </c>
      <c r="AD47">
        <f>VLOOKUP($B47,'Data-PC'!$B$13:$AP$59,27,FALSE)</f>
        <v>13</v>
      </c>
      <c r="AE47">
        <f>VLOOKUP($B47,'Data-PC'!$B$13:$AP$59,28,FALSE)</f>
        <v>0</v>
      </c>
      <c r="AF47">
        <f>VLOOKUP($B47,'Data-PC'!$B$13:$AP$59,29,FALSE)</f>
        <v>5</v>
      </c>
      <c r="AG47">
        <f>VLOOKUP($B47,'Data-PC'!$B$13:$AP$59,30,FALSE)</f>
        <v>4.9</v>
      </c>
      <c r="AH47">
        <f>VLOOKUP($B47,'Data-PC'!$B$13:$AP$59,31,FALSE)*C47</f>
        <v>5.1052365</v>
      </c>
      <c r="AI47">
        <f>VLOOKUP($B47,'Data-PC'!$B$13:$AP$59,32,FALSE)</f>
        <v>13</v>
      </c>
      <c r="AJ47">
        <f>VLOOKUP($B47,'Data-PC'!$B$13:$AP$59,33,FALSE)</f>
        <v>0</v>
      </c>
      <c r="AK47">
        <f>VLOOKUP($B47,'Data-PC'!$B$13:$AP$59,34,FALSE)</f>
        <v>5</v>
      </c>
      <c r="AL47">
        <f>VLOOKUP($B47,'Data-PC'!$B$13:$AP$59,35,FALSE)</f>
        <v>7.1</v>
      </c>
      <c r="AM47">
        <f>VLOOKUP($B47,'Data-PC'!$B$13:$AP$59,36,FALSE)*C47</f>
        <v>7.397383499999999</v>
      </c>
      <c r="AN47">
        <f>VLOOKUP($B47,'Data-PC'!$B$13:$AP$59,37,FALSE)</f>
        <v>13</v>
      </c>
      <c r="AO47">
        <f>VLOOKUP($B47,'Data-PC'!$B$13:$AP$59,38,FALSE)</f>
        <v>0</v>
      </c>
      <c r="AP47">
        <f>VLOOKUP($B47,'Data-PC'!$B$13:$AP$59,39,FALSE)</f>
        <v>5</v>
      </c>
      <c r="AQ47">
        <f>VLOOKUP($B47,'Data-PC'!$B$13:$AP$59,40,FALSE)</f>
        <v>7.1</v>
      </c>
      <c r="AR47">
        <f>VLOOKUP($B47,'Data-PC'!$B$13:$AP$59,41,FALSE)*C47</f>
        <v>7.397383499999999</v>
      </c>
      <c r="AS47">
        <f>VLOOKUP($B47,'Data-PC'!$B$13:$AX$59,42,FALSE)</f>
        <v>0</v>
      </c>
      <c r="AT47">
        <f>VLOOKUP($B47,'Data-PC'!$B$13:$AX$59,43,FALSE)</f>
        <v>0</v>
      </c>
      <c r="AU47">
        <f>VLOOKUP($B47,'Data-PC'!$B$13:$AX$59,44,FALSE)</f>
        <v>1180</v>
      </c>
      <c r="AV47">
        <f>VLOOKUP($B47,'Data-PC'!$B$13:$AX$59,45,FALSE)*C47</f>
        <v>0</v>
      </c>
      <c r="AW47">
        <f>VLOOKUP($B47,'Data-PC'!$B$13:$AX$59,46,FALSE)</f>
        <v>0</v>
      </c>
      <c r="AX47">
        <f>VLOOKUP($B47,'Data-PC'!$B$13:$AX$59,47,FALSE)</f>
        <v>0</v>
      </c>
      <c r="AY47">
        <f>VLOOKUP($B47,'Data-PC'!$B$16:$AX$59,48,FALSE)</f>
        <v>0</v>
      </c>
      <c r="AZ47">
        <f>VLOOKUP($B47,'Data-PC'!$B$13:$AX$59,49,FALSE)*C47</f>
        <v>0</v>
      </c>
      <c r="BA47">
        <f>SUM(X47,AC47,AH47,AM47,AR47,AV47,AZ47)</f>
        <v>26.429355</v>
      </c>
    </row>
    <row r="48">
      <c r="A48">
        <f>A47+1</f>
        <v>37</v>
      </c>
      <c r="B48" t="str">
        <v>PC.5</v>
      </c>
      <c r="C48">
        <v>1</v>
      </c>
      <c r="E48">
        <f>D48-(G48+$T$3)/1000</f>
        <v>-0.6</v>
      </c>
      <c r="F48">
        <f>VLOOKUP(B48,'Data-PC'!$B$13:$AP$36,15,FALSE)</f>
        <v>7.155625</v>
      </c>
      <c r="G48">
        <f>VLOOKUP(B48,'Data-PC'!$B$13:$G$36,4,FALSE)</f>
        <v>600</v>
      </c>
      <c r="H48">
        <f>C48*VLOOKUP(B48,'Data-PC'!$B$13:$BC$36,18,FALSE)</f>
        <v>5</v>
      </c>
      <c r="I48">
        <f>C48*VLOOKUP(B48,'Data-PC'!$B$13:$BC$36,51,FALSE)</f>
        <v>0</v>
      </c>
      <c r="J48">
        <f>F48*C48*'Data-PC'!$D$5/1000</f>
        <v>0.35778125</v>
      </c>
      <c r="K48">
        <f>F48*('Data-PC'!$D$4/1000)*C48</f>
        <v>0</v>
      </c>
      <c r="L48">
        <f>C48*F48*($T$3-E48)</f>
        <v>4.293374999999999</v>
      </c>
      <c r="M48">
        <f>L48-(T48+J48)</f>
        <v>1.8262187499999993</v>
      </c>
      <c r="S48">
        <f>L48-M48</f>
        <v>2.46715625</v>
      </c>
      <c r="T48">
        <f>C48*VLOOKUP(B48,'Data-PC'!$B$13:$AP$36,16,FALSE)*(1+'Data-PC'!$T$3/100)</f>
        <v>2.109375</v>
      </c>
      <c r="U48">
        <f>C48*VLOOKUP(B48,'Data-PC'!$B$13:$AP$36,17,FALSE)*(1+'Data-PC'!$T$5/100)</f>
        <v>4.5</v>
      </c>
      <c r="V48">
        <f>VLOOKUP($B48,'Data-PC'!$B$13:$AP$59,19,FALSE)</f>
        <v>1</v>
      </c>
      <c r="W48">
        <f>VLOOKUP($B48,'Data-PC'!$B$13:$AP$59,20,FALSE)</f>
        <v>13</v>
      </c>
      <c r="X48">
        <f>VLOOKUP($B48,'Data-PC'!$B$13:$AP$59,21,FALSE)*C48</f>
        <v>7.726619159999999</v>
      </c>
      <c r="Y48">
        <f>VLOOKUP($B48,'Data-PC'!$B$13:$AP$59,22,FALSE)</f>
        <v>13</v>
      </c>
      <c r="Z48">
        <f>VLOOKUP($B48,'Data-PC'!$B$13:$AP$59,23,FALSE)</f>
        <v>0</v>
      </c>
      <c r="AA48">
        <f>VLOOKUP($B48,'Data-PC'!$B$13:$AP$59,24,FALSE)</f>
        <v>11</v>
      </c>
      <c r="AB48">
        <f>VLOOKUP($B48,'Data-PC'!$B$13:$AP$59,25,FALSE)</f>
        <v>25.905</v>
      </c>
      <c r="AC48">
        <f>VLOOKUP($B48,'Data-PC'!$B$13:$AP$59,26,FALSE)*C48</f>
        <v>26.990030925</v>
      </c>
      <c r="AD48">
        <f>VLOOKUP($B48,'Data-PC'!$B$13:$AP$59,27,FALSE)</f>
        <v>13</v>
      </c>
      <c r="AE48">
        <f>VLOOKUP($B48,'Data-PC'!$B$13:$AP$59,28,FALSE)</f>
        <v>0</v>
      </c>
      <c r="AF48">
        <f>VLOOKUP($B48,'Data-PC'!$B$13:$AP$59,29,FALSE)</f>
        <v>11</v>
      </c>
      <c r="AG48">
        <f>VLOOKUP($B48,'Data-PC'!$B$13:$AP$59,30,FALSE)</f>
        <v>25.905</v>
      </c>
      <c r="AH48">
        <f>VLOOKUP($B48,'Data-PC'!$B$13:$AP$59,31,FALSE)*C48</f>
        <v>26.990030925</v>
      </c>
      <c r="AI48">
        <f>VLOOKUP($B48,'Data-PC'!$B$13:$AP$59,32,FALSE)</f>
        <v>16</v>
      </c>
      <c r="AJ48">
        <f>VLOOKUP($B48,'Data-PC'!$B$13:$AP$59,33,FALSE)</f>
        <v>0</v>
      </c>
      <c r="AK48">
        <f>VLOOKUP($B48,'Data-PC'!$B$13:$AP$59,34,FALSE)</f>
        <v>11</v>
      </c>
      <c r="AL48">
        <f>VLOOKUP($B48,'Data-PC'!$B$13:$AP$59,35,FALSE)</f>
        <v>31.845</v>
      </c>
      <c r="AM48">
        <f>VLOOKUP($B48,'Data-PC'!$B$13:$AP$59,36,FALSE)*C48</f>
        <v>50.2590528</v>
      </c>
      <c r="AN48">
        <f>VLOOKUP($B48,'Data-PC'!$B$13:$AP$59,37,FALSE)</f>
        <v>16</v>
      </c>
      <c r="AO48">
        <f>VLOOKUP($B48,'Data-PC'!$B$13:$AP$59,38,FALSE)</f>
        <v>0</v>
      </c>
      <c r="AP48">
        <f>VLOOKUP($B48,'Data-PC'!$B$13:$AP$59,39,FALSE)</f>
        <v>11</v>
      </c>
      <c r="AQ48">
        <f>VLOOKUP($B48,'Data-PC'!$B$13:$AP$59,40,FALSE)</f>
        <v>31.845</v>
      </c>
      <c r="AR48">
        <f>VLOOKUP($B48,'Data-PC'!$B$13:$AP$59,41,FALSE)*C48</f>
        <v>50.2590528</v>
      </c>
      <c r="AS48">
        <f>VLOOKUP($B48,'Data-PC'!$B$13:$AX$59,42,FALSE)</f>
        <v>0</v>
      </c>
      <c r="AT48">
        <f>VLOOKUP($B48,'Data-PC'!$B$13:$AX$59,43,FALSE)</f>
        <v>0</v>
      </c>
      <c r="AU48">
        <f>VLOOKUP($B48,'Data-PC'!$B$13:$AX$59,44,FALSE)</f>
        <v>1380</v>
      </c>
      <c r="AV48">
        <f>VLOOKUP($B48,'Data-PC'!$B$13:$AX$59,45,FALSE)*C48</f>
        <v>0</v>
      </c>
      <c r="AW48">
        <f>VLOOKUP($B48,'Data-PC'!$B$13:$AX$59,46,FALSE)</f>
        <v>0</v>
      </c>
      <c r="AX48">
        <f>VLOOKUP($B48,'Data-PC'!$B$13:$AX$59,47,FALSE)</f>
        <v>0</v>
      </c>
      <c r="AY48">
        <f>VLOOKUP($B48,'Data-PC'!$B$16:$AX$59,48,FALSE)</f>
        <v>0</v>
      </c>
      <c r="AZ48">
        <f>VLOOKUP($B48,'Data-PC'!$B$13:$AX$59,49,FALSE)*C48</f>
        <v>0</v>
      </c>
      <c r="BA48">
        <f>SUM(X48,AC48,AH48,AM48,AR48,AV48,AZ48)</f>
        <v>162.22478661</v>
      </c>
    </row>
    <row r="49">
      <c r="A49">
        <f>A48+1</f>
        <v>38</v>
      </c>
      <c r="B49" t="str">
        <v>PC.2A</v>
      </c>
      <c r="C49">
        <v>1</v>
      </c>
      <c r="E49">
        <f>D49-(G49+$T$3)/1000</f>
        <v>-0.6</v>
      </c>
      <c r="F49">
        <f>VLOOKUP(B49,'Data-PC'!$B$13:$AP$36,15,FALSE)</f>
        <v>3.22</v>
      </c>
      <c r="G49">
        <f>VLOOKUP(B49,'Data-PC'!$B$13:$G$36,4,FALSE)</f>
        <v>600</v>
      </c>
      <c r="H49">
        <f>C49*VLOOKUP(B49,'Data-PC'!$B$13:$BC$36,18,FALSE)</f>
        <v>2</v>
      </c>
      <c r="I49">
        <f>C49*VLOOKUP(B49,'Data-PC'!$B$13:$BC$36,51,FALSE)</f>
        <v>0</v>
      </c>
      <c r="J49">
        <f>F49*C49*'Data-PC'!$D$5/1000</f>
        <v>0.161</v>
      </c>
      <c r="K49">
        <f>F49*('Data-PC'!$D$4/1000)*C49</f>
        <v>0</v>
      </c>
      <c r="L49">
        <f>C49*F49*($T$3-E49)</f>
        <v>1.932</v>
      </c>
      <c r="M49">
        <f>L49-(T49+J49)</f>
        <v>1.2309999999999999</v>
      </c>
      <c r="S49">
        <f>L49-M49</f>
        <v>0.7010000000000001</v>
      </c>
      <c r="T49">
        <f>C49*VLOOKUP(B49,'Data-PC'!$B$13:$AP$36,16,FALSE)*(1+'Data-PC'!$T$3/100)</f>
        <v>0.54</v>
      </c>
      <c r="U49">
        <f>C49*VLOOKUP(B49,'Data-PC'!$B$13:$AP$36,17,FALSE)*(1+'Data-PC'!$T$5/100)</f>
        <v>2.52</v>
      </c>
      <c r="V49">
        <f>VLOOKUP($B49,'Data-PC'!$B$13:$AP$59,19,FALSE)</f>
        <v>1</v>
      </c>
      <c r="W49">
        <f>VLOOKUP($B49,'Data-PC'!$B$13:$AP$59,20,FALSE)</f>
        <v>13</v>
      </c>
      <c r="X49">
        <f>VLOOKUP($B49,'Data-PC'!$B$13:$AP$59,21,FALSE)*C49</f>
        <v>4.2883986599999995</v>
      </c>
      <c r="Y49">
        <f>VLOOKUP($B49,'Data-PC'!$B$13:$AP$59,22,FALSE)</f>
        <v>13</v>
      </c>
      <c r="Z49">
        <f>VLOOKUP($B49,'Data-PC'!$B$13:$AP$59,23,FALSE)</f>
        <v>0</v>
      </c>
      <c r="AA49">
        <f>VLOOKUP($B49,'Data-PC'!$B$13:$AP$59,24,FALSE)</f>
        <v>6</v>
      </c>
      <c r="AB49">
        <f>VLOOKUP($B49,'Data-PC'!$B$13:$AP$59,25,FALSE)</f>
        <v>11.88</v>
      </c>
      <c r="AC49">
        <f>VLOOKUP($B49,'Data-PC'!$B$13:$AP$59,26,FALSE)*C49</f>
        <v>12.3775938</v>
      </c>
      <c r="AD49">
        <f>VLOOKUP($B49,'Data-PC'!$B$13:$AP$59,27,FALSE)</f>
        <v>13</v>
      </c>
      <c r="AE49">
        <f>VLOOKUP($B49,'Data-PC'!$B$13:$AP$59,28,FALSE)</f>
        <v>0</v>
      </c>
      <c r="AF49">
        <f>VLOOKUP($B49,'Data-PC'!$B$13:$AP$59,29,FALSE)</f>
        <v>13</v>
      </c>
      <c r="AG49">
        <f>VLOOKUP($B49,'Data-PC'!$B$13:$AP$59,30,FALSE)</f>
        <v>14.04</v>
      </c>
      <c r="AH49">
        <f>VLOOKUP($B49,'Data-PC'!$B$13:$AP$59,31,FALSE)*C49</f>
        <v>14.628065399999999</v>
      </c>
      <c r="AI49">
        <f>VLOOKUP($B49,'Data-PC'!$B$13:$AP$59,32,FALSE)</f>
        <v>13</v>
      </c>
      <c r="AJ49">
        <f>VLOOKUP($B49,'Data-PC'!$B$13:$AP$59,33,FALSE)</f>
        <v>0</v>
      </c>
      <c r="AK49">
        <f>VLOOKUP($B49,'Data-PC'!$B$13:$AP$59,34,FALSE)</f>
        <v>6</v>
      </c>
      <c r="AL49">
        <f>VLOOKUP($B49,'Data-PC'!$B$13:$AP$59,35,FALSE)</f>
        <v>15.12</v>
      </c>
      <c r="AM49">
        <f>VLOOKUP($B49,'Data-PC'!$B$13:$AP$59,36,FALSE)*C49</f>
        <v>15.7533012</v>
      </c>
      <c r="AN49">
        <f>VLOOKUP($B49,'Data-PC'!$B$13:$AP$59,37,FALSE)</f>
        <v>13</v>
      </c>
      <c r="AO49">
        <f>VLOOKUP($B49,'Data-PC'!$B$13:$AP$59,38,FALSE)</f>
        <v>0</v>
      </c>
      <c r="AP49">
        <f>VLOOKUP($B49,'Data-PC'!$B$13:$AP$59,39,FALSE)</f>
        <v>13</v>
      </c>
      <c r="AQ49">
        <f>VLOOKUP($B49,'Data-PC'!$B$13:$AP$59,40,FALSE)</f>
        <v>21.06</v>
      </c>
      <c r="AR49">
        <f>VLOOKUP($B49,'Data-PC'!$B$13:$AP$59,41,FALSE)*C49</f>
        <v>21.9420981</v>
      </c>
      <c r="AS49">
        <f>VLOOKUP($B49,'Data-PC'!$B$13:$AX$59,42,FALSE)</f>
        <v>0</v>
      </c>
      <c r="AT49">
        <f>VLOOKUP($B49,'Data-PC'!$B$13:$AX$59,43,FALSE)</f>
        <v>0</v>
      </c>
      <c r="AU49">
        <f>VLOOKUP($B49,'Data-PC'!$B$13:$AX$59,44,FALSE)</f>
        <v>1380</v>
      </c>
      <c r="AV49">
        <f>VLOOKUP($B49,'Data-PC'!$B$13:$AX$59,45,FALSE)*C49</f>
        <v>0</v>
      </c>
      <c r="AW49">
        <f>VLOOKUP($B49,'Data-PC'!$B$13:$AX$59,46,FALSE)</f>
        <v>0</v>
      </c>
      <c r="AX49">
        <f>VLOOKUP($B49,'Data-PC'!$B$13:$AX$59,47,FALSE)</f>
        <v>0</v>
      </c>
      <c r="AY49">
        <f>VLOOKUP($B49,'Data-PC'!$B$16:$AX$59,48,FALSE)</f>
        <v>0</v>
      </c>
      <c r="AZ49">
        <f>VLOOKUP($B49,'Data-PC'!$B$13:$AX$59,49,FALSE)*C49</f>
        <v>0</v>
      </c>
      <c r="BA49">
        <f>SUM(X49,AC49,AH49,AM49,AR49,AV49,AZ49)</f>
        <v>68.98945715999999</v>
      </c>
    </row>
    <row r="50">
      <c r="A50">
        <f>A49+1</f>
        <v>39</v>
      </c>
      <c r="B50" t="str">
        <v>PC.2</v>
      </c>
      <c r="C50">
        <v>1</v>
      </c>
      <c r="E50">
        <f>D50-(G50+$T$3)/1000</f>
        <v>-0.5</v>
      </c>
      <c r="F50">
        <f>VLOOKUP(B50,'Data-PC'!$B$13:$AP$36,15,FALSE)</f>
        <v>3.22</v>
      </c>
      <c r="G50">
        <f>VLOOKUP(B50,'Data-PC'!$B$13:$G$36,4,FALSE)</f>
        <v>500</v>
      </c>
      <c r="H50">
        <f>C50*VLOOKUP(B50,'Data-PC'!$B$13:$BC$36,18,FALSE)</f>
        <v>2</v>
      </c>
      <c r="I50">
        <f>C50*VLOOKUP(B50,'Data-PC'!$B$13:$BC$36,51,FALSE)</f>
        <v>0</v>
      </c>
      <c r="J50">
        <f>F50*C50*'Data-PC'!$D$5/1000</f>
        <v>0.161</v>
      </c>
      <c r="K50">
        <f>F50*('Data-PC'!$D$4/1000)*C50</f>
        <v>0</v>
      </c>
      <c r="L50">
        <f>C50*F50*($T$3-E50)</f>
        <v>1.61</v>
      </c>
      <c r="M50">
        <f>L50-(T50+J50)</f>
        <v>0.9990000000000001</v>
      </c>
      <c r="S50">
        <f>L50-M50</f>
        <v>0.611</v>
      </c>
      <c r="T50">
        <f>C50*VLOOKUP(B50,'Data-PC'!$B$13:$AP$36,16,FALSE)*(1+'Data-PC'!$T$3/100)</f>
        <v>0.45</v>
      </c>
      <c r="U50">
        <f>C50*VLOOKUP(B50,'Data-PC'!$B$13:$AP$36,17,FALSE)*(1+'Data-PC'!$T$5/100)</f>
        <v>2.1</v>
      </c>
      <c r="V50">
        <f>VLOOKUP($B50,'Data-PC'!$B$13:$AP$59,19,FALSE)</f>
        <v>1</v>
      </c>
      <c r="W50">
        <f>VLOOKUP($B50,'Data-PC'!$B$13:$AP$59,20,FALSE)</f>
        <v>10</v>
      </c>
      <c r="X50">
        <f>VLOOKUP($B50,'Data-PC'!$B$13:$AP$59,21,FALSE)*C50</f>
        <v>2.5338150000000006</v>
      </c>
      <c r="Y50">
        <f>VLOOKUP($B50,'Data-PC'!$B$13:$AP$59,22,FALSE)</f>
        <v>13</v>
      </c>
      <c r="Z50">
        <f>VLOOKUP($B50,'Data-PC'!$B$13:$AP$59,23,FALSE)</f>
        <v>0</v>
      </c>
      <c r="AA50">
        <f>VLOOKUP($B50,'Data-PC'!$B$13:$AP$59,24,FALSE)</f>
        <v>5</v>
      </c>
      <c r="AB50">
        <f>VLOOKUP($B50,'Data-PC'!$B$13:$AP$59,25,FALSE)</f>
        <v>9.4</v>
      </c>
      <c r="AC50">
        <f>VLOOKUP($B50,'Data-PC'!$B$13:$AP$59,26,FALSE)*C50</f>
        <v>9.793719</v>
      </c>
      <c r="AD50">
        <f>VLOOKUP($B50,'Data-PC'!$B$13:$AP$59,27,FALSE)</f>
        <v>13</v>
      </c>
      <c r="AE50">
        <f>VLOOKUP($B50,'Data-PC'!$B$13:$AP$59,28,FALSE)</f>
        <v>0</v>
      </c>
      <c r="AF50">
        <f>VLOOKUP($B50,'Data-PC'!$B$13:$AP$59,29,FALSE)</f>
        <v>11</v>
      </c>
      <c r="AG50">
        <f>VLOOKUP($B50,'Data-PC'!$B$13:$AP$59,30,FALSE)</f>
        <v>10.78</v>
      </c>
      <c r="AH50">
        <f>VLOOKUP($B50,'Data-PC'!$B$13:$AP$59,31,FALSE)*C50</f>
        <v>11.2315203</v>
      </c>
      <c r="AI50">
        <f>VLOOKUP($B50,'Data-PC'!$B$13:$AP$59,32,FALSE)</f>
        <v>16</v>
      </c>
      <c r="AJ50">
        <f>VLOOKUP($B50,'Data-PC'!$B$13:$AP$59,33,FALSE)</f>
        <v>0</v>
      </c>
      <c r="AK50">
        <f>VLOOKUP($B50,'Data-PC'!$B$13:$AP$59,34,FALSE)</f>
        <v>5</v>
      </c>
      <c r="AL50">
        <f>VLOOKUP($B50,'Data-PC'!$B$13:$AP$59,35,FALSE)</f>
        <v>11.6</v>
      </c>
      <c r="AM50">
        <f>VLOOKUP($B50,'Data-PC'!$B$13:$AP$59,36,FALSE)*C50</f>
        <v>18.307584000000002</v>
      </c>
      <c r="AN50">
        <f>VLOOKUP($B50,'Data-PC'!$B$13:$AP$59,37,FALSE)</f>
        <v>16</v>
      </c>
      <c r="AO50">
        <f>VLOOKUP($B50,'Data-PC'!$B$13:$AP$59,38,FALSE)</f>
        <v>0</v>
      </c>
      <c r="AP50">
        <f>VLOOKUP($B50,'Data-PC'!$B$13:$AP$59,39,FALSE)</f>
        <v>11</v>
      </c>
      <c r="AQ50">
        <f>VLOOKUP($B50,'Data-PC'!$B$13:$AP$59,40,FALSE)</f>
        <v>15.62</v>
      </c>
      <c r="AR50">
        <f>VLOOKUP($B50,'Data-PC'!$B$13:$AP$59,41,FALSE)*C50</f>
        <v>24.6521088</v>
      </c>
      <c r="AS50">
        <f>VLOOKUP($B50,'Data-PC'!$B$13:$AX$59,42,FALSE)</f>
        <v>0</v>
      </c>
      <c r="AT50">
        <f>VLOOKUP($B50,'Data-PC'!$B$13:$AX$59,43,FALSE)</f>
        <v>0</v>
      </c>
      <c r="AU50">
        <f>VLOOKUP($B50,'Data-PC'!$B$13:$AX$59,44,FALSE)</f>
        <v>1180</v>
      </c>
      <c r="AV50">
        <f>VLOOKUP($B50,'Data-PC'!$B$13:$AX$59,45,FALSE)*C50</f>
        <v>0</v>
      </c>
      <c r="AW50">
        <f>VLOOKUP($B50,'Data-PC'!$B$13:$AX$59,46,FALSE)</f>
        <v>0</v>
      </c>
      <c r="AX50">
        <f>VLOOKUP($B50,'Data-PC'!$B$13:$AX$59,47,FALSE)</f>
        <v>0</v>
      </c>
      <c r="AY50">
        <f>VLOOKUP($B50,'Data-PC'!$B$16:$AX$59,48,FALSE)</f>
        <v>0</v>
      </c>
      <c r="AZ50">
        <f>VLOOKUP($B50,'Data-PC'!$B$13:$AX$59,49,FALSE)*C50</f>
        <v>0</v>
      </c>
      <c r="BA50">
        <f>SUM(X50,AC50,AH50,AM50,AR50,AV50,AZ50)</f>
        <v>66.51874710000001</v>
      </c>
    </row>
    <row r="51">
      <c r="A51">
        <f>A50+1</f>
        <v>40</v>
      </c>
      <c r="B51" t="str">
        <v>PC.5A</v>
      </c>
      <c r="C51">
        <v>1</v>
      </c>
      <c r="E51">
        <f>D51-(G51+$T$3)/1000</f>
        <v>-0.7</v>
      </c>
      <c r="F51">
        <f>VLOOKUP(B51,'Data-PC'!$B$13:$AP$36,15,FALSE)</f>
        <v>7.155625</v>
      </c>
      <c r="G51">
        <f>VLOOKUP(B51,'Data-PC'!$B$13:$G$36,4,FALSE)</f>
        <v>700</v>
      </c>
      <c r="H51">
        <f>C51*VLOOKUP(B51,'Data-PC'!$B$13:$BC$36,18,FALSE)</f>
        <v>5</v>
      </c>
      <c r="I51">
        <f>C51*VLOOKUP(B51,'Data-PC'!$B$13:$BC$36,51,FALSE)</f>
        <v>0</v>
      </c>
      <c r="J51">
        <f>F51*C51*'Data-PC'!$D$5/1000</f>
        <v>0.35778125</v>
      </c>
      <c r="K51">
        <f>F51*('Data-PC'!$D$4/1000)*C51</f>
        <v>0</v>
      </c>
      <c r="L51">
        <f>C51*F51*($T$3-E51)</f>
        <v>5.008937499999999</v>
      </c>
      <c r="M51">
        <f>L51-(T51+J51)</f>
        <v>2.190218749999999</v>
      </c>
      <c r="S51">
        <f>L51-M51</f>
        <v>2.81871875</v>
      </c>
      <c r="T51">
        <f>C51*VLOOKUP(B51,'Data-PC'!$B$13:$AP$36,16,FALSE)*(1+'Data-PC'!$T$3/100)</f>
        <v>2.4609375</v>
      </c>
      <c r="U51">
        <f>C51*VLOOKUP(B51,'Data-PC'!$B$13:$AP$36,17,FALSE)*(1+'Data-PC'!$T$5/100)</f>
        <v>5.25</v>
      </c>
      <c r="V51">
        <f>VLOOKUP($B51,'Data-PC'!$B$13:$AP$59,19,FALSE)</f>
        <v>1</v>
      </c>
      <c r="W51">
        <f>VLOOKUP($B51,'Data-PC'!$B$13:$AP$59,20,FALSE)</f>
        <v>13</v>
      </c>
      <c r="X51">
        <f>VLOOKUP($B51,'Data-PC'!$B$13:$AP$59,21,FALSE)*C51</f>
        <v>7.726619159999999</v>
      </c>
      <c r="Y51">
        <f>VLOOKUP($B51,'Data-PC'!$B$13:$AP$59,22,FALSE)</f>
        <v>13</v>
      </c>
      <c r="Z51">
        <f>VLOOKUP($B51,'Data-PC'!$B$13:$AP$59,23,FALSE)</f>
        <v>0</v>
      </c>
      <c r="AA51">
        <f>VLOOKUP($B51,'Data-PC'!$B$13:$AP$59,24,FALSE)</f>
        <v>13</v>
      </c>
      <c r="AB51">
        <f>VLOOKUP($B51,'Data-PC'!$B$13:$AP$59,25,FALSE)</f>
        <v>31.915</v>
      </c>
      <c r="AC51">
        <f>VLOOKUP($B51,'Data-PC'!$B$13:$AP$59,26,FALSE)*C51</f>
        <v>33.251759775</v>
      </c>
      <c r="AD51">
        <f>VLOOKUP($B51,'Data-PC'!$B$13:$AP$59,27,FALSE)</f>
        <v>13</v>
      </c>
      <c r="AE51">
        <f>VLOOKUP($B51,'Data-PC'!$B$13:$AP$59,28,FALSE)</f>
        <v>0</v>
      </c>
      <c r="AF51">
        <f>VLOOKUP($B51,'Data-PC'!$B$13:$AP$59,29,FALSE)</f>
        <v>13</v>
      </c>
      <c r="AG51">
        <f>VLOOKUP($B51,'Data-PC'!$B$13:$AP$59,30,FALSE)</f>
        <v>31.915</v>
      </c>
      <c r="AH51">
        <f>VLOOKUP($B51,'Data-PC'!$B$13:$AP$59,31,FALSE)*C51</f>
        <v>33.251759775</v>
      </c>
      <c r="AI51">
        <f>VLOOKUP($B51,'Data-PC'!$B$13:$AP$59,32,FALSE)</f>
        <v>16</v>
      </c>
      <c r="AJ51">
        <f>VLOOKUP($B51,'Data-PC'!$B$13:$AP$59,33,FALSE)</f>
        <v>0</v>
      </c>
      <c r="AK51">
        <f>VLOOKUP($B51,'Data-PC'!$B$13:$AP$59,34,FALSE)</f>
        <v>13</v>
      </c>
      <c r="AL51">
        <f>VLOOKUP($B51,'Data-PC'!$B$13:$AP$59,35,FALSE)</f>
        <v>40.235</v>
      </c>
      <c r="AM51">
        <f>VLOOKUP($B51,'Data-PC'!$B$13:$AP$59,36,FALSE)*C51</f>
        <v>63.5004864</v>
      </c>
      <c r="AN51">
        <f>VLOOKUP($B51,'Data-PC'!$B$13:$AP$59,37,FALSE)</f>
        <v>16</v>
      </c>
      <c r="AO51">
        <f>VLOOKUP($B51,'Data-PC'!$B$13:$AP$59,38,FALSE)</f>
        <v>0</v>
      </c>
      <c r="AP51">
        <f>VLOOKUP($B51,'Data-PC'!$B$13:$AP$59,39,FALSE)</f>
        <v>13</v>
      </c>
      <c r="AQ51">
        <f>VLOOKUP($B51,'Data-PC'!$B$13:$AP$59,40,FALSE)</f>
        <v>40.235</v>
      </c>
      <c r="AR51">
        <f>VLOOKUP($B51,'Data-PC'!$B$13:$AP$59,41,FALSE)*C51</f>
        <v>63.5004864</v>
      </c>
      <c r="AS51">
        <f>VLOOKUP($B51,'Data-PC'!$B$13:$AX$59,42,FALSE)</f>
        <v>0</v>
      </c>
      <c r="AT51">
        <f>VLOOKUP($B51,'Data-PC'!$B$13:$AX$59,43,FALSE)</f>
        <v>0</v>
      </c>
      <c r="AU51">
        <f>VLOOKUP($B51,'Data-PC'!$B$13:$AX$59,44,FALSE)</f>
        <v>1580</v>
      </c>
      <c r="AV51">
        <f>VLOOKUP($B51,'Data-PC'!$B$13:$AX$59,45,FALSE)*C51</f>
        <v>0</v>
      </c>
      <c r="AW51">
        <f>VLOOKUP($B51,'Data-PC'!$B$13:$AX$59,46,FALSE)</f>
        <v>0</v>
      </c>
      <c r="AX51">
        <f>VLOOKUP($B51,'Data-PC'!$B$13:$AX$59,47,FALSE)</f>
        <v>0</v>
      </c>
      <c r="AY51">
        <f>VLOOKUP($B51,'Data-PC'!$B$16:$AX$59,48,FALSE)</f>
        <v>0</v>
      </c>
      <c r="AZ51">
        <f>VLOOKUP($B51,'Data-PC'!$B$13:$AX$59,49,FALSE)*C51</f>
        <v>0</v>
      </c>
      <c r="BA51">
        <f>SUM(X51,AC51,AH51,AM51,AR51,AV51,AZ51)</f>
        <v>201.23111151</v>
      </c>
    </row>
    <row r="52">
      <c r="A52">
        <f>A51+1</f>
        <v>41</v>
      </c>
      <c r="B52" t="str">
        <v>PC.1A</v>
      </c>
      <c r="C52">
        <v>1</v>
      </c>
      <c r="E52">
        <f>D52-(G52+$T$3)/1000</f>
        <v>-0.7</v>
      </c>
      <c r="F52">
        <f>VLOOKUP(B52,'Data-PC'!$B$13:$AP$36,15,FALSE)</f>
        <v>1.96</v>
      </c>
      <c r="G52">
        <f>VLOOKUP(B52,'Data-PC'!$B$13:$G$36,4,FALSE)</f>
        <v>700</v>
      </c>
      <c r="H52">
        <f>C52*VLOOKUP(B52,'Data-PC'!$B$13:$BC$36,18,FALSE)</f>
        <v>1</v>
      </c>
      <c r="I52">
        <f>C52*VLOOKUP(B52,'Data-PC'!$B$13:$BC$36,51,FALSE)</f>
        <v>0</v>
      </c>
      <c r="J52">
        <f>F52*C52*'Data-PC'!$D$5/1000</f>
        <v>0.098</v>
      </c>
      <c r="K52">
        <f>F52*('Data-PC'!$D$4/1000)*C52</f>
        <v>0</v>
      </c>
      <c r="L52">
        <f>C52*F52*($T$3-E52)</f>
        <v>1.3719999999999999</v>
      </c>
      <c r="M52">
        <f>L52-(T52+J52)</f>
        <v>1.0219999999999998</v>
      </c>
      <c r="S52">
        <f>L52-M52</f>
        <v>0.3500000000000001</v>
      </c>
      <c r="T52">
        <f>C52*VLOOKUP(B52,'Data-PC'!$B$13:$AP$36,16,FALSE)*(1+'Data-PC'!$T$3/100)</f>
        <v>0.252</v>
      </c>
      <c r="U52">
        <f>C52*VLOOKUP(B52,'Data-PC'!$B$13:$AP$36,17,FALSE)*(1+'Data-PC'!$T$5/100)</f>
        <v>1.68</v>
      </c>
      <c r="V52">
        <f>VLOOKUP($B52,'Data-PC'!$B$13:$AP$59,19,FALSE)</f>
        <v>1</v>
      </c>
      <c r="W52">
        <f>VLOOKUP($B52,'Data-PC'!$B$13:$AP$59,20,FALSE)</f>
        <v>13</v>
      </c>
      <c r="X52">
        <f>VLOOKUP($B52,'Data-PC'!$B$13:$AP$59,21,FALSE)*C52</f>
        <v>2.41300566</v>
      </c>
      <c r="Y52">
        <f>VLOOKUP($B52,'Data-PC'!$B$13:$AP$59,22,FALSE)</f>
        <v>13</v>
      </c>
      <c r="Z52">
        <f>VLOOKUP($B52,'Data-PC'!$B$13:$AP$59,23,FALSE)</f>
        <v>0</v>
      </c>
      <c r="AA52">
        <f>VLOOKUP($B52,'Data-PC'!$B$13:$AP$59,24,FALSE)</f>
        <v>6</v>
      </c>
      <c r="AB52">
        <f>VLOOKUP($B52,'Data-PC'!$B$13:$AP$59,25,FALSE)</f>
        <v>7.08</v>
      </c>
      <c r="AC52">
        <f>VLOOKUP($B52,'Data-PC'!$B$13:$AP$59,26,FALSE)*C52</f>
        <v>7.3765458</v>
      </c>
      <c r="AD52">
        <f>VLOOKUP($B52,'Data-PC'!$B$13:$AP$59,27,FALSE)</f>
        <v>13</v>
      </c>
      <c r="AE52">
        <f>VLOOKUP($B52,'Data-PC'!$B$13:$AP$59,28,FALSE)</f>
        <v>0</v>
      </c>
      <c r="AF52">
        <f>VLOOKUP($B52,'Data-PC'!$B$13:$AP$59,29,FALSE)</f>
        <v>6</v>
      </c>
      <c r="AG52">
        <f>VLOOKUP($B52,'Data-PC'!$B$13:$AP$59,30,FALSE)</f>
        <v>7.08</v>
      </c>
      <c r="AH52">
        <f>VLOOKUP($B52,'Data-PC'!$B$13:$AP$59,31,FALSE)*C52</f>
        <v>7.3765458</v>
      </c>
      <c r="AI52">
        <f>VLOOKUP($B52,'Data-PC'!$B$13:$AP$59,32,FALSE)</f>
        <v>13</v>
      </c>
      <c r="AJ52">
        <f>VLOOKUP($B52,'Data-PC'!$B$13:$AP$59,33,FALSE)</f>
        <v>0</v>
      </c>
      <c r="AK52">
        <f>VLOOKUP($B52,'Data-PC'!$B$13:$AP$59,34,FALSE)</f>
        <v>6</v>
      </c>
      <c r="AL52">
        <f>VLOOKUP($B52,'Data-PC'!$B$13:$AP$59,35,FALSE)</f>
        <v>10.92</v>
      </c>
      <c r="AM52">
        <f>VLOOKUP($B52,'Data-PC'!$B$13:$AP$59,36,FALSE)*C52</f>
        <v>11.3773842</v>
      </c>
      <c r="AN52">
        <f>VLOOKUP($B52,'Data-PC'!$B$13:$AP$59,37,FALSE)</f>
        <v>13</v>
      </c>
      <c r="AO52">
        <f>VLOOKUP($B52,'Data-PC'!$B$13:$AP$59,38,FALSE)</f>
        <v>0</v>
      </c>
      <c r="AP52">
        <f>VLOOKUP($B52,'Data-PC'!$B$13:$AP$59,39,FALSE)</f>
        <v>6</v>
      </c>
      <c r="AQ52">
        <f>VLOOKUP($B52,'Data-PC'!$B$13:$AP$59,40,FALSE)</f>
        <v>10.92</v>
      </c>
      <c r="AR52">
        <f>VLOOKUP($B52,'Data-PC'!$B$13:$AP$59,41,FALSE)*C52</f>
        <v>11.3773842</v>
      </c>
      <c r="AS52">
        <f>VLOOKUP($B52,'Data-PC'!$B$13:$AX$59,42,FALSE)</f>
        <v>0</v>
      </c>
      <c r="AT52">
        <f>VLOOKUP($B52,'Data-PC'!$B$13:$AX$59,43,FALSE)</f>
        <v>0</v>
      </c>
      <c r="AU52">
        <f>VLOOKUP($B52,'Data-PC'!$B$13:$AX$59,44,FALSE)</f>
        <v>1580</v>
      </c>
      <c r="AV52">
        <f>VLOOKUP($B52,'Data-PC'!$B$13:$AX$59,45,FALSE)*C52</f>
        <v>0</v>
      </c>
      <c r="AW52">
        <f>VLOOKUP($B52,'Data-PC'!$B$13:$AX$59,46,FALSE)</f>
        <v>0</v>
      </c>
      <c r="AX52">
        <f>VLOOKUP($B52,'Data-PC'!$B$13:$AX$59,47,FALSE)</f>
        <v>0</v>
      </c>
      <c r="AY52">
        <f>VLOOKUP($B52,'Data-PC'!$B$16:$AX$59,48,FALSE)</f>
        <v>0</v>
      </c>
      <c r="AZ52">
        <f>VLOOKUP($B52,'Data-PC'!$B$13:$AX$59,49,FALSE)*C52</f>
        <v>0</v>
      </c>
      <c r="BA52">
        <f>SUM(X52,AC52,AH52,AM52,AR52,AV52,AZ52)</f>
        <v>39.920865660000004</v>
      </c>
    </row>
    <row r="53">
      <c r="A53">
        <f>A52+1</f>
        <v>42</v>
      </c>
      <c r="B53" t="str">
        <v>PC.11</v>
      </c>
      <c r="C53">
        <v>1</v>
      </c>
      <c r="E53">
        <f>D53-(G53+$T$3)/1000</f>
        <v>-0.8</v>
      </c>
      <c r="F53">
        <f>VLOOKUP(B53,'Data-PC'!$B$13:$AP$36,15,FALSE)</f>
        <v>12.136</v>
      </c>
      <c r="G53">
        <f>VLOOKUP(B53,'Data-PC'!$B$13:$G$36,4,FALSE)</f>
        <v>800</v>
      </c>
      <c r="H53">
        <f>C53*VLOOKUP(B53,'Data-PC'!$B$13:$BC$36,18,FALSE)</f>
        <v>11</v>
      </c>
      <c r="I53">
        <f>C53*VLOOKUP(B53,'Data-PC'!$B$13:$BC$36,51,FALSE)</f>
        <v>0</v>
      </c>
      <c r="J53">
        <f>F53*C53*'Data-PC'!$D$5/1000</f>
        <v>0.6068</v>
      </c>
      <c r="K53">
        <f>F53*('Data-PC'!$D$4/1000)*C53</f>
        <v>0</v>
      </c>
      <c r="L53">
        <f>C53*F53*($T$3-E53)</f>
        <v>9.7088</v>
      </c>
      <c r="M53">
        <f>L53-(T53+J53)</f>
        <v>3.3996000000000004</v>
      </c>
      <c r="S53">
        <f>L53-M53</f>
        <v>6.3092</v>
      </c>
      <c r="T53">
        <f>C53*VLOOKUP(B53,'Data-PC'!$B$13:$AP$36,16,FALSE)*(1+'Data-PC'!$T$3/100)</f>
        <v>5.7024</v>
      </c>
      <c r="U53">
        <f>C53*VLOOKUP(B53,'Data-PC'!$B$13:$AP$36,17,FALSE)*(1+'Data-PC'!$T$5/100)</f>
        <v>8.736</v>
      </c>
      <c r="V53">
        <f>VLOOKUP($B53,'Data-PC'!$B$13:$AP$59,19,FALSE)</f>
        <v>2</v>
      </c>
      <c r="W53">
        <f>VLOOKUP($B53,'Data-PC'!$B$13:$AP$59,20,FALSE)</f>
        <v>13</v>
      </c>
      <c r="X53">
        <f>VLOOKUP($B53,'Data-PC'!$B$13:$AP$59,21,FALSE)*C53</f>
        <v>22.579731719999998</v>
      </c>
      <c r="Y53">
        <f>VLOOKUP($B53,'Data-PC'!$B$13:$AP$59,22,FALSE)</f>
        <v>16</v>
      </c>
      <c r="Z53">
        <f>VLOOKUP($B53,'Data-PC'!$B$13:$AP$59,23,FALSE)</f>
        <v>0</v>
      </c>
      <c r="AA53">
        <f>VLOOKUP($B53,'Data-PC'!$B$13:$AP$59,24,FALSE)</f>
        <v>19</v>
      </c>
      <c r="AB53">
        <f>VLOOKUP($B53,'Data-PC'!$B$13:$AP$59,25,FALSE)</f>
        <v>75.62</v>
      </c>
      <c r="AC53">
        <f>VLOOKUP($B53,'Data-PC'!$B$13:$AP$59,26,FALSE)*C53</f>
        <v>119.34650880000001</v>
      </c>
      <c r="AD53">
        <f>VLOOKUP($B53,'Data-PC'!$B$13:$AP$59,27,FALSE)</f>
        <v>16</v>
      </c>
      <c r="AE53">
        <f>VLOOKUP($B53,'Data-PC'!$B$13:$AP$59,28,FALSE)</f>
        <v>0</v>
      </c>
      <c r="AF53">
        <f>VLOOKUP($B53,'Data-PC'!$B$13:$AP$59,29,FALSE)</f>
        <v>25</v>
      </c>
      <c r="AG53">
        <f>VLOOKUP($B53,'Data-PC'!$B$13:$AP$59,30,FALSE)</f>
        <v>71</v>
      </c>
      <c r="AH53">
        <f>VLOOKUP($B53,'Data-PC'!$B$13:$AP$59,31,FALSE)*C53</f>
        <v>112.05504</v>
      </c>
      <c r="AI53">
        <f>VLOOKUP($B53,'Data-PC'!$B$13:$AP$59,32,FALSE)</f>
        <v>16</v>
      </c>
      <c r="AJ53">
        <f>VLOOKUP($B53,'Data-PC'!$B$13:$AP$59,33,FALSE)</f>
        <v>0</v>
      </c>
      <c r="AK53">
        <f>VLOOKUP($B53,'Data-PC'!$B$13:$AP$59,34,FALSE)</f>
        <v>19</v>
      </c>
      <c r="AL53">
        <f>VLOOKUP($B53,'Data-PC'!$B$13:$AP$59,35,FALSE)</f>
        <v>89.68</v>
      </c>
      <c r="AM53">
        <f>VLOOKUP($B53,'Data-PC'!$B$13:$AP$59,36,FALSE)*C53</f>
        <v>141.53656320000002</v>
      </c>
      <c r="AN53">
        <f>VLOOKUP($B53,'Data-PC'!$B$13:$AP$59,37,FALSE)</f>
        <v>16</v>
      </c>
      <c r="AO53">
        <f>VLOOKUP($B53,'Data-PC'!$B$13:$AP$59,38,FALSE)</f>
        <v>0</v>
      </c>
      <c r="AP53">
        <f>VLOOKUP($B53,'Data-PC'!$B$13:$AP$59,39,FALSE)</f>
        <v>25</v>
      </c>
      <c r="AQ53">
        <f>VLOOKUP($B53,'Data-PC'!$B$13:$AP$59,40,FALSE)</f>
        <v>89.5</v>
      </c>
      <c r="AR53">
        <f>VLOOKUP($B53,'Data-PC'!$B$13:$AP$59,41,FALSE)*C53</f>
        <v>141.25248000000002</v>
      </c>
      <c r="AS53">
        <f>VLOOKUP($B53,'Data-PC'!$B$13:$AX$59,42,FALSE)</f>
        <v>0</v>
      </c>
      <c r="AT53">
        <f>VLOOKUP($B53,'Data-PC'!$B$13:$AX$59,43,FALSE)</f>
        <v>0</v>
      </c>
      <c r="AU53">
        <f>VLOOKUP($B53,'Data-PC'!$B$13:$AX$59,44,FALSE)</f>
        <v>1780</v>
      </c>
      <c r="AV53">
        <f>VLOOKUP($B53,'Data-PC'!$B$13:$AX$59,45,FALSE)*C53</f>
        <v>0</v>
      </c>
      <c r="AW53">
        <f>VLOOKUP($B53,'Data-PC'!$B$13:$AX$59,46,FALSE)</f>
        <v>0</v>
      </c>
      <c r="AX53">
        <f>VLOOKUP($B53,'Data-PC'!$B$13:$AX$59,47,FALSE)</f>
        <v>0</v>
      </c>
      <c r="AY53">
        <f>VLOOKUP($B53,'Data-PC'!$B$16:$AX$59,48,FALSE)</f>
        <v>0</v>
      </c>
      <c r="AZ53">
        <f>VLOOKUP($B53,'Data-PC'!$B$13:$AX$59,49,FALSE)*C53</f>
        <v>0</v>
      </c>
      <c r="BA53">
        <f>SUM(X53,AC53,AH53,AM53,AR53,AV53,AZ53)</f>
        <v>536.7703237200001</v>
      </c>
    </row>
    <row r="54">
      <c r="A54">
        <f>A53+1</f>
        <v>43</v>
      </c>
      <c r="B54" t="str">
        <v>PC.1</v>
      </c>
      <c r="C54">
        <v>1</v>
      </c>
      <c r="E54">
        <f>D54-(G54+$T$3)/1000</f>
        <v>-0.5</v>
      </c>
      <c r="F54">
        <f>VLOOKUP(B54,'Data-PC'!$B$13:$AP$36,15,FALSE)</f>
        <v>1.96</v>
      </c>
      <c r="G54">
        <f>VLOOKUP(B54,'Data-PC'!$B$13:$G$36,4,FALSE)</f>
        <v>500</v>
      </c>
      <c r="H54">
        <f>C54*VLOOKUP(B54,'Data-PC'!$B$13:$BC$36,18,FALSE)</f>
        <v>1</v>
      </c>
      <c r="I54">
        <f>C54*VLOOKUP(B54,'Data-PC'!$B$13:$BC$36,51,FALSE)</f>
        <v>0</v>
      </c>
      <c r="J54">
        <f>F54*C54*'Data-PC'!$D$5/1000</f>
        <v>0.098</v>
      </c>
      <c r="K54">
        <f>F54*('Data-PC'!$D$4/1000)*C54</f>
        <v>0</v>
      </c>
      <c r="L54">
        <f>C54*F54*($T$3-E54)</f>
        <v>0.98</v>
      </c>
      <c r="M54">
        <f>L54-(T54+J54)</f>
        <v>0.702</v>
      </c>
      <c r="S54">
        <f>L54-M54</f>
        <v>0.278</v>
      </c>
      <c r="T54">
        <f>C54*VLOOKUP(B54,'Data-PC'!$B$13:$AP$36,16,FALSE)*(1+'Data-PC'!$T$3/100)</f>
        <v>0.18</v>
      </c>
      <c r="U54">
        <f>C54*VLOOKUP(B54,'Data-PC'!$B$13:$AP$36,17,FALSE)*(1+'Data-PC'!$T$5/100)</f>
        <v>1.2</v>
      </c>
      <c r="V54">
        <f>VLOOKUP($B54,'Data-PC'!$B$13:$AP$59,19,FALSE)</f>
        <v>1</v>
      </c>
      <c r="W54">
        <f>VLOOKUP($B54,'Data-PC'!$B$13:$AP$59,20,FALSE)</f>
        <v>10</v>
      </c>
      <c r="X54">
        <f>VLOOKUP($B54,'Data-PC'!$B$13:$AP$59,21,FALSE)*C54</f>
        <v>1.4241150000000002</v>
      </c>
      <c r="Y54">
        <f>VLOOKUP($B54,'Data-PC'!$B$13:$AP$59,22,FALSE)</f>
        <v>13</v>
      </c>
      <c r="Z54">
        <f>VLOOKUP($B54,'Data-PC'!$B$13:$AP$59,23,FALSE)</f>
        <v>0</v>
      </c>
      <c r="AA54">
        <f>VLOOKUP($B54,'Data-PC'!$B$13:$AP$59,24,FALSE)</f>
        <v>5</v>
      </c>
      <c r="AB54">
        <f>VLOOKUP($B54,'Data-PC'!$B$13:$AP$59,25,FALSE)</f>
        <v>4.9</v>
      </c>
      <c r="AC54">
        <f>VLOOKUP($B54,'Data-PC'!$B$13:$AP$59,26,FALSE)*C54</f>
        <v>5.1052365</v>
      </c>
      <c r="AD54">
        <f>VLOOKUP($B54,'Data-PC'!$B$13:$AP$59,27,FALSE)</f>
        <v>13</v>
      </c>
      <c r="AE54">
        <f>VLOOKUP($B54,'Data-PC'!$B$13:$AP$59,28,FALSE)</f>
        <v>0</v>
      </c>
      <c r="AF54">
        <f>VLOOKUP($B54,'Data-PC'!$B$13:$AP$59,29,FALSE)</f>
        <v>5</v>
      </c>
      <c r="AG54">
        <f>VLOOKUP($B54,'Data-PC'!$B$13:$AP$59,30,FALSE)</f>
        <v>4.9</v>
      </c>
      <c r="AH54">
        <f>VLOOKUP($B54,'Data-PC'!$B$13:$AP$59,31,FALSE)*C54</f>
        <v>5.1052365</v>
      </c>
      <c r="AI54">
        <f>VLOOKUP($B54,'Data-PC'!$B$13:$AP$59,32,FALSE)</f>
        <v>13</v>
      </c>
      <c r="AJ54">
        <f>VLOOKUP($B54,'Data-PC'!$B$13:$AP$59,33,FALSE)</f>
        <v>0</v>
      </c>
      <c r="AK54">
        <f>VLOOKUP($B54,'Data-PC'!$B$13:$AP$59,34,FALSE)</f>
        <v>5</v>
      </c>
      <c r="AL54">
        <f>VLOOKUP($B54,'Data-PC'!$B$13:$AP$59,35,FALSE)</f>
        <v>7.1</v>
      </c>
      <c r="AM54">
        <f>VLOOKUP($B54,'Data-PC'!$B$13:$AP$59,36,FALSE)*C54</f>
        <v>7.397383499999999</v>
      </c>
      <c r="AN54">
        <f>VLOOKUP($B54,'Data-PC'!$B$13:$AP$59,37,FALSE)</f>
        <v>13</v>
      </c>
      <c r="AO54">
        <f>VLOOKUP($B54,'Data-PC'!$B$13:$AP$59,38,FALSE)</f>
        <v>0</v>
      </c>
      <c r="AP54">
        <f>VLOOKUP($B54,'Data-PC'!$B$13:$AP$59,39,FALSE)</f>
        <v>5</v>
      </c>
      <c r="AQ54">
        <f>VLOOKUP($B54,'Data-PC'!$B$13:$AP$59,40,FALSE)</f>
        <v>7.1</v>
      </c>
      <c r="AR54">
        <f>VLOOKUP($B54,'Data-PC'!$B$13:$AP$59,41,FALSE)*C54</f>
        <v>7.397383499999999</v>
      </c>
      <c r="AS54">
        <f>VLOOKUP($B54,'Data-PC'!$B$13:$AX$59,42,FALSE)</f>
        <v>0</v>
      </c>
      <c r="AT54">
        <f>VLOOKUP($B54,'Data-PC'!$B$13:$AX$59,43,FALSE)</f>
        <v>0</v>
      </c>
      <c r="AU54">
        <f>VLOOKUP($B54,'Data-PC'!$B$13:$AX$59,44,FALSE)</f>
        <v>1180</v>
      </c>
      <c r="AV54">
        <f>VLOOKUP($B54,'Data-PC'!$B$13:$AX$59,45,FALSE)*C54</f>
        <v>0</v>
      </c>
      <c r="AW54">
        <f>VLOOKUP($B54,'Data-PC'!$B$13:$AX$59,46,FALSE)</f>
        <v>0</v>
      </c>
      <c r="AX54">
        <f>VLOOKUP($B54,'Data-PC'!$B$13:$AX$59,47,FALSE)</f>
        <v>0</v>
      </c>
      <c r="AY54">
        <f>VLOOKUP($B54,'Data-PC'!$B$16:$AX$59,48,FALSE)</f>
        <v>0</v>
      </c>
      <c r="AZ54">
        <f>VLOOKUP($B54,'Data-PC'!$B$13:$AX$59,49,FALSE)*C54</f>
        <v>0</v>
      </c>
      <c r="BA54">
        <f>SUM(X54,AC54,AH54,AM54,AR54,AV54,AZ54)</f>
        <v>26.429355</v>
      </c>
    </row>
    <row r="55">
      <c r="A55">
        <f>A54+1</f>
        <v>44</v>
      </c>
      <c r="B55" t="str">
        <v>PC.1A</v>
      </c>
      <c r="C55">
        <v>1</v>
      </c>
      <c r="E55">
        <f>D55-(G55+$T$3)/1000</f>
        <v>-0.7</v>
      </c>
      <c r="F55">
        <f>VLOOKUP(B55,'Data-PC'!$B$13:$AP$36,15,FALSE)</f>
        <v>1.96</v>
      </c>
      <c r="G55">
        <f>VLOOKUP(B55,'Data-PC'!$B$13:$G$36,4,FALSE)</f>
        <v>700</v>
      </c>
      <c r="H55">
        <f>C55*VLOOKUP(B55,'Data-PC'!$B$13:$BC$36,18,FALSE)</f>
        <v>1</v>
      </c>
      <c r="I55">
        <f>C55*VLOOKUP(B55,'Data-PC'!$B$13:$BC$36,51,FALSE)</f>
        <v>0</v>
      </c>
      <c r="J55">
        <f>F55*C55*'Data-PC'!$D$5/1000</f>
        <v>0.098</v>
      </c>
      <c r="K55">
        <f>F55*('Data-PC'!$D$4/1000)*C55</f>
        <v>0</v>
      </c>
      <c r="L55">
        <f>C55*F55*($T$3-E55)</f>
        <v>1.3719999999999999</v>
      </c>
      <c r="M55">
        <f>L55-(T55+J55)</f>
        <v>1.0219999999999998</v>
      </c>
      <c r="S55">
        <f>L55-M55</f>
        <v>0.3500000000000001</v>
      </c>
      <c r="T55">
        <f>C55*VLOOKUP(B55,'Data-PC'!$B$13:$AP$36,16,FALSE)*(1+'Data-PC'!$T$3/100)</f>
        <v>0.252</v>
      </c>
      <c r="U55">
        <f>C55*VLOOKUP(B55,'Data-PC'!$B$13:$AP$36,17,FALSE)*(1+'Data-PC'!$T$5/100)</f>
        <v>1.68</v>
      </c>
      <c r="V55">
        <f>VLOOKUP($B55,'Data-PC'!$B$13:$AP$59,19,FALSE)</f>
        <v>1</v>
      </c>
      <c r="W55">
        <f>VLOOKUP($B55,'Data-PC'!$B$13:$AP$59,20,FALSE)</f>
        <v>13</v>
      </c>
      <c r="X55">
        <f>VLOOKUP($B55,'Data-PC'!$B$13:$AP$59,21,FALSE)*C55</f>
        <v>2.41300566</v>
      </c>
      <c r="Y55">
        <f>VLOOKUP($B55,'Data-PC'!$B$13:$AP$59,22,FALSE)</f>
        <v>13</v>
      </c>
      <c r="Z55">
        <f>VLOOKUP($B55,'Data-PC'!$B$13:$AP$59,23,FALSE)</f>
        <v>0</v>
      </c>
      <c r="AA55">
        <f>VLOOKUP($B55,'Data-PC'!$B$13:$AP$59,24,FALSE)</f>
        <v>6</v>
      </c>
      <c r="AB55">
        <f>VLOOKUP($B55,'Data-PC'!$B$13:$AP$59,25,FALSE)</f>
        <v>7.08</v>
      </c>
      <c r="AC55">
        <f>VLOOKUP($B55,'Data-PC'!$B$13:$AP$59,26,FALSE)*C55</f>
        <v>7.3765458</v>
      </c>
      <c r="AD55">
        <f>VLOOKUP($B55,'Data-PC'!$B$13:$AP$59,27,FALSE)</f>
        <v>13</v>
      </c>
      <c r="AE55">
        <f>VLOOKUP($B55,'Data-PC'!$B$13:$AP$59,28,FALSE)</f>
        <v>0</v>
      </c>
      <c r="AF55">
        <f>VLOOKUP($B55,'Data-PC'!$B$13:$AP$59,29,FALSE)</f>
        <v>6</v>
      </c>
      <c r="AG55">
        <f>VLOOKUP($B55,'Data-PC'!$B$13:$AP$59,30,FALSE)</f>
        <v>7.08</v>
      </c>
      <c r="AH55">
        <f>VLOOKUP($B55,'Data-PC'!$B$13:$AP$59,31,FALSE)*C55</f>
        <v>7.3765458</v>
      </c>
      <c r="AI55">
        <f>VLOOKUP($B55,'Data-PC'!$B$13:$AP$59,32,FALSE)</f>
        <v>13</v>
      </c>
      <c r="AJ55">
        <f>VLOOKUP($B55,'Data-PC'!$B$13:$AP$59,33,FALSE)</f>
        <v>0</v>
      </c>
      <c r="AK55">
        <f>VLOOKUP($B55,'Data-PC'!$B$13:$AP$59,34,FALSE)</f>
        <v>6</v>
      </c>
      <c r="AL55">
        <f>VLOOKUP($B55,'Data-PC'!$B$13:$AP$59,35,FALSE)</f>
        <v>10.92</v>
      </c>
      <c r="AM55">
        <f>VLOOKUP($B55,'Data-PC'!$B$13:$AP$59,36,FALSE)*C55</f>
        <v>11.3773842</v>
      </c>
      <c r="AN55">
        <f>VLOOKUP($B55,'Data-PC'!$B$13:$AP$59,37,FALSE)</f>
        <v>13</v>
      </c>
      <c r="AO55">
        <f>VLOOKUP($B55,'Data-PC'!$B$13:$AP$59,38,FALSE)</f>
        <v>0</v>
      </c>
      <c r="AP55">
        <f>VLOOKUP($B55,'Data-PC'!$B$13:$AP$59,39,FALSE)</f>
        <v>6</v>
      </c>
      <c r="AQ55">
        <f>VLOOKUP($B55,'Data-PC'!$B$13:$AP$59,40,FALSE)</f>
        <v>10.92</v>
      </c>
      <c r="AR55">
        <f>VLOOKUP($B55,'Data-PC'!$B$13:$AP$59,41,FALSE)*C55</f>
        <v>11.3773842</v>
      </c>
      <c r="AS55">
        <f>VLOOKUP($B55,'Data-PC'!$B$13:$AX$59,42,FALSE)</f>
        <v>0</v>
      </c>
      <c r="AT55">
        <f>VLOOKUP($B55,'Data-PC'!$B$13:$AX$59,43,FALSE)</f>
        <v>0</v>
      </c>
      <c r="AU55">
        <f>VLOOKUP($B55,'Data-PC'!$B$13:$AX$59,44,FALSE)</f>
        <v>1580</v>
      </c>
      <c r="AV55">
        <f>VLOOKUP($B55,'Data-PC'!$B$13:$AX$59,45,FALSE)*C55</f>
        <v>0</v>
      </c>
      <c r="AW55">
        <f>VLOOKUP($B55,'Data-PC'!$B$13:$AX$59,46,FALSE)</f>
        <v>0</v>
      </c>
      <c r="AX55">
        <f>VLOOKUP($B55,'Data-PC'!$B$13:$AX$59,47,FALSE)</f>
        <v>0</v>
      </c>
      <c r="AY55">
        <f>VLOOKUP($B55,'Data-PC'!$B$16:$AX$59,48,FALSE)</f>
        <v>0</v>
      </c>
      <c r="AZ55">
        <f>VLOOKUP($B55,'Data-PC'!$B$13:$AX$59,49,FALSE)*C55</f>
        <v>0</v>
      </c>
      <c r="BA55">
        <f>SUM(X55,AC55,AH55,AM55,AR55,AV55,AZ55)</f>
        <v>39.920865660000004</v>
      </c>
    </row>
    <row r="56">
      <c r="A56">
        <f>A55+1</f>
        <v>45</v>
      </c>
      <c r="B56" t="str">
        <v>PC.1</v>
      </c>
      <c r="C56">
        <v>1</v>
      </c>
      <c r="E56">
        <f>D56-(G56+$T$3)/1000</f>
        <v>-0.5</v>
      </c>
      <c r="F56">
        <f>VLOOKUP(B56,'Data-PC'!$B$13:$AP$36,15,FALSE)</f>
        <v>1.96</v>
      </c>
      <c r="G56">
        <f>VLOOKUP(B56,'Data-PC'!$B$13:$G$36,4,FALSE)</f>
        <v>500</v>
      </c>
      <c r="H56">
        <f>C56*VLOOKUP(B56,'Data-PC'!$B$13:$BC$36,18,FALSE)</f>
        <v>1</v>
      </c>
      <c r="I56">
        <f>C56*VLOOKUP(B56,'Data-PC'!$B$13:$BC$36,51,FALSE)</f>
        <v>0</v>
      </c>
      <c r="J56">
        <f>F56*C56*'Data-PC'!$D$5/1000</f>
        <v>0.098</v>
      </c>
      <c r="K56">
        <f>F56*('Data-PC'!$D$4/1000)*C56</f>
        <v>0</v>
      </c>
      <c r="L56">
        <f>C56*F56*($T$3-E56)</f>
        <v>0.98</v>
      </c>
      <c r="M56">
        <f>L56-(T56+J56)</f>
        <v>0.702</v>
      </c>
      <c r="S56">
        <f>L56-M56</f>
        <v>0.278</v>
      </c>
      <c r="T56">
        <f>C56*VLOOKUP(B56,'Data-PC'!$B$13:$AP$36,16,FALSE)*(1+'Data-PC'!$T$3/100)</f>
        <v>0.18</v>
      </c>
      <c r="U56">
        <f>C56*VLOOKUP(B56,'Data-PC'!$B$13:$AP$36,17,FALSE)*(1+'Data-PC'!$T$5/100)</f>
        <v>1.2</v>
      </c>
      <c r="V56">
        <f>VLOOKUP($B56,'Data-PC'!$B$13:$AP$59,19,FALSE)</f>
        <v>1</v>
      </c>
      <c r="W56">
        <f>VLOOKUP($B56,'Data-PC'!$B$13:$AP$59,20,FALSE)</f>
        <v>10</v>
      </c>
      <c r="X56">
        <f>VLOOKUP($B56,'Data-PC'!$B$13:$AP$59,21,FALSE)*C56</f>
        <v>1.4241150000000002</v>
      </c>
      <c r="Y56">
        <f>VLOOKUP($B56,'Data-PC'!$B$13:$AP$59,22,FALSE)</f>
        <v>13</v>
      </c>
      <c r="Z56">
        <f>VLOOKUP($B56,'Data-PC'!$B$13:$AP$59,23,FALSE)</f>
        <v>0</v>
      </c>
      <c r="AA56">
        <f>VLOOKUP($B56,'Data-PC'!$B$13:$AP$59,24,FALSE)</f>
        <v>5</v>
      </c>
      <c r="AB56">
        <f>VLOOKUP($B56,'Data-PC'!$B$13:$AP$59,25,FALSE)</f>
        <v>4.9</v>
      </c>
      <c r="AC56">
        <f>VLOOKUP($B56,'Data-PC'!$B$13:$AP$59,26,FALSE)*C56</f>
        <v>5.1052365</v>
      </c>
      <c r="AD56">
        <f>VLOOKUP($B56,'Data-PC'!$B$13:$AP$59,27,FALSE)</f>
        <v>13</v>
      </c>
      <c r="AE56">
        <f>VLOOKUP($B56,'Data-PC'!$B$13:$AP$59,28,FALSE)</f>
        <v>0</v>
      </c>
      <c r="AF56">
        <f>VLOOKUP($B56,'Data-PC'!$B$13:$AP$59,29,FALSE)</f>
        <v>5</v>
      </c>
      <c r="AG56">
        <f>VLOOKUP($B56,'Data-PC'!$B$13:$AP$59,30,FALSE)</f>
        <v>4.9</v>
      </c>
      <c r="AH56">
        <f>VLOOKUP($B56,'Data-PC'!$B$13:$AP$59,31,FALSE)*C56</f>
        <v>5.1052365</v>
      </c>
      <c r="AI56">
        <f>VLOOKUP($B56,'Data-PC'!$B$13:$AP$59,32,FALSE)</f>
        <v>13</v>
      </c>
      <c r="AJ56">
        <f>VLOOKUP($B56,'Data-PC'!$B$13:$AP$59,33,FALSE)</f>
        <v>0</v>
      </c>
      <c r="AK56">
        <f>VLOOKUP($B56,'Data-PC'!$B$13:$AP$59,34,FALSE)</f>
        <v>5</v>
      </c>
      <c r="AL56">
        <f>VLOOKUP($B56,'Data-PC'!$B$13:$AP$59,35,FALSE)</f>
        <v>7.1</v>
      </c>
      <c r="AM56">
        <f>VLOOKUP($B56,'Data-PC'!$B$13:$AP$59,36,FALSE)*C56</f>
        <v>7.397383499999999</v>
      </c>
      <c r="AN56">
        <f>VLOOKUP($B56,'Data-PC'!$B$13:$AP$59,37,FALSE)</f>
        <v>13</v>
      </c>
      <c r="AO56">
        <f>VLOOKUP($B56,'Data-PC'!$B$13:$AP$59,38,FALSE)</f>
        <v>0</v>
      </c>
      <c r="AP56">
        <f>VLOOKUP($B56,'Data-PC'!$B$13:$AP$59,39,FALSE)</f>
        <v>5</v>
      </c>
      <c r="AQ56">
        <f>VLOOKUP($B56,'Data-PC'!$B$13:$AP$59,40,FALSE)</f>
        <v>7.1</v>
      </c>
      <c r="AR56">
        <f>VLOOKUP($B56,'Data-PC'!$B$13:$AP$59,41,FALSE)*C56</f>
        <v>7.397383499999999</v>
      </c>
      <c r="AS56">
        <f>VLOOKUP($B56,'Data-PC'!$B$13:$AX$59,42,FALSE)</f>
        <v>0</v>
      </c>
      <c r="AT56">
        <f>VLOOKUP($B56,'Data-PC'!$B$13:$AX$59,43,FALSE)</f>
        <v>0</v>
      </c>
      <c r="AU56">
        <f>VLOOKUP($B56,'Data-PC'!$B$13:$AX$59,44,FALSE)</f>
        <v>1180</v>
      </c>
      <c r="AV56">
        <f>VLOOKUP($B56,'Data-PC'!$B$13:$AX$59,45,FALSE)*C56</f>
        <v>0</v>
      </c>
      <c r="AW56">
        <f>VLOOKUP($B56,'Data-PC'!$B$13:$AX$59,46,FALSE)</f>
        <v>0</v>
      </c>
      <c r="AX56">
        <f>VLOOKUP($B56,'Data-PC'!$B$13:$AX$59,47,FALSE)</f>
        <v>0</v>
      </c>
      <c r="AY56">
        <f>VLOOKUP($B56,'Data-PC'!$B$16:$AX$59,48,FALSE)</f>
        <v>0</v>
      </c>
      <c r="AZ56">
        <f>VLOOKUP($B56,'Data-PC'!$B$13:$AX$59,49,FALSE)*C56</f>
        <v>0</v>
      </c>
      <c r="BA56">
        <f>SUM(X56,AC56,AH56,AM56,AR56,AV56,AZ56)</f>
        <v>26.429355</v>
      </c>
    </row>
    <row r="57">
      <c r="A57">
        <f>A56+1</f>
        <v>46</v>
      </c>
      <c r="B57" t="str">
        <v>PC.2</v>
      </c>
      <c r="C57">
        <v>1</v>
      </c>
      <c r="E57">
        <f>D57-(G57+$T$3)/1000</f>
        <v>-0.5</v>
      </c>
      <c r="F57">
        <f>VLOOKUP(B57,'Data-PC'!$B$13:$AP$36,15,FALSE)</f>
        <v>3.22</v>
      </c>
      <c r="G57">
        <f>VLOOKUP(B57,'Data-PC'!$B$13:$G$36,4,FALSE)</f>
        <v>500</v>
      </c>
      <c r="H57">
        <f>C57*VLOOKUP(B57,'Data-PC'!$B$13:$BC$36,18,FALSE)</f>
        <v>2</v>
      </c>
      <c r="I57">
        <f>C57*VLOOKUP(B57,'Data-PC'!$B$13:$BC$36,51,FALSE)</f>
        <v>0</v>
      </c>
      <c r="J57">
        <f>F57*C57*'Data-PC'!$D$5/1000</f>
        <v>0.161</v>
      </c>
      <c r="K57">
        <f>F57*('Data-PC'!$D$4/1000)*C57</f>
        <v>0</v>
      </c>
      <c r="L57">
        <f>C57*F57*($T$3-E57)</f>
        <v>1.61</v>
      </c>
      <c r="M57">
        <f>L57-(T57+J57)</f>
        <v>0.9990000000000001</v>
      </c>
      <c r="S57">
        <f>L57-M57</f>
        <v>0.611</v>
      </c>
      <c r="T57">
        <f>C57*VLOOKUP(B57,'Data-PC'!$B$13:$AP$36,16,FALSE)*(1+'Data-PC'!$T$3/100)</f>
        <v>0.45</v>
      </c>
      <c r="U57">
        <f>C57*VLOOKUP(B57,'Data-PC'!$B$13:$AP$36,17,FALSE)*(1+'Data-PC'!$T$5/100)</f>
        <v>2.1</v>
      </c>
      <c r="V57">
        <f>VLOOKUP($B57,'Data-PC'!$B$13:$AP$59,19,FALSE)</f>
        <v>1</v>
      </c>
      <c r="W57">
        <f>VLOOKUP($B57,'Data-PC'!$B$13:$AP$59,20,FALSE)</f>
        <v>10</v>
      </c>
      <c r="X57">
        <f>VLOOKUP($B57,'Data-PC'!$B$13:$AP$59,21,FALSE)*C57</f>
        <v>2.5338150000000006</v>
      </c>
      <c r="Y57">
        <f>VLOOKUP($B57,'Data-PC'!$B$13:$AP$59,22,FALSE)</f>
        <v>13</v>
      </c>
      <c r="Z57">
        <f>VLOOKUP($B57,'Data-PC'!$B$13:$AP$59,23,FALSE)</f>
        <v>0</v>
      </c>
      <c r="AA57">
        <f>VLOOKUP($B57,'Data-PC'!$B$13:$AP$59,24,FALSE)</f>
        <v>5</v>
      </c>
      <c r="AB57">
        <f>VLOOKUP($B57,'Data-PC'!$B$13:$AP$59,25,FALSE)</f>
        <v>9.4</v>
      </c>
      <c r="AC57">
        <f>VLOOKUP($B57,'Data-PC'!$B$13:$AP$59,26,FALSE)*C57</f>
        <v>9.793719</v>
      </c>
      <c r="AD57">
        <f>VLOOKUP($B57,'Data-PC'!$B$13:$AP$59,27,FALSE)</f>
        <v>13</v>
      </c>
      <c r="AE57">
        <f>VLOOKUP($B57,'Data-PC'!$B$13:$AP$59,28,FALSE)</f>
        <v>0</v>
      </c>
      <c r="AF57">
        <f>VLOOKUP($B57,'Data-PC'!$B$13:$AP$59,29,FALSE)</f>
        <v>11</v>
      </c>
      <c r="AG57">
        <f>VLOOKUP($B57,'Data-PC'!$B$13:$AP$59,30,FALSE)</f>
        <v>10.78</v>
      </c>
      <c r="AH57">
        <f>VLOOKUP($B57,'Data-PC'!$B$13:$AP$59,31,FALSE)*C57</f>
        <v>11.2315203</v>
      </c>
      <c r="AI57">
        <f>VLOOKUP($B57,'Data-PC'!$B$13:$AP$59,32,FALSE)</f>
        <v>16</v>
      </c>
      <c r="AJ57">
        <f>VLOOKUP($B57,'Data-PC'!$B$13:$AP$59,33,FALSE)</f>
        <v>0</v>
      </c>
      <c r="AK57">
        <f>VLOOKUP($B57,'Data-PC'!$B$13:$AP$59,34,FALSE)</f>
        <v>5</v>
      </c>
      <c r="AL57">
        <f>VLOOKUP($B57,'Data-PC'!$B$13:$AP$59,35,FALSE)</f>
        <v>11.6</v>
      </c>
      <c r="AM57">
        <f>VLOOKUP($B57,'Data-PC'!$B$13:$AP$59,36,FALSE)*C57</f>
        <v>18.307584000000002</v>
      </c>
      <c r="AN57">
        <f>VLOOKUP($B57,'Data-PC'!$B$13:$AP$59,37,FALSE)</f>
        <v>16</v>
      </c>
      <c r="AO57">
        <f>VLOOKUP($B57,'Data-PC'!$B$13:$AP$59,38,FALSE)</f>
        <v>0</v>
      </c>
      <c r="AP57">
        <f>VLOOKUP($B57,'Data-PC'!$B$13:$AP$59,39,FALSE)</f>
        <v>11</v>
      </c>
      <c r="AQ57">
        <f>VLOOKUP($B57,'Data-PC'!$B$13:$AP$59,40,FALSE)</f>
        <v>15.62</v>
      </c>
      <c r="AR57">
        <f>VLOOKUP($B57,'Data-PC'!$B$13:$AP$59,41,FALSE)*C57</f>
        <v>24.6521088</v>
      </c>
      <c r="AS57">
        <f>VLOOKUP($B57,'Data-PC'!$B$13:$AX$59,42,FALSE)</f>
        <v>0</v>
      </c>
      <c r="AT57">
        <f>VLOOKUP($B57,'Data-PC'!$B$13:$AX$59,43,FALSE)</f>
        <v>0</v>
      </c>
      <c r="AU57">
        <f>VLOOKUP($B57,'Data-PC'!$B$13:$AX$59,44,FALSE)</f>
        <v>1180</v>
      </c>
      <c r="AV57">
        <f>VLOOKUP($B57,'Data-PC'!$B$13:$AX$59,45,FALSE)*C57</f>
        <v>0</v>
      </c>
      <c r="AW57">
        <f>VLOOKUP($B57,'Data-PC'!$B$13:$AX$59,46,FALSE)</f>
        <v>0</v>
      </c>
      <c r="AX57">
        <f>VLOOKUP($B57,'Data-PC'!$B$13:$AX$59,47,FALSE)</f>
        <v>0</v>
      </c>
      <c r="AY57">
        <f>VLOOKUP($B57,'Data-PC'!$B$16:$AX$59,48,FALSE)</f>
        <v>0</v>
      </c>
      <c r="AZ57">
        <f>VLOOKUP($B57,'Data-PC'!$B$13:$AX$59,49,FALSE)*C57</f>
        <v>0</v>
      </c>
      <c r="BA57">
        <f>SUM(X57,AC57,AH57,AM57,AR57,AV57,AZ57)</f>
        <v>66.51874710000001</v>
      </c>
    </row>
    <row r="58">
      <c r="A58">
        <f>A57+1</f>
        <v>47</v>
      </c>
      <c r="B58" t="str">
        <v>PC.6</v>
      </c>
      <c r="C58">
        <v>1</v>
      </c>
      <c r="E58">
        <f>D58-(G58+$T$3)/1000</f>
        <v>-0.6</v>
      </c>
      <c r="F58">
        <f>VLOOKUP(B58,'Data-PC'!$B$13:$AP$36,15,FALSE)</f>
        <v>7.36</v>
      </c>
      <c r="G58">
        <f>VLOOKUP(B58,'Data-PC'!$B$13:$G$36,4,FALSE)</f>
        <v>600</v>
      </c>
      <c r="H58">
        <f>C58*VLOOKUP(B58,'Data-PC'!$B$13:$BC$36,18,FALSE)</f>
        <v>6</v>
      </c>
      <c r="I58">
        <f>C58*VLOOKUP(B58,'Data-PC'!$B$13:$BC$36,51,FALSE)</f>
        <v>0</v>
      </c>
      <c r="J58">
        <f>F58*C58*'Data-PC'!$D$5/1000</f>
        <v>0.368</v>
      </c>
      <c r="K58">
        <f>F58*('Data-PC'!$D$4/1000)*C58</f>
        <v>0</v>
      </c>
      <c r="L58">
        <f>C58*F58*($T$3-E58)</f>
        <v>4.416</v>
      </c>
      <c r="M58">
        <f>L58-(T58+J58)</f>
        <v>1.8880000000000003</v>
      </c>
      <c r="S58">
        <f>L58-M58</f>
        <v>2.528</v>
      </c>
      <c r="T58">
        <f>C58*VLOOKUP(B58,'Data-PC'!$B$13:$AP$36,16,FALSE)*(1+'Data-PC'!$T$3/100)</f>
        <v>2.16</v>
      </c>
      <c r="U58">
        <f>C58*VLOOKUP(B58,'Data-PC'!$B$13:$AP$36,17,FALSE)*(1+'Data-PC'!$T$5/100)</f>
        <v>4.68</v>
      </c>
      <c r="V58">
        <f>VLOOKUP($B58,'Data-PC'!$B$13:$AP$59,19,FALSE)</f>
        <v>1</v>
      </c>
      <c r="W58">
        <f>VLOOKUP($B58,'Data-PC'!$B$13:$AP$59,20,FALSE)</f>
        <v>13</v>
      </c>
      <c r="X58">
        <f>VLOOKUP($B58,'Data-PC'!$B$13:$AP$59,21,FALSE)*C58</f>
        <v>8.039184659999998</v>
      </c>
      <c r="Y58">
        <f>VLOOKUP($B58,'Data-PC'!$B$13:$AP$59,22,FALSE)</f>
        <v>13</v>
      </c>
      <c r="Z58">
        <f>VLOOKUP($B58,'Data-PC'!$B$13:$AP$59,23,FALSE)</f>
        <v>0</v>
      </c>
      <c r="AA58">
        <f>VLOOKUP($B58,'Data-PC'!$B$13:$AP$59,24,FALSE)</f>
        <v>14</v>
      </c>
      <c r="AB58">
        <f>VLOOKUP($B58,'Data-PC'!$B$13:$AP$59,25,FALSE)</f>
        <v>40.32</v>
      </c>
      <c r="AC58">
        <f>VLOOKUP($B58,'Data-PC'!$B$13:$AP$59,26,FALSE)*C58</f>
        <v>42.008803199999996</v>
      </c>
      <c r="AD58">
        <f>VLOOKUP($B58,'Data-PC'!$B$13:$AP$59,27,FALSE)</f>
        <v>13</v>
      </c>
      <c r="AE58">
        <f>VLOOKUP($B58,'Data-PC'!$B$13:$AP$59,28,FALSE)</f>
        <v>0</v>
      </c>
      <c r="AF58">
        <f>VLOOKUP($B58,'Data-PC'!$B$13:$AP$59,29,FALSE)</f>
        <v>14</v>
      </c>
      <c r="AG58">
        <f>VLOOKUP($B58,'Data-PC'!$B$13:$AP$59,30,FALSE)</f>
        <v>27.72</v>
      </c>
      <c r="AH58">
        <f>VLOOKUP($B58,'Data-PC'!$B$13:$AP$59,31,FALSE)*C58</f>
        <v>28.8810522</v>
      </c>
      <c r="AI58">
        <f>VLOOKUP($B58,'Data-PC'!$B$13:$AP$59,32,FALSE)</f>
        <v>16</v>
      </c>
      <c r="AJ58">
        <f>VLOOKUP($B58,'Data-PC'!$B$13:$AP$59,33,FALSE)</f>
        <v>0</v>
      </c>
      <c r="AK58">
        <f>VLOOKUP($B58,'Data-PC'!$B$13:$AP$59,34,FALSE)</f>
        <v>14</v>
      </c>
      <c r="AL58">
        <f>VLOOKUP($B58,'Data-PC'!$B$13:$AP$59,35,FALSE)</f>
        <v>47.88</v>
      </c>
      <c r="AM58">
        <f>VLOOKUP($B58,'Data-PC'!$B$13:$AP$59,36,FALSE)*C58</f>
        <v>75.56613120000002</v>
      </c>
      <c r="AN58">
        <f>VLOOKUP($B58,'Data-PC'!$B$13:$AP$59,37,FALSE)</f>
        <v>16</v>
      </c>
      <c r="AO58">
        <f>VLOOKUP($B58,'Data-PC'!$B$13:$AP$59,38,FALSE)</f>
        <v>0</v>
      </c>
      <c r="AP58">
        <f>VLOOKUP($B58,'Data-PC'!$B$13:$AP$59,39,FALSE)</f>
        <v>14</v>
      </c>
      <c r="AQ58">
        <f>VLOOKUP($B58,'Data-PC'!$B$13:$AP$59,40,FALSE)</f>
        <v>35.28</v>
      </c>
      <c r="AR58">
        <f>VLOOKUP($B58,'Data-PC'!$B$13:$AP$59,41,FALSE)*C58</f>
        <v>55.6803072</v>
      </c>
      <c r="AS58">
        <f>VLOOKUP($B58,'Data-PC'!$B$13:$AX$59,42,FALSE)</f>
        <v>0</v>
      </c>
      <c r="AT58">
        <f>VLOOKUP($B58,'Data-PC'!$B$13:$AX$59,43,FALSE)</f>
        <v>0</v>
      </c>
      <c r="AU58">
        <f>VLOOKUP($B58,'Data-PC'!$B$13:$AX$59,44,FALSE)</f>
        <v>1380</v>
      </c>
      <c r="AV58">
        <f>VLOOKUP($B58,'Data-PC'!$B$13:$AX$59,45,FALSE)*C58</f>
        <v>0</v>
      </c>
      <c r="AW58">
        <f>VLOOKUP($B58,'Data-PC'!$B$13:$AX$59,46,FALSE)</f>
        <v>0</v>
      </c>
      <c r="AX58">
        <f>VLOOKUP($B58,'Data-PC'!$B$13:$AX$59,47,FALSE)</f>
        <v>0</v>
      </c>
      <c r="AY58">
        <f>VLOOKUP($B58,'Data-PC'!$B$16:$AX$59,48,FALSE)</f>
        <v>0</v>
      </c>
      <c r="AZ58">
        <f>VLOOKUP($B58,'Data-PC'!$B$13:$AX$59,49,FALSE)*C58</f>
        <v>0</v>
      </c>
      <c r="BA58">
        <f>SUM(X58,AC58,AH58,AM58,AR58,AV58,AZ58)</f>
        <v>210.17547846000002</v>
      </c>
    </row>
    <row r="59">
      <c r="A59">
        <f>A58+1</f>
        <v>48</v>
      </c>
      <c r="B59" t="str">
        <v>PC.1</v>
      </c>
      <c r="C59">
        <v>1</v>
      </c>
      <c r="E59">
        <f>D59-(G59+$T$3)/1000</f>
        <v>-0.5</v>
      </c>
      <c r="F59">
        <f>VLOOKUP(B59,'Data-PC'!$B$13:$AP$36,15,FALSE)</f>
        <v>1.96</v>
      </c>
      <c r="G59">
        <f>VLOOKUP(B59,'Data-PC'!$B$13:$G$36,4,FALSE)</f>
        <v>500</v>
      </c>
      <c r="H59">
        <f>C59*VLOOKUP(B59,'Data-PC'!$B$13:$BC$36,18,FALSE)</f>
        <v>1</v>
      </c>
      <c r="I59">
        <f>C59*VLOOKUP(B59,'Data-PC'!$B$13:$BC$36,51,FALSE)</f>
        <v>0</v>
      </c>
      <c r="J59">
        <f>F59*C59*'Data-PC'!$D$5/1000</f>
        <v>0.098</v>
      </c>
      <c r="K59">
        <f>F59*('Data-PC'!$D$4/1000)*C59</f>
        <v>0</v>
      </c>
      <c r="L59">
        <f>C59*F59*($T$3-E59)</f>
        <v>0.98</v>
      </c>
      <c r="M59">
        <f>L59-(T59+J59)</f>
        <v>0.702</v>
      </c>
      <c r="S59">
        <f>L59-M59</f>
        <v>0.278</v>
      </c>
      <c r="T59">
        <f>C59*VLOOKUP(B59,'Data-PC'!$B$13:$AP$36,16,FALSE)*(1+'Data-PC'!$T$3/100)</f>
        <v>0.18</v>
      </c>
      <c r="U59">
        <f>C59*VLOOKUP(B59,'Data-PC'!$B$13:$AP$36,17,FALSE)*(1+'Data-PC'!$T$5/100)</f>
        <v>1.2</v>
      </c>
      <c r="V59">
        <f>VLOOKUP($B59,'Data-PC'!$B$13:$AP$59,19,FALSE)</f>
        <v>1</v>
      </c>
      <c r="W59">
        <f>VLOOKUP($B59,'Data-PC'!$B$13:$AP$59,20,FALSE)</f>
        <v>10</v>
      </c>
      <c r="X59">
        <f>VLOOKUP($B59,'Data-PC'!$B$13:$AP$59,21,FALSE)*C59</f>
        <v>1.4241150000000002</v>
      </c>
      <c r="Y59">
        <f>VLOOKUP($B59,'Data-PC'!$B$13:$AP$59,22,FALSE)</f>
        <v>13</v>
      </c>
      <c r="Z59">
        <f>VLOOKUP($B59,'Data-PC'!$B$13:$AP$59,23,FALSE)</f>
        <v>0</v>
      </c>
      <c r="AA59">
        <f>VLOOKUP($B59,'Data-PC'!$B$13:$AP$59,24,FALSE)</f>
        <v>5</v>
      </c>
      <c r="AB59">
        <f>VLOOKUP($B59,'Data-PC'!$B$13:$AP$59,25,FALSE)</f>
        <v>4.9</v>
      </c>
      <c r="AC59">
        <f>VLOOKUP($B59,'Data-PC'!$B$13:$AP$59,26,FALSE)*C59</f>
        <v>5.1052365</v>
      </c>
      <c r="AD59">
        <f>VLOOKUP($B59,'Data-PC'!$B$13:$AP$59,27,FALSE)</f>
        <v>13</v>
      </c>
      <c r="AE59">
        <f>VLOOKUP($B59,'Data-PC'!$B$13:$AP$59,28,FALSE)</f>
        <v>0</v>
      </c>
      <c r="AF59">
        <f>VLOOKUP($B59,'Data-PC'!$B$13:$AP$59,29,FALSE)</f>
        <v>5</v>
      </c>
      <c r="AG59">
        <f>VLOOKUP($B59,'Data-PC'!$B$13:$AP$59,30,FALSE)</f>
        <v>4.9</v>
      </c>
      <c r="AH59">
        <f>VLOOKUP($B59,'Data-PC'!$B$13:$AP$59,31,FALSE)*C59</f>
        <v>5.1052365</v>
      </c>
      <c r="AI59">
        <f>VLOOKUP($B59,'Data-PC'!$B$13:$AP$59,32,FALSE)</f>
        <v>13</v>
      </c>
      <c r="AJ59">
        <f>VLOOKUP($B59,'Data-PC'!$B$13:$AP$59,33,FALSE)</f>
        <v>0</v>
      </c>
      <c r="AK59">
        <f>VLOOKUP($B59,'Data-PC'!$B$13:$AP$59,34,FALSE)</f>
        <v>5</v>
      </c>
      <c r="AL59">
        <f>VLOOKUP($B59,'Data-PC'!$B$13:$AP$59,35,FALSE)</f>
        <v>7.1</v>
      </c>
      <c r="AM59">
        <f>VLOOKUP($B59,'Data-PC'!$B$13:$AP$59,36,FALSE)*C59</f>
        <v>7.397383499999999</v>
      </c>
      <c r="AN59">
        <f>VLOOKUP($B59,'Data-PC'!$B$13:$AP$59,37,FALSE)</f>
        <v>13</v>
      </c>
      <c r="AO59">
        <f>VLOOKUP($B59,'Data-PC'!$B$13:$AP$59,38,FALSE)</f>
        <v>0</v>
      </c>
      <c r="AP59">
        <f>VLOOKUP($B59,'Data-PC'!$B$13:$AP$59,39,FALSE)</f>
        <v>5</v>
      </c>
      <c r="AQ59">
        <f>VLOOKUP($B59,'Data-PC'!$B$13:$AP$59,40,FALSE)</f>
        <v>7.1</v>
      </c>
      <c r="AR59">
        <f>VLOOKUP($B59,'Data-PC'!$B$13:$AP$59,41,FALSE)*C59</f>
        <v>7.397383499999999</v>
      </c>
      <c r="AS59">
        <f>VLOOKUP($B59,'Data-PC'!$B$13:$AX$59,42,FALSE)</f>
        <v>0</v>
      </c>
      <c r="AT59">
        <f>VLOOKUP($B59,'Data-PC'!$B$13:$AX$59,43,FALSE)</f>
        <v>0</v>
      </c>
      <c r="AU59">
        <f>VLOOKUP($B59,'Data-PC'!$B$13:$AX$59,44,FALSE)</f>
        <v>1180</v>
      </c>
      <c r="AV59">
        <f>VLOOKUP($B59,'Data-PC'!$B$13:$AX$59,45,FALSE)*C59</f>
        <v>0</v>
      </c>
      <c r="AW59">
        <f>VLOOKUP($B59,'Data-PC'!$B$13:$AX$59,46,FALSE)</f>
        <v>0</v>
      </c>
      <c r="AX59">
        <f>VLOOKUP($B59,'Data-PC'!$B$13:$AX$59,47,FALSE)</f>
        <v>0</v>
      </c>
      <c r="AY59">
        <f>VLOOKUP($B59,'Data-PC'!$B$16:$AX$59,48,FALSE)</f>
        <v>0</v>
      </c>
      <c r="AZ59">
        <f>VLOOKUP($B59,'Data-PC'!$B$13:$AX$59,49,FALSE)*C59</f>
        <v>0</v>
      </c>
      <c r="BA59">
        <f>SUM(X59,AC59,AH59,AM59,AR59,AV59,AZ59)</f>
        <v>26.429355</v>
      </c>
    </row>
    <row r="60">
      <c r="A60">
        <f>A59+1</f>
        <v>49</v>
      </c>
      <c r="B60" t="str">
        <v>PC.1A</v>
      </c>
      <c r="C60">
        <v>1</v>
      </c>
      <c r="E60">
        <f>D60-(G60+$T$3)/1000</f>
        <v>-0.7</v>
      </c>
      <c r="F60">
        <f>VLOOKUP(B60,'Data-PC'!$B$13:$AP$36,15,FALSE)</f>
        <v>1.96</v>
      </c>
      <c r="G60">
        <f>VLOOKUP(B60,'Data-PC'!$B$13:$G$36,4,FALSE)</f>
        <v>700</v>
      </c>
      <c r="H60">
        <f>C60*VLOOKUP(B60,'Data-PC'!$B$13:$BC$36,18,FALSE)</f>
        <v>1</v>
      </c>
      <c r="I60">
        <f>C60*VLOOKUP(B60,'Data-PC'!$B$13:$BC$36,51,FALSE)</f>
        <v>0</v>
      </c>
      <c r="J60">
        <f>F60*C60*'Data-PC'!$D$5/1000</f>
        <v>0.098</v>
      </c>
      <c r="K60">
        <f>F60*('Data-PC'!$D$4/1000)*C60</f>
        <v>0</v>
      </c>
      <c r="L60">
        <f>C60*F60*($T$3-E60)</f>
        <v>1.3719999999999999</v>
      </c>
      <c r="M60">
        <f>L60-(T60+J60)</f>
        <v>1.0219999999999998</v>
      </c>
      <c r="S60">
        <f>L60-M60</f>
        <v>0.3500000000000001</v>
      </c>
      <c r="T60">
        <f>C60*VLOOKUP(B60,'Data-PC'!$B$13:$AP$36,16,FALSE)*(1+'Data-PC'!$T$3/100)</f>
        <v>0.252</v>
      </c>
      <c r="U60">
        <f>C60*VLOOKUP(B60,'Data-PC'!$B$13:$AP$36,17,FALSE)*(1+'Data-PC'!$T$5/100)</f>
        <v>1.68</v>
      </c>
      <c r="V60">
        <f>VLOOKUP($B60,'Data-PC'!$B$13:$AP$59,19,FALSE)</f>
        <v>1</v>
      </c>
      <c r="W60">
        <f>VLOOKUP($B60,'Data-PC'!$B$13:$AP$59,20,FALSE)</f>
        <v>13</v>
      </c>
      <c r="X60">
        <f>VLOOKUP($B60,'Data-PC'!$B$13:$AP$59,21,FALSE)*C60</f>
        <v>2.41300566</v>
      </c>
      <c r="Y60">
        <f>VLOOKUP($B60,'Data-PC'!$B$13:$AP$59,22,FALSE)</f>
        <v>13</v>
      </c>
      <c r="Z60">
        <f>VLOOKUP($B60,'Data-PC'!$B$13:$AP$59,23,FALSE)</f>
        <v>0</v>
      </c>
      <c r="AA60">
        <f>VLOOKUP($B60,'Data-PC'!$B$13:$AP$59,24,FALSE)</f>
        <v>6</v>
      </c>
      <c r="AB60">
        <f>VLOOKUP($B60,'Data-PC'!$B$13:$AP$59,25,FALSE)</f>
        <v>7.08</v>
      </c>
      <c r="AC60">
        <f>VLOOKUP($B60,'Data-PC'!$B$13:$AP$59,26,FALSE)*C60</f>
        <v>7.3765458</v>
      </c>
      <c r="AD60">
        <f>VLOOKUP($B60,'Data-PC'!$B$13:$AP$59,27,FALSE)</f>
        <v>13</v>
      </c>
      <c r="AE60">
        <f>VLOOKUP($B60,'Data-PC'!$B$13:$AP$59,28,FALSE)</f>
        <v>0</v>
      </c>
      <c r="AF60">
        <f>VLOOKUP($B60,'Data-PC'!$B$13:$AP$59,29,FALSE)</f>
        <v>6</v>
      </c>
      <c r="AG60">
        <f>VLOOKUP($B60,'Data-PC'!$B$13:$AP$59,30,FALSE)</f>
        <v>7.08</v>
      </c>
      <c r="AH60">
        <f>VLOOKUP($B60,'Data-PC'!$B$13:$AP$59,31,FALSE)*C60</f>
        <v>7.3765458</v>
      </c>
      <c r="AI60">
        <f>VLOOKUP($B60,'Data-PC'!$B$13:$AP$59,32,FALSE)</f>
        <v>13</v>
      </c>
      <c r="AJ60">
        <f>VLOOKUP($B60,'Data-PC'!$B$13:$AP$59,33,FALSE)</f>
        <v>0</v>
      </c>
      <c r="AK60">
        <f>VLOOKUP($B60,'Data-PC'!$B$13:$AP$59,34,FALSE)</f>
        <v>6</v>
      </c>
      <c r="AL60">
        <f>VLOOKUP($B60,'Data-PC'!$B$13:$AP$59,35,FALSE)</f>
        <v>10.92</v>
      </c>
      <c r="AM60">
        <f>VLOOKUP($B60,'Data-PC'!$B$13:$AP$59,36,FALSE)*C60</f>
        <v>11.3773842</v>
      </c>
      <c r="AN60">
        <f>VLOOKUP($B60,'Data-PC'!$B$13:$AP$59,37,FALSE)</f>
        <v>13</v>
      </c>
      <c r="AO60">
        <f>VLOOKUP($B60,'Data-PC'!$B$13:$AP$59,38,FALSE)</f>
        <v>0</v>
      </c>
      <c r="AP60">
        <f>VLOOKUP($B60,'Data-PC'!$B$13:$AP$59,39,FALSE)</f>
        <v>6</v>
      </c>
      <c r="AQ60">
        <f>VLOOKUP($B60,'Data-PC'!$B$13:$AP$59,40,FALSE)</f>
        <v>10.92</v>
      </c>
      <c r="AR60">
        <f>VLOOKUP($B60,'Data-PC'!$B$13:$AP$59,41,FALSE)*C60</f>
        <v>11.3773842</v>
      </c>
      <c r="AS60">
        <f>VLOOKUP($B60,'Data-PC'!$B$13:$AX$59,42,FALSE)</f>
        <v>0</v>
      </c>
      <c r="AT60">
        <f>VLOOKUP($B60,'Data-PC'!$B$13:$AX$59,43,FALSE)</f>
        <v>0</v>
      </c>
      <c r="AU60">
        <f>VLOOKUP($B60,'Data-PC'!$B$13:$AX$59,44,FALSE)</f>
        <v>1580</v>
      </c>
      <c r="AV60">
        <f>VLOOKUP($B60,'Data-PC'!$B$13:$AX$59,45,FALSE)*C60</f>
        <v>0</v>
      </c>
      <c r="AW60">
        <f>VLOOKUP($B60,'Data-PC'!$B$13:$AX$59,46,FALSE)</f>
        <v>0</v>
      </c>
      <c r="AX60">
        <f>VLOOKUP($B60,'Data-PC'!$B$13:$AX$59,47,FALSE)</f>
        <v>0</v>
      </c>
      <c r="AY60">
        <f>VLOOKUP($B60,'Data-PC'!$B$16:$AX$59,48,FALSE)</f>
        <v>0</v>
      </c>
      <c r="AZ60">
        <f>VLOOKUP($B60,'Data-PC'!$B$13:$AX$59,49,FALSE)*C60</f>
        <v>0</v>
      </c>
      <c r="BA60">
        <f>SUM(X60,AC60,AH60,AM60,AR60,AV60,AZ60)</f>
        <v>39.920865660000004</v>
      </c>
    </row>
    <row r="61">
      <c r="A61">
        <f>A60+1</f>
        <v>50</v>
      </c>
      <c r="B61" t="str">
        <v>PC.12</v>
      </c>
      <c r="C61">
        <v>1</v>
      </c>
      <c r="E61">
        <f>D61-(G61+$T$3)/1000</f>
        <v>-0.6</v>
      </c>
      <c r="F61">
        <f>VLOOKUP(B61,'Data-PC'!$B$13:$AP$36,15,FALSE)</f>
        <v>13.94</v>
      </c>
      <c r="G61">
        <f>VLOOKUP(B61,'Data-PC'!$B$13:$G$36,4,FALSE)</f>
        <v>600</v>
      </c>
      <c r="H61">
        <f>C61*VLOOKUP(B61,'Data-PC'!$B$13:$BC$36,18,FALSE)</f>
        <v>12</v>
      </c>
      <c r="I61">
        <f>C61*VLOOKUP(B61,'Data-PC'!$B$13:$BC$36,51,FALSE)</f>
        <v>0</v>
      </c>
      <c r="J61">
        <f>F61*C61*'Data-PC'!$D$5/1000</f>
        <v>0.697</v>
      </c>
      <c r="K61">
        <f>F61*('Data-PC'!$D$4/1000)*C61</f>
        <v>0</v>
      </c>
      <c r="L61">
        <f>C61*F61*($T$3-E61)</f>
        <v>8.363999999999999</v>
      </c>
      <c r="M61">
        <f>L61-(T61+J61)</f>
        <v>2.5189999999999992</v>
      </c>
      <c r="S61">
        <f>L61-M61</f>
        <v>5.845</v>
      </c>
      <c r="T61">
        <f>C61*VLOOKUP(B61,'Data-PC'!$B$13:$AP$36,16,FALSE)*(1+'Data-PC'!$T$3/100)</f>
        <v>5.148</v>
      </c>
      <c r="U61">
        <f>C61*VLOOKUP(B61,'Data-PC'!$B$13:$AP$36,17,FALSE)*(1+'Data-PC'!$T$5/100)</f>
        <v>7.08</v>
      </c>
      <c r="V61">
        <f>VLOOKUP($B61,'Data-PC'!$B$13:$AP$59,19,FALSE)</f>
        <v>1</v>
      </c>
      <c r="W61">
        <f>VLOOKUP($B61,'Data-PC'!$B$13:$AP$59,20,FALSE)</f>
        <v>13</v>
      </c>
      <c r="X61">
        <f>VLOOKUP($B61,'Data-PC'!$B$13:$AP$59,21,FALSE)*C61</f>
        <v>12.20672466</v>
      </c>
      <c r="Y61">
        <f>VLOOKUP($B61,'Data-PC'!$B$13:$AP$59,22,FALSE)</f>
        <v>16</v>
      </c>
      <c r="Z61">
        <f>VLOOKUP($B61,'Data-PC'!$B$13:$AP$59,23,FALSE)</f>
        <v>0</v>
      </c>
      <c r="AA61">
        <f>VLOOKUP($B61,'Data-PC'!$B$13:$AP$59,24,FALSE)</f>
        <v>29</v>
      </c>
      <c r="AB61">
        <f>VLOOKUP($B61,'Data-PC'!$B$13:$AP$59,25,FALSE)</f>
        <v>89.32</v>
      </c>
      <c r="AC61">
        <f>VLOOKUP($B61,'Data-PC'!$B$13:$AP$59,26,FALSE)*C61</f>
        <v>140.9683968</v>
      </c>
      <c r="AD61">
        <f>VLOOKUP($B61,'Data-PC'!$B$13:$AP$59,27,FALSE)</f>
        <v>16</v>
      </c>
      <c r="AE61">
        <f>VLOOKUP($B61,'Data-PC'!$B$13:$AP$59,28,FALSE)</f>
        <v>0</v>
      </c>
      <c r="AF61">
        <f>VLOOKUP($B61,'Data-PC'!$B$13:$AP$59,29,FALSE)</f>
        <v>20</v>
      </c>
      <c r="AG61">
        <f>VLOOKUP($B61,'Data-PC'!$B$13:$AP$59,30,FALSE)</f>
        <v>75.6</v>
      </c>
      <c r="AH61">
        <f>VLOOKUP($B61,'Data-PC'!$B$13:$AP$59,31,FALSE)*C61</f>
        <v>119.314944</v>
      </c>
      <c r="AI61">
        <f>VLOOKUP($B61,'Data-PC'!$B$13:$AP$59,32,FALSE)</f>
        <v>16</v>
      </c>
      <c r="AJ61">
        <f>VLOOKUP($B61,'Data-PC'!$B$13:$AP$59,33,FALSE)</f>
        <v>0</v>
      </c>
      <c r="AK61">
        <f>VLOOKUP($B61,'Data-PC'!$B$13:$AP$59,34,FALSE)</f>
        <v>29</v>
      </c>
      <c r="AL61">
        <f>VLOOKUP($B61,'Data-PC'!$B$13:$AP$59,35,FALSE)</f>
        <v>104.98</v>
      </c>
      <c r="AM61">
        <f>VLOOKUP($B61,'Data-PC'!$B$13:$AP$59,36,FALSE)*C61</f>
        <v>165.68363520000003</v>
      </c>
      <c r="AN61">
        <f>VLOOKUP($B61,'Data-PC'!$B$13:$AP$59,37,FALSE)</f>
        <v>16</v>
      </c>
      <c r="AO61">
        <f>VLOOKUP($B61,'Data-PC'!$B$13:$AP$59,38,FALSE)</f>
        <v>0</v>
      </c>
      <c r="AP61">
        <f>VLOOKUP($B61,'Data-PC'!$B$13:$AP$59,39,FALSE)</f>
        <v>20</v>
      </c>
      <c r="AQ61">
        <f>VLOOKUP($B61,'Data-PC'!$B$13:$AP$59,40,FALSE)</f>
        <v>86.4</v>
      </c>
      <c r="AR61">
        <f>VLOOKUP($B61,'Data-PC'!$B$13:$AP$59,41,FALSE)*C61</f>
        <v>136.359936</v>
      </c>
      <c r="AS61">
        <f>VLOOKUP($B61,'Data-PC'!$B$13:$AX$59,42,FALSE)</f>
        <v>0</v>
      </c>
      <c r="AT61">
        <f>VLOOKUP($B61,'Data-PC'!$B$13:$AX$59,43,FALSE)</f>
        <v>0</v>
      </c>
      <c r="AU61">
        <f>VLOOKUP($B61,'Data-PC'!$B$13:$AX$59,44,FALSE)</f>
        <v>1380</v>
      </c>
      <c r="AV61">
        <f>VLOOKUP($B61,'Data-PC'!$B$13:$AX$59,45,FALSE)*C61</f>
        <v>0</v>
      </c>
      <c r="AW61">
        <f>VLOOKUP($B61,'Data-PC'!$B$13:$AX$59,46,FALSE)</f>
        <v>0</v>
      </c>
      <c r="AX61">
        <f>VLOOKUP($B61,'Data-PC'!$B$13:$AX$59,47,FALSE)</f>
        <v>0</v>
      </c>
      <c r="AY61">
        <f>VLOOKUP($B61,'Data-PC'!$B$16:$AX$59,48,FALSE)</f>
        <v>0</v>
      </c>
      <c r="AZ61">
        <f>VLOOKUP($B61,'Data-PC'!$B$13:$AX$59,49,FALSE)*C61</f>
        <v>0</v>
      </c>
      <c r="BA61">
        <f>SUM(X61,AC61,AH61,AM61,AR61,AV61,AZ61)</f>
        <v>574.53363666</v>
      </c>
    </row>
    <row r="62">
      <c r="A62">
        <f>A61+1</f>
        <v>51</v>
      </c>
      <c r="B62" t="str">
        <v>PC.4</v>
      </c>
      <c r="C62">
        <v>1</v>
      </c>
      <c r="E62">
        <f>D62-(G62+$T$3)/1000</f>
        <v>-0.5</v>
      </c>
      <c r="F62">
        <f>VLOOKUP(B62,'Data-PC'!$B$13:$AP$36,15,FALSE)</f>
        <v>5.29</v>
      </c>
      <c r="G62">
        <f>VLOOKUP(B62,'Data-PC'!$B$13:$G$36,4,FALSE)</f>
        <v>500</v>
      </c>
      <c r="H62">
        <f>C62*VLOOKUP(B62,'Data-PC'!$B$13:$BC$36,18,FALSE)</f>
        <v>4</v>
      </c>
      <c r="I62">
        <f>C62*VLOOKUP(B62,'Data-PC'!$B$13:$BC$36,51,FALSE)</f>
        <v>0</v>
      </c>
      <c r="J62">
        <f>F62*C62*'Data-PC'!$D$5/1000</f>
        <v>0.2645</v>
      </c>
      <c r="K62">
        <f>F62*('Data-PC'!$D$4/1000)*C62</f>
        <v>0</v>
      </c>
      <c r="L62">
        <f>C62*F62*($T$3-E62)</f>
        <v>2.645</v>
      </c>
      <c r="M62">
        <f>L62-(T62+J62)</f>
        <v>1.2555</v>
      </c>
      <c r="S62">
        <f>L62-M62</f>
        <v>1.3895</v>
      </c>
      <c r="T62">
        <f>C62*VLOOKUP(B62,'Data-PC'!$B$13:$AP$36,16,FALSE)*(1+'Data-PC'!$T$3/100)</f>
        <v>1.125</v>
      </c>
      <c r="U62">
        <f>C62*VLOOKUP(B62,'Data-PC'!$B$13:$AP$36,17,FALSE)*(1+'Data-PC'!$T$5/100)</f>
        <v>3</v>
      </c>
      <c r="V62">
        <f>VLOOKUP($B62,'Data-PC'!$B$13:$AP$59,19,FALSE)</f>
        <v>1</v>
      </c>
      <c r="W62">
        <f>VLOOKUP($B62,'Data-PC'!$B$13:$AP$59,20,FALSE)</f>
        <v>10</v>
      </c>
      <c r="X62">
        <f>VLOOKUP($B62,'Data-PC'!$B$13:$AP$59,21,FALSE)*C62</f>
        <v>3.6435150000000003</v>
      </c>
      <c r="Y62">
        <f>VLOOKUP($B62,'Data-PC'!$B$13:$AP$59,22,FALSE)</f>
        <v>13</v>
      </c>
      <c r="Z62">
        <f>VLOOKUP($B62,'Data-PC'!$B$13:$AP$59,23,FALSE)</f>
        <v>0</v>
      </c>
      <c r="AA62">
        <f>VLOOKUP($B62,'Data-PC'!$B$13:$AP$59,24,FALSE)</f>
        <v>13</v>
      </c>
      <c r="AB62">
        <f>VLOOKUP($B62,'Data-PC'!$B$13:$AP$59,25,FALSE)</f>
        <v>24.44</v>
      </c>
      <c r="AC62">
        <f>VLOOKUP($B62,'Data-PC'!$B$13:$AP$59,26,FALSE)*C62</f>
        <v>25.4636694</v>
      </c>
      <c r="AD62">
        <f>VLOOKUP($B62,'Data-PC'!$B$13:$AP$59,27,FALSE)</f>
        <v>13</v>
      </c>
      <c r="AE62">
        <f>VLOOKUP($B62,'Data-PC'!$B$13:$AP$59,28,FALSE)</f>
        <v>0</v>
      </c>
      <c r="AF62">
        <f>VLOOKUP($B62,'Data-PC'!$B$13:$AP$59,29,FALSE)</f>
        <v>13</v>
      </c>
      <c r="AG62">
        <f>VLOOKUP($B62,'Data-PC'!$B$13:$AP$59,30,FALSE)</f>
        <v>24.44</v>
      </c>
      <c r="AH62">
        <f>VLOOKUP($B62,'Data-PC'!$B$13:$AP$59,31,FALSE)*C62</f>
        <v>25.4636694</v>
      </c>
      <c r="AI62">
        <f>VLOOKUP($B62,'Data-PC'!$B$13:$AP$59,32,FALSE)</f>
        <v>13</v>
      </c>
      <c r="AJ62">
        <f>VLOOKUP($B62,'Data-PC'!$B$13:$AP$59,33,FALSE)</f>
        <v>0</v>
      </c>
      <c r="AK62">
        <f>VLOOKUP($B62,'Data-PC'!$B$13:$AP$59,34,FALSE)</f>
        <v>13</v>
      </c>
      <c r="AL62">
        <f>VLOOKUP($B62,'Data-PC'!$B$13:$AP$59,35,FALSE)</f>
        <v>30.16</v>
      </c>
      <c r="AM62">
        <f>VLOOKUP($B62,'Data-PC'!$B$13:$AP$59,36,FALSE)*C62</f>
        <v>31.4232516</v>
      </c>
      <c r="AN62">
        <f>VLOOKUP($B62,'Data-PC'!$B$13:$AP$59,37,FALSE)</f>
        <v>13</v>
      </c>
      <c r="AO62">
        <f>VLOOKUP($B62,'Data-PC'!$B$13:$AP$59,38,FALSE)</f>
        <v>0</v>
      </c>
      <c r="AP62">
        <f>VLOOKUP($B62,'Data-PC'!$B$13:$AP$59,39,FALSE)</f>
        <v>13</v>
      </c>
      <c r="AQ62">
        <f>VLOOKUP($B62,'Data-PC'!$B$13:$AP$59,40,FALSE)</f>
        <v>30.16</v>
      </c>
      <c r="AR62">
        <f>VLOOKUP($B62,'Data-PC'!$B$13:$AP$59,41,FALSE)*C62</f>
        <v>31.4232516</v>
      </c>
      <c r="AS62">
        <f>VLOOKUP($B62,'Data-PC'!$B$13:$AX$59,42,FALSE)</f>
        <v>0</v>
      </c>
      <c r="AT62">
        <f>VLOOKUP($B62,'Data-PC'!$B$13:$AX$59,43,FALSE)</f>
        <v>0</v>
      </c>
      <c r="AU62">
        <f>VLOOKUP($B62,'Data-PC'!$B$13:$AX$59,44,FALSE)</f>
        <v>1180</v>
      </c>
      <c r="AV62">
        <f>VLOOKUP($B62,'Data-PC'!$B$13:$AX$59,45,FALSE)*C62</f>
        <v>0</v>
      </c>
      <c r="AW62">
        <f>VLOOKUP($B62,'Data-PC'!$B$13:$AX$59,46,FALSE)</f>
        <v>0</v>
      </c>
      <c r="AX62">
        <f>VLOOKUP($B62,'Data-PC'!$B$13:$AX$59,47,FALSE)</f>
        <v>0</v>
      </c>
      <c r="AY62">
        <f>VLOOKUP($B62,'Data-PC'!$B$16:$AX$59,48,FALSE)</f>
        <v>0</v>
      </c>
      <c r="AZ62">
        <f>VLOOKUP($B62,'Data-PC'!$B$13:$AX$59,49,FALSE)*C62</f>
        <v>0</v>
      </c>
      <c r="BA62">
        <f>SUM(X62,AC62,AH62,AM62,AR62,AV62,AZ62)</f>
        <v>117.417357</v>
      </c>
    </row>
    <row r="63">
      <c r="A63">
        <f>A62+1</f>
        <v>52</v>
      </c>
      <c r="B63" t="str">
        <v>PC.1A</v>
      </c>
      <c r="C63">
        <v>1</v>
      </c>
      <c r="E63">
        <f>D63-(G63+$T$3)/1000</f>
        <v>-0.7</v>
      </c>
      <c r="F63">
        <f>VLOOKUP(B63,'Data-PC'!$B$13:$AP$36,15,FALSE)</f>
        <v>1.96</v>
      </c>
      <c r="G63">
        <f>VLOOKUP(B63,'Data-PC'!$B$13:$G$36,4,FALSE)</f>
        <v>700</v>
      </c>
      <c r="H63">
        <f>C63*VLOOKUP(B63,'Data-PC'!$B$13:$BC$36,18,FALSE)</f>
        <v>1</v>
      </c>
      <c r="I63">
        <f>C63*VLOOKUP(B63,'Data-PC'!$B$13:$BC$36,51,FALSE)</f>
        <v>0</v>
      </c>
      <c r="J63">
        <f>F63*C63*'Data-PC'!$D$5/1000</f>
        <v>0.098</v>
      </c>
      <c r="K63">
        <f>F63*('Data-PC'!$D$4/1000)*C63</f>
        <v>0</v>
      </c>
      <c r="L63">
        <f>C63*F63*($T$3-E63)</f>
        <v>1.3719999999999999</v>
      </c>
      <c r="M63">
        <f>L63-(T63+J63)</f>
        <v>1.0219999999999998</v>
      </c>
      <c r="S63">
        <f>L63-M63</f>
        <v>0.3500000000000001</v>
      </c>
      <c r="T63">
        <f>C63*VLOOKUP(B63,'Data-PC'!$B$13:$AP$36,16,FALSE)*(1+'Data-PC'!$T$3/100)</f>
        <v>0.252</v>
      </c>
      <c r="U63">
        <f>C63*VLOOKUP(B63,'Data-PC'!$B$13:$AP$36,17,FALSE)*(1+'Data-PC'!$T$5/100)</f>
        <v>1.68</v>
      </c>
      <c r="V63">
        <f>VLOOKUP($B63,'Data-PC'!$B$13:$AP$59,19,FALSE)</f>
        <v>1</v>
      </c>
      <c r="W63">
        <f>VLOOKUP($B63,'Data-PC'!$B$13:$AP$59,20,FALSE)</f>
        <v>13</v>
      </c>
      <c r="X63">
        <f>VLOOKUP($B63,'Data-PC'!$B$13:$AP$59,21,FALSE)*C63</f>
        <v>2.41300566</v>
      </c>
      <c r="Y63">
        <f>VLOOKUP($B63,'Data-PC'!$B$13:$AP$59,22,FALSE)</f>
        <v>13</v>
      </c>
      <c r="Z63">
        <f>VLOOKUP($B63,'Data-PC'!$B$13:$AP$59,23,FALSE)</f>
        <v>0</v>
      </c>
      <c r="AA63">
        <f>VLOOKUP($B63,'Data-PC'!$B$13:$AP$59,24,FALSE)</f>
        <v>6</v>
      </c>
      <c r="AB63">
        <f>VLOOKUP($B63,'Data-PC'!$B$13:$AP$59,25,FALSE)</f>
        <v>7.08</v>
      </c>
      <c r="AC63">
        <f>VLOOKUP($B63,'Data-PC'!$B$13:$AP$59,26,FALSE)*C63</f>
        <v>7.3765458</v>
      </c>
      <c r="AD63">
        <f>VLOOKUP($B63,'Data-PC'!$B$13:$AP$59,27,FALSE)</f>
        <v>13</v>
      </c>
      <c r="AE63">
        <f>VLOOKUP($B63,'Data-PC'!$B$13:$AP$59,28,FALSE)</f>
        <v>0</v>
      </c>
      <c r="AF63">
        <f>VLOOKUP($B63,'Data-PC'!$B$13:$AP$59,29,FALSE)</f>
        <v>6</v>
      </c>
      <c r="AG63">
        <f>VLOOKUP($B63,'Data-PC'!$B$13:$AP$59,30,FALSE)</f>
        <v>7.08</v>
      </c>
      <c r="AH63">
        <f>VLOOKUP($B63,'Data-PC'!$B$13:$AP$59,31,FALSE)*C63</f>
        <v>7.3765458</v>
      </c>
      <c r="AI63">
        <f>VLOOKUP($B63,'Data-PC'!$B$13:$AP$59,32,FALSE)</f>
        <v>13</v>
      </c>
      <c r="AJ63">
        <f>VLOOKUP($B63,'Data-PC'!$B$13:$AP$59,33,FALSE)</f>
        <v>0</v>
      </c>
      <c r="AK63">
        <f>VLOOKUP($B63,'Data-PC'!$B$13:$AP$59,34,FALSE)</f>
        <v>6</v>
      </c>
      <c r="AL63">
        <f>VLOOKUP($B63,'Data-PC'!$B$13:$AP$59,35,FALSE)</f>
        <v>10.92</v>
      </c>
      <c r="AM63">
        <f>VLOOKUP($B63,'Data-PC'!$B$13:$AP$59,36,FALSE)*C63</f>
        <v>11.3773842</v>
      </c>
      <c r="AN63">
        <f>VLOOKUP($B63,'Data-PC'!$B$13:$AP$59,37,FALSE)</f>
        <v>13</v>
      </c>
      <c r="AO63">
        <f>VLOOKUP($B63,'Data-PC'!$B$13:$AP$59,38,FALSE)</f>
        <v>0</v>
      </c>
      <c r="AP63">
        <f>VLOOKUP($B63,'Data-PC'!$B$13:$AP$59,39,FALSE)</f>
        <v>6</v>
      </c>
      <c r="AQ63">
        <f>VLOOKUP($B63,'Data-PC'!$B$13:$AP$59,40,FALSE)</f>
        <v>10.92</v>
      </c>
      <c r="AR63">
        <f>VLOOKUP($B63,'Data-PC'!$B$13:$AP$59,41,FALSE)*C63</f>
        <v>11.3773842</v>
      </c>
      <c r="AS63">
        <f>VLOOKUP($B63,'Data-PC'!$B$13:$AX$59,42,FALSE)</f>
        <v>0</v>
      </c>
      <c r="AT63">
        <f>VLOOKUP($B63,'Data-PC'!$B$13:$AX$59,43,FALSE)</f>
        <v>0</v>
      </c>
      <c r="AU63">
        <f>VLOOKUP($B63,'Data-PC'!$B$13:$AX$59,44,FALSE)</f>
        <v>1580</v>
      </c>
      <c r="AV63">
        <f>VLOOKUP($B63,'Data-PC'!$B$13:$AX$59,45,FALSE)*C63</f>
        <v>0</v>
      </c>
      <c r="AW63">
        <f>VLOOKUP($B63,'Data-PC'!$B$13:$AX$59,46,FALSE)</f>
        <v>0</v>
      </c>
      <c r="AX63">
        <f>VLOOKUP($B63,'Data-PC'!$B$13:$AX$59,47,FALSE)</f>
        <v>0</v>
      </c>
      <c r="AY63">
        <f>VLOOKUP($B63,'Data-PC'!$B$16:$AX$59,48,FALSE)</f>
        <v>0</v>
      </c>
      <c r="AZ63">
        <f>VLOOKUP($B63,'Data-PC'!$B$13:$AX$59,49,FALSE)*C63</f>
        <v>0</v>
      </c>
      <c r="BA63">
        <f>SUM(X63,AC63,AH63,AM63,AR63,AV63,AZ63)</f>
        <v>39.920865660000004</v>
      </c>
    </row>
    <row r="64">
      <c r="A64" t="str">
        <v>52A</v>
      </c>
      <c r="B64" t="str">
        <v>PC.1</v>
      </c>
      <c r="C64">
        <v>1</v>
      </c>
      <c r="E64">
        <f>D64-(G64+$T$3)/1000</f>
        <v>-0.5</v>
      </c>
      <c r="F64">
        <f>VLOOKUP(B64,'Data-PC'!$B$13:$AP$36,15,FALSE)</f>
        <v>1.96</v>
      </c>
      <c r="G64">
        <f>VLOOKUP(B64,'Data-PC'!$B$13:$G$36,4,FALSE)</f>
        <v>500</v>
      </c>
      <c r="H64">
        <f>C64*VLOOKUP(B64,'Data-PC'!$B$13:$BC$36,18,FALSE)</f>
        <v>1</v>
      </c>
      <c r="I64">
        <f>C64*VLOOKUP(B64,'Data-PC'!$B$13:$BC$36,51,FALSE)</f>
        <v>0</v>
      </c>
      <c r="J64">
        <f>F64*C64*'Data-PC'!$D$5/1000</f>
        <v>0.098</v>
      </c>
      <c r="K64">
        <f>F64*('Data-PC'!$D$4/1000)*C64</f>
        <v>0</v>
      </c>
      <c r="L64">
        <f>C64*F64*($T$3-E64)</f>
        <v>0.98</v>
      </c>
      <c r="M64">
        <f>L64-(T64+J64)</f>
        <v>0.702</v>
      </c>
      <c r="S64">
        <f>L64-M64</f>
        <v>0.278</v>
      </c>
      <c r="T64">
        <f>C64*VLOOKUP(B64,'Data-PC'!$B$13:$AP$36,16,FALSE)*(1+'Data-PC'!$T$3/100)</f>
        <v>0.18</v>
      </c>
      <c r="U64">
        <f>C64*VLOOKUP(B64,'Data-PC'!$B$13:$AP$36,17,FALSE)*(1+'Data-PC'!$T$5/100)</f>
        <v>1.2</v>
      </c>
      <c r="V64">
        <f>VLOOKUP($B64,'Data-PC'!$B$13:$AP$59,19,FALSE)</f>
        <v>1</v>
      </c>
      <c r="W64">
        <f>VLOOKUP($B64,'Data-PC'!$B$13:$AP$59,20,FALSE)</f>
        <v>10</v>
      </c>
      <c r="X64">
        <f>VLOOKUP($B64,'Data-PC'!$B$13:$AP$59,21,FALSE)*C64</f>
        <v>1.4241150000000002</v>
      </c>
      <c r="Y64">
        <f>VLOOKUP($B64,'Data-PC'!$B$13:$AP$59,22,FALSE)</f>
        <v>13</v>
      </c>
      <c r="Z64">
        <f>VLOOKUP($B64,'Data-PC'!$B$13:$AP$59,23,FALSE)</f>
        <v>0</v>
      </c>
      <c r="AA64">
        <f>VLOOKUP($B64,'Data-PC'!$B$13:$AP$59,24,FALSE)</f>
        <v>5</v>
      </c>
      <c r="AB64">
        <f>VLOOKUP($B64,'Data-PC'!$B$13:$AP$59,25,FALSE)</f>
        <v>4.9</v>
      </c>
      <c r="AC64">
        <f>VLOOKUP($B64,'Data-PC'!$B$13:$AP$59,26,FALSE)*C64</f>
        <v>5.1052365</v>
      </c>
      <c r="AD64">
        <f>VLOOKUP($B64,'Data-PC'!$B$13:$AP$59,27,FALSE)</f>
        <v>13</v>
      </c>
      <c r="AE64">
        <f>VLOOKUP($B64,'Data-PC'!$B$13:$AP$59,28,FALSE)</f>
        <v>0</v>
      </c>
      <c r="AF64">
        <f>VLOOKUP($B64,'Data-PC'!$B$13:$AP$59,29,FALSE)</f>
        <v>5</v>
      </c>
      <c r="AG64">
        <f>VLOOKUP($B64,'Data-PC'!$B$13:$AP$59,30,FALSE)</f>
        <v>4.9</v>
      </c>
      <c r="AH64">
        <f>VLOOKUP($B64,'Data-PC'!$B$13:$AP$59,31,FALSE)*C64</f>
        <v>5.1052365</v>
      </c>
      <c r="AI64">
        <f>VLOOKUP($B64,'Data-PC'!$B$13:$AP$59,32,FALSE)</f>
        <v>13</v>
      </c>
      <c r="AJ64">
        <f>VLOOKUP($B64,'Data-PC'!$B$13:$AP$59,33,FALSE)</f>
        <v>0</v>
      </c>
      <c r="AK64">
        <f>VLOOKUP($B64,'Data-PC'!$B$13:$AP$59,34,FALSE)</f>
        <v>5</v>
      </c>
      <c r="AL64">
        <f>VLOOKUP($B64,'Data-PC'!$B$13:$AP$59,35,FALSE)</f>
        <v>7.1</v>
      </c>
      <c r="AM64">
        <f>VLOOKUP($B64,'Data-PC'!$B$13:$AP$59,36,FALSE)*C64</f>
        <v>7.397383499999999</v>
      </c>
      <c r="AN64">
        <f>VLOOKUP($B64,'Data-PC'!$B$13:$AP$59,37,FALSE)</f>
        <v>13</v>
      </c>
      <c r="AO64">
        <f>VLOOKUP($B64,'Data-PC'!$B$13:$AP$59,38,FALSE)</f>
        <v>0</v>
      </c>
      <c r="AP64">
        <f>VLOOKUP($B64,'Data-PC'!$B$13:$AP$59,39,FALSE)</f>
        <v>5</v>
      </c>
      <c r="AQ64">
        <f>VLOOKUP($B64,'Data-PC'!$B$13:$AP$59,40,FALSE)</f>
        <v>7.1</v>
      </c>
      <c r="AR64">
        <f>VLOOKUP($B64,'Data-PC'!$B$13:$AP$59,41,FALSE)*C64</f>
        <v>7.397383499999999</v>
      </c>
      <c r="AS64">
        <f>VLOOKUP($B64,'Data-PC'!$B$13:$AX$59,42,FALSE)</f>
        <v>0</v>
      </c>
      <c r="AT64">
        <f>VLOOKUP($B64,'Data-PC'!$B$13:$AX$59,43,FALSE)</f>
        <v>0</v>
      </c>
      <c r="AU64">
        <f>VLOOKUP($B64,'Data-PC'!$B$13:$AX$59,44,FALSE)</f>
        <v>1180</v>
      </c>
      <c r="AV64">
        <f>VLOOKUP($B64,'Data-PC'!$B$13:$AX$59,45,FALSE)*C64</f>
        <v>0</v>
      </c>
      <c r="AW64">
        <f>VLOOKUP($B64,'Data-PC'!$B$13:$AX$59,46,FALSE)</f>
        <v>0</v>
      </c>
      <c r="AX64">
        <f>VLOOKUP($B64,'Data-PC'!$B$13:$AX$59,47,FALSE)</f>
        <v>0</v>
      </c>
      <c r="AY64">
        <f>VLOOKUP($B64,'Data-PC'!$B$16:$AX$59,48,FALSE)</f>
        <v>0</v>
      </c>
      <c r="AZ64">
        <f>VLOOKUP($B64,'Data-PC'!$B$13:$AX$59,49,FALSE)*C64</f>
        <v>0</v>
      </c>
      <c r="BA64">
        <f>SUM(X64,AC64,AH64,AM64,AR64,AV64,AZ64)</f>
        <v>26.429355</v>
      </c>
    </row>
    <row r="65">
      <c r="A65">
        <v>53</v>
      </c>
      <c r="B65" t="str">
        <v>PC.1</v>
      </c>
      <c r="C65">
        <v>1</v>
      </c>
      <c r="E65">
        <f>D65-(G65+$T$3)/1000</f>
        <v>-0.5</v>
      </c>
      <c r="F65">
        <f>VLOOKUP(B65,'Data-PC'!$B$13:$AP$36,15,FALSE)</f>
        <v>1.96</v>
      </c>
      <c r="G65">
        <f>VLOOKUP(B65,'Data-PC'!$B$13:$G$36,4,FALSE)</f>
        <v>500</v>
      </c>
      <c r="H65">
        <f>C65*VLOOKUP(B65,'Data-PC'!$B$13:$BC$36,18,FALSE)</f>
        <v>1</v>
      </c>
      <c r="I65">
        <f>C65*VLOOKUP(B65,'Data-PC'!$B$13:$BC$36,51,FALSE)</f>
        <v>0</v>
      </c>
      <c r="J65">
        <f>F65*C65*'Data-PC'!$D$5/1000</f>
        <v>0.098</v>
      </c>
      <c r="K65">
        <f>F65*('Data-PC'!$D$4/1000)*C65</f>
        <v>0</v>
      </c>
      <c r="L65">
        <f>C65*F65*($T$3-E65)</f>
        <v>0.98</v>
      </c>
      <c r="M65">
        <f>L65-(T65+J65)</f>
        <v>0.702</v>
      </c>
      <c r="S65">
        <f>L65-M65</f>
        <v>0.278</v>
      </c>
      <c r="T65">
        <f>C65*VLOOKUP(B65,'Data-PC'!$B$13:$AP$36,16,FALSE)*(1+'Data-PC'!$T$3/100)</f>
        <v>0.18</v>
      </c>
      <c r="U65">
        <f>C65*VLOOKUP(B65,'Data-PC'!$B$13:$AP$36,17,FALSE)*(1+'Data-PC'!$T$5/100)</f>
        <v>1.2</v>
      </c>
      <c r="V65">
        <f>VLOOKUP($B65,'Data-PC'!$B$13:$AP$59,19,FALSE)</f>
        <v>1</v>
      </c>
      <c r="W65">
        <f>VLOOKUP($B65,'Data-PC'!$B$13:$AP$59,20,FALSE)</f>
        <v>10</v>
      </c>
      <c r="X65">
        <f>VLOOKUP($B65,'Data-PC'!$B$13:$AP$59,21,FALSE)*C65</f>
        <v>1.4241150000000002</v>
      </c>
      <c r="Y65">
        <f>VLOOKUP($B65,'Data-PC'!$B$13:$AP$59,22,FALSE)</f>
        <v>13</v>
      </c>
      <c r="Z65">
        <f>VLOOKUP($B65,'Data-PC'!$B$13:$AP$59,23,FALSE)</f>
        <v>0</v>
      </c>
      <c r="AA65">
        <f>VLOOKUP($B65,'Data-PC'!$B$13:$AP$59,24,FALSE)</f>
        <v>5</v>
      </c>
      <c r="AB65">
        <f>VLOOKUP($B65,'Data-PC'!$B$13:$AP$59,25,FALSE)</f>
        <v>4.9</v>
      </c>
      <c r="AC65">
        <f>VLOOKUP($B65,'Data-PC'!$B$13:$AP$59,26,FALSE)*C65</f>
        <v>5.1052365</v>
      </c>
      <c r="AD65">
        <f>VLOOKUP($B65,'Data-PC'!$B$13:$AP$59,27,FALSE)</f>
        <v>13</v>
      </c>
      <c r="AE65">
        <f>VLOOKUP($B65,'Data-PC'!$B$13:$AP$59,28,FALSE)</f>
        <v>0</v>
      </c>
      <c r="AF65">
        <f>VLOOKUP($B65,'Data-PC'!$B$13:$AP$59,29,FALSE)</f>
        <v>5</v>
      </c>
      <c r="AG65">
        <f>VLOOKUP($B65,'Data-PC'!$B$13:$AP$59,30,FALSE)</f>
        <v>4.9</v>
      </c>
      <c r="AH65">
        <f>VLOOKUP($B65,'Data-PC'!$B$13:$AP$59,31,FALSE)*C65</f>
        <v>5.1052365</v>
      </c>
      <c r="AI65">
        <f>VLOOKUP($B65,'Data-PC'!$B$13:$AP$59,32,FALSE)</f>
        <v>13</v>
      </c>
      <c r="AJ65">
        <f>VLOOKUP($B65,'Data-PC'!$B$13:$AP$59,33,FALSE)</f>
        <v>0</v>
      </c>
      <c r="AK65">
        <f>VLOOKUP($B65,'Data-PC'!$B$13:$AP$59,34,FALSE)</f>
        <v>5</v>
      </c>
      <c r="AL65">
        <f>VLOOKUP($B65,'Data-PC'!$B$13:$AP$59,35,FALSE)</f>
        <v>7.1</v>
      </c>
      <c r="AM65">
        <f>VLOOKUP($B65,'Data-PC'!$B$13:$AP$59,36,FALSE)*C65</f>
        <v>7.397383499999999</v>
      </c>
      <c r="AN65">
        <f>VLOOKUP($B65,'Data-PC'!$B$13:$AP$59,37,FALSE)</f>
        <v>13</v>
      </c>
      <c r="AO65">
        <f>VLOOKUP($B65,'Data-PC'!$B$13:$AP$59,38,FALSE)</f>
        <v>0</v>
      </c>
      <c r="AP65">
        <f>VLOOKUP($B65,'Data-PC'!$B$13:$AP$59,39,FALSE)</f>
        <v>5</v>
      </c>
      <c r="AQ65">
        <f>VLOOKUP($B65,'Data-PC'!$B$13:$AP$59,40,FALSE)</f>
        <v>7.1</v>
      </c>
      <c r="AR65">
        <f>VLOOKUP($B65,'Data-PC'!$B$13:$AP$59,41,FALSE)*C65</f>
        <v>7.397383499999999</v>
      </c>
      <c r="AS65">
        <f>VLOOKUP($B65,'Data-PC'!$B$13:$AX$59,42,FALSE)</f>
        <v>0</v>
      </c>
      <c r="AT65">
        <f>VLOOKUP($B65,'Data-PC'!$B$13:$AX$59,43,FALSE)</f>
        <v>0</v>
      </c>
      <c r="AU65">
        <f>VLOOKUP($B65,'Data-PC'!$B$13:$AX$59,44,FALSE)</f>
        <v>1180</v>
      </c>
      <c r="AV65">
        <f>VLOOKUP($B65,'Data-PC'!$B$13:$AX$59,45,FALSE)*C65</f>
        <v>0</v>
      </c>
      <c r="AW65">
        <f>VLOOKUP($B65,'Data-PC'!$B$13:$AX$59,46,FALSE)</f>
        <v>0</v>
      </c>
      <c r="AX65">
        <f>VLOOKUP($B65,'Data-PC'!$B$13:$AX$59,47,FALSE)</f>
        <v>0</v>
      </c>
      <c r="AY65">
        <f>VLOOKUP($B65,'Data-PC'!$B$16:$AX$59,48,FALSE)</f>
        <v>0</v>
      </c>
      <c r="AZ65">
        <f>VLOOKUP($B65,'Data-PC'!$B$13:$AX$59,49,FALSE)*C65</f>
        <v>0</v>
      </c>
      <c r="BA65">
        <f>SUM(X65,AC65,AH65,AM65,AR65,AV65,AZ65)</f>
        <v>26.429355</v>
      </c>
    </row>
    <row r="66">
      <c r="A66">
        <f>A65+1</f>
        <v>54</v>
      </c>
      <c r="B66" t="str">
        <v>PC.3</v>
      </c>
      <c r="C66">
        <v>1</v>
      </c>
      <c r="E66">
        <f>D66-(G66+$T$3)/1000</f>
        <v>-0.6</v>
      </c>
      <c r="F66">
        <f>VLOOKUP(B66,'Data-PC'!$B$13:$AP$36,15,FALSE)</f>
        <v>4.439</v>
      </c>
      <c r="G66">
        <f>VLOOKUP(B66,'Data-PC'!$B$13:$G$36,4,FALSE)</f>
        <v>600</v>
      </c>
      <c r="H66">
        <f>C66*VLOOKUP(B66,'Data-PC'!$B$13:$BC$36,18,FALSE)</f>
        <v>3</v>
      </c>
      <c r="I66">
        <f>C66*VLOOKUP(B66,'Data-PC'!$B$13:$BC$36,51,FALSE)</f>
        <v>0</v>
      </c>
      <c r="J66">
        <f>F66*C66*'Data-PC'!$D$5/1000</f>
        <v>0.22194999999999998</v>
      </c>
      <c r="K66">
        <f>F66*('Data-PC'!$D$4/1000)*C66</f>
        <v>0</v>
      </c>
      <c r="L66">
        <f>C66*F66*($T$3-E66)</f>
        <v>2.6633999999999998</v>
      </c>
      <c r="M66">
        <f>L66-(T66+J66)</f>
        <v>1.5444499999999997</v>
      </c>
      <c r="S66">
        <f>L66-M66</f>
        <v>1.1189500000000001</v>
      </c>
      <c r="T66">
        <f>C66*VLOOKUP(B66,'Data-PC'!$B$13:$AP$36,16,FALSE)*(1+'Data-PC'!$T$3/100)</f>
        <v>0.8970000000000001</v>
      </c>
      <c r="U66">
        <f>C66*VLOOKUP(B66,'Data-PC'!$B$13:$AP$36,17,FALSE)*(1+'Data-PC'!$T$5/100)</f>
        <v>2.9502326394071194</v>
      </c>
      <c r="V66">
        <f>VLOOKUP($B66,'Data-PC'!$B$13:$AP$59,19,FALSE)</f>
        <v>1</v>
      </c>
      <c r="W66">
        <f>VLOOKUP($B66,'Data-PC'!$B$13:$AP$59,20,FALSE)</f>
        <v>13</v>
      </c>
      <c r="X66">
        <f>VLOOKUP($B66,'Data-PC'!$B$13:$AP$59,21,FALSE)*C66</f>
        <v>4.9104606825144765</v>
      </c>
      <c r="Y66">
        <f>VLOOKUP($B66,'Data-PC'!$B$13:$AP$59,22,FALSE)</f>
        <v>13</v>
      </c>
      <c r="Z66">
        <f>VLOOKUP($B66,'Data-PC'!$B$13:$AP$59,23,FALSE)</f>
        <v>130</v>
      </c>
      <c r="AA66">
        <f>VLOOKUP($B66,'Data-PC'!$B$13:$AP$59,24,FALSE)</f>
        <v>12</v>
      </c>
      <c r="AB66">
        <f>VLOOKUP($B66,'Data-PC'!$B$13:$AP$59,25,FALSE)</f>
        <v>23.445</v>
      </c>
      <c r="AC66">
        <f>VLOOKUP($B66,'Data-PC'!$B$13:$AP$59,26,FALSE)*C66</f>
        <v>24.426993825</v>
      </c>
      <c r="AD66">
        <f>VLOOKUP($B66,'Data-PC'!$B$13:$AP$59,27,FALSE)</f>
        <v>13</v>
      </c>
      <c r="AE66">
        <f>VLOOKUP($B66,'Data-PC'!$B$13:$AP$59,28,FALSE)</f>
        <v>130</v>
      </c>
      <c r="AF66">
        <f>VLOOKUP($B66,'Data-PC'!$B$13:$AP$59,29,FALSE)</f>
        <v>13</v>
      </c>
      <c r="AG66">
        <f>VLOOKUP($B66,'Data-PC'!$B$13:$AP$59,30,FALSE)</f>
        <v>18.32</v>
      </c>
      <c r="AH66">
        <f>VLOOKUP($B66,'Data-PC'!$B$13:$AP$59,31,FALSE)*C66</f>
        <v>19.0873332</v>
      </c>
      <c r="AI66">
        <f>VLOOKUP($B66,'Data-PC'!$B$13:$AP$59,32,FALSE)</f>
        <v>13</v>
      </c>
      <c r="AJ66">
        <f>VLOOKUP($B66,'Data-PC'!$B$13:$AP$59,33,FALSE)</f>
        <v>130</v>
      </c>
      <c r="AK66">
        <f>VLOOKUP($B66,'Data-PC'!$B$13:$AP$59,34,FALSE)</f>
        <v>12</v>
      </c>
      <c r="AL66">
        <f>VLOOKUP($B66,'Data-PC'!$B$13:$AP$59,35,FALSE)</f>
        <v>25.065</v>
      </c>
      <c r="AM66">
        <f>VLOOKUP($B66,'Data-PC'!$B$13:$AP$59,36,FALSE)*C66</f>
        <v>26.114847525000002</v>
      </c>
      <c r="AN66">
        <f>VLOOKUP($B66,'Data-PC'!$B$13:$AP$59,37,FALSE)</f>
        <v>13</v>
      </c>
      <c r="AO66">
        <f>VLOOKUP($B66,'Data-PC'!$B$13:$AP$59,38,FALSE)</f>
        <v>130</v>
      </c>
      <c r="AP66">
        <f>VLOOKUP($B66,'Data-PC'!$B$13:$AP$59,39,FALSE)</f>
        <v>13</v>
      </c>
      <c r="AQ66">
        <f>VLOOKUP($B66,'Data-PC'!$B$13:$AP$59,40,FALSE)</f>
        <v>24.8</v>
      </c>
      <c r="AR66">
        <f>VLOOKUP($B66,'Data-PC'!$B$13:$AP$59,41,FALSE)*C66</f>
        <v>25.838748</v>
      </c>
      <c r="AS66">
        <f>VLOOKUP($B66,'Data-PC'!$B$13:$AX$59,42,FALSE)</f>
        <v>0</v>
      </c>
      <c r="AT66">
        <f>VLOOKUP($B66,'Data-PC'!$B$13:$AX$59,43,FALSE)</f>
        <v>0</v>
      </c>
      <c r="AU66">
        <f>VLOOKUP($B66,'Data-PC'!$B$13:$AX$59,44,FALSE)</f>
        <v>1380</v>
      </c>
      <c r="AV66">
        <f>VLOOKUP($B66,'Data-PC'!$B$13:$AX$59,45,FALSE)*C66</f>
        <v>0</v>
      </c>
      <c r="AW66">
        <f>VLOOKUP($B66,'Data-PC'!$B$13:$AX$59,46,FALSE)</f>
        <v>0</v>
      </c>
      <c r="AX66">
        <f>VLOOKUP($B66,'Data-PC'!$B$13:$AX$59,47,FALSE)</f>
        <v>0</v>
      </c>
      <c r="AY66">
        <f>VLOOKUP($B66,'Data-PC'!$B$16:$AX$59,48,FALSE)</f>
        <v>0</v>
      </c>
      <c r="AZ66">
        <f>VLOOKUP($B66,'Data-PC'!$B$13:$AX$59,49,FALSE)*C66</f>
        <v>0</v>
      </c>
      <c r="BA66">
        <f>SUM(X66,AC66,AH66,AM66,AR66,AV66,AZ66)</f>
        <v>100.37838323251448</v>
      </c>
    </row>
    <row r="67">
      <c r="A67">
        <f>A66+1</f>
        <v>55</v>
      </c>
      <c r="B67" t="str">
        <v>PC.5</v>
      </c>
      <c r="C67">
        <v>1</v>
      </c>
      <c r="E67">
        <f>D67-(G67+$T$3)/1000</f>
        <v>-0.6</v>
      </c>
      <c r="F67">
        <f>VLOOKUP(B67,'Data-PC'!$B$13:$AP$36,15,FALSE)</f>
        <v>7.155625</v>
      </c>
      <c r="G67">
        <f>VLOOKUP(B67,'Data-PC'!$B$13:$G$36,4,FALSE)</f>
        <v>600</v>
      </c>
      <c r="H67">
        <f>C67*VLOOKUP(B67,'Data-PC'!$B$13:$BC$36,18,FALSE)</f>
        <v>5</v>
      </c>
      <c r="I67">
        <f>C67*VLOOKUP(B67,'Data-PC'!$B$13:$BC$36,51,FALSE)</f>
        <v>0</v>
      </c>
      <c r="J67">
        <f>F67*C67*'Data-PC'!$D$5/1000</f>
        <v>0.35778125</v>
      </c>
      <c r="K67">
        <f>F67*('Data-PC'!$D$4/1000)*C67</f>
        <v>0</v>
      </c>
      <c r="L67">
        <f>C67*F67*($T$3-E67)</f>
        <v>4.293374999999999</v>
      </c>
      <c r="M67">
        <f>L67-(T67+J67)</f>
        <v>1.8262187499999993</v>
      </c>
      <c r="S67">
        <f>L67-M67</f>
        <v>2.46715625</v>
      </c>
      <c r="T67">
        <f>C67*VLOOKUP(B67,'Data-PC'!$B$13:$AP$36,16,FALSE)*(1+'Data-PC'!$T$3/100)</f>
        <v>2.109375</v>
      </c>
      <c r="U67">
        <f>C67*VLOOKUP(B67,'Data-PC'!$B$13:$AP$36,17,FALSE)*(1+'Data-PC'!$T$5/100)</f>
        <v>4.5</v>
      </c>
      <c r="V67">
        <f>VLOOKUP($B67,'Data-PC'!$B$13:$AP$59,19,FALSE)</f>
        <v>1</v>
      </c>
      <c r="W67">
        <f>VLOOKUP($B67,'Data-PC'!$B$13:$AP$59,20,FALSE)</f>
        <v>13</v>
      </c>
      <c r="X67">
        <f>VLOOKUP($B67,'Data-PC'!$B$13:$AP$59,21,FALSE)*C67</f>
        <v>7.726619159999999</v>
      </c>
      <c r="Y67">
        <f>VLOOKUP($B67,'Data-PC'!$B$13:$AP$59,22,FALSE)</f>
        <v>13</v>
      </c>
      <c r="Z67">
        <f>VLOOKUP($B67,'Data-PC'!$B$13:$AP$59,23,FALSE)</f>
        <v>0</v>
      </c>
      <c r="AA67">
        <f>VLOOKUP($B67,'Data-PC'!$B$13:$AP$59,24,FALSE)</f>
        <v>11</v>
      </c>
      <c r="AB67">
        <f>VLOOKUP($B67,'Data-PC'!$B$13:$AP$59,25,FALSE)</f>
        <v>25.905</v>
      </c>
      <c r="AC67">
        <f>VLOOKUP($B67,'Data-PC'!$B$13:$AP$59,26,FALSE)*C67</f>
        <v>26.990030925</v>
      </c>
      <c r="AD67">
        <f>VLOOKUP($B67,'Data-PC'!$B$13:$AP$59,27,FALSE)</f>
        <v>13</v>
      </c>
      <c r="AE67">
        <f>VLOOKUP($B67,'Data-PC'!$B$13:$AP$59,28,FALSE)</f>
        <v>0</v>
      </c>
      <c r="AF67">
        <f>VLOOKUP($B67,'Data-PC'!$B$13:$AP$59,29,FALSE)</f>
        <v>11</v>
      </c>
      <c r="AG67">
        <f>VLOOKUP($B67,'Data-PC'!$B$13:$AP$59,30,FALSE)</f>
        <v>25.905</v>
      </c>
      <c r="AH67">
        <f>VLOOKUP($B67,'Data-PC'!$B$13:$AP$59,31,FALSE)*C67</f>
        <v>26.990030925</v>
      </c>
      <c r="AI67">
        <f>VLOOKUP($B67,'Data-PC'!$B$13:$AP$59,32,FALSE)</f>
        <v>16</v>
      </c>
      <c r="AJ67">
        <f>VLOOKUP($B67,'Data-PC'!$B$13:$AP$59,33,FALSE)</f>
        <v>0</v>
      </c>
      <c r="AK67">
        <f>VLOOKUP($B67,'Data-PC'!$B$13:$AP$59,34,FALSE)</f>
        <v>11</v>
      </c>
      <c r="AL67">
        <f>VLOOKUP($B67,'Data-PC'!$B$13:$AP$59,35,FALSE)</f>
        <v>31.845</v>
      </c>
      <c r="AM67">
        <f>VLOOKUP($B67,'Data-PC'!$B$13:$AP$59,36,FALSE)*C67</f>
        <v>50.2590528</v>
      </c>
      <c r="AN67">
        <f>VLOOKUP($B67,'Data-PC'!$B$13:$AP$59,37,FALSE)</f>
        <v>16</v>
      </c>
      <c r="AO67">
        <f>VLOOKUP($B67,'Data-PC'!$B$13:$AP$59,38,FALSE)</f>
        <v>0</v>
      </c>
      <c r="AP67">
        <f>VLOOKUP($B67,'Data-PC'!$B$13:$AP$59,39,FALSE)</f>
        <v>11</v>
      </c>
      <c r="AQ67">
        <f>VLOOKUP($B67,'Data-PC'!$B$13:$AP$59,40,FALSE)</f>
        <v>31.845</v>
      </c>
      <c r="AR67">
        <f>VLOOKUP($B67,'Data-PC'!$B$13:$AP$59,41,FALSE)*C67</f>
        <v>50.2590528</v>
      </c>
      <c r="AS67">
        <f>VLOOKUP($B67,'Data-PC'!$B$13:$AX$59,42,FALSE)</f>
        <v>0</v>
      </c>
      <c r="AT67">
        <f>VLOOKUP($B67,'Data-PC'!$B$13:$AX$59,43,FALSE)</f>
        <v>0</v>
      </c>
      <c r="AU67">
        <f>VLOOKUP($B67,'Data-PC'!$B$13:$AX$59,44,FALSE)</f>
        <v>1380</v>
      </c>
      <c r="AV67">
        <f>VLOOKUP($B67,'Data-PC'!$B$13:$AX$59,45,FALSE)*C67</f>
        <v>0</v>
      </c>
      <c r="AW67">
        <f>VLOOKUP($B67,'Data-PC'!$B$13:$AX$59,46,FALSE)</f>
        <v>0</v>
      </c>
      <c r="AX67">
        <f>VLOOKUP($B67,'Data-PC'!$B$13:$AX$59,47,FALSE)</f>
        <v>0</v>
      </c>
      <c r="AY67">
        <f>VLOOKUP($B67,'Data-PC'!$B$16:$AX$59,48,FALSE)</f>
        <v>0</v>
      </c>
      <c r="AZ67">
        <f>VLOOKUP($B67,'Data-PC'!$B$13:$AX$59,49,FALSE)*C67</f>
        <v>0</v>
      </c>
      <c r="BA67">
        <f>SUM(X67,AC67,AH67,AM67,AR67,AV67,AZ67)</f>
        <v>162.22478661</v>
      </c>
    </row>
    <row r="68">
      <c r="S68">
        <f>L68-M68</f>
        <v>0</v>
      </c>
    </row>
    <row r="69">
      <c r="S69">
        <f>L69-M69</f>
        <v>0</v>
      </c>
    </row>
    <row r="70">
      <c r="S70">
        <f>L70-M70</f>
        <v>0</v>
      </c>
    </row>
    <row r="71">
      <c r="S71">
        <f>L71-M71</f>
        <v>0</v>
      </c>
    </row>
    <row r="72">
      <c r="C72">
        <f>SUM(C10:C71)</f>
        <v>58</v>
      </c>
      <c r="F72">
        <f>SUM(F10:F71)</f>
        <v>228.28099999999995</v>
      </c>
      <c r="H72">
        <f>SUM(H10:H71)</f>
        <v>155</v>
      </c>
      <c r="I72">
        <f>SUM(I10:I71)</f>
        <v>0</v>
      </c>
      <c r="J72">
        <f>SUM(J10:J71)</f>
        <v>11.414050000000003</v>
      </c>
      <c r="K72">
        <f>SUM(K10:K71)</f>
        <v>0</v>
      </c>
      <c r="L72">
        <f>SUM(L10:L71)</f>
        <v>138.4797875</v>
      </c>
      <c r="M72">
        <f>SUM(M10:M71)</f>
        <v>73.61394999999996</v>
      </c>
      <c r="N72">
        <f>SUM(N10:N71)</f>
        <v>0</v>
      </c>
      <c r="O72">
        <f>SUM(O10:O71)</f>
        <v>0</v>
      </c>
      <c r="P72">
        <f>SUM(P10:P71)</f>
        <v>0</v>
      </c>
      <c r="Q72">
        <f>SUM(Q10:Q71)</f>
        <v>0</v>
      </c>
      <c r="R72">
        <f>SUM(R10:R71)</f>
        <v>0</v>
      </c>
      <c r="S72">
        <f>SUM(S10:S71)</f>
        <v>64.86583749999998</v>
      </c>
      <c r="T72">
        <f>SUM(T10:T71)</f>
        <v>53.451787499999995</v>
      </c>
      <c r="U72">
        <f>SUM(U10:U71)</f>
        <v>154.80350010745613</v>
      </c>
      <c r="X72">
        <f>SUM(X10:X71)</f>
        <v>254.22461370753908</v>
      </c>
      <c r="AC72">
        <f>SUM(AC10:AC71)</f>
        <v>1206.9708768000005</v>
      </c>
      <c r="AH72">
        <f>SUM(AH10:AH71)</f>
        <v>1151.0819768250008</v>
      </c>
      <c r="AM72">
        <f>SUM(AM10:AM71)</f>
        <v>1625.8997346750002</v>
      </c>
      <c r="AR72">
        <f>SUM(AR10:AR71)</f>
        <v>1770.0332733000002</v>
      </c>
      <c r="AV72">
        <f>SUM(AV10:AV71)</f>
        <v>0</v>
      </c>
      <c r="AZ72">
        <f>SUM(AZ10:AZ71)</f>
        <v>0</v>
      </c>
      <c r="BA72">
        <f>SUM(BA10:BA71)</f>
        <v>6008.210475307542</v>
      </c>
      <c r="BB72">
        <f>SUM(X72:AZ72)-BA72</f>
        <v>0</v>
      </c>
      <c r="BE72" t="str">
        <v>kontrol</v>
      </c>
    </row>
    <row r="74">
      <c r="D74" t="str">
        <v>Jumlah titik pancang di elevasi TOPC:</v>
      </c>
      <c r="L74" t="str">
        <v>NB: GALIAN DIHITUNG DARI ELEVASI RATA, UNTUK MUDAHKAN PERHITUNGAN</v>
      </c>
    </row>
    <row r="75">
      <c r="D75">
        <v>-3.6</v>
      </c>
      <c r="H75">
        <f>SUMIF($D$9:$D$71,D75,$H$9:$H$71)</f>
        <v>0</v>
      </c>
    </row>
    <row r="76">
      <c r="D76">
        <v>-1.5</v>
      </c>
      <c r="H76">
        <f>SUMIF($D$9:$D$71,D76,$H$9:$H$71)</f>
        <v>0</v>
      </c>
    </row>
    <row r="77">
      <c r="D77">
        <v>-0.3</v>
      </c>
      <c r="H77">
        <f>SUMIF($D$9:$D$71,D77,$H$9:$H$71)</f>
        <v>0</v>
      </c>
    </row>
  </sheetData>
  <autoFilter ref="A9:BA72"/>
  <mergeCells count="27">
    <mergeCell ref="F3:L3"/>
    <mergeCell ref="F4:L4"/>
    <mergeCell ref="A6:A8"/>
    <mergeCell ref="B6:B8"/>
    <mergeCell ref="C6:C7"/>
    <mergeCell ref="D6:D7"/>
    <mergeCell ref="E6:E7"/>
    <mergeCell ref="F6:F7"/>
    <mergeCell ref="G6:G7"/>
    <mergeCell ref="H6:H7"/>
    <mergeCell ref="AD6:AH6"/>
    <mergeCell ref="I6:I7"/>
    <mergeCell ref="J6:J7"/>
    <mergeCell ref="K6:K7"/>
    <mergeCell ref="L6:L7"/>
    <mergeCell ref="M6:M7"/>
    <mergeCell ref="P6:R6"/>
    <mergeCell ref="S6:S7"/>
    <mergeCell ref="T6:T7"/>
    <mergeCell ref="U6:U7"/>
    <mergeCell ref="V6:X6"/>
    <mergeCell ref="Y6:AC6"/>
    <mergeCell ref="AI6:AM6"/>
    <mergeCell ref="AN6:AR6"/>
    <mergeCell ref="AS6:AV6"/>
    <mergeCell ref="AW6:AZ6"/>
    <mergeCell ref="BA6:BA7"/>
  </mergeCells>
  <pageMargins left="0.15" right="0.15" top="0.75" bottom="0.4" header="0.25" footer="0.1"/>
  <ignoredErrors>
    <ignoredError numberStoredAsText="1" sqref="A1:BI104847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BZ103"/>
  <sheetViews>
    <sheetView workbookViewId="0" rightToLeft="0"/>
  </sheetViews>
  <sheetData>
    <row r="1">
      <c r="B1" t="str">
        <v>Program Perhitungan Volume Pile Cap + Tanah</v>
      </c>
    </row>
    <row r="2">
      <c r="B2" t="str">
        <v>Proyek</v>
      </c>
      <c r="D2" t="str">
        <v>: Pakuwon Indah PD3 no. 23</v>
      </c>
      <c r="W2" t="str">
        <v>NB: RUMUS INI BERDASARKAN ASUMSI TULANGAN ATAS DAN BAWAH SALING OVERLAP (SEPERTI GAMBAR DI SAMPING). BILA DETAIL YANG DIBERIKAN KONSULTAN BERBEDA, RUMUS MOHON DISESUAIKAN</v>
      </c>
    </row>
    <row r="3">
      <c r="B3" t="str">
        <v>T. Plat       =</v>
      </c>
      <c r="D3">
        <v>0</v>
      </c>
      <c r="E3" t="str">
        <v>mm</v>
      </c>
      <c r="S3" t="str">
        <v>Waste  beton =</v>
      </c>
      <c r="T3">
        <v>0</v>
      </c>
      <c r="W3" t="str">
        <v>Lebar space galian =</v>
      </c>
      <c r="X3">
        <v>300</v>
      </c>
      <c r="Y3" t="str">
        <v>mm</v>
      </c>
    </row>
    <row r="4">
      <c r="B4" t="str">
        <v>T. psr urug =</v>
      </c>
      <c r="E4" t="str">
        <v>mm</v>
      </c>
      <c r="S4" t="str">
        <v>Waste   besi  =</v>
      </c>
      <c r="T4">
        <v>0</v>
      </c>
      <c r="W4" t="str">
        <v>Tebal acuan =</v>
      </c>
      <c r="X4">
        <v>100</v>
      </c>
      <c r="Y4" t="str">
        <v>mm</v>
      </c>
    </row>
    <row r="5">
      <c r="B5" t="str">
        <v>T. lt. kerja  =</v>
      </c>
      <c r="D5">
        <v>50</v>
      </c>
      <c r="E5" t="str">
        <v>mm</v>
      </c>
      <c r="K5" t="str">
        <v>El. tanah rata   =</v>
      </c>
      <c r="L5">
        <v>0</v>
      </c>
      <c r="M5" t="str">
        <v>m</v>
      </c>
      <c r="S5" t="str">
        <v>Waste  bkstg =</v>
      </c>
      <c r="T5">
        <v>0</v>
      </c>
      <c r="W5" t="str">
        <v>Tebal selimut beton =</v>
      </c>
      <c r="X5">
        <v>30</v>
      </c>
      <c r="Y5" t="str">
        <v>mm</v>
      </c>
    </row>
    <row r="6">
      <c r="W6" t="str">
        <v>Sambungan lewatan =</v>
      </c>
      <c r="X6">
        <v>50</v>
      </c>
      <c r="Y6" t="str">
        <v>D</v>
      </c>
      <c r="Z6" t="str">
        <v>????</v>
      </c>
    </row>
    <row r="7">
      <c r="W7" t="str">
        <v>Kait =</v>
      </c>
      <c r="Y7" t="str">
        <v>D</v>
      </c>
    </row>
    <row r="9" xml:space="preserve">
      <c r="B9" t="str">
        <v>Tipe Pile Cap</v>
      </c>
      <c r="C9" t="str" xml:space="preserve">
        <v xml:space="preserve">Lebar_x000d_
(arah X)</v>
      </c>
      <c r="D9" t="str" xml:space="preserve">
        <v xml:space="preserve">Panjang_x000d_
(arah Y)</v>
      </c>
      <c r="E9" t="str">
        <v>Tebal Kotor Pile Cap</v>
      </c>
      <c r="F9" t="str">
        <v>Top of Pile Cap</v>
      </c>
      <c r="G9" t="str">
        <v>Tebal Bersih Pile Cap</v>
      </c>
      <c r="H9" t="str">
        <v>Pengurang</v>
      </c>
      <c r="L9" t="str">
        <v>Kait Tul. Atas</v>
      </c>
      <c r="M9" t="str">
        <v>Tinggi tul. Tegak</v>
      </c>
      <c r="N9" t="str">
        <v>Luas</v>
      </c>
      <c r="O9" t="str">
        <v>Keliling</v>
      </c>
      <c r="P9" t="str">
        <v>Luas Galian</v>
      </c>
      <c r="Q9" t="str">
        <v>Vol. Beton</v>
      </c>
      <c r="R9" t="str">
        <v>Vol. Bekisting</v>
      </c>
      <c r="S9" t="str">
        <v>Jmlh Titik Pancang</v>
      </c>
      <c r="T9" t="str">
        <v>Peminggang (Tul. Cincin)</v>
      </c>
      <c r="W9" t="str">
        <v>Tulangan Atas</v>
      </c>
      <c r="AG9" t="str">
        <v>Tulangan Bawah</v>
      </c>
      <c r="AQ9" t="str">
        <v>Kaki Ayam</v>
      </c>
      <c r="AU9" t="str">
        <v>Tambahan Hook (seperti sengkang ekstra searah tebal)</v>
      </c>
      <c r="AZ9" t="str">
        <v>Jumlah Tiang Bor</v>
      </c>
    </row>
    <row r="10">
      <c r="H10" t="str">
        <v>Sejajar dengan…</v>
      </c>
      <c r="W10" t="str">
        <v>Sejajar lebar</v>
      </c>
      <c r="AB10" t="str">
        <v>Sejajar panjang</v>
      </c>
      <c r="AG10" t="str">
        <v>Sejajar lebar</v>
      </c>
      <c r="AL10" t="str">
        <v>Sejajar panjang</v>
      </c>
    </row>
    <row r="11">
      <c r="H11" t="str">
        <v>Lebar</v>
      </c>
      <c r="I11" t="str">
        <v>Jmlh</v>
      </c>
      <c r="J11" t="str">
        <v>Panjang</v>
      </c>
      <c r="K11" t="str">
        <v>Jmlh</v>
      </c>
      <c r="T11" t="str">
        <v>Jml</v>
      </c>
      <c r="U11" t="str">
        <v>D</v>
      </c>
      <c r="V11" t="str">
        <v>Berat</v>
      </c>
      <c r="W11" t="str">
        <v>D</v>
      </c>
      <c r="X11" t="str">
        <v>Jarak</v>
      </c>
      <c r="Y11" t="str">
        <v>Jumlah</v>
      </c>
      <c r="Z11" t="str">
        <v>Panjang</v>
      </c>
      <c r="AA11" t="str">
        <v>Berat</v>
      </c>
      <c r="AB11" t="str">
        <v>D</v>
      </c>
      <c r="AC11" t="str">
        <v>Jarak</v>
      </c>
      <c r="AD11" t="str">
        <v>Jumlah</v>
      </c>
      <c r="AE11" t="str">
        <v>Panjang</v>
      </c>
      <c r="AF11" t="str">
        <v>Berat</v>
      </c>
      <c r="AG11" t="str">
        <v>D</v>
      </c>
      <c r="AH11" t="str">
        <v>Jarak</v>
      </c>
      <c r="AI11" t="str">
        <v>Jumlah</v>
      </c>
      <c r="AJ11" t="str">
        <v>Panjang</v>
      </c>
      <c r="AK11" t="str">
        <v>Berat</v>
      </c>
      <c r="AL11" t="str">
        <v>D</v>
      </c>
      <c r="AM11" t="str">
        <v>Jarak</v>
      </c>
      <c r="AN11" t="str">
        <v>Jumlah</v>
      </c>
      <c r="AO11" t="str">
        <v>Panjang</v>
      </c>
      <c r="AP11" t="str">
        <v>Berat</v>
      </c>
      <c r="AQ11" t="str">
        <v>Jml</v>
      </c>
      <c r="AR11" t="str">
        <v>D</v>
      </c>
      <c r="AS11" t="str">
        <v>Panjang</v>
      </c>
      <c r="AT11" t="str">
        <v>Berat</v>
      </c>
      <c r="AU11" t="str">
        <v>D</v>
      </c>
      <c r="AV11" t="str">
        <v>Jarak</v>
      </c>
      <c r="AW11" t="str">
        <v>Panjang</v>
      </c>
      <c r="AX11" t="str">
        <v>Berat</v>
      </c>
      <c r="AZ11" t="str">
        <v>dia. 30</v>
      </c>
    </row>
    <row r="12">
      <c r="C12" t="str">
        <v>mm</v>
      </c>
      <c r="D12" t="str">
        <v>mm</v>
      </c>
      <c r="E12" t="str">
        <v>mm</v>
      </c>
      <c r="F12" t="str">
        <v>mm</v>
      </c>
      <c r="G12" t="str">
        <v>mm</v>
      </c>
      <c r="H12" t="str">
        <v>mm</v>
      </c>
      <c r="I12" t="str">
        <v>mm</v>
      </c>
      <c r="J12" t="str">
        <v>mm</v>
      </c>
      <c r="K12" t="str">
        <v>mm</v>
      </c>
      <c r="L12" t="str">
        <v>mm</v>
      </c>
      <c r="M12" t="str">
        <v>mm</v>
      </c>
      <c r="N12" t="str">
        <v>m2</v>
      </c>
      <c r="O12" t="str">
        <v>m'</v>
      </c>
      <c r="P12" t="str">
        <v>m2</v>
      </c>
      <c r="Q12" t="str">
        <v>m3</v>
      </c>
      <c r="R12" t="str">
        <v>m2</v>
      </c>
      <c r="S12" t="str">
        <v>bh</v>
      </c>
      <c r="T12" t="str">
        <v>bh</v>
      </c>
      <c r="U12" t="str">
        <v>mm</v>
      </c>
      <c r="V12" t="str">
        <v>kg</v>
      </c>
      <c r="W12" t="str">
        <v>mm</v>
      </c>
      <c r="X12" t="str">
        <v>mm</v>
      </c>
      <c r="Y12" t="str">
        <v>bh</v>
      </c>
      <c r="Z12" t="str">
        <v>m</v>
      </c>
      <c r="AA12" t="str">
        <v>kg</v>
      </c>
      <c r="AB12" t="str">
        <v>mm</v>
      </c>
      <c r="AC12" t="str">
        <v>mm</v>
      </c>
      <c r="AD12" t="str">
        <v>bh</v>
      </c>
      <c r="AE12" t="str">
        <v>m</v>
      </c>
      <c r="AF12" t="str">
        <v>kg</v>
      </c>
      <c r="AG12" t="str">
        <v>mm</v>
      </c>
      <c r="AH12" t="str">
        <v>mm</v>
      </c>
      <c r="AI12" t="str">
        <v>bh</v>
      </c>
      <c r="AJ12" t="str">
        <v>m</v>
      </c>
      <c r="AK12" t="str">
        <v>kg</v>
      </c>
      <c r="AL12" t="str">
        <v>mm</v>
      </c>
      <c r="AM12" t="str">
        <v>mm</v>
      </c>
      <c r="AN12" t="str">
        <v>bh</v>
      </c>
      <c r="AO12" t="str">
        <v>m</v>
      </c>
      <c r="AP12" t="str">
        <v>kg</v>
      </c>
      <c r="AQ12" t="str">
        <v>bh</v>
      </c>
      <c r="AR12" t="str">
        <v>mm</v>
      </c>
      <c r="AS12" t="str">
        <v>mm</v>
      </c>
      <c r="AT12" t="str">
        <v>kg</v>
      </c>
      <c r="AU12" t="str">
        <v>mm</v>
      </c>
      <c r="AV12" t="str">
        <v>mm</v>
      </c>
      <c r="AW12" t="str">
        <v>m</v>
      </c>
      <c r="AX12" t="str">
        <v>kg</v>
      </c>
    </row>
    <row r="13">
      <c r="B13">
        <v>1</v>
      </c>
      <c r="C13">
        <v>2</v>
      </c>
      <c r="D13">
        <v>3</v>
      </c>
      <c r="E13">
        <v>4</v>
      </c>
      <c r="F13">
        <v>5</v>
      </c>
      <c r="G13">
        <v>6</v>
      </c>
      <c r="H13">
        <v>7</v>
      </c>
      <c r="I13">
        <v>8</v>
      </c>
      <c r="J13">
        <v>9</v>
      </c>
      <c r="K13">
        <v>10</v>
      </c>
      <c r="L13">
        <v>11</v>
      </c>
      <c r="M13">
        <v>12</v>
      </c>
      <c r="N13">
        <v>13</v>
      </c>
      <c r="O13">
        <v>14</v>
      </c>
      <c r="P13">
        <v>15</v>
      </c>
      <c r="Q13">
        <v>16</v>
      </c>
      <c r="R13">
        <v>17</v>
      </c>
      <c r="S13">
        <v>18</v>
      </c>
      <c r="T13">
        <v>19</v>
      </c>
      <c r="U13">
        <v>20</v>
      </c>
      <c r="V13">
        <v>21</v>
      </c>
      <c r="W13">
        <f>V13+1</f>
        <v>22</v>
      </c>
      <c r="X13">
        <f>W13+1</f>
        <v>23</v>
      </c>
      <c r="Y13">
        <f>X13+1</f>
        <v>24</v>
      </c>
      <c r="Z13">
        <f>Y13+1</f>
        <v>25</v>
      </c>
      <c r="AA13">
        <f>Z13+1</f>
        <v>26</v>
      </c>
      <c r="AB13">
        <f>AA13+1</f>
        <v>27</v>
      </c>
      <c r="AC13">
        <f>AB13+1</f>
        <v>28</v>
      </c>
      <c r="AD13">
        <f>AC13+1</f>
        <v>29</v>
      </c>
      <c r="AE13">
        <f>AD13+1</f>
        <v>30</v>
      </c>
      <c r="AF13">
        <f>AE13+1</f>
        <v>31</v>
      </c>
      <c r="AG13">
        <f>AF13+1</f>
        <v>32</v>
      </c>
      <c r="AH13">
        <f>AG13+1</f>
        <v>33</v>
      </c>
      <c r="AI13">
        <f>AH13+1</f>
        <v>34</v>
      </c>
      <c r="AJ13">
        <f>AI13+1</f>
        <v>35</v>
      </c>
      <c r="AK13">
        <f>AJ13+1</f>
        <v>36</v>
      </c>
      <c r="AL13">
        <f>AK13+1</f>
        <v>37</v>
      </c>
      <c r="AM13">
        <f>AL13+1</f>
        <v>38</v>
      </c>
      <c r="AN13">
        <f>AM13+1</f>
        <v>39</v>
      </c>
      <c r="AO13">
        <f>AN13+1</f>
        <v>40</v>
      </c>
      <c r="AP13">
        <f>AO13+1</f>
        <v>41</v>
      </c>
      <c r="AQ13">
        <f>AP13+1</f>
        <v>42</v>
      </c>
      <c r="AR13">
        <f>AQ13+1</f>
        <v>43</v>
      </c>
      <c r="AS13">
        <f>AR13+1</f>
        <v>44</v>
      </c>
      <c r="AT13">
        <f>AS13+1</f>
        <v>45</v>
      </c>
      <c r="AU13">
        <f>AT13+1</f>
        <v>46</v>
      </c>
      <c r="AV13">
        <f>AU13+1</f>
        <v>47</v>
      </c>
      <c r="AW13">
        <f>AV13+1</f>
        <v>48</v>
      </c>
      <c r="AX13">
        <f>AW13+1</f>
        <v>49</v>
      </c>
      <c r="AY13">
        <f>AX13+1</f>
        <v>50</v>
      </c>
      <c r="AZ13">
        <f>AY13+1</f>
        <v>51</v>
      </c>
      <c r="BA13">
        <f>AZ13+1</f>
        <v>52</v>
      </c>
      <c r="BB13">
        <f>BA13+1</f>
        <v>53</v>
      </c>
      <c r="BC13">
        <f>BB13+1</f>
        <v>54</v>
      </c>
    </row>
    <row r="15">
      <c r="B15" t="str">
        <v>PC.1</v>
      </c>
      <c r="C15">
        <v>600</v>
      </c>
      <c r="D15">
        <v>600</v>
      </c>
      <c r="E15">
        <v>500</v>
      </c>
      <c r="F15">
        <v>0</v>
      </c>
      <c r="G15">
        <f>E15</f>
        <v>500</v>
      </c>
      <c r="H15">
        <v>0</v>
      </c>
      <c r="I15">
        <v>0</v>
      </c>
      <c r="J15">
        <v>0</v>
      </c>
      <c r="K15">
        <v>0</v>
      </c>
      <c r="L15">
        <f>M15/2</f>
        <v>220</v>
      </c>
      <c r="M15">
        <f>E15-2*$X$5</f>
        <v>440</v>
      </c>
      <c r="N15">
        <f>(C15*D15-1/2*H15*J15*AVERAGE(I15,K15))/1000000</f>
        <v>0.36</v>
      </c>
      <c r="O15">
        <f>(2*C15-I15*H15+2*D15-K15*J15+(I15+K15)/2*SQRT(H15^2+J15^2))/1000</f>
        <v>2.4</v>
      </c>
      <c r="P15">
        <f>(((C15+2*X$3+2*X$4)*(D15+2*X$3+2*X$4))-1/2*H15*J15*AVERAGE(I15,K15))/1000000</f>
        <v>1.96</v>
      </c>
      <c r="Q15">
        <f>N15*G15/1000</f>
        <v>0.18</v>
      </c>
      <c r="R15">
        <f>O15*G15/1000</f>
        <v>1.2</v>
      </c>
      <c r="S15">
        <v>1</v>
      </c>
      <c r="T15">
        <v>1</v>
      </c>
      <c r="U15">
        <v>10</v>
      </c>
      <c r="V15">
        <f>T15*0.006165*U15^2*(O15-(8+(I15+K15))*'Data-PC'!$X$5/1000+2*MAX(6*U15,75)/1000+IF(O15&gt;12,ROUNDDOWN(O15/12,0)*'Data-PC'!$X$6*U15/1000,0))</f>
        <v>1.4241150000000002</v>
      </c>
      <c r="W15">
        <v>13</v>
      </c>
      <c r="Y15">
        <v>5</v>
      </c>
      <c r="Z15">
        <f>IF(Y15&gt;0,((C15-2*$X$5+2*L15)*Y15),0)/1000</f>
        <v>4.9</v>
      </c>
      <c r="AA15">
        <f>0.006165*W15^2*Z15</f>
        <v>5.1052365</v>
      </c>
      <c r="AB15">
        <v>13</v>
      </c>
      <c r="AD15">
        <v>5</v>
      </c>
      <c r="AE15">
        <f>IF(AD15&gt;0,((D15-J15-2*$X$5+2*L15)*AD15),0)/1000</f>
        <v>4.9</v>
      </c>
      <c r="AF15">
        <f>0.006165*AB15^2*AE15</f>
        <v>5.1052365</v>
      </c>
      <c r="AG15">
        <v>13</v>
      </c>
      <c r="AI15">
        <v>5</v>
      </c>
      <c r="AJ15">
        <f>IF(AI15&gt;0,((C15-2*$X$5+2*M15)*AI15),0)/1000</f>
        <v>7.1</v>
      </c>
      <c r="AK15">
        <f>0.006165*AG15^2*AJ15</f>
        <v>7.397383499999999</v>
      </c>
      <c r="AL15">
        <v>13</v>
      </c>
      <c r="AN15">
        <v>5</v>
      </c>
      <c r="AO15">
        <f>IF(AN15&gt;0,((D15-J15-2*$X$5+2*M15)*AN15),0)/1000</f>
        <v>7.1</v>
      </c>
      <c r="AP15">
        <f>0.006165*AL15^2*AO15</f>
        <v>7.397383499999999</v>
      </c>
      <c r="AS15">
        <f>2*(E15-2*'Data-PC'!$X$5)+300+2*'Data-PC'!$X$7*AR15</f>
        <v>1180</v>
      </c>
      <c r="AT15">
        <f>AQ15*0.006165*AR15^2*AS15/1000</f>
        <v>0</v>
      </c>
      <c r="AW15">
        <f>IF(AV15&gt;0,(M15+2*L15*AU15)/1000*(ROUND((C15-2*'Data-PC'!$X$5)/AV15,0)+1)*(ROUND((D15-2*'Data-PC'!$X$5)/AV15,0)+1),0)</f>
        <v>0</v>
      </c>
      <c r="AX15">
        <f>0.006165*AU15^2*AW15</f>
        <v>0</v>
      </c>
    </row>
    <row r="16">
      <c r="B16" t="str">
        <v>PC.1A</v>
      </c>
      <c r="C16">
        <v>600</v>
      </c>
      <c r="D16">
        <v>600</v>
      </c>
      <c r="E16">
        <v>700</v>
      </c>
      <c r="F16">
        <v>0</v>
      </c>
      <c r="G16">
        <f>E16</f>
        <v>700</v>
      </c>
      <c r="H16">
        <v>0</v>
      </c>
      <c r="I16">
        <v>0</v>
      </c>
      <c r="J16">
        <v>0</v>
      </c>
      <c r="K16">
        <v>0</v>
      </c>
      <c r="L16">
        <f>M16/2</f>
        <v>320</v>
      </c>
      <c r="M16">
        <f>E16-2*$X$5</f>
        <v>640</v>
      </c>
      <c r="N16">
        <f>(C16*D16-1/2*H16*J16*AVERAGE(I16,K16))/1000000</f>
        <v>0.36</v>
      </c>
      <c r="O16">
        <f>(2*C16-I16*H16+2*D16-K16*J16+(I16+K16)/2*SQRT(H16^2+J16^2))/1000</f>
        <v>2.4</v>
      </c>
      <c r="P16">
        <f>(((C16+2*X$3+2*X$4)*(D16+2*X$3+2*X$4))-1/2*H16*J16*AVERAGE(I16,K16))/1000000</f>
        <v>1.96</v>
      </c>
      <c r="Q16">
        <f>N16*G16/1000</f>
        <v>0.252</v>
      </c>
      <c r="R16">
        <f>O16*G16/1000</f>
        <v>1.68</v>
      </c>
      <c r="S16">
        <v>1</v>
      </c>
      <c r="T16">
        <v>1</v>
      </c>
      <c r="U16">
        <v>13</v>
      </c>
      <c r="V16">
        <f>T16*0.006165*U16^2*(O16-(8+(I16+K16))*'Data-PC'!$X$5/1000+2*MAX(6*U16,75)/1000+IF(O16&gt;12,ROUNDDOWN(O16/12,0)*'Data-PC'!$X$6*U16/1000,0))</f>
        <v>2.41300566</v>
      </c>
      <c r="W16">
        <v>13</v>
      </c>
      <c r="Y16">
        <v>6</v>
      </c>
      <c r="Z16">
        <f>IF(Y16&gt;0,((C16-2*$X$5+2*L16)*Y16),0)/1000</f>
        <v>7.08</v>
      </c>
      <c r="AA16">
        <f>0.006165*W16^2*Z16</f>
        <v>7.3765458</v>
      </c>
      <c r="AB16">
        <v>13</v>
      </c>
      <c r="AD16">
        <v>6</v>
      </c>
      <c r="AE16">
        <f>IF(AD16&gt;0,((D16-J16-2*$X$5+2*L16)*AD16),0)/1000</f>
        <v>7.08</v>
      </c>
      <c r="AF16">
        <f>0.006165*AB16^2*AE16</f>
        <v>7.3765458</v>
      </c>
      <c r="AG16">
        <v>13</v>
      </c>
      <c r="AI16">
        <v>6</v>
      </c>
      <c r="AJ16">
        <f>IF(AI16&gt;0,((C16-2*$X$5+2*M16)*AI16),0)/1000</f>
        <v>10.92</v>
      </c>
      <c r="AK16">
        <f>0.006165*AG16^2*AJ16</f>
        <v>11.3773842</v>
      </c>
      <c r="AL16">
        <v>13</v>
      </c>
      <c r="AN16">
        <v>6</v>
      </c>
      <c r="AO16">
        <f>IF(AN16&gt;0,((D16-J16-2*$X$5+2*M16)*AN16),0)/1000</f>
        <v>10.92</v>
      </c>
      <c r="AP16">
        <f>0.006165*AL16^2*AO16</f>
        <v>11.3773842</v>
      </c>
      <c r="AS16">
        <f>2*(E16-2*'Data-PC'!$X$5)+300+2*'Data-PC'!$X$7*AR16</f>
        <v>1580</v>
      </c>
      <c r="AT16">
        <f>AQ16*0.006165*AR16^2*AS16/1000</f>
        <v>0</v>
      </c>
      <c r="AW16">
        <f>IF(AV16&gt;0,(M16+2*L16*AU16)/1000*(ROUND((C16-2*'Data-PC'!$X$5)/AV16,0)+1)*(ROUND((D16-2*'Data-PC'!$X$5)/AV16,0)+1),0)</f>
        <v>0</v>
      </c>
      <c r="AX16">
        <f>0.006165*AU16^2*AW16</f>
        <v>0</v>
      </c>
    </row>
    <row r="17">
      <c r="B17" t="str">
        <v>PC.2</v>
      </c>
      <c r="C17">
        <v>1500</v>
      </c>
      <c r="D17">
        <v>600</v>
      </c>
      <c r="E17">
        <v>500</v>
      </c>
      <c r="F17">
        <v>0</v>
      </c>
      <c r="G17">
        <f>E17</f>
        <v>500</v>
      </c>
      <c r="H17">
        <v>0</v>
      </c>
      <c r="I17">
        <v>0</v>
      </c>
      <c r="J17">
        <v>0</v>
      </c>
      <c r="K17">
        <v>0</v>
      </c>
      <c r="L17">
        <f>M17/2</f>
        <v>220</v>
      </c>
      <c r="M17">
        <f>E17-2*$X$5</f>
        <v>440</v>
      </c>
      <c r="N17">
        <f>(C17*D17-1/2*H17*J17*AVERAGE(I17,K17))/1000000</f>
        <v>0.9</v>
      </c>
      <c r="O17">
        <f>(2*C17-I17*H17+2*D17-K17*J17+(I17+K17)/2*SQRT(H17^2+J17^2))/1000</f>
        <v>4.2</v>
      </c>
      <c r="P17">
        <f>(((C17+2*X$3+2*X$4)*(D17+2*X$3+2*X$4))-1/2*H17*J17*AVERAGE(I17,K17))/1000000</f>
        <v>3.22</v>
      </c>
      <c r="Q17">
        <f>N17*G17/1000</f>
        <v>0.45</v>
      </c>
      <c r="R17">
        <f>O17*G17/1000</f>
        <v>2.1</v>
      </c>
      <c r="S17">
        <v>2</v>
      </c>
      <c r="T17">
        <v>1</v>
      </c>
      <c r="U17">
        <v>10</v>
      </c>
      <c r="V17">
        <f>T17*0.006165*U17^2*(O17-(8+(I17+K17))*'Data-PC'!$X$5/1000+2*MAX(6*U17,75)/1000+IF(O17&gt;12,ROUNDDOWN(O17/12,0)*'Data-PC'!$X$6*U17/1000,0))</f>
        <v>2.5338150000000006</v>
      </c>
      <c r="W17">
        <v>13</v>
      </c>
      <c r="Y17">
        <v>5</v>
      </c>
      <c r="Z17">
        <f>IF(Y17&gt;0,((C17-2*$X$5+2*L17)*Y17),0)/1000</f>
        <v>9.4</v>
      </c>
      <c r="AA17">
        <f>0.006165*W17^2*Z17</f>
        <v>9.793719</v>
      </c>
      <c r="AB17">
        <v>13</v>
      </c>
      <c r="AD17">
        <v>11</v>
      </c>
      <c r="AE17">
        <f>IF(AD17&gt;0,((D17-J17-2*$X$5+2*L17)*AD17),0)/1000</f>
        <v>10.78</v>
      </c>
      <c r="AF17">
        <f>0.006165*AB17^2*AE17</f>
        <v>11.2315203</v>
      </c>
      <c r="AG17">
        <v>16</v>
      </c>
      <c r="AI17">
        <v>5</v>
      </c>
      <c r="AJ17">
        <f>IF(AI17&gt;0,((C17-2*$X$5+2*M17)*AI17),0)/1000</f>
        <v>11.6</v>
      </c>
      <c r="AK17">
        <f>0.006165*AG17^2*AJ17</f>
        <v>18.307584000000002</v>
      </c>
      <c r="AL17">
        <v>16</v>
      </c>
      <c r="AN17">
        <v>11</v>
      </c>
      <c r="AO17">
        <f>IF(AN17&gt;0,((D17-J17-2*$X$5+2*M17)*AN17),0)/1000</f>
        <v>15.62</v>
      </c>
      <c r="AP17">
        <f>0.006165*AL17^2*AO17</f>
        <v>24.6521088</v>
      </c>
      <c r="AS17">
        <f>2*(E17-2*'Data-PC'!$X$5)+300+2*'Data-PC'!$X$7*AR17</f>
        <v>1180</v>
      </c>
      <c r="AT17">
        <f>AQ17*0.006165*AR17^2*AS17/1000</f>
        <v>0</v>
      </c>
      <c r="AW17">
        <f>IF(AV17&gt;0,(M17+2*L17*AU17)/1000*(ROUND((C17-2*'Data-PC'!$X$5)/AV17,0)+1)*(ROUND((D17-2*'Data-PC'!$X$5)/AV17,0)+1),0)</f>
        <v>0</v>
      </c>
      <c r="AX17">
        <f>0.006165*AU17^2*AW17</f>
        <v>0</v>
      </c>
    </row>
    <row r="18">
      <c r="B18" t="str">
        <v>PC.2A</v>
      </c>
      <c r="C18">
        <v>1500</v>
      </c>
      <c r="D18">
        <v>600</v>
      </c>
      <c r="E18">
        <v>600</v>
      </c>
      <c r="F18">
        <v>0</v>
      </c>
      <c r="G18">
        <f>E18</f>
        <v>600</v>
      </c>
      <c r="H18">
        <v>0</v>
      </c>
      <c r="I18">
        <v>0</v>
      </c>
      <c r="J18">
        <v>0</v>
      </c>
      <c r="K18">
        <v>0</v>
      </c>
      <c r="L18">
        <f>M18/2</f>
        <v>270</v>
      </c>
      <c r="M18">
        <f>E18-2*$X$5</f>
        <v>540</v>
      </c>
      <c r="N18">
        <f>(C18*D18-1/2*H18*J18*AVERAGE(I18,K18))/1000000</f>
        <v>0.9</v>
      </c>
      <c r="O18">
        <f>(2*C18-I18*H18+2*D18-K18*J18+(I18+K18)/2*SQRT(H18^2+J18^2))/1000</f>
        <v>4.2</v>
      </c>
      <c r="P18">
        <f>(((C18+2*X$3+2*X$4)*(D18+2*X$3+2*X$4))-1/2*H18*J18*AVERAGE(I18,K18))/1000000</f>
        <v>3.22</v>
      </c>
      <c r="Q18">
        <f>N18*G18/1000</f>
        <v>0.54</v>
      </c>
      <c r="R18">
        <f>O18*G18/1000</f>
        <v>2.52</v>
      </c>
      <c r="S18">
        <v>2</v>
      </c>
      <c r="T18">
        <v>1</v>
      </c>
      <c r="U18">
        <v>13</v>
      </c>
      <c r="V18">
        <f>T18*0.006165*U18^2*(O18-(8+(I18+K18))*'Data-PC'!$X$5/1000+2*MAX(6*U18,75)/1000+IF(O18&gt;12,ROUNDDOWN(O18/12,0)*'Data-PC'!$X$6*U18/1000,0))</f>
        <v>4.2883986599999995</v>
      </c>
      <c r="W18">
        <v>13</v>
      </c>
      <c r="Y18">
        <v>6</v>
      </c>
      <c r="Z18">
        <f>IF(Y18&gt;0,((C18-2*$X$5+2*L18)*Y18),0)/1000</f>
        <v>11.88</v>
      </c>
      <c r="AA18">
        <f>0.006165*W18^2*Z18</f>
        <v>12.3775938</v>
      </c>
      <c r="AB18">
        <v>13</v>
      </c>
      <c r="AD18">
        <v>13</v>
      </c>
      <c r="AE18">
        <f>IF(AD18&gt;0,((D18-J18-2*$X$5+2*L18)*AD18),0)/1000</f>
        <v>14.04</v>
      </c>
      <c r="AF18">
        <f>0.006165*AB18^2*AE18</f>
        <v>14.628065399999999</v>
      </c>
      <c r="AG18">
        <v>13</v>
      </c>
      <c r="AI18">
        <v>6</v>
      </c>
      <c r="AJ18">
        <f>IF(AI18&gt;0,((C18-2*$X$5+2*M18)*AI18),0)/1000</f>
        <v>15.12</v>
      </c>
      <c r="AK18">
        <f>0.006165*AG18^2*AJ18</f>
        <v>15.7533012</v>
      </c>
      <c r="AL18">
        <v>13</v>
      </c>
      <c r="AN18">
        <v>13</v>
      </c>
      <c r="AO18">
        <f>IF(AN18&gt;0,((D18-J18-2*$X$5+2*M18)*AN18),0)/1000</f>
        <v>21.06</v>
      </c>
      <c r="AP18">
        <f>0.006165*AL18^2*AO18</f>
        <v>21.9420981</v>
      </c>
      <c r="AS18">
        <f>2*(E18-2*'Data-PC'!$X$5)+300+2*'Data-PC'!$X$7*AR18</f>
        <v>1380</v>
      </c>
      <c r="AT18">
        <f>AQ18*0.006165*AR18^2*AS18/1000</f>
        <v>0</v>
      </c>
      <c r="AW18">
        <f>IF(AV18&gt;0,(M18+2*L18*AU18)/1000*(ROUND((C18-2*'Data-PC'!$X$5)/AV18,0)+1)*(ROUND((D18-2*'Data-PC'!$X$5)/AV18,0)+1),0)</f>
        <v>0</v>
      </c>
      <c r="AX18">
        <f>0.006165*AU18^2*AW18</f>
        <v>0</v>
      </c>
    </row>
    <row r="19">
      <c r="B19" t="str">
        <v>PC.3</v>
      </c>
      <c r="C19">
        <v>1500</v>
      </c>
      <c r="D19">
        <v>1380</v>
      </c>
      <c r="E19">
        <v>600</v>
      </c>
      <c r="F19">
        <v>0</v>
      </c>
      <c r="G19">
        <f>E19</f>
        <v>600</v>
      </c>
      <c r="H19">
        <v>575</v>
      </c>
      <c r="I19">
        <v>2</v>
      </c>
      <c r="J19">
        <v>1000</v>
      </c>
      <c r="K19">
        <v>2</v>
      </c>
      <c r="L19">
        <f>M19/2</f>
        <v>270</v>
      </c>
      <c r="M19">
        <f>E19-2*$X$5</f>
        <v>540</v>
      </c>
      <c r="N19">
        <f>(C19*D19-1/2*H19*J19*AVERAGE(I19,K19))/1000000</f>
        <v>1.495</v>
      </c>
      <c r="O19">
        <f>(2*C19-I19*H19+2*D19-K19*J19+(I19+K19)/2*SQRT(H19^2+J19^2))/1000</f>
        <v>4.917054399011866</v>
      </c>
      <c r="P19">
        <f>(((C19+2*X$3+2*X$4)*(D19+2*X$3+2*X$4))-1/2*H19*J19*AVERAGE(I19,K19))/1000000</f>
        <v>4.439</v>
      </c>
      <c r="Q19">
        <f>N19*G19/1000</f>
        <v>0.8970000000000001</v>
      </c>
      <c r="R19">
        <f>O19*G19/1000</f>
        <v>2.9502326394071194</v>
      </c>
      <c r="S19">
        <v>3</v>
      </c>
      <c r="T19">
        <v>1</v>
      </c>
      <c r="U19">
        <v>13</v>
      </c>
      <c r="V19">
        <f>T19*0.006165*U19^2*(O19-(8+(I19+K19))*'Data-PC'!$X$5/1000+2*MAX(6*U19,75)/1000+IF(O19&gt;12,ROUNDDOWN(O19/12,0)*'Data-PC'!$X$6*U19/1000,0))</f>
        <v>4.9104606825144765</v>
      </c>
      <c r="W19">
        <v>13</v>
      </c>
      <c r="X19">
        <v>130</v>
      </c>
      <c r="Y19">
        <f>ROUNDUP((D19-2*$X$5)/X19,0)+1</f>
        <v>12</v>
      </c>
      <c r="Z19">
        <f>IF(X19&gt;0,((C19-2*$X$5+2*L19)*(ROUND((D19-J19-2*$X$5)/X19,0)+1)+(C19-I19/2*H19-2*$X$5+2*M19)*(ROUND(J19/X19,0)+1))/1000,0)</f>
        <v>23.445</v>
      </c>
      <c r="AA19">
        <f>0.006165*W19^2*Z19</f>
        <v>24.426993825</v>
      </c>
      <c r="AB19">
        <v>13</v>
      </c>
      <c r="AC19">
        <v>130</v>
      </c>
      <c r="AD19">
        <f>ROUNDUP((C19-2*$X$5)/AC19,0)+1</f>
        <v>13</v>
      </c>
      <c r="AE19">
        <f>IF(AC19&gt;0,((D19-J19-2*$X$5+2*L19)*(ROUND((C19-2*$X$5)/AC19,0)+1)+J19*(ROUND((C19-I19/2*H19-2*$X$5)/AC19,0)+1))/1000,0)</f>
        <v>18.32</v>
      </c>
      <c r="AF19">
        <f>0.006165*AB19^2*AE19</f>
        <v>19.0873332</v>
      </c>
      <c r="AG19">
        <v>13</v>
      </c>
      <c r="AH19">
        <v>130</v>
      </c>
      <c r="AI19">
        <f>ROUNDUP((D19-2*$X$5)/AH19,0)+1</f>
        <v>12</v>
      </c>
      <c r="AJ19">
        <f>IF(AH19&gt;0,((C19-2*$X$5+2*M19)*(ROUND((D19-J19-2*$X$5)/AH19,0)+1)+(C19-I19/2*H19-2*$X$5+2*M19)*(ROUND(J19/AH19,0)+1))/1000,0)</f>
        <v>25.065</v>
      </c>
      <c r="AK19">
        <f>0.006165*AG19^2*AJ19</f>
        <v>26.114847525000002</v>
      </c>
      <c r="AL19">
        <v>13</v>
      </c>
      <c r="AM19">
        <v>130</v>
      </c>
      <c r="AN19">
        <f>ROUNDUP((C19-2*$X$5)/AM19,0)+1</f>
        <v>13</v>
      </c>
      <c r="AO19">
        <f>IF(AM19&gt;0,((D19-J19-2*$X$5+2*M19)*(ROUND((C19-2*$X$5)/AM19,0)+1)+J19*(ROUND((C19-I19/2*H19-2*$X$5)/AM19,0)+1))/1000,0)</f>
        <v>24.8</v>
      </c>
      <c r="AP19">
        <f>0.006165*AL19^2*AO19</f>
        <v>25.838748</v>
      </c>
      <c r="AS19">
        <f>2*(E19-2*'Data-PC'!$X$5)+300+2*'Data-PC'!$X$7*AR19</f>
        <v>1380</v>
      </c>
      <c r="AT19">
        <f>AQ19*0.006165*AR19^2*AS19/1000</f>
        <v>0</v>
      </c>
      <c r="AW19">
        <f>IF(AV19&gt;0,(M19+2*L19*AU19)/1000*(ROUND((C19-2*'Data-PC'!$X$5)/AV19,0)+1)*(ROUND((D19-2*'Data-PC'!$X$5)/AV19,0)+1),0)</f>
        <v>0</v>
      </c>
      <c r="AX19">
        <f>0.006165*AU19^2*AW19</f>
        <v>0</v>
      </c>
    </row>
    <row r="20">
      <c r="B20" t="str">
        <v>PC.3A</v>
      </c>
      <c r="C20">
        <v>2400</v>
      </c>
      <c r="D20">
        <v>600</v>
      </c>
      <c r="E20">
        <v>600</v>
      </c>
      <c r="F20">
        <v>0</v>
      </c>
      <c r="G20">
        <f>E20</f>
        <v>600</v>
      </c>
      <c r="H20">
        <v>0</v>
      </c>
      <c r="I20">
        <v>0</v>
      </c>
      <c r="J20">
        <v>0</v>
      </c>
      <c r="K20">
        <v>0</v>
      </c>
      <c r="L20">
        <f>M20/2</f>
        <v>270</v>
      </c>
      <c r="M20">
        <f>E20-2*$X$5</f>
        <v>540</v>
      </c>
      <c r="N20">
        <f>(C20*D20-1/2*H20*J20*AVERAGE(I20,K20))/1000000</f>
        <v>1.44</v>
      </c>
      <c r="O20">
        <f>(2*C20-I20*H20+2*D20-K20*J20+(I20+K20)/2*SQRT(H20^2+J20^2))/1000</f>
        <v>6</v>
      </c>
      <c r="P20">
        <f>(((C20+2*X$3+2*X$4)*(D20+2*X$3+2*X$4))-1/2*H20*J20*AVERAGE(I20,K20))/1000000</f>
        <v>4.48</v>
      </c>
      <c r="Q20">
        <f>N20*G20/1000</f>
        <v>0.864</v>
      </c>
      <c r="R20">
        <f>O20*G20/1000</f>
        <v>3.6</v>
      </c>
      <c r="S20">
        <v>3</v>
      </c>
      <c r="T20">
        <v>1</v>
      </c>
      <c r="U20">
        <v>13</v>
      </c>
      <c r="V20">
        <f>T20*0.006165*U20^2*(O20-(8+(I20+K20))*'Data-PC'!$X$5/1000+2*MAX(6*U20,75)/1000+IF(O20&gt;12,ROUNDDOWN(O20/12,0)*'Data-PC'!$X$6*U20/1000,0))</f>
        <v>6.163791659999999</v>
      </c>
      <c r="W20">
        <v>13</v>
      </c>
      <c r="Y20">
        <v>6</v>
      </c>
      <c r="Z20">
        <f>IF(Y20&gt;0,((C20-2*$X$5+2*L20)*Y20),0)/1000</f>
        <v>17.28</v>
      </c>
      <c r="AA20">
        <f>0.006165*W20^2*Z20</f>
        <v>18.0037728</v>
      </c>
      <c r="AB20">
        <v>13</v>
      </c>
      <c r="AD20">
        <v>20</v>
      </c>
      <c r="AE20">
        <f>IF(AD20&gt;0,((D20-J20-2*$X$5+2*L20)*AD20),0)/1000</f>
        <v>21.6</v>
      </c>
      <c r="AF20">
        <f>0.006165*AB20^2*AE20</f>
        <v>22.504716000000002</v>
      </c>
      <c r="AG20">
        <v>16</v>
      </c>
      <c r="AI20">
        <v>6</v>
      </c>
      <c r="AJ20">
        <f>IF(AI20&gt;0,((C20-2*$X$5+2*M20)*AI20),0)/1000</f>
        <v>20.52</v>
      </c>
      <c r="AK20">
        <f>0.006165*AG20^2*AJ20</f>
        <v>32.3854848</v>
      </c>
      <c r="AL20">
        <v>16</v>
      </c>
      <c r="AN20">
        <v>20</v>
      </c>
      <c r="AO20">
        <f>IF(AN20&gt;0,((D20-J20-2*$X$5+2*M20)*AN20),0)/1000</f>
        <v>32.4</v>
      </c>
      <c r="AP20">
        <f>0.006165*AL20^2*AO20</f>
        <v>51.134976</v>
      </c>
      <c r="AS20">
        <f>2*(E20-2*'Data-PC'!$X$5)+300+2*'Data-PC'!$X$7*AR20</f>
        <v>1380</v>
      </c>
      <c r="AT20">
        <f>AQ20*0.006165*AR20^2*AS20/1000</f>
        <v>0</v>
      </c>
      <c r="AW20">
        <f>IF(AV20&gt;0,(M20+2*L20*AU20)/1000*(ROUND((C20-2*'Data-PC'!$X$5)/AV20,0)+1)*(ROUND((D20-2*'Data-PC'!$X$5)/AV20,0)+1),0)</f>
        <v>0</v>
      </c>
      <c r="AX20">
        <f>0.006165*AU20^2*AW20</f>
        <v>0</v>
      </c>
    </row>
    <row r="21">
      <c r="B21" t="str">
        <v>PC.4</v>
      </c>
      <c r="C21">
        <v>1500</v>
      </c>
      <c r="D21">
        <v>1500</v>
      </c>
      <c r="E21">
        <v>500</v>
      </c>
      <c r="F21">
        <v>0</v>
      </c>
      <c r="G21">
        <f>E21</f>
        <v>500</v>
      </c>
      <c r="H21">
        <v>0</v>
      </c>
      <c r="I21">
        <v>0</v>
      </c>
      <c r="J21">
        <v>0</v>
      </c>
      <c r="K21">
        <v>0</v>
      </c>
      <c r="L21">
        <f>M21/2</f>
        <v>220</v>
      </c>
      <c r="M21">
        <f>E21-2*$X$5</f>
        <v>440</v>
      </c>
      <c r="N21">
        <f>(C21*D21-1/2*H21*J21*AVERAGE(I21,K21))/1000000</f>
        <v>2.25</v>
      </c>
      <c r="O21">
        <f>(2*C21-I21*H21+2*D21-K21*J21+(I21+K21)/2*SQRT(H21^2+J21^2))/1000</f>
        <v>6</v>
      </c>
      <c r="P21">
        <f>(((C21+2*X$3+2*X$4)*(D21+2*X$3+2*X$4))-1/2*H21*J21*AVERAGE(I21,K21))/1000000</f>
        <v>5.29</v>
      </c>
      <c r="Q21">
        <f>N21*G21/1000</f>
        <v>1.125</v>
      </c>
      <c r="R21">
        <f>O21*G21/1000</f>
        <v>3</v>
      </c>
      <c r="S21">
        <v>4</v>
      </c>
      <c r="T21">
        <v>1</v>
      </c>
      <c r="U21">
        <v>10</v>
      </c>
      <c r="V21">
        <f>T21*0.006165*U21^2*(O21-(8+(I21+K21))*'Data-PC'!$X$5/1000+2*MAX(6*U21,75)/1000+IF(O21&gt;12,ROUNDDOWN(O21/12,0)*'Data-PC'!$X$6*U21/1000,0))</f>
        <v>3.6435150000000003</v>
      </c>
      <c r="W21">
        <v>13</v>
      </c>
      <c r="Y21">
        <v>13</v>
      </c>
      <c r="Z21">
        <f>IF(Y21&gt;0,((C21-2*$X$5+2*L21)*Y21),0)/1000</f>
        <v>24.44</v>
      </c>
      <c r="AA21">
        <f>0.006165*W21^2*Z21</f>
        <v>25.4636694</v>
      </c>
      <c r="AB21">
        <v>13</v>
      </c>
      <c r="AD21">
        <v>13</v>
      </c>
      <c r="AE21">
        <f>IF(AD21&gt;0,((D21-J21-2*$X$5+2*L21)*AD21),0)/1000</f>
        <v>24.44</v>
      </c>
      <c r="AF21">
        <f>0.006165*AB21^2*AE21</f>
        <v>25.4636694</v>
      </c>
      <c r="AG21">
        <v>13</v>
      </c>
      <c r="AI21">
        <v>13</v>
      </c>
      <c r="AJ21">
        <f>IF(AI21&gt;0,((C21-2*$X$5+2*M21)*AI21),0)/1000</f>
        <v>30.16</v>
      </c>
      <c r="AK21">
        <f>0.006165*AG21^2*AJ21</f>
        <v>31.4232516</v>
      </c>
      <c r="AL21">
        <v>13</v>
      </c>
      <c r="AN21">
        <v>13</v>
      </c>
      <c r="AO21">
        <f>IF(AN21&gt;0,((D21-J21-2*$X$5+2*M21)*AN21),0)/1000</f>
        <v>30.16</v>
      </c>
      <c r="AP21">
        <f>0.006165*AL21^2*AO21</f>
        <v>31.4232516</v>
      </c>
      <c r="AS21">
        <f>2*(E21-2*'Data-PC'!$X$5)+300+2*'Data-PC'!$X$7*AR21</f>
        <v>1180</v>
      </c>
      <c r="AT21">
        <f>AQ21*0.006165*AR21^2*AS21/1000</f>
        <v>0</v>
      </c>
      <c r="AW21">
        <f>IF(AV21&gt;0,(M21+2*L21*AU21)/1000*(ROUND((C21-2*'Data-PC'!$X$5)/AV21,0)+1)*(ROUND((D21-2*'Data-PC'!$X$5)/AV21,0)+1),0)</f>
        <v>0</v>
      </c>
      <c r="AX21">
        <f>0.006165*AU21^2*AW21</f>
        <v>0</v>
      </c>
    </row>
    <row r="22">
      <c r="B22" t="str">
        <v>PC.5</v>
      </c>
      <c r="C22">
        <v>1875</v>
      </c>
      <c r="D22">
        <v>1875</v>
      </c>
      <c r="E22">
        <v>600</v>
      </c>
      <c r="F22">
        <v>0</v>
      </c>
      <c r="G22">
        <f>E22</f>
        <v>600</v>
      </c>
      <c r="H22">
        <v>0</v>
      </c>
      <c r="I22">
        <v>0</v>
      </c>
      <c r="J22">
        <v>0</v>
      </c>
      <c r="K22">
        <v>0</v>
      </c>
      <c r="L22">
        <f>M22/2</f>
        <v>270</v>
      </c>
      <c r="M22">
        <f>E22-2*$X$5</f>
        <v>540</v>
      </c>
      <c r="N22">
        <f>(C22*D22-1/2*H22*J22*AVERAGE(I22,K22))/1000000</f>
        <v>3.515625</v>
      </c>
      <c r="O22">
        <f>(2*C22-I22*H22+2*D22-K22*J22+(I22+K22)/2*SQRT(H22^2+J22^2))/1000</f>
        <v>7.5</v>
      </c>
      <c r="P22">
        <f>(((C22+2*X$3+2*X$4)*(D22+2*X$3+2*X$4))-1/2*H22*J22*AVERAGE(I22,K22))/1000000</f>
        <v>7.155625</v>
      </c>
      <c r="Q22">
        <f>N22*G22/1000</f>
        <v>2.109375</v>
      </c>
      <c r="R22">
        <f>O22*G22/1000</f>
        <v>4.5</v>
      </c>
      <c r="S22">
        <v>5</v>
      </c>
      <c r="T22">
        <v>1</v>
      </c>
      <c r="U22">
        <v>13</v>
      </c>
      <c r="V22">
        <f>T22*0.006165*U22^2*(O22-(8+(I22+K22))*'Data-PC'!$X$5/1000+2*MAX(6*U22,75)/1000+IF(O22&gt;12,ROUNDDOWN(O22/12,0)*'Data-PC'!$X$6*U22/1000,0))</f>
        <v>7.726619159999999</v>
      </c>
      <c r="W22">
        <v>13</v>
      </c>
      <c r="Y22">
        <v>11</v>
      </c>
      <c r="Z22">
        <f>IF(Y22&gt;0,((C22-2*$X$5+2*L22)*Y22),0)/1000</f>
        <v>25.905</v>
      </c>
      <c r="AA22">
        <f>0.006165*W22^2*Z22</f>
        <v>26.990030925</v>
      </c>
      <c r="AB22">
        <v>13</v>
      </c>
      <c r="AD22">
        <v>11</v>
      </c>
      <c r="AE22">
        <f>IF(AD22&gt;0,((D22-J22-2*$X$5+2*L22)*AD22),0)/1000</f>
        <v>25.905</v>
      </c>
      <c r="AF22">
        <f>0.006165*AB22^2*AE22</f>
        <v>26.990030925</v>
      </c>
      <c r="AG22">
        <v>16</v>
      </c>
      <c r="AI22">
        <v>11</v>
      </c>
      <c r="AJ22">
        <f>IF(AI22&gt;0,((C22-2*$X$5+2*M22)*AI22),0)/1000</f>
        <v>31.845</v>
      </c>
      <c r="AK22">
        <f>0.006165*AG22^2*AJ22</f>
        <v>50.2590528</v>
      </c>
      <c r="AL22">
        <v>16</v>
      </c>
      <c r="AN22">
        <v>11</v>
      </c>
      <c r="AO22">
        <f>IF(AN22&gt;0,((D22-J22-2*$X$5+2*M22)*AN22),0)/1000</f>
        <v>31.845</v>
      </c>
      <c r="AP22">
        <f>0.006165*AL22^2*AO22</f>
        <v>50.2590528</v>
      </c>
      <c r="AS22">
        <f>2*(E22-2*'Data-PC'!$X$5)+300+2*'Data-PC'!$X$7*AR22</f>
        <v>1380</v>
      </c>
      <c r="AT22">
        <f>AQ22*0.006165*AR22^2*AS22/1000</f>
        <v>0</v>
      </c>
      <c r="AW22">
        <f>IF(AV22&gt;0,(M22+2*L22*AU22)/1000*(ROUND((C22-2*'Data-PC'!$X$5)/AV22,0)+1)*(ROUND((D22-2*'Data-PC'!$X$5)/AV22,0)+1),0)</f>
        <v>0</v>
      </c>
      <c r="AX22">
        <f>0.006165*AU22^2*AW22</f>
        <v>0</v>
      </c>
    </row>
    <row r="23">
      <c r="B23" t="str">
        <v>PC.5A</v>
      </c>
      <c r="C23">
        <v>1875</v>
      </c>
      <c r="D23">
        <v>1875</v>
      </c>
      <c r="E23">
        <v>700</v>
      </c>
      <c r="F23">
        <v>0</v>
      </c>
      <c r="G23">
        <f>E23</f>
        <v>700</v>
      </c>
      <c r="H23">
        <v>0</v>
      </c>
      <c r="I23">
        <v>0</v>
      </c>
      <c r="J23">
        <v>0</v>
      </c>
      <c r="K23">
        <v>0</v>
      </c>
      <c r="L23">
        <f>M23/2</f>
        <v>320</v>
      </c>
      <c r="M23">
        <f>E23-2*$X$5</f>
        <v>640</v>
      </c>
      <c r="N23">
        <f>(C23*D23-1/2*H23*J23*AVERAGE(I23,K23))/1000000</f>
        <v>3.515625</v>
      </c>
      <c r="O23">
        <f>(2*C23-I23*H23+2*D23-K23*J23+(I23+K23)/2*SQRT(H23^2+J23^2))/1000</f>
        <v>7.5</v>
      </c>
      <c r="P23">
        <f>(((C23+2*X$3+2*X$4)*(D23+2*X$3+2*X$4))-1/2*H23*J23*AVERAGE(I23,K23))/1000000</f>
        <v>7.155625</v>
      </c>
      <c r="Q23">
        <f>N23*G23/1000</f>
        <v>2.4609375</v>
      </c>
      <c r="R23">
        <f>O23*G23/1000</f>
        <v>5.25</v>
      </c>
      <c r="S23">
        <v>5</v>
      </c>
      <c r="T23">
        <v>1</v>
      </c>
      <c r="U23">
        <v>13</v>
      </c>
      <c r="V23">
        <f>T23*0.006165*U23^2*(O23-(8+(I23+K23))*'Data-PC'!$X$5/1000+2*MAX(6*U23,75)/1000+IF(O23&gt;12,ROUNDDOWN(O23/12,0)*'Data-PC'!$X$6*U23/1000,0))</f>
        <v>7.726619159999999</v>
      </c>
      <c r="W23">
        <v>13</v>
      </c>
      <c r="Y23">
        <v>13</v>
      </c>
      <c r="Z23">
        <f>IF(Y23&gt;0,((C23-2*$X$5+2*L23)*Y23),0)/1000</f>
        <v>31.915</v>
      </c>
      <c r="AA23">
        <f>0.006165*W23^2*Z23</f>
        <v>33.251759775</v>
      </c>
      <c r="AB23">
        <v>13</v>
      </c>
      <c r="AD23">
        <v>13</v>
      </c>
      <c r="AE23">
        <f>IF(AD23&gt;0,((D23-J23-2*$X$5+2*L23)*AD23),0)/1000</f>
        <v>31.915</v>
      </c>
      <c r="AF23">
        <f>0.006165*AB23^2*AE23</f>
        <v>33.251759775</v>
      </c>
      <c r="AG23">
        <v>16</v>
      </c>
      <c r="AI23">
        <v>13</v>
      </c>
      <c r="AJ23">
        <f>IF(AI23&gt;0,((C23-2*$X$5+2*M23)*AI23),0)/1000</f>
        <v>40.235</v>
      </c>
      <c r="AK23">
        <f>0.006165*AG23^2*AJ23</f>
        <v>63.5004864</v>
      </c>
      <c r="AL23">
        <v>16</v>
      </c>
      <c r="AN23">
        <v>13</v>
      </c>
      <c r="AO23">
        <f>IF(AN23&gt;0,((D23-J23-2*$X$5+2*M23)*AN23),0)/1000</f>
        <v>40.235</v>
      </c>
      <c r="AP23">
        <f>0.006165*AL23^2*AO23</f>
        <v>63.5004864</v>
      </c>
      <c r="AS23">
        <f>2*(E23-2*'Data-PC'!$X$5)+300+2*'Data-PC'!$X$7*AR23</f>
        <v>1580</v>
      </c>
      <c r="AT23">
        <f>AQ23*0.006165*AR23^2*AS23/1000</f>
        <v>0</v>
      </c>
      <c r="AW23">
        <f>IF(AV23&gt;0,(M23+2*L23*AU23)/1000*(ROUND((C23-2*'Data-PC'!$X$5)/AV23,0)+1)*(ROUND((D23-2*'Data-PC'!$X$5)/AV23,0)+1),0)</f>
        <v>0</v>
      </c>
      <c r="AX23">
        <f>0.006165*AU23^2*AW23</f>
        <v>0</v>
      </c>
    </row>
    <row r="24">
      <c r="B24" t="str">
        <v>PC.5B</v>
      </c>
      <c r="C24">
        <v>2400</v>
      </c>
      <c r="D24">
        <v>1380</v>
      </c>
      <c r="E24">
        <v>700</v>
      </c>
      <c r="F24">
        <v>0</v>
      </c>
      <c r="G24">
        <f>E24</f>
        <v>700</v>
      </c>
      <c r="H24">
        <v>570</v>
      </c>
      <c r="I24">
        <v>2</v>
      </c>
      <c r="J24">
        <v>1000</v>
      </c>
      <c r="K24">
        <v>2</v>
      </c>
      <c r="L24">
        <f>M24/2</f>
        <v>320</v>
      </c>
      <c r="M24">
        <f>E24-2*$X$5</f>
        <v>640</v>
      </c>
      <c r="N24">
        <f>(C24*D24-1/2*H24*J24*AVERAGE(I24,K24))/1000000</f>
        <v>2.742</v>
      </c>
      <c r="O24">
        <f>(2*C24-I24*H24+2*D24-K24*J24+(I24+K24)/2*SQRT(H24^2+J24^2))/1000</f>
        <v>6.722086010556512</v>
      </c>
      <c r="P24">
        <f>(((C24+2*X$3+2*X$4)*(D24+2*X$3+2*X$4))-1/2*H24*J24*AVERAGE(I24,K24))/1000000</f>
        <v>6.406</v>
      </c>
      <c r="Q24">
        <f>N24*G24/1000</f>
        <v>1.9194</v>
      </c>
      <c r="R24">
        <f>O24*G24/1000</f>
        <v>4.705460207389558</v>
      </c>
      <c r="S24">
        <v>5</v>
      </c>
      <c r="T24">
        <v>1</v>
      </c>
      <c r="U24">
        <v>13</v>
      </c>
      <c r="V24">
        <f>T24*0.006165*U24^2*(O24-(8+(I24+K24))*'Data-PC'!$X$5/1000+2*MAX(6*U24,75)/1000+IF(O24&gt;12,ROUNDDOWN(O24/12,0)*'Data-PC'!$X$6*U24/1000,0))</f>
        <v>6.791096043108671</v>
      </c>
      <c r="W24">
        <v>16</v>
      </c>
      <c r="X24">
        <v>150</v>
      </c>
      <c r="Y24">
        <f>ROUNDUP((D24-2*$X$5)/X24,0)+1</f>
        <v>10</v>
      </c>
      <c r="Z24">
        <f>IF(X24&gt;0,((C24-2*$X$5+2*L24)*(ROUND((D24-J24-2*$X$5)/X24,0)+1)+(C24-I24/2*H24-2*$X$5+2*M24)*(ROUND(J24/X24,0)+1))/1000,0)</f>
        <v>33.34</v>
      </c>
      <c r="AA24">
        <f>0.006165*W24^2*Z24</f>
        <v>52.61852160000001</v>
      </c>
      <c r="AB24">
        <v>16</v>
      </c>
      <c r="AC24">
        <v>160</v>
      </c>
      <c r="AD24">
        <f>ROUNDUP((C24-2*$X$5)/AC24,0)+1</f>
        <v>16</v>
      </c>
      <c r="AE24">
        <f>IF(AC24&gt;0,((D24-J24-2*$X$5+2*L24)*(ROUND((C24-2*$X$5)/AC24,0)+1)+J24*(ROUND((C24-I24/2*H24-2*$X$5)/AC24,0)+1))/1000,0)</f>
        <v>27.36</v>
      </c>
      <c r="AF24">
        <f>0.006165*AB24^2*AE24</f>
        <v>43.1806464</v>
      </c>
      <c r="AG24">
        <v>16</v>
      </c>
      <c r="AH24">
        <v>150</v>
      </c>
      <c r="AI24">
        <f>ROUNDUP((D24-2*$X$5)/AH24,0)+1</f>
        <v>10</v>
      </c>
      <c r="AJ24">
        <f>IF(AH24&gt;0,((C24-2*$X$5+2*M24)*(ROUND((D24-J24-2*$X$5)/AH24,0)+1)+(C24-I24/2*H24-2*$X$5+2*M24)*(ROUND(J24/AH24,0)+1))/1000,0)</f>
        <v>35.26</v>
      </c>
      <c r="AK24">
        <f>0.006165*AG24^2*AJ24</f>
        <v>55.6487424</v>
      </c>
      <c r="AL24">
        <v>16</v>
      </c>
      <c r="AM24">
        <v>160</v>
      </c>
      <c r="AN24">
        <f>ROUNDUP((C24-2*$X$5)/AM24,0)+1</f>
        <v>16</v>
      </c>
      <c r="AO24">
        <f>IF(AM24&gt;0,((D24-J24-2*$X$5+2*M24)*(ROUND((C24-2*$X$5)/AM24,0)+1)+J24*(ROUND((C24-I24/2*H24-2*$X$5)/AM24,0)+1))/1000,0)</f>
        <v>37.6</v>
      </c>
      <c r="AP24">
        <f>0.006165*AL24^2*AO24</f>
        <v>59.341824</v>
      </c>
      <c r="AS24">
        <f>2*(E24-2*'Data-PC'!$X$5)+300+2*'Data-PC'!$X$7*AR24</f>
        <v>1580</v>
      </c>
      <c r="AT24">
        <f>AQ24*0.006165*AR24^2*AS24/1000</f>
        <v>0</v>
      </c>
      <c r="AW24">
        <f>IF(AV24&gt;0,(M24+2*L24*AU24)/1000*(ROUND((C24-2*'Data-PC'!$X$5)/AV24,0)+1)*(ROUND((D24-2*'Data-PC'!$X$5)/AV24,0)+1),0)</f>
        <v>0</v>
      </c>
      <c r="AX24">
        <f>0.006165*AU24^2*AW24</f>
        <v>0</v>
      </c>
    </row>
    <row r="25">
      <c r="B25" t="str">
        <v>PC.6</v>
      </c>
      <c r="C25">
        <v>2400</v>
      </c>
      <c r="D25">
        <v>1500</v>
      </c>
      <c r="E25">
        <v>600</v>
      </c>
      <c r="F25">
        <v>0</v>
      </c>
      <c r="G25">
        <f>E25</f>
        <v>600</v>
      </c>
      <c r="H25">
        <v>0</v>
      </c>
      <c r="I25">
        <v>0</v>
      </c>
      <c r="J25">
        <v>0</v>
      </c>
      <c r="K25">
        <v>0</v>
      </c>
      <c r="L25">
        <f>M25/2</f>
        <v>270</v>
      </c>
      <c r="M25">
        <f>E25-2*$X$5</f>
        <v>540</v>
      </c>
      <c r="N25">
        <f>(C25*D25-1/2*H25*J25*AVERAGE(I25,K25))/1000000</f>
        <v>3.6</v>
      </c>
      <c r="O25">
        <f>(2*C25-I25*H25+2*D25-K25*J25+(I25+K25)/2*SQRT(H25^2+J25^2))/1000</f>
        <v>7.8</v>
      </c>
      <c r="P25">
        <f>(((C25+2*X$3+2*X$4)*(D25+2*X$3+2*X$4))-1/2*H25*J25*AVERAGE(I25,K25))/1000000</f>
        <v>7.36</v>
      </c>
      <c r="Q25">
        <f>N25*G25/1000</f>
        <v>2.16</v>
      </c>
      <c r="R25">
        <f>O25*G25/1000</f>
        <v>4.68</v>
      </c>
      <c r="S25">
        <v>6</v>
      </c>
      <c r="T25">
        <v>1</v>
      </c>
      <c r="U25">
        <v>13</v>
      </c>
      <c r="V25">
        <f>T25*0.006165*U25^2*(O25-(8+(I25+K25))*'Data-PC'!$X$5/1000+2*MAX(6*U25,75)/1000+IF(O25&gt;12,ROUNDDOWN(O25/12,0)*'Data-PC'!$X$6*U25/1000,0))</f>
        <v>8.039184659999998</v>
      </c>
      <c r="W25">
        <v>13</v>
      </c>
      <c r="Y25">
        <v>14</v>
      </c>
      <c r="Z25">
        <f>IF(Y25&gt;0,((C25-2*$X$5+2*L25)*Y25),0)/1000</f>
        <v>40.32</v>
      </c>
      <c r="AA25">
        <f>0.006165*W25^2*Z25</f>
        <v>42.008803199999996</v>
      </c>
      <c r="AB25">
        <v>13</v>
      </c>
      <c r="AD25">
        <v>14</v>
      </c>
      <c r="AE25">
        <f>IF(AD25&gt;0,((D25-J25-2*$X$5+2*L25)*AD25),0)/1000</f>
        <v>27.72</v>
      </c>
      <c r="AF25">
        <f>0.006165*AB25^2*AE25</f>
        <v>28.8810522</v>
      </c>
      <c r="AG25">
        <v>16</v>
      </c>
      <c r="AI25">
        <v>14</v>
      </c>
      <c r="AJ25">
        <f>IF(AI25&gt;0,((C25-2*$X$5+2*M25)*AI25),0)/1000</f>
        <v>47.88</v>
      </c>
      <c r="AK25">
        <f>0.006165*AG25^2*AJ25</f>
        <v>75.56613120000002</v>
      </c>
      <c r="AL25">
        <v>16</v>
      </c>
      <c r="AN25">
        <v>14</v>
      </c>
      <c r="AO25">
        <f>IF(AN25&gt;0,((D25-J25-2*$X$5+2*M25)*AN25),0)/1000</f>
        <v>35.28</v>
      </c>
      <c r="AP25">
        <f>0.006165*AL25^2*AO25</f>
        <v>55.6803072</v>
      </c>
      <c r="AS25">
        <f>2*(E25-2*'Data-PC'!$X$5)+300+2*'Data-PC'!$X$7*AR25</f>
        <v>1380</v>
      </c>
      <c r="AT25">
        <f>AQ25*0.006165*AR25^2*AS25/1000</f>
        <v>0</v>
      </c>
      <c r="AW25">
        <f>IF(AV25&gt;0,(M25+2*L25*AU25)/1000*(ROUND((C25-2*'Data-PC'!$X$5)/AV25,0)+1)*(ROUND((D25-2*'Data-PC'!$X$5)/AV25,0)+1),0)</f>
        <v>0</v>
      </c>
      <c r="AX25">
        <f>0.006165*AU25^2*AW25</f>
        <v>0</v>
      </c>
    </row>
    <row r="26">
      <c r="B26" t="str">
        <v>PC.6A</v>
      </c>
      <c r="C26">
        <v>3300</v>
      </c>
      <c r="D26">
        <v>1500</v>
      </c>
      <c r="E26">
        <v>800</v>
      </c>
      <c r="F26">
        <v>0</v>
      </c>
      <c r="G26">
        <f>E26</f>
        <v>800</v>
      </c>
      <c r="H26">
        <v>1075</v>
      </c>
      <c r="I26">
        <v>2</v>
      </c>
      <c r="J26">
        <v>1075</v>
      </c>
      <c r="K26">
        <v>2</v>
      </c>
      <c r="L26">
        <f>M26/2</f>
        <v>370</v>
      </c>
      <c r="M26">
        <f>E26-2*$X$5</f>
        <v>740</v>
      </c>
      <c r="N26">
        <f>(C26*D26-1/2*H26*J26*AVERAGE(I26,K26))/1000000</f>
        <v>3.794375</v>
      </c>
      <c r="O26">
        <f>(2*C26-I26*H26+2*D26-K26*J26+(I26+K26)/2*SQRT(H26^2+J26^2))/1000</f>
        <v>8.340559159102154</v>
      </c>
      <c r="P26">
        <f>(((C26+2*X$3+2*X$4)*(D26+2*X$3+2*X$4))-1/2*H26*J26*AVERAGE(I26,K26))/1000000</f>
        <v>8.274375</v>
      </c>
      <c r="Q26">
        <f>N26*G26/1000</f>
        <v>3.0355</v>
      </c>
      <c r="R26">
        <f>O26*G26/1000</f>
        <v>6.6724473272817235</v>
      </c>
      <c r="S26">
        <v>6</v>
      </c>
      <c r="T26">
        <v>2</v>
      </c>
      <c r="U26">
        <v>13</v>
      </c>
      <c r="V26">
        <f>T26*0.006165*U26^2*(O26-(8+(I26+K26))*'Data-PC'!$X$5/1000+2*MAX(6*U26,75)/1000+IF(O26&gt;12,ROUNDDOWN(O26/12,0)*'Data-PC'!$X$6*U26/1000,0))</f>
        <v>16.954717878962295</v>
      </c>
      <c r="W26">
        <v>16</v>
      </c>
      <c r="X26">
        <v>140</v>
      </c>
      <c r="Y26">
        <f>ROUNDUP((D26-2*$X$5)/X26,0)+1</f>
        <v>12</v>
      </c>
      <c r="Z26">
        <f>IF(X26&gt;0,((C26-2*$X$5+2*L26)*(ROUND((D26-J26-2*$X$5)/X26,0)+1)+(C26-I26/2*H26-2*$X$5+2*M26)*(ROUND(J26/X26,0)+1))/1000,0)</f>
        <v>48.725</v>
      </c>
      <c r="AA26">
        <f>0.006165*W26^2*Z26</f>
        <v>76.89974400000001</v>
      </c>
      <c r="AB26">
        <v>16</v>
      </c>
      <c r="AC26">
        <v>140</v>
      </c>
      <c r="AD26">
        <f>ROUNDUP((C26-2*$X$5)/AC26,0)+1</f>
        <v>25</v>
      </c>
      <c r="AE26">
        <f>IF(AC26&gt;0,((D26-J26-2*$X$5+2*L26)*(ROUND((C26-2*$X$5)/AC26,0)+1)+J26*(ROUND((C26-I26/2*H26-2*$X$5)/AC26,0)+1))/1000,0)</f>
        <v>43.72</v>
      </c>
      <c r="AF26">
        <f>0.006165*AB26^2*AE26</f>
        <v>69.0006528</v>
      </c>
      <c r="AG26">
        <v>16</v>
      </c>
      <c r="AH26">
        <v>140</v>
      </c>
      <c r="AI26">
        <f>ROUNDUP((D26-2*$X$5)/AH26,0)+1</f>
        <v>12</v>
      </c>
      <c r="AJ26">
        <f>IF(AH26&gt;0,((C26-2*$X$5+2*M26)*(ROUND((D26-J26-2*$X$5)/AH26,0)+1)+(C26-I26/2*H26-2*$X$5+2*M26)*(ROUND(J26/AH26,0)+1))/1000,0)</f>
        <v>51.685</v>
      </c>
      <c r="AK26">
        <f>0.006165*AG26^2*AJ26</f>
        <v>81.57133440000001</v>
      </c>
      <c r="AL26">
        <v>16</v>
      </c>
      <c r="AM26">
        <v>140</v>
      </c>
      <c r="AN26">
        <f>ROUNDUP((C26-2*$X$5)/AM26,0)+1</f>
        <v>25</v>
      </c>
      <c r="AO26">
        <f>IF(AM26&gt;0,((D26-J26-2*$X$5+2*M26)*(ROUND((C26-2*$X$5)/AM26,0)+1)+J26*(ROUND((C26-I26/2*H26-2*$X$5)/AM26,0)+1))/1000,0)</f>
        <v>61.48</v>
      </c>
      <c r="AP26">
        <f>0.006165*AL26^2*AO26</f>
        <v>97.0301952</v>
      </c>
      <c r="AS26">
        <f>2*(E26-2*'Data-PC'!$X$5)+300+2*'Data-PC'!$X$7*AR26</f>
        <v>1780</v>
      </c>
      <c r="AT26">
        <f>AQ26*0.006165*AR26^2*AS26/1000</f>
        <v>0</v>
      </c>
      <c r="AW26">
        <f>IF(AV26&gt;0,(M26+2*L26*AU26)/1000*(ROUND((C26-2*'Data-PC'!$X$5)/AV26,0)+1)*(ROUND((D26-2*'Data-PC'!$X$5)/AV26,0)+1),0)</f>
        <v>0</v>
      </c>
      <c r="AX26">
        <f>0.006165*AU26^2*AW26</f>
        <v>0</v>
      </c>
    </row>
    <row r="27">
      <c r="B27" t="str">
        <v>PC.8</v>
      </c>
      <c r="C27">
        <v>2400</v>
      </c>
      <c r="D27">
        <v>2160</v>
      </c>
      <c r="E27">
        <v>700</v>
      </c>
      <c r="F27">
        <v>0</v>
      </c>
      <c r="G27">
        <f>E27</f>
        <v>700</v>
      </c>
      <c r="H27">
        <v>0</v>
      </c>
      <c r="I27">
        <v>0</v>
      </c>
      <c r="J27">
        <v>0</v>
      </c>
      <c r="K27">
        <v>0</v>
      </c>
      <c r="L27">
        <f>M27/2</f>
        <v>320</v>
      </c>
      <c r="M27">
        <f>E27-2*$X$5</f>
        <v>640</v>
      </c>
      <c r="N27">
        <f>(C27*D27-1/2*H27*J27*AVERAGE(I27,K27))/1000000</f>
        <v>5.184</v>
      </c>
      <c r="O27">
        <f>(2*C27-I27*H27+2*D27-K27*J27+(I27+K27)/2*SQRT(H27^2+J27^2))/1000</f>
        <v>9.12</v>
      </c>
      <c r="P27">
        <f>(((C27+2*X$3+2*X$4)*(D27+2*X$3+2*X$4))-1/2*H27*J27*AVERAGE(I27,K27))/1000000</f>
        <v>9.472</v>
      </c>
      <c r="Q27">
        <f>N27*G27/1000</f>
        <v>3.6288</v>
      </c>
      <c r="R27">
        <f>O27*G27/1000</f>
        <v>6.3839999999999995</v>
      </c>
      <c r="S27">
        <v>8</v>
      </c>
      <c r="T27">
        <v>1</v>
      </c>
      <c r="U27">
        <v>13</v>
      </c>
      <c r="V27">
        <f>T27*0.006165*U27^2*(O27-(8+(I27+K27))*'Data-PC'!$X$5/1000+2*MAX(6*U27,75)/1000+IF(O27&gt;12,ROUNDDOWN(O27/12,0)*'Data-PC'!$X$6*U27/1000,0))</f>
        <v>9.414472859999998</v>
      </c>
      <c r="W27">
        <v>16</v>
      </c>
      <c r="Y27">
        <v>15</v>
      </c>
      <c r="Z27">
        <f>IF(Y27&gt;0,((C27-2*$X$5+2*L27)*Y27),0)/1000</f>
        <v>44.7</v>
      </c>
      <c r="AA27">
        <f>0.006165*W27^2*Z27</f>
        <v>70.54732800000001</v>
      </c>
      <c r="AB27">
        <v>16</v>
      </c>
      <c r="AD27">
        <v>16</v>
      </c>
      <c r="AE27">
        <f>IF(AD27&gt;0,((D27-J27-2*$X$5+2*L27)*AD27),0)/1000</f>
        <v>43.84</v>
      </c>
      <c r="AF27">
        <f>0.006165*AB27^2*AE27</f>
        <v>69.19004160000001</v>
      </c>
      <c r="AG27">
        <v>16</v>
      </c>
      <c r="AI27">
        <v>15</v>
      </c>
      <c r="AJ27">
        <f>IF(AI27&gt;0,((C27-2*$X$5+2*M27)*AI27),0)/1000</f>
        <v>54.3</v>
      </c>
      <c r="AK27">
        <f>0.006165*AG27^2*AJ27</f>
        <v>85.698432</v>
      </c>
      <c r="AL27">
        <v>16</v>
      </c>
      <c r="AN27">
        <v>16</v>
      </c>
      <c r="AO27">
        <f>IF(AN27&gt;0,((D27-J27-2*$X$5+2*M27)*AN27),0)/1000</f>
        <v>54.08</v>
      </c>
      <c r="AP27">
        <f>0.006165*AL27^2*AO27</f>
        <v>85.3512192</v>
      </c>
      <c r="AS27">
        <f>2*(E27-2*'Data-PC'!$X$5)+300+2*'Data-PC'!$X$7*AR27</f>
        <v>1580</v>
      </c>
      <c r="AT27">
        <f>AQ27*0.006165*AR27^2*AS27/1000</f>
        <v>0</v>
      </c>
      <c r="AW27">
        <f>IF(AV27&gt;0,(M27+2*L27*AU27)/1000*(ROUND((C27-2*'Data-PC'!$X$5)/AV27,0)+1)*(ROUND((D27-2*'Data-PC'!$X$5)/AV27,0)+1),0)</f>
        <v>0</v>
      </c>
      <c r="AX27">
        <f>0.006165*AU27^2*AW27</f>
        <v>0</v>
      </c>
    </row>
    <row r="28">
      <c r="B28" t="str">
        <v>PC.11</v>
      </c>
      <c r="C28">
        <v>3300</v>
      </c>
      <c r="D28">
        <v>2160</v>
      </c>
      <c r="E28">
        <v>800</v>
      </c>
      <c r="F28">
        <v>0</v>
      </c>
      <c r="G28">
        <f>E28</f>
        <v>800</v>
      </c>
      <c r="H28">
        <v>0</v>
      </c>
      <c r="I28">
        <v>0</v>
      </c>
      <c r="J28">
        <v>0</v>
      </c>
      <c r="K28">
        <v>0</v>
      </c>
      <c r="L28">
        <f>M28/2</f>
        <v>370</v>
      </c>
      <c r="M28">
        <f>E28-2*$X$5</f>
        <v>740</v>
      </c>
      <c r="N28">
        <f>(C28*D28-1/2*H28*J28*AVERAGE(I28,K28))/1000000</f>
        <v>7.128</v>
      </c>
      <c r="O28">
        <f>(2*C28-I28*H28+2*D28-K28*J28+(I28+K28)/2*SQRT(H28^2+J28^2))/1000</f>
        <v>10.92</v>
      </c>
      <c r="P28">
        <f>(((C28+2*X$3+2*X$4)*(D28+2*X$3+2*X$4))-1/2*H28*J28*AVERAGE(I28,K28))/1000000</f>
        <v>12.136</v>
      </c>
      <c r="Q28">
        <f>N28*G28/1000</f>
        <v>5.7024</v>
      </c>
      <c r="R28">
        <f>O28*G28/1000</f>
        <v>8.736</v>
      </c>
      <c r="S28">
        <v>11</v>
      </c>
      <c r="T28">
        <v>2</v>
      </c>
      <c r="U28">
        <v>13</v>
      </c>
      <c r="V28">
        <f>T28*0.006165*U28^2*(O28-(8+(I28+K28))*'Data-PC'!$X$5/1000+2*MAX(6*U28,75)/1000+IF(O28&gt;12,ROUNDDOWN(O28/12,0)*'Data-PC'!$X$6*U28/1000,0))</f>
        <v>22.579731719999998</v>
      </c>
      <c r="W28">
        <v>16</v>
      </c>
      <c r="Y28">
        <v>19</v>
      </c>
      <c r="Z28">
        <f>IF(Y28&gt;0,((C28-2*$X$5+2*L28)*Y28),0)/1000</f>
        <v>75.62</v>
      </c>
      <c r="AA28">
        <f>0.006165*W28^2*Z28</f>
        <v>119.34650880000001</v>
      </c>
      <c r="AB28">
        <v>16</v>
      </c>
      <c r="AD28">
        <v>25</v>
      </c>
      <c r="AE28">
        <f>IF(AD28&gt;0,((D28-J28-2*$X$5+2*L28)*AD28),0)/1000</f>
        <v>71</v>
      </c>
      <c r="AF28">
        <f>0.006165*AB28^2*AE28</f>
        <v>112.05504</v>
      </c>
      <c r="AG28">
        <v>16</v>
      </c>
      <c r="AI28">
        <v>19</v>
      </c>
      <c r="AJ28">
        <f>IF(AI28&gt;0,((C28-2*$X$5+2*M28)*AI28),0)/1000</f>
        <v>89.68</v>
      </c>
      <c r="AK28">
        <f>0.006165*AG28^2*AJ28</f>
        <v>141.53656320000002</v>
      </c>
      <c r="AL28">
        <v>16</v>
      </c>
      <c r="AN28">
        <v>25</v>
      </c>
      <c r="AO28">
        <f>IF(AN28&gt;0,((D28-J28-2*$X$5+2*M28)*AN28),0)/1000</f>
        <v>89.5</v>
      </c>
      <c r="AP28">
        <f>0.006165*AL28^2*AO28</f>
        <v>141.25248000000002</v>
      </c>
      <c r="AS28">
        <f>2*(E28-2*'Data-PC'!$X$5)+300+2*'Data-PC'!$X$7*AR28</f>
        <v>1780</v>
      </c>
      <c r="AT28">
        <f>AQ28*0.006165*AR28^2*AS28/1000</f>
        <v>0</v>
      </c>
      <c r="AW28">
        <f>IF(AV28&gt;0,(M28+2*L28*AU28)/1000*(ROUND((C28-2*'Data-PC'!$X$5)/AV28,0)+1)*(ROUND((D28-2*'Data-PC'!$X$5)/AV28,0)+1),0)</f>
        <v>0</v>
      </c>
      <c r="AX28">
        <f>0.006165*AU28^2*AW28</f>
        <v>0</v>
      </c>
    </row>
    <row r="29">
      <c r="B29" t="str">
        <v>PC.12</v>
      </c>
      <c r="C29">
        <v>2600</v>
      </c>
      <c r="D29">
        <v>3300</v>
      </c>
      <c r="E29">
        <v>600</v>
      </c>
      <c r="F29">
        <v>0</v>
      </c>
      <c r="G29">
        <f>E29</f>
        <v>600</v>
      </c>
      <c r="H29">
        <v>0</v>
      </c>
      <c r="I29">
        <v>0</v>
      </c>
      <c r="J29">
        <v>0</v>
      </c>
      <c r="K29">
        <v>0</v>
      </c>
      <c r="L29">
        <f>M29/2</f>
        <v>270</v>
      </c>
      <c r="M29">
        <f>E29-2*$X$5</f>
        <v>540</v>
      </c>
      <c r="N29">
        <f>(C29*D29-1/2*H29*J29*AVERAGE(I29,K29))/1000000</f>
        <v>8.58</v>
      </c>
      <c r="O29">
        <f>(2*C29-I29*H29+2*D29-K29*J29+(I29+K29)/2*SQRT(H29^2+J29^2))/1000</f>
        <v>11.8</v>
      </c>
      <c r="P29">
        <f>(((C29+2*X$3+2*X$4)*(D29+2*X$3+2*X$4))-1/2*H29*J29*AVERAGE(I29,K29))/1000000</f>
        <v>13.94</v>
      </c>
      <c r="Q29">
        <f>N29*G29/1000</f>
        <v>5.148</v>
      </c>
      <c r="R29">
        <f>O29*G29/1000</f>
        <v>7.08</v>
      </c>
      <c r="S29">
        <v>12</v>
      </c>
      <c r="T29">
        <v>1</v>
      </c>
      <c r="U29">
        <v>13</v>
      </c>
      <c r="V29">
        <f>T29*0.006165*U29^2*(O29-(8+(I29+K29))*'Data-PC'!$X$5/1000+2*MAX(6*U29,75)/1000+IF(O29&gt;12,ROUNDDOWN(O29/12,0)*'Data-PC'!$X$6*U29/1000,0))</f>
        <v>12.20672466</v>
      </c>
      <c r="W29">
        <v>16</v>
      </c>
      <c r="Y29">
        <v>29</v>
      </c>
      <c r="Z29">
        <f>IF(Y29&gt;0,((C29-2*$X$5+2*L29)*Y29),0)/1000</f>
        <v>89.32</v>
      </c>
      <c r="AA29">
        <f>0.006165*W29^2*Z29</f>
        <v>140.9683968</v>
      </c>
      <c r="AB29">
        <v>16</v>
      </c>
      <c r="AD29">
        <v>20</v>
      </c>
      <c r="AE29">
        <f>IF(AD29&gt;0,((D29-J29-2*$X$5+2*L29)*AD29),0)/1000</f>
        <v>75.6</v>
      </c>
      <c r="AF29">
        <f>0.006165*AB29^2*AE29</f>
        <v>119.314944</v>
      </c>
      <c r="AG29">
        <v>16</v>
      </c>
      <c r="AI29">
        <v>29</v>
      </c>
      <c r="AJ29">
        <f>IF(AI29&gt;0,((C29-2*$X$5+2*M29)*AI29),0)/1000</f>
        <v>104.98</v>
      </c>
      <c r="AK29">
        <f>0.006165*AG29^2*AJ29</f>
        <v>165.68363520000003</v>
      </c>
      <c r="AL29">
        <v>16</v>
      </c>
      <c r="AN29">
        <v>20</v>
      </c>
      <c r="AO29">
        <f>IF(AN29&gt;0,((D29-J29-2*$X$5+2*M29)*AN29),0)/1000</f>
        <v>86.4</v>
      </c>
      <c r="AP29">
        <f>0.006165*AL29^2*AO29</f>
        <v>136.359936</v>
      </c>
      <c r="AS29">
        <f>2*(E29-2*'Data-PC'!$X$5)+300+2*'Data-PC'!$X$7*AR29</f>
        <v>1380</v>
      </c>
      <c r="AT29">
        <f>AQ29*0.006165*AR29^2*AS29/1000</f>
        <v>0</v>
      </c>
      <c r="AW29">
        <f>IF(AV29&gt;0,(M29+2*L29*AU29)/1000*(ROUND((C29-2*'Data-PC'!$X$5)/AV29,0)+1)*(ROUND((D29-2*'Data-PC'!$X$5)/AV29,0)+1),0)</f>
        <v>0</v>
      </c>
      <c r="AX29">
        <f>0.006165*AU29^2*AW29</f>
        <v>0</v>
      </c>
    </row>
    <row r="34">
      <c r="B34" t="str">
        <v>CEK</v>
      </c>
      <c r="C34">
        <v>1000</v>
      </c>
      <c r="D34">
        <v>1000</v>
      </c>
      <c r="E34">
        <v>500</v>
      </c>
      <c r="F34">
        <v>0</v>
      </c>
      <c r="G34">
        <f>E34-F34</f>
        <v>500</v>
      </c>
      <c r="H34">
        <v>400</v>
      </c>
      <c r="I34">
        <v>2</v>
      </c>
      <c r="J34">
        <v>700</v>
      </c>
      <c r="K34">
        <v>2</v>
      </c>
      <c r="L34">
        <f>M34/2</f>
        <v>220</v>
      </c>
      <c r="M34">
        <f>E34-2*'Data-PC'!$X$5</f>
        <v>440</v>
      </c>
      <c r="N34">
        <f>(C34*D34-1/2*H34*J34*AVERAGE(I34,K34))/1000000</f>
        <v>0.72</v>
      </c>
      <c r="O34">
        <f>(2*C34-I34*H34+2*D34-K34*J34+(I34+K34)/2*SQRT(H34^2+J34^2))/1000</f>
        <v>3.4124515496597096</v>
      </c>
      <c r="P34">
        <f>(((C34+2*'Data-PC'!X$3+2*'Data-PC'!X$4)*(D34+2*'Data-PC'!X$3+2*'Data-PC'!X$4))-1/2*H34*J34*AVERAGE(I34,K34))/1000000</f>
        <v>2.96</v>
      </c>
      <c r="Q34">
        <f>N34*G34/1000</f>
        <v>0.36</v>
      </c>
      <c r="R34">
        <f>O34*G34/1000</f>
        <v>1.7062257748298548</v>
      </c>
      <c r="T34">
        <v>1</v>
      </c>
      <c r="U34">
        <v>10</v>
      </c>
      <c r="V34">
        <f>T34*0.006165*U34^2*(O34-(8+(I34+K34))*'Data-PC'!$X$5/1000+2*75/1000+IF(O34&gt;12,'Data-PC'!$X$6*U34/1000,0))</f>
        <v>1.9743113803652113</v>
      </c>
      <c r="W34">
        <v>10</v>
      </c>
      <c r="X34">
        <v>125</v>
      </c>
      <c r="Z34">
        <f>IF(X34&gt;0,((C34-2*'Data-PC'!$X$5+2*L34)*(ROUND((D34-J34-2*'Data-PC'!$X$5)/X34,0)+1)+(C34-I34/2*H34-2*'Data-PC'!$X$5+2*M34)*(ROUND(J34/X34,0)+1))/1000,0)</f>
        <v>14.08</v>
      </c>
      <c r="AA34">
        <f>0.006165*W34^2*Z34</f>
        <v>8.68032</v>
      </c>
      <c r="AB34">
        <v>10</v>
      </c>
      <c r="AC34">
        <v>125</v>
      </c>
      <c r="AE34">
        <f>IF(AC34&gt;0,((D34-J34-2*'Data-PC'!$X$5+2*L34)*(ROUND((C34-2*'Data-PC'!$X$5)/AC34,0)+1)+J34*(ROUND((C34-I34/2*H34-2*'Data-PC'!$X$5)/AC34,0)+1))/1000,0)</f>
        <v>9.62</v>
      </c>
      <c r="AF34">
        <f>0.006165*AB34^2*AE34</f>
        <v>5.93073</v>
      </c>
      <c r="AG34">
        <v>13</v>
      </c>
      <c r="AH34">
        <v>125</v>
      </c>
      <c r="AJ34">
        <f>IF(AH34&gt;0,((C34-2*'Data-PC'!$X$5+2*M34)*(ROUND((D34-J34-2*'Data-PC'!$X$5)/AH34,0)+1)+(C34-I34/2*H34-2*'Data-PC'!$X$5+2*M34)*(ROUND(J34/AH34,0)+1))/1000,0)</f>
        <v>15.4</v>
      </c>
      <c r="AK34">
        <f>0.006165*AG34^2*AJ34</f>
        <v>16.045029</v>
      </c>
      <c r="AL34">
        <v>13</v>
      </c>
      <c r="AM34">
        <v>125</v>
      </c>
      <c r="AO34">
        <f>IF(AM34&gt;0,((D34-J34-2*'Data-PC'!$X$5+2*M34)*(ROUND((C34-2*'Data-PC'!$X$5)/AM34,0)+1)+J34*(ROUND((C34-I34/2*H34-2*'Data-PC'!$X$5)/AM34,0)+1))/1000,0)</f>
        <v>13.58</v>
      </c>
      <c r="AP34">
        <f>0.006165*AL34^2*AO34</f>
        <v>14.1487983</v>
      </c>
      <c r="AQ34">
        <v>4</v>
      </c>
      <c r="AR34">
        <v>16</v>
      </c>
      <c r="AS34">
        <f>2*(E34-2*'Data-PC'!$X$5)+3*(MAX(X34,AC34,AH34,AM34)+'Data-PC'!$X$7*AR34)</f>
        <v>1255</v>
      </c>
      <c r="AT34">
        <f>AQ34*0.006165*AR34^2*AS34/1000</f>
        <v>7.922764800000001</v>
      </c>
      <c r="AU34">
        <v>10</v>
      </c>
      <c r="AV34">
        <v>400</v>
      </c>
      <c r="AW34">
        <f>IF(AV34&gt;0,(M34+2*L34*AU34)/1000*(ROUND((C34-2*'Data-PC'!$X$5)/AV34,0)+1)*(ROUND((D34-2*'Data-PC'!$X$5)/AV34,0)+1),0)</f>
        <v>43.56</v>
      </c>
      <c r="AX34">
        <f>0.006165*AU34^2*AW34</f>
        <v>26.854740000000003</v>
      </c>
    </row>
    <row r="35">
      <c r="AE35">
        <f>IF(AC35&gt;0,((D35-J35-2*'Data-PC'!$X$5+2*M35)*(ROUND(C35/AC35,0)+1)+J35*(ROUND((C35-I35/2*H35)/AC35,0)+1))/1000,0)</f>
        <v>0</v>
      </c>
      <c r="AF35">
        <f>0.006165*AB35^2*AE35</f>
        <v>0</v>
      </c>
    </row>
    <row r="36">
      <c r="AE36">
        <f>IF(AC36&gt;0,((D36-J36-2*'Data-PC'!$X$5+2*M36)*(ROUND(C36/AC36,0)+1)+J36*(ROUND((C36-I36/2*H36)/AC36,0)+1))/1000,0)</f>
        <v>0</v>
      </c>
      <c r="AF36">
        <f>0.006165*AB36^2*AE36</f>
        <v>0</v>
      </c>
    </row>
    <row r="38">
      <c r="B38" t="str">
        <v>Cek Jumlah Tulangan Pile Cap Yang Tidak Kotak</v>
      </c>
    </row>
    <row r="40">
      <c r="B40" t="str">
        <v>P3</v>
      </c>
      <c r="Z40" t="e">
        <f>(ROUND((#REF!-#REF!-2*'Data-PC'!$X$5)/#REF!,0)+1)+(ROUND(#REF!/#REF!,0)+1)</f>
        <v>#REF!</v>
      </c>
      <c r="AE40" t="e">
        <f>(ROUND((#REF!-2*'Data-PC'!$X$5)/#REF!,0)+1)+(ROUND((#REF!-#REF!/2*#REF!-2*'Data-PC'!$X$5)/#REF!,0)+1)</f>
        <v>#REF!</v>
      </c>
      <c r="AJ40" t="e">
        <f>(ROUND((#REF!-#REF!-2*'Data-PC'!$X$5)/#REF!,0)+1)+(ROUND(#REF!/#REF!,0)+1)</f>
        <v>#REF!</v>
      </c>
      <c r="AO40" t="e">
        <f>(ROUND((#REF!-2*'Data-PC'!$X$5)/#REF!,0)+1)+(ROUND((#REF!-#REF!/2*#REF!-2*'Data-PC'!$X$5)/#REF!,0)+1)</f>
        <v>#REF!</v>
      </c>
    </row>
    <row r="41">
      <c r="B41" t="str">
        <v>P3A</v>
      </c>
      <c r="Z41" t="e">
        <f>(ROUND((#REF!-#REF!-2*'Data-PC'!$X$5)/#REF!,0)+1)+(ROUND(#REF!/#REF!,0)+1)</f>
        <v>#REF!</v>
      </c>
      <c r="AE41" t="e">
        <f>(ROUND((#REF!-2*'Data-PC'!$X$5)/#REF!,0)+1)+(ROUND((#REF!-#REF!/2*#REF!-2*'Data-PC'!$X$5)/#REF!,0)+1)</f>
        <v>#REF!</v>
      </c>
      <c r="AJ41" t="e">
        <f>(ROUND((#REF!-#REF!-2*'Data-PC'!$X$5)/#REF!,0)+1)+(ROUND(#REF!/#REF!,0)+1)</f>
        <v>#REF!</v>
      </c>
      <c r="AO41" t="e">
        <f>(ROUND((#REF!-2*'Data-PC'!$X$5)/#REF!,0)+1)+(ROUND((#REF!-#REF!/2*#REF!-2*'Data-PC'!$X$5)/#REF!,0)+1)</f>
        <v>#REF!</v>
      </c>
    </row>
    <row r="42">
      <c r="B42" t="str">
        <v>P3B</v>
      </c>
      <c r="Z42" t="e">
        <f>(ROUND((#REF!-#REF!-2*'Data-PC'!$X$5)/#REF!,0)+1)+(ROUND(#REF!/#REF!,0)+1)</f>
        <v>#REF!</v>
      </c>
      <c r="AE42" t="e">
        <f>(ROUND((#REF!-2*'Data-PC'!$X$5)/#REF!,0)+1)+(ROUND((#REF!-#REF!/2*#REF!-2*'Data-PC'!$X$5)/#REF!,0)+1)</f>
        <v>#REF!</v>
      </c>
      <c r="AJ42" t="e">
        <f>(ROUND((#REF!-#REF!-2*'Data-PC'!$X$5)/#REF!,0)+1)+(ROUND(#REF!/#REF!,0)+1)</f>
        <v>#REF!</v>
      </c>
      <c r="AO42" t="e">
        <f>(ROUND((#REF!-2*'Data-PC'!$X$5)/#REF!,0)+1)+(ROUND((#REF!-#REF!/2*#REF!-2*'Data-PC'!$X$5)/#REF!,0)+1)</f>
        <v>#REF!</v>
      </c>
    </row>
    <row r="46">
      <c r="B46" t="str">
        <v>PC.1</v>
      </c>
    </row>
    <row r="47">
      <c r="B47" t="str">
        <v>PC.1A</v>
      </c>
    </row>
    <row r="48">
      <c r="B48" t="str">
        <v>PC.2</v>
      </c>
    </row>
    <row r="49">
      <c r="B49" t="str">
        <v>PC.2A</v>
      </c>
    </row>
    <row r="50">
      <c r="B50" t="str">
        <v>PC.3</v>
      </c>
    </row>
    <row r="51">
      <c r="B51" t="str">
        <v>PC.3A</v>
      </c>
    </row>
    <row r="52">
      <c r="B52" t="str">
        <v>PC.4</v>
      </c>
    </row>
    <row r="53">
      <c r="B53" t="str">
        <v>PC.5</v>
      </c>
    </row>
    <row r="54">
      <c r="B54" t="str">
        <v>PC.5A</v>
      </c>
    </row>
    <row r="55">
      <c r="B55" t="str">
        <v>PC.5B</v>
      </c>
    </row>
    <row r="56">
      <c r="B56" t="str">
        <v>PC.6</v>
      </c>
    </row>
    <row r="57">
      <c r="B57" t="str">
        <v>PC.6A</v>
      </c>
    </row>
    <row r="58">
      <c r="B58" t="str">
        <v>PC.8</v>
      </c>
    </row>
    <row r="59">
      <c r="B59" t="str">
        <v>PC.11</v>
      </c>
    </row>
    <row r="60">
      <c r="B60" t="str">
        <v>PC.12</v>
      </c>
    </row>
  </sheetData>
  <mergeCells count="28">
    <mergeCell ref="Q9:Q11"/>
    <mergeCell ref="R9:R11"/>
    <mergeCell ref="I2:K2"/>
    <mergeCell ref="W2:AP2"/>
    <mergeCell ref="B9:B12"/>
    <mergeCell ref="C9:C11"/>
    <mergeCell ref="D9:D11"/>
    <mergeCell ref="E9:E11"/>
    <mergeCell ref="F9:F11"/>
    <mergeCell ref="G9:G11"/>
    <mergeCell ref="H9:K9"/>
    <mergeCell ref="L9:L11"/>
    <mergeCell ref="AZ9:BB10"/>
    <mergeCell ref="H10:K10"/>
    <mergeCell ref="W10:AA10"/>
    <mergeCell ref="AB10:AF10"/>
    <mergeCell ref="AG10:AK10"/>
    <mergeCell ref="AL10:AP10"/>
    <mergeCell ref="S9:S11"/>
    <mergeCell ref="T9:V10"/>
    <mergeCell ref="W9:AF9"/>
    <mergeCell ref="AG9:AP9"/>
    <mergeCell ref="AQ9:AT10"/>
    <mergeCell ref="AU9:AX10"/>
    <mergeCell ref="M9:M11"/>
    <mergeCell ref="N9:N11"/>
    <mergeCell ref="O9:O11"/>
    <mergeCell ref="P9:P11"/>
  </mergeCells>
  <pageMargins left="0" right="0" top="1.5" bottom="0.75" header="0.25" footer="0.25"/>
  <ignoredErrors>
    <ignoredError numberStoredAsText="1" sqref="A1:BZ103"/>
  </ignoredErrors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6"/>
  <sheetViews>
    <sheetView workbookViewId="0" rightToLeft="0"/>
  </sheetViews>
  <sheetData>
    <row r="1">
      <c r="A1" t="str">
        <v>Rekapitulasi Perhitungan Volume Pile Cap + Tanah</v>
      </c>
    </row>
    <row r="3">
      <c r="A3" t="str">
        <v>Proyek</v>
      </c>
      <c r="B3" t="str">
        <f>'Data-PC'!D2</f>
        <v>: Pakuwon Indah PD3 no. 23</v>
      </c>
    </row>
    <row r="5">
      <c r="A5" t="str">
        <v>Rekap Pile Cap</v>
      </c>
      <c r="B5" t="str">
        <v>Beton</v>
      </c>
      <c r="C5" t="str">
        <v>Bekisting</v>
      </c>
      <c r="D5" t="str">
        <v>Jmlh Pile Cap</v>
      </c>
      <c r="E5" t="str">
        <v>Jmlh Pancang</v>
      </c>
      <c r="F5" t="str">
        <v>Jmlh Bored Pile</v>
      </c>
      <c r="G5" t="str">
        <v>Galian</v>
      </c>
      <c r="H5" t="str">
        <v>Pasir Urug</v>
      </c>
      <c r="I5" t="str">
        <v>Lantai Kerja</v>
      </c>
      <c r="J5" t="str">
        <v>Besi</v>
      </c>
      <c r="R5" t="str">
        <v>Total Besi</v>
      </c>
      <c r="T5" t="str">
        <v>Rasio Bekisting</v>
      </c>
      <c r="U5" t="str">
        <v>Rasio Besi</v>
      </c>
    </row>
    <row r="6">
      <c r="J6">
        <v>6</v>
      </c>
      <c r="K6">
        <v>8</v>
      </c>
      <c r="L6">
        <v>10</v>
      </c>
      <c r="M6">
        <v>13</v>
      </c>
      <c r="N6">
        <v>16</v>
      </c>
      <c r="O6">
        <v>19</v>
      </c>
      <c r="P6">
        <v>22</v>
      </c>
      <c r="Q6">
        <v>25</v>
      </c>
    </row>
    <row r="8">
      <c r="A8" t="str">
        <v>PC.1</v>
      </c>
      <c r="B8">
        <f>SUMIF('Hasil-PC'!$B$10:$B$71,$A8,'Hasil-PC'!$T$10:$T$71)</f>
        <v>3.420000000000001</v>
      </c>
      <c r="C8">
        <f>SUMIF('Hasil-PC'!$B$10:$B$71,$A8,'Hasil-PC'!$U$10:$U$71)</f>
        <v>22.799999999999994</v>
      </c>
      <c r="D8">
        <f>SUMIF('Hasil-PC'!$B$10:$B$71,$A8,'Hasil-PC'!$C$10:$C$71)</f>
        <v>19</v>
      </c>
      <c r="E8">
        <f>SUMIF('Hasil-PC'!$B$10:$B$71,$A8,'Hasil-PC'!H$10:H$71)</f>
        <v>19</v>
      </c>
      <c r="F8">
        <f>SUMIF('Hasil-PC'!$B$10:$B$71,$A8,'Hasil-PC'!I$10:I$71)</f>
        <v>0</v>
      </c>
      <c r="G8">
        <f>SUMIF('Hasil-PC'!$B$10:$B$71,$A8,'Hasil-PC'!$L$10:$L$71)</f>
        <v>18.620000000000005</v>
      </c>
      <c r="H8">
        <f>SUMIF('Hasil-PC'!$B$10:$B$71,$A8,'Hasil-PC'!$K$10:$K$71)</f>
        <v>0</v>
      </c>
      <c r="I8">
        <f>SUMIF('Hasil-PC'!$B$10:$B$71,$A8,'Hasil-PC'!$J$10:$J$71)</f>
        <v>1.8620000000000005</v>
      </c>
      <c r="J8">
        <f>SUMIFS('Hasil-PC'!$X$10:$X$71,'Hasil-PC'!$B$10:$B$71,$A8,'Hasil-PC'!$W$10:$W$71,J$6)+SUMIFS('Hasil-PC'!$AC$10:$AC$71,'Hasil-PC'!$B$10:$B$71,$A8,'Hasil-PC'!$Y$10:$Y$71,J$6)+SUMIFS('Hasil-PC'!$AH$10:$AH$71,'Hasil-PC'!$B$10:$B$71,$A8,'Hasil-PC'!$AD$10:$AD$71,J$6)+SUMIFS('Hasil-PC'!$AM$10:$AM$71,'Hasil-PC'!$B$10:$B$71,$A8,'Hasil-PC'!$AI$10:$AI$71,J$6)+SUMIFS('Hasil-PC'!$AR$10:$AR$71,'Hasil-PC'!$B$10:$B$71,$A8,'Hasil-PC'!$AN$10:$AN$71,J$6)+SUMIFS('Hasil-PC'!$AV$10:$AV$71,'Hasil-PC'!$B$10:$B$71,$A8,'Hasil-PC'!$AT$10:$AT$71,J$6)</f>
        <v>0</v>
      </c>
      <c r="K8">
        <f>SUMIFS('Hasil-PC'!$X$10:$X$71,'Hasil-PC'!$B$10:$B$71,$A8,'Hasil-PC'!$W$10:$W$71,K$6)+SUMIFS('Hasil-PC'!$AC$10:$AC$71,'Hasil-PC'!$B$10:$B$71,$A8,'Hasil-PC'!$Y$10:$Y$71,K$6)+SUMIFS('Hasil-PC'!$AH$10:$AH$71,'Hasil-PC'!$B$10:$B$71,$A8,'Hasil-PC'!$AD$10:$AD$71,K$6)+SUMIFS('Hasil-PC'!$AM$10:$AM$71,'Hasil-PC'!$B$10:$B$71,$A8,'Hasil-PC'!$AI$10:$AI$71,K$6)+SUMIFS('Hasil-PC'!$AR$10:$AR$71,'Hasil-PC'!$B$10:$B$71,$A8,'Hasil-PC'!$AN$10:$AN$71,K$6)+SUMIFS('Hasil-PC'!$AV$10:$AV$71,'Hasil-PC'!$B$10:$B$71,$A8,'Hasil-PC'!$AT$10:$AT$71,K$6)</f>
        <v>0</v>
      </c>
      <c r="L8">
        <f>SUMIFS('Hasil-PC'!$X$10:$X$71,'Hasil-PC'!$B$10:$B$71,$A8,'Hasil-PC'!$W$10:$W$71,L$6)+SUMIFS('Hasil-PC'!$AC$10:$AC$71,'Hasil-PC'!$B$10:$B$71,$A8,'Hasil-PC'!$Y$10:$Y$71,L$6)+SUMIFS('Hasil-PC'!$AH$10:$AH$71,'Hasil-PC'!$B$10:$B$71,$A8,'Hasil-PC'!$AD$10:$AD$71,L$6)+SUMIFS('Hasil-PC'!$AM$10:$AM$71,'Hasil-PC'!$B$10:$B$71,$A8,'Hasil-PC'!$AI$10:$AI$71,L$6)+SUMIFS('Hasil-PC'!$AR$10:$AR$71,'Hasil-PC'!$B$10:$B$71,$A8,'Hasil-PC'!$AN$10:$AN$71,L$6)+SUMIFS('Hasil-PC'!$AV$10:$AV$71,'Hasil-PC'!$B$10:$B$71,$A8,'Hasil-PC'!$AT$10:$AT$71,L$6)</f>
        <v>27.058185000000005</v>
      </c>
      <c r="M8">
        <f>SUMIFS('Hasil-PC'!$X$10:$X$71,'Hasil-PC'!$B$10:$B$71,$A8,'Hasil-PC'!$W$10:$W$71,M$6)+SUMIFS('Hasil-PC'!$AC$10:$AC$71,'Hasil-PC'!$B$10:$B$71,$A8,'Hasil-PC'!$Y$10:$Y$71,M$6)+SUMIFS('Hasil-PC'!$AH$10:$AH$71,'Hasil-PC'!$B$10:$B$71,$A8,'Hasil-PC'!$AD$10:$AD$71,M$6)+SUMIFS('Hasil-PC'!$AM$10:$AM$71,'Hasil-PC'!$B$10:$B$71,$A8,'Hasil-PC'!$AI$10:$AI$71,M$6)+SUMIFS('Hasil-PC'!$AR$10:$AR$71,'Hasil-PC'!$B$10:$B$71,$A8,'Hasil-PC'!$AN$10:$AN$71,M$6)+SUMIFS('Hasil-PC'!$AV$10:$AV$71,'Hasil-PC'!$B$10:$B$71,$A8,'Hasil-PC'!$AT$10:$AT$71,M$6)</f>
        <v>475.0995600000001</v>
      </c>
      <c r="N8">
        <f>SUMIFS('Hasil-PC'!$X$10:$X$71,'Hasil-PC'!$B$10:$B$71,$A8,'Hasil-PC'!$W$10:$W$71,N$6)+SUMIFS('Hasil-PC'!$AC$10:$AC$71,'Hasil-PC'!$B$10:$B$71,$A8,'Hasil-PC'!$Y$10:$Y$71,N$6)+SUMIFS('Hasil-PC'!$AH$10:$AH$71,'Hasil-PC'!$B$10:$B$71,$A8,'Hasil-PC'!$AD$10:$AD$71,N$6)+SUMIFS('Hasil-PC'!$AM$10:$AM$71,'Hasil-PC'!$B$10:$B$71,$A8,'Hasil-PC'!$AI$10:$AI$71,N$6)+SUMIFS('Hasil-PC'!$AR$10:$AR$71,'Hasil-PC'!$B$10:$B$71,$A8,'Hasil-PC'!$AN$10:$AN$71,N$6)+SUMIFS('Hasil-PC'!$AV$10:$AV$71,'Hasil-PC'!$B$10:$B$71,$A8,'Hasil-PC'!$AT$10:$AT$71,N$6)</f>
        <v>0</v>
      </c>
      <c r="O8">
        <f>SUMIFS('Hasil-PC'!$X$10:$X$71,'Hasil-PC'!$B$10:$B$71,$A8,'Hasil-PC'!$W$10:$W$71,O$6)+SUMIFS('Hasil-PC'!$AC$10:$AC$71,'Hasil-PC'!$B$10:$B$71,$A8,'Hasil-PC'!$Y$10:$Y$71,O$6)+SUMIFS('Hasil-PC'!$AH$10:$AH$71,'Hasil-PC'!$B$10:$B$71,$A8,'Hasil-PC'!$AD$10:$AD$71,O$6)+SUMIFS('Hasil-PC'!$AM$10:$AM$71,'Hasil-PC'!$B$10:$B$71,$A8,'Hasil-PC'!$AI$10:$AI$71,O$6)+SUMIFS('Hasil-PC'!$AR$10:$AR$71,'Hasil-PC'!$B$10:$B$71,$A8,'Hasil-PC'!$AN$10:$AN$71,O$6)+SUMIFS('Hasil-PC'!$AV$10:$AV$71,'Hasil-PC'!$B$10:$B$71,$A8,'Hasil-PC'!$AT$10:$AT$71,O$6)</f>
        <v>0</v>
      </c>
      <c r="P8">
        <f>SUMIFS('Hasil-PC'!$X$10:$X$71,'Hasil-PC'!$B$10:$B$71,$A8,'Hasil-PC'!$W$10:$W$71,P$6)+SUMIFS('Hasil-PC'!$AC$10:$AC$71,'Hasil-PC'!$B$10:$B$71,$A8,'Hasil-PC'!$Y$10:$Y$71,P$6)+SUMIFS('Hasil-PC'!$AH$10:$AH$71,'Hasil-PC'!$B$10:$B$71,$A8,'Hasil-PC'!$AD$10:$AD$71,P$6)+SUMIFS('Hasil-PC'!$AM$10:$AM$71,'Hasil-PC'!$B$10:$B$71,$A8,'Hasil-PC'!$AI$10:$AI$71,P$6)+SUMIFS('Hasil-PC'!$AR$10:$AR$71,'Hasil-PC'!$B$10:$B$71,$A8,'Hasil-PC'!$AN$10:$AN$71,P$6)+SUMIFS('Hasil-PC'!$AV$10:$AV$71,'Hasil-PC'!$B$10:$B$71,$A8,'Hasil-PC'!$AT$10:$AT$71,P$6)</f>
        <v>0</v>
      </c>
      <c r="Q8">
        <f>SUMIFS('Hasil-PC'!$X$10:$X$71,'Hasil-PC'!$B$10:$B$71,$A8,'Hasil-PC'!$W$10:$W$71,Q$6)+SUMIFS('Hasil-PC'!$AC$10:$AC$71,'Hasil-PC'!$B$10:$B$71,$A8,'Hasil-PC'!$Y$10:$Y$71,Q$6)+SUMIFS('Hasil-PC'!$AH$10:$AH$71,'Hasil-PC'!$B$10:$B$71,$A8,'Hasil-PC'!$AD$10:$AD$71,Q$6)+SUMIFS('Hasil-PC'!$AM$10:$AM$71,'Hasil-PC'!$B$10:$B$71,$A8,'Hasil-PC'!$AI$10:$AI$71,Q$6)+SUMIFS('Hasil-PC'!$AR$10:$AR$71,'Hasil-PC'!$B$10:$B$71,$A8,'Hasil-PC'!$AN$10:$AN$71,Q$6)+SUMIFS('Hasil-PC'!$AV$10:$AV$71,'Hasil-PC'!$B$10:$B$71,$A8,'Hasil-PC'!$AT$10:$AT$71,Q$6)</f>
        <v>0</v>
      </c>
      <c r="R8">
        <f>SUM(J8:Q8)</f>
        <v>502.1577450000001</v>
      </c>
      <c r="T8">
        <f>IF(B8&gt;0,C8/B8,0)</f>
        <v>6.666666666666663</v>
      </c>
      <c r="U8">
        <f>IF(B8&gt;0,R8/B8,0)</f>
        <v>146.82975</v>
      </c>
    </row>
    <row r="9">
      <c r="A9" t="str">
        <v>PC.1A</v>
      </c>
      <c r="B9">
        <f>SUMIF('Hasil-PC'!$B$10:$B$71,$A9,'Hasil-PC'!$T$10:$T$71)</f>
        <v>1.008</v>
      </c>
      <c r="C9">
        <f>SUMIF('Hasil-PC'!$B$10:$B$71,$A9,'Hasil-PC'!$U$10:$U$71)</f>
        <v>6.72</v>
      </c>
      <c r="D9">
        <f>SUMIF('Hasil-PC'!$B$10:$B$71,$A9,'Hasil-PC'!$C$10:$C$71)</f>
        <v>4</v>
      </c>
      <c r="E9">
        <f>SUMIF('Hasil-PC'!$B$10:$B$71,$A9,'Hasil-PC'!H$10:H$71)</f>
        <v>4</v>
      </c>
      <c r="F9">
        <f>SUMIF('Hasil-PC'!$B$10:$B$71,$A9,'Hasil-PC'!I$10:I$71)</f>
        <v>0</v>
      </c>
      <c r="G9">
        <f>SUMIF('Hasil-PC'!$B$10:$B$71,$A9,'Hasil-PC'!$L$10:$L$71)</f>
        <v>5.4879999999999995</v>
      </c>
      <c r="H9">
        <f>SUMIF('Hasil-PC'!$B$10:$B$71,$A9,'Hasil-PC'!$K$10:$K$71)</f>
        <v>0</v>
      </c>
      <c r="I9">
        <f>SUMIF('Hasil-PC'!$B$10:$B$71,$A9,'Hasil-PC'!$J$10:$J$71)</f>
        <v>0.392</v>
      </c>
      <c r="J9">
        <f>SUMIFS('Hasil-PC'!$X$10:$X$71,'Hasil-PC'!$B$10:$B$71,$A9,'Hasil-PC'!$W$10:$W$71,J$6)+SUMIFS('Hasil-PC'!$AC$10:$AC$71,'Hasil-PC'!$B$10:$B$71,$A9,'Hasil-PC'!$Y$10:$Y$71,J$6)+SUMIFS('Hasil-PC'!$AH$10:$AH$71,'Hasil-PC'!$B$10:$B$71,$A9,'Hasil-PC'!$AD$10:$AD$71,J$6)+SUMIFS('Hasil-PC'!$AM$10:$AM$71,'Hasil-PC'!$B$10:$B$71,$A9,'Hasil-PC'!$AI$10:$AI$71,J$6)+SUMIFS('Hasil-PC'!$AR$10:$AR$71,'Hasil-PC'!$B$10:$B$71,$A9,'Hasil-PC'!$AN$10:$AN$71,J$6)+SUMIFS('Hasil-PC'!$AV$10:$AV$71,'Hasil-PC'!$B$10:$B$71,$A9,'Hasil-PC'!$AT$10:$AT$71,J$6)</f>
        <v>0</v>
      </c>
      <c r="K9">
        <f>SUMIFS('Hasil-PC'!$X$10:$X$71,'Hasil-PC'!$B$10:$B$71,$A9,'Hasil-PC'!$W$10:$W$71,K$6)+SUMIFS('Hasil-PC'!$AC$10:$AC$71,'Hasil-PC'!$B$10:$B$71,$A9,'Hasil-PC'!$Y$10:$Y$71,K$6)+SUMIFS('Hasil-PC'!$AH$10:$AH$71,'Hasil-PC'!$B$10:$B$71,$A9,'Hasil-PC'!$AD$10:$AD$71,K$6)+SUMIFS('Hasil-PC'!$AM$10:$AM$71,'Hasil-PC'!$B$10:$B$71,$A9,'Hasil-PC'!$AI$10:$AI$71,K$6)+SUMIFS('Hasil-PC'!$AR$10:$AR$71,'Hasil-PC'!$B$10:$B$71,$A9,'Hasil-PC'!$AN$10:$AN$71,K$6)+SUMIFS('Hasil-PC'!$AV$10:$AV$71,'Hasil-PC'!$B$10:$B$71,$A9,'Hasil-PC'!$AT$10:$AT$71,K$6)</f>
        <v>0</v>
      </c>
      <c r="L9">
        <f>SUMIFS('Hasil-PC'!$X$10:$X$71,'Hasil-PC'!$B$10:$B$71,$A9,'Hasil-PC'!$W$10:$W$71,L$6)+SUMIFS('Hasil-PC'!$AC$10:$AC$71,'Hasil-PC'!$B$10:$B$71,$A9,'Hasil-PC'!$Y$10:$Y$71,L$6)+SUMIFS('Hasil-PC'!$AH$10:$AH$71,'Hasil-PC'!$B$10:$B$71,$A9,'Hasil-PC'!$AD$10:$AD$71,L$6)+SUMIFS('Hasil-PC'!$AM$10:$AM$71,'Hasil-PC'!$B$10:$B$71,$A9,'Hasil-PC'!$AI$10:$AI$71,L$6)+SUMIFS('Hasil-PC'!$AR$10:$AR$71,'Hasil-PC'!$B$10:$B$71,$A9,'Hasil-PC'!$AN$10:$AN$71,L$6)+SUMIFS('Hasil-PC'!$AV$10:$AV$71,'Hasil-PC'!$B$10:$B$71,$A9,'Hasil-PC'!$AT$10:$AT$71,L$6)</f>
        <v>0</v>
      </c>
      <c r="M9">
        <f>SUMIFS('Hasil-PC'!$X$10:$X$71,'Hasil-PC'!$B$10:$B$71,$A9,'Hasil-PC'!$W$10:$W$71,M$6)+SUMIFS('Hasil-PC'!$AC$10:$AC$71,'Hasil-PC'!$B$10:$B$71,$A9,'Hasil-PC'!$Y$10:$Y$71,M$6)+SUMIFS('Hasil-PC'!$AH$10:$AH$71,'Hasil-PC'!$B$10:$B$71,$A9,'Hasil-PC'!$AD$10:$AD$71,M$6)+SUMIFS('Hasil-PC'!$AM$10:$AM$71,'Hasil-PC'!$B$10:$B$71,$A9,'Hasil-PC'!$AI$10:$AI$71,M$6)+SUMIFS('Hasil-PC'!$AR$10:$AR$71,'Hasil-PC'!$B$10:$B$71,$A9,'Hasil-PC'!$AN$10:$AN$71,M$6)+SUMIFS('Hasil-PC'!$AV$10:$AV$71,'Hasil-PC'!$B$10:$B$71,$A9,'Hasil-PC'!$AT$10:$AT$71,M$6)</f>
        <v>159.68346264000002</v>
      </c>
      <c r="N9">
        <f>SUMIFS('Hasil-PC'!$X$10:$X$71,'Hasil-PC'!$B$10:$B$71,$A9,'Hasil-PC'!$W$10:$W$71,N$6)+SUMIFS('Hasil-PC'!$AC$10:$AC$71,'Hasil-PC'!$B$10:$B$71,$A9,'Hasil-PC'!$Y$10:$Y$71,N$6)+SUMIFS('Hasil-PC'!$AH$10:$AH$71,'Hasil-PC'!$B$10:$B$71,$A9,'Hasil-PC'!$AD$10:$AD$71,N$6)+SUMIFS('Hasil-PC'!$AM$10:$AM$71,'Hasil-PC'!$B$10:$B$71,$A9,'Hasil-PC'!$AI$10:$AI$71,N$6)+SUMIFS('Hasil-PC'!$AR$10:$AR$71,'Hasil-PC'!$B$10:$B$71,$A9,'Hasil-PC'!$AN$10:$AN$71,N$6)+SUMIFS('Hasil-PC'!$AV$10:$AV$71,'Hasil-PC'!$B$10:$B$71,$A9,'Hasil-PC'!$AT$10:$AT$71,N$6)</f>
        <v>0</v>
      </c>
      <c r="O9">
        <f>SUMIFS('Hasil-PC'!$X$10:$X$71,'Hasil-PC'!$B$10:$B$71,$A9,'Hasil-PC'!$W$10:$W$71,O$6)+SUMIFS('Hasil-PC'!$AC$10:$AC$71,'Hasil-PC'!$B$10:$B$71,$A9,'Hasil-PC'!$Y$10:$Y$71,O$6)+SUMIFS('Hasil-PC'!$AH$10:$AH$71,'Hasil-PC'!$B$10:$B$71,$A9,'Hasil-PC'!$AD$10:$AD$71,O$6)+SUMIFS('Hasil-PC'!$AM$10:$AM$71,'Hasil-PC'!$B$10:$B$71,$A9,'Hasil-PC'!$AI$10:$AI$71,O$6)+SUMIFS('Hasil-PC'!$AR$10:$AR$71,'Hasil-PC'!$B$10:$B$71,$A9,'Hasil-PC'!$AN$10:$AN$71,O$6)+SUMIFS('Hasil-PC'!$AV$10:$AV$71,'Hasil-PC'!$B$10:$B$71,$A9,'Hasil-PC'!$AT$10:$AT$71,O$6)</f>
        <v>0</v>
      </c>
      <c r="P9">
        <f>SUMIFS('Hasil-PC'!$X$10:$X$71,'Hasil-PC'!$B$10:$B$71,$A9,'Hasil-PC'!$W$10:$W$71,P$6)+SUMIFS('Hasil-PC'!$AC$10:$AC$71,'Hasil-PC'!$B$10:$B$71,$A9,'Hasil-PC'!$Y$10:$Y$71,P$6)+SUMIFS('Hasil-PC'!$AH$10:$AH$71,'Hasil-PC'!$B$10:$B$71,$A9,'Hasil-PC'!$AD$10:$AD$71,P$6)+SUMIFS('Hasil-PC'!$AM$10:$AM$71,'Hasil-PC'!$B$10:$B$71,$A9,'Hasil-PC'!$AI$10:$AI$71,P$6)+SUMIFS('Hasil-PC'!$AR$10:$AR$71,'Hasil-PC'!$B$10:$B$71,$A9,'Hasil-PC'!$AN$10:$AN$71,P$6)+SUMIFS('Hasil-PC'!$AV$10:$AV$71,'Hasil-PC'!$B$10:$B$71,$A9,'Hasil-PC'!$AT$10:$AT$71,P$6)</f>
        <v>0</v>
      </c>
      <c r="Q9">
        <f>SUMIFS('Hasil-PC'!$X$10:$X$71,'Hasil-PC'!$B$10:$B$71,$A9,'Hasil-PC'!$W$10:$W$71,Q$6)+SUMIFS('Hasil-PC'!$AC$10:$AC$71,'Hasil-PC'!$B$10:$B$71,$A9,'Hasil-PC'!$Y$10:$Y$71,Q$6)+SUMIFS('Hasil-PC'!$AH$10:$AH$71,'Hasil-PC'!$B$10:$B$71,$A9,'Hasil-PC'!$AD$10:$AD$71,Q$6)+SUMIFS('Hasil-PC'!$AM$10:$AM$71,'Hasil-PC'!$B$10:$B$71,$A9,'Hasil-PC'!$AI$10:$AI$71,Q$6)+SUMIFS('Hasil-PC'!$AR$10:$AR$71,'Hasil-PC'!$B$10:$B$71,$A9,'Hasil-PC'!$AN$10:$AN$71,Q$6)+SUMIFS('Hasil-PC'!$AV$10:$AV$71,'Hasil-PC'!$B$10:$B$71,$A9,'Hasil-PC'!$AT$10:$AT$71,Q$6)</f>
        <v>0</v>
      </c>
      <c r="R9">
        <f>SUM(J9:Q9)</f>
        <v>159.68346264000002</v>
      </c>
      <c r="T9">
        <f>IF(B9&gt;0,C9/B9,0)</f>
        <v>6.666666666666666</v>
      </c>
      <c r="U9">
        <f>IF(B9&gt;0,R9/B9,0)</f>
        <v>158.4161335714286</v>
      </c>
    </row>
    <row r="10">
      <c r="A10" t="str">
        <v>PC.2</v>
      </c>
      <c r="B10">
        <f>SUMIF('Hasil-PC'!$B$10:$B$71,$A10,'Hasil-PC'!$T$10:$T$71)</f>
        <v>5.850000000000001</v>
      </c>
      <c r="C10">
        <f>SUMIF('Hasil-PC'!$B$10:$B$71,$A10,'Hasil-PC'!$U$10:$U$71)</f>
        <v>27.300000000000008</v>
      </c>
      <c r="D10">
        <f>SUMIF('Hasil-PC'!$B$10:$B$71,$A10,'Hasil-PC'!$C$10:$C$71)</f>
        <v>13</v>
      </c>
      <c r="E10">
        <f>SUMIF('Hasil-PC'!$B$10:$B$71,$A10,'Hasil-PC'!H$10:H$71)</f>
        <v>26</v>
      </c>
      <c r="F10">
        <f>SUMIF('Hasil-PC'!$B$10:$B$71,$A10,'Hasil-PC'!I$10:I$71)</f>
        <v>0</v>
      </c>
      <c r="G10">
        <f>SUMIF('Hasil-PC'!$B$10:$B$71,$A10,'Hasil-PC'!$L$10:$L$71)</f>
        <v>20.929999999999996</v>
      </c>
      <c r="H10">
        <f>SUMIF('Hasil-PC'!$B$10:$B$71,$A10,'Hasil-PC'!$K$10:$K$71)</f>
        <v>0</v>
      </c>
      <c r="I10">
        <f>SUMIF('Hasil-PC'!$B$10:$B$71,$A10,'Hasil-PC'!$J$10:$J$71)</f>
        <v>2.093</v>
      </c>
      <c r="J10">
        <f>SUMIFS('Hasil-PC'!$X$10:$X$71,'Hasil-PC'!$B$10:$B$71,$A10,'Hasil-PC'!$W$10:$W$71,J$6)+SUMIFS('Hasil-PC'!$AC$10:$AC$71,'Hasil-PC'!$B$10:$B$71,$A10,'Hasil-PC'!$Y$10:$Y$71,J$6)+SUMIFS('Hasil-PC'!$AH$10:$AH$71,'Hasil-PC'!$B$10:$B$71,$A10,'Hasil-PC'!$AD$10:$AD$71,J$6)+SUMIFS('Hasil-PC'!$AM$10:$AM$71,'Hasil-PC'!$B$10:$B$71,$A10,'Hasil-PC'!$AI$10:$AI$71,J$6)+SUMIFS('Hasil-PC'!$AR$10:$AR$71,'Hasil-PC'!$B$10:$B$71,$A10,'Hasil-PC'!$AN$10:$AN$71,J$6)+SUMIFS('Hasil-PC'!$AV$10:$AV$71,'Hasil-PC'!$B$10:$B$71,$A10,'Hasil-PC'!$AT$10:$AT$71,J$6)</f>
        <v>0</v>
      </c>
      <c r="K10">
        <f>SUMIFS('Hasil-PC'!$X$10:$X$71,'Hasil-PC'!$B$10:$B$71,$A10,'Hasil-PC'!$W$10:$W$71,K$6)+SUMIFS('Hasil-PC'!$AC$10:$AC$71,'Hasil-PC'!$B$10:$B$71,$A10,'Hasil-PC'!$Y$10:$Y$71,K$6)+SUMIFS('Hasil-PC'!$AH$10:$AH$71,'Hasil-PC'!$B$10:$B$71,$A10,'Hasil-PC'!$AD$10:$AD$71,K$6)+SUMIFS('Hasil-PC'!$AM$10:$AM$71,'Hasil-PC'!$B$10:$B$71,$A10,'Hasil-PC'!$AI$10:$AI$71,K$6)+SUMIFS('Hasil-PC'!$AR$10:$AR$71,'Hasil-PC'!$B$10:$B$71,$A10,'Hasil-PC'!$AN$10:$AN$71,K$6)+SUMIFS('Hasil-PC'!$AV$10:$AV$71,'Hasil-PC'!$B$10:$B$71,$A10,'Hasil-PC'!$AT$10:$AT$71,K$6)</f>
        <v>0</v>
      </c>
      <c r="L10">
        <f>SUMIFS('Hasil-PC'!$X$10:$X$71,'Hasil-PC'!$B$10:$B$71,$A10,'Hasil-PC'!$W$10:$W$71,L$6)+SUMIFS('Hasil-PC'!$AC$10:$AC$71,'Hasil-PC'!$B$10:$B$71,$A10,'Hasil-PC'!$Y$10:$Y$71,L$6)+SUMIFS('Hasil-PC'!$AH$10:$AH$71,'Hasil-PC'!$B$10:$B$71,$A10,'Hasil-PC'!$AD$10:$AD$71,L$6)+SUMIFS('Hasil-PC'!$AM$10:$AM$71,'Hasil-PC'!$B$10:$B$71,$A10,'Hasil-PC'!$AI$10:$AI$71,L$6)+SUMIFS('Hasil-PC'!$AR$10:$AR$71,'Hasil-PC'!$B$10:$B$71,$A10,'Hasil-PC'!$AN$10:$AN$71,L$6)+SUMIFS('Hasil-PC'!$AV$10:$AV$71,'Hasil-PC'!$B$10:$B$71,$A10,'Hasil-PC'!$AT$10:$AT$71,L$6)</f>
        <v>32.93959500000001</v>
      </c>
      <c r="M10">
        <f>SUMIFS('Hasil-PC'!$X$10:$X$71,'Hasil-PC'!$B$10:$B$71,$A10,'Hasil-PC'!$W$10:$W$71,M$6)+SUMIFS('Hasil-PC'!$AC$10:$AC$71,'Hasil-PC'!$B$10:$B$71,$A10,'Hasil-PC'!$Y$10:$Y$71,M$6)+SUMIFS('Hasil-PC'!$AH$10:$AH$71,'Hasil-PC'!$B$10:$B$71,$A10,'Hasil-PC'!$AD$10:$AD$71,M$6)+SUMIFS('Hasil-PC'!$AM$10:$AM$71,'Hasil-PC'!$B$10:$B$71,$A10,'Hasil-PC'!$AI$10:$AI$71,M$6)+SUMIFS('Hasil-PC'!$AR$10:$AR$71,'Hasil-PC'!$B$10:$B$71,$A10,'Hasil-PC'!$AN$10:$AN$71,M$6)+SUMIFS('Hasil-PC'!$AV$10:$AV$71,'Hasil-PC'!$B$10:$B$71,$A10,'Hasil-PC'!$AT$10:$AT$71,M$6)</f>
        <v>273.32811089999996</v>
      </c>
      <c r="N10">
        <f>SUMIFS('Hasil-PC'!$X$10:$X$71,'Hasil-PC'!$B$10:$B$71,$A10,'Hasil-PC'!$W$10:$W$71,N$6)+SUMIFS('Hasil-PC'!$AC$10:$AC$71,'Hasil-PC'!$B$10:$B$71,$A10,'Hasil-PC'!$Y$10:$Y$71,N$6)+SUMIFS('Hasil-PC'!$AH$10:$AH$71,'Hasil-PC'!$B$10:$B$71,$A10,'Hasil-PC'!$AD$10:$AD$71,N$6)+SUMIFS('Hasil-PC'!$AM$10:$AM$71,'Hasil-PC'!$B$10:$B$71,$A10,'Hasil-PC'!$AI$10:$AI$71,N$6)+SUMIFS('Hasil-PC'!$AR$10:$AR$71,'Hasil-PC'!$B$10:$B$71,$A10,'Hasil-PC'!$AN$10:$AN$71,N$6)+SUMIFS('Hasil-PC'!$AV$10:$AV$71,'Hasil-PC'!$B$10:$B$71,$A10,'Hasil-PC'!$AT$10:$AT$71,N$6)</f>
        <v>558.4760064</v>
      </c>
      <c r="O10">
        <f>SUMIFS('Hasil-PC'!$X$10:$X$71,'Hasil-PC'!$B$10:$B$71,$A10,'Hasil-PC'!$W$10:$W$71,O$6)+SUMIFS('Hasil-PC'!$AC$10:$AC$71,'Hasil-PC'!$B$10:$B$71,$A10,'Hasil-PC'!$Y$10:$Y$71,O$6)+SUMIFS('Hasil-PC'!$AH$10:$AH$71,'Hasil-PC'!$B$10:$B$71,$A10,'Hasil-PC'!$AD$10:$AD$71,O$6)+SUMIFS('Hasil-PC'!$AM$10:$AM$71,'Hasil-PC'!$B$10:$B$71,$A10,'Hasil-PC'!$AI$10:$AI$71,O$6)+SUMIFS('Hasil-PC'!$AR$10:$AR$71,'Hasil-PC'!$B$10:$B$71,$A10,'Hasil-PC'!$AN$10:$AN$71,O$6)+SUMIFS('Hasil-PC'!$AV$10:$AV$71,'Hasil-PC'!$B$10:$B$71,$A10,'Hasil-PC'!$AT$10:$AT$71,O$6)</f>
        <v>0</v>
      </c>
      <c r="P10">
        <f>SUMIFS('Hasil-PC'!$X$10:$X$71,'Hasil-PC'!$B$10:$B$71,$A10,'Hasil-PC'!$W$10:$W$71,P$6)+SUMIFS('Hasil-PC'!$AC$10:$AC$71,'Hasil-PC'!$B$10:$B$71,$A10,'Hasil-PC'!$Y$10:$Y$71,P$6)+SUMIFS('Hasil-PC'!$AH$10:$AH$71,'Hasil-PC'!$B$10:$B$71,$A10,'Hasil-PC'!$AD$10:$AD$71,P$6)+SUMIFS('Hasil-PC'!$AM$10:$AM$71,'Hasil-PC'!$B$10:$B$71,$A10,'Hasil-PC'!$AI$10:$AI$71,P$6)+SUMIFS('Hasil-PC'!$AR$10:$AR$71,'Hasil-PC'!$B$10:$B$71,$A10,'Hasil-PC'!$AN$10:$AN$71,P$6)+SUMIFS('Hasil-PC'!$AV$10:$AV$71,'Hasil-PC'!$B$10:$B$71,$A10,'Hasil-PC'!$AT$10:$AT$71,P$6)</f>
        <v>0</v>
      </c>
      <c r="Q10">
        <f>SUMIFS('Hasil-PC'!$X$10:$X$71,'Hasil-PC'!$B$10:$B$71,$A10,'Hasil-PC'!$W$10:$W$71,Q$6)+SUMIFS('Hasil-PC'!$AC$10:$AC$71,'Hasil-PC'!$B$10:$B$71,$A10,'Hasil-PC'!$Y$10:$Y$71,Q$6)+SUMIFS('Hasil-PC'!$AH$10:$AH$71,'Hasil-PC'!$B$10:$B$71,$A10,'Hasil-PC'!$AD$10:$AD$71,Q$6)+SUMIFS('Hasil-PC'!$AM$10:$AM$71,'Hasil-PC'!$B$10:$B$71,$A10,'Hasil-PC'!$AI$10:$AI$71,Q$6)+SUMIFS('Hasil-PC'!$AR$10:$AR$71,'Hasil-PC'!$B$10:$B$71,$A10,'Hasil-PC'!$AN$10:$AN$71,Q$6)+SUMIFS('Hasil-PC'!$AV$10:$AV$71,'Hasil-PC'!$B$10:$B$71,$A10,'Hasil-PC'!$AT$10:$AT$71,Q$6)</f>
        <v>0</v>
      </c>
      <c r="R10">
        <f>SUM(J10:Q10)</f>
        <v>864.7437123</v>
      </c>
      <c r="T10">
        <f>IF(B10&gt;0,C10/B10,0)</f>
        <v>4.666666666666667</v>
      </c>
      <c r="U10">
        <f>IF(B10&gt;0,R10/B10,0)</f>
        <v>147.81943799999996</v>
      </c>
    </row>
    <row r="11">
      <c r="A11" t="str">
        <v>PC.2A</v>
      </c>
      <c r="B11">
        <f>SUMIF('Hasil-PC'!$B$10:$B$71,$A11,'Hasil-PC'!$T$10:$T$71)</f>
        <v>2.16</v>
      </c>
      <c r="C11">
        <f>SUMIF('Hasil-PC'!$B$10:$B$71,$A11,'Hasil-PC'!$U$10:$U$71)</f>
        <v>10.08</v>
      </c>
      <c r="D11">
        <f>SUMIF('Hasil-PC'!$B$10:$B$71,$A11,'Hasil-PC'!$C$10:$C$71)</f>
        <v>4</v>
      </c>
      <c r="E11">
        <f>SUMIF('Hasil-PC'!$B$10:$B$71,$A11,'Hasil-PC'!H$10:H$71)</f>
        <v>8</v>
      </c>
      <c r="F11">
        <f>SUMIF('Hasil-PC'!$B$10:$B$71,$A11,'Hasil-PC'!I$10:I$71)</f>
        <v>0</v>
      </c>
      <c r="G11">
        <f>SUMIF('Hasil-PC'!$B$10:$B$71,$A11,'Hasil-PC'!$L$10:$L$71)</f>
        <v>7.728</v>
      </c>
      <c r="H11">
        <f>SUMIF('Hasil-PC'!$B$10:$B$71,$A11,'Hasil-PC'!$K$10:$K$71)</f>
        <v>0</v>
      </c>
      <c r="I11">
        <f>SUMIF('Hasil-PC'!$B$10:$B$71,$A11,'Hasil-PC'!$J$10:$J$71)</f>
        <v>0.644</v>
      </c>
      <c r="J11">
        <f>SUMIFS('Hasil-PC'!$X$10:$X$71,'Hasil-PC'!$B$10:$B$71,$A11,'Hasil-PC'!$W$10:$W$71,J$6)+SUMIFS('Hasil-PC'!$AC$10:$AC$71,'Hasil-PC'!$B$10:$B$71,$A11,'Hasil-PC'!$Y$10:$Y$71,J$6)+SUMIFS('Hasil-PC'!$AH$10:$AH$71,'Hasil-PC'!$B$10:$B$71,$A11,'Hasil-PC'!$AD$10:$AD$71,J$6)+SUMIFS('Hasil-PC'!$AM$10:$AM$71,'Hasil-PC'!$B$10:$B$71,$A11,'Hasil-PC'!$AI$10:$AI$71,J$6)+SUMIFS('Hasil-PC'!$AR$10:$AR$71,'Hasil-PC'!$B$10:$B$71,$A11,'Hasil-PC'!$AN$10:$AN$71,J$6)+SUMIFS('Hasil-PC'!$AV$10:$AV$71,'Hasil-PC'!$B$10:$B$71,$A11,'Hasil-PC'!$AT$10:$AT$71,J$6)</f>
        <v>0</v>
      </c>
      <c r="K11">
        <f>SUMIFS('Hasil-PC'!$X$10:$X$71,'Hasil-PC'!$B$10:$B$71,$A11,'Hasil-PC'!$W$10:$W$71,K$6)+SUMIFS('Hasil-PC'!$AC$10:$AC$71,'Hasil-PC'!$B$10:$B$71,$A11,'Hasil-PC'!$Y$10:$Y$71,K$6)+SUMIFS('Hasil-PC'!$AH$10:$AH$71,'Hasil-PC'!$B$10:$B$71,$A11,'Hasil-PC'!$AD$10:$AD$71,K$6)+SUMIFS('Hasil-PC'!$AM$10:$AM$71,'Hasil-PC'!$B$10:$B$71,$A11,'Hasil-PC'!$AI$10:$AI$71,K$6)+SUMIFS('Hasil-PC'!$AR$10:$AR$71,'Hasil-PC'!$B$10:$B$71,$A11,'Hasil-PC'!$AN$10:$AN$71,K$6)+SUMIFS('Hasil-PC'!$AV$10:$AV$71,'Hasil-PC'!$B$10:$B$71,$A11,'Hasil-PC'!$AT$10:$AT$71,K$6)</f>
        <v>0</v>
      </c>
      <c r="L11">
        <f>SUMIFS('Hasil-PC'!$X$10:$X$71,'Hasil-PC'!$B$10:$B$71,$A11,'Hasil-PC'!$W$10:$W$71,L$6)+SUMIFS('Hasil-PC'!$AC$10:$AC$71,'Hasil-PC'!$B$10:$B$71,$A11,'Hasil-PC'!$Y$10:$Y$71,L$6)+SUMIFS('Hasil-PC'!$AH$10:$AH$71,'Hasil-PC'!$B$10:$B$71,$A11,'Hasil-PC'!$AD$10:$AD$71,L$6)+SUMIFS('Hasil-PC'!$AM$10:$AM$71,'Hasil-PC'!$B$10:$B$71,$A11,'Hasil-PC'!$AI$10:$AI$71,L$6)+SUMIFS('Hasil-PC'!$AR$10:$AR$71,'Hasil-PC'!$B$10:$B$71,$A11,'Hasil-PC'!$AN$10:$AN$71,L$6)+SUMIFS('Hasil-PC'!$AV$10:$AV$71,'Hasil-PC'!$B$10:$B$71,$A11,'Hasil-PC'!$AT$10:$AT$71,L$6)</f>
        <v>0</v>
      </c>
      <c r="M11">
        <f>SUMIFS('Hasil-PC'!$X$10:$X$71,'Hasil-PC'!$B$10:$B$71,$A11,'Hasil-PC'!$W$10:$W$71,M$6)+SUMIFS('Hasil-PC'!$AC$10:$AC$71,'Hasil-PC'!$B$10:$B$71,$A11,'Hasil-PC'!$Y$10:$Y$71,M$6)+SUMIFS('Hasil-PC'!$AH$10:$AH$71,'Hasil-PC'!$B$10:$B$71,$A11,'Hasil-PC'!$AD$10:$AD$71,M$6)+SUMIFS('Hasil-PC'!$AM$10:$AM$71,'Hasil-PC'!$B$10:$B$71,$A11,'Hasil-PC'!$AI$10:$AI$71,M$6)+SUMIFS('Hasil-PC'!$AR$10:$AR$71,'Hasil-PC'!$B$10:$B$71,$A11,'Hasil-PC'!$AN$10:$AN$71,M$6)+SUMIFS('Hasil-PC'!$AV$10:$AV$71,'Hasil-PC'!$B$10:$B$71,$A11,'Hasil-PC'!$AT$10:$AT$71,M$6)</f>
        <v>275.95782863999995</v>
      </c>
      <c r="N11">
        <f>SUMIFS('Hasil-PC'!$X$10:$X$71,'Hasil-PC'!$B$10:$B$71,$A11,'Hasil-PC'!$W$10:$W$71,N$6)+SUMIFS('Hasil-PC'!$AC$10:$AC$71,'Hasil-PC'!$B$10:$B$71,$A11,'Hasil-PC'!$Y$10:$Y$71,N$6)+SUMIFS('Hasil-PC'!$AH$10:$AH$71,'Hasil-PC'!$B$10:$B$71,$A11,'Hasil-PC'!$AD$10:$AD$71,N$6)+SUMIFS('Hasil-PC'!$AM$10:$AM$71,'Hasil-PC'!$B$10:$B$71,$A11,'Hasil-PC'!$AI$10:$AI$71,N$6)+SUMIFS('Hasil-PC'!$AR$10:$AR$71,'Hasil-PC'!$B$10:$B$71,$A11,'Hasil-PC'!$AN$10:$AN$71,N$6)+SUMIFS('Hasil-PC'!$AV$10:$AV$71,'Hasil-PC'!$B$10:$B$71,$A11,'Hasil-PC'!$AT$10:$AT$71,N$6)</f>
        <v>0</v>
      </c>
      <c r="O11">
        <f>SUMIFS('Hasil-PC'!$X$10:$X$71,'Hasil-PC'!$B$10:$B$71,$A11,'Hasil-PC'!$W$10:$W$71,O$6)+SUMIFS('Hasil-PC'!$AC$10:$AC$71,'Hasil-PC'!$B$10:$B$71,$A11,'Hasil-PC'!$Y$10:$Y$71,O$6)+SUMIFS('Hasil-PC'!$AH$10:$AH$71,'Hasil-PC'!$B$10:$B$71,$A11,'Hasil-PC'!$AD$10:$AD$71,O$6)+SUMIFS('Hasil-PC'!$AM$10:$AM$71,'Hasil-PC'!$B$10:$B$71,$A11,'Hasil-PC'!$AI$10:$AI$71,O$6)+SUMIFS('Hasil-PC'!$AR$10:$AR$71,'Hasil-PC'!$B$10:$B$71,$A11,'Hasil-PC'!$AN$10:$AN$71,O$6)+SUMIFS('Hasil-PC'!$AV$10:$AV$71,'Hasil-PC'!$B$10:$B$71,$A11,'Hasil-PC'!$AT$10:$AT$71,O$6)</f>
        <v>0</v>
      </c>
      <c r="P11">
        <f>SUMIFS('Hasil-PC'!$X$10:$X$71,'Hasil-PC'!$B$10:$B$71,$A11,'Hasil-PC'!$W$10:$W$71,P$6)+SUMIFS('Hasil-PC'!$AC$10:$AC$71,'Hasil-PC'!$B$10:$B$71,$A11,'Hasil-PC'!$Y$10:$Y$71,P$6)+SUMIFS('Hasil-PC'!$AH$10:$AH$71,'Hasil-PC'!$B$10:$B$71,$A11,'Hasil-PC'!$AD$10:$AD$71,P$6)+SUMIFS('Hasil-PC'!$AM$10:$AM$71,'Hasil-PC'!$B$10:$B$71,$A11,'Hasil-PC'!$AI$10:$AI$71,P$6)+SUMIFS('Hasil-PC'!$AR$10:$AR$71,'Hasil-PC'!$B$10:$B$71,$A11,'Hasil-PC'!$AN$10:$AN$71,P$6)+SUMIFS('Hasil-PC'!$AV$10:$AV$71,'Hasil-PC'!$B$10:$B$71,$A11,'Hasil-PC'!$AT$10:$AT$71,P$6)</f>
        <v>0</v>
      </c>
      <c r="Q11">
        <f>SUMIFS('Hasil-PC'!$X$10:$X$71,'Hasil-PC'!$B$10:$B$71,$A11,'Hasil-PC'!$W$10:$W$71,Q$6)+SUMIFS('Hasil-PC'!$AC$10:$AC$71,'Hasil-PC'!$B$10:$B$71,$A11,'Hasil-PC'!$Y$10:$Y$71,Q$6)+SUMIFS('Hasil-PC'!$AH$10:$AH$71,'Hasil-PC'!$B$10:$B$71,$A11,'Hasil-PC'!$AD$10:$AD$71,Q$6)+SUMIFS('Hasil-PC'!$AM$10:$AM$71,'Hasil-PC'!$B$10:$B$71,$A11,'Hasil-PC'!$AI$10:$AI$71,Q$6)+SUMIFS('Hasil-PC'!$AR$10:$AR$71,'Hasil-PC'!$B$10:$B$71,$A11,'Hasil-PC'!$AN$10:$AN$71,Q$6)+SUMIFS('Hasil-PC'!$AV$10:$AV$71,'Hasil-PC'!$B$10:$B$71,$A11,'Hasil-PC'!$AT$10:$AT$71,Q$6)</f>
        <v>0</v>
      </c>
      <c r="R11">
        <f>SUM(J11:Q11)</f>
        <v>275.95782863999995</v>
      </c>
      <c r="T11">
        <f>IF(B11&gt;0,C11/B11,0)</f>
        <v>4.666666666666666</v>
      </c>
      <c r="U11">
        <f>IF(B11&gt;0,R11/B11,0)</f>
        <v>127.75825399999997</v>
      </c>
    </row>
    <row r="12">
      <c r="A12" t="str">
        <v>PC.3</v>
      </c>
      <c r="B12">
        <f>SUMIF('Hasil-PC'!$B$10:$B$71,$A12,'Hasil-PC'!$T$10:$T$71)</f>
        <v>2.6910000000000003</v>
      </c>
      <c r="C12">
        <f>SUMIF('Hasil-PC'!$B$10:$B$71,$A12,'Hasil-PC'!$U$10:$U$71)</f>
        <v>8.850697918221359</v>
      </c>
      <c r="D12">
        <f>SUMIF('Hasil-PC'!$B$10:$B$71,$A12,'Hasil-PC'!$C$10:$C$71)</f>
        <v>3</v>
      </c>
      <c r="E12">
        <f>SUMIF('Hasil-PC'!$B$10:$B$71,$A12,'Hasil-PC'!H$10:H$71)</f>
        <v>9</v>
      </c>
      <c r="F12">
        <f>SUMIF('Hasil-PC'!$B$10:$B$71,$A12,'Hasil-PC'!I$10:I$71)</f>
        <v>0</v>
      </c>
      <c r="G12">
        <f>SUMIF('Hasil-PC'!$B$10:$B$71,$A12,'Hasil-PC'!$L$10:$L$71)</f>
        <v>7.9902</v>
      </c>
      <c r="H12">
        <f>SUMIF('Hasil-PC'!$B$10:$B$71,$A12,'Hasil-PC'!$K$10:$K$71)</f>
        <v>0</v>
      </c>
      <c r="I12">
        <f>SUMIF('Hasil-PC'!$B$10:$B$71,$A12,'Hasil-PC'!$J$10:$J$71)</f>
        <v>0.6658499999999999</v>
      </c>
      <c r="J12">
        <f>SUMIFS('Hasil-PC'!$X$10:$X$71,'Hasil-PC'!$B$10:$B$71,$A12,'Hasil-PC'!$W$10:$W$71,J$6)+SUMIFS('Hasil-PC'!$AC$10:$AC$71,'Hasil-PC'!$B$10:$B$71,$A12,'Hasil-PC'!$Y$10:$Y$71,J$6)+SUMIFS('Hasil-PC'!$AH$10:$AH$71,'Hasil-PC'!$B$10:$B$71,$A12,'Hasil-PC'!$AD$10:$AD$71,J$6)+SUMIFS('Hasil-PC'!$AM$10:$AM$71,'Hasil-PC'!$B$10:$B$71,$A12,'Hasil-PC'!$AI$10:$AI$71,J$6)+SUMIFS('Hasil-PC'!$AR$10:$AR$71,'Hasil-PC'!$B$10:$B$71,$A12,'Hasil-PC'!$AN$10:$AN$71,J$6)+SUMIFS('Hasil-PC'!$AV$10:$AV$71,'Hasil-PC'!$B$10:$B$71,$A12,'Hasil-PC'!$AT$10:$AT$71,J$6)</f>
        <v>0</v>
      </c>
      <c r="K12">
        <f>SUMIFS('Hasil-PC'!$X$10:$X$71,'Hasil-PC'!$B$10:$B$71,$A12,'Hasil-PC'!$W$10:$W$71,K$6)+SUMIFS('Hasil-PC'!$AC$10:$AC$71,'Hasil-PC'!$B$10:$B$71,$A12,'Hasil-PC'!$Y$10:$Y$71,K$6)+SUMIFS('Hasil-PC'!$AH$10:$AH$71,'Hasil-PC'!$B$10:$B$71,$A12,'Hasil-PC'!$AD$10:$AD$71,K$6)+SUMIFS('Hasil-PC'!$AM$10:$AM$71,'Hasil-PC'!$B$10:$B$71,$A12,'Hasil-PC'!$AI$10:$AI$71,K$6)+SUMIFS('Hasil-PC'!$AR$10:$AR$71,'Hasil-PC'!$B$10:$B$71,$A12,'Hasil-PC'!$AN$10:$AN$71,K$6)+SUMIFS('Hasil-PC'!$AV$10:$AV$71,'Hasil-PC'!$B$10:$B$71,$A12,'Hasil-PC'!$AT$10:$AT$71,K$6)</f>
        <v>0</v>
      </c>
      <c r="L12">
        <f>SUMIFS('Hasil-PC'!$X$10:$X$71,'Hasil-PC'!$B$10:$B$71,$A12,'Hasil-PC'!$W$10:$W$71,L$6)+SUMIFS('Hasil-PC'!$AC$10:$AC$71,'Hasil-PC'!$B$10:$B$71,$A12,'Hasil-PC'!$Y$10:$Y$71,L$6)+SUMIFS('Hasil-PC'!$AH$10:$AH$71,'Hasil-PC'!$B$10:$B$71,$A12,'Hasil-PC'!$AD$10:$AD$71,L$6)+SUMIFS('Hasil-PC'!$AM$10:$AM$71,'Hasil-PC'!$B$10:$B$71,$A12,'Hasil-PC'!$AI$10:$AI$71,L$6)+SUMIFS('Hasil-PC'!$AR$10:$AR$71,'Hasil-PC'!$B$10:$B$71,$A12,'Hasil-PC'!$AN$10:$AN$71,L$6)+SUMIFS('Hasil-PC'!$AV$10:$AV$71,'Hasil-PC'!$B$10:$B$71,$A12,'Hasil-PC'!$AT$10:$AT$71,L$6)</f>
        <v>0</v>
      </c>
      <c r="M12">
        <f>SUMIFS('Hasil-PC'!$X$10:$X$71,'Hasil-PC'!$B$10:$B$71,$A12,'Hasil-PC'!$W$10:$W$71,M$6)+SUMIFS('Hasil-PC'!$AC$10:$AC$71,'Hasil-PC'!$B$10:$B$71,$A12,'Hasil-PC'!$Y$10:$Y$71,M$6)+SUMIFS('Hasil-PC'!$AH$10:$AH$71,'Hasil-PC'!$B$10:$B$71,$A12,'Hasil-PC'!$AD$10:$AD$71,M$6)+SUMIFS('Hasil-PC'!$AM$10:$AM$71,'Hasil-PC'!$B$10:$B$71,$A12,'Hasil-PC'!$AI$10:$AI$71,M$6)+SUMIFS('Hasil-PC'!$AR$10:$AR$71,'Hasil-PC'!$B$10:$B$71,$A12,'Hasil-PC'!$AN$10:$AN$71,M$6)+SUMIFS('Hasil-PC'!$AV$10:$AV$71,'Hasil-PC'!$B$10:$B$71,$A12,'Hasil-PC'!$AT$10:$AT$71,M$6)</f>
        <v>301.1351496975434</v>
      </c>
      <c r="N12">
        <f>SUMIFS('Hasil-PC'!$X$10:$X$71,'Hasil-PC'!$B$10:$B$71,$A12,'Hasil-PC'!$W$10:$W$71,N$6)+SUMIFS('Hasil-PC'!$AC$10:$AC$71,'Hasil-PC'!$B$10:$B$71,$A12,'Hasil-PC'!$Y$10:$Y$71,N$6)+SUMIFS('Hasil-PC'!$AH$10:$AH$71,'Hasil-PC'!$B$10:$B$71,$A12,'Hasil-PC'!$AD$10:$AD$71,N$6)+SUMIFS('Hasil-PC'!$AM$10:$AM$71,'Hasil-PC'!$B$10:$B$71,$A12,'Hasil-PC'!$AI$10:$AI$71,N$6)+SUMIFS('Hasil-PC'!$AR$10:$AR$71,'Hasil-PC'!$B$10:$B$71,$A12,'Hasil-PC'!$AN$10:$AN$71,N$6)+SUMIFS('Hasil-PC'!$AV$10:$AV$71,'Hasil-PC'!$B$10:$B$71,$A12,'Hasil-PC'!$AT$10:$AT$71,N$6)</f>
        <v>0</v>
      </c>
      <c r="O12">
        <f>SUMIFS('Hasil-PC'!$X$10:$X$71,'Hasil-PC'!$B$10:$B$71,$A12,'Hasil-PC'!$W$10:$W$71,O$6)+SUMIFS('Hasil-PC'!$AC$10:$AC$71,'Hasil-PC'!$B$10:$B$71,$A12,'Hasil-PC'!$Y$10:$Y$71,O$6)+SUMIFS('Hasil-PC'!$AH$10:$AH$71,'Hasil-PC'!$B$10:$B$71,$A12,'Hasil-PC'!$AD$10:$AD$71,O$6)+SUMIFS('Hasil-PC'!$AM$10:$AM$71,'Hasil-PC'!$B$10:$B$71,$A12,'Hasil-PC'!$AI$10:$AI$71,O$6)+SUMIFS('Hasil-PC'!$AR$10:$AR$71,'Hasil-PC'!$B$10:$B$71,$A12,'Hasil-PC'!$AN$10:$AN$71,O$6)+SUMIFS('Hasil-PC'!$AV$10:$AV$71,'Hasil-PC'!$B$10:$B$71,$A12,'Hasil-PC'!$AT$10:$AT$71,O$6)</f>
        <v>0</v>
      </c>
      <c r="P12">
        <f>SUMIFS('Hasil-PC'!$X$10:$X$71,'Hasil-PC'!$B$10:$B$71,$A12,'Hasil-PC'!$W$10:$W$71,P$6)+SUMIFS('Hasil-PC'!$AC$10:$AC$71,'Hasil-PC'!$B$10:$B$71,$A12,'Hasil-PC'!$Y$10:$Y$71,P$6)+SUMIFS('Hasil-PC'!$AH$10:$AH$71,'Hasil-PC'!$B$10:$B$71,$A12,'Hasil-PC'!$AD$10:$AD$71,P$6)+SUMIFS('Hasil-PC'!$AM$10:$AM$71,'Hasil-PC'!$B$10:$B$71,$A12,'Hasil-PC'!$AI$10:$AI$71,P$6)+SUMIFS('Hasil-PC'!$AR$10:$AR$71,'Hasil-PC'!$B$10:$B$71,$A12,'Hasil-PC'!$AN$10:$AN$71,P$6)+SUMIFS('Hasil-PC'!$AV$10:$AV$71,'Hasil-PC'!$B$10:$B$71,$A12,'Hasil-PC'!$AT$10:$AT$71,P$6)</f>
        <v>0</v>
      </c>
      <c r="Q12">
        <f>SUMIFS('Hasil-PC'!$X$10:$X$71,'Hasil-PC'!$B$10:$B$71,$A12,'Hasil-PC'!$W$10:$W$71,Q$6)+SUMIFS('Hasil-PC'!$AC$10:$AC$71,'Hasil-PC'!$B$10:$B$71,$A12,'Hasil-PC'!$Y$10:$Y$71,Q$6)+SUMIFS('Hasil-PC'!$AH$10:$AH$71,'Hasil-PC'!$B$10:$B$71,$A12,'Hasil-PC'!$AD$10:$AD$71,Q$6)+SUMIFS('Hasil-PC'!$AM$10:$AM$71,'Hasil-PC'!$B$10:$B$71,$A12,'Hasil-PC'!$AI$10:$AI$71,Q$6)+SUMIFS('Hasil-PC'!$AR$10:$AR$71,'Hasil-PC'!$B$10:$B$71,$A12,'Hasil-PC'!$AN$10:$AN$71,Q$6)+SUMIFS('Hasil-PC'!$AV$10:$AV$71,'Hasil-PC'!$B$10:$B$71,$A12,'Hasil-PC'!$AT$10:$AT$71,Q$6)</f>
        <v>0</v>
      </c>
      <c r="R12">
        <f>SUM(J12:Q12)</f>
        <v>301.1351496975434</v>
      </c>
      <c r="T12">
        <f>IF(B12&gt;0,C12/B12,0)</f>
        <v>3.2889995980012476</v>
      </c>
      <c r="U12">
        <f>IF(B12&gt;0,R12/B12,0)</f>
        <v>111.90455209867832</v>
      </c>
    </row>
    <row r="13">
      <c r="A13" t="str">
        <v>PC.3A</v>
      </c>
      <c r="B13">
        <f>SUMIF('Hasil-PC'!$B$10:$B$71,$A13,'Hasil-PC'!$T$10:$T$71)</f>
        <v>1.728</v>
      </c>
      <c r="C13">
        <f>SUMIF('Hasil-PC'!$B$10:$B$71,$A13,'Hasil-PC'!$U$10:$U$71)</f>
        <v>7.2</v>
      </c>
      <c r="D13">
        <f>SUMIF('Hasil-PC'!$B$10:$B$71,$A13,'Hasil-PC'!$C$10:$C$71)</f>
        <v>2</v>
      </c>
      <c r="E13">
        <f>SUMIF('Hasil-PC'!$B$10:$B$71,$A13,'Hasil-PC'!H$10:H$71)</f>
        <v>6</v>
      </c>
      <c r="F13">
        <f>SUMIF('Hasil-PC'!$B$10:$B$71,$A13,'Hasil-PC'!I$10:I$71)</f>
        <v>0</v>
      </c>
      <c r="G13">
        <f>SUMIF('Hasil-PC'!$B$10:$B$71,$A13,'Hasil-PC'!$L$10:$L$71)</f>
        <v>5.376</v>
      </c>
      <c r="H13">
        <f>SUMIF('Hasil-PC'!$B$10:$B$71,$A13,'Hasil-PC'!$K$10:$K$71)</f>
        <v>0</v>
      </c>
      <c r="I13">
        <f>SUMIF('Hasil-PC'!$B$10:$B$71,$A13,'Hasil-PC'!$J$10:$J$71)</f>
        <v>0.44800000000000006</v>
      </c>
      <c r="J13">
        <f>SUMIFS('Hasil-PC'!$X$10:$X$71,'Hasil-PC'!$B$10:$B$71,$A13,'Hasil-PC'!$W$10:$W$71,J$6)+SUMIFS('Hasil-PC'!$AC$10:$AC$71,'Hasil-PC'!$B$10:$B$71,$A13,'Hasil-PC'!$Y$10:$Y$71,J$6)+SUMIFS('Hasil-PC'!$AH$10:$AH$71,'Hasil-PC'!$B$10:$B$71,$A13,'Hasil-PC'!$AD$10:$AD$71,J$6)+SUMIFS('Hasil-PC'!$AM$10:$AM$71,'Hasil-PC'!$B$10:$B$71,$A13,'Hasil-PC'!$AI$10:$AI$71,J$6)+SUMIFS('Hasil-PC'!$AR$10:$AR$71,'Hasil-PC'!$B$10:$B$71,$A13,'Hasil-PC'!$AN$10:$AN$71,J$6)+SUMIFS('Hasil-PC'!$AV$10:$AV$71,'Hasil-PC'!$B$10:$B$71,$A13,'Hasil-PC'!$AT$10:$AT$71,J$6)</f>
        <v>0</v>
      </c>
      <c r="K13">
        <f>SUMIFS('Hasil-PC'!$X$10:$X$71,'Hasil-PC'!$B$10:$B$71,$A13,'Hasil-PC'!$W$10:$W$71,K$6)+SUMIFS('Hasil-PC'!$AC$10:$AC$71,'Hasil-PC'!$B$10:$B$71,$A13,'Hasil-PC'!$Y$10:$Y$71,K$6)+SUMIFS('Hasil-PC'!$AH$10:$AH$71,'Hasil-PC'!$B$10:$B$71,$A13,'Hasil-PC'!$AD$10:$AD$71,K$6)+SUMIFS('Hasil-PC'!$AM$10:$AM$71,'Hasil-PC'!$B$10:$B$71,$A13,'Hasil-PC'!$AI$10:$AI$71,K$6)+SUMIFS('Hasil-PC'!$AR$10:$AR$71,'Hasil-PC'!$B$10:$B$71,$A13,'Hasil-PC'!$AN$10:$AN$71,K$6)+SUMIFS('Hasil-PC'!$AV$10:$AV$71,'Hasil-PC'!$B$10:$B$71,$A13,'Hasil-PC'!$AT$10:$AT$71,K$6)</f>
        <v>0</v>
      </c>
      <c r="L13">
        <f>SUMIFS('Hasil-PC'!$X$10:$X$71,'Hasil-PC'!$B$10:$B$71,$A13,'Hasil-PC'!$W$10:$W$71,L$6)+SUMIFS('Hasil-PC'!$AC$10:$AC$71,'Hasil-PC'!$B$10:$B$71,$A13,'Hasil-PC'!$Y$10:$Y$71,L$6)+SUMIFS('Hasil-PC'!$AH$10:$AH$71,'Hasil-PC'!$B$10:$B$71,$A13,'Hasil-PC'!$AD$10:$AD$71,L$6)+SUMIFS('Hasil-PC'!$AM$10:$AM$71,'Hasil-PC'!$B$10:$B$71,$A13,'Hasil-PC'!$AI$10:$AI$71,L$6)+SUMIFS('Hasil-PC'!$AR$10:$AR$71,'Hasil-PC'!$B$10:$B$71,$A13,'Hasil-PC'!$AN$10:$AN$71,L$6)+SUMIFS('Hasil-PC'!$AV$10:$AV$71,'Hasil-PC'!$B$10:$B$71,$A13,'Hasil-PC'!$AT$10:$AT$71,L$6)</f>
        <v>0</v>
      </c>
      <c r="M13">
        <f>SUMIFS('Hasil-PC'!$X$10:$X$71,'Hasil-PC'!$B$10:$B$71,$A13,'Hasil-PC'!$W$10:$W$71,M$6)+SUMIFS('Hasil-PC'!$AC$10:$AC$71,'Hasil-PC'!$B$10:$B$71,$A13,'Hasil-PC'!$Y$10:$Y$71,M$6)+SUMIFS('Hasil-PC'!$AH$10:$AH$71,'Hasil-PC'!$B$10:$B$71,$A13,'Hasil-PC'!$AD$10:$AD$71,M$6)+SUMIFS('Hasil-PC'!$AM$10:$AM$71,'Hasil-PC'!$B$10:$B$71,$A13,'Hasil-PC'!$AI$10:$AI$71,M$6)+SUMIFS('Hasil-PC'!$AR$10:$AR$71,'Hasil-PC'!$B$10:$B$71,$A13,'Hasil-PC'!$AN$10:$AN$71,M$6)+SUMIFS('Hasil-PC'!$AV$10:$AV$71,'Hasil-PC'!$B$10:$B$71,$A13,'Hasil-PC'!$AT$10:$AT$71,M$6)</f>
        <v>93.34456092</v>
      </c>
      <c r="N13">
        <f>SUMIFS('Hasil-PC'!$X$10:$X$71,'Hasil-PC'!$B$10:$B$71,$A13,'Hasil-PC'!$W$10:$W$71,N$6)+SUMIFS('Hasil-PC'!$AC$10:$AC$71,'Hasil-PC'!$B$10:$B$71,$A13,'Hasil-PC'!$Y$10:$Y$71,N$6)+SUMIFS('Hasil-PC'!$AH$10:$AH$71,'Hasil-PC'!$B$10:$B$71,$A13,'Hasil-PC'!$AD$10:$AD$71,N$6)+SUMIFS('Hasil-PC'!$AM$10:$AM$71,'Hasil-PC'!$B$10:$B$71,$A13,'Hasil-PC'!$AI$10:$AI$71,N$6)+SUMIFS('Hasil-PC'!$AR$10:$AR$71,'Hasil-PC'!$B$10:$B$71,$A13,'Hasil-PC'!$AN$10:$AN$71,N$6)+SUMIFS('Hasil-PC'!$AV$10:$AV$71,'Hasil-PC'!$B$10:$B$71,$A13,'Hasil-PC'!$AT$10:$AT$71,N$6)</f>
        <v>167.0409216</v>
      </c>
      <c r="O13">
        <f>SUMIFS('Hasil-PC'!$X$10:$X$71,'Hasil-PC'!$B$10:$B$71,$A13,'Hasil-PC'!$W$10:$W$71,O$6)+SUMIFS('Hasil-PC'!$AC$10:$AC$71,'Hasil-PC'!$B$10:$B$71,$A13,'Hasil-PC'!$Y$10:$Y$71,O$6)+SUMIFS('Hasil-PC'!$AH$10:$AH$71,'Hasil-PC'!$B$10:$B$71,$A13,'Hasil-PC'!$AD$10:$AD$71,O$6)+SUMIFS('Hasil-PC'!$AM$10:$AM$71,'Hasil-PC'!$B$10:$B$71,$A13,'Hasil-PC'!$AI$10:$AI$71,O$6)+SUMIFS('Hasil-PC'!$AR$10:$AR$71,'Hasil-PC'!$B$10:$B$71,$A13,'Hasil-PC'!$AN$10:$AN$71,O$6)+SUMIFS('Hasil-PC'!$AV$10:$AV$71,'Hasil-PC'!$B$10:$B$71,$A13,'Hasil-PC'!$AT$10:$AT$71,O$6)</f>
        <v>0</v>
      </c>
      <c r="P13">
        <f>SUMIFS('Hasil-PC'!$X$10:$X$71,'Hasil-PC'!$B$10:$B$71,$A13,'Hasil-PC'!$W$10:$W$71,P$6)+SUMIFS('Hasil-PC'!$AC$10:$AC$71,'Hasil-PC'!$B$10:$B$71,$A13,'Hasil-PC'!$Y$10:$Y$71,P$6)+SUMIFS('Hasil-PC'!$AH$10:$AH$71,'Hasil-PC'!$B$10:$B$71,$A13,'Hasil-PC'!$AD$10:$AD$71,P$6)+SUMIFS('Hasil-PC'!$AM$10:$AM$71,'Hasil-PC'!$B$10:$B$71,$A13,'Hasil-PC'!$AI$10:$AI$71,P$6)+SUMIFS('Hasil-PC'!$AR$10:$AR$71,'Hasil-PC'!$B$10:$B$71,$A13,'Hasil-PC'!$AN$10:$AN$71,P$6)+SUMIFS('Hasil-PC'!$AV$10:$AV$71,'Hasil-PC'!$B$10:$B$71,$A13,'Hasil-PC'!$AT$10:$AT$71,P$6)</f>
        <v>0</v>
      </c>
      <c r="Q13">
        <f>SUMIFS('Hasil-PC'!$X$10:$X$71,'Hasil-PC'!$B$10:$B$71,$A13,'Hasil-PC'!$W$10:$W$71,Q$6)+SUMIFS('Hasil-PC'!$AC$10:$AC$71,'Hasil-PC'!$B$10:$B$71,$A13,'Hasil-PC'!$Y$10:$Y$71,Q$6)+SUMIFS('Hasil-PC'!$AH$10:$AH$71,'Hasil-PC'!$B$10:$B$71,$A13,'Hasil-PC'!$AD$10:$AD$71,Q$6)+SUMIFS('Hasil-PC'!$AM$10:$AM$71,'Hasil-PC'!$B$10:$B$71,$A13,'Hasil-PC'!$AI$10:$AI$71,Q$6)+SUMIFS('Hasil-PC'!$AR$10:$AR$71,'Hasil-PC'!$B$10:$B$71,$A13,'Hasil-PC'!$AN$10:$AN$71,Q$6)+SUMIFS('Hasil-PC'!$AV$10:$AV$71,'Hasil-PC'!$B$10:$B$71,$A13,'Hasil-PC'!$AT$10:$AT$71,Q$6)</f>
        <v>0</v>
      </c>
      <c r="R13">
        <f>SUM(J13:Q13)</f>
        <v>260.38548252</v>
      </c>
      <c r="T13">
        <f>IF(B13&gt;0,C13/B13,0)</f>
        <v>4.166666666666667</v>
      </c>
      <c r="U13">
        <f>IF(B13&gt;0,R13/B13,0)</f>
        <v>150.686043125</v>
      </c>
    </row>
    <row r="14">
      <c r="A14" t="str">
        <v>PC.4</v>
      </c>
      <c r="B14">
        <f>SUMIF('Hasil-PC'!$B$10:$B$71,$A14,'Hasil-PC'!$T$10:$T$71)</f>
        <v>2.25</v>
      </c>
      <c r="C14">
        <f>SUMIF('Hasil-PC'!$B$10:$B$71,$A14,'Hasil-PC'!$U$10:$U$71)</f>
        <v>6</v>
      </c>
      <c r="D14">
        <f>SUMIF('Hasil-PC'!$B$10:$B$71,$A14,'Hasil-PC'!$C$10:$C$71)</f>
        <v>2</v>
      </c>
      <c r="E14">
        <f>SUMIF('Hasil-PC'!$B$10:$B$71,$A14,'Hasil-PC'!H$10:H$71)</f>
        <v>8</v>
      </c>
      <c r="F14">
        <f>SUMIF('Hasil-PC'!$B$10:$B$71,$A14,'Hasil-PC'!I$10:I$71)</f>
        <v>0</v>
      </c>
      <c r="G14">
        <f>SUMIF('Hasil-PC'!$B$10:$B$71,$A14,'Hasil-PC'!$L$10:$L$71)</f>
        <v>5.29</v>
      </c>
      <c r="H14">
        <f>SUMIF('Hasil-PC'!$B$10:$B$71,$A14,'Hasil-PC'!$K$10:$K$71)</f>
        <v>0</v>
      </c>
      <c r="I14">
        <f>SUMIF('Hasil-PC'!$B$10:$B$71,$A14,'Hasil-PC'!$J$10:$J$71)</f>
        <v>0.529</v>
      </c>
      <c r="J14">
        <f>SUMIFS('Hasil-PC'!$X$10:$X$71,'Hasil-PC'!$B$10:$B$71,$A14,'Hasil-PC'!$W$10:$W$71,J$6)+SUMIFS('Hasil-PC'!$AC$10:$AC$71,'Hasil-PC'!$B$10:$B$71,$A14,'Hasil-PC'!$Y$10:$Y$71,J$6)+SUMIFS('Hasil-PC'!$AH$10:$AH$71,'Hasil-PC'!$B$10:$B$71,$A14,'Hasil-PC'!$AD$10:$AD$71,J$6)+SUMIFS('Hasil-PC'!$AM$10:$AM$71,'Hasil-PC'!$B$10:$B$71,$A14,'Hasil-PC'!$AI$10:$AI$71,J$6)+SUMIFS('Hasil-PC'!$AR$10:$AR$71,'Hasil-PC'!$B$10:$B$71,$A14,'Hasil-PC'!$AN$10:$AN$71,J$6)+SUMIFS('Hasil-PC'!$AV$10:$AV$71,'Hasil-PC'!$B$10:$B$71,$A14,'Hasil-PC'!$AT$10:$AT$71,J$6)</f>
        <v>0</v>
      </c>
      <c r="K14">
        <f>SUMIFS('Hasil-PC'!$X$10:$X$71,'Hasil-PC'!$B$10:$B$71,$A14,'Hasil-PC'!$W$10:$W$71,K$6)+SUMIFS('Hasil-PC'!$AC$10:$AC$71,'Hasil-PC'!$B$10:$B$71,$A14,'Hasil-PC'!$Y$10:$Y$71,K$6)+SUMIFS('Hasil-PC'!$AH$10:$AH$71,'Hasil-PC'!$B$10:$B$71,$A14,'Hasil-PC'!$AD$10:$AD$71,K$6)+SUMIFS('Hasil-PC'!$AM$10:$AM$71,'Hasil-PC'!$B$10:$B$71,$A14,'Hasil-PC'!$AI$10:$AI$71,K$6)+SUMIFS('Hasil-PC'!$AR$10:$AR$71,'Hasil-PC'!$B$10:$B$71,$A14,'Hasil-PC'!$AN$10:$AN$71,K$6)+SUMIFS('Hasil-PC'!$AV$10:$AV$71,'Hasil-PC'!$B$10:$B$71,$A14,'Hasil-PC'!$AT$10:$AT$71,K$6)</f>
        <v>0</v>
      </c>
      <c r="L14">
        <f>SUMIFS('Hasil-PC'!$X$10:$X$71,'Hasil-PC'!$B$10:$B$71,$A14,'Hasil-PC'!$W$10:$W$71,L$6)+SUMIFS('Hasil-PC'!$AC$10:$AC$71,'Hasil-PC'!$B$10:$B$71,$A14,'Hasil-PC'!$Y$10:$Y$71,L$6)+SUMIFS('Hasil-PC'!$AH$10:$AH$71,'Hasil-PC'!$B$10:$B$71,$A14,'Hasil-PC'!$AD$10:$AD$71,L$6)+SUMIFS('Hasil-PC'!$AM$10:$AM$71,'Hasil-PC'!$B$10:$B$71,$A14,'Hasil-PC'!$AI$10:$AI$71,L$6)+SUMIFS('Hasil-PC'!$AR$10:$AR$71,'Hasil-PC'!$B$10:$B$71,$A14,'Hasil-PC'!$AN$10:$AN$71,L$6)+SUMIFS('Hasil-PC'!$AV$10:$AV$71,'Hasil-PC'!$B$10:$B$71,$A14,'Hasil-PC'!$AT$10:$AT$71,L$6)</f>
        <v>7.287030000000001</v>
      </c>
      <c r="M14">
        <f>SUMIFS('Hasil-PC'!$X$10:$X$71,'Hasil-PC'!$B$10:$B$71,$A14,'Hasil-PC'!$W$10:$W$71,M$6)+SUMIFS('Hasil-PC'!$AC$10:$AC$71,'Hasil-PC'!$B$10:$B$71,$A14,'Hasil-PC'!$Y$10:$Y$71,M$6)+SUMIFS('Hasil-PC'!$AH$10:$AH$71,'Hasil-PC'!$B$10:$B$71,$A14,'Hasil-PC'!$AD$10:$AD$71,M$6)+SUMIFS('Hasil-PC'!$AM$10:$AM$71,'Hasil-PC'!$B$10:$B$71,$A14,'Hasil-PC'!$AI$10:$AI$71,M$6)+SUMIFS('Hasil-PC'!$AR$10:$AR$71,'Hasil-PC'!$B$10:$B$71,$A14,'Hasil-PC'!$AN$10:$AN$71,M$6)+SUMIFS('Hasil-PC'!$AV$10:$AV$71,'Hasil-PC'!$B$10:$B$71,$A14,'Hasil-PC'!$AT$10:$AT$71,M$6)</f>
        <v>227.547684</v>
      </c>
      <c r="N14">
        <f>SUMIFS('Hasil-PC'!$X$10:$X$71,'Hasil-PC'!$B$10:$B$71,$A14,'Hasil-PC'!$W$10:$W$71,N$6)+SUMIFS('Hasil-PC'!$AC$10:$AC$71,'Hasil-PC'!$B$10:$B$71,$A14,'Hasil-PC'!$Y$10:$Y$71,N$6)+SUMIFS('Hasil-PC'!$AH$10:$AH$71,'Hasil-PC'!$B$10:$B$71,$A14,'Hasil-PC'!$AD$10:$AD$71,N$6)+SUMIFS('Hasil-PC'!$AM$10:$AM$71,'Hasil-PC'!$B$10:$B$71,$A14,'Hasil-PC'!$AI$10:$AI$71,N$6)+SUMIFS('Hasil-PC'!$AR$10:$AR$71,'Hasil-PC'!$B$10:$B$71,$A14,'Hasil-PC'!$AN$10:$AN$71,N$6)+SUMIFS('Hasil-PC'!$AV$10:$AV$71,'Hasil-PC'!$B$10:$B$71,$A14,'Hasil-PC'!$AT$10:$AT$71,N$6)</f>
        <v>0</v>
      </c>
      <c r="O14">
        <f>SUMIFS('Hasil-PC'!$X$10:$X$71,'Hasil-PC'!$B$10:$B$71,$A14,'Hasil-PC'!$W$10:$W$71,O$6)+SUMIFS('Hasil-PC'!$AC$10:$AC$71,'Hasil-PC'!$B$10:$B$71,$A14,'Hasil-PC'!$Y$10:$Y$71,O$6)+SUMIFS('Hasil-PC'!$AH$10:$AH$71,'Hasil-PC'!$B$10:$B$71,$A14,'Hasil-PC'!$AD$10:$AD$71,O$6)+SUMIFS('Hasil-PC'!$AM$10:$AM$71,'Hasil-PC'!$B$10:$B$71,$A14,'Hasil-PC'!$AI$10:$AI$71,O$6)+SUMIFS('Hasil-PC'!$AR$10:$AR$71,'Hasil-PC'!$B$10:$B$71,$A14,'Hasil-PC'!$AN$10:$AN$71,O$6)+SUMIFS('Hasil-PC'!$AV$10:$AV$71,'Hasil-PC'!$B$10:$B$71,$A14,'Hasil-PC'!$AT$10:$AT$71,O$6)</f>
        <v>0</v>
      </c>
      <c r="P14">
        <f>SUMIFS('Hasil-PC'!$X$10:$X$71,'Hasil-PC'!$B$10:$B$71,$A14,'Hasil-PC'!$W$10:$W$71,P$6)+SUMIFS('Hasil-PC'!$AC$10:$AC$71,'Hasil-PC'!$B$10:$B$71,$A14,'Hasil-PC'!$Y$10:$Y$71,P$6)+SUMIFS('Hasil-PC'!$AH$10:$AH$71,'Hasil-PC'!$B$10:$B$71,$A14,'Hasil-PC'!$AD$10:$AD$71,P$6)+SUMIFS('Hasil-PC'!$AM$10:$AM$71,'Hasil-PC'!$B$10:$B$71,$A14,'Hasil-PC'!$AI$10:$AI$71,P$6)+SUMIFS('Hasil-PC'!$AR$10:$AR$71,'Hasil-PC'!$B$10:$B$71,$A14,'Hasil-PC'!$AN$10:$AN$71,P$6)+SUMIFS('Hasil-PC'!$AV$10:$AV$71,'Hasil-PC'!$B$10:$B$71,$A14,'Hasil-PC'!$AT$10:$AT$71,P$6)</f>
        <v>0</v>
      </c>
      <c r="Q14">
        <f>SUMIFS('Hasil-PC'!$X$10:$X$71,'Hasil-PC'!$B$10:$B$71,$A14,'Hasil-PC'!$W$10:$W$71,Q$6)+SUMIFS('Hasil-PC'!$AC$10:$AC$71,'Hasil-PC'!$B$10:$B$71,$A14,'Hasil-PC'!$Y$10:$Y$71,Q$6)+SUMIFS('Hasil-PC'!$AH$10:$AH$71,'Hasil-PC'!$B$10:$B$71,$A14,'Hasil-PC'!$AD$10:$AD$71,Q$6)+SUMIFS('Hasil-PC'!$AM$10:$AM$71,'Hasil-PC'!$B$10:$B$71,$A14,'Hasil-PC'!$AI$10:$AI$71,Q$6)+SUMIFS('Hasil-PC'!$AR$10:$AR$71,'Hasil-PC'!$B$10:$B$71,$A14,'Hasil-PC'!$AN$10:$AN$71,Q$6)+SUMIFS('Hasil-PC'!$AV$10:$AV$71,'Hasil-PC'!$B$10:$B$71,$A14,'Hasil-PC'!$AT$10:$AT$71,Q$6)</f>
        <v>0</v>
      </c>
      <c r="R14">
        <f>SUM(J14:Q14)</f>
        <v>234.834714</v>
      </c>
      <c r="T14">
        <f>IF(B14&gt;0,C14/B14,0)</f>
        <v>2.6666666666666665</v>
      </c>
      <c r="U14">
        <f>IF(B14&gt;0,R14/B14,0)</f>
        <v>104.37098399999999</v>
      </c>
    </row>
    <row r="15">
      <c r="A15" t="str">
        <v>PC.5</v>
      </c>
      <c r="B15">
        <f>SUMIF('Hasil-PC'!$B$10:$B$71,$A15,'Hasil-PC'!$T$10:$T$71)</f>
        <v>4.21875</v>
      </c>
      <c r="C15">
        <f>SUMIF('Hasil-PC'!$B$10:$B$71,$A15,'Hasil-PC'!$U$10:$U$71)</f>
        <v>9</v>
      </c>
      <c r="D15">
        <f>SUMIF('Hasil-PC'!$B$10:$B$71,$A15,'Hasil-PC'!$C$10:$C$71)</f>
        <v>2</v>
      </c>
      <c r="E15">
        <f>SUMIF('Hasil-PC'!$B$10:$B$71,$A15,'Hasil-PC'!H$10:H$71)</f>
        <v>10</v>
      </c>
      <c r="F15">
        <f>SUMIF('Hasil-PC'!$B$10:$B$71,$A15,'Hasil-PC'!I$10:I$71)</f>
        <v>0</v>
      </c>
      <c r="G15">
        <f>SUMIF('Hasil-PC'!$B$10:$B$71,$A15,'Hasil-PC'!$L$10:$L$71)</f>
        <v>8.586749999999999</v>
      </c>
      <c r="H15">
        <f>SUMIF('Hasil-PC'!$B$10:$B$71,$A15,'Hasil-PC'!$K$10:$K$71)</f>
        <v>0</v>
      </c>
      <c r="I15">
        <f>SUMIF('Hasil-PC'!$B$10:$B$71,$A15,'Hasil-PC'!$J$10:$J$71)</f>
        <v>0.7155625</v>
      </c>
      <c r="J15">
        <f>SUMIFS('Hasil-PC'!$X$10:$X$71,'Hasil-PC'!$B$10:$B$71,$A15,'Hasil-PC'!$W$10:$W$71,J$6)+SUMIFS('Hasil-PC'!$AC$10:$AC$71,'Hasil-PC'!$B$10:$B$71,$A15,'Hasil-PC'!$Y$10:$Y$71,J$6)+SUMIFS('Hasil-PC'!$AH$10:$AH$71,'Hasil-PC'!$B$10:$B$71,$A15,'Hasil-PC'!$AD$10:$AD$71,J$6)+SUMIFS('Hasil-PC'!$AM$10:$AM$71,'Hasil-PC'!$B$10:$B$71,$A15,'Hasil-PC'!$AI$10:$AI$71,J$6)+SUMIFS('Hasil-PC'!$AR$10:$AR$71,'Hasil-PC'!$B$10:$B$71,$A15,'Hasil-PC'!$AN$10:$AN$71,J$6)+SUMIFS('Hasil-PC'!$AV$10:$AV$71,'Hasil-PC'!$B$10:$B$71,$A15,'Hasil-PC'!$AT$10:$AT$71,J$6)</f>
        <v>0</v>
      </c>
      <c r="K15">
        <f>SUMIFS('Hasil-PC'!$X$10:$X$71,'Hasil-PC'!$B$10:$B$71,$A15,'Hasil-PC'!$W$10:$W$71,K$6)+SUMIFS('Hasil-PC'!$AC$10:$AC$71,'Hasil-PC'!$B$10:$B$71,$A15,'Hasil-PC'!$Y$10:$Y$71,K$6)+SUMIFS('Hasil-PC'!$AH$10:$AH$71,'Hasil-PC'!$B$10:$B$71,$A15,'Hasil-PC'!$AD$10:$AD$71,K$6)+SUMIFS('Hasil-PC'!$AM$10:$AM$71,'Hasil-PC'!$B$10:$B$71,$A15,'Hasil-PC'!$AI$10:$AI$71,K$6)+SUMIFS('Hasil-PC'!$AR$10:$AR$71,'Hasil-PC'!$B$10:$B$71,$A15,'Hasil-PC'!$AN$10:$AN$71,K$6)+SUMIFS('Hasil-PC'!$AV$10:$AV$71,'Hasil-PC'!$B$10:$B$71,$A15,'Hasil-PC'!$AT$10:$AT$71,K$6)</f>
        <v>0</v>
      </c>
      <c r="L15">
        <f>SUMIFS('Hasil-PC'!$X$10:$X$71,'Hasil-PC'!$B$10:$B$71,$A15,'Hasil-PC'!$W$10:$W$71,L$6)+SUMIFS('Hasil-PC'!$AC$10:$AC$71,'Hasil-PC'!$B$10:$B$71,$A15,'Hasil-PC'!$Y$10:$Y$71,L$6)+SUMIFS('Hasil-PC'!$AH$10:$AH$71,'Hasil-PC'!$B$10:$B$71,$A15,'Hasil-PC'!$AD$10:$AD$71,L$6)+SUMIFS('Hasil-PC'!$AM$10:$AM$71,'Hasil-PC'!$B$10:$B$71,$A15,'Hasil-PC'!$AI$10:$AI$71,L$6)+SUMIFS('Hasil-PC'!$AR$10:$AR$71,'Hasil-PC'!$B$10:$B$71,$A15,'Hasil-PC'!$AN$10:$AN$71,L$6)+SUMIFS('Hasil-PC'!$AV$10:$AV$71,'Hasil-PC'!$B$10:$B$71,$A15,'Hasil-PC'!$AT$10:$AT$71,L$6)</f>
        <v>0</v>
      </c>
      <c r="M15">
        <f>SUMIFS('Hasil-PC'!$X$10:$X$71,'Hasil-PC'!$B$10:$B$71,$A15,'Hasil-PC'!$W$10:$W$71,M$6)+SUMIFS('Hasil-PC'!$AC$10:$AC$71,'Hasil-PC'!$B$10:$B$71,$A15,'Hasil-PC'!$Y$10:$Y$71,M$6)+SUMIFS('Hasil-PC'!$AH$10:$AH$71,'Hasil-PC'!$B$10:$B$71,$A15,'Hasil-PC'!$AD$10:$AD$71,M$6)+SUMIFS('Hasil-PC'!$AM$10:$AM$71,'Hasil-PC'!$B$10:$B$71,$A15,'Hasil-PC'!$AI$10:$AI$71,M$6)+SUMIFS('Hasil-PC'!$AR$10:$AR$71,'Hasil-PC'!$B$10:$B$71,$A15,'Hasil-PC'!$AN$10:$AN$71,M$6)+SUMIFS('Hasil-PC'!$AV$10:$AV$71,'Hasil-PC'!$B$10:$B$71,$A15,'Hasil-PC'!$AT$10:$AT$71,M$6)</f>
        <v>123.41336202</v>
      </c>
      <c r="N15">
        <f>SUMIFS('Hasil-PC'!$X$10:$X$71,'Hasil-PC'!$B$10:$B$71,$A15,'Hasil-PC'!$W$10:$W$71,N$6)+SUMIFS('Hasil-PC'!$AC$10:$AC$71,'Hasil-PC'!$B$10:$B$71,$A15,'Hasil-PC'!$Y$10:$Y$71,N$6)+SUMIFS('Hasil-PC'!$AH$10:$AH$71,'Hasil-PC'!$B$10:$B$71,$A15,'Hasil-PC'!$AD$10:$AD$71,N$6)+SUMIFS('Hasil-PC'!$AM$10:$AM$71,'Hasil-PC'!$B$10:$B$71,$A15,'Hasil-PC'!$AI$10:$AI$71,N$6)+SUMIFS('Hasil-PC'!$AR$10:$AR$71,'Hasil-PC'!$B$10:$B$71,$A15,'Hasil-PC'!$AN$10:$AN$71,N$6)+SUMIFS('Hasil-PC'!$AV$10:$AV$71,'Hasil-PC'!$B$10:$B$71,$A15,'Hasil-PC'!$AT$10:$AT$71,N$6)</f>
        <v>201.0362112</v>
      </c>
      <c r="O15">
        <f>SUMIFS('Hasil-PC'!$X$10:$X$71,'Hasil-PC'!$B$10:$B$71,$A15,'Hasil-PC'!$W$10:$W$71,O$6)+SUMIFS('Hasil-PC'!$AC$10:$AC$71,'Hasil-PC'!$B$10:$B$71,$A15,'Hasil-PC'!$Y$10:$Y$71,O$6)+SUMIFS('Hasil-PC'!$AH$10:$AH$71,'Hasil-PC'!$B$10:$B$71,$A15,'Hasil-PC'!$AD$10:$AD$71,O$6)+SUMIFS('Hasil-PC'!$AM$10:$AM$71,'Hasil-PC'!$B$10:$B$71,$A15,'Hasil-PC'!$AI$10:$AI$71,O$6)+SUMIFS('Hasil-PC'!$AR$10:$AR$71,'Hasil-PC'!$B$10:$B$71,$A15,'Hasil-PC'!$AN$10:$AN$71,O$6)+SUMIFS('Hasil-PC'!$AV$10:$AV$71,'Hasil-PC'!$B$10:$B$71,$A15,'Hasil-PC'!$AT$10:$AT$71,O$6)</f>
        <v>0</v>
      </c>
      <c r="P15">
        <f>SUMIFS('Hasil-PC'!$X$10:$X$71,'Hasil-PC'!$B$10:$B$71,$A15,'Hasil-PC'!$W$10:$W$71,P$6)+SUMIFS('Hasil-PC'!$AC$10:$AC$71,'Hasil-PC'!$B$10:$B$71,$A15,'Hasil-PC'!$Y$10:$Y$71,P$6)+SUMIFS('Hasil-PC'!$AH$10:$AH$71,'Hasil-PC'!$B$10:$B$71,$A15,'Hasil-PC'!$AD$10:$AD$71,P$6)+SUMIFS('Hasil-PC'!$AM$10:$AM$71,'Hasil-PC'!$B$10:$B$71,$A15,'Hasil-PC'!$AI$10:$AI$71,P$6)+SUMIFS('Hasil-PC'!$AR$10:$AR$71,'Hasil-PC'!$B$10:$B$71,$A15,'Hasil-PC'!$AN$10:$AN$71,P$6)+SUMIFS('Hasil-PC'!$AV$10:$AV$71,'Hasil-PC'!$B$10:$B$71,$A15,'Hasil-PC'!$AT$10:$AT$71,P$6)</f>
        <v>0</v>
      </c>
      <c r="Q15">
        <f>SUMIFS('Hasil-PC'!$X$10:$X$71,'Hasil-PC'!$B$10:$B$71,$A15,'Hasil-PC'!$W$10:$W$71,Q$6)+SUMIFS('Hasil-PC'!$AC$10:$AC$71,'Hasil-PC'!$B$10:$B$71,$A15,'Hasil-PC'!$Y$10:$Y$71,Q$6)+SUMIFS('Hasil-PC'!$AH$10:$AH$71,'Hasil-PC'!$B$10:$B$71,$A15,'Hasil-PC'!$AD$10:$AD$71,Q$6)+SUMIFS('Hasil-PC'!$AM$10:$AM$71,'Hasil-PC'!$B$10:$B$71,$A15,'Hasil-PC'!$AI$10:$AI$71,Q$6)+SUMIFS('Hasil-PC'!$AR$10:$AR$71,'Hasil-PC'!$B$10:$B$71,$A15,'Hasil-PC'!$AN$10:$AN$71,Q$6)+SUMIFS('Hasil-PC'!$AV$10:$AV$71,'Hasil-PC'!$B$10:$B$71,$A15,'Hasil-PC'!$AT$10:$AT$71,Q$6)</f>
        <v>0</v>
      </c>
      <c r="R15">
        <f>SUM(J15:Q15)</f>
        <v>324.44957322</v>
      </c>
      <c r="T15">
        <f>IF(B15&gt;0,C15/B15,0)</f>
        <v>2.1333333333333333</v>
      </c>
      <c r="U15">
        <f>IF(B15&gt;0,R15/B15,0)</f>
        <v>76.906565504</v>
      </c>
    </row>
    <row r="16">
      <c r="A16" t="str">
        <v>PC.5A</v>
      </c>
      <c r="B16">
        <f>SUMIF('Hasil-PC'!$B$10:$B$71,$A16,'Hasil-PC'!$T$10:$T$71)</f>
        <v>2.4609375</v>
      </c>
      <c r="C16">
        <f>SUMIF('Hasil-PC'!$B$10:$B$71,$A16,'Hasil-PC'!$U$10:$U$71)</f>
        <v>5.25</v>
      </c>
      <c r="D16">
        <f>SUMIF('Hasil-PC'!$B$10:$B$71,$A16,'Hasil-PC'!$C$10:$C$71)</f>
        <v>1</v>
      </c>
      <c r="E16">
        <f>SUMIF('Hasil-PC'!$B$10:$B$71,$A16,'Hasil-PC'!H$10:H$71)</f>
        <v>5</v>
      </c>
      <c r="F16">
        <f>SUMIF('Hasil-PC'!$B$10:$B$71,$A16,'Hasil-PC'!I$10:I$71)</f>
        <v>0</v>
      </c>
      <c r="G16">
        <f>SUMIF('Hasil-PC'!$B$10:$B$71,$A16,'Hasil-PC'!$L$10:$L$71)</f>
        <v>5.008937499999999</v>
      </c>
      <c r="H16">
        <f>SUMIF('Hasil-PC'!$B$10:$B$71,$A16,'Hasil-PC'!$K$10:$K$71)</f>
        <v>0</v>
      </c>
      <c r="I16">
        <f>SUMIF('Hasil-PC'!$B$10:$B$71,$A16,'Hasil-PC'!$J$10:$J$71)</f>
        <v>0.35778125</v>
      </c>
      <c r="J16">
        <f>SUMIFS('Hasil-PC'!$X$10:$X$71,'Hasil-PC'!$B$10:$B$71,$A16,'Hasil-PC'!$W$10:$W$71,J$6)+SUMIFS('Hasil-PC'!$AC$10:$AC$71,'Hasil-PC'!$B$10:$B$71,$A16,'Hasil-PC'!$Y$10:$Y$71,J$6)+SUMIFS('Hasil-PC'!$AH$10:$AH$71,'Hasil-PC'!$B$10:$B$71,$A16,'Hasil-PC'!$AD$10:$AD$71,J$6)+SUMIFS('Hasil-PC'!$AM$10:$AM$71,'Hasil-PC'!$B$10:$B$71,$A16,'Hasil-PC'!$AI$10:$AI$71,J$6)+SUMIFS('Hasil-PC'!$AR$10:$AR$71,'Hasil-PC'!$B$10:$B$71,$A16,'Hasil-PC'!$AN$10:$AN$71,J$6)+SUMIFS('Hasil-PC'!$AV$10:$AV$71,'Hasil-PC'!$B$10:$B$71,$A16,'Hasil-PC'!$AT$10:$AT$71,J$6)</f>
        <v>0</v>
      </c>
      <c r="K16">
        <f>SUMIFS('Hasil-PC'!$X$10:$X$71,'Hasil-PC'!$B$10:$B$71,$A16,'Hasil-PC'!$W$10:$W$71,K$6)+SUMIFS('Hasil-PC'!$AC$10:$AC$71,'Hasil-PC'!$B$10:$B$71,$A16,'Hasil-PC'!$Y$10:$Y$71,K$6)+SUMIFS('Hasil-PC'!$AH$10:$AH$71,'Hasil-PC'!$B$10:$B$71,$A16,'Hasil-PC'!$AD$10:$AD$71,K$6)+SUMIFS('Hasil-PC'!$AM$10:$AM$71,'Hasil-PC'!$B$10:$B$71,$A16,'Hasil-PC'!$AI$10:$AI$71,K$6)+SUMIFS('Hasil-PC'!$AR$10:$AR$71,'Hasil-PC'!$B$10:$B$71,$A16,'Hasil-PC'!$AN$10:$AN$71,K$6)+SUMIFS('Hasil-PC'!$AV$10:$AV$71,'Hasil-PC'!$B$10:$B$71,$A16,'Hasil-PC'!$AT$10:$AT$71,K$6)</f>
        <v>0</v>
      </c>
      <c r="L16">
        <f>SUMIFS('Hasil-PC'!$X$10:$X$71,'Hasil-PC'!$B$10:$B$71,$A16,'Hasil-PC'!$W$10:$W$71,L$6)+SUMIFS('Hasil-PC'!$AC$10:$AC$71,'Hasil-PC'!$B$10:$B$71,$A16,'Hasil-PC'!$Y$10:$Y$71,L$6)+SUMIFS('Hasil-PC'!$AH$10:$AH$71,'Hasil-PC'!$B$10:$B$71,$A16,'Hasil-PC'!$AD$10:$AD$71,L$6)+SUMIFS('Hasil-PC'!$AM$10:$AM$71,'Hasil-PC'!$B$10:$B$71,$A16,'Hasil-PC'!$AI$10:$AI$71,L$6)+SUMIFS('Hasil-PC'!$AR$10:$AR$71,'Hasil-PC'!$B$10:$B$71,$A16,'Hasil-PC'!$AN$10:$AN$71,L$6)+SUMIFS('Hasil-PC'!$AV$10:$AV$71,'Hasil-PC'!$B$10:$B$71,$A16,'Hasil-PC'!$AT$10:$AT$71,L$6)</f>
        <v>0</v>
      </c>
      <c r="M16">
        <f>SUMIFS('Hasil-PC'!$X$10:$X$71,'Hasil-PC'!$B$10:$B$71,$A16,'Hasil-PC'!$W$10:$W$71,M$6)+SUMIFS('Hasil-PC'!$AC$10:$AC$71,'Hasil-PC'!$B$10:$B$71,$A16,'Hasil-PC'!$Y$10:$Y$71,M$6)+SUMIFS('Hasil-PC'!$AH$10:$AH$71,'Hasil-PC'!$B$10:$B$71,$A16,'Hasil-PC'!$AD$10:$AD$71,M$6)+SUMIFS('Hasil-PC'!$AM$10:$AM$71,'Hasil-PC'!$B$10:$B$71,$A16,'Hasil-PC'!$AI$10:$AI$71,M$6)+SUMIFS('Hasil-PC'!$AR$10:$AR$71,'Hasil-PC'!$B$10:$B$71,$A16,'Hasil-PC'!$AN$10:$AN$71,M$6)+SUMIFS('Hasil-PC'!$AV$10:$AV$71,'Hasil-PC'!$B$10:$B$71,$A16,'Hasil-PC'!$AT$10:$AT$71,M$6)</f>
        <v>74.23013870999999</v>
      </c>
      <c r="N16">
        <f>SUMIFS('Hasil-PC'!$X$10:$X$71,'Hasil-PC'!$B$10:$B$71,$A16,'Hasil-PC'!$W$10:$W$71,N$6)+SUMIFS('Hasil-PC'!$AC$10:$AC$71,'Hasil-PC'!$B$10:$B$71,$A16,'Hasil-PC'!$Y$10:$Y$71,N$6)+SUMIFS('Hasil-PC'!$AH$10:$AH$71,'Hasil-PC'!$B$10:$B$71,$A16,'Hasil-PC'!$AD$10:$AD$71,N$6)+SUMIFS('Hasil-PC'!$AM$10:$AM$71,'Hasil-PC'!$B$10:$B$71,$A16,'Hasil-PC'!$AI$10:$AI$71,N$6)+SUMIFS('Hasil-PC'!$AR$10:$AR$71,'Hasil-PC'!$B$10:$B$71,$A16,'Hasil-PC'!$AN$10:$AN$71,N$6)+SUMIFS('Hasil-PC'!$AV$10:$AV$71,'Hasil-PC'!$B$10:$B$71,$A16,'Hasil-PC'!$AT$10:$AT$71,N$6)</f>
        <v>127.0009728</v>
      </c>
      <c r="O16">
        <f>SUMIFS('Hasil-PC'!$X$10:$X$71,'Hasil-PC'!$B$10:$B$71,$A16,'Hasil-PC'!$W$10:$W$71,O$6)+SUMIFS('Hasil-PC'!$AC$10:$AC$71,'Hasil-PC'!$B$10:$B$71,$A16,'Hasil-PC'!$Y$10:$Y$71,O$6)+SUMIFS('Hasil-PC'!$AH$10:$AH$71,'Hasil-PC'!$B$10:$B$71,$A16,'Hasil-PC'!$AD$10:$AD$71,O$6)+SUMIFS('Hasil-PC'!$AM$10:$AM$71,'Hasil-PC'!$B$10:$B$71,$A16,'Hasil-PC'!$AI$10:$AI$71,O$6)+SUMIFS('Hasil-PC'!$AR$10:$AR$71,'Hasil-PC'!$B$10:$B$71,$A16,'Hasil-PC'!$AN$10:$AN$71,O$6)+SUMIFS('Hasil-PC'!$AV$10:$AV$71,'Hasil-PC'!$B$10:$B$71,$A16,'Hasil-PC'!$AT$10:$AT$71,O$6)</f>
        <v>0</v>
      </c>
      <c r="P16">
        <f>SUMIFS('Hasil-PC'!$X$10:$X$71,'Hasil-PC'!$B$10:$B$71,$A16,'Hasil-PC'!$W$10:$W$71,P$6)+SUMIFS('Hasil-PC'!$AC$10:$AC$71,'Hasil-PC'!$B$10:$B$71,$A16,'Hasil-PC'!$Y$10:$Y$71,P$6)+SUMIFS('Hasil-PC'!$AH$10:$AH$71,'Hasil-PC'!$B$10:$B$71,$A16,'Hasil-PC'!$AD$10:$AD$71,P$6)+SUMIFS('Hasil-PC'!$AM$10:$AM$71,'Hasil-PC'!$B$10:$B$71,$A16,'Hasil-PC'!$AI$10:$AI$71,P$6)+SUMIFS('Hasil-PC'!$AR$10:$AR$71,'Hasil-PC'!$B$10:$B$71,$A16,'Hasil-PC'!$AN$10:$AN$71,P$6)+SUMIFS('Hasil-PC'!$AV$10:$AV$71,'Hasil-PC'!$B$10:$B$71,$A16,'Hasil-PC'!$AT$10:$AT$71,P$6)</f>
        <v>0</v>
      </c>
      <c r="Q16">
        <f>SUMIFS('Hasil-PC'!$X$10:$X$71,'Hasil-PC'!$B$10:$B$71,$A16,'Hasil-PC'!$W$10:$W$71,Q$6)+SUMIFS('Hasil-PC'!$AC$10:$AC$71,'Hasil-PC'!$B$10:$B$71,$A16,'Hasil-PC'!$Y$10:$Y$71,Q$6)+SUMIFS('Hasil-PC'!$AH$10:$AH$71,'Hasil-PC'!$B$10:$B$71,$A16,'Hasil-PC'!$AD$10:$AD$71,Q$6)+SUMIFS('Hasil-PC'!$AM$10:$AM$71,'Hasil-PC'!$B$10:$B$71,$A16,'Hasil-PC'!$AI$10:$AI$71,Q$6)+SUMIFS('Hasil-PC'!$AR$10:$AR$71,'Hasil-PC'!$B$10:$B$71,$A16,'Hasil-PC'!$AN$10:$AN$71,Q$6)+SUMIFS('Hasil-PC'!$AV$10:$AV$71,'Hasil-PC'!$B$10:$B$71,$A16,'Hasil-PC'!$AT$10:$AT$71,Q$6)</f>
        <v>0</v>
      </c>
      <c r="R16">
        <f>SUM(J16:Q16)</f>
        <v>201.23111151</v>
      </c>
      <c r="T16">
        <f>IF(B16&gt;0,C16/B16,0)</f>
        <v>2.1333333333333333</v>
      </c>
      <c r="U16">
        <f>IF(B16&gt;0,R16/B16,0)</f>
        <v>81.77010245485714</v>
      </c>
    </row>
    <row r="17">
      <c r="A17" t="str">
        <v>PC.5B</v>
      </c>
      <c r="B17">
        <f>SUMIF('Hasil-PC'!$B$10:$B$71,$A17,'Hasil-PC'!$T$10:$T$71)</f>
        <v>1.9194</v>
      </c>
      <c r="C17">
        <f>SUMIF('Hasil-PC'!$B$10:$B$71,$A17,'Hasil-PC'!$U$10:$U$71)</f>
        <v>4.705460207389558</v>
      </c>
      <c r="D17">
        <f>SUMIF('Hasil-PC'!$B$10:$B$71,$A17,'Hasil-PC'!$C$10:$C$71)</f>
        <v>1</v>
      </c>
      <c r="E17">
        <f>SUMIF('Hasil-PC'!$B$10:$B$71,$A17,'Hasil-PC'!H$10:H$71)</f>
        <v>5</v>
      </c>
      <c r="F17">
        <f>SUMIF('Hasil-PC'!$B$10:$B$71,$A17,'Hasil-PC'!I$10:I$71)</f>
        <v>0</v>
      </c>
      <c r="G17">
        <f>SUMIF('Hasil-PC'!$B$10:$B$71,$A17,'Hasil-PC'!$L$10:$L$71)</f>
        <v>4.4841999999999995</v>
      </c>
      <c r="H17">
        <f>SUMIF('Hasil-PC'!$B$10:$B$71,$A17,'Hasil-PC'!$K$10:$K$71)</f>
        <v>0</v>
      </c>
      <c r="I17">
        <f>SUMIF('Hasil-PC'!$B$10:$B$71,$A17,'Hasil-PC'!$J$10:$J$71)</f>
        <v>0.32030000000000003</v>
      </c>
      <c r="J17">
        <f>SUMIFS('Hasil-PC'!$X$10:$X$71,'Hasil-PC'!$B$10:$B$71,$A17,'Hasil-PC'!$W$10:$W$71,J$6)+SUMIFS('Hasil-PC'!$AC$10:$AC$71,'Hasil-PC'!$B$10:$B$71,$A17,'Hasil-PC'!$Y$10:$Y$71,J$6)+SUMIFS('Hasil-PC'!$AH$10:$AH$71,'Hasil-PC'!$B$10:$B$71,$A17,'Hasil-PC'!$AD$10:$AD$71,J$6)+SUMIFS('Hasil-PC'!$AM$10:$AM$71,'Hasil-PC'!$B$10:$B$71,$A17,'Hasil-PC'!$AI$10:$AI$71,J$6)+SUMIFS('Hasil-PC'!$AR$10:$AR$71,'Hasil-PC'!$B$10:$B$71,$A17,'Hasil-PC'!$AN$10:$AN$71,J$6)+SUMIFS('Hasil-PC'!$AV$10:$AV$71,'Hasil-PC'!$B$10:$B$71,$A17,'Hasil-PC'!$AT$10:$AT$71,J$6)</f>
        <v>0</v>
      </c>
      <c r="K17">
        <f>SUMIFS('Hasil-PC'!$X$10:$X$71,'Hasil-PC'!$B$10:$B$71,$A17,'Hasil-PC'!$W$10:$W$71,K$6)+SUMIFS('Hasil-PC'!$AC$10:$AC$71,'Hasil-PC'!$B$10:$B$71,$A17,'Hasil-PC'!$Y$10:$Y$71,K$6)+SUMIFS('Hasil-PC'!$AH$10:$AH$71,'Hasil-PC'!$B$10:$B$71,$A17,'Hasil-PC'!$AD$10:$AD$71,K$6)+SUMIFS('Hasil-PC'!$AM$10:$AM$71,'Hasil-PC'!$B$10:$B$71,$A17,'Hasil-PC'!$AI$10:$AI$71,K$6)+SUMIFS('Hasil-PC'!$AR$10:$AR$71,'Hasil-PC'!$B$10:$B$71,$A17,'Hasil-PC'!$AN$10:$AN$71,K$6)+SUMIFS('Hasil-PC'!$AV$10:$AV$71,'Hasil-PC'!$B$10:$B$71,$A17,'Hasil-PC'!$AT$10:$AT$71,K$6)</f>
        <v>0</v>
      </c>
      <c r="L17">
        <f>SUMIFS('Hasil-PC'!$X$10:$X$71,'Hasil-PC'!$B$10:$B$71,$A17,'Hasil-PC'!$W$10:$W$71,L$6)+SUMIFS('Hasil-PC'!$AC$10:$AC$71,'Hasil-PC'!$B$10:$B$71,$A17,'Hasil-PC'!$Y$10:$Y$71,L$6)+SUMIFS('Hasil-PC'!$AH$10:$AH$71,'Hasil-PC'!$B$10:$B$71,$A17,'Hasil-PC'!$AD$10:$AD$71,L$6)+SUMIFS('Hasil-PC'!$AM$10:$AM$71,'Hasil-PC'!$B$10:$B$71,$A17,'Hasil-PC'!$AI$10:$AI$71,L$6)+SUMIFS('Hasil-PC'!$AR$10:$AR$71,'Hasil-PC'!$B$10:$B$71,$A17,'Hasil-PC'!$AN$10:$AN$71,L$6)+SUMIFS('Hasil-PC'!$AV$10:$AV$71,'Hasil-PC'!$B$10:$B$71,$A17,'Hasil-PC'!$AT$10:$AT$71,L$6)</f>
        <v>0</v>
      </c>
      <c r="M17">
        <f>SUMIFS('Hasil-PC'!$X$10:$X$71,'Hasil-PC'!$B$10:$B$71,$A17,'Hasil-PC'!$W$10:$W$71,M$6)+SUMIFS('Hasil-PC'!$AC$10:$AC$71,'Hasil-PC'!$B$10:$B$71,$A17,'Hasil-PC'!$Y$10:$Y$71,M$6)+SUMIFS('Hasil-PC'!$AH$10:$AH$71,'Hasil-PC'!$B$10:$B$71,$A17,'Hasil-PC'!$AD$10:$AD$71,M$6)+SUMIFS('Hasil-PC'!$AM$10:$AM$71,'Hasil-PC'!$B$10:$B$71,$A17,'Hasil-PC'!$AI$10:$AI$71,M$6)+SUMIFS('Hasil-PC'!$AR$10:$AR$71,'Hasil-PC'!$B$10:$B$71,$A17,'Hasil-PC'!$AN$10:$AN$71,M$6)+SUMIFS('Hasil-PC'!$AV$10:$AV$71,'Hasil-PC'!$B$10:$B$71,$A17,'Hasil-PC'!$AT$10:$AT$71,M$6)</f>
        <v>6.791096043108671</v>
      </c>
      <c r="N17">
        <f>SUMIFS('Hasil-PC'!$X$10:$X$71,'Hasil-PC'!$B$10:$B$71,$A17,'Hasil-PC'!$W$10:$W$71,N$6)+SUMIFS('Hasil-PC'!$AC$10:$AC$71,'Hasil-PC'!$B$10:$B$71,$A17,'Hasil-PC'!$Y$10:$Y$71,N$6)+SUMIFS('Hasil-PC'!$AH$10:$AH$71,'Hasil-PC'!$B$10:$B$71,$A17,'Hasil-PC'!$AD$10:$AD$71,N$6)+SUMIFS('Hasil-PC'!$AM$10:$AM$71,'Hasil-PC'!$B$10:$B$71,$A17,'Hasil-PC'!$AI$10:$AI$71,N$6)+SUMIFS('Hasil-PC'!$AR$10:$AR$71,'Hasil-PC'!$B$10:$B$71,$A17,'Hasil-PC'!$AN$10:$AN$71,N$6)+SUMIFS('Hasil-PC'!$AV$10:$AV$71,'Hasil-PC'!$B$10:$B$71,$A17,'Hasil-PC'!$AT$10:$AT$71,N$6)</f>
        <v>210.78973440000001</v>
      </c>
      <c r="O17">
        <f>SUMIFS('Hasil-PC'!$X$10:$X$71,'Hasil-PC'!$B$10:$B$71,$A17,'Hasil-PC'!$W$10:$W$71,O$6)+SUMIFS('Hasil-PC'!$AC$10:$AC$71,'Hasil-PC'!$B$10:$B$71,$A17,'Hasil-PC'!$Y$10:$Y$71,O$6)+SUMIFS('Hasil-PC'!$AH$10:$AH$71,'Hasil-PC'!$B$10:$B$71,$A17,'Hasil-PC'!$AD$10:$AD$71,O$6)+SUMIFS('Hasil-PC'!$AM$10:$AM$71,'Hasil-PC'!$B$10:$B$71,$A17,'Hasil-PC'!$AI$10:$AI$71,O$6)+SUMIFS('Hasil-PC'!$AR$10:$AR$71,'Hasil-PC'!$B$10:$B$71,$A17,'Hasil-PC'!$AN$10:$AN$71,O$6)+SUMIFS('Hasil-PC'!$AV$10:$AV$71,'Hasil-PC'!$B$10:$B$71,$A17,'Hasil-PC'!$AT$10:$AT$71,O$6)</f>
        <v>0</v>
      </c>
      <c r="P17">
        <f>SUMIFS('Hasil-PC'!$X$10:$X$71,'Hasil-PC'!$B$10:$B$71,$A17,'Hasil-PC'!$W$10:$W$71,P$6)+SUMIFS('Hasil-PC'!$AC$10:$AC$71,'Hasil-PC'!$B$10:$B$71,$A17,'Hasil-PC'!$Y$10:$Y$71,P$6)+SUMIFS('Hasil-PC'!$AH$10:$AH$71,'Hasil-PC'!$B$10:$B$71,$A17,'Hasil-PC'!$AD$10:$AD$71,P$6)+SUMIFS('Hasil-PC'!$AM$10:$AM$71,'Hasil-PC'!$B$10:$B$71,$A17,'Hasil-PC'!$AI$10:$AI$71,P$6)+SUMIFS('Hasil-PC'!$AR$10:$AR$71,'Hasil-PC'!$B$10:$B$71,$A17,'Hasil-PC'!$AN$10:$AN$71,P$6)+SUMIFS('Hasil-PC'!$AV$10:$AV$71,'Hasil-PC'!$B$10:$B$71,$A17,'Hasil-PC'!$AT$10:$AT$71,P$6)</f>
        <v>0</v>
      </c>
      <c r="Q17">
        <f>SUMIFS('Hasil-PC'!$X$10:$X$71,'Hasil-PC'!$B$10:$B$71,$A17,'Hasil-PC'!$W$10:$W$71,Q$6)+SUMIFS('Hasil-PC'!$AC$10:$AC$71,'Hasil-PC'!$B$10:$B$71,$A17,'Hasil-PC'!$Y$10:$Y$71,Q$6)+SUMIFS('Hasil-PC'!$AH$10:$AH$71,'Hasil-PC'!$B$10:$B$71,$A17,'Hasil-PC'!$AD$10:$AD$71,Q$6)+SUMIFS('Hasil-PC'!$AM$10:$AM$71,'Hasil-PC'!$B$10:$B$71,$A17,'Hasil-PC'!$AI$10:$AI$71,Q$6)+SUMIFS('Hasil-PC'!$AR$10:$AR$71,'Hasil-PC'!$B$10:$B$71,$A17,'Hasil-PC'!$AN$10:$AN$71,Q$6)+SUMIFS('Hasil-PC'!$AV$10:$AV$71,'Hasil-PC'!$B$10:$B$71,$A17,'Hasil-PC'!$AT$10:$AT$71,Q$6)</f>
        <v>0</v>
      </c>
      <c r="R17">
        <f>SUM(J17:Q17)</f>
        <v>217.58083044310868</v>
      </c>
      <c r="T17">
        <f>IF(B17&gt;0,C17/B17,0)</f>
        <v>2.451526626752922</v>
      </c>
      <c r="U17">
        <f>IF(B17&gt;0,R17/B17,0)</f>
        <v>113.35877380593345</v>
      </c>
    </row>
    <row r="18">
      <c r="A18" t="str">
        <v>PC.6</v>
      </c>
      <c r="B18">
        <f>SUMIF('Hasil-PC'!$B$10:$B$71,$A18,'Hasil-PC'!$T$10:$T$71)</f>
        <v>2.16</v>
      </c>
      <c r="C18">
        <f>SUMIF('Hasil-PC'!$B$10:$B$71,$A18,'Hasil-PC'!$U$10:$U$71)</f>
        <v>4.68</v>
      </c>
      <c r="D18">
        <f>SUMIF('Hasil-PC'!$B$10:$B$71,$A18,'Hasil-PC'!$C$10:$C$71)</f>
        <v>1</v>
      </c>
      <c r="E18">
        <f>SUMIF('Hasil-PC'!$B$10:$B$71,$A18,'Hasil-PC'!H$10:H$71)</f>
        <v>6</v>
      </c>
      <c r="F18">
        <f>SUMIF('Hasil-PC'!$B$10:$B$71,$A18,'Hasil-PC'!I$10:I$71)</f>
        <v>0</v>
      </c>
      <c r="G18">
        <f>SUMIF('Hasil-PC'!$B$10:$B$71,$A18,'Hasil-PC'!$L$10:$L$71)</f>
        <v>4.416</v>
      </c>
      <c r="H18">
        <f>SUMIF('Hasil-PC'!$B$10:$B$71,$A18,'Hasil-PC'!$K$10:$K$71)</f>
        <v>0</v>
      </c>
      <c r="I18">
        <f>SUMIF('Hasil-PC'!$B$10:$B$71,$A18,'Hasil-PC'!$J$10:$J$71)</f>
        <v>0.368</v>
      </c>
      <c r="J18">
        <f>SUMIFS('Hasil-PC'!$X$10:$X$71,'Hasil-PC'!$B$10:$B$71,$A18,'Hasil-PC'!$W$10:$W$71,J$6)+SUMIFS('Hasil-PC'!$AC$10:$AC$71,'Hasil-PC'!$B$10:$B$71,$A18,'Hasil-PC'!$Y$10:$Y$71,J$6)+SUMIFS('Hasil-PC'!$AH$10:$AH$71,'Hasil-PC'!$B$10:$B$71,$A18,'Hasil-PC'!$AD$10:$AD$71,J$6)+SUMIFS('Hasil-PC'!$AM$10:$AM$71,'Hasil-PC'!$B$10:$B$71,$A18,'Hasil-PC'!$AI$10:$AI$71,J$6)+SUMIFS('Hasil-PC'!$AR$10:$AR$71,'Hasil-PC'!$B$10:$B$71,$A18,'Hasil-PC'!$AN$10:$AN$71,J$6)+SUMIFS('Hasil-PC'!$AV$10:$AV$71,'Hasil-PC'!$B$10:$B$71,$A18,'Hasil-PC'!$AT$10:$AT$71,J$6)</f>
        <v>0</v>
      </c>
      <c r="K18">
        <f>SUMIFS('Hasil-PC'!$X$10:$X$71,'Hasil-PC'!$B$10:$B$71,$A18,'Hasil-PC'!$W$10:$W$71,K$6)+SUMIFS('Hasil-PC'!$AC$10:$AC$71,'Hasil-PC'!$B$10:$B$71,$A18,'Hasil-PC'!$Y$10:$Y$71,K$6)+SUMIFS('Hasil-PC'!$AH$10:$AH$71,'Hasil-PC'!$B$10:$B$71,$A18,'Hasil-PC'!$AD$10:$AD$71,K$6)+SUMIFS('Hasil-PC'!$AM$10:$AM$71,'Hasil-PC'!$B$10:$B$71,$A18,'Hasil-PC'!$AI$10:$AI$71,K$6)+SUMIFS('Hasil-PC'!$AR$10:$AR$71,'Hasil-PC'!$B$10:$B$71,$A18,'Hasil-PC'!$AN$10:$AN$71,K$6)+SUMIFS('Hasil-PC'!$AV$10:$AV$71,'Hasil-PC'!$B$10:$B$71,$A18,'Hasil-PC'!$AT$10:$AT$71,K$6)</f>
        <v>0</v>
      </c>
      <c r="L18">
        <f>SUMIFS('Hasil-PC'!$X$10:$X$71,'Hasil-PC'!$B$10:$B$71,$A18,'Hasil-PC'!$W$10:$W$71,L$6)+SUMIFS('Hasil-PC'!$AC$10:$AC$71,'Hasil-PC'!$B$10:$B$71,$A18,'Hasil-PC'!$Y$10:$Y$71,L$6)+SUMIFS('Hasil-PC'!$AH$10:$AH$71,'Hasil-PC'!$B$10:$B$71,$A18,'Hasil-PC'!$AD$10:$AD$71,L$6)+SUMIFS('Hasil-PC'!$AM$10:$AM$71,'Hasil-PC'!$B$10:$B$71,$A18,'Hasil-PC'!$AI$10:$AI$71,L$6)+SUMIFS('Hasil-PC'!$AR$10:$AR$71,'Hasil-PC'!$B$10:$B$71,$A18,'Hasil-PC'!$AN$10:$AN$71,L$6)+SUMIFS('Hasil-PC'!$AV$10:$AV$71,'Hasil-PC'!$B$10:$B$71,$A18,'Hasil-PC'!$AT$10:$AT$71,L$6)</f>
        <v>0</v>
      </c>
      <c r="M18">
        <f>SUMIFS('Hasil-PC'!$X$10:$X$71,'Hasil-PC'!$B$10:$B$71,$A18,'Hasil-PC'!$W$10:$W$71,M$6)+SUMIFS('Hasil-PC'!$AC$10:$AC$71,'Hasil-PC'!$B$10:$B$71,$A18,'Hasil-PC'!$Y$10:$Y$71,M$6)+SUMIFS('Hasil-PC'!$AH$10:$AH$71,'Hasil-PC'!$B$10:$B$71,$A18,'Hasil-PC'!$AD$10:$AD$71,M$6)+SUMIFS('Hasil-PC'!$AM$10:$AM$71,'Hasil-PC'!$B$10:$B$71,$A18,'Hasil-PC'!$AI$10:$AI$71,M$6)+SUMIFS('Hasil-PC'!$AR$10:$AR$71,'Hasil-PC'!$B$10:$B$71,$A18,'Hasil-PC'!$AN$10:$AN$71,M$6)+SUMIFS('Hasil-PC'!$AV$10:$AV$71,'Hasil-PC'!$B$10:$B$71,$A18,'Hasil-PC'!$AT$10:$AT$71,M$6)</f>
        <v>78.92904005999999</v>
      </c>
      <c r="N18">
        <f>SUMIFS('Hasil-PC'!$X$10:$X$71,'Hasil-PC'!$B$10:$B$71,$A18,'Hasil-PC'!$W$10:$W$71,N$6)+SUMIFS('Hasil-PC'!$AC$10:$AC$71,'Hasil-PC'!$B$10:$B$71,$A18,'Hasil-PC'!$Y$10:$Y$71,N$6)+SUMIFS('Hasil-PC'!$AH$10:$AH$71,'Hasil-PC'!$B$10:$B$71,$A18,'Hasil-PC'!$AD$10:$AD$71,N$6)+SUMIFS('Hasil-PC'!$AM$10:$AM$71,'Hasil-PC'!$B$10:$B$71,$A18,'Hasil-PC'!$AI$10:$AI$71,N$6)+SUMIFS('Hasil-PC'!$AR$10:$AR$71,'Hasil-PC'!$B$10:$B$71,$A18,'Hasil-PC'!$AN$10:$AN$71,N$6)+SUMIFS('Hasil-PC'!$AV$10:$AV$71,'Hasil-PC'!$B$10:$B$71,$A18,'Hasil-PC'!$AT$10:$AT$71,N$6)</f>
        <v>131.24643840000002</v>
      </c>
      <c r="O18">
        <f>SUMIFS('Hasil-PC'!$X$10:$X$71,'Hasil-PC'!$B$10:$B$71,$A18,'Hasil-PC'!$W$10:$W$71,O$6)+SUMIFS('Hasil-PC'!$AC$10:$AC$71,'Hasil-PC'!$B$10:$B$71,$A18,'Hasil-PC'!$Y$10:$Y$71,O$6)+SUMIFS('Hasil-PC'!$AH$10:$AH$71,'Hasil-PC'!$B$10:$B$71,$A18,'Hasil-PC'!$AD$10:$AD$71,O$6)+SUMIFS('Hasil-PC'!$AM$10:$AM$71,'Hasil-PC'!$B$10:$B$71,$A18,'Hasil-PC'!$AI$10:$AI$71,O$6)+SUMIFS('Hasil-PC'!$AR$10:$AR$71,'Hasil-PC'!$B$10:$B$71,$A18,'Hasil-PC'!$AN$10:$AN$71,O$6)+SUMIFS('Hasil-PC'!$AV$10:$AV$71,'Hasil-PC'!$B$10:$B$71,$A18,'Hasil-PC'!$AT$10:$AT$71,O$6)</f>
        <v>0</v>
      </c>
      <c r="P18">
        <f>SUMIFS('Hasil-PC'!$X$10:$X$71,'Hasil-PC'!$B$10:$B$71,$A18,'Hasil-PC'!$W$10:$W$71,P$6)+SUMIFS('Hasil-PC'!$AC$10:$AC$71,'Hasil-PC'!$B$10:$B$71,$A18,'Hasil-PC'!$Y$10:$Y$71,P$6)+SUMIFS('Hasil-PC'!$AH$10:$AH$71,'Hasil-PC'!$B$10:$B$71,$A18,'Hasil-PC'!$AD$10:$AD$71,P$6)+SUMIFS('Hasil-PC'!$AM$10:$AM$71,'Hasil-PC'!$B$10:$B$71,$A18,'Hasil-PC'!$AI$10:$AI$71,P$6)+SUMIFS('Hasil-PC'!$AR$10:$AR$71,'Hasil-PC'!$B$10:$B$71,$A18,'Hasil-PC'!$AN$10:$AN$71,P$6)+SUMIFS('Hasil-PC'!$AV$10:$AV$71,'Hasil-PC'!$B$10:$B$71,$A18,'Hasil-PC'!$AT$10:$AT$71,P$6)</f>
        <v>0</v>
      </c>
      <c r="Q18">
        <f>SUMIFS('Hasil-PC'!$X$10:$X$71,'Hasil-PC'!$B$10:$B$71,$A18,'Hasil-PC'!$W$10:$W$71,Q$6)+SUMIFS('Hasil-PC'!$AC$10:$AC$71,'Hasil-PC'!$B$10:$B$71,$A18,'Hasil-PC'!$Y$10:$Y$71,Q$6)+SUMIFS('Hasil-PC'!$AH$10:$AH$71,'Hasil-PC'!$B$10:$B$71,$A18,'Hasil-PC'!$AD$10:$AD$71,Q$6)+SUMIFS('Hasil-PC'!$AM$10:$AM$71,'Hasil-PC'!$B$10:$B$71,$A18,'Hasil-PC'!$AI$10:$AI$71,Q$6)+SUMIFS('Hasil-PC'!$AR$10:$AR$71,'Hasil-PC'!$B$10:$B$71,$A18,'Hasil-PC'!$AN$10:$AN$71,Q$6)+SUMIFS('Hasil-PC'!$AV$10:$AV$71,'Hasil-PC'!$B$10:$B$71,$A18,'Hasil-PC'!$AT$10:$AT$71,Q$6)</f>
        <v>0</v>
      </c>
      <c r="R18">
        <f>SUM(J18:Q18)</f>
        <v>210.17547846000002</v>
      </c>
      <c r="T18">
        <f>IF(B18&gt;0,C18/B18,0)</f>
        <v>2.1666666666666665</v>
      </c>
      <c r="U18">
        <f>IF(B18&gt;0,R18/B18,0)</f>
        <v>97.30346225000001</v>
      </c>
    </row>
    <row r="19">
      <c r="A19" t="str">
        <v>PC.6A</v>
      </c>
      <c r="B19">
        <f>SUMIF('Hasil-PC'!$B$10:$B$71,$A19,'Hasil-PC'!$T$10:$T$71)</f>
        <v>9.1065</v>
      </c>
      <c r="C19">
        <f>SUMIF('Hasil-PC'!$B$10:$B$71,$A19,'Hasil-PC'!$U$10:$U$71)</f>
        <v>20.01734198184517</v>
      </c>
      <c r="D19">
        <f>SUMIF('Hasil-PC'!$B$10:$B$71,$A19,'Hasil-PC'!$C$10:$C$71)</f>
        <v>3</v>
      </c>
      <c r="E19">
        <f>SUMIF('Hasil-PC'!$B$10:$B$71,$A19,'Hasil-PC'!H$10:H$71)</f>
        <v>18</v>
      </c>
      <c r="F19">
        <f>SUMIF('Hasil-PC'!$B$10:$B$71,$A19,'Hasil-PC'!I$10:I$71)</f>
        <v>0</v>
      </c>
      <c r="G19">
        <f>SUMIF('Hasil-PC'!$B$10:$B$71,$A19,'Hasil-PC'!$L$10:$L$71)</f>
        <v>19.8585</v>
      </c>
      <c r="H19">
        <f>SUMIF('Hasil-PC'!$B$10:$B$71,$A19,'Hasil-PC'!$K$10:$K$71)</f>
        <v>0</v>
      </c>
      <c r="I19">
        <f>SUMIF('Hasil-PC'!$B$10:$B$71,$A19,'Hasil-PC'!$J$10:$J$71)</f>
        <v>1.24115625</v>
      </c>
      <c r="J19">
        <f>SUMIFS('Hasil-PC'!$X$10:$X$71,'Hasil-PC'!$B$10:$B$71,$A19,'Hasil-PC'!$W$10:$W$71,J$6)+SUMIFS('Hasil-PC'!$AC$10:$AC$71,'Hasil-PC'!$B$10:$B$71,$A19,'Hasil-PC'!$Y$10:$Y$71,J$6)+SUMIFS('Hasil-PC'!$AH$10:$AH$71,'Hasil-PC'!$B$10:$B$71,$A19,'Hasil-PC'!$AD$10:$AD$71,J$6)+SUMIFS('Hasil-PC'!$AM$10:$AM$71,'Hasil-PC'!$B$10:$B$71,$A19,'Hasil-PC'!$AI$10:$AI$71,J$6)+SUMIFS('Hasil-PC'!$AR$10:$AR$71,'Hasil-PC'!$B$10:$B$71,$A19,'Hasil-PC'!$AN$10:$AN$71,J$6)+SUMIFS('Hasil-PC'!$AV$10:$AV$71,'Hasil-PC'!$B$10:$B$71,$A19,'Hasil-PC'!$AT$10:$AT$71,J$6)</f>
        <v>0</v>
      </c>
      <c r="K19">
        <f>SUMIFS('Hasil-PC'!$X$10:$X$71,'Hasil-PC'!$B$10:$B$71,$A19,'Hasil-PC'!$W$10:$W$71,K$6)+SUMIFS('Hasil-PC'!$AC$10:$AC$71,'Hasil-PC'!$B$10:$B$71,$A19,'Hasil-PC'!$Y$10:$Y$71,K$6)+SUMIFS('Hasil-PC'!$AH$10:$AH$71,'Hasil-PC'!$B$10:$B$71,$A19,'Hasil-PC'!$AD$10:$AD$71,K$6)+SUMIFS('Hasil-PC'!$AM$10:$AM$71,'Hasil-PC'!$B$10:$B$71,$A19,'Hasil-PC'!$AI$10:$AI$71,K$6)+SUMIFS('Hasil-PC'!$AR$10:$AR$71,'Hasil-PC'!$B$10:$B$71,$A19,'Hasil-PC'!$AN$10:$AN$71,K$6)+SUMIFS('Hasil-PC'!$AV$10:$AV$71,'Hasil-PC'!$B$10:$B$71,$A19,'Hasil-PC'!$AT$10:$AT$71,K$6)</f>
        <v>0</v>
      </c>
      <c r="L19">
        <f>SUMIFS('Hasil-PC'!$X$10:$X$71,'Hasil-PC'!$B$10:$B$71,$A19,'Hasil-PC'!$W$10:$W$71,L$6)+SUMIFS('Hasil-PC'!$AC$10:$AC$71,'Hasil-PC'!$B$10:$B$71,$A19,'Hasil-PC'!$Y$10:$Y$71,L$6)+SUMIFS('Hasil-PC'!$AH$10:$AH$71,'Hasil-PC'!$B$10:$B$71,$A19,'Hasil-PC'!$AD$10:$AD$71,L$6)+SUMIFS('Hasil-PC'!$AM$10:$AM$71,'Hasil-PC'!$B$10:$B$71,$A19,'Hasil-PC'!$AI$10:$AI$71,L$6)+SUMIFS('Hasil-PC'!$AR$10:$AR$71,'Hasil-PC'!$B$10:$B$71,$A19,'Hasil-PC'!$AN$10:$AN$71,L$6)+SUMIFS('Hasil-PC'!$AV$10:$AV$71,'Hasil-PC'!$B$10:$B$71,$A19,'Hasil-PC'!$AT$10:$AT$71,L$6)</f>
        <v>0</v>
      </c>
      <c r="M19">
        <f>SUMIFS('Hasil-PC'!$X$10:$X$71,'Hasil-PC'!$B$10:$B$71,$A19,'Hasil-PC'!$W$10:$W$71,M$6)+SUMIFS('Hasil-PC'!$AC$10:$AC$71,'Hasil-PC'!$B$10:$B$71,$A19,'Hasil-PC'!$Y$10:$Y$71,M$6)+SUMIFS('Hasil-PC'!$AH$10:$AH$71,'Hasil-PC'!$B$10:$B$71,$A19,'Hasil-PC'!$AD$10:$AD$71,M$6)+SUMIFS('Hasil-PC'!$AM$10:$AM$71,'Hasil-PC'!$B$10:$B$71,$A19,'Hasil-PC'!$AI$10:$AI$71,M$6)+SUMIFS('Hasil-PC'!$AR$10:$AR$71,'Hasil-PC'!$B$10:$B$71,$A19,'Hasil-PC'!$AN$10:$AN$71,M$6)+SUMIFS('Hasil-PC'!$AV$10:$AV$71,'Hasil-PC'!$B$10:$B$71,$A19,'Hasil-PC'!$AT$10:$AT$71,M$6)</f>
        <v>50.86415363688688</v>
      </c>
      <c r="N19">
        <f>SUMIFS('Hasil-PC'!$X$10:$X$71,'Hasil-PC'!$B$10:$B$71,$A19,'Hasil-PC'!$W$10:$W$71,N$6)+SUMIFS('Hasil-PC'!$AC$10:$AC$71,'Hasil-PC'!$B$10:$B$71,$A19,'Hasil-PC'!$Y$10:$Y$71,N$6)+SUMIFS('Hasil-PC'!$AH$10:$AH$71,'Hasil-PC'!$B$10:$B$71,$A19,'Hasil-PC'!$AD$10:$AD$71,N$6)+SUMIFS('Hasil-PC'!$AM$10:$AM$71,'Hasil-PC'!$B$10:$B$71,$A19,'Hasil-PC'!$AI$10:$AI$71,N$6)+SUMIFS('Hasil-PC'!$AR$10:$AR$71,'Hasil-PC'!$B$10:$B$71,$A19,'Hasil-PC'!$AN$10:$AN$71,N$6)+SUMIFS('Hasil-PC'!$AV$10:$AV$71,'Hasil-PC'!$B$10:$B$71,$A19,'Hasil-PC'!$AT$10:$AT$71,N$6)</f>
        <v>973.5057792</v>
      </c>
      <c r="O19">
        <f>SUMIFS('Hasil-PC'!$X$10:$X$71,'Hasil-PC'!$B$10:$B$71,$A19,'Hasil-PC'!$W$10:$W$71,O$6)+SUMIFS('Hasil-PC'!$AC$10:$AC$71,'Hasil-PC'!$B$10:$B$71,$A19,'Hasil-PC'!$Y$10:$Y$71,O$6)+SUMIFS('Hasil-PC'!$AH$10:$AH$71,'Hasil-PC'!$B$10:$B$71,$A19,'Hasil-PC'!$AD$10:$AD$71,O$6)+SUMIFS('Hasil-PC'!$AM$10:$AM$71,'Hasil-PC'!$B$10:$B$71,$A19,'Hasil-PC'!$AI$10:$AI$71,O$6)+SUMIFS('Hasil-PC'!$AR$10:$AR$71,'Hasil-PC'!$B$10:$B$71,$A19,'Hasil-PC'!$AN$10:$AN$71,O$6)+SUMIFS('Hasil-PC'!$AV$10:$AV$71,'Hasil-PC'!$B$10:$B$71,$A19,'Hasil-PC'!$AT$10:$AT$71,O$6)</f>
        <v>0</v>
      </c>
      <c r="P19">
        <f>SUMIFS('Hasil-PC'!$X$10:$X$71,'Hasil-PC'!$B$10:$B$71,$A19,'Hasil-PC'!$W$10:$W$71,P$6)+SUMIFS('Hasil-PC'!$AC$10:$AC$71,'Hasil-PC'!$B$10:$B$71,$A19,'Hasil-PC'!$Y$10:$Y$71,P$6)+SUMIFS('Hasil-PC'!$AH$10:$AH$71,'Hasil-PC'!$B$10:$B$71,$A19,'Hasil-PC'!$AD$10:$AD$71,P$6)+SUMIFS('Hasil-PC'!$AM$10:$AM$71,'Hasil-PC'!$B$10:$B$71,$A19,'Hasil-PC'!$AI$10:$AI$71,P$6)+SUMIFS('Hasil-PC'!$AR$10:$AR$71,'Hasil-PC'!$B$10:$B$71,$A19,'Hasil-PC'!$AN$10:$AN$71,P$6)+SUMIFS('Hasil-PC'!$AV$10:$AV$71,'Hasil-PC'!$B$10:$B$71,$A19,'Hasil-PC'!$AT$10:$AT$71,P$6)</f>
        <v>0</v>
      </c>
      <c r="Q19">
        <f>SUMIFS('Hasil-PC'!$X$10:$X$71,'Hasil-PC'!$B$10:$B$71,$A19,'Hasil-PC'!$W$10:$W$71,Q$6)+SUMIFS('Hasil-PC'!$AC$10:$AC$71,'Hasil-PC'!$B$10:$B$71,$A19,'Hasil-PC'!$Y$10:$Y$71,Q$6)+SUMIFS('Hasil-PC'!$AH$10:$AH$71,'Hasil-PC'!$B$10:$B$71,$A19,'Hasil-PC'!$AD$10:$AD$71,Q$6)+SUMIFS('Hasil-PC'!$AM$10:$AM$71,'Hasil-PC'!$B$10:$B$71,$A19,'Hasil-PC'!$AI$10:$AI$71,Q$6)+SUMIFS('Hasil-PC'!$AR$10:$AR$71,'Hasil-PC'!$B$10:$B$71,$A19,'Hasil-PC'!$AN$10:$AN$71,Q$6)+SUMIFS('Hasil-PC'!$AV$10:$AV$71,'Hasil-PC'!$B$10:$B$71,$A19,'Hasil-PC'!$AT$10:$AT$71,Q$6)</f>
        <v>0</v>
      </c>
      <c r="R19">
        <f>SUM(J19:Q19)</f>
        <v>1024.3699328368868</v>
      </c>
      <c r="T19">
        <f>IF(B19&gt;0,C19/B19,0)</f>
        <v>2.1981378116559784</v>
      </c>
      <c r="U19">
        <f>IF(B19&gt;0,R19/B19,0)</f>
        <v>112.48777607608706</v>
      </c>
    </row>
    <row r="20">
      <c r="A20" t="str">
        <v>PC.8</v>
      </c>
      <c r="B20">
        <f>SUMIF('Hasil-PC'!$B$10:$B$71,$A20,'Hasil-PC'!$T$10:$T$71)</f>
        <v>3.6288</v>
      </c>
      <c r="C20">
        <f>SUMIF('Hasil-PC'!$B$10:$B$71,$A20,'Hasil-PC'!$U$10:$U$71)</f>
        <v>6.3839999999999995</v>
      </c>
      <c r="D20">
        <f>SUMIF('Hasil-PC'!$B$10:$B$71,$A20,'Hasil-PC'!$C$10:$C$71)</f>
        <v>1</v>
      </c>
      <c r="E20">
        <f>SUMIF('Hasil-PC'!$B$10:$B$71,$A20,'Hasil-PC'!H$10:H$71)</f>
        <v>8</v>
      </c>
      <c r="F20">
        <f>SUMIF('Hasil-PC'!$B$10:$B$71,$A20,'Hasil-PC'!I$10:I$71)</f>
        <v>0</v>
      </c>
      <c r="G20">
        <f>SUMIF('Hasil-PC'!$B$10:$B$71,$A20,'Hasil-PC'!$L$10:$L$71)</f>
        <v>6.630399999999999</v>
      </c>
      <c r="H20">
        <f>SUMIF('Hasil-PC'!$B$10:$B$71,$A20,'Hasil-PC'!$K$10:$K$71)</f>
        <v>0</v>
      </c>
      <c r="I20">
        <f>SUMIF('Hasil-PC'!$B$10:$B$71,$A20,'Hasil-PC'!$J$10:$J$71)</f>
        <v>0.47359999999999997</v>
      </c>
      <c r="J20">
        <f>SUMIFS('Hasil-PC'!$X$10:$X$71,'Hasil-PC'!$B$10:$B$71,$A20,'Hasil-PC'!$W$10:$W$71,J$6)+SUMIFS('Hasil-PC'!$AC$10:$AC$71,'Hasil-PC'!$B$10:$B$71,$A20,'Hasil-PC'!$Y$10:$Y$71,J$6)+SUMIFS('Hasil-PC'!$AH$10:$AH$71,'Hasil-PC'!$B$10:$B$71,$A20,'Hasil-PC'!$AD$10:$AD$71,J$6)+SUMIFS('Hasil-PC'!$AM$10:$AM$71,'Hasil-PC'!$B$10:$B$71,$A20,'Hasil-PC'!$AI$10:$AI$71,J$6)+SUMIFS('Hasil-PC'!$AR$10:$AR$71,'Hasil-PC'!$B$10:$B$71,$A20,'Hasil-PC'!$AN$10:$AN$71,J$6)+SUMIFS('Hasil-PC'!$AV$10:$AV$71,'Hasil-PC'!$B$10:$B$71,$A20,'Hasil-PC'!$AT$10:$AT$71,J$6)</f>
        <v>0</v>
      </c>
      <c r="K20">
        <f>SUMIFS('Hasil-PC'!$X$10:$X$71,'Hasil-PC'!$B$10:$B$71,$A20,'Hasil-PC'!$W$10:$W$71,K$6)+SUMIFS('Hasil-PC'!$AC$10:$AC$71,'Hasil-PC'!$B$10:$B$71,$A20,'Hasil-PC'!$Y$10:$Y$71,K$6)+SUMIFS('Hasil-PC'!$AH$10:$AH$71,'Hasil-PC'!$B$10:$B$71,$A20,'Hasil-PC'!$AD$10:$AD$71,K$6)+SUMIFS('Hasil-PC'!$AM$10:$AM$71,'Hasil-PC'!$B$10:$B$71,$A20,'Hasil-PC'!$AI$10:$AI$71,K$6)+SUMIFS('Hasil-PC'!$AR$10:$AR$71,'Hasil-PC'!$B$10:$B$71,$A20,'Hasil-PC'!$AN$10:$AN$71,K$6)+SUMIFS('Hasil-PC'!$AV$10:$AV$71,'Hasil-PC'!$B$10:$B$71,$A20,'Hasil-PC'!$AT$10:$AT$71,K$6)</f>
        <v>0</v>
      </c>
      <c r="L20">
        <f>SUMIFS('Hasil-PC'!$X$10:$X$71,'Hasil-PC'!$B$10:$B$71,$A20,'Hasil-PC'!$W$10:$W$71,L$6)+SUMIFS('Hasil-PC'!$AC$10:$AC$71,'Hasil-PC'!$B$10:$B$71,$A20,'Hasil-PC'!$Y$10:$Y$71,L$6)+SUMIFS('Hasil-PC'!$AH$10:$AH$71,'Hasil-PC'!$B$10:$B$71,$A20,'Hasil-PC'!$AD$10:$AD$71,L$6)+SUMIFS('Hasil-PC'!$AM$10:$AM$71,'Hasil-PC'!$B$10:$B$71,$A20,'Hasil-PC'!$AI$10:$AI$71,L$6)+SUMIFS('Hasil-PC'!$AR$10:$AR$71,'Hasil-PC'!$B$10:$B$71,$A20,'Hasil-PC'!$AN$10:$AN$71,L$6)+SUMIFS('Hasil-PC'!$AV$10:$AV$71,'Hasil-PC'!$B$10:$B$71,$A20,'Hasil-PC'!$AT$10:$AT$71,L$6)</f>
        <v>0</v>
      </c>
      <c r="M20">
        <f>SUMIFS('Hasil-PC'!$X$10:$X$71,'Hasil-PC'!$B$10:$B$71,$A20,'Hasil-PC'!$W$10:$W$71,M$6)+SUMIFS('Hasil-PC'!$AC$10:$AC$71,'Hasil-PC'!$B$10:$B$71,$A20,'Hasil-PC'!$Y$10:$Y$71,M$6)+SUMIFS('Hasil-PC'!$AH$10:$AH$71,'Hasil-PC'!$B$10:$B$71,$A20,'Hasil-PC'!$AD$10:$AD$71,M$6)+SUMIFS('Hasil-PC'!$AM$10:$AM$71,'Hasil-PC'!$B$10:$B$71,$A20,'Hasil-PC'!$AI$10:$AI$71,M$6)+SUMIFS('Hasil-PC'!$AR$10:$AR$71,'Hasil-PC'!$B$10:$B$71,$A20,'Hasil-PC'!$AN$10:$AN$71,M$6)+SUMIFS('Hasil-PC'!$AV$10:$AV$71,'Hasil-PC'!$B$10:$B$71,$A20,'Hasil-PC'!$AT$10:$AT$71,M$6)</f>
        <v>9.414472859999998</v>
      </c>
      <c r="N20">
        <f>SUMIFS('Hasil-PC'!$X$10:$X$71,'Hasil-PC'!$B$10:$B$71,$A20,'Hasil-PC'!$W$10:$W$71,N$6)+SUMIFS('Hasil-PC'!$AC$10:$AC$71,'Hasil-PC'!$B$10:$B$71,$A20,'Hasil-PC'!$Y$10:$Y$71,N$6)+SUMIFS('Hasil-PC'!$AH$10:$AH$71,'Hasil-PC'!$B$10:$B$71,$A20,'Hasil-PC'!$AD$10:$AD$71,N$6)+SUMIFS('Hasil-PC'!$AM$10:$AM$71,'Hasil-PC'!$B$10:$B$71,$A20,'Hasil-PC'!$AI$10:$AI$71,N$6)+SUMIFS('Hasil-PC'!$AR$10:$AR$71,'Hasil-PC'!$B$10:$B$71,$A20,'Hasil-PC'!$AN$10:$AN$71,N$6)+SUMIFS('Hasil-PC'!$AV$10:$AV$71,'Hasil-PC'!$B$10:$B$71,$A20,'Hasil-PC'!$AT$10:$AT$71,N$6)</f>
        <v>310.78702080000005</v>
      </c>
      <c r="O20">
        <f>SUMIFS('Hasil-PC'!$X$10:$X$71,'Hasil-PC'!$B$10:$B$71,$A20,'Hasil-PC'!$W$10:$W$71,O$6)+SUMIFS('Hasil-PC'!$AC$10:$AC$71,'Hasil-PC'!$B$10:$B$71,$A20,'Hasil-PC'!$Y$10:$Y$71,O$6)+SUMIFS('Hasil-PC'!$AH$10:$AH$71,'Hasil-PC'!$B$10:$B$71,$A20,'Hasil-PC'!$AD$10:$AD$71,O$6)+SUMIFS('Hasil-PC'!$AM$10:$AM$71,'Hasil-PC'!$B$10:$B$71,$A20,'Hasil-PC'!$AI$10:$AI$71,O$6)+SUMIFS('Hasil-PC'!$AR$10:$AR$71,'Hasil-PC'!$B$10:$B$71,$A20,'Hasil-PC'!$AN$10:$AN$71,O$6)+SUMIFS('Hasil-PC'!$AV$10:$AV$71,'Hasil-PC'!$B$10:$B$71,$A20,'Hasil-PC'!$AT$10:$AT$71,O$6)</f>
        <v>0</v>
      </c>
      <c r="P20">
        <f>SUMIFS('Hasil-PC'!$X$10:$X$71,'Hasil-PC'!$B$10:$B$71,$A20,'Hasil-PC'!$W$10:$W$71,P$6)+SUMIFS('Hasil-PC'!$AC$10:$AC$71,'Hasil-PC'!$B$10:$B$71,$A20,'Hasil-PC'!$Y$10:$Y$71,P$6)+SUMIFS('Hasil-PC'!$AH$10:$AH$71,'Hasil-PC'!$B$10:$B$71,$A20,'Hasil-PC'!$AD$10:$AD$71,P$6)+SUMIFS('Hasil-PC'!$AM$10:$AM$71,'Hasil-PC'!$B$10:$B$71,$A20,'Hasil-PC'!$AI$10:$AI$71,P$6)+SUMIFS('Hasil-PC'!$AR$10:$AR$71,'Hasil-PC'!$B$10:$B$71,$A20,'Hasil-PC'!$AN$10:$AN$71,P$6)+SUMIFS('Hasil-PC'!$AV$10:$AV$71,'Hasil-PC'!$B$10:$B$71,$A20,'Hasil-PC'!$AT$10:$AT$71,P$6)</f>
        <v>0</v>
      </c>
      <c r="Q20">
        <f>SUMIFS('Hasil-PC'!$X$10:$X$71,'Hasil-PC'!$B$10:$B$71,$A20,'Hasil-PC'!$W$10:$W$71,Q$6)+SUMIFS('Hasil-PC'!$AC$10:$AC$71,'Hasil-PC'!$B$10:$B$71,$A20,'Hasil-PC'!$Y$10:$Y$71,Q$6)+SUMIFS('Hasil-PC'!$AH$10:$AH$71,'Hasil-PC'!$B$10:$B$71,$A20,'Hasil-PC'!$AD$10:$AD$71,Q$6)+SUMIFS('Hasil-PC'!$AM$10:$AM$71,'Hasil-PC'!$B$10:$B$71,$A20,'Hasil-PC'!$AI$10:$AI$71,Q$6)+SUMIFS('Hasil-PC'!$AR$10:$AR$71,'Hasil-PC'!$B$10:$B$71,$A20,'Hasil-PC'!$AN$10:$AN$71,Q$6)+SUMIFS('Hasil-PC'!$AV$10:$AV$71,'Hasil-PC'!$B$10:$B$71,$A20,'Hasil-PC'!$AT$10:$AT$71,Q$6)</f>
        <v>0</v>
      </c>
      <c r="R20">
        <f>SUM(J20:Q20)</f>
        <v>320.20149366000004</v>
      </c>
      <c r="T20">
        <f>IF(B20&gt;0,C20/B20,0)</f>
        <v>1.759259259259259</v>
      </c>
      <c r="U20">
        <f>IF(B20&gt;0,R20/B20,0)</f>
        <v>88.23894776785716</v>
      </c>
    </row>
    <row r="21">
      <c r="A21" t="str">
        <v>PC.11</v>
      </c>
      <c r="B21">
        <f>SUMIF('Hasil-PC'!$B$10:$B$71,$A21,'Hasil-PC'!$T$10:$T$71)</f>
        <v>5.7024</v>
      </c>
      <c r="C21">
        <f>SUMIF('Hasil-PC'!$B$10:$B$71,$A21,'Hasil-PC'!$U$10:$U$71)</f>
        <v>8.736</v>
      </c>
      <c r="D21">
        <f>SUMIF('Hasil-PC'!$B$10:$B$71,$A21,'Hasil-PC'!$C$10:$C$71)</f>
        <v>1</v>
      </c>
      <c r="E21">
        <f>SUMIF('Hasil-PC'!$B$10:$B$71,$A21,'Hasil-PC'!H$10:H$71)</f>
        <v>11</v>
      </c>
      <c r="F21">
        <f>SUMIF('Hasil-PC'!$B$10:$B$71,$A21,'Hasil-PC'!I$10:I$71)</f>
        <v>0</v>
      </c>
      <c r="G21">
        <f>SUMIF('Hasil-PC'!$B$10:$B$71,$A21,'Hasil-PC'!$L$10:$L$71)</f>
        <v>9.7088</v>
      </c>
      <c r="H21">
        <f>SUMIF('Hasil-PC'!$B$10:$B$71,$A21,'Hasil-PC'!$K$10:$K$71)</f>
        <v>0</v>
      </c>
      <c r="I21">
        <f>SUMIF('Hasil-PC'!$B$10:$B$71,$A21,'Hasil-PC'!$J$10:$J$71)</f>
        <v>0.6068</v>
      </c>
      <c r="J21">
        <f>SUMIFS('Hasil-PC'!$X$10:$X$71,'Hasil-PC'!$B$10:$B$71,$A21,'Hasil-PC'!$W$10:$W$71,J$6)+SUMIFS('Hasil-PC'!$AC$10:$AC$71,'Hasil-PC'!$B$10:$B$71,$A21,'Hasil-PC'!$Y$10:$Y$71,J$6)+SUMIFS('Hasil-PC'!$AH$10:$AH$71,'Hasil-PC'!$B$10:$B$71,$A21,'Hasil-PC'!$AD$10:$AD$71,J$6)+SUMIFS('Hasil-PC'!$AM$10:$AM$71,'Hasil-PC'!$B$10:$B$71,$A21,'Hasil-PC'!$AI$10:$AI$71,J$6)+SUMIFS('Hasil-PC'!$AR$10:$AR$71,'Hasil-PC'!$B$10:$B$71,$A21,'Hasil-PC'!$AN$10:$AN$71,J$6)+SUMIFS('Hasil-PC'!$AV$10:$AV$71,'Hasil-PC'!$B$10:$B$71,$A21,'Hasil-PC'!$AT$10:$AT$71,J$6)</f>
        <v>0</v>
      </c>
      <c r="K21">
        <f>SUMIFS('Hasil-PC'!$X$10:$X$71,'Hasil-PC'!$B$10:$B$71,$A21,'Hasil-PC'!$W$10:$W$71,K$6)+SUMIFS('Hasil-PC'!$AC$10:$AC$71,'Hasil-PC'!$B$10:$B$71,$A21,'Hasil-PC'!$Y$10:$Y$71,K$6)+SUMIFS('Hasil-PC'!$AH$10:$AH$71,'Hasil-PC'!$B$10:$B$71,$A21,'Hasil-PC'!$AD$10:$AD$71,K$6)+SUMIFS('Hasil-PC'!$AM$10:$AM$71,'Hasil-PC'!$B$10:$B$71,$A21,'Hasil-PC'!$AI$10:$AI$71,K$6)+SUMIFS('Hasil-PC'!$AR$10:$AR$71,'Hasil-PC'!$B$10:$B$71,$A21,'Hasil-PC'!$AN$10:$AN$71,K$6)+SUMIFS('Hasil-PC'!$AV$10:$AV$71,'Hasil-PC'!$B$10:$B$71,$A21,'Hasil-PC'!$AT$10:$AT$71,K$6)</f>
        <v>0</v>
      </c>
      <c r="L21">
        <f>SUMIFS('Hasil-PC'!$X$10:$X$71,'Hasil-PC'!$B$10:$B$71,$A21,'Hasil-PC'!$W$10:$W$71,L$6)+SUMIFS('Hasil-PC'!$AC$10:$AC$71,'Hasil-PC'!$B$10:$B$71,$A21,'Hasil-PC'!$Y$10:$Y$71,L$6)+SUMIFS('Hasil-PC'!$AH$10:$AH$71,'Hasil-PC'!$B$10:$B$71,$A21,'Hasil-PC'!$AD$10:$AD$71,L$6)+SUMIFS('Hasil-PC'!$AM$10:$AM$71,'Hasil-PC'!$B$10:$B$71,$A21,'Hasil-PC'!$AI$10:$AI$71,L$6)+SUMIFS('Hasil-PC'!$AR$10:$AR$71,'Hasil-PC'!$B$10:$B$71,$A21,'Hasil-PC'!$AN$10:$AN$71,L$6)+SUMIFS('Hasil-PC'!$AV$10:$AV$71,'Hasil-PC'!$B$10:$B$71,$A21,'Hasil-PC'!$AT$10:$AT$71,L$6)</f>
        <v>0</v>
      </c>
      <c r="M21">
        <f>SUMIFS('Hasil-PC'!$X$10:$X$71,'Hasil-PC'!$B$10:$B$71,$A21,'Hasil-PC'!$W$10:$W$71,M$6)+SUMIFS('Hasil-PC'!$AC$10:$AC$71,'Hasil-PC'!$B$10:$B$71,$A21,'Hasil-PC'!$Y$10:$Y$71,M$6)+SUMIFS('Hasil-PC'!$AH$10:$AH$71,'Hasil-PC'!$B$10:$B$71,$A21,'Hasil-PC'!$AD$10:$AD$71,M$6)+SUMIFS('Hasil-PC'!$AM$10:$AM$71,'Hasil-PC'!$B$10:$B$71,$A21,'Hasil-PC'!$AI$10:$AI$71,M$6)+SUMIFS('Hasil-PC'!$AR$10:$AR$71,'Hasil-PC'!$B$10:$B$71,$A21,'Hasil-PC'!$AN$10:$AN$71,M$6)+SUMIFS('Hasil-PC'!$AV$10:$AV$71,'Hasil-PC'!$B$10:$B$71,$A21,'Hasil-PC'!$AT$10:$AT$71,M$6)</f>
        <v>22.579731719999998</v>
      </c>
      <c r="N21">
        <f>SUMIFS('Hasil-PC'!$X$10:$X$71,'Hasil-PC'!$B$10:$B$71,$A21,'Hasil-PC'!$W$10:$W$71,N$6)+SUMIFS('Hasil-PC'!$AC$10:$AC$71,'Hasil-PC'!$B$10:$B$71,$A21,'Hasil-PC'!$Y$10:$Y$71,N$6)+SUMIFS('Hasil-PC'!$AH$10:$AH$71,'Hasil-PC'!$B$10:$B$71,$A21,'Hasil-PC'!$AD$10:$AD$71,N$6)+SUMIFS('Hasil-PC'!$AM$10:$AM$71,'Hasil-PC'!$B$10:$B$71,$A21,'Hasil-PC'!$AI$10:$AI$71,N$6)+SUMIFS('Hasil-PC'!$AR$10:$AR$71,'Hasil-PC'!$B$10:$B$71,$A21,'Hasil-PC'!$AN$10:$AN$71,N$6)+SUMIFS('Hasil-PC'!$AV$10:$AV$71,'Hasil-PC'!$B$10:$B$71,$A21,'Hasil-PC'!$AT$10:$AT$71,N$6)</f>
        <v>514.190592</v>
      </c>
      <c r="O21">
        <f>SUMIFS('Hasil-PC'!$X$10:$X$71,'Hasil-PC'!$B$10:$B$71,$A21,'Hasil-PC'!$W$10:$W$71,O$6)+SUMIFS('Hasil-PC'!$AC$10:$AC$71,'Hasil-PC'!$B$10:$B$71,$A21,'Hasil-PC'!$Y$10:$Y$71,O$6)+SUMIFS('Hasil-PC'!$AH$10:$AH$71,'Hasil-PC'!$B$10:$B$71,$A21,'Hasil-PC'!$AD$10:$AD$71,O$6)+SUMIFS('Hasil-PC'!$AM$10:$AM$71,'Hasil-PC'!$B$10:$B$71,$A21,'Hasil-PC'!$AI$10:$AI$71,O$6)+SUMIFS('Hasil-PC'!$AR$10:$AR$71,'Hasil-PC'!$B$10:$B$71,$A21,'Hasil-PC'!$AN$10:$AN$71,O$6)+SUMIFS('Hasil-PC'!$AV$10:$AV$71,'Hasil-PC'!$B$10:$B$71,$A21,'Hasil-PC'!$AT$10:$AT$71,O$6)</f>
        <v>0</v>
      </c>
      <c r="P21">
        <f>SUMIFS('Hasil-PC'!$X$10:$X$71,'Hasil-PC'!$B$10:$B$71,$A21,'Hasil-PC'!$W$10:$W$71,P$6)+SUMIFS('Hasil-PC'!$AC$10:$AC$71,'Hasil-PC'!$B$10:$B$71,$A21,'Hasil-PC'!$Y$10:$Y$71,P$6)+SUMIFS('Hasil-PC'!$AH$10:$AH$71,'Hasil-PC'!$B$10:$B$71,$A21,'Hasil-PC'!$AD$10:$AD$71,P$6)+SUMIFS('Hasil-PC'!$AM$10:$AM$71,'Hasil-PC'!$B$10:$B$71,$A21,'Hasil-PC'!$AI$10:$AI$71,P$6)+SUMIFS('Hasil-PC'!$AR$10:$AR$71,'Hasil-PC'!$B$10:$B$71,$A21,'Hasil-PC'!$AN$10:$AN$71,P$6)+SUMIFS('Hasil-PC'!$AV$10:$AV$71,'Hasil-PC'!$B$10:$B$71,$A21,'Hasil-PC'!$AT$10:$AT$71,P$6)</f>
        <v>0</v>
      </c>
      <c r="Q21">
        <f>SUMIFS('Hasil-PC'!$X$10:$X$71,'Hasil-PC'!$B$10:$B$71,$A21,'Hasil-PC'!$W$10:$W$71,Q$6)+SUMIFS('Hasil-PC'!$AC$10:$AC$71,'Hasil-PC'!$B$10:$B$71,$A21,'Hasil-PC'!$Y$10:$Y$71,Q$6)+SUMIFS('Hasil-PC'!$AH$10:$AH$71,'Hasil-PC'!$B$10:$B$71,$A21,'Hasil-PC'!$AD$10:$AD$71,Q$6)+SUMIFS('Hasil-PC'!$AM$10:$AM$71,'Hasil-PC'!$B$10:$B$71,$A21,'Hasil-PC'!$AI$10:$AI$71,Q$6)+SUMIFS('Hasil-PC'!$AR$10:$AR$71,'Hasil-PC'!$B$10:$B$71,$A21,'Hasil-PC'!$AN$10:$AN$71,Q$6)+SUMIFS('Hasil-PC'!$AV$10:$AV$71,'Hasil-PC'!$B$10:$B$71,$A21,'Hasil-PC'!$AT$10:$AT$71,Q$6)</f>
        <v>0</v>
      </c>
      <c r="R21">
        <f>SUM(J21:Q21)</f>
        <v>536.7703237200001</v>
      </c>
      <c r="T21">
        <f>IF(B21&gt;0,C21/B21,0)</f>
        <v>1.5319865319865322</v>
      </c>
      <c r="U21">
        <f>IF(B21&gt;0,R21/B21,0)</f>
        <v>94.13059829545456</v>
      </c>
    </row>
    <row r="22">
      <c r="A22" t="str">
        <v>PC.12</v>
      </c>
      <c r="B22">
        <f>SUMIF('Hasil-PC'!$B$10:$B$71,$A22,'Hasil-PC'!$T$10:$T$71)</f>
        <v>5.148</v>
      </c>
      <c r="C22">
        <f>SUMIF('Hasil-PC'!$B$10:$B$71,$A22,'Hasil-PC'!$U$10:$U$71)</f>
        <v>7.08</v>
      </c>
      <c r="D22">
        <f>SUMIF('Hasil-PC'!$B$10:$B$71,$A22,'Hasil-PC'!$C$10:$C$71)</f>
        <v>1</v>
      </c>
      <c r="E22">
        <f>SUMIF('Hasil-PC'!$B$10:$B$71,$A22,'Hasil-PC'!H$10:H$71)</f>
        <v>12</v>
      </c>
      <c r="F22">
        <f>SUMIF('Hasil-PC'!$B$10:$B$71,$A22,'Hasil-PC'!I$10:I$71)</f>
        <v>0</v>
      </c>
      <c r="G22">
        <f>SUMIF('Hasil-PC'!$B$10:$B$71,$A22,'Hasil-PC'!$L$10:$L$71)</f>
        <v>8.363999999999999</v>
      </c>
      <c r="H22">
        <f>SUMIF('Hasil-PC'!$B$10:$B$71,$A22,'Hasil-PC'!$K$10:$K$71)</f>
        <v>0</v>
      </c>
      <c r="I22">
        <f>SUMIF('Hasil-PC'!$B$10:$B$71,$A22,'Hasil-PC'!$J$10:$J$71)</f>
        <v>0.697</v>
      </c>
      <c r="J22">
        <f>SUMIFS('Hasil-PC'!$X$10:$X$71,'Hasil-PC'!$B$10:$B$71,$A22,'Hasil-PC'!$W$10:$W$71,J$6)+SUMIFS('Hasil-PC'!$AC$10:$AC$71,'Hasil-PC'!$B$10:$B$71,$A22,'Hasil-PC'!$Y$10:$Y$71,J$6)+SUMIFS('Hasil-PC'!$AH$10:$AH$71,'Hasil-PC'!$B$10:$B$71,$A22,'Hasil-PC'!$AD$10:$AD$71,J$6)+SUMIFS('Hasil-PC'!$AM$10:$AM$71,'Hasil-PC'!$B$10:$B$71,$A22,'Hasil-PC'!$AI$10:$AI$71,J$6)+SUMIFS('Hasil-PC'!$AR$10:$AR$71,'Hasil-PC'!$B$10:$B$71,$A22,'Hasil-PC'!$AN$10:$AN$71,J$6)+SUMIFS('Hasil-PC'!$AV$10:$AV$71,'Hasil-PC'!$B$10:$B$71,$A22,'Hasil-PC'!$AT$10:$AT$71,J$6)</f>
        <v>0</v>
      </c>
      <c r="K22">
        <f>SUMIFS('Hasil-PC'!$X$10:$X$71,'Hasil-PC'!$B$10:$B$71,$A22,'Hasil-PC'!$W$10:$W$71,K$6)+SUMIFS('Hasil-PC'!$AC$10:$AC$71,'Hasil-PC'!$B$10:$B$71,$A22,'Hasil-PC'!$Y$10:$Y$71,K$6)+SUMIFS('Hasil-PC'!$AH$10:$AH$71,'Hasil-PC'!$B$10:$B$71,$A22,'Hasil-PC'!$AD$10:$AD$71,K$6)+SUMIFS('Hasil-PC'!$AM$10:$AM$71,'Hasil-PC'!$B$10:$B$71,$A22,'Hasil-PC'!$AI$10:$AI$71,K$6)+SUMIFS('Hasil-PC'!$AR$10:$AR$71,'Hasil-PC'!$B$10:$B$71,$A22,'Hasil-PC'!$AN$10:$AN$71,K$6)+SUMIFS('Hasil-PC'!$AV$10:$AV$71,'Hasil-PC'!$B$10:$B$71,$A22,'Hasil-PC'!$AT$10:$AT$71,K$6)</f>
        <v>0</v>
      </c>
      <c r="L22">
        <f>SUMIFS('Hasil-PC'!$X$10:$X$71,'Hasil-PC'!$B$10:$B$71,$A22,'Hasil-PC'!$W$10:$W$71,L$6)+SUMIFS('Hasil-PC'!$AC$10:$AC$71,'Hasil-PC'!$B$10:$B$71,$A22,'Hasil-PC'!$Y$10:$Y$71,L$6)+SUMIFS('Hasil-PC'!$AH$10:$AH$71,'Hasil-PC'!$B$10:$B$71,$A22,'Hasil-PC'!$AD$10:$AD$71,L$6)+SUMIFS('Hasil-PC'!$AM$10:$AM$71,'Hasil-PC'!$B$10:$B$71,$A22,'Hasil-PC'!$AI$10:$AI$71,L$6)+SUMIFS('Hasil-PC'!$AR$10:$AR$71,'Hasil-PC'!$B$10:$B$71,$A22,'Hasil-PC'!$AN$10:$AN$71,L$6)+SUMIFS('Hasil-PC'!$AV$10:$AV$71,'Hasil-PC'!$B$10:$B$71,$A22,'Hasil-PC'!$AT$10:$AT$71,L$6)</f>
        <v>0</v>
      </c>
      <c r="M22">
        <f>SUMIFS('Hasil-PC'!$X$10:$X$71,'Hasil-PC'!$B$10:$B$71,$A22,'Hasil-PC'!$W$10:$W$71,M$6)+SUMIFS('Hasil-PC'!$AC$10:$AC$71,'Hasil-PC'!$B$10:$B$71,$A22,'Hasil-PC'!$Y$10:$Y$71,M$6)+SUMIFS('Hasil-PC'!$AH$10:$AH$71,'Hasil-PC'!$B$10:$B$71,$A22,'Hasil-PC'!$AD$10:$AD$71,M$6)+SUMIFS('Hasil-PC'!$AM$10:$AM$71,'Hasil-PC'!$B$10:$B$71,$A22,'Hasil-PC'!$AI$10:$AI$71,M$6)+SUMIFS('Hasil-PC'!$AR$10:$AR$71,'Hasil-PC'!$B$10:$B$71,$A22,'Hasil-PC'!$AN$10:$AN$71,M$6)+SUMIFS('Hasil-PC'!$AV$10:$AV$71,'Hasil-PC'!$B$10:$B$71,$A22,'Hasil-PC'!$AT$10:$AT$71,M$6)</f>
        <v>12.20672466</v>
      </c>
      <c r="N22">
        <f>SUMIFS('Hasil-PC'!$X$10:$X$71,'Hasil-PC'!$B$10:$B$71,$A22,'Hasil-PC'!$W$10:$W$71,N$6)+SUMIFS('Hasil-PC'!$AC$10:$AC$71,'Hasil-PC'!$B$10:$B$71,$A22,'Hasil-PC'!$Y$10:$Y$71,N$6)+SUMIFS('Hasil-PC'!$AH$10:$AH$71,'Hasil-PC'!$B$10:$B$71,$A22,'Hasil-PC'!$AD$10:$AD$71,N$6)+SUMIFS('Hasil-PC'!$AM$10:$AM$71,'Hasil-PC'!$B$10:$B$71,$A22,'Hasil-PC'!$AI$10:$AI$71,N$6)+SUMIFS('Hasil-PC'!$AR$10:$AR$71,'Hasil-PC'!$B$10:$B$71,$A22,'Hasil-PC'!$AN$10:$AN$71,N$6)+SUMIFS('Hasil-PC'!$AV$10:$AV$71,'Hasil-PC'!$B$10:$B$71,$A22,'Hasil-PC'!$AT$10:$AT$71,N$6)</f>
        <v>562.326912</v>
      </c>
      <c r="O22">
        <f>SUMIFS('Hasil-PC'!$X$10:$X$71,'Hasil-PC'!$B$10:$B$71,$A22,'Hasil-PC'!$W$10:$W$71,O$6)+SUMIFS('Hasil-PC'!$AC$10:$AC$71,'Hasil-PC'!$B$10:$B$71,$A22,'Hasil-PC'!$Y$10:$Y$71,O$6)+SUMIFS('Hasil-PC'!$AH$10:$AH$71,'Hasil-PC'!$B$10:$B$71,$A22,'Hasil-PC'!$AD$10:$AD$71,O$6)+SUMIFS('Hasil-PC'!$AM$10:$AM$71,'Hasil-PC'!$B$10:$B$71,$A22,'Hasil-PC'!$AI$10:$AI$71,O$6)+SUMIFS('Hasil-PC'!$AR$10:$AR$71,'Hasil-PC'!$B$10:$B$71,$A22,'Hasil-PC'!$AN$10:$AN$71,O$6)+SUMIFS('Hasil-PC'!$AV$10:$AV$71,'Hasil-PC'!$B$10:$B$71,$A22,'Hasil-PC'!$AT$10:$AT$71,O$6)</f>
        <v>0</v>
      </c>
      <c r="P22">
        <f>SUMIFS('Hasil-PC'!$X$10:$X$71,'Hasil-PC'!$B$10:$B$71,$A22,'Hasil-PC'!$W$10:$W$71,P$6)+SUMIFS('Hasil-PC'!$AC$10:$AC$71,'Hasil-PC'!$B$10:$B$71,$A22,'Hasil-PC'!$Y$10:$Y$71,P$6)+SUMIFS('Hasil-PC'!$AH$10:$AH$71,'Hasil-PC'!$B$10:$B$71,$A22,'Hasil-PC'!$AD$10:$AD$71,P$6)+SUMIFS('Hasil-PC'!$AM$10:$AM$71,'Hasil-PC'!$B$10:$B$71,$A22,'Hasil-PC'!$AI$10:$AI$71,P$6)+SUMIFS('Hasil-PC'!$AR$10:$AR$71,'Hasil-PC'!$B$10:$B$71,$A22,'Hasil-PC'!$AN$10:$AN$71,P$6)+SUMIFS('Hasil-PC'!$AV$10:$AV$71,'Hasil-PC'!$B$10:$B$71,$A22,'Hasil-PC'!$AT$10:$AT$71,P$6)</f>
        <v>0</v>
      </c>
      <c r="Q22">
        <f>SUMIFS('Hasil-PC'!$X$10:$X$71,'Hasil-PC'!$B$10:$B$71,$A22,'Hasil-PC'!$W$10:$W$71,Q$6)+SUMIFS('Hasil-PC'!$AC$10:$AC$71,'Hasil-PC'!$B$10:$B$71,$A22,'Hasil-PC'!$Y$10:$Y$71,Q$6)+SUMIFS('Hasil-PC'!$AH$10:$AH$71,'Hasil-PC'!$B$10:$B$71,$A22,'Hasil-PC'!$AD$10:$AD$71,Q$6)+SUMIFS('Hasil-PC'!$AM$10:$AM$71,'Hasil-PC'!$B$10:$B$71,$A22,'Hasil-PC'!$AI$10:$AI$71,Q$6)+SUMIFS('Hasil-PC'!$AR$10:$AR$71,'Hasil-PC'!$B$10:$B$71,$A22,'Hasil-PC'!$AN$10:$AN$71,Q$6)+SUMIFS('Hasil-PC'!$AV$10:$AV$71,'Hasil-PC'!$B$10:$B$71,$A22,'Hasil-PC'!$AT$10:$AT$71,Q$6)</f>
        <v>0</v>
      </c>
      <c r="R22">
        <f>SUM(J22:Q22)</f>
        <v>574.53363666</v>
      </c>
      <c r="T22">
        <f>IF(B22&gt;0,C22/B22,0)</f>
        <v>1.3752913752913754</v>
      </c>
      <c r="U22">
        <f>IF(B22&gt;0,R22/B22,0)</f>
        <v>111.60327052447552</v>
      </c>
    </row>
    <row r="24">
      <c r="A24" t="str">
        <v>Total</v>
      </c>
      <c r="B24">
        <f>SUM(B7:B23)</f>
        <v>53.451787499999995</v>
      </c>
      <c r="C24">
        <f>SUM(C7:C23)</f>
        <v>154.80350010745607</v>
      </c>
      <c r="D24">
        <f>SUM(D7:D23)</f>
        <v>58</v>
      </c>
      <c r="E24">
        <f>SUM(E7:E23)</f>
        <v>155</v>
      </c>
      <c r="F24">
        <f>SUM(F7:F23)</f>
        <v>0</v>
      </c>
      <c r="G24">
        <f>SUM(G7:G23)</f>
        <v>138.47978750000001</v>
      </c>
      <c r="H24">
        <f>SUM(H7:H23)</f>
        <v>0</v>
      </c>
      <c r="I24">
        <f>SUM(I7:I23)</f>
        <v>11.41405</v>
      </c>
      <c r="J24">
        <f>SUM(J7:J23)</f>
        <v>0</v>
      </c>
      <c r="K24">
        <f>SUM(K7:K23)</f>
        <v>0</v>
      </c>
      <c r="L24">
        <f>SUM(L7:L23)</f>
        <v>67.28481000000002</v>
      </c>
      <c r="M24">
        <f>SUM(M7:M23)</f>
        <v>2184.5250765075384</v>
      </c>
      <c r="N24">
        <f>SUM(N7:N23)</f>
        <v>3756.4005888</v>
      </c>
      <c r="O24">
        <f>SUM(O7:O23)</f>
        <v>0</v>
      </c>
      <c r="P24">
        <f>SUM(P7:P23)</f>
        <v>0</v>
      </c>
      <c r="Q24">
        <f>SUM(Q7:Q23)</f>
        <v>0</v>
      </c>
      <c r="R24">
        <f>SUM(R7:R23)</f>
        <v>6008.210475307538</v>
      </c>
    </row>
    <row r="26">
      <c r="Q26" t="str">
        <v>cek</v>
      </c>
      <c r="R26">
        <f>R24+-'Hasil-PC'!BA72</f>
        <v>0</v>
      </c>
    </row>
  </sheetData>
  <mergeCells count="11">
    <mergeCell ref="A5:A6"/>
    <mergeCell ref="C5:C6"/>
    <mergeCell ref="D5:D6"/>
    <mergeCell ref="E5:E6"/>
    <mergeCell ref="J5:Q5"/>
    <mergeCell ref="B5:B6"/>
    <mergeCell ref="R5:R6"/>
    <mergeCell ref="F5:F6"/>
    <mergeCell ref="G5:G6"/>
    <mergeCell ref="H5:H6"/>
    <mergeCell ref="I5:I6"/>
  </mergeCells>
  <pageMargins left="0.7" right="0.7" top="0.75" bottom="0.75" header="0.3" footer="0.3"/>
  <ignoredErrors>
    <ignoredError numberStoredAsText="1" sqref="A1:U26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AE633"/>
  <sheetViews>
    <sheetView workbookViewId="0" rightToLeft="0"/>
  </sheetViews>
  <sheetData>
    <row r="1">
      <c r="A1" t="str">
        <v>DAFTAR ANALISA HARGA</v>
      </c>
    </row>
    <row r="3">
      <c r="A3" t="str">
        <v>PROYEK             :</v>
      </c>
      <c r="C3" t="str">
        <v>Pembangunan Villa Taman Dayu, Prigen</v>
      </c>
    </row>
    <row r="4">
      <c r="A4" t="str">
        <v>Tanggal</v>
      </c>
      <c r="C4" t="str">
        <v>12 Maret 2018</v>
      </c>
    </row>
    <row r="5">
      <c r="A5" t="str">
        <v>LOKASI               :</v>
      </c>
      <c r="C5" t="str">
        <v>Taman Dayu Golv Vila 3a</v>
      </c>
    </row>
    <row r="6">
      <c r="A6" t="str">
        <v>PAKET                :</v>
      </c>
    </row>
    <row r="7">
      <c r="A7" t="str">
        <v>LOKASI               :</v>
      </c>
    </row>
    <row r="8">
      <c r="N8" t="str">
        <v>Usuk Meranti 4/6, 5/7 &amp; papan</v>
      </c>
      <c r="O8" t="str">
        <v>per m3</v>
      </c>
      <c r="P8">
        <v>2800000</v>
      </c>
    </row>
    <row r="9">
      <c r="A9" t="str">
        <v>No.</v>
      </c>
      <c r="B9" t="str">
        <v>URAIAN PEKERJAAN</v>
      </c>
      <c r="E9" t="str">
        <v xml:space="preserve">HARGA </v>
      </c>
      <c r="F9" t="str">
        <v>MATERIAL</v>
      </c>
      <c r="G9" t="str">
        <v>UPAH</v>
      </c>
      <c r="H9" t="str">
        <v>PERALATAN</v>
      </c>
      <c r="I9" t="str">
        <v xml:space="preserve">JUMLAH </v>
      </c>
      <c r="N9" t="str">
        <v xml:space="preserve">Balok meranti 6/12, 8/12 </v>
      </c>
      <c r="O9" t="str">
        <v>per m3</v>
      </c>
      <c r="P9">
        <v>3700000</v>
      </c>
    </row>
    <row r="10">
      <c r="E10" t="str">
        <v>SATUAN</v>
      </c>
      <c r="I10" t="str">
        <v>HARGA</v>
      </c>
      <c r="N10" t="str">
        <v>Harga Usuk 5/7 per btg</v>
      </c>
      <c r="O10">
        <f>1/(0.05*0.07*4)</f>
        <v>71.42857142857142</v>
      </c>
      <c r="P10">
        <f>P8/O10</f>
        <v>39200.00000000001</v>
      </c>
    </row>
    <row r="11">
      <c r="E11" t="str">
        <v>(Rp.)</v>
      </c>
      <c r="F11" t="str">
        <v>(Rp.)</v>
      </c>
      <c r="G11" t="str">
        <v>(Rp.)</v>
      </c>
      <c r="I11" t="str">
        <v>(Rp.)</v>
      </c>
      <c r="N11" t="str">
        <v>Harga Usuk 4/6 per btg</v>
      </c>
      <c r="O11">
        <f>1/(0.04*0.06*4)</f>
        <v>104.16666666666667</v>
      </c>
      <c r="P11">
        <f>P8/O11</f>
        <v>26880</v>
      </c>
    </row>
    <row r="12">
      <c r="A12" t="str">
        <v>A</v>
      </c>
      <c r="B12" t="str">
        <v xml:space="preserve"> PEKERJAAN PAGAR SENG T. 3m</v>
      </c>
      <c r="N12" t="str">
        <v>Harga papan 2/20 per btg</v>
      </c>
      <c r="O12">
        <f>1/(0.02*0.2*4)</f>
        <v>62.5</v>
      </c>
      <c r="P12">
        <f>P8/O12</f>
        <v>44800</v>
      </c>
    </row>
    <row r="13">
      <c r="C13" t="str">
        <v>4 M'</v>
      </c>
      <c r="D13" t="str">
        <v>Pagar Seng T 3 m</v>
      </c>
      <c r="N13" t="str">
        <v>Harga Balok 6/12 per btg</v>
      </c>
      <c r="O13">
        <f>1/(0.06*0.12*4)</f>
        <v>34.72222222222222</v>
      </c>
      <c r="P13">
        <f>P9/O13</f>
        <v>106560</v>
      </c>
    </row>
    <row r="14">
      <c r="B14">
        <v>1.5</v>
      </c>
      <c r="C14" t="str">
        <v>btg</v>
      </c>
      <c r="D14" t="str">
        <v>Usuk meranti 5/7 (rangka)</v>
      </c>
      <c r="E14">
        <f>E15</f>
        <v>39200.00000000001</v>
      </c>
      <c r="F14">
        <f>B14*E14</f>
        <v>58800.000000000015</v>
      </c>
      <c r="N14" t="str">
        <v>Harga Balok 8/12 per btg</v>
      </c>
      <c r="O14">
        <f>1/(0.08*0.12*4)</f>
        <v>26.041666666666668</v>
      </c>
      <c r="P14">
        <f>P9/O14</f>
        <v>142080</v>
      </c>
    </row>
    <row r="15">
      <c r="B15">
        <v>3</v>
      </c>
      <c r="C15" t="str">
        <v>btg</v>
      </c>
      <c r="D15" t="str">
        <v>Usuk meranti 5/7 (rangka)</v>
      </c>
      <c r="E15">
        <f>P10</f>
        <v>39200.00000000001</v>
      </c>
      <c r="F15">
        <f>B15*E15</f>
        <v>117600.00000000003</v>
      </c>
      <c r="N15" t="str">
        <v>Paku 1 dos @30 kg</v>
      </c>
      <c r="O15">
        <v>390000</v>
      </c>
      <c r="P15">
        <f>O15/30</f>
        <v>13000</v>
      </c>
    </row>
    <row r="16">
      <c r="B16">
        <v>0.5</v>
      </c>
      <c r="C16" t="str">
        <v>kg</v>
      </c>
      <c r="D16" t="str">
        <v>paku</v>
      </c>
      <c r="E16">
        <f>P15</f>
        <v>13000</v>
      </c>
      <c r="F16">
        <f>B16*E16</f>
        <v>6500</v>
      </c>
      <c r="N16" t="str">
        <v>Triplek 18 mm</v>
      </c>
      <c r="O16" t="str">
        <v>per lembar</v>
      </c>
      <c r="P16">
        <v>227500</v>
      </c>
    </row>
    <row r="17">
      <c r="B17">
        <f>(4/0.8)*2</f>
        <v>10</v>
      </c>
      <c r="C17" t="str">
        <v>lbr</v>
      </c>
      <c r="D17" t="str">
        <v>seng gel. BJLS 20, 180x90</v>
      </c>
      <c r="E17">
        <v>52000</v>
      </c>
      <c r="F17">
        <f>B17*E17</f>
        <v>520000</v>
      </c>
      <c r="J17">
        <f>4/0.8</f>
        <v>5</v>
      </c>
      <c r="N17" t="str">
        <v>Triplek 15 mm</v>
      </c>
      <c r="O17" t="str">
        <v>per lembar</v>
      </c>
      <c r="P17">
        <v>197500</v>
      </c>
    </row>
    <row r="18">
      <c r="B18">
        <v>1.5</v>
      </c>
      <c r="C18" t="str">
        <v>bh</v>
      </c>
      <c r="D18" t="str">
        <v>cor pondasi kaki tiang pagar</v>
      </c>
      <c r="E18">
        <v>150000</v>
      </c>
      <c r="F18">
        <f>B18*E18</f>
        <v>225000</v>
      </c>
    </row>
    <row r="19">
      <c r="B19">
        <v>4</v>
      </c>
      <c r="C19" t="str">
        <v>m</v>
      </c>
      <c r="D19" t="str">
        <v>Ongkos pasang</v>
      </c>
      <c r="E19">
        <v>25000</v>
      </c>
      <c r="G19">
        <f>B19*E19</f>
        <v>100000</v>
      </c>
    </row>
    <row r="20">
      <c r="F20">
        <f>SUM(F14:F19)</f>
        <v>927900</v>
      </c>
      <c r="G20">
        <f>SUM(G19)</f>
        <v>100000</v>
      </c>
      <c r="I20">
        <f>SUM(G20:G20)</f>
        <v>100000</v>
      </c>
    </row>
    <row r="21">
      <c r="E21" t="str">
        <v xml:space="preserve">Waste </v>
      </c>
      <c r="I21">
        <f>I20*0.05</f>
        <v>5000</v>
      </c>
    </row>
    <row r="22">
      <c r="E22" t="str">
        <v>Jumlah</v>
      </c>
      <c r="I22">
        <f>SUM(I20:I21)</f>
        <v>105000</v>
      </c>
    </row>
    <row r="23">
      <c r="E23" t="str">
        <v>Harga per M'</v>
      </c>
      <c r="I23">
        <f>I22/4</f>
        <v>26250</v>
      </c>
    </row>
    <row r="25">
      <c r="A25" t="str">
        <v>B</v>
      </c>
      <c r="B25" t="str">
        <v>PEKERJAAN Euitset/Bouwplank</v>
      </c>
    </row>
    <row r="26">
      <c r="C26" t="str">
        <v>4 M'</v>
      </c>
      <c r="D26" t="str">
        <v>Euitset/Bouwplank T 1,5 m</v>
      </c>
    </row>
    <row r="27">
      <c r="B27">
        <v>1</v>
      </c>
      <c r="C27" t="str">
        <v>btg</v>
      </c>
      <c r="D27" t="str">
        <v>Usuk meranti 5/7 (Tiang)</v>
      </c>
      <c r="E27">
        <f>E15</f>
        <v>39200.00000000001</v>
      </c>
      <c r="F27">
        <f>B27*E27</f>
        <v>39200.00000000001</v>
      </c>
    </row>
    <row r="28">
      <c r="B28">
        <v>1</v>
      </c>
      <c r="C28" t="str">
        <v>btg</v>
      </c>
      <c r="D28" t="str">
        <v>Papan meranti 2/20 (rangka)</v>
      </c>
      <c r="E28">
        <f>P12</f>
        <v>44800</v>
      </c>
      <c r="F28">
        <f>B28*E28</f>
        <v>44800</v>
      </c>
    </row>
    <row r="29">
      <c r="B29">
        <v>0.35</v>
      </c>
      <c r="C29" t="str">
        <v>kg</v>
      </c>
      <c r="D29" t="str">
        <v>paku</v>
      </c>
      <c r="E29">
        <f>E16</f>
        <v>13000</v>
      </c>
      <c r="F29">
        <f>B29*E29</f>
        <v>4550</v>
      </c>
    </row>
    <row r="30">
      <c r="B30">
        <v>4</v>
      </c>
      <c r="C30" t="str">
        <v>m'</v>
      </c>
      <c r="D30" t="str">
        <v>Ongkos bouwplank</v>
      </c>
      <c r="E30">
        <v>25000</v>
      </c>
      <c r="G30">
        <f>B30*E30</f>
        <v>100000</v>
      </c>
    </row>
    <row r="31">
      <c r="F31">
        <f>SUM(F25:F30)</f>
        <v>88550</v>
      </c>
      <c r="G31">
        <f>SUM(G30)</f>
        <v>100000</v>
      </c>
      <c r="I31">
        <f>SUM(G31:G31)</f>
        <v>100000</v>
      </c>
    </row>
    <row r="32">
      <c r="E32" t="str">
        <v xml:space="preserve">Waste </v>
      </c>
      <c r="I32">
        <f>I31*0.05</f>
        <v>5000</v>
      </c>
    </row>
    <row r="33">
      <c r="E33" t="str">
        <v>Jumlah</v>
      </c>
      <c r="I33">
        <f>SUM(I31:I32)</f>
        <v>105000</v>
      </c>
    </row>
    <row r="34">
      <c r="E34" t="str">
        <v>Harga per M'</v>
      </c>
      <c r="I34">
        <f>I33/4</f>
        <v>26250</v>
      </c>
    </row>
    <row r="38">
      <c r="A38" t="str">
        <v>C</v>
      </c>
      <c r="B38" t="str">
        <v>PEKERJAAN PERANCAH PELAT</v>
      </c>
    </row>
    <row r="39">
      <c r="A39">
        <v>1</v>
      </c>
      <c r="B39" t="str">
        <v>PERANCAH 1,2 x 1,8 M2, Tinggi 4.5 - 5 M</v>
      </c>
      <c r="N39" t="str">
        <v>Perancah Tinggi lantai 4.5~5.0 m</v>
      </c>
      <c r="Q39" t="str">
        <v>Prosentasi</v>
      </c>
    </row>
    <row r="40">
      <c r="B40">
        <v>1</v>
      </c>
      <c r="C40" t="str">
        <v>btg</v>
      </c>
      <c r="D40" t="str">
        <v>Balok 6/12 meranti (35%)</v>
      </c>
      <c r="E40">
        <f>P13</f>
        <v>106560</v>
      </c>
      <c r="F40">
        <f>B40*E40*0.35</f>
        <v>37296</v>
      </c>
      <c r="K40">
        <f>1/(0.02*0.2*4)</f>
        <v>62.5</v>
      </c>
      <c r="L40">
        <v>1</v>
      </c>
      <c r="M40" t="str">
        <v>btg</v>
      </c>
      <c r="N40" t="str">
        <v>balok 6/12</v>
      </c>
      <c r="O40">
        <v>175000</v>
      </c>
      <c r="P40">
        <f>L40*O40*Q40</f>
        <v>43750</v>
      </c>
      <c r="Q40">
        <v>0.25</v>
      </c>
    </row>
    <row r="41">
      <c r="B41">
        <v>1.5</v>
      </c>
      <c r="C41" t="str">
        <v>btg</v>
      </c>
      <c r="D41" t="str">
        <v>Usuk  5/7 meranti (50%)</v>
      </c>
      <c r="E41">
        <f>E27</f>
        <v>39200.00000000001</v>
      </c>
      <c r="F41">
        <f>B41*E41*0.5</f>
        <v>29400.000000000007</v>
      </c>
      <c r="K41">
        <f>1/(0.04*0.06*4)</f>
        <v>104.16666666666667</v>
      </c>
      <c r="L41">
        <v>2</v>
      </c>
      <c r="M41" t="str">
        <v>btg</v>
      </c>
      <c r="N41" t="str">
        <v>Usuk 5/7</v>
      </c>
      <c r="O41">
        <v>40000</v>
      </c>
      <c r="P41">
        <f>L41*O41*Q41</f>
        <v>40000</v>
      </c>
      <c r="Q41">
        <v>0.5</v>
      </c>
    </row>
    <row r="42">
      <c r="B42">
        <v>3.5</v>
      </c>
      <c r="C42" t="str">
        <v>btg</v>
      </c>
      <c r="D42" t="str">
        <v>Usuk  4/6 meranti</v>
      </c>
      <c r="E42">
        <f>P11</f>
        <v>26880</v>
      </c>
      <c r="F42">
        <f>B42*E42</f>
        <v>94080</v>
      </c>
      <c r="J42">
        <f>2150000/62</f>
        <v>34677.41935483871</v>
      </c>
      <c r="L42">
        <v>2</v>
      </c>
      <c r="M42" t="str">
        <v>set</v>
      </c>
      <c r="N42" t="str">
        <v>Scafolding</v>
      </c>
      <c r="O42">
        <v>460000</v>
      </c>
      <c r="P42">
        <f>L42*O42*Q42</f>
        <v>92000</v>
      </c>
      <c r="Q42">
        <v>0.1</v>
      </c>
    </row>
    <row r="43">
      <c r="B43">
        <v>2.5</v>
      </c>
      <c r="C43" t="str">
        <v>Kg</v>
      </c>
      <c r="D43" t="str">
        <v>Paku</v>
      </c>
      <c r="E43">
        <f>E29</f>
        <v>13000</v>
      </c>
      <c r="F43">
        <f>B43*E43</f>
        <v>32500</v>
      </c>
      <c r="K43">
        <f>2150000/104</f>
        <v>20673.076923076922</v>
      </c>
      <c r="L43">
        <v>4</v>
      </c>
      <c r="M43" t="str">
        <v>bh</v>
      </c>
      <c r="N43" t="str">
        <v>U Head</v>
      </c>
      <c r="O43">
        <v>90000</v>
      </c>
      <c r="P43">
        <f>L43*O43*Q43</f>
        <v>36000</v>
      </c>
      <c r="Q43">
        <v>0.1</v>
      </c>
    </row>
    <row r="44">
      <c r="B44">
        <v>2</v>
      </c>
      <c r="C44" t="str">
        <v>set</v>
      </c>
      <c r="D44" t="str">
        <v>Scafolding (2 FR, 2 CB, 4 JP) (12,5 %)</v>
      </c>
      <c r="E44">
        <f>(185000*2+49000*2+6500*4)</f>
        <v>494000</v>
      </c>
      <c r="F44">
        <f>B44*E44*0.125</f>
        <v>123500</v>
      </c>
      <c r="J44">
        <f>E44*0.125</f>
        <v>61750</v>
      </c>
    </row>
    <row r="45">
      <c r="B45">
        <v>4</v>
      </c>
      <c r="C45" t="str">
        <v>bh</v>
      </c>
      <c r="D45" t="str">
        <v>U Head (5%)</v>
      </c>
      <c r="E45">
        <v>62000</v>
      </c>
      <c r="F45">
        <f>B45*E45*0.05</f>
        <v>12400</v>
      </c>
    </row>
    <row r="46">
      <c r="B46">
        <v>4</v>
      </c>
      <c r="C46" t="str">
        <v>bh</v>
      </c>
      <c r="D46" t="str">
        <v>Jack Base (5%)</v>
      </c>
      <c r="E46">
        <v>65000</v>
      </c>
      <c r="F46">
        <f>B46*E46*0.05</f>
        <v>13000</v>
      </c>
    </row>
    <row r="47">
      <c r="B47">
        <f>1.2*1.8</f>
        <v>2.16</v>
      </c>
      <c r="C47" t="str">
        <v>M2</v>
      </c>
      <c r="D47" t="str">
        <v>Ongkos pasang</v>
      </c>
      <c r="E47">
        <v>30000</v>
      </c>
      <c r="G47">
        <f>B47*E47</f>
        <v>64800.00000000001</v>
      </c>
      <c r="L47">
        <v>4</v>
      </c>
      <c r="M47" t="str">
        <v>bh</v>
      </c>
      <c r="N47" t="str">
        <v>Jack Base</v>
      </c>
      <c r="O47">
        <v>85000</v>
      </c>
      <c r="P47">
        <f>L47*O47*Q47</f>
        <v>34000</v>
      </c>
      <c r="Q47">
        <v>0.1</v>
      </c>
    </row>
    <row r="48">
      <c r="B48">
        <f>B47</f>
        <v>2.16</v>
      </c>
      <c r="C48" t="str">
        <v>M2</v>
      </c>
      <c r="D48" t="str">
        <v>Ongkos bongkar</v>
      </c>
      <c r="E48">
        <v>15000</v>
      </c>
      <c r="G48">
        <f>B48*E48</f>
        <v>32400.000000000004</v>
      </c>
      <c r="L48">
        <v>2.5</v>
      </c>
      <c r="M48" t="str">
        <v>kg</v>
      </c>
      <c r="N48" t="str">
        <v>Paku</v>
      </c>
      <c r="O48">
        <v>15000</v>
      </c>
      <c r="P48">
        <f>L48*O48*Q48</f>
        <v>37500</v>
      </c>
      <c r="Q48">
        <v>1</v>
      </c>
    </row>
    <row r="49">
      <c r="E49" t="str">
        <v>Jumlah</v>
      </c>
      <c r="F49">
        <f>SUM(F40:F46)</f>
        <v>342176</v>
      </c>
      <c r="G49">
        <f>SUM(G47:G48)</f>
        <v>97200.00000000001</v>
      </c>
      <c r="I49">
        <f>G49+F49</f>
        <v>439376</v>
      </c>
      <c r="L49">
        <f>1.2*1.8</f>
        <v>2.16</v>
      </c>
      <c r="M49" t="str">
        <v>m2</v>
      </c>
      <c r="N49" t="str">
        <v>Ongkos pasang</v>
      </c>
      <c r="O49">
        <v>40000</v>
      </c>
      <c r="P49">
        <f>L49*O49*Q49</f>
        <v>86400</v>
      </c>
      <c r="Q49">
        <v>1</v>
      </c>
    </row>
    <row r="50">
      <c r="E50" t="str">
        <v xml:space="preserve">Waste </v>
      </c>
      <c r="I50">
        <v>0</v>
      </c>
      <c r="L50">
        <f>L49</f>
        <v>2.16</v>
      </c>
      <c r="M50" t="str">
        <v>m2</v>
      </c>
      <c r="N50" t="str">
        <v>Ongkos bongkar</v>
      </c>
      <c r="O50">
        <v>20000</v>
      </c>
      <c r="P50">
        <f>L50*O50*Q50</f>
        <v>43200</v>
      </c>
      <c r="Q50">
        <v>1</v>
      </c>
    </row>
    <row r="51">
      <c r="E51" t="str">
        <v>Jumlah</v>
      </c>
      <c r="I51">
        <f>I49+I50</f>
        <v>439376</v>
      </c>
      <c r="P51">
        <f>SUM(P40:P50)</f>
        <v>412850</v>
      </c>
    </row>
    <row r="52">
      <c r="E52" t="str">
        <v>Harga per M2</v>
      </c>
      <c r="I52">
        <f>I51/(1.8*1.2)</f>
        <v>203414.8148148148</v>
      </c>
      <c r="O52" t="str">
        <v>Per m2</v>
      </c>
      <c r="P52">
        <f>P51/(1.2*1.8)</f>
        <v>191134.25925925924</v>
      </c>
    </row>
    <row r="54">
      <c r="A54">
        <v>2</v>
      </c>
      <c r="B54" t="str">
        <v>PERANCAH 1,2 x 1,8 M2, Tinggi 2.5 - 3 M</v>
      </c>
    </row>
    <row r="55">
      <c r="B55">
        <v>1</v>
      </c>
      <c r="C55" t="str">
        <v>btg</v>
      </c>
      <c r="D55" t="str">
        <v>Balok 6/12 meranti (35%)</v>
      </c>
      <c r="E55">
        <f>E40</f>
        <v>106560</v>
      </c>
      <c r="F55">
        <f>B55*E55*0.35</f>
        <v>37296</v>
      </c>
      <c r="K55">
        <f>1/(0.02*0.2*4)</f>
        <v>62.5</v>
      </c>
      <c r="N55" t="str">
        <v>Perancah Tinggi lantai 2.5~3.2 m</v>
      </c>
      <c r="Q55" t="str">
        <v>Prosentasi</v>
      </c>
    </row>
    <row r="56">
      <c r="B56">
        <v>1.5</v>
      </c>
      <c r="C56" t="str">
        <v>btg</v>
      </c>
      <c r="D56" t="str">
        <v>Usuk  5/7 meranti (50%)</v>
      </c>
      <c r="E56">
        <f>E41</f>
        <v>39200.00000000001</v>
      </c>
      <c r="F56">
        <f>B56*E56*0.5</f>
        <v>29400.000000000007</v>
      </c>
      <c r="K56">
        <f>1/(0.04*0.06*4)</f>
        <v>104.16666666666667</v>
      </c>
      <c r="L56">
        <v>1</v>
      </c>
      <c r="M56" t="str">
        <v>btg</v>
      </c>
      <c r="N56" t="str">
        <v>balok 6/12</v>
      </c>
      <c r="O56">
        <v>175000</v>
      </c>
      <c r="P56">
        <f>L56*O56*Q56</f>
        <v>43750</v>
      </c>
      <c r="Q56">
        <v>0.25</v>
      </c>
    </row>
    <row r="57">
      <c r="B57">
        <v>3.5</v>
      </c>
      <c r="C57" t="str">
        <v>btg</v>
      </c>
      <c r="D57" t="str">
        <v>Usuk  4/6 meranti</v>
      </c>
      <c r="E57">
        <f>E42</f>
        <v>26880</v>
      </c>
      <c r="F57">
        <f>B57*E57</f>
        <v>94080</v>
      </c>
      <c r="J57">
        <f>1800000/62</f>
        <v>29032.25806451613</v>
      </c>
      <c r="L57">
        <v>2</v>
      </c>
      <c r="M57" t="str">
        <v>btg</v>
      </c>
      <c r="N57" t="str">
        <v>Usuk 5/7</v>
      </c>
      <c r="O57">
        <v>40000</v>
      </c>
      <c r="P57">
        <f>L57*O57*Q57</f>
        <v>40000</v>
      </c>
      <c r="Q57">
        <v>0.5</v>
      </c>
    </row>
    <row r="58">
      <c r="B58">
        <v>2.5</v>
      </c>
      <c r="C58" t="str">
        <v>Kg</v>
      </c>
      <c r="D58" t="str">
        <v>Paku</v>
      </c>
      <c r="E58">
        <f>E43</f>
        <v>13000</v>
      </c>
      <c r="F58">
        <f>B58*E58</f>
        <v>32500</v>
      </c>
      <c r="K58">
        <f>1550000/104</f>
        <v>14903.846153846154</v>
      </c>
      <c r="L58">
        <v>1</v>
      </c>
      <c r="M58" t="str">
        <v>set</v>
      </c>
      <c r="N58" t="str">
        <v>Scafolding</v>
      </c>
      <c r="O58">
        <v>460000</v>
      </c>
      <c r="P58">
        <f>L58*O58*Q58</f>
        <v>46000</v>
      </c>
      <c r="Q58">
        <v>0.1</v>
      </c>
    </row>
    <row r="59">
      <c r="B59">
        <v>1</v>
      </c>
      <c r="C59" t="str">
        <v>set</v>
      </c>
      <c r="D59" t="str">
        <v>Scafolding (2 FR, 2 CB, 4 JP) (12,5 %)</v>
      </c>
      <c r="E59">
        <f>E44</f>
        <v>494000</v>
      </c>
      <c r="F59">
        <f>B59*E59*0.125</f>
        <v>61750</v>
      </c>
    </row>
    <row r="60">
      <c r="B60">
        <v>4</v>
      </c>
      <c r="C60" t="str">
        <v>bh</v>
      </c>
      <c r="D60" t="str">
        <v>U Head (5%)</v>
      </c>
      <c r="E60">
        <f>E45</f>
        <v>62000</v>
      </c>
      <c r="F60">
        <f>B60*E60*0.05</f>
        <v>12400</v>
      </c>
    </row>
    <row r="61">
      <c r="B61">
        <v>4</v>
      </c>
      <c r="C61" t="str">
        <v>bh</v>
      </c>
      <c r="D61" t="str">
        <v>Jack Base (5%)</v>
      </c>
      <c r="E61">
        <f>E46</f>
        <v>65000</v>
      </c>
      <c r="F61">
        <f>B61*E61*0.05</f>
        <v>13000</v>
      </c>
    </row>
    <row r="62">
      <c r="B62">
        <f>1.2*1.8</f>
        <v>2.16</v>
      </c>
      <c r="C62" t="str">
        <v>M2</v>
      </c>
      <c r="D62" t="str">
        <v>Ongkos pasang</v>
      </c>
      <c r="E62">
        <v>25000</v>
      </c>
      <c r="G62">
        <f>B62*E62</f>
        <v>54000</v>
      </c>
      <c r="L62">
        <v>4</v>
      </c>
      <c r="M62" t="str">
        <v>bh</v>
      </c>
      <c r="N62" t="str">
        <v>U Head</v>
      </c>
      <c r="O62">
        <v>90000</v>
      </c>
      <c r="P62">
        <f>L62*O62*Q62</f>
        <v>36000</v>
      </c>
      <c r="Q62">
        <v>0.1</v>
      </c>
    </row>
    <row r="63">
      <c r="B63">
        <f>B62</f>
        <v>2.16</v>
      </c>
      <c r="C63" t="str">
        <v>M2</v>
      </c>
      <c r="D63" t="str">
        <v>Ongkos bongkar</v>
      </c>
      <c r="E63">
        <v>15000</v>
      </c>
      <c r="G63">
        <f>B63*E63</f>
        <v>32400.000000000004</v>
      </c>
      <c r="L63">
        <v>4</v>
      </c>
      <c r="M63" t="str">
        <v>bh</v>
      </c>
      <c r="N63" t="str">
        <v>Jack Base</v>
      </c>
      <c r="O63">
        <v>85000</v>
      </c>
      <c r="P63">
        <f>L63*O63*Q63</f>
        <v>34000</v>
      </c>
      <c r="Q63">
        <v>0.1</v>
      </c>
    </row>
    <row r="64">
      <c r="E64" t="str">
        <v>Jumlah</v>
      </c>
      <c r="F64">
        <f>SUM(F55:F58)</f>
        <v>193276</v>
      </c>
      <c r="G64">
        <f>SUM(G62:G63)</f>
        <v>86400</v>
      </c>
      <c r="I64">
        <f>G64+F64</f>
        <v>279676</v>
      </c>
      <c r="L64">
        <v>2.5</v>
      </c>
      <c r="M64" t="str">
        <v>kg</v>
      </c>
      <c r="N64" t="str">
        <v>Paku</v>
      </c>
      <c r="O64">
        <v>15000</v>
      </c>
      <c r="P64">
        <f>L64*O64*Q64</f>
        <v>37500</v>
      </c>
      <c r="Q64">
        <v>1</v>
      </c>
    </row>
    <row r="65">
      <c r="E65" t="str">
        <v xml:space="preserve">Waste </v>
      </c>
      <c r="I65">
        <v>0</v>
      </c>
      <c r="L65">
        <f>1.2*1.8</f>
        <v>2.16</v>
      </c>
      <c r="M65" t="str">
        <v>m2</v>
      </c>
      <c r="N65" t="str">
        <v>Ongkos pasang</v>
      </c>
      <c r="O65">
        <v>35000</v>
      </c>
      <c r="P65">
        <f>L65*O65*Q65</f>
        <v>75600</v>
      </c>
      <c r="Q65">
        <v>1</v>
      </c>
    </row>
    <row r="66">
      <c r="E66" t="str">
        <v>Jumlah</v>
      </c>
      <c r="I66">
        <f>I64+I65</f>
        <v>279676</v>
      </c>
      <c r="L66">
        <f>L65</f>
        <v>2.16</v>
      </c>
      <c r="M66" t="str">
        <v>m2</v>
      </c>
      <c r="N66" t="str">
        <v>Ongkos bongkar</v>
      </c>
      <c r="O66">
        <v>15000</v>
      </c>
      <c r="P66">
        <f>L66*O66*Q66</f>
        <v>32400.000000000004</v>
      </c>
      <c r="Q66">
        <v>1</v>
      </c>
    </row>
    <row r="67">
      <c r="E67" t="str">
        <v>Harga per M2</v>
      </c>
      <c r="I67">
        <f>I66/(1.8*1.2)</f>
        <v>129479.62962962962</v>
      </c>
      <c r="P67">
        <f>SUM(P56:P66)</f>
        <v>345250</v>
      </c>
    </row>
    <row r="68">
      <c r="O68" t="str">
        <v>Per m2</v>
      </c>
      <c r="P68">
        <f>P67/(1.2*1.8)</f>
        <v>159837.96296296295</v>
      </c>
    </row>
    <row r="69">
      <c r="A69" t="str">
        <v>D</v>
      </c>
      <c r="B69" t="str">
        <v>PEKERJAAN PERANCAH BALOK</v>
      </c>
    </row>
    <row r="70">
      <c r="A70">
        <v>1</v>
      </c>
      <c r="B70" t="str">
        <v>PERANCAH M', Tinggi 4.5 - 5 M</v>
      </c>
      <c r="M70" t="str">
        <v>4 M'</v>
      </c>
      <c r="N70" t="str">
        <v>Pagar Seng T 3 m</v>
      </c>
    </row>
    <row r="71">
      <c r="B71">
        <v>1</v>
      </c>
      <c r="C71" t="str">
        <v>btg</v>
      </c>
      <c r="D71" t="str">
        <v>Balok 6/12 meranti (35%)</v>
      </c>
      <c r="E71">
        <f>E55</f>
        <v>106560</v>
      </c>
      <c r="F71">
        <f>B71*E71*0.35</f>
        <v>37296</v>
      </c>
      <c r="L71">
        <v>1.5</v>
      </c>
      <c r="M71" t="str">
        <v>btg</v>
      </c>
      <c r="N71" t="str">
        <v>Usuk meranti 6/12 (Tiang)</v>
      </c>
      <c r="O71">
        <f>O56</f>
        <v>175000</v>
      </c>
      <c r="P71">
        <f>L71*O71</f>
        <v>262500</v>
      </c>
    </row>
    <row r="72">
      <c r="B72">
        <v>1.5</v>
      </c>
      <c r="C72" t="str">
        <v>btg</v>
      </c>
      <c r="D72" t="str">
        <v>Usuk  5/7 meranti (50%)</v>
      </c>
      <c r="E72">
        <f>E56</f>
        <v>39200.00000000001</v>
      </c>
      <c r="F72">
        <f>B72*E72*0.5</f>
        <v>29400.000000000007</v>
      </c>
      <c r="L72">
        <v>3</v>
      </c>
      <c r="M72" t="str">
        <v>btg</v>
      </c>
      <c r="N72" t="str">
        <v>Usuk meranti 5/7 (rangka)</v>
      </c>
      <c r="O72">
        <f>O57</f>
        <v>40000</v>
      </c>
      <c r="P72">
        <f>L72*O72</f>
        <v>120000</v>
      </c>
    </row>
    <row r="73">
      <c r="B73">
        <v>1</v>
      </c>
      <c r="C73" t="str">
        <v>btg</v>
      </c>
      <c r="D73" t="str">
        <v>Usuk  4/6 meranti</v>
      </c>
      <c r="E73">
        <f>E57</f>
        <v>26880</v>
      </c>
      <c r="F73">
        <f>B73*E73</f>
        <v>26880</v>
      </c>
      <c r="L73">
        <v>0.5</v>
      </c>
      <c r="M73" t="str">
        <v>kg</v>
      </c>
      <c r="N73" t="str">
        <v>paku</v>
      </c>
      <c r="O73">
        <f>O66</f>
        <v>15000</v>
      </c>
      <c r="P73">
        <f>L73*O73</f>
        <v>7500</v>
      </c>
    </row>
    <row r="74">
      <c r="B74">
        <v>2</v>
      </c>
      <c r="C74" t="str">
        <v>Kg</v>
      </c>
      <c r="D74" t="str">
        <v>Paku</v>
      </c>
      <c r="E74">
        <f>E58</f>
        <v>13000</v>
      </c>
      <c r="F74">
        <f>B74*E74</f>
        <v>26000</v>
      </c>
      <c r="L74">
        <f>2*1.5*4</f>
        <v>12</v>
      </c>
      <c r="M74" t="str">
        <v>lbr</v>
      </c>
      <c r="N74" t="str">
        <v>seng gel. BJLS 20, 180x80</v>
      </c>
      <c r="O74">
        <v>40000</v>
      </c>
      <c r="P74">
        <f>L74*O74</f>
        <v>480000</v>
      </c>
    </row>
    <row r="75">
      <c r="B75">
        <v>3</v>
      </c>
      <c r="C75" t="str">
        <v>set</v>
      </c>
      <c r="D75" t="str">
        <v>Scafolding (2 FR, 2 CB, 4 JP) (12,5 %)</v>
      </c>
      <c r="E75">
        <f>E59</f>
        <v>494000</v>
      </c>
      <c r="F75">
        <f>B75*E75*0.125</f>
        <v>185250</v>
      </c>
      <c r="J75">
        <f>E75*0.125</f>
        <v>61750</v>
      </c>
    </row>
    <row r="76">
      <c r="B76">
        <v>6</v>
      </c>
      <c r="C76" t="str">
        <v>bh</v>
      </c>
      <c r="D76" t="str">
        <v>U Head (5%)</v>
      </c>
      <c r="E76">
        <f>E60</f>
        <v>62000</v>
      </c>
      <c r="F76">
        <f>B76*E76*0.05</f>
        <v>18600</v>
      </c>
    </row>
    <row r="77">
      <c r="B77">
        <v>6</v>
      </c>
      <c r="C77" t="str">
        <v>bh</v>
      </c>
      <c r="D77" t="str">
        <v>Jack Base (5%)</v>
      </c>
      <c r="E77">
        <f>E61</f>
        <v>65000</v>
      </c>
      <c r="F77">
        <f>B77*E77*0.05</f>
        <v>19500</v>
      </c>
    </row>
    <row r="78">
      <c r="B78">
        <f>1.2*1.8</f>
        <v>2.16</v>
      </c>
      <c r="C78" t="str">
        <v>M2</v>
      </c>
      <c r="D78" t="str">
        <v>Ongkos pasang</v>
      </c>
      <c r="E78">
        <f>E47</f>
        <v>30000</v>
      </c>
      <c r="G78">
        <f>B78*E78</f>
        <v>64800.00000000001</v>
      </c>
      <c r="L78">
        <v>4</v>
      </c>
      <c r="M78" t="str">
        <v>m'</v>
      </c>
      <c r="N78" t="str">
        <v>Ongkos pasang</v>
      </c>
      <c r="O78">
        <v>20000</v>
      </c>
      <c r="P78">
        <f>L78*O78</f>
        <v>80000</v>
      </c>
    </row>
    <row r="79">
      <c r="B79">
        <f>B78</f>
        <v>2.16</v>
      </c>
      <c r="C79" t="str">
        <v>M2</v>
      </c>
      <c r="D79" t="str">
        <v>Ongkos bongkar</v>
      </c>
      <c r="E79">
        <f>E48</f>
        <v>15000</v>
      </c>
      <c r="G79">
        <f>B79*E79</f>
        <v>32400.000000000004</v>
      </c>
      <c r="L79">
        <v>1.5</v>
      </c>
      <c r="M79" t="str">
        <v>bh</v>
      </c>
      <c r="N79" t="str">
        <v>Cor pondasi</v>
      </c>
      <c r="O79">
        <v>100000</v>
      </c>
      <c r="P79">
        <f>L79*O79</f>
        <v>150000</v>
      </c>
    </row>
    <row r="80">
      <c r="E80" t="str">
        <v>Jumlah</v>
      </c>
      <c r="F80">
        <f>SUM(F71:F79)</f>
        <v>342926</v>
      </c>
      <c r="G80">
        <f>SUM(G78:G79)</f>
        <v>97200.00000000001</v>
      </c>
      <c r="I80">
        <f>G80+F80</f>
        <v>440126</v>
      </c>
      <c r="P80">
        <f>SUM(P71:P79)</f>
        <v>1100000</v>
      </c>
    </row>
    <row r="81">
      <c r="E81" t="str">
        <v xml:space="preserve">Waste </v>
      </c>
      <c r="I81">
        <v>0</v>
      </c>
      <c r="O81" t="str">
        <v>per m'</v>
      </c>
      <c r="P81">
        <f>P80/4</f>
        <v>275000</v>
      </c>
    </row>
    <row r="82">
      <c r="E82" t="str">
        <v>Jumlah</v>
      </c>
      <c r="I82">
        <f>I80+I81</f>
        <v>440126</v>
      </c>
    </row>
    <row r="83">
      <c r="E83" t="str">
        <v>Harga per M2</v>
      </c>
      <c r="I83">
        <f>I82/(1.2*1.8)</f>
        <v>203762.03703703702</v>
      </c>
      <c r="M83" t="str">
        <v>4 M'</v>
      </c>
      <c r="N83" t="str">
        <v>Euitset/Bouwplank T 1,5 m</v>
      </c>
    </row>
    <row r="84">
      <c r="L84">
        <v>1</v>
      </c>
      <c r="M84" t="str">
        <v>btg</v>
      </c>
      <c r="N84" t="str">
        <v>Usuk meranti 5/7 (Tiang)</v>
      </c>
      <c r="O84">
        <f>O72</f>
        <v>40000</v>
      </c>
      <c r="P84">
        <f>L84*O84</f>
        <v>40000</v>
      </c>
    </row>
    <row r="85">
      <c r="A85">
        <v>2</v>
      </c>
      <c r="B85" t="str">
        <v>PERANCAH M', Tinggi 2.5 - 3 M</v>
      </c>
      <c r="L85">
        <v>1</v>
      </c>
      <c r="M85" t="str">
        <v>btg</v>
      </c>
      <c r="N85" t="str">
        <v>Papan meranti 2/20 (rangka)</v>
      </c>
      <c r="O85">
        <v>43500</v>
      </c>
      <c r="P85">
        <f>L85*O85</f>
        <v>43500</v>
      </c>
    </row>
    <row r="86">
      <c r="B86">
        <v>1</v>
      </c>
      <c r="C86" t="str">
        <v>btg</v>
      </c>
      <c r="D86" t="str">
        <v>Balok 6/12 meranti (35%)</v>
      </c>
      <c r="E86">
        <f>E71</f>
        <v>106560</v>
      </c>
      <c r="F86">
        <f>B86*E86*0.35</f>
        <v>37296</v>
      </c>
      <c r="L86">
        <v>0.35</v>
      </c>
      <c r="M86" t="str">
        <v>kg</v>
      </c>
      <c r="N86" t="str">
        <v>paku</v>
      </c>
      <c r="O86">
        <f>O73</f>
        <v>15000</v>
      </c>
      <c r="P86">
        <f>L86*O86</f>
        <v>5250</v>
      </c>
    </row>
    <row r="87">
      <c r="B87">
        <v>1.5</v>
      </c>
      <c r="C87" t="str">
        <v>btg</v>
      </c>
      <c r="D87" t="str">
        <v>Usuk  5/7 meranti (50%)</v>
      </c>
      <c r="E87">
        <f>E72</f>
        <v>39200.00000000001</v>
      </c>
      <c r="F87">
        <f>B87*E87*0.5</f>
        <v>29400.000000000007</v>
      </c>
      <c r="L87">
        <v>4</v>
      </c>
      <c r="M87" t="str">
        <v>m'</v>
      </c>
      <c r="N87" t="str">
        <v>Ongkos bouwplank</v>
      </c>
      <c r="O87">
        <v>17000</v>
      </c>
      <c r="P87">
        <f>L87*O87</f>
        <v>68000</v>
      </c>
    </row>
    <row r="88">
      <c r="B88">
        <v>1</v>
      </c>
      <c r="C88" t="str">
        <v>btg</v>
      </c>
      <c r="D88" t="str">
        <v>Usuk  4/6 meranti</v>
      </c>
      <c r="E88">
        <f>E73</f>
        <v>26880</v>
      </c>
      <c r="F88">
        <f>B88*E88</f>
        <v>26880</v>
      </c>
      <c r="P88">
        <f>SUM(P84:P87)</f>
        <v>156750</v>
      </c>
    </row>
    <row r="89">
      <c r="B89">
        <v>2</v>
      </c>
      <c r="C89" t="str">
        <v>Kg</v>
      </c>
      <c r="D89" t="str">
        <v>Paku</v>
      </c>
      <c r="E89">
        <f>E74</f>
        <v>13000</v>
      </c>
      <c r="F89">
        <f>B89*E89</f>
        <v>26000</v>
      </c>
      <c r="O89" t="str">
        <v>per m'</v>
      </c>
      <c r="P89">
        <f>P88/4</f>
        <v>39187.5</v>
      </c>
    </row>
    <row r="90">
      <c r="B90">
        <v>1.5</v>
      </c>
      <c r="C90" t="str">
        <v>set</v>
      </c>
      <c r="D90" t="str">
        <v>Scafolding (2 FR, 2 CB, 4 JP) (12,5 %)</v>
      </c>
      <c r="E90">
        <f>E75</f>
        <v>494000</v>
      </c>
      <c r="F90">
        <f>B90*E90*0.125</f>
        <v>92625</v>
      </c>
    </row>
    <row r="91">
      <c r="B91">
        <v>6</v>
      </c>
      <c r="C91" t="str">
        <v>bh</v>
      </c>
      <c r="D91" t="str">
        <v>U Head (5%)</v>
      </c>
      <c r="E91">
        <f>E76</f>
        <v>62000</v>
      </c>
      <c r="F91">
        <f>B91*E91*0.05</f>
        <v>18600</v>
      </c>
    </row>
    <row r="92">
      <c r="B92">
        <v>6</v>
      </c>
      <c r="C92" t="str">
        <v>bh</v>
      </c>
      <c r="D92" t="str">
        <v>Jack Base (5%)</v>
      </c>
      <c r="E92">
        <f>E77</f>
        <v>65000</v>
      </c>
      <c r="F92">
        <f>B92*E92*0.05</f>
        <v>19500</v>
      </c>
    </row>
    <row r="93">
      <c r="B93">
        <f>1.2*1.8</f>
        <v>2.16</v>
      </c>
      <c r="C93" t="str">
        <v>M2</v>
      </c>
      <c r="D93" t="str">
        <v>Ongkos pasang</v>
      </c>
      <c r="E93">
        <f>E62</f>
        <v>25000</v>
      </c>
      <c r="G93">
        <f>B93*E93</f>
        <v>54000</v>
      </c>
    </row>
    <row r="94">
      <c r="B94">
        <f>B93</f>
        <v>2.16</v>
      </c>
      <c r="C94" t="str">
        <v>M2</v>
      </c>
      <c r="D94" t="str">
        <v>Ongkos bongkar</v>
      </c>
      <c r="E94">
        <f>E63</f>
        <v>15000</v>
      </c>
      <c r="G94">
        <f>B94*E94</f>
        <v>32400.000000000004</v>
      </c>
    </row>
    <row r="95">
      <c r="E95" t="str">
        <v>Jumlah</v>
      </c>
      <c r="F95">
        <f>SUM(F86:F94)</f>
        <v>250301</v>
      </c>
      <c r="G95">
        <f>SUM(G93:G94)</f>
        <v>86400</v>
      </c>
      <c r="I95">
        <f>G95+F95</f>
        <v>336701</v>
      </c>
    </row>
    <row r="96">
      <c r="E96" t="str">
        <v xml:space="preserve">Waste </v>
      </c>
      <c r="I96">
        <v>0</v>
      </c>
    </row>
    <row r="97">
      <c r="E97" t="str">
        <v>Jumlah</v>
      </c>
      <c r="I97">
        <f>I95+I96</f>
        <v>336701</v>
      </c>
    </row>
    <row r="98">
      <c r="E98" t="str">
        <v>Harga per M2</v>
      </c>
      <c r="I98">
        <f>I97/(1.2*1.8)</f>
        <v>155880.09259259258</v>
      </c>
    </row>
    <row r="101">
      <c r="B101" t="str">
        <v>1 m2 Bekisting Bata Merah untuk Poer dan Sloof (campuran 1:4)</v>
      </c>
    </row>
    <row r="102">
      <c r="B102">
        <v>70</v>
      </c>
      <c r="C102" t="str">
        <v>pcs</v>
      </c>
      <c r="D102" t="str">
        <v>Bata Biasa (poklu')</v>
      </c>
      <c r="E102">
        <f>Material!$G$76</f>
        <v>750</v>
      </c>
      <c r="F102">
        <f>B102*E102</f>
        <v>52500</v>
      </c>
    </row>
    <row r="103">
      <c r="B103">
        <f>0.3*1.2</f>
        <v>0.36</v>
      </c>
      <c r="C103" t="str">
        <v>sak</v>
      </c>
      <c r="D103" t="str">
        <v>Semen PC @50kg</v>
      </c>
      <c r="E103">
        <f>Material!$G$14</f>
        <v>65000</v>
      </c>
      <c r="F103">
        <f>B103*E103</f>
        <v>23400</v>
      </c>
    </row>
    <row r="104">
      <c r="B104">
        <f>0.06*1.2</f>
        <v>0.072</v>
      </c>
      <c r="C104" t="str">
        <v>m3</v>
      </c>
      <c r="D104" t="str">
        <v>Pasir  Kertosono</v>
      </c>
      <c r="E104">
        <f>Material!$G$8</f>
        <v>350000</v>
      </c>
      <c r="F104">
        <f>B104*E104</f>
        <v>25199.999999999996</v>
      </c>
    </row>
    <row r="105">
      <c r="B105">
        <f>0.25*1.2</f>
        <v>0.3</v>
      </c>
      <c r="C105" t="str">
        <v>m3</v>
      </c>
      <c r="D105" t="str">
        <v>Air Kerja</v>
      </c>
      <c r="E105">
        <f>Material!$G$21</f>
        <v>40000</v>
      </c>
      <c r="F105">
        <f>B105*E105</f>
        <v>12000</v>
      </c>
    </row>
    <row r="107">
      <c r="E107" t="str">
        <v>Jumlah</v>
      </c>
      <c r="F107">
        <f>SUM(F101:F106)</f>
        <v>113100</v>
      </c>
      <c r="G107">
        <f>SUM(G101:G106)</f>
        <v>0</v>
      </c>
      <c r="H107">
        <f>SUM(H101:H106)</f>
        <v>0</v>
      </c>
      <c r="I107">
        <f>SUM(F107:H107)</f>
        <v>113100</v>
      </c>
    </row>
    <row r="109">
      <c r="B109" t="str">
        <v>1 m2 Bekisting Batako POSISI BERDIRI untuk Poer dan Sloof</v>
      </c>
    </row>
    <row r="110">
      <c r="B110">
        <f>14</f>
        <v>14</v>
      </c>
      <c r="C110" t="str">
        <v>pcs</v>
      </c>
      <c r="D110" t="str">
        <v>Batako</v>
      </c>
      <c r="E110">
        <f>Material!$G$20</f>
        <v>4500</v>
      </c>
      <c r="F110">
        <f>B110*E110</f>
        <v>63000</v>
      </c>
    </row>
    <row r="111">
      <c r="B111">
        <f>6.046*(1*0.1*0.015*6+1*0.1*0.015*3)*1.1</f>
        <v>0.08978310000000002</v>
      </c>
      <c r="C111" t="str">
        <v>sak</v>
      </c>
      <c r="D111" t="str">
        <v>Semen PC @50kg</v>
      </c>
      <c r="E111">
        <f>Material!$G$14</f>
        <v>65000</v>
      </c>
      <c r="F111">
        <f>B111*E111</f>
        <v>5835.901500000001</v>
      </c>
    </row>
    <row r="112">
      <c r="B112">
        <f>1.209*(1*0.1*0.015*6+1*0.1*0.015*3)*1.1</f>
        <v>0.017953650000000005</v>
      </c>
      <c r="C112" t="str">
        <v>m3</v>
      </c>
      <c r="D112" t="str">
        <v>Pasir  Kertosono</v>
      </c>
      <c r="E112">
        <f>Material!$G$8</f>
        <v>350000</v>
      </c>
      <c r="F112">
        <f>B112*E112</f>
        <v>6283.777500000002</v>
      </c>
    </row>
    <row r="113">
      <c r="B113">
        <f>0.25*1.2</f>
        <v>0.3</v>
      </c>
      <c r="C113" t="str">
        <v>m3</v>
      </c>
      <c r="D113" t="str">
        <v>Air Kerja</v>
      </c>
      <c r="E113">
        <f>Material!$G$21</f>
        <v>40000</v>
      </c>
      <c r="F113">
        <f>B113*E113</f>
        <v>12000</v>
      </c>
    </row>
    <row r="115">
      <c r="E115" t="str">
        <v>Jumlah</v>
      </c>
      <c r="F115">
        <f>SUM(F109:F114)</f>
        <v>87119.679</v>
      </c>
      <c r="G115">
        <f>SUM(G109:G114)</f>
        <v>0</v>
      </c>
      <c r="H115">
        <f>SUM(H109:H114)</f>
        <v>0</v>
      </c>
      <c r="I115">
        <f>SUM(F115:H115)</f>
        <v>87119.679</v>
      </c>
    </row>
    <row r="117">
      <c r="B117" t="str">
        <v>1 m2 Bekisting Batako POSISI TIDUR untuk Poer dan Sloof</v>
      </c>
    </row>
    <row r="118">
      <c r="B118">
        <v>26</v>
      </c>
      <c r="C118" t="str">
        <v>pcs</v>
      </c>
      <c r="D118" t="str">
        <v>Batako</v>
      </c>
      <c r="E118">
        <f>Material!$G$20</f>
        <v>4500</v>
      </c>
      <c r="F118">
        <f>B118*E118</f>
        <v>117000</v>
      </c>
    </row>
    <row r="119">
      <c r="B119">
        <f>6.046*(1*0.2*0.015*11+1*0.2*0.015*3)*1.1</f>
        <v>0.27932520000000005</v>
      </c>
      <c r="C119" t="str">
        <v>sak</v>
      </c>
      <c r="D119" t="str">
        <v>Semen PC @50kg</v>
      </c>
      <c r="E119">
        <f>Material!$G$14</f>
        <v>65000</v>
      </c>
      <c r="F119">
        <f>B119*E119</f>
        <v>18156.138000000003</v>
      </c>
    </row>
    <row r="120">
      <c r="B120">
        <f>1.209*(1*0.2*0.015*11+1*0.2*0.015*3)*1.1</f>
        <v>0.05585580000000001</v>
      </c>
      <c r="C120" t="str">
        <v>m3</v>
      </c>
      <c r="D120" t="str">
        <v>Pasir  Kertosono</v>
      </c>
      <c r="E120">
        <f>Material!$G$8</f>
        <v>350000</v>
      </c>
      <c r="F120">
        <f>B120*E120</f>
        <v>19549.530000000002</v>
      </c>
    </row>
    <row r="121">
      <c r="B121">
        <f>0.25*1.2</f>
        <v>0.3</v>
      </c>
      <c r="C121" t="str">
        <v>m3</v>
      </c>
      <c r="D121" t="str">
        <v>Air Kerja</v>
      </c>
      <c r="E121">
        <f>Material!$G$21</f>
        <v>40000</v>
      </c>
      <c r="F121">
        <f>B121*E121</f>
        <v>12000</v>
      </c>
    </row>
    <row r="123">
      <c r="E123" t="str">
        <v>Jumlah</v>
      </c>
      <c r="F123">
        <f>SUM(F117:F122)</f>
        <v>166705.668</v>
      </c>
      <c r="G123">
        <f>SUM(G117:G122)</f>
        <v>0</v>
      </c>
      <c r="H123">
        <f>SUM(H117:H122)</f>
        <v>0</v>
      </c>
      <c r="I123">
        <f>SUM(F123:H123)</f>
        <v>166705.668</v>
      </c>
    </row>
    <row r="124">
      <c r="B124" t="str">
        <v>Bekisting Kolom</v>
      </c>
      <c r="D124" t="str">
        <v>17x40 Tinggi 4 m</v>
      </c>
    </row>
    <row r="125">
      <c r="B125">
        <v>2</v>
      </c>
      <c r="C125" t="str">
        <v>lbr</v>
      </c>
      <c r="D125" t="str">
        <v>Multipleks 15 mm</v>
      </c>
      <c r="E125">
        <f>Material!$G$65</f>
        <v>200000</v>
      </c>
      <c r="F125">
        <f>B125*E125*1</f>
        <v>400000</v>
      </c>
    </row>
    <row r="126">
      <c r="B126">
        <v>10</v>
      </c>
      <c r="C126" t="str">
        <v>btg</v>
      </c>
      <c r="D126" t="str">
        <v>Usuk 5/7</v>
      </c>
      <c r="E126">
        <f>Material!$G$53</f>
        <v>47600</v>
      </c>
      <c r="F126">
        <f>B126*E126</f>
        <v>476000</v>
      </c>
    </row>
    <row r="127">
      <c r="B127">
        <v>2</v>
      </c>
      <c r="C127" t="str">
        <v>btg</v>
      </c>
      <c r="D127" t="str">
        <v>Usuk 5/7</v>
      </c>
      <c r="E127">
        <f>Material!$G$53</f>
        <v>47600</v>
      </c>
      <c r="F127">
        <f>B127*E127</f>
        <v>95200</v>
      </c>
    </row>
    <row r="128">
      <c r="B128">
        <v>2</v>
      </c>
      <c r="C128" t="str">
        <v>kg</v>
      </c>
      <c r="D128" t="str">
        <v>Paku</v>
      </c>
      <c r="E128">
        <f>Material!$G$74</f>
        <v>13000</v>
      </c>
      <c r="F128">
        <f>B128*E128</f>
        <v>26000</v>
      </c>
    </row>
    <row r="129">
      <c r="B129">
        <f>0.5*((0.17+0.4)*2*4)</f>
        <v>2.2800000000000002</v>
      </c>
      <c r="C129" t="str">
        <v>ltr</v>
      </c>
      <c r="D129" t="str">
        <v>Form oil</v>
      </c>
      <c r="E129">
        <f>Material!$G$31</f>
        <v>27500</v>
      </c>
      <c r="F129">
        <f>B129*E129</f>
        <v>62700.00000000001</v>
      </c>
    </row>
    <row r="131">
      <c r="E131" t="str">
        <v>Jumlah</v>
      </c>
      <c r="F131">
        <f>SUM(F124:F129)</f>
        <v>1059900</v>
      </c>
      <c r="G131">
        <f>SUM(G124:G129)</f>
        <v>0</v>
      </c>
      <c r="H131">
        <f>SUM(H124:H129)</f>
        <v>0</v>
      </c>
      <c r="I131">
        <f>SUM(F131:H131)</f>
        <v>1059900</v>
      </c>
    </row>
    <row r="132">
      <c r="E132" t="str">
        <v>Harga per m2</v>
      </c>
      <c r="F132">
        <f>F131/((0.17+0.4)*2*4)/$K$132</f>
        <v>232434.21052631576</v>
      </c>
      <c r="G132">
        <f>G131/((0.17+0.4)*2*4)/$K$132</f>
        <v>0</v>
      </c>
      <c r="H132">
        <f>H131/((0.17+0.4)*2*4)/$K$132</f>
        <v>0</v>
      </c>
      <c r="I132">
        <f>I131/((0.17+0.4)*2*4)/$K$132</f>
        <v>232434.21052631576</v>
      </c>
      <c r="J132" t="str">
        <v>JML SIKLUS</v>
      </c>
      <c r="K132">
        <v>1</v>
      </c>
    </row>
    <row r="134">
      <c r="B134" t="str">
        <v>Bekisting Balok</v>
      </c>
      <c r="D134" t="str">
        <v>30x50 panjang 4 m</v>
      </c>
    </row>
    <row r="135">
      <c r="B135">
        <v>2</v>
      </c>
      <c r="C135" t="str">
        <v>lbr</v>
      </c>
      <c r="D135" t="str">
        <v>Multipleks 15 mm</v>
      </c>
      <c r="E135">
        <f>Material!$G$65</f>
        <v>200000</v>
      </c>
      <c r="F135">
        <f>B135*E135*1</f>
        <v>400000</v>
      </c>
    </row>
    <row r="136">
      <c r="B136">
        <v>9</v>
      </c>
      <c r="C136" t="str">
        <v>btg</v>
      </c>
      <c r="D136" t="str">
        <v>Usuk 5/7 (vertikal)</v>
      </c>
      <c r="E136">
        <f>Material!$G$53</f>
        <v>47600</v>
      </c>
      <c r="F136">
        <f>B136*E136</f>
        <v>428400</v>
      </c>
    </row>
    <row r="137">
      <c r="B137">
        <v>3</v>
      </c>
      <c r="C137" t="str">
        <v>btg</v>
      </c>
      <c r="D137" t="str">
        <v>Usuk 5/7 (horizontal)</v>
      </c>
      <c r="E137">
        <f>Material!$G$53</f>
        <v>47600</v>
      </c>
      <c r="F137">
        <f>B137*E137</f>
        <v>142800</v>
      </c>
    </row>
    <row r="138">
      <c r="B138">
        <v>1.5</v>
      </c>
      <c r="C138" t="str">
        <v>kg</v>
      </c>
      <c r="D138" t="str">
        <v>Paku</v>
      </c>
      <c r="E138">
        <f>Material!$G$74</f>
        <v>13000</v>
      </c>
      <c r="F138">
        <f>B138*E138</f>
        <v>19500</v>
      </c>
    </row>
    <row r="139">
      <c r="B139">
        <v>0.5</v>
      </c>
      <c r="C139" t="str">
        <v>ltr</v>
      </c>
      <c r="D139" t="str">
        <v>Form oil</v>
      </c>
      <c r="E139">
        <f>Material!$G$31</f>
        <v>27500</v>
      </c>
      <c r="F139">
        <f>B139*E139</f>
        <v>13750</v>
      </c>
    </row>
    <row r="140">
      <c r="B140">
        <v>1</v>
      </c>
      <c r="C140" t="str">
        <v>m2</v>
      </c>
      <c r="D140" t="str">
        <v>Perancah Bekisting Balok</v>
      </c>
      <c r="E140">
        <f>$I$83</f>
        <v>203762.03703703702</v>
      </c>
      <c r="H140">
        <f>B140*E140</f>
        <v>203762.03703703702</v>
      </c>
    </row>
    <row r="142">
      <c r="E142" t="str">
        <v>Jumlah</v>
      </c>
      <c r="F142">
        <f>SUM(F134:F141)</f>
        <v>1004450</v>
      </c>
      <c r="G142">
        <f>SUM(G134:G141)</f>
        <v>0</v>
      </c>
      <c r="H142">
        <f>SUM(H134:H141)</f>
        <v>203762.03703703702</v>
      </c>
      <c r="I142">
        <f>SUM(F142:H142)</f>
        <v>1208212.037037037</v>
      </c>
    </row>
    <row r="143">
      <c r="E143" t="str">
        <v>Harga per m2</v>
      </c>
      <c r="F143">
        <f>F142/((0.3+0.35*2)*4)/$K$143</f>
        <v>251112.5</v>
      </c>
      <c r="G143">
        <f>G142/((0.3+0.35*2)*4)/$K$143</f>
        <v>0</v>
      </c>
      <c r="H143">
        <f>H142/((0.3+0.35*2)*4)/$K$143</f>
        <v>50940.509259259255</v>
      </c>
      <c r="I143">
        <f>I142/((0.3+0.35*2)*4)/$K$143</f>
        <v>302053.00925925927</v>
      </c>
      <c r="J143" t="str">
        <v>JML SIKLUS</v>
      </c>
      <c r="K143">
        <v>1</v>
      </c>
    </row>
    <row r="145">
      <c r="B145" t="str">
        <v>Bekisting plat</v>
      </c>
      <c r="D145" t="str">
        <v>1,2x2,4 m</v>
      </c>
    </row>
    <row r="146">
      <c r="B146">
        <v>1</v>
      </c>
      <c r="C146" t="str">
        <v>lbr</v>
      </c>
      <c r="D146" t="str">
        <v>Multipleks 15 mm</v>
      </c>
      <c r="E146">
        <f>Material!$G$65</f>
        <v>200000</v>
      </c>
      <c r="F146">
        <f>B146*E146*1</f>
        <v>200000</v>
      </c>
    </row>
    <row r="147">
      <c r="B147">
        <v>5</v>
      </c>
      <c r="C147" t="str">
        <v>btg</v>
      </c>
      <c r="D147" t="str">
        <v>Usuk 5/7</v>
      </c>
      <c r="E147">
        <f>Material!$G$53</f>
        <v>47600</v>
      </c>
      <c r="F147">
        <f>B147*E147</f>
        <v>238000</v>
      </c>
    </row>
    <row r="148">
      <c r="B148">
        <v>1.5</v>
      </c>
      <c r="C148" t="str">
        <v>kg</v>
      </c>
      <c r="D148" t="str">
        <v>Paku</v>
      </c>
      <c r="E148">
        <f>Material!$G$74</f>
        <v>13000</v>
      </c>
      <c r="F148">
        <f>B148*E148</f>
        <v>19500</v>
      </c>
    </row>
    <row r="149">
      <c r="B149">
        <f>0.5*1.2*2.4</f>
        <v>1.44</v>
      </c>
      <c r="C149" t="str">
        <v>ltr</v>
      </c>
      <c r="D149" t="str">
        <v>Form oil</v>
      </c>
      <c r="E149">
        <f>Material!$G$31</f>
        <v>27500</v>
      </c>
      <c r="F149">
        <f>B149*E149</f>
        <v>39600</v>
      </c>
    </row>
    <row r="150">
      <c r="B150">
        <v>1</v>
      </c>
      <c r="C150" t="str">
        <v>m2</v>
      </c>
      <c r="D150" t="str">
        <v>Perancah Bekisting Plat</v>
      </c>
      <c r="E150">
        <f>$I$52</f>
        <v>203414.8148148148</v>
      </c>
      <c r="H150">
        <f>B150*E150</f>
        <v>203414.8148148148</v>
      </c>
    </row>
    <row r="152">
      <c r="E152" t="str">
        <v>Jumlah</v>
      </c>
      <c r="F152">
        <f>SUM(F145:F151)</f>
        <v>497100</v>
      </c>
      <c r="G152">
        <f>SUM(G145:G151)</f>
        <v>0</v>
      </c>
      <c r="H152">
        <f>SUM(H145:H151)</f>
        <v>203414.8148148148</v>
      </c>
      <c r="I152">
        <f>SUM(F152:H152)</f>
        <v>700514.8148148148</v>
      </c>
    </row>
    <row r="153">
      <c r="E153" t="str">
        <v>Harga per m2</v>
      </c>
      <c r="F153">
        <f>F152/(1.2*2.4)/$K$153</f>
        <v>86302.08333333334</v>
      </c>
      <c r="G153">
        <f>G152/(1.2*2.4)/$K$153</f>
        <v>0</v>
      </c>
      <c r="H153">
        <f>H152/(1.2*2.4)/$K$153</f>
        <v>35315.0720164609</v>
      </c>
      <c r="I153">
        <f>I152/(1.2*2.4)/$K$153</f>
        <v>121617.15534979425</v>
      </c>
      <c r="J153" t="str">
        <v>JML SIKLUS</v>
      </c>
      <c r="K153">
        <v>2</v>
      </c>
    </row>
    <row r="155">
      <c r="B155" t="str">
        <v>Bekisting dinding beton</v>
      </c>
      <c r="D155" t="str">
        <v>1,2x2,4 m</v>
      </c>
    </row>
    <row r="156">
      <c r="B156">
        <v>1</v>
      </c>
      <c r="C156" t="str">
        <v>lbr</v>
      </c>
      <c r="D156" t="str">
        <v>Multipleks 15 mm</v>
      </c>
      <c r="E156">
        <f>Material!$G$65</f>
        <v>200000</v>
      </c>
      <c r="F156">
        <f>B156*E156*1</f>
        <v>200000</v>
      </c>
    </row>
    <row r="157">
      <c r="B157">
        <v>6</v>
      </c>
      <c r="C157" t="str">
        <v>btg</v>
      </c>
      <c r="D157" t="str">
        <v>Usuk 5/7</v>
      </c>
      <c r="E157">
        <f>Material!$G$53</f>
        <v>47600</v>
      </c>
      <c r="F157">
        <f>B157*E157</f>
        <v>285600</v>
      </c>
    </row>
    <row r="158">
      <c r="B158">
        <v>1.5</v>
      </c>
      <c r="C158" t="str">
        <v>kg</v>
      </c>
      <c r="D158" t="str">
        <v>Paku</v>
      </c>
      <c r="E158">
        <f>Material!$G$74</f>
        <v>13000</v>
      </c>
      <c r="F158">
        <f>B158*E158</f>
        <v>19500</v>
      </c>
    </row>
    <row r="159">
      <c r="B159">
        <f>0.5*1.2*2.4</f>
        <v>1.44</v>
      </c>
      <c r="C159" t="str">
        <v>ltr</v>
      </c>
      <c r="D159" t="str">
        <v>Form oil</v>
      </c>
      <c r="E159">
        <f>Material!$G$31</f>
        <v>27500</v>
      </c>
      <c r="F159">
        <f>B159*E159</f>
        <v>39600</v>
      </c>
    </row>
    <row r="161">
      <c r="E161" t="str">
        <v>Jumlah</v>
      </c>
      <c r="F161">
        <f>SUM(F155:F160)</f>
        <v>544700</v>
      </c>
      <c r="G161">
        <f>SUM(G155:G160)</f>
        <v>0</v>
      </c>
      <c r="H161">
        <f>SUM(H155:H160)</f>
        <v>0</v>
      </c>
      <c r="I161">
        <f>SUM(F161:H161)</f>
        <v>544700</v>
      </c>
    </row>
    <row r="162">
      <c r="E162" t="str">
        <v>Harga per m2</v>
      </c>
      <c r="F162">
        <f>F161/(1.2*2.4)/$K$162</f>
        <v>94565.97222222222</v>
      </c>
      <c r="G162">
        <f>G161/(1.2*2.4)/$K$162</f>
        <v>0</v>
      </c>
      <c r="H162">
        <f>H161/(1.2*2.4)/$K$162</f>
        <v>0</v>
      </c>
      <c r="I162">
        <f>I161/(1.2*2.4)/$K$162</f>
        <v>94565.97222222222</v>
      </c>
      <c r="J162" t="str">
        <v>JML SIKLUS</v>
      </c>
      <c r="K162">
        <v>2</v>
      </c>
    </row>
    <row r="164">
      <c r="B164" t="str">
        <v>Bekisting bondek</v>
      </c>
    </row>
    <row r="165">
      <c r="B165">
        <v>1.1</v>
      </c>
      <c r="C165" t="str">
        <v>m2</v>
      </c>
      <c r="D165" t="str">
        <v>Structural decking 0,75 mm TCT</v>
      </c>
      <c r="E165">
        <f>Material!$G$50</f>
        <v>150000</v>
      </c>
      <c r="F165">
        <f>B165*E165*1</f>
        <v>165000</v>
      </c>
    </row>
    <row r="166">
      <c r="B166">
        <v>1</v>
      </c>
      <c r="C166" t="str">
        <v>m2</v>
      </c>
      <c r="D166" t="str">
        <v>Ongkos pasang bekisting</v>
      </c>
      <c r="E166">
        <f>Upah!$D$30</f>
        <v>85000</v>
      </c>
      <c r="G166">
        <f>B166*E166</f>
        <v>85000</v>
      </c>
    </row>
    <row r="168">
      <c r="E168" t="str">
        <v>Harga per m2</v>
      </c>
      <c r="F168">
        <f>SUM(F164:F167)</f>
        <v>165000</v>
      </c>
      <c r="G168">
        <f>SUM(G164:G167)</f>
        <v>85000</v>
      </c>
      <c r="I168">
        <f>SUM(F168:G168)</f>
        <v>250000</v>
      </c>
    </row>
    <row r="170">
      <c r="B170" t="str">
        <v>PEKERJAAN PENGECORAN</v>
      </c>
    </row>
    <row r="171">
      <c r="B171" t="str">
        <v>Pengecoran Beton Readymix (KHUSUS POER)</v>
      </c>
    </row>
    <row r="172">
      <c r="B172">
        <v>1.2</v>
      </c>
      <c r="C172" t="str">
        <v>m3</v>
      </c>
      <c r="D172" t="str">
        <v>Beton readymix K-350 slump 18 ± 2 cm</v>
      </c>
      <c r="E172">
        <f>Material!$G$12</f>
        <v>1015650.0000000001</v>
      </c>
      <c r="F172">
        <f>B172*E172*1</f>
        <v>1218780</v>
      </c>
    </row>
    <row r="173">
      <c r="B173">
        <v>1</v>
      </c>
      <c r="C173" t="str">
        <v>m3</v>
      </c>
      <c r="D173" t="str">
        <v>Sewa peralatan, termasuk vibrator dan concrete pump</v>
      </c>
      <c r="E173">
        <v>75000</v>
      </c>
      <c r="H173">
        <f>B173*E173</f>
        <v>75000</v>
      </c>
    </row>
    <row r="174">
      <c r="B174">
        <v>1</v>
      </c>
      <c r="C174" t="str">
        <v>m3</v>
      </c>
      <c r="D174" t="str">
        <v>Upah cor, besi, bekisting borongan</v>
      </c>
      <c r="E174">
        <f>Upah!$D$76</f>
        <v>800000</v>
      </c>
      <c r="G174">
        <f>B174*E174</f>
        <v>800000</v>
      </c>
    </row>
    <row r="176">
      <c r="E176" t="str">
        <v>Jumlah</v>
      </c>
      <c r="F176">
        <f>SUM(F171:F175)</f>
        <v>1218780</v>
      </c>
      <c r="G176">
        <f>SUM(G171:G175)</f>
        <v>800000</v>
      </c>
      <c r="H176">
        <f>SUM(H171:H175)</f>
        <v>75000</v>
      </c>
      <c r="I176">
        <f>SUM(F176:H176)</f>
        <v>2093780</v>
      </c>
    </row>
    <row r="178">
      <c r="B178" t="str">
        <v>Pengecoran Beton Readymix (KHUSUS SLOOF)</v>
      </c>
    </row>
    <row r="179">
      <c r="B179">
        <v>1.2</v>
      </c>
      <c r="C179" t="str">
        <v>m3</v>
      </c>
      <c r="D179" t="str">
        <v>Beton readymix K-350 slump 18 ± 2 cm</v>
      </c>
      <c r="E179">
        <f>Material!$G$12</f>
        <v>1015650.0000000001</v>
      </c>
      <c r="F179">
        <f>B179*E179*1</f>
        <v>1218780</v>
      </c>
    </row>
    <row r="180">
      <c r="B180">
        <v>1</v>
      </c>
      <c r="C180" t="str">
        <v>m3</v>
      </c>
      <c r="D180" t="str">
        <v>Sewa peralatan, termasuk vibrator dan concrete pump</v>
      </c>
      <c r="E180">
        <v>60000</v>
      </c>
      <c r="H180">
        <f>B180*E180</f>
        <v>60000</v>
      </c>
    </row>
    <row r="181">
      <c r="B181">
        <v>1</v>
      </c>
      <c r="C181" t="str">
        <v>m3</v>
      </c>
      <c r="D181" t="str">
        <v>Upah cor, besi, bekisting borongan</v>
      </c>
      <c r="E181">
        <f>Upah!$D$77</f>
        <v>1500000</v>
      </c>
      <c r="G181">
        <f>B181*E181</f>
        <v>1500000</v>
      </c>
    </row>
    <row r="183">
      <c r="E183" t="str">
        <v>Jumlah</v>
      </c>
      <c r="F183">
        <f>SUM(F178:F182)</f>
        <v>1218780</v>
      </c>
      <c r="G183">
        <f>SUM(G178:G182)</f>
        <v>1500000</v>
      </c>
      <c r="H183">
        <f>SUM(H178:H182)</f>
        <v>60000</v>
      </c>
      <c r="I183">
        <f>SUM(F183:H183)</f>
        <v>2778780</v>
      </c>
    </row>
    <row r="185">
      <c r="B185" t="str">
        <v>Pengecoran Beton Readymix (KHUSUS KOLOM RATA-RATA)</v>
      </c>
    </row>
    <row r="186">
      <c r="B186">
        <v>1.05</v>
      </c>
      <c r="C186" t="str">
        <v>m3</v>
      </c>
      <c r="D186" t="str">
        <v>Beton readymix K-350 slump 18 ± 2 cm</v>
      </c>
      <c r="E186">
        <f>Material!$G$12</f>
        <v>1015650.0000000001</v>
      </c>
      <c r="F186">
        <f>B186*E186*1</f>
        <v>1066432.5000000002</v>
      </c>
    </row>
    <row r="187">
      <c r="B187">
        <v>1</v>
      </c>
      <c r="C187" t="str">
        <v>m3</v>
      </c>
      <c r="D187" t="str">
        <v>Sewa peralatan, termasuk vibrator dan concrete pump</v>
      </c>
      <c r="E187">
        <v>250000</v>
      </c>
      <c r="H187">
        <f>B187*E187</f>
        <v>250000</v>
      </c>
    </row>
    <row r="188">
      <c r="B188">
        <v>1</v>
      </c>
      <c r="C188" t="str">
        <v>m3</v>
      </c>
      <c r="D188" t="str">
        <v>Upah cor, besi, bekisting borongan</v>
      </c>
      <c r="E188">
        <f>Upah!$D$80</f>
        <v>2250000</v>
      </c>
      <c r="G188">
        <f>B188*E188</f>
        <v>2250000</v>
      </c>
    </row>
    <row r="190">
      <c r="E190" t="str">
        <v>Jumlah</v>
      </c>
      <c r="F190">
        <f>SUM(F185:F189)</f>
        <v>1066432.5000000002</v>
      </c>
      <c r="G190">
        <f>SUM(G185:G189)</f>
        <v>2250000</v>
      </c>
      <c r="H190">
        <f>SUM(H185:H189)</f>
        <v>250000</v>
      </c>
      <c r="I190">
        <f>SUM(F190:H190)</f>
        <v>3566432.5</v>
      </c>
    </row>
    <row r="192">
      <c r="B192" t="str">
        <v>Pengecoran Beton Readymix (KHUSUS BALOK LT. ATAS RATA-RATA)</v>
      </c>
    </row>
    <row r="193">
      <c r="B193">
        <v>1.05</v>
      </c>
      <c r="C193" t="str">
        <v>m3</v>
      </c>
      <c r="D193" t="str">
        <v>Beton readymix K-350 slump 18 ± 2 cm</v>
      </c>
      <c r="E193">
        <f>Material!$G$11</f>
        <v>1015650.0000000001</v>
      </c>
      <c r="F193">
        <f>B193*E193*1</f>
        <v>1066432.5000000002</v>
      </c>
    </row>
    <row r="194">
      <c r="B194">
        <v>1</v>
      </c>
      <c r="C194" t="str">
        <v>m3</v>
      </c>
      <c r="D194" t="str">
        <v>Sewa peralatan, termasuk vibrator dan concrete pump</v>
      </c>
      <c r="E194">
        <v>75000</v>
      </c>
      <c r="H194">
        <f>B194*E194</f>
        <v>75000</v>
      </c>
    </row>
    <row r="195">
      <c r="B195">
        <v>1</v>
      </c>
      <c r="C195" t="str">
        <v>m3</v>
      </c>
      <c r="D195" t="str">
        <v>Upah cor, besi, bekisting borongan</v>
      </c>
      <c r="E195">
        <f>Upah!$D$78</f>
        <v>1750000</v>
      </c>
      <c r="G195">
        <f>B195*E195</f>
        <v>1750000</v>
      </c>
    </row>
    <row r="197">
      <c r="E197" t="str">
        <v>Jumlah</v>
      </c>
      <c r="F197">
        <f>SUM(F192:F196)</f>
        <v>1066432.5000000002</v>
      </c>
      <c r="G197">
        <f>SUM(G192:G196)</f>
        <v>1750000</v>
      </c>
      <c r="H197">
        <f>SUM(H192:H196)</f>
        <v>75000</v>
      </c>
      <c r="I197">
        <f>SUM(F197:H197)</f>
        <v>2891432.5</v>
      </c>
    </row>
    <row r="199">
      <c r="B199" t="str">
        <v>Pengecoran Beton Readymix (KHUSUS BALOK TANPA PLAT DAN BALOK MIRING GEWEL)</v>
      </c>
    </row>
    <row r="200">
      <c r="B200">
        <v>1.1</v>
      </c>
      <c r="C200" t="str">
        <v>m3</v>
      </c>
      <c r="D200" t="str">
        <v>Beton readymix K-350 slump 18 ± 2 cm</v>
      </c>
      <c r="E200">
        <f>Material!$G$11</f>
        <v>1015650.0000000001</v>
      </c>
      <c r="F200">
        <f>B200*E200*1</f>
        <v>1117215.0000000002</v>
      </c>
    </row>
    <row r="201">
      <c r="B201">
        <v>1</v>
      </c>
      <c r="C201" t="str">
        <v>m3</v>
      </c>
      <c r="D201" t="str">
        <v>Sewa peralatan, termasuk vibrator dan concrete pump</v>
      </c>
      <c r="E201">
        <v>200000</v>
      </c>
      <c r="H201">
        <f>B201*E201</f>
        <v>200000</v>
      </c>
    </row>
    <row r="202">
      <c r="B202">
        <v>1</v>
      </c>
      <c r="C202" t="str">
        <v>m3</v>
      </c>
      <c r="D202" t="str">
        <v>Upah cor, besi, bekisting borongan</v>
      </c>
      <c r="E202">
        <f>Upah!$D$79</f>
        <v>2500000</v>
      </c>
      <c r="G202">
        <f>B202*E202</f>
        <v>2500000</v>
      </c>
    </row>
    <row r="204">
      <c r="E204" t="str">
        <v>Jumlah</v>
      </c>
      <c r="F204">
        <f>SUM(F199:F203)</f>
        <v>1117215.0000000002</v>
      </c>
      <c r="G204">
        <f>SUM(G199:G203)</f>
        <v>2500000</v>
      </c>
      <c r="H204">
        <f>SUM(H199:H203)</f>
        <v>200000</v>
      </c>
      <c r="I204">
        <f>SUM(F204:H204)</f>
        <v>3817215</v>
      </c>
    </row>
    <row r="206">
      <c r="B206" t="str">
        <v>Pengecoran Beton Readymix (KHUSUS PLAT LT. DASAR)</v>
      </c>
    </row>
    <row r="207">
      <c r="B207">
        <v>1.05</v>
      </c>
      <c r="C207" t="str">
        <v>m3</v>
      </c>
      <c r="D207" t="str">
        <v>Beton readymix K-350 slump 18 ± 2 cm</v>
      </c>
      <c r="E207">
        <f>Material!$G$12</f>
        <v>1015650.0000000001</v>
      </c>
      <c r="F207">
        <f>B207*E207*1</f>
        <v>1066432.5000000002</v>
      </c>
    </row>
    <row r="208">
      <c r="B208">
        <v>1</v>
      </c>
      <c r="C208" t="str">
        <v>m3</v>
      </c>
      <c r="D208" t="str">
        <v>Sewa peralatan, termasuk vibrator dan concrete pump</v>
      </c>
      <c r="E208">
        <v>60000</v>
      </c>
      <c r="H208">
        <f>B208*E208</f>
        <v>60000</v>
      </c>
    </row>
    <row r="209">
      <c r="B209">
        <v>1</v>
      </c>
      <c r="C209" t="str">
        <v>m3</v>
      </c>
      <c r="D209" t="str">
        <v>Upah cor, besi, bekisting borongan</v>
      </c>
      <c r="E209">
        <f>Upah!$D$81</f>
        <v>1000000</v>
      </c>
      <c r="G209">
        <f>B209*E209</f>
        <v>1000000</v>
      </c>
    </row>
    <row r="211">
      <c r="E211" t="str">
        <v>Jumlah</v>
      </c>
      <c r="F211">
        <f>SUM(F206:F210)</f>
        <v>1066432.5000000002</v>
      </c>
      <c r="G211">
        <f>SUM(G206:G210)</f>
        <v>1000000</v>
      </c>
      <c r="H211">
        <f>SUM(H206:H210)</f>
        <v>60000</v>
      </c>
      <c r="I211">
        <f>SUM(F211:H211)</f>
        <v>2126432.5</v>
      </c>
    </row>
    <row r="213">
      <c r="B213" t="str">
        <v>Pengecoran Beton Readymix (KHUSUS PLAT LT. ATAS RATA-RATA)</v>
      </c>
    </row>
    <row r="214">
      <c r="B214">
        <v>1.05</v>
      </c>
      <c r="C214" t="str">
        <v>m3</v>
      </c>
      <c r="D214" t="str">
        <v>Beton readymix K-350 slump 18 ± 2 cm</v>
      </c>
      <c r="E214">
        <f>Material!$G$11</f>
        <v>1015650.0000000001</v>
      </c>
      <c r="F214">
        <f>B214*E214*1</f>
        <v>1066432.5000000002</v>
      </c>
    </row>
    <row r="215">
      <c r="B215">
        <v>1</v>
      </c>
      <c r="C215" t="str">
        <v>m3</v>
      </c>
      <c r="D215" t="str">
        <v>Sewa peralatan, termasuk vibrator dan concrete pump</v>
      </c>
      <c r="E215">
        <v>75000</v>
      </c>
      <c r="H215">
        <f>B215*E215</f>
        <v>75000</v>
      </c>
    </row>
    <row r="216">
      <c r="B216">
        <v>1</v>
      </c>
      <c r="C216" t="str">
        <v>m3</v>
      </c>
      <c r="D216" t="str">
        <v>Upah cor, besi, bekisting borongan</v>
      </c>
      <c r="E216">
        <f>Upah!$D$82</f>
        <v>1300000</v>
      </c>
      <c r="G216">
        <f>B216*E216</f>
        <v>1300000</v>
      </c>
    </row>
    <row r="218">
      <c r="E218" t="str">
        <v>Jumlah</v>
      </c>
      <c r="F218">
        <f>SUM(F213:F217)</f>
        <v>1066432.5000000002</v>
      </c>
      <c r="G218">
        <f>SUM(G213:G217)</f>
        <v>1300000</v>
      </c>
      <c r="H218">
        <f>SUM(H213:H217)</f>
        <v>75000</v>
      </c>
      <c r="I218">
        <f>SUM(F218:H218)</f>
        <v>2441432.5</v>
      </c>
    </row>
    <row r="220">
      <c r="B220" t="str">
        <v>Pengecoran Beton Readymix (KHUSUS DINDING BETON RATA-RATA)</v>
      </c>
    </row>
    <row r="221">
      <c r="B221">
        <v>1.05</v>
      </c>
      <c r="C221" t="str">
        <v>m3</v>
      </c>
      <c r="D221" t="str">
        <v>Beton readymix K-350 slump 18 ± 2 cm</v>
      </c>
      <c r="E221">
        <f>Material!$G$12</f>
        <v>1015650.0000000001</v>
      </c>
      <c r="F221">
        <f>B221*E221*1</f>
        <v>1066432.5000000002</v>
      </c>
    </row>
    <row r="222">
      <c r="B222">
        <v>1</v>
      </c>
      <c r="C222" t="str">
        <v>m3</v>
      </c>
      <c r="D222" t="str">
        <v>Sewa peralatan, termasuk vibrator dan concrete pump</v>
      </c>
      <c r="E222">
        <v>200000</v>
      </c>
      <c r="H222">
        <f>B222*E222</f>
        <v>200000</v>
      </c>
    </row>
    <row r="223">
      <c r="B223">
        <v>1</v>
      </c>
      <c r="C223" t="str">
        <v>m3</v>
      </c>
      <c r="D223" t="str">
        <v>Upah cor, besi, bekisting borongan</v>
      </c>
      <c r="E223">
        <f>Upah!$D$83</f>
        <v>1500000</v>
      </c>
      <c r="G223">
        <f>B223*E223</f>
        <v>1500000</v>
      </c>
    </row>
    <row r="225">
      <c r="E225" t="str">
        <v>Jumlah</v>
      </c>
      <c r="F225">
        <f>SUM(F220:F224)</f>
        <v>1066432.5000000002</v>
      </c>
      <c r="G225">
        <f>SUM(G220:G224)</f>
        <v>1500000</v>
      </c>
      <c r="H225">
        <f>SUM(H220:H224)</f>
        <v>200000</v>
      </c>
      <c r="I225">
        <f>SUM(F225:H225)</f>
        <v>2766432.5</v>
      </c>
    </row>
    <row r="227">
      <c r="B227" t="str">
        <v>PEKERJAAN PEMBESIAN</v>
      </c>
    </row>
    <row r="228">
      <c r="B228" t="str">
        <v>Pembesian U24 &amp; U40</v>
      </c>
    </row>
    <row r="229">
      <c r="B229">
        <v>1.05</v>
      </c>
      <c r="C229" t="str">
        <v>kg</v>
      </c>
      <c r="D229" t="str">
        <v>Besi beton</v>
      </c>
      <c r="E229">
        <f>Material!$G$33</f>
        <v>10300</v>
      </c>
      <c r="F229">
        <f>B229*E229</f>
        <v>10815</v>
      </c>
    </row>
    <row r="230">
      <c r="B230">
        <v>1</v>
      </c>
      <c r="C230" t="str">
        <v>kg</v>
      </c>
      <c r="D230" t="str">
        <v>Beton decking</v>
      </c>
      <c r="E230">
        <v>100</v>
      </c>
      <c r="F230">
        <f>B230*E230</f>
        <v>100</v>
      </c>
    </row>
    <row r="231">
      <c r="B231">
        <f>2%*B229</f>
        <v>0.021</v>
      </c>
      <c r="C231" t="str">
        <v>kg</v>
      </c>
      <c r="D231" t="str">
        <v>Bendrat</v>
      </c>
      <c r="E231">
        <f>Material!$G$39</f>
        <v>17500</v>
      </c>
      <c r="F231">
        <f>B231*E231</f>
        <v>367.5</v>
      </c>
    </row>
    <row r="233">
      <c r="E233" t="str">
        <v>Jumlah</v>
      </c>
      <c r="F233">
        <f>SUM(F228:F232)</f>
        <v>11282.5</v>
      </c>
      <c r="G233">
        <f>SUM(G228:G232)</f>
        <v>0</v>
      </c>
      <c r="H233">
        <f>SUM(H228:H232)</f>
        <v>0</v>
      </c>
      <c r="I233">
        <f>SUM(F233:H233)</f>
        <v>11282.5</v>
      </c>
    </row>
    <row r="235">
      <c r="B235" t="str">
        <v>Pekerjaan Wiremesh M6 (per 1 lapis)</v>
      </c>
    </row>
    <row r="236">
      <c r="B236">
        <v>1.1</v>
      </c>
      <c r="C236" t="str">
        <v>m2</v>
      </c>
      <c r="D236" t="str">
        <v>Wiremesh M6</v>
      </c>
      <c r="E236">
        <f>Material!$G$37</f>
        <v>41716.5</v>
      </c>
      <c r="F236">
        <f>B236*E236*1</f>
        <v>45888.15</v>
      </c>
    </row>
    <row r="237">
      <c r="B237">
        <f>1%*B236*Material!$M$37</f>
        <v>0.04588815</v>
      </c>
      <c r="C237" t="str">
        <v>kg</v>
      </c>
      <c r="D237" t="str">
        <v>Bendrat</v>
      </c>
      <c r="E237">
        <f>Material!$G$39</f>
        <v>17500</v>
      </c>
      <c r="F237">
        <f>B237*E237*1</f>
        <v>803.042625</v>
      </c>
    </row>
    <row r="239">
      <c r="E239" t="str">
        <v>Jumlah</v>
      </c>
      <c r="F239">
        <f>SUM(F235:F238)</f>
        <v>46691.192625</v>
      </c>
      <c r="G239">
        <f>SUM(G235:G238)</f>
        <v>0</v>
      </c>
      <c r="I239">
        <f>SUM(F239:G239)</f>
        <v>46691.192625</v>
      </c>
    </row>
    <row r="241">
      <c r="B241" t="str">
        <v>Wiremesh M7 (per 1 lapis)</v>
      </c>
    </row>
    <row r="242">
      <c r="B242">
        <v>1.1</v>
      </c>
      <c r="C242" t="str">
        <v>m2</v>
      </c>
      <c r="D242" t="str">
        <v>Wiremesh M7</v>
      </c>
      <c r="E242">
        <f>Material!$G$36</f>
        <v>54486.857142857145</v>
      </c>
      <c r="F242">
        <f>B242*E242*1</f>
        <v>59935.542857142864</v>
      </c>
    </row>
    <row r="243">
      <c r="B243">
        <f>1%*B242*Material!$M$36</f>
        <v>0.059935542857142865</v>
      </c>
      <c r="C243" t="str">
        <v>kg</v>
      </c>
      <c r="D243" t="str">
        <v>Bendrat</v>
      </c>
      <c r="E243">
        <f>Material!$G$39</f>
        <v>17500</v>
      </c>
      <c r="F243">
        <f>B243*E243*1</f>
        <v>1048.872</v>
      </c>
    </row>
    <row r="245">
      <c r="E245" t="str">
        <v>Jumlah</v>
      </c>
      <c r="F245">
        <f>SUM(F241:F244)</f>
        <v>60984.41485714287</v>
      </c>
      <c r="G245">
        <f>SUM(G241:G244)</f>
        <v>0</v>
      </c>
      <c r="I245">
        <f>SUM(F245:G245)</f>
        <v>60984.41485714287</v>
      </c>
    </row>
    <row r="247">
      <c r="B247" t="str">
        <v>Shear Connector D13-300</v>
      </c>
    </row>
    <row r="248">
      <c r="B248">
        <f>0.006165*13^2*0.5*12/3</f>
        <v>2.08377</v>
      </c>
      <c r="C248" t="str">
        <v>kg</v>
      </c>
      <c r="D248" t="str">
        <v>Besi (asumsi total panjang 50 cm)</v>
      </c>
      <c r="E248">
        <f>Material!$G$33</f>
        <v>10300</v>
      </c>
      <c r="F248">
        <f>B248*E248*1</f>
        <v>21462.831</v>
      </c>
    </row>
    <row r="249">
      <c r="B249">
        <f>B248</f>
        <v>2.08377</v>
      </c>
      <c r="C249" t="str">
        <v>kg</v>
      </c>
      <c r="D249" t="str">
        <v>Ongkos pembesian (las)</v>
      </c>
      <c r="E249">
        <f>Upah!$D$24</f>
        <v>2500</v>
      </c>
      <c r="G249">
        <f>B249*E249*1</f>
        <v>5209.425</v>
      </c>
    </row>
    <row r="251">
      <c r="E251" t="str">
        <v>Harga per m2</v>
      </c>
      <c r="F251">
        <f>SUM(F247:F250)</f>
        <v>21462.831</v>
      </c>
      <c r="G251">
        <f>SUM(G247:G250)</f>
        <v>5209.425</v>
      </c>
      <c r="I251">
        <f>SUM(F251:G251)</f>
        <v>26672.255999999998</v>
      </c>
    </row>
    <row r="253">
      <c r="B253" t="str">
        <v>Shear Connector D10-100</v>
      </c>
    </row>
    <row r="254">
      <c r="B254">
        <f>0.006165*10^2*0.5*11</f>
        <v>3.39075</v>
      </c>
      <c r="C254" t="str">
        <v>kg</v>
      </c>
      <c r="D254" t="str">
        <v>Besi (asumsi total panjang 50 cm)</v>
      </c>
      <c r="E254">
        <f>Material!$G$33</f>
        <v>10300</v>
      </c>
      <c r="F254">
        <f>B254*E254*1</f>
        <v>34924.725</v>
      </c>
    </row>
    <row r="255">
      <c r="B255">
        <f>B254</f>
        <v>3.39075</v>
      </c>
      <c r="C255" t="str">
        <v>kg</v>
      </c>
      <c r="D255" t="str">
        <v>Ongkos pembesian (las)</v>
      </c>
      <c r="E255">
        <f>Upah!$D$24</f>
        <v>2500</v>
      </c>
      <c r="G255">
        <f>B255*E255*1</f>
        <v>8476.875</v>
      </c>
    </row>
    <row r="257">
      <c r="E257" t="str">
        <v>Harga per m2</v>
      </c>
      <c r="F257">
        <f>SUM(F253:F256)</f>
        <v>34924.725</v>
      </c>
      <c r="G257">
        <f>SUM(G253:G256)</f>
        <v>8476.875</v>
      </c>
      <c r="I257">
        <f>SUM(F257:G257)</f>
        <v>43401.6</v>
      </c>
    </row>
    <row r="259">
      <c r="B259" t="str">
        <v>1 m3 Beton Site Mix 1:2:3</v>
      </c>
    </row>
    <row r="260">
      <c r="B260">
        <v>7.42</v>
      </c>
      <c r="C260" t="str">
        <v>sak</v>
      </c>
      <c r="D260" t="str">
        <v>Semen PC @50kg</v>
      </c>
      <c r="E260">
        <f>Material!$G$14</f>
        <v>65000</v>
      </c>
      <c r="F260">
        <f>B260*E260</f>
        <v>482300</v>
      </c>
    </row>
    <row r="261">
      <c r="B261">
        <v>0.4363</v>
      </c>
      <c r="C261" t="str">
        <v>m3</v>
      </c>
      <c r="D261" t="str">
        <v>Pasir  Lumajang</v>
      </c>
      <c r="E261">
        <f>Material!$G$8</f>
        <v>350000</v>
      </c>
      <c r="F261">
        <f>B261*E261</f>
        <v>152705</v>
      </c>
    </row>
    <row r="262">
      <c r="B262">
        <v>0.551</v>
      </c>
      <c r="C262" t="str">
        <v>m3</v>
      </c>
      <c r="D262" t="str">
        <v>Batu split 1:1</v>
      </c>
      <c r="E262">
        <f>Material!$G$10</f>
        <v>275000</v>
      </c>
      <c r="F262">
        <f>B262*E262</f>
        <v>151525</v>
      </c>
    </row>
    <row r="263">
      <c r="B263">
        <v>1</v>
      </c>
      <c r="C263" t="str">
        <v>m2</v>
      </c>
      <c r="D263" t="str">
        <v>Upah cor site mix</v>
      </c>
      <c r="E263">
        <f>Upah!$D$17</f>
        <v>100000</v>
      </c>
      <c r="G263">
        <f>B263*E263</f>
        <v>100000</v>
      </c>
    </row>
    <row r="265">
      <c r="E265" t="str">
        <v>Jumlah</v>
      </c>
      <c r="F265">
        <f>SUM(F260:F263)</f>
        <v>786530</v>
      </c>
      <c r="G265">
        <f>SUM(G263:G263)</f>
        <v>100000</v>
      </c>
      <c r="H265">
        <f>SUM(H263:H263)</f>
        <v>0</v>
      </c>
      <c r="I265">
        <f>SUM(F265:H265)</f>
        <v>886530</v>
      </c>
    </row>
    <row r="267">
      <c r="B267" t="str">
        <v>1 m3 Lantai Kerja (beton site mix 1:3:5)</v>
      </c>
    </row>
    <row r="268">
      <c r="B268">
        <v>4.643</v>
      </c>
      <c r="C268" t="str">
        <v>sak</v>
      </c>
      <c r="D268" t="str">
        <v xml:space="preserve">Semen PC </v>
      </c>
      <c r="E268">
        <f>Material!$G$14</f>
        <v>65000</v>
      </c>
      <c r="F268">
        <f>B268*E268</f>
        <v>301795</v>
      </c>
    </row>
    <row r="269">
      <c r="B269">
        <v>0.557</v>
      </c>
      <c r="C269" t="str">
        <v>m3</v>
      </c>
      <c r="D269" t="str">
        <v>Pasir  Lumajang</v>
      </c>
      <c r="E269">
        <f>Material!$G$8</f>
        <v>350000</v>
      </c>
      <c r="F269">
        <f>B269*E269</f>
        <v>194950.00000000003</v>
      </c>
    </row>
    <row r="270">
      <c r="B270">
        <v>0.929</v>
      </c>
      <c r="C270" t="str">
        <v>m3</v>
      </c>
      <c r="D270" t="str">
        <v>Batu split 1:1</v>
      </c>
      <c r="E270">
        <f>Material!$G$10</f>
        <v>275000</v>
      </c>
      <c r="F270">
        <f>B270*E270</f>
        <v>255475</v>
      </c>
    </row>
    <row r="271">
      <c r="B271">
        <v>0.5</v>
      </c>
      <c r="C271" t="str">
        <v>m3</v>
      </c>
      <c r="D271" t="str">
        <v>Air Kerja</v>
      </c>
      <c r="E271">
        <f>Material!$G$21</f>
        <v>40000</v>
      </c>
      <c r="F271">
        <f>B271*E271</f>
        <v>20000</v>
      </c>
    </row>
    <row r="272">
      <c r="B272">
        <v>1</v>
      </c>
      <c r="C272" t="str">
        <v>ltr</v>
      </c>
      <c r="D272" t="str">
        <v>Bahan Bakar Molen</v>
      </c>
      <c r="E272">
        <f>Material!$G$16</f>
        <v>13000</v>
      </c>
      <c r="F272">
        <f>B272*E272</f>
        <v>13000</v>
      </c>
    </row>
    <row r="273">
      <c r="B273">
        <v>1</v>
      </c>
      <c r="C273" t="str">
        <v>m3</v>
      </c>
      <c r="D273" t="str">
        <v>Ongkos Kerja</v>
      </c>
      <c r="E273">
        <f>Upah!$D$85</f>
        <v>400000</v>
      </c>
      <c r="G273">
        <f>B273*E273</f>
        <v>400000</v>
      </c>
    </row>
    <row r="275">
      <c r="E275" t="str">
        <v>Jumlah</v>
      </c>
      <c r="F275">
        <f>SUM(F267:F274)</f>
        <v>785220</v>
      </c>
      <c r="G275">
        <f>SUM(G267:G274)</f>
        <v>400000</v>
      </c>
      <c r="H275">
        <f>SUM(H267:H274)</f>
        <v>0</v>
      </c>
      <c r="I275">
        <f>SUM(F275:H275)</f>
        <v>1185220</v>
      </c>
    </row>
    <row r="277">
      <c r="B277" t="str">
        <v>1 titik Bored Pile dia. 30 cm, Panjang 12 m</v>
      </c>
    </row>
    <row r="278">
      <c r="B278">
        <f>1/4*PI()*0.3^2*(12)*1.4</f>
        <v>1.1875220230569419</v>
      </c>
      <c r="C278" t="str">
        <v>m3</v>
      </c>
      <c r="D278" t="str">
        <v>Beton readymix</v>
      </c>
      <c r="E278">
        <f>Material!$G$12</f>
        <v>1015650.0000000001</v>
      </c>
      <c r="F278">
        <f>B278*E278</f>
        <v>1206106.7427177832</v>
      </c>
    </row>
    <row r="279">
      <c r="B279">
        <f>0.006165*(10^2*5*(12)+8^2*(((SQRT((PI()*0.24)^2+0.15^2))*(1000/100+11000/200)+2*2*PI()*0.24+4*50*8/1000)))</f>
        <v>58.52714195050632</v>
      </c>
      <c r="C279" t="str">
        <v>kg</v>
      </c>
      <c r="D279" t="str">
        <v>Pembesian 6D10 + D10-100 / 200</v>
      </c>
      <c r="E279">
        <f>$F$233+1300</f>
        <v>12582.5</v>
      </c>
      <c r="F279">
        <f>$F$233*B279</f>
        <v>660332.4790565876</v>
      </c>
      <c r="G279">
        <f>1300*B279</f>
        <v>76085.28453565821</v>
      </c>
    </row>
    <row r="280">
      <c r="B280">
        <v>12</v>
      </c>
      <c r="C280" t="str">
        <v>m'</v>
      </c>
      <c r="D280" t="str">
        <v>Upah gali, pembesian, dan cor</v>
      </c>
      <c r="E280">
        <v>130000</v>
      </c>
      <c r="G280">
        <f>B280*E280</f>
        <v>1560000</v>
      </c>
    </row>
    <row r="282">
      <c r="E282" t="str">
        <v>Jumlah</v>
      </c>
      <c r="F282">
        <f>SUM(F278:F281)</f>
        <v>1866439.2217743709</v>
      </c>
      <c r="G282">
        <f>SUM(G278:G281)</f>
        <v>1636085.2845356583</v>
      </c>
      <c r="H282">
        <f>SUM(H278:H281)</f>
        <v>0</v>
      </c>
      <c r="I282">
        <f>SUM(F282:H282)</f>
        <v>3502524.506310029</v>
      </c>
    </row>
    <row r="284">
      <c r="B284" t="str">
        <v>PEKERJAAN PASANGAN</v>
      </c>
    </row>
    <row r="285">
      <c r="B285" t="str">
        <v>1 m2 Pasir Urug tebal 10 cm</v>
      </c>
    </row>
    <row r="286">
      <c r="B286">
        <v>1.2</v>
      </c>
      <c r="C286" t="str">
        <v>m3</v>
      </c>
      <c r="D286" t="str">
        <v>Pasir urug</v>
      </c>
      <c r="E286">
        <f>Material!$G$17</f>
        <v>175000</v>
      </c>
      <c r="F286">
        <f>B286*E286</f>
        <v>210000</v>
      </c>
    </row>
    <row r="287">
      <c r="B287">
        <v>1</v>
      </c>
      <c r="C287" t="str">
        <v>m3</v>
      </c>
      <c r="D287" t="str">
        <v>Upah pasir urug</v>
      </c>
      <c r="E287">
        <v>75000</v>
      </c>
      <c r="G287">
        <f>B287*E287</f>
        <v>75000</v>
      </c>
    </row>
    <row r="289">
      <c r="E289" t="str">
        <v>Jumlah</v>
      </c>
      <c r="F289">
        <f>SUM(F285:F288)</f>
        <v>210000</v>
      </c>
      <c r="G289">
        <f>SUM(G285:G288)</f>
        <v>75000</v>
      </c>
      <c r="I289">
        <f>SUM(F289:G289)</f>
        <v>285000</v>
      </c>
    </row>
    <row r="291">
      <c r="B291" t="str">
        <v>1 m3 Pasangan Aanstamping (batu kosong)</v>
      </c>
    </row>
    <row r="292">
      <c r="B292">
        <v>1.2</v>
      </c>
      <c r="C292" t="str">
        <v>m3</v>
      </c>
      <c r="D292" t="str">
        <v>Batu kali</v>
      </c>
      <c r="E292">
        <f>Material!$G$19</f>
        <v>250000</v>
      </c>
      <c r="F292">
        <f>B292*E292</f>
        <v>300000</v>
      </c>
    </row>
    <row r="293">
      <c r="B293">
        <v>0.43</v>
      </c>
      <c r="C293" t="str">
        <v>m3</v>
      </c>
      <c r="D293" t="str">
        <v>Pasir pasang</v>
      </c>
      <c r="E293">
        <f>Material!$G$8</f>
        <v>350000</v>
      </c>
      <c r="F293">
        <f>B293*E293</f>
        <v>150500</v>
      </c>
    </row>
    <row r="294">
      <c r="B294">
        <v>1</v>
      </c>
      <c r="C294" t="str">
        <v>m3</v>
      </c>
      <c r="D294" t="str">
        <v>Upah aanstamping</v>
      </c>
      <c r="E294">
        <v>200000</v>
      </c>
      <c r="G294">
        <f>B294*E294</f>
        <v>200000</v>
      </c>
    </row>
    <row r="296">
      <c r="E296" t="str">
        <v>Jumlah</v>
      </c>
      <c r="F296">
        <f>SUM(F291:F295)</f>
        <v>450500</v>
      </c>
      <c r="G296">
        <f>SUM(G291:G295)</f>
        <v>200000</v>
      </c>
      <c r="I296">
        <f>SUM(F296:G296)</f>
        <v>650500</v>
      </c>
    </row>
    <row r="298">
      <c r="B298" t="str">
        <v>1 m3 Pasangan Batu Kali (campuran 1 pc : 5 ps)</v>
      </c>
    </row>
    <row r="299">
      <c r="B299">
        <v>1.2</v>
      </c>
      <c r="C299" t="str">
        <v>m3</v>
      </c>
      <c r="D299" t="str">
        <v>Batu kali</v>
      </c>
      <c r="E299">
        <f>Material!$G$19</f>
        <v>250000</v>
      </c>
      <c r="F299">
        <f>B299*E299</f>
        <v>300000</v>
      </c>
    </row>
    <row r="300">
      <c r="B300">
        <f>6.046/2</f>
        <v>3.023</v>
      </c>
      <c r="C300" t="str">
        <v>sak</v>
      </c>
      <c r="D300" t="str">
        <v>Semen</v>
      </c>
      <c r="E300">
        <f>Material!$G$14</f>
        <v>65000</v>
      </c>
      <c r="F300">
        <f>B300*E300</f>
        <v>196495</v>
      </c>
    </row>
    <row r="301">
      <c r="B301">
        <f>1.209/2</f>
        <v>0.6045</v>
      </c>
      <c r="C301" t="str">
        <v>m3</v>
      </c>
      <c r="D301" t="str">
        <v>Pasir pasang</v>
      </c>
      <c r="E301">
        <f>Material!$G$8</f>
        <v>350000</v>
      </c>
      <c r="F301">
        <f>B301*E301</f>
        <v>211575</v>
      </c>
    </row>
    <row r="302">
      <c r="B302">
        <v>1</v>
      </c>
      <c r="C302" t="str">
        <v>m3</v>
      </c>
      <c r="D302" t="str">
        <v>Upah pasangan batu kali</v>
      </c>
      <c r="E302">
        <f>Upah!$D$16</f>
        <v>100000</v>
      </c>
      <c r="G302">
        <f>B302*E302</f>
        <v>100000</v>
      </c>
    </row>
    <row r="304">
      <c r="E304" t="str">
        <v>Jumlah</v>
      </c>
      <c r="F304">
        <f>SUM(F298:F303)</f>
        <v>708070</v>
      </c>
      <c r="G304">
        <f>SUM(G298:G303)</f>
        <v>100000</v>
      </c>
      <c r="I304">
        <f>SUM(F304:G304)</f>
        <v>808070</v>
      </c>
    </row>
    <row r="306">
      <c r="B306" t="str">
        <v>1 m' Kolom Praktis 12 x 12 cm</v>
      </c>
    </row>
    <row r="307">
      <c r="B307">
        <f>0.12*0.12*1.05</f>
        <v>0.01512</v>
      </c>
      <c r="C307" t="str">
        <v>m3</v>
      </c>
      <c r="D307" t="str">
        <v>Beton site mix</v>
      </c>
      <c r="E307">
        <f>$I$265</f>
        <v>886530</v>
      </c>
      <c r="F307">
        <f>B307*F265</f>
        <v>11892.3336</v>
      </c>
    </row>
    <row r="308">
      <c r="B308">
        <f>2*0.2</f>
        <v>0.4</v>
      </c>
      <c r="C308" t="str">
        <v>m2</v>
      </c>
      <c r="D308" t="str">
        <v>Bekisting</v>
      </c>
      <c r="E308">
        <f>Material!$G$51</f>
        <v>40000</v>
      </c>
      <c r="F308">
        <f>B308*E308</f>
        <v>16000</v>
      </c>
    </row>
    <row r="309">
      <c r="B309">
        <f>0.006165*(4*10^2*1.1+5*8^2*0.5+8^2*1)</f>
        <v>4.09356</v>
      </c>
      <c r="C309" t="str">
        <v>kg</v>
      </c>
      <c r="D309" t="str">
        <v>Besi 4D10 + Æ8-200 + stek Æ8</v>
      </c>
      <c r="E309">
        <f>Material!$G$33</f>
        <v>10300</v>
      </c>
      <c r="F309">
        <f>B309*E309</f>
        <v>42163.668</v>
      </c>
    </row>
    <row r="310">
      <c r="B310">
        <f>0.5*2</f>
        <v>1</v>
      </c>
      <c r="C310" t="str">
        <v>m2</v>
      </c>
      <c r="D310" t="str">
        <v>Kawat ayam</v>
      </c>
      <c r="E310">
        <f>Material!$G$75</f>
        <v>15000</v>
      </c>
      <c r="F310">
        <f>B310*E310</f>
        <v>15000</v>
      </c>
    </row>
    <row r="311">
      <c r="B311">
        <v>1</v>
      </c>
      <c r="C311" t="str">
        <v>m2</v>
      </c>
      <c r="D311" t="str">
        <v>Ongkos pasang kolom praktis</v>
      </c>
      <c r="E311">
        <f>Upah!$D$36</f>
        <v>40000</v>
      </c>
      <c r="G311">
        <f>B311*E311</f>
        <v>40000</v>
      </c>
    </row>
    <row r="313">
      <c r="E313" t="str">
        <v>Jumlah</v>
      </c>
      <c r="F313">
        <f>SUM(F306:F312)</f>
        <v>85056.00159999999</v>
      </c>
      <c r="G313">
        <f>SUM(G306:G312)</f>
        <v>40000</v>
      </c>
      <c r="I313">
        <f>SUM(F313:G313)</f>
        <v>125056.00159999999</v>
      </c>
    </row>
    <row r="315">
      <c r="B315" t="str">
        <v>1 m' Kolom Praktis 12 x 17 cm</v>
      </c>
    </row>
    <row r="316">
      <c r="B316">
        <f>0.12*0.17*1.05</f>
        <v>0.02142</v>
      </c>
      <c r="C316" t="str">
        <v>m3</v>
      </c>
      <c r="D316" t="str">
        <v>Beton site mix</v>
      </c>
      <c r="E316">
        <f>$F$265</f>
        <v>786530</v>
      </c>
      <c r="F316">
        <f>B316*E316</f>
        <v>16847.4726</v>
      </c>
    </row>
    <row r="317">
      <c r="B317">
        <f>2*0.2</f>
        <v>0.4</v>
      </c>
      <c r="C317" t="str">
        <v>m2</v>
      </c>
      <c r="D317" t="str">
        <v>Bekisting</v>
      </c>
      <c r="E317">
        <f>Material!$G$51</f>
        <v>40000</v>
      </c>
      <c r="F317">
        <f>B317*E317</f>
        <v>16000</v>
      </c>
    </row>
    <row r="318">
      <c r="B318">
        <f>0.006165*(4*10^2*1.1+5*8^2*0.6+2*8^2*1)</f>
        <v>4.6854000000000005</v>
      </c>
      <c r="C318" t="str">
        <v>kg</v>
      </c>
      <c r="D318" t="str">
        <v>Besi 4D10 + Æ8-200 + stek Æ8</v>
      </c>
      <c r="E318">
        <f>Material!$G$33</f>
        <v>10300</v>
      </c>
      <c r="F318">
        <f>B318*E318</f>
        <v>48259.62</v>
      </c>
    </row>
    <row r="319">
      <c r="B319">
        <f>0.5*2</f>
        <v>1</v>
      </c>
      <c r="C319" t="str">
        <v>m2</v>
      </c>
      <c r="D319" t="str">
        <v>Kawat ayam</v>
      </c>
      <c r="E319">
        <f>Material!$G$75</f>
        <v>15000</v>
      </c>
      <c r="F319">
        <f>B319*E319</f>
        <v>15000</v>
      </c>
    </row>
    <row r="320">
      <c r="B320">
        <v>1</v>
      </c>
      <c r="C320" t="str">
        <v>m2</v>
      </c>
      <c r="D320" t="str">
        <v>Ongkos pasang kolom praktis</v>
      </c>
      <c r="E320">
        <f>Upah!$D$36</f>
        <v>40000</v>
      </c>
      <c r="G320">
        <f>B320*E320</f>
        <v>40000</v>
      </c>
    </row>
    <row r="322">
      <c r="E322" t="str">
        <v>Jumlah</v>
      </c>
      <c r="F322">
        <f>SUM(F315:F321)</f>
        <v>96107.0926</v>
      </c>
      <c r="G322">
        <f>SUM(G315:G321)</f>
        <v>40000</v>
      </c>
      <c r="I322">
        <f>SUM(F322:G322)</f>
        <v>136107.0926</v>
      </c>
    </row>
    <row r="324">
      <c r="B324" t="str">
        <v>1 m' Kolom Praktis 12 x 22 cm</v>
      </c>
    </row>
    <row r="325">
      <c r="B325">
        <f>0.12*0.22*1.05</f>
        <v>0.02772</v>
      </c>
      <c r="C325" t="str">
        <v>m3</v>
      </c>
      <c r="D325" t="str">
        <v>Beton site mix</v>
      </c>
      <c r="E325">
        <f>$F$265</f>
        <v>786530</v>
      </c>
      <c r="F325">
        <f>B325*E325</f>
        <v>21802.6116</v>
      </c>
    </row>
    <row r="326">
      <c r="B326">
        <f>2*0.2</f>
        <v>0.4</v>
      </c>
      <c r="C326" t="str">
        <v>m2</v>
      </c>
      <c r="D326" t="str">
        <v>Bekisting</v>
      </c>
      <c r="E326">
        <f>Material!$G$51</f>
        <v>40000</v>
      </c>
      <c r="F326">
        <f>B326*E326</f>
        <v>16000</v>
      </c>
    </row>
    <row r="327">
      <c r="B327">
        <f>0.006165*(4*10^2*1.1+5*8^2*0.7+2*8^2*1)</f>
        <v>4.882680000000001</v>
      </c>
      <c r="C327" t="str">
        <v>kg</v>
      </c>
      <c r="D327" t="str">
        <v>Besi 4D10 + Æ8-200 + stek Æ8</v>
      </c>
      <c r="E327">
        <f>Material!$G$33</f>
        <v>10300</v>
      </c>
      <c r="F327">
        <f>B327*E327</f>
        <v>50291.60400000001</v>
      </c>
    </row>
    <row r="328">
      <c r="B328">
        <f>0.5*2</f>
        <v>1</v>
      </c>
      <c r="C328" t="str">
        <v>m2</v>
      </c>
      <c r="D328" t="str">
        <v>Kawat ayam</v>
      </c>
      <c r="E328">
        <f>Material!$G$75</f>
        <v>15000</v>
      </c>
      <c r="F328">
        <f>B328*E328</f>
        <v>15000</v>
      </c>
    </row>
    <row r="329">
      <c r="B329">
        <v>1</v>
      </c>
      <c r="C329" t="str">
        <v>m2</v>
      </c>
      <c r="D329" t="str">
        <v>Ongkos pasang kolom praktis</v>
      </c>
      <c r="E329">
        <f>Upah!$D$36</f>
        <v>40000</v>
      </c>
      <c r="G329">
        <f>B329*E329</f>
        <v>40000</v>
      </c>
    </row>
    <row r="331">
      <c r="E331" t="str">
        <v>Jumlah</v>
      </c>
      <c r="F331">
        <f>SUM(F324:F330)</f>
        <v>103094.21560000001</v>
      </c>
      <c r="G331">
        <f>SUM(G324:G330)</f>
        <v>40000</v>
      </c>
      <c r="I331">
        <f>SUM(F331:G331)</f>
        <v>143094.2156</v>
      </c>
    </row>
    <row r="333">
      <c r="B333" t="str">
        <v>1 m' Kolom Praktis 15 x 25 cm</v>
      </c>
    </row>
    <row r="334">
      <c r="B334">
        <f>0.15*0.25*1.05</f>
        <v>0.039375</v>
      </c>
      <c r="C334" t="str">
        <v>m3</v>
      </c>
      <c r="D334" t="str">
        <v>Beton site mix</v>
      </c>
      <c r="E334">
        <f>$I$265</f>
        <v>886530</v>
      </c>
      <c r="F334">
        <f>B334*E334</f>
        <v>34907.11875</v>
      </c>
    </row>
    <row r="335">
      <c r="B335">
        <f>2*0.3</f>
        <v>0.6</v>
      </c>
      <c r="C335" t="str">
        <v>m2</v>
      </c>
      <c r="D335" t="str">
        <v>Bekisting</v>
      </c>
      <c r="E335">
        <f>Material!$G$51</f>
        <v>40000</v>
      </c>
      <c r="F335">
        <f>B335*E335</f>
        <v>24000</v>
      </c>
    </row>
    <row r="336">
      <c r="B336">
        <f>0.006165*(4*13^2*1.1+5*8^2*0.9+2*8^2*1)</f>
        <v>7.148934</v>
      </c>
      <c r="C336" t="str">
        <v>kg</v>
      </c>
      <c r="D336" t="str">
        <v>Besi 4D10 + Æ8-200 + stek Æ8</v>
      </c>
      <c r="E336">
        <f>Material!$G$33</f>
        <v>10300</v>
      </c>
      <c r="F336">
        <f>B336*E336</f>
        <v>73634.0202</v>
      </c>
    </row>
    <row r="337">
      <c r="B337">
        <f>0.5*2</f>
        <v>1</v>
      </c>
      <c r="C337" t="str">
        <v>m2</v>
      </c>
      <c r="D337" t="str">
        <v>Kawat ayam</v>
      </c>
      <c r="E337">
        <f>Material!$G$75</f>
        <v>15000</v>
      </c>
      <c r="F337">
        <f>B337*E337</f>
        <v>15000</v>
      </c>
    </row>
    <row r="338">
      <c r="B338">
        <v>1</v>
      </c>
      <c r="C338" t="str">
        <v>m2</v>
      </c>
      <c r="D338" t="str">
        <v>Ongkos pasang kolom praktis</v>
      </c>
      <c r="E338">
        <f>Upah!$D$36</f>
        <v>40000</v>
      </c>
      <c r="G338">
        <f>B338*E338</f>
        <v>40000</v>
      </c>
    </row>
    <row r="340">
      <c r="E340" t="str">
        <v>Jumlah</v>
      </c>
      <c r="F340">
        <f>SUM(F333:F339)</f>
        <v>147541.13895</v>
      </c>
      <c r="G340">
        <f>SUM(G333:G339)</f>
        <v>40000</v>
      </c>
      <c r="I340">
        <f>SUM(F340:G340)</f>
        <v>187541.13895</v>
      </c>
    </row>
    <row r="342">
      <c r="B342" t="str">
        <v>1 m' Kolom Praktis 15 x 30 cm</v>
      </c>
    </row>
    <row r="343">
      <c r="B343">
        <f>0.15*0.3*1.05</f>
        <v>0.04725</v>
      </c>
      <c r="C343" t="str">
        <v>m3</v>
      </c>
      <c r="D343" t="str">
        <v>Beton site mix</v>
      </c>
      <c r="E343">
        <f>$I$265</f>
        <v>886530</v>
      </c>
      <c r="F343">
        <f>B343*E343</f>
        <v>41888.5425</v>
      </c>
    </row>
    <row r="344">
      <c r="B344">
        <f>2*0.3</f>
        <v>0.6</v>
      </c>
      <c r="C344" t="str">
        <v>m2</v>
      </c>
      <c r="D344" t="str">
        <v>Bekisting</v>
      </c>
      <c r="E344">
        <f>Material!$G$51</f>
        <v>40000</v>
      </c>
      <c r="F344">
        <f>B344*E344</f>
        <v>24000</v>
      </c>
    </row>
    <row r="345">
      <c r="B345">
        <f>0.006165*(4*13^2*1.1+5*8^2*1+2*8^2*1)</f>
        <v>7.346214</v>
      </c>
      <c r="C345" t="str">
        <v>kg</v>
      </c>
      <c r="D345" t="str">
        <v>Besi 4D10 + Æ8-200 + stek Æ8</v>
      </c>
      <c r="E345">
        <f>Material!$G$33</f>
        <v>10300</v>
      </c>
      <c r="F345">
        <f>B345*E345</f>
        <v>75666.0042</v>
      </c>
    </row>
    <row r="346">
      <c r="B346">
        <f>0.5*2</f>
        <v>1</v>
      </c>
      <c r="C346" t="str">
        <v>m2</v>
      </c>
      <c r="D346" t="str">
        <v>Kawat ayam</v>
      </c>
      <c r="E346">
        <f>Material!$G$75</f>
        <v>15000</v>
      </c>
      <c r="F346">
        <f>B346*E346</f>
        <v>15000</v>
      </c>
    </row>
    <row r="347">
      <c r="B347">
        <v>1</v>
      </c>
      <c r="C347" t="str">
        <v>m2</v>
      </c>
      <c r="D347" t="str">
        <v>Ongkos pasang kolom praktis</v>
      </c>
      <c r="E347">
        <f>Upah!$D$36</f>
        <v>40000</v>
      </c>
      <c r="G347">
        <f>B347*E347</f>
        <v>40000</v>
      </c>
    </row>
    <row r="349">
      <c r="E349" t="str">
        <v>Jumlah</v>
      </c>
      <c r="F349">
        <f>SUM(F342:F348)</f>
        <v>156554.5467</v>
      </c>
      <c r="G349">
        <f>SUM(G342:G348)</f>
        <v>40000</v>
      </c>
      <c r="I349">
        <f>SUM(F349:G349)</f>
        <v>196554.5467</v>
      </c>
    </row>
    <row r="351">
      <c r="B351" t="str">
        <v>1 m' Kolom Praktis 15 x 35 cm</v>
      </c>
    </row>
    <row r="352">
      <c r="B352">
        <f>0.15*0.35*1.05</f>
        <v>0.055125</v>
      </c>
      <c r="C352" t="str">
        <v>m3</v>
      </c>
      <c r="D352" t="str">
        <v>Beton site mix</v>
      </c>
      <c r="E352">
        <f>$I$265</f>
        <v>886530</v>
      </c>
      <c r="F352">
        <f>B352*E352</f>
        <v>48869.96625</v>
      </c>
    </row>
    <row r="353">
      <c r="B353">
        <f>2*0.3</f>
        <v>0.6</v>
      </c>
      <c r="C353" t="str">
        <v>m2</v>
      </c>
      <c r="D353" t="str">
        <v>Bekisting</v>
      </c>
      <c r="E353">
        <f>Material!$G$51</f>
        <v>40000</v>
      </c>
      <c r="F353">
        <f>B353*E353</f>
        <v>24000</v>
      </c>
    </row>
    <row r="354">
      <c r="B354">
        <f>0.006165*(4*13^2*1.1+5*8^2*1.1+2*8^2*1)</f>
        <v>7.543494</v>
      </c>
      <c r="C354" t="str">
        <v>kg</v>
      </c>
      <c r="D354" t="str">
        <v>Besi 6D10 + Æ8-200 + stek Æ8</v>
      </c>
      <c r="E354">
        <f>Material!$G$33</f>
        <v>10300</v>
      </c>
      <c r="F354">
        <f>B354*E354</f>
        <v>77697.98819999999</v>
      </c>
    </row>
    <row r="355">
      <c r="B355">
        <f>0.5*2</f>
        <v>1</v>
      </c>
      <c r="C355" t="str">
        <v>m2</v>
      </c>
      <c r="D355" t="str">
        <v>Kawat ayam</v>
      </c>
      <c r="E355">
        <f>Material!$G$75</f>
        <v>15000</v>
      </c>
      <c r="F355">
        <f>B355*E355</f>
        <v>15000</v>
      </c>
    </row>
    <row r="356">
      <c r="B356">
        <v>1</v>
      </c>
      <c r="C356" t="str">
        <v>m2</v>
      </c>
      <c r="D356" t="str">
        <v>Ongkos pasang kolom praktis</v>
      </c>
      <c r="E356">
        <f>Upah!$D$36</f>
        <v>40000</v>
      </c>
      <c r="G356">
        <f>B356*E356</f>
        <v>40000</v>
      </c>
    </row>
    <row r="358">
      <c r="E358" t="str">
        <v>Jumlah</v>
      </c>
      <c r="F358">
        <f>SUM(F351:F357)</f>
        <v>165567.95445</v>
      </c>
      <c r="G358">
        <f>SUM(G351:G357)</f>
        <v>40000</v>
      </c>
      <c r="I358">
        <f>SUM(F358:G358)</f>
        <v>205567.95445</v>
      </c>
    </row>
    <row r="360">
      <c r="B360" t="str">
        <v>1 m' Kolom Praktis 15 x 45 cm</v>
      </c>
    </row>
    <row r="361">
      <c r="B361">
        <f>0.15*0.45*1.05</f>
        <v>0.07087500000000001</v>
      </c>
      <c r="C361" t="str">
        <v>m3</v>
      </c>
      <c r="D361" t="str">
        <v>Beton site mix</v>
      </c>
      <c r="E361">
        <f>$I$265</f>
        <v>886530</v>
      </c>
      <c r="F361">
        <f>B361*E361</f>
        <v>62832.81375000001</v>
      </c>
    </row>
    <row r="362">
      <c r="B362">
        <f>2*0.3</f>
        <v>0.6</v>
      </c>
      <c r="C362" t="str">
        <v>m2</v>
      </c>
      <c r="D362" t="str">
        <v>Bekisting</v>
      </c>
      <c r="E362">
        <f>Material!$G$51</f>
        <v>40000</v>
      </c>
      <c r="F362">
        <f>B362*E362</f>
        <v>24000</v>
      </c>
    </row>
    <row r="363">
      <c r="B363">
        <f>0.006165*(4*13^2*1.1+5*8^2*1.3+2*8^2*1)</f>
        <v>7.938054</v>
      </c>
      <c r="C363" t="str">
        <v>kg</v>
      </c>
      <c r="D363" t="str">
        <v>Besi 6D10 + Æ8-200 + stek Æ8</v>
      </c>
      <c r="E363">
        <f>Material!$G$33</f>
        <v>10300</v>
      </c>
      <c r="F363">
        <f>B363*E363</f>
        <v>81761.9562</v>
      </c>
    </row>
    <row r="364">
      <c r="B364">
        <f>0.5*2</f>
        <v>1</v>
      </c>
      <c r="C364" t="str">
        <v>m2</v>
      </c>
      <c r="D364" t="str">
        <v>Kawat ayam</v>
      </c>
      <c r="E364">
        <f>Material!$G$75</f>
        <v>15000</v>
      </c>
      <c r="F364">
        <f>B364*E364</f>
        <v>15000</v>
      </c>
    </row>
    <row r="365">
      <c r="B365">
        <v>1</v>
      </c>
      <c r="C365" t="str">
        <v>m2</v>
      </c>
      <c r="D365" t="str">
        <v>Ongkos pasang kolom praktis</v>
      </c>
      <c r="E365">
        <f>Upah!$D$36</f>
        <v>40000</v>
      </c>
      <c r="G365">
        <f>B365*E365</f>
        <v>40000</v>
      </c>
    </row>
    <row r="367">
      <c r="E367" t="str">
        <v>Jumlah</v>
      </c>
      <c r="F367">
        <f>SUM(F360:F366)</f>
        <v>183594.76995</v>
      </c>
      <c r="G367">
        <f>SUM(G360:G366)</f>
        <v>40000</v>
      </c>
      <c r="I367">
        <f>SUM(F367:G367)</f>
        <v>223594.76995</v>
      </c>
    </row>
    <row r="368">
      <c r="J368" t="str">
        <v>dinding bata bdg h-16:</v>
      </c>
    </row>
    <row r="369">
      <c r="B369" t="str">
        <v>1 m2 Pasangan Dinding Bata Merah 1/2 Batu (finish 15 cm), spesi 1:3</v>
      </c>
      <c r="J369">
        <v>15</v>
      </c>
      <c r="K369" t="str">
        <v>cm</v>
      </c>
    </row>
    <row r="370">
      <c r="B370">
        <f>ROUND(72.17*1.1,0)</f>
        <v>79</v>
      </c>
      <c r="C370" t="str">
        <v>pcs</v>
      </c>
      <c r="D370" t="str">
        <v>Bata MRH</v>
      </c>
      <c r="E370">
        <f>Material!$G$77</f>
        <v>750</v>
      </c>
      <c r="F370">
        <f>B370*E370</f>
        <v>59250</v>
      </c>
      <c r="J370">
        <v>20</v>
      </c>
      <c r="K370" t="str">
        <v>cm</v>
      </c>
    </row>
    <row r="371">
      <c r="B371">
        <f>0.0302*8.977*1.2</f>
        <v>0.32532648</v>
      </c>
      <c r="C371" t="str">
        <v>sak</v>
      </c>
      <c r="D371" t="str">
        <v>Semen PC @50kg</v>
      </c>
      <c r="E371">
        <f>Material!$G$14</f>
        <v>65000</v>
      </c>
      <c r="F371">
        <f>B371*E371</f>
        <v>21146.2212</v>
      </c>
      <c r="J371">
        <v>25</v>
      </c>
      <c r="K371" t="str">
        <v>cm</v>
      </c>
    </row>
    <row r="372">
      <c r="B372">
        <f>0.0302*1.077*1.2</f>
        <v>0.03903048</v>
      </c>
      <c r="C372" t="str">
        <v>m3</v>
      </c>
      <c r="D372" t="str">
        <v>Pasir  Lumajang</v>
      </c>
      <c r="E372">
        <f>Material!$G$8</f>
        <v>350000</v>
      </c>
      <c r="F372">
        <f>B372*E372</f>
        <v>13660.668</v>
      </c>
      <c r="J372">
        <v>30</v>
      </c>
      <c r="K372" t="str">
        <v>cm</v>
      </c>
    </row>
    <row r="373">
      <c r="B373">
        <v>0.6</v>
      </c>
      <c r="C373" t="str">
        <v>m'</v>
      </c>
      <c r="D373" t="str">
        <v>Kolom praktis, balok praktis, balok sabuk</v>
      </c>
      <c r="E373">
        <f>$I$313</f>
        <v>125056.00159999999</v>
      </c>
      <c r="F373">
        <f>B373*$F$313</f>
        <v>51033.60095999999</v>
      </c>
      <c r="G373">
        <f>B373*$G$313</f>
        <v>24000</v>
      </c>
      <c r="J373">
        <v>40</v>
      </c>
      <c r="K373" t="str">
        <v>cm</v>
      </c>
    </row>
    <row r="374">
      <c r="B374">
        <v>1</v>
      </c>
      <c r="C374" t="str">
        <v>m2</v>
      </c>
      <c r="D374" t="str">
        <v>Upah pasang bata merah 1/2 batu</v>
      </c>
      <c r="E374">
        <f>Upah!$D$86</f>
        <v>80000</v>
      </c>
      <c r="G374">
        <f>B374*E374</f>
        <v>80000</v>
      </c>
    </row>
    <row r="376">
      <c r="E376" t="str">
        <v>Jumlah</v>
      </c>
      <c r="F376">
        <f>SUM(F369:F375)</f>
        <v>145090.49016</v>
      </c>
      <c r="G376">
        <f>SUM(G369:G375)</f>
        <v>104000</v>
      </c>
      <c r="I376">
        <f>SUM(F376:G376)</f>
        <v>249090.49016</v>
      </c>
    </row>
    <row r="378">
      <c r="B378" t="str">
        <v>1 m2 Pasangan Dinding Bata Merah 3/4 Batu (finish 20 cm), spesi 1:3</v>
      </c>
    </row>
    <row r="379">
      <c r="B379">
        <f>ROUND(23*57/(4.07*3.04)*1.1,0)</f>
        <v>117</v>
      </c>
      <c r="C379" t="str">
        <v>pcs</v>
      </c>
      <c r="D379" t="str">
        <v>Bata MRH</v>
      </c>
      <c r="E379">
        <f>Material!$G$77</f>
        <v>750</v>
      </c>
      <c r="F379">
        <f>B379*E379</f>
        <v>87750</v>
      </c>
    </row>
    <row r="380">
      <c r="B380">
        <f>0.044*8.977*1.2</f>
        <v>0.4739856</v>
      </c>
      <c r="C380" t="str">
        <v>sak</v>
      </c>
      <c r="D380" t="str">
        <v>Semen PC @50kg</v>
      </c>
      <c r="E380">
        <f>Material!$G$14</f>
        <v>65000</v>
      </c>
      <c r="F380">
        <f>B380*E380</f>
        <v>30809.064000000002</v>
      </c>
    </row>
    <row r="381">
      <c r="B381">
        <f>0.044*1.077*1.2</f>
        <v>0.05686559999999999</v>
      </c>
      <c r="C381" t="str">
        <v>m3</v>
      </c>
      <c r="D381" t="str">
        <v>Pasir  Lumajang</v>
      </c>
      <c r="E381">
        <f>Material!$G$8</f>
        <v>350000</v>
      </c>
      <c r="F381">
        <f>B381*E381</f>
        <v>19902.959999999995</v>
      </c>
    </row>
    <row r="382">
      <c r="B382">
        <v>0.3</v>
      </c>
      <c r="C382" t="str">
        <v>m'</v>
      </c>
      <c r="D382" t="str">
        <v>Kolom praktis, balok praktis, balok sabuk</v>
      </c>
      <c r="E382">
        <f>$I$322</f>
        <v>136107.0926</v>
      </c>
      <c r="F382">
        <f>B382*$F$322</f>
        <v>28832.12778</v>
      </c>
      <c r="G382">
        <f>B382*$G$322</f>
        <v>12000</v>
      </c>
    </row>
    <row r="383">
      <c r="B383">
        <v>1</v>
      </c>
      <c r="C383" t="str">
        <v>m2</v>
      </c>
      <c r="D383" t="str">
        <v>Upah pasang bata merah 3/4 batu</v>
      </c>
      <c r="E383">
        <f>Upah!$D$87</f>
        <v>100000</v>
      </c>
      <c r="G383">
        <f>B383*E383</f>
        <v>100000</v>
      </c>
    </row>
    <row r="385">
      <c r="E385" t="str">
        <v>Jumlah</v>
      </c>
      <c r="F385">
        <f>SUM(F378:F384)</f>
        <v>167294.15178000001</v>
      </c>
      <c r="G385">
        <f>SUM(G378:G384)</f>
        <v>112000</v>
      </c>
      <c r="I385">
        <f>SUM(F385:G385)</f>
        <v>279294.15178</v>
      </c>
    </row>
    <row r="387">
      <c r="B387" t="str">
        <v>1 m2 Pasangan Dinding Bata Merah 3/4 Batu (finish 20 cm), spesi 1:3 UNTUK GEWEL</v>
      </c>
    </row>
    <row r="388">
      <c r="B388">
        <f>ROUND(23*57/(4.07*3.04)*1.1,0)</f>
        <v>117</v>
      </c>
      <c r="C388" t="str">
        <v>pcs</v>
      </c>
      <c r="D388" t="str">
        <v>Bata MRH</v>
      </c>
      <c r="E388">
        <f>Material!$G$77</f>
        <v>750</v>
      </c>
      <c r="F388">
        <f>B388*E388</f>
        <v>87750</v>
      </c>
    </row>
    <row r="389">
      <c r="B389">
        <f>0.044*8.977*1.2</f>
        <v>0.4739856</v>
      </c>
      <c r="C389" t="str">
        <v>sak</v>
      </c>
      <c r="D389" t="str">
        <v>Semen PC @50kg</v>
      </c>
      <c r="E389">
        <f>Material!$G$14</f>
        <v>65000</v>
      </c>
      <c r="F389">
        <f>B389*E389</f>
        <v>30809.064000000002</v>
      </c>
    </row>
    <row r="390">
      <c r="B390">
        <f>0.044*1.077*1.2</f>
        <v>0.05686559999999999</v>
      </c>
      <c r="C390" t="str">
        <v>m3</v>
      </c>
      <c r="D390" t="str">
        <v>Pasir  Lumajang</v>
      </c>
      <c r="E390">
        <f>Material!$G$8</f>
        <v>350000</v>
      </c>
      <c r="F390">
        <f>B390*E390</f>
        <v>19902.959999999995</v>
      </c>
    </row>
    <row r="391">
      <c r="B391">
        <v>0.7</v>
      </c>
      <c r="C391" t="str">
        <v>m'</v>
      </c>
      <c r="D391" t="str">
        <v>Kolom praktis, balok praktis, balok sabuk</v>
      </c>
      <c r="E391">
        <f>$I$322</f>
        <v>136107.0926</v>
      </c>
      <c r="F391">
        <f>B391*$F$322</f>
        <v>67274.96482</v>
      </c>
      <c r="G391">
        <f>B391*$G$322</f>
        <v>28000</v>
      </c>
    </row>
    <row r="392">
      <c r="B392">
        <v>1</v>
      </c>
      <c r="C392" t="str">
        <v>m2</v>
      </c>
      <c r="D392" t="str">
        <v>Upah pasang bata merah 3/4 batu</v>
      </c>
      <c r="E392">
        <f>Upah!$D$87</f>
        <v>100000</v>
      </c>
      <c r="G392">
        <f>B392*E392</f>
        <v>100000</v>
      </c>
    </row>
    <row r="394">
      <c r="E394" t="str">
        <v>Jumlah</v>
      </c>
      <c r="F394">
        <f>SUM(F387:F393)</f>
        <v>205736.98882</v>
      </c>
      <c r="G394">
        <f>SUM(G387:G393)</f>
        <v>128000</v>
      </c>
      <c r="I394">
        <f>SUM(F394:G394)</f>
        <v>333736.98881999997</v>
      </c>
    </row>
    <row r="396">
      <c r="B396" t="str">
        <v>1 m2 Pasangan Dinding Bata Merah 1 Batu (finish 25 cm), spesi 1:3</v>
      </c>
    </row>
    <row r="397">
      <c r="B397">
        <f>ROUND(144.34*1.1,0)</f>
        <v>159</v>
      </c>
      <c r="C397" t="str">
        <v>pcs</v>
      </c>
      <c r="D397" t="str">
        <v>Bata MRH</v>
      </c>
      <c r="E397">
        <f>E370</f>
        <v>750</v>
      </c>
      <c r="F397">
        <f>B397*E397</f>
        <v>119250</v>
      </c>
    </row>
    <row r="398">
      <c r="B398">
        <f>0.0648*8.977*1.2</f>
        <v>0.6980515199999999</v>
      </c>
      <c r="C398" t="str">
        <v>sak</v>
      </c>
      <c r="D398" t="str">
        <v>Semen PC @50kg</v>
      </c>
      <c r="E398">
        <f>E371</f>
        <v>65000</v>
      </c>
      <c r="F398">
        <f>B398*E398</f>
        <v>45373.34879999999</v>
      </c>
    </row>
    <row r="399">
      <c r="B399">
        <f>0.0648*1.077*1.2</f>
        <v>0.08374751999999999</v>
      </c>
      <c r="C399" t="str">
        <v>m3</v>
      </c>
      <c r="D399" t="str">
        <v>Pasir  Lumajang</v>
      </c>
      <c r="E399">
        <f>E372</f>
        <v>350000</v>
      </c>
      <c r="F399">
        <f>B399*E399</f>
        <v>29311.631999999998</v>
      </c>
    </row>
    <row r="400">
      <c r="B400">
        <v>0.3</v>
      </c>
      <c r="C400" t="str">
        <v>m'</v>
      </c>
      <c r="D400" t="str">
        <v>Kolom praktis, balok praktis, balok sabuk</v>
      </c>
      <c r="E400">
        <f>$I$331</f>
        <v>143094.2156</v>
      </c>
      <c r="F400">
        <f>B400*$F$331</f>
        <v>30928.26468</v>
      </c>
      <c r="G400">
        <f>B400*$G$331</f>
        <v>12000</v>
      </c>
    </row>
    <row r="401">
      <c r="B401">
        <v>1</v>
      </c>
      <c r="C401" t="str">
        <v>m2</v>
      </c>
      <c r="D401" t="str">
        <v>Upah pasang bata merah 1 batu</v>
      </c>
      <c r="E401">
        <f>Upah!$D$88</f>
        <v>150000</v>
      </c>
      <c r="G401">
        <f>B401*E401</f>
        <v>150000</v>
      </c>
    </row>
    <row r="403">
      <c r="E403" t="str">
        <v>Jumlah</v>
      </c>
      <c r="F403">
        <f>SUM(F396:F402)</f>
        <v>224863.24547999995</v>
      </c>
      <c r="G403">
        <f>SUM(G396:G402)</f>
        <v>162000</v>
      </c>
      <c r="I403">
        <f>SUM(F403:G403)</f>
        <v>386863.2454799999</v>
      </c>
    </row>
    <row r="405">
      <c r="B405" t="str">
        <v>1 m2 Pasangan Dinding Bata Merah finish 30 cm, spesi 1:3</v>
      </c>
    </row>
    <row r="406">
      <c r="B406">
        <v>158</v>
      </c>
      <c r="C406" t="str">
        <v>pcs</v>
      </c>
      <c r="D406" t="str">
        <v>Bata MRH</v>
      </c>
      <c r="E406">
        <f>E397</f>
        <v>750</v>
      </c>
      <c r="F406">
        <f>B406*E406</f>
        <v>118500</v>
      </c>
    </row>
    <row r="407">
      <c r="B407">
        <v>1.1892729599999998</v>
      </c>
      <c r="C407" t="str">
        <v>sak</v>
      </c>
      <c r="D407" t="str">
        <v>Semen PC @50kg</v>
      </c>
      <c r="E407">
        <f>E398</f>
        <v>65000</v>
      </c>
      <c r="F407">
        <f>B407*E407</f>
        <v>77302.74239999999</v>
      </c>
    </row>
    <row r="408">
      <c r="B408">
        <v>0.14268095999999997</v>
      </c>
      <c r="C408" t="str">
        <v>m3</v>
      </c>
      <c r="D408" t="str">
        <v>Pasir  Lumajang</v>
      </c>
      <c r="E408">
        <f>E399</f>
        <v>350000</v>
      </c>
      <c r="F408">
        <f>B408*E408</f>
        <v>49938.33599999999</v>
      </c>
    </row>
    <row r="409">
      <c r="B409">
        <v>1</v>
      </c>
      <c r="C409" t="str">
        <v>m'</v>
      </c>
      <c r="D409" t="str">
        <v>Kolom praktis, balok praktis, balok sabuk</v>
      </c>
      <c r="E409">
        <f>$I$340</f>
        <v>187541.13895</v>
      </c>
      <c r="F409">
        <f>B409*$F$340</f>
        <v>147541.13895</v>
      </c>
      <c r="G409">
        <f>B409*$G$340</f>
        <v>40000</v>
      </c>
    </row>
    <row r="410">
      <c r="B410">
        <v>1</v>
      </c>
      <c r="C410" t="str">
        <v>m2</v>
      </c>
      <c r="D410" t="str">
        <v>Upah pasang bata merah</v>
      </c>
      <c r="E410">
        <f>Upah!$D$89</f>
        <v>175000</v>
      </c>
      <c r="G410">
        <f>B410*E410</f>
        <v>175000</v>
      </c>
    </row>
    <row r="412">
      <c r="E412" t="str">
        <v>Jumlah</v>
      </c>
      <c r="F412">
        <f>SUM(F405:F411)</f>
        <v>393282.21734999993</v>
      </c>
      <c r="G412">
        <f>SUM(G405:G411)</f>
        <v>215000</v>
      </c>
      <c r="I412">
        <f>SUM(F412:G412)</f>
        <v>608282.2173499999</v>
      </c>
    </row>
    <row r="414">
      <c r="B414" t="str">
        <v>1 m2 Pasangan Dinding Bata Merah finish 35 cm, spesi 1:3</v>
      </c>
    </row>
    <row r="415">
      <c r="B415">
        <f>B370+B397</f>
        <v>238</v>
      </c>
      <c r="C415" t="str">
        <v>pcs</v>
      </c>
      <c r="D415" t="str">
        <v>Bata MRH</v>
      </c>
      <c r="E415">
        <f>E406</f>
        <v>750</v>
      </c>
      <c r="F415">
        <f>B415*E415</f>
        <v>178500</v>
      </c>
    </row>
    <row r="416">
      <c r="B416">
        <f>0.11*8.977*1.2</f>
        <v>1.1849640000000001</v>
      </c>
      <c r="C416" t="str">
        <v>sak</v>
      </c>
      <c r="D416" t="str">
        <v>Semen PC @50kg</v>
      </c>
      <c r="E416">
        <f>E407</f>
        <v>65000</v>
      </c>
      <c r="F416">
        <f>B416*E416</f>
        <v>77022.66</v>
      </c>
    </row>
    <row r="417">
      <c r="B417">
        <f>0.11*1.077*1.2</f>
        <v>0.14216399999999998</v>
      </c>
      <c r="C417" t="str">
        <v>m3</v>
      </c>
      <c r="D417" t="str">
        <v>Pasir  Lumajang</v>
      </c>
      <c r="E417">
        <f>E408</f>
        <v>350000</v>
      </c>
      <c r="F417">
        <f>B417*E417</f>
        <v>49757.399999999994</v>
      </c>
    </row>
    <row r="418">
      <c r="B418">
        <v>1</v>
      </c>
      <c r="C418" t="str">
        <v>m'</v>
      </c>
      <c r="D418" t="str">
        <v>Kolom praktis, balok praktis, balok sabuk</v>
      </c>
      <c r="E418">
        <f>$I$349</f>
        <v>196554.5467</v>
      </c>
      <c r="F418">
        <f>B418*$F$349</f>
        <v>156554.5467</v>
      </c>
      <c r="G418">
        <f>B418*$G$349</f>
        <v>40000</v>
      </c>
    </row>
    <row r="419">
      <c r="B419">
        <v>1</v>
      </c>
      <c r="C419" t="str">
        <v>m2</v>
      </c>
      <c r="D419" t="str">
        <v>Upah pasang bata merah</v>
      </c>
      <c r="E419">
        <f>Upah!$D$89</f>
        <v>175000</v>
      </c>
      <c r="G419">
        <f>B419*E419</f>
        <v>175000</v>
      </c>
    </row>
    <row r="421">
      <c r="E421" t="str">
        <v>Jumlah</v>
      </c>
      <c r="F421">
        <f>SUM(F414:F420)</f>
        <v>461834.6067</v>
      </c>
      <c r="G421">
        <f>SUM(G414:G420)</f>
        <v>215000</v>
      </c>
      <c r="I421">
        <f>SUM(F421:G421)</f>
        <v>676834.6067</v>
      </c>
    </row>
    <row r="423">
      <c r="B423" t="str">
        <v>1 m2 Pasangan Dinding Bata Merah finish 40 cm, spesi 1:3</v>
      </c>
    </row>
    <row r="424">
      <c r="B424">
        <v>234</v>
      </c>
      <c r="C424" t="str">
        <v>pcs</v>
      </c>
      <c r="D424" t="str">
        <v>Bata MRH</v>
      </c>
      <c r="E424">
        <f>E397</f>
        <v>750</v>
      </c>
      <c r="F424">
        <f>B424*E424</f>
        <v>175500</v>
      </c>
    </row>
    <row r="425">
      <c r="B425">
        <v>1.2172811999999997</v>
      </c>
      <c r="C425" t="str">
        <v>sak</v>
      </c>
      <c r="D425" t="str">
        <v>Semen PC @50kg</v>
      </c>
      <c r="E425">
        <f>E398</f>
        <v>65000</v>
      </c>
      <c r="F425">
        <f>B425*E425</f>
        <v>79123.27799999998</v>
      </c>
    </row>
    <row r="426">
      <c r="B426">
        <v>0.14604119999999998</v>
      </c>
      <c r="C426" t="str">
        <v>m3</v>
      </c>
      <c r="D426" t="str">
        <v>Pasir  Lumajang</v>
      </c>
      <c r="E426">
        <f>E399</f>
        <v>350000</v>
      </c>
      <c r="F426">
        <f>B426*E426</f>
        <v>51114.41999999999</v>
      </c>
    </row>
    <row r="427">
      <c r="B427">
        <v>0</v>
      </c>
      <c r="C427" t="str">
        <v>m'</v>
      </c>
      <c r="D427" t="str">
        <v>Kolom praktis, balok praktis, balok sabuk</v>
      </c>
      <c r="E427">
        <f>$I$358</f>
        <v>205567.95445</v>
      </c>
      <c r="F427">
        <f>B427*$F$358</f>
        <v>0</v>
      </c>
      <c r="G427">
        <f>B427*$G$358</f>
        <v>0</v>
      </c>
    </row>
    <row r="428">
      <c r="B428">
        <v>1</v>
      </c>
      <c r="C428" t="str">
        <v>m2</v>
      </c>
      <c r="D428" t="str">
        <v>Upah pasang bata merah</v>
      </c>
      <c r="E428">
        <f>Upah!$D$90</f>
        <v>175000</v>
      </c>
      <c r="G428">
        <f>B428*E428</f>
        <v>175000</v>
      </c>
    </row>
    <row r="430">
      <c r="E430" t="str">
        <v>Jumlah</v>
      </c>
      <c r="F430">
        <f>SUM(F423:F429)</f>
        <v>305737.698</v>
      </c>
      <c r="G430">
        <f>SUM(G423:G429)</f>
        <v>175000</v>
      </c>
      <c r="I430">
        <f>SUM(F430:G430)</f>
        <v>480737.698</v>
      </c>
      <c r="J430" t="str">
        <v>dipakai untuk harga penebalan dinding bata merah (waterfall feature dan dudukan kolam renang)</v>
      </c>
    </row>
    <row r="432">
      <c r="B432" t="str">
        <v>1 m2 Pasangan Dinding Bata Merah finish 50 cm, spesi 1:3</v>
      </c>
    </row>
    <row r="433">
      <c r="B433">
        <f>2*B379</f>
        <v>234</v>
      </c>
      <c r="C433" t="str">
        <v>pcs</v>
      </c>
      <c r="D433" t="str">
        <v>Bata MRH</v>
      </c>
      <c r="E433">
        <f>E406</f>
        <v>750</v>
      </c>
      <c r="F433">
        <f>B433*E433</f>
        <v>175500</v>
      </c>
    </row>
    <row r="434">
      <c r="B434">
        <f>(0.0648*2+0.025)*8.977*1.2</f>
        <v>1.66541304</v>
      </c>
      <c r="C434" t="str">
        <v>sak</v>
      </c>
      <c r="D434" t="str">
        <v>Semen PC @50kg</v>
      </c>
      <c r="E434">
        <f>E407</f>
        <v>65000</v>
      </c>
      <c r="F434">
        <f>B434*E434</f>
        <v>108251.8476</v>
      </c>
    </row>
    <row r="435">
      <c r="B435">
        <f>(0.0648*2+0.025)*1.077*1.2</f>
        <v>0.19980504</v>
      </c>
      <c r="C435" t="str">
        <v>m3</v>
      </c>
      <c r="D435" t="str">
        <v>Pasir  Lumajang</v>
      </c>
      <c r="E435">
        <f>E408</f>
        <v>350000</v>
      </c>
      <c r="F435">
        <f>B435*E435</f>
        <v>69931.764</v>
      </c>
    </row>
    <row r="436">
      <c r="B436">
        <v>0.3</v>
      </c>
      <c r="C436" t="str">
        <v>m'</v>
      </c>
      <c r="D436" t="str">
        <v>Kolom praktis, balok praktis, balok sabuk</v>
      </c>
      <c r="E436">
        <f>$I$367</f>
        <v>223594.76995</v>
      </c>
      <c r="F436">
        <f>B436*$F$367</f>
        <v>55078.43098499999</v>
      </c>
      <c r="G436">
        <f>B436*$G$367</f>
        <v>12000</v>
      </c>
    </row>
    <row r="437">
      <c r="B437">
        <v>1</v>
      </c>
      <c r="C437" t="str">
        <v>m2</v>
      </c>
      <c r="D437" t="str">
        <v>Upah pasang bata merah</v>
      </c>
      <c r="E437">
        <f>Upah!$D$90</f>
        <v>175000</v>
      </c>
      <c r="G437">
        <f>B437*E437</f>
        <v>175000</v>
      </c>
    </row>
    <row r="439">
      <c r="E439" t="str">
        <v>Jumlah</v>
      </c>
      <c r="F439">
        <f>SUM(F432:F438)</f>
        <v>408762.04258499993</v>
      </c>
      <c r="G439">
        <f>SUM(G432:G438)</f>
        <v>187000</v>
      </c>
      <c r="I439">
        <f>SUM(F439:G439)</f>
        <v>595762.0425849999</v>
      </c>
    </row>
    <row r="441">
      <c r="B441" t="str">
        <v>1 m2 Pasangan Dinding Bata Ringan 1/2 Batu (10 cm)</v>
      </c>
    </row>
    <row r="442">
      <c r="B442">
        <f>0.1*1.06</f>
        <v>0.10600000000000001</v>
      </c>
      <c r="C442" t="str">
        <v>m3</v>
      </c>
      <c r="D442" t="str">
        <v>Bata Ringan</v>
      </c>
      <c r="E442">
        <f>Material!$G$78</f>
        <v>650000</v>
      </c>
      <c r="F442">
        <f>B442*E442</f>
        <v>68900</v>
      </c>
    </row>
    <row r="443">
      <c r="B443">
        <f>40/12*1.25</f>
        <v>4.166666666666667</v>
      </c>
      <c r="C443" t="str">
        <v>kg</v>
      </c>
      <c r="D443" t="str">
        <v>Perekat Mortar Instan</v>
      </c>
      <c r="E443">
        <f>Material!$G$79</f>
        <v>1400</v>
      </c>
      <c r="F443">
        <f>B443*E443</f>
        <v>5833.333333333334</v>
      </c>
    </row>
    <row r="444">
      <c r="B444">
        <v>0.6</v>
      </c>
      <c r="C444" t="str">
        <v>m'</v>
      </c>
      <c r="D444" t="str">
        <v>Kolom praktis</v>
      </c>
      <c r="E444">
        <f>$I$313</f>
        <v>125056.00159999999</v>
      </c>
      <c r="F444">
        <f>B444*$F$313</f>
        <v>51033.60095999999</v>
      </c>
      <c r="G444">
        <f>B444*$G$313</f>
        <v>24000</v>
      </c>
    </row>
    <row r="445">
      <c r="B445">
        <v>1</v>
      </c>
      <c r="C445" t="str">
        <v>m2</v>
      </c>
      <c r="D445" t="str">
        <v>Ongkos pasang bata ringan</v>
      </c>
      <c r="E445">
        <f>Upah!$D$91</f>
        <v>30000</v>
      </c>
      <c r="G445">
        <f>B445*E445</f>
        <v>30000</v>
      </c>
    </row>
    <row r="447">
      <c r="E447" t="str">
        <v>Jumlah</v>
      </c>
      <c r="F447">
        <f>SUM(F441:F446)</f>
        <v>125766.93429333332</v>
      </c>
      <c r="G447">
        <f>SUM(G441:G446)</f>
        <v>54000</v>
      </c>
      <c r="I447">
        <f>SUM(F447:G447)</f>
        <v>179766.93429333332</v>
      </c>
    </row>
    <row r="449">
      <c r="B449" t="str">
        <v>1 m2 Pasangan Dinding Bata Ringan 1 Batu (20 cm)</v>
      </c>
    </row>
    <row r="450">
      <c r="B450">
        <f>0.2*1.06</f>
        <v>0.21200000000000002</v>
      </c>
      <c r="C450" t="str">
        <v>m3</v>
      </c>
      <c r="D450" t="str">
        <v>Bata Ringan</v>
      </c>
      <c r="E450">
        <f>Material!$G$78</f>
        <v>650000</v>
      </c>
      <c r="F450">
        <f>B450*E450</f>
        <v>137800</v>
      </c>
    </row>
    <row r="451">
      <c r="B451">
        <f>2.33/0.67*B443</f>
        <v>14.490049751243783</v>
      </c>
      <c r="C451" t="str">
        <v>kg</v>
      </c>
      <c r="D451" t="str">
        <v>Perekat Mortar Instan</v>
      </c>
      <c r="E451">
        <f>Material!$G$79</f>
        <v>1400</v>
      </c>
      <c r="F451">
        <f>B451*E451</f>
        <v>20286.069651741294</v>
      </c>
    </row>
    <row r="452">
      <c r="B452">
        <v>0.5</v>
      </c>
      <c r="C452" t="str">
        <v>m'</v>
      </c>
      <c r="D452" t="str">
        <v>Kolom praktis</v>
      </c>
      <c r="E452">
        <f>$I$331</f>
        <v>143094.2156</v>
      </c>
      <c r="F452">
        <f>B452*$F$331</f>
        <v>51547.107800000005</v>
      </c>
      <c r="G452">
        <f>B452*$G$331</f>
        <v>20000</v>
      </c>
    </row>
    <row r="453">
      <c r="B453">
        <v>1</v>
      </c>
      <c r="C453" t="str">
        <v>m2</v>
      </c>
      <c r="D453" t="str">
        <v>Ongkos pasang bata ringan</v>
      </c>
      <c r="E453">
        <f>Upah!$D$92</f>
        <v>60000</v>
      </c>
      <c r="G453">
        <v>75000</v>
      </c>
    </row>
    <row r="455">
      <c r="E455" t="str">
        <v>Jumlah</v>
      </c>
      <c r="F455">
        <f>SUM(F449:F454)</f>
        <v>209633.1774517413</v>
      </c>
      <c r="G455">
        <f>SUM(G449:G454)</f>
        <v>95000</v>
      </c>
      <c r="I455">
        <f>SUM(F455:G455)</f>
        <v>304633.1774517413</v>
      </c>
    </row>
    <row r="457">
      <c r="B457" t="str">
        <v>1 m2 Pasangan Dinding Bata Ringan 1,5 Batu (30 cm)</v>
      </c>
    </row>
    <row r="458">
      <c r="B458">
        <f>0.3*1.06</f>
        <v>0.318</v>
      </c>
      <c r="C458" t="str">
        <v>m3</v>
      </c>
      <c r="D458" t="str">
        <v>Bata Ringan</v>
      </c>
      <c r="E458">
        <f>Material!$G$78</f>
        <v>650000</v>
      </c>
      <c r="F458">
        <f>B458*E458</f>
        <v>206700</v>
      </c>
    </row>
    <row r="459">
      <c r="B459">
        <f>4.33/0.67*B443</f>
        <v>26.927860696517413</v>
      </c>
      <c r="C459" t="str">
        <v>kg</v>
      </c>
      <c r="D459" t="str">
        <v>Perekat Mortar Instan</v>
      </c>
      <c r="E459">
        <f>Material!$G$79</f>
        <v>1400</v>
      </c>
      <c r="F459">
        <f>B459*E459</f>
        <v>37699.00497512438</v>
      </c>
    </row>
    <row r="460">
      <c r="B460">
        <v>0.3</v>
      </c>
      <c r="C460" t="str">
        <v>m'</v>
      </c>
      <c r="D460" t="str">
        <v>Kolom praktis</v>
      </c>
      <c r="E460">
        <f>$I$340</f>
        <v>187541.13895</v>
      </c>
      <c r="F460">
        <f>B460*$F$340</f>
        <v>44262.341685</v>
      </c>
      <c r="G460">
        <f>B460*$G$340</f>
        <v>12000</v>
      </c>
    </row>
    <row r="461">
      <c r="B461">
        <v>1</v>
      </c>
      <c r="C461" t="str">
        <v>m2</v>
      </c>
      <c r="D461" t="str">
        <v>Ongkos pasang bata ringan</v>
      </c>
      <c r="E461">
        <f>Upah!$D$93</f>
        <v>80000</v>
      </c>
      <c r="G461">
        <v>100000</v>
      </c>
    </row>
    <row r="463">
      <c r="E463" t="str">
        <v>Jumlah</v>
      </c>
      <c r="F463">
        <f>SUM(F457:F462)</f>
        <v>288661.34666012437</v>
      </c>
      <c r="G463">
        <f>SUM(G457:G462)</f>
        <v>112000</v>
      </c>
      <c r="I463">
        <f>SUM(F463:G463)</f>
        <v>400661.34666012437</v>
      </c>
    </row>
    <row r="465">
      <c r="B465" t="str">
        <v>PEKERJAAN PLESTERAN</v>
      </c>
    </row>
    <row r="466">
      <c r="B466" t="str">
        <v>1 m' Benangan</v>
      </c>
    </row>
    <row r="467">
      <c r="B467">
        <v>0.04</v>
      </c>
      <c r="C467" t="str">
        <v>sak</v>
      </c>
      <c r="D467" t="str">
        <v>Semen</v>
      </c>
      <c r="E467">
        <f>Material!$G$14</f>
        <v>65000</v>
      </c>
      <c r="F467">
        <f>B467*E467</f>
        <v>2600</v>
      </c>
    </row>
    <row r="468">
      <c r="B468">
        <v>1</v>
      </c>
      <c r="C468" t="str">
        <v>m'</v>
      </c>
      <c r="D468" t="str">
        <v>Upah benangan</v>
      </c>
      <c r="E468">
        <f>Upah!$D$98</f>
        <v>40000</v>
      </c>
      <c r="G468">
        <f>B468*E468</f>
        <v>40000</v>
      </c>
    </row>
    <row r="470">
      <c r="E470" t="str">
        <v>Jumlah</v>
      </c>
      <c r="F470">
        <f>SUM(F466:F469)</f>
        <v>2600</v>
      </c>
      <c r="G470">
        <f>SUM(G466:G469)</f>
        <v>40000</v>
      </c>
      <c r="I470">
        <f>SUM(F470:G470)</f>
        <v>42600</v>
      </c>
    </row>
    <row r="472">
      <c r="B472" t="str">
        <v>1 m2 Plesteran Mortar Instan + Benangan</v>
      </c>
    </row>
    <row r="473">
      <c r="B473">
        <f>50/2.6*1.2</f>
        <v>23.076923076923077</v>
      </c>
      <c r="C473" t="str">
        <v>kg</v>
      </c>
      <c r="D473" t="str">
        <v>Plesteran Mortar Instan</v>
      </c>
      <c r="E473">
        <f>Material!$G$80</f>
        <v>800</v>
      </c>
      <c r="F473">
        <f>B473*E473</f>
        <v>18461.53846153846</v>
      </c>
    </row>
    <row r="474">
      <c r="B474">
        <v>0.6</v>
      </c>
      <c r="C474" t="str">
        <v>m'</v>
      </c>
      <c r="D474" t="str">
        <v>Benangan</v>
      </c>
      <c r="E474">
        <f>$I$470</f>
        <v>42600</v>
      </c>
      <c r="F474">
        <f>B474*F470</f>
        <v>1560</v>
      </c>
      <c r="G474">
        <f>B474*G470</f>
        <v>24000</v>
      </c>
    </row>
    <row r="475">
      <c r="B475">
        <v>1</v>
      </c>
      <c r="C475" t="str">
        <v>m2</v>
      </c>
      <c r="D475" t="str">
        <v>Upah plesteran</v>
      </c>
      <c r="E475">
        <f>Upah!$D$94</f>
        <v>60000</v>
      </c>
      <c r="G475">
        <f>B475*E475</f>
        <v>60000</v>
      </c>
    </row>
    <row r="477">
      <c r="E477" t="str">
        <v>Jumlah</v>
      </c>
      <c r="F477">
        <f>SUM(F472:F476)</f>
        <v>20021.53846153846</v>
      </c>
      <c r="G477">
        <f>SUM(G472:G476)</f>
        <v>84000</v>
      </c>
      <c r="I477">
        <f>SUM(F477:G477)</f>
        <v>104021.53846153847</v>
      </c>
    </row>
    <row r="479">
      <c r="B479" t="str">
        <v>1 m2 Plesteran Konvensional 1:3 + Benangan</v>
      </c>
    </row>
    <row r="480">
      <c r="B480">
        <v>0.215</v>
      </c>
      <c r="C480" t="str">
        <v>sak</v>
      </c>
      <c r="D480" t="str">
        <v xml:space="preserve">Semen PC </v>
      </c>
      <c r="E480">
        <f>Material!$G$14</f>
        <v>65000</v>
      </c>
      <c r="F480">
        <f>B480*E480</f>
        <v>13975</v>
      </c>
    </row>
    <row r="481">
      <c r="B481">
        <v>0.026</v>
      </c>
      <c r="C481" t="str">
        <v>m3</v>
      </c>
      <c r="D481" t="str">
        <v>Pasir  Lumajang</v>
      </c>
      <c r="E481">
        <f>Material!$G$8</f>
        <v>350000</v>
      </c>
      <c r="F481">
        <f>B481*E481</f>
        <v>9100</v>
      </c>
    </row>
    <row r="482">
      <c r="B482">
        <v>0.6</v>
      </c>
      <c r="C482" t="str">
        <v>m'</v>
      </c>
      <c r="D482" t="str">
        <v>Benangan</v>
      </c>
      <c r="E482">
        <f>$I$470</f>
        <v>42600</v>
      </c>
      <c r="F482">
        <f>B482*F470</f>
        <v>1560</v>
      </c>
      <c r="G482">
        <f>B482*G470</f>
        <v>24000</v>
      </c>
    </row>
    <row r="483">
      <c r="B483">
        <v>1</v>
      </c>
      <c r="C483" t="str">
        <v>m2</v>
      </c>
      <c r="D483" t="str">
        <v>Upah plesteran</v>
      </c>
      <c r="E483">
        <f>Upah!$D$94</f>
        <v>60000</v>
      </c>
      <c r="G483">
        <f>B483*E483</f>
        <v>60000</v>
      </c>
    </row>
    <row r="485">
      <c r="E485" t="str">
        <v>Jumlah</v>
      </c>
      <c r="F485">
        <f>SUM(F479:F484)</f>
        <v>24635</v>
      </c>
      <c r="G485">
        <f>SUM(G479:G484)</f>
        <v>84000</v>
      </c>
      <c r="I485">
        <f>SUM(F485:G485)</f>
        <v>108635</v>
      </c>
    </row>
    <row r="487">
      <c r="B487" t="str">
        <v>PEKERJAAN ACIAN</v>
      </c>
    </row>
    <row r="488">
      <c r="B488" t="str">
        <v>1 m2 Acian Mortar Instan</v>
      </c>
    </row>
    <row r="489">
      <c r="B489">
        <f>(40/20)*1.25</f>
        <v>2.5</v>
      </c>
      <c r="C489" t="str">
        <v>kg</v>
      </c>
      <c r="D489" t="str">
        <v>Mortar Instan</v>
      </c>
      <c r="E489">
        <f>Material!$G$81</f>
        <v>1600</v>
      </c>
      <c r="F489">
        <f>B489*E489</f>
        <v>4000</v>
      </c>
    </row>
    <row r="490">
      <c r="B490">
        <v>1</v>
      </c>
      <c r="C490" t="str">
        <v>m2</v>
      </c>
      <c r="D490" t="str">
        <v>Upah acian mortar instan</v>
      </c>
      <c r="E490">
        <f>Upah!$D$96</f>
        <v>30000</v>
      </c>
      <c r="G490">
        <f>B490*E490</f>
        <v>30000</v>
      </c>
    </row>
    <row r="492">
      <c r="E492" t="str">
        <v>Jumlah</v>
      </c>
      <c r="F492">
        <f>SUM(F488:F491)</f>
        <v>4000</v>
      </c>
      <c r="G492">
        <f>SUM(G488:G491)</f>
        <v>30000</v>
      </c>
      <c r="I492">
        <f>SUM(F492:G492)</f>
        <v>34000</v>
      </c>
    </row>
    <row r="494">
      <c r="B494" t="str">
        <v>1 m2 Acian Konvensional</v>
      </c>
    </row>
    <row r="495">
      <c r="B495">
        <v>0.19</v>
      </c>
      <c r="C495" t="str">
        <v>sak</v>
      </c>
      <c r="D495" t="str">
        <v xml:space="preserve">Semen PC </v>
      </c>
      <c r="E495">
        <f>Material!$G$14</f>
        <v>65000</v>
      </c>
      <c r="F495">
        <f>B495*E495</f>
        <v>12350</v>
      </c>
    </row>
    <row r="496">
      <c r="B496">
        <v>0.1</v>
      </c>
      <c r="C496" t="str">
        <v>m3</v>
      </c>
      <c r="D496" t="str">
        <v>Air Kerja</v>
      </c>
      <c r="E496">
        <f>Material!$G$21</f>
        <v>40000</v>
      </c>
      <c r="F496">
        <f>B496*E496</f>
        <v>4000</v>
      </c>
    </row>
    <row r="497">
      <c r="B497">
        <v>1</v>
      </c>
      <c r="C497" t="str">
        <v>m2</v>
      </c>
      <c r="D497" t="str">
        <v>Upah acian konvensional</v>
      </c>
      <c r="E497">
        <f>Upah!$D$97</f>
        <v>30000</v>
      </c>
      <c r="G497">
        <f>B497*E497</f>
        <v>30000</v>
      </c>
    </row>
    <row r="499">
      <c r="E499" t="str">
        <v>Jumlah</v>
      </c>
      <c r="F499">
        <f>SUM(F494:F498)</f>
        <v>16350</v>
      </c>
      <c r="G499">
        <f>SUM(G494:G498)</f>
        <v>30000</v>
      </c>
      <c r="I499">
        <f>SUM(F499:G499)</f>
        <v>46350</v>
      </c>
    </row>
    <row r="502">
      <c r="B502" t="str">
        <v>PEKERJAAN PLUMBING</v>
      </c>
    </row>
    <row r="503">
      <c r="B503" t="str">
        <v>1 m' Pipa Utama PVC AW 8"</v>
      </c>
    </row>
    <row r="504">
      <c r="B504">
        <f>1/4*1.1</f>
        <v>0.275</v>
      </c>
      <c r="C504" t="str">
        <v>btg</v>
      </c>
      <c r="D504" t="str">
        <v>Pipa</v>
      </c>
      <c r="E504">
        <f>Material!$G$83</f>
        <v>1883515</v>
      </c>
      <c r="F504">
        <f>B504*E504</f>
        <v>517966.62500000006</v>
      </c>
    </row>
    <row r="505">
      <c r="B505">
        <v>1</v>
      </c>
      <c r="C505" t="str">
        <v>m'</v>
      </c>
      <c r="D505" t="str">
        <v>Upah pekerjaan</v>
      </c>
      <c r="E505">
        <f>Upah!$D$99</f>
        <v>40000</v>
      </c>
      <c r="G505">
        <f>B505*E505</f>
        <v>40000</v>
      </c>
    </row>
    <row r="507">
      <c r="E507" t="str">
        <v>Jumlah</v>
      </c>
      <c r="F507">
        <f>SUM(F503:F506)</f>
        <v>517966.62500000006</v>
      </c>
      <c r="G507">
        <f>SUM(G503:G506)</f>
        <v>40000</v>
      </c>
      <c r="H507">
        <f>SUM(F507:G507)</f>
        <v>557966.625</v>
      </c>
    </row>
    <row r="509">
      <c r="B509" t="str">
        <v>1 m' Pipa Utama PVC AW 6"</v>
      </c>
    </row>
    <row r="510">
      <c r="B510">
        <f>1/4*1.1</f>
        <v>0.275</v>
      </c>
      <c r="C510" t="str">
        <v>btg</v>
      </c>
      <c r="D510" t="str">
        <v>Pipa</v>
      </c>
      <c r="E510">
        <f>Material!$G$84</f>
        <v>1245335</v>
      </c>
      <c r="F510">
        <f>B510*E510</f>
        <v>342467.125</v>
      </c>
    </row>
    <row r="511">
      <c r="B511">
        <v>1</v>
      </c>
      <c r="C511" t="str">
        <v>m'</v>
      </c>
      <c r="D511" t="str">
        <v>Upah pekerjaan</v>
      </c>
      <c r="E511">
        <f>Upah!$D$99</f>
        <v>40000</v>
      </c>
      <c r="G511">
        <f>B511*E511</f>
        <v>40000</v>
      </c>
    </row>
    <row r="513">
      <c r="E513" t="str">
        <v>Jumlah</v>
      </c>
      <c r="F513">
        <f>SUM(F509:F512)</f>
        <v>342467.125</v>
      </c>
      <c r="G513">
        <f>SUM(G509:G512)</f>
        <v>40000</v>
      </c>
      <c r="H513">
        <f>SUM(F513:G513)</f>
        <v>382467.125</v>
      </c>
    </row>
    <row r="515">
      <c r="B515" t="str">
        <v>1 m' Pipa Air WC PVC AW 5"</v>
      </c>
    </row>
    <row r="516">
      <c r="B516">
        <f>1/4*1.1</f>
        <v>0.275</v>
      </c>
      <c r="C516" t="str">
        <v>btg</v>
      </c>
      <c r="D516" t="str">
        <v>Pipa</v>
      </c>
      <c r="E516">
        <f>Material!$G$85</f>
        <v>829600</v>
      </c>
      <c r="F516">
        <f>B516*E516</f>
        <v>228140.00000000003</v>
      </c>
    </row>
    <row r="517">
      <c r="B517">
        <f>4*0.15*1</f>
        <v>0.6</v>
      </c>
      <c r="C517" t="str">
        <v>m2</v>
      </c>
      <c r="D517" t="str">
        <v>Kawat ayam</v>
      </c>
      <c r="E517">
        <f>Material!$G$75</f>
        <v>15000</v>
      </c>
      <c r="F517">
        <f>B517*E517</f>
        <v>9000</v>
      </c>
    </row>
    <row r="518">
      <c r="B518">
        <f>0.15*0.15*1</f>
        <v>0.0225</v>
      </c>
      <c r="C518" t="str">
        <v>m3</v>
      </c>
      <c r="D518" t="str">
        <v>Cor beton site mix</v>
      </c>
      <c r="E518">
        <f>$I$265</f>
        <v>886530</v>
      </c>
      <c r="F518">
        <f>B518*E518</f>
        <v>19946.925</v>
      </c>
    </row>
    <row r="519">
      <c r="B519">
        <v>1</v>
      </c>
      <c r="C519" t="str">
        <v>m'</v>
      </c>
      <c r="D519" t="str">
        <v>Upah pekerjaan (kawat ayam + cor)</v>
      </c>
      <c r="E519">
        <f>Upah!$D$99</f>
        <v>40000</v>
      </c>
      <c r="G519">
        <f>B519*E519</f>
        <v>40000</v>
      </c>
    </row>
    <row r="521">
      <c r="E521" t="str">
        <v>Jumlah</v>
      </c>
      <c r="F521">
        <f>SUM(F515:F520)</f>
        <v>257086.92500000002</v>
      </c>
      <c r="G521">
        <f>SUM(G515:G520)</f>
        <v>40000</v>
      </c>
      <c r="H521">
        <f>SUM(F521:G521)</f>
        <v>297086.92500000005</v>
      </c>
    </row>
    <row r="523">
      <c r="B523" t="str">
        <v>1 m' Pipa Air WC Vertikal PVC AW 4"</v>
      </c>
    </row>
    <row r="524">
      <c r="B524">
        <f>1/4*1.1</f>
        <v>0.275</v>
      </c>
      <c r="C524" t="str">
        <v>btg</v>
      </c>
      <c r="D524" t="str">
        <v>Pipa</v>
      </c>
      <c r="E524">
        <f>Material!$G$86</f>
        <v>662745</v>
      </c>
      <c r="F524">
        <f>B524*E524</f>
        <v>182254.87500000003</v>
      </c>
    </row>
    <row r="525">
      <c r="B525">
        <f>4*0.15*1</f>
        <v>0.6</v>
      </c>
      <c r="C525" t="str">
        <v>m2</v>
      </c>
      <c r="D525" t="str">
        <v>Kawat ayam</v>
      </c>
      <c r="E525">
        <f>Material!$G$75</f>
        <v>15000</v>
      </c>
      <c r="F525">
        <f>B525*E525</f>
        <v>9000</v>
      </c>
    </row>
    <row r="526">
      <c r="B526">
        <f>0.1*0.15*1</f>
        <v>0.015</v>
      </c>
      <c r="C526" t="str">
        <v>m3</v>
      </c>
      <c r="D526" t="str">
        <v>Cor beton site mix</v>
      </c>
      <c r="E526">
        <f>$I$265</f>
        <v>886530</v>
      </c>
      <c r="F526">
        <f>B526*E526</f>
        <v>13297.949999999999</v>
      </c>
    </row>
    <row r="527">
      <c r="B527">
        <v>1</v>
      </c>
      <c r="C527" t="str">
        <v>m'</v>
      </c>
      <c r="D527" t="str">
        <v>Upah pekerjaan (kawat ayam + cor)</v>
      </c>
      <c r="E527">
        <f>Upah!$D$100</f>
        <v>30000</v>
      </c>
      <c r="G527">
        <f>B527*E527</f>
        <v>30000</v>
      </c>
    </row>
    <row r="529">
      <c r="E529" t="str">
        <v>Jumlah</v>
      </c>
      <c r="F529">
        <f>SUM(F523:F528)</f>
        <v>204552.82500000004</v>
      </c>
      <c r="G529">
        <f>SUM(G523:G528)</f>
        <v>30000</v>
      </c>
      <c r="H529">
        <f>SUM(F529:G529)</f>
        <v>234552.82500000004</v>
      </c>
    </row>
    <row r="531">
      <c r="B531" t="str">
        <v>1 m' Pipa Air WC Horizontal PVC AW 4"</v>
      </c>
    </row>
    <row r="532">
      <c r="B532">
        <f>1/4*1.1</f>
        <v>0.275</v>
      </c>
      <c r="C532" t="str">
        <v>btg</v>
      </c>
      <c r="D532" t="str">
        <v>Pipa</v>
      </c>
      <c r="E532">
        <f>Material!$G$86</f>
        <v>662745</v>
      </c>
      <c r="F532">
        <f>B532*E532</f>
        <v>182254.87500000003</v>
      </c>
    </row>
    <row r="533">
      <c r="B533">
        <v>1</v>
      </c>
      <c r="C533" t="str">
        <v>m'</v>
      </c>
      <c r="D533" t="str">
        <v>Upah pekerjaan</v>
      </c>
      <c r="E533">
        <f>Upah!$D$101</f>
        <v>25000</v>
      </c>
      <c r="G533">
        <f>B533*E533</f>
        <v>25000</v>
      </c>
    </row>
    <row r="535">
      <c r="E535" t="str">
        <v>Jumlah</v>
      </c>
      <c r="F535">
        <f>SUM(F531:F534)</f>
        <v>182254.87500000003</v>
      </c>
      <c r="G535">
        <f>SUM(G531:G534)</f>
        <v>25000</v>
      </c>
      <c r="H535">
        <f>SUM(F535:G535)</f>
        <v>207254.87500000003</v>
      </c>
    </row>
    <row r="537">
      <c r="B537" t="str">
        <v>1 m' Pipa Air Kotor Vertikal PVC AW 3"</v>
      </c>
    </row>
    <row r="538">
      <c r="B538">
        <f>1/4*1.1</f>
        <v>0.275</v>
      </c>
      <c r="C538" t="str">
        <v>btg</v>
      </c>
      <c r="D538" t="str">
        <v>Pipa</v>
      </c>
      <c r="E538">
        <f>Material!$G$87</f>
        <v>428910</v>
      </c>
      <c r="F538">
        <f>B538*E538</f>
        <v>117950.25000000001</v>
      </c>
    </row>
    <row r="539">
      <c r="B539">
        <f>4*0.1*1</f>
        <v>0.4</v>
      </c>
      <c r="C539" t="str">
        <v>m2</v>
      </c>
      <c r="D539" t="str">
        <v>Kawat ayam</v>
      </c>
      <c r="E539">
        <f>Material!$G$75</f>
        <v>15000</v>
      </c>
      <c r="F539">
        <f>B539*E539</f>
        <v>6000</v>
      </c>
    </row>
    <row r="540">
      <c r="B540">
        <f>0.1*0.1*1</f>
        <v>0.010000000000000002</v>
      </c>
      <c r="C540" t="str">
        <v>m3</v>
      </c>
      <c r="D540" t="str">
        <v>Cor beton site mix</v>
      </c>
      <c r="E540">
        <f>$I$265</f>
        <v>886530</v>
      </c>
      <c r="F540">
        <f>B540*E540</f>
        <v>8865.300000000001</v>
      </c>
    </row>
    <row r="541">
      <c r="B541">
        <v>1</v>
      </c>
      <c r="C541" t="str">
        <v>m'</v>
      </c>
      <c r="D541" t="str">
        <v>Upah pekerjaan (kawat ayam + cor)</v>
      </c>
      <c r="E541">
        <f>Upah!$D$100</f>
        <v>30000</v>
      </c>
      <c r="G541">
        <f>B541*E541</f>
        <v>30000</v>
      </c>
    </row>
    <row r="543">
      <c r="E543" t="str">
        <v>Jumlah</v>
      </c>
      <c r="F543">
        <f>SUM(F537:F542)</f>
        <v>132815.55000000002</v>
      </c>
      <c r="G543">
        <f>SUM(G537:G542)</f>
        <v>30000</v>
      </c>
      <c r="H543">
        <f>SUM(F543:G543)</f>
        <v>162815.55000000002</v>
      </c>
    </row>
    <row r="545">
      <c r="B545" t="str">
        <v>1 m' Pipa Air Kotor Horizontal PVC AW 3"</v>
      </c>
    </row>
    <row r="546">
      <c r="B546">
        <f>1/4*1.1</f>
        <v>0.275</v>
      </c>
      <c r="C546" t="str">
        <v>btg</v>
      </c>
      <c r="D546" t="str">
        <v>Pipa</v>
      </c>
      <c r="E546">
        <f>Material!$G$87</f>
        <v>428910</v>
      </c>
      <c r="F546">
        <f>B546*E546</f>
        <v>117950.25000000001</v>
      </c>
    </row>
    <row r="547">
      <c r="B547">
        <f>4*0.1*1</f>
        <v>0.4</v>
      </c>
      <c r="C547" t="str">
        <v>m2</v>
      </c>
      <c r="D547" t="str">
        <v>Kawat ayam</v>
      </c>
      <c r="E547">
        <f>Material!$G$75</f>
        <v>15000</v>
      </c>
      <c r="F547">
        <f>B547*E547</f>
        <v>6000</v>
      </c>
    </row>
    <row r="548">
      <c r="B548">
        <f>0.1*0.1*1</f>
        <v>0.010000000000000002</v>
      </c>
      <c r="C548" t="str">
        <v>m3</v>
      </c>
      <c r="D548" t="str">
        <v>Cor beton site mix</v>
      </c>
      <c r="E548">
        <f>$I$265</f>
        <v>886530</v>
      </c>
      <c r="F548">
        <f>B548*E548</f>
        <v>8865.300000000001</v>
      </c>
    </row>
    <row r="549">
      <c r="B549">
        <v>1</v>
      </c>
      <c r="C549" t="str">
        <v>m'</v>
      </c>
      <c r="D549" t="str">
        <v>Upah pekerjaan</v>
      </c>
      <c r="E549">
        <f>Upah!$D$101</f>
        <v>25000</v>
      </c>
      <c r="G549">
        <f>B549*E549</f>
        <v>25000</v>
      </c>
    </row>
    <row r="551">
      <c r="E551" t="str">
        <v>Jumlah</v>
      </c>
      <c r="F551">
        <f>SUM(F545:F550)</f>
        <v>132815.55000000002</v>
      </c>
      <c r="G551">
        <f>SUM(G545:G550)</f>
        <v>25000</v>
      </c>
      <c r="H551">
        <f>SUM(F551:G551)</f>
        <v>157815.55000000002</v>
      </c>
    </row>
    <row r="553">
      <c r="B553" t="str">
        <v>1 m' Pipa Air Hujan Vertikal PVC AW 2,5"</v>
      </c>
    </row>
    <row r="554">
      <c r="B554">
        <f>1/4*1.1</f>
        <v>0.275</v>
      </c>
      <c r="C554" t="str">
        <v>btg</v>
      </c>
      <c r="D554" t="str">
        <v>Pipa</v>
      </c>
      <c r="E554">
        <f>Material!$G$88</f>
        <v>269280</v>
      </c>
      <c r="F554">
        <f>B554*E554</f>
        <v>74052</v>
      </c>
    </row>
    <row r="555">
      <c r="B555">
        <f>4*0.08*1</f>
        <v>0.32</v>
      </c>
      <c r="C555" t="str">
        <v>m2</v>
      </c>
      <c r="D555" t="str">
        <v>Kawat ayam</v>
      </c>
      <c r="E555">
        <f>Material!$G$75</f>
        <v>15000</v>
      </c>
      <c r="F555">
        <f>B555*E555</f>
        <v>4800</v>
      </c>
    </row>
    <row r="556">
      <c r="B556">
        <f>0.08*0.08*1</f>
        <v>0.0064</v>
      </c>
      <c r="C556" t="str">
        <v>m3</v>
      </c>
      <c r="D556" t="str">
        <v>Cor beton site mix 1:2:3</v>
      </c>
      <c r="E556">
        <f>$I$265</f>
        <v>886530</v>
      </c>
      <c r="F556">
        <f>B556*E556</f>
        <v>5673.792</v>
      </c>
    </row>
    <row r="557">
      <c r="B557">
        <v>1</v>
      </c>
      <c r="C557" t="str">
        <v>m'</v>
      </c>
      <c r="D557" t="str">
        <v>Upah pekerjaan (kawat ayam + cor)</v>
      </c>
      <c r="E557">
        <f>Upah!$D$100</f>
        <v>30000</v>
      </c>
      <c r="G557">
        <f>B557*E557</f>
        <v>30000</v>
      </c>
    </row>
    <row r="559">
      <c r="E559" t="str">
        <v>Jumlah</v>
      </c>
      <c r="F559">
        <f>SUM(F553:F558)</f>
        <v>84525.792</v>
      </c>
      <c r="G559">
        <f>SUM(G553:G558)</f>
        <v>30000</v>
      </c>
      <c r="H559">
        <f>SUM(F559:G559)</f>
        <v>114525.792</v>
      </c>
    </row>
    <row r="561">
      <c r="B561" t="str">
        <v>1 m' Pipa Air Hujan Horizontal PVC AW 2,5"</v>
      </c>
    </row>
    <row r="562">
      <c r="B562">
        <f>1/4*1.1</f>
        <v>0.275</v>
      </c>
      <c r="C562" t="str">
        <v>btg</v>
      </c>
      <c r="D562" t="str">
        <v>Pipa</v>
      </c>
      <c r="E562">
        <f>Material!$G$88</f>
        <v>269280</v>
      </c>
      <c r="F562">
        <f>B562*E562</f>
        <v>74052</v>
      </c>
    </row>
    <row r="563">
      <c r="B563">
        <v>1</v>
      </c>
      <c r="C563" t="str">
        <v>m'</v>
      </c>
      <c r="D563" t="str">
        <v>Upah pekerjaan</v>
      </c>
      <c r="E563">
        <f>Upah!$D$101</f>
        <v>25000</v>
      </c>
      <c r="G563">
        <f>B563*E563</f>
        <v>25000</v>
      </c>
    </row>
    <row r="565">
      <c r="E565" t="str">
        <v>Jumlah</v>
      </c>
      <c r="F565">
        <f>SUM(F561:F564)</f>
        <v>74052</v>
      </c>
      <c r="G565">
        <f>SUM(G561:G564)</f>
        <v>25000</v>
      </c>
      <c r="H565">
        <f>SUM(F565:G565)</f>
        <v>99052</v>
      </c>
    </row>
    <row r="567">
      <c r="B567" t="str">
        <v>1 m' Pipa Hawa Septic Tank PVC AW 2"</v>
      </c>
    </row>
    <row r="568">
      <c r="B568">
        <f>1/4*1.1</f>
        <v>0.275</v>
      </c>
      <c r="C568" t="str">
        <v>btg</v>
      </c>
      <c r="D568" t="str">
        <v>Pipa</v>
      </c>
      <c r="E568">
        <f>Material!$G$89</f>
        <v>209355</v>
      </c>
      <c r="F568">
        <f>B568*E568</f>
        <v>57572.62500000001</v>
      </c>
    </row>
    <row r="569">
      <c r="B569">
        <f>4*0.1*1</f>
        <v>0.4</v>
      </c>
      <c r="C569" t="str">
        <v>m2</v>
      </c>
      <c r="D569" t="str">
        <v>Kawat ayam</v>
      </c>
      <c r="E569">
        <f>Material!$G$75</f>
        <v>15000</v>
      </c>
      <c r="F569">
        <f>B569*E569</f>
        <v>6000</v>
      </c>
    </row>
    <row r="570">
      <c r="B570">
        <f>0.1*0.1*1</f>
        <v>0.010000000000000002</v>
      </c>
      <c r="C570" t="str">
        <v>m3</v>
      </c>
      <c r="D570" t="str">
        <v>Cor beton site mix 1:2:3</v>
      </c>
      <c r="E570">
        <f>$I$265</f>
        <v>886530</v>
      </c>
      <c r="F570">
        <f>B570*E570</f>
        <v>8865.300000000001</v>
      </c>
    </row>
    <row r="571">
      <c r="B571">
        <v>1</v>
      </c>
      <c r="C571" t="str">
        <v>m'</v>
      </c>
      <c r="D571" t="str">
        <v>Upah pekerjaan (kawat ayam + cor)</v>
      </c>
      <c r="E571">
        <f>Upah!$D$100</f>
        <v>30000</v>
      </c>
      <c r="G571">
        <f>B571*E571</f>
        <v>30000</v>
      </c>
    </row>
    <row r="573">
      <c r="E573" t="str">
        <v>Jumlah</v>
      </c>
      <c r="F573">
        <f>SUM(F567:F572)</f>
        <v>72437.925</v>
      </c>
      <c r="G573">
        <f>SUM(G567:G572)</f>
        <v>30000</v>
      </c>
      <c r="H573">
        <f>SUM(F573:G573)</f>
        <v>102437.925</v>
      </c>
    </row>
    <row r="575">
      <c r="B575" t="str">
        <v>1 m' Pipa Hawa Septic Tank PVC AW 1,5"</v>
      </c>
    </row>
    <row r="576">
      <c r="B576">
        <f>1/4*1.1</f>
        <v>0.275</v>
      </c>
      <c r="C576" t="str">
        <v>btg</v>
      </c>
      <c r="D576" t="str">
        <v>Pipa</v>
      </c>
      <c r="E576">
        <f>Material!$G$90</f>
        <v>147475</v>
      </c>
      <c r="F576">
        <f>B576*E576</f>
        <v>40555.625</v>
      </c>
    </row>
    <row r="577">
      <c r="B577">
        <f>4*0.1*1</f>
        <v>0.4</v>
      </c>
      <c r="C577" t="str">
        <v>m2</v>
      </c>
      <c r="D577" t="str">
        <v>Kawat ayam</v>
      </c>
      <c r="E577">
        <f>Material!$G$75</f>
        <v>15000</v>
      </c>
      <c r="F577">
        <f>B577*E577</f>
        <v>6000</v>
      </c>
    </row>
    <row r="578">
      <c r="B578">
        <f>0.1*0.1*1</f>
        <v>0.010000000000000002</v>
      </c>
      <c r="C578" t="str">
        <v>m3</v>
      </c>
      <c r="D578" t="str">
        <v>Cor beton site mix 1:2:3</v>
      </c>
      <c r="E578">
        <f>$I$265</f>
        <v>886530</v>
      </c>
      <c r="F578">
        <f>B578*E578</f>
        <v>8865.300000000001</v>
      </c>
    </row>
    <row r="579">
      <c r="B579">
        <v>1</v>
      </c>
      <c r="C579" t="str">
        <v>m'</v>
      </c>
      <c r="D579" t="str">
        <v>Upah pekerjaan (kawat ayam + cor)</v>
      </c>
      <c r="E579">
        <f>Upah!$D$100</f>
        <v>30000</v>
      </c>
      <c r="G579">
        <f>B579*E579</f>
        <v>30000</v>
      </c>
    </row>
    <row r="581">
      <c r="E581" t="str">
        <v>Jumlah</v>
      </c>
      <c r="F581">
        <f>SUM(F575:F580)</f>
        <v>55420.925</v>
      </c>
      <c r="G581">
        <f>SUM(G575:G580)</f>
        <v>30000</v>
      </c>
      <c r="H581">
        <f>SUM(F581:G581)</f>
        <v>85420.925</v>
      </c>
    </row>
    <row r="583">
      <c r="B583" t="str">
        <v>1 m' Bantalan Pipa di lt. Dasar (asumsi lebar lunas 1m, dalam 30 cm, tebal 10 cm)</v>
      </c>
    </row>
    <row r="584">
      <c r="B584">
        <f>(1.2+2*0.3)*0.1*1.2</f>
        <v>0.216</v>
      </c>
      <c r="C584" t="str">
        <v>m3</v>
      </c>
      <c r="D584" t="str">
        <v>Cor beton site mix 1:2:3</v>
      </c>
      <c r="E584">
        <f>$I$265</f>
        <v>886530</v>
      </c>
      <c r="F584">
        <f>B584*E584</f>
        <v>191490.48</v>
      </c>
    </row>
    <row r="585">
      <c r="B585">
        <f>0.006165*8^2*(1.2+2*0.4)*(1/0.15)</f>
        <v>5.260800000000001</v>
      </c>
      <c r="C585" t="str">
        <v>kg</v>
      </c>
      <c r="D585" t="str">
        <v>Pembesian dia. 8 - 150 (1 lapis)</v>
      </c>
      <c r="E585">
        <f>$I$233</f>
        <v>11282.5</v>
      </c>
      <c r="F585">
        <f>B585*E585</f>
        <v>59354.97600000001</v>
      </c>
    </row>
    <row r="586">
      <c r="B586">
        <f>2*(0.3+0.1)</f>
        <v>0.8</v>
      </c>
      <c r="C586" t="str">
        <v>m2</v>
      </c>
      <c r="D586" t="str">
        <v>Bekisting bata merah (sisi luar)</v>
      </c>
      <c r="E586">
        <f>$I$107</f>
        <v>113100</v>
      </c>
      <c r="F586">
        <f>B586*E586</f>
        <v>90480</v>
      </c>
    </row>
    <row r="587">
      <c r="B587">
        <f>2*0.3</f>
        <v>0.6</v>
      </c>
      <c r="C587" t="str">
        <v>m2</v>
      </c>
      <c r="D587" t="str">
        <v>Bekisting kayu (sisi dalam)</v>
      </c>
      <c r="E587">
        <v>60000</v>
      </c>
      <c r="F587">
        <f>B587*E587</f>
        <v>36000</v>
      </c>
    </row>
    <row r="588">
      <c r="B588">
        <f>0.05*(1+2*0.1)</f>
        <v>0.06</v>
      </c>
      <c r="C588" t="str">
        <v>m3</v>
      </c>
      <c r="D588" t="str">
        <v>Lantai kerja 5 cm</v>
      </c>
      <c r="E588">
        <f>$I$275</f>
        <v>1185220</v>
      </c>
      <c r="F588">
        <f>B588*E588</f>
        <v>71113.2</v>
      </c>
    </row>
    <row r="589">
      <c r="B589">
        <v>1</v>
      </c>
      <c r="C589" t="str">
        <v>m'</v>
      </c>
      <c r="D589" t="str">
        <v>Upah pekerjaan</v>
      </c>
      <c r="E589">
        <f>Upah!$D$99</f>
        <v>40000</v>
      </c>
      <c r="G589">
        <f>B589*E589</f>
        <v>40000</v>
      </c>
    </row>
    <row r="591">
      <c r="E591" t="str">
        <v>Jumlah</v>
      </c>
      <c r="F591">
        <f>SUM(F583:F590)</f>
        <v>448438.656</v>
      </c>
      <c r="G591">
        <f>SUM(G583:G590)</f>
        <v>40000</v>
      </c>
      <c r="H591">
        <f>SUM(F591:G591)</f>
        <v>488438.656</v>
      </c>
    </row>
    <row r="593">
      <c r="B593" t="str">
        <v>1 m' Bantalan Pipa di lt. Dasar (asumsi lebar lunas 50 cm, dalam 30 cm, tebal 10 cm)</v>
      </c>
    </row>
    <row r="594">
      <c r="B594">
        <f>(0.7+2*0.3)*0.1*1.2</f>
        <v>0.15599999999999997</v>
      </c>
      <c r="C594" t="str">
        <v>m3</v>
      </c>
      <c r="D594" t="str">
        <v>Cor beton site mix 1:2:3</v>
      </c>
      <c r="E594">
        <f>$I$265</f>
        <v>886530</v>
      </c>
      <c r="F594">
        <f>B594*E594</f>
        <v>138298.67999999996</v>
      </c>
    </row>
    <row r="595">
      <c r="B595">
        <f>0.006165*8^2*(0.7+2*0.4)*(1/0.15)</f>
        <v>3.9456</v>
      </c>
      <c r="C595" t="str">
        <v>kg</v>
      </c>
      <c r="D595" t="str">
        <v>Pembesian dia. 8 - 150 (1 lapis)</v>
      </c>
      <c r="E595">
        <f>$I$233</f>
        <v>11282.5</v>
      </c>
      <c r="F595">
        <f>B595*E595</f>
        <v>44516.232</v>
      </c>
    </row>
    <row r="596">
      <c r="B596">
        <f>2*(0.3+0.1)</f>
        <v>0.8</v>
      </c>
      <c r="C596" t="str">
        <v>m2</v>
      </c>
      <c r="D596" t="str">
        <v>Bekisting bata merah (sisi luar)</v>
      </c>
      <c r="E596">
        <f>$I$107</f>
        <v>113100</v>
      </c>
      <c r="F596">
        <f>B596*E596</f>
        <v>90480</v>
      </c>
    </row>
    <row r="597">
      <c r="B597">
        <f>2*0.3</f>
        <v>0.6</v>
      </c>
      <c r="C597" t="str">
        <v>m2</v>
      </c>
      <c r="D597" t="str">
        <v>Bekisting kayu (sisi dalam)</v>
      </c>
      <c r="E597">
        <v>60000</v>
      </c>
      <c r="F597">
        <f>B597*E597</f>
        <v>36000</v>
      </c>
    </row>
    <row r="598">
      <c r="B598">
        <f>0.05*(0.5+2*0.1)</f>
        <v>0.034999999999999996</v>
      </c>
      <c r="C598" t="str">
        <v>m3</v>
      </c>
      <c r="D598" t="str">
        <v>Lantai kerja 5 cm</v>
      </c>
      <c r="E598">
        <f>$I$275</f>
        <v>1185220</v>
      </c>
      <c r="F598">
        <f>B598*E598</f>
        <v>41482.7</v>
      </c>
    </row>
    <row r="599">
      <c r="B599">
        <v>1</v>
      </c>
      <c r="C599" t="str">
        <v>m'</v>
      </c>
      <c r="D599" t="str">
        <v>Upah pekerjaan</v>
      </c>
      <c r="E599">
        <f>Upah!$D$99</f>
        <v>40000</v>
      </c>
      <c r="G599">
        <f>B599*E599</f>
        <v>40000</v>
      </c>
    </row>
    <row r="601">
      <c r="E601" t="str">
        <v>Jumlah</v>
      </c>
      <c r="F601">
        <f>SUM(F593:F600)</f>
        <v>350777.61199999996</v>
      </c>
      <c r="G601">
        <f>SUM(G593:G600)</f>
        <v>40000</v>
      </c>
      <c r="H601">
        <f>SUM(F601:G601)</f>
        <v>390777.61199999996</v>
      </c>
    </row>
    <row r="603">
      <c r="B603" t="str">
        <v>Pekerjaan Instalasi Air Hujan</v>
      </c>
    </row>
    <row r="604">
      <c r="B604" t="e">
        <f>#REF!</f>
        <v>#REF!</v>
      </c>
      <c r="C604" t="str">
        <v>m'</v>
      </c>
      <c r="D604" t="str">
        <v>Pipa PVC 2,5" (horizontal)</v>
      </c>
      <c r="E604">
        <f>$H$565</f>
        <v>99052</v>
      </c>
      <c r="F604" t="e">
        <f>$F$565*B604</f>
        <v>#REF!</v>
      </c>
      <c r="G604" t="e">
        <f>$G$565*B604</f>
        <v>#REF!</v>
      </c>
    </row>
    <row r="605">
      <c r="B605" t="e">
        <f>#REF!</f>
        <v>#REF!</v>
      </c>
      <c r="C605" t="str">
        <v>m'</v>
      </c>
      <c r="D605" t="str">
        <v>Pipa PVC 2,5" (vertikal)</v>
      </c>
      <c r="E605">
        <f>$H$559</f>
        <v>114525.792</v>
      </c>
      <c r="F605" t="e">
        <f>$F$559*B605</f>
        <v>#REF!</v>
      </c>
      <c r="G605" t="e">
        <f>$G$559*B605</f>
        <v>#REF!</v>
      </c>
    </row>
    <row r="606">
      <c r="B606" t="e">
        <f>#REF!</f>
        <v>#REF!</v>
      </c>
      <c r="C606" t="str">
        <v>m'</v>
      </c>
      <c r="D606" t="str">
        <v>Pipa PVC 4" (horizontal)</v>
      </c>
      <c r="E606">
        <f>$H$535</f>
        <v>207254.87500000003</v>
      </c>
      <c r="F606" t="e">
        <f>$F$535*B606</f>
        <v>#REF!</v>
      </c>
      <c r="G606" t="e">
        <f>$G$535*B606</f>
        <v>#REF!</v>
      </c>
    </row>
    <row r="607">
      <c r="B607" t="e">
        <f>#REF!</f>
        <v>#REF!</v>
      </c>
      <c r="C607" t="str">
        <v>m'</v>
      </c>
      <c r="D607" t="str">
        <v>Pipa PVC 4" (vertikal)</v>
      </c>
      <c r="E607">
        <f>$H$529</f>
        <v>234552.82500000004</v>
      </c>
      <c r="F607" t="e">
        <f>$F$529*B607</f>
        <v>#REF!</v>
      </c>
      <c r="G607" t="e">
        <f>$G$529*B607</f>
        <v>#REF!</v>
      </c>
    </row>
    <row r="608">
      <c r="B608" t="e">
        <f>#REF!</f>
        <v>#REF!</v>
      </c>
      <c r="C608" t="str">
        <v>m'</v>
      </c>
      <c r="D608" t="str">
        <v>Pipa PVC 6" (PAH utama)</v>
      </c>
      <c r="E608">
        <f>$H$513</f>
        <v>382467.125</v>
      </c>
      <c r="F608" t="e">
        <f>$F$513*B608</f>
        <v>#REF!</v>
      </c>
      <c r="G608" t="e">
        <f>$G$513*B608</f>
        <v>#REF!</v>
      </c>
    </row>
    <row r="609">
      <c r="B609" t="e">
        <f>#REF!</f>
        <v>#REF!</v>
      </c>
      <c r="C609" t="str">
        <v>m'</v>
      </c>
      <c r="D609" t="str">
        <v>Pipa PVC 8" (PAH utama)</v>
      </c>
      <c r="E609">
        <f>$H$507</f>
        <v>557966.625</v>
      </c>
      <c r="F609" t="e">
        <f>$F$507*B609</f>
        <v>#REF!</v>
      </c>
      <c r="G609" t="e">
        <f>$G$507*B609</f>
        <v>#REF!</v>
      </c>
    </row>
    <row r="610">
      <c r="B610" t="e">
        <f>#REF!</f>
        <v>#REF!</v>
      </c>
      <c r="C610" t="str">
        <v>pcs</v>
      </c>
      <c r="D610" t="str">
        <v>Roof drain 3"</v>
      </c>
      <c r="E610">
        <f>SUM(F610:G610)</f>
        <v>275000</v>
      </c>
      <c r="F610">
        <f>Material!$G$93</f>
        <v>225000</v>
      </c>
      <c r="G610">
        <v>50000</v>
      </c>
    </row>
    <row r="611">
      <c r="B611" t="e">
        <f>#REF!</f>
        <v>#REF!</v>
      </c>
      <c r="C611" t="str">
        <v>pcs</v>
      </c>
      <c r="D611" t="str">
        <v>Roof drain 4"</v>
      </c>
      <c r="E611">
        <f>SUM(F611:G611)</f>
        <v>300000</v>
      </c>
      <c r="F611">
        <f>Material!$G$92</f>
        <v>250000</v>
      </c>
      <c r="G611">
        <v>50000</v>
      </c>
    </row>
    <row r="612">
      <c r="B612">
        <v>1</v>
      </c>
      <c r="C612" t="str">
        <v>ls</v>
      </c>
      <c r="D612" t="str">
        <v>Aksesoris pipa</v>
      </c>
      <c r="E612" t="e">
        <f>SUMPRODUCT(B604:B609,E604:E609)*20%</f>
        <v>#REF!</v>
      </c>
      <c r="F612" t="e">
        <f>SUM(F604:F609)*20%</f>
        <v>#REF!</v>
      </c>
      <c r="G612" t="e">
        <f>SUM(G604:G609)*20%</f>
        <v>#REF!</v>
      </c>
    </row>
    <row r="614">
      <c r="E614" t="str">
        <v>Jumlah</v>
      </c>
      <c r="F614" t="e">
        <f>SUM(F603:F613)</f>
        <v>#REF!</v>
      </c>
      <c r="G614" t="e">
        <f>SUM(G603:G613)</f>
        <v>#REF!</v>
      </c>
      <c r="H614" t="e">
        <f>SUM(F614:G614)</f>
        <v>#REF!</v>
      </c>
    </row>
    <row r="616">
      <c r="B616" t="str">
        <v>Pekerjaan Instalasi Air Bekas ( / Air Kotor)</v>
      </c>
    </row>
    <row r="617">
      <c r="B617" t="e">
        <f>#REF!</f>
        <v>#REF!</v>
      </c>
      <c r="C617" t="str">
        <v>m'</v>
      </c>
      <c r="D617" t="str">
        <v>Pipa PVC 3" (horizontal)</v>
      </c>
      <c r="E617">
        <f>$H$551</f>
        <v>157815.55000000002</v>
      </c>
      <c r="F617" t="e">
        <f>$F$551*B617</f>
        <v>#REF!</v>
      </c>
      <c r="G617" t="e">
        <f>$G$551*B617</f>
        <v>#REF!</v>
      </c>
    </row>
    <row r="618">
      <c r="B618" t="e">
        <f>#REF!</f>
        <v>#REF!</v>
      </c>
      <c r="C618" t="str">
        <v>m'</v>
      </c>
      <c r="D618" t="str">
        <v>Pipa PVC 3" (vertikal)</v>
      </c>
      <c r="E618">
        <f>$H$543</f>
        <v>162815.55000000002</v>
      </c>
      <c r="F618" t="e">
        <f>$F$543*B618</f>
        <v>#REF!</v>
      </c>
      <c r="G618" t="e">
        <f>$G$543*B618</f>
        <v>#REF!</v>
      </c>
    </row>
    <row r="619">
      <c r="B619" t="e">
        <f>#REF!</f>
        <v>#REF!</v>
      </c>
      <c r="C619" t="str">
        <v>m'</v>
      </c>
      <c r="D619" t="str">
        <v>Pipa PVC 6" (horizontal)</v>
      </c>
      <c r="E619">
        <f>$H$513</f>
        <v>382467.125</v>
      </c>
      <c r="F619" t="e">
        <f>$F$513*B619</f>
        <v>#REF!</v>
      </c>
      <c r="G619" t="e">
        <f>$G$513*B619</f>
        <v>#REF!</v>
      </c>
    </row>
    <row r="620">
      <c r="B620" t="e">
        <f>#REF!</f>
        <v>#REF!</v>
      </c>
      <c r="C620" t="str">
        <v>m'</v>
      </c>
      <c r="D620" t="str">
        <v>Pipa PVC 5" (overflow kolam renang)</v>
      </c>
      <c r="E620">
        <f>$H$521</f>
        <v>297086.92500000005</v>
      </c>
      <c r="F620" t="e">
        <f>$F$521*B620</f>
        <v>#REF!</v>
      </c>
      <c r="G620" t="e">
        <f>$G$521*B620</f>
        <v>#REF!</v>
      </c>
    </row>
    <row r="621">
      <c r="B621" t="e">
        <f>#REF!</f>
        <v>#REF!</v>
      </c>
      <c r="C621" t="str">
        <v>m'</v>
      </c>
      <c r="D621" t="str">
        <v>Pipa PVC 4" (main drain kolam renang)</v>
      </c>
      <c r="E621">
        <f>$H$529</f>
        <v>234552.82500000004</v>
      </c>
      <c r="F621" t="e">
        <f>$F$529*B621</f>
        <v>#REF!</v>
      </c>
      <c r="G621" t="e">
        <f>$G$529*B621</f>
        <v>#REF!</v>
      </c>
    </row>
    <row r="622">
      <c r="B622">
        <v>1</v>
      </c>
      <c r="C622" t="str">
        <v>ls</v>
      </c>
      <c r="D622" t="str">
        <v>Aksesoris pipa</v>
      </c>
      <c r="E622" t="e">
        <f>SUMPRODUCT(B617:B621,E617:E621)*20%</f>
        <v>#REF!</v>
      </c>
      <c r="F622" t="e">
        <f>SUM(F617:F621)*20%</f>
        <v>#REF!</v>
      </c>
      <c r="G622" t="e">
        <f>SUM(G617:G621)*20%</f>
        <v>#REF!</v>
      </c>
    </row>
    <row r="624">
      <c r="E624" t="str">
        <v>Jumlah</v>
      </c>
      <c r="F624" t="e">
        <f>SUM(F616:F623)</f>
        <v>#REF!</v>
      </c>
      <c r="G624" t="e">
        <f>SUM(G616:G623)</f>
        <v>#REF!</v>
      </c>
      <c r="H624" t="e">
        <f>SUM(F624:G624)</f>
        <v>#REF!</v>
      </c>
    </row>
    <row r="626">
      <c r="B626" t="str">
        <v>Pekerjaan Instalasi Air Buangan ( / Air WC)</v>
      </c>
    </row>
    <row r="627">
      <c r="B627" t="e">
        <f>#REF!</f>
        <v>#REF!</v>
      </c>
      <c r="C627" t="str">
        <v>m'</v>
      </c>
      <c r="D627" t="str">
        <v>Pipa PVC 3" (vertikal)</v>
      </c>
      <c r="E627">
        <f>$H$551</f>
        <v>157815.55000000002</v>
      </c>
      <c r="F627" t="e">
        <f>$F$551*B627</f>
        <v>#REF!</v>
      </c>
      <c r="G627" t="e">
        <f>$G$551*B627</f>
        <v>#REF!</v>
      </c>
    </row>
    <row r="628">
      <c r="B628" t="e">
        <f>#REF!</f>
        <v>#REF!</v>
      </c>
      <c r="C628" t="str">
        <v>m'</v>
      </c>
      <c r="D628" t="str">
        <v>Pipa PVC 3" (horizontal)</v>
      </c>
      <c r="E628">
        <f>$H$543</f>
        <v>162815.55000000002</v>
      </c>
      <c r="F628" t="e">
        <f>$F$543*B628</f>
        <v>#REF!</v>
      </c>
      <c r="G628" t="e">
        <f>$G$543*B628</f>
        <v>#REF!</v>
      </c>
    </row>
    <row r="629">
      <c r="B629" t="e">
        <f>#REF!</f>
        <v>#REF!</v>
      </c>
      <c r="C629" t="str">
        <v>m'</v>
      </c>
      <c r="D629" t="str">
        <v>Pipa vent 1,5" (horizontal)</v>
      </c>
      <c r="E629">
        <f>$H$581</f>
        <v>85420.925</v>
      </c>
      <c r="F629" t="e">
        <f>$F$581*B629</f>
        <v>#REF!</v>
      </c>
      <c r="G629" t="e">
        <f>$G$581*B629</f>
        <v>#REF!</v>
      </c>
    </row>
    <row r="630">
      <c r="B630" t="e">
        <f>#REF!</f>
        <v>#REF!</v>
      </c>
      <c r="C630" t="str">
        <v>m'</v>
      </c>
      <c r="D630" t="str">
        <v>Pipa vent 1,5" (vertikal)</v>
      </c>
      <c r="E630">
        <f>$H$581</f>
        <v>85420.925</v>
      </c>
      <c r="F630" t="e">
        <f>$F$581*B630</f>
        <v>#REF!</v>
      </c>
      <c r="G630" t="e">
        <f>$G$581*B630</f>
        <v>#REF!</v>
      </c>
    </row>
    <row r="631">
      <c r="B631">
        <v>1</v>
      </c>
      <c r="C631" t="str">
        <v>ls</v>
      </c>
      <c r="D631" t="str">
        <v>Aksesoris pipa</v>
      </c>
      <c r="E631" t="e">
        <f>SUMPRODUCT(B627:B630,E627:E630)*20%</f>
        <v>#REF!</v>
      </c>
      <c r="F631" t="e">
        <f>SUM(F627:F630)*20%</f>
        <v>#REF!</v>
      </c>
      <c r="G631" t="e">
        <f>SUM(G627:G630)*20%</f>
        <v>#REF!</v>
      </c>
    </row>
    <row r="633">
      <c r="E633" t="str">
        <v>Jumlah</v>
      </c>
      <c r="F633" t="e">
        <f>SUM(F626:F632)</f>
        <v>#REF!</v>
      </c>
      <c r="G633" t="e">
        <f>SUM(G626:G632)</f>
        <v>#REF!</v>
      </c>
      <c r="H633" t="e">
        <f>SUM(F633:G633)</f>
        <v>#REF!</v>
      </c>
    </row>
  </sheetData>
  <mergeCells count="4">
    <mergeCell ref="B9:D9"/>
    <mergeCell ref="H9:H10"/>
    <mergeCell ref="G9:G10"/>
    <mergeCell ref="F9:F10"/>
  </mergeCells>
  <pageMargins left="0.7" right="0.7" top="0.75" bottom="0.75" header="0.3" footer="0.3"/>
  <ignoredErrors>
    <ignoredError numberStoredAsText="1" sqref="A1:AE633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D13"/>
  <sheetViews>
    <sheetView workbookViewId="0" rightToLeft="0"/>
  </sheetViews>
  <sheetData>
    <row r="1">
      <c r="A1" t="str">
        <v>Vol tangga</v>
      </c>
    </row>
    <row r="2">
      <c r="B2" t="str">
        <v>luas (m2)</v>
      </c>
      <c r="C2" t="str">
        <v>lebar (m)</v>
      </c>
      <c r="D2" t="str">
        <v>volume</v>
      </c>
    </row>
    <row r="3">
      <c r="A3" t="str">
        <v>Janitor</v>
      </c>
      <c r="B3">
        <f>(0.781037+0.663449)</f>
        <v>1.444486</v>
      </c>
      <c r="C3">
        <v>0.9</v>
      </c>
      <c r="D3">
        <f>B3*C3</f>
        <v>1.3000374</v>
      </c>
    </row>
    <row r="4">
      <c r="A4" t="str">
        <v xml:space="preserve">bordes </v>
      </c>
      <c r="B4">
        <f>0.329314</f>
        <v>0.329314</v>
      </c>
      <c r="C4">
        <v>0.85</v>
      </c>
      <c r="D4">
        <f>B4*C4</f>
        <v>0.27991689999999997</v>
      </c>
    </row>
    <row r="5">
      <c r="A5" t="str">
        <v>total</v>
      </c>
      <c r="D5">
        <f>SUM(D3:D4)</f>
        <v>1.5799542999999998</v>
      </c>
    </row>
    <row r="7">
      <c r="A7" t="str">
        <v>Service</v>
      </c>
      <c r="B7">
        <v>1.575006</v>
      </c>
      <c r="C7">
        <f>0.88</f>
        <v>0.88</v>
      </c>
      <c r="D7">
        <f>B7*C7</f>
        <v>1.38600528</v>
      </c>
    </row>
    <row r="8">
      <c r="A8" t="str">
        <v xml:space="preserve">bordes </v>
      </c>
      <c r="D8">
        <f>B8*C8</f>
        <v>0</v>
      </c>
    </row>
    <row r="9">
      <c r="A9" t="str">
        <v>total</v>
      </c>
      <c r="D9">
        <f>SUM(D7:D8)</f>
        <v>1.38600528</v>
      </c>
    </row>
    <row r="11">
      <c r="A11" t="str">
        <v>Utama</v>
      </c>
      <c r="B11">
        <v>1.962669</v>
      </c>
      <c r="C11">
        <v>2</v>
      </c>
      <c r="D11">
        <f>B11*C11</f>
        <v>3.925338</v>
      </c>
    </row>
    <row r="12">
      <c r="A12" t="str">
        <v xml:space="preserve">bordes </v>
      </c>
      <c r="D12">
        <f>B12*C12</f>
        <v>0</v>
      </c>
    </row>
    <row r="13">
      <c r="A13" t="str">
        <v>total</v>
      </c>
      <c r="D13">
        <f>SUM(D11:D12)</f>
        <v>3.925338</v>
      </c>
    </row>
  </sheetData>
  <mergeCells count="3">
    <mergeCell ref="A1:D1"/>
    <mergeCell ref="A6:D6"/>
    <mergeCell ref="A10:D10"/>
  </mergeCells>
  <pageMargins left="0.7" right="0.7" top="0.75" bottom="0.75" header="0.3" footer="0.3"/>
  <ignoredErrors>
    <ignoredError numberStoredAsText="1" sqref="A1:D13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U138"/>
  <sheetViews>
    <sheetView workbookViewId="0" rightToLeft="0"/>
  </sheetViews>
  <sheetData>
    <row r="2">
      <c r="A2" t="str">
        <v>PROJECT</v>
      </c>
      <c r="D2" t="str">
        <v>: SEMARANG TUMPANG 2-4</v>
      </c>
    </row>
    <row r="3">
      <c r="A3" t="str">
        <v>LOCATION</v>
      </c>
      <c r="G3">
        <v>0.006165</v>
      </c>
    </row>
    <row r="4">
      <c r="A4" t="str">
        <v>SUBJECT TO MEASUREMENT</v>
      </c>
      <c r="D4" t="str">
        <v>: PEKERJAAN STRUKTUR BAJA</v>
      </c>
    </row>
    <row r="5">
      <c r="A5" t="str">
        <v>DATE OF MEASUREMENT</v>
      </c>
    </row>
    <row r="6">
      <c r="A6" t="str">
        <v>MEASURE BY</v>
      </c>
      <c r="D6" t="str">
        <v>: JULIUS</v>
      </c>
    </row>
    <row r="7">
      <c r="A7" t="str">
        <v>AREA</v>
      </c>
    </row>
    <row r="8">
      <c r="P8" t="str">
        <v>Ref :</v>
      </c>
    </row>
    <row r="9">
      <c r="A9" t="str">
        <v>NO</v>
      </c>
      <c r="B9" t="str">
        <v>Lantai</v>
      </c>
      <c r="D9" t="str">
        <v>PROFIL</v>
      </c>
      <c r="E9" t="str">
        <v>ITEM MATERIAL</v>
      </c>
      <c r="F9" t="str">
        <v>KETERANGAN</v>
      </c>
      <c r="G9" t="str">
        <v>koef</v>
      </c>
      <c r="H9" t="str">
        <v>kg/(m'/m2)</v>
      </c>
      <c r="I9" t="str">
        <v>DIMENSI (mm)</v>
      </c>
      <c r="L9" t="str">
        <v>Σ /titik</v>
      </c>
      <c r="M9" t="str">
        <v>Σ layer</v>
      </c>
      <c r="N9" t="str">
        <v>Σ TIPIKAL</v>
      </c>
      <c r="O9" t="str">
        <v>QTY</v>
      </c>
      <c r="P9" t="str">
        <v>TOTAL VOL</v>
      </c>
    </row>
    <row r="10">
      <c r="G10" t="str">
        <v>berat</v>
      </c>
      <c r="I10" t="str">
        <v>P</v>
      </c>
      <c r="J10" t="str">
        <v>L</v>
      </c>
      <c r="K10" t="str">
        <v>T</v>
      </c>
      <c r="P10" t="str">
        <v>Kg</v>
      </c>
      <c r="Q10" t="str">
        <v>m'</v>
      </c>
      <c r="R10" t="str">
        <v>m3</v>
      </c>
      <c r="S10" t="str">
        <v>Buah</v>
      </c>
    </row>
    <row r="12">
      <c r="A12" t="str">
        <v>RANGKA ATAP AUDIO ROOM</v>
      </c>
    </row>
    <row r="14">
      <c r="D14" t="str">
        <v>WF.150</v>
      </c>
      <c r="E14" t="str">
        <f>VLOOKUP(D14,'DATA BAJA'!$B$5:$D$14,2,FALSE)</f>
        <v>WF 150x75x5x7</v>
      </c>
      <c r="F14" t="str">
        <v>KK.3</v>
      </c>
      <c r="G14">
        <v>1</v>
      </c>
      <c r="H14">
        <f>VLOOKUP(D14,'DATA BAJA'!$B$5:$D$14,3,FALSE)*G14</f>
        <v>14</v>
      </c>
      <c r="I14">
        <v>2120</v>
      </c>
      <c r="L14">
        <v>1</v>
      </c>
      <c r="M14">
        <v>2</v>
      </c>
      <c r="N14">
        <v>2</v>
      </c>
      <c r="O14">
        <f>L14*M14*N14</f>
        <v>4</v>
      </c>
      <c r="P14">
        <f>H14*I14/1000*O14</f>
        <v>118.72</v>
      </c>
    </row>
    <row r="15">
      <c r="D15" t="str">
        <v>WF.150</v>
      </c>
      <c r="E15" t="str">
        <f>VLOOKUP(D15,'DATA BAJA'!$B$5:$D$14,2,FALSE)</f>
        <v>WF 150x75x5x7</v>
      </c>
      <c r="F15" t="str">
        <v>haunch</v>
      </c>
      <c r="G15">
        <v>0.5</v>
      </c>
      <c r="H15">
        <f>VLOOKUP(D15,'DATA BAJA'!$B$5:$D$14,3,FALSE)*G15</f>
        <v>7</v>
      </c>
      <c r="I15">
        <v>400</v>
      </c>
      <c r="L15">
        <v>2</v>
      </c>
      <c r="M15">
        <v>2</v>
      </c>
      <c r="N15">
        <v>2</v>
      </c>
      <c r="O15">
        <f>L15*M15*N15</f>
        <v>8</v>
      </c>
      <c r="P15">
        <f>H15*I15/1000*O15</f>
        <v>22.4</v>
      </c>
    </row>
    <row r="16">
      <c r="D16" t="str">
        <v>WF.150</v>
      </c>
      <c r="E16" t="str">
        <f>VLOOKUP(D16,'DATA BAJA'!$B$5:$D$14,2,FALSE)</f>
        <v>WF 150x75x5x7</v>
      </c>
      <c r="F16" t="str">
        <v>1/2 KK.3</v>
      </c>
      <c r="G16">
        <v>1</v>
      </c>
      <c r="H16">
        <f>VLOOKUP(D16,'DATA BAJA'!$B$5:$D$14,3,FALSE)*G16</f>
        <v>14</v>
      </c>
      <c r="I16">
        <v>2120</v>
      </c>
      <c r="L16">
        <v>1</v>
      </c>
      <c r="M16">
        <v>1</v>
      </c>
      <c r="N16">
        <v>2</v>
      </c>
      <c r="O16">
        <f>L16*M16*N16</f>
        <v>2</v>
      </c>
      <c r="P16">
        <f>H16*I16/1000*O16</f>
        <v>59.36</v>
      </c>
    </row>
    <row r="17">
      <c r="D17" t="str">
        <v>WF.150</v>
      </c>
      <c r="E17" t="str">
        <f>VLOOKUP(D17,'DATA BAJA'!$B$5:$D$14,2,FALSE)</f>
        <v>WF 150x75x5x7</v>
      </c>
      <c r="F17" t="str">
        <v>haunch</v>
      </c>
      <c r="G17">
        <v>0.5</v>
      </c>
      <c r="H17">
        <f>VLOOKUP(D17,'DATA BAJA'!$B$5:$D$14,3,FALSE)*G17</f>
        <v>7</v>
      </c>
      <c r="I17">
        <v>400</v>
      </c>
      <c r="L17">
        <v>2</v>
      </c>
      <c r="M17">
        <v>1</v>
      </c>
      <c r="N17">
        <v>2</v>
      </c>
      <c r="O17">
        <f>L17*M17*N17</f>
        <v>4</v>
      </c>
      <c r="P17">
        <f>H17*I17/1000*O17</f>
        <v>11.2</v>
      </c>
    </row>
    <row r="18">
      <c r="D18" t="str">
        <v>WF.150</v>
      </c>
      <c r="E18" t="str">
        <f>VLOOKUP(D18,'DATA BAJA'!$B$5:$D$14,2,FALSE)</f>
        <v>WF 150x75x5x7</v>
      </c>
      <c r="F18" t="str">
        <v>JR.2</v>
      </c>
      <c r="G18">
        <v>1</v>
      </c>
      <c r="H18">
        <f>VLOOKUP(D18,'DATA BAJA'!$B$5:$D$14,3,FALSE)*G18</f>
        <v>14</v>
      </c>
      <c r="I18">
        <v>2950</v>
      </c>
      <c r="L18">
        <v>1</v>
      </c>
      <c r="M18">
        <v>1</v>
      </c>
      <c r="N18">
        <v>4</v>
      </c>
      <c r="O18">
        <f>L18*M18*N18</f>
        <v>4</v>
      </c>
      <c r="P18">
        <f>H18*I18/1000*O18</f>
        <v>165.2</v>
      </c>
    </row>
    <row r="19">
      <c r="D19" t="str">
        <v>WF.150</v>
      </c>
      <c r="E19" t="str">
        <f>VLOOKUP(D19,'DATA BAJA'!$B$5:$D$14,2,FALSE)</f>
        <v>WF 150x75x5x7</v>
      </c>
      <c r="F19" t="str">
        <v>haunch</v>
      </c>
      <c r="G19">
        <v>0.5</v>
      </c>
      <c r="H19">
        <f>VLOOKUP(D19,'DATA BAJA'!$B$5:$D$14,3,FALSE)*G19</f>
        <v>7</v>
      </c>
      <c r="I19">
        <v>400</v>
      </c>
      <c r="L19">
        <v>2</v>
      </c>
      <c r="M19">
        <v>2</v>
      </c>
      <c r="N19">
        <v>2</v>
      </c>
      <c r="O19">
        <f>L19*M19*N19</f>
        <v>8</v>
      </c>
      <c r="P19">
        <f>H19*I19/1000*O19</f>
        <v>22.4</v>
      </c>
    </row>
    <row r="20">
      <c r="D20" t="str">
        <v>WF.200</v>
      </c>
      <c r="E20" t="str">
        <f>VLOOKUP(D20,'DATA BAJA'!$B$5:$D$14,2,FALSE)</f>
        <v>WF 200x100x5,5x8</v>
      </c>
      <c r="F20" t="str">
        <v>king's cross</v>
      </c>
      <c r="G20">
        <v>2</v>
      </c>
      <c r="H20">
        <f>VLOOKUP(D20,'DATA BAJA'!$B$5:$D$14,3,FALSE)*G20</f>
        <v>42.66</v>
      </c>
      <c r="I20">
        <v>320</v>
      </c>
      <c r="L20">
        <v>1</v>
      </c>
      <c r="M20">
        <v>1</v>
      </c>
      <c r="N20">
        <v>2</v>
      </c>
      <c r="O20">
        <f>L20*M20*N20</f>
        <v>2</v>
      </c>
      <c r="P20">
        <f>H20*I20/1000*O20</f>
        <v>27.3024</v>
      </c>
    </row>
    <row r="21">
      <c r="D21" t="str">
        <v>CNP.150</v>
      </c>
      <c r="E21" t="str">
        <f>VLOOKUP(D21,'DATA BAJA'!$B$5:$D$14,2,FALSE)</f>
        <v>CNP 150x50x20x2,3</v>
      </c>
      <c r="F21" t="str">
        <v>gording</v>
      </c>
      <c r="G21">
        <v>1</v>
      </c>
      <c r="H21">
        <f>VLOOKUP(D21,'DATA BAJA'!$B$5:$D$14,3,FALSE)*G21</f>
        <v>4.96</v>
      </c>
      <c r="I21">
        <v>17800</v>
      </c>
      <c r="L21">
        <v>1</v>
      </c>
      <c r="M21">
        <v>1</v>
      </c>
      <c r="N21">
        <v>1</v>
      </c>
      <c r="O21">
        <f>L21*M21*N21</f>
        <v>1</v>
      </c>
      <c r="P21">
        <f>H21*I21/1000*O21</f>
        <v>88.288</v>
      </c>
    </row>
    <row r="22">
      <c r="D22" t="str">
        <v>CNP.150</v>
      </c>
      <c r="E22" t="str">
        <f>VLOOKUP(D22,'DATA BAJA'!$B$5:$D$14,2,FALSE)</f>
        <v>CNP 150x50x20x2,3</v>
      </c>
      <c r="F22" t="str">
        <v>gording</v>
      </c>
      <c r="G22">
        <v>1</v>
      </c>
      <c r="H22">
        <f>VLOOKUP(D22,'DATA BAJA'!$B$5:$D$14,3,FALSE)*G22</f>
        <v>4.96</v>
      </c>
      <c r="I22">
        <v>10600</v>
      </c>
      <c r="L22">
        <v>1</v>
      </c>
      <c r="M22">
        <v>1</v>
      </c>
      <c r="N22">
        <v>1</v>
      </c>
      <c r="O22">
        <f>L22*M22*N22</f>
        <v>1</v>
      </c>
      <c r="P22">
        <f>H22*I22/1000*O22</f>
        <v>52.576</v>
      </c>
    </row>
    <row r="23">
      <c r="D23" t="str">
        <v>CNP.150</v>
      </c>
      <c r="E23" t="str">
        <f>VLOOKUP(D23,'DATA BAJA'!$B$5:$D$14,2,FALSE)</f>
        <v>CNP 150x50x20x2,3</v>
      </c>
      <c r="F23" t="str">
        <v>gording</v>
      </c>
      <c r="G23">
        <v>1</v>
      </c>
      <c r="H23">
        <f>VLOOKUP(D23,'DATA BAJA'!$B$5:$D$14,3,FALSE)*G23</f>
        <v>4.96</v>
      </c>
      <c r="I23">
        <v>3400</v>
      </c>
      <c r="L23">
        <v>1</v>
      </c>
      <c r="M23">
        <v>1</v>
      </c>
      <c r="N23">
        <v>1</v>
      </c>
      <c r="O23">
        <f>L23*M23*N23</f>
        <v>1</v>
      </c>
      <c r="P23">
        <f>H23*I23/1000*O23</f>
        <v>16.864</v>
      </c>
    </row>
    <row r="25">
      <c r="A25" t="str">
        <v>RANGKA ATAP UTAMA</v>
      </c>
    </row>
    <row r="27">
      <c r="D27" t="str">
        <v>WF.200</v>
      </c>
      <c r="E27" t="str">
        <f>VLOOKUP(D27,'DATA BAJA'!$B$5:$D$14,2,FALSE)</f>
        <v>WF 200x100x5,5x8</v>
      </c>
      <c r="F27" t="str">
        <v>KK.1</v>
      </c>
      <c r="G27">
        <v>1</v>
      </c>
      <c r="H27">
        <f>VLOOKUP(D27,'DATA BAJA'!$B$5:$D$14,3,FALSE)*G27</f>
        <v>21.33</v>
      </c>
      <c r="I27">
        <v>3000</v>
      </c>
      <c r="L27">
        <v>1</v>
      </c>
      <c r="M27">
        <v>2</v>
      </c>
      <c r="N27">
        <v>4</v>
      </c>
      <c r="O27">
        <f>L27*M27*N27</f>
        <v>8</v>
      </c>
      <c r="P27">
        <f>H27*I27/1000*O27</f>
        <v>511.91999999999996</v>
      </c>
    </row>
    <row r="28">
      <c r="D28" t="str">
        <v>WF.200</v>
      </c>
      <c r="E28" t="str">
        <f>VLOOKUP(D28,'DATA BAJA'!$B$5:$D$14,2,FALSE)</f>
        <v>WF 200x100x5,5x8</v>
      </c>
      <c r="F28" t="str">
        <v>haunch</v>
      </c>
      <c r="G28">
        <v>0.5</v>
      </c>
      <c r="H28">
        <f>VLOOKUP(D28,'DATA BAJA'!$B$5:$D$14,3,FALSE)*G28</f>
        <v>10.665</v>
      </c>
      <c r="I28">
        <v>600</v>
      </c>
      <c r="L28">
        <v>2</v>
      </c>
      <c r="M28">
        <v>2</v>
      </c>
      <c r="N28">
        <v>4</v>
      </c>
      <c r="O28">
        <f>L28*M28*N28</f>
        <v>16</v>
      </c>
      <c r="P28">
        <f>H28*I28/1000*O28</f>
        <v>102.38399999999999</v>
      </c>
    </row>
    <row r="29">
      <c r="D29" t="str">
        <v>WF.200</v>
      </c>
      <c r="E29" t="str">
        <f>VLOOKUP(D29,'DATA BAJA'!$B$5:$D$14,2,FALSE)</f>
        <v>WF 200x100x5,5x8</v>
      </c>
      <c r="F29" t="str">
        <v>JR.1</v>
      </c>
      <c r="G29">
        <v>1</v>
      </c>
      <c r="H29">
        <f>VLOOKUP(D29,'DATA BAJA'!$B$5:$D$14,3,FALSE)*G29</f>
        <v>21.33</v>
      </c>
      <c r="I29">
        <v>3000</v>
      </c>
      <c r="L29">
        <v>1</v>
      </c>
      <c r="M29">
        <v>1</v>
      </c>
      <c r="N29">
        <v>4</v>
      </c>
      <c r="O29">
        <f>L29*M29*N29</f>
        <v>4</v>
      </c>
      <c r="P29">
        <f>H29*I29/1000*O29</f>
        <v>255.95999999999998</v>
      </c>
    </row>
    <row r="30">
      <c r="D30" t="str">
        <v>WF.200</v>
      </c>
      <c r="E30" t="str">
        <f>VLOOKUP(D30,'DATA BAJA'!$B$5:$D$14,2,FALSE)</f>
        <v>WF 200x100x5,5x8</v>
      </c>
      <c r="F30" t="str">
        <v>haunch</v>
      </c>
      <c r="G30">
        <v>0.5</v>
      </c>
      <c r="H30">
        <f>VLOOKUP(D30,'DATA BAJA'!$B$5:$D$14,3,FALSE)*G30</f>
        <v>10.665</v>
      </c>
      <c r="I30">
        <v>600</v>
      </c>
      <c r="L30">
        <v>1</v>
      </c>
      <c r="M30">
        <v>2</v>
      </c>
      <c r="N30">
        <v>4</v>
      </c>
      <c r="O30">
        <f>L30*M30*N30</f>
        <v>8</v>
      </c>
      <c r="P30">
        <f>H30*I30/1000*O30</f>
        <v>51.19199999999999</v>
      </c>
    </row>
    <row r="31">
      <c r="D31" t="str">
        <v>WF.200</v>
      </c>
      <c r="E31" t="str">
        <f>VLOOKUP(D31,'DATA BAJA'!$B$5:$D$14,2,FALSE)</f>
        <v>WF 200x100x5,5x8</v>
      </c>
      <c r="F31" t="str">
        <v>1/2 KK.1</v>
      </c>
      <c r="G31">
        <v>1</v>
      </c>
      <c r="H31">
        <f>VLOOKUP(D31,'DATA BAJA'!$B$5:$D$14,3,FALSE)*G31</f>
        <v>21.33</v>
      </c>
      <c r="I31">
        <v>3000</v>
      </c>
      <c r="L31">
        <v>1</v>
      </c>
      <c r="M31">
        <v>1</v>
      </c>
      <c r="N31">
        <v>2</v>
      </c>
      <c r="O31">
        <f>L31*M31*N31</f>
        <v>2</v>
      </c>
      <c r="P31">
        <f>H31*I31/1000*O31</f>
        <v>127.97999999999999</v>
      </c>
    </row>
    <row r="32">
      <c r="D32" t="str">
        <v>WF.200</v>
      </c>
      <c r="E32" t="str">
        <f>VLOOKUP(D32,'DATA BAJA'!$B$5:$D$14,2,FALSE)</f>
        <v>WF 200x100x5,5x8</v>
      </c>
      <c r="F32" t="str">
        <v>haunch</v>
      </c>
      <c r="G32">
        <v>0.5</v>
      </c>
      <c r="H32">
        <f>VLOOKUP(D32,'DATA BAJA'!$B$5:$D$14,3,FALSE)*G32</f>
        <v>10.665</v>
      </c>
      <c r="I32">
        <v>600</v>
      </c>
      <c r="L32">
        <v>1</v>
      </c>
      <c r="M32">
        <v>2</v>
      </c>
      <c r="N32">
        <v>2</v>
      </c>
      <c r="O32">
        <f>L32*M32*N32</f>
        <v>4</v>
      </c>
      <c r="P32">
        <f>H32*I32/1000*O32</f>
        <v>25.595999999999997</v>
      </c>
    </row>
    <row r="33">
      <c r="D33" t="str">
        <v>WF.200</v>
      </c>
      <c r="E33" t="str">
        <f>VLOOKUP(D33,'DATA BAJA'!$B$5:$D$14,2,FALSE)</f>
        <v>WF 200x100x5,5x8</v>
      </c>
      <c r="F33" t="str">
        <v>nok</v>
      </c>
      <c r="G33">
        <v>1</v>
      </c>
      <c r="H33">
        <f>VLOOKUP(D33,'DATA BAJA'!$B$5:$D$14,3,FALSE)*G33</f>
        <v>21.33</v>
      </c>
      <c r="I33">
        <v>2175</v>
      </c>
      <c r="L33">
        <v>1</v>
      </c>
      <c r="M33">
        <v>1</v>
      </c>
      <c r="N33">
        <v>1</v>
      </c>
      <c r="O33">
        <f>L33*M33*N33</f>
        <v>1</v>
      </c>
      <c r="P33">
        <f>H33*I33/1000*O33</f>
        <v>46.39274999999999</v>
      </c>
    </row>
    <row r="34">
      <c r="D34" t="str">
        <v>WF.200</v>
      </c>
      <c r="E34" t="str">
        <f>VLOOKUP(D34,'DATA BAJA'!$B$5:$D$14,2,FALSE)</f>
        <v>WF 200x100x5,5x8</v>
      </c>
      <c r="F34" t="str">
        <v>haunch</v>
      </c>
      <c r="G34">
        <v>0.5</v>
      </c>
      <c r="H34">
        <f>VLOOKUP(D34,'DATA BAJA'!$B$5:$D$14,3,FALSE)*G34</f>
        <v>10.665</v>
      </c>
      <c r="I34">
        <v>600</v>
      </c>
      <c r="L34">
        <v>1</v>
      </c>
      <c r="M34">
        <v>2</v>
      </c>
      <c r="N34">
        <v>1</v>
      </c>
      <c r="O34">
        <f>L34*M34*N34</f>
        <v>2</v>
      </c>
      <c r="P34">
        <f>H34*I34/1000*O34</f>
        <v>12.797999999999998</v>
      </c>
    </row>
    <row r="35">
      <c r="D35" t="str">
        <v>WF.200</v>
      </c>
      <c r="E35" t="str">
        <f>VLOOKUP(D35,'DATA BAJA'!$B$5:$D$14,2,FALSE)</f>
        <v>WF 200x100x5,5x8</v>
      </c>
      <c r="F35" t="str">
        <v>nok</v>
      </c>
      <c r="G35">
        <v>1</v>
      </c>
      <c r="H35">
        <f>VLOOKUP(D35,'DATA BAJA'!$B$5:$D$14,3,FALSE)*G35</f>
        <v>21.33</v>
      </c>
      <c r="I35">
        <v>1575</v>
      </c>
      <c r="L35">
        <v>1</v>
      </c>
      <c r="M35">
        <v>1</v>
      </c>
      <c r="N35">
        <v>1</v>
      </c>
      <c r="O35">
        <f>L35*M35*N35</f>
        <v>1</v>
      </c>
      <c r="P35">
        <f>H35*I35/1000*O35</f>
        <v>33.59475</v>
      </c>
    </row>
    <row r="36">
      <c r="D36" t="str">
        <v>WF.200</v>
      </c>
      <c r="E36" t="str">
        <f>VLOOKUP(D36,'DATA BAJA'!$B$5:$D$14,2,FALSE)</f>
        <v>WF 200x100x5,5x8</v>
      </c>
      <c r="F36" t="str">
        <v>haunch</v>
      </c>
      <c r="G36">
        <v>0.5</v>
      </c>
      <c r="H36">
        <f>VLOOKUP(D36,'DATA BAJA'!$B$5:$D$14,3,FALSE)*G36</f>
        <v>10.665</v>
      </c>
      <c r="I36">
        <v>600</v>
      </c>
      <c r="L36">
        <v>1</v>
      </c>
      <c r="M36">
        <v>2</v>
      </c>
      <c r="N36">
        <v>1</v>
      </c>
      <c r="O36">
        <f>L36*M36*N36</f>
        <v>2</v>
      </c>
      <c r="P36">
        <f>H36*I36/1000*O36</f>
        <v>12.797999999999998</v>
      </c>
    </row>
    <row r="37">
      <c r="D37" t="str">
        <v>WF.200</v>
      </c>
      <c r="E37" t="str">
        <f>VLOOKUP(D37,'DATA BAJA'!$B$5:$D$14,2,FALSE)</f>
        <v>WF 200x100x5,5x8</v>
      </c>
      <c r="F37" t="str">
        <v>rangka atap kaca</v>
      </c>
      <c r="G37">
        <v>1</v>
      </c>
      <c r="H37">
        <f>VLOOKUP(D37,'DATA BAJA'!$B$5:$D$14,3,FALSE)*G37</f>
        <v>21.33</v>
      </c>
      <c r="I37">
        <v>3245</v>
      </c>
      <c r="L37">
        <v>1</v>
      </c>
      <c r="M37">
        <v>1</v>
      </c>
      <c r="N37">
        <v>2</v>
      </c>
      <c r="O37">
        <f>L37*M37*N37</f>
        <v>2</v>
      </c>
      <c r="P37">
        <f>H37*I37/1000*O37</f>
        <v>138.43169999999998</v>
      </c>
    </row>
    <row r="38">
      <c r="D38" t="str">
        <v>WF.150</v>
      </c>
      <c r="E38" t="str">
        <f>VLOOKUP(D38,'DATA BAJA'!$B$5:$D$14,2,FALSE)</f>
        <v>WF 150x75x5x7</v>
      </c>
      <c r="F38" t="str">
        <v>rangka atap kaca</v>
      </c>
      <c r="G38">
        <v>1</v>
      </c>
      <c r="H38">
        <f>VLOOKUP(D38,'DATA BAJA'!$B$5:$D$14,3,FALSE)*G38</f>
        <v>14</v>
      </c>
      <c r="I38">
        <v>1750</v>
      </c>
      <c r="L38">
        <v>2</v>
      </c>
      <c r="M38">
        <v>1</v>
      </c>
      <c r="N38">
        <v>1</v>
      </c>
      <c r="O38">
        <f>L38*M38*N38</f>
        <v>2</v>
      </c>
      <c r="P38">
        <f>H38*I38/1000*O38</f>
        <v>49</v>
      </c>
    </row>
    <row r="39">
      <c r="D39" t="str">
        <v>WF.150</v>
      </c>
      <c r="E39" t="str">
        <f>VLOOKUP(D39,'DATA BAJA'!$B$5:$D$14,2,FALSE)</f>
        <v>WF 150x75x5x7</v>
      </c>
      <c r="F39" t="str">
        <v>rangka atap kaca</v>
      </c>
      <c r="G39">
        <v>1</v>
      </c>
      <c r="H39">
        <f>VLOOKUP(D39,'DATA BAJA'!$B$5:$D$14,3,FALSE)*G39</f>
        <v>14</v>
      </c>
      <c r="I39">
        <v>3250</v>
      </c>
      <c r="L39">
        <v>2</v>
      </c>
      <c r="M39">
        <v>1</v>
      </c>
      <c r="N39">
        <v>1</v>
      </c>
      <c r="O39">
        <f>L39*M39*N39</f>
        <v>2</v>
      </c>
      <c r="P39">
        <f>H39*I39/1000*O39</f>
        <v>91</v>
      </c>
    </row>
    <row r="40">
      <c r="D40" t="str">
        <v>WF.150</v>
      </c>
      <c r="E40" t="str">
        <f>VLOOKUP(D40,'DATA BAJA'!$B$5:$D$14,2,FALSE)</f>
        <v>WF 150x75x5x7</v>
      </c>
      <c r="F40" t="str">
        <v>kolom</v>
      </c>
      <c r="G40">
        <v>1</v>
      </c>
      <c r="H40">
        <f>VLOOKUP(D40,'DATA BAJA'!$B$5:$D$14,3,FALSE)*G40</f>
        <v>14</v>
      </c>
      <c r="I40">
        <v>300</v>
      </c>
      <c r="L40">
        <v>1</v>
      </c>
      <c r="M40">
        <v>1</v>
      </c>
      <c r="N40">
        <v>4</v>
      </c>
      <c r="O40">
        <f>L40*M40*N40</f>
        <v>4</v>
      </c>
      <c r="P40">
        <f>H40*I40/1000*O40</f>
        <v>16.8</v>
      </c>
    </row>
    <row r="41">
      <c r="D41" t="str">
        <v>WF.200</v>
      </c>
      <c r="E41" t="str">
        <f>VLOOKUP(D41,'DATA BAJA'!$B$5:$D$14,2,FALSE)</f>
        <v>WF 200x100x5,5x8</v>
      </c>
      <c r="F41" t="str">
        <v>king's cross</v>
      </c>
      <c r="G41">
        <v>2</v>
      </c>
      <c r="H41">
        <f>VLOOKUP(D41,'DATA BAJA'!$B$5:$D$14,3,FALSE)*G41</f>
        <v>42.66</v>
      </c>
      <c r="I41">
        <v>400</v>
      </c>
      <c r="L41">
        <v>1</v>
      </c>
      <c r="M41">
        <v>1</v>
      </c>
      <c r="N41">
        <v>4</v>
      </c>
      <c r="O41">
        <f>L41*M41*N41</f>
        <v>4</v>
      </c>
      <c r="P41">
        <f>H41*I41/1000*O41</f>
        <v>68.256</v>
      </c>
    </row>
    <row r="42">
      <c r="D42" t="str">
        <v>CNP.150</v>
      </c>
      <c r="E42" t="str">
        <f>VLOOKUP(D42,'DATA BAJA'!$B$5:$D$14,2,FALSE)</f>
        <v>CNP 150x50x20x2,3</v>
      </c>
      <c r="F42" t="str">
        <v>gording</v>
      </c>
      <c r="G42">
        <v>1</v>
      </c>
      <c r="H42">
        <f>VLOOKUP(D42,'DATA BAJA'!$B$5:$D$14,3,FALSE)*G42</f>
        <v>4.96</v>
      </c>
      <c r="I42">
        <v>38600</v>
      </c>
      <c r="L42">
        <v>1</v>
      </c>
      <c r="M42">
        <v>1</v>
      </c>
      <c r="N42">
        <v>1</v>
      </c>
      <c r="O42">
        <f>L42*M42*N42</f>
        <v>1</v>
      </c>
      <c r="P42">
        <f>H42*I42/1000*O42</f>
        <v>191.456</v>
      </c>
    </row>
    <row r="43">
      <c r="D43" t="str">
        <v>CNP.150</v>
      </c>
      <c r="E43" t="str">
        <f>VLOOKUP(D43,'DATA BAJA'!$B$5:$D$14,2,FALSE)</f>
        <v>CNP 150x50x20x2,3</v>
      </c>
      <c r="F43" t="str">
        <v>gording</v>
      </c>
      <c r="G43">
        <v>1</v>
      </c>
      <c r="H43">
        <f>VLOOKUP(D43,'DATA BAJA'!$B$5:$D$14,3,FALSE)*G43</f>
        <v>4.96</v>
      </c>
      <c r="I43">
        <v>31400</v>
      </c>
      <c r="L43">
        <v>1</v>
      </c>
      <c r="M43">
        <v>1</v>
      </c>
      <c r="N43">
        <v>1</v>
      </c>
      <c r="O43">
        <f>L43*M43*N43</f>
        <v>1</v>
      </c>
      <c r="P43">
        <f>H43*I43/1000*O43</f>
        <v>155.744</v>
      </c>
    </row>
    <row r="44">
      <c r="D44" t="str">
        <v>CNP.150</v>
      </c>
      <c r="E44" t="str">
        <f>VLOOKUP(D44,'DATA BAJA'!$B$5:$D$14,2,FALSE)</f>
        <v>CNP 150x50x20x2,3</v>
      </c>
      <c r="F44" t="str">
        <v>gording</v>
      </c>
      <c r="G44">
        <v>1</v>
      </c>
      <c r="H44">
        <f>VLOOKUP(D44,'DATA BAJA'!$B$5:$D$14,3,FALSE)*G44</f>
        <v>4.96</v>
      </c>
      <c r="I44">
        <v>24200</v>
      </c>
      <c r="L44">
        <v>1</v>
      </c>
      <c r="M44">
        <v>1</v>
      </c>
      <c r="N44">
        <v>1</v>
      </c>
      <c r="O44">
        <f>L44*M44*N44</f>
        <v>1</v>
      </c>
      <c r="P44">
        <f>H44*I44/1000*O44</f>
        <v>120.032</v>
      </c>
    </row>
    <row r="45">
      <c r="D45" t="str">
        <v>CNP.150</v>
      </c>
      <c r="E45" t="str">
        <f>VLOOKUP(D45,'DATA BAJA'!$B$5:$D$14,2,FALSE)</f>
        <v>CNP 150x50x20x2,3</v>
      </c>
      <c r="F45" t="str">
        <v>gording</v>
      </c>
      <c r="G45">
        <v>1</v>
      </c>
      <c r="H45">
        <f>VLOOKUP(D45,'DATA BAJA'!$B$5:$D$14,3,FALSE)*G45</f>
        <v>4.96</v>
      </c>
      <c r="I45">
        <v>4500</v>
      </c>
      <c r="L45">
        <v>1</v>
      </c>
      <c r="M45">
        <v>1</v>
      </c>
      <c r="N45">
        <v>1</v>
      </c>
      <c r="O45">
        <f>L45*M45*N45</f>
        <v>1</v>
      </c>
      <c r="P45">
        <f>H45*I45/1000*O45</f>
        <v>22.32</v>
      </c>
    </row>
    <row r="46">
      <c r="D46" t="str">
        <v>CNP.150</v>
      </c>
      <c r="E46" t="str">
        <f>VLOOKUP(D46,'DATA BAJA'!$B$5:$D$14,2,FALSE)</f>
        <v>CNP 150x50x20x2,3</v>
      </c>
      <c r="F46" t="str">
        <v>gording</v>
      </c>
      <c r="G46">
        <v>1</v>
      </c>
      <c r="H46">
        <f>VLOOKUP(D46,'DATA BAJA'!$B$5:$D$14,3,FALSE)*G46</f>
        <v>4.96</v>
      </c>
      <c r="I46">
        <v>5950</v>
      </c>
      <c r="L46">
        <v>1</v>
      </c>
      <c r="M46">
        <v>1</v>
      </c>
      <c r="N46">
        <v>1</v>
      </c>
      <c r="O46">
        <f>L46*M46*N46</f>
        <v>1</v>
      </c>
      <c r="P46">
        <f>H46*I46/1000*O46</f>
        <v>29.512</v>
      </c>
    </row>
    <row r="48">
      <c r="A48" t="str">
        <v>RANGKA ATAP PALSUAN</v>
      </c>
    </row>
    <row r="50">
      <c r="D50" t="str">
        <v>UNP.80</v>
      </c>
      <c r="E50" t="str">
        <f>VLOOKUP(D50,'DATA BAJA'!$B$5:$D$14,2,FALSE)</f>
        <v>UNP 80x45x6</v>
      </c>
      <c r="F50" t="str">
        <v>KK.4</v>
      </c>
      <c r="G50">
        <v>1</v>
      </c>
      <c r="H50">
        <f>VLOOKUP(D50,'DATA BAJA'!$B$5:$D$14,3,FALSE)*G50</f>
        <v>8.166666666666666</v>
      </c>
      <c r="I50">
        <v>2640</v>
      </c>
      <c r="L50">
        <v>1</v>
      </c>
      <c r="M50">
        <v>1</v>
      </c>
      <c r="N50">
        <v>11</v>
      </c>
      <c r="O50">
        <f>L50*M50*N50</f>
        <v>11</v>
      </c>
      <c r="P50">
        <f>H50*I50/1000*O50</f>
        <v>237.16</v>
      </c>
    </row>
    <row r="51">
      <c r="D51" t="str">
        <v>UNP.80</v>
      </c>
      <c r="E51" t="str">
        <f>VLOOKUP(D51,'DATA BAJA'!$B$5:$D$14,2,FALSE)</f>
        <v>UNP 80x45x6</v>
      </c>
      <c r="F51" t="str">
        <v>KK.4</v>
      </c>
      <c r="G51">
        <v>1</v>
      </c>
      <c r="H51">
        <f>VLOOKUP(D51,'DATA BAJA'!$B$5:$D$14,3,FALSE)*G51</f>
        <v>8.166666666666666</v>
      </c>
      <c r="I51">
        <v>3050</v>
      </c>
      <c r="L51">
        <v>1</v>
      </c>
      <c r="M51">
        <v>1</v>
      </c>
      <c r="N51">
        <v>11</v>
      </c>
      <c r="O51">
        <f>L51*M51*N51</f>
        <v>11</v>
      </c>
      <c r="P51">
        <f>H51*I51/1000*O51</f>
        <v>273.9916666666667</v>
      </c>
    </row>
    <row r="52">
      <c r="D52" t="str">
        <v>UNP.80</v>
      </c>
      <c r="E52" t="str">
        <f>VLOOKUP(D52,'DATA BAJA'!$B$5:$D$14,2,FALSE)</f>
        <v>UNP 80x45x6</v>
      </c>
      <c r="F52" t="str">
        <v>KK.4</v>
      </c>
      <c r="G52">
        <v>1</v>
      </c>
      <c r="H52">
        <f>VLOOKUP(D52,'DATA BAJA'!$B$5:$D$14,3,FALSE)*G52</f>
        <v>8.166666666666666</v>
      </c>
      <c r="I52">
        <v>425</v>
      </c>
      <c r="L52">
        <v>1</v>
      </c>
      <c r="M52">
        <v>1</v>
      </c>
      <c r="N52">
        <v>11</v>
      </c>
      <c r="O52">
        <f>L52*M52*N52</f>
        <v>11</v>
      </c>
      <c r="P52">
        <f>H52*I52/1000*O52</f>
        <v>38.17916666666667</v>
      </c>
    </row>
    <row r="53">
      <c r="D53" t="str">
        <v>L.40</v>
      </c>
      <c r="E53" t="str">
        <f>VLOOKUP(D53,'DATA BAJA'!$B$5:$D$14,2,FALSE)</f>
        <v>L 40x40x4</v>
      </c>
      <c r="F53" t="str">
        <v>KK.4</v>
      </c>
      <c r="G53">
        <v>1</v>
      </c>
      <c r="H53">
        <f>VLOOKUP(D53,'DATA BAJA'!$B$5:$D$14,3,FALSE)*G53</f>
        <v>2.74</v>
      </c>
      <c r="I53">
        <v>210</v>
      </c>
      <c r="L53">
        <v>1</v>
      </c>
      <c r="M53">
        <v>1</v>
      </c>
      <c r="N53">
        <v>11</v>
      </c>
      <c r="O53">
        <f>L53*M53*N53</f>
        <v>11</v>
      </c>
      <c r="P53">
        <f>H53*I53/1000*O53</f>
        <v>6.3294000000000015</v>
      </c>
    </row>
    <row r="54">
      <c r="D54" t="str">
        <v>L.40</v>
      </c>
      <c r="E54" t="str">
        <f>VLOOKUP(D54,'DATA BAJA'!$B$5:$D$14,2,FALSE)</f>
        <v>L 40x40x4</v>
      </c>
      <c r="F54" t="str">
        <v>KK.4</v>
      </c>
      <c r="G54">
        <v>1</v>
      </c>
      <c r="H54">
        <f>VLOOKUP(D54,'DATA BAJA'!$B$5:$D$14,3,FALSE)*G54</f>
        <v>2.74</v>
      </c>
      <c r="I54">
        <v>900</v>
      </c>
      <c r="L54">
        <v>1</v>
      </c>
      <c r="M54">
        <v>1</v>
      </c>
      <c r="N54">
        <v>11</v>
      </c>
      <c r="O54">
        <f>L54*M54*N54</f>
        <v>11</v>
      </c>
      <c r="P54">
        <f>H54*I54/1000*O54</f>
        <v>27.126</v>
      </c>
    </row>
    <row r="56">
      <c r="D56" t="str">
        <v>UNP.80</v>
      </c>
      <c r="E56" t="str">
        <f>VLOOKUP(D56,'DATA BAJA'!$B$5:$D$14,2,FALSE)</f>
        <v>UNP 80x45x6</v>
      </c>
      <c r="F56" t="str">
        <v>JR.3</v>
      </c>
      <c r="G56">
        <v>1</v>
      </c>
      <c r="H56">
        <f>VLOOKUP(D56,'DATA BAJA'!$B$5:$D$14,3,FALSE)*G56</f>
        <v>8.166666666666666</v>
      </c>
      <c r="I56">
        <v>2695</v>
      </c>
      <c r="L56">
        <v>1</v>
      </c>
      <c r="M56">
        <v>1</v>
      </c>
      <c r="N56">
        <v>3</v>
      </c>
      <c r="O56">
        <f>L56*M56*N56</f>
        <v>3</v>
      </c>
      <c r="P56">
        <f>H56*I56/1000*O56</f>
        <v>66.0275</v>
      </c>
    </row>
    <row r="57">
      <c r="D57" t="str">
        <v>UNP.80</v>
      </c>
      <c r="E57" t="str">
        <f>VLOOKUP(D57,'DATA BAJA'!$B$5:$D$14,2,FALSE)</f>
        <v>UNP 80x45x6</v>
      </c>
      <c r="F57" t="str">
        <v>JR.3</v>
      </c>
      <c r="G57">
        <v>1</v>
      </c>
      <c r="H57">
        <f>VLOOKUP(D57,'DATA BAJA'!$B$5:$D$14,3,FALSE)*G57</f>
        <v>8.166666666666666</v>
      </c>
      <c r="I57">
        <v>3050</v>
      </c>
      <c r="L57">
        <v>1</v>
      </c>
      <c r="M57">
        <v>1</v>
      </c>
      <c r="N57">
        <v>3</v>
      </c>
      <c r="O57">
        <f>L57*M57*N57</f>
        <v>3</v>
      </c>
      <c r="P57">
        <f>H57*I57/1000*O57</f>
        <v>74.725</v>
      </c>
    </row>
    <row r="58">
      <c r="D58" t="str">
        <v>UNP.80</v>
      </c>
      <c r="E58" t="str">
        <f>VLOOKUP(D58,'DATA BAJA'!$B$5:$D$14,2,FALSE)</f>
        <v>UNP 80x45x6</v>
      </c>
      <c r="F58" t="str">
        <v>JR.3</v>
      </c>
      <c r="G58">
        <v>1</v>
      </c>
      <c r="H58">
        <f>VLOOKUP(D58,'DATA BAJA'!$B$5:$D$14,3,FALSE)*G58</f>
        <v>8.166666666666666</v>
      </c>
      <c r="I58">
        <v>630</v>
      </c>
      <c r="L58">
        <v>1</v>
      </c>
      <c r="M58">
        <v>1</v>
      </c>
      <c r="N58">
        <v>3</v>
      </c>
      <c r="O58">
        <f>L58*M58*N58</f>
        <v>3</v>
      </c>
      <c r="P58">
        <f>H58*I58/1000*O58</f>
        <v>15.434999999999999</v>
      </c>
    </row>
    <row r="59">
      <c r="D59" t="str">
        <v>L.40</v>
      </c>
      <c r="E59" t="str">
        <f>VLOOKUP(D59,'DATA BAJA'!$B$5:$D$14,2,FALSE)</f>
        <v>L 40x40x4</v>
      </c>
      <c r="F59" t="str">
        <v>JR.3</v>
      </c>
      <c r="G59">
        <v>1</v>
      </c>
      <c r="H59">
        <f>VLOOKUP(D59,'DATA BAJA'!$B$5:$D$14,3,FALSE)*G59</f>
        <v>2.74</v>
      </c>
      <c r="I59">
        <v>970</v>
      </c>
      <c r="L59">
        <v>1</v>
      </c>
      <c r="M59">
        <v>1</v>
      </c>
      <c r="N59">
        <v>3</v>
      </c>
      <c r="O59">
        <f>L59*M59*N59</f>
        <v>3</v>
      </c>
      <c r="P59">
        <f>H59*I59/1000*O59</f>
        <v>7.973400000000002</v>
      </c>
    </row>
    <row r="60">
      <c r="D60" t="str">
        <v>L.40</v>
      </c>
      <c r="E60" t="str">
        <f>VLOOKUP(D60,'DATA BAJA'!$B$5:$D$14,2,FALSE)</f>
        <v>L 40x40x4</v>
      </c>
      <c r="F60" t="str">
        <v>JR.3</v>
      </c>
      <c r="G60">
        <v>1</v>
      </c>
      <c r="H60">
        <f>VLOOKUP(D60,'DATA BAJA'!$B$5:$D$14,3,FALSE)*G60</f>
        <v>2.74</v>
      </c>
      <c r="I60">
        <v>330</v>
      </c>
      <c r="L60">
        <v>1</v>
      </c>
      <c r="M60">
        <v>1</v>
      </c>
      <c r="N60">
        <v>3</v>
      </c>
      <c r="O60">
        <f>L60*M60*N60</f>
        <v>3</v>
      </c>
      <c r="P60">
        <f>H60*I60/1000*O60</f>
        <v>2.7126</v>
      </c>
    </row>
    <row r="62">
      <c r="D62" t="str">
        <v>HL.100</v>
      </c>
      <c r="E62" t="str">
        <f>VLOOKUP(D62,'DATA BAJA'!$B$5:$D$14,2,FALSE)</f>
        <v>HL 100x50x3,2</v>
      </c>
      <c r="F62" t="str">
        <v>gording</v>
      </c>
      <c r="G62">
        <v>1</v>
      </c>
      <c r="H62">
        <f>VLOOKUP(D62,'DATA BAJA'!$B$5:$D$14,3,FALSE)*G62</f>
        <v>7.01</v>
      </c>
      <c r="I62">
        <v>1685</v>
      </c>
      <c r="L62">
        <v>1</v>
      </c>
      <c r="M62">
        <v>1</v>
      </c>
      <c r="N62">
        <v>3</v>
      </c>
      <c r="O62">
        <f>L62*M62*N62</f>
        <v>3</v>
      </c>
      <c r="P62">
        <f>H62*I62/1000*O62</f>
        <v>35.43555</v>
      </c>
    </row>
    <row r="63">
      <c r="D63" t="str">
        <v>HL.100</v>
      </c>
      <c r="E63" t="str">
        <f>VLOOKUP(D63,'DATA BAJA'!$B$5:$D$14,2,FALSE)</f>
        <v>HL 100x50x3,2</v>
      </c>
      <c r="F63" t="str">
        <v>gording</v>
      </c>
      <c r="G63">
        <v>1</v>
      </c>
      <c r="H63">
        <f>VLOOKUP(D63,'DATA BAJA'!$B$5:$D$14,3,FALSE)*G63</f>
        <v>7.01</v>
      </c>
      <c r="I63">
        <v>5950</v>
      </c>
      <c r="L63">
        <v>1</v>
      </c>
      <c r="M63">
        <v>1</v>
      </c>
      <c r="N63">
        <v>3</v>
      </c>
      <c r="O63">
        <f>L63*M63*N63</f>
        <v>3</v>
      </c>
      <c r="P63">
        <f>H63*I63/1000*O63</f>
        <v>125.1285</v>
      </c>
    </row>
    <row r="64">
      <c r="D64" t="str">
        <v>HL.100</v>
      </c>
      <c r="E64" t="str">
        <f>VLOOKUP(D64,'DATA BAJA'!$B$5:$D$14,2,FALSE)</f>
        <v>HL 100x50x3,2</v>
      </c>
      <c r="F64" t="str">
        <v>gording</v>
      </c>
      <c r="G64">
        <v>1</v>
      </c>
      <c r="H64">
        <f>VLOOKUP(D64,'DATA BAJA'!$B$5:$D$14,3,FALSE)*G64</f>
        <v>7.01</v>
      </c>
      <c r="I64">
        <v>1420</v>
      </c>
      <c r="L64">
        <v>1</v>
      </c>
      <c r="M64">
        <v>1</v>
      </c>
      <c r="N64">
        <v>3</v>
      </c>
      <c r="O64">
        <f>L64*M64*N64</f>
        <v>3</v>
      </c>
      <c r="P64">
        <f>H64*I64/1000*O64</f>
        <v>29.862599999999993</v>
      </c>
    </row>
    <row r="65">
      <c r="D65" t="str">
        <v>HL.100</v>
      </c>
      <c r="E65" t="str">
        <f>VLOOKUP(D65,'DATA BAJA'!$B$5:$D$14,2,FALSE)</f>
        <v>HL 100x50x3,2</v>
      </c>
      <c r="F65" t="str">
        <v>gording</v>
      </c>
      <c r="G65">
        <v>1</v>
      </c>
      <c r="H65">
        <f>VLOOKUP(D65,'DATA BAJA'!$B$5:$D$14,3,FALSE)*G65</f>
        <v>7.01</v>
      </c>
      <c r="I65">
        <v>5695</v>
      </c>
      <c r="L65">
        <v>1</v>
      </c>
      <c r="M65">
        <v>1</v>
      </c>
      <c r="N65">
        <v>3</v>
      </c>
      <c r="O65">
        <f>L65*M65*N65</f>
        <v>3</v>
      </c>
      <c r="P65">
        <f>H65*I65/1000*O65</f>
        <v>119.76584999999999</v>
      </c>
    </row>
    <row r="66">
      <c r="D66" t="str">
        <v>HL.100</v>
      </c>
      <c r="E66" t="str">
        <f>VLOOKUP(D66,'DATA BAJA'!$B$5:$D$14,2,FALSE)</f>
        <v>HL 100x50x3,2</v>
      </c>
      <c r="F66" t="str">
        <v>gording</v>
      </c>
      <c r="G66">
        <v>1</v>
      </c>
      <c r="H66">
        <f>VLOOKUP(D66,'DATA BAJA'!$B$5:$D$14,3,FALSE)*G66</f>
        <v>7.01</v>
      </c>
      <c r="I66">
        <v>5695</v>
      </c>
      <c r="L66">
        <v>1</v>
      </c>
      <c r="M66">
        <v>1</v>
      </c>
      <c r="N66">
        <v>3</v>
      </c>
      <c r="O66">
        <f>L66*M66*N66</f>
        <v>3</v>
      </c>
      <c r="P66">
        <f>H66*I66/1000*O66</f>
        <v>119.76584999999999</v>
      </c>
    </row>
    <row r="68">
      <c r="A68" t="str">
        <v>RANGKA KANOPI</v>
      </c>
    </row>
    <row r="70">
      <c r="D70" t="str">
        <v>WF.150</v>
      </c>
      <c r="E70" t="str">
        <f>VLOOKUP(D70,'DATA BAJA'!$B$5:$D$14,2,FALSE)</f>
        <v>WF 150x75x5x7</v>
      </c>
      <c r="G70">
        <v>1</v>
      </c>
      <c r="H70">
        <f>VLOOKUP(D70,'DATA BAJA'!$B$5:$D$14,3,FALSE)*G70</f>
        <v>14</v>
      </c>
      <c r="I70">
        <v>7150</v>
      </c>
      <c r="L70">
        <v>1</v>
      </c>
      <c r="M70">
        <v>1</v>
      </c>
      <c r="N70">
        <v>3</v>
      </c>
      <c r="O70">
        <f>L70*M70*N70</f>
        <v>3</v>
      </c>
      <c r="P70">
        <f>H70*I70/1000*O70</f>
        <v>300.29999999999995</v>
      </c>
    </row>
    <row r="71">
      <c r="D71" t="str">
        <v>WF.150</v>
      </c>
      <c r="E71" t="str">
        <f>VLOOKUP(D71,'DATA BAJA'!$B$5:$D$14,2,FALSE)</f>
        <v>WF 150x75x5x7</v>
      </c>
      <c r="G71">
        <v>1</v>
      </c>
      <c r="H71">
        <f>VLOOKUP(D71,'DATA BAJA'!$B$5:$D$14,3,FALSE)*G71</f>
        <v>14</v>
      </c>
      <c r="I71">
        <v>6290</v>
      </c>
      <c r="L71">
        <v>1</v>
      </c>
      <c r="M71">
        <v>1</v>
      </c>
      <c r="N71">
        <v>3</v>
      </c>
      <c r="O71">
        <f>L71*M71*N71</f>
        <v>3</v>
      </c>
      <c r="P71">
        <f>H71*I71/1000*O71</f>
        <v>264.18</v>
      </c>
    </row>
    <row r="76">
      <c r="O76" t="str">
        <v>TOTAL</v>
      </c>
      <c r="P76">
        <f>SUM(P11:P74)</f>
        <v>4391.5756833333335</v>
      </c>
      <c r="Q76" t="str">
        <v>kg</v>
      </c>
    </row>
    <row r="77">
      <c r="O77" t="str">
        <v>LUAS</v>
      </c>
      <c r="Q77" t="str">
        <v>m2</v>
      </c>
    </row>
    <row r="78">
      <c r="D78" t="str">
        <v>REKAPITULASI VOLUME</v>
      </c>
      <c r="O78" t="str">
        <v>RASIO</v>
      </c>
      <c r="P78" t="e">
        <f>P76/P77</f>
        <v>#DIV/0!</v>
      </c>
      <c r="Q78" t="str">
        <v>kg/m2</v>
      </c>
    </row>
    <row r="80">
      <c r="D80" t="str">
        <f>A12</f>
        <v>RANGKA ATAP AUDIO ROOM</v>
      </c>
      <c r="F80" t="str">
        <v>kg</v>
      </c>
      <c r="G80" t="str">
        <v>m'</v>
      </c>
      <c r="H80" t="str">
        <v>bh</v>
      </c>
    </row>
    <row r="81">
      <c r="D81" t="str">
        <v>WF.200</v>
      </c>
      <c r="E81" t="str">
        <f>VLOOKUP(D81,'DATA BAJA'!$B$5:$D$14,2,FALSE)</f>
        <v>WF 200x100x5,5x8</v>
      </c>
      <c r="F81">
        <f>SUMIF($D$13:$D$24,D81,$P$13:$P$24)</f>
        <v>27.3024</v>
      </c>
      <c r="G81">
        <f>SUMIF($D$13:$D$24,D81,$Q$13:$Q$24)</f>
        <v>0</v>
      </c>
      <c r="H81">
        <f>SUMIF($D$13:$D$24,D81,$S$13:$S$24)</f>
        <v>0</v>
      </c>
    </row>
    <row r="82">
      <c r="D82" t="str">
        <v>WF.150</v>
      </c>
      <c r="E82" t="str">
        <f>VLOOKUP(D82,'DATA BAJA'!$B$5:$D$14,2,FALSE)</f>
        <v>WF 150x75x5x7</v>
      </c>
      <c r="F82">
        <f>SUMIF($D$13:$D$24,D82,$P$13:$P$24)</f>
        <v>399.28</v>
      </c>
      <c r="G82">
        <f>SUMIF($D$13:$D$24,D82,$Q$13:$Q$24)</f>
        <v>0</v>
      </c>
      <c r="H82">
        <f>SUMIF($D$13:$D$24,D82,$S$13:$S$24)</f>
        <v>0</v>
      </c>
    </row>
    <row r="83">
      <c r="D83" t="str">
        <v>UNP.80</v>
      </c>
      <c r="E83" t="str">
        <f>VLOOKUP(D83,'DATA BAJA'!$B$5:$D$14,2,FALSE)</f>
        <v>UNP 80x45x6</v>
      </c>
      <c r="F83">
        <f>SUMIF($D$13:$D$24,D83,$P$13:$P$24)</f>
        <v>0</v>
      </c>
      <c r="G83">
        <f>SUMIF($D$13:$D$24,D83,$Q$13:$Q$24)</f>
        <v>0</v>
      </c>
      <c r="H83">
        <f>SUMIF($D$13:$D$24,D83,$S$13:$S$24)</f>
        <v>0</v>
      </c>
    </row>
    <row r="84">
      <c r="D84" t="str">
        <v>L.40</v>
      </c>
      <c r="E84" t="str">
        <f>VLOOKUP(D84,'DATA BAJA'!$B$5:$D$14,2,FALSE)</f>
        <v>L 40x40x4</v>
      </c>
      <c r="F84">
        <f>SUMIF($D$13:$D$24,D84,$P$13:$P$24)</f>
        <v>0</v>
      </c>
      <c r="G84">
        <f>SUMIF($D$13:$D$24,D84,$Q$13:$Q$24)</f>
        <v>0</v>
      </c>
      <c r="H84">
        <f>SUMIF($D$13:$D$24,D84,$S$13:$S$24)</f>
        <v>0</v>
      </c>
    </row>
    <row r="85">
      <c r="D85" t="str">
        <v>CNP.150</v>
      </c>
      <c r="E85" t="str">
        <f>VLOOKUP(D85,'DATA BAJA'!$B$5:$D$14,2,FALSE)</f>
        <v>CNP 150x50x20x2,3</v>
      </c>
      <c r="F85">
        <f>SUMIF($D$13:$D$24,D85,$P$13:$P$24)</f>
        <v>157.728</v>
      </c>
      <c r="G85">
        <f>SUMIF($D$13:$D$24,D85,$Q$13:$Q$24)</f>
        <v>0</v>
      </c>
      <c r="H85">
        <f>SUMIF($D$13:$D$24,D85,$S$13:$S$24)</f>
        <v>0</v>
      </c>
    </row>
    <row r="86">
      <c r="D86" t="str">
        <v>HL.100</v>
      </c>
      <c r="E86" t="str">
        <f>VLOOKUP(D86,'DATA BAJA'!$B$5:$D$14,2,FALSE)</f>
        <v>HL 100x50x3,2</v>
      </c>
      <c r="F86">
        <f>SUMIF($D$13:$D$24,D86,$P$13:$P$24)</f>
        <v>0</v>
      </c>
      <c r="G86">
        <f>SUMIF($D$13:$D$24,D86,$Q$13:$Q$24)</f>
        <v>0</v>
      </c>
      <c r="H86">
        <f>SUMIF($D$13:$D$24,D86,$S$13:$S$24)</f>
        <v>0</v>
      </c>
    </row>
    <row r="88">
      <c r="D88" t="str">
        <v>SUBTOTAL</v>
      </c>
      <c r="F88">
        <f>SUM(F81:F87)</f>
        <v>584.3104</v>
      </c>
      <c r="G88">
        <f>SUM(G84:G87)</f>
        <v>0</v>
      </c>
      <c r="H88">
        <f>SUM(H84:H87)</f>
        <v>0</v>
      </c>
    </row>
    <row r="90">
      <c r="D90" t="str">
        <f>A25</f>
        <v>RANGKA ATAP UTAMA</v>
      </c>
      <c r="F90" t="str">
        <v>kg</v>
      </c>
      <c r="G90" t="str">
        <v>m'</v>
      </c>
      <c r="H90" t="str">
        <v>bh</v>
      </c>
    </row>
    <row r="91">
      <c r="D91" t="str">
        <v>WF.200</v>
      </c>
      <c r="E91" t="str">
        <f>VLOOKUP(D91,'DATA BAJA'!$B$5:$D$14,2,FALSE)</f>
        <v>WF 200x100x5,5x8</v>
      </c>
      <c r="F91">
        <f>SUMIF($D$26:$D$47,D91,$P$26:$P$47)</f>
        <v>1387.3032</v>
      </c>
      <c r="G91">
        <f>SUMIF($D$26:$D$47,D91,$Q$26:$Q$47)</f>
        <v>0</v>
      </c>
      <c r="H91">
        <f>SUMIF($D$26:$D$47,D91,$S$26:$S$47)</f>
        <v>0</v>
      </c>
    </row>
    <row r="92">
      <c r="D92" t="str">
        <v>WF.150</v>
      </c>
      <c r="E92" t="str">
        <f>VLOOKUP(D92,'DATA BAJA'!$B$5:$D$14,2,FALSE)</f>
        <v>WF 150x75x5x7</v>
      </c>
      <c r="F92">
        <f>SUMIF($D$26:$D$47,D92,$P$26:$P$47)</f>
        <v>156.8</v>
      </c>
      <c r="G92">
        <f>SUMIF($D$26:$D$47,D92,$Q$26:$Q$47)</f>
        <v>0</v>
      </c>
      <c r="H92">
        <f>SUMIF($D$26:$D$47,D92,$S$26:$S$47)</f>
        <v>0</v>
      </c>
    </row>
    <row r="93">
      <c r="D93" t="str">
        <v>UNP.80</v>
      </c>
      <c r="E93" t="str">
        <f>VLOOKUP(D93,'DATA BAJA'!$B$5:$D$14,2,FALSE)</f>
        <v>UNP 80x45x6</v>
      </c>
      <c r="F93">
        <f>SUMIF($D$26:$D$47,D93,$P$26:$P$47)</f>
        <v>0</v>
      </c>
      <c r="G93">
        <f>SUMIF($D$26:$D$47,D93,$Q$26:$Q$47)</f>
        <v>0</v>
      </c>
      <c r="H93">
        <f>SUMIF($D$26:$D$47,D93,$S$26:$S$47)</f>
        <v>0</v>
      </c>
    </row>
    <row r="94">
      <c r="D94" t="str">
        <v>L.40</v>
      </c>
      <c r="E94" t="str">
        <f>VLOOKUP(D94,'DATA BAJA'!$B$5:$D$14,2,FALSE)</f>
        <v>L 40x40x4</v>
      </c>
      <c r="F94">
        <f>SUMIF($D$26:$D$47,D94,$P$26:$P$47)</f>
        <v>0</v>
      </c>
      <c r="G94">
        <f>SUMIF($D$26:$D$47,D94,$Q$26:$Q$47)</f>
        <v>0</v>
      </c>
      <c r="H94">
        <f>SUMIF($D$26:$D$47,D94,$S$26:$S$47)</f>
        <v>0</v>
      </c>
    </row>
    <row r="95">
      <c r="D95" t="str">
        <v>CNP.150</v>
      </c>
      <c r="E95" t="str">
        <f>VLOOKUP(D95,'DATA BAJA'!$B$5:$D$14,2,FALSE)</f>
        <v>CNP 150x50x20x2,3</v>
      </c>
      <c r="F95">
        <f>SUMIF($D$26:$D$47,D95,$P$26:$P$47)</f>
        <v>519.064</v>
      </c>
      <c r="G95">
        <f>SUMIF($D$26:$D$47,D95,$Q$26:$Q$47)</f>
        <v>0</v>
      </c>
      <c r="H95">
        <f>SUMIF($D$26:$D$47,D95,$S$26:$S$47)</f>
        <v>0</v>
      </c>
    </row>
    <row r="96">
      <c r="D96" t="str">
        <v>HL.100</v>
      </c>
      <c r="E96" t="str">
        <f>VLOOKUP(D96,'DATA BAJA'!$B$5:$D$14,2,FALSE)</f>
        <v>HL 100x50x3,2</v>
      </c>
      <c r="F96">
        <f>SUMIF($D$26:$D$47,D96,$P$26:$P$47)</f>
        <v>0</v>
      </c>
      <c r="G96">
        <f>SUMIF($D$26:$D$47,D96,$Q$26:$Q$47)</f>
        <v>0</v>
      </c>
      <c r="H96">
        <f>SUMIF($D$26:$D$47,D96,$S$26:$S$47)</f>
        <v>0</v>
      </c>
    </row>
    <row r="98">
      <c r="D98" t="str">
        <v>SUBTOTAL</v>
      </c>
      <c r="F98">
        <f>SUM(F91:F97)</f>
        <v>2063.1672</v>
      </c>
      <c r="G98">
        <f>SUM(G94:G97)</f>
        <v>0</v>
      </c>
      <c r="H98">
        <f>SUM(H94:H97)</f>
        <v>0</v>
      </c>
    </row>
    <row r="100">
      <c r="D100" t="str">
        <f>A48</f>
        <v>RANGKA ATAP PALSUAN</v>
      </c>
      <c r="F100" t="str">
        <v>kg</v>
      </c>
      <c r="G100" t="str">
        <v>m'</v>
      </c>
      <c r="H100" t="str">
        <v>bh</v>
      </c>
    </row>
    <row r="101">
      <c r="D101" t="str">
        <v>WF.200</v>
      </c>
      <c r="E101" t="str">
        <f>VLOOKUP(D101,'DATA BAJA'!$B$5:$D$14,2,FALSE)</f>
        <v>WF 200x100x5,5x8</v>
      </c>
      <c r="F101">
        <f>SUMIF($D$49:$D$67,D101,$P$49:$P$67)</f>
        <v>0</v>
      </c>
      <c r="G101">
        <f>SUMIF($D$49:$D$67,D101,$Q$49:$Q$67)</f>
        <v>0</v>
      </c>
      <c r="H101">
        <f>SUMIF($D$49:$D$67,D101,$S$49:$S$67)</f>
        <v>0</v>
      </c>
    </row>
    <row r="102">
      <c r="D102" t="str">
        <v>WF.150</v>
      </c>
      <c r="E102" t="str">
        <f>VLOOKUP(D102,'DATA BAJA'!$B$5:$D$14,2,FALSE)</f>
        <v>WF 150x75x5x7</v>
      </c>
      <c r="F102">
        <f>SUMIF($D$49:$D$67,D102,$P$49:$P$67)</f>
        <v>0</v>
      </c>
      <c r="G102">
        <f>SUMIF($D$49:$D$67,D102,$Q$49:$Q$67)</f>
        <v>0</v>
      </c>
      <c r="H102">
        <f>SUMIF($D$49:$D$67,D102,$S$49:$S$67)</f>
        <v>0</v>
      </c>
    </row>
    <row r="103">
      <c r="D103" t="str">
        <v>UNP.80</v>
      </c>
      <c r="E103" t="str">
        <f>VLOOKUP(D103,'DATA BAJA'!$B$5:$D$14,2,FALSE)</f>
        <v>UNP 80x45x6</v>
      </c>
      <c r="F103">
        <f>SUMIF($D$49:$D$67,D103,$P$49:$P$67)</f>
        <v>705.5183333333333</v>
      </c>
      <c r="G103">
        <f>SUMIF($D$49:$D$67,D103,$Q$49:$Q$67)</f>
        <v>0</v>
      </c>
      <c r="H103">
        <f>SUMIF($D$49:$D$67,D103,$S$49:$S$67)</f>
        <v>0</v>
      </c>
    </row>
    <row r="104">
      <c r="D104" t="str">
        <v>L.40</v>
      </c>
      <c r="E104" t="str">
        <f>VLOOKUP(D104,'DATA BAJA'!$B$5:$D$14,2,FALSE)</f>
        <v>L 40x40x4</v>
      </c>
      <c r="F104">
        <f>SUMIF($D$49:$D$67,D104,$P$49:$P$67)</f>
        <v>44.14140000000001</v>
      </c>
      <c r="G104">
        <f>SUMIF($D$49:$D$67,D104,$Q$49:$Q$67)</f>
        <v>0</v>
      </c>
      <c r="H104">
        <f>SUMIF($D$49:$D$67,D104,$S$49:$S$67)</f>
        <v>0</v>
      </c>
    </row>
    <row r="105">
      <c r="D105" t="str">
        <v>CNP.150</v>
      </c>
      <c r="E105" t="str">
        <f>VLOOKUP(D105,'DATA BAJA'!$B$5:$D$14,2,FALSE)</f>
        <v>CNP 150x50x20x2,3</v>
      </c>
      <c r="F105">
        <f>SUMIF($D$49:$D$67,D105,$P$49:$P$67)</f>
        <v>0</v>
      </c>
      <c r="G105">
        <f>SUMIF($D$49:$D$67,D105,$Q$49:$Q$67)</f>
        <v>0</v>
      </c>
      <c r="H105">
        <f>SUMIF($D$49:$D$67,D105,$S$49:$S$67)</f>
        <v>0</v>
      </c>
    </row>
    <row r="106">
      <c r="D106" t="str">
        <v>HL.100</v>
      </c>
      <c r="E106" t="str">
        <f>VLOOKUP(D106,'DATA BAJA'!$B$5:$D$14,2,FALSE)</f>
        <v>HL 100x50x3,2</v>
      </c>
      <c r="F106">
        <f>SUMIF($D$49:$D$67,D106,$P$49:$P$67)</f>
        <v>429.95835</v>
      </c>
      <c r="G106">
        <f>SUMIF($D$49:$D$67,D106,$Q$49:$Q$67)</f>
        <v>0</v>
      </c>
      <c r="H106">
        <f>SUMIF($D$49:$D$67,D106,$S$49:$S$67)</f>
        <v>0</v>
      </c>
    </row>
    <row r="108">
      <c r="D108" t="str">
        <v>SUBTOTAL</v>
      </c>
      <c r="F108">
        <f>SUM(F101:F107)</f>
        <v>1179.6180833333333</v>
      </c>
      <c r="G108">
        <f>SUM(G104:G107)</f>
        <v>0</v>
      </c>
      <c r="H108">
        <f>SUM(H104:H107)</f>
        <v>0</v>
      </c>
    </row>
    <row r="110">
      <c r="D110" t="str">
        <f>A68</f>
        <v>RANGKA KANOPI</v>
      </c>
      <c r="F110" t="str">
        <v>kg</v>
      </c>
      <c r="G110" t="str">
        <v>m'</v>
      </c>
      <c r="H110" t="str">
        <v>bh</v>
      </c>
    </row>
    <row r="111">
      <c r="D111" t="str">
        <v>WF.200</v>
      </c>
      <c r="E111" t="str">
        <f>VLOOKUP(D111,'DATA BAJA'!$B$5:$D$14,2,FALSE)</f>
        <v>WF 200x100x5,5x8</v>
      </c>
      <c r="F111">
        <f>SUMIF($D$69:$D$73,D111,$P$69:$P$73)</f>
        <v>0</v>
      </c>
      <c r="G111">
        <f>SUMIF($D$69:$D$73,D111,$Q$69:$Q$73)</f>
        <v>0</v>
      </c>
      <c r="H111">
        <f>SUMIF($D$69:$D$73,D111,$S$69:$S$73)</f>
        <v>0</v>
      </c>
    </row>
    <row r="112">
      <c r="D112" t="str">
        <v>WF.150</v>
      </c>
      <c r="E112" t="str">
        <f>VLOOKUP(D112,'DATA BAJA'!$B$5:$D$14,2,FALSE)</f>
        <v>WF 150x75x5x7</v>
      </c>
      <c r="F112">
        <f>SUMIF($D$69:$D$73,D112,$P$69:$P$73)</f>
        <v>564.48</v>
      </c>
      <c r="G112">
        <f>SUMIF($D$69:$D$73,D112,$Q$69:$Q$73)</f>
        <v>0</v>
      </c>
      <c r="H112">
        <f>SUMIF($D$69:$D$73,D112,$S$69:$S$73)</f>
        <v>0</v>
      </c>
    </row>
    <row r="113">
      <c r="D113" t="str">
        <v>UNP.80</v>
      </c>
      <c r="E113" t="str">
        <f>VLOOKUP(D113,'DATA BAJA'!$B$5:$D$14,2,FALSE)</f>
        <v>UNP 80x45x6</v>
      </c>
      <c r="F113">
        <f>SUMIF($D$69:$D$73,D113,$P$69:$P$73)</f>
        <v>0</v>
      </c>
      <c r="G113">
        <f>SUMIF($D$69:$D$73,D113,$Q$69:$Q$73)</f>
        <v>0</v>
      </c>
      <c r="H113">
        <f>SUMIF($D$69:$D$73,D113,$S$69:$S$73)</f>
        <v>0</v>
      </c>
    </row>
    <row r="114">
      <c r="D114" t="str">
        <v>L.40</v>
      </c>
      <c r="E114" t="str">
        <f>VLOOKUP(D114,'DATA BAJA'!$B$5:$D$14,2,FALSE)</f>
        <v>L 40x40x4</v>
      </c>
      <c r="F114">
        <f>SUMIF($D$69:$D$73,D114,$P$69:$P$73)</f>
        <v>0</v>
      </c>
      <c r="G114">
        <f>SUMIF($D$69:$D$73,D114,$Q$69:$Q$73)</f>
        <v>0</v>
      </c>
      <c r="H114">
        <f>SUMIF($D$69:$D$73,D114,$S$69:$S$73)</f>
        <v>0</v>
      </c>
    </row>
    <row r="115">
      <c r="D115" t="str">
        <v>CNP.150</v>
      </c>
      <c r="E115" t="str">
        <f>VLOOKUP(D115,'DATA BAJA'!$B$5:$D$14,2,FALSE)</f>
        <v>CNP 150x50x20x2,3</v>
      </c>
      <c r="F115">
        <f>SUMIF($D$69:$D$73,D115,$P$69:$P$73)</f>
        <v>0</v>
      </c>
      <c r="G115">
        <f>SUMIF($D$69:$D$73,D115,$Q$69:$Q$73)</f>
        <v>0</v>
      </c>
      <c r="H115">
        <f>SUMIF($D$69:$D$73,D115,$S$69:$S$73)</f>
        <v>0</v>
      </c>
    </row>
    <row r="116">
      <c r="D116" t="str">
        <v>HL.100</v>
      </c>
      <c r="E116" t="str">
        <f>VLOOKUP(D116,'DATA BAJA'!$B$5:$D$14,2,FALSE)</f>
        <v>HL 100x50x3,2</v>
      </c>
      <c r="F116">
        <f>SUMIF($D$69:$D$73,D116,$P$69:$P$73)</f>
        <v>0</v>
      </c>
      <c r="G116">
        <f>SUMIF($D$69:$D$73,D116,$Q$69:$Q$73)</f>
        <v>0</v>
      </c>
      <c r="H116">
        <f>SUMIF($D$69:$D$73,D116,$S$69:$S$73)</f>
        <v>0</v>
      </c>
    </row>
    <row r="118">
      <c r="D118" t="str">
        <v>SUBTOTAL</v>
      </c>
      <c r="F118">
        <f>SUM(F111:F117)</f>
        <v>564.48</v>
      </c>
      <c r="G118">
        <f>SUM(G114:G117)</f>
        <v>0</v>
      </c>
      <c r="H118">
        <f>SUM(H114:H117)</f>
        <v>0</v>
      </c>
    </row>
    <row r="119">
      <c r="E119" t="str">
        <v>TOTAL</v>
      </c>
      <c r="F119">
        <f>SUM(F80:F118)/2</f>
        <v>4391.5756833333335</v>
      </c>
    </row>
    <row r="120">
      <c r="E120" t="str">
        <v>cek</v>
      </c>
      <c r="F120">
        <f>SUM(F80:F118)/2-SUM(P12:P74)</f>
        <v>0</v>
      </c>
    </row>
  </sheetData>
  <autoFilter ref="A11:S73"/>
  <mergeCells count="17">
    <mergeCell ref="D88:E88"/>
    <mergeCell ref="D118:E118"/>
    <mergeCell ref="H9:H10"/>
    <mergeCell ref="I9:K9"/>
    <mergeCell ref="L9:L10"/>
    <mergeCell ref="D98:E98"/>
    <mergeCell ref="D108:E108"/>
    <mergeCell ref="A9:A10"/>
    <mergeCell ref="B9:B10"/>
    <mergeCell ref="C9:C10"/>
    <mergeCell ref="D9:D10"/>
    <mergeCell ref="E9:E10"/>
    <mergeCell ref="P9:S9"/>
    <mergeCell ref="N9:N10"/>
    <mergeCell ref="O9:O10"/>
    <mergeCell ref="M9:M10"/>
    <mergeCell ref="F9:F10"/>
  </mergeCells>
  <pageMargins left="0.7" right="0.7" top="0.75" bottom="0.75" header="0.3" footer="0.3"/>
  <ignoredErrors>
    <ignoredError numberStoredAsText="1" sqref="A1:U138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B4:P1048384"/>
  <sheetViews>
    <sheetView workbookViewId="0" rightToLeft="0"/>
  </sheetViews>
  <sheetData>
    <row r="4">
      <c r="B4" t="str">
        <v>NAMA</v>
      </c>
      <c r="C4" t="str">
        <v>TYPE</v>
      </c>
      <c r="D4" t="str">
        <v>BERAT</v>
      </c>
    </row>
    <row r="6">
      <c r="B6" t="str">
        <v>WF.200</v>
      </c>
      <c r="C6" t="str">
        <v>WF 200x100x5,5x8</v>
      </c>
      <c r="D6">
        <f>VLOOKUP(C6,'TABEL BAJA'!$C$8:$Q$906,13,FALSE)</f>
        <v>21.33</v>
      </c>
    </row>
    <row r="7">
      <c r="B7" t="str">
        <v>WF.150</v>
      </c>
      <c r="C7" t="str">
        <v>WF 150x75x5x7</v>
      </c>
      <c r="D7">
        <f>VLOOKUP(C7,'TABEL BAJA'!$C$8:$Q$906,13,FALSE)</f>
        <v>14</v>
      </c>
    </row>
    <row r="8">
      <c r="B8" t="str">
        <v>UNP.80</v>
      </c>
      <c r="C8" t="str">
        <v>UNP 80x45x6</v>
      </c>
      <c r="D8">
        <f>VLOOKUP(C8,'TABEL BAJA'!$C$8:$Q$906,13,FALSE)</f>
        <v>8.166666666666666</v>
      </c>
    </row>
    <row r="9">
      <c r="B9" t="str">
        <v>L.40</v>
      </c>
      <c r="C9" t="str">
        <v>L 40x40x4</v>
      </c>
      <c r="D9">
        <f>VLOOKUP(C9,'TABEL BAJA'!$C$8:$Q$906,13,FALSE)</f>
        <v>2.74</v>
      </c>
    </row>
    <row r="10">
      <c r="B10" t="str">
        <v>CNP.150</v>
      </c>
      <c r="C10" t="str">
        <v>CNP 150x50x20x2,3</v>
      </c>
      <c r="D10">
        <f>VLOOKUP(C10,'TABEL BAJA'!$C$8:$Q$906,13,FALSE)</f>
        <v>4.96</v>
      </c>
    </row>
    <row r="11">
      <c r="B11" t="str">
        <v>HL.100</v>
      </c>
      <c r="C11" t="str">
        <v>HL 100x50x3,2</v>
      </c>
      <c r="D11">
        <f>VLOOKUP(C11,'TABEL BAJA'!$C$8:$Q$906,13,FALSE)</f>
        <v>7.01</v>
      </c>
    </row>
    <row r="73">
      <c r="J73">
        <f>136+152</f>
        <v>288</v>
      </c>
      <c r="K73">
        <v>150</v>
      </c>
      <c r="P73">
        <f>H73*K73*O73*J73/1000000</f>
        <v>0</v>
      </c>
    </row>
    <row r="78">
      <c r="J78">
        <f>136+136+136+116+541+534+136+136+136+171</f>
        <v>2178</v>
      </c>
      <c r="K78">
        <v>150</v>
      </c>
      <c r="P78">
        <f>H78*K78*O78*J78/1000000</f>
        <v>0</v>
      </c>
    </row>
    <row r="79">
      <c r="J79">
        <v>200</v>
      </c>
      <c r="K79">
        <v>150</v>
      </c>
      <c r="P79">
        <f>H79*K79*O79*J79/1000000</f>
        <v>0</v>
      </c>
    </row>
    <row r="81">
      <c r="J81">
        <f>136+136</f>
        <v>272</v>
      </c>
      <c r="K81">
        <v>150</v>
      </c>
      <c r="P81">
        <f>H81*K81*O81*J81/1000000</f>
        <v>0</v>
      </c>
    </row>
    <row r="82">
      <c r="J82">
        <f>264+300</f>
        <v>564</v>
      </c>
      <c r="K82">
        <v>150</v>
      </c>
      <c r="P82">
        <f>H82*K82*O82*J82/1000000</f>
        <v>0</v>
      </c>
    </row>
    <row r="91">
      <c r="J91">
        <f>100*5+264+114*2+112*2+170</f>
        <v>1386</v>
      </c>
      <c r="K91">
        <v>300</v>
      </c>
      <c r="P91">
        <f>H91*K91*O91*J91/1000000</f>
        <v>0</v>
      </c>
    </row>
    <row r="105">
      <c r="J105">
        <f>136+152</f>
        <v>288</v>
      </c>
      <c r="K105">
        <v>150</v>
      </c>
      <c r="P105">
        <f>H105*K105*O105*J105/1000000</f>
        <v>0</v>
      </c>
    </row>
    <row r="109">
      <c r="J109">
        <f>136+136+136+116+541+534+136+136+136+171</f>
        <v>2178</v>
      </c>
      <c r="K109">
        <v>150</v>
      </c>
      <c r="P109">
        <f>H109*K109*O109*J109/1000000</f>
        <v>0</v>
      </c>
    </row>
    <row r="110">
      <c r="J110">
        <v>200</v>
      </c>
      <c r="K110">
        <v>150</v>
      </c>
      <c r="P110">
        <f>H110*K110*O110*J110/1000000</f>
        <v>0</v>
      </c>
    </row>
    <row r="112">
      <c r="J112">
        <f>136</f>
        <v>136</v>
      </c>
      <c r="K112">
        <v>150</v>
      </c>
      <c r="P112">
        <f>H112*K112*O112*J112/1000000</f>
        <v>0</v>
      </c>
    </row>
    <row r="113">
      <c r="J113">
        <f>264+300</f>
        <v>564</v>
      </c>
      <c r="K113">
        <v>150</v>
      </c>
      <c r="P113">
        <f>H113*K113*O113*J113/1000000</f>
        <v>0</v>
      </c>
    </row>
    <row r="114">
      <c r="J114">
        <f>100*5+264+114*2+112*2+170</f>
        <v>1386</v>
      </c>
      <c r="K114">
        <v>300</v>
      </c>
      <c r="P114">
        <f>H114*K114*O114*J114/1000000</f>
        <v>0</v>
      </c>
    </row>
    <row r="121">
      <c r="J121">
        <f>136+136+136+116+541+534+136+136+136+171</f>
        <v>2178</v>
      </c>
      <c r="K121">
        <v>150</v>
      </c>
      <c r="P121">
        <f>H121*K121*O121*J121/1000000</f>
        <v>0</v>
      </c>
    </row>
    <row r="122">
      <c r="J122">
        <v>200</v>
      </c>
      <c r="K122">
        <v>150</v>
      </c>
      <c r="P122">
        <f>H122*K122*O122*J122/1000000</f>
        <v>0</v>
      </c>
    </row>
    <row r="124">
      <c r="J124">
        <f>136+136</f>
        <v>272</v>
      </c>
      <c r="K124">
        <v>150</v>
      </c>
      <c r="P124">
        <f>H124*K124*O124*J124/1000000</f>
        <v>0</v>
      </c>
    </row>
    <row r="125">
      <c r="J125">
        <f>264+300</f>
        <v>564</v>
      </c>
      <c r="K125">
        <v>150</v>
      </c>
      <c r="P125">
        <f>H125*K125*O125*J125/1000000</f>
        <v>0</v>
      </c>
    </row>
    <row r="136">
      <c r="J136">
        <f>136+136+136+116+541+534+136+136+136+171</f>
        <v>2178</v>
      </c>
      <c r="K136">
        <v>150</v>
      </c>
      <c r="P136">
        <f>H136*K136*O136*J136/1000000</f>
        <v>0</v>
      </c>
    </row>
    <row r="137">
      <c r="J137">
        <v>200</v>
      </c>
      <c r="K137">
        <v>150</v>
      </c>
      <c r="P137">
        <f>H137*K137*O137*J137/1000000</f>
        <v>0</v>
      </c>
    </row>
    <row r="139">
      <c r="J139">
        <f>136+136+75+128</f>
        <v>475</v>
      </c>
      <c r="K139">
        <v>150</v>
      </c>
      <c r="P139">
        <f>H139*K139*O139*J139/1000000</f>
        <v>0</v>
      </c>
    </row>
    <row r="140">
      <c r="J140">
        <v>300</v>
      </c>
      <c r="K140">
        <v>150</v>
      </c>
      <c r="P140">
        <f>H140*K140*O140*J140/1000000</f>
        <v>0</v>
      </c>
    </row>
    <row r="145">
      <c r="J145">
        <f>136+136+136+116+541+534+136+136+136+171</f>
        <v>2178</v>
      </c>
      <c r="K145">
        <v>150</v>
      </c>
      <c r="P145">
        <f>H145*K145*O145*J145/1000000</f>
        <v>0</v>
      </c>
    </row>
    <row r="146">
      <c r="J146">
        <v>200</v>
      </c>
      <c r="K146">
        <v>150</v>
      </c>
      <c r="P146">
        <f>H146*K146*O146*J146/1000000</f>
        <v>0</v>
      </c>
    </row>
    <row r="148">
      <c r="J148">
        <f>136+136</f>
        <v>272</v>
      </c>
      <c r="K148">
        <v>150</v>
      </c>
      <c r="P148">
        <f>H148*K148*O148*J148/1000000</f>
        <v>0</v>
      </c>
    </row>
    <row r="149">
      <c r="J149">
        <f>264+300</f>
        <v>564</v>
      </c>
      <c r="K149">
        <v>150</v>
      </c>
      <c r="P149">
        <f>H149*K149*O149*J149/1000000</f>
        <v>0</v>
      </c>
    </row>
    <row r="154">
      <c r="J154">
        <f>136+136+136+116+541+534+136+136+136+171</f>
        <v>2178</v>
      </c>
      <c r="K154">
        <v>150</v>
      </c>
      <c r="P154">
        <f>H154*K154*O154*J154/1000000</f>
        <v>0</v>
      </c>
    </row>
    <row r="155">
      <c r="J155">
        <v>200</v>
      </c>
      <c r="K155">
        <v>150</v>
      </c>
      <c r="P155">
        <f>H155*K155*O155*J155/1000000</f>
        <v>0</v>
      </c>
    </row>
    <row r="161">
      <c r="J161">
        <f>136+136+136+116+541+534+136+136+136+171</f>
        <v>2178</v>
      </c>
      <c r="K161">
        <v>150</v>
      </c>
      <c r="P161">
        <f>H161*K161*O161*J161/1000000</f>
        <v>0</v>
      </c>
    </row>
    <row r="162">
      <c r="J162">
        <v>200</v>
      </c>
      <c r="K162">
        <v>150</v>
      </c>
      <c r="P162">
        <f>H162*K162*O162*J162/1000000</f>
        <v>0</v>
      </c>
    </row>
    <row r="206">
      <c r="P206">
        <f>H206*(0.25*22/7*I206^2)*O206/1000000</f>
        <v>0</v>
      </c>
    </row>
    <row r="207">
      <c r="P207">
        <f>H207*(0.25*22/7*I207^2)*O207/1000000</f>
        <v>0</v>
      </c>
    </row>
    <row r="209">
      <c r="P209">
        <f>H209*(0.25*22/7*I209^2)*O209/1000000</f>
        <v>0</v>
      </c>
    </row>
    <row r="211">
      <c r="P211">
        <f>H211*(0.25*22/7*I211^2)*O211/1000000</f>
        <v>0</v>
      </c>
    </row>
    <row r="213">
      <c r="P213">
        <f>H213*(0.25*22/7*I213^2)*O213/1000000</f>
        <v>0</v>
      </c>
    </row>
    <row r="215">
      <c r="P215">
        <f>H215*(0.25*22/7*I215^2)*O215/1000000</f>
        <v>0</v>
      </c>
    </row>
    <row r="217">
      <c r="P217">
        <f>H217*(0.25*22/7*I217^2)*O217/1000000</f>
        <v>0</v>
      </c>
    </row>
    <row r="219">
      <c r="P219">
        <f>H219*(0.25*22/7*I219^2)*O219/1000000</f>
        <v>0</v>
      </c>
    </row>
    <row r="221">
      <c r="P221">
        <f>H221*(0.25*22/7*I221^2)*O221/1000000</f>
        <v>0</v>
      </c>
    </row>
    <row r="226">
      <c r="P226" t="e">
        <f>P224/P225</f>
        <v>#DIV/0!</v>
      </c>
    </row>
    <row r="369">
      <c r="F369">
        <f>SUM(F343:F368)</f>
        <v>0</v>
      </c>
    </row>
  </sheetData>
  <autoFilter ref="C5:C14"/>
  <pageMargins left="0.7" right="0.7" top="0.75" bottom="0.75" header="0.3" footer="0.3"/>
  <ignoredErrors>
    <ignoredError numberStoredAsText="1" sqref="B4:P1048384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2:U1055"/>
  <sheetViews>
    <sheetView workbookViewId="0" rightToLeft="0"/>
  </sheetViews>
  <sheetData>
    <row r="2">
      <c r="B2" t="str">
        <v>KATALOG BAJA KONSTRUKSI</v>
      </c>
    </row>
    <row r="4">
      <c r="B4" t="str">
        <v>Produk</v>
      </c>
      <c r="C4" t="str">
        <v>Profil</v>
      </c>
      <c r="D4" t="str">
        <v>Produsen</v>
      </c>
      <c r="E4" t="str">
        <v>Suplayer</v>
      </c>
      <c r="F4" t="str">
        <v>Ex</v>
      </c>
      <c r="G4" t="str">
        <v>Stok</v>
      </c>
      <c r="H4" t="str">
        <v>Ukuran</v>
      </c>
      <c r="I4" t="str">
        <v>Berat</v>
      </c>
      <c r="J4" t="str">
        <v>Ukuran</v>
      </c>
      <c r="O4" t="str">
        <v>Berat</v>
      </c>
      <c r="P4" t="str">
        <v>Luas</v>
      </c>
      <c r="Q4" t="str">
        <v>Catatan</v>
      </c>
    </row>
    <row r="5">
      <c r="H5" t="str">
        <v>/unit</v>
      </c>
      <c r="I5" t="str">
        <v>/unit</v>
      </c>
      <c r="J5" t="str">
        <v>A</v>
      </c>
      <c r="K5" t="str">
        <v>B</v>
      </c>
      <c r="L5" t="str">
        <v>C</v>
      </c>
      <c r="M5" t="str">
        <v>D</v>
      </c>
      <c r="N5" t="str">
        <v>E</v>
      </c>
      <c r="O5" t="str">
        <v>/m atau /m2</v>
      </c>
      <c r="P5" t="str">
        <v>/m atau /m2</v>
      </c>
    </row>
    <row r="6">
      <c r="H6" t="str">
        <v>m atau m2</v>
      </c>
      <c r="I6" t="str">
        <v>kg</v>
      </c>
      <c r="J6" t="str">
        <v>mm</v>
      </c>
      <c r="K6" t="str">
        <v>mm</v>
      </c>
      <c r="L6" t="str">
        <v>mm</v>
      </c>
      <c r="M6" t="str">
        <v>mm</v>
      </c>
      <c r="N6" t="str">
        <v>mm</v>
      </c>
      <c r="O6" t="str">
        <v>kg</v>
      </c>
      <c r="P6" t="str">
        <v>m2</v>
      </c>
    </row>
    <row r="7">
      <c r="B7">
        <v>1</v>
      </c>
      <c r="C7">
        <f>1+B7</f>
        <v>2</v>
      </c>
      <c r="D7">
        <f>1+C7</f>
        <v>3</v>
      </c>
      <c r="E7">
        <f>1+D7</f>
        <v>4</v>
      </c>
      <c r="F7">
        <f>1+E7</f>
        <v>5</v>
      </c>
      <c r="G7">
        <f>1+F7</f>
        <v>6</v>
      </c>
      <c r="H7">
        <f>1+G7</f>
        <v>7</v>
      </c>
      <c r="I7">
        <f>1+H7</f>
        <v>8</v>
      </c>
      <c r="J7">
        <f>1+I7</f>
        <v>9</v>
      </c>
      <c r="K7">
        <f>1+J7</f>
        <v>10</v>
      </c>
      <c r="L7">
        <f>1+K7</f>
        <v>11</v>
      </c>
      <c r="M7">
        <f>1+L7</f>
        <v>12</v>
      </c>
      <c r="N7">
        <f>1+M7</f>
        <v>13</v>
      </c>
      <c r="O7">
        <f>1+N7</f>
        <v>14</v>
      </c>
      <c r="P7">
        <f>1+O7</f>
        <v>15</v>
      </c>
      <c r="Q7">
        <f>1+P7</f>
        <v>16</v>
      </c>
    </row>
    <row r="8">
      <c r="B8" t="str">
        <v>Wide Flange (WF)</v>
      </c>
      <c r="C8" t="str">
        <v>WF 150x50x5x7</v>
      </c>
      <c r="E8" t="str">
        <v>SHC</v>
      </c>
      <c r="H8">
        <v>12</v>
      </c>
      <c r="I8">
        <v>112</v>
      </c>
      <c r="J8">
        <v>100</v>
      </c>
      <c r="K8">
        <v>50</v>
      </c>
      <c r="L8">
        <v>5</v>
      </c>
      <c r="M8">
        <v>7</v>
      </c>
      <c r="O8">
        <f>I8/H8</f>
        <v>9.333333333333334</v>
      </c>
      <c r="P8">
        <f>((J8-2*M8)+(2*K8-L8))*2/1000</f>
        <v>0.362</v>
      </c>
    </row>
    <row r="9">
      <c r="C9" t="str">
        <v>WF 100x59x4x7</v>
      </c>
      <c r="E9" t="str">
        <v>SGJ</v>
      </c>
      <c r="F9" t="str">
        <v>Japan</v>
      </c>
      <c r="H9">
        <v>12</v>
      </c>
      <c r="I9">
        <v>112</v>
      </c>
      <c r="J9">
        <v>100</v>
      </c>
      <c r="K9">
        <v>59</v>
      </c>
      <c r="L9">
        <v>4</v>
      </c>
      <c r="M9">
        <v>7</v>
      </c>
      <c r="O9">
        <f>I9/H9</f>
        <v>9.333333333333334</v>
      </c>
      <c r="P9">
        <f>((J9-2*M9)+(2*K9-L9))*2/1000</f>
        <v>0.4</v>
      </c>
    </row>
    <row r="10">
      <c r="C10" t="str">
        <v>WF 100x100x6x8</v>
      </c>
      <c r="D10" t="str">
        <v>GG</v>
      </c>
      <c r="E10" t="str">
        <v>SGJ, SHC</v>
      </c>
      <c r="H10">
        <v>12</v>
      </c>
      <c r="I10">
        <f>O10*H10</f>
        <v>206.39999999999998</v>
      </c>
      <c r="J10">
        <v>100</v>
      </c>
      <c r="K10">
        <v>100</v>
      </c>
      <c r="L10">
        <v>6</v>
      </c>
      <c r="M10">
        <v>8</v>
      </c>
      <c r="O10">
        <v>17.2</v>
      </c>
      <c r="P10">
        <f>((J10-2*M10)+(2*K10-L10))*2/1000</f>
        <v>0.556</v>
      </c>
    </row>
    <row r="11">
      <c r="C11" t="str">
        <v>WF 125x60x6x8</v>
      </c>
      <c r="E11" t="str">
        <v>SHC</v>
      </c>
      <c r="F11" t="str">
        <v>Japan</v>
      </c>
      <c r="H11">
        <v>12</v>
      </c>
      <c r="I11">
        <v>158.4</v>
      </c>
      <c r="J11">
        <v>125</v>
      </c>
      <c r="K11">
        <v>60</v>
      </c>
      <c r="L11">
        <v>6</v>
      </c>
      <c r="M11">
        <v>8</v>
      </c>
      <c r="O11">
        <f>I11/H11</f>
        <v>13.200000000000001</v>
      </c>
      <c r="P11">
        <f>((J11-2*M11)+(2*K11-L11))*2/1000</f>
        <v>0.446</v>
      </c>
    </row>
    <row r="12">
      <c r="C12" t="str">
        <v>WF 125x125x5x7</v>
      </c>
      <c r="E12" t="str">
        <v>SGJ, SHC</v>
      </c>
      <c r="H12">
        <v>12</v>
      </c>
      <c r="I12">
        <v>222</v>
      </c>
      <c r="J12">
        <v>125</v>
      </c>
      <c r="K12">
        <v>125</v>
      </c>
      <c r="L12">
        <v>5</v>
      </c>
      <c r="M12">
        <v>7</v>
      </c>
      <c r="O12">
        <f>I12/H12</f>
        <v>18.5</v>
      </c>
      <c r="P12">
        <f>((J12-2*M12)+(2*K12-L12))*2/1000</f>
        <v>0.712</v>
      </c>
    </row>
    <row r="13">
      <c r="C13" t="str">
        <v>WF 125x125x6,5x9</v>
      </c>
      <c r="D13" t="str">
        <v>GG</v>
      </c>
      <c r="E13" t="str">
        <v>SGJ</v>
      </c>
      <c r="H13">
        <v>12</v>
      </c>
      <c r="I13">
        <v>286</v>
      </c>
      <c r="J13">
        <v>125</v>
      </c>
      <c r="K13">
        <v>125</v>
      </c>
      <c r="L13">
        <v>6.5</v>
      </c>
      <c r="M13">
        <v>9</v>
      </c>
      <c r="O13">
        <f>I13/H13</f>
        <v>23.833333333333332</v>
      </c>
      <c r="P13">
        <f>((J13-2*M13)+(2*K13-L13))*2/1000</f>
        <v>0.701</v>
      </c>
    </row>
    <row r="14">
      <c r="C14" t="str">
        <v>WF 148x100x6x9</v>
      </c>
      <c r="E14" t="str">
        <v>SGJ</v>
      </c>
      <c r="F14" t="str">
        <v>Japan</v>
      </c>
      <c r="H14">
        <v>12</v>
      </c>
      <c r="I14">
        <v>253.2</v>
      </c>
      <c r="J14">
        <v>148</v>
      </c>
      <c r="K14">
        <v>100</v>
      </c>
      <c r="L14">
        <v>6</v>
      </c>
      <c r="M14">
        <v>9</v>
      </c>
      <c r="O14">
        <f>I14/H14</f>
        <v>21.099999999999998</v>
      </c>
      <c r="P14">
        <f>((J14-2*M14)+(2*K14-L14))*2/1000</f>
        <v>0.648</v>
      </c>
    </row>
    <row r="15">
      <c r="C15" t="str">
        <v>WF 150x75x5x7</v>
      </c>
      <c r="D15" t="str">
        <v>GG</v>
      </c>
      <c r="E15" t="str">
        <v>SGJ, SHC</v>
      </c>
      <c r="F15" t="str">
        <v>Japan</v>
      </c>
      <c r="H15">
        <v>12</v>
      </c>
      <c r="I15">
        <f>O15*H15</f>
        <v>168</v>
      </c>
      <c r="J15">
        <v>150</v>
      </c>
      <c r="K15">
        <v>75</v>
      </c>
      <c r="L15">
        <v>5</v>
      </c>
      <c r="M15">
        <v>7</v>
      </c>
      <c r="O15">
        <v>14</v>
      </c>
      <c r="P15">
        <f>((J15-2*M15)+(2*K15-L15))*2/1000</f>
        <v>0.562</v>
      </c>
    </row>
    <row r="16">
      <c r="C16" t="str">
        <v>WF 150x100x6x9</v>
      </c>
      <c r="D16" t="str">
        <v>GG</v>
      </c>
      <c r="H16">
        <v>12</v>
      </c>
      <c r="I16">
        <f>O16*H16</f>
        <v>253.20000000000002</v>
      </c>
      <c r="J16">
        <v>150</v>
      </c>
      <c r="K16">
        <v>100</v>
      </c>
      <c r="L16">
        <v>6</v>
      </c>
      <c r="M16">
        <v>9</v>
      </c>
      <c r="O16">
        <v>21.1</v>
      </c>
      <c r="P16">
        <f>((J16-2*M16)+(2*K16-L16))*2/1000</f>
        <v>0.652</v>
      </c>
    </row>
    <row r="17">
      <c r="C17" t="str">
        <v>WF 150x150x7x10</v>
      </c>
      <c r="D17" t="str">
        <v>GG</v>
      </c>
      <c r="E17" t="str">
        <v>SGJ, SHC</v>
      </c>
      <c r="H17">
        <v>12</v>
      </c>
      <c r="I17">
        <f>O17*H17</f>
        <v>378</v>
      </c>
      <c r="J17">
        <v>150</v>
      </c>
      <c r="K17">
        <v>150</v>
      </c>
      <c r="L17">
        <v>7</v>
      </c>
      <c r="M17">
        <v>10</v>
      </c>
      <c r="O17">
        <v>31.5</v>
      </c>
      <c r="P17">
        <f>((J17-2*M17)+(2*K17-L17))*2/1000</f>
        <v>0.846</v>
      </c>
    </row>
    <row r="18">
      <c r="C18" t="str">
        <v>WF 175x90x5x8</v>
      </c>
      <c r="E18" t="str">
        <v>SGJ, SHC</v>
      </c>
      <c r="F18" t="str">
        <v>Japan</v>
      </c>
      <c r="H18">
        <v>12</v>
      </c>
      <c r="I18">
        <v>217.2</v>
      </c>
      <c r="J18">
        <v>175</v>
      </c>
      <c r="K18">
        <v>90</v>
      </c>
      <c r="L18">
        <v>5</v>
      </c>
      <c r="M18">
        <v>8</v>
      </c>
      <c r="O18">
        <f>I18/H18</f>
        <v>18.099999999999998</v>
      </c>
      <c r="P18">
        <f>((J18-2*M18)+(2*K18-L18))*2/1000</f>
        <v>0.668</v>
      </c>
    </row>
    <row r="19">
      <c r="C19" t="str">
        <v>WF 175x175x7,5x11</v>
      </c>
      <c r="D19" t="str">
        <v>GG</v>
      </c>
      <c r="E19" t="str">
        <v>SGJ, SHC</v>
      </c>
      <c r="H19">
        <v>12</v>
      </c>
      <c r="I19">
        <f>O19*H19</f>
        <v>482.40000000000003</v>
      </c>
      <c r="J19">
        <v>175</v>
      </c>
      <c r="K19">
        <v>175</v>
      </c>
      <c r="L19">
        <v>7.5</v>
      </c>
      <c r="M19">
        <v>11</v>
      </c>
      <c r="O19">
        <v>40.2</v>
      </c>
      <c r="P19">
        <f>((J19-2*M19)+(2*K19-L19))*2/1000</f>
        <v>0.991</v>
      </c>
    </row>
    <row r="20">
      <c r="C20" t="str">
        <v>WF 198x99x4,5x7</v>
      </c>
      <c r="D20" t="str">
        <v>GG</v>
      </c>
      <c r="E20" t="str">
        <v>SHC</v>
      </c>
      <c r="H20">
        <v>12</v>
      </c>
      <c r="I20">
        <f>O20*H20</f>
        <v>218.39999999999998</v>
      </c>
      <c r="J20">
        <v>198</v>
      </c>
      <c r="K20">
        <v>99</v>
      </c>
      <c r="L20">
        <v>4.5</v>
      </c>
      <c r="M20">
        <v>7</v>
      </c>
      <c r="O20">
        <v>18.2</v>
      </c>
      <c r="P20">
        <f>((J20-2*M20)+(2*K20-L20))*2/1000</f>
        <v>0.755</v>
      </c>
    </row>
    <row r="21">
      <c r="C21" t="str">
        <v>WF 200x100x3,2x4,5</v>
      </c>
      <c r="E21" t="str">
        <v>SGJ</v>
      </c>
      <c r="F21" t="str">
        <v>Japan</v>
      </c>
      <c r="H21">
        <v>12</v>
      </c>
      <c r="I21">
        <v>143</v>
      </c>
      <c r="J21">
        <v>200</v>
      </c>
      <c r="K21">
        <v>100</v>
      </c>
      <c r="L21">
        <v>3.2</v>
      </c>
      <c r="M21">
        <v>4.5</v>
      </c>
      <c r="O21">
        <f>I21/H21</f>
        <v>11.916666666666666</v>
      </c>
      <c r="P21">
        <f>((J21-2*M21)+(2*K21-L21))*2/1000</f>
        <v>0.7756000000000001</v>
      </c>
    </row>
    <row r="22">
      <c r="C22" t="str">
        <v>WF 200x100x5,5x8</v>
      </c>
      <c r="D22" t="str">
        <v>GG</v>
      </c>
      <c r="E22" t="str">
        <v>SGJ, SHC</v>
      </c>
      <c r="F22" t="str">
        <v>Japan</v>
      </c>
      <c r="H22">
        <v>12</v>
      </c>
      <c r="I22">
        <f>O22*H22</f>
        <v>255.95999999999998</v>
      </c>
      <c r="J22">
        <v>200</v>
      </c>
      <c r="K22">
        <v>100</v>
      </c>
      <c r="L22">
        <v>5.5</v>
      </c>
      <c r="M22">
        <v>8</v>
      </c>
      <c r="O22">
        <v>21.33</v>
      </c>
      <c r="P22">
        <f>((J22-2*M22)+(2*K22-L22))*2/1000</f>
        <v>0.757</v>
      </c>
    </row>
    <row r="23">
      <c r="C23" t="str">
        <v>WF 200x200x8x12</v>
      </c>
      <c r="D23" t="str">
        <v>GG</v>
      </c>
      <c r="E23" t="str">
        <v>SGJ, SHC</v>
      </c>
      <c r="H23">
        <v>12</v>
      </c>
      <c r="I23">
        <v>599</v>
      </c>
      <c r="J23">
        <v>200</v>
      </c>
      <c r="K23">
        <v>200</v>
      </c>
      <c r="L23">
        <v>8</v>
      </c>
      <c r="M23">
        <v>12</v>
      </c>
      <c r="O23">
        <f>I23/H23</f>
        <v>49.916666666666664</v>
      </c>
      <c r="P23">
        <f>((J23-2*M23)+(2*K23-L23))*2/1000</f>
        <v>1.136</v>
      </c>
    </row>
    <row r="24">
      <c r="C24" t="str">
        <v>WF 248x124x5x8</v>
      </c>
      <c r="D24" t="str">
        <v>GG</v>
      </c>
      <c r="E24" t="str">
        <v>SGJ, SHC</v>
      </c>
      <c r="F24" t="str">
        <v>Japan</v>
      </c>
      <c r="H24">
        <v>12</v>
      </c>
      <c r="I24">
        <f>O24*H24</f>
        <v>308.4</v>
      </c>
      <c r="J24">
        <v>248</v>
      </c>
      <c r="K24">
        <v>124</v>
      </c>
      <c r="L24">
        <v>5</v>
      </c>
      <c r="M24">
        <v>8</v>
      </c>
      <c r="O24">
        <v>25.7</v>
      </c>
      <c r="P24">
        <f>((J24-2*M24)+(2*K24-L24))*2/1000</f>
        <v>0.95</v>
      </c>
    </row>
    <row r="25">
      <c r="C25" t="str">
        <v>WF 250x125x6x9</v>
      </c>
      <c r="D25" t="str">
        <v>GG</v>
      </c>
      <c r="E25" t="str">
        <v>SGJ, SHC</v>
      </c>
      <c r="F25" t="str">
        <v>Japan</v>
      </c>
      <c r="H25">
        <v>12</v>
      </c>
      <c r="I25">
        <f>O25*H25</f>
        <v>355.20000000000005</v>
      </c>
      <c r="J25">
        <v>250</v>
      </c>
      <c r="K25">
        <v>125</v>
      </c>
      <c r="L25">
        <v>6</v>
      </c>
      <c r="M25">
        <v>9</v>
      </c>
      <c r="O25">
        <v>29.6</v>
      </c>
      <c r="P25">
        <f>((J25-2*M25)+(2*K25-L25))*2/1000</f>
        <v>0.952</v>
      </c>
    </row>
    <row r="26">
      <c r="C26" t="str">
        <v>WF 250x250x9x14</v>
      </c>
      <c r="D26" t="str">
        <v>GG</v>
      </c>
      <c r="E26" t="str">
        <v>SGJ, SHC</v>
      </c>
      <c r="H26">
        <v>12</v>
      </c>
      <c r="I26">
        <v>869</v>
      </c>
      <c r="J26">
        <v>250</v>
      </c>
      <c r="K26">
        <v>250</v>
      </c>
      <c r="L26">
        <v>9</v>
      </c>
      <c r="M26">
        <v>14</v>
      </c>
      <c r="O26">
        <f>I26/H26</f>
        <v>72.41666666666667</v>
      </c>
      <c r="P26">
        <f>((J26-2*M26)+(2*K26-L26))*2/1000</f>
        <v>1.426</v>
      </c>
    </row>
    <row r="27">
      <c r="C27" t="str">
        <v>WF 298x149x5,5x8</v>
      </c>
      <c r="D27" t="str">
        <v>GG</v>
      </c>
      <c r="E27" t="str">
        <v>SGJ, SHC</v>
      </c>
      <c r="F27" t="str">
        <v>Japan</v>
      </c>
      <c r="H27">
        <v>12</v>
      </c>
      <c r="I27">
        <f>O27*H27</f>
        <v>384</v>
      </c>
      <c r="J27">
        <v>298</v>
      </c>
      <c r="K27">
        <v>149</v>
      </c>
      <c r="L27">
        <v>5.5</v>
      </c>
      <c r="M27">
        <v>8</v>
      </c>
      <c r="O27">
        <v>32</v>
      </c>
      <c r="P27">
        <f>((J27-2*M27)+(2*K27-L27))*2/1000</f>
        <v>1.149</v>
      </c>
    </row>
    <row r="28">
      <c r="C28" t="str">
        <v>WF 300x150x6,5x9</v>
      </c>
      <c r="D28" t="str">
        <v>GG</v>
      </c>
      <c r="E28" t="str">
        <v>SGJ, SHC</v>
      </c>
      <c r="F28" t="str">
        <v>Japan</v>
      </c>
      <c r="H28">
        <v>12</v>
      </c>
      <c r="I28">
        <f>O28*H28</f>
        <v>440.40000000000003</v>
      </c>
      <c r="J28">
        <v>200</v>
      </c>
      <c r="K28">
        <v>150</v>
      </c>
      <c r="L28">
        <v>6.5</v>
      </c>
      <c r="M28">
        <v>9</v>
      </c>
      <c r="O28">
        <v>36.7</v>
      </c>
      <c r="P28">
        <f>((J28-2*M28)+(2*K28-L28))*2/1000</f>
        <v>0.951</v>
      </c>
    </row>
    <row r="29">
      <c r="C29" t="str">
        <v>WF 300x300x10x15</v>
      </c>
      <c r="D29" t="str">
        <v>GG</v>
      </c>
      <c r="E29" t="str">
        <v>SGJ, SHC</v>
      </c>
      <c r="H29">
        <v>12</v>
      </c>
      <c r="I29">
        <f>O29*H29</f>
        <v>1128</v>
      </c>
      <c r="J29">
        <v>300</v>
      </c>
      <c r="K29">
        <v>300</v>
      </c>
      <c r="L29">
        <v>10</v>
      </c>
      <c r="M29">
        <v>15</v>
      </c>
      <c r="O29">
        <v>94</v>
      </c>
      <c r="P29">
        <f>((J29-2*M29)+(2*K29-L29))*2/1000</f>
        <v>1.72</v>
      </c>
    </row>
    <row r="30">
      <c r="C30" t="str">
        <v>WF 346x174x6x9</v>
      </c>
      <c r="D30" t="str">
        <v>GG</v>
      </c>
      <c r="E30" t="str">
        <v>SGJ, SHC</v>
      </c>
      <c r="F30" t="str">
        <v>Japan</v>
      </c>
      <c r="H30">
        <v>12</v>
      </c>
      <c r="I30">
        <v>497</v>
      </c>
      <c r="J30">
        <v>346</v>
      </c>
      <c r="K30">
        <v>174</v>
      </c>
      <c r="L30">
        <v>6</v>
      </c>
      <c r="M30">
        <v>9</v>
      </c>
      <c r="O30">
        <f>I30/H30</f>
        <v>41.416666666666664</v>
      </c>
      <c r="P30">
        <f>((J30-2*M30)+(2*K30-L30))*2/1000</f>
        <v>1.34</v>
      </c>
    </row>
    <row r="31">
      <c r="C31" t="str">
        <v>WF 350x175x7x11</v>
      </c>
      <c r="D31" t="str">
        <v>GG</v>
      </c>
      <c r="E31" t="str">
        <v>SGJ, SHC</v>
      </c>
      <c r="F31" t="str">
        <v>Japan</v>
      </c>
      <c r="H31">
        <v>12</v>
      </c>
      <c r="J31">
        <f>100*5+264+114*2+112*2+170</f>
        <v>1386</v>
      </c>
      <c r="K31">
        <v>300</v>
      </c>
      <c r="L31">
        <v>7</v>
      </c>
      <c r="M31">
        <v>11</v>
      </c>
      <c r="O31">
        <v>49.6</v>
      </c>
      <c r="P31">
        <f>H31*K31*O31*J31/1000000</f>
        <v>247.48416</v>
      </c>
    </row>
    <row r="32">
      <c r="C32" t="str">
        <v>WF 350x350x12x19</v>
      </c>
      <c r="D32" t="str">
        <v>GG</v>
      </c>
      <c r="E32" t="str">
        <v>SGJ, SHC</v>
      </c>
      <c r="H32">
        <v>12</v>
      </c>
      <c r="I32">
        <f>O32*H32</f>
        <v>1644</v>
      </c>
      <c r="J32">
        <v>350</v>
      </c>
      <c r="K32">
        <v>350</v>
      </c>
      <c r="L32">
        <v>12</v>
      </c>
      <c r="M32">
        <v>19</v>
      </c>
      <c r="O32">
        <v>137</v>
      </c>
      <c r="P32">
        <f>((J32-2*M32)+(2*K32-L32))*2/1000</f>
        <v>2</v>
      </c>
    </row>
    <row r="33">
      <c r="C33" t="str">
        <v>WF 396x199x7x11</v>
      </c>
      <c r="D33" t="str">
        <v>GG</v>
      </c>
      <c r="E33" t="str">
        <v>SGJ, SHC</v>
      </c>
      <c r="F33" t="str">
        <v>Japan</v>
      </c>
      <c r="H33">
        <v>12</v>
      </c>
      <c r="I33">
        <v>679.5</v>
      </c>
      <c r="J33">
        <v>396</v>
      </c>
      <c r="K33">
        <v>199</v>
      </c>
      <c r="L33">
        <v>7</v>
      </c>
      <c r="M33">
        <v>11</v>
      </c>
      <c r="O33">
        <f>I33/H33</f>
        <v>56.625</v>
      </c>
      <c r="P33">
        <f>((J33-2*M33)+(2*K33-L33))*2/1000</f>
        <v>1.53</v>
      </c>
    </row>
    <row r="34">
      <c r="C34" t="str">
        <v>WF 400x200x8x13</v>
      </c>
      <c r="D34" t="str">
        <v>GG</v>
      </c>
      <c r="E34" t="str">
        <v>SGJ, SHC</v>
      </c>
      <c r="F34" t="str">
        <v>Japan</v>
      </c>
      <c r="H34">
        <v>12</v>
      </c>
      <c r="I34">
        <f>O34*H34</f>
        <v>792</v>
      </c>
      <c r="J34">
        <v>400</v>
      </c>
      <c r="K34">
        <v>200</v>
      </c>
      <c r="L34">
        <v>8</v>
      </c>
      <c r="M34">
        <v>13</v>
      </c>
      <c r="O34">
        <v>66</v>
      </c>
      <c r="P34">
        <f>((J34-2*M34)+(2*K34-L34))*2/1000</f>
        <v>1.532</v>
      </c>
    </row>
    <row r="35">
      <c r="C35" t="str">
        <v>WF 400x400x13x21</v>
      </c>
      <c r="D35" t="str">
        <v>GG</v>
      </c>
      <c r="E35" t="str">
        <v>SGJ, SHC</v>
      </c>
      <c r="F35" t="str">
        <v>Import</v>
      </c>
      <c r="H35">
        <v>12</v>
      </c>
      <c r="I35">
        <f>O35*H35</f>
        <v>2064</v>
      </c>
      <c r="J35">
        <v>400</v>
      </c>
      <c r="K35">
        <v>400</v>
      </c>
      <c r="L35">
        <v>13</v>
      </c>
      <c r="M35">
        <v>21</v>
      </c>
      <c r="O35">
        <v>172</v>
      </c>
      <c r="P35">
        <f>((J35-2*M35)+(2*K35-L35))*2/1000</f>
        <v>2.29</v>
      </c>
    </row>
    <row r="36">
      <c r="C36" t="str">
        <v>WF 446x199x8x12</v>
      </c>
      <c r="E36" t="str">
        <v>SGJ, SHC</v>
      </c>
      <c r="F36" t="str">
        <v>Japan</v>
      </c>
      <c r="H36">
        <v>12</v>
      </c>
      <c r="I36">
        <v>794.4</v>
      </c>
      <c r="J36">
        <v>446</v>
      </c>
      <c r="K36">
        <v>199</v>
      </c>
      <c r="L36">
        <v>8</v>
      </c>
      <c r="M36">
        <v>12</v>
      </c>
      <c r="O36">
        <f>I36/H36</f>
        <v>66.2</v>
      </c>
      <c r="P36">
        <f>((J36-2*M36)+(2*K36-L36))*2/1000</f>
        <v>1.624</v>
      </c>
    </row>
    <row r="37">
      <c r="C37" t="str">
        <v>WF 450x200x9x14</v>
      </c>
      <c r="D37" t="str">
        <v>GG</v>
      </c>
      <c r="E37" t="str">
        <v>SGJ, SHC</v>
      </c>
      <c r="F37" t="str">
        <v>Japan</v>
      </c>
      <c r="H37">
        <v>12</v>
      </c>
      <c r="I37">
        <f>O37*H37</f>
        <v>912</v>
      </c>
      <c r="J37">
        <v>450</v>
      </c>
      <c r="K37">
        <v>200</v>
      </c>
      <c r="L37">
        <v>9</v>
      </c>
      <c r="M37">
        <v>14</v>
      </c>
      <c r="O37">
        <v>76</v>
      </c>
      <c r="P37">
        <f>((J37-2*M37)+(2*K37-L37))*2/1000</f>
        <v>1.626</v>
      </c>
    </row>
    <row r="38">
      <c r="C38" t="str">
        <v>WF 496x199x9x14</v>
      </c>
      <c r="E38" t="str">
        <v>SHC</v>
      </c>
      <c r="H38">
        <v>12</v>
      </c>
      <c r="I38">
        <v>954</v>
      </c>
      <c r="J38">
        <v>496</v>
      </c>
      <c r="K38">
        <v>199</v>
      </c>
      <c r="L38">
        <v>9</v>
      </c>
      <c r="M38">
        <v>14</v>
      </c>
      <c r="O38">
        <f>I38/H38</f>
        <v>79.5</v>
      </c>
      <c r="P38">
        <f>((J38-2*M38)+(2*K38-L38))*2/1000</f>
        <v>1.714</v>
      </c>
    </row>
    <row r="39">
      <c r="C39" t="str">
        <v>WF 500x200x10x16</v>
      </c>
      <c r="D39" t="str">
        <v>GG</v>
      </c>
      <c r="E39" t="str">
        <v>SGJ, SHC</v>
      </c>
      <c r="F39" t="str">
        <v>Japan</v>
      </c>
      <c r="H39">
        <v>12</v>
      </c>
      <c r="I39">
        <f>O39*H39</f>
        <v>1075.1999999999998</v>
      </c>
      <c r="J39">
        <v>500</v>
      </c>
      <c r="K39">
        <v>200</v>
      </c>
      <c r="L39">
        <v>10</v>
      </c>
      <c r="M39">
        <v>16</v>
      </c>
      <c r="O39">
        <v>89.6</v>
      </c>
      <c r="P39">
        <f>((J39-2*M39)+(2*K39-L39))*2/1000</f>
        <v>1.716</v>
      </c>
    </row>
    <row r="40">
      <c r="C40" t="str">
        <v>WF 588x300x12x20</v>
      </c>
      <c r="D40" t="str">
        <v>GG</v>
      </c>
      <c r="E40" t="str">
        <v>SGJ, SHC</v>
      </c>
      <c r="F40" t="str">
        <v>Japan</v>
      </c>
      <c r="H40">
        <v>12</v>
      </c>
      <c r="I40">
        <f>O40*H40</f>
        <v>1812</v>
      </c>
      <c r="J40">
        <v>588</v>
      </c>
      <c r="K40">
        <v>300</v>
      </c>
      <c r="L40">
        <v>12</v>
      </c>
      <c r="M40">
        <v>20</v>
      </c>
      <c r="O40">
        <v>151</v>
      </c>
      <c r="P40">
        <f>((J40-2*M40)+(2*K40-L40))*2/1000</f>
        <v>2.272</v>
      </c>
    </row>
    <row r="41">
      <c r="C41" t="str">
        <v>WF 600x200x11x17</v>
      </c>
      <c r="D41" t="str">
        <v>GG</v>
      </c>
      <c r="E41" t="str">
        <v>SGJ, SHC</v>
      </c>
      <c r="F41" t="str">
        <v>Japan</v>
      </c>
      <c r="H41">
        <v>12</v>
      </c>
      <c r="I41">
        <f>O41*H41</f>
        <v>1272</v>
      </c>
      <c r="J41">
        <v>600</v>
      </c>
      <c r="K41">
        <v>200</v>
      </c>
      <c r="L41">
        <v>11</v>
      </c>
      <c r="M41">
        <v>17</v>
      </c>
      <c r="O41">
        <v>106</v>
      </c>
      <c r="P41">
        <f>((J41-2*M41)+(2*K41-L41))*2/1000</f>
        <v>1.91</v>
      </c>
    </row>
    <row r="42">
      <c r="C42" t="str">
        <v>WF 692x300x13x20</v>
      </c>
      <c r="E42" t="str">
        <v>SHC</v>
      </c>
      <c r="H42">
        <v>12</v>
      </c>
      <c r="I42">
        <v>1992</v>
      </c>
      <c r="J42">
        <v>692</v>
      </c>
      <c r="K42">
        <v>300</v>
      </c>
      <c r="L42">
        <v>13</v>
      </c>
      <c r="M42">
        <v>20</v>
      </c>
      <c r="O42">
        <f>I42/H42</f>
        <v>166</v>
      </c>
      <c r="P42">
        <f>((J42-2*M42)+(2*K42-L42))*2/1000</f>
        <v>2.478</v>
      </c>
    </row>
    <row r="43">
      <c r="C43" t="str">
        <v>WF 700x300x13x24</v>
      </c>
      <c r="D43" t="str">
        <v>GG</v>
      </c>
      <c r="E43" t="str">
        <v>SGJ, SHC</v>
      </c>
      <c r="F43" t="str">
        <v>Japan</v>
      </c>
      <c r="H43">
        <v>12</v>
      </c>
      <c r="I43">
        <f>O43*H43</f>
        <v>2220</v>
      </c>
      <c r="J43">
        <v>700</v>
      </c>
      <c r="K43">
        <v>300</v>
      </c>
      <c r="L43">
        <v>13</v>
      </c>
      <c r="M43">
        <v>24</v>
      </c>
      <c r="O43">
        <v>185</v>
      </c>
      <c r="P43">
        <f>((J43-2*M43)+(2*K43-L43))*2/1000</f>
        <v>2.478</v>
      </c>
    </row>
    <row r="44">
      <c r="C44" t="str">
        <v>WF 800x300x14x26</v>
      </c>
      <c r="D44" t="str">
        <v>GG</v>
      </c>
      <c r="E44" t="str">
        <v>SGJ, SHC</v>
      </c>
      <c r="F44" t="str">
        <v>Japan</v>
      </c>
      <c r="H44">
        <v>12</v>
      </c>
      <c r="I44">
        <f>O44*H44</f>
        <v>2520</v>
      </c>
      <c r="J44">
        <v>800</v>
      </c>
      <c r="K44">
        <v>300</v>
      </c>
      <c r="L44">
        <v>14</v>
      </c>
      <c r="M44">
        <v>26</v>
      </c>
      <c r="O44">
        <v>210</v>
      </c>
      <c r="P44">
        <f>((J44-2*M44)+(2*K44-L44))*2/1000</f>
        <v>2.668</v>
      </c>
    </row>
    <row r="45">
      <c r="B45" t="str">
        <v>Wide Flange (WF)</v>
      </c>
      <c r="C45" t="str">
        <v>WF 6"x6" 15,5 lbs</v>
      </c>
      <c r="E45" t="str">
        <v>SGJ</v>
      </c>
      <c r="F45" t="str">
        <v>Japan</v>
      </c>
      <c r="H45">
        <v>12</v>
      </c>
      <c r="I45">
        <v>277</v>
      </c>
      <c r="J45">
        <v>152</v>
      </c>
      <c r="K45">
        <v>152</v>
      </c>
      <c r="L45">
        <v>6</v>
      </c>
      <c r="O45">
        <f>I45/H45</f>
        <v>23.083333333333332</v>
      </c>
      <c r="P45">
        <f>((J45-2*M45)+(2*K45-L45))*2/1000</f>
        <v>0.9</v>
      </c>
    </row>
    <row r="46">
      <c r="C46" t="str">
        <v>WF 8"x5 1/4" 17 lbs</v>
      </c>
      <c r="E46" t="str">
        <v>SGJ</v>
      </c>
      <c r="F46" t="str">
        <v>Japan</v>
      </c>
      <c r="H46">
        <v>12</v>
      </c>
      <c r="I46">
        <v>304</v>
      </c>
      <c r="J46">
        <v>203</v>
      </c>
      <c r="K46">
        <v>133</v>
      </c>
      <c r="L46">
        <v>5.84</v>
      </c>
      <c r="M46">
        <v>7.82</v>
      </c>
      <c r="O46">
        <f>I46/H46</f>
        <v>25.333333333333332</v>
      </c>
      <c r="P46">
        <f>((J46-2*M46)+(2*K46-L46))*2/1000</f>
        <v>0.8950400000000001</v>
      </c>
    </row>
    <row r="47">
      <c r="C47" t="str">
        <v>WF 8"x8" 31 lbs</v>
      </c>
      <c r="E47" t="str">
        <v>SGJ</v>
      </c>
      <c r="F47" t="str">
        <v>Japan</v>
      </c>
      <c r="H47">
        <v>12</v>
      </c>
      <c r="I47">
        <v>556</v>
      </c>
      <c r="J47">
        <v>203</v>
      </c>
      <c r="K47">
        <v>203</v>
      </c>
      <c r="L47">
        <v>7.32</v>
      </c>
      <c r="M47">
        <v>11</v>
      </c>
      <c r="O47">
        <f>I47/H47</f>
        <v>46.333333333333336</v>
      </c>
      <c r="P47">
        <f>((J47-2*M47)+(2*K47-L47))*2/1000</f>
        <v>1.1593600000000002</v>
      </c>
    </row>
    <row r="48">
      <c r="C48" t="str">
        <v>WF 8"x8" 35 lbs</v>
      </c>
      <c r="E48" t="str">
        <v>SGJ</v>
      </c>
      <c r="F48" t="str">
        <v>Japan</v>
      </c>
      <c r="H48">
        <v>12</v>
      </c>
      <c r="I48">
        <v>625</v>
      </c>
      <c r="J48">
        <v>204</v>
      </c>
      <c r="K48">
        <v>206</v>
      </c>
      <c r="L48">
        <v>8</v>
      </c>
      <c r="M48">
        <v>12.52</v>
      </c>
      <c r="O48">
        <f>I48/H48</f>
        <v>52.083333333333336</v>
      </c>
      <c r="P48">
        <f>((J48-2*M48)+(2*K48-L48))*2/1000</f>
        <v>1.16592</v>
      </c>
    </row>
    <row r="49">
      <c r="C49" t="str">
        <v>WF 10"x4" 17 lbs</v>
      </c>
      <c r="E49" t="str">
        <v>SGJ</v>
      </c>
      <c r="F49" t="str">
        <v>Japan</v>
      </c>
      <c r="H49">
        <v>12</v>
      </c>
      <c r="I49">
        <v>304</v>
      </c>
      <c r="J49">
        <v>257</v>
      </c>
      <c r="K49">
        <v>102</v>
      </c>
      <c r="L49">
        <v>6.1</v>
      </c>
      <c r="M49">
        <v>8.36</v>
      </c>
      <c r="O49">
        <f>I49/H49</f>
        <v>25.333333333333332</v>
      </c>
      <c r="P49">
        <f>((J49-2*M49)+(2*K49-L49))*2/1000</f>
        <v>0.87636</v>
      </c>
    </row>
    <row r="50">
      <c r="C50" t="str">
        <v>WF 10"x5 3/4" 21 lbs</v>
      </c>
      <c r="E50" t="str">
        <v>SGJ</v>
      </c>
      <c r="F50" t="str">
        <v>Japan</v>
      </c>
      <c r="H50">
        <v>12</v>
      </c>
      <c r="I50">
        <v>375</v>
      </c>
      <c r="J50">
        <v>251</v>
      </c>
      <c r="K50">
        <v>146</v>
      </c>
      <c r="L50">
        <v>6.1</v>
      </c>
      <c r="M50">
        <v>8.64</v>
      </c>
      <c r="O50">
        <f>I50/H50</f>
        <v>31.25</v>
      </c>
      <c r="P50">
        <f>((J50-2*M50)+(2*K50-L50))*2/1000</f>
        <v>1.03924</v>
      </c>
    </row>
    <row r="51">
      <c r="C51" t="str">
        <v>WF 10"x5 3/4" 25 lbs</v>
      </c>
      <c r="E51" t="str">
        <v>SGJ</v>
      </c>
      <c r="F51" t="str">
        <v>Japan</v>
      </c>
      <c r="H51">
        <v>12</v>
      </c>
      <c r="I51">
        <v>446</v>
      </c>
      <c r="J51">
        <v>256</v>
      </c>
      <c r="K51">
        <v>146</v>
      </c>
      <c r="L51">
        <v>6.4</v>
      </c>
      <c r="M51">
        <v>10.92</v>
      </c>
      <c r="O51">
        <f>I51/H51</f>
        <v>37.166666666666664</v>
      </c>
      <c r="P51">
        <f>((J51-2*M51)+(2*K51-L51))*2/1000</f>
        <v>1.03952</v>
      </c>
    </row>
    <row r="52">
      <c r="C52" t="str">
        <v>WF 10"x10" 42 lbs</v>
      </c>
      <c r="E52" t="str">
        <v>SGJ</v>
      </c>
      <c r="F52" t="str">
        <v>Japan</v>
      </c>
      <c r="H52">
        <v>12</v>
      </c>
      <c r="I52">
        <v>750</v>
      </c>
      <c r="J52">
        <v>247</v>
      </c>
      <c r="K52">
        <v>256</v>
      </c>
      <c r="L52">
        <v>10.62</v>
      </c>
      <c r="M52">
        <v>10.62</v>
      </c>
      <c r="O52">
        <f>I52/H52</f>
        <v>62.5</v>
      </c>
      <c r="P52">
        <f>((J52-2*M52)+(2*K52-L52))*2/1000</f>
        <v>1.45428</v>
      </c>
    </row>
    <row r="53">
      <c r="C53" t="str">
        <v>WF 10"x10" 49 lbs</v>
      </c>
      <c r="E53" t="str">
        <v>SGJ</v>
      </c>
      <c r="F53" t="str">
        <v>Japan</v>
      </c>
      <c r="H53">
        <v>12</v>
      </c>
      <c r="I53">
        <v>875</v>
      </c>
      <c r="J53">
        <v>254</v>
      </c>
      <c r="K53">
        <v>254</v>
      </c>
      <c r="L53">
        <v>8.64</v>
      </c>
      <c r="M53">
        <v>14.17</v>
      </c>
      <c r="O53">
        <f>I53/H53</f>
        <v>72.91666666666667</v>
      </c>
      <c r="P53">
        <f>((J53-2*M53)+(2*K53-L53))*2/1000</f>
        <v>1.45004</v>
      </c>
    </row>
    <row r="54">
      <c r="C54" t="str">
        <v>WF 12"x6 1/2" 27 lbs</v>
      </c>
      <c r="E54" t="str">
        <v>SGJ</v>
      </c>
      <c r="F54" t="str">
        <v>Japan</v>
      </c>
      <c r="H54">
        <v>12</v>
      </c>
      <c r="I54">
        <v>482</v>
      </c>
      <c r="J54">
        <v>304</v>
      </c>
      <c r="K54">
        <v>105</v>
      </c>
      <c r="L54">
        <v>6.1</v>
      </c>
      <c r="M54">
        <v>10.16</v>
      </c>
      <c r="O54">
        <f>I54/H54</f>
        <v>40.166666666666664</v>
      </c>
      <c r="P54">
        <f>((J54-2*M54)+(2*K54-L54))*2/1000</f>
        <v>0.97516</v>
      </c>
    </row>
    <row r="55">
      <c r="C55" t="str">
        <v>WF 12"x6 1/2" 31 lbs</v>
      </c>
      <c r="E55" t="str">
        <v>SGJ</v>
      </c>
      <c r="F55" t="str">
        <v>Japan</v>
      </c>
      <c r="H55">
        <v>12</v>
      </c>
      <c r="I55">
        <v>554</v>
      </c>
      <c r="J55">
        <v>307</v>
      </c>
      <c r="K55">
        <v>116</v>
      </c>
      <c r="L55">
        <v>6.73</v>
      </c>
      <c r="M55">
        <v>11.81</v>
      </c>
      <c r="O55">
        <f>I55/H55</f>
        <v>46.166666666666664</v>
      </c>
      <c r="P55">
        <f>((J55-2*M55)+(2*K55-L55))*2/1000</f>
        <v>1.0172999999999999</v>
      </c>
    </row>
    <row r="56">
      <c r="C56" t="str">
        <v>WF 12"x12" 53 lbs</v>
      </c>
      <c r="E56" t="str">
        <v>SGJ</v>
      </c>
      <c r="F56" t="str">
        <v>Japan</v>
      </c>
      <c r="H56">
        <v>12</v>
      </c>
      <c r="I56">
        <v>947</v>
      </c>
      <c r="J56">
        <v>299</v>
      </c>
      <c r="K56">
        <v>306</v>
      </c>
      <c r="L56">
        <v>11.07</v>
      </c>
      <c r="M56">
        <v>11.07</v>
      </c>
      <c r="O56">
        <f>I56/H56</f>
        <v>78.91666666666667</v>
      </c>
      <c r="P56">
        <f>((J56-2*M56)+(2*K56-L56))*2/1000</f>
        <v>1.75558</v>
      </c>
    </row>
    <row r="57">
      <c r="C57" t="str">
        <v>WF 12"x12" 65 lbs</v>
      </c>
      <c r="E57" t="str">
        <v>SGJ</v>
      </c>
      <c r="F57" t="str">
        <v>Japan</v>
      </c>
      <c r="H57">
        <v>12</v>
      </c>
      <c r="I57">
        <v>1161</v>
      </c>
      <c r="J57">
        <v>308</v>
      </c>
      <c r="K57">
        <v>305</v>
      </c>
      <c r="L57">
        <v>9.91</v>
      </c>
      <c r="M57">
        <v>15.39</v>
      </c>
      <c r="O57">
        <f>I57/H57</f>
        <v>96.75</v>
      </c>
      <c r="P57">
        <f>((J57-2*M57)+(2*K57-L57))*2/1000</f>
        <v>1.75462</v>
      </c>
    </row>
    <row r="58">
      <c r="C58" t="str">
        <v>WF 14"x6 3/4" 30 lbs</v>
      </c>
      <c r="E58" t="str">
        <v>SGJ</v>
      </c>
      <c r="F58" t="str">
        <v>Japan</v>
      </c>
      <c r="H58">
        <v>12</v>
      </c>
      <c r="I58">
        <v>536</v>
      </c>
      <c r="J58">
        <v>352</v>
      </c>
      <c r="K58">
        <v>171</v>
      </c>
      <c r="L58">
        <v>6.86</v>
      </c>
      <c r="M58">
        <v>9.73</v>
      </c>
      <c r="O58">
        <f>I58/H58</f>
        <v>44.666666666666664</v>
      </c>
      <c r="P58">
        <f>((J58-2*M58)+(2*K58-L58))*2/1000</f>
        <v>1.33536</v>
      </c>
    </row>
    <row r="59">
      <c r="C59" t="str">
        <v>WF 14"x14 1/2" 73 lbs</v>
      </c>
      <c r="E59" t="str">
        <v>SGJ</v>
      </c>
      <c r="F59" t="str">
        <v>Japan</v>
      </c>
      <c r="H59">
        <v>12</v>
      </c>
      <c r="I59">
        <v>1303</v>
      </c>
      <c r="J59">
        <v>346</v>
      </c>
      <c r="K59">
        <v>370</v>
      </c>
      <c r="L59">
        <v>12.85</v>
      </c>
      <c r="M59">
        <v>12.85</v>
      </c>
      <c r="O59">
        <f>I59/H59</f>
        <v>108.58333333333333</v>
      </c>
      <c r="P59">
        <f>((J59-2*M59)+(2*K59-L59))*2/1000</f>
        <v>2.0949</v>
      </c>
    </row>
    <row r="60">
      <c r="C60" t="str">
        <v>WF 16"x7" 36 lbs</v>
      </c>
      <c r="E60" t="str">
        <v>SGJ</v>
      </c>
      <c r="F60" t="str">
        <v>Japan</v>
      </c>
      <c r="H60">
        <v>12</v>
      </c>
      <c r="I60">
        <v>643</v>
      </c>
      <c r="J60">
        <v>403</v>
      </c>
      <c r="K60">
        <v>178</v>
      </c>
      <c r="L60">
        <v>7.59</v>
      </c>
      <c r="M60">
        <v>10.87</v>
      </c>
      <c r="O60">
        <f>I60/H60</f>
        <v>53.583333333333336</v>
      </c>
      <c r="P60">
        <f>((J60-2*M60)+(2*K60-L60))*2/1000</f>
        <v>1.45934</v>
      </c>
    </row>
    <row r="61">
      <c r="C61" t="str">
        <v>WF 16"x7" 40 lbs</v>
      </c>
      <c r="E61" t="str">
        <v>SGJ</v>
      </c>
      <c r="F61" t="str">
        <v>Japan</v>
      </c>
      <c r="H61">
        <v>12</v>
      </c>
      <c r="I61">
        <v>714</v>
      </c>
      <c r="J61">
        <v>406</v>
      </c>
      <c r="K61">
        <v>178</v>
      </c>
      <c r="L61">
        <v>7.8</v>
      </c>
      <c r="M61">
        <v>12.78</v>
      </c>
      <c r="O61">
        <f>I61/H61</f>
        <v>59.5</v>
      </c>
      <c r="P61">
        <f>((J61-2*M61)+(2*K61-L61))*2/1000</f>
        <v>1.45728</v>
      </c>
    </row>
    <row r="62">
      <c r="C62" t="str">
        <v>WF 16"x7" 50 lbs</v>
      </c>
      <c r="E62" t="str">
        <v>SGJ</v>
      </c>
      <c r="F62" t="str">
        <v>Japan</v>
      </c>
      <c r="H62">
        <v>12</v>
      </c>
      <c r="I62">
        <v>893</v>
      </c>
      <c r="J62">
        <v>413</v>
      </c>
      <c r="K62">
        <v>180</v>
      </c>
      <c r="L62">
        <v>9.65</v>
      </c>
      <c r="M62">
        <v>15.95</v>
      </c>
      <c r="O62">
        <f>I62/H62</f>
        <v>74.41666666666667</v>
      </c>
      <c r="P62">
        <f>((J62-2*M62)+(2*K62-L62))*2/1000</f>
        <v>1.4629</v>
      </c>
    </row>
    <row r="63">
      <c r="C63" t="str">
        <v>WF 18"x7 1/2" 45 lbs</v>
      </c>
      <c r="E63" t="str">
        <v>SGJ</v>
      </c>
      <c r="F63" t="str">
        <v>Japan</v>
      </c>
      <c r="H63">
        <v>12</v>
      </c>
      <c r="I63">
        <v>804</v>
      </c>
      <c r="J63">
        <v>454</v>
      </c>
      <c r="K63">
        <v>190</v>
      </c>
      <c r="L63">
        <v>8.51</v>
      </c>
      <c r="M63">
        <v>12.67</v>
      </c>
      <c r="O63">
        <f>I63/H63</f>
        <v>67</v>
      </c>
      <c r="P63">
        <f>((J63-2*M63)+(2*K63-L63))*2/1000</f>
        <v>1.6003000000000003</v>
      </c>
    </row>
    <row r="64">
      <c r="B64" t="str">
        <v>IPE</v>
      </c>
      <c r="C64" t="str">
        <v>IPE 80x46x3,8x5,2</v>
      </c>
      <c r="E64" t="str">
        <v>SHC</v>
      </c>
      <c r="F64" t="str">
        <v>German</v>
      </c>
      <c r="H64">
        <v>12</v>
      </c>
      <c r="I64">
        <v>72</v>
      </c>
      <c r="J64">
        <v>80</v>
      </c>
      <c r="K64">
        <v>46</v>
      </c>
      <c r="L64">
        <v>3.8</v>
      </c>
      <c r="M64">
        <v>5.2</v>
      </c>
      <c r="O64">
        <f>I64/H64</f>
        <v>6</v>
      </c>
      <c r="P64">
        <f>((J64-2*M64)+(2*K64-L64))*2/1000</f>
        <v>0.31560000000000005</v>
      </c>
    </row>
    <row r="65">
      <c r="C65" t="str">
        <v>IPE 100x55x4,1x5,7</v>
      </c>
      <c r="E65" t="str">
        <v>SHC</v>
      </c>
      <c r="F65" t="str">
        <v>German</v>
      </c>
      <c r="H65">
        <v>12</v>
      </c>
      <c r="I65">
        <v>97.2</v>
      </c>
      <c r="J65">
        <v>100</v>
      </c>
      <c r="K65">
        <v>55</v>
      </c>
      <c r="L65">
        <v>4.1</v>
      </c>
      <c r="M65">
        <v>5.7</v>
      </c>
      <c r="O65">
        <f>I65/H65</f>
        <v>8.1</v>
      </c>
      <c r="P65">
        <f>((J65-2*M65)+(2*K65-L65))*2/1000</f>
        <v>0.389</v>
      </c>
    </row>
    <row r="66">
      <c r="C66" t="str">
        <v>IPE 120x64x4,4x6,3</v>
      </c>
      <c r="E66" t="str">
        <v>SHC</v>
      </c>
      <c r="F66" t="str">
        <v>German</v>
      </c>
      <c r="H66">
        <v>12</v>
      </c>
      <c r="I66">
        <v>124.8</v>
      </c>
      <c r="J66">
        <v>120</v>
      </c>
      <c r="K66">
        <v>64</v>
      </c>
      <c r="L66">
        <v>4.4</v>
      </c>
      <c r="M66">
        <v>6.3</v>
      </c>
      <c r="O66">
        <f>I66/H66</f>
        <v>10.4</v>
      </c>
      <c r="P66">
        <f>((J66-2*M66)+(2*K66-L66))*2/1000</f>
        <v>0.462</v>
      </c>
    </row>
    <row r="67">
      <c r="C67" t="str">
        <v>IPE 140x73x4,7x6,9</v>
      </c>
      <c r="E67" t="str">
        <v>SHC</v>
      </c>
      <c r="F67" t="str">
        <v>German</v>
      </c>
      <c r="H67">
        <v>12</v>
      </c>
      <c r="I67">
        <v>154.8</v>
      </c>
      <c r="J67">
        <v>140</v>
      </c>
      <c r="K67">
        <v>73</v>
      </c>
      <c r="L67">
        <v>4.7</v>
      </c>
      <c r="M67">
        <v>6.9</v>
      </c>
      <c r="O67">
        <f>I67/H67</f>
        <v>12.9</v>
      </c>
      <c r="P67">
        <f>((J67-2*M67)+(2*K67-L67))*2/1000</f>
        <v>0.535</v>
      </c>
    </row>
    <row r="68">
      <c r="C68" t="str">
        <v>IPE 160x82x5x7,4</v>
      </c>
      <c r="E68" t="str">
        <v>SHC</v>
      </c>
      <c r="F68" t="str">
        <v>German</v>
      </c>
      <c r="H68">
        <v>12</v>
      </c>
      <c r="I68">
        <v>189.6</v>
      </c>
      <c r="J68">
        <v>160</v>
      </c>
      <c r="K68">
        <v>82</v>
      </c>
      <c r="L68">
        <v>5</v>
      </c>
      <c r="M68">
        <v>7.4</v>
      </c>
      <c r="O68">
        <f>I68/H68</f>
        <v>15.799999999999999</v>
      </c>
      <c r="P68">
        <f>((J68-2*M68)+(2*K68-L68))*2/1000</f>
        <v>0.6083999999999999</v>
      </c>
    </row>
    <row r="69">
      <c r="C69" t="str">
        <v>IPE 180x91x5,3x8</v>
      </c>
      <c r="E69" t="str">
        <v>SHC</v>
      </c>
      <c r="F69" t="str">
        <v>German</v>
      </c>
      <c r="H69">
        <v>12</v>
      </c>
      <c r="I69">
        <v>225.6</v>
      </c>
      <c r="J69">
        <v>180</v>
      </c>
      <c r="K69">
        <v>91</v>
      </c>
      <c r="L69">
        <v>5.3</v>
      </c>
      <c r="M69">
        <v>8</v>
      </c>
      <c r="O69">
        <f>I69/H69</f>
        <v>18.8</v>
      </c>
      <c r="P69">
        <f>((J69-2*M69)+(2*K69-L69))*2/1000</f>
        <v>0.6814</v>
      </c>
    </row>
    <row r="70">
      <c r="C70" t="str">
        <v>IPE 200x100x5,6x8,5</v>
      </c>
      <c r="E70" t="str">
        <v>SHC</v>
      </c>
      <c r="F70" t="str">
        <v>German</v>
      </c>
      <c r="H70">
        <v>12</v>
      </c>
      <c r="I70">
        <v>268.8</v>
      </c>
      <c r="J70">
        <v>200</v>
      </c>
      <c r="K70">
        <v>100</v>
      </c>
      <c r="L70">
        <v>5.6</v>
      </c>
      <c r="M70">
        <v>8.5</v>
      </c>
      <c r="O70">
        <f>I70/H70</f>
        <v>22.400000000000002</v>
      </c>
      <c r="P70">
        <f>((J70-2*M70)+(2*K70-L70))*2/1000</f>
        <v>0.7547999999999999</v>
      </c>
    </row>
    <row r="71">
      <c r="C71" t="str">
        <v>IPE 220x110x5,9x9,2</v>
      </c>
      <c r="E71" t="str">
        <v>SHC</v>
      </c>
      <c r="F71" t="str">
        <v>German</v>
      </c>
      <c r="H71">
        <v>12</v>
      </c>
      <c r="I71">
        <v>314.4</v>
      </c>
      <c r="J71">
        <v>220</v>
      </c>
      <c r="K71">
        <v>110</v>
      </c>
      <c r="L71">
        <v>5.9</v>
      </c>
      <c r="M71">
        <v>9.2</v>
      </c>
      <c r="O71">
        <f>I71/H71</f>
        <v>26.2</v>
      </c>
      <c r="P71">
        <f>((J71-2*M71)+(2*K71-L71))*2/1000</f>
        <v>0.8314</v>
      </c>
    </row>
    <row r="72">
      <c r="C72" t="str">
        <v>IPE 240x120x6,2x9,8</v>
      </c>
      <c r="E72" t="str">
        <v>SHC</v>
      </c>
      <c r="F72" t="str">
        <v>German</v>
      </c>
      <c r="H72">
        <v>12</v>
      </c>
      <c r="I72">
        <v>368.4</v>
      </c>
      <c r="J72">
        <v>240</v>
      </c>
      <c r="K72">
        <v>120</v>
      </c>
      <c r="L72">
        <v>6.2</v>
      </c>
      <c r="M72">
        <v>9.8</v>
      </c>
      <c r="O72">
        <f>I72/H72</f>
        <v>30.7</v>
      </c>
      <c r="P72">
        <f>((J72-2*M72)+(2*K72-L72))*2/1000</f>
        <v>0.9084000000000001</v>
      </c>
    </row>
    <row r="73">
      <c r="C73" t="str">
        <v>IPE 270x135x6,6x10,2</v>
      </c>
      <c r="E73" t="str">
        <v>SHC</v>
      </c>
      <c r="F73" t="str">
        <v>German</v>
      </c>
      <c r="H73">
        <v>12</v>
      </c>
      <c r="I73">
        <v>433.2</v>
      </c>
      <c r="J73">
        <v>270</v>
      </c>
      <c r="K73">
        <v>135</v>
      </c>
      <c r="L73">
        <v>6.6</v>
      </c>
      <c r="M73">
        <v>10.2</v>
      </c>
      <c r="O73">
        <f>I73/H73</f>
        <v>36.1</v>
      </c>
      <c r="P73">
        <f>((J73-2*M73)+(2*K73-L73))*2/1000</f>
        <v>1.026</v>
      </c>
    </row>
    <row r="74">
      <c r="C74" t="str">
        <v>IPE 300x150x7,1x10,7</v>
      </c>
      <c r="E74" t="str">
        <v>SHC</v>
      </c>
      <c r="F74" t="str">
        <v>German</v>
      </c>
      <c r="H74">
        <v>12</v>
      </c>
      <c r="I74">
        <v>506.4</v>
      </c>
      <c r="J74">
        <v>300</v>
      </c>
      <c r="K74">
        <v>150</v>
      </c>
      <c r="L74">
        <v>7.1</v>
      </c>
      <c r="M74">
        <v>10.7</v>
      </c>
      <c r="O74">
        <f>I74/H74</f>
        <v>42.199999999999996</v>
      </c>
      <c r="P74">
        <f>((J74-2*M74)+(2*K74-L74))*2/1000</f>
        <v>1.143</v>
      </c>
    </row>
    <row r="75">
      <c r="C75" t="str">
        <v>IPE 330x160x7,5x11,5</v>
      </c>
      <c r="E75" t="str">
        <v>SHC</v>
      </c>
      <c r="F75" t="str">
        <v>German</v>
      </c>
      <c r="H75">
        <v>12</v>
      </c>
      <c r="I75">
        <v>589.2</v>
      </c>
      <c r="J75">
        <v>330</v>
      </c>
      <c r="K75">
        <v>160</v>
      </c>
      <c r="L75">
        <v>7.5</v>
      </c>
      <c r="M75">
        <v>11.5</v>
      </c>
      <c r="O75">
        <f>I75/H75</f>
        <v>49.1</v>
      </c>
      <c r="P75">
        <f>((J75-2*M75)+(2*K75-L75))*2/1000</f>
        <v>1.239</v>
      </c>
    </row>
    <row r="76">
      <c r="C76" t="str">
        <v>IPE 360x170x8x12,7</v>
      </c>
      <c r="E76" t="str">
        <v>SHC</v>
      </c>
      <c r="F76" t="str">
        <v>German</v>
      </c>
      <c r="H76">
        <v>12</v>
      </c>
      <c r="I76">
        <v>685.2</v>
      </c>
      <c r="J76">
        <v>360</v>
      </c>
      <c r="K76">
        <v>170</v>
      </c>
      <c r="L76">
        <v>8</v>
      </c>
      <c r="M76">
        <v>12.7</v>
      </c>
      <c r="O76">
        <f>I76/H76</f>
        <v>57.1</v>
      </c>
      <c r="P76">
        <f>((J76-2*M76)+(2*K76-L76))*2/1000</f>
        <v>1.3332</v>
      </c>
    </row>
    <row r="77">
      <c r="C77" t="str">
        <v>IPE 400x180x8,6x13,5</v>
      </c>
      <c r="E77" t="str">
        <v>SHC</v>
      </c>
      <c r="F77" t="str">
        <v>German</v>
      </c>
      <c r="H77">
        <v>12</v>
      </c>
      <c r="I77">
        <v>795.6</v>
      </c>
      <c r="J77">
        <v>400</v>
      </c>
      <c r="K77">
        <v>180</v>
      </c>
      <c r="L77">
        <v>8.6</v>
      </c>
      <c r="M77">
        <v>13.5</v>
      </c>
      <c r="O77">
        <f>I77/H77</f>
        <v>66.3</v>
      </c>
      <c r="P77">
        <f>((J77-2*M77)+(2*K77-L77))*2/1000</f>
        <v>1.4487999999999999</v>
      </c>
    </row>
    <row r="78">
      <c r="C78" t="str">
        <v>IPE 450x190x9,4x14,6</v>
      </c>
      <c r="E78" t="str">
        <v>SHC</v>
      </c>
      <c r="F78" t="str">
        <v>German</v>
      </c>
      <c r="H78">
        <v>12</v>
      </c>
      <c r="I78">
        <v>931.2</v>
      </c>
      <c r="J78">
        <v>450</v>
      </c>
      <c r="K78">
        <v>190</v>
      </c>
      <c r="L78">
        <v>9.4</v>
      </c>
      <c r="M78">
        <v>14.6</v>
      </c>
      <c r="O78">
        <f>I78/H78</f>
        <v>77.60000000000001</v>
      </c>
      <c r="P78">
        <f>((J78-2*M78)+(2*K78-L78))*2/1000</f>
        <v>1.5828000000000002</v>
      </c>
    </row>
    <row r="79">
      <c r="C79" t="str">
        <v>IPE 500x200x10,2x16</v>
      </c>
      <c r="E79" t="str">
        <v>SHC</v>
      </c>
      <c r="F79" t="str">
        <v>German</v>
      </c>
      <c r="H79">
        <v>12</v>
      </c>
      <c r="I79">
        <v>1088.4</v>
      </c>
      <c r="J79">
        <v>500</v>
      </c>
      <c r="K79">
        <v>200</v>
      </c>
      <c r="L79">
        <v>10.2</v>
      </c>
      <c r="M79">
        <v>16</v>
      </c>
      <c r="O79">
        <f>I79/H79</f>
        <v>90.7</v>
      </c>
      <c r="P79">
        <f>((J79-2*M79)+(2*K79-L79))*2/1000</f>
        <v>1.7156</v>
      </c>
    </row>
    <row r="80">
      <c r="C80" t="str">
        <v>IPE 550x210x11,1x17,2</v>
      </c>
      <c r="E80" t="str">
        <v>SHC</v>
      </c>
      <c r="F80" t="str">
        <v>German</v>
      </c>
      <c r="H80">
        <v>12</v>
      </c>
      <c r="I80">
        <v>1272</v>
      </c>
      <c r="J80">
        <v>550</v>
      </c>
      <c r="K80">
        <v>210</v>
      </c>
      <c r="L80">
        <v>11.1</v>
      </c>
      <c r="M80">
        <v>17.2</v>
      </c>
      <c r="O80">
        <f>I80/H80</f>
        <v>106</v>
      </c>
      <c r="P80">
        <f>((J80-2*M80)+(2*K80-L80))*2/1000</f>
        <v>1.849</v>
      </c>
    </row>
    <row r="81">
      <c r="C81" t="str">
        <v>IPE 600x220x12x19</v>
      </c>
      <c r="E81" t="str">
        <v>SHC</v>
      </c>
      <c r="F81" t="str">
        <v>German</v>
      </c>
      <c r="H81">
        <v>12</v>
      </c>
      <c r="I81">
        <v>1464</v>
      </c>
      <c r="J81">
        <v>600</v>
      </c>
      <c r="K81">
        <v>220</v>
      </c>
      <c r="L81">
        <v>12</v>
      </c>
      <c r="M81">
        <v>19</v>
      </c>
      <c r="O81">
        <f>I81/H81</f>
        <v>122</v>
      </c>
      <c r="P81">
        <f>((J81-2*M81)+(2*K81-L81))*2/1000</f>
        <v>1.98</v>
      </c>
    </row>
    <row r="82">
      <c r="B82" t="str">
        <v>INP</v>
      </c>
      <c r="C82" t="str">
        <v>INP 80x42x3,9x5,9x2,3</v>
      </c>
      <c r="E82" t="str">
        <v>SGJ, SHC</v>
      </c>
      <c r="F82" t="str">
        <v>German</v>
      </c>
      <c r="H82">
        <v>6</v>
      </c>
      <c r="I82">
        <v>38.5</v>
      </c>
      <c r="J82">
        <v>80</v>
      </c>
      <c r="K82">
        <v>42</v>
      </c>
      <c r="L82">
        <v>3.9</v>
      </c>
      <c r="M82">
        <v>5.9</v>
      </c>
      <c r="N82">
        <v>2.3</v>
      </c>
      <c r="O82">
        <f>I82/H82</f>
        <v>6.416666666666667</v>
      </c>
      <c r="P82">
        <f>((J82-2*M82)+(2*K82-L82))*2/1000</f>
        <v>0.29660000000000003</v>
      </c>
    </row>
    <row r="83">
      <c r="C83" t="str">
        <v>INP 100x50x4,5x6,8x2,7</v>
      </c>
      <c r="E83" t="str">
        <v>SGJ, SHC</v>
      </c>
      <c r="F83" t="str">
        <v>German</v>
      </c>
      <c r="H83">
        <v>6</v>
      </c>
      <c r="I83">
        <v>50.6</v>
      </c>
      <c r="J83">
        <v>100</v>
      </c>
      <c r="K83">
        <v>50</v>
      </c>
      <c r="L83">
        <v>4.5</v>
      </c>
      <c r="M83">
        <v>6.8</v>
      </c>
      <c r="N83">
        <v>2.7</v>
      </c>
      <c r="O83">
        <f>I83/H83</f>
        <v>8.433333333333334</v>
      </c>
      <c r="P83">
        <f>((J83-2*M83)+(2*K83-L83))*2/1000</f>
        <v>0.3638</v>
      </c>
    </row>
    <row r="84">
      <c r="C84" t="str">
        <v>INP 120x58x5,1x7,7x3,1</v>
      </c>
      <c r="E84" t="str">
        <v>SGJ, SHC</v>
      </c>
      <c r="F84" t="str">
        <v>German</v>
      </c>
      <c r="H84">
        <v>6</v>
      </c>
      <c r="I84">
        <v>67.5</v>
      </c>
      <c r="J84">
        <v>120</v>
      </c>
      <c r="K84">
        <v>58</v>
      </c>
      <c r="L84">
        <v>5.1</v>
      </c>
      <c r="M84">
        <v>7.7</v>
      </c>
      <c r="N84">
        <v>3.1</v>
      </c>
      <c r="O84">
        <f>I84/H84</f>
        <v>11.25</v>
      </c>
      <c r="P84">
        <f>((J84-2*M84)+(2*K84-L84))*2/1000</f>
        <v>0.431</v>
      </c>
    </row>
    <row r="85">
      <c r="C85" t="str">
        <v>INP 140x66x5,7x8,6x3,4</v>
      </c>
      <c r="E85" t="str">
        <v>SGJ, SHC</v>
      </c>
      <c r="F85" t="str">
        <v>German</v>
      </c>
      <c r="H85">
        <v>6</v>
      </c>
      <c r="I85">
        <v>87.5</v>
      </c>
      <c r="J85">
        <v>140</v>
      </c>
      <c r="K85">
        <v>66</v>
      </c>
      <c r="L85">
        <v>5.7</v>
      </c>
      <c r="M85">
        <v>8.6</v>
      </c>
      <c r="N85">
        <v>3.4</v>
      </c>
      <c r="O85">
        <f>I85/H85</f>
        <v>14.583333333333334</v>
      </c>
      <c r="P85">
        <f>((J85-2*M85)+(2*K85-L85))*2/1000</f>
        <v>0.4982</v>
      </c>
    </row>
    <row r="86">
      <c r="C86" t="str">
        <v>INP 160x74x6,5x9,5x3,8</v>
      </c>
      <c r="E86" t="str">
        <v>SGJ, SHC</v>
      </c>
      <c r="F86" t="str">
        <v>German</v>
      </c>
      <c r="H86">
        <v>6</v>
      </c>
      <c r="I86">
        <v>108.5</v>
      </c>
      <c r="J86">
        <v>160</v>
      </c>
      <c r="K86">
        <v>74</v>
      </c>
      <c r="L86">
        <v>6.5</v>
      </c>
      <c r="M86">
        <v>9.5</v>
      </c>
      <c r="N86">
        <v>3.8</v>
      </c>
      <c r="O86">
        <f>I86/H86</f>
        <v>18.083333333333332</v>
      </c>
      <c r="P86">
        <f>((J86-2*M86)+(2*K86-L86))*2/1000</f>
        <v>0.565</v>
      </c>
    </row>
    <row r="87">
      <c r="C87" t="str">
        <v>INP 180x82x6,9x10,4x4,1</v>
      </c>
      <c r="E87" t="str">
        <v>SGJ, SHC</v>
      </c>
      <c r="F87" t="str">
        <v>German</v>
      </c>
      <c r="H87">
        <v>12</v>
      </c>
      <c r="I87">
        <v>270</v>
      </c>
      <c r="J87">
        <v>180</v>
      </c>
      <c r="K87">
        <v>82</v>
      </c>
      <c r="L87">
        <v>6.9</v>
      </c>
      <c r="M87">
        <v>10.4</v>
      </c>
      <c r="N87">
        <v>4.1</v>
      </c>
      <c r="O87">
        <f>I87/H87</f>
        <v>22.5</v>
      </c>
      <c r="P87">
        <f>((J87-2*M87)+(2*K87-L87))*2/1000</f>
        <v>0.6325999999999999</v>
      </c>
    </row>
    <row r="88">
      <c r="C88" t="str">
        <v>INP 200x90x7,5x11,3x4,5</v>
      </c>
      <c r="E88" t="str">
        <v>SGJ, SHC</v>
      </c>
      <c r="F88" t="str">
        <v>German</v>
      </c>
      <c r="H88">
        <v>12</v>
      </c>
      <c r="I88">
        <v>316</v>
      </c>
      <c r="J88">
        <v>200</v>
      </c>
      <c r="K88">
        <v>90</v>
      </c>
      <c r="L88">
        <v>7.5</v>
      </c>
      <c r="M88">
        <v>11.3</v>
      </c>
      <c r="N88">
        <v>4.5</v>
      </c>
      <c r="O88">
        <f>I88/H88</f>
        <v>26.333333333333332</v>
      </c>
      <c r="P88">
        <f>((J88-2*M88)+(2*K88-L88))*2/1000</f>
        <v>0.6998</v>
      </c>
    </row>
    <row r="89">
      <c r="C89" t="str">
        <v>INP 220x98x8,1x12,2x4,9</v>
      </c>
      <c r="E89" t="str">
        <v>SGJ, SHC</v>
      </c>
      <c r="F89" t="str">
        <v>German</v>
      </c>
      <c r="H89">
        <v>12</v>
      </c>
      <c r="I89">
        <v>375</v>
      </c>
      <c r="J89">
        <v>220</v>
      </c>
      <c r="K89">
        <v>98</v>
      </c>
      <c r="L89">
        <v>8.1</v>
      </c>
      <c r="M89">
        <v>12.2</v>
      </c>
      <c r="N89">
        <v>4.9</v>
      </c>
      <c r="O89">
        <f>I89/H89</f>
        <v>31.25</v>
      </c>
      <c r="P89">
        <f>((J89-2*M89)+(2*K89-L89))*2/1000</f>
        <v>0.767</v>
      </c>
    </row>
    <row r="90">
      <c r="C90" t="str">
        <v>INP 240x106x8,7x13,1x5,2</v>
      </c>
      <c r="E90" t="str">
        <v>SGJ, SHC</v>
      </c>
      <c r="F90" t="str">
        <v>German</v>
      </c>
      <c r="H90">
        <v>12</v>
      </c>
      <c r="I90">
        <v>436</v>
      </c>
      <c r="J90">
        <v>240</v>
      </c>
      <c r="K90">
        <v>106</v>
      </c>
      <c r="L90">
        <v>8.7</v>
      </c>
      <c r="M90">
        <v>13.1</v>
      </c>
      <c r="N90">
        <v>5.2</v>
      </c>
      <c r="O90">
        <f>I90/H90</f>
        <v>36.333333333333336</v>
      </c>
      <c r="P90">
        <f>((J90-2*M90)+(2*K90-L90))*2/1000</f>
        <v>0.8342</v>
      </c>
    </row>
    <row r="91">
      <c r="C91" t="str">
        <v>INP 250x125x7,5x12,5</v>
      </c>
      <c r="E91" t="str">
        <v>SGJ</v>
      </c>
      <c r="F91" t="str">
        <v>German</v>
      </c>
      <c r="H91">
        <v>12</v>
      </c>
      <c r="J91">
        <f>136+152</f>
        <v>288</v>
      </c>
      <c r="K91">
        <v>150</v>
      </c>
      <c r="L91">
        <v>7.5</v>
      </c>
      <c r="M91">
        <v>12.5</v>
      </c>
      <c r="O91">
        <f>I91/H91</f>
        <v>0</v>
      </c>
      <c r="P91">
        <f>H91*K91*O91*J91/1000000</f>
        <v>0</v>
      </c>
    </row>
    <row r="92">
      <c r="C92" t="str">
        <v>INP 260x113x9,4x14,1x5,6</v>
      </c>
      <c r="E92" t="str">
        <v>SGJ, SHC</v>
      </c>
      <c r="F92" t="str">
        <v>German</v>
      </c>
      <c r="H92">
        <v>12</v>
      </c>
      <c r="I92">
        <v>505</v>
      </c>
      <c r="J92">
        <v>260</v>
      </c>
      <c r="K92">
        <v>113</v>
      </c>
      <c r="L92">
        <v>9.4</v>
      </c>
      <c r="M92">
        <v>14.1</v>
      </c>
      <c r="N92">
        <v>5.6</v>
      </c>
      <c r="O92">
        <f>I92/H92</f>
        <v>42.083333333333336</v>
      </c>
      <c r="P92">
        <f>((J92-2*M92)+(2*K92-L92))*2/1000</f>
        <v>0.8967999999999999</v>
      </c>
    </row>
    <row r="93">
      <c r="C93" t="str">
        <v>INP 280x119x10,1x15,2x6,1</v>
      </c>
      <c r="E93" t="str">
        <v>SGJ, SHC</v>
      </c>
      <c r="F93" t="str">
        <v>German</v>
      </c>
      <c r="H93">
        <v>12</v>
      </c>
      <c r="I93">
        <v>580</v>
      </c>
      <c r="J93">
        <v>280</v>
      </c>
      <c r="K93">
        <v>119</v>
      </c>
      <c r="L93">
        <v>10.1</v>
      </c>
      <c r="M93">
        <v>15.2</v>
      </c>
      <c r="N93">
        <v>6.1</v>
      </c>
      <c r="O93">
        <f>I93/H93</f>
        <v>48.333333333333336</v>
      </c>
      <c r="P93">
        <f>((J93-2*M93)+(2*K93-L93))*2/1000</f>
        <v>0.955</v>
      </c>
    </row>
    <row r="94">
      <c r="C94" t="str">
        <v>INP 300x125x10,8x16,2x5</v>
      </c>
      <c r="E94" t="str">
        <v>SGJ, SHC</v>
      </c>
      <c r="F94" t="str">
        <v>German</v>
      </c>
      <c r="H94">
        <v>12</v>
      </c>
      <c r="I94">
        <v>661</v>
      </c>
      <c r="J94">
        <v>300</v>
      </c>
      <c r="K94">
        <v>125</v>
      </c>
      <c r="L94">
        <v>10.8</v>
      </c>
      <c r="M94">
        <v>16.2</v>
      </c>
      <c r="N94">
        <v>5</v>
      </c>
      <c r="O94">
        <f>I94/H94</f>
        <v>55.083333333333336</v>
      </c>
      <c r="P94">
        <f>((J94-2*M94)+(2*K94-L94))*2/1000</f>
        <v>1.0136</v>
      </c>
    </row>
    <row r="95">
      <c r="C95" t="str">
        <v>INP 320x131x11,5x17,3x6,9</v>
      </c>
      <c r="E95" t="str">
        <v>SGJ, SHC</v>
      </c>
      <c r="F95" t="str">
        <v>German</v>
      </c>
      <c r="H95">
        <v>12</v>
      </c>
      <c r="I95">
        <v>750</v>
      </c>
      <c r="J95">
        <v>320</v>
      </c>
      <c r="K95">
        <v>131</v>
      </c>
      <c r="L95">
        <v>11.5</v>
      </c>
      <c r="M95">
        <v>17.3</v>
      </c>
      <c r="N95">
        <v>6.9</v>
      </c>
      <c r="O95">
        <f>I95/H95</f>
        <v>62.5</v>
      </c>
      <c r="P95">
        <f>((J95-2*M95)+(2*K95-L95))*2/1000</f>
        <v>1.0717999999999999</v>
      </c>
    </row>
    <row r="96">
      <c r="C96" t="str">
        <v>INP 340x137x12,2x18,3x7,3</v>
      </c>
      <c r="E96" t="str">
        <v>SGJ, SHC</v>
      </c>
      <c r="F96" t="str">
        <v>German</v>
      </c>
      <c r="H96">
        <v>12</v>
      </c>
      <c r="J96">
        <f>136+136+136+116+541+534+136+136+136+171</f>
        <v>2178</v>
      </c>
      <c r="K96">
        <v>150</v>
      </c>
      <c r="L96">
        <v>12.2</v>
      </c>
      <c r="M96">
        <v>18.3</v>
      </c>
      <c r="N96">
        <v>7.3</v>
      </c>
      <c r="O96">
        <f>I96/H96</f>
        <v>0</v>
      </c>
      <c r="P96">
        <f>H96*K96*O96*J96/1000000</f>
        <v>0</v>
      </c>
    </row>
    <row r="97">
      <c r="C97" t="str">
        <v>INP 360x143x13x19,5x7,8</v>
      </c>
      <c r="E97" t="str">
        <v>SGJ, SHC</v>
      </c>
      <c r="F97" t="str">
        <v>German</v>
      </c>
      <c r="H97">
        <v>12</v>
      </c>
      <c r="J97">
        <v>200</v>
      </c>
      <c r="K97">
        <v>150</v>
      </c>
      <c r="L97">
        <v>13</v>
      </c>
      <c r="M97">
        <v>19.5</v>
      </c>
      <c r="N97">
        <v>7.8</v>
      </c>
      <c r="O97">
        <f>I97/H97</f>
        <v>0</v>
      </c>
      <c r="P97">
        <f>H97*K97*O97*J97/1000000</f>
        <v>0</v>
      </c>
    </row>
    <row r="98">
      <c r="C98" t="str">
        <v>INP 380x149x13,7x20,5x7,8</v>
      </c>
      <c r="E98" t="str">
        <v>SGJ, SHC</v>
      </c>
      <c r="F98" t="str">
        <v>German</v>
      </c>
      <c r="H98">
        <v>12</v>
      </c>
      <c r="I98">
        <v>1026</v>
      </c>
      <c r="J98">
        <v>380</v>
      </c>
      <c r="K98">
        <v>149</v>
      </c>
      <c r="L98">
        <v>13.7</v>
      </c>
      <c r="M98">
        <v>20.5</v>
      </c>
      <c r="N98">
        <v>7.8</v>
      </c>
      <c r="O98">
        <f>I98/H98</f>
        <v>85.5</v>
      </c>
      <c r="P98">
        <f>((J98-2*M98)+(2*K98-L98))*2/1000</f>
        <v>1.2466</v>
      </c>
    </row>
    <row r="99">
      <c r="C99" t="str">
        <v>INP 400x155x14,4x21,6x8,6</v>
      </c>
      <c r="E99" t="str">
        <v>SGJ, SHC</v>
      </c>
      <c r="F99" t="str">
        <v>German</v>
      </c>
      <c r="H99">
        <v>12</v>
      </c>
      <c r="J99">
        <f>136+136</f>
        <v>272</v>
      </c>
      <c r="K99">
        <v>150</v>
      </c>
      <c r="L99">
        <v>14.4</v>
      </c>
      <c r="M99">
        <v>21.6</v>
      </c>
      <c r="N99">
        <v>8.6</v>
      </c>
      <c r="O99">
        <f>I99/H99</f>
        <v>0</v>
      </c>
      <c r="P99">
        <f>H99*K99*O99*J99/1000000</f>
        <v>0</v>
      </c>
    </row>
    <row r="100">
      <c r="C100" t="str">
        <v>INP 425x163x15,3x23x9,2</v>
      </c>
      <c r="E100" t="str">
        <v>SHC</v>
      </c>
      <c r="F100" t="str">
        <v>German</v>
      </c>
      <c r="H100">
        <v>12</v>
      </c>
      <c r="J100">
        <f>264+300</f>
        <v>564</v>
      </c>
      <c r="K100">
        <v>150</v>
      </c>
      <c r="L100">
        <v>15.3</v>
      </c>
      <c r="M100">
        <v>23</v>
      </c>
      <c r="N100">
        <v>9.2</v>
      </c>
      <c r="O100">
        <f>I100/H100</f>
        <v>0</v>
      </c>
      <c r="P100">
        <f>H100*K100*O100*J100/1000000</f>
        <v>0</v>
      </c>
    </row>
    <row r="101">
      <c r="C101" t="str">
        <v>INP 450x170x16,2x21,3x9,7</v>
      </c>
      <c r="E101" t="str">
        <v>SGJ, SHC</v>
      </c>
      <c r="F101" t="str">
        <v>German</v>
      </c>
      <c r="H101">
        <v>12</v>
      </c>
      <c r="I101">
        <v>1400</v>
      </c>
      <c r="J101">
        <v>450</v>
      </c>
      <c r="K101">
        <v>170</v>
      </c>
      <c r="L101">
        <v>16.2</v>
      </c>
      <c r="M101">
        <v>21.3</v>
      </c>
      <c r="N101">
        <v>9.7</v>
      </c>
      <c r="O101">
        <f>I101/H101</f>
        <v>116.66666666666667</v>
      </c>
      <c r="P101">
        <f>((J101-2*M101)+(2*K101-L101))*2/1000</f>
        <v>1.4624000000000001</v>
      </c>
    </row>
    <row r="102">
      <c r="C102" t="str">
        <v>INP 475x178x17,1x25,6x10,3</v>
      </c>
      <c r="E102" t="str">
        <v>SHC</v>
      </c>
      <c r="F102" t="str">
        <v>German</v>
      </c>
      <c r="H102">
        <v>12</v>
      </c>
      <c r="I102">
        <v>1536</v>
      </c>
      <c r="J102">
        <v>475</v>
      </c>
      <c r="K102">
        <v>178</v>
      </c>
      <c r="L102">
        <v>17.1</v>
      </c>
      <c r="M102">
        <v>25.6</v>
      </c>
      <c r="N102">
        <v>10.3</v>
      </c>
      <c r="O102">
        <f>I102/H102</f>
        <v>128</v>
      </c>
      <c r="P102">
        <f>((J102-2*M102)+(2*K102-L102))*2/1000</f>
        <v>1.5254</v>
      </c>
    </row>
    <row r="103">
      <c r="C103" t="str">
        <v>INP 500x185x18x27x10,8</v>
      </c>
      <c r="E103" t="str">
        <v>SGJ</v>
      </c>
      <c r="F103" t="str">
        <v>German</v>
      </c>
      <c r="H103">
        <v>12</v>
      </c>
      <c r="I103">
        <v>1707</v>
      </c>
      <c r="J103">
        <v>500</v>
      </c>
      <c r="K103">
        <v>185</v>
      </c>
      <c r="L103">
        <v>18</v>
      </c>
      <c r="M103">
        <v>27</v>
      </c>
      <c r="N103">
        <v>10.8</v>
      </c>
      <c r="O103">
        <f>I103/H103</f>
        <v>142.25</v>
      </c>
      <c r="P103">
        <f>((J103-2*M103)+(2*K103-L103))*2/1000</f>
        <v>1.596</v>
      </c>
    </row>
    <row r="104">
      <c r="C104" t="str">
        <v>INP 550x200x19x30x11,9</v>
      </c>
      <c r="E104" t="str">
        <v>SHC</v>
      </c>
      <c r="F104" t="str">
        <v>German</v>
      </c>
      <c r="H104">
        <v>12</v>
      </c>
      <c r="I104">
        <v>1992</v>
      </c>
      <c r="J104">
        <v>550</v>
      </c>
      <c r="K104">
        <v>200</v>
      </c>
      <c r="L104">
        <v>19</v>
      </c>
      <c r="M104">
        <v>30</v>
      </c>
      <c r="N104">
        <v>11.9</v>
      </c>
      <c r="O104">
        <f>I104/H104</f>
        <v>166</v>
      </c>
      <c r="P104">
        <f>((J104-2*M104)+(2*K104-L104))*2/1000</f>
        <v>1.742</v>
      </c>
    </row>
    <row r="105">
      <c r="C105" t="str">
        <v>INP 600x215x21,6x32,4x13</v>
      </c>
      <c r="E105" t="str">
        <v>SHC</v>
      </c>
      <c r="F105" t="str">
        <v>German</v>
      </c>
      <c r="H105">
        <v>12</v>
      </c>
      <c r="I105">
        <v>2388</v>
      </c>
      <c r="J105">
        <v>600</v>
      </c>
      <c r="K105">
        <v>215</v>
      </c>
      <c r="L105">
        <v>21.6</v>
      </c>
      <c r="M105">
        <v>32.4</v>
      </c>
      <c r="N105">
        <v>13</v>
      </c>
      <c r="O105">
        <f>I105/H105</f>
        <v>199</v>
      </c>
      <c r="P105">
        <f>((J105-2*M105)+(2*K105-L105))*2/1000</f>
        <v>1.8872</v>
      </c>
    </row>
    <row r="106">
      <c r="B106" t="str">
        <v>Equal Angle (L)</v>
      </c>
      <c r="C106" t="str">
        <v>L 20x20x3</v>
      </c>
      <c r="E106" t="str">
        <v>SGJ, SHC</v>
      </c>
      <c r="H106">
        <v>6</v>
      </c>
      <c r="I106">
        <v>5.31</v>
      </c>
      <c r="J106">
        <v>20</v>
      </c>
      <c r="K106">
        <v>20</v>
      </c>
      <c r="L106">
        <v>3</v>
      </c>
      <c r="O106">
        <f>I106/H106</f>
        <v>0.8849999999999999</v>
      </c>
      <c r="P106">
        <f>J106*4/1000</f>
        <v>0.08</v>
      </c>
    </row>
    <row r="107">
      <c r="C107" t="str">
        <v>L 25x25x3</v>
      </c>
      <c r="D107" t="str">
        <v>GG</v>
      </c>
      <c r="E107" t="str">
        <v>SGJ, SHC</v>
      </c>
      <c r="H107">
        <v>6</v>
      </c>
      <c r="I107">
        <f>O107*H107</f>
        <v>6.720000000000001</v>
      </c>
      <c r="J107">
        <v>25</v>
      </c>
      <c r="K107">
        <v>25</v>
      </c>
      <c r="L107">
        <v>3</v>
      </c>
      <c r="O107">
        <v>1.12</v>
      </c>
      <c r="P107">
        <f>J107*4/1000</f>
        <v>0.1</v>
      </c>
    </row>
    <row r="108">
      <c r="C108" t="str">
        <v>L 25x25x5</v>
      </c>
      <c r="E108" t="str">
        <v>SGJ, SHC</v>
      </c>
      <c r="H108">
        <v>6</v>
      </c>
      <c r="I108">
        <v>10.6</v>
      </c>
      <c r="J108">
        <v>25</v>
      </c>
      <c r="K108">
        <v>25</v>
      </c>
      <c r="L108">
        <v>5</v>
      </c>
      <c r="O108">
        <f>I108/H108</f>
        <v>1.7666666666666666</v>
      </c>
      <c r="P108">
        <f>J108*4/1000</f>
        <v>0.1</v>
      </c>
    </row>
    <row r="109">
      <c r="C109" t="str">
        <v>L 30x30x3</v>
      </c>
      <c r="D109" t="str">
        <v>GG</v>
      </c>
      <c r="E109" t="str">
        <v>SGJ, SHC</v>
      </c>
      <c r="H109">
        <v>6</v>
      </c>
      <c r="J109">
        <f>100*5+264+114*2+112*2+170</f>
        <v>1386</v>
      </c>
      <c r="K109">
        <v>300</v>
      </c>
      <c r="L109">
        <v>3</v>
      </c>
      <c r="O109">
        <v>1.36</v>
      </c>
      <c r="P109">
        <f>H109*K109*O109*J109/1000000</f>
        <v>3.392928</v>
      </c>
    </row>
    <row r="110">
      <c r="C110" t="str">
        <v>L 40x40x3</v>
      </c>
      <c r="E110" t="str">
        <v>SGJ, SHC</v>
      </c>
      <c r="H110">
        <v>6</v>
      </c>
      <c r="I110">
        <v>11</v>
      </c>
      <c r="J110">
        <v>40</v>
      </c>
      <c r="K110">
        <v>40</v>
      </c>
      <c r="L110">
        <v>3</v>
      </c>
      <c r="O110">
        <f>I110/H110</f>
        <v>1.8333333333333333</v>
      </c>
      <c r="P110">
        <f>J110*4/1000</f>
        <v>0.16</v>
      </c>
    </row>
    <row r="111">
      <c r="C111" t="str">
        <v>L 40x40x4 m</v>
      </c>
      <c r="E111" t="str">
        <v>SGJ, SHC</v>
      </c>
      <c r="H111">
        <v>6</v>
      </c>
      <c r="I111">
        <v>14.5</v>
      </c>
      <c r="J111">
        <v>40</v>
      </c>
      <c r="K111">
        <v>40</v>
      </c>
      <c r="L111">
        <v>4</v>
      </c>
      <c r="O111">
        <f>I111/H111</f>
        <v>2.4166666666666665</v>
      </c>
      <c r="P111">
        <f>J111*4/1000</f>
        <v>0.16</v>
      </c>
    </row>
    <row r="112">
      <c r="C112" t="str">
        <v>L 40x40x4</v>
      </c>
      <c r="D112" t="str">
        <v>KS</v>
      </c>
      <c r="E112" t="str">
        <v>SHC</v>
      </c>
      <c r="H112">
        <v>6</v>
      </c>
      <c r="I112">
        <v>16.44</v>
      </c>
      <c r="J112">
        <v>40</v>
      </c>
      <c r="K112">
        <v>40</v>
      </c>
      <c r="L112">
        <v>4</v>
      </c>
      <c r="O112">
        <f>I112/H112</f>
        <v>2.74</v>
      </c>
      <c r="P112">
        <f>J112*4/1000</f>
        <v>0.16</v>
      </c>
    </row>
    <row r="113">
      <c r="C113" t="str">
        <v>L 40x40x5</v>
      </c>
      <c r="E113" t="str">
        <v>SGJ, SHC</v>
      </c>
      <c r="H113">
        <v>6</v>
      </c>
      <c r="I113">
        <v>18</v>
      </c>
      <c r="J113">
        <v>40</v>
      </c>
      <c r="K113">
        <v>40</v>
      </c>
      <c r="L113">
        <v>5</v>
      </c>
      <c r="O113">
        <f>I113/H113</f>
        <v>3</v>
      </c>
      <c r="P113">
        <f>J113*4/1000</f>
        <v>0.16</v>
      </c>
    </row>
    <row r="114">
      <c r="C114" t="str">
        <v>L 45x45x4</v>
      </c>
      <c r="D114" t="str">
        <v>GG</v>
      </c>
      <c r="E114" t="str">
        <v>SGJ, SHC</v>
      </c>
      <c r="H114">
        <v>6</v>
      </c>
      <c r="I114">
        <f>O114*H114</f>
        <v>16.44</v>
      </c>
      <c r="J114">
        <v>45</v>
      </c>
      <c r="K114">
        <v>45</v>
      </c>
      <c r="L114">
        <v>4</v>
      </c>
      <c r="O114">
        <v>2.74</v>
      </c>
      <c r="P114">
        <f>J114*4/1000</f>
        <v>0.18</v>
      </c>
    </row>
    <row r="115">
      <c r="C115" t="str">
        <v>L 45x45x5</v>
      </c>
      <c r="E115" t="str">
        <v>SGJ, SHC</v>
      </c>
      <c r="H115">
        <v>6</v>
      </c>
      <c r="I115">
        <v>20.5</v>
      </c>
      <c r="J115">
        <v>45</v>
      </c>
      <c r="K115">
        <v>45</v>
      </c>
      <c r="L115">
        <v>5</v>
      </c>
      <c r="O115">
        <f>I115/H115</f>
        <v>3.4166666666666665</v>
      </c>
      <c r="P115">
        <f>J115*4/1000</f>
        <v>0.18</v>
      </c>
    </row>
    <row r="116">
      <c r="C116" t="str">
        <v>L 50x50x4</v>
      </c>
      <c r="E116" t="str">
        <v>SGJ, SHC</v>
      </c>
      <c r="H116">
        <v>6</v>
      </c>
      <c r="I116">
        <v>18.4</v>
      </c>
      <c r="J116">
        <v>50</v>
      </c>
      <c r="K116">
        <v>50</v>
      </c>
      <c r="L116">
        <v>4</v>
      </c>
      <c r="O116">
        <f>I116/H116</f>
        <v>3.0666666666666664</v>
      </c>
      <c r="P116">
        <f>J116*4/1000</f>
        <v>0.2</v>
      </c>
    </row>
    <row r="117">
      <c r="C117" t="str">
        <v>L 50x50x5 m</v>
      </c>
      <c r="D117" t="str">
        <v>GG</v>
      </c>
      <c r="E117" t="str">
        <v>SHC</v>
      </c>
      <c r="H117">
        <v>6</v>
      </c>
      <c r="I117">
        <f>O117*H117</f>
        <v>22.62</v>
      </c>
      <c r="J117">
        <v>50</v>
      </c>
      <c r="K117">
        <v>50</v>
      </c>
      <c r="L117">
        <v>5</v>
      </c>
      <c r="O117">
        <v>3.77</v>
      </c>
      <c r="P117">
        <f>J117*4/1000</f>
        <v>0.2</v>
      </c>
    </row>
    <row r="118">
      <c r="C118" t="str">
        <v>L 50x50x5</v>
      </c>
      <c r="D118" t="str">
        <v>KS</v>
      </c>
      <c r="E118" t="str">
        <v>SHC</v>
      </c>
      <c r="H118">
        <v>6</v>
      </c>
      <c r="I118">
        <v>25.08</v>
      </c>
      <c r="J118">
        <v>50</v>
      </c>
      <c r="K118">
        <v>50</v>
      </c>
      <c r="L118">
        <v>5</v>
      </c>
      <c r="O118">
        <f>I118/H118</f>
        <v>4.18</v>
      </c>
      <c r="P118">
        <f>J118*4/1000</f>
        <v>0.2</v>
      </c>
    </row>
    <row r="119">
      <c r="C119" t="str">
        <v>L 50x50x6</v>
      </c>
      <c r="D119" t="str">
        <v>GG</v>
      </c>
      <c r="E119" t="str">
        <v>SGJ, SHC</v>
      </c>
      <c r="H119">
        <v>6</v>
      </c>
      <c r="I119">
        <v>27.58</v>
      </c>
      <c r="J119">
        <v>50</v>
      </c>
      <c r="K119">
        <v>50</v>
      </c>
      <c r="L119">
        <v>6</v>
      </c>
      <c r="O119">
        <f>I119/H119</f>
        <v>4.596666666666667</v>
      </c>
      <c r="P119">
        <f>J119*4/1000</f>
        <v>0.2</v>
      </c>
    </row>
    <row r="120">
      <c r="C120" t="str">
        <v>L 60x60x4</v>
      </c>
      <c r="D120" t="str">
        <v>GG</v>
      </c>
      <c r="H120">
        <v>6</v>
      </c>
      <c r="I120">
        <f>O120*H120</f>
        <v>22.080000000000002</v>
      </c>
      <c r="J120">
        <v>60</v>
      </c>
      <c r="K120">
        <v>60</v>
      </c>
      <c r="L120">
        <v>4</v>
      </c>
      <c r="O120">
        <v>3.68</v>
      </c>
      <c r="P120">
        <f>J120*4/1000</f>
        <v>0.24</v>
      </c>
    </row>
    <row r="121">
      <c r="C121" t="str">
        <v>L 60x60x5 m</v>
      </c>
      <c r="D121" t="str">
        <v>GG</v>
      </c>
      <c r="E121" t="str">
        <v>SGJ, SHC</v>
      </c>
      <c r="H121">
        <v>6</v>
      </c>
      <c r="I121">
        <f>O121*H121</f>
        <v>27.299999999999997</v>
      </c>
      <c r="J121">
        <v>60</v>
      </c>
      <c r="K121">
        <v>60</v>
      </c>
      <c r="L121">
        <v>5</v>
      </c>
      <c r="O121">
        <v>4.55</v>
      </c>
      <c r="P121">
        <f>J121*4/1000</f>
        <v>0.24</v>
      </c>
    </row>
    <row r="122">
      <c r="C122" t="str">
        <v>L 60x60x5</v>
      </c>
      <c r="D122" t="str">
        <v>KS</v>
      </c>
      <c r="E122" t="str">
        <v>SHC</v>
      </c>
      <c r="H122">
        <v>6</v>
      </c>
      <c r="I122">
        <v>27.42</v>
      </c>
      <c r="J122">
        <v>60</v>
      </c>
      <c r="K122">
        <v>60</v>
      </c>
      <c r="L122">
        <v>6</v>
      </c>
      <c r="O122">
        <f>I122/H122</f>
        <v>4.57</v>
      </c>
      <c r="P122">
        <f>J122*4/1000</f>
        <v>0.24</v>
      </c>
    </row>
    <row r="123">
      <c r="C123" t="str">
        <v>L 60x60x6 m</v>
      </c>
      <c r="D123" t="str">
        <v>GG</v>
      </c>
      <c r="E123" t="str">
        <v>SGJ, SHC</v>
      </c>
      <c r="H123">
        <v>6</v>
      </c>
      <c r="J123">
        <f>136+152</f>
        <v>288</v>
      </c>
      <c r="K123">
        <v>150</v>
      </c>
      <c r="L123">
        <v>6</v>
      </c>
      <c r="O123">
        <f>I123/H123</f>
        <v>0</v>
      </c>
      <c r="P123">
        <f>H123*K123*O123*J123/1000000</f>
        <v>0</v>
      </c>
    </row>
    <row r="124">
      <c r="C124" t="str">
        <v>L 60x60x6</v>
      </c>
      <c r="D124" t="str">
        <v>KS</v>
      </c>
      <c r="E124" t="str">
        <v>SHC</v>
      </c>
      <c r="H124">
        <v>6</v>
      </c>
      <c r="I124">
        <v>32.52</v>
      </c>
      <c r="J124">
        <v>60</v>
      </c>
      <c r="K124">
        <v>60</v>
      </c>
      <c r="L124">
        <v>6</v>
      </c>
      <c r="O124">
        <f>I124/H124</f>
        <v>5.420000000000001</v>
      </c>
      <c r="P124">
        <f>J124*4/1000</f>
        <v>0.24</v>
      </c>
    </row>
    <row r="125">
      <c r="C125" t="str">
        <v>L 60x60x8</v>
      </c>
      <c r="D125" t="str">
        <v>KS</v>
      </c>
      <c r="E125" t="str">
        <v>SHC</v>
      </c>
      <c r="H125">
        <v>6</v>
      </c>
      <c r="I125">
        <v>42.54</v>
      </c>
      <c r="J125">
        <v>60</v>
      </c>
      <c r="K125">
        <v>60</v>
      </c>
      <c r="L125">
        <v>8</v>
      </c>
      <c r="O125">
        <f>I125/H125</f>
        <v>7.09</v>
      </c>
      <c r="P125">
        <f>J125*4/1000</f>
        <v>0.24</v>
      </c>
    </row>
    <row r="126">
      <c r="C126" t="str">
        <v>L 60x60x10</v>
      </c>
      <c r="D126" t="str">
        <v>KS</v>
      </c>
      <c r="E126" t="str">
        <v>SHC</v>
      </c>
      <c r="H126">
        <v>6</v>
      </c>
      <c r="I126">
        <v>52.14</v>
      </c>
      <c r="J126">
        <v>60</v>
      </c>
      <c r="K126">
        <v>60</v>
      </c>
      <c r="L126">
        <v>10</v>
      </c>
      <c r="O126">
        <f>I126/H126</f>
        <v>8.69</v>
      </c>
      <c r="P126">
        <f>J126*4/1000</f>
        <v>0.24</v>
      </c>
    </row>
    <row r="127">
      <c r="C127" t="str">
        <v>L 65x65x5</v>
      </c>
      <c r="D127" t="str">
        <v>GG</v>
      </c>
      <c r="H127">
        <v>6</v>
      </c>
      <c r="J127">
        <f>136+136+136+116+541+534+136+136+136+171</f>
        <v>2178</v>
      </c>
      <c r="K127">
        <v>150</v>
      </c>
      <c r="L127">
        <v>5</v>
      </c>
      <c r="O127">
        <v>5</v>
      </c>
      <c r="P127">
        <f>H127*K127*O127*J127/1000000</f>
        <v>9.801</v>
      </c>
    </row>
    <row r="128">
      <c r="C128" t="str">
        <v>L 65x65x5,5</v>
      </c>
      <c r="D128" t="str">
        <v>KS</v>
      </c>
      <c r="E128" t="str">
        <v>SHC</v>
      </c>
      <c r="H128">
        <v>6</v>
      </c>
      <c r="J128">
        <v>200</v>
      </c>
      <c r="K128">
        <v>150</v>
      </c>
      <c r="L128">
        <v>5.5</v>
      </c>
      <c r="O128">
        <f>I128/H128</f>
        <v>0</v>
      </c>
      <c r="P128">
        <f>H128*K128*O128*J128/1000000</f>
        <v>0</v>
      </c>
    </row>
    <row r="129">
      <c r="C129" t="str">
        <v>L 65x65x6</v>
      </c>
      <c r="D129" t="str">
        <v>GG, KS</v>
      </c>
      <c r="E129" t="str">
        <v>SGJ, SHC</v>
      </c>
      <c r="H129">
        <v>6</v>
      </c>
      <c r="I129">
        <v>35.5</v>
      </c>
      <c r="J129">
        <v>65</v>
      </c>
      <c r="K129">
        <v>65</v>
      </c>
      <c r="L129">
        <v>6</v>
      </c>
      <c r="O129">
        <f>I129/H129</f>
        <v>5.916666666666667</v>
      </c>
      <c r="P129">
        <f>J129*4/1000</f>
        <v>0.26</v>
      </c>
    </row>
    <row r="130">
      <c r="C130" t="str">
        <v>L 65x65x7</v>
      </c>
      <c r="D130" t="str">
        <v>KS</v>
      </c>
      <c r="E130" t="str">
        <v>SHC</v>
      </c>
      <c r="H130">
        <v>6</v>
      </c>
      <c r="J130">
        <f>136</f>
        <v>136</v>
      </c>
      <c r="K130">
        <v>150</v>
      </c>
      <c r="L130">
        <v>7</v>
      </c>
      <c r="O130">
        <f>I130/H130</f>
        <v>0</v>
      </c>
      <c r="P130">
        <f>H130*K130*O130*J130/1000000</f>
        <v>0</v>
      </c>
    </row>
    <row r="131">
      <c r="C131" t="str">
        <v>L 65x65x8 m</v>
      </c>
      <c r="D131" t="str">
        <v>GG</v>
      </c>
      <c r="H131">
        <v>6</v>
      </c>
      <c r="J131">
        <f>264+300</f>
        <v>564</v>
      </c>
      <c r="K131">
        <v>150</v>
      </c>
      <c r="L131">
        <v>8</v>
      </c>
      <c r="O131">
        <v>7.66</v>
      </c>
      <c r="P131">
        <f>H131*K131*O131*J131/1000000</f>
        <v>3.888216</v>
      </c>
    </row>
    <row r="132">
      <c r="C132" t="str">
        <v>L 65x65x8</v>
      </c>
      <c r="D132" t="str">
        <v>KS</v>
      </c>
      <c r="E132" t="str">
        <v>SHC</v>
      </c>
      <c r="H132">
        <v>6</v>
      </c>
      <c r="J132">
        <f>100*5+264+114*2+112*2+170</f>
        <v>1386</v>
      </c>
      <c r="K132">
        <v>300</v>
      </c>
      <c r="L132">
        <v>8</v>
      </c>
      <c r="O132">
        <f>I132/H132</f>
        <v>0</v>
      </c>
      <c r="P132">
        <f>H132*K132*O132*J132/1000000</f>
        <v>0</v>
      </c>
    </row>
    <row r="133">
      <c r="C133" t="str">
        <v>L 65x65x9</v>
      </c>
      <c r="D133" t="str">
        <v>KS</v>
      </c>
      <c r="E133" t="str">
        <v>SHC</v>
      </c>
      <c r="H133">
        <v>6</v>
      </c>
      <c r="I133">
        <v>51.72</v>
      </c>
      <c r="J133">
        <v>65</v>
      </c>
      <c r="K133">
        <v>65</v>
      </c>
      <c r="L133">
        <v>9</v>
      </c>
      <c r="O133">
        <f>I133/H133</f>
        <v>8.62</v>
      </c>
      <c r="P133">
        <f>J133*4/1000</f>
        <v>0.26</v>
      </c>
    </row>
    <row r="134">
      <c r="C134" t="str">
        <v>L 65x65x11</v>
      </c>
      <c r="D134" t="str">
        <v>KS</v>
      </c>
      <c r="E134" t="str">
        <v>SHC</v>
      </c>
      <c r="H134">
        <v>6</v>
      </c>
      <c r="I134">
        <v>61.8</v>
      </c>
      <c r="J134">
        <v>65</v>
      </c>
      <c r="K134">
        <v>65</v>
      </c>
      <c r="L134">
        <v>10</v>
      </c>
      <c r="O134">
        <f>I134/H134</f>
        <v>10.299999999999999</v>
      </c>
      <c r="P134">
        <f>J134*4/1000</f>
        <v>0.26</v>
      </c>
    </row>
    <row r="135">
      <c r="C135" t="str">
        <v>L 70x70x6</v>
      </c>
      <c r="D135" t="str">
        <v>GG, KS</v>
      </c>
      <c r="E135" t="str">
        <v>SHC</v>
      </c>
      <c r="H135">
        <v>6</v>
      </c>
      <c r="I135">
        <f>O135*H135</f>
        <v>38.28</v>
      </c>
      <c r="J135">
        <v>70</v>
      </c>
      <c r="K135">
        <v>70</v>
      </c>
      <c r="L135">
        <v>6</v>
      </c>
      <c r="O135">
        <v>6.38</v>
      </c>
      <c r="P135">
        <f>J135*4/1000</f>
        <v>0.28</v>
      </c>
    </row>
    <row r="136">
      <c r="C136" t="str">
        <v>L 70x70x6,5</v>
      </c>
      <c r="D136" t="str">
        <v>KS</v>
      </c>
      <c r="E136" t="str">
        <v>SHC</v>
      </c>
      <c r="H136">
        <v>6</v>
      </c>
      <c r="I136">
        <v>38.52</v>
      </c>
      <c r="J136">
        <v>70</v>
      </c>
      <c r="K136">
        <v>70</v>
      </c>
      <c r="L136">
        <v>6.5</v>
      </c>
      <c r="O136">
        <f>I136/H136</f>
        <v>6.420000000000001</v>
      </c>
      <c r="P136">
        <f>J136*4/1000</f>
        <v>0.28</v>
      </c>
    </row>
    <row r="137">
      <c r="C137" t="str">
        <v>L 70x70x7</v>
      </c>
      <c r="D137" t="str">
        <v>KS</v>
      </c>
      <c r="E137" t="str">
        <v>SGJ, SHC</v>
      </c>
      <c r="H137">
        <v>6</v>
      </c>
      <c r="I137">
        <v>44.3</v>
      </c>
      <c r="J137">
        <v>70</v>
      </c>
      <c r="K137">
        <v>70</v>
      </c>
      <c r="L137">
        <v>7</v>
      </c>
      <c r="O137">
        <f>I137/H137</f>
        <v>7.383333333333333</v>
      </c>
      <c r="P137">
        <f>J137*4/1000</f>
        <v>0.28</v>
      </c>
    </row>
    <row r="138">
      <c r="C138" t="str">
        <v>L 70x70x9</v>
      </c>
      <c r="D138" t="str">
        <v>KS</v>
      </c>
      <c r="E138" t="str">
        <v>SHC</v>
      </c>
      <c r="H138">
        <v>6</v>
      </c>
      <c r="I138">
        <v>56.4</v>
      </c>
      <c r="J138">
        <v>70</v>
      </c>
      <c r="K138">
        <v>70</v>
      </c>
      <c r="L138">
        <v>9</v>
      </c>
      <c r="O138">
        <f>I138/H138</f>
        <v>9.4</v>
      </c>
      <c r="P138">
        <f>J138*4/1000</f>
        <v>0.28</v>
      </c>
    </row>
    <row r="139">
      <c r="C139" t="str">
        <v>L 70x70x11</v>
      </c>
      <c r="D139" t="str">
        <v>KS</v>
      </c>
      <c r="E139" t="str">
        <v>SHC</v>
      </c>
      <c r="H139">
        <v>6</v>
      </c>
      <c r="J139">
        <f>136+136+136+116+541+534+136+136+136+171</f>
        <v>2178</v>
      </c>
      <c r="K139">
        <v>150</v>
      </c>
      <c r="L139">
        <v>11</v>
      </c>
      <c r="O139">
        <f>I139/H139</f>
        <v>0</v>
      </c>
      <c r="P139">
        <f>H139*K139*O139*J139/1000000</f>
        <v>0</v>
      </c>
    </row>
    <row r="140">
      <c r="C140" t="str">
        <v>L 70x70x5,5</v>
      </c>
      <c r="D140" t="str">
        <v>KS</v>
      </c>
      <c r="E140" t="str">
        <v>SHC</v>
      </c>
      <c r="H140">
        <v>6</v>
      </c>
      <c r="J140">
        <v>200</v>
      </c>
      <c r="K140">
        <v>150</v>
      </c>
      <c r="L140">
        <v>5.5</v>
      </c>
      <c r="O140">
        <f>I140/H140</f>
        <v>0</v>
      </c>
      <c r="P140">
        <f>H140*K140*O140*J140/1000000</f>
        <v>0</v>
      </c>
    </row>
    <row r="141">
      <c r="C141" t="str">
        <v>L 75x75x6</v>
      </c>
      <c r="D141" t="str">
        <v>KS</v>
      </c>
      <c r="E141" t="str">
        <v>SHC</v>
      </c>
      <c r="H141">
        <v>6</v>
      </c>
      <c r="I141">
        <v>41.22</v>
      </c>
      <c r="J141">
        <v>75</v>
      </c>
      <c r="K141">
        <v>75</v>
      </c>
      <c r="L141">
        <v>6</v>
      </c>
      <c r="O141">
        <f>I141/H141</f>
        <v>6.87</v>
      </c>
      <c r="P141">
        <f>J141*4/1000</f>
        <v>0.3</v>
      </c>
    </row>
    <row r="142">
      <c r="C142" t="str">
        <v>L 75x75x6 m</v>
      </c>
      <c r="D142" t="str">
        <v>GG</v>
      </c>
      <c r="E142" t="str">
        <v>SGJ, SHC</v>
      </c>
      <c r="H142">
        <v>6</v>
      </c>
      <c r="J142">
        <f>136+136</f>
        <v>272</v>
      </c>
      <c r="K142">
        <v>150</v>
      </c>
      <c r="L142">
        <v>6</v>
      </c>
      <c r="O142">
        <v>6.85</v>
      </c>
      <c r="P142">
        <f>H142*K142*O142*J142/1000000</f>
        <v>1.67688</v>
      </c>
    </row>
    <row r="143">
      <c r="C143" t="str">
        <v>L 75x75x7</v>
      </c>
      <c r="D143" t="str">
        <v>KS</v>
      </c>
      <c r="E143" t="str">
        <v>SGJ, SHC</v>
      </c>
      <c r="H143">
        <v>6</v>
      </c>
      <c r="J143">
        <f>264+300</f>
        <v>564</v>
      </c>
      <c r="K143">
        <v>150</v>
      </c>
      <c r="L143">
        <v>7</v>
      </c>
      <c r="O143">
        <f>I143/H143</f>
        <v>0</v>
      </c>
      <c r="P143">
        <f>H143*K143*O143*J143/1000000</f>
        <v>0</v>
      </c>
    </row>
    <row r="144">
      <c r="C144" t="str">
        <v>L 75x75x8</v>
      </c>
      <c r="D144" t="str">
        <v>KS</v>
      </c>
      <c r="E144" t="str">
        <v>SGJ, SHC</v>
      </c>
      <c r="H144">
        <v>6</v>
      </c>
      <c r="I144">
        <v>54.18</v>
      </c>
      <c r="J144">
        <v>75</v>
      </c>
      <c r="K144">
        <v>75</v>
      </c>
      <c r="L144">
        <v>8</v>
      </c>
      <c r="O144">
        <f>I144/H144</f>
        <v>9.03</v>
      </c>
      <c r="P144">
        <f>J144*4/1000</f>
        <v>0.3</v>
      </c>
    </row>
    <row r="145">
      <c r="C145" t="str">
        <v>L 75x75x9</v>
      </c>
      <c r="D145" t="str">
        <v>GG</v>
      </c>
      <c r="E145" t="str">
        <v>SGJ, SHC</v>
      </c>
      <c r="H145">
        <v>6</v>
      </c>
      <c r="I145">
        <v>59.8</v>
      </c>
      <c r="J145">
        <v>75</v>
      </c>
      <c r="K145">
        <v>75</v>
      </c>
      <c r="L145">
        <v>9</v>
      </c>
      <c r="O145">
        <f>I145/H145</f>
        <v>9.966666666666667</v>
      </c>
      <c r="P145">
        <f>J145*4/1000</f>
        <v>0.3</v>
      </c>
    </row>
    <row r="146">
      <c r="C146" t="str">
        <v>L 75x75x10</v>
      </c>
      <c r="D146" t="str">
        <v>KS</v>
      </c>
      <c r="E146" t="str">
        <v>SHC</v>
      </c>
      <c r="H146">
        <v>6</v>
      </c>
      <c r="I146">
        <v>66.6</v>
      </c>
      <c r="J146">
        <v>75</v>
      </c>
      <c r="K146">
        <v>75</v>
      </c>
      <c r="L146">
        <v>10</v>
      </c>
      <c r="O146">
        <f>I146/H146</f>
        <v>11.1</v>
      </c>
      <c r="P146">
        <f>J146*4/1000</f>
        <v>0.3</v>
      </c>
    </row>
    <row r="147">
      <c r="C147" t="str">
        <v>L 75x75x12</v>
      </c>
      <c r="D147" t="str">
        <v>GG, KS</v>
      </c>
      <c r="H147">
        <v>6</v>
      </c>
      <c r="I147">
        <v>78.6</v>
      </c>
      <c r="J147">
        <v>75</v>
      </c>
      <c r="K147">
        <v>75</v>
      </c>
      <c r="L147">
        <v>12</v>
      </c>
      <c r="O147">
        <f>I147/H147</f>
        <v>13.1</v>
      </c>
      <c r="P147">
        <f>J147*4/1000</f>
        <v>0.3</v>
      </c>
    </row>
    <row r="148">
      <c r="C148" t="str">
        <v>L 80x80x6</v>
      </c>
      <c r="D148" t="str">
        <v>GG</v>
      </c>
      <c r="H148">
        <v>6</v>
      </c>
      <c r="I148">
        <f>O148*H148</f>
        <v>43.92</v>
      </c>
      <c r="J148">
        <v>80</v>
      </c>
      <c r="K148">
        <v>80</v>
      </c>
      <c r="L148">
        <v>6</v>
      </c>
      <c r="O148">
        <v>7.32</v>
      </c>
      <c r="P148">
        <f>J148*4/1000</f>
        <v>0.32</v>
      </c>
    </row>
    <row r="149">
      <c r="C149" t="str">
        <v>L 80x80x7</v>
      </c>
      <c r="D149" t="str">
        <v>KS</v>
      </c>
      <c r="E149" t="str">
        <v>SHC</v>
      </c>
      <c r="H149">
        <v>6</v>
      </c>
      <c r="I149">
        <v>50.94</v>
      </c>
      <c r="J149">
        <v>80</v>
      </c>
      <c r="K149">
        <v>80</v>
      </c>
      <c r="L149">
        <v>7</v>
      </c>
      <c r="O149">
        <f>I149/H149</f>
        <v>8.49</v>
      </c>
      <c r="P149">
        <f>J149*4/1000</f>
        <v>0.32</v>
      </c>
    </row>
    <row r="150">
      <c r="C150" t="str">
        <v>L 80x80x7,5</v>
      </c>
      <c r="D150" t="str">
        <v>KS</v>
      </c>
      <c r="E150" t="str">
        <v>SHC</v>
      </c>
      <c r="H150">
        <v>6</v>
      </c>
      <c r="I150">
        <v>51.3</v>
      </c>
      <c r="J150">
        <v>80</v>
      </c>
      <c r="K150">
        <v>80</v>
      </c>
      <c r="L150">
        <v>7.5</v>
      </c>
      <c r="O150">
        <f>I150/H150</f>
        <v>8.549999999999999</v>
      </c>
      <c r="P150">
        <f>J150*4/1000</f>
        <v>0.32</v>
      </c>
    </row>
    <row r="151">
      <c r="C151" t="str">
        <v>L 80x80x8</v>
      </c>
      <c r="D151" t="str">
        <v>KS</v>
      </c>
      <c r="E151" t="str">
        <v>SGJ, SHC</v>
      </c>
      <c r="H151">
        <v>6</v>
      </c>
      <c r="I151">
        <v>57.96</v>
      </c>
      <c r="J151">
        <v>80</v>
      </c>
      <c r="K151">
        <v>80</v>
      </c>
      <c r="L151">
        <v>8</v>
      </c>
      <c r="O151">
        <f>I151/H151</f>
        <v>9.66</v>
      </c>
      <c r="P151">
        <f>J151*4/1000</f>
        <v>0.32</v>
      </c>
    </row>
    <row r="152">
      <c r="C152" t="str">
        <v>L 80x80x10</v>
      </c>
      <c r="D152" t="str">
        <v>KS</v>
      </c>
      <c r="E152" t="str">
        <v>SHC</v>
      </c>
      <c r="H152">
        <v>6</v>
      </c>
      <c r="I152">
        <v>71.4</v>
      </c>
      <c r="J152">
        <v>80</v>
      </c>
      <c r="K152">
        <v>80</v>
      </c>
      <c r="L152">
        <v>10</v>
      </c>
      <c r="O152">
        <f>I152/H152</f>
        <v>11.9</v>
      </c>
      <c r="P152">
        <f>J152*4/1000</f>
        <v>0.32</v>
      </c>
    </row>
    <row r="153">
      <c r="C153" t="str">
        <v>L 80x80x12</v>
      </c>
      <c r="D153" t="str">
        <v>KS</v>
      </c>
      <c r="E153" t="str">
        <v>SHC</v>
      </c>
      <c r="H153">
        <v>6</v>
      </c>
      <c r="I153">
        <v>84.6</v>
      </c>
      <c r="J153">
        <v>80</v>
      </c>
      <c r="K153">
        <v>80</v>
      </c>
      <c r="L153">
        <v>12</v>
      </c>
      <c r="O153">
        <f>I153/H153</f>
        <v>14.1</v>
      </c>
      <c r="P153">
        <f>J153*4/1000</f>
        <v>0.32</v>
      </c>
    </row>
    <row r="154">
      <c r="C154" t="str">
        <v>L 80x80x14</v>
      </c>
      <c r="D154" t="str">
        <v>KS</v>
      </c>
      <c r="E154" t="str">
        <v>SHC</v>
      </c>
      <c r="H154">
        <v>6</v>
      </c>
      <c r="J154">
        <f>136+136+136+116+541+534+136+136+136+171</f>
        <v>2178</v>
      </c>
      <c r="K154">
        <v>150</v>
      </c>
      <c r="L154">
        <v>14</v>
      </c>
      <c r="O154">
        <f>I154/H154</f>
        <v>0</v>
      </c>
      <c r="P154">
        <f>H154*K154*O154*J154/1000000</f>
        <v>0</v>
      </c>
    </row>
    <row r="155">
      <c r="C155" t="str">
        <v>L 90x90x6</v>
      </c>
      <c r="D155" t="str">
        <v>GG</v>
      </c>
      <c r="H155">
        <v>6</v>
      </c>
      <c r="J155">
        <v>200</v>
      </c>
      <c r="K155">
        <v>150</v>
      </c>
      <c r="L155">
        <v>6</v>
      </c>
      <c r="O155">
        <v>8.28</v>
      </c>
      <c r="P155">
        <f>H155*K155*O155*J155/1000000</f>
        <v>1.4903999999999997</v>
      </c>
    </row>
    <row r="156">
      <c r="C156" t="str">
        <v>L 90x90x7</v>
      </c>
      <c r="D156" t="str">
        <v>GG</v>
      </c>
      <c r="E156" t="str">
        <v>SGJ, SHC</v>
      </c>
      <c r="H156">
        <v>6</v>
      </c>
      <c r="I156">
        <f>O156*H156</f>
        <v>57.54</v>
      </c>
      <c r="J156">
        <v>90</v>
      </c>
      <c r="K156">
        <v>90</v>
      </c>
      <c r="L156">
        <v>7</v>
      </c>
      <c r="O156">
        <v>9.59</v>
      </c>
      <c r="P156">
        <f>J156*4/1000</f>
        <v>0.36</v>
      </c>
    </row>
    <row r="157">
      <c r="C157" t="str">
        <v>L 90x90x8</v>
      </c>
      <c r="D157" t="str">
        <v>KS</v>
      </c>
      <c r="E157" t="str">
        <v>SHC</v>
      </c>
      <c r="H157">
        <v>6</v>
      </c>
      <c r="J157">
        <f>136+136+75+128</f>
        <v>475</v>
      </c>
      <c r="K157">
        <v>150</v>
      </c>
      <c r="L157">
        <v>8</v>
      </c>
      <c r="O157">
        <f>I157/H157</f>
        <v>0</v>
      </c>
      <c r="P157">
        <f>H157*K157*O157*J157/1000000</f>
        <v>0</v>
      </c>
    </row>
    <row r="158">
      <c r="C158" t="str">
        <v>L 90x90x8,5</v>
      </c>
      <c r="D158" t="str">
        <v>KS</v>
      </c>
      <c r="E158" t="str">
        <v>SHC</v>
      </c>
      <c r="H158">
        <v>6</v>
      </c>
      <c r="J158">
        <v>300</v>
      </c>
      <c r="K158">
        <v>150</v>
      </c>
      <c r="L158">
        <v>8.5</v>
      </c>
      <c r="O158">
        <f>I158/H158</f>
        <v>0</v>
      </c>
      <c r="P158">
        <f>H158*K158*O158*J158/1000000</f>
        <v>0</v>
      </c>
    </row>
    <row r="159">
      <c r="C159" t="str">
        <v>L 90x90x9</v>
      </c>
      <c r="D159" t="str">
        <v>KS</v>
      </c>
      <c r="E159" t="str">
        <v>SGJ, SHC</v>
      </c>
      <c r="H159">
        <v>6</v>
      </c>
      <c r="I159">
        <v>73.2</v>
      </c>
      <c r="J159">
        <v>90</v>
      </c>
      <c r="K159">
        <v>90</v>
      </c>
      <c r="L159">
        <v>9</v>
      </c>
      <c r="O159">
        <f>I159/H159</f>
        <v>12.200000000000001</v>
      </c>
      <c r="P159">
        <f>J159*4/1000</f>
        <v>0.36</v>
      </c>
    </row>
    <row r="160">
      <c r="C160" t="str">
        <v>L 90x90x10</v>
      </c>
      <c r="D160" t="str">
        <v>GG</v>
      </c>
      <c r="E160" t="str">
        <v>SGJ, SHC</v>
      </c>
      <c r="H160">
        <v>6</v>
      </c>
      <c r="I160">
        <f>O160*H160</f>
        <v>79.80000000000001</v>
      </c>
      <c r="J160">
        <v>90</v>
      </c>
      <c r="K160">
        <v>90</v>
      </c>
      <c r="L160">
        <v>10</v>
      </c>
      <c r="O160">
        <v>13.3</v>
      </c>
      <c r="P160">
        <f>J160*4/1000</f>
        <v>0.36</v>
      </c>
    </row>
    <row r="161">
      <c r="C161" t="str">
        <v>L 90x90x11</v>
      </c>
      <c r="D161" t="str">
        <v>KS</v>
      </c>
      <c r="E161" t="str">
        <v>SHC</v>
      </c>
      <c r="H161">
        <v>6</v>
      </c>
      <c r="I161">
        <v>88.2</v>
      </c>
      <c r="J161">
        <v>90</v>
      </c>
      <c r="K161">
        <v>90</v>
      </c>
      <c r="L161">
        <v>11</v>
      </c>
      <c r="O161">
        <f>I161/H161</f>
        <v>14.700000000000001</v>
      </c>
      <c r="P161">
        <f>J161*4/1000</f>
        <v>0.36</v>
      </c>
    </row>
    <row r="162">
      <c r="C162" t="str">
        <v>L 90x90x13</v>
      </c>
      <c r="D162" t="str">
        <v>GG, KS</v>
      </c>
      <c r="E162" t="str">
        <v>SHC</v>
      </c>
      <c r="H162">
        <v>6</v>
      </c>
      <c r="I162">
        <v>102.6</v>
      </c>
      <c r="J162">
        <v>90</v>
      </c>
      <c r="K162">
        <v>90</v>
      </c>
      <c r="L162">
        <v>13</v>
      </c>
      <c r="O162">
        <f>I162/H162</f>
        <v>17.099999999999998</v>
      </c>
      <c r="P162">
        <f>J162*4/1000</f>
        <v>0.36</v>
      </c>
    </row>
    <row r="163">
      <c r="C163" t="str">
        <v>L 90x90x16</v>
      </c>
      <c r="D163" t="str">
        <v>KS</v>
      </c>
      <c r="E163" t="str">
        <v>SHC</v>
      </c>
      <c r="H163">
        <v>6</v>
      </c>
      <c r="J163">
        <f>136+136+136+116+541+534+136+136+136+171</f>
        <v>2178</v>
      </c>
      <c r="K163">
        <v>150</v>
      </c>
      <c r="L163">
        <v>16</v>
      </c>
      <c r="O163">
        <f>I163/H163</f>
        <v>0</v>
      </c>
      <c r="P163">
        <f>H163*K163*O163*J163/1000000</f>
        <v>0</v>
      </c>
    </row>
    <row r="164">
      <c r="C164" t="str">
        <v>L 100x100x7</v>
      </c>
      <c r="D164" t="str">
        <v>GG</v>
      </c>
      <c r="E164" t="str">
        <v>SGJ</v>
      </c>
      <c r="H164">
        <v>6</v>
      </c>
      <c r="J164">
        <v>200</v>
      </c>
      <c r="K164">
        <v>150</v>
      </c>
      <c r="L164">
        <v>7</v>
      </c>
      <c r="O164">
        <f>I164/H164</f>
        <v>0</v>
      </c>
      <c r="P164">
        <f>H164*K164*O164*J164/1000000</f>
        <v>0</v>
      </c>
    </row>
    <row r="165">
      <c r="C165" t="str">
        <v>L 100x100x8</v>
      </c>
      <c r="D165" t="str">
        <v>KS</v>
      </c>
      <c r="E165" t="str">
        <v>SHC</v>
      </c>
      <c r="H165">
        <v>6</v>
      </c>
      <c r="I165">
        <v>73.2</v>
      </c>
      <c r="J165">
        <v>100</v>
      </c>
      <c r="K165">
        <v>100</v>
      </c>
      <c r="L165">
        <v>8</v>
      </c>
      <c r="O165">
        <f>I165/H165</f>
        <v>12.200000000000001</v>
      </c>
      <c r="P165">
        <f>J165*4/1000</f>
        <v>0.4</v>
      </c>
    </row>
    <row r="166">
      <c r="C166" t="str">
        <v>L 100x100x9,5</v>
      </c>
      <c r="D166" t="str">
        <v>KS</v>
      </c>
      <c r="E166" t="str">
        <v>SHC</v>
      </c>
      <c r="H166">
        <v>6</v>
      </c>
      <c r="J166">
        <f>136+136</f>
        <v>272</v>
      </c>
      <c r="K166">
        <v>150</v>
      </c>
      <c r="L166">
        <v>9.5</v>
      </c>
      <c r="O166">
        <f>I166/H166</f>
        <v>0</v>
      </c>
      <c r="P166">
        <f>H166*K166*O166*J166/1000000</f>
        <v>0</v>
      </c>
    </row>
    <row r="167">
      <c r="C167" t="str">
        <v>L 100x100x10</v>
      </c>
      <c r="D167" t="str">
        <v>GG, KS</v>
      </c>
      <c r="E167" t="str">
        <v>SGJ, SHC</v>
      </c>
      <c r="H167">
        <v>6</v>
      </c>
      <c r="J167">
        <f>264+300</f>
        <v>564</v>
      </c>
      <c r="K167">
        <v>150</v>
      </c>
      <c r="L167">
        <v>10</v>
      </c>
      <c r="O167">
        <f>I167/H167</f>
        <v>0</v>
      </c>
      <c r="P167">
        <f>H167*K167*O167*J167/1000000</f>
        <v>0</v>
      </c>
    </row>
    <row r="168">
      <c r="C168" t="str">
        <v>L 100x100x12</v>
      </c>
      <c r="D168" t="str">
        <v>KS</v>
      </c>
      <c r="E168" t="str">
        <v>SHC</v>
      </c>
      <c r="H168">
        <v>6</v>
      </c>
      <c r="I168">
        <v>106.8</v>
      </c>
      <c r="J168">
        <v>100</v>
      </c>
      <c r="K168">
        <v>100</v>
      </c>
      <c r="L168">
        <v>12</v>
      </c>
      <c r="O168">
        <f>I168/H168</f>
        <v>17.8</v>
      </c>
      <c r="P168">
        <f>J168*4/1000</f>
        <v>0.4</v>
      </c>
    </row>
    <row r="169">
      <c r="C169" t="str">
        <v>L 100x100x13</v>
      </c>
      <c r="D169" t="str">
        <v>GG</v>
      </c>
      <c r="E169" t="str">
        <v>SGJ</v>
      </c>
      <c r="H169">
        <v>6</v>
      </c>
      <c r="I169">
        <f>O169*H169</f>
        <v>114.60000000000001</v>
      </c>
      <c r="J169">
        <v>100</v>
      </c>
      <c r="K169">
        <v>100</v>
      </c>
      <c r="L169">
        <v>13</v>
      </c>
      <c r="O169">
        <v>19.1</v>
      </c>
      <c r="P169">
        <f>J169*4/1000</f>
        <v>0.4</v>
      </c>
    </row>
    <row r="170">
      <c r="C170" t="str">
        <v>L 100x100x14</v>
      </c>
      <c r="D170" t="str">
        <v>KS</v>
      </c>
      <c r="E170" t="str">
        <v>SHC</v>
      </c>
      <c r="H170">
        <v>6</v>
      </c>
      <c r="I170">
        <v>123.6</v>
      </c>
      <c r="J170">
        <v>100</v>
      </c>
      <c r="K170">
        <v>100</v>
      </c>
      <c r="L170">
        <v>14</v>
      </c>
      <c r="O170">
        <f>I170/H170</f>
        <v>20.599999999999998</v>
      </c>
      <c r="P170">
        <f>J170*4/1000</f>
        <v>0.4</v>
      </c>
    </row>
    <row r="171">
      <c r="C171" t="str">
        <v>L 120x120x8</v>
      </c>
      <c r="D171" t="str">
        <v>GG</v>
      </c>
      <c r="H171">
        <v>6</v>
      </c>
      <c r="I171">
        <f>O171*H171</f>
        <v>88.19999999999999</v>
      </c>
      <c r="J171">
        <v>100</v>
      </c>
      <c r="K171">
        <v>100</v>
      </c>
      <c r="L171">
        <v>8</v>
      </c>
      <c r="O171">
        <v>14.7</v>
      </c>
      <c r="P171">
        <f>J171*4/1000</f>
        <v>0.4</v>
      </c>
    </row>
    <row r="172">
      <c r="C172" t="str">
        <v>L 120x120x11</v>
      </c>
      <c r="D172" t="str">
        <v>GG</v>
      </c>
      <c r="E172" t="str">
        <v>SHC</v>
      </c>
      <c r="H172">
        <v>6</v>
      </c>
      <c r="J172">
        <f>136+136+136+116+541+534+136+136+136+171</f>
        <v>2178</v>
      </c>
      <c r="K172">
        <v>150</v>
      </c>
      <c r="L172">
        <v>11</v>
      </c>
      <c r="O172">
        <f>I172/H172</f>
        <v>0</v>
      </c>
      <c r="P172">
        <f>H172*K172*O172*J172/1000000</f>
        <v>0</v>
      </c>
    </row>
    <row r="173">
      <c r="C173" t="str">
        <v>L 120x120x12</v>
      </c>
      <c r="D173" t="str">
        <v>GG</v>
      </c>
      <c r="E173" t="str">
        <v>SGJ</v>
      </c>
      <c r="H173">
        <v>6</v>
      </c>
      <c r="J173">
        <v>200</v>
      </c>
      <c r="K173">
        <v>150</v>
      </c>
      <c r="L173">
        <v>12</v>
      </c>
      <c r="O173">
        <f>I173/H173</f>
        <v>0</v>
      </c>
      <c r="P173">
        <f>H173*K173*O173*J173/1000000</f>
        <v>0</v>
      </c>
    </row>
    <row r="174">
      <c r="C174" t="str">
        <v>L 125x125x12</v>
      </c>
      <c r="E174" t="str">
        <v>SGJ, SHC</v>
      </c>
      <c r="H174">
        <v>6</v>
      </c>
      <c r="I174">
        <v>140</v>
      </c>
      <c r="J174">
        <v>125</v>
      </c>
      <c r="K174">
        <v>125</v>
      </c>
      <c r="L174">
        <v>12</v>
      </c>
      <c r="O174">
        <f>I174/H174</f>
        <v>23.333333333333332</v>
      </c>
      <c r="P174">
        <f>J174*4/1000</f>
        <v>0.5</v>
      </c>
    </row>
    <row r="175">
      <c r="C175" t="str">
        <v>L 130x130x9</v>
      </c>
      <c r="D175" t="str">
        <v>GG</v>
      </c>
      <c r="E175" t="str">
        <v>SGJ, SHC</v>
      </c>
      <c r="H175">
        <v>6</v>
      </c>
      <c r="I175">
        <f>O175*H175</f>
        <v>107.39999999999999</v>
      </c>
      <c r="J175">
        <v>130</v>
      </c>
      <c r="K175">
        <v>130</v>
      </c>
      <c r="L175">
        <v>9</v>
      </c>
      <c r="O175">
        <v>17.9</v>
      </c>
      <c r="P175">
        <f>J175*4/1000</f>
        <v>0.52</v>
      </c>
    </row>
    <row r="176">
      <c r="C176" t="str">
        <v>L 130x130x12</v>
      </c>
      <c r="D176" t="str">
        <v>GG</v>
      </c>
      <c r="E176" t="str">
        <v>SGJ, SHC</v>
      </c>
      <c r="H176">
        <v>6</v>
      </c>
      <c r="I176">
        <v>142</v>
      </c>
      <c r="J176">
        <v>130</v>
      </c>
      <c r="K176">
        <v>130</v>
      </c>
      <c r="L176">
        <v>12</v>
      </c>
      <c r="O176">
        <f>I176/H176</f>
        <v>23.666666666666668</v>
      </c>
      <c r="P176">
        <f>J176*4/1000</f>
        <v>0.52</v>
      </c>
    </row>
    <row r="177">
      <c r="C177" t="str">
        <v>L 130x130x15</v>
      </c>
      <c r="D177" t="str">
        <v>GG</v>
      </c>
      <c r="H177">
        <v>6</v>
      </c>
      <c r="I177">
        <f>O177*H177</f>
        <v>172.8</v>
      </c>
      <c r="J177">
        <v>130</v>
      </c>
      <c r="K177">
        <v>130</v>
      </c>
      <c r="L177">
        <v>15</v>
      </c>
      <c r="O177">
        <v>28.8</v>
      </c>
      <c r="P177">
        <f>J177*4/1000</f>
        <v>0.52</v>
      </c>
    </row>
    <row r="178">
      <c r="C178" t="str">
        <v>L 150x150x12</v>
      </c>
      <c r="D178" t="str">
        <v>GG</v>
      </c>
      <c r="E178" t="str">
        <v>SGJ, SHC</v>
      </c>
      <c r="H178">
        <v>6</v>
      </c>
      <c r="I178">
        <v>164</v>
      </c>
      <c r="J178">
        <v>150</v>
      </c>
      <c r="K178">
        <v>150</v>
      </c>
      <c r="L178">
        <v>12</v>
      </c>
      <c r="O178">
        <f>I178/H178</f>
        <v>27.333333333333332</v>
      </c>
      <c r="P178">
        <f>J178*4/1000</f>
        <v>0.6</v>
      </c>
    </row>
    <row r="179">
      <c r="C179" t="str">
        <v>L 150x150x15</v>
      </c>
      <c r="D179" t="str">
        <v>GG</v>
      </c>
      <c r="E179" t="str">
        <v>SGJ, SHC</v>
      </c>
      <c r="H179">
        <v>6</v>
      </c>
      <c r="J179">
        <f>136+136+136+116+541+534+136+136+136+171</f>
        <v>2178</v>
      </c>
      <c r="K179">
        <v>150</v>
      </c>
      <c r="L179">
        <v>15</v>
      </c>
      <c r="O179">
        <f>I179/H179</f>
        <v>0</v>
      </c>
      <c r="P179">
        <f>H179*K179*O179*J179/1000000</f>
        <v>0</v>
      </c>
    </row>
    <row r="180">
      <c r="C180" t="str">
        <v>L 150x150x19</v>
      </c>
      <c r="D180" t="str">
        <v>GG</v>
      </c>
      <c r="H180">
        <v>6</v>
      </c>
      <c r="J180">
        <v>200</v>
      </c>
      <c r="K180">
        <v>150</v>
      </c>
      <c r="L180">
        <v>19</v>
      </c>
      <c r="O180">
        <v>41.9</v>
      </c>
      <c r="P180">
        <f>H180*K180*O180*J180/1000000</f>
        <v>7.542</v>
      </c>
    </row>
    <row r="181">
      <c r="C181" t="str">
        <v>L 175x175x12</v>
      </c>
      <c r="D181" t="str">
        <v>GG</v>
      </c>
      <c r="H181">
        <v>6</v>
      </c>
      <c r="I181">
        <f>O181*H181</f>
        <v>190.8</v>
      </c>
      <c r="J181">
        <v>175</v>
      </c>
      <c r="K181">
        <v>175</v>
      </c>
      <c r="L181">
        <v>12</v>
      </c>
      <c r="O181">
        <v>31.8</v>
      </c>
      <c r="P181">
        <f>J181*4/1000</f>
        <v>0.7</v>
      </c>
    </row>
    <row r="182">
      <c r="C182" t="str">
        <v>L 175x175x15</v>
      </c>
      <c r="D182" t="str">
        <v>GG</v>
      </c>
      <c r="H182">
        <v>6</v>
      </c>
      <c r="I182">
        <f>O182*H182</f>
        <v>236.39999999999998</v>
      </c>
      <c r="J182">
        <v>175</v>
      </c>
      <c r="K182">
        <v>175</v>
      </c>
      <c r="L182">
        <v>15</v>
      </c>
      <c r="O182">
        <v>39.4</v>
      </c>
      <c r="P182">
        <f>J182*4/1000</f>
        <v>0.7</v>
      </c>
    </row>
    <row r="183">
      <c r="C183" t="str">
        <v>L 200x200x15</v>
      </c>
      <c r="D183" t="str">
        <v>GG</v>
      </c>
      <c r="E183" t="str">
        <v>SGJ, SHC</v>
      </c>
      <c r="H183">
        <v>6</v>
      </c>
      <c r="I183">
        <v>272</v>
      </c>
      <c r="J183">
        <v>200</v>
      </c>
      <c r="K183">
        <v>200</v>
      </c>
      <c r="L183">
        <v>15</v>
      </c>
      <c r="O183">
        <f>I183/H183</f>
        <v>45.333333333333336</v>
      </c>
      <c r="P183">
        <f>J183*4/1000</f>
        <v>0.8</v>
      </c>
    </row>
    <row r="184">
      <c r="C184" t="str">
        <v>L 200x200x20</v>
      </c>
      <c r="D184" t="str">
        <v>GG</v>
      </c>
      <c r="E184" t="str">
        <v>SHC</v>
      </c>
      <c r="H184">
        <v>6</v>
      </c>
      <c r="I184">
        <f>O184*H184</f>
        <v>358.20000000000005</v>
      </c>
      <c r="J184">
        <v>200</v>
      </c>
      <c r="K184">
        <v>200</v>
      </c>
      <c r="L184">
        <v>20</v>
      </c>
      <c r="O184">
        <v>59.7</v>
      </c>
      <c r="P184">
        <f>J184*4/1000</f>
        <v>0.8</v>
      </c>
    </row>
    <row r="185">
      <c r="C185" t="str">
        <v>L 200x200x25</v>
      </c>
      <c r="D185" t="str">
        <v>GG</v>
      </c>
      <c r="E185" t="str">
        <v>SGJ, SHC</v>
      </c>
      <c r="H185">
        <v>6</v>
      </c>
      <c r="I185">
        <v>442</v>
      </c>
      <c r="J185">
        <v>200</v>
      </c>
      <c r="K185">
        <v>200</v>
      </c>
      <c r="L185">
        <v>25</v>
      </c>
      <c r="O185">
        <f>I185/H185</f>
        <v>73.66666666666667</v>
      </c>
      <c r="P185">
        <f>J185*4/1000</f>
        <v>0.8</v>
      </c>
    </row>
    <row r="186">
      <c r="C186" t="str">
        <v>L 250x250x25</v>
      </c>
      <c r="D186" t="str">
        <v>GG</v>
      </c>
      <c r="E186" t="str">
        <v>SGJ, SHC</v>
      </c>
      <c r="H186">
        <v>6</v>
      </c>
      <c r="I186">
        <f>O186*H186</f>
        <v>562.2</v>
      </c>
      <c r="J186">
        <v>250</v>
      </c>
      <c r="K186">
        <v>250</v>
      </c>
      <c r="L186">
        <v>25</v>
      </c>
      <c r="O186">
        <v>93.7</v>
      </c>
      <c r="P186">
        <f>J186*4/1000</f>
        <v>1</v>
      </c>
    </row>
    <row r="187">
      <c r="C187" t="str">
        <v>L 250x250x35</v>
      </c>
      <c r="D187" t="str">
        <v>GG</v>
      </c>
      <c r="H187">
        <v>6</v>
      </c>
      <c r="I187">
        <f>O187*H187</f>
        <v>768</v>
      </c>
      <c r="J187">
        <v>250</v>
      </c>
      <c r="K187">
        <v>250</v>
      </c>
      <c r="L187">
        <v>35</v>
      </c>
      <c r="O187">
        <v>128</v>
      </c>
      <c r="P187">
        <f>J187*4/1000</f>
        <v>1</v>
      </c>
    </row>
    <row r="188">
      <c r="B188" t="str">
        <v>Round Bar (RB)</v>
      </c>
      <c r="C188" t="str">
        <v>RB 6</v>
      </c>
      <c r="E188" t="str">
        <v>SGJ, SHC</v>
      </c>
      <c r="H188">
        <v>12</v>
      </c>
      <c r="I188">
        <f>O188*H188</f>
        <v>2.66</v>
      </c>
      <c r="J188">
        <v>6</v>
      </c>
      <c r="O188">
        <f>2.66/12</f>
        <v>0.22166666666666668</v>
      </c>
      <c r="P188">
        <f>PI()*J188*1/1000</f>
        <v>0.01884955592153876</v>
      </c>
    </row>
    <row r="189">
      <c r="C189" t="str">
        <v>RB 6,5</v>
      </c>
      <c r="E189" t="str">
        <v>SGJ, SHC</v>
      </c>
      <c r="H189">
        <v>12</v>
      </c>
      <c r="I189">
        <f>O189*H189</f>
        <v>3.2</v>
      </c>
      <c r="J189">
        <v>6.5</v>
      </c>
      <c r="O189">
        <f>3.2/12</f>
        <v>0.26666666666666666</v>
      </c>
      <c r="P189">
        <f>PI()*J189*1/1000</f>
        <v>0.02042035224833366</v>
      </c>
    </row>
    <row r="190">
      <c r="C190" t="str">
        <v>RB 7</v>
      </c>
      <c r="D190" t="str">
        <v>GG</v>
      </c>
      <c r="H190">
        <v>12</v>
      </c>
      <c r="I190">
        <f>O190*H190</f>
        <v>3.5999999999999996</v>
      </c>
      <c r="J190">
        <v>7</v>
      </c>
      <c r="O190">
        <v>0.3</v>
      </c>
      <c r="P190">
        <f>PI()*J190*1/1000</f>
        <v>0.02199114857512855</v>
      </c>
    </row>
    <row r="191">
      <c r="C191" t="str">
        <v>RB 8</v>
      </c>
      <c r="D191" t="str">
        <v>GG</v>
      </c>
      <c r="E191" t="str">
        <v>SGJ, SHC</v>
      </c>
      <c r="H191">
        <v>12</v>
      </c>
      <c r="I191">
        <f>O191*H191</f>
        <v>4.800000000000001</v>
      </c>
      <c r="J191">
        <v>8</v>
      </c>
      <c r="O191">
        <v>0.4</v>
      </c>
      <c r="P191">
        <f>PI()*J191*1/1000</f>
        <v>0.025132741228718346</v>
      </c>
    </row>
    <row r="192">
      <c r="C192" t="str">
        <v>RB 9</v>
      </c>
      <c r="E192" t="str">
        <v>SGJ, SHC</v>
      </c>
      <c r="H192">
        <v>12</v>
      </c>
      <c r="I192">
        <f>O192*H192</f>
        <v>6</v>
      </c>
      <c r="J192">
        <v>9</v>
      </c>
      <c r="O192">
        <f>6/12</f>
        <v>0.5</v>
      </c>
      <c r="P192">
        <f>PI()*J192*1/1000</f>
        <v>0.02827433388230814</v>
      </c>
    </row>
    <row r="193">
      <c r="C193" t="str">
        <v>RB 10</v>
      </c>
      <c r="D193" t="str">
        <v>GG</v>
      </c>
      <c r="E193" t="str">
        <v>SGJ, SHC</v>
      </c>
      <c r="H193">
        <v>12</v>
      </c>
      <c r="I193">
        <f>O193*H193</f>
        <v>7.4399999999999995</v>
      </c>
      <c r="J193">
        <v>10</v>
      </c>
      <c r="O193">
        <v>0.62</v>
      </c>
      <c r="P193">
        <f>PI()*J193*1/1000</f>
        <v>0.031415926535897934</v>
      </c>
    </row>
    <row r="194">
      <c r="C194" t="str">
        <v>RB 12</v>
      </c>
      <c r="D194" t="str">
        <v>GG</v>
      </c>
      <c r="E194" t="str">
        <v>SGJ, SHC</v>
      </c>
      <c r="H194">
        <v>12</v>
      </c>
      <c r="I194">
        <v>10.7</v>
      </c>
      <c r="J194">
        <v>12</v>
      </c>
      <c r="O194">
        <v>0.89</v>
      </c>
      <c r="P194">
        <f>PI()*J194*1/1000</f>
        <v>0.03769911184307752</v>
      </c>
    </row>
    <row r="195">
      <c r="C195" t="str">
        <v>RB 13</v>
      </c>
      <c r="E195" t="str">
        <v>SGJ, SHC</v>
      </c>
      <c r="H195">
        <v>12</v>
      </c>
      <c r="I195">
        <f>O195*H195</f>
        <v>12.5</v>
      </c>
      <c r="J195">
        <v>13</v>
      </c>
      <c r="O195">
        <f>12.5/12</f>
        <v>1.0416666666666667</v>
      </c>
      <c r="P195">
        <f>PI()*J195*1/1000</f>
        <v>0.04084070449666732</v>
      </c>
    </row>
    <row r="196">
      <c r="C196" t="str">
        <v>RB 14</v>
      </c>
      <c r="E196" t="str">
        <v>SGJ, SHC</v>
      </c>
      <c r="H196">
        <v>12</v>
      </c>
      <c r="I196">
        <f>O196*H196</f>
        <v>14.5</v>
      </c>
      <c r="J196">
        <v>14</v>
      </c>
      <c r="O196">
        <f>14.5/12</f>
        <v>1.2083333333333333</v>
      </c>
      <c r="P196">
        <f>PI()*J196*1/1000</f>
        <v>0.0439822971502571</v>
      </c>
    </row>
    <row r="197">
      <c r="C197" t="str">
        <v>RB 16</v>
      </c>
      <c r="D197" t="str">
        <v>GG</v>
      </c>
      <c r="E197" t="str">
        <v>SGJ, SHC</v>
      </c>
      <c r="H197">
        <v>12</v>
      </c>
      <c r="I197">
        <v>19</v>
      </c>
      <c r="J197">
        <v>16</v>
      </c>
      <c r="O197">
        <v>1.58</v>
      </c>
      <c r="P197">
        <f>PI()*J197*1/1000</f>
        <v>0.05026548245743669</v>
      </c>
    </row>
    <row r="198">
      <c r="C198" t="str">
        <v>RB 19</v>
      </c>
      <c r="D198" t="str">
        <v>GG</v>
      </c>
      <c r="E198" t="str">
        <v>SGJ, SHC</v>
      </c>
      <c r="H198">
        <v>12</v>
      </c>
      <c r="I198">
        <v>26.8</v>
      </c>
      <c r="J198">
        <v>19</v>
      </c>
      <c r="O198">
        <v>2.23</v>
      </c>
      <c r="P198">
        <f>PI()*J198*1/1000</f>
        <v>0.05969026041820607</v>
      </c>
    </row>
    <row r="199">
      <c r="C199" t="str">
        <v>RB 22</v>
      </c>
      <c r="D199" t="str">
        <v>GG</v>
      </c>
      <c r="E199" t="str">
        <v>SGJ, SHC</v>
      </c>
      <c r="H199">
        <v>12</v>
      </c>
      <c r="I199">
        <f>O199*H199</f>
        <v>35.88</v>
      </c>
      <c r="J199">
        <v>22</v>
      </c>
      <c r="O199">
        <v>2.99</v>
      </c>
      <c r="P199">
        <f>PI()*J199*1/1000</f>
        <v>0.06911503837897544</v>
      </c>
    </row>
    <row r="200">
      <c r="C200" t="str">
        <v>RB 23</v>
      </c>
      <c r="E200" t="str">
        <v>SGJ, SHC</v>
      </c>
      <c r="H200">
        <v>12</v>
      </c>
      <c r="I200">
        <f>O200*H200</f>
        <v>39.1</v>
      </c>
      <c r="J200">
        <v>23</v>
      </c>
      <c r="O200">
        <f>39.1/12</f>
        <v>3.2583333333333333</v>
      </c>
      <c r="P200">
        <f>PI()*J200*1/1000</f>
        <v>0.07225663103256524</v>
      </c>
    </row>
    <row r="201">
      <c r="C201" t="str">
        <v>RB 25</v>
      </c>
      <c r="D201" t="str">
        <v>GG</v>
      </c>
      <c r="E201" t="str">
        <v>SGJ, SHC</v>
      </c>
      <c r="H201">
        <v>12</v>
      </c>
      <c r="I201">
        <f>O201*H201</f>
        <v>46.2</v>
      </c>
      <c r="J201">
        <v>25</v>
      </c>
      <c r="O201">
        <v>3.85</v>
      </c>
      <c r="P201">
        <f>PI()*J201*1/1000</f>
        <v>0.07853981633974483</v>
      </c>
    </row>
    <row r="202">
      <c r="C202" t="str">
        <v>RB 28</v>
      </c>
      <c r="E202" t="str">
        <v>SGJ, SHC</v>
      </c>
      <c r="H202">
        <v>12</v>
      </c>
      <c r="I202">
        <f>O202*H202</f>
        <v>58</v>
      </c>
      <c r="J202">
        <v>28</v>
      </c>
      <c r="O202">
        <f>58/12</f>
        <v>4.833333333333333</v>
      </c>
      <c r="P202">
        <f>PI()*J202*1/1000</f>
        <v>0.0879645943005142</v>
      </c>
    </row>
    <row r="203">
      <c r="C203" t="str">
        <v>RB 31</v>
      </c>
      <c r="E203" t="str">
        <v>SGJ, SHC</v>
      </c>
      <c r="H203">
        <v>12</v>
      </c>
      <c r="I203">
        <f>O203*H203</f>
        <v>71.1</v>
      </c>
      <c r="J203">
        <v>31</v>
      </c>
      <c r="O203">
        <f>71.1/12</f>
        <v>5.925</v>
      </c>
      <c r="P203">
        <f>PI()*J203*1/1000</f>
        <v>0.09738937226128358</v>
      </c>
    </row>
    <row r="204">
      <c r="C204" t="str">
        <v>RB 32</v>
      </c>
      <c r="E204" t="str">
        <v>SGJ, SHC</v>
      </c>
      <c r="H204">
        <v>12</v>
      </c>
      <c r="I204">
        <f>O204*H204</f>
        <v>75.77</v>
      </c>
      <c r="J204">
        <v>32</v>
      </c>
      <c r="O204">
        <f>75.77/12</f>
        <v>6.314166666666666</v>
      </c>
      <c r="P204">
        <f>PI()*J204*1/1000</f>
        <v>0.10053096491487339</v>
      </c>
    </row>
    <row r="205">
      <c r="B205" t="str">
        <v>Deformed Bar (DB)</v>
      </c>
      <c r="C205" t="str">
        <v>DB 6</v>
      </c>
      <c r="E205" t="str">
        <v>SGJ, SHC</v>
      </c>
      <c r="H205">
        <v>12</v>
      </c>
      <c r="I205">
        <v>2.99</v>
      </c>
      <c r="J205">
        <v>6</v>
      </c>
      <c r="O205">
        <f>I205/H205</f>
        <v>0.24916666666666668</v>
      </c>
      <c r="P205">
        <f>PI()*J205*1/1000</f>
        <v>0.01884955592153876</v>
      </c>
    </row>
    <row r="206">
      <c r="C206" t="str">
        <v>DB 10</v>
      </c>
      <c r="E206" t="str">
        <v>SGJ, SHC</v>
      </c>
      <c r="H206">
        <v>12</v>
      </c>
      <c r="I206">
        <v>7.4</v>
      </c>
      <c r="J206">
        <v>10</v>
      </c>
      <c r="O206">
        <f>I206/H206</f>
        <v>0.6166666666666667</v>
      </c>
      <c r="P206">
        <f>PI()*J206*1/1000</f>
        <v>0.031415926535897934</v>
      </c>
    </row>
    <row r="207">
      <c r="C207" t="str">
        <v>DB 13</v>
      </c>
      <c r="E207" t="str">
        <v>SGJ, SHC</v>
      </c>
      <c r="H207">
        <v>12</v>
      </c>
      <c r="I207">
        <v>12.48</v>
      </c>
      <c r="J207">
        <v>13</v>
      </c>
      <c r="O207">
        <f>I207/H207</f>
        <v>1.04</v>
      </c>
      <c r="P207">
        <f>PI()*J207*1/1000</f>
        <v>0.04084070449666732</v>
      </c>
    </row>
    <row r="208">
      <c r="C208" t="str">
        <v>DB 16</v>
      </c>
      <c r="E208" t="str">
        <v>SGJ, SHC</v>
      </c>
      <c r="H208">
        <v>12</v>
      </c>
      <c r="I208">
        <v>18.96</v>
      </c>
      <c r="J208">
        <v>16</v>
      </c>
      <c r="O208">
        <f>I208/H208</f>
        <v>1.58</v>
      </c>
      <c r="P208">
        <f>PI()*J208*1/1000</f>
        <v>0.05026548245743669</v>
      </c>
    </row>
    <row r="209">
      <c r="C209" t="str">
        <v>DB 19</v>
      </c>
      <c r="E209" t="str">
        <v>SGJ, SHC</v>
      </c>
      <c r="H209">
        <v>12</v>
      </c>
      <c r="I209">
        <v>27</v>
      </c>
      <c r="J209">
        <v>19</v>
      </c>
      <c r="O209">
        <f>I209/H209</f>
        <v>2.25</v>
      </c>
      <c r="P209">
        <f>PI()*J209*1/1000</f>
        <v>0.05969026041820607</v>
      </c>
    </row>
    <row r="210">
      <c r="C210" t="str">
        <v>DB 22</v>
      </c>
      <c r="E210" t="str">
        <v>SGJ, SHC</v>
      </c>
      <c r="H210">
        <v>12</v>
      </c>
      <c r="I210">
        <v>36.5</v>
      </c>
      <c r="J210">
        <v>22</v>
      </c>
      <c r="O210">
        <f>I210/H210</f>
        <v>3.0416666666666665</v>
      </c>
      <c r="P210">
        <f>PI()*J210*1/1000</f>
        <v>0.06911503837897544</v>
      </c>
    </row>
    <row r="211">
      <c r="C211" t="str">
        <v>DB 25</v>
      </c>
      <c r="E211" t="str">
        <v>SGJ, SHC</v>
      </c>
      <c r="H211">
        <v>12</v>
      </c>
      <c r="I211">
        <v>47.8</v>
      </c>
      <c r="J211">
        <v>25</v>
      </c>
      <c r="O211">
        <f>I211/H211</f>
        <v>3.983333333333333</v>
      </c>
      <c r="P211">
        <f>PI()*J211*1/1000</f>
        <v>0.07853981633974483</v>
      </c>
    </row>
    <row r="212">
      <c r="C212" t="str">
        <v>DB 29</v>
      </c>
      <c r="E212" t="str">
        <v>SGJ, SHC</v>
      </c>
      <c r="H212">
        <v>12</v>
      </c>
      <c r="I212">
        <v>62.28</v>
      </c>
      <c r="J212">
        <v>29</v>
      </c>
      <c r="O212">
        <f>I212/H212</f>
        <v>5.19</v>
      </c>
      <c r="P212">
        <f>PI()*J212*1/1000</f>
        <v>0.09110618695410401</v>
      </c>
    </row>
    <row r="213">
      <c r="C213" t="str">
        <v>DB 32</v>
      </c>
      <c r="E213" t="str">
        <v>SGJ, SHC</v>
      </c>
      <c r="H213">
        <v>12</v>
      </c>
      <c r="I213">
        <v>75.72</v>
      </c>
      <c r="J213">
        <v>32</v>
      </c>
      <c r="O213">
        <f>I213/H213</f>
        <v>6.31</v>
      </c>
      <c r="P213">
        <f>PI()*J213*1/1000</f>
        <v>0.10053096491487339</v>
      </c>
    </row>
    <row r="214">
      <c r="C214" t="str">
        <v>DB 35</v>
      </c>
      <c r="E214" t="str">
        <v>SGJ, SHC</v>
      </c>
      <c r="H214">
        <v>12</v>
      </c>
      <c r="I214">
        <v>90.1</v>
      </c>
      <c r="J214">
        <v>35</v>
      </c>
      <c r="O214">
        <f>I214/H214</f>
        <v>7.508333333333333</v>
      </c>
      <c r="P214">
        <f>PI()*J214*1/1000</f>
        <v>0.10995574287564276</v>
      </c>
    </row>
    <row r="215">
      <c r="C215" t="str">
        <v>DB 36</v>
      </c>
      <c r="E215" t="str">
        <v>SHC</v>
      </c>
      <c r="H215">
        <v>12</v>
      </c>
      <c r="I215">
        <v>95.88</v>
      </c>
      <c r="J215">
        <v>36</v>
      </c>
      <c r="O215">
        <f>I215/H215</f>
        <v>7.989999999999999</v>
      </c>
      <c r="P215">
        <f>PI()*J215*1/1000</f>
        <v>0.11309733552923255</v>
      </c>
    </row>
    <row r="216">
      <c r="C216" t="str">
        <v>DB 38</v>
      </c>
      <c r="E216" t="str">
        <v>SGJ, SHC</v>
      </c>
      <c r="H216">
        <v>12</v>
      </c>
      <c r="I216">
        <v>107</v>
      </c>
      <c r="J216">
        <v>38</v>
      </c>
      <c r="O216">
        <f>I216/H216</f>
        <v>8.916666666666666</v>
      </c>
      <c r="P216">
        <f>PI()*J216*1/1000</f>
        <v>0.11938052083641214</v>
      </c>
    </row>
    <row r="217">
      <c r="C217" t="str">
        <v>DB 41</v>
      </c>
      <c r="E217" t="str">
        <v>SGJ, SHC</v>
      </c>
      <c r="H217">
        <v>12</v>
      </c>
      <c r="I217">
        <v>126</v>
      </c>
      <c r="J217">
        <v>41</v>
      </c>
      <c r="O217">
        <f>I217/H217</f>
        <v>10.5</v>
      </c>
      <c r="P217">
        <f>PI()*J217*1/1000</f>
        <v>0.1288052987971815</v>
      </c>
    </row>
    <row r="218">
      <c r="B218" t="str">
        <v>Lipped Channel (CNP)</v>
      </c>
      <c r="C218" t="str">
        <v>CNP 60x30x10x1,6</v>
      </c>
      <c r="D218" t="str">
        <v>ALIM</v>
      </c>
      <c r="H218">
        <v>6</v>
      </c>
      <c r="I218">
        <f>O218*H218</f>
        <v>9.756</v>
      </c>
      <c r="J218">
        <v>60</v>
      </c>
      <c r="K218">
        <v>30</v>
      </c>
      <c r="L218">
        <v>10</v>
      </c>
      <c r="M218">
        <v>1.6</v>
      </c>
      <c r="O218">
        <v>1.626</v>
      </c>
      <c r="P218">
        <f>(2*J218+4*K218+4*L218-4*M218)*1/1000</f>
        <v>0.2736</v>
      </c>
    </row>
    <row r="219">
      <c r="C219" t="str">
        <v>CNP 60x30x10x2</v>
      </c>
      <c r="D219" t="str">
        <v>ALIM</v>
      </c>
      <c r="H219">
        <v>6</v>
      </c>
      <c r="I219">
        <f>O219*H219</f>
        <v>11.952</v>
      </c>
      <c r="J219">
        <v>60</v>
      </c>
      <c r="K219">
        <v>30</v>
      </c>
      <c r="L219">
        <v>10</v>
      </c>
      <c r="M219">
        <v>2</v>
      </c>
      <c r="O219">
        <v>1.992</v>
      </c>
      <c r="P219">
        <f>(2*J219+4*K219+4*L219-4*M219)*1/1000</f>
        <v>0.272</v>
      </c>
    </row>
    <row r="220">
      <c r="C220" t="str">
        <v>CNP 60x30x10x2,3</v>
      </c>
      <c r="D220" t="str">
        <v>ALIM</v>
      </c>
      <c r="H220">
        <v>6</v>
      </c>
      <c r="I220">
        <f>O220*H220</f>
        <v>13.53</v>
      </c>
      <c r="J220">
        <v>60</v>
      </c>
      <c r="K220">
        <v>30</v>
      </c>
      <c r="L220">
        <v>10</v>
      </c>
      <c r="M220">
        <v>2.3</v>
      </c>
      <c r="O220">
        <v>2.255</v>
      </c>
      <c r="P220">
        <f>(2*J220+4*K220+4*L220-4*M220)*1/1000</f>
        <v>0.2708</v>
      </c>
    </row>
    <row r="221">
      <c r="C221" t="str">
        <v>CNP 75x35x15x1,6</v>
      </c>
      <c r="D221" t="str">
        <v>ALIM</v>
      </c>
      <c r="H221">
        <v>6</v>
      </c>
      <c r="I221">
        <f>O221*H221</f>
        <v>12.395999999999999</v>
      </c>
      <c r="J221">
        <v>75</v>
      </c>
      <c r="K221">
        <v>35</v>
      </c>
      <c r="L221">
        <v>15</v>
      </c>
      <c r="M221">
        <v>1.6</v>
      </c>
      <c r="O221">
        <v>2.066</v>
      </c>
      <c r="P221">
        <f>(2*J221+4*K221+4*L221-4*M221)*1/1000</f>
        <v>0.3436</v>
      </c>
    </row>
    <row r="222">
      <c r="C222" t="str">
        <v>CNP 75x35x15x2</v>
      </c>
      <c r="D222" t="str">
        <v>UNION, ALIM</v>
      </c>
      <c r="H222">
        <v>6</v>
      </c>
      <c r="I222">
        <f>O222*H222</f>
        <v>15.245999999999999</v>
      </c>
      <c r="J222">
        <v>75</v>
      </c>
      <c r="K222">
        <v>35</v>
      </c>
      <c r="L222">
        <v>15</v>
      </c>
      <c r="M222">
        <v>2</v>
      </c>
      <c r="O222">
        <v>2.541</v>
      </c>
      <c r="P222">
        <f>(2*J222+4*K222+4*L222-4*M222)*1/1000</f>
        <v>0.342</v>
      </c>
    </row>
    <row r="223">
      <c r="C223" t="str">
        <v>CNP 75x35x15x2,3</v>
      </c>
      <c r="D223" t="str">
        <v>ALIM</v>
      </c>
      <c r="H223">
        <v>6</v>
      </c>
      <c r="I223">
        <f>O223*H223</f>
        <v>17.322</v>
      </c>
      <c r="J223">
        <v>75</v>
      </c>
      <c r="K223">
        <v>35</v>
      </c>
      <c r="L223">
        <v>15</v>
      </c>
      <c r="M223">
        <v>2.3</v>
      </c>
      <c r="O223">
        <v>2.887</v>
      </c>
      <c r="P223">
        <f>(2*J223+4*K223+4*L223-4*M223)*1/1000</f>
        <v>0.3408</v>
      </c>
    </row>
    <row r="224">
      <c r="C224" t="str">
        <v>CNP 75x45x15x1,6</v>
      </c>
      <c r="D224" t="str">
        <v>ALIM</v>
      </c>
      <c r="E224" t="str">
        <v>SGJ</v>
      </c>
      <c r="H224">
        <v>6</v>
      </c>
      <c r="I224">
        <v>13.92</v>
      </c>
      <c r="J224">
        <v>75</v>
      </c>
      <c r="K224">
        <v>45</v>
      </c>
      <c r="L224">
        <v>15</v>
      </c>
      <c r="M224">
        <v>1.6</v>
      </c>
      <c r="O224">
        <f>I224/H224</f>
        <v>2.32</v>
      </c>
      <c r="P224">
        <f>H224*(0.25*22/7*I224^2)*O224/1000000</f>
        <v>0.0021192507977142853</v>
      </c>
    </row>
    <row r="225">
      <c r="C225" t="str">
        <v>CNP 75x45x15x2</v>
      </c>
      <c r="D225" t="str">
        <v>UNION, ALIM</v>
      </c>
      <c r="H225">
        <v>6</v>
      </c>
      <c r="I225">
        <f>O225*H225</f>
        <v>17.31</v>
      </c>
      <c r="J225">
        <v>75</v>
      </c>
      <c r="K225">
        <v>45</v>
      </c>
      <c r="L225">
        <v>15</v>
      </c>
      <c r="M225">
        <v>2</v>
      </c>
      <c r="O225">
        <v>2.885</v>
      </c>
      <c r="P225">
        <f>H225*(0.25*22/7*I225^2)*O225/1000000</f>
        <v>0.004075264985785713</v>
      </c>
    </row>
    <row r="226">
      <c r="C226" t="str">
        <v>CNP 75x45x15x2,3</v>
      </c>
      <c r="D226" t="str">
        <v>UNION, ALIM</v>
      </c>
      <c r="E226" t="str">
        <v>SGJ</v>
      </c>
      <c r="H226">
        <v>6</v>
      </c>
      <c r="I226">
        <v>19.5</v>
      </c>
      <c r="J226">
        <v>75</v>
      </c>
      <c r="K226">
        <v>45</v>
      </c>
      <c r="L226">
        <v>15</v>
      </c>
      <c r="M226">
        <v>2.3</v>
      </c>
      <c r="O226">
        <f>I226/H226</f>
        <v>3.25</v>
      </c>
      <c r="P226">
        <f>(2*J226+4*K226+4*L226-4*M226)*1/1000</f>
        <v>0.3808</v>
      </c>
    </row>
    <row r="227">
      <c r="C227" t="str">
        <v>CNP 100x50x20x1,6</v>
      </c>
      <c r="D227" t="str">
        <v>ALIM</v>
      </c>
      <c r="E227" t="str">
        <v>SGJ</v>
      </c>
      <c r="H227">
        <v>6</v>
      </c>
      <c r="I227">
        <v>17.5</v>
      </c>
      <c r="J227">
        <v>100</v>
      </c>
      <c r="K227">
        <v>50</v>
      </c>
      <c r="L227">
        <v>20</v>
      </c>
      <c r="M227">
        <v>1.6</v>
      </c>
      <c r="O227">
        <f>I227/H227</f>
        <v>2.9166666666666665</v>
      </c>
      <c r="P227">
        <f>H227*(0.25*22/7*I227^2)*O227/1000000</f>
        <v>0.0042109375</v>
      </c>
    </row>
    <row r="228">
      <c r="C228" t="str">
        <v>CNP 100x50x20x2</v>
      </c>
      <c r="D228" t="str">
        <v>UNION, ALIM</v>
      </c>
      <c r="H228">
        <v>6</v>
      </c>
      <c r="I228">
        <f>O228*H228</f>
        <v>21.372</v>
      </c>
      <c r="J228">
        <v>100</v>
      </c>
      <c r="K228">
        <v>50</v>
      </c>
      <c r="L228">
        <v>20</v>
      </c>
      <c r="M228">
        <v>2</v>
      </c>
      <c r="O228">
        <v>3.562</v>
      </c>
      <c r="P228">
        <f>(2*J228+4*K228+4*L228-4*M228)*1/1000</f>
        <v>0.472</v>
      </c>
    </row>
    <row r="229">
      <c r="C229" t="str">
        <v>CNP 100x50x20x2,3</v>
      </c>
      <c r="D229" t="str">
        <v>GG, UNION, ALIM</v>
      </c>
      <c r="E229" t="str">
        <v>SGJ</v>
      </c>
      <c r="H229">
        <v>6</v>
      </c>
      <c r="I229">
        <v>24.4</v>
      </c>
      <c r="J229">
        <v>100</v>
      </c>
      <c r="K229">
        <v>50</v>
      </c>
      <c r="L229">
        <v>20</v>
      </c>
      <c r="M229">
        <v>2.3</v>
      </c>
      <c r="O229">
        <f>I229/H229</f>
        <v>4.066666666666666</v>
      </c>
      <c r="P229">
        <f>H229*(0.25*22/7*I229^2)*O229/1000000</f>
        <v>0.011413901714285713</v>
      </c>
    </row>
    <row r="230">
      <c r="C230" t="str">
        <v>CNP 100x50x20x2,8</v>
      </c>
      <c r="D230" t="str">
        <v>GG, ALIM</v>
      </c>
      <c r="H230">
        <v>6</v>
      </c>
      <c r="I230">
        <f>O230*H230</f>
        <v>29.22</v>
      </c>
      <c r="J230">
        <v>100</v>
      </c>
      <c r="K230">
        <v>50</v>
      </c>
      <c r="L230">
        <v>20</v>
      </c>
      <c r="M230">
        <v>2.8</v>
      </c>
      <c r="O230">
        <v>4.87</v>
      </c>
      <c r="P230">
        <f>(2*J230+4*K230+4*L230-4*M230)*1/1000</f>
        <v>0.4688</v>
      </c>
    </row>
    <row r="231">
      <c r="C231" t="str">
        <v>CNP 100x50x20x3</v>
      </c>
      <c r="D231" t="str">
        <v>UNION</v>
      </c>
      <c r="H231">
        <v>6</v>
      </c>
      <c r="I231">
        <f>O231*H231</f>
        <v>31.08</v>
      </c>
      <c r="J231">
        <v>100</v>
      </c>
      <c r="K231">
        <v>50</v>
      </c>
      <c r="L231">
        <v>20</v>
      </c>
      <c r="M231">
        <v>3</v>
      </c>
      <c r="O231">
        <v>5.18</v>
      </c>
      <c r="P231">
        <f>H231*(0.25*22/7*I231^2)*O231/1000000</f>
        <v>0.023588899487999998</v>
      </c>
    </row>
    <row r="232">
      <c r="C232" t="str">
        <v>CNP 100x50x20x3,2</v>
      </c>
      <c r="D232" t="str">
        <v>GG, UNION, ALIM</v>
      </c>
      <c r="E232" t="str">
        <v>SGJ</v>
      </c>
      <c r="H232">
        <v>6</v>
      </c>
      <c r="I232">
        <f>O232*H232</f>
        <v>33</v>
      </c>
      <c r="J232">
        <v>100</v>
      </c>
      <c r="K232">
        <v>50</v>
      </c>
      <c r="L232">
        <v>20</v>
      </c>
      <c r="M232">
        <v>3.2</v>
      </c>
      <c r="O232">
        <v>5.5</v>
      </c>
      <c r="P232">
        <f>(2*J232+4*K232+4*L232-4*M232)*1/1000</f>
        <v>0.4672</v>
      </c>
    </row>
    <row r="233">
      <c r="C233" t="str">
        <v>CNP 125x50x20x2</v>
      </c>
      <c r="D233" t="str">
        <v>UNION</v>
      </c>
      <c r="H233">
        <v>6</v>
      </c>
      <c r="I233">
        <f>O233*H233</f>
        <v>23.700000000000003</v>
      </c>
      <c r="J233">
        <v>125</v>
      </c>
      <c r="K233">
        <v>50</v>
      </c>
      <c r="L233">
        <v>20</v>
      </c>
      <c r="M233">
        <v>2</v>
      </c>
      <c r="O233">
        <v>3.95</v>
      </c>
      <c r="P233">
        <f>H233*(0.25*22/7*I233^2)*O233/1000000</f>
        <v>0.010459470214285718</v>
      </c>
    </row>
    <row r="234">
      <c r="C234" t="str">
        <v>CNP 125x50x20x2,3</v>
      </c>
      <c r="D234" t="str">
        <v>GG, UNION, ALIM</v>
      </c>
      <c r="E234" t="str">
        <v>SGJ</v>
      </c>
      <c r="H234">
        <v>6</v>
      </c>
      <c r="I234">
        <f>O234*H234</f>
        <v>27.06</v>
      </c>
      <c r="J234">
        <v>125</v>
      </c>
      <c r="K234">
        <v>50</v>
      </c>
      <c r="L234">
        <v>20</v>
      </c>
      <c r="M234">
        <v>2.3</v>
      </c>
      <c r="O234">
        <v>4.51</v>
      </c>
      <c r="P234">
        <f>(2*J234+4*K234+4*L234-4*M234)*1/1000</f>
        <v>0.5207999999999999</v>
      </c>
    </row>
    <row r="235">
      <c r="C235" t="str">
        <v>CNP 125x50x20x3</v>
      </c>
      <c r="D235" t="str">
        <v>UNION</v>
      </c>
      <c r="H235">
        <v>6</v>
      </c>
      <c r="I235">
        <f>O235*H235</f>
        <v>34.62</v>
      </c>
      <c r="J235">
        <v>125</v>
      </c>
      <c r="K235">
        <v>50</v>
      </c>
      <c r="L235">
        <v>20</v>
      </c>
      <c r="M235">
        <v>3</v>
      </c>
      <c r="O235">
        <v>5.77</v>
      </c>
      <c r="P235">
        <f>H235*(0.25*22/7*I235^2)*O235/1000000</f>
        <v>0.0326021198862857</v>
      </c>
    </row>
    <row r="236">
      <c r="C236" t="str">
        <v>CNP 125x50x20x3,2</v>
      </c>
      <c r="D236" t="str">
        <v>GG, UNION, ALIM</v>
      </c>
      <c r="E236" t="str">
        <v>SGJ</v>
      </c>
      <c r="H236">
        <v>6</v>
      </c>
      <c r="I236">
        <f>O236*H236</f>
        <v>36.78</v>
      </c>
      <c r="J236">
        <v>125</v>
      </c>
      <c r="K236">
        <v>50</v>
      </c>
      <c r="L236">
        <v>20</v>
      </c>
      <c r="M236">
        <v>3.2</v>
      </c>
      <c r="O236">
        <v>6.13</v>
      </c>
      <c r="P236">
        <f>(2*J236+4*K236+4*L236-4*M236)*1/1000</f>
        <v>0.5172</v>
      </c>
    </row>
    <row r="237">
      <c r="C237" t="str">
        <v>CNP 150x50x20x2</v>
      </c>
      <c r="D237" t="str">
        <v>UNION</v>
      </c>
      <c r="H237">
        <v>6</v>
      </c>
      <c r="I237">
        <f>O237*H237</f>
        <v>26.04</v>
      </c>
      <c r="J237">
        <v>150</v>
      </c>
      <c r="K237">
        <v>50</v>
      </c>
      <c r="L237">
        <v>20</v>
      </c>
      <c r="M237">
        <v>2</v>
      </c>
      <c r="O237">
        <v>4.34</v>
      </c>
      <c r="P237">
        <f>H237*(0.25*22/7*I237^2)*O237/1000000</f>
        <v>0.013873549535999997</v>
      </c>
    </row>
    <row r="238">
      <c r="C238" t="str">
        <v>CNP 150x50x20x2,3</v>
      </c>
      <c r="D238" t="str">
        <v>GG, UNION, ALIM</v>
      </c>
      <c r="E238" t="str">
        <v>SGJ</v>
      </c>
      <c r="H238">
        <v>6</v>
      </c>
      <c r="I238">
        <f>O238*H238</f>
        <v>29.759999999999998</v>
      </c>
      <c r="J238">
        <v>150</v>
      </c>
      <c r="K238">
        <v>50</v>
      </c>
      <c r="L238">
        <v>20</v>
      </c>
      <c r="M238">
        <v>2.3</v>
      </c>
      <c r="O238">
        <v>4.96</v>
      </c>
      <c r="P238">
        <f>(2*J238+4*K238+4*L238-4*M238)*1/1000</f>
        <v>0.5708</v>
      </c>
    </row>
    <row r="239">
      <c r="C239" t="str">
        <v>CNP 150x50x20x3</v>
      </c>
      <c r="D239" t="str">
        <v>UNION</v>
      </c>
      <c r="H239">
        <v>6</v>
      </c>
      <c r="I239">
        <f>O239*H239</f>
        <v>38.160000000000004</v>
      </c>
      <c r="J239">
        <v>150</v>
      </c>
      <c r="K239">
        <v>50</v>
      </c>
      <c r="L239">
        <v>20</v>
      </c>
      <c r="M239">
        <v>3</v>
      </c>
      <c r="O239">
        <v>6.36</v>
      </c>
      <c r="P239">
        <f>H239*(0.25*22/7*I239^2)*O239/1000000</f>
        <v>0.04366060481828572</v>
      </c>
    </row>
    <row r="240">
      <c r="C240" t="str">
        <v>CNP 150x50x20x3,2</v>
      </c>
      <c r="D240" t="str">
        <v>GG, UNION, ALIM</v>
      </c>
      <c r="E240" t="str">
        <v>SGJ</v>
      </c>
      <c r="H240">
        <v>6</v>
      </c>
      <c r="I240">
        <f>O240*H240</f>
        <v>40.56</v>
      </c>
      <c r="J240">
        <v>150</v>
      </c>
      <c r="K240">
        <v>50</v>
      </c>
      <c r="L240">
        <v>20</v>
      </c>
      <c r="M240">
        <v>3.2</v>
      </c>
      <c r="O240">
        <v>6.76</v>
      </c>
    </row>
    <row r="241">
      <c r="C241" t="str">
        <v>CNP 150x65x20x2</v>
      </c>
      <c r="D241" t="str">
        <v>UNION</v>
      </c>
      <c r="H241">
        <v>6</v>
      </c>
      <c r="I241">
        <f>O241*H241</f>
        <v>28.86</v>
      </c>
      <c r="J241">
        <v>150</v>
      </c>
      <c r="K241">
        <v>65</v>
      </c>
      <c r="L241">
        <v>20</v>
      </c>
      <c r="M241">
        <v>2</v>
      </c>
      <c r="O241">
        <v>4.81</v>
      </c>
      <c r="P241">
        <f>(2*J241+4*K241+4*L241-4*M241)*1/1000</f>
        <v>0.632</v>
      </c>
    </row>
    <row r="242">
      <c r="C242" t="str">
        <v>CNP 150x65x20x2,3</v>
      </c>
      <c r="D242" t="str">
        <v>GG, UNION, ALIM</v>
      </c>
      <c r="E242" t="str">
        <v>SGJ</v>
      </c>
      <c r="H242">
        <v>6</v>
      </c>
      <c r="I242">
        <f>O242*H242</f>
        <v>33</v>
      </c>
      <c r="J242">
        <v>150</v>
      </c>
      <c r="K242">
        <v>65</v>
      </c>
      <c r="L242">
        <v>20</v>
      </c>
      <c r="M242">
        <v>2.3</v>
      </c>
      <c r="O242">
        <v>5.5</v>
      </c>
      <c r="P242">
        <f>(2*J242+4*K242+4*L242-4*M242)*1/1000</f>
        <v>0.6307999999999999</v>
      </c>
    </row>
    <row r="243">
      <c r="C243" t="str">
        <v>CNP 150x65x20x3</v>
      </c>
      <c r="D243" t="str">
        <v>UNION</v>
      </c>
      <c r="H243">
        <v>6</v>
      </c>
      <c r="I243">
        <f>O243*H243</f>
        <v>42.42</v>
      </c>
      <c r="J243">
        <v>150</v>
      </c>
      <c r="K243">
        <v>65</v>
      </c>
      <c r="L243">
        <v>20</v>
      </c>
      <c r="M243">
        <v>3</v>
      </c>
      <c r="O243">
        <v>7.07</v>
      </c>
      <c r="P243">
        <f>(2*J243+4*K243+4*L243-4*M243)*1/1000</f>
        <v>0.628</v>
      </c>
    </row>
    <row r="244">
      <c r="C244" t="str">
        <v>CNP 150x65x20x3,2</v>
      </c>
      <c r="D244" t="str">
        <v>GG, UNION, ALIM</v>
      </c>
      <c r="E244" t="str">
        <v>SGJ</v>
      </c>
      <c r="H244">
        <v>6</v>
      </c>
      <c r="I244">
        <f>O244*H244</f>
        <v>45.06</v>
      </c>
      <c r="J244">
        <v>150</v>
      </c>
      <c r="K244">
        <v>65</v>
      </c>
      <c r="L244">
        <v>20</v>
      </c>
      <c r="M244">
        <v>3.2</v>
      </c>
      <c r="O244">
        <v>7.51</v>
      </c>
      <c r="P244">
        <f>P242/P243</f>
        <v>1.0044585987261145</v>
      </c>
    </row>
    <row r="245">
      <c r="C245" t="str">
        <v>CNP 200x75x20x2,3</v>
      </c>
      <c r="D245" t="str">
        <v>UNION</v>
      </c>
      <c r="H245">
        <v>6</v>
      </c>
      <c r="I245">
        <f>O245*H245</f>
        <v>40.56</v>
      </c>
      <c r="J245">
        <v>200</v>
      </c>
      <c r="K245">
        <v>75</v>
      </c>
      <c r="L245">
        <v>20</v>
      </c>
      <c r="M245">
        <v>2.3</v>
      </c>
      <c r="O245">
        <v>6.76</v>
      </c>
      <c r="P245">
        <f>(2*J245+4*K245+4*L245-4*M245)*1/1000</f>
        <v>0.7707999999999999</v>
      </c>
    </row>
    <row r="246">
      <c r="C246" t="str">
        <v>CNP 200x75x20x3</v>
      </c>
      <c r="D246" t="str">
        <v>UNION</v>
      </c>
      <c r="H246">
        <v>6</v>
      </c>
      <c r="I246">
        <f>O246*H246</f>
        <v>52.32000000000001</v>
      </c>
      <c r="J246">
        <v>200</v>
      </c>
      <c r="K246">
        <v>75</v>
      </c>
      <c r="L246">
        <v>20</v>
      </c>
      <c r="M246">
        <v>3</v>
      </c>
      <c r="O246">
        <v>8.72</v>
      </c>
      <c r="P246">
        <f>(2*J246+4*K246+4*L246-4*M246)*1/1000</f>
        <v>0.768</v>
      </c>
    </row>
    <row r="247">
      <c r="C247" t="str">
        <v>CNP 200x75x20x3,2</v>
      </c>
      <c r="D247" t="str">
        <v>GG, UNION</v>
      </c>
      <c r="E247" t="str">
        <v>SGJ</v>
      </c>
      <c r="H247">
        <v>6</v>
      </c>
      <c r="I247">
        <f>O247*H247</f>
        <v>55.62</v>
      </c>
      <c r="J247">
        <v>200</v>
      </c>
      <c r="K247">
        <v>75</v>
      </c>
      <c r="L247">
        <v>20</v>
      </c>
      <c r="M247">
        <v>3.2</v>
      </c>
      <c r="O247">
        <v>9.27</v>
      </c>
      <c r="P247">
        <f>(2*J247+4*K247+4*L247-4*M247)*1/1000</f>
        <v>0.7672</v>
      </c>
    </row>
    <row r="248">
      <c r="C248" t="str">
        <v>CNP 200x75x20x4</v>
      </c>
      <c r="D248" t="str">
        <v>GG</v>
      </c>
      <c r="H248">
        <v>6</v>
      </c>
      <c r="I248">
        <f>O248*H248</f>
        <v>68.4</v>
      </c>
      <c r="J248">
        <v>200</v>
      </c>
      <c r="K248">
        <v>75</v>
      </c>
      <c r="L248">
        <v>20</v>
      </c>
      <c r="M248">
        <v>4</v>
      </c>
      <c r="O248">
        <v>11.4</v>
      </c>
      <c r="P248">
        <f>(2*J248+4*K248+4*L248-4*M248)*1/1000</f>
        <v>0.764</v>
      </c>
    </row>
    <row r="249">
      <c r="B249" t="str">
        <v>C Channel</v>
      </c>
      <c r="C249" t="str">
        <v>C 50x25x1,2</v>
      </c>
      <c r="E249" t="str">
        <v>SHC</v>
      </c>
      <c r="H249">
        <v>6</v>
      </c>
      <c r="I249">
        <v>5.8</v>
      </c>
      <c r="J249">
        <v>50</v>
      </c>
      <c r="K249">
        <v>25</v>
      </c>
      <c r="L249">
        <v>10</v>
      </c>
      <c r="M249">
        <v>1.2</v>
      </c>
      <c r="O249">
        <f>I249/H249</f>
        <v>0.9666666666666667</v>
      </c>
      <c r="P249">
        <f>(2*J249+4*K249+4*L249-4*M249)*1/1000</f>
        <v>0.2352</v>
      </c>
    </row>
    <row r="250">
      <c r="C250" t="str">
        <v>C 50x25x1,4</v>
      </c>
      <c r="E250" t="str">
        <v>SHC</v>
      </c>
      <c r="H250">
        <v>6</v>
      </c>
      <c r="I250">
        <v>7.5</v>
      </c>
      <c r="J250">
        <v>50</v>
      </c>
      <c r="K250">
        <v>25</v>
      </c>
      <c r="L250">
        <v>10</v>
      </c>
      <c r="M250">
        <v>1.4</v>
      </c>
      <c r="O250">
        <f>I250/H250</f>
        <v>1.25</v>
      </c>
      <c r="P250">
        <f>(2*J250+4*K250+4*L250-4*M250)*1/1000</f>
        <v>0.2344</v>
      </c>
    </row>
    <row r="251">
      <c r="C251" t="str">
        <v>C 50x25x1,6</v>
      </c>
      <c r="E251" t="str">
        <v>SHC</v>
      </c>
      <c r="H251">
        <v>6</v>
      </c>
      <c r="I251">
        <v>8.7</v>
      </c>
      <c r="J251">
        <v>50</v>
      </c>
      <c r="K251">
        <v>25</v>
      </c>
      <c r="L251">
        <v>10</v>
      </c>
      <c r="M251">
        <v>1.6</v>
      </c>
      <c r="O251">
        <f>I251/H251</f>
        <v>1.45</v>
      </c>
      <c r="P251">
        <f>(2*J251+4*K251+4*L251-4*M251)*1/1000</f>
        <v>0.2336</v>
      </c>
    </row>
    <row r="252">
      <c r="C252" t="str">
        <v>C 50x25x1,8</v>
      </c>
      <c r="E252" t="str">
        <v>SHC</v>
      </c>
      <c r="H252">
        <v>6</v>
      </c>
      <c r="I252">
        <v>9.9</v>
      </c>
      <c r="J252">
        <v>50</v>
      </c>
      <c r="K252">
        <v>25</v>
      </c>
      <c r="L252">
        <v>10</v>
      </c>
      <c r="M252">
        <v>1.8</v>
      </c>
      <c r="O252">
        <f>I252/H252</f>
        <v>1.6500000000000001</v>
      </c>
      <c r="P252">
        <f>(2*J252+4*K252+4*L252-4*M252)*1/1000</f>
        <v>0.2328</v>
      </c>
    </row>
    <row r="253">
      <c r="C253" t="str">
        <v>C 60x30x1,2</v>
      </c>
      <c r="E253" t="str">
        <v>SHC</v>
      </c>
      <c r="H253">
        <v>6</v>
      </c>
      <c r="I253">
        <v>6.95</v>
      </c>
      <c r="J253">
        <v>60</v>
      </c>
      <c r="K253">
        <v>30</v>
      </c>
      <c r="L253">
        <v>10</v>
      </c>
      <c r="M253">
        <v>1.2</v>
      </c>
      <c r="O253">
        <f>I253/H253</f>
        <v>1.1583333333333334</v>
      </c>
      <c r="P253">
        <f>(2*J253+4*K253+4*L253-4*M253)*1/1000</f>
        <v>0.2752</v>
      </c>
    </row>
    <row r="254">
      <c r="C254" t="str">
        <v>C 60x30x1,4</v>
      </c>
      <c r="E254" t="str">
        <v>SHC</v>
      </c>
      <c r="H254">
        <v>6</v>
      </c>
      <c r="I254">
        <v>8.1</v>
      </c>
      <c r="J254">
        <v>60</v>
      </c>
      <c r="K254">
        <v>30</v>
      </c>
      <c r="L254">
        <v>10</v>
      </c>
      <c r="M254">
        <v>1.4</v>
      </c>
      <c r="O254">
        <f>I254/H254</f>
        <v>1.3499999999999999</v>
      </c>
      <c r="P254">
        <f>(2*J254+4*K254+4*L254-4*M254)*1/1000</f>
        <v>0.2744</v>
      </c>
    </row>
    <row r="255">
      <c r="C255" t="str">
        <v>C 60x30x1,6</v>
      </c>
      <c r="E255" t="str">
        <v>SHC</v>
      </c>
      <c r="H255">
        <v>6</v>
      </c>
      <c r="I255">
        <v>9.27</v>
      </c>
      <c r="J255">
        <v>60</v>
      </c>
      <c r="K255">
        <v>30</v>
      </c>
      <c r="L255">
        <v>10</v>
      </c>
      <c r="M255">
        <v>1.6</v>
      </c>
      <c r="O255">
        <f>I255/H255</f>
        <v>1.545</v>
      </c>
      <c r="P255">
        <f>(2*J255+4*K255+4*L255-4*M255)*1/1000</f>
        <v>0.2736</v>
      </c>
    </row>
    <row r="256">
      <c r="C256" t="str">
        <v>C 60x30x1,8</v>
      </c>
      <c r="E256" t="str">
        <v>SHC</v>
      </c>
      <c r="H256">
        <v>6</v>
      </c>
      <c r="I256">
        <v>10.5</v>
      </c>
      <c r="J256">
        <v>60</v>
      </c>
      <c r="K256">
        <v>30</v>
      </c>
      <c r="L256">
        <v>10</v>
      </c>
      <c r="M256">
        <v>1.8</v>
      </c>
      <c r="O256">
        <f>I256/H256</f>
        <v>1.75</v>
      </c>
      <c r="P256">
        <f>(2*J256+4*K256+4*L256-4*M256)*1/1000</f>
        <v>0.2728</v>
      </c>
    </row>
    <row r="257">
      <c r="C257" t="str">
        <v>C 60x30x2</v>
      </c>
      <c r="E257" t="str">
        <v>SHC</v>
      </c>
      <c r="H257">
        <v>6</v>
      </c>
      <c r="I257">
        <v>11.6</v>
      </c>
      <c r="J257">
        <v>60</v>
      </c>
      <c r="K257">
        <v>30</v>
      </c>
      <c r="L257">
        <v>10</v>
      </c>
      <c r="M257">
        <v>2</v>
      </c>
      <c r="O257">
        <f>I257/H257</f>
        <v>1.9333333333333333</v>
      </c>
      <c r="P257">
        <f>(2*J257+4*K257+4*L257-4*M257)*1/1000</f>
        <v>0.272</v>
      </c>
    </row>
    <row r="258">
      <c r="C258" t="str">
        <v>C 70x30x1,2</v>
      </c>
      <c r="E258" t="str">
        <v>SHC</v>
      </c>
      <c r="H258">
        <v>6</v>
      </c>
      <c r="I258">
        <v>7.86</v>
      </c>
      <c r="J258">
        <v>70</v>
      </c>
      <c r="K258">
        <v>30</v>
      </c>
      <c r="L258">
        <v>15</v>
      </c>
      <c r="M258">
        <v>1.2</v>
      </c>
      <c r="O258">
        <f>I258/H258</f>
        <v>1.31</v>
      </c>
      <c r="P258">
        <f>(2*J258+4*K258+4*L258-4*M258)*1/1000</f>
        <v>0.3152</v>
      </c>
    </row>
    <row r="259">
      <c r="C259" t="str">
        <v>C 70x30x1,4</v>
      </c>
      <c r="E259" t="str">
        <v>SHC</v>
      </c>
      <c r="H259">
        <v>6</v>
      </c>
      <c r="I259">
        <v>9.17</v>
      </c>
      <c r="J259">
        <v>70</v>
      </c>
      <c r="K259">
        <v>30</v>
      </c>
      <c r="L259">
        <v>15</v>
      </c>
      <c r="M259">
        <v>1.4</v>
      </c>
      <c r="O259">
        <f>I259/H259</f>
        <v>1.5283333333333333</v>
      </c>
      <c r="P259">
        <f>(2*J259+4*K259+4*L259-4*M259)*1/1000</f>
        <v>0.31439999999999996</v>
      </c>
    </row>
    <row r="260">
      <c r="C260" t="str">
        <v>C 70x30x1,6</v>
      </c>
      <c r="E260" t="str">
        <v>SHC</v>
      </c>
      <c r="H260">
        <v>6</v>
      </c>
      <c r="I260">
        <v>10.5</v>
      </c>
      <c r="J260">
        <v>70</v>
      </c>
      <c r="K260">
        <v>30</v>
      </c>
      <c r="L260">
        <v>15</v>
      </c>
      <c r="M260">
        <v>1.6</v>
      </c>
      <c r="O260">
        <f>I260/H260</f>
        <v>1.75</v>
      </c>
      <c r="P260">
        <f>(2*J260+4*K260+4*L260-4*M260)*1/1000</f>
        <v>0.31360000000000005</v>
      </c>
    </row>
    <row r="261">
      <c r="C261" t="str">
        <v>C 70x30x1,8</v>
      </c>
      <c r="E261" t="str">
        <v>SHC</v>
      </c>
      <c r="H261">
        <v>6</v>
      </c>
      <c r="I261">
        <v>11.8</v>
      </c>
      <c r="J261">
        <v>70</v>
      </c>
      <c r="K261">
        <v>30</v>
      </c>
      <c r="L261">
        <v>15</v>
      </c>
      <c r="M261">
        <v>1.8</v>
      </c>
      <c r="O261">
        <f>I261/H261</f>
        <v>1.9666666666666668</v>
      </c>
      <c r="P261">
        <f>(2*J261+4*K261+4*L261-4*M261)*1/1000</f>
        <v>0.3128</v>
      </c>
    </row>
    <row r="262">
      <c r="C262" t="str">
        <v>C 70x30x2</v>
      </c>
      <c r="E262" t="str">
        <v>SHC</v>
      </c>
      <c r="H262">
        <v>6</v>
      </c>
      <c r="I262">
        <v>13</v>
      </c>
      <c r="J262">
        <v>70</v>
      </c>
      <c r="K262">
        <v>30</v>
      </c>
      <c r="L262">
        <v>15</v>
      </c>
      <c r="M262">
        <v>2</v>
      </c>
      <c r="O262">
        <f>I262/H262</f>
        <v>2.1666666666666665</v>
      </c>
      <c r="P262">
        <f>(2*J262+4*K262+4*L262-4*M262)*1/1000</f>
        <v>0.312</v>
      </c>
    </row>
    <row r="263">
      <c r="C263" t="str">
        <v>C 75x35x1,2</v>
      </c>
      <c r="E263" t="str">
        <v>SHC</v>
      </c>
      <c r="H263">
        <v>6</v>
      </c>
      <c r="I263">
        <v>8.66</v>
      </c>
      <c r="J263">
        <v>75</v>
      </c>
      <c r="K263">
        <v>35</v>
      </c>
      <c r="L263">
        <v>15</v>
      </c>
      <c r="M263">
        <v>1.2</v>
      </c>
      <c r="O263">
        <f>I263/H263</f>
        <v>1.4433333333333334</v>
      </c>
      <c r="P263">
        <f>(2*J263+4*K263+4*L263-4*M263)*1/1000</f>
        <v>0.3452</v>
      </c>
    </row>
    <row r="264">
      <c r="C264" t="str">
        <v>C 75x35x1,4</v>
      </c>
      <c r="E264" t="str">
        <v>SHC</v>
      </c>
      <c r="H264">
        <v>6</v>
      </c>
      <c r="I264">
        <v>10.1</v>
      </c>
      <c r="J264">
        <v>75</v>
      </c>
      <c r="K264">
        <v>35</v>
      </c>
      <c r="L264">
        <v>15</v>
      </c>
      <c r="M264">
        <v>1.4</v>
      </c>
      <c r="O264">
        <f>I264/H264</f>
        <v>1.6833333333333333</v>
      </c>
      <c r="P264">
        <f>(2*J264+4*K264+4*L264-4*M264)*1/1000</f>
        <v>0.3444</v>
      </c>
    </row>
    <row r="265">
      <c r="C265" t="str">
        <v>C 75x35x1,6</v>
      </c>
      <c r="E265" t="str">
        <v>SHC</v>
      </c>
      <c r="H265">
        <v>6</v>
      </c>
      <c r="I265">
        <v>11.6</v>
      </c>
      <c r="J265">
        <v>75</v>
      </c>
      <c r="K265">
        <v>35</v>
      </c>
      <c r="L265">
        <v>15</v>
      </c>
      <c r="M265">
        <v>1.6</v>
      </c>
      <c r="O265">
        <f>I265/H265</f>
        <v>1.9333333333333333</v>
      </c>
      <c r="P265">
        <f>(2*J265+4*K265+4*L265-4*M265)*1/1000</f>
        <v>0.3436</v>
      </c>
    </row>
    <row r="266">
      <c r="C266" t="str">
        <v>C 75x35x1,8</v>
      </c>
      <c r="E266" t="str">
        <v>SHC</v>
      </c>
      <c r="H266">
        <v>6</v>
      </c>
      <c r="I266">
        <v>13</v>
      </c>
      <c r="J266">
        <v>75</v>
      </c>
      <c r="K266">
        <v>35</v>
      </c>
      <c r="L266">
        <v>15</v>
      </c>
      <c r="M266">
        <v>1.8</v>
      </c>
      <c r="O266">
        <f>I266/H266</f>
        <v>2.1666666666666665</v>
      </c>
      <c r="P266">
        <f>(2*J266+4*K266+4*L266-4*M266)*1/1000</f>
        <v>0.3428</v>
      </c>
    </row>
    <row r="267">
      <c r="C267" t="str">
        <v>C 75x35x2</v>
      </c>
      <c r="E267" t="str">
        <v>SHC</v>
      </c>
      <c r="H267">
        <v>6</v>
      </c>
      <c r="I267">
        <v>14.4</v>
      </c>
      <c r="J267">
        <v>75</v>
      </c>
      <c r="K267">
        <v>35</v>
      </c>
      <c r="L267">
        <v>15</v>
      </c>
      <c r="M267">
        <v>2</v>
      </c>
      <c r="O267">
        <f>I267/H267</f>
        <v>2.4</v>
      </c>
      <c r="P267">
        <f>(2*J267+4*K267+4*L267-4*M267)*1/1000</f>
        <v>0.342</v>
      </c>
    </row>
    <row r="268">
      <c r="C268" t="str">
        <v>C 75x45x1,2</v>
      </c>
      <c r="E268" t="str">
        <v>SHC</v>
      </c>
      <c r="H268">
        <v>6</v>
      </c>
      <c r="I268">
        <v>9.8</v>
      </c>
      <c r="J268">
        <v>75</v>
      </c>
      <c r="K268">
        <v>45</v>
      </c>
      <c r="L268">
        <v>15</v>
      </c>
      <c r="M268">
        <v>1.2</v>
      </c>
      <c r="O268">
        <f>I268/H268</f>
        <v>1.6333333333333335</v>
      </c>
      <c r="P268">
        <f>(2*J268+4*K268+4*L268-4*M268)*1/1000</f>
        <v>0.3852</v>
      </c>
    </row>
    <row r="269">
      <c r="C269" t="str">
        <v>C 75x45x1,4</v>
      </c>
      <c r="E269" t="str">
        <v>SHC</v>
      </c>
      <c r="H269">
        <v>6</v>
      </c>
      <c r="I269">
        <v>11.5</v>
      </c>
      <c r="J269">
        <v>75</v>
      </c>
      <c r="K269">
        <v>45</v>
      </c>
      <c r="L269">
        <v>15</v>
      </c>
      <c r="M269">
        <v>1.4</v>
      </c>
      <c r="O269">
        <f>I269/H269</f>
        <v>1.9166666666666667</v>
      </c>
      <c r="P269">
        <f>(2*J269+4*K269+4*L269-4*M269)*1/1000</f>
        <v>0.38439999999999996</v>
      </c>
    </row>
    <row r="270">
      <c r="C270" t="str">
        <v>C 75x45x1,6</v>
      </c>
      <c r="E270" t="str">
        <v>SHC</v>
      </c>
      <c r="H270">
        <v>6</v>
      </c>
      <c r="I270">
        <v>13.3</v>
      </c>
      <c r="J270">
        <v>75</v>
      </c>
      <c r="K270">
        <v>45</v>
      </c>
      <c r="L270">
        <v>15</v>
      </c>
      <c r="M270">
        <v>1.6</v>
      </c>
      <c r="O270">
        <f>I270/H270</f>
        <v>2.216666666666667</v>
      </c>
      <c r="P270">
        <f>(2*J270+4*K270+4*L270-4*M270)*1/1000</f>
        <v>0.3836</v>
      </c>
    </row>
    <row r="271">
      <c r="C271" t="str">
        <v>C 75x45x1,8</v>
      </c>
      <c r="E271" t="str">
        <v>SHC</v>
      </c>
      <c r="H271">
        <v>6</v>
      </c>
      <c r="I271">
        <v>15</v>
      </c>
      <c r="J271">
        <v>75</v>
      </c>
      <c r="K271">
        <v>45</v>
      </c>
      <c r="L271">
        <v>15</v>
      </c>
      <c r="M271">
        <v>1.8</v>
      </c>
      <c r="O271">
        <f>I271/H271</f>
        <v>2.5</v>
      </c>
      <c r="P271">
        <f>(2*J271+4*K271+4*L271-4*M271)*1/1000</f>
        <v>0.38280000000000003</v>
      </c>
    </row>
    <row r="272">
      <c r="C272" t="str">
        <v>C 75x45x2</v>
      </c>
      <c r="E272" t="str">
        <v>SHC</v>
      </c>
      <c r="H272">
        <v>6</v>
      </c>
      <c r="I272">
        <v>16.6</v>
      </c>
      <c r="J272">
        <v>75</v>
      </c>
      <c r="K272">
        <v>45</v>
      </c>
      <c r="L272">
        <v>15</v>
      </c>
      <c r="M272">
        <v>2</v>
      </c>
      <c r="O272">
        <f>I272/H272</f>
        <v>2.766666666666667</v>
      </c>
      <c r="P272">
        <f>(2*J272+4*K272+4*L272-4*M272)*1/1000</f>
        <v>0.382</v>
      </c>
    </row>
    <row r="273">
      <c r="C273" t="str">
        <v>C 75x45x2,2</v>
      </c>
      <c r="E273" t="str">
        <v>SHC</v>
      </c>
      <c r="H273">
        <v>6</v>
      </c>
      <c r="I273">
        <v>18.2</v>
      </c>
      <c r="J273">
        <v>75</v>
      </c>
      <c r="K273">
        <v>45</v>
      </c>
      <c r="L273">
        <v>15</v>
      </c>
      <c r="M273">
        <v>2.2</v>
      </c>
      <c r="O273">
        <f>I273/H273</f>
        <v>3.033333333333333</v>
      </c>
      <c r="P273">
        <f>(2*J273+4*K273+4*L273-4*M273)*1/1000</f>
        <v>0.3812</v>
      </c>
    </row>
    <row r="274">
      <c r="C274" t="str">
        <v>C 95x45x1,2</v>
      </c>
      <c r="E274" t="str">
        <v>SHC</v>
      </c>
      <c r="H274">
        <v>6</v>
      </c>
      <c r="I274">
        <v>11</v>
      </c>
      <c r="J274">
        <v>95</v>
      </c>
      <c r="K274">
        <v>45</v>
      </c>
      <c r="L274">
        <v>20</v>
      </c>
      <c r="M274">
        <v>1.2</v>
      </c>
      <c r="O274">
        <f>I274/H274</f>
        <v>1.8333333333333333</v>
      </c>
      <c r="P274">
        <f>(2*J274+4*K274+4*L274-4*M274)*1/1000</f>
        <v>0.4452</v>
      </c>
    </row>
    <row r="275">
      <c r="C275" t="str">
        <v>C 95x45x1,4</v>
      </c>
      <c r="E275" t="str">
        <v>SHC</v>
      </c>
      <c r="H275">
        <v>6</v>
      </c>
      <c r="I275">
        <v>12.8</v>
      </c>
      <c r="J275">
        <v>95</v>
      </c>
      <c r="K275">
        <v>45</v>
      </c>
      <c r="L275">
        <v>20</v>
      </c>
      <c r="M275">
        <v>1.4</v>
      </c>
      <c r="O275">
        <f>I275/H275</f>
        <v>2.1333333333333333</v>
      </c>
      <c r="P275">
        <f>(2*J275+4*K275+4*L275-4*M275)*1/1000</f>
        <v>0.44439999999999996</v>
      </c>
    </row>
    <row r="276">
      <c r="C276" t="str">
        <v>C 95x45x1,6</v>
      </c>
      <c r="E276" t="str">
        <v>SHC</v>
      </c>
      <c r="H276">
        <v>6</v>
      </c>
      <c r="I276">
        <v>14.6</v>
      </c>
      <c r="J276">
        <v>95</v>
      </c>
      <c r="K276">
        <v>45</v>
      </c>
      <c r="L276">
        <v>20</v>
      </c>
      <c r="M276">
        <v>1.6</v>
      </c>
      <c r="O276">
        <f>I276/H276</f>
        <v>2.433333333333333</v>
      </c>
      <c r="P276">
        <f>(2*J276+4*K276+4*L276-4*M276)*1/1000</f>
        <v>0.44360000000000005</v>
      </c>
    </row>
    <row r="277">
      <c r="C277" t="str">
        <v>C 95x45x1,8</v>
      </c>
      <c r="E277" t="str">
        <v>SHC</v>
      </c>
      <c r="H277">
        <v>6</v>
      </c>
      <c r="I277">
        <v>16.7</v>
      </c>
      <c r="J277">
        <v>95</v>
      </c>
      <c r="K277">
        <v>45</v>
      </c>
      <c r="L277">
        <v>20</v>
      </c>
      <c r="M277">
        <v>1.8</v>
      </c>
      <c r="O277">
        <f>I277/H277</f>
        <v>2.783333333333333</v>
      </c>
      <c r="P277">
        <f>(2*J277+4*K277+4*L277-4*M277)*1/1000</f>
        <v>0.4428</v>
      </c>
    </row>
    <row r="278">
      <c r="C278" t="str">
        <v>C 95x45x1</v>
      </c>
      <c r="E278" t="str">
        <v>SHC</v>
      </c>
      <c r="H278">
        <v>6</v>
      </c>
      <c r="I278">
        <v>18.5</v>
      </c>
      <c r="J278">
        <v>95</v>
      </c>
      <c r="K278">
        <v>45</v>
      </c>
      <c r="L278">
        <v>20</v>
      </c>
      <c r="M278">
        <v>2</v>
      </c>
      <c r="O278">
        <f>I278/H278</f>
        <v>3.0833333333333335</v>
      </c>
      <c r="P278">
        <f>(2*J278+4*K278+4*L278-4*M278)*1/1000</f>
        <v>0.442</v>
      </c>
    </row>
    <row r="279">
      <c r="C279" t="str">
        <v>C 95x45x2,2</v>
      </c>
      <c r="E279" t="str">
        <v>SHC</v>
      </c>
      <c r="H279">
        <v>6</v>
      </c>
      <c r="I279">
        <v>20.3</v>
      </c>
      <c r="J279">
        <v>95</v>
      </c>
      <c r="K279">
        <v>45</v>
      </c>
      <c r="L279">
        <v>20</v>
      </c>
      <c r="M279">
        <v>2.2</v>
      </c>
      <c r="O279">
        <f>I279/H279</f>
        <v>3.3833333333333333</v>
      </c>
      <c r="P279">
        <f>(2*J279+4*K279+4*L279-4*M279)*1/1000</f>
        <v>0.4412</v>
      </c>
    </row>
    <row r="280">
      <c r="C280" t="str">
        <v>C 100x50x1,2</v>
      </c>
      <c r="E280" t="str">
        <v>SHC</v>
      </c>
      <c r="H280">
        <v>6</v>
      </c>
      <c r="I280">
        <v>11.8</v>
      </c>
      <c r="J280">
        <v>100</v>
      </c>
      <c r="K280">
        <v>50</v>
      </c>
      <c r="L280">
        <v>20</v>
      </c>
      <c r="M280">
        <v>1.2</v>
      </c>
      <c r="O280">
        <f>I280/H280</f>
        <v>1.9666666666666668</v>
      </c>
      <c r="P280">
        <f>(2*J280+4*K280+4*L280-4*M280)*1/1000</f>
        <v>0.4752</v>
      </c>
    </row>
    <row r="281">
      <c r="C281" t="str">
        <v>C 100x50x1,4</v>
      </c>
      <c r="E281" t="str">
        <v>SHC</v>
      </c>
      <c r="H281">
        <v>6</v>
      </c>
      <c r="I281">
        <v>13.7</v>
      </c>
      <c r="J281">
        <v>100</v>
      </c>
      <c r="K281">
        <v>50</v>
      </c>
      <c r="L281">
        <v>20</v>
      </c>
      <c r="M281">
        <v>1.4</v>
      </c>
      <c r="O281">
        <f>I281/H281</f>
        <v>2.283333333333333</v>
      </c>
      <c r="P281">
        <f>(2*J281+4*K281+4*L281-4*M281)*1/1000</f>
        <v>0.4744</v>
      </c>
    </row>
    <row r="282">
      <c r="C282" t="str">
        <v>C 100x50x1,6</v>
      </c>
      <c r="E282" t="str">
        <v>SHC</v>
      </c>
      <c r="H282">
        <v>6</v>
      </c>
      <c r="I282">
        <v>15.7</v>
      </c>
      <c r="J282">
        <v>100</v>
      </c>
      <c r="K282">
        <v>50</v>
      </c>
      <c r="L282">
        <v>20</v>
      </c>
      <c r="M282">
        <v>1.6</v>
      </c>
      <c r="O282">
        <f>I282/H282</f>
        <v>2.6166666666666667</v>
      </c>
      <c r="P282">
        <f>(2*J282+4*K282+4*L282-4*M282)*1/1000</f>
        <v>0.4736</v>
      </c>
    </row>
    <row r="283">
      <c r="C283" t="str">
        <v>C 100x50x1,8</v>
      </c>
      <c r="E283" t="str">
        <v>SHC</v>
      </c>
      <c r="H283">
        <v>6</v>
      </c>
      <c r="I283">
        <v>17.7</v>
      </c>
      <c r="J283">
        <v>100</v>
      </c>
      <c r="K283">
        <v>50</v>
      </c>
      <c r="L283">
        <v>20</v>
      </c>
      <c r="M283">
        <v>1.8</v>
      </c>
      <c r="O283">
        <f>I283/H283</f>
        <v>2.9499999999999997</v>
      </c>
      <c r="P283">
        <f>(2*J283+4*K283+4*L283-4*M283)*1/1000</f>
        <v>0.4728</v>
      </c>
    </row>
    <row r="284">
      <c r="C284" t="str">
        <v>C 100x50x2</v>
      </c>
      <c r="E284" t="str">
        <v>SHC</v>
      </c>
      <c r="H284">
        <v>6</v>
      </c>
      <c r="I284">
        <v>19.7</v>
      </c>
      <c r="J284">
        <v>100</v>
      </c>
      <c r="K284">
        <v>50</v>
      </c>
      <c r="L284">
        <v>20</v>
      </c>
      <c r="M284">
        <v>2</v>
      </c>
      <c r="O284">
        <f>I284/H284</f>
        <v>3.283333333333333</v>
      </c>
      <c r="P284">
        <f>(2*J284+4*K284+4*L284-4*M284)*1/1000</f>
        <v>0.472</v>
      </c>
    </row>
    <row r="285">
      <c r="C285" t="str">
        <v>C 100x50x2,2</v>
      </c>
      <c r="E285" t="str">
        <v>SHC</v>
      </c>
      <c r="H285">
        <v>6</v>
      </c>
      <c r="I285">
        <v>21.7</v>
      </c>
      <c r="J285">
        <v>100</v>
      </c>
      <c r="K285">
        <v>50</v>
      </c>
      <c r="L285">
        <v>20</v>
      </c>
      <c r="M285">
        <v>2.2</v>
      </c>
      <c r="O285">
        <f>I285/H285</f>
        <v>3.6166666666666667</v>
      </c>
      <c r="P285">
        <f>(2*J285+4*K285+4*L285-4*M285)*1/1000</f>
        <v>0.4712</v>
      </c>
    </row>
    <row r="286">
      <c r="C286" t="str">
        <v>C 100x50x2,7</v>
      </c>
      <c r="E286" t="str">
        <v>SHC</v>
      </c>
      <c r="H286">
        <v>6</v>
      </c>
      <c r="I286">
        <v>26.4</v>
      </c>
      <c r="J286">
        <v>100</v>
      </c>
      <c r="K286">
        <v>50</v>
      </c>
      <c r="L286">
        <v>20</v>
      </c>
      <c r="M286">
        <v>2.7</v>
      </c>
      <c r="O286">
        <f>I286/H286</f>
        <v>4.3999999999999995</v>
      </c>
      <c r="P286">
        <f>(2*J286+4*K286+4*L286-4*M286)*1/1000</f>
        <v>0.4692</v>
      </c>
    </row>
    <row r="287">
      <c r="C287" t="str">
        <v>C 100x50x2,8</v>
      </c>
      <c r="E287" t="str">
        <v>SHC</v>
      </c>
      <c r="H287">
        <v>6</v>
      </c>
      <c r="I287">
        <v>27.6</v>
      </c>
      <c r="J287">
        <v>100</v>
      </c>
      <c r="K287">
        <v>50</v>
      </c>
      <c r="L287">
        <v>20</v>
      </c>
      <c r="M287">
        <v>2.8</v>
      </c>
      <c r="O287">
        <f>I287/H287</f>
        <v>4.6000000000000005</v>
      </c>
      <c r="P287">
        <f>(2*J287+4*K287+4*L287-4*M287)*1/1000</f>
        <v>0.4688</v>
      </c>
    </row>
    <row r="288">
      <c r="C288" t="str">
        <v>C 100x50x3</v>
      </c>
      <c r="E288" t="str">
        <v>SHC</v>
      </c>
      <c r="H288">
        <v>6</v>
      </c>
      <c r="I288">
        <v>29.5</v>
      </c>
      <c r="J288">
        <v>100</v>
      </c>
      <c r="K288">
        <v>50</v>
      </c>
      <c r="L288">
        <v>20</v>
      </c>
      <c r="M288">
        <v>3</v>
      </c>
      <c r="O288">
        <f>I288/H288</f>
        <v>4.916666666666667</v>
      </c>
      <c r="P288">
        <f>(2*J288+4*K288+4*L288-4*M288)*1/1000</f>
        <v>0.468</v>
      </c>
    </row>
    <row r="289">
      <c r="C289" t="str">
        <v>C 120x45x1,2</v>
      </c>
      <c r="E289" t="str">
        <v>SHC</v>
      </c>
      <c r="H289">
        <v>6</v>
      </c>
      <c r="I289">
        <v>12.4</v>
      </c>
      <c r="J289">
        <v>120</v>
      </c>
      <c r="K289">
        <v>45</v>
      </c>
      <c r="L289">
        <v>20</v>
      </c>
      <c r="M289">
        <v>1.2</v>
      </c>
      <c r="O289">
        <f>I289/H289</f>
        <v>2.066666666666667</v>
      </c>
      <c r="P289">
        <f>(2*J289+4*K289+4*L289-4*M289)*1/1000</f>
        <v>0.4952</v>
      </c>
    </row>
    <row r="290">
      <c r="C290" t="str">
        <v>C 120x45x1,4</v>
      </c>
      <c r="E290" t="str">
        <v>SHC</v>
      </c>
      <c r="H290">
        <v>6</v>
      </c>
      <c r="I290">
        <v>14.4</v>
      </c>
      <c r="J290">
        <v>120</v>
      </c>
      <c r="K290">
        <v>45</v>
      </c>
      <c r="L290">
        <v>20</v>
      </c>
      <c r="M290">
        <v>1.4</v>
      </c>
      <c r="O290">
        <f>I290/H290</f>
        <v>2.4</v>
      </c>
      <c r="P290">
        <f>(2*J290+4*K290+4*L290-4*M290)*1/1000</f>
        <v>0.49439999999999995</v>
      </c>
    </row>
    <row r="291">
      <c r="C291" t="str">
        <v>C 120x45x1,6</v>
      </c>
      <c r="E291" t="str">
        <v>SHC</v>
      </c>
      <c r="H291">
        <v>6</v>
      </c>
      <c r="I291">
        <v>16.5</v>
      </c>
      <c r="J291">
        <v>120</v>
      </c>
      <c r="K291">
        <v>45</v>
      </c>
      <c r="L291">
        <v>20</v>
      </c>
      <c r="M291">
        <v>1.6</v>
      </c>
      <c r="O291">
        <f>I291/H291</f>
        <v>2.75</v>
      </c>
      <c r="P291">
        <f>(2*J291+4*K291+4*L291-4*M291)*1/1000</f>
        <v>0.49360000000000004</v>
      </c>
    </row>
    <row r="292">
      <c r="C292" t="str">
        <v>C 120x45x1,8</v>
      </c>
      <c r="E292" t="str">
        <v>SHC</v>
      </c>
      <c r="H292">
        <v>6</v>
      </c>
      <c r="I292">
        <v>18.7</v>
      </c>
      <c r="J292">
        <v>120</v>
      </c>
      <c r="K292">
        <v>45</v>
      </c>
      <c r="L292">
        <v>20</v>
      </c>
      <c r="M292">
        <v>1.8</v>
      </c>
      <c r="O292">
        <f>I292/H292</f>
        <v>3.1166666666666667</v>
      </c>
      <c r="P292">
        <f>(2*J292+4*K292+4*L292-4*M292)*1/1000</f>
        <v>0.4928</v>
      </c>
    </row>
    <row r="293">
      <c r="C293" t="str">
        <v>C 120x45x2</v>
      </c>
      <c r="E293" t="str">
        <v>SHC</v>
      </c>
      <c r="H293">
        <v>6</v>
      </c>
      <c r="I293">
        <v>20.7</v>
      </c>
      <c r="J293">
        <v>120</v>
      </c>
      <c r="K293">
        <v>45</v>
      </c>
      <c r="L293">
        <v>20</v>
      </c>
      <c r="M293">
        <v>2</v>
      </c>
      <c r="O293">
        <f>I293/H293</f>
        <v>3.4499999999999997</v>
      </c>
      <c r="P293">
        <f>(2*J293+4*K293+4*L293-4*M293)*1/1000</f>
        <v>0.492</v>
      </c>
    </row>
    <row r="294">
      <c r="C294" t="str">
        <v>C 120x45x2,2</v>
      </c>
      <c r="E294" t="str">
        <v>SHC</v>
      </c>
      <c r="H294">
        <v>6</v>
      </c>
      <c r="I294">
        <v>22.7</v>
      </c>
      <c r="J294">
        <v>120</v>
      </c>
      <c r="K294">
        <v>45</v>
      </c>
      <c r="L294">
        <v>20</v>
      </c>
      <c r="M294">
        <v>2.2</v>
      </c>
      <c r="O294">
        <f>I294/H294</f>
        <v>3.783333333333333</v>
      </c>
      <c r="P294">
        <f>(2*J294+4*K294+4*L294-4*M294)*1/1000</f>
        <v>0.49119999999999997</v>
      </c>
    </row>
    <row r="295">
      <c r="C295" t="str">
        <v>C 125x50x1,2</v>
      </c>
      <c r="E295" t="str">
        <v>SHC</v>
      </c>
      <c r="H295">
        <v>6</v>
      </c>
      <c r="I295">
        <v>13.7</v>
      </c>
      <c r="J295">
        <v>125</v>
      </c>
      <c r="K295">
        <v>50</v>
      </c>
      <c r="L295">
        <v>20</v>
      </c>
      <c r="M295">
        <v>1.2</v>
      </c>
      <c r="O295">
        <f>I295/H295</f>
        <v>2.283333333333333</v>
      </c>
      <c r="P295">
        <f>(2*J295+4*K295+4*L295-4*M295)*1/1000</f>
        <v>0.5252</v>
      </c>
    </row>
    <row r="296">
      <c r="C296" t="str">
        <v>C 125x50x1,4</v>
      </c>
      <c r="E296" t="str">
        <v>SHC</v>
      </c>
      <c r="H296">
        <v>6</v>
      </c>
      <c r="I296">
        <v>15.9</v>
      </c>
      <c r="J296">
        <v>125</v>
      </c>
      <c r="K296">
        <v>50</v>
      </c>
      <c r="L296">
        <v>20</v>
      </c>
      <c r="M296">
        <v>1.4</v>
      </c>
      <c r="O296">
        <f>I296/H296</f>
        <v>2.65</v>
      </c>
      <c r="P296">
        <f>(2*J296+4*K296+4*L296-4*M296)*1/1000</f>
        <v>0.5244</v>
      </c>
    </row>
    <row r="297">
      <c r="C297" t="str">
        <v>C 125x50x1,6</v>
      </c>
      <c r="E297" t="str">
        <v>SHC</v>
      </c>
      <c r="H297">
        <v>6</v>
      </c>
      <c r="I297">
        <v>18.2</v>
      </c>
      <c r="J297">
        <v>125</v>
      </c>
      <c r="K297">
        <v>50</v>
      </c>
      <c r="L297">
        <v>20</v>
      </c>
      <c r="M297">
        <v>1.6</v>
      </c>
      <c r="O297">
        <f>I297/H297</f>
        <v>3.033333333333333</v>
      </c>
      <c r="P297">
        <f>(2*J297+4*K297+4*L297-4*M297)*1/1000</f>
        <v>0.5236000000000001</v>
      </c>
    </row>
    <row r="298">
      <c r="C298" t="str">
        <v>C 125x50x1,8</v>
      </c>
      <c r="E298" t="str">
        <v>SHC</v>
      </c>
      <c r="H298">
        <v>6</v>
      </c>
      <c r="I298">
        <v>20.4</v>
      </c>
      <c r="J298">
        <v>125</v>
      </c>
      <c r="K298">
        <v>50</v>
      </c>
      <c r="L298">
        <v>20</v>
      </c>
      <c r="M298">
        <v>1.8</v>
      </c>
      <c r="O298">
        <f>I298/H298</f>
        <v>3.4</v>
      </c>
      <c r="P298">
        <f>(2*J298+4*K298+4*L298-4*M298)*1/1000</f>
        <v>0.5227999999999999</v>
      </c>
    </row>
    <row r="299">
      <c r="C299" t="str">
        <v>C 125x50x2</v>
      </c>
      <c r="E299" t="str">
        <v>SHC</v>
      </c>
      <c r="H299">
        <v>6</v>
      </c>
      <c r="I299">
        <v>22.7</v>
      </c>
      <c r="J299">
        <v>125</v>
      </c>
      <c r="K299">
        <v>50</v>
      </c>
      <c r="L299">
        <v>20</v>
      </c>
      <c r="M299">
        <v>2</v>
      </c>
      <c r="O299">
        <f>I299/H299</f>
        <v>3.783333333333333</v>
      </c>
      <c r="P299">
        <f>(2*J299+4*K299+4*L299-4*M299)*1/1000</f>
        <v>0.522</v>
      </c>
    </row>
    <row r="300">
      <c r="C300" t="str">
        <v>C 125x50x2,2</v>
      </c>
      <c r="E300" t="str">
        <v>SHC</v>
      </c>
      <c r="H300">
        <v>6</v>
      </c>
      <c r="I300">
        <v>24.9</v>
      </c>
      <c r="J300">
        <v>125</v>
      </c>
      <c r="K300">
        <v>50</v>
      </c>
      <c r="L300">
        <v>20</v>
      </c>
      <c r="M300">
        <v>2.2</v>
      </c>
      <c r="O300">
        <f>I300/H300</f>
        <v>4.1499999999999995</v>
      </c>
      <c r="P300">
        <f>(2*J300+4*K300+4*L300-4*M300)*1/1000</f>
        <v>0.5212</v>
      </c>
    </row>
    <row r="301">
      <c r="C301" t="str">
        <v>C 125x50x2,7</v>
      </c>
      <c r="E301" t="str">
        <v>SHC</v>
      </c>
      <c r="H301">
        <v>6</v>
      </c>
      <c r="I301">
        <v>30.5</v>
      </c>
      <c r="J301">
        <v>125</v>
      </c>
      <c r="K301">
        <v>50</v>
      </c>
      <c r="L301">
        <v>20</v>
      </c>
      <c r="M301">
        <v>2.7</v>
      </c>
      <c r="O301">
        <f>I301/H301</f>
        <v>5.083333333333333</v>
      </c>
      <c r="P301">
        <f>(2*J301+4*K301+4*L301-4*M301)*1/1000</f>
        <v>0.5192</v>
      </c>
    </row>
    <row r="302">
      <c r="C302" t="str">
        <v>C 125x50x2,8</v>
      </c>
      <c r="E302" t="str">
        <v>SHC</v>
      </c>
      <c r="H302">
        <v>6</v>
      </c>
      <c r="I302">
        <v>31.6</v>
      </c>
      <c r="J302">
        <v>125</v>
      </c>
      <c r="K302">
        <v>50</v>
      </c>
      <c r="L302">
        <v>20</v>
      </c>
      <c r="M302">
        <v>2.8</v>
      </c>
      <c r="O302">
        <f>I302/H302</f>
        <v>5.266666666666667</v>
      </c>
      <c r="P302">
        <f>(2*J302+4*K302+4*L302-4*M302)*1/1000</f>
        <v>0.5187999999999999</v>
      </c>
    </row>
    <row r="303">
      <c r="C303" t="str">
        <v>C 125x50x3</v>
      </c>
      <c r="E303" t="str">
        <v>SHC</v>
      </c>
      <c r="H303">
        <v>6</v>
      </c>
      <c r="I303">
        <v>33.85</v>
      </c>
      <c r="J303">
        <v>125</v>
      </c>
      <c r="K303">
        <v>50</v>
      </c>
      <c r="L303">
        <v>20</v>
      </c>
      <c r="M303">
        <v>3</v>
      </c>
      <c r="O303">
        <f>I303/H303</f>
        <v>5.641666666666667</v>
      </c>
      <c r="P303">
        <f>(2*J303+4*K303+4*L303-4*M303)*1/1000</f>
        <v>0.518</v>
      </c>
    </row>
    <row r="304">
      <c r="C304" t="str">
        <v>C 150x50x1,2</v>
      </c>
      <c r="E304" t="str">
        <v>SHC</v>
      </c>
      <c r="H304">
        <v>6</v>
      </c>
      <c r="I304">
        <v>14.9</v>
      </c>
      <c r="J304">
        <v>150</v>
      </c>
      <c r="K304">
        <v>50</v>
      </c>
      <c r="L304">
        <v>20</v>
      </c>
      <c r="M304">
        <v>1.2</v>
      </c>
      <c r="O304">
        <f>I304/H304</f>
        <v>2.4833333333333334</v>
      </c>
      <c r="P304">
        <f>(2*J304+4*K304+4*L304-4*M304)*1/1000</f>
        <v>0.5752</v>
      </c>
    </row>
    <row r="305">
      <c r="C305" t="str">
        <v>C 150x50x1,4</v>
      </c>
      <c r="E305" t="str">
        <v>SHC</v>
      </c>
      <c r="H305">
        <v>6</v>
      </c>
      <c r="I305">
        <v>17.5</v>
      </c>
      <c r="J305">
        <v>150</v>
      </c>
      <c r="K305">
        <v>50</v>
      </c>
      <c r="L305">
        <v>20</v>
      </c>
      <c r="M305">
        <v>1.4</v>
      </c>
      <c r="O305">
        <f>I305/H305</f>
        <v>2.9166666666666665</v>
      </c>
      <c r="P305">
        <f>(2*J305+4*K305+4*L305-4*M305)*1/1000</f>
        <v>0.5744</v>
      </c>
    </row>
    <row r="306">
      <c r="C306" t="str">
        <v>C 150x50x1,6</v>
      </c>
      <c r="E306" t="str">
        <v>SHC</v>
      </c>
      <c r="H306">
        <v>6</v>
      </c>
      <c r="I306">
        <v>19.9</v>
      </c>
      <c r="J306">
        <v>150</v>
      </c>
      <c r="K306">
        <v>50</v>
      </c>
      <c r="L306">
        <v>20</v>
      </c>
      <c r="M306">
        <v>1.6</v>
      </c>
      <c r="O306">
        <f>I306/H306</f>
        <v>3.3166666666666664</v>
      </c>
      <c r="P306">
        <f>(2*J306+4*K306+4*L306-4*M306)*1/1000</f>
        <v>0.5736</v>
      </c>
    </row>
    <row r="307">
      <c r="C307" t="str">
        <v>C 150x50x1,8</v>
      </c>
      <c r="E307" t="str">
        <v>SHC</v>
      </c>
      <c r="H307">
        <v>6</v>
      </c>
      <c r="I307">
        <v>22.4</v>
      </c>
      <c r="J307">
        <v>150</v>
      </c>
      <c r="K307">
        <v>50</v>
      </c>
      <c r="L307">
        <v>20</v>
      </c>
      <c r="M307">
        <v>1.8</v>
      </c>
      <c r="O307">
        <f>I307/H307</f>
        <v>3.733333333333333</v>
      </c>
      <c r="P307">
        <f>(2*J307+4*K307+4*L307-4*M307)*1/1000</f>
        <v>0.5728</v>
      </c>
    </row>
    <row r="308">
      <c r="C308" t="str">
        <v>C 150x50x2</v>
      </c>
      <c r="E308" t="str">
        <v>SHC</v>
      </c>
      <c r="H308">
        <v>6</v>
      </c>
      <c r="I308">
        <v>24.9</v>
      </c>
      <c r="J308">
        <v>150</v>
      </c>
      <c r="K308">
        <v>50</v>
      </c>
      <c r="L308">
        <v>20</v>
      </c>
      <c r="M308">
        <v>2</v>
      </c>
      <c r="O308">
        <f>I308/H308</f>
        <v>4.1499999999999995</v>
      </c>
      <c r="P308">
        <f>(2*J308+4*K308+4*L308-4*M308)*1/1000</f>
        <v>0.572</v>
      </c>
    </row>
    <row r="309">
      <c r="C309" t="str">
        <v>C 150x50x2,2</v>
      </c>
      <c r="E309" t="str">
        <v>SHC</v>
      </c>
      <c r="H309">
        <v>6</v>
      </c>
      <c r="I309">
        <v>27.3</v>
      </c>
      <c r="J309">
        <v>150</v>
      </c>
      <c r="K309">
        <v>50</v>
      </c>
      <c r="L309">
        <v>20</v>
      </c>
      <c r="M309">
        <v>2.2</v>
      </c>
      <c r="O309">
        <f>I309/H309</f>
        <v>4.55</v>
      </c>
      <c r="P309">
        <f>(2*J309+4*K309+4*L309-4*M309)*1/1000</f>
        <v>0.5712</v>
      </c>
    </row>
    <row r="310">
      <c r="C310" t="str">
        <v>C 150x50x2,7</v>
      </c>
      <c r="E310" t="str">
        <v>SHC</v>
      </c>
      <c r="H310">
        <v>6</v>
      </c>
      <c r="I310">
        <v>33.4</v>
      </c>
      <c r="J310">
        <v>150</v>
      </c>
      <c r="K310">
        <v>50</v>
      </c>
      <c r="L310">
        <v>20</v>
      </c>
      <c r="M310">
        <v>2.7</v>
      </c>
      <c r="O310">
        <f>I310/H310</f>
        <v>5.566666666666666</v>
      </c>
      <c r="P310">
        <f>(2*J310+4*K310+4*L310-4*M310)*1/1000</f>
        <v>0.5692</v>
      </c>
    </row>
    <row r="311">
      <c r="C311" t="str">
        <v>C 150x50x2,8</v>
      </c>
      <c r="E311" t="str">
        <v>SHC</v>
      </c>
      <c r="H311">
        <v>6</v>
      </c>
      <c r="I311">
        <v>34.8</v>
      </c>
      <c r="J311">
        <v>150</v>
      </c>
      <c r="K311">
        <v>50</v>
      </c>
      <c r="L311">
        <v>20</v>
      </c>
      <c r="M311">
        <v>2.8</v>
      </c>
      <c r="O311">
        <f>I311/H311</f>
        <v>5.8</v>
      </c>
      <c r="P311">
        <f>(2*J311+4*K311+4*L311-4*M311)*1/1000</f>
        <v>0.5688</v>
      </c>
    </row>
    <row r="312">
      <c r="C312" t="str">
        <v>C 150x50x3</v>
      </c>
      <c r="E312" t="str">
        <v>SHC</v>
      </c>
      <c r="H312">
        <v>6</v>
      </c>
      <c r="I312">
        <v>37.3</v>
      </c>
      <c r="J312">
        <v>150</v>
      </c>
      <c r="K312">
        <v>50</v>
      </c>
      <c r="L312">
        <v>20</v>
      </c>
      <c r="M312">
        <v>3</v>
      </c>
      <c r="O312">
        <f>I312/H312</f>
        <v>6.216666666666666</v>
      </c>
      <c r="P312">
        <f>(2*J312+4*K312+4*L312-4*M312)*1/1000</f>
        <v>0.568</v>
      </c>
    </row>
    <row r="313">
      <c r="C313" t="str">
        <v>C 150x65x1,6</v>
      </c>
      <c r="E313" t="str">
        <v>SHC</v>
      </c>
      <c r="H313">
        <v>6</v>
      </c>
      <c r="I313">
        <v>23.8</v>
      </c>
      <c r="J313">
        <v>150</v>
      </c>
      <c r="K313">
        <v>65</v>
      </c>
      <c r="L313">
        <v>20</v>
      </c>
      <c r="M313">
        <v>1.6</v>
      </c>
      <c r="O313">
        <f>I313/H313</f>
        <v>3.966666666666667</v>
      </c>
      <c r="P313">
        <f>(2*J313+4*K313+4*L313-4*M313)*1/1000</f>
        <v>0.6336</v>
      </c>
    </row>
    <row r="314">
      <c r="C314" t="str">
        <v>C 150x65x1,8</v>
      </c>
      <c r="H314">
        <v>6</v>
      </c>
      <c r="I314">
        <v>23.8</v>
      </c>
      <c r="J314">
        <v>150</v>
      </c>
      <c r="K314">
        <v>65</v>
      </c>
      <c r="L314">
        <v>20</v>
      </c>
      <c r="M314">
        <v>1.8</v>
      </c>
      <c r="O314">
        <f>I314/H314</f>
        <v>3.966666666666667</v>
      </c>
      <c r="P314">
        <f>(2*J314+4*K314+4*L314-4*M314)*1/1000</f>
        <v>0.6327999999999999</v>
      </c>
    </row>
    <row r="315">
      <c r="C315" t="str">
        <v>C 150x65x2</v>
      </c>
      <c r="E315" t="str">
        <v>SHC</v>
      </c>
      <c r="H315">
        <v>6</v>
      </c>
      <c r="I315">
        <v>27.8</v>
      </c>
      <c r="J315">
        <v>150</v>
      </c>
      <c r="K315">
        <v>65</v>
      </c>
      <c r="L315">
        <v>20</v>
      </c>
      <c r="M315">
        <v>2</v>
      </c>
      <c r="O315">
        <f>I315/H315</f>
        <v>4.633333333333334</v>
      </c>
      <c r="P315">
        <f>(2*J315+4*K315+4*L315-4*M315)*1/1000</f>
        <v>0.632</v>
      </c>
    </row>
    <row r="316">
      <c r="C316" t="str">
        <v>C 150x65x2,2</v>
      </c>
      <c r="E316" t="str">
        <v>SHC</v>
      </c>
      <c r="H316">
        <v>6</v>
      </c>
      <c r="I316">
        <v>30.4</v>
      </c>
      <c r="J316">
        <v>150</v>
      </c>
      <c r="K316">
        <v>65</v>
      </c>
      <c r="L316">
        <v>20</v>
      </c>
      <c r="M316">
        <v>2.2</v>
      </c>
      <c r="O316">
        <f>I316/H316</f>
        <v>5.066666666666666</v>
      </c>
      <c r="P316">
        <f>(2*J316+4*K316+4*L316-4*M316)*1/1000</f>
        <v>0.6312000000000001</v>
      </c>
    </row>
    <row r="317">
      <c r="C317" t="str">
        <v>C 150x65x2,7</v>
      </c>
      <c r="E317" t="str">
        <v>SHC</v>
      </c>
      <c r="H317">
        <v>6</v>
      </c>
      <c r="I317">
        <v>37.2</v>
      </c>
      <c r="J317">
        <v>150</v>
      </c>
      <c r="K317">
        <v>65</v>
      </c>
      <c r="L317">
        <v>20</v>
      </c>
      <c r="M317">
        <v>2.7</v>
      </c>
      <c r="O317">
        <f>I317/H317</f>
        <v>6.2</v>
      </c>
      <c r="P317">
        <f>(2*J317+4*K317+4*L317-4*M317)*1/1000</f>
        <v>0.6292000000000001</v>
      </c>
    </row>
    <row r="318">
      <c r="C318" t="str">
        <v>C 150x65x2,8</v>
      </c>
      <c r="E318" t="str">
        <v>SHC</v>
      </c>
      <c r="H318">
        <v>6</v>
      </c>
      <c r="I318">
        <v>38.6</v>
      </c>
      <c r="J318">
        <v>150</v>
      </c>
      <c r="K318">
        <v>65</v>
      </c>
      <c r="L318">
        <v>20</v>
      </c>
      <c r="M318">
        <v>2.8</v>
      </c>
      <c r="O318">
        <f>I318/H318</f>
        <v>6.433333333333334</v>
      </c>
      <c r="P318">
        <f>(2*J318+4*K318+4*L318-4*M318)*1/1000</f>
        <v>0.6287999999999999</v>
      </c>
    </row>
    <row r="319">
      <c r="C319" t="str">
        <v>C 150x65x3</v>
      </c>
      <c r="E319" t="str">
        <v>SHC</v>
      </c>
      <c r="H319">
        <v>6</v>
      </c>
      <c r="I319">
        <v>41.4</v>
      </c>
      <c r="J319">
        <v>150</v>
      </c>
      <c r="K319">
        <v>65</v>
      </c>
      <c r="L319">
        <v>20</v>
      </c>
      <c r="M319">
        <v>3</v>
      </c>
      <c r="O319">
        <f>I319/H319</f>
        <v>6.8999999999999995</v>
      </c>
      <c r="P319">
        <f>(2*J319+4*K319+4*L319-4*M319)*1/1000</f>
        <v>0.628</v>
      </c>
    </row>
    <row r="320">
      <c r="C320" t="str">
        <v>C 200x75x2</v>
      </c>
      <c r="E320" t="str">
        <v>SHC</v>
      </c>
      <c r="H320">
        <v>6</v>
      </c>
      <c r="I320">
        <v>35.6</v>
      </c>
      <c r="J320">
        <v>200</v>
      </c>
      <c r="K320">
        <v>75</v>
      </c>
      <c r="L320">
        <v>20</v>
      </c>
      <c r="M320">
        <v>2</v>
      </c>
      <c r="O320">
        <f>I320/H320</f>
        <v>5.933333333333334</v>
      </c>
      <c r="P320">
        <f>(2*J320+4*K320+4*L320-4*M320)*1/1000</f>
        <v>0.772</v>
      </c>
    </row>
    <row r="321">
      <c r="C321" t="str">
        <v>C 200x75x3</v>
      </c>
      <c r="E321" t="str">
        <v>SHC</v>
      </c>
      <c r="H321">
        <v>6</v>
      </c>
      <c r="I321">
        <v>53.4</v>
      </c>
      <c r="J321">
        <v>200</v>
      </c>
      <c r="K321">
        <v>75</v>
      </c>
      <c r="L321">
        <v>20</v>
      </c>
      <c r="M321">
        <v>3</v>
      </c>
      <c r="O321">
        <f>I321/H321</f>
        <v>8.9</v>
      </c>
      <c r="P321">
        <f>(2*J321+4*K321+4*L321-4*M321)*1/1000</f>
        <v>0.768</v>
      </c>
    </row>
    <row r="322">
      <c r="B322" t="str">
        <v>U Channel (UNP)</v>
      </c>
      <c r="C322" t="str">
        <v>UNP 50x38x5</v>
      </c>
      <c r="E322" t="str">
        <v>SGJ, SHC</v>
      </c>
      <c r="F322" t="str">
        <v>Taiwan</v>
      </c>
      <c r="H322">
        <v>6</v>
      </c>
      <c r="I322">
        <v>31</v>
      </c>
      <c r="J322">
        <v>50</v>
      </c>
      <c r="K322">
        <v>38</v>
      </c>
      <c r="L322">
        <v>5</v>
      </c>
      <c r="O322">
        <f>I322/H322</f>
        <v>5.166666666666667</v>
      </c>
      <c r="P322">
        <f>(2*J322+4*K322-2*L322)*1/1000</f>
        <v>0.242</v>
      </c>
    </row>
    <row r="323">
      <c r="C323" t="str">
        <v>UNP 65x42x5</v>
      </c>
      <c r="E323" t="str">
        <v>SGJ, SHC</v>
      </c>
      <c r="F323" t="str">
        <v>Taiwan</v>
      </c>
      <c r="H323">
        <v>6</v>
      </c>
      <c r="I323">
        <v>42</v>
      </c>
      <c r="J323">
        <v>65</v>
      </c>
      <c r="K323">
        <v>42</v>
      </c>
      <c r="L323">
        <v>5</v>
      </c>
      <c r="O323">
        <f>I323/H323</f>
        <v>7</v>
      </c>
      <c r="P323">
        <f>(2*J323+4*K323-2*L323)*1/1000</f>
        <v>0.288</v>
      </c>
    </row>
    <row r="324">
      <c r="C324" t="str">
        <v>UNP 75x40x5</v>
      </c>
      <c r="E324" t="str">
        <v>SGJ, SHC</v>
      </c>
      <c r="F324" t="str">
        <v>Taiwan</v>
      </c>
      <c r="H324">
        <v>6</v>
      </c>
      <c r="I324">
        <v>45.52</v>
      </c>
      <c r="J324">
        <v>75</v>
      </c>
      <c r="K324">
        <v>40</v>
      </c>
      <c r="L324">
        <v>5</v>
      </c>
      <c r="O324">
        <f>I324/H324</f>
        <v>7.586666666666667</v>
      </c>
      <c r="P324">
        <f>(2*J324+4*K324-2*L324)*1/1000</f>
        <v>0.3</v>
      </c>
    </row>
    <row r="325">
      <c r="C325" t="str">
        <v>UNP 80x45x5 ks</v>
      </c>
      <c r="D325" t="str">
        <v>KS</v>
      </c>
      <c r="E325" t="str">
        <v>SHC</v>
      </c>
      <c r="H325">
        <v>6</v>
      </c>
      <c r="I325">
        <v>47.76</v>
      </c>
      <c r="J325">
        <v>80</v>
      </c>
      <c r="K325">
        <v>45</v>
      </c>
      <c r="L325">
        <v>5</v>
      </c>
      <c r="O325">
        <f>I325/H325</f>
        <v>7.96</v>
      </c>
      <c r="P325">
        <f>(2*J325+4*K325-2*L325)*1/1000</f>
        <v>0.33</v>
      </c>
    </row>
    <row r="326">
      <c r="C326" t="str">
        <v>UNP 80x45x5</v>
      </c>
      <c r="E326" t="str">
        <v>SGJ</v>
      </c>
      <c r="F326" t="str">
        <v>Taiwan</v>
      </c>
      <c r="H326">
        <v>6</v>
      </c>
      <c r="I326">
        <v>47</v>
      </c>
      <c r="J326">
        <v>80</v>
      </c>
      <c r="K326">
        <v>45</v>
      </c>
      <c r="L326">
        <v>5</v>
      </c>
      <c r="O326">
        <f>I326/H326</f>
        <v>7.833333333333333</v>
      </c>
      <c r="P326">
        <f>(2*J326+4*K326-2*L326)*1/1000</f>
        <v>0.33</v>
      </c>
    </row>
    <row r="327">
      <c r="C327" t="str">
        <v>UNP 80x45x6 ks</v>
      </c>
      <c r="D327" t="str">
        <v>KS</v>
      </c>
      <c r="E327" t="str">
        <v>SHC</v>
      </c>
      <c r="H327">
        <v>6</v>
      </c>
      <c r="I327">
        <v>51.84</v>
      </c>
      <c r="J327">
        <v>80</v>
      </c>
      <c r="K327">
        <v>45</v>
      </c>
      <c r="L327">
        <v>6</v>
      </c>
      <c r="O327">
        <f>I327/H327</f>
        <v>8.64</v>
      </c>
      <c r="P327">
        <f>(2*J327+4*K327-2*L327)*1/1000</f>
        <v>0.328</v>
      </c>
    </row>
    <row r="328">
      <c r="C328" t="str">
        <v>UNP 80x45x6</v>
      </c>
      <c r="E328" t="str">
        <v>SGJ, SHC</v>
      </c>
      <c r="H328">
        <v>6</v>
      </c>
      <c r="I328">
        <v>49</v>
      </c>
      <c r="J328">
        <v>80</v>
      </c>
      <c r="K328">
        <v>45</v>
      </c>
      <c r="L328">
        <v>6</v>
      </c>
      <c r="O328">
        <f>I328/H328</f>
        <v>8.166666666666666</v>
      </c>
      <c r="P328">
        <f>(2*J328+4*K328-2*L328)*1/1000</f>
        <v>0.328</v>
      </c>
    </row>
    <row r="329">
      <c r="C329" t="str">
        <v>UNP 100x50x5</v>
      </c>
      <c r="D329" t="str">
        <v>KS</v>
      </c>
      <c r="E329" t="str">
        <v>SGJ, SHC</v>
      </c>
      <c r="F329" t="str">
        <v>Taiwan</v>
      </c>
      <c r="H329">
        <v>6</v>
      </c>
      <c r="I329">
        <v>56.2</v>
      </c>
      <c r="J329">
        <v>100</v>
      </c>
      <c r="K329">
        <v>50</v>
      </c>
      <c r="L329">
        <v>5</v>
      </c>
      <c r="O329">
        <f>I329/H329</f>
        <v>9.366666666666667</v>
      </c>
      <c r="P329">
        <f>(2*J329+4*K329-2*L329)*1/1000</f>
        <v>0.39</v>
      </c>
    </row>
    <row r="330">
      <c r="C330" t="str">
        <v>UNP 100x50x6</v>
      </c>
      <c r="D330" t="str">
        <v>KS</v>
      </c>
      <c r="E330" t="str">
        <v>SHC</v>
      </c>
      <c r="H330">
        <v>6</v>
      </c>
      <c r="I330">
        <v>63.6</v>
      </c>
      <c r="J330">
        <v>100</v>
      </c>
      <c r="K330">
        <v>50</v>
      </c>
      <c r="L330">
        <v>6</v>
      </c>
      <c r="O330">
        <f>I330/H330</f>
        <v>10.6</v>
      </c>
      <c r="P330">
        <f>(2*J330+4*K330-2*L330)*1/1000</f>
        <v>0.388</v>
      </c>
    </row>
    <row r="331">
      <c r="C331" t="str">
        <v>UNP 120x55x6</v>
      </c>
      <c r="E331" t="str">
        <v>SGJ</v>
      </c>
      <c r="F331" t="str">
        <v>Taiwan</v>
      </c>
      <c r="H331">
        <v>6</v>
      </c>
      <c r="I331">
        <v>75</v>
      </c>
      <c r="J331">
        <v>120</v>
      </c>
      <c r="K331">
        <v>55</v>
      </c>
      <c r="L331">
        <v>6</v>
      </c>
      <c r="O331">
        <f>I331/H331</f>
        <v>12.5</v>
      </c>
      <c r="P331">
        <f>(2*J331+4*K331-2*L331)*1/1000</f>
        <v>0.448</v>
      </c>
    </row>
    <row r="332">
      <c r="C332" t="str">
        <v>UNP 120x55x7</v>
      </c>
      <c r="D332" t="str">
        <v>KS</v>
      </c>
      <c r="E332" t="str">
        <v>SGJ, SHC</v>
      </c>
      <c r="F332" t="str">
        <v>German</v>
      </c>
      <c r="H332">
        <v>6</v>
      </c>
      <c r="I332">
        <v>80.4</v>
      </c>
      <c r="J332">
        <v>120</v>
      </c>
      <c r="K332">
        <v>55</v>
      </c>
      <c r="L332">
        <v>7</v>
      </c>
      <c r="O332">
        <f>I332/H332</f>
        <v>13.4</v>
      </c>
      <c r="P332">
        <f>(2*J332+4*K332-2*L332)*1/1000</f>
        <v>0.446</v>
      </c>
    </row>
    <row r="333">
      <c r="C333" t="str">
        <v>UNP 125x65x6</v>
      </c>
      <c r="E333" t="str">
        <v>SGJ, SHC</v>
      </c>
      <c r="F333" t="str">
        <v>Japan</v>
      </c>
      <c r="H333">
        <v>6</v>
      </c>
      <c r="I333">
        <v>80.4</v>
      </c>
      <c r="J333">
        <v>125</v>
      </c>
      <c r="K333">
        <v>65</v>
      </c>
      <c r="L333">
        <v>6</v>
      </c>
      <c r="O333">
        <f>I333/H333</f>
        <v>13.4</v>
      </c>
      <c r="P333">
        <f>(2*J333+4*K333-2*L333)*1/1000</f>
        <v>0.498</v>
      </c>
    </row>
    <row r="334">
      <c r="C334" t="str">
        <v>UNP 140x60x7</v>
      </c>
      <c r="D334" t="str">
        <v>KS</v>
      </c>
      <c r="E334" t="str">
        <v>SGJ</v>
      </c>
      <c r="F334" t="str">
        <v>German</v>
      </c>
      <c r="H334">
        <v>6</v>
      </c>
      <c r="I334">
        <v>97</v>
      </c>
      <c r="J334">
        <v>140</v>
      </c>
      <c r="K334">
        <v>60</v>
      </c>
      <c r="L334">
        <v>7</v>
      </c>
      <c r="O334">
        <f>I334/H334</f>
        <v>16.166666666666668</v>
      </c>
      <c r="P334">
        <f>(2*J334+4*K334-2*L334)*1/1000</f>
        <v>0.506</v>
      </c>
    </row>
    <row r="335">
      <c r="C335" t="str">
        <v>UNP 150x75x6,5</v>
      </c>
      <c r="E335" t="str">
        <v>SGJ, SHC</v>
      </c>
      <c r="F335" t="str">
        <v>Japan</v>
      </c>
      <c r="H335">
        <v>6</v>
      </c>
      <c r="I335">
        <v>112</v>
      </c>
      <c r="J335">
        <v>150</v>
      </c>
      <c r="K335">
        <v>75</v>
      </c>
      <c r="L335">
        <v>6.5</v>
      </c>
      <c r="O335">
        <f>I335/H335</f>
        <v>18.666666666666668</v>
      </c>
      <c r="P335">
        <f>(2*J335+4*K335-2*L335)*1/1000</f>
        <v>0.587</v>
      </c>
    </row>
    <row r="336">
      <c r="C336" t="str">
        <v>UNP 160x65x7,5</v>
      </c>
      <c r="E336" t="str">
        <v>SGJ</v>
      </c>
      <c r="F336" t="str">
        <v>German</v>
      </c>
      <c r="H336">
        <v>6</v>
      </c>
      <c r="I336">
        <v>115.5</v>
      </c>
      <c r="J336">
        <v>160</v>
      </c>
      <c r="K336">
        <v>65</v>
      </c>
      <c r="L336">
        <v>7.5</v>
      </c>
      <c r="O336">
        <f>I336/H336</f>
        <v>19.25</v>
      </c>
      <c r="P336">
        <f>(2*J336+4*K336-2*L336)*1/1000</f>
        <v>0.565</v>
      </c>
    </row>
    <row r="337">
      <c r="C337" t="str">
        <v>UNP 180x70x8</v>
      </c>
      <c r="E337" t="str">
        <v>SGJ</v>
      </c>
      <c r="F337" t="str">
        <v>German</v>
      </c>
      <c r="H337">
        <v>12</v>
      </c>
      <c r="I337">
        <v>271</v>
      </c>
      <c r="J337">
        <v>180</v>
      </c>
      <c r="K337">
        <v>70</v>
      </c>
      <c r="L337">
        <v>8</v>
      </c>
      <c r="O337">
        <f>I337/H337</f>
        <v>22.583333333333332</v>
      </c>
      <c r="P337">
        <f>(2*J337+4*K337-2*L337)*1/1000</f>
        <v>0.624</v>
      </c>
    </row>
    <row r="338">
      <c r="C338" t="str">
        <v>UNP 180x70x8 J</v>
      </c>
      <c r="E338" t="str">
        <v>SGJ, SHC</v>
      </c>
      <c r="F338" t="str">
        <v>Japan</v>
      </c>
      <c r="H338">
        <v>6</v>
      </c>
      <c r="I338">
        <v>128</v>
      </c>
      <c r="J338">
        <v>180</v>
      </c>
      <c r="K338">
        <v>70</v>
      </c>
      <c r="L338">
        <v>8</v>
      </c>
      <c r="O338">
        <f>I338/H338</f>
        <v>21.333333333333332</v>
      </c>
      <c r="P338">
        <f>(2*J338+4*K338-2*L338)*1/1000</f>
        <v>0.624</v>
      </c>
    </row>
    <row r="339">
      <c r="C339" t="str">
        <v>UNP 180x75x7</v>
      </c>
      <c r="E339" t="str">
        <v>SGJ</v>
      </c>
      <c r="F339" t="str">
        <v>Japan</v>
      </c>
      <c r="H339">
        <v>6</v>
      </c>
      <c r="I339">
        <v>128</v>
      </c>
      <c r="J339">
        <v>180</v>
      </c>
      <c r="K339">
        <v>75</v>
      </c>
      <c r="L339">
        <v>7</v>
      </c>
      <c r="O339">
        <f>I339/H339</f>
        <v>21.333333333333332</v>
      </c>
      <c r="P339">
        <f>(2*J339+4*K339-2*L339)*1/1000</f>
        <v>0.646</v>
      </c>
    </row>
    <row r="340">
      <c r="C340" t="str">
        <v>UNP 200x75x8,5</v>
      </c>
      <c r="E340" t="str">
        <v>SGJ</v>
      </c>
      <c r="F340" t="str">
        <v>German</v>
      </c>
      <c r="H340">
        <v>12</v>
      </c>
      <c r="I340">
        <v>310</v>
      </c>
      <c r="J340">
        <v>200</v>
      </c>
      <c r="K340">
        <v>75</v>
      </c>
      <c r="L340">
        <v>8.5</v>
      </c>
      <c r="O340">
        <f>I340/H340</f>
        <v>25.833333333333332</v>
      </c>
      <c r="P340">
        <f>(2*J340+4*K340-2*L340)*1/1000</f>
        <v>0.683</v>
      </c>
    </row>
    <row r="341">
      <c r="C341" t="str">
        <v>UNP 200x75x8,5 J</v>
      </c>
      <c r="E341" t="str">
        <v>SGJ, SHC</v>
      </c>
      <c r="F341" t="str">
        <v>Japan</v>
      </c>
      <c r="H341">
        <v>6</v>
      </c>
      <c r="I341">
        <v>148</v>
      </c>
      <c r="J341">
        <v>200</v>
      </c>
      <c r="K341">
        <v>75</v>
      </c>
      <c r="L341">
        <v>8.5</v>
      </c>
      <c r="O341">
        <f>I341/H341</f>
        <v>24.666666666666668</v>
      </c>
      <c r="P341">
        <f>(2*J341+4*K341-2*L341)*1/1000</f>
        <v>0.683</v>
      </c>
    </row>
    <row r="342">
      <c r="C342" t="str">
        <v>UNP 200x80x7,5</v>
      </c>
      <c r="E342" t="str">
        <v>SGJ, SHC</v>
      </c>
      <c r="F342" t="str">
        <v>Japan</v>
      </c>
      <c r="H342">
        <v>6</v>
      </c>
      <c r="I342">
        <v>148</v>
      </c>
      <c r="J342">
        <v>200</v>
      </c>
      <c r="K342">
        <v>80</v>
      </c>
      <c r="L342">
        <v>7.5</v>
      </c>
      <c r="O342">
        <f>I342/H342</f>
        <v>24.666666666666668</v>
      </c>
      <c r="P342">
        <f>(2*J342+4*K342-2*L342)*1/1000</f>
        <v>0.705</v>
      </c>
    </row>
    <row r="343">
      <c r="C343" t="str">
        <v>UNP 220x80x9</v>
      </c>
      <c r="E343" t="str">
        <v>SGJ</v>
      </c>
      <c r="F343" t="str">
        <v>German</v>
      </c>
      <c r="H343">
        <v>12</v>
      </c>
      <c r="I343">
        <v>371</v>
      </c>
      <c r="J343">
        <v>220</v>
      </c>
      <c r="K343">
        <v>80</v>
      </c>
      <c r="L343">
        <v>9</v>
      </c>
      <c r="O343">
        <f>I343/H343</f>
        <v>30.916666666666668</v>
      </c>
      <c r="P343">
        <f>(2*J343+4*K343-2*L343)*1/1000</f>
        <v>0.742</v>
      </c>
    </row>
    <row r="344">
      <c r="C344" t="str">
        <v>UNP 240x85x9,5</v>
      </c>
      <c r="E344" t="str">
        <v>SGJ</v>
      </c>
      <c r="F344" t="str">
        <v>German</v>
      </c>
      <c r="H344">
        <v>12</v>
      </c>
      <c r="I344">
        <v>410</v>
      </c>
      <c r="J344">
        <v>240</v>
      </c>
      <c r="K344">
        <v>85</v>
      </c>
      <c r="L344">
        <v>9.5</v>
      </c>
      <c r="O344">
        <f>I344/H344</f>
        <v>34.166666666666664</v>
      </c>
      <c r="P344">
        <f>(2*J344+4*K344-2*L344)*1/1000</f>
        <v>0.801</v>
      </c>
    </row>
    <row r="345">
      <c r="C345" t="str">
        <v>UNP 250x90x9</v>
      </c>
      <c r="E345" t="str">
        <v>SGJ, SHC</v>
      </c>
      <c r="F345" t="str">
        <v>Japan</v>
      </c>
      <c r="H345">
        <v>6</v>
      </c>
      <c r="I345">
        <v>208</v>
      </c>
      <c r="J345">
        <v>250</v>
      </c>
      <c r="K345">
        <v>90</v>
      </c>
      <c r="L345">
        <v>9</v>
      </c>
      <c r="O345">
        <f>I345/H345</f>
        <v>34.666666666666664</v>
      </c>
      <c r="P345">
        <f>(2*J345+4*K345-2*L345)*1/1000</f>
        <v>0.842</v>
      </c>
    </row>
    <row r="346">
      <c r="C346" t="str">
        <v>UNP 260x90x10</v>
      </c>
      <c r="E346" t="str">
        <v>SGJ</v>
      </c>
      <c r="F346" t="str">
        <v>German</v>
      </c>
      <c r="H346">
        <v>12</v>
      </c>
      <c r="I346">
        <v>456</v>
      </c>
      <c r="J346">
        <v>260</v>
      </c>
      <c r="K346">
        <v>90</v>
      </c>
      <c r="L346">
        <v>10</v>
      </c>
      <c r="O346">
        <f>I346/H346</f>
        <v>38</v>
      </c>
      <c r="P346">
        <f>(2*J346+4*K346-2*L346)*1/1000</f>
        <v>0.86</v>
      </c>
    </row>
    <row r="347">
      <c r="C347" t="str">
        <v>UNP 280x95x10</v>
      </c>
      <c r="E347" t="str">
        <v>SGJ</v>
      </c>
      <c r="F347" t="str">
        <v>German</v>
      </c>
      <c r="H347">
        <v>12</v>
      </c>
      <c r="I347">
        <v>500</v>
      </c>
      <c r="J347">
        <v>280</v>
      </c>
      <c r="K347">
        <v>95</v>
      </c>
      <c r="L347">
        <v>10</v>
      </c>
      <c r="O347">
        <f>I347/H347</f>
        <v>41.666666666666664</v>
      </c>
      <c r="P347">
        <f>(2*J347+4*K347-2*L347)*1/1000</f>
        <v>0.92</v>
      </c>
    </row>
    <row r="348">
      <c r="C348" t="str">
        <v>UNP 300x90x9</v>
      </c>
      <c r="E348" t="str">
        <v>SGJ, SHC</v>
      </c>
      <c r="F348" t="str">
        <v>German</v>
      </c>
      <c r="H348">
        <v>6</v>
      </c>
      <c r="I348">
        <v>229</v>
      </c>
      <c r="J348">
        <v>300</v>
      </c>
      <c r="K348">
        <v>90</v>
      </c>
      <c r="L348">
        <v>9</v>
      </c>
      <c r="O348">
        <f>I348/H348</f>
        <v>38.166666666666664</v>
      </c>
      <c r="P348">
        <f>(2*J348+4*K348-2*L348)*1/1000</f>
        <v>0.942</v>
      </c>
    </row>
    <row r="349">
      <c r="C349" t="str">
        <v>UNP 300x100x10</v>
      </c>
      <c r="E349" t="str">
        <v>SGJ</v>
      </c>
      <c r="F349" t="str">
        <v>German</v>
      </c>
      <c r="H349">
        <v>12</v>
      </c>
      <c r="I349">
        <v>556</v>
      </c>
      <c r="J349">
        <v>300</v>
      </c>
      <c r="K349">
        <v>100</v>
      </c>
      <c r="L349">
        <v>10</v>
      </c>
      <c r="O349">
        <f>I349/H349</f>
        <v>46.333333333333336</v>
      </c>
      <c r="P349">
        <f>(2*J349+4*K349-2*L349)*1/1000</f>
        <v>0.98</v>
      </c>
    </row>
    <row r="350">
      <c r="C350" t="str">
        <v>UNP 300x100x10 J</v>
      </c>
      <c r="E350" t="str">
        <v>SGJ, SHC</v>
      </c>
      <c r="F350" t="str">
        <v>Japan</v>
      </c>
      <c r="H350">
        <v>12</v>
      </c>
      <c r="I350">
        <v>526</v>
      </c>
      <c r="J350">
        <v>300</v>
      </c>
      <c r="K350">
        <v>100</v>
      </c>
      <c r="L350">
        <v>10</v>
      </c>
      <c r="O350">
        <f>I350/H350</f>
        <v>43.833333333333336</v>
      </c>
      <c r="P350">
        <f>(2*J350+4*K350-2*L350)*1/1000</f>
        <v>0.98</v>
      </c>
    </row>
    <row r="351">
      <c r="C351" t="str">
        <v>UNP 320x100x14</v>
      </c>
      <c r="E351" t="str">
        <v>SGJ, SHC</v>
      </c>
      <c r="F351" t="str">
        <v>German</v>
      </c>
      <c r="H351">
        <v>12</v>
      </c>
      <c r="I351">
        <v>714</v>
      </c>
      <c r="J351">
        <v>320</v>
      </c>
      <c r="K351">
        <v>100</v>
      </c>
      <c r="L351">
        <v>14</v>
      </c>
      <c r="O351">
        <f>I351/H351</f>
        <v>59.5</v>
      </c>
      <c r="P351">
        <f>(2*J351+4*K351-2*L351)*1/1000</f>
        <v>1.012</v>
      </c>
    </row>
    <row r="352">
      <c r="C352" t="str">
        <v>UNP 350x100x14</v>
      </c>
      <c r="E352" t="str">
        <v>SGJ, SHC</v>
      </c>
      <c r="F352" t="str">
        <v>German</v>
      </c>
      <c r="H352">
        <v>12</v>
      </c>
      <c r="I352">
        <v>727.2</v>
      </c>
      <c r="J352">
        <v>350</v>
      </c>
      <c r="K352">
        <v>100</v>
      </c>
      <c r="L352">
        <v>14</v>
      </c>
      <c r="O352">
        <f>I352/H352</f>
        <v>60.6</v>
      </c>
      <c r="P352">
        <f>(2*J352+4*K352-2*L352)*1/1000</f>
        <v>1.072</v>
      </c>
    </row>
    <row r="353">
      <c r="C353" t="str">
        <v>UNP 380x102x13,5</v>
      </c>
      <c r="E353" t="str">
        <v>SGJ, SHC</v>
      </c>
      <c r="F353" t="str">
        <v>German</v>
      </c>
      <c r="H353">
        <v>12</v>
      </c>
      <c r="I353">
        <v>757.2</v>
      </c>
      <c r="J353">
        <v>380</v>
      </c>
      <c r="K353">
        <v>102</v>
      </c>
      <c r="L353">
        <v>13.5</v>
      </c>
      <c r="O353">
        <f>I353/H353</f>
        <v>63.1</v>
      </c>
      <c r="P353">
        <f>(2*J353+4*K353-2*L353)*1/1000</f>
        <v>1.141</v>
      </c>
    </row>
    <row r="354">
      <c r="C354" t="str">
        <v>UNP 400x110x14</v>
      </c>
      <c r="E354" t="str">
        <v>SGJ, SHC</v>
      </c>
      <c r="F354" t="str">
        <v>German</v>
      </c>
      <c r="H354">
        <v>12</v>
      </c>
      <c r="I354">
        <v>862</v>
      </c>
      <c r="J354">
        <v>400</v>
      </c>
      <c r="K354">
        <v>110</v>
      </c>
      <c r="L354">
        <v>14</v>
      </c>
      <c r="O354">
        <f>I354/H354</f>
        <v>71.83333333333333</v>
      </c>
      <c r="P354">
        <f>(2*J354+4*K354-2*L354)*1/1000</f>
        <v>1.212</v>
      </c>
    </row>
    <row r="355">
      <c r="B355" t="str">
        <v>U Channel (UNP)</v>
      </c>
      <c r="C355" t="str">
        <v>UNP 75x40x5x7</v>
      </c>
      <c r="D355" t="str">
        <v>GG</v>
      </c>
      <c r="H355">
        <v>6</v>
      </c>
      <c r="I355">
        <f>O355*H355</f>
        <v>41.519999999999996</v>
      </c>
      <c r="J355">
        <v>75</v>
      </c>
      <c r="K355">
        <v>40</v>
      </c>
      <c r="L355">
        <v>5</v>
      </c>
      <c r="M355">
        <v>7</v>
      </c>
      <c r="O355">
        <v>6.92</v>
      </c>
      <c r="P355">
        <f>(2*J355+4*K355-2*L355)*1/1000</f>
        <v>0.3</v>
      </c>
    </row>
    <row r="356">
      <c r="C356" t="str">
        <v>UNP 100x50x5x7,5</v>
      </c>
      <c r="D356" t="str">
        <v>GG</v>
      </c>
      <c r="H356">
        <v>6</v>
      </c>
      <c r="I356">
        <f>O356*H356</f>
        <v>56.16</v>
      </c>
      <c r="J356">
        <v>100</v>
      </c>
      <c r="K356">
        <v>50</v>
      </c>
      <c r="L356">
        <v>5</v>
      </c>
      <c r="M356">
        <v>7.5</v>
      </c>
      <c r="O356">
        <v>9.36</v>
      </c>
      <c r="P356">
        <f>(2*J356+4*K356-2*L356)*1/1000</f>
        <v>0.39</v>
      </c>
    </row>
    <row r="357">
      <c r="C357" t="str">
        <v>UNP 125x65x6x8</v>
      </c>
      <c r="D357" t="str">
        <v>GG</v>
      </c>
      <c r="H357">
        <v>6</v>
      </c>
      <c r="I357">
        <f>O357*H357</f>
        <v>80.4</v>
      </c>
      <c r="J357">
        <v>125</v>
      </c>
      <c r="K357">
        <v>65</v>
      </c>
      <c r="L357">
        <v>6</v>
      </c>
      <c r="M357">
        <v>8</v>
      </c>
      <c r="O357">
        <v>13.4</v>
      </c>
      <c r="P357">
        <f>(2*J357+4*K357-2*L357)*1/1000</f>
        <v>0.498</v>
      </c>
    </row>
    <row r="358">
      <c r="C358" t="str">
        <v>UNP 150x75x6,5x10</v>
      </c>
      <c r="D358" t="str">
        <v>GG</v>
      </c>
      <c r="H358">
        <v>6</v>
      </c>
      <c r="I358">
        <f>O358*H358</f>
        <v>111.60000000000001</v>
      </c>
      <c r="J358">
        <v>150</v>
      </c>
      <c r="K358">
        <v>75</v>
      </c>
      <c r="L358">
        <v>6.5</v>
      </c>
      <c r="M358">
        <v>10</v>
      </c>
      <c r="O358">
        <v>18.6</v>
      </c>
      <c r="P358">
        <f>(2*J358+4*K358-2*L358)*1/1000</f>
        <v>0.587</v>
      </c>
    </row>
    <row r="359">
      <c r="C359" t="str">
        <v>UNP 150x75x9x12,5</v>
      </c>
      <c r="D359" t="str">
        <v>GG</v>
      </c>
      <c r="H359">
        <v>6</v>
      </c>
      <c r="I359">
        <f>O359*H359</f>
        <v>144</v>
      </c>
      <c r="J359">
        <v>150</v>
      </c>
      <c r="K359">
        <v>75</v>
      </c>
      <c r="L359">
        <v>9</v>
      </c>
      <c r="M359">
        <v>12.5</v>
      </c>
      <c r="O359">
        <v>24</v>
      </c>
      <c r="P359">
        <f>(2*J359+4*K359-2*L359)*1/1000</f>
        <v>0.582</v>
      </c>
    </row>
    <row r="360">
      <c r="C360" t="str">
        <v>UNP 180x75x7x10,5</v>
      </c>
      <c r="D360" t="str">
        <v>GG</v>
      </c>
      <c r="H360">
        <v>6</v>
      </c>
      <c r="I360">
        <f>O360*H360</f>
        <v>128.39999999999998</v>
      </c>
      <c r="J360">
        <v>180</v>
      </c>
      <c r="K360">
        <v>75</v>
      </c>
      <c r="L360">
        <v>7</v>
      </c>
      <c r="M360">
        <v>10.5</v>
      </c>
      <c r="O360">
        <v>21.4</v>
      </c>
      <c r="P360">
        <f>(2*J360+4*K360-2*L360)*1/1000</f>
        <v>0.646</v>
      </c>
    </row>
    <row r="361">
      <c r="C361" t="str">
        <v>UNP 200x70x7x10</v>
      </c>
      <c r="D361" t="str">
        <v>GG</v>
      </c>
      <c r="H361">
        <v>6</v>
      </c>
      <c r="I361">
        <f>O361*H361</f>
        <v>126.60000000000001</v>
      </c>
      <c r="J361">
        <v>200</v>
      </c>
      <c r="K361">
        <v>70</v>
      </c>
      <c r="L361">
        <v>7</v>
      </c>
      <c r="M361">
        <v>10</v>
      </c>
      <c r="O361">
        <v>21.1</v>
      </c>
      <c r="P361">
        <f>(2*J361+4*K361-2*L361)*1/1000</f>
        <v>0.666</v>
      </c>
    </row>
    <row r="362">
      <c r="C362" t="str">
        <v>UNP 200x80x7,5x11</v>
      </c>
      <c r="D362" t="str">
        <v>GG</v>
      </c>
      <c r="H362">
        <v>6</v>
      </c>
      <c r="I362">
        <f>O362*H362</f>
        <v>147.60000000000002</v>
      </c>
      <c r="J362">
        <v>200</v>
      </c>
      <c r="K362">
        <v>80</v>
      </c>
      <c r="L362">
        <v>7.5</v>
      </c>
      <c r="M362">
        <v>11</v>
      </c>
      <c r="O362">
        <v>24.6</v>
      </c>
      <c r="P362">
        <f>(2*J362+4*K362-2*L362)*1/1000</f>
        <v>0.705</v>
      </c>
    </row>
    <row r="363">
      <c r="C363" t="str">
        <v>UNP 200x90x8x13,5</v>
      </c>
      <c r="D363" t="str">
        <v>GG</v>
      </c>
      <c r="H363">
        <v>6</v>
      </c>
      <c r="I363">
        <f>O363*H363</f>
        <v>181.8</v>
      </c>
      <c r="J363">
        <v>200</v>
      </c>
      <c r="K363">
        <v>90</v>
      </c>
      <c r="L363">
        <v>8</v>
      </c>
      <c r="M363">
        <v>13.5</v>
      </c>
      <c r="O363">
        <v>30.3</v>
      </c>
      <c r="P363">
        <f>(2*J363+4*K363-2*L363)*1/1000</f>
        <v>0.744</v>
      </c>
    </row>
    <row r="364">
      <c r="C364" t="str">
        <v>UNP 250x90x9x13</v>
      </c>
      <c r="D364" t="str">
        <v>GG</v>
      </c>
      <c r="H364">
        <v>6</v>
      </c>
      <c r="I364">
        <f>O364*H364</f>
        <v>264.42</v>
      </c>
      <c r="J364">
        <v>250</v>
      </c>
      <c r="K364">
        <v>90</v>
      </c>
      <c r="L364">
        <v>9</v>
      </c>
      <c r="M364">
        <v>13</v>
      </c>
      <c r="O364">
        <v>44.07</v>
      </c>
      <c r="P364">
        <f>(2*J364+4*K364-2*L364)*1/1000</f>
        <v>0.842</v>
      </c>
    </row>
    <row r="365">
      <c r="C365" t="str">
        <v>UNP 250x90x11x14,5</v>
      </c>
      <c r="D365" t="str">
        <v>GG</v>
      </c>
      <c r="H365">
        <v>6</v>
      </c>
      <c r="I365">
        <f>O365*H365</f>
        <v>241.20000000000002</v>
      </c>
      <c r="J365">
        <v>250</v>
      </c>
      <c r="K365">
        <v>90</v>
      </c>
      <c r="L365">
        <v>11</v>
      </c>
      <c r="M365">
        <v>14.5</v>
      </c>
      <c r="O365">
        <v>40.2</v>
      </c>
      <c r="P365">
        <f>(2*J365+4*K365-2*L365)*1/1000</f>
        <v>0.838</v>
      </c>
    </row>
    <row r="366">
      <c r="C366" t="str">
        <v>UNP 300x90x10x15,5</v>
      </c>
      <c r="D366" t="str">
        <v>GG</v>
      </c>
      <c r="H366">
        <v>6</v>
      </c>
      <c r="I366">
        <f>O366*H366</f>
        <v>262.79999999999995</v>
      </c>
      <c r="J366">
        <v>300</v>
      </c>
      <c r="K366">
        <v>90</v>
      </c>
      <c r="L366">
        <v>10</v>
      </c>
      <c r="M366">
        <v>15.5</v>
      </c>
      <c r="O366">
        <v>43.8</v>
      </c>
      <c r="P366">
        <f>(2*J366+4*K366-2*L366)*1/1000</f>
        <v>0.94</v>
      </c>
    </row>
    <row r="367">
      <c r="C367" t="str">
        <v>UNP 300x90x12x16</v>
      </c>
      <c r="D367" t="str">
        <v>GG</v>
      </c>
      <c r="H367">
        <v>6</v>
      </c>
      <c r="I367">
        <f>O367*H367</f>
        <v>291.6</v>
      </c>
      <c r="J367">
        <v>300</v>
      </c>
      <c r="K367">
        <v>90</v>
      </c>
      <c r="L367">
        <v>12</v>
      </c>
      <c r="M367">
        <v>16</v>
      </c>
      <c r="O367">
        <v>48.6</v>
      </c>
      <c r="P367">
        <f>(2*J367+4*K367-2*L367)*1/1000</f>
        <v>0.936</v>
      </c>
    </row>
    <row r="368">
      <c r="C368" t="str">
        <v>UNP 380x100x10,5x16</v>
      </c>
      <c r="D368" t="str">
        <v>GG</v>
      </c>
      <c r="H368">
        <v>6</v>
      </c>
      <c r="I368">
        <f>O368*H368</f>
        <v>327</v>
      </c>
      <c r="J368">
        <v>380</v>
      </c>
      <c r="K368">
        <v>100</v>
      </c>
      <c r="L368">
        <v>10.5</v>
      </c>
      <c r="M368">
        <v>16</v>
      </c>
      <c r="O368">
        <v>54.5</v>
      </c>
      <c r="P368">
        <f>(2*J368+4*K368-2*L368)*1/1000</f>
        <v>1.139</v>
      </c>
    </row>
    <row r="369">
      <c r="C369" t="str">
        <v>UNP 380x100x13x16,5</v>
      </c>
      <c r="D369" t="str">
        <v>GG</v>
      </c>
      <c r="H369">
        <v>6</v>
      </c>
      <c r="I369">
        <f>O369*H369</f>
        <v>372</v>
      </c>
      <c r="J369">
        <v>380</v>
      </c>
      <c r="K369">
        <v>100</v>
      </c>
      <c r="L369">
        <v>13</v>
      </c>
      <c r="M369">
        <v>16.5</v>
      </c>
      <c r="O369">
        <v>62</v>
      </c>
      <c r="P369">
        <f>(2*J369+4*K369-2*L369)*1/1000</f>
        <v>1.134</v>
      </c>
    </row>
    <row r="370">
      <c r="C370" t="str">
        <v>UNP 380x100x13x20</v>
      </c>
      <c r="D370" t="str">
        <v>GG</v>
      </c>
      <c r="H370">
        <v>6</v>
      </c>
      <c r="I370">
        <f>O370*H370</f>
        <v>403.79999999999995</v>
      </c>
      <c r="J370">
        <v>380</v>
      </c>
      <c r="K370">
        <v>100</v>
      </c>
      <c r="L370">
        <v>13</v>
      </c>
      <c r="M370">
        <v>20</v>
      </c>
      <c r="O370">
        <v>67.3</v>
      </c>
      <c r="P370">
        <f>(2*J370+4*K370-2*L370)*1/1000</f>
        <v>1.134</v>
      </c>
    </row>
    <row r="371">
      <c r="B371" t="str">
        <v>Square Hollow (HL)</v>
      </c>
      <c r="C371" t="str">
        <v>HL 12,5x12,5x0,9</v>
      </c>
      <c r="E371" t="str">
        <v>SGJ</v>
      </c>
      <c r="H371">
        <v>6</v>
      </c>
      <c r="I371">
        <f>O371*H371</f>
        <v>1.992</v>
      </c>
      <c r="J371">
        <v>12.5</v>
      </c>
      <c r="K371">
        <v>12.5</v>
      </c>
      <c r="L371">
        <v>0.9</v>
      </c>
      <c r="O371">
        <v>0.332</v>
      </c>
      <c r="P371">
        <f>(4*J371)*1/1000</f>
        <v>0.05</v>
      </c>
    </row>
    <row r="372">
      <c r="C372" t="str">
        <v>HL 15x15x0,9</v>
      </c>
      <c r="E372" t="str">
        <v>SGJ</v>
      </c>
      <c r="H372">
        <v>6</v>
      </c>
      <c r="I372">
        <f>O372*H372</f>
        <v>2.418</v>
      </c>
      <c r="J372">
        <v>15</v>
      </c>
      <c r="K372">
        <v>15</v>
      </c>
      <c r="L372">
        <v>0.9</v>
      </c>
      <c r="O372">
        <v>0.403</v>
      </c>
      <c r="P372">
        <f>(4*J372)*1/1000</f>
        <v>0.06</v>
      </c>
    </row>
    <row r="373">
      <c r="C373" t="str">
        <v>HL 20x20x0,9</v>
      </c>
      <c r="E373" t="str">
        <v>SGJ</v>
      </c>
      <c r="H373">
        <v>6</v>
      </c>
      <c r="I373">
        <f>O373*H373</f>
        <v>3.2640000000000002</v>
      </c>
      <c r="J373">
        <v>20</v>
      </c>
      <c r="K373">
        <v>20</v>
      </c>
      <c r="L373">
        <v>0.9</v>
      </c>
      <c r="O373">
        <v>0.544</v>
      </c>
      <c r="P373">
        <f>(4*J373)*1/1000</f>
        <v>0.08</v>
      </c>
    </row>
    <row r="374">
      <c r="C374" t="str">
        <v>HL 25x25x1</v>
      </c>
      <c r="E374" t="str">
        <v>SGJ</v>
      </c>
      <c r="H374">
        <v>6</v>
      </c>
      <c r="I374">
        <f>O374*H374</f>
        <v>4.554</v>
      </c>
      <c r="J374">
        <v>25</v>
      </c>
      <c r="K374">
        <v>25</v>
      </c>
      <c r="L374">
        <v>1</v>
      </c>
      <c r="O374">
        <v>0.759</v>
      </c>
      <c r="P374">
        <f>(4*J374)*1/1000</f>
        <v>0.1</v>
      </c>
    </row>
    <row r="375">
      <c r="C375" t="str">
        <v>HL 30x30x1</v>
      </c>
      <c r="E375" t="str">
        <v>SGJ</v>
      </c>
      <c r="H375">
        <v>6</v>
      </c>
      <c r="I375">
        <f>O375*H375</f>
        <v>5.49</v>
      </c>
      <c r="J375">
        <v>30</v>
      </c>
      <c r="K375">
        <v>30</v>
      </c>
      <c r="L375">
        <v>1</v>
      </c>
      <c r="O375">
        <v>0.915</v>
      </c>
      <c r="P375">
        <f>(4*J375)*1/1000</f>
        <v>0.12</v>
      </c>
    </row>
    <row r="376">
      <c r="C376" t="str">
        <v>HL 40x40x1,2</v>
      </c>
      <c r="E376" t="str">
        <v>SGJ</v>
      </c>
      <c r="H376">
        <v>6</v>
      </c>
      <c r="I376">
        <f>O376*H376</f>
        <v>8.808</v>
      </c>
      <c r="J376">
        <v>40</v>
      </c>
      <c r="K376">
        <v>40</v>
      </c>
      <c r="L376">
        <v>1.2</v>
      </c>
      <c r="O376">
        <v>1.468</v>
      </c>
      <c r="P376">
        <f>(4*J376)*1/1000</f>
        <v>0.16</v>
      </c>
    </row>
    <row r="377">
      <c r="C377" t="str">
        <v>HL 40x40x1,6</v>
      </c>
      <c r="D377" t="str">
        <v>ALIM, SPINDO</v>
      </c>
      <c r="H377">
        <v>6</v>
      </c>
      <c r="I377">
        <f>O377*H377</f>
        <v>11.28</v>
      </c>
      <c r="J377">
        <v>40</v>
      </c>
      <c r="K377">
        <v>40</v>
      </c>
      <c r="L377">
        <v>1.6</v>
      </c>
      <c r="O377">
        <v>1.88</v>
      </c>
      <c r="P377">
        <f>(4*J377)*1/1000</f>
        <v>0.16</v>
      </c>
    </row>
    <row r="378">
      <c r="C378" t="str">
        <v>HL 40x40x2,3</v>
      </c>
      <c r="D378" t="str">
        <v>ALIM, SPINDO</v>
      </c>
      <c r="H378">
        <v>6</v>
      </c>
      <c r="I378">
        <f>O378*H378</f>
        <v>15.72</v>
      </c>
      <c r="J378">
        <v>40</v>
      </c>
      <c r="K378">
        <v>40</v>
      </c>
      <c r="L378">
        <v>2.3</v>
      </c>
      <c r="O378">
        <v>2.62</v>
      </c>
      <c r="P378">
        <f>(4*J378)*1/1000</f>
        <v>0.16</v>
      </c>
    </row>
    <row r="379">
      <c r="C379" t="str">
        <v>HL 40x40x3,2</v>
      </c>
      <c r="D379" t="str">
        <v>SPINDO</v>
      </c>
      <c r="H379">
        <v>6</v>
      </c>
      <c r="I379">
        <f>O379*H379</f>
        <v>22.799999999999997</v>
      </c>
      <c r="J379">
        <v>40</v>
      </c>
      <c r="K379">
        <v>40</v>
      </c>
      <c r="L379">
        <v>3.2</v>
      </c>
      <c r="O379">
        <v>3.8</v>
      </c>
      <c r="P379">
        <f>(4*J379)*1/1000</f>
        <v>0.16</v>
      </c>
    </row>
    <row r="380">
      <c r="C380" t="str">
        <v>HL 50x50x1,6</v>
      </c>
      <c r="D380" t="str">
        <v>ALIM, SPINDO</v>
      </c>
      <c r="H380">
        <v>6</v>
      </c>
      <c r="I380">
        <f>O380*H380</f>
        <v>14.28</v>
      </c>
      <c r="J380">
        <v>50</v>
      </c>
      <c r="K380">
        <v>50</v>
      </c>
      <c r="L380">
        <v>1.6</v>
      </c>
      <c r="O380">
        <v>2.38</v>
      </c>
      <c r="P380">
        <f>(4*J380)*1/1000</f>
        <v>0.2</v>
      </c>
    </row>
    <row r="381">
      <c r="C381" t="str">
        <v>HL 50x50x2,3</v>
      </c>
      <c r="D381" t="str">
        <v>ALIM, SPINDO</v>
      </c>
      <c r="H381">
        <v>6</v>
      </c>
      <c r="I381">
        <f>O381*H381</f>
        <v>20.04</v>
      </c>
      <c r="J381">
        <v>50</v>
      </c>
      <c r="K381">
        <v>50</v>
      </c>
      <c r="L381">
        <v>2.3</v>
      </c>
      <c r="O381">
        <v>3.34</v>
      </c>
      <c r="P381">
        <f>(4*J381)*1/1000</f>
        <v>0.2</v>
      </c>
    </row>
    <row r="382">
      <c r="C382" t="str">
        <v>HL 50x50x3,2</v>
      </c>
      <c r="D382" t="str">
        <v>ALIM, SPINDO</v>
      </c>
      <c r="H382">
        <v>6</v>
      </c>
      <c r="I382">
        <f>O382*H382</f>
        <v>27</v>
      </c>
      <c r="J382">
        <v>50</v>
      </c>
      <c r="K382">
        <v>50</v>
      </c>
      <c r="L382">
        <v>3.2</v>
      </c>
      <c r="O382">
        <v>4.5</v>
      </c>
      <c r="P382">
        <f>(4*J382)*1/1000</f>
        <v>0.2</v>
      </c>
    </row>
    <row r="383">
      <c r="C383" t="str">
        <v>HL 60x60x1,6</v>
      </c>
      <c r="D383" t="str">
        <v>ALIM, SPINDO</v>
      </c>
      <c r="H383">
        <v>6</v>
      </c>
      <c r="I383">
        <f>O383*H383</f>
        <v>17.28</v>
      </c>
      <c r="J383">
        <v>60</v>
      </c>
      <c r="K383">
        <v>60</v>
      </c>
      <c r="L383">
        <v>1.6</v>
      </c>
      <c r="O383">
        <v>2.88</v>
      </c>
      <c r="P383">
        <f>(4*J383)*1/1000</f>
        <v>0.24</v>
      </c>
    </row>
    <row r="384">
      <c r="C384" t="str">
        <v>HL 60x60x2,3</v>
      </c>
      <c r="D384" t="str">
        <v>ALIM, SPINDO</v>
      </c>
      <c r="H384">
        <v>6</v>
      </c>
      <c r="I384">
        <f>O384*H384</f>
        <v>24.36</v>
      </c>
      <c r="J384">
        <v>60</v>
      </c>
      <c r="K384">
        <v>60</v>
      </c>
      <c r="L384">
        <v>2.3</v>
      </c>
      <c r="O384">
        <v>4.06</v>
      </c>
      <c r="P384">
        <f>(4*J384)*1/1000</f>
        <v>0.24</v>
      </c>
    </row>
    <row r="385">
      <c r="C385" t="str">
        <v>HL 60x60x3,2</v>
      </c>
      <c r="D385" t="str">
        <v>ALIM, SPINDO</v>
      </c>
      <c r="H385">
        <v>6</v>
      </c>
      <c r="I385">
        <f>O385*H385</f>
        <v>33</v>
      </c>
      <c r="J385">
        <v>60</v>
      </c>
      <c r="K385">
        <v>60</v>
      </c>
      <c r="L385">
        <v>3.2</v>
      </c>
      <c r="O385">
        <v>5.5</v>
      </c>
      <c r="P385">
        <f>(4*J385)*1/1000</f>
        <v>0.24</v>
      </c>
    </row>
    <row r="386">
      <c r="C386" t="str">
        <v>HL 70x70x2</v>
      </c>
      <c r="D386" t="str">
        <v>GG</v>
      </c>
      <c r="H386">
        <v>6</v>
      </c>
      <c r="I386">
        <f>O386*H386</f>
        <v>25.14</v>
      </c>
      <c r="J386">
        <v>70</v>
      </c>
      <c r="K386">
        <v>70</v>
      </c>
      <c r="L386">
        <v>2</v>
      </c>
      <c r="O386">
        <v>4.19</v>
      </c>
      <c r="P386">
        <f>(4*J386)*1/1000</f>
        <v>0.28</v>
      </c>
    </row>
    <row r="387">
      <c r="C387" t="str">
        <v>HL 70x70x2,5</v>
      </c>
      <c r="D387" t="str">
        <v>GG</v>
      </c>
      <c r="F387">
        <f>SUM(F361:F386)</f>
        <v>0</v>
      </c>
      <c r="H387">
        <v>6</v>
      </c>
      <c r="I387">
        <f>O387*H387</f>
        <v>31.02</v>
      </c>
      <c r="J387">
        <v>70</v>
      </c>
      <c r="K387">
        <v>70</v>
      </c>
      <c r="L387">
        <v>2.5</v>
      </c>
      <c r="O387">
        <v>5.17</v>
      </c>
      <c r="P387">
        <f>(4*J387)*1/1000</f>
        <v>0.28</v>
      </c>
    </row>
    <row r="388">
      <c r="C388" t="str">
        <v>HL 70x70x3</v>
      </c>
      <c r="D388" t="str">
        <v>GG</v>
      </c>
      <c r="H388">
        <v>6</v>
      </c>
      <c r="I388">
        <f>O388*H388</f>
        <v>36.78</v>
      </c>
      <c r="J388">
        <v>70</v>
      </c>
      <c r="K388">
        <v>70</v>
      </c>
      <c r="L388">
        <v>3</v>
      </c>
      <c r="O388">
        <v>6.13</v>
      </c>
      <c r="P388">
        <f>(4*J388)*1/1000</f>
        <v>0.28</v>
      </c>
    </row>
    <row r="389">
      <c r="C389" t="str">
        <v>HL 70x70x3,5</v>
      </c>
      <c r="D389" t="str">
        <v>GG</v>
      </c>
      <c r="H389">
        <v>6</v>
      </c>
      <c r="I389">
        <f>O389*H389</f>
        <v>42.36</v>
      </c>
      <c r="J389">
        <v>70</v>
      </c>
      <c r="K389">
        <v>70</v>
      </c>
      <c r="L389">
        <v>3.5</v>
      </c>
      <c r="O389">
        <v>7.06</v>
      </c>
      <c r="P389">
        <f>(4*J389)*1/1000</f>
        <v>0.28</v>
      </c>
    </row>
    <row r="390">
      <c r="C390" t="str">
        <v>HL 70x70x4</v>
      </c>
      <c r="D390" t="str">
        <v>GG</v>
      </c>
      <c r="H390">
        <v>6</v>
      </c>
      <c r="I390">
        <f>O390*H390</f>
        <v>47.82</v>
      </c>
      <c r="J390">
        <v>70</v>
      </c>
      <c r="K390">
        <v>70</v>
      </c>
      <c r="L390">
        <v>4</v>
      </c>
      <c r="O390">
        <v>7.97</v>
      </c>
      <c r="P390">
        <f>(4*J390)*1/1000</f>
        <v>0.28</v>
      </c>
    </row>
    <row r="391">
      <c r="C391" t="str">
        <v>HL 70x70x4,5</v>
      </c>
      <c r="D391" t="str">
        <v>GG</v>
      </c>
      <c r="H391">
        <v>6</v>
      </c>
      <c r="I391">
        <f>O391*H391</f>
        <v>53.099999999999994</v>
      </c>
      <c r="J391">
        <v>70</v>
      </c>
      <c r="K391">
        <v>70</v>
      </c>
      <c r="L391">
        <v>4.5</v>
      </c>
      <c r="O391">
        <v>8.85</v>
      </c>
      <c r="P391">
        <f>(4*J391)*1/1000</f>
        <v>0.28</v>
      </c>
    </row>
    <row r="392">
      <c r="C392" t="str">
        <v>HL 70x70x5</v>
      </c>
      <c r="D392" t="str">
        <v>GG</v>
      </c>
      <c r="H392">
        <v>6</v>
      </c>
      <c r="I392">
        <f>O392*H392</f>
        <v>58.199999999999996</v>
      </c>
      <c r="J392">
        <v>70</v>
      </c>
      <c r="K392">
        <v>70</v>
      </c>
      <c r="L392">
        <v>5</v>
      </c>
      <c r="O392">
        <v>9.7</v>
      </c>
      <c r="P392">
        <f>(4*J392)*1/1000</f>
        <v>0.28</v>
      </c>
    </row>
    <row r="393">
      <c r="C393" t="str">
        <v>HL 70x70x5,5</v>
      </c>
      <c r="D393" t="str">
        <v>GG</v>
      </c>
      <c r="H393">
        <v>6</v>
      </c>
      <c r="I393">
        <f>O393*H393</f>
        <v>63.17999999999999</v>
      </c>
      <c r="J393">
        <v>70</v>
      </c>
      <c r="K393">
        <v>70</v>
      </c>
      <c r="L393">
        <v>5.5</v>
      </c>
      <c r="O393">
        <v>10.53</v>
      </c>
      <c r="P393">
        <f>(4*J393)*1/1000</f>
        <v>0.28</v>
      </c>
    </row>
    <row r="394">
      <c r="C394" t="str">
        <v>HL 75x75x1,6</v>
      </c>
      <c r="D394" t="str">
        <v>ALIM, SPINDO</v>
      </c>
      <c r="H394">
        <v>6</v>
      </c>
      <c r="I394">
        <f>O394*H394</f>
        <v>21.84</v>
      </c>
      <c r="J394">
        <v>75</v>
      </c>
      <c r="K394">
        <v>75</v>
      </c>
      <c r="L394">
        <v>1.6</v>
      </c>
      <c r="O394">
        <v>3.64</v>
      </c>
      <c r="P394">
        <f>(4*J394)*1/1000</f>
        <v>0.3</v>
      </c>
    </row>
    <row r="395">
      <c r="C395" t="str">
        <v>HL 75x75x2,3</v>
      </c>
      <c r="D395" t="str">
        <v>ALIM, SPINDO</v>
      </c>
      <c r="H395">
        <v>6</v>
      </c>
      <c r="I395">
        <f>O395*H395</f>
        <v>30.839999999999996</v>
      </c>
      <c r="J395">
        <v>75</v>
      </c>
      <c r="K395">
        <v>75</v>
      </c>
      <c r="L395">
        <v>2.3</v>
      </c>
      <c r="O395">
        <v>5.14</v>
      </c>
      <c r="P395">
        <f>(4*J395)*1/1000</f>
        <v>0.3</v>
      </c>
    </row>
    <row r="396">
      <c r="C396" t="str">
        <v>HL 75x75x3,2</v>
      </c>
      <c r="D396" t="str">
        <v>ALIM, SPINDO</v>
      </c>
      <c r="H396">
        <v>6</v>
      </c>
      <c r="I396">
        <f>O396*H396</f>
        <v>42.06</v>
      </c>
      <c r="J396">
        <v>75</v>
      </c>
      <c r="K396">
        <v>75</v>
      </c>
      <c r="L396">
        <v>3.2</v>
      </c>
      <c r="O396">
        <v>7.01</v>
      </c>
      <c r="P396">
        <f>(4*J396)*1/1000</f>
        <v>0.3</v>
      </c>
    </row>
    <row r="397">
      <c r="C397" t="str">
        <v>HL 90x90x2</v>
      </c>
      <c r="D397" t="str">
        <v>GG</v>
      </c>
      <c r="H397">
        <v>6</v>
      </c>
      <c r="I397">
        <f>O397*H397</f>
        <v>32.7</v>
      </c>
      <c r="J397">
        <v>90</v>
      </c>
      <c r="K397">
        <v>90</v>
      </c>
      <c r="L397">
        <v>2</v>
      </c>
      <c r="O397">
        <v>5.45</v>
      </c>
      <c r="P397">
        <f>(4*J397)*1/1000</f>
        <v>0.36</v>
      </c>
    </row>
    <row r="398">
      <c r="C398" t="str">
        <v>HL 90x90x2,3</v>
      </c>
      <c r="D398" t="str">
        <v>SPINDO</v>
      </c>
      <c r="G398" t="str">
        <v>MO</v>
      </c>
      <c r="H398">
        <v>6</v>
      </c>
      <c r="I398">
        <f>O398*H398</f>
        <v>37.38</v>
      </c>
      <c r="J398">
        <v>90</v>
      </c>
      <c r="K398">
        <v>90</v>
      </c>
      <c r="L398">
        <v>2.3</v>
      </c>
      <c r="O398">
        <v>6.23</v>
      </c>
      <c r="P398">
        <f>(4*J398)*1/1000</f>
        <v>0.36</v>
      </c>
    </row>
    <row r="399">
      <c r="C399" t="str">
        <v>HL 90x90x2,5</v>
      </c>
      <c r="D399" t="str">
        <v>GG</v>
      </c>
      <c r="H399">
        <v>6</v>
      </c>
      <c r="I399">
        <f>O399*H399</f>
        <v>40.44</v>
      </c>
      <c r="J399">
        <v>90</v>
      </c>
      <c r="K399">
        <v>90</v>
      </c>
      <c r="L399">
        <v>2.5</v>
      </c>
      <c r="O399">
        <v>6.74</v>
      </c>
      <c r="P399">
        <f>(4*J399)*1/1000</f>
        <v>0.36</v>
      </c>
    </row>
    <row r="400">
      <c r="C400" t="str">
        <v>HL 90x90x3</v>
      </c>
      <c r="D400" t="str">
        <v>GG</v>
      </c>
      <c r="H400">
        <v>6</v>
      </c>
      <c r="I400">
        <f>O400*H400</f>
        <v>48.06</v>
      </c>
      <c r="J400">
        <v>90</v>
      </c>
      <c r="K400">
        <v>90</v>
      </c>
      <c r="L400">
        <v>3</v>
      </c>
      <c r="O400">
        <v>8.01</v>
      </c>
      <c r="P400">
        <f>(4*J400)*1/1000</f>
        <v>0.36</v>
      </c>
    </row>
    <row r="401">
      <c r="C401" t="str">
        <v>HL 90x90x3,2</v>
      </c>
      <c r="D401" t="str">
        <v>SPINDO</v>
      </c>
      <c r="G401" t="str">
        <v>MO</v>
      </c>
      <c r="H401">
        <v>6</v>
      </c>
      <c r="I401">
        <f>O401*H401</f>
        <v>51.06</v>
      </c>
      <c r="J401">
        <v>90</v>
      </c>
      <c r="K401">
        <v>90</v>
      </c>
      <c r="L401">
        <v>3.2</v>
      </c>
      <c r="O401">
        <v>8.51</v>
      </c>
      <c r="P401">
        <f>(4*J401)*1/1000</f>
        <v>0.36</v>
      </c>
    </row>
    <row r="402">
      <c r="C402" t="str">
        <v>HL 90x90x3,5</v>
      </c>
      <c r="D402" t="str">
        <v>GG</v>
      </c>
      <c r="H402">
        <v>6</v>
      </c>
      <c r="I402">
        <f>O402*H402</f>
        <v>55.56</v>
      </c>
      <c r="J402">
        <v>90</v>
      </c>
      <c r="K402">
        <v>90</v>
      </c>
      <c r="L402">
        <v>3.5</v>
      </c>
      <c r="O402">
        <v>9.26</v>
      </c>
      <c r="P402">
        <f>(4*J402)*1/1000</f>
        <v>0.36</v>
      </c>
    </row>
    <row r="403">
      <c r="C403" t="str">
        <v>HL 90x90x4</v>
      </c>
      <c r="D403" t="str">
        <v>GG</v>
      </c>
      <c r="H403">
        <v>6</v>
      </c>
      <c r="I403">
        <f>O403*H403</f>
        <v>62.88</v>
      </c>
      <c r="J403">
        <v>90</v>
      </c>
      <c r="K403">
        <v>90</v>
      </c>
      <c r="L403">
        <v>4</v>
      </c>
      <c r="O403">
        <v>10.48</v>
      </c>
      <c r="P403">
        <f>(4*J403)*1/1000</f>
        <v>0.36</v>
      </c>
    </row>
    <row r="404">
      <c r="C404" t="str">
        <v>HL 90x90x4,5</v>
      </c>
      <c r="D404" t="str">
        <v>GG</v>
      </c>
      <c r="H404">
        <v>6</v>
      </c>
      <c r="I404">
        <f>O404*H404</f>
        <v>70.02</v>
      </c>
      <c r="J404">
        <v>90</v>
      </c>
      <c r="K404">
        <v>90</v>
      </c>
      <c r="L404">
        <v>4.5</v>
      </c>
      <c r="O404">
        <v>11.67</v>
      </c>
      <c r="P404">
        <f>(4*J404)*1/1000</f>
        <v>0.36</v>
      </c>
    </row>
    <row r="405">
      <c r="C405" t="str">
        <v>HL 90x90x5</v>
      </c>
      <c r="D405" t="str">
        <v>GG</v>
      </c>
      <c r="H405">
        <v>6</v>
      </c>
      <c r="I405">
        <f>O405*H405</f>
        <v>77.03999999999999</v>
      </c>
      <c r="J405">
        <v>90</v>
      </c>
      <c r="K405">
        <v>90</v>
      </c>
      <c r="L405">
        <v>5</v>
      </c>
      <c r="O405">
        <v>12.84</v>
      </c>
      <c r="P405">
        <f>(4*J405)*1/1000</f>
        <v>0.36</v>
      </c>
    </row>
    <row r="406">
      <c r="C406" t="str">
        <v>HL 90x90x5,5</v>
      </c>
      <c r="D406" t="str">
        <v>GG</v>
      </c>
      <c r="H406">
        <v>6</v>
      </c>
      <c r="I406">
        <f>O406*H406</f>
        <v>83.88</v>
      </c>
      <c r="J406">
        <v>90</v>
      </c>
      <c r="K406">
        <v>90</v>
      </c>
      <c r="L406">
        <v>5.5</v>
      </c>
      <c r="O406">
        <v>13.98</v>
      </c>
      <c r="P406">
        <f>(4*J406)*1/1000</f>
        <v>0.36</v>
      </c>
    </row>
    <row r="407">
      <c r="C407" t="str">
        <v>HL 100x100x2,3</v>
      </c>
      <c r="D407" t="str">
        <v>SPINDO</v>
      </c>
      <c r="G407" t="str">
        <v>MO</v>
      </c>
      <c r="H407">
        <v>6</v>
      </c>
      <c r="I407">
        <f>O407*H407</f>
        <v>41.7</v>
      </c>
      <c r="J407">
        <v>100</v>
      </c>
      <c r="K407">
        <v>100</v>
      </c>
      <c r="L407">
        <v>2.3</v>
      </c>
      <c r="O407">
        <v>6.95</v>
      </c>
      <c r="P407">
        <f>(4*J407)*1/1000</f>
        <v>0.4</v>
      </c>
    </row>
    <row r="408">
      <c r="C408" t="str">
        <v>HL 100x100x3</v>
      </c>
      <c r="D408" t="str">
        <v>GG</v>
      </c>
      <c r="H408">
        <v>6</v>
      </c>
      <c r="I408">
        <f>O408*H408</f>
        <v>53.760000000000005</v>
      </c>
      <c r="J408">
        <v>100</v>
      </c>
      <c r="K408">
        <v>100</v>
      </c>
      <c r="L408">
        <v>3</v>
      </c>
      <c r="O408">
        <v>8.96</v>
      </c>
      <c r="P408">
        <f>(4*J408)*1/1000</f>
        <v>0.4</v>
      </c>
    </row>
    <row r="409">
      <c r="C409" t="str">
        <v>HL 100x100x3,2</v>
      </c>
      <c r="D409" t="str">
        <v>SPINDO</v>
      </c>
      <c r="G409" t="str">
        <v>MO</v>
      </c>
      <c r="H409">
        <v>6</v>
      </c>
      <c r="I409">
        <f>O409*H409</f>
        <v>57.12</v>
      </c>
      <c r="J409">
        <v>100</v>
      </c>
      <c r="K409">
        <v>100</v>
      </c>
      <c r="L409">
        <v>3.2</v>
      </c>
      <c r="O409">
        <v>9.52</v>
      </c>
      <c r="P409">
        <f>(4*J409)*1/1000</f>
        <v>0.4</v>
      </c>
    </row>
    <row r="410">
      <c r="C410" t="str">
        <v>HL 100x100x3,5</v>
      </c>
      <c r="D410" t="str">
        <v>GG</v>
      </c>
      <c r="H410">
        <v>6</v>
      </c>
      <c r="I410">
        <f>O410*H410</f>
        <v>62.16</v>
      </c>
      <c r="J410">
        <v>100</v>
      </c>
      <c r="K410">
        <v>100</v>
      </c>
      <c r="L410">
        <v>3.5</v>
      </c>
      <c r="O410">
        <v>10.36</v>
      </c>
      <c r="P410">
        <f>(4*J410)*1/1000</f>
        <v>0.4</v>
      </c>
    </row>
    <row r="411">
      <c r="C411" t="str">
        <v>HL 100x100x4</v>
      </c>
      <c r="D411" t="str">
        <v>GG, SPINDO</v>
      </c>
      <c r="G411" t="str">
        <v>MO</v>
      </c>
      <c r="H411">
        <v>6</v>
      </c>
      <c r="I411">
        <f>O411*H411</f>
        <v>70.38</v>
      </c>
      <c r="J411">
        <v>100</v>
      </c>
      <c r="K411">
        <v>100</v>
      </c>
      <c r="L411">
        <v>4</v>
      </c>
      <c r="O411">
        <v>11.73</v>
      </c>
      <c r="P411">
        <f>(4*J411)*1/1000</f>
        <v>0.4</v>
      </c>
    </row>
    <row r="412">
      <c r="C412" t="str">
        <v>HL 100x100x4,5</v>
      </c>
      <c r="D412" t="str">
        <v>GG, SPINDO</v>
      </c>
      <c r="G412" t="str">
        <v>MO</v>
      </c>
      <c r="H412">
        <v>6</v>
      </c>
      <c r="I412">
        <f>O412*H412</f>
        <v>78.6</v>
      </c>
      <c r="J412">
        <v>100</v>
      </c>
      <c r="K412">
        <v>100</v>
      </c>
      <c r="L412">
        <v>4.5</v>
      </c>
      <c r="O412">
        <v>13.1</v>
      </c>
      <c r="P412">
        <f>(4*J412)*1/1000</f>
        <v>0.4</v>
      </c>
    </row>
    <row r="413">
      <c r="C413" t="str">
        <v>HL 100x100x5</v>
      </c>
      <c r="D413" t="str">
        <v>GG</v>
      </c>
      <c r="H413">
        <v>6</v>
      </c>
      <c r="I413">
        <f>O413*H413</f>
        <v>86.46000000000001</v>
      </c>
      <c r="J413">
        <v>100</v>
      </c>
      <c r="K413">
        <v>100</v>
      </c>
      <c r="L413">
        <v>5</v>
      </c>
      <c r="O413">
        <v>14.41</v>
      </c>
      <c r="P413">
        <f>(4*J413)*1/1000</f>
        <v>0.4</v>
      </c>
    </row>
    <row r="414">
      <c r="C414" t="str">
        <v>HL 100x100x5,5</v>
      </c>
      <c r="D414" t="str">
        <v>GG</v>
      </c>
      <c r="H414">
        <v>6</v>
      </c>
      <c r="I414">
        <f>O414*H414</f>
        <v>94.26</v>
      </c>
      <c r="J414">
        <v>100</v>
      </c>
      <c r="K414">
        <v>100</v>
      </c>
      <c r="L414">
        <v>5.5</v>
      </c>
      <c r="O414">
        <v>15.71</v>
      </c>
      <c r="P414">
        <f>(4*J414)*1/1000</f>
        <v>0.4</v>
      </c>
    </row>
    <row r="415">
      <c r="C415" t="str">
        <v>HL 100x100x6</v>
      </c>
      <c r="D415" t="str">
        <v>GG</v>
      </c>
      <c r="H415">
        <v>6</v>
      </c>
      <c r="I415">
        <f>O415*H415</f>
        <v>101.88</v>
      </c>
      <c r="J415">
        <v>100</v>
      </c>
      <c r="K415">
        <v>100</v>
      </c>
      <c r="L415">
        <v>6</v>
      </c>
      <c r="O415">
        <v>16.98</v>
      </c>
      <c r="P415">
        <f>(4*J415)*1/1000</f>
        <v>0.4</v>
      </c>
    </row>
    <row r="416">
      <c r="C416" t="str">
        <v>HL 100x100x8</v>
      </c>
      <c r="D416" t="str">
        <v>GG</v>
      </c>
      <c r="H416">
        <v>6</v>
      </c>
      <c r="I416">
        <f>O416*H416</f>
        <v>128.28</v>
      </c>
      <c r="J416">
        <v>100</v>
      </c>
      <c r="K416">
        <v>100</v>
      </c>
      <c r="L416">
        <v>8</v>
      </c>
      <c r="O416">
        <v>21.38</v>
      </c>
      <c r="P416">
        <f>(4*J416)*1/1000</f>
        <v>0.4</v>
      </c>
    </row>
    <row r="417">
      <c r="C417" t="str">
        <v>HL 120x120x4</v>
      </c>
      <c r="D417" t="str">
        <v>GG</v>
      </c>
      <c r="H417">
        <v>6</v>
      </c>
      <c r="I417">
        <f>O417*H417</f>
        <v>85.5</v>
      </c>
      <c r="J417">
        <v>120</v>
      </c>
      <c r="K417">
        <v>120</v>
      </c>
      <c r="L417">
        <v>4</v>
      </c>
      <c r="O417">
        <v>14.25</v>
      </c>
      <c r="P417">
        <f>(4*J417)*1/1000</f>
        <v>0.48</v>
      </c>
    </row>
    <row r="418">
      <c r="C418" t="str">
        <v>HL 120x120x6</v>
      </c>
      <c r="D418" t="str">
        <v>GG</v>
      </c>
      <c r="H418">
        <v>6</v>
      </c>
      <c r="I418">
        <f>O418*H418</f>
        <v>124.5</v>
      </c>
      <c r="J418">
        <v>120</v>
      </c>
      <c r="K418">
        <v>120</v>
      </c>
      <c r="L418">
        <v>6</v>
      </c>
      <c r="O418">
        <v>20.75</v>
      </c>
      <c r="P418">
        <f>(4*J418)*1/1000</f>
        <v>0.48</v>
      </c>
    </row>
    <row r="419">
      <c r="C419" t="str">
        <v>HL 120x120x8</v>
      </c>
      <c r="D419" t="str">
        <v>GG</v>
      </c>
      <c r="H419">
        <v>6</v>
      </c>
      <c r="I419">
        <f>O419*H419</f>
        <v>158.46</v>
      </c>
      <c r="J419">
        <v>120</v>
      </c>
      <c r="K419">
        <v>120</v>
      </c>
      <c r="L419">
        <v>8</v>
      </c>
      <c r="O419">
        <v>26.41</v>
      </c>
      <c r="P419">
        <f>(4*J419)*1/1000</f>
        <v>0.48</v>
      </c>
    </row>
    <row r="420">
      <c r="C420" t="str">
        <v>HL 125x125x3,2</v>
      </c>
      <c r="D420" t="str">
        <v>SPINDO</v>
      </c>
      <c r="G420" t="str">
        <v>MO</v>
      </c>
      <c r="H420">
        <v>6</v>
      </c>
      <c r="I420">
        <f>O420*H420</f>
        <v>72</v>
      </c>
      <c r="J420">
        <v>125</v>
      </c>
      <c r="K420">
        <v>125</v>
      </c>
      <c r="L420">
        <v>3.2</v>
      </c>
      <c r="O420">
        <v>12</v>
      </c>
      <c r="P420">
        <f>(4*J420)*1/1000</f>
        <v>0.5</v>
      </c>
    </row>
    <row r="421">
      <c r="C421" t="str">
        <v>HL 125x125x4,5</v>
      </c>
      <c r="D421" t="str">
        <v>SPINDO</v>
      </c>
      <c r="G421" t="str">
        <v>MO</v>
      </c>
      <c r="H421">
        <v>6</v>
      </c>
      <c r="I421">
        <f>O421*H421</f>
        <v>75.6</v>
      </c>
      <c r="J421">
        <v>125</v>
      </c>
      <c r="K421">
        <v>125</v>
      </c>
      <c r="L421">
        <v>4.5</v>
      </c>
      <c r="O421">
        <v>12.6</v>
      </c>
      <c r="P421">
        <f>(4*J421)*1/1000</f>
        <v>0.5</v>
      </c>
    </row>
    <row r="422">
      <c r="C422" t="str">
        <v>HL 125x125x5</v>
      </c>
      <c r="D422" t="str">
        <v>SPINDO</v>
      </c>
      <c r="G422" t="str">
        <v>MO</v>
      </c>
      <c r="H422">
        <v>6</v>
      </c>
      <c r="I422">
        <f>O422*H422</f>
        <v>109.80000000000001</v>
      </c>
      <c r="J422">
        <v>125</v>
      </c>
      <c r="K422">
        <v>125</v>
      </c>
      <c r="L422">
        <v>5</v>
      </c>
      <c r="O422">
        <v>18.3</v>
      </c>
      <c r="P422">
        <f>(4*J422)*1/1000</f>
        <v>0.5</v>
      </c>
    </row>
    <row r="423">
      <c r="C423" t="str">
        <v>HL 150x150x4,5</v>
      </c>
      <c r="D423" t="str">
        <v>SPINDO</v>
      </c>
      <c r="G423" t="str">
        <v>MO</v>
      </c>
      <c r="H423">
        <v>6</v>
      </c>
      <c r="I423">
        <f>O423*H423</f>
        <v>120.60000000000001</v>
      </c>
      <c r="J423">
        <v>150</v>
      </c>
      <c r="K423">
        <v>150</v>
      </c>
      <c r="L423">
        <v>4.5</v>
      </c>
      <c r="O423">
        <v>20.1</v>
      </c>
      <c r="P423">
        <f>(4*J423)*1/1000</f>
        <v>0.6</v>
      </c>
    </row>
    <row r="424">
      <c r="C424" t="str">
        <v>HL 150x150x5</v>
      </c>
      <c r="D424" t="str">
        <v>SPINDO</v>
      </c>
      <c r="G424" t="str">
        <v>MO</v>
      </c>
      <c r="H424">
        <v>6</v>
      </c>
      <c r="I424">
        <f>O424*H424</f>
        <v>133.8</v>
      </c>
      <c r="J424">
        <v>150</v>
      </c>
      <c r="K424">
        <v>150</v>
      </c>
      <c r="L424">
        <v>5</v>
      </c>
      <c r="O424">
        <v>22.3</v>
      </c>
      <c r="P424">
        <f>(4*J424)*1/1000</f>
        <v>0.6</v>
      </c>
    </row>
    <row r="425">
      <c r="C425" t="str">
        <v>HL 150x150x6</v>
      </c>
      <c r="D425" t="str">
        <v>GG</v>
      </c>
      <c r="H425">
        <v>6</v>
      </c>
      <c r="I425">
        <f>O425*H425</f>
        <v>158.39999999999998</v>
      </c>
      <c r="J425">
        <v>150</v>
      </c>
      <c r="K425">
        <v>150</v>
      </c>
      <c r="L425">
        <v>6</v>
      </c>
      <c r="O425">
        <v>26.4</v>
      </c>
      <c r="P425">
        <f>(4*J425)*1/1000</f>
        <v>0.6</v>
      </c>
    </row>
    <row r="426">
      <c r="C426" t="str">
        <v>HL 150x150x8</v>
      </c>
      <c r="D426" t="str">
        <v>GG</v>
      </c>
      <c r="H426">
        <v>6</v>
      </c>
      <c r="I426">
        <f>O426*H426</f>
        <v>203.64</v>
      </c>
      <c r="J426">
        <v>150</v>
      </c>
      <c r="K426">
        <v>150</v>
      </c>
      <c r="L426">
        <v>8</v>
      </c>
      <c r="O426">
        <v>33.94</v>
      </c>
      <c r="P426">
        <f>(4*J426)*1/1000</f>
        <v>0.6</v>
      </c>
    </row>
    <row r="427">
      <c r="C427" t="str">
        <v>HL 150x150x12</v>
      </c>
      <c r="D427" t="str">
        <v>GG</v>
      </c>
      <c r="H427">
        <v>6</v>
      </c>
      <c r="I427">
        <f>O427*H427</f>
        <v>282.84000000000003</v>
      </c>
      <c r="J427">
        <v>150</v>
      </c>
      <c r="K427">
        <v>150</v>
      </c>
      <c r="L427">
        <v>12</v>
      </c>
      <c r="O427">
        <v>47.14</v>
      </c>
      <c r="P427">
        <f>(4*J427)*1/1000</f>
        <v>0.6</v>
      </c>
    </row>
    <row r="428">
      <c r="C428" t="str">
        <v>HL 180x180x6</v>
      </c>
      <c r="D428" t="str">
        <v>GG</v>
      </c>
      <c r="H428">
        <v>6</v>
      </c>
      <c r="I428">
        <f>O428*H428</f>
        <v>192.29999999999998</v>
      </c>
      <c r="J428">
        <v>180</v>
      </c>
      <c r="K428">
        <v>180</v>
      </c>
      <c r="L428">
        <v>6</v>
      </c>
      <c r="O428">
        <v>32.05</v>
      </c>
      <c r="P428">
        <f>(4*J428)*1/1000</f>
        <v>0.72</v>
      </c>
    </row>
    <row r="429">
      <c r="C429" t="str">
        <v>HL 180x180x8</v>
      </c>
      <c r="D429" t="str">
        <v>GG</v>
      </c>
      <c r="H429">
        <v>6</v>
      </c>
      <c r="I429">
        <f>O429*H429</f>
        <v>248.88</v>
      </c>
      <c r="J429">
        <v>180</v>
      </c>
      <c r="K429">
        <v>180</v>
      </c>
      <c r="L429">
        <v>8</v>
      </c>
      <c r="O429">
        <v>41.48</v>
      </c>
      <c r="P429">
        <f>(4*J429)*1/1000</f>
        <v>0.72</v>
      </c>
    </row>
    <row r="430">
      <c r="C430" t="str">
        <v>HL 180x180x12</v>
      </c>
      <c r="D430" t="str">
        <v>GG</v>
      </c>
      <c r="H430">
        <v>6</v>
      </c>
      <c r="I430">
        <f>O430*H430</f>
        <v>350.64</v>
      </c>
      <c r="J430">
        <v>180</v>
      </c>
      <c r="K430">
        <v>180</v>
      </c>
      <c r="L430">
        <v>12</v>
      </c>
      <c r="O430">
        <v>58.44</v>
      </c>
      <c r="P430">
        <f>(4*J430)*1/1000</f>
        <v>0.72</v>
      </c>
    </row>
    <row r="431">
      <c r="C431" t="str">
        <v>HL 200x200x6</v>
      </c>
      <c r="D431" t="str">
        <v>GG</v>
      </c>
      <c r="H431">
        <v>6</v>
      </c>
      <c r="I431">
        <f>O431*H431</f>
        <v>214.92000000000002</v>
      </c>
      <c r="J431">
        <v>200</v>
      </c>
      <c r="K431">
        <v>200</v>
      </c>
      <c r="L431">
        <v>6</v>
      </c>
      <c r="O431">
        <v>35.82</v>
      </c>
      <c r="P431">
        <f>(4*J431)*1/1000</f>
        <v>0.8</v>
      </c>
    </row>
    <row r="432">
      <c r="C432" t="str">
        <v>HL 200x200x8</v>
      </c>
      <c r="D432" t="str">
        <v>GG</v>
      </c>
      <c r="H432">
        <v>6</v>
      </c>
      <c r="I432">
        <f>O432*H432</f>
        <v>279</v>
      </c>
      <c r="J432">
        <v>200</v>
      </c>
      <c r="K432">
        <v>200</v>
      </c>
      <c r="L432">
        <v>8</v>
      </c>
      <c r="O432">
        <v>46.5</v>
      </c>
      <c r="P432">
        <f>(4*J432)*1/1000</f>
        <v>0.8</v>
      </c>
    </row>
    <row r="433">
      <c r="C433" t="str">
        <v>HL 200x200x12</v>
      </c>
      <c r="D433" t="str">
        <v>GG</v>
      </c>
      <c r="H433">
        <v>6</v>
      </c>
      <c r="I433">
        <f>O433*H433</f>
        <v>395.88</v>
      </c>
      <c r="J433">
        <v>200</v>
      </c>
      <c r="K433">
        <v>200</v>
      </c>
      <c r="L433">
        <v>12</v>
      </c>
      <c r="O433">
        <v>65.98</v>
      </c>
      <c r="P433">
        <f>(4*J433)*1/1000</f>
        <v>0.8</v>
      </c>
    </row>
    <row r="434">
      <c r="C434" t="str">
        <v>HL 250x250x6</v>
      </c>
      <c r="D434" t="str">
        <v>GG</v>
      </c>
      <c r="H434">
        <v>6</v>
      </c>
      <c r="I434">
        <f>O434*H434</f>
        <v>271.44</v>
      </c>
      <c r="J434">
        <v>250</v>
      </c>
      <c r="K434">
        <v>250</v>
      </c>
      <c r="L434">
        <v>6</v>
      </c>
      <c r="O434">
        <v>45.24</v>
      </c>
      <c r="P434">
        <f>(4*J434)*1/1000</f>
        <v>1</v>
      </c>
    </row>
    <row r="435">
      <c r="C435" t="str">
        <v>HL 250x250x8</v>
      </c>
      <c r="D435" t="str">
        <v>GG</v>
      </c>
      <c r="H435">
        <v>6</v>
      </c>
      <c r="I435">
        <f>O435*H435</f>
        <v>354.36</v>
      </c>
      <c r="J435">
        <v>250</v>
      </c>
      <c r="K435">
        <v>250</v>
      </c>
      <c r="L435">
        <v>8</v>
      </c>
      <c r="O435">
        <v>59.06</v>
      </c>
      <c r="P435">
        <f>(4*J435)*1/1000</f>
        <v>1</v>
      </c>
    </row>
    <row r="436">
      <c r="C436" t="str">
        <v>HL 250x250x12</v>
      </c>
      <c r="D436" t="str">
        <v>GG</v>
      </c>
      <c r="H436">
        <v>6</v>
      </c>
      <c r="I436">
        <f>O436*H436</f>
        <v>508.91999999999996</v>
      </c>
      <c r="J436">
        <v>250</v>
      </c>
      <c r="K436">
        <v>250</v>
      </c>
      <c r="L436">
        <v>12</v>
      </c>
      <c r="O436">
        <v>84.82</v>
      </c>
      <c r="P436">
        <f>(4*J436)*1/1000</f>
        <v>1</v>
      </c>
    </row>
    <row r="437">
      <c r="B437" t="str">
        <v>Rectangular Hollow (HL)</v>
      </c>
      <c r="C437" t="str">
        <v>HL 20x10x0,9</v>
      </c>
      <c r="E437" t="str">
        <v>SGJ</v>
      </c>
      <c r="H437">
        <v>6</v>
      </c>
      <c r="I437">
        <f>O437*H437</f>
        <v>2.418</v>
      </c>
      <c r="J437">
        <v>20</v>
      </c>
      <c r="K437">
        <v>10</v>
      </c>
      <c r="L437">
        <v>0.9</v>
      </c>
      <c r="O437">
        <v>0.403</v>
      </c>
      <c r="P437">
        <f>(4*J437)*1/1000</f>
        <v>0.08</v>
      </c>
    </row>
    <row r="438">
      <c r="C438" t="str">
        <v>HL 27,5x12,5x0,9</v>
      </c>
      <c r="E438" t="str">
        <v>SGJ</v>
      </c>
      <c r="H438">
        <v>6</v>
      </c>
      <c r="I438">
        <f>O438*H438</f>
        <v>3.2640000000000002</v>
      </c>
      <c r="J438">
        <v>27.5</v>
      </c>
      <c r="K438">
        <v>12.5</v>
      </c>
      <c r="L438">
        <v>0.9</v>
      </c>
      <c r="O438">
        <v>0.544</v>
      </c>
      <c r="P438">
        <f>(4*J438)*1/1000</f>
        <v>0.11</v>
      </c>
    </row>
    <row r="439">
      <c r="C439" t="str">
        <v>HL 30x15x0,9</v>
      </c>
      <c r="E439" t="str">
        <v>SGJ</v>
      </c>
      <c r="H439">
        <v>6</v>
      </c>
      <c r="I439">
        <f>O439*H439</f>
        <v>3.69</v>
      </c>
      <c r="J439">
        <v>30</v>
      </c>
      <c r="K439">
        <v>15</v>
      </c>
      <c r="L439">
        <v>0.9</v>
      </c>
      <c r="O439">
        <v>0.615</v>
      </c>
      <c r="P439">
        <f>(4*J439)*1/1000</f>
        <v>0.12</v>
      </c>
    </row>
    <row r="440">
      <c r="C440" t="str">
        <v>HL 40x20x1</v>
      </c>
      <c r="E440" t="str">
        <v>SGJ</v>
      </c>
      <c r="H440">
        <v>6</v>
      </c>
      <c r="I440">
        <f>O440*H440</f>
        <v>5.49</v>
      </c>
      <c r="J440">
        <v>40</v>
      </c>
      <c r="K440">
        <v>20</v>
      </c>
      <c r="L440">
        <v>1</v>
      </c>
      <c r="O440">
        <v>0.915</v>
      </c>
      <c r="P440">
        <f>(4*J440)*1/1000</f>
        <v>0.16</v>
      </c>
    </row>
    <row r="441">
      <c r="C441" t="str">
        <v>HL 50x20x1,6</v>
      </c>
      <c r="D441" t="str">
        <v>SPINDO</v>
      </c>
      <c r="H441">
        <v>6</v>
      </c>
      <c r="I441">
        <f>O441*H441</f>
        <v>9.78</v>
      </c>
      <c r="J441">
        <v>50</v>
      </c>
      <c r="K441">
        <v>20</v>
      </c>
      <c r="L441">
        <v>1.6</v>
      </c>
      <c r="O441">
        <v>1.63</v>
      </c>
      <c r="P441">
        <f>(2*J441+2*K441)*1/1000</f>
        <v>0.14</v>
      </c>
    </row>
    <row r="442">
      <c r="C442" t="str">
        <v>HL 50x20x2,3</v>
      </c>
      <c r="D442" t="str">
        <v>SPINDO</v>
      </c>
      <c r="H442">
        <v>6</v>
      </c>
      <c r="I442">
        <f>O442*H442</f>
        <v>13.5</v>
      </c>
      <c r="J442">
        <v>50</v>
      </c>
      <c r="K442">
        <v>20</v>
      </c>
      <c r="L442">
        <v>2.3</v>
      </c>
      <c r="O442">
        <v>2.25</v>
      </c>
      <c r="P442">
        <f>(2*J442+2*K442)*1/1000</f>
        <v>0.14</v>
      </c>
    </row>
    <row r="443">
      <c r="C443" t="str">
        <v>HL 50x25x1,4</v>
      </c>
      <c r="E443" t="str">
        <v>SGJ</v>
      </c>
      <c r="H443">
        <v>6</v>
      </c>
      <c r="I443">
        <f>O443*H443</f>
        <v>9.582</v>
      </c>
      <c r="J443">
        <v>50</v>
      </c>
      <c r="K443">
        <v>25</v>
      </c>
      <c r="L443">
        <v>1.4</v>
      </c>
      <c r="O443">
        <v>1.597</v>
      </c>
      <c r="P443">
        <f>(2*J443+2*K443)*1/1000</f>
        <v>0.15</v>
      </c>
    </row>
    <row r="444">
      <c r="C444" t="str">
        <v>HL 50x30x1,6</v>
      </c>
      <c r="D444" t="str">
        <v>SPINDO</v>
      </c>
      <c r="G444" t="str">
        <v>MO</v>
      </c>
      <c r="H444">
        <v>6</v>
      </c>
      <c r="I444">
        <f>O444*H444</f>
        <v>11.28</v>
      </c>
      <c r="J444">
        <v>50</v>
      </c>
      <c r="K444">
        <v>30</v>
      </c>
      <c r="L444">
        <v>1.6</v>
      </c>
      <c r="O444">
        <v>1.88</v>
      </c>
      <c r="P444">
        <f>(2*J444+2*K444)*1/1000</f>
        <v>0.16</v>
      </c>
    </row>
    <row r="445">
      <c r="C445" t="str">
        <v>HL 50x30x2,3</v>
      </c>
      <c r="D445" t="str">
        <v>SPINDO</v>
      </c>
      <c r="G445" t="str">
        <v>MO</v>
      </c>
      <c r="H445">
        <v>6</v>
      </c>
      <c r="I445">
        <f>O445*H445</f>
        <v>15.72</v>
      </c>
      <c r="J445">
        <v>50</v>
      </c>
      <c r="K445">
        <v>30</v>
      </c>
      <c r="L445">
        <v>2.3</v>
      </c>
      <c r="O445">
        <v>2.62</v>
      </c>
      <c r="P445">
        <f>(2*J445+2*K445)*1/1000</f>
        <v>0.16</v>
      </c>
    </row>
    <row r="446">
      <c r="C446" t="str">
        <v>HL 60x20x1,4</v>
      </c>
      <c r="E446" t="str">
        <v>SGJ</v>
      </c>
      <c r="H446">
        <v>6</v>
      </c>
      <c r="I446">
        <f>O446*H446</f>
        <v>11.556</v>
      </c>
      <c r="J446">
        <v>60</v>
      </c>
      <c r="K446">
        <v>20</v>
      </c>
      <c r="L446">
        <v>1.4</v>
      </c>
      <c r="O446">
        <v>1.926</v>
      </c>
      <c r="P446">
        <f>(2*J446+2*K446)*1/1000</f>
        <v>0.16</v>
      </c>
    </row>
    <row r="447">
      <c r="C447" t="str">
        <v>HL 60x30x1,6</v>
      </c>
      <c r="D447" t="str">
        <v>ALIM, SPINDO</v>
      </c>
      <c r="H447">
        <v>6</v>
      </c>
      <c r="I447">
        <f>O447*H447</f>
        <v>12.78</v>
      </c>
      <c r="J447">
        <v>60</v>
      </c>
      <c r="K447">
        <v>30</v>
      </c>
      <c r="L447">
        <v>1.6</v>
      </c>
      <c r="O447">
        <v>2.13</v>
      </c>
      <c r="P447">
        <f>(2*J447+2*K447)*1/1000</f>
        <v>0.18</v>
      </c>
    </row>
    <row r="448">
      <c r="C448" t="str">
        <v>HL 60x30x2,3</v>
      </c>
      <c r="D448" t="str">
        <v>ALIM, SPINDO</v>
      </c>
      <c r="H448">
        <v>6</v>
      </c>
      <c r="I448">
        <f>O448*H448</f>
        <v>17.88</v>
      </c>
      <c r="J448">
        <v>60</v>
      </c>
      <c r="K448">
        <v>30</v>
      </c>
      <c r="L448">
        <v>2.3</v>
      </c>
      <c r="O448">
        <v>2.98</v>
      </c>
      <c r="P448">
        <f>(2*J448+2*K448)*1/1000</f>
        <v>0.18</v>
      </c>
    </row>
    <row r="449">
      <c r="C449" t="str">
        <v>HL 60x30x3,2</v>
      </c>
      <c r="D449" t="str">
        <v>ALIM, SPINDO</v>
      </c>
      <c r="H449">
        <v>6</v>
      </c>
      <c r="I449">
        <f>O449*H449</f>
        <v>23.94</v>
      </c>
      <c r="J449">
        <v>60</v>
      </c>
      <c r="K449">
        <v>30</v>
      </c>
      <c r="L449">
        <v>3.2</v>
      </c>
      <c r="O449">
        <v>3.99</v>
      </c>
      <c r="P449">
        <f>(2*J449+2*K449)*1/1000</f>
        <v>0.18</v>
      </c>
    </row>
    <row r="450">
      <c r="C450" t="str">
        <v>HL 75x45x1,6</v>
      </c>
      <c r="D450" t="str">
        <v>ALIM, SPINDO</v>
      </c>
      <c r="H450">
        <v>6</v>
      </c>
      <c r="I450">
        <f>O450*H450</f>
        <v>17.28</v>
      </c>
      <c r="J450">
        <v>75</v>
      </c>
      <c r="K450">
        <v>45</v>
      </c>
      <c r="L450">
        <v>1.6</v>
      </c>
      <c r="O450">
        <v>2.88</v>
      </c>
      <c r="P450">
        <f>(2*J450+2*K450)*1/1000</f>
        <v>0.24</v>
      </c>
    </row>
    <row r="451">
      <c r="C451" t="str">
        <v>HL 75x45x2,3</v>
      </c>
      <c r="D451" t="str">
        <v>ALIM, SPINDO</v>
      </c>
      <c r="H451">
        <v>6</v>
      </c>
      <c r="I451">
        <f>O451*H451</f>
        <v>24.36</v>
      </c>
      <c r="J451">
        <v>75</v>
      </c>
      <c r="K451">
        <v>45</v>
      </c>
      <c r="L451">
        <v>2.3</v>
      </c>
      <c r="O451">
        <v>4.06</v>
      </c>
      <c r="P451">
        <f>(2*J451+2*K451)*1/1000</f>
        <v>0.24</v>
      </c>
    </row>
    <row r="452">
      <c r="C452" t="str">
        <v>HL 75x45x3,2</v>
      </c>
      <c r="D452" t="str">
        <v>ALIM, SPINDO</v>
      </c>
      <c r="H452">
        <v>6</v>
      </c>
      <c r="I452">
        <f>O452*H452</f>
        <v>24.36</v>
      </c>
      <c r="J452">
        <v>75</v>
      </c>
      <c r="K452">
        <v>45</v>
      </c>
      <c r="L452">
        <v>3.2</v>
      </c>
      <c r="O452">
        <v>4.06</v>
      </c>
      <c r="P452">
        <f>(2*J452+2*K452)*1/1000</f>
        <v>0.24</v>
      </c>
    </row>
    <row r="453">
      <c r="C453" t="str">
        <v>HL 80x40x1,6</v>
      </c>
      <c r="D453" t="str">
        <v>SPINDO</v>
      </c>
      <c r="G453" t="str">
        <v>MO</v>
      </c>
      <c r="H453">
        <v>6</v>
      </c>
      <c r="I453">
        <f>O453*H453</f>
        <v>17.28</v>
      </c>
      <c r="J453">
        <v>80</v>
      </c>
      <c r="K453">
        <v>40</v>
      </c>
      <c r="L453">
        <v>1.6</v>
      </c>
      <c r="O453">
        <v>2.88</v>
      </c>
      <c r="P453">
        <f>(2*J453+2*K453)*1/1000</f>
        <v>0.24</v>
      </c>
    </row>
    <row r="454">
      <c r="C454" t="str">
        <v>HL 80x40x2,3</v>
      </c>
      <c r="D454" t="str">
        <v>SPINDO</v>
      </c>
      <c r="G454" t="str">
        <v>MO</v>
      </c>
      <c r="H454">
        <v>6</v>
      </c>
      <c r="I454">
        <f>O454*H454</f>
        <v>24.36</v>
      </c>
      <c r="J454">
        <v>80</v>
      </c>
      <c r="K454">
        <v>40</v>
      </c>
      <c r="L454">
        <v>2.3</v>
      </c>
      <c r="O454">
        <v>4.06</v>
      </c>
      <c r="P454">
        <f>(2*J454+2*K454)*1/1000</f>
        <v>0.24</v>
      </c>
    </row>
    <row r="455">
      <c r="C455" t="str">
        <v>HL 80x40x3,2</v>
      </c>
      <c r="D455" t="str">
        <v>SPINDO</v>
      </c>
      <c r="G455" t="str">
        <v>MO</v>
      </c>
      <c r="H455">
        <v>6</v>
      </c>
      <c r="I455">
        <f>O455*H455</f>
        <v>33</v>
      </c>
      <c r="J455">
        <v>80</v>
      </c>
      <c r="K455">
        <v>40</v>
      </c>
      <c r="L455">
        <v>3.2</v>
      </c>
      <c r="O455">
        <v>5.5</v>
      </c>
      <c r="P455">
        <f>(2*J455+2*K455)*1/1000</f>
        <v>0.24</v>
      </c>
    </row>
    <row r="456">
      <c r="C456" t="str">
        <v>HL 95x85x2</v>
      </c>
      <c r="D456" t="str">
        <v>GG</v>
      </c>
      <c r="H456">
        <v>6</v>
      </c>
      <c r="I456">
        <f>O456*H456</f>
        <v>32.7</v>
      </c>
      <c r="J456">
        <v>95</v>
      </c>
      <c r="K456">
        <v>85</v>
      </c>
      <c r="L456">
        <v>2</v>
      </c>
      <c r="O456">
        <v>5.45</v>
      </c>
      <c r="P456">
        <f>(2*J456+2*K456)*1/1000</f>
        <v>0.36</v>
      </c>
    </row>
    <row r="457">
      <c r="C457" t="str">
        <v>HL 95x85x2,5</v>
      </c>
      <c r="D457" t="str">
        <v>GG</v>
      </c>
      <c r="H457">
        <v>6</v>
      </c>
      <c r="I457">
        <f>O457*H457</f>
        <v>40.44</v>
      </c>
      <c r="J457">
        <v>95</v>
      </c>
      <c r="K457">
        <v>85</v>
      </c>
      <c r="L457">
        <v>2.5</v>
      </c>
      <c r="O457">
        <v>6.74</v>
      </c>
      <c r="P457">
        <f>(2*J457+2*K457)*1/1000</f>
        <v>0.36</v>
      </c>
    </row>
    <row r="458">
      <c r="C458" t="str">
        <v>HL 95x85x3</v>
      </c>
      <c r="D458" t="str">
        <v>GG</v>
      </c>
      <c r="H458">
        <v>6</v>
      </c>
      <c r="I458">
        <f>O458*H458</f>
        <v>48.06</v>
      </c>
      <c r="J458">
        <v>95</v>
      </c>
      <c r="K458">
        <v>85</v>
      </c>
      <c r="L458">
        <v>3</v>
      </c>
      <c r="O458">
        <v>8.01</v>
      </c>
      <c r="P458">
        <f>(2*J458+2*K458)*1/1000</f>
        <v>0.36</v>
      </c>
    </row>
    <row r="459">
      <c r="C459" t="str">
        <v>HL 95x85x3,5</v>
      </c>
      <c r="D459" t="str">
        <v>GG</v>
      </c>
      <c r="H459">
        <v>6</v>
      </c>
      <c r="I459">
        <f>O459*H459</f>
        <v>55.56</v>
      </c>
      <c r="J459">
        <v>95</v>
      </c>
      <c r="K459">
        <v>85</v>
      </c>
      <c r="L459">
        <v>3.5</v>
      </c>
      <c r="O459">
        <v>9.26</v>
      </c>
      <c r="P459">
        <f>(2*J459+2*K459)*1/1000</f>
        <v>0.36</v>
      </c>
    </row>
    <row r="460">
      <c r="C460" t="str">
        <v>HL 95x85x4</v>
      </c>
      <c r="D460" t="str">
        <v>GG</v>
      </c>
      <c r="H460">
        <v>6</v>
      </c>
      <c r="I460">
        <f>O460*H460</f>
        <v>62.88</v>
      </c>
      <c r="J460">
        <v>95</v>
      </c>
      <c r="K460">
        <v>85</v>
      </c>
      <c r="L460">
        <v>4</v>
      </c>
      <c r="O460">
        <v>10.48</v>
      </c>
      <c r="P460">
        <f>(2*J460+2*K460)*1/1000</f>
        <v>0.36</v>
      </c>
    </row>
    <row r="461">
      <c r="C461" t="str">
        <v>HL 95x85x4,5</v>
      </c>
      <c r="D461" t="str">
        <v>GG</v>
      </c>
      <c r="H461">
        <v>6</v>
      </c>
      <c r="I461">
        <f>O461*H461</f>
        <v>70.02</v>
      </c>
      <c r="J461">
        <v>95</v>
      </c>
      <c r="K461">
        <v>85</v>
      </c>
      <c r="L461">
        <v>4.5</v>
      </c>
      <c r="O461">
        <v>11.67</v>
      </c>
      <c r="P461">
        <f>(2*J461+2*K461)*1/1000</f>
        <v>0.36</v>
      </c>
    </row>
    <row r="462">
      <c r="C462" t="str">
        <v>HL 95x85x5</v>
      </c>
      <c r="D462" t="str">
        <v>GG</v>
      </c>
      <c r="H462">
        <v>6</v>
      </c>
      <c r="I462">
        <f>O462*H462</f>
        <v>77.03999999999999</v>
      </c>
      <c r="J462">
        <v>95</v>
      </c>
      <c r="K462">
        <v>85</v>
      </c>
      <c r="L462">
        <v>5</v>
      </c>
      <c r="O462">
        <v>12.84</v>
      </c>
      <c r="P462">
        <f>(2*J462+2*K462)*1/1000</f>
        <v>0.36</v>
      </c>
    </row>
    <row r="463">
      <c r="C463" t="str">
        <v>HL 95x85x5,5</v>
      </c>
      <c r="D463" t="str">
        <v>GG</v>
      </c>
      <c r="H463">
        <v>6</v>
      </c>
      <c r="I463">
        <f>O463*H463</f>
        <v>83.88</v>
      </c>
      <c r="J463">
        <v>95</v>
      </c>
      <c r="K463">
        <v>85</v>
      </c>
      <c r="L463">
        <v>5.5</v>
      </c>
      <c r="O463">
        <v>13.98</v>
      </c>
      <c r="P463">
        <f>(2*J463+2*K463)*1/1000</f>
        <v>0.36</v>
      </c>
    </row>
    <row r="464">
      <c r="C464" t="str">
        <v>HL 100x50x1,6</v>
      </c>
      <c r="D464" t="str">
        <v>ALIM</v>
      </c>
      <c r="H464">
        <v>6</v>
      </c>
      <c r="I464">
        <f>O464*H464</f>
        <v>21.84</v>
      </c>
      <c r="J464">
        <v>100</v>
      </c>
      <c r="K464">
        <v>50</v>
      </c>
      <c r="L464">
        <v>1.6</v>
      </c>
      <c r="O464">
        <v>3.64</v>
      </c>
      <c r="P464">
        <f>(2*J464+2*K464)*1/1000</f>
        <v>0.3</v>
      </c>
    </row>
    <row r="465">
      <c r="C465" t="str">
        <v>HL 100x50x2,3</v>
      </c>
      <c r="D465" t="str">
        <v>ALIM, SPINDO</v>
      </c>
      <c r="H465">
        <v>6</v>
      </c>
      <c r="I465">
        <f>O465*H465</f>
        <v>30.839999999999996</v>
      </c>
      <c r="J465">
        <v>100</v>
      </c>
      <c r="K465">
        <v>50</v>
      </c>
      <c r="L465">
        <v>2.3</v>
      </c>
      <c r="O465">
        <v>5.14</v>
      </c>
      <c r="P465">
        <f>(2*J465+2*K465)*1/1000</f>
        <v>0.3</v>
      </c>
    </row>
    <row r="466">
      <c r="C466" t="str">
        <v>HL 100x50x3,2</v>
      </c>
      <c r="D466" t="str">
        <v>ALIM, SPINDO</v>
      </c>
      <c r="H466">
        <v>6</v>
      </c>
      <c r="I466">
        <f>O466*H466</f>
        <v>42.06</v>
      </c>
      <c r="J466">
        <v>100</v>
      </c>
      <c r="K466">
        <v>50</v>
      </c>
      <c r="L466">
        <v>3.2</v>
      </c>
      <c r="O466">
        <v>7.01</v>
      </c>
      <c r="P466">
        <f>(2*J466+2*K466)*1/1000</f>
        <v>0.3</v>
      </c>
    </row>
    <row r="467">
      <c r="C467" t="str">
        <v>HL 100x50x4,5</v>
      </c>
      <c r="D467" t="str">
        <v>SPINDO</v>
      </c>
      <c r="H467">
        <v>6</v>
      </c>
      <c r="I467">
        <f>O467*H467</f>
        <v>57.300000000000004</v>
      </c>
      <c r="J467">
        <v>100</v>
      </c>
      <c r="K467">
        <v>50</v>
      </c>
      <c r="L467">
        <v>4.5</v>
      </c>
      <c r="O467">
        <v>9.55</v>
      </c>
      <c r="P467">
        <f>(2*J467+2*K467)*1/1000</f>
        <v>0.3</v>
      </c>
    </row>
    <row r="468">
      <c r="C468" t="str">
        <v>HL 100x80x2</v>
      </c>
      <c r="D468" t="str">
        <v>GG</v>
      </c>
      <c r="H468">
        <v>6</v>
      </c>
      <c r="I468">
        <f>O468*H468</f>
        <v>32.7</v>
      </c>
      <c r="J468">
        <v>100</v>
      </c>
      <c r="K468">
        <v>80</v>
      </c>
      <c r="L468">
        <v>2</v>
      </c>
      <c r="O468">
        <v>5.45</v>
      </c>
      <c r="P468">
        <f>(2*J468+2*K468)*1/1000</f>
        <v>0.36</v>
      </c>
    </row>
    <row r="469">
      <c r="C469" t="str">
        <v>HL 100x80x2,5</v>
      </c>
      <c r="D469" t="str">
        <v>GG</v>
      </c>
      <c r="H469">
        <v>6</v>
      </c>
      <c r="I469">
        <f>O469*H469</f>
        <v>40.44</v>
      </c>
      <c r="J469">
        <v>100</v>
      </c>
      <c r="K469">
        <v>80</v>
      </c>
      <c r="L469">
        <v>2.5</v>
      </c>
      <c r="O469">
        <v>6.74</v>
      </c>
      <c r="P469">
        <f>(2*J469+2*K469)*1/1000</f>
        <v>0.36</v>
      </c>
    </row>
    <row r="470">
      <c r="C470" t="str">
        <v>HL 100x80x3</v>
      </c>
      <c r="D470" t="str">
        <v>GG</v>
      </c>
      <c r="H470">
        <v>6</v>
      </c>
      <c r="I470">
        <f>O470*H470</f>
        <v>48.06</v>
      </c>
      <c r="J470">
        <v>100</v>
      </c>
      <c r="K470">
        <v>80</v>
      </c>
      <c r="L470">
        <v>3</v>
      </c>
      <c r="O470">
        <v>8.01</v>
      </c>
      <c r="P470">
        <f>(2*J470+2*K470)*1/1000</f>
        <v>0.36</v>
      </c>
    </row>
    <row r="471">
      <c r="C471" t="str">
        <v>HL 100x80x3,5</v>
      </c>
      <c r="D471" t="str">
        <v>GG</v>
      </c>
      <c r="H471">
        <v>6</v>
      </c>
      <c r="I471">
        <f>O471*H471</f>
        <v>55.56</v>
      </c>
      <c r="J471">
        <v>100</v>
      </c>
      <c r="K471">
        <v>80</v>
      </c>
      <c r="L471">
        <v>3.5</v>
      </c>
      <c r="O471">
        <v>9.26</v>
      </c>
      <c r="P471">
        <f>(2*J471+2*K471)*1/1000</f>
        <v>0.36</v>
      </c>
    </row>
    <row r="472">
      <c r="C472" t="str">
        <v>HL 100x80x4</v>
      </c>
      <c r="D472" t="str">
        <v>GG</v>
      </c>
      <c r="H472">
        <v>6</v>
      </c>
      <c r="I472">
        <f>O472*H472</f>
        <v>62.88</v>
      </c>
      <c r="J472">
        <v>100</v>
      </c>
      <c r="K472">
        <v>80</v>
      </c>
      <c r="L472">
        <v>4</v>
      </c>
      <c r="O472">
        <v>10.48</v>
      </c>
      <c r="P472">
        <f>(2*J472+2*K472)*1/1000</f>
        <v>0.36</v>
      </c>
    </row>
    <row r="473">
      <c r="C473" t="str">
        <v>HL 100x80x4,5</v>
      </c>
      <c r="D473" t="str">
        <v>GG</v>
      </c>
      <c r="H473">
        <v>6</v>
      </c>
      <c r="I473">
        <f>O473*H473</f>
        <v>70.02</v>
      </c>
      <c r="J473">
        <v>100</v>
      </c>
      <c r="K473">
        <v>80</v>
      </c>
      <c r="L473">
        <v>4.5</v>
      </c>
      <c r="O473">
        <v>11.67</v>
      </c>
      <c r="P473">
        <f>(2*J473+2*K473)*1/1000</f>
        <v>0.36</v>
      </c>
    </row>
    <row r="474">
      <c r="C474" t="str">
        <v>HL 100x80x5</v>
      </c>
      <c r="D474" t="str">
        <v>GG</v>
      </c>
      <c r="H474">
        <v>6</v>
      </c>
      <c r="I474">
        <f>O474*H474</f>
        <v>77.03999999999999</v>
      </c>
      <c r="J474">
        <v>100</v>
      </c>
      <c r="K474">
        <v>80</v>
      </c>
      <c r="L474">
        <v>5</v>
      </c>
      <c r="O474">
        <v>12.84</v>
      </c>
      <c r="P474">
        <f>(2*J474+2*K474)*1/1000</f>
        <v>0.36</v>
      </c>
    </row>
    <row r="475">
      <c r="C475" t="str">
        <v>HL 100x80x5,5</v>
      </c>
      <c r="D475" t="str">
        <v>GG</v>
      </c>
      <c r="H475">
        <v>6</v>
      </c>
      <c r="I475">
        <f>O475*H475</f>
        <v>83.88</v>
      </c>
      <c r="J475">
        <v>100</v>
      </c>
      <c r="K475">
        <v>80</v>
      </c>
      <c r="L475">
        <v>5.5</v>
      </c>
      <c r="O475">
        <v>13.98</v>
      </c>
      <c r="P475">
        <f>(2*J475+2*K475)*1/1000</f>
        <v>0.36</v>
      </c>
    </row>
    <row r="476">
      <c r="C476" t="str">
        <v>HL 120x80x3</v>
      </c>
      <c r="D476" t="str">
        <v>GG</v>
      </c>
      <c r="H476">
        <v>6</v>
      </c>
      <c r="I476">
        <f>O476*H476</f>
        <v>53.760000000000005</v>
      </c>
      <c r="J476">
        <v>120</v>
      </c>
      <c r="K476">
        <v>80</v>
      </c>
      <c r="L476">
        <v>3</v>
      </c>
      <c r="O476">
        <v>8.96</v>
      </c>
      <c r="P476">
        <f>(2*J476+2*K476)*1/1000</f>
        <v>0.4</v>
      </c>
    </row>
    <row r="477">
      <c r="C477" t="str">
        <v>HL 120x80x3,5</v>
      </c>
      <c r="D477" t="str">
        <v>GG</v>
      </c>
      <c r="H477">
        <v>6</v>
      </c>
      <c r="I477">
        <f>O477*H477</f>
        <v>62.16</v>
      </c>
      <c r="J477">
        <v>120</v>
      </c>
      <c r="K477">
        <v>80</v>
      </c>
      <c r="L477">
        <v>3.5</v>
      </c>
      <c r="O477">
        <v>10.36</v>
      </c>
      <c r="P477">
        <f>(2*J477+2*K477)*1/1000</f>
        <v>0.4</v>
      </c>
    </row>
    <row r="478">
      <c r="C478" t="str">
        <v>HL 120x80x4</v>
      </c>
      <c r="D478" t="str">
        <v>GG</v>
      </c>
      <c r="H478">
        <v>6</v>
      </c>
      <c r="I478">
        <f>O478*H478</f>
        <v>70.38</v>
      </c>
      <c r="J478">
        <v>120</v>
      </c>
      <c r="K478">
        <v>80</v>
      </c>
      <c r="L478">
        <v>4</v>
      </c>
      <c r="O478">
        <v>11.73</v>
      </c>
      <c r="P478">
        <f>(2*J478+2*K478)*1/1000</f>
        <v>0.4</v>
      </c>
    </row>
    <row r="479">
      <c r="C479" t="str">
        <v>HL 120x80x4,5</v>
      </c>
      <c r="D479" t="str">
        <v>GG</v>
      </c>
      <c r="H479">
        <v>6</v>
      </c>
      <c r="I479">
        <f>O479*H479</f>
        <v>78.48</v>
      </c>
      <c r="J479">
        <v>120</v>
      </c>
      <c r="K479">
        <v>80</v>
      </c>
      <c r="L479">
        <v>4.5</v>
      </c>
      <c r="O479">
        <v>13.08</v>
      </c>
      <c r="P479">
        <f>(2*J479+2*K479)*1/1000</f>
        <v>0.4</v>
      </c>
    </row>
    <row r="480">
      <c r="C480" t="str">
        <v>HL 120x80x5</v>
      </c>
      <c r="D480" t="str">
        <v>GG</v>
      </c>
      <c r="H480">
        <v>6</v>
      </c>
      <c r="I480">
        <f>O480*H480</f>
        <v>86.46000000000001</v>
      </c>
      <c r="J480">
        <v>120</v>
      </c>
      <c r="K480">
        <v>80</v>
      </c>
      <c r="L480">
        <v>5</v>
      </c>
      <c r="O480">
        <v>14.41</v>
      </c>
      <c r="P480">
        <f>(2*J480+2*K480)*1/1000</f>
        <v>0.4</v>
      </c>
    </row>
    <row r="481">
      <c r="C481" t="str">
        <v>HL 120x80x5,5</v>
      </c>
      <c r="D481" t="str">
        <v>GG</v>
      </c>
      <c r="H481">
        <v>6</v>
      </c>
      <c r="I481">
        <f>O481*H481</f>
        <v>94.26</v>
      </c>
      <c r="J481">
        <v>120</v>
      </c>
      <c r="K481">
        <v>80</v>
      </c>
      <c r="L481">
        <v>5.5</v>
      </c>
      <c r="O481">
        <v>15.71</v>
      </c>
      <c r="P481">
        <f>(2*J481+2*K481)*1/1000</f>
        <v>0.4</v>
      </c>
    </row>
    <row r="482">
      <c r="C482" t="str">
        <v>HL 125x75x3,2</v>
      </c>
      <c r="D482" t="str">
        <v>SPINDO</v>
      </c>
      <c r="G482" t="str">
        <v>MO</v>
      </c>
      <c r="H482">
        <v>6</v>
      </c>
      <c r="I482">
        <f>O482*H482</f>
        <v>57.12</v>
      </c>
      <c r="J482">
        <v>125</v>
      </c>
      <c r="K482">
        <v>75</v>
      </c>
      <c r="L482">
        <v>3.2</v>
      </c>
      <c r="O482">
        <v>9.52</v>
      </c>
      <c r="P482">
        <f>(2*J482+2*K482)*1/1000</f>
        <v>0.4</v>
      </c>
    </row>
    <row r="483">
      <c r="C483" t="str">
        <v>HL 125x75x4</v>
      </c>
      <c r="D483" t="str">
        <v>SPINDO</v>
      </c>
      <c r="G483" t="str">
        <v>MO</v>
      </c>
      <c r="H483">
        <v>6</v>
      </c>
      <c r="I483">
        <f>O483*H483</f>
        <v>70.19999999999999</v>
      </c>
      <c r="J483">
        <v>125</v>
      </c>
      <c r="K483">
        <v>75</v>
      </c>
      <c r="L483">
        <v>4</v>
      </c>
      <c r="O483">
        <v>11.7</v>
      </c>
      <c r="P483">
        <f>(2*J483+2*K483)*1/1000</f>
        <v>0.4</v>
      </c>
    </row>
    <row r="484">
      <c r="C484" t="str">
        <v>HL 125x75x4,5</v>
      </c>
      <c r="D484" t="str">
        <v>SPINDO</v>
      </c>
      <c r="G484" t="str">
        <v>MO</v>
      </c>
      <c r="H484">
        <v>6</v>
      </c>
      <c r="I484">
        <f>O484*H484</f>
        <v>78.6</v>
      </c>
      <c r="J484">
        <v>125</v>
      </c>
      <c r="K484">
        <v>75</v>
      </c>
      <c r="L484">
        <v>4.5</v>
      </c>
      <c r="O484">
        <v>13.1</v>
      </c>
      <c r="P484">
        <f>(2*J484+2*K484)*1/1000</f>
        <v>0.4</v>
      </c>
    </row>
    <row r="485">
      <c r="C485" t="str">
        <v>HL 125x75x6</v>
      </c>
      <c r="D485" t="str">
        <v>SPINDO</v>
      </c>
      <c r="G485" t="str">
        <v>MO</v>
      </c>
      <c r="H485">
        <v>6</v>
      </c>
      <c r="I485">
        <f>O485*H485</f>
        <v>102</v>
      </c>
      <c r="J485">
        <v>125</v>
      </c>
      <c r="K485">
        <v>75</v>
      </c>
      <c r="L485">
        <v>6</v>
      </c>
      <c r="O485">
        <v>17</v>
      </c>
      <c r="P485">
        <f>(2*J485+2*K485)*1/1000</f>
        <v>0.4</v>
      </c>
    </row>
    <row r="486">
      <c r="C486" t="str">
        <v>HL 127x50x2,3</v>
      </c>
      <c r="D486" t="str">
        <v>SPINDO</v>
      </c>
      <c r="H486">
        <v>6</v>
      </c>
      <c r="I486">
        <f>O486*H486</f>
        <v>36.660000000000004</v>
      </c>
      <c r="J486">
        <v>127</v>
      </c>
      <c r="K486">
        <v>50</v>
      </c>
      <c r="L486">
        <v>2.3</v>
      </c>
      <c r="O486">
        <v>6.11</v>
      </c>
      <c r="P486">
        <f>(2*J486+2*K486)*1/1000</f>
        <v>0.354</v>
      </c>
    </row>
    <row r="487">
      <c r="C487" t="str">
        <v>HL 127x50x3,2</v>
      </c>
      <c r="D487" t="str">
        <v>SPINDO</v>
      </c>
      <c r="H487">
        <v>6</v>
      </c>
      <c r="I487">
        <f>O487*H487</f>
        <v>50.099999999999994</v>
      </c>
      <c r="J487">
        <v>127</v>
      </c>
      <c r="K487">
        <v>50</v>
      </c>
      <c r="L487">
        <v>3.2</v>
      </c>
      <c r="O487">
        <v>8.35</v>
      </c>
      <c r="P487">
        <f>(2*J487+2*K487)*1/1000</f>
        <v>0.354</v>
      </c>
    </row>
    <row r="488">
      <c r="C488" t="str">
        <v>HL 150x80x4,5</v>
      </c>
      <c r="D488" t="str">
        <v>SPINDO</v>
      </c>
      <c r="G488" t="str">
        <v>MO</v>
      </c>
      <c r="H488">
        <v>6</v>
      </c>
      <c r="I488">
        <f>O488*H488</f>
        <v>91.19999999999999</v>
      </c>
      <c r="J488">
        <v>150</v>
      </c>
      <c r="K488">
        <v>80</v>
      </c>
      <c r="L488">
        <v>4.5</v>
      </c>
      <c r="O488">
        <v>15.2</v>
      </c>
      <c r="P488">
        <f>(2*J488+2*K488)*1/1000</f>
        <v>0.46</v>
      </c>
    </row>
    <row r="489">
      <c r="C489" t="str">
        <v>HL 150x80x5</v>
      </c>
      <c r="D489" t="str">
        <v>SPINDO</v>
      </c>
      <c r="G489" t="str">
        <v>MO</v>
      </c>
      <c r="H489">
        <v>6</v>
      </c>
      <c r="I489">
        <f>O489*H489</f>
        <v>100.80000000000001</v>
      </c>
      <c r="J489">
        <v>150</v>
      </c>
      <c r="K489">
        <v>80</v>
      </c>
      <c r="L489">
        <v>5</v>
      </c>
      <c r="O489">
        <v>16.8</v>
      </c>
      <c r="P489">
        <f>(2*J489+2*K489)*1/1000</f>
        <v>0.46</v>
      </c>
    </row>
    <row r="490">
      <c r="C490" t="str">
        <v>HL 150x80x6</v>
      </c>
      <c r="D490" t="str">
        <v>SPINDO</v>
      </c>
      <c r="G490" t="str">
        <v>MO</v>
      </c>
      <c r="H490">
        <v>6</v>
      </c>
      <c r="I490">
        <f>O490*H490</f>
        <v>118.80000000000001</v>
      </c>
      <c r="J490">
        <v>150</v>
      </c>
      <c r="K490">
        <v>80</v>
      </c>
      <c r="L490">
        <v>6</v>
      </c>
      <c r="O490">
        <v>19.8</v>
      </c>
      <c r="P490">
        <f>(2*J490+2*K490)*1/1000</f>
        <v>0.46</v>
      </c>
    </row>
    <row r="491">
      <c r="C491" t="str">
        <v>HL 150x100x3,2</v>
      </c>
      <c r="D491" t="str">
        <v>SPINDO</v>
      </c>
      <c r="G491" t="str">
        <v>MO</v>
      </c>
      <c r="H491">
        <v>6</v>
      </c>
      <c r="I491">
        <f>O491*H491</f>
        <v>72</v>
      </c>
      <c r="J491">
        <v>150</v>
      </c>
      <c r="K491">
        <v>100</v>
      </c>
      <c r="L491">
        <v>3.2</v>
      </c>
      <c r="O491">
        <v>12</v>
      </c>
      <c r="P491">
        <f>(2*J491+2*K491)*1/1000</f>
        <v>0.5</v>
      </c>
    </row>
    <row r="492">
      <c r="C492" t="str">
        <v>HL 150x100x4</v>
      </c>
      <c r="D492" t="str">
        <v>GG</v>
      </c>
      <c r="H492">
        <v>6</v>
      </c>
      <c r="I492">
        <f>O492*H492</f>
        <v>89.22</v>
      </c>
      <c r="J492">
        <v>150</v>
      </c>
      <c r="K492">
        <v>100</v>
      </c>
      <c r="L492">
        <v>4</v>
      </c>
      <c r="O492">
        <v>14.87</v>
      </c>
      <c r="P492">
        <f>(2*J492+2*K492)*1/1000</f>
        <v>0.5</v>
      </c>
    </row>
    <row r="493">
      <c r="C493" t="str">
        <v>HL 150x100x4,5</v>
      </c>
      <c r="D493" t="str">
        <v>SPINDO</v>
      </c>
      <c r="G493" t="str">
        <v>MO</v>
      </c>
      <c r="H493">
        <v>6</v>
      </c>
      <c r="I493">
        <f>O493*H493</f>
        <v>99.60000000000001</v>
      </c>
      <c r="J493">
        <v>150</v>
      </c>
      <c r="K493">
        <v>100</v>
      </c>
      <c r="L493">
        <v>4.5</v>
      </c>
      <c r="O493">
        <v>16.6</v>
      </c>
      <c r="P493">
        <f>(2*J493+2*K493)*1/1000</f>
        <v>0.5</v>
      </c>
    </row>
    <row r="494">
      <c r="C494" t="str">
        <v>HL 150x100x6</v>
      </c>
      <c r="D494" t="str">
        <v>GG, SPINDO</v>
      </c>
      <c r="G494" t="str">
        <v>MO</v>
      </c>
      <c r="H494">
        <v>6</v>
      </c>
      <c r="I494">
        <f>O494*H494</f>
        <v>130.14000000000001</v>
      </c>
      <c r="J494">
        <v>150</v>
      </c>
      <c r="K494">
        <v>100</v>
      </c>
      <c r="L494">
        <v>6</v>
      </c>
      <c r="O494">
        <v>21.69</v>
      </c>
      <c r="P494">
        <f>(2*J494+2*K494)*1/1000</f>
        <v>0.5</v>
      </c>
    </row>
    <row r="495">
      <c r="C495" t="str">
        <v>HL 150x100x8</v>
      </c>
      <c r="D495" t="str">
        <v>GG</v>
      </c>
      <c r="H495">
        <v>6</v>
      </c>
      <c r="I495">
        <f>O495*H495</f>
        <v>165.96</v>
      </c>
      <c r="J495">
        <v>150</v>
      </c>
      <c r="K495">
        <v>100</v>
      </c>
      <c r="L495">
        <v>8</v>
      </c>
      <c r="O495">
        <v>27.66</v>
      </c>
      <c r="P495">
        <f>(2*J495+2*K495)*1/1000</f>
        <v>0.5</v>
      </c>
    </row>
    <row r="496">
      <c r="C496" t="str">
        <v>HL 200x100x4</v>
      </c>
      <c r="D496" t="str">
        <v>GG</v>
      </c>
      <c r="H496">
        <v>6</v>
      </c>
      <c r="I496">
        <f>O496*H496</f>
        <v>108.06</v>
      </c>
      <c r="J496">
        <v>200</v>
      </c>
      <c r="K496">
        <v>100</v>
      </c>
      <c r="L496">
        <v>4</v>
      </c>
      <c r="O496">
        <v>18.01</v>
      </c>
      <c r="P496">
        <f>(2*J496+2*K496)*1/1000</f>
        <v>0.6</v>
      </c>
    </row>
    <row r="497">
      <c r="C497" t="str">
        <v>HL 200x100x4,5</v>
      </c>
      <c r="D497" t="str">
        <v>SPINDO</v>
      </c>
      <c r="G497" t="str">
        <v>MO</v>
      </c>
      <c r="H497">
        <v>6</v>
      </c>
      <c r="I497">
        <f>O497*H497</f>
        <v>120.60000000000001</v>
      </c>
      <c r="J497">
        <v>200</v>
      </c>
      <c r="K497">
        <v>100</v>
      </c>
      <c r="L497">
        <v>4.5</v>
      </c>
      <c r="O497">
        <v>20.1</v>
      </c>
      <c r="P497">
        <f>(2*J497+2*K497)*1/1000</f>
        <v>0.6</v>
      </c>
    </row>
    <row r="498">
      <c r="C498" t="str">
        <v>HL 200x100x6</v>
      </c>
      <c r="D498" t="str">
        <v>GG, SPINDO</v>
      </c>
      <c r="G498" t="str">
        <v>MO</v>
      </c>
      <c r="H498">
        <v>6</v>
      </c>
      <c r="I498">
        <f>O498*H498</f>
        <v>158.39999999999998</v>
      </c>
      <c r="J498">
        <v>200</v>
      </c>
      <c r="K498">
        <v>100</v>
      </c>
      <c r="L498">
        <v>6</v>
      </c>
      <c r="O498">
        <v>26.4</v>
      </c>
      <c r="P498">
        <f>(2*J498+2*K498)*1/1000</f>
        <v>0.6</v>
      </c>
    </row>
    <row r="499">
      <c r="C499" t="str">
        <v>HL 200x100x8</v>
      </c>
      <c r="D499" t="str">
        <v>GG</v>
      </c>
      <c r="H499">
        <v>6</v>
      </c>
      <c r="I499">
        <f>O499*H499</f>
        <v>203.64</v>
      </c>
      <c r="J499">
        <v>200</v>
      </c>
      <c r="K499">
        <v>100</v>
      </c>
      <c r="L499">
        <v>8</v>
      </c>
      <c r="O499">
        <v>33.94</v>
      </c>
      <c r="P499">
        <f>(2*J499+2*K499)*1/1000</f>
        <v>0.6</v>
      </c>
    </row>
    <row r="500">
      <c r="C500" t="str">
        <v>HL 250x150x4</v>
      </c>
      <c r="D500" t="str">
        <v>GG</v>
      </c>
      <c r="H500">
        <v>6</v>
      </c>
      <c r="I500">
        <f>O500*H500</f>
        <v>145.74</v>
      </c>
      <c r="J500">
        <v>250</v>
      </c>
      <c r="K500">
        <v>150</v>
      </c>
      <c r="L500">
        <v>4</v>
      </c>
      <c r="O500">
        <v>24.29</v>
      </c>
      <c r="P500">
        <f>(2*J500+2*K500)*1/1000</f>
        <v>0.8</v>
      </c>
    </row>
    <row r="501">
      <c r="C501" t="str">
        <v>HL 250x150x6</v>
      </c>
      <c r="D501" t="str">
        <v>GG</v>
      </c>
      <c r="H501">
        <v>6</v>
      </c>
      <c r="I501">
        <f>O501*H501</f>
        <v>214.92000000000002</v>
      </c>
      <c r="J501">
        <v>250</v>
      </c>
      <c r="K501">
        <v>150</v>
      </c>
      <c r="L501">
        <v>6</v>
      </c>
      <c r="O501">
        <v>35.82</v>
      </c>
      <c r="P501">
        <f>(2*J501+2*K501)*1/1000</f>
        <v>0.8</v>
      </c>
    </row>
    <row r="502">
      <c r="C502" t="str">
        <v>HL 250x150x8</v>
      </c>
      <c r="D502" t="str">
        <v>GG</v>
      </c>
      <c r="H502">
        <v>6</v>
      </c>
      <c r="I502">
        <f>O502*H502</f>
        <v>279</v>
      </c>
      <c r="J502">
        <v>250</v>
      </c>
      <c r="K502">
        <v>150</v>
      </c>
      <c r="L502">
        <v>8</v>
      </c>
      <c r="O502">
        <v>46.5</v>
      </c>
      <c r="P502">
        <f>(2*J502+2*K502)*1/1000</f>
        <v>0.8</v>
      </c>
    </row>
    <row r="503">
      <c r="C503" t="str">
        <v>HL 250x150x12</v>
      </c>
      <c r="D503" t="str">
        <v>GG</v>
      </c>
      <c r="H503">
        <v>6</v>
      </c>
      <c r="I503">
        <f>O503*H503</f>
        <v>395.88</v>
      </c>
      <c r="J503">
        <v>250</v>
      </c>
      <c r="K503">
        <v>150</v>
      </c>
      <c r="L503">
        <v>12</v>
      </c>
      <c r="O503">
        <v>65.98</v>
      </c>
      <c r="P503">
        <f>(2*J503+2*K503)*1/1000</f>
        <v>0.8</v>
      </c>
    </row>
    <row r="504">
      <c r="C504" t="str">
        <v>HL 300x100x6</v>
      </c>
      <c r="D504" t="str">
        <v>GG</v>
      </c>
      <c r="H504">
        <v>6</v>
      </c>
      <c r="I504">
        <f>O504*H504</f>
        <v>214.92000000000002</v>
      </c>
      <c r="J504">
        <v>300</v>
      </c>
      <c r="K504">
        <v>100</v>
      </c>
      <c r="L504">
        <v>6</v>
      </c>
      <c r="O504">
        <v>35.82</v>
      </c>
      <c r="P504">
        <f>(2*J504+2*K504)*1/1000</f>
        <v>0.8</v>
      </c>
    </row>
    <row r="505">
      <c r="C505" t="str">
        <v>HL 300x100x8</v>
      </c>
      <c r="D505" t="str">
        <v>GG</v>
      </c>
      <c r="H505">
        <v>6</v>
      </c>
      <c r="I505">
        <f>O505*H505</f>
        <v>279</v>
      </c>
      <c r="J505">
        <v>300</v>
      </c>
      <c r="K505">
        <v>100</v>
      </c>
      <c r="L505">
        <v>8</v>
      </c>
      <c r="O505">
        <v>46.5</v>
      </c>
      <c r="P505">
        <f>(2*J505+2*K505)*1/1000</f>
        <v>0.8</v>
      </c>
    </row>
    <row r="506">
      <c r="C506" t="str">
        <v>HL 300x100x12</v>
      </c>
      <c r="D506" t="str">
        <v>GG</v>
      </c>
      <c r="H506">
        <v>6</v>
      </c>
      <c r="I506">
        <f>O506*H506</f>
        <v>395.88</v>
      </c>
      <c r="J506">
        <v>300</v>
      </c>
      <c r="K506">
        <v>100</v>
      </c>
      <c r="L506">
        <v>12</v>
      </c>
      <c r="O506">
        <v>65.98</v>
      </c>
      <c r="P506">
        <f>(2*J506+2*K506)*1/1000</f>
        <v>0.8</v>
      </c>
    </row>
    <row r="507">
      <c r="C507" t="str">
        <v>HL 300x200x6</v>
      </c>
      <c r="D507" t="str">
        <v>GG</v>
      </c>
      <c r="H507">
        <v>6</v>
      </c>
      <c r="I507">
        <f>O507*H507</f>
        <v>271.44</v>
      </c>
      <c r="J507">
        <v>300</v>
      </c>
      <c r="K507">
        <v>200</v>
      </c>
      <c r="L507">
        <v>6</v>
      </c>
      <c r="O507">
        <v>45.24</v>
      </c>
      <c r="P507">
        <f>(2*J507+2*K507)*1/1000</f>
        <v>1</v>
      </c>
    </row>
    <row r="508">
      <c r="C508" t="str">
        <v>HL 300x200x8</v>
      </c>
      <c r="D508" t="str">
        <v>GG</v>
      </c>
      <c r="H508">
        <v>6</v>
      </c>
      <c r="I508">
        <f>O508*H508</f>
        <v>354.36</v>
      </c>
      <c r="J508">
        <v>300</v>
      </c>
      <c r="K508">
        <v>200</v>
      </c>
      <c r="L508">
        <v>8</v>
      </c>
      <c r="O508">
        <v>59.06</v>
      </c>
      <c r="P508">
        <f>(2*J508+2*K508)*1/1000</f>
        <v>1</v>
      </c>
    </row>
    <row r="509">
      <c r="C509" t="str">
        <v>HL 300x200x12</v>
      </c>
      <c r="D509" t="str">
        <v>GG</v>
      </c>
      <c r="H509">
        <v>6</v>
      </c>
      <c r="I509">
        <f>O509*H509</f>
        <v>508.91999999999996</v>
      </c>
      <c r="J509">
        <v>300</v>
      </c>
      <c r="K509">
        <v>200</v>
      </c>
      <c r="L509">
        <v>12</v>
      </c>
      <c r="O509">
        <v>84.82</v>
      </c>
      <c r="P509">
        <f>(2*J509+2*K509)*1/1000</f>
        <v>1</v>
      </c>
    </row>
    <row r="510">
      <c r="B510" t="str">
        <v>Pipa (P)</v>
      </c>
      <c r="C510" t="str">
        <v>P 1/2"x0,9</v>
      </c>
      <c r="E510" t="str">
        <v>SGJ</v>
      </c>
      <c r="H510">
        <v>6</v>
      </c>
      <c r="I510">
        <f>O510*H510</f>
        <v>1.59</v>
      </c>
      <c r="J510">
        <v>12.7</v>
      </c>
      <c r="K510">
        <v>0.9</v>
      </c>
      <c r="O510">
        <v>0.265</v>
      </c>
      <c r="P510">
        <f>PI()*J510*1/1000</f>
        <v>0.03989822670059037</v>
      </c>
      <c r="Q510" t="str">
        <v>Conduit</v>
      </c>
    </row>
    <row r="511">
      <c r="C511" t="str">
        <v>P 1/2"x 1,9</v>
      </c>
      <c r="E511" t="str">
        <v>SGJ</v>
      </c>
      <c r="H511">
        <v>6</v>
      </c>
      <c r="I511">
        <f>O511*H511</f>
        <v>5.46</v>
      </c>
      <c r="J511">
        <v>21.4</v>
      </c>
      <c r="K511">
        <v>1.9</v>
      </c>
      <c r="O511">
        <v>0.91</v>
      </c>
      <c r="P511">
        <f>PI()*J511*1/1000</f>
        <v>0.06723008278682156</v>
      </c>
      <c r="Q511" t="str">
        <v>Class A</v>
      </c>
    </row>
    <row r="512">
      <c r="C512" t="str">
        <v>P 1/2"x2</v>
      </c>
      <c r="D512" t="str">
        <v>ALIM, SPINDO</v>
      </c>
      <c r="E512" t="str">
        <v>SGJ</v>
      </c>
      <c r="H512">
        <v>6</v>
      </c>
      <c r="I512">
        <f>O512*H512</f>
        <v>5.82</v>
      </c>
      <c r="J512">
        <v>21.4</v>
      </c>
      <c r="K512">
        <v>2</v>
      </c>
      <c r="O512">
        <v>0.97</v>
      </c>
      <c r="P512">
        <f>PI()*J512*1/1000</f>
        <v>0.06723008278682156</v>
      </c>
      <c r="Q512" t="str">
        <v>Light</v>
      </c>
    </row>
    <row r="513">
      <c r="C513" t="str">
        <v>P 1/2"x2,6</v>
      </c>
      <c r="E513" t="str">
        <v>SGJ</v>
      </c>
      <c r="H513">
        <v>6</v>
      </c>
      <c r="I513">
        <f>O513*H513</f>
        <v>7.32</v>
      </c>
      <c r="J513">
        <v>21.4</v>
      </c>
      <c r="K513">
        <v>2.6</v>
      </c>
      <c r="O513">
        <v>1.22</v>
      </c>
      <c r="P513">
        <f>PI()*J513*1/1000</f>
        <v>0.06723008278682156</v>
      </c>
      <c r="Q513" t="str">
        <v>Medium</v>
      </c>
    </row>
    <row r="514">
      <c r="C514" t="str">
        <v>P 1/2"x2,77</v>
      </c>
      <c r="D514" t="str">
        <v>SWARNA BAJA</v>
      </c>
      <c r="H514">
        <v>6</v>
      </c>
      <c r="I514">
        <f>O514*H514</f>
        <v>7.62</v>
      </c>
      <c r="J514">
        <v>21.3</v>
      </c>
      <c r="K514">
        <v>2.77</v>
      </c>
      <c r="O514">
        <v>1.27</v>
      </c>
      <c r="P514">
        <f>PI()*J514*1/1000</f>
        <v>0.0669159235214626</v>
      </c>
    </row>
    <row r="515">
      <c r="C515" t="str">
        <v>P 1/2"x2,8</v>
      </c>
      <c r="E515" t="str">
        <v>SGJ</v>
      </c>
      <c r="H515">
        <v>6</v>
      </c>
      <c r="I515">
        <f>O515*H515</f>
        <v>7.86</v>
      </c>
      <c r="J515">
        <v>21.7</v>
      </c>
      <c r="K515">
        <v>2.8</v>
      </c>
      <c r="O515">
        <v>1.31</v>
      </c>
      <c r="P515">
        <f>PI()*J515*1/1000</f>
        <v>0.06817256058289851</v>
      </c>
      <c r="Q515" t="str">
        <v>Sc 40</v>
      </c>
    </row>
    <row r="516">
      <c r="C516" t="str">
        <v>P 1/2"x3,7</v>
      </c>
      <c r="E516" t="str">
        <v>SGJ</v>
      </c>
      <c r="H516">
        <v>6</v>
      </c>
      <c r="I516">
        <f>O516*H516</f>
        <v>9.84</v>
      </c>
      <c r="J516">
        <v>21.7</v>
      </c>
      <c r="K516">
        <v>3.7</v>
      </c>
      <c r="O516">
        <v>1.64</v>
      </c>
      <c r="P516">
        <f>PI()*J516*1/1000</f>
        <v>0.06817256058289851</v>
      </c>
      <c r="Q516" t="str">
        <v>Sc 80</v>
      </c>
    </row>
    <row r="517">
      <c r="C517" t="str">
        <v>P 9/16"x0,9</v>
      </c>
      <c r="E517" t="str">
        <v>SGJ</v>
      </c>
      <c r="H517">
        <v>6</v>
      </c>
      <c r="I517">
        <f>O517*H517</f>
        <v>1.7879999999999998</v>
      </c>
      <c r="J517">
        <v>14.3</v>
      </c>
      <c r="K517">
        <v>0.9</v>
      </c>
      <c r="O517">
        <v>0.298</v>
      </c>
      <c r="P517">
        <f>PI()*J517*1/1000</f>
        <v>0.044924774946334046</v>
      </c>
      <c r="Q517" t="str">
        <v>Conduit</v>
      </c>
    </row>
    <row r="518">
      <c r="C518" t="str">
        <v>P 5/8"x0,9</v>
      </c>
      <c r="E518" t="str">
        <v>SGJ</v>
      </c>
      <c r="H518">
        <v>6</v>
      </c>
      <c r="I518">
        <f>O518*H518</f>
        <v>1.992</v>
      </c>
      <c r="J518">
        <v>15.9</v>
      </c>
      <c r="K518">
        <v>0.9</v>
      </c>
      <c r="O518">
        <v>0.332</v>
      </c>
      <c r="P518">
        <f>PI()*J518*1/1000</f>
        <v>0.04995132319207771</v>
      </c>
      <c r="Q518" t="str">
        <v>Conduit</v>
      </c>
    </row>
    <row r="519">
      <c r="C519" t="str">
        <v>P 3/4"x0,9</v>
      </c>
      <c r="E519" t="str">
        <v>SGJ</v>
      </c>
      <c r="H519">
        <v>6</v>
      </c>
      <c r="I519">
        <f>O519*H519</f>
        <v>2.418</v>
      </c>
      <c r="J519">
        <v>19.1</v>
      </c>
      <c r="K519">
        <v>0.9</v>
      </c>
      <c r="O519">
        <v>0.403</v>
      </c>
      <c r="P519">
        <f>PI()*J519*1/1000</f>
        <v>0.060004419683565055</v>
      </c>
      <c r="Q519" t="str">
        <v>Conduit</v>
      </c>
    </row>
    <row r="520">
      <c r="C520" t="str">
        <v>P 3/4"x2</v>
      </c>
      <c r="D520" t="str">
        <v>SPINDO</v>
      </c>
      <c r="H520">
        <v>6</v>
      </c>
      <c r="I520">
        <f>O520*H520</f>
        <v>7.5600000000000005</v>
      </c>
      <c r="J520">
        <v>27.2</v>
      </c>
      <c r="K520">
        <v>2</v>
      </c>
      <c r="O520">
        <v>1.26</v>
      </c>
      <c r="P520">
        <f>PI()*J520*1/1000</f>
        <v>0.08545132017764237</v>
      </c>
    </row>
    <row r="521">
      <c r="C521" t="str">
        <v>P 3/4"x2,1</v>
      </c>
      <c r="E521" t="str">
        <v>SGJ</v>
      </c>
      <c r="H521">
        <v>6</v>
      </c>
      <c r="I521">
        <f>O521*H521</f>
        <v>7.68</v>
      </c>
      <c r="J521">
        <v>27</v>
      </c>
      <c r="K521">
        <v>2.1</v>
      </c>
      <c r="O521">
        <v>1.28</v>
      </c>
      <c r="P521">
        <f>PI()*J521*1/1000</f>
        <v>0.08482300164692441</v>
      </c>
      <c r="Q521" t="str">
        <v>Class A</v>
      </c>
    </row>
    <row r="522">
      <c r="C522" t="str">
        <v>P 3/4"x2,3</v>
      </c>
      <c r="D522" t="str">
        <v>ALIM, SPINDO</v>
      </c>
      <c r="E522" t="str">
        <v>SGJ</v>
      </c>
      <c r="H522">
        <v>6</v>
      </c>
      <c r="I522">
        <f>O522*H522</f>
        <v>8.459999999999999</v>
      </c>
      <c r="J522">
        <v>27.2</v>
      </c>
      <c r="K522">
        <v>2.3</v>
      </c>
      <c r="O522">
        <v>1.41</v>
      </c>
      <c r="P522">
        <f>PI()*J522*1/1000</f>
        <v>0.08545132017764237</v>
      </c>
      <c r="Q522" t="str">
        <v>Light</v>
      </c>
    </row>
    <row r="523">
      <c r="C523" t="str">
        <v>P 3/4"x2,6</v>
      </c>
      <c r="E523" t="str">
        <v>SGJ</v>
      </c>
      <c r="H523">
        <v>6</v>
      </c>
      <c r="I523">
        <f>O523*H523</f>
        <v>9.48</v>
      </c>
      <c r="J523">
        <v>27</v>
      </c>
      <c r="K523">
        <v>2.6</v>
      </c>
      <c r="O523">
        <v>1.58</v>
      </c>
      <c r="P523">
        <f>PI()*J523*1/1000</f>
        <v>0.08482300164692441</v>
      </c>
      <c r="Q523" t="str">
        <v>Medium</v>
      </c>
    </row>
    <row r="524">
      <c r="C524" t="str">
        <v>P 3/4"x2,87</v>
      </c>
      <c r="D524" t="str">
        <v>SWARNA BAJA</v>
      </c>
      <c r="H524">
        <v>6</v>
      </c>
      <c r="I524">
        <f>O524*H524</f>
        <v>10.14</v>
      </c>
      <c r="J524">
        <v>26.7</v>
      </c>
      <c r="K524">
        <v>2.87</v>
      </c>
      <c r="O524">
        <v>1.69</v>
      </c>
      <c r="P524">
        <f>PI()*J524*1/1000</f>
        <v>0.08388052385084746</v>
      </c>
    </row>
    <row r="525">
      <c r="C525" t="str">
        <v>P 3/4"x2,9</v>
      </c>
      <c r="E525" t="str">
        <v>SGJ</v>
      </c>
      <c r="H525">
        <v>6</v>
      </c>
      <c r="I525">
        <f>O525*H525</f>
        <v>10.44</v>
      </c>
      <c r="J525">
        <v>27.2</v>
      </c>
      <c r="K525">
        <v>2.9</v>
      </c>
      <c r="O525">
        <v>1.74</v>
      </c>
      <c r="P525">
        <f>PI()*J525*1/1000</f>
        <v>0.08545132017764237</v>
      </c>
      <c r="Q525" t="str">
        <v>Sc 40</v>
      </c>
    </row>
    <row r="526">
      <c r="C526" t="str">
        <v>P 3/4"x3,9</v>
      </c>
      <c r="E526" t="str">
        <v>SGJ</v>
      </c>
      <c r="H526">
        <v>6</v>
      </c>
      <c r="I526">
        <f>O526*H526</f>
        <v>13.440000000000001</v>
      </c>
      <c r="J526">
        <v>27.2</v>
      </c>
      <c r="K526">
        <v>3.9</v>
      </c>
      <c r="O526">
        <v>2.24</v>
      </c>
      <c r="P526">
        <f>PI()*J526*1/1000</f>
        <v>0.08545132017764237</v>
      </c>
      <c r="Q526" t="str">
        <v>Sc 80</v>
      </c>
    </row>
    <row r="527">
      <c r="C527" t="str">
        <v>P 7/8"x1</v>
      </c>
      <c r="E527" t="str">
        <v>SGJ</v>
      </c>
      <c r="H527">
        <v>6</v>
      </c>
      <c r="I527">
        <f>O527*H527</f>
        <v>3.144</v>
      </c>
      <c r="J527">
        <v>22.2</v>
      </c>
      <c r="K527">
        <v>1</v>
      </c>
      <c r="O527">
        <v>0.524</v>
      </c>
      <c r="P527">
        <f>PI()*J527*1/1000</f>
        <v>0.06974335690969341</v>
      </c>
      <c r="Q527" t="str">
        <v>Conduit</v>
      </c>
    </row>
    <row r="528">
      <c r="C528" t="str">
        <v>P 15/16"x1</v>
      </c>
      <c r="E528" t="str">
        <v>SGJ</v>
      </c>
      <c r="H528">
        <v>6</v>
      </c>
      <c r="I528">
        <f>O528*H528</f>
        <v>3.3660000000000005</v>
      </c>
      <c r="J528">
        <v>23.8</v>
      </c>
      <c r="K528">
        <v>1</v>
      </c>
      <c r="O528">
        <v>0.561</v>
      </c>
      <c r="P528">
        <f>PI()*J528*1/1000</f>
        <v>0.07476990515543708</v>
      </c>
      <c r="Q528" t="str">
        <v>Conduit</v>
      </c>
    </row>
    <row r="529">
      <c r="C529" t="str">
        <v>P 1"x1,2</v>
      </c>
      <c r="E529" t="str">
        <v>SGJ</v>
      </c>
      <c r="H529">
        <v>6</v>
      </c>
      <c r="I529">
        <f>O529*H529</f>
        <v>4.302</v>
      </c>
      <c r="J529">
        <v>25.4</v>
      </c>
      <c r="K529">
        <v>1.2</v>
      </c>
      <c r="O529">
        <v>0.717</v>
      </c>
      <c r="P529">
        <f>PI()*J529*1/1000</f>
        <v>0.07979645340118074</v>
      </c>
      <c r="Q529" t="str">
        <v>Conduit</v>
      </c>
    </row>
    <row r="530">
      <c r="C530" t="str">
        <v>P 1"x2,3</v>
      </c>
      <c r="D530" t="str">
        <v>ALIM, SPINDO</v>
      </c>
      <c r="H530">
        <v>6</v>
      </c>
      <c r="I530">
        <f>O530*H530</f>
        <v>10.8</v>
      </c>
      <c r="J530">
        <v>34</v>
      </c>
      <c r="K530">
        <v>2.3</v>
      </c>
      <c r="O530">
        <v>1.8</v>
      </c>
      <c r="P530">
        <f>PI()*J530*1/1000</f>
        <v>0.10681415022205297</v>
      </c>
    </row>
    <row r="531">
      <c r="C531" t="str">
        <v>P 1"x2,45</v>
      </c>
      <c r="E531" t="str">
        <v>SGJ</v>
      </c>
      <c r="H531">
        <v>6</v>
      </c>
      <c r="I531">
        <f>O531*H531</f>
        <v>11.28</v>
      </c>
      <c r="J531">
        <v>33.7</v>
      </c>
      <c r="K531">
        <v>2.45</v>
      </c>
      <c r="O531">
        <v>1.88</v>
      </c>
      <c r="P531">
        <f>PI()*J531*1/1000</f>
        <v>0.10587167242597605</v>
      </c>
      <c r="Q531" t="str">
        <v>Class A</v>
      </c>
    </row>
    <row r="532">
      <c r="C532" t="str">
        <v>P 1"x2,6</v>
      </c>
      <c r="E532" t="str">
        <v>SGJ</v>
      </c>
      <c r="H532">
        <v>6</v>
      </c>
      <c r="I532">
        <f>O532*H532</f>
        <v>12.059999999999999</v>
      </c>
      <c r="J532">
        <v>33.7</v>
      </c>
      <c r="K532">
        <v>2.6</v>
      </c>
      <c r="O532">
        <v>2.01</v>
      </c>
      <c r="P532">
        <f>PI()*J532*1/1000</f>
        <v>0.10587167242597605</v>
      </c>
      <c r="Q532" t="str">
        <v>Light</v>
      </c>
    </row>
    <row r="533">
      <c r="C533" t="str">
        <v>P 1"x3,38</v>
      </c>
      <c r="D533" t="str">
        <v>SWARNA BAJA</v>
      </c>
      <c r="H533">
        <v>6</v>
      </c>
      <c r="I533">
        <f>O533*H533</f>
        <v>15</v>
      </c>
      <c r="J533">
        <v>33.4</v>
      </c>
      <c r="K533">
        <v>3.38</v>
      </c>
      <c r="O533">
        <v>2.5</v>
      </c>
      <c r="P533">
        <f>PI()*J533*1/1000</f>
        <v>0.10492919462989908</v>
      </c>
    </row>
    <row r="534">
      <c r="C534" t="str">
        <v>P 1"x3,2</v>
      </c>
      <c r="E534" t="str">
        <v>SGJ</v>
      </c>
      <c r="H534">
        <v>6</v>
      </c>
      <c r="I534">
        <f>O534*H534</f>
        <v>14.64</v>
      </c>
      <c r="J534">
        <v>33.7</v>
      </c>
      <c r="K534">
        <v>3.2</v>
      </c>
      <c r="O534">
        <v>2.44</v>
      </c>
      <c r="P534">
        <f>PI()*J534*1/1000</f>
        <v>0.10587167242597605</v>
      </c>
      <c r="Q534" t="str">
        <v>Medium</v>
      </c>
    </row>
    <row r="535">
      <c r="C535" t="str">
        <v>P 1"x3,4</v>
      </c>
      <c r="E535" t="str">
        <v>SGJ</v>
      </c>
      <c r="H535">
        <v>6</v>
      </c>
      <c r="I535">
        <f>O535*H535</f>
        <v>15.419999999999998</v>
      </c>
      <c r="J535">
        <v>34</v>
      </c>
      <c r="K535">
        <v>3.4</v>
      </c>
      <c r="O535">
        <v>2.57</v>
      </c>
      <c r="P535">
        <f>PI()*J535*1/1000</f>
        <v>0.10681415022205297</v>
      </c>
      <c r="Q535" t="str">
        <v>Sc 40</v>
      </c>
    </row>
    <row r="536">
      <c r="C536" t="str">
        <v>P 1"x4,5</v>
      </c>
      <c r="E536" t="str">
        <v>SGJ</v>
      </c>
      <c r="H536">
        <v>6</v>
      </c>
      <c r="I536">
        <f>O536*H536</f>
        <v>19.62</v>
      </c>
      <c r="J536">
        <v>34</v>
      </c>
      <c r="K536">
        <v>4.5</v>
      </c>
      <c r="O536">
        <v>3.27</v>
      </c>
      <c r="P536">
        <f>PI()*J536*1/1000</f>
        <v>0.10681415022205297</v>
      </c>
      <c r="Q536" t="str">
        <v>Sc 80</v>
      </c>
    </row>
    <row r="537">
      <c r="C537" t="str">
        <v>P 1 1/8"x1,2</v>
      </c>
      <c r="E537" t="str">
        <v>SGJ</v>
      </c>
      <c r="H537">
        <v>6</v>
      </c>
      <c r="I537">
        <f>O537*H537</f>
        <v>4.8660000000000005</v>
      </c>
      <c r="J537">
        <v>28.6</v>
      </c>
      <c r="K537">
        <v>1.2</v>
      </c>
      <c r="O537">
        <v>0.811</v>
      </c>
      <c r="P537">
        <f>PI()*J537*1/1000</f>
        <v>0.08984954989266809</v>
      </c>
      <c r="Q537" t="str">
        <v>Conduit</v>
      </c>
    </row>
    <row r="538">
      <c r="C538" t="str">
        <v>P 1 1/4"x1,2</v>
      </c>
      <c r="E538" t="str">
        <v>SGJ</v>
      </c>
      <c r="H538">
        <v>6</v>
      </c>
      <c r="I538">
        <f>O538*H538</f>
        <v>5.436</v>
      </c>
      <c r="J538">
        <v>31.8</v>
      </c>
      <c r="K538">
        <v>1.2</v>
      </c>
      <c r="O538">
        <v>0.906</v>
      </c>
      <c r="P538">
        <f>PI()*J538*1/1000</f>
        <v>0.09990264638415541</v>
      </c>
      <c r="Q538" t="str">
        <v>Conduit</v>
      </c>
    </row>
    <row r="539">
      <c r="C539" t="str">
        <v>P 1 1/4"x2,3</v>
      </c>
      <c r="D539" t="str">
        <v>ALIM, SPINDO</v>
      </c>
      <c r="H539">
        <v>6</v>
      </c>
      <c r="I539">
        <f>O539*H539</f>
        <v>13.74</v>
      </c>
      <c r="J539">
        <v>42.7</v>
      </c>
      <c r="K539">
        <v>2.3</v>
      </c>
      <c r="O539">
        <v>2.29</v>
      </c>
      <c r="P539">
        <f>PI()*J539*1/1000</f>
        <v>0.13414600630828416</v>
      </c>
    </row>
    <row r="540">
      <c r="C540" t="str">
        <v>P 1 1/4"x2,45</v>
      </c>
      <c r="E540" t="str">
        <v>SGJ</v>
      </c>
      <c r="H540">
        <v>6</v>
      </c>
      <c r="I540">
        <f>O540*H540</f>
        <v>14.399999999999999</v>
      </c>
      <c r="J540">
        <v>42.4</v>
      </c>
      <c r="K540">
        <v>2.45</v>
      </c>
      <c r="O540">
        <v>2.4</v>
      </c>
      <c r="P540">
        <f>PI()*J540*1/1000</f>
        <v>0.1332035285122072</v>
      </c>
      <c r="Q540" t="str">
        <v>Class A</v>
      </c>
    </row>
    <row r="541">
      <c r="C541" t="str">
        <v>P 1 1/4"x2,6</v>
      </c>
      <c r="E541" t="str">
        <v>SGJ</v>
      </c>
      <c r="H541">
        <v>6</v>
      </c>
      <c r="I541">
        <f>O541*H541</f>
        <v>15.419999999999998</v>
      </c>
      <c r="J541">
        <v>42.4</v>
      </c>
      <c r="K541">
        <v>2.6</v>
      </c>
      <c r="O541">
        <v>2.57</v>
      </c>
      <c r="P541">
        <f>PI()*J541*1/1000</f>
        <v>0.1332035285122072</v>
      </c>
      <c r="Q541" t="str">
        <v>Light</v>
      </c>
    </row>
    <row r="542">
      <c r="C542" t="str">
        <v>P 1 1/4"x2,8</v>
      </c>
      <c r="D542" t="str">
        <v>ALIM, SPINDO</v>
      </c>
      <c r="H542">
        <v>6</v>
      </c>
      <c r="I542">
        <f>O542*H542</f>
        <v>16.56</v>
      </c>
      <c r="J542">
        <v>42.7</v>
      </c>
      <c r="K542">
        <v>2.8</v>
      </c>
      <c r="O542">
        <v>2.76</v>
      </c>
      <c r="P542">
        <f>PI()*J542*1/1000</f>
        <v>0.13414600630828416</v>
      </c>
    </row>
    <row r="543">
      <c r="C543" t="str">
        <v>P 1 1/4"x3,3</v>
      </c>
      <c r="E543" t="str">
        <v>SGJ</v>
      </c>
      <c r="H543">
        <v>6</v>
      </c>
      <c r="I543">
        <f>O543*H543</f>
        <v>18.84</v>
      </c>
      <c r="J543">
        <v>42.4</v>
      </c>
      <c r="K543">
        <v>3.2</v>
      </c>
      <c r="O543">
        <v>3.14</v>
      </c>
      <c r="P543">
        <f>PI()*J543*1/1000</f>
        <v>0.1332035285122072</v>
      </c>
      <c r="Q543" t="str">
        <v>Medium</v>
      </c>
    </row>
    <row r="544">
      <c r="C544" t="str">
        <v>P 1 1/4"x3,56</v>
      </c>
      <c r="D544" t="str">
        <v>SWARNA BAJA</v>
      </c>
      <c r="H544">
        <v>6</v>
      </c>
      <c r="I544">
        <f>O544*H544</f>
        <v>20.34</v>
      </c>
      <c r="J544">
        <v>42.2</v>
      </c>
      <c r="K544">
        <v>3.56</v>
      </c>
      <c r="O544">
        <v>3.39</v>
      </c>
      <c r="P544">
        <f>PI()*J544*1/1000</f>
        <v>0.13257520998148928</v>
      </c>
    </row>
    <row r="545">
      <c r="C545" t="str">
        <v>P 1 1/4"x3,6</v>
      </c>
      <c r="E545" t="str">
        <v>SGJ</v>
      </c>
      <c r="H545">
        <v>6</v>
      </c>
      <c r="I545">
        <f>O545*H545</f>
        <v>20.82</v>
      </c>
      <c r="J545">
        <v>42.7</v>
      </c>
      <c r="K545">
        <v>3.6</v>
      </c>
      <c r="O545">
        <v>3.47</v>
      </c>
      <c r="P545">
        <f>PI()*J545*1/1000</f>
        <v>0.13414600630828416</v>
      </c>
      <c r="Q545" t="str">
        <v>Sc 40</v>
      </c>
    </row>
    <row r="546">
      <c r="C546" t="str">
        <v>P 1 1/4"x4,9</v>
      </c>
      <c r="E546" t="str">
        <v>SGJ</v>
      </c>
      <c r="H546">
        <v>6</v>
      </c>
      <c r="I546">
        <f>O546*H546</f>
        <v>27.42</v>
      </c>
      <c r="J546">
        <v>42.7</v>
      </c>
      <c r="K546">
        <v>4.9</v>
      </c>
      <c r="O546">
        <v>4.57</v>
      </c>
      <c r="P546">
        <f>PI()*J546*1/1000</f>
        <v>0.13414600630828416</v>
      </c>
      <c r="Q546" t="str">
        <v>Sc 80</v>
      </c>
    </row>
    <row r="547">
      <c r="C547" t="str">
        <v>P 1 3/8"x1,2</v>
      </c>
      <c r="E547" t="str">
        <v>SGJ</v>
      </c>
      <c r="H547">
        <v>6</v>
      </c>
      <c r="I547">
        <f>O547*H547</f>
        <v>5.43</v>
      </c>
      <c r="J547">
        <v>35</v>
      </c>
      <c r="K547">
        <v>1.2</v>
      </c>
      <c r="O547">
        <v>0.905</v>
      </c>
      <c r="P547">
        <f>PI()*J547*1/1000</f>
        <v>0.10995574287564276</v>
      </c>
      <c r="Q547" t="str">
        <v>Conduit</v>
      </c>
    </row>
    <row r="548">
      <c r="C548" t="str">
        <v>P 1 3/8"x1,4</v>
      </c>
      <c r="E548" t="str">
        <v>SGJ</v>
      </c>
      <c r="H548">
        <v>6</v>
      </c>
      <c r="I548">
        <f>O548*H548</f>
        <v>6.888</v>
      </c>
      <c r="J548">
        <v>35</v>
      </c>
      <c r="K548">
        <v>1.4</v>
      </c>
      <c r="O548">
        <v>1.148</v>
      </c>
      <c r="P548">
        <f>PI()*J548*1/1000</f>
        <v>0.10995574287564276</v>
      </c>
      <c r="Q548" t="str">
        <v>Conduit</v>
      </c>
    </row>
    <row r="549">
      <c r="C549" t="str">
        <v>P 1 1/2"x1,2</v>
      </c>
      <c r="E549" t="str">
        <v>SGJ</v>
      </c>
      <c r="H549">
        <v>6</v>
      </c>
      <c r="I549">
        <f>O549*H549</f>
        <v>6.5520000000000005</v>
      </c>
      <c r="J549">
        <v>38.1</v>
      </c>
      <c r="K549">
        <v>1.2</v>
      </c>
      <c r="O549">
        <v>1.092</v>
      </c>
      <c r="P549">
        <f>PI()*J549*1/1000</f>
        <v>0.11969468010177113</v>
      </c>
      <c r="Q549" t="str">
        <v>Conduit</v>
      </c>
    </row>
    <row r="550">
      <c r="C550" t="str">
        <v>P 1 1/2"x2,3</v>
      </c>
      <c r="D550" t="str">
        <v>SPINDO</v>
      </c>
      <c r="H550">
        <v>6</v>
      </c>
      <c r="I550">
        <f>O550*H550</f>
        <v>15.78</v>
      </c>
      <c r="J550">
        <v>42.7</v>
      </c>
      <c r="K550">
        <v>2.3</v>
      </c>
      <c r="O550">
        <v>2.63</v>
      </c>
      <c r="P550">
        <f>PI()*J550*1/1000</f>
        <v>0.13414600630828416</v>
      </c>
    </row>
    <row r="551">
      <c r="C551" t="str">
        <v>P 1 1/2"x2,6</v>
      </c>
      <c r="E551" t="str">
        <v>SGJ</v>
      </c>
      <c r="H551">
        <v>6</v>
      </c>
      <c r="I551">
        <f>O551*H551</f>
        <v>17.52</v>
      </c>
      <c r="J551">
        <v>48.3</v>
      </c>
      <c r="K551">
        <v>2.6</v>
      </c>
      <c r="O551">
        <v>2.92</v>
      </c>
      <c r="P551">
        <f>PI()*J551*1/1000</f>
        <v>0.151738925168387</v>
      </c>
      <c r="Q551" t="str">
        <v>Class A</v>
      </c>
    </row>
    <row r="552">
      <c r="C552" t="str">
        <v>P 1 1/2"x2,8</v>
      </c>
      <c r="D552" t="str">
        <v>ALIM, SPINDO</v>
      </c>
      <c r="H552">
        <v>6</v>
      </c>
      <c r="I552">
        <f>O552*H552</f>
        <v>18.96</v>
      </c>
      <c r="J552">
        <v>48.6</v>
      </c>
      <c r="K552">
        <v>2.8</v>
      </c>
      <c r="O552">
        <v>3.16</v>
      </c>
      <c r="P552">
        <f>PI()*J552*1/1000</f>
        <v>0.15268140296446395</v>
      </c>
    </row>
    <row r="553">
      <c r="C553" t="str">
        <v>P 1 1/2"x2,9</v>
      </c>
      <c r="E553" t="str">
        <v>SGJ</v>
      </c>
      <c r="H553">
        <v>6</v>
      </c>
      <c r="I553">
        <f>O553*H553</f>
        <v>19.56</v>
      </c>
      <c r="J553">
        <v>48.3</v>
      </c>
      <c r="K553">
        <v>2.9</v>
      </c>
      <c r="O553">
        <v>3.26</v>
      </c>
      <c r="P553">
        <f>PI()*J553*1/1000</f>
        <v>0.151738925168387</v>
      </c>
      <c r="Q553" t="str">
        <v>Light</v>
      </c>
    </row>
    <row r="554">
      <c r="C554" t="str">
        <v>P 1 1/2"x3,2</v>
      </c>
      <c r="D554" t="str">
        <v>ALIM, SPINDO</v>
      </c>
      <c r="E554" t="str">
        <v>SGJ</v>
      </c>
      <c r="H554">
        <v>6</v>
      </c>
      <c r="I554">
        <f>O554*H554</f>
        <v>21.72</v>
      </c>
      <c r="J554">
        <v>48.3</v>
      </c>
      <c r="K554">
        <v>3.2</v>
      </c>
      <c r="O554">
        <v>3.62</v>
      </c>
      <c r="P554">
        <f>PI()*J554*1/1000</f>
        <v>0.151738925168387</v>
      </c>
      <c r="Q554" t="str">
        <v>Medium</v>
      </c>
    </row>
    <row r="555">
      <c r="C555" t="str">
        <v>P 1 1/2"x3,68</v>
      </c>
      <c r="D555" t="str">
        <v>SWARNA BAJA</v>
      </c>
      <c r="H555">
        <v>6</v>
      </c>
      <c r="I555">
        <f>O555*H555</f>
        <v>24.299999999999997</v>
      </c>
      <c r="J555">
        <v>48.3</v>
      </c>
      <c r="K555">
        <v>3.68</v>
      </c>
      <c r="O555">
        <v>4.05</v>
      </c>
      <c r="P555">
        <f>PI()*J555*1/1000</f>
        <v>0.151738925168387</v>
      </c>
    </row>
    <row r="556">
      <c r="C556" t="str">
        <v>P 1 1/2"x3,7</v>
      </c>
      <c r="E556" t="str">
        <v>SGJ</v>
      </c>
      <c r="H556">
        <v>6</v>
      </c>
      <c r="I556">
        <f>O556*H556</f>
        <v>24.599999999999998</v>
      </c>
      <c r="J556">
        <v>48.6</v>
      </c>
      <c r="K556">
        <v>3.7</v>
      </c>
      <c r="O556">
        <v>4.1</v>
      </c>
      <c r="P556">
        <f>PI()*J556*1/1000</f>
        <v>0.15268140296446395</v>
      </c>
      <c r="Q556" t="str">
        <v>Sc 40</v>
      </c>
    </row>
    <row r="557">
      <c r="C557" t="str">
        <v>P 1 1/2"x5,1</v>
      </c>
      <c r="E557" t="str">
        <v>SGJ</v>
      </c>
      <c r="H557">
        <v>6</v>
      </c>
      <c r="I557">
        <f>O557*H557</f>
        <v>32.82</v>
      </c>
      <c r="J557">
        <v>48.6</v>
      </c>
      <c r="K557">
        <v>5.1</v>
      </c>
      <c r="O557">
        <v>5.47</v>
      </c>
      <c r="P557">
        <f>PI()*J557*1/1000</f>
        <v>0.15268140296446395</v>
      </c>
      <c r="Q557" t="str">
        <v>Sc 80</v>
      </c>
    </row>
    <row r="558">
      <c r="C558" t="str">
        <v>P 1 5/8"x1,2</v>
      </c>
      <c r="E558" t="str">
        <v>SGJ</v>
      </c>
      <c r="H558">
        <v>6</v>
      </c>
      <c r="I558">
        <f>O558*H558</f>
        <v>7.116</v>
      </c>
      <c r="J558">
        <v>41.3</v>
      </c>
      <c r="K558">
        <v>1.2</v>
      </c>
      <c r="O558">
        <v>1.186</v>
      </c>
      <c r="P558">
        <f>PI()*J558*1/1000</f>
        <v>0.12974777659325842</v>
      </c>
      <c r="Q558" t="str">
        <v>Conduit</v>
      </c>
    </row>
    <row r="559">
      <c r="C559" t="str">
        <v>P 1 5/8"x1,4</v>
      </c>
      <c r="E559" t="str">
        <v>SGJ</v>
      </c>
      <c r="H559">
        <v>6</v>
      </c>
      <c r="I559">
        <f>O559*H559</f>
        <v>8.262</v>
      </c>
      <c r="J559">
        <v>41.3</v>
      </c>
      <c r="K559">
        <v>1.4</v>
      </c>
      <c r="O559">
        <v>1.377</v>
      </c>
      <c r="P559">
        <f>PI()*J559*1/1000</f>
        <v>0.12974777659325842</v>
      </c>
      <c r="Q559" t="str">
        <v>Conduit</v>
      </c>
    </row>
    <row r="560">
      <c r="C560" t="str">
        <v>P 1 3/4"x1,4</v>
      </c>
      <c r="E560" t="str">
        <v>SGJ</v>
      </c>
      <c r="H560">
        <v>6</v>
      </c>
      <c r="I560">
        <f>O560*H560</f>
        <v>8.922</v>
      </c>
      <c r="J560">
        <v>44.5</v>
      </c>
      <c r="K560">
        <v>1.4</v>
      </c>
      <c r="O560">
        <v>1.487</v>
      </c>
      <c r="P560">
        <f>PI()*J560*1/1000</f>
        <v>0.1398008730847458</v>
      </c>
      <c r="Q560" t="str">
        <v>Conduit</v>
      </c>
    </row>
    <row r="561">
      <c r="C561" t="str">
        <v>P 2"x1,4</v>
      </c>
      <c r="E561" t="str">
        <v>SGJ</v>
      </c>
      <c r="H561">
        <v>6</v>
      </c>
      <c r="I561">
        <f>O561*H561</f>
        <v>10.236</v>
      </c>
      <c r="J561">
        <v>50.8</v>
      </c>
      <c r="K561">
        <v>1.4</v>
      </c>
      <c r="O561">
        <v>1.706</v>
      </c>
      <c r="P561">
        <f>PI()*J561*1/1000</f>
        <v>0.1595929068023615</v>
      </c>
      <c r="Q561" t="str">
        <v>Conduit</v>
      </c>
    </row>
    <row r="562">
      <c r="C562" t="str">
        <v>P 2"x2,3</v>
      </c>
      <c r="D562" t="str">
        <v>SPINDO</v>
      </c>
      <c r="H562">
        <v>6</v>
      </c>
      <c r="I562">
        <f>O562*H562</f>
        <v>19.799999999999997</v>
      </c>
      <c r="J562">
        <v>60.5</v>
      </c>
      <c r="K562">
        <v>2.3</v>
      </c>
      <c r="O562">
        <v>3.3</v>
      </c>
      <c r="P562">
        <f>PI()*J562*1/1000</f>
        <v>0.19006635554218249</v>
      </c>
    </row>
    <row r="563">
      <c r="C563" t="str">
        <v>P 2"x2,6</v>
      </c>
      <c r="E563" t="str">
        <v>SGJ</v>
      </c>
      <c r="H563">
        <v>6</v>
      </c>
      <c r="I563">
        <f>O563*H563</f>
        <v>22.02</v>
      </c>
      <c r="J563">
        <v>60.2</v>
      </c>
      <c r="K563">
        <v>2.6</v>
      </c>
      <c r="O563">
        <v>3.67</v>
      </c>
      <c r="P563">
        <f>PI()*J563*1/1000</f>
        <v>0.18912387774610556</v>
      </c>
      <c r="Q563" t="str">
        <v>Class A</v>
      </c>
    </row>
    <row r="564">
      <c r="C564" t="str">
        <v>P 2"x2,8</v>
      </c>
      <c r="D564" t="str">
        <v>ALIM</v>
      </c>
      <c r="H564">
        <v>6</v>
      </c>
      <c r="I564">
        <f>O564*H564</f>
        <v>23.88</v>
      </c>
      <c r="J564">
        <v>60.5</v>
      </c>
      <c r="K564">
        <v>2.8</v>
      </c>
      <c r="O564">
        <v>3.98</v>
      </c>
      <c r="P564">
        <f>PI()*J564*1/1000</f>
        <v>0.19006635554218249</v>
      </c>
    </row>
    <row r="565">
      <c r="C565" t="str">
        <v>P 2"x2,9</v>
      </c>
      <c r="E565" t="str">
        <v>SGJ</v>
      </c>
      <c r="H565">
        <v>6</v>
      </c>
      <c r="I565">
        <f>O565*H565</f>
        <v>24.660000000000004</v>
      </c>
      <c r="J565">
        <v>60.2</v>
      </c>
      <c r="K565">
        <v>2.9</v>
      </c>
      <c r="O565">
        <v>4.11</v>
      </c>
      <c r="P565">
        <f>PI()*J565*1/1000</f>
        <v>0.18912387774610556</v>
      </c>
      <c r="Q565" t="str">
        <v>Light</v>
      </c>
    </row>
    <row r="566">
      <c r="C566" t="str">
        <v>P 2"x3,2</v>
      </c>
      <c r="D566" t="str">
        <v>ALIM, SPINDO</v>
      </c>
      <c r="H566">
        <v>6</v>
      </c>
      <c r="I566">
        <f>O566*H566</f>
        <v>27.119999999999997</v>
      </c>
      <c r="J566">
        <v>60.5</v>
      </c>
      <c r="K566">
        <v>3.2</v>
      </c>
      <c r="O566">
        <v>4.52</v>
      </c>
      <c r="P566">
        <f>PI()*J566*1/1000</f>
        <v>0.19006635554218249</v>
      </c>
    </row>
    <row r="567">
      <c r="C567" t="str">
        <v>P 2"x3,6</v>
      </c>
      <c r="E567" t="str">
        <v>SGJ</v>
      </c>
      <c r="H567">
        <v>6</v>
      </c>
      <c r="I567">
        <f>O567*H567</f>
        <v>30.54</v>
      </c>
      <c r="J567">
        <v>60.2</v>
      </c>
      <c r="K567">
        <v>3.6</v>
      </c>
      <c r="O567">
        <v>5.09</v>
      </c>
      <c r="P567">
        <f>PI()*J567*1/1000</f>
        <v>0.18912387774610556</v>
      </c>
      <c r="Q567" t="str">
        <v>Medium</v>
      </c>
    </row>
    <row r="568">
      <c r="C568" t="str">
        <v>P 2"x3,9</v>
      </c>
      <c r="E568" t="str">
        <v>SGJ</v>
      </c>
      <c r="H568">
        <v>6</v>
      </c>
      <c r="I568">
        <f>O568*H568</f>
        <v>32.64</v>
      </c>
      <c r="J568">
        <v>60.5</v>
      </c>
      <c r="K568">
        <v>3.9</v>
      </c>
      <c r="O568">
        <v>5.44</v>
      </c>
      <c r="P568">
        <f>PI()*J568*1/1000</f>
        <v>0.19006635554218249</v>
      </c>
      <c r="Q568" t="str">
        <v>Sc 40</v>
      </c>
    </row>
    <row r="569">
      <c r="C569" t="str">
        <v>P 2"x3,91</v>
      </c>
      <c r="D569" t="str">
        <v>SWARNA BAJA</v>
      </c>
      <c r="H569">
        <v>6</v>
      </c>
      <c r="I569">
        <f>O569*H569</f>
        <v>32.64</v>
      </c>
      <c r="J569">
        <v>60.3</v>
      </c>
      <c r="K569">
        <v>3.91</v>
      </c>
      <c r="O569">
        <v>5.44</v>
      </c>
      <c r="P569">
        <f>PI()*J569*1/1000</f>
        <v>0.1894380370114645</v>
      </c>
    </row>
    <row r="570">
      <c r="C570" t="str">
        <v>P 2"x4</v>
      </c>
      <c r="D570" t="str">
        <v>SPINDO</v>
      </c>
      <c r="H570">
        <v>6</v>
      </c>
      <c r="I570">
        <f>O570*H570</f>
        <v>33.42</v>
      </c>
      <c r="J570">
        <v>60.5</v>
      </c>
      <c r="K570">
        <v>4</v>
      </c>
      <c r="O570">
        <v>5.57</v>
      </c>
      <c r="P570">
        <f>PI()*J570*1/1000</f>
        <v>0.19006635554218249</v>
      </c>
    </row>
    <row r="571">
      <c r="C571" t="str">
        <v>P 2"x5,5</v>
      </c>
      <c r="E571" t="str">
        <v>SGJ</v>
      </c>
      <c r="H571">
        <v>6</v>
      </c>
      <c r="I571">
        <f>O571*H571</f>
        <v>44.76</v>
      </c>
      <c r="J571">
        <v>60.5</v>
      </c>
      <c r="K571">
        <v>5.5</v>
      </c>
      <c r="O571">
        <v>7.46</v>
      </c>
      <c r="P571">
        <f>PI()*J571*1/1000</f>
        <v>0.19006635554218249</v>
      </c>
      <c r="Q571" t="str">
        <v>Sc 80</v>
      </c>
    </row>
    <row r="572">
      <c r="C572" t="str">
        <v>P 2 1/4"x1,4</v>
      </c>
      <c r="E572" t="str">
        <v>SGJ</v>
      </c>
      <c r="H572">
        <v>6</v>
      </c>
      <c r="I572">
        <f>O572*H572</f>
        <v>11.556</v>
      </c>
      <c r="J572">
        <v>57.2</v>
      </c>
      <c r="K572">
        <v>1.4</v>
      </c>
      <c r="O572">
        <v>1.926</v>
      </c>
      <c r="P572">
        <f>PI()*J572*1/1000</f>
        <v>0.17969909978533619</v>
      </c>
      <c r="Q572" t="str">
        <v>Conduit</v>
      </c>
    </row>
    <row r="573">
      <c r="C573" t="str">
        <v>P 2 1/2"x2,8</v>
      </c>
      <c r="D573" t="str">
        <v>ALIM, SPINDO</v>
      </c>
      <c r="E573" t="str">
        <v>SGJ</v>
      </c>
      <c r="H573">
        <v>6</v>
      </c>
      <c r="I573">
        <f>O573*H573</f>
        <v>30.48</v>
      </c>
      <c r="J573">
        <v>76.3</v>
      </c>
      <c r="K573">
        <v>2.8</v>
      </c>
      <c r="O573">
        <v>5.08</v>
      </c>
      <c r="P573">
        <f>PI()*J573*1/1000</f>
        <v>0.2397035194689012</v>
      </c>
      <c r="Q573" t="str">
        <v>Stk 41</v>
      </c>
    </row>
    <row r="574">
      <c r="C574" t="str">
        <v>P 2 1/2"x3</v>
      </c>
      <c r="E574" t="str">
        <v>SGJ</v>
      </c>
      <c r="H574">
        <v>6</v>
      </c>
      <c r="I574">
        <f>O574*H574</f>
        <v>32.22</v>
      </c>
      <c r="J574">
        <v>76</v>
      </c>
      <c r="K574">
        <v>3</v>
      </c>
      <c r="O574">
        <v>5.37</v>
      </c>
      <c r="P574">
        <f>PI()*J574*1/1000</f>
        <v>0.23876104167282428</v>
      </c>
      <c r="Q574" t="str">
        <v>Class A</v>
      </c>
    </row>
    <row r="575">
      <c r="C575" t="str">
        <v>P 2 1/2"x3,2</v>
      </c>
      <c r="D575" t="str">
        <v>ALIM, SPINDO</v>
      </c>
      <c r="E575" t="str">
        <v>SGJ</v>
      </c>
      <c r="H575">
        <v>6</v>
      </c>
      <c r="I575">
        <f>O575*H575</f>
        <v>34.8</v>
      </c>
      <c r="J575">
        <v>76.3</v>
      </c>
      <c r="K575">
        <v>3.2</v>
      </c>
      <c r="O575">
        <v>5.8</v>
      </c>
      <c r="P575">
        <f>PI()*J575*1/1000</f>
        <v>0.2397035194689012</v>
      </c>
      <c r="Q575" t="str">
        <v>Stk 41 - Light</v>
      </c>
    </row>
    <row r="576">
      <c r="C576" t="str">
        <v>P 2 1/2"x3,6</v>
      </c>
      <c r="E576" t="str">
        <v>SGJ</v>
      </c>
      <c r="H576">
        <v>6</v>
      </c>
      <c r="I576">
        <f>O576*H576</f>
        <v>39.12</v>
      </c>
      <c r="J576">
        <v>76</v>
      </c>
      <c r="K576">
        <v>3.6</v>
      </c>
      <c r="O576">
        <v>6.52</v>
      </c>
      <c r="P576">
        <f>PI()*J576*1/1000</f>
        <v>0.23876104167282428</v>
      </c>
      <c r="Q576" t="str">
        <v>Medium</v>
      </c>
    </row>
    <row r="577">
      <c r="C577" t="str">
        <v>P 2 1/2"x4</v>
      </c>
      <c r="D577" t="str">
        <v>SPINDO</v>
      </c>
      <c r="H577">
        <v>6</v>
      </c>
      <c r="I577">
        <f>O577*H577</f>
        <v>42.78</v>
      </c>
      <c r="J577">
        <v>76.3</v>
      </c>
      <c r="K577">
        <v>4</v>
      </c>
      <c r="O577">
        <v>7.13</v>
      </c>
      <c r="P577">
        <f>PI()*J577*1/1000</f>
        <v>0.2397035194689012</v>
      </c>
    </row>
    <row r="578">
      <c r="C578" t="str">
        <v>P 2 1/2"x5,16</v>
      </c>
      <c r="D578" t="str">
        <v>SWARNA BAJA</v>
      </c>
      <c r="H578">
        <v>6</v>
      </c>
      <c r="I578">
        <f>O578*H578</f>
        <v>51.78</v>
      </c>
      <c r="J578">
        <v>73</v>
      </c>
      <c r="K578">
        <v>5.16</v>
      </c>
      <c r="O578">
        <v>8.63</v>
      </c>
      <c r="P578">
        <f>PI()*J578*1/1000</f>
        <v>0.2293362637120549</v>
      </c>
    </row>
    <row r="579">
      <c r="C579" t="str">
        <v>P 2 1/2"x5,2</v>
      </c>
      <c r="E579" t="str">
        <v>SGJ</v>
      </c>
      <c r="H579">
        <v>6</v>
      </c>
      <c r="I579">
        <f>O579*H579</f>
        <v>54.72</v>
      </c>
      <c r="J579">
        <v>76.3</v>
      </c>
      <c r="K579">
        <v>5.2</v>
      </c>
      <c r="O579">
        <v>9.12</v>
      </c>
      <c r="P579">
        <f>PI()*J579*1/1000</f>
        <v>0.2397035194689012</v>
      </c>
      <c r="Q579" t="str">
        <v>Sc 40</v>
      </c>
    </row>
    <row r="580">
      <c r="C580" t="str">
        <v>P 2 1/2"x7</v>
      </c>
      <c r="E580" t="str">
        <v>SGJ</v>
      </c>
      <c r="H580">
        <v>6</v>
      </c>
      <c r="I580">
        <f>O580*H580</f>
        <v>72</v>
      </c>
      <c r="J580">
        <v>76.3</v>
      </c>
      <c r="K580">
        <v>7</v>
      </c>
      <c r="O580">
        <v>12</v>
      </c>
      <c r="P580">
        <f>PI()*J580*1/1000</f>
        <v>0.2397035194689012</v>
      </c>
      <c r="Q580" t="str">
        <v>Sc 80</v>
      </c>
    </row>
    <row r="581">
      <c r="C581" t="str">
        <v>P 3"x2,8</v>
      </c>
      <c r="D581" t="str">
        <v>SPINDO</v>
      </c>
      <c r="H581">
        <v>6</v>
      </c>
      <c r="I581">
        <f>O581*H581</f>
        <v>35.76</v>
      </c>
      <c r="J581">
        <v>89.1</v>
      </c>
      <c r="K581">
        <v>2.8</v>
      </c>
      <c r="O581">
        <v>5.96</v>
      </c>
      <c r="P581">
        <f>PI()*J581*1/1000</f>
        <v>0.27991590543485056</v>
      </c>
    </row>
    <row r="582">
      <c r="C582" t="str">
        <v>P 3"x3</v>
      </c>
      <c r="E582" t="str">
        <v>SGJ</v>
      </c>
      <c r="H582">
        <v>6</v>
      </c>
      <c r="I582">
        <f>O582*H582</f>
        <v>37.86</v>
      </c>
      <c r="J582">
        <v>88.7</v>
      </c>
      <c r="K582">
        <v>3</v>
      </c>
      <c r="O582">
        <v>6.31</v>
      </c>
      <c r="P582">
        <f>PI()*J582*1/1000</f>
        <v>0.27865926837341465</v>
      </c>
      <c r="Q582" t="str">
        <v>Class A</v>
      </c>
    </row>
    <row r="583">
      <c r="C583" t="str">
        <v>P 3"x3,18</v>
      </c>
      <c r="D583" t="str">
        <v>SWARNA BAJA</v>
      </c>
      <c r="H583">
        <v>6</v>
      </c>
      <c r="I583">
        <f>O583*H583</f>
        <v>40.32</v>
      </c>
      <c r="J583">
        <v>88.9</v>
      </c>
      <c r="K583">
        <v>3.18</v>
      </c>
      <c r="O583">
        <v>6.72</v>
      </c>
      <c r="P583">
        <f>PI()*J583*1/1000</f>
        <v>0.27928758690413263</v>
      </c>
    </row>
    <row r="584">
      <c r="C584" t="str">
        <v>P 3"x3,2</v>
      </c>
      <c r="D584" t="str">
        <v>ALIM, SPINDO</v>
      </c>
      <c r="E584" t="str">
        <v>SGJ</v>
      </c>
      <c r="H584">
        <v>6</v>
      </c>
      <c r="I584">
        <f>O584*H584</f>
        <v>40.92</v>
      </c>
      <c r="J584">
        <v>89.1</v>
      </c>
      <c r="K584">
        <v>3.2</v>
      </c>
      <c r="O584">
        <v>6.82</v>
      </c>
      <c r="P584">
        <f>PI()*J584*1/1000</f>
        <v>0.27991590543485056</v>
      </c>
      <c r="Q584" t="str">
        <v>Stk 41 - Light</v>
      </c>
    </row>
    <row r="585">
      <c r="C585" t="str">
        <v>P 3"x3,96</v>
      </c>
      <c r="D585" t="str">
        <v>SWARNA BAJA</v>
      </c>
      <c r="H585">
        <v>6</v>
      </c>
      <c r="I585">
        <f>O585*H585</f>
        <v>49.739999999999995</v>
      </c>
      <c r="J585">
        <v>88.9</v>
      </c>
      <c r="K585">
        <v>3.96</v>
      </c>
      <c r="O585">
        <v>8.29</v>
      </c>
      <c r="P585">
        <f>PI()*J585*1/1000</f>
        <v>0.27928758690413263</v>
      </c>
    </row>
    <row r="586">
      <c r="C586" t="str">
        <v>P 3"x4</v>
      </c>
      <c r="D586" t="str">
        <v>ALIM, SPINDO</v>
      </c>
      <c r="E586" t="str">
        <v>SGJ</v>
      </c>
      <c r="H586">
        <v>6</v>
      </c>
      <c r="I586">
        <f>O586*H586</f>
        <v>50.82000000000001</v>
      </c>
      <c r="J586">
        <v>88.7</v>
      </c>
      <c r="K586">
        <v>4</v>
      </c>
      <c r="O586">
        <v>8.47</v>
      </c>
      <c r="P586">
        <f>PI()*J586*1/1000</f>
        <v>0.27865926837341465</v>
      </c>
      <c r="Q586" t="str">
        <v>Medium</v>
      </c>
    </row>
    <row r="587">
      <c r="C587" t="str">
        <v>P 3"x4 Roll</v>
      </c>
      <c r="D587" t="str">
        <v>ALIM, SPINDO</v>
      </c>
      <c r="E587" t="str">
        <v>SGJ</v>
      </c>
      <c r="H587">
        <v>6</v>
      </c>
      <c r="I587">
        <f>O587*H587</f>
        <v>50.82000000000001</v>
      </c>
      <c r="J587">
        <v>88.7</v>
      </c>
      <c r="K587">
        <v>4</v>
      </c>
      <c r="O587">
        <v>8.47</v>
      </c>
      <c r="P587">
        <f>PI()*J587*1/1000</f>
        <v>0.27865926837341465</v>
      </c>
      <c r="Q587" t="str">
        <v>Medium</v>
      </c>
    </row>
    <row r="588">
      <c r="C588" t="str">
        <v>P 3"x4,78</v>
      </c>
      <c r="D588" t="str">
        <v>SWARNA BAJA</v>
      </c>
      <c r="H588">
        <v>6</v>
      </c>
      <c r="I588">
        <f>O588*H588</f>
        <v>59.519999999999996</v>
      </c>
      <c r="J588">
        <v>88.9</v>
      </c>
      <c r="K588">
        <v>4.78</v>
      </c>
      <c r="O588">
        <v>9.92</v>
      </c>
      <c r="P588">
        <f>PI()*J588*1/1000</f>
        <v>0.27928758690413263</v>
      </c>
    </row>
    <row r="589">
      <c r="C589" t="str">
        <v>P 3"x5,49</v>
      </c>
      <c r="D589" t="str">
        <v>SWARNA BAJA</v>
      </c>
      <c r="H589">
        <v>6</v>
      </c>
      <c r="I589">
        <f>O589*H589</f>
        <v>67.74</v>
      </c>
      <c r="J589">
        <v>88.9</v>
      </c>
      <c r="K589">
        <v>5.49</v>
      </c>
      <c r="O589">
        <v>11.29</v>
      </c>
      <c r="P589">
        <f>PI()*J589*1/1000</f>
        <v>0.27928758690413263</v>
      </c>
    </row>
    <row r="590">
      <c r="C590" t="str">
        <v>P 3"x5,5</v>
      </c>
      <c r="E590" t="str">
        <v>SGJ</v>
      </c>
      <c r="H590">
        <v>6</v>
      </c>
      <c r="I590">
        <f>O590*H590</f>
        <v>67.80000000000001</v>
      </c>
      <c r="J590">
        <v>89.1</v>
      </c>
      <c r="K590">
        <v>5.5</v>
      </c>
      <c r="O590">
        <v>11.3</v>
      </c>
      <c r="P590">
        <f>PI()*J590*1/1000</f>
        <v>0.27991590543485056</v>
      </c>
      <c r="Q590" t="str">
        <v>Sc 40</v>
      </c>
    </row>
    <row r="591">
      <c r="C591" t="str">
        <v>P 3"x7,6</v>
      </c>
      <c r="E591" t="str">
        <v>SGJ</v>
      </c>
      <c r="H591">
        <v>6</v>
      </c>
      <c r="I591">
        <f>O591*H591</f>
        <v>91.80000000000001</v>
      </c>
      <c r="J591">
        <v>89.1</v>
      </c>
      <c r="K591">
        <v>7.6</v>
      </c>
      <c r="O591">
        <v>15.3</v>
      </c>
      <c r="P591">
        <f>PI()*J591*1/1000</f>
        <v>0.27991590543485056</v>
      </c>
      <c r="Q591" t="str">
        <v>Sc 80</v>
      </c>
    </row>
    <row r="592">
      <c r="C592" t="str">
        <v>P 4"x3,18</v>
      </c>
      <c r="D592" t="str">
        <v>SWARNA BAJA</v>
      </c>
      <c r="H592">
        <v>6</v>
      </c>
      <c r="I592">
        <f>O592*H592</f>
        <v>52.260000000000005</v>
      </c>
      <c r="J592">
        <v>114.3</v>
      </c>
      <c r="K592">
        <v>3.18</v>
      </c>
      <c r="O592">
        <v>8.71</v>
      </c>
      <c r="P592">
        <f>PI()*J592*1/1000</f>
        <v>0.3590840403053134</v>
      </c>
    </row>
    <row r="593">
      <c r="C593" t="str">
        <v>P 4"x3,2</v>
      </c>
      <c r="D593" t="str">
        <v>SPINDO</v>
      </c>
      <c r="H593">
        <v>6</v>
      </c>
      <c r="I593">
        <f>O593*H593</f>
        <v>52.62</v>
      </c>
      <c r="J593">
        <v>114.3</v>
      </c>
      <c r="K593">
        <v>3.2</v>
      </c>
      <c r="O593">
        <v>8.77</v>
      </c>
      <c r="P593">
        <f>PI()*J593*1/1000</f>
        <v>0.3590840403053134</v>
      </c>
    </row>
    <row r="594">
      <c r="C594" t="str">
        <v>P 4"x3,25</v>
      </c>
      <c r="E594" t="str">
        <v>SGJ</v>
      </c>
      <c r="H594">
        <v>6</v>
      </c>
      <c r="I594">
        <f>O594*H594</f>
        <v>52.980000000000004</v>
      </c>
      <c r="J594">
        <v>113.9</v>
      </c>
      <c r="K594">
        <v>3.25</v>
      </c>
      <c r="O594">
        <v>8.83</v>
      </c>
      <c r="P594">
        <f>PI()*J594*1/1000</f>
        <v>0.3578274032438774</v>
      </c>
      <c r="Q594" t="str">
        <v>Class A</v>
      </c>
    </row>
    <row r="595">
      <c r="C595" t="str">
        <v>P 4"x3,5</v>
      </c>
      <c r="D595" t="str">
        <v>ALIM, SPINDO</v>
      </c>
      <c r="E595" t="str">
        <v>SGJ</v>
      </c>
      <c r="H595">
        <v>6</v>
      </c>
      <c r="I595">
        <f>O595*H595</f>
        <v>57.36</v>
      </c>
      <c r="J595">
        <v>114.3</v>
      </c>
      <c r="K595">
        <v>3.5</v>
      </c>
      <c r="O595">
        <v>9.56</v>
      </c>
      <c r="P595">
        <f>PI()*J595*1/1000</f>
        <v>0.3590840403053134</v>
      </c>
      <c r="Q595" t="str">
        <v>Stk 41</v>
      </c>
    </row>
    <row r="596">
      <c r="C596" t="str">
        <v>P 4"x3,6</v>
      </c>
      <c r="E596" t="str">
        <v>SGJ</v>
      </c>
      <c r="H596">
        <v>6</v>
      </c>
      <c r="I596">
        <f>O596*H596</f>
        <v>59.28</v>
      </c>
      <c r="J596">
        <v>113.9</v>
      </c>
      <c r="K596">
        <v>3.6</v>
      </c>
      <c r="O596">
        <v>9.88</v>
      </c>
      <c r="P596">
        <f>PI()*J596*1/1000</f>
        <v>0.3578274032438774</v>
      </c>
      <c r="Q596" t="str">
        <v>Light</v>
      </c>
    </row>
    <row r="597">
      <c r="C597" t="str">
        <v>P 4"x3,96</v>
      </c>
      <c r="D597" t="str">
        <v>SWARNA BAJA</v>
      </c>
      <c r="H597">
        <v>6</v>
      </c>
      <c r="I597">
        <f>O597*H597</f>
        <v>64.67999999999999</v>
      </c>
      <c r="J597">
        <v>114.3</v>
      </c>
      <c r="K597">
        <v>3.96</v>
      </c>
      <c r="O597">
        <v>10.78</v>
      </c>
      <c r="P597">
        <f>PI()*J597*1/1000</f>
        <v>0.3590840403053134</v>
      </c>
    </row>
    <row r="598">
      <c r="C598" t="str">
        <v>P 4"x4,5</v>
      </c>
      <c r="D598" t="str">
        <v>ALIM, SPINDO</v>
      </c>
      <c r="E598" t="str">
        <v>SGJ</v>
      </c>
      <c r="H598">
        <v>6</v>
      </c>
      <c r="I598">
        <f>O598*H598</f>
        <v>73.19999999999999</v>
      </c>
      <c r="J598">
        <v>114.3</v>
      </c>
      <c r="K598">
        <v>4.5</v>
      </c>
      <c r="O598">
        <v>12.2</v>
      </c>
      <c r="P598">
        <f>PI()*J598*1/1000</f>
        <v>0.3590840403053134</v>
      </c>
      <c r="Q598" t="str">
        <v>Stk 41 - Medium</v>
      </c>
    </row>
    <row r="599">
      <c r="C599" t="str">
        <v>P 4"x4,78</v>
      </c>
      <c r="D599" t="str">
        <v>SWARNA BAJA</v>
      </c>
      <c r="H599">
        <v>6</v>
      </c>
      <c r="I599">
        <f>O599*H599</f>
        <v>77.46000000000001</v>
      </c>
      <c r="J599">
        <v>114.3</v>
      </c>
      <c r="K599">
        <v>4.78</v>
      </c>
      <c r="O599">
        <v>12.91</v>
      </c>
      <c r="P599">
        <f>PI()*J599*1/1000</f>
        <v>0.3590840403053134</v>
      </c>
    </row>
    <row r="600">
      <c r="C600" t="str">
        <v>P 4"x5,56</v>
      </c>
      <c r="D600" t="str">
        <v>SWARNA BAJA</v>
      </c>
      <c r="H600">
        <v>6</v>
      </c>
      <c r="I600">
        <f>O600*H600</f>
        <v>89.46000000000001</v>
      </c>
      <c r="J600">
        <v>114.3</v>
      </c>
      <c r="K600">
        <v>5.56</v>
      </c>
      <c r="O600">
        <v>14.91</v>
      </c>
      <c r="P600">
        <f>PI()*J600*1/1000</f>
        <v>0.3590840403053134</v>
      </c>
    </row>
    <row r="601">
      <c r="C601" t="str">
        <v>P 4"x5,6</v>
      </c>
      <c r="D601" t="str">
        <v>SPINDO</v>
      </c>
      <c r="H601">
        <v>6</v>
      </c>
      <c r="I601">
        <f>O601*H601</f>
        <v>90</v>
      </c>
      <c r="J601">
        <v>114.3</v>
      </c>
      <c r="K601">
        <v>5.6</v>
      </c>
      <c r="O601">
        <v>15</v>
      </c>
      <c r="P601">
        <f>PI()*J601*1/1000</f>
        <v>0.3590840403053134</v>
      </c>
    </row>
    <row r="602">
      <c r="C602" t="str">
        <v>P 4"x6</v>
      </c>
      <c r="E602" t="str">
        <v>SGJ</v>
      </c>
      <c r="H602">
        <v>6</v>
      </c>
      <c r="I602">
        <f>O602*H602</f>
        <v>96</v>
      </c>
      <c r="J602">
        <v>114.3</v>
      </c>
      <c r="K602">
        <v>6</v>
      </c>
      <c r="O602">
        <v>16</v>
      </c>
      <c r="P602">
        <f>PI()*J602*1/1000</f>
        <v>0.3590840403053134</v>
      </c>
      <c r="Q602" t="str">
        <v>Sc 40</v>
      </c>
    </row>
    <row r="603">
      <c r="C603" t="str">
        <v>P 4"x6,02</v>
      </c>
      <c r="D603" t="str">
        <v>SWARNA BAJA</v>
      </c>
      <c r="H603">
        <v>6</v>
      </c>
      <c r="I603">
        <f>O603*H603</f>
        <v>96.42</v>
      </c>
      <c r="J603">
        <v>114.3</v>
      </c>
      <c r="K603">
        <v>6.02</v>
      </c>
      <c r="O603">
        <v>16.07</v>
      </c>
      <c r="P603">
        <f>PI()*J603*1/1000</f>
        <v>0.3590840403053134</v>
      </c>
    </row>
    <row r="604">
      <c r="C604" t="str">
        <v>P 4"x8,6</v>
      </c>
      <c r="E604" t="str">
        <v>SGJ</v>
      </c>
      <c r="H604">
        <v>6</v>
      </c>
      <c r="I604">
        <f>O604*H604</f>
        <v>134.39999999999998</v>
      </c>
      <c r="J604">
        <v>114.3</v>
      </c>
      <c r="K604">
        <v>8.6</v>
      </c>
      <c r="O604">
        <v>22.4</v>
      </c>
      <c r="P604">
        <f>PI()*J604*1/1000</f>
        <v>0.3590840403053134</v>
      </c>
      <c r="Q604" t="str">
        <v>Sc 80</v>
      </c>
    </row>
    <row r="605">
      <c r="C605" t="str">
        <v>P 5"x3,6</v>
      </c>
      <c r="D605" t="str">
        <v>SPINDO</v>
      </c>
      <c r="E605" t="str">
        <v>SGJ</v>
      </c>
      <c r="H605">
        <v>6</v>
      </c>
      <c r="I605">
        <f>O605*H605</f>
        <v>73.02</v>
      </c>
      <c r="J605">
        <v>140.6</v>
      </c>
      <c r="K605">
        <v>3.6</v>
      </c>
      <c r="O605">
        <v>12.17</v>
      </c>
      <c r="P605">
        <f>PI()*J605*1/1000</f>
        <v>0.4417079270947249</v>
      </c>
      <c r="Q605" t="str">
        <v>Class A</v>
      </c>
    </row>
    <row r="606">
      <c r="C606" t="str">
        <v>P 5"x3,96</v>
      </c>
      <c r="D606" t="str">
        <v>SWARNA BAJA</v>
      </c>
      <c r="H606">
        <v>6</v>
      </c>
      <c r="I606">
        <f>O606*H606</f>
        <v>80.46000000000001</v>
      </c>
      <c r="J606">
        <v>141.3</v>
      </c>
      <c r="K606">
        <v>3.96</v>
      </c>
      <c r="O606">
        <v>13.41</v>
      </c>
      <c r="P606">
        <f>PI()*J606*1/1000</f>
        <v>0.44390704195223785</v>
      </c>
    </row>
    <row r="607">
      <c r="C607" t="str">
        <v>P 5"x4</v>
      </c>
      <c r="D607" t="str">
        <v>SPINDO</v>
      </c>
      <c r="H607">
        <v>6</v>
      </c>
      <c r="I607">
        <f>O607*H607</f>
        <v>80.4</v>
      </c>
      <c r="J607">
        <v>139.8</v>
      </c>
      <c r="K607">
        <v>4</v>
      </c>
      <c r="O607">
        <v>13.4</v>
      </c>
      <c r="P607">
        <f>PI()*J607*1/1000</f>
        <v>0.43919465297185306</v>
      </c>
    </row>
    <row r="608">
      <c r="C608" t="str">
        <v>P 5"x4,5</v>
      </c>
      <c r="D608" t="str">
        <v>ALIM, SPINDO</v>
      </c>
      <c r="E608" t="str">
        <v>SGJ</v>
      </c>
      <c r="H608">
        <v>6</v>
      </c>
      <c r="I608">
        <f>O608*H608</f>
        <v>90</v>
      </c>
      <c r="J608">
        <v>139.8</v>
      </c>
      <c r="K608">
        <v>4.5</v>
      </c>
      <c r="O608">
        <v>15</v>
      </c>
      <c r="P608">
        <f>PI()*J608*1/1000</f>
        <v>0.43919465297185306</v>
      </c>
      <c r="Q608" t="str">
        <v>Stk 41</v>
      </c>
    </row>
    <row r="609">
      <c r="C609" t="str">
        <v>P 5"x4,78</v>
      </c>
      <c r="D609" t="str">
        <v>SWARNA BAJA</v>
      </c>
      <c r="H609">
        <v>6</v>
      </c>
      <c r="I609">
        <f>O609*H609</f>
        <v>96.53999999999999</v>
      </c>
      <c r="J609">
        <v>141.3</v>
      </c>
      <c r="K609">
        <v>4.78</v>
      </c>
      <c r="O609">
        <v>16.09</v>
      </c>
      <c r="P609">
        <f>PI()*J609*1/1000</f>
        <v>0.44390704195223785</v>
      </c>
    </row>
    <row r="610">
      <c r="C610" t="str">
        <v>P 5"x4,8</v>
      </c>
      <c r="E610" t="str">
        <v>SGJ</v>
      </c>
      <c r="H610">
        <v>6</v>
      </c>
      <c r="I610">
        <f>O610*H610</f>
        <v>97.19999999999999</v>
      </c>
      <c r="J610">
        <v>140.6</v>
      </c>
      <c r="K610">
        <v>4.8</v>
      </c>
      <c r="O610">
        <v>16.2</v>
      </c>
      <c r="P610">
        <f>PI()*J610*1/1000</f>
        <v>0.4417079270947249</v>
      </c>
      <c r="Q610" t="str">
        <v>Medium</v>
      </c>
    </row>
    <row r="611">
      <c r="C611" t="str">
        <v>P 5"x5,56</v>
      </c>
      <c r="D611" t="str">
        <v>SWARNA BAJA</v>
      </c>
      <c r="H611">
        <v>6</v>
      </c>
      <c r="I611">
        <f>O611*H611</f>
        <v>111.66</v>
      </c>
      <c r="J611">
        <v>141.3</v>
      </c>
      <c r="K611">
        <v>5.56</v>
      </c>
      <c r="O611">
        <v>18.61</v>
      </c>
      <c r="P611">
        <f>PI()*J611*1/1000</f>
        <v>0.44390704195223785</v>
      </c>
    </row>
    <row r="612">
      <c r="C612" t="str">
        <v>P 5"x6</v>
      </c>
      <c r="D612" t="str">
        <v>ALIM, SPINDO</v>
      </c>
      <c r="H612">
        <v>6</v>
      </c>
      <c r="I612">
        <f>O612*H612</f>
        <v>118.80000000000001</v>
      </c>
      <c r="J612">
        <v>139.8</v>
      </c>
      <c r="K612">
        <v>6</v>
      </c>
      <c r="O612">
        <v>19.8</v>
      </c>
      <c r="P612">
        <f>PI()*J612*1/1000</f>
        <v>0.43919465297185306</v>
      </c>
    </row>
    <row r="613">
      <c r="C613" t="str">
        <v>P 5"x6,55</v>
      </c>
      <c r="D613" t="str">
        <v>SWARNA BAJA</v>
      </c>
      <c r="H613">
        <v>6</v>
      </c>
      <c r="I613">
        <f>O613*H613</f>
        <v>130.62</v>
      </c>
      <c r="J613">
        <v>141.3</v>
      </c>
      <c r="K613">
        <v>6.55</v>
      </c>
      <c r="O613">
        <v>21.77</v>
      </c>
      <c r="P613">
        <f>PI()*J613*1/1000</f>
        <v>0.44390704195223785</v>
      </c>
    </row>
    <row r="614">
      <c r="C614" t="str">
        <v>P 5"x6,6</v>
      </c>
      <c r="E614" t="str">
        <v>SGJ</v>
      </c>
      <c r="H614">
        <v>6</v>
      </c>
      <c r="I614">
        <f>O614*H614</f>
        <v>130.2</v>
      </c>
      <c r="J614">
        <v>139.8</v>
      </c>
      <c r="K614">
        <v>6.6</v>
      </c>
      <c r="O614">
        <v>21.7</v>
      </c>
      <c r="P614">
        <f>PI()*J614*1/1000</f>
        <v>0.43919465297185306</v>
      </c>
      <c r="Q614" t="str">
        <v>Sc 40</v>
      </c>
    </row>
    <row r="615">
      <c r="C615" t="str">
        <v>P 5"x9,5</v>
      </c>
      <c r="E615" t="str">
        <v>SGJ</v>
      </c>
      <c r="H615">
        <v>6</v>
      </c>
      <c r="I615">
        <f>O615*H615</f>
        <v>183</v>
      </c>
      <c r="J615">
        <v>139.8</v>
      </c>
      <c r="K615">
        <v>9.5</v>
      </c>
      <c r="O615">
        <v>30.5</v>
      </c>
      <c r="P615">
        <f>PI()*J615*1/1000</f>
        <v>0.43919465297185306</v>
      </c>
      <c r="Q615" t="str">
        <v>Sc 80</v>
      </c>
    </row>
    <row r="616">
      <c r="C616" t="str">
        <v>P 6"x3,6</v>
      </c>
      <c r="E616" t="str">
        <v>SGJ</v>
      </c>
      <c r="H616">
        <v>6</v>
      </c>
      <c r="I616">
        <f>O616*H616</f>
        <v>86.58</v>
      </c>
      <c r="J616">
        <v>166.1</v>
      </c>
      <c r="K616">
        <v>3.6</v>
      </c>
      <c r="O616">
        <v>14.43</v>
      </c>
      <c r="P616">
        <f>PI()*J616*1/1000</f>
        <v>0.5218185397612647</v>
      </c>
      <c r="Q616" t="str">
        <v>Class A</v>
      </c>
    </row>
    <row r="617">
      <c r="C617" t="str">
        <v>P 6"x4,5</v>
      </c>
      <c r="D617" t="str">
        <v>ALIM, SPINDO</v>
      </c>
      <c r="E617" t="str">
        <v>SGJ</v>
      </c>
      <c r="H617">
        <v>6</v>
      </c>
      <c r="I617">
        <f>O617*H617</f>
        <v>106.80000000000001</v>
      </c>
      <c r="J617">
        <v>165.2</v>
      </c>
      <c r="K617">
        <v>4.5</v>
      </c>
      <c r="O617">
        <v>17.8</v>
      </c>
      <c r="P617">
        <f>PI()*J617*1/1000</f>
        <v>0.5189911063730337</v>
      </c>
      <c r="Q617" t="str">
        <v>Stk 41</v>
      </c>
    </row>
    <row r="618">
      <c r="C618" t="str">
        <v>P 6"x4,78</v>
      </c>
      <c r="D618" t="str">
        <v>SWARNA BAJA</v>
      </c>
      <c r="H618">
        <v>6</v>
      </c>
      <c r="I618">
        <f>O618*H618</f>
        <v>115.62</v>
      </c>
      <c r="J618">
        <v>168.3</v>
      </c>
      <c r="K618">
        <v>4.78</v>
      </c>
      <c r="O618">
        <v>19.27</v>
      </c>
      <c r="P618">
        <f>PI()*J618*1/1000</f>
        <v>0.5287300435991622</v>
      </c>
    </row>
    <row r="619">
      <c r="C619" t="str">
        <v>P 6"x4,8</v>
      </c>
      <c r="E619" t="str">
        <v>SGJ</v>
      </c>
      <c r="H619">
        <v>6</v>
      </c>
      <c r="I619">
        <f>O619*H619</f>
        <v>115.19999999999999</v>
      </c>
      <c r="J619">
        <v>166.1</v>
      </c>
      <c r="K619">
        <v>4.8</v>
      </c>
      <c r="O619">
        <v>19.2</v>
      </c>
      <c r="P619">
        <f>PI()*J619*1/1000</f>
        <v>0.5218185397612647</v>
      </c>
      <c r="Q619" t="str">
        <v>Medium</v>
      </c>
    </row>
    <row r="620">
      <c r="C620" t="str">
        <v>P 6"x5</v>
      </c>
      <c r="D620" t="str">
        <v>ALIM, SPINDO</v>
      </c>
      <c r="E620" t="str">
        <v>SGJ</v>
      </c>
      <c r="H620">
        <v>6</v>
      </c>
      <c r="I620">
        <f>O620*H620</f>
        <v>118.80000000000001</v>
      </c>
      <c r="J620">
        <v>165.2</v>
      </c>
      <c r="K620">
        <v>5</v>
      </c>
      <c r="O620">
        <v>19.8</v>
      </c>
      <c r="P620">
        <f>PI()*J620*1/1000</f>
        <v>0.5189911063730337</v>
      </c>
      <c r="Q620" t="str">
        <v>Stk 41</v>
      </c>
    </row>
    <row r="621">
      <c r="C621" t="str">
        <v>P 6"x5,56</v>
      </c>
      <c r="D621" t="str">
        <v>SWARNA BAJA</v>
      </c>
      <c r="H621">
        <v>6</v>
      </c>
      <c r="I621">
        <f>O621*H621</f>
        <v>133.85999999999999</v>
      </c>
      <c r="J621">
        <v>168.3</v>
      </c>
      <c r="K621">
        <v>5.56</v>
      </c>
      <c r="O621">
        <v>22.31</v>
      </c>
      <c r="P621">
        <f>PI()*J621*1/1000</f>
        <v>0.5287300435991622</v>
      </c>
    </row>
    <row r="622">
      <c r="C622" t="str">
        <v>P 6"x6</v>
      </c>
      <c r="D622" t="str">
        <v>ALIM, SPINDO</v>
      </c>
      <c r="H622">
        <v>6</v>
      </c>
      <c r="I622">
        <f>O622*H622</f>
        <v>141.60000000000002</v>
      </c>
      <c r="J622">
        <v>165.2</v>
      </c>
      <c r="K622">
        <v>6</v>
      </c>
      <c r="O622">
        <v>23.6</v>
      </c>
      <c r="P622">
        <f>PI()*J622*1/1000</f>
        <v>0.5189911063730337</v>
      </c>
    </row>
    <row r="623">
      <c r="C623" t="str">
        <v>P 6"x6,35</v>
      </c>
      <c r="D623" t="str">
        <v>SWARNA BAJA</v>
      </c>
      <c r="H623">
        <v>6</v>
      </c>
      <c r="I623">
        <f>O623*H623</f>
        <v>152.16</v>
      </c>
      <c r="J623">
        <v>168.3</v>
      </c>
      <c r="K623">
        <v>6.35</v>
      </c>
      <c r="O623">
        <v>25.36</v>
      </c>
      <c r="P623">
        <f>PI()*J623*1/1000</f>
        <v>0.5287300435991622</v>
      </c>
    </row>
    <row r="624">
      <c r="C624" t="str">
        <v>P 6"x7</v>
      </c>
      <c r="D624" t="str">
        <v>SPINDO</v>
      </c>
      <c r="H624">
        <v>6</v>
      </c>
      <c r="I624">
        <f>O624*H624</f>
        <v>163.8</v>
      </c>
      <c r="J624">
        <v>165.2</v>
      </c>
      <c r="K624">
        <v>7</v>
      </c>
      <c r="O624">
        <v>27.3</v>
      </c>
      <c r="P624">
        <f>PI()*J624*1/1000</f>
        <v>0.5189911063730337</v>
      </c>
    </row>
    <row r="625">
      <c r="C625" t="str">
        <v>P 6"x7,1</v>
      </c>
      <c r="E625" t="str">
        <v>SGJ</v>
      </c>
      <c r="H625">
        <v>6</v>
      </c>
      <c r="I625">
        <f>O625*H625</f>
        <v>166.2</v>
      </c>
      <c r="J625">
        <v>165.2</v>
      </c>
      <c r="K625">
        <v>7.1</v>
      </c>
      <c r="O625">
        <v>27.7</v>
      </c>
      <c r="P625">
        <f>PI()*J625*1/1000</f>
        <v>0.5189911063730337</v>
      </c>
      <c r="Q625" t="str">
        <v>Sc 40</v>
      </c>
    </row>
    <row r="626">
      <c r="C626" t="str">
        <v>P 6"x7,11</v>
      </c>
      <c r="D626" t="str">
        <v>SWARNA BAJA</v>
      </c>
      <c r="H626">
        <v>6</v>
      </c>
      <c r="I626">
        <f>O626*H626</f>
        <v>169.56</v>
      </c>
      <c r="J626">
        <v>168.3</v>
      </c>
      <c r="K626">
        <v>7.11</v>
      </c>
      <c r="O626">
        <v>28.26</v>
      </c>
      <c r="P626">
        <f>PI()*J626*1/1000</f>
        <v>0.5287300435991622</v>
      </c>
    </row>
    <row r="627">
      <c r="C627" t="str">
        <v>P 6"x11</v>
      </c>
      <c r="E627" t="str">
        <v>SGJ</v>
      </c>
      <c r="H627">
        <v>6</v>
      </c>
      <c r="I627">
        <f>O627*H627</f>
        <v>250.79999999999998</v>
      </c>
      <c r="J627">
        <v>165.2</v>
      </c>
      <c r="K627">
        <v>11</v>
      </c>
      <c r="O627">
        <v>41.8</v>
      </c>
      <c r="P627">
        <f>PI()*J627*1/1000</f>
        <v>0.5189911063730337</v>
      </c>
      <c r="Q627" t="str">
        <v>Sc 80</v>
      </c>
    </row>
    <row r="628">
      <c r="C628" t="str">
        <v>P 7"x5,3</v>
      </c>
      <c r="E628" t="str">
        <v>SGJ</v>
      </c>
      <c r="H628">
        <v>6</v>
      </c>
      <c r="I628">
        <f>O628*H628</f>
        <v>145.2</v>
      </c>
      <c r="J628">
        <v>190.7</v>
      </c>
      <c r="K628">
        <v>5.3</v>
      </c>
      <c r="O628">
        <v>24.2</v>
      </c>
      <c r="P628">
        <f>PI()*J628*1/1000</f>
        <v>0.5991017190395734</v>
      </c>
      <c r="Q628" t="str">
        <v>Stk 41</v>
      </c>
    </row>
    <row r="629">
      <c r="C629" t="str">
        <v>P 8"x4,5</v>
      </c>
      <c r="D629" t="str">
        <v>SPINDO</v>
      </c>
      <c r="H629">
        <v>6</v>
      </c>
      <c r="I629">
        <f>O629*H629</f>
        <v>141</v>
      </c>
      <c r="J629">
        <v>216.3</v>
      </c>
      <c r="K629">
        <v>4.5</v>
      </c>
      <c r="O629">
        <v>23.5</v>
      </c>
      <c r="P629">
        <f>PI()*J629*1/1000</f>
        <v>0.6795264909714723</v>
      </c>
    </row>
    <row r="630">
      <c r="C630" t="str">
        <v>P 8"x4,78</v>
      </c>
      <c r="D630" t="str">
        <v>SWARNA BAJA</v>
      </c>
      <c r="H630">
        <v>6</v>
      </c>
      <c r="I630">
        <f>O630*H630</f>
        <v>151.56</v>
      </c>
      <c r="J630">
        <v>219.1</v>
      </c>
      <c r="K630">
        <v>4.78</v>
      </c>
      <c r="O630">
        <v>25.26</v>
      </c>
      <c r="P630">
        <f>PI()*J630*1/1000</f>
        <v>0.6883229504015236</v>
      </c>
    </row>
    <row r="631">
      <c r="C631" t="str">
        <v>P 8"x5,16</v>
      </c>
      <c r="D631" t="str">
        <v>SWARNA BAJA</v>
      </c>
      <c r="H631">
        <v>6</v>
      </c>
      <c r="I631">
        <f>O631*H631</f>
        <v>163.32</v>
      </c>
      <c r="J631">
        <v>219.1</v>
      </c>
      <c r="K631">
        <v>5.16</v>
      </c>
      <c r="O631">
        <v>27.22</v>
      </c>
      <c r="P631">
        <f>PI()*J631*1/1000</f>
        <v>0.6883229504015236</v>
      </c>
    </row>
    <row r="632">
      <c r="C632" t="str">
        <v>P 8"x5,56</v>
      </c>
      <c r="D632" t="str">
        <v>SWARNA BAJA</v>
      </c>
      <c r="H632">
        <v>6</v>
      </c>
      <c r="I632">
        <f>O632*H632</f>
        <v>175.68</v>
      </c>
      <c r="J632">
        <v>219.1</v>
      </c>
      <c r="K632">
        <v>5.56</v>
      </c>
      <c r="O632">
        <v>29.28</v>
      </c>
      <c r="P632">
        <f>PI()*J632*1/1000</f>
        <v>0.6883229504015236</v>
      </c>
    </row>
    <row r="633">
      <c r="C633" t="str">
        <v>P 8"x5,8</v>
      </c>
      <c r="E633" t="str">
        <v>SGJ</v>
      </c>
      <c r="H633">
        <v>6</v>
      </c>
      <c r="I633">
        <f>O633*H633</f>
        <v>180.60000000000002</v>
      </c>
      <c r="J633">
        <v>216.3</v>
      </c>
      <c r="K633">
        <v>5.8</v>
      </c>
      <c r="O633">
        <v>30.1</v>
      </c>
      <c r="P633">
        <f>PI()*J633*1/1000</f>
        <v>0.6795264909714723</v>
      </c>
      <c r="Q633" t="str">
        <v>Stk 41</v>
      </c>
    </row>
    <row r="634">
      <c r="C634" t="str">
        <v>P 8"x6</v>
      </c>
      <c r="D634" t="str">
        <v>SPINDO</v>
      </c>
      <c r="H634">
        <v>6</v>
      </c>
      <c r="I634">
        <f>O634*H634</f>
        <v>186.60000000000002</v>
      </c>
      <c r="J634">
        <v>216.3</v>
      </c>
      <c r="K634">
        <v>6</v>
      </c>
      <c r="O634">
        <v>31.1</v>
      </c>
      <c r="P634">
        <f>PI()*J634*1/1000</f>
        <v>0.6795264909714723</v>
      </c>
    </row>
    <row r="635">
      <c r="C635" t="str">
        <v>P 8"x6 Roll</v>
      </c>
      <c r="D635" t="str">
        <v>SPINDO</v>
      </c>
      <c r="H635">
        <v>6</v>
      </c>
      <c r="I635">
        <f>O635*H635</f>
        <v>186.60000000000002</v>
      </c>
      <c r="J635">
        <v>216.3</v>
      </c>
      <c r="K635">
        <v>6</v>
      </c>
      <c r="O635">
        <v>31.1</v>
      </c>
      <c r="P635">
        <f>PI()*J635*1/1000</f>
        <v>0.6795264909714723</v>
      </c>
    </row>
    <row r="636">
      <c r="C636" t="str">
        <v>P 8"x6,35</v>
      </c>
      <c r="D636" t="str">
        <v>SWARNA BAJA</v>
      </c>
      <c r="H636">
        <v>6</v>
      </c>
      <c r="I636">
        <f>O636*H636</f>
        <v>199.86</v>
      </c>
      <c r="J636">
        <v>219.1</v>
      </c>
      <c r="K636">
        <v>6.35</v>
      </c>
      <c r="O636">
        <v>33.31</v>
      </c>
      <c r="P636">
        <f>PI()*J636*1/1000</f>
        <v>0.6883229504015236</v>
      </c>
    </row>
    <row r="637">
      <c r="C637" t="str">
        <v>P 8"x7</v>
      </c>
      <c r="D637" t="str">
        <v>SPINDO</v>
      </c>
      <c r="H637">
        <v>6</v>
      </c>
      <c r="I637">
        <f>O637*H637</f>
        <v>216.60000000000002</v>
      </c>
      <c r="J637">
        <v>216.3</v>
      </c>
      <c r="K637">
        <v>7</v>
      </c>
      <c r="O637">
        <v>36.1</v>
      </c>
      <c r="P637">
        <f>PI()*J637*1/1000</f>
        <v>0.6795264909714723</v>
      </c>
    </row>
    <row r="638">
      <c r="C638" t="str">
        <v>P 8"x7,04</v>
      </c>
      <c r="D638" t="str">
        <v>SWARNA BAJA</v>
      </c>
      <c r="H638">
        <v>6</v>
      </c>
      <c r="I638">
        <f>O638*H638</f>
        <v>217.86</v>
      </c>
      <c r="J638">
        <v>219.1</v>
      </c>
      <c r="K638">
        <v>7.04</v>
      </c>
      <c r="O638">
        <v>36.31</v>
      </c>
      <c r="P638">
        <f>PI()*J638*1/1000</f>
        <v>0.6883229504015236</v>
      </c>
    </row>
    <row r="639">
      <c r="C639" t="str">
        <v>P 8"x7,92</v>
      </c>
      <c r="D639" t="str">
        <v>SWARNA BAJA</v>
      </c>
      <c r="H639">
        <v>6</v>
      </c>
      <c r="I639">
        <f>O639*H639</f>
        <v>247.44</v>
      </c>
      <c r="J639">
        <v>219.1</v>
      </c>
      <c r="K639">
        <v>7.92</v>
      </c>
      <c r="O639">
        <v>41.24</v>
      </c>
      <c r="P639">
        <f>PI()*J639*1/1000</f>
        <v>0.6883229504015236</v>
      </c>
    </row>
    <row r="640">
      <c r="C640" t="str">
        <v>i</v>
      </c>
      <c r="D640" t="str">
        <v>SPINDO</v>
      </c>
      <c r="H640">
        <v>6</v>
      </c>
      <c r="I640">
        <f>O640*H640</f>
        <v>246.60000000000002</v>
      </c>
      <c r="J640">
        <v>216.3</v>
      </c>
      <c r="K640">
        <v>8</v>
      </c>
      <c r="O640">
        <v>41.1</v>
      </c>
      <c r="P640">
        <f>PI()*J640*1/1000</f>
        <v>0.6795264909714723</v>
      </c>
    </row>
    <row r="641">
      <c r="C641" t="str">
        <v>P 8"x8,18</v>
      </c>
      <c r="D641" t="str">
        <v>SWARNA BAJA</v>
      </c>
      <c r="H641">
        <v>6</v>
      </c>
      <c r="I641">
        <f>O641*H641</f>
        <v>255.24</v>
      </c>
      <c r="J641">
        <v>219.1</v>
      </c>
      <c r="K641">
        <v>8.18</v>
      </c>
      <c r="O641">
        <v>42.54</v>
      </c>
      <c r="P641">
        <f>PI()*J641*1/1000</f>
        <v>0.6883229504015236</v>
      </c>
    </row>
    <row r="642">
      <c r="C642" t="str">
        <v>P 8"x8,2</v>
      </c>
      <c r="E642" t="str">
        <v>SGJ</v>
      </c>
      <c r="H642">
        <v>6</v>
      </c>
      <c r="I642">
        <f>O642*H642</f>
        <v>252.60000000000002</v>
      </c>
      <c r="J642">
        <v>216.3</v>
      </c>
      <c r="K642">
        <v>8.2</v>
      </c>
      <c r="O642">
        <v>42.1</v>
      </c>
      <c r="P642">
        <f>PI()*J642*1/1000</f>
        <v>0.6795264909714723</v>
      </c>
      <c r="Q642" t="str">
        <v>Sc 40 - Stk 41</v>
      </c>
    </row>
    <row r="643">
      <c r="C643" t="str">
        <v>P 8"x12,7</v>
      </c>
      <c r="E643" t="str">
        <v>SGJ</v>
      </c>
      <c r="H643">
        <v>6</v>
      </c>
      <c r="I643">
        <f>O643*H643</f>
        <v>382.79999999999995</v>
      </c>
      <c r="J643">
        <v>216.3</v>
      </c>
      <c r="K643">
        <v>12.7</v>
      </c>
      <c r="O643">
        <v>63.8</v>
      </c>
      <c r="P643">
        <f>PI()*J643*1/1000</f>
        <v>0.6795264909714723</v>
      </c>
      <c r="Q643" t="str">
        <v>Sc 80</v>
      </c>
    </row>
    <row r="644">
      <c r="C644" t="str">
        <v>P 10"x4,78</v>
      </c>
      <c r="D644" t="str">
        <v>SWARNA BAJA</v>
      </c>
      <c r="H644">
        <v>6</v>
      </c>
      <c r="I644">
        <f>O644*H644</f>
        <v>189.72</v>
      </c>
      <c r="J644">
        <v>273</v>
      </c>
      <c r="K644">
        <v>4.78</v>
      </c>
      <c r="O644">
        <v>31.62</v>
      </c>
      <c r="P644">
        <f>PI()*J644*1/1000</f>
        <v>0.8576547944300136</v>
      </c>
    </row>
    <row r="645">
      <c r="C645" t="str">
        <v>P 10"x5,16</v>
      </c>
      <c r="D645" t="str">
        <v>SWARNA BAJA</v>
      </c>
      <c r="H645">
        <v>6</v>
      </c>
      <c r="I645">
        <f>O645*H645</f>
        <v>204.48</v>
      </c>
      <c r="J645">
        <v>273</v>
      </c>
      <c r="K645">
        <v>5.16</v>
      </c>
      <c r="O645">
        <v>34.08</v>
      </c>
      <c r="P645">
        <f>PI()*J645*1/1000</f>
        <v>0.8576547944300136</v>
      </c>
    </row>
    <row r="646">
      <c r="C646" t="str">
        <v>P 10"x5,56</v>
      </c>
      <c r="D646" t="str">
        <v>SWARNA BAJA</v>
      </c>
      <c r="H646">
        <v>6</v>
      </c>
      <c r="I646">
        <f>O646*H646</f>
        <v>220.02</v>
      </c>
      <c r="J646">
        <v>273</v>
      </c>
      <c r="K646">
        <v>5.56</v>
      </c>
      <c r="O646">
        <v>36.67</v>
      </c>
      <c r="P646">
        <f>PI()*J646*1/1000</f>
        <v>0.8576547944300136</v>
      </c>
    </row>
    <row r="647">
      <c r="C647" t="str">
        <v>P 10"x6,35</v>
      </c>
      <c r="D647" t="str">
        <v>SWARNA BAJA</v>
      </c>
      <c r="H647">
        <v>6</v>
      </c>
      <c r="I647">
        <f>O647*H647</f>
        <v>250.5</v>
      </c>
      <c r="J647">
        <v>273</v>
      </c>
      <c r="K647">
        <v>6.35</v>
      </c>
      <c r="O647">
        <v>41.75</v>
      </c>
      <c r="P647">
        <f>PI()*J647*1/1000</f>
        <v>0.8576547944300136</v>
      </c>
    </row>
    <row r="648">
      <c r="C648" t="str">
        <v>P 10"x6,6</v>
      </c>
      <c r="E648" t="str">
        <v>SGJ</v>
      </c>
      <c r="H648">
        <v>6</v>
      </c>
      <c r="I648">
        <f>O648*H648</f>
        <v>254.39999999999998</v>
      </c>
      <c r="J648">
        <v>267.4</v>
      </c>
      <c r="K648">
        <v>6.6</v>
      </c>
      <c r="O648">
        <v>42.4</v>
      </c>
      <c r="P648">
        <f>PI()*J648*1/1000</f>
        <v>0.8400618755699106</v>
      </c>
      <c r="Q648" t="str">
        <v>Stk 41</v>
      </c>
    </row>
    <row r="649">
      <c r="C649" t="str">
        <v>P 10"x7,09</v>
      </c>
      <c r="D649" t="str">
        <v>SWARNA BAJA</v>
      </c>
      <c r="H649">
        <v>6</v>
      </c>
      <c r="I649">
        <f>O649*H649</f>
        <v>278.94</v>
      </c>
      <c r="J649">
        <v>273</v>
      </c>
      <c r="K649">
        <v>7.09</v>
      </c>
      <c r="O649">
        <v>46.49</v>
      </c>
      <c r="P649">
        <f>PI()*J649*1/1000</f>
        <v>0.8576547944300136</v>
      </c>
    </row>
    <row r="650">
      <c r="C650" t="str">
        <v>P 10"x7,8</v>
      </c>
      <c r="D650" t="str">
        <v>SWARNA BAJA</v>
      </c>
      <c r="H650">
        <v>6</v>
      </c>
      <c r="I650">
        <f>O650*H650</f>
        <v>306.06</v>
      </c>
      <c r="J650">
        <v>273</v>
      </c>
      <c r="K650">
        <v>7.8</v>
      </c>
      <c r="O650">
        <v>51.01</v>
      </c>
      <c r="P650">
        <f>PI()*J650*1/1000</f>
        <v>0.8576547944300136</v>
      </c>
    </row>
    <row r="651">
      <c r="C651" t="str">
        <v>P 10"x8,74</v>
      </c>
      <c r="D651" t="str">
        <v>SWARNA BAJA</v>
      </c>
      <c r="H651">
        <v>6</v>
      </c>
      <c r="I651">
        <f>O651*H651</f>
        <v>341.76</v>
      </c>
      <c r="J651">
        <v>273</v>
      </c>
      <c r="K651">
        <v>8.74</v>
      </c>
      <c r="O651">
        <v>56.96</v>
      </c>
      <c r="P651">
        <f>PI()*J651*1/1000</f>
        <v>0.8576547944300136</v>
      </c>
    </row>
    <row r="652">
      <c r="C652" t="str">
        <v>P 10"x9,27</v>
      </c>
      <c r="D652" t="str">
        <v>SWARNA BAJA</v>
      </c>
      <c r="H652">
        <v>6</v>
      </c>
      <c r="I652">
        <f>O652*H652</f>
        <v>361.74</v>
      </c>
      <c r="J652">
        <v>273</v>
      </c>
      <c r="K652">
        <v>9.27</v>
      </c>
      <c r="O652">
        <v>60.29</v>
      </c>
      <c r="P652">
        <f>PI()*J652*1/1000</f>
        <v>0.8576547944300136</v>
      </c>
    </row>
    <row r="653">
      <c r="C653" t="str">
        <v>P 10"x9,3</v>
      </c>
      <c r="E653" t="str">
        <v>SGJ</v>
      </c>
      <c r="H653">
        <v>6</v>
      </c>
      <c r="I653">
        <f>O653*H653</f>
        <v>355.20000000000005</v>
      </c>
      <c r="J653">
        <v>267.4</v>
      </c>
      <c r="K653">
        <v>9.3</v>
      </c>
      <c r="O653">
        <v>59.2</v>
      </c>
      <c r="P653">
        <f>PI()*J653*1/1000</f>
        <v>0.8400618755699106</v>
      </c>
      <c r="Q653" t="str">
        <v>Sc 40</v>
      </c>
    </row>
    <row r="654">
      <c r="C654" t="str">
        <v>P 10"x11,13</v>
      </c>
      <c r="D654" t="str">
        <v>SWARNA BAJA</v>
      </c>
      <c r="H654">
        <v>6</v>
      </c>
      <c r="I654">
        <f>O654*H654</f>
        <v>431.22</v>
      </c>
      <c r="J654">
        <v>273</v>
      </c>
      <c r="K654">
        <v>11.13</v>
      </c>
      <c r="O654">
        <v>71.87</v>
      </c>
      <c r="P654">
        <f>PI()*J654*1/1000</f>
        <v>0.8576547944300136</v>
      </c>
    </row>
    <row r="655">
      <c r="C655" t="str">
        <v>P 10"x12,7</v>
      </c>
      <c r="D655" t="str">
        <v>SWARNA BAJA</v>
      </c>
      <c r="H655">
        <v>6</v>
      </c>
      <c r="I655">
        <f>O655*H655</f>
        <v>489.12</v>
      </c>
      <c r="J655">
        <v>273</v>
      </c>
      <c r="K655">
        <v>12.7</v>
      </c>
      <c r="O655">
        <v>81.52</v>
      </c>
      <c r="P655">
        <f>PI()*J655*1/1000</f>
        <v>0.8576547944300136</v>
      </c>
    </row>
    <row r="656">
      <c r="C656" t="str">
        <v>P 10"x15,1</v>
      </c>
      <c r="E656" t="str">
        <v>SGJ</v>
      </c>
      <c r="H656">
        <v>6</v>
      </c>
      <c r="I656">
        <f>O656*H656</f>
        <v>563.4000000000001</v>
      </c>
      <c r="J656">
        <v>273</v>
      </c>
      <c r="K656">
        <v>15.1</v>
      </c>
      <c r="O656">
        <v>93.9</v>
      </c>
      <c r="P656">
        <f>PI()*J656*1/1000</f>
        <v>0.8576547944300136</v>
      </c>
      <c r="Q656" t="str">
        <v>Sc 80</v>
      </c>
    </row>
    <row r="657">
      <c r="C657" t="str">
        <v>P 12"x5,16</v>
      </c>
      <c r="D657" t="str">
        <v>SWARNA BAJA</v>
      </c>
      <c r="H657">
        <v>6</v>
      </c>
      <c r="I657">
        <f>O657*H657</f>
        <v>243.29999999999998</v>
      </c>
      <c r="J657">
        <v>323.8</v>
      </c>
      <c r="K657">
        <v>5.16</v>
      </c>
      <c r="O657">
        <v>40.55</v>
      </c>
      <c r="P657">
        <f>PI()*J657*1/1000</f>
        <v>1.017247701232375</v>
      </c>
    </row>
    <row r="658">
      <c r="C658" t="str">
        <v>P 12"x5,56</v>
      </c>
      <c r="D658" t="str">
        <v>SWARNA BAJA</v>
      </c>
      <c r="H658">
        <v>6</v>
      </c>
      <c r="I658">
        <f>O658*H658</f>
        <v>261.78000000000003</v>
      </c>
      <c r="J658">
        <v>323.8</v>
      </c>
      <c r="K658">
        <v>5.56</v>
      </c>
      <c r="O658">
        <v>43.63</v>
      </c>
      <c r="P658">
        <f>PI()*J658*1/1000</f>
        <v>1.017247701232375</v>
      </c>
    </row>
    <row r="659">
      <c r="C659" t="str">
        <v>P 12"x6,35</v>
      </c>
      <c r="D659" t="str">
        <v>SWARNA BAJA</v>
      </c>
      <c r="H659">
        <v>6</v>
      </c>
      <c r="I659">
        <f>O659*H659</f>
        <v>298.26</v>
      </c>
      <c r="J659">
        <v>323.8</v>
      </c>
      <c r="K659">
        <v>6.35</v>
      </c>
      <c r="O659">
        <v>49.71</v>
      </c>
      <c r="P659">
        <f>PI()*J659*1/1000</f>
        <v>1.017247701232375</v>
      </c>
    </row>
    <row r="660">
      <c r="C660" t="str">
        <v>P 12"x6,9</v>
      </c>
      <c r="E660" t="str">
        <v>SGJ</v>
      </c>
      <c r="H660">
        <v>6</v>
      </c>
      <c r="I660">
        <f>O660*H660</f>
        <v>318</v>
      </c>
      <c r="J660">
        <v>318.5</v>
      </c>
      <c r="K660">
        <v>6.9</v>
      </c>
      <c r="O660">
        <v>53</v>
      </c>
      <c r="P660">
        <f>PI()*J660*1/1000</f>
        <v>1.000597260168349</v>
      </c>
      <c r="Q660" t="str">
        <v>Stk 41</v>
      </c>
    </row>
    <row r="661">
      <c r="C661" t="str">
        <v>P 12"x7,14</v>
      </c>
      <c r="D661" t="str">
        <v>SWARNA BAJA</v>
      </c>
      <c r="H661">
        <v>6</v>
      </c>
      <c r="I661">
        <f>O661*H661</f>
        <v>334.5</v>
      </c>
      <c r="J661">
        <v>323.8</v>
      </c>
      <c r="K661">
        <v>7.14</v>
      </c>
      <c r="O661">
        <v>55.75</v>
      </c>
      <c r="P661">
        <f>PI()*J661*1/1000</f>
        <v>1.017247701232375</v>
      </c>
    </row>
    <row r="662">
      <c r="C662" t="str">
        <v>P 12"x7,92</v>
      </c>
      <c r="D662" t="str">
        <v>SWARNA BAJA</v>
      </c>
      <c r="H662">
        <v>6</v>
      </c>
      <c r="I662">
        <f>O662*H662</f>
        <v>370.14</v>
      </c>
      <c r="J662">
        <v>323.8</v>
      </c>
      <c r="K662">
        <v>7.92</v>
      </c>
      <c r="O662">
        <v>61.69</v>
      </c>
      <c r="P662">
        <f>PI()*J662*1/1000</f>
        <v>1.017247701232375</v>
      </c>
    </row>
    <row r="663">
      <c r="C663" t="str">
        <v>P 12"x8,38</v>
      </c>
      <c r="D663" t="str">
        <v>SWARNA BAJA</v>
      </c>
      <c r="H663">
        <v>6</v>
      </c>
      <c r="I663">
        <f>O663*H663</f>
        <v>391.08000000000004</v>
      </c>
      <c r="J663">
        <v>323.8</v>
      </c>
      <c r="K663">
        <v>8.38</v>
      </c>
      <c r="O663">
        <v>65.18</v>
      </c>
      <c r="P663">
        <f>PI()*J663*1/1000</f>
        <v>1.017247701232375</v>
      </c>
    </row>
    <row r="664">
      <c r="C664" t="str">
        <v>P 12"x8,74</v>
      </c>
      <c r="D664" t="str">
        <v>SWARNA BAJA</v>
      </c>
      <c r="H664">
        <v>6</v>
      </c>
      <c r="I664">
        <f>O664*H664</f>
        <v>407.40000000000003</v>
      </c>
      <c r="J664">
        <v>323.8</v>
      </c>
      <c r="K664">
        <v>8.74</v>
      </c>
      <c r="O664">
        <v>67.9</v>
      </c>
      <c r="P664">
        <f>PI()*J664*1/1000</f>
        <v>1.017247701232375</v>
      </c>
    </row>
    <row r="665">
      <c r="C665" t="str">
        <v>P 12"x9,52</v>
      </c>
      <c r="D665" t="str">
        <v>SWARNA BAJA</v>
      </c>
      <c r="H665">
        <v>6</v>
      </c>
      <c r="I665">
        <f>O665*H665</f>
        <v>442.68</v>
      </c>
      <c r="J665">
        <v>323.8</v>
      </c>
      <c r="K665">
        <v>9.52</v>
      </c>
      <c r="O665">
        <v>73.78</v>
      </c>
      <c r="P665">
        <f>PI()*J665*1/1000</f>
        <v>1.017247701232375</v>
      </c>
    </row>
    <row r="666">
      <c r="C666" t="str">
        <v>P 12"x10,3</v>
      </c>
      <c r="E666" t="str">
        <v>SGJ</v>
      </c>
      <c r="H666">
        <v>6</v>
      </c>
      <c r="I666">
        <f>O666*H666</f>
        <v>469.79999999999995</v>
      </c>
      <c r="J666">
        <v>318.5</v>
      </c>
      <c r="K666">
        <v>10.3</v>
      </c>
      <c r="O666">
        <v>78.3</v>
      </c>
      <c r="P666">
        <f>PI()*J666*1/1000</f>
        <v>1.000597260168349</v>
      </c>
      <c r="Q666" t="str">
        <v>Sc 40</v>
      </c>
    </row>
    <row r="667">
      <c r="C667" t="str">
        <v>P 12"x10,31</v>
      </c>
      <c r="D667" t="str">
        <v>SWARNA BAJA</v>
      </c>
      <c r="H667">
        <v>6</v>
      </c>
      <c r="I667">
        <f>O667*H667</f>
        <v>478.20000000000005</v>
      </c>
      <c r="J667">
        <v>323.8</v>
      </c>
      <c r="K667">
        <v>10.31</v>
      </c>
      <c r="O667">
        <v>79.7</v>
      </c>
      <c r="P667">
        <f>PI()*J667*1/1000</f>
        <v>1.017247701232375</v>
      </c>
    </row>
    <row r="668">
      <c r="C668" t="str">
        <v>P 12"x11,13</v>
      </c>
      <c r="D668" t="str">
        <v>SWARNA BAJA</v>
      </c>
      <c r="H668">
        <v>6</v>
      </c>
      <c r="I668">
        <f>O668*H668</f>
        <v>514.92</v>
      </c>
      <c r="J668">
        <v>323.8</v>
      </c>
      <c r="K668">
        <v>11.13</v>
      </c>
      <c r="O668">
        <v>85.82</v>
      </c>
      <c r="P668">
        <f>PI()*J668*1/1000</f>
        <v>1.017247701232375</v>
      </c>
    </row>
    <row r="669">
      <c r="C669" t="str">
        <v>P 12"x12,7</v>
      </c>
      <c r="D669" t="str">
        <v>SWARNA BAJA</v>
      </c>
      <c r="H669">
        <v>6</v>
      </c>
      <c r="I669">
        <f>O669*H669</f>
        <v>584.58</v>
      </c>
      <c r="J669">
        <v>323.8</v>
      </c>
      <c r="K669">
        <v>12.7</v>
      </c>
      <c r="O669">
        <v>97.43</v>
      </c>
      <c r="P669">
        <f>PI()*J669*1/1000</f>
        <v>1.017247701232375</v>
      </c>
    </row>
    <row r="670">
      <c r="C670" t="str">
        <v>P 12"x17,4</v>
      </c>
      <c r="E670" t="str">
        <v>SGJ</v>
      </c>
      <c r="H670">
        <v>6</v>
      </c>
      <c r="I670">
        <f>O670*H670</f>
        <v>774</v>
      </c>
      <c r="J670">
        <v>318.5</v>
      </c>
      <c r="K670">
        <v>17.4</v>
      </c>
      <c r="O670">
        <v>129</v>
      </c>
      <c r="P670">
        <f>PI()*J670*1/1000</f>
        <v>1.000597260168349</v>
      </c>
      <c r="Q670" t="str">
        <v>Sc 80</v>
      </c>
    </row>
    <row r="671">
      <c r="C671" t="str">
        <v>P 14"x5,56</v>
      </c>
      <c r="D671" t="str">
        <v>SWARNA BAJA</v>
      </c>
      <c r="H671">
        <v>6</v>
      </c>
      <c r="I671">
        <f>O671*H671</f>
        <v>287.94</v>
      </c>
      <c r="J671">
        <v>355.6</v>
      </c>
      <c r="K671">
        <v>5.56</v>
      </c>
      <c r="O671">
        <v>47.99</v>
      </c>
      <c r="P671">
        <f>PI()*J671*1/1000</f>
        <v>1.1171503476165305</v>
      </c>
    </row>
    <row r="672">
      <c r="C672" t="str">
        <v>P 14"x6,35</v>
      </c>
      <c r="D672" t="str">
        <v>SWARNA BAJA</v>
      </c>
      <c r="H672">
        <v>6</v>
      </c>
      <c r="I672">
        <f>O672*H672</f>
        <v>328.14</v>
      </c>
      <c r="J672">
        <v>355.6</v>
      </c>
      <c r="K672">
        <v>6.35</v>
      </c>
      <c r="O672">
        <v>54.69</v>
      </c>
      <c r="P672">
        <f>PI()*J672*1/1000</f>
        <v>1.1171503476165305</v>
      </c>
    </row>
    <row r="673">
      <c r="C673" t="str">
        <v>P 14"x7,14</v>
      </c>
      <c r="D673" t="str">
        <v>SWARNA BAJA</v>
      </c>
      <c r="H673">
        <v>6</v>
      </c>
      <c r="I673">
        <f>O673*H673</f>
        <v>368.1</v>
      </c>
      <c r="J673">
        <v>355.6</v>
      </c>
      <c r="K673">
        <v>7.14</v>
      </c>
      <c r="O673">
        <v>61.35</v>
      </c>
      <c r="P673">
        <f>PI()*J673*1/1000</f>
        <v>1.1171503476165305</v>
      </c>
    </row>
    <row r="674">
      <c r="C674" t="str">
        <v>P 14"x7,9</v>
      </c>
      <c r="E674" t="str">
        <v>SGJ</v>
      </c>
      <c r="H674">
        <v>6</v>
      </c>
      <c r="I674">
        <f>O674*H674</f>
        <v>406.20000000000005</v>
      </c>
      <c r="J674">
        <v>355.6</v>
      </c>
      <c r="K674">
        <v>7.9</v>
      </c>
      <c r="O674">
        <v>67.7</v>
      </c>
      <c r="P674">
        <f>PI()*J674*1/1000</f>
        <v>1.1171503476165305</v>
      </c>
      <c r="Q674" t="str">
        <v>Stk 41</v>
      </c>
    </row>
    <row r="675">
      <c r="C675" t="str">
        <v>P 14"x7,92</v>
      </c>
      <c r="D675" t="str">
        <v>SWARNA BAJA</v>
      </c>
      <c r="H675">
        <v>6</v>
      </c>
      <c r="I675">
        <f>O675*H675</f>
        <v>407.40000000000003</v>
      </c>
      <c r="J675">
        <v>355.6</v>
      </c>
      <c r="K675">
        <v>7.92</v>
      </c>
      <c r="O675">
        <v>67.9</v>
      </c>
      <c r="P675">
        <f>PI()*J675*1/1000</f>
        <v>1.1171503476165305</v>
      </c>
    </row>
    <row r="676">
      <c r="C676" t="str">
        <v>P 14"x8,74</v>
      </c>
      <c r="D676" t="str">
        <v>SWARNA BAJA</v>
      </c>
      <c r="H676">
        <v>6</v>
      </c>
      <c r="I676">
        <f>O676*H676</f>
        <v>448.56000000000006</v>
      </c>
      <c r="J676">
        <v>355.6</v>
      </c>
      <c r="K676">
        <v>8.74</v>
      </c>
      <c r="O676">
        <v>74.76</v>
      </c>
      <c r="P676">
        <f>PI()*J676*1/1000</f>
        <v>1.1171503476165305</v>
      </c>
    </row>
    <row r="677">
      <c r="C677" t="str">
        <v>P 14"x9,52</v>
      </c>
      <c r="D677" t="str">
        <v>SWARNA BAJA</v>
      </c>
      <c r="H677">
        <v>6</v>
      </c>
      <c r="I677">
        <f>O677*H677</f>
        <v>487.5</v>
      </c>
      <c r="J677">
        <v>355.6</v>
      </c>
      <c r="K677">
        <v>9.52</v>
      </c>
      <c r="O677">
        <v>81.25</v>
      </c>
      <c r="P677">
        <f>PI()*J677*1/1000</f>
        <v>1.1171503476165305</v>
      </c>
    </row>
    <row r="678">
      <c r="C678" t="str">
        <v>P 14"x11,1</v>
      </c>
      <c r="E678" t="str">
        <v>SGJ</v>
      </c>
      <c r="H678">
        <v>6</v>
      </c>
      <c r="I678">
        <f>O678*H678</f>
        <v>565.8</v>
      </c>
      <c r="J678">
        <v>355.6</v>
      </c>
      <c r="K678">
        <v>11.1</v>
      </c>
      <c r="O678">
        <v>94.3</v>
      </c>
      <c r="P678">
        <f>PI()*J678*1/1000</f>
        <v>1.1171503476165305</v>
      </c>
      <c r="Q678" t="str">
        <v>Sc 40</v>
      </c>
    </row>
    <row r="679">
      <c r="C679" t="str">
        <v>P 14"x11,13</v>
      </c>
      <c r="D679" t="str">
        <v>SWARNA BAJA</v>
      </c>
      <c r="H679">
        <v>6</v>
      </c>
      <c r="I679">
        <f>O679*H679</f>
        <v>567.3</v>
      </c>
      <c r="J679">
        <v>355.6</v>
      </c>
      <c r="K679">
        <v>11.13</v>
      </c>
      <c r="O679">
        <v>94.55</v>
      </c>
      <c r="P679">
        <f>PI()*J679*1/1000</f>
        <v>1.1171503476165305</v>
      </c>
    </row>
    <row r="680">
      <c r="C680" t="str">
        <v>P 14"x11,91</v>
      </c>
      <c r="D680" t="str">
        <v>SWARNA BAJA</v>
      </c>
      <c r="H680">
        <v>6</v>
      </c>
      <c r="I680">
        <f>O680*H680</f>
        <v>605.64</v>
      </c>
      <c r="J680">
        <v>355.6</v>
      </c>
      <c r="K680">
        <v>11.91</v>
      </c>
      <c r="O680">
        <v>100.94</v>
      </c>
      <c r="P680">
        <f>PI()*J680*1/1000</f>
        <v>1.1171503476165305</v>
      </c>
    </row>
    <row r="681">
      <c r="C681" t="str">
        <v>P 14"x12,7</v>
      </c>
      <c r="D681" t="str">
        <v>SWARNA BAJA</v>
      </c>
      <c r="H681">
        <v>6</v>
      </c>
      <c r="I681">
        <f>O681*H681</f>
        <v>644.34</v>
      </c>
      <c r="J681">
        <v>355.6</v>
      </c>
      <c r="K681">
        <v>12.7</v>
      </c>
      <c r="O681">
        <v>107.39</v>
      </c>
      <c r="P681">
        <f>PI()*J681*1/1000</f>
        <v>1.1171503476165305</v>
      </c>
    </row>
    <row r="682">
      <c r="C682" t="str">
        <v>P 14"x19</v>
      </c>
      <c r="E682" t="str">
        <v>SGJ</v>
      </c>
      <c r="H682">
        <v>6</v>
      </c>
      <c r="I682">
        <f>O682*H682</f>
        <v>948</v>
      </c>
      <c r="J682">
        <v>355.6</v>
      </c>
      <c r="K682">
        <v>19</v>
      </c>
      <c r="O682">
        <v>158</v>
      </c>
      <c r="P682">
        <f>PI()*J682*1/1000</f>
        <v>1.1171503476165305</v>
      </c>
      <c r="Q682" t="str">
        <v>Sc 80</v>
      </c>
    </row>
    <row r="683">
      <c r="C683" t="str">
        <v>P 16"x5,56</v>
      </c>
      <c r="D683" t="str">
        <v>SWARNA BAJA</v>
      </c>
      <c r="H683">
        <v>6</v>
      </c>
      <c r="I683">
        <f>O683*H683</f>
        <v>329.76</v>
      </c>
      <c r="J683">
        <v>406.4</v>
      </c>
      <c r="K683">
        <v>5.56</v>
      </c>
      <c r="O683">
        <v>54.96</v>
      </c>
      <c r="P683">
        <f>PI()*J683*1/1000</f>
        <v>1.276743254418892</v>
      </c>
    </row>
    <row r="684">
      <c r="C684" t="str">
        <v>P 16"x6,35</v>
      </c>
      <c r="D684" t="str">
        <v>SWARNA BAJA</v>
      </c>
      <c r="H684">
        <v>6</v>
      </c>
      <c r="I684">
        <f>O684*H684</f>
        <v>375.84000000000003</v>
      </c>
      <c r="J684">
        <v>406.4</v>
      </c>
      <c r="K684">
        <v>6.35</v>
      </c>
      <c r="O684">
        <v>62.64</v>
      </c>
      <c r="P684">
        <f>PI()*J684*1/1000</f>
        <v>1.276743254418892</v>
      </c>
    </row>
    <row r="685">
      <c r="C685" t="str">
        <v>P 16"x7,14</v>
      </c>
      <c r="D685" t="str">
        <v>SWARNA BAJA</v>
      </c>
      <c r="H685">
        <v>6</v>
      </c>
      <c r="I685">
        <f>O685*H685</f>
        <v>421.79999999999995</v>
      </c>
      <c r="J685">
        <v>406.4</v>
      </c>
      <c r="K685">
        <v>7.14</v>
      </c>
      <c r="O685">
        <v>70.3</v>
      </c>
      <c r="P685">
        <f>PI()*J685*1/1000</f>
        <v>1.276743254418892</v>
      </c>
    </row>
    <row r="686">
      <c r="C686" t="str">
        <v>P 16"x7,92</v>
      </c>
      <c r="D686" t="str">
        <v>SWARNA BAJA</v>
      </c>
      <c r="H686">
        <v>6</v>
      </c>
      <c r="I686">
        <f>O686*H686</f>
        <v>466.98</v>
      </c>
      <c r="J686">
        <v>406.4</v>
      </c>
      <c r="K686">
        <v>7.92</v>
      </c>
      <c r="O686">
        <v>77.83</v>
      </c>
      <c r="P686">
        <f>PI()*J686*1/1000</f>
        <v>1.276743254418892</v>
      </c>
    </row>
    <row r="687">
      <c r="C687" t="str">
        <v>P 16"x8,74</v>
      </c>
      <c r="D687" t="str">
        <v>SWARNA BAJA</v>
      </c>
      <c r="H687">
        <v>6</v>
      </c>
      <c r="I687">
        <f>O687*H687</f>
        <v>514.26</v>
      </c>
      <c r="J687">
        <v>406.4</v>
      </c>
      <c r="K687">
        <v>8.74</v>
      </c>
      <c r="O687">
        <v>85.71</v>
      </c>
      <c r="P687">
        <f>PI()*J687*1/1000</f>
        <v>1.276743254418892</v>
      </c>
    </row>
    <row r="688">
      <c r="C688" t="str">
        <v>P 16"x9,52</v>
      </c>
      <c r="D688" t="str">
        <v>SWARNA BAJA</v>
      </c>
      <c r="H688">
        <v>6</v>
      </c>
      <c r="I688">
        <f>O688*H688</f>
        <v>559.02</v>
      </c>
      <c r="J688">
        <v>406.4</v>
      </c>
      <c r="K688">
        <v>9.52</v>
      </c>
      <c r="O688">
        <v>93.17</v>
      </c>
      <c r="P688">
        <f>PI()*J688*1/1000</f>
        <v>1.276743254418892</v>
      </c>
    </row>
    <row r="689">
      <c r="C689" t="str">
        <v>P 16"x11,13</v>
      </c>
      <c r="D689" t="str">
        <v>SWARNA BAJA</v>
      </c>
      <c r="H689">
        <v>6</v>
      </c>
      <c r="I689">
        <f>O689*H689</f>
        <v>650.9399999999999</v>
      </c>
      <c r="J689">
        <v>406.4</v>
      </c>
      <c r="K689">
        <v>11.13</v>
      </c>
      <c r="O689">
        <v>108.49</v>
      </c>
      <c r="P689">
        <f>PI()*J689*1/1000</f>
        <v>1.276743254418892</v>
      </c>
    </row>
    <row r="690">
      <c r="C690" t="str">
        <v>P 16"x11,91</v>
      </c>
      <c r="D690" t="str">
        <v>SWARNA BAJA</v>
      </c>
      <c r="H690">
        <v>6</v>
      </c>
      <c r="I690">
        <f>O690*H690</f>
        <v>695.16</v>
      </c>
      <c r="J690">
        <v>406.4</v>
      </c>
      <c r="K690">
        <v>11.91</v>
      </c>
      <c r="O690">
        <v>115.86</v>
      </c>
      <c r="P690">
        <f>PI()*J690*1/1000</f>
        <v>1.276743254418892</v>
      </c>
    </row>
    <row r="691">
      <c r="C691" t="str">
        <v>P 16"x12,7</v>
      </c>
      <c r="D691" t="str">
        <v>SWARNA BAJA</v>
      </c>
      <c r="E691" t="str">
        <v>SGJ</v>
      </c>
      <c r="H691">
        <v>6</v>
      </c>
      <c r="I691">
        <f>O691*H691</f>
        <v>739.8</v>
      </c>
      <c r="J691">
        <v>406.4</v>
      </c>
      <c r="K691">
        <v>12.7</v>
      </c>
      <c r="O691">
        <v>123.3</v>
      </c>
      <c r="P691">
        <f>PI()*J691*1/1000</f>
        <v>1.276743254418892</v>
      </c>
      <c r="Q691" t="str">
        <v>Sc 40</v>
      </c>
    </row>
    <row r="692">
      <c r="C692" t="str">
        <v>P 16"x21,4</v>
      </c>
      <c r="E692" t="str">
        <v>SGJ</v>
      </c>
      <c r="H692">
        <v>6</v>
      </c>
      <c r="I692">
        <f>O692*H692</f>
        <v>1218</v>
      </c>
      <c r="J692">
        <v>406.4</v>
      </c>
      <c r="K692">
        <v>21.4</v>
      </c>
      <c r="O692">
        <v>203</v>
      </c>
      <c r="P692">
        <f>PI()*J692*1/1000</f>
        <v>1.276743254418892</v>
      </c>
      <c r="Q692" t="str">
        <v>Sc 80</v>
      </c>
    </row>
    <row r="693">
      <c r="C693" t="str">
        <v>P 18"x6,35</v>
      </c>
      <c r="D693" t="str">
        <v>SWARNA BAJA</v>
      </c>
      <c r="H693">
        <v>6</v>
      </c>
      <c r="I693">
        <f>O693*H693</f>
        <v>423.59999999999997</v>
      </c>
      <c r="J693">
        <v>457</v>
      </c>
      <c r="K693">
        <v>6.35</v>
      </c>
      <c r="O693">
        <v>70.6</v>
      </c>
      <c r="P693">
        <f>PI()*J693*1/1000</f>
        <v>1.4357078426905354</v>
      </c>
    </row>
    <row r="694">
      <c r="C694" t="str">
        <v>P 18"x7,14</v>
      </c>
      <c r="D694" t="str">
        <v>SWARNA BAJA</v>
      </c>
      <c r="H694">
        <v>6</v>
      </c>
      <c r="I694">
        <f>O694*H694</f>
        <v>475.43999999999994</v>
      </c>
      <c r="J694">
        <v>457</v>
      </c>
      <c r="K694">
        <v>7.14</v>
      </c>
      <c r="O694">
        <v>79.24</v>
      </c>
      <c r="P694">
        <f>PI()*J694*1/1000</f>
        <v>1.4357078426905354</v>
      </c>
    </row>
    <row r="695">
      <c r="C695" t="str">
        <v>P 18"x7,92</v>
      </c>
      <c r="D695" t="str">
        <v>SWARNA BAJA</v>
      </c>
      <c r="H695">
        <v>6</v>
      </c>
      <c r="I695">
        <f>O695*H695</f>
        <v>526.5</v>
      </c>
      <c r="J695">
        <v>457</v>
      </c>
      <c r="K695">
        <v>7.92</v>
      </c>
      <c r="O695">
        <v>87.75</v>
      </c>
      <c r="P695">
        <f>PI()*J695*1/1000</f>
        <v>1.4357078426905354</v>
      </c>
    </row>
    <row r="696">
      <c r="C696" t="str">
        <v>P 18"x8,74</v>
      </c>
      <c r="D696" t="str">
        <v>SWARNA BAJA</v>
      </c>
      <c r="H696">
        <v>6</v>
      </c>
      <c r="I696">
        <f>O696*H696</f>
        <v>579.96</v>
      </c>
      <c r="J696">
        <v>457</v>
      </c>
      <c r="K696">
        <v>8.74</v>
      </c>
      <c r="O696">
        <v>96.66</v>
      </c>
      <c r="P696">
        <f>PI()*J696*1/1000</f>
        <v>1.4357078426905354</v>
      </c>
    </row>
    <row r="697">
      <c r="C697" t="str">
        <v>P 18"x9,52</v>
      </c>
      <c r="D697" t="str">
        <v>SWARNA BAJA</v>
      </c>
      <c r="H697">
        <v>6</v>
      </c>
      <c r="I697">
        <f>O697*H697</f>
        <v>630.5999999999999</v>
      </c>
      <c r="J697">
        <v>457</v>
      </c>
      <c r="K697">
        <v>9.52</v>
      </c>
      <c r="O697">
        <v>105.1</v>
      </c>
      <c r="P697">
        <f>PI()*J697*1/1000</f>
        <v>1.4357078426905354</v>
      </c>
    </row>
    <row r="698">
      <c r="C698" t="str">
        <v>P 18"x10,31</v>
      </c>
      <c r="D698" t="str">
        <v>SWARNA BAJA</v>
      </c>
      <c r="H698">
        <v>6</v>
      </c>
      <c r="I698">
        <f>O698*H698</f>
        <v>681.72</v>
      </c>
      <c r="J698">
        <v>457</v>
      </c>
      <c r="K698">
        <v>10.31</v>
      </c>
      <c r="O698">
        <v>113.62</v>
      </c>
      <c r="P698">
        <f>PI()*J698*1/1000</f>
        <v>1.4357078426905354</v>
      </c>
    </row>
    <row r="699">
      <c r="C699" t="str">
        <v>P 18"x11,13</v>
      </c>
      <c r="D699" t="str">
        <v>SWARNA BAJA</v>
      </c>
      <c r="H699">
        <v>6</v>
      </c>
      <c r="I699">
        <f>O699*H699</f>
        <v>734.58</v>
      </c>
      <c r="J699">
        <v>457</v>
      </c>
      <c r="K699">
        <v>11.13</v>
      </c>
      <c r="O699">
        <v>122.43</v>
      </c>
      <c r="P699">
        <f>PI()*J699*1/1000</f>
        <v>1.4357078426905354</v>
      </c>
    </row>
    <row r="700">
      <c r="C700" t="str">
        <v>P 18"x11,91</v>
      </c>
      <c r="D700" t="str">
        <v>SWARNA BAJA</v>
      </c>
      <c r="H700">
        <v>6</v>
      </c>
      <c r="I700">
        <f>O700*H700</f>
        <v>784.6800000000001</v>
      </c>
      <c r="J700">
        <v>457</v>
      </c>
      <c r="K700">
        <v>11.91</v>
      </c>
      <c r="O700">
        <v>130.78</v>
      </c>
      <c r="P700">
        <f>PI()*J700*1/1000</f>
        <v>1.4357078426905354</v>
      </c>
    </row>
    <row r="701">
      <c r="C701" t="str">
        <v>P 18"x12,7</v>
      </c>
      <c r="D701" t="str">
        <v>SWARNA BAJA</v>
      </c>
      <c r="H701">
        <v>6</v>
      </c>
      <c r="I701">
        <f>O701*H701</f>
        <v>835.1999999999999</v>
      </c>
      <c r="J701">
        <v>457</v>
      </c>
      <c r="K701">
        <v>12.7</v>
      </c>
      <c r="O701">
        <v>139.2</v>
      </c>
      <c r="P701">
        <f>PI()*J701*1/1000</f>
        <v>1.4357078426905354</v>
      </c>
    </row>
    <row r="702">
      <c r="C702" t="str">
        <v>P 20"x6,35</v>
      </c>
      <c r="D702" t="str">
        <v>SWARNA BAJA</v>
      </c>
      <c r="H702">
        <v>6</v>
      </c>
      <c r="I702">
        <f>O702*H702</f>
        <v>471.29999999999995</v>
      </c>
      <c r="J702">
        <v>508</v>
      </c>
      <c r="K702">
        <v>6.35</v>
      </c>
      <c r="O702">
        <v>78.55</v>
      </c>
      <c r="P702">
        <f>PI()*J702*1/1000</f>
        <v>1.595929068023615</v>
      </c>
    </row>
    <row r="703">
      <c r="C703" t="str">
        <v>P 20"x7,14</v>
      </c>
      <c r="D703" t="str">
        <v>SWARNA BAJA</v>
      </c>
      <c r="H703">
        <v>6</v>
      </c>
      <c r="I703">
        <f>O703*H703</f>
        <v>529.14</v>
      </c>
      <c r="J703">
        <v>508</v>
      </c>
      <c r="K703">
        <v>7.14</v>
      </c>
      <c r="O703">
        <v>88.19</v>
      </c>
      <c r="P703">
        <f>PI()*J703*1/1000</f>
        <v>1.595929068023615</v>
      </c>
    </row>
    <row r="704">
      <c r="C704" t="str">
        <v>P 20"x7,92</v>
      </c>
      <c r="D704" t="str">
        <v>SWARNA BAJA</v>
      </c>
      <c r="H704">
        <v>6</v>
      </c>
      <c r="I704">
        <f>O704*H704</f>
        <v>586.02</v>
      </c>
      <c r="J704">
        <v>508</v>
      </c>
      <c r="K704">
        <v>7.92</v>
      </c>
      <c r="O704">
        <v>97.67</v>
      </c>
      <c r="P704">
        <f>PI()*J704*1/1000</f>
        <v>1.595929068023615</v>
      </c>
    </row>
    <row r="705">
      <c r="C705" t="str">
        <v>P 20"x8,74</v>
      </c>
      <c r="D705" t="str">
        <v>SWARNA BAJA</v>
      </c>
      <c r="H705">
        <v>6</v>
      </c>
      <c r="I705">
        <f>O705*H705</f>
        <v>645.5999999999999</v>
      </c>
      <c r="J705">
        <v>508</v>
      </c>
      <c r="K705">
        <v>8.74</v>
      </c>
      <c r="O705">
        <v>107.6</v>
      </c>
      <c r="P705">
        <f>PI()*J705*1/1000</f>
        <v>1.595929068023615</v>
      </c>
    </row>
    <row r="706">
      <c r="C706" t="str">
        <v>P 20"x9,52</v>
      </c>
      <c r="D706" t="str">
        <v>SWARNA BAJA</v>
      </c>
      <c r="H706">
        <v>6</v>
      </c>
      <c r="I706">
        <f>O706*H706</f>
        <v>702.12</v>
      </c>
      <c r="J706">
        <v>508</v>
      </c>
      <c r="K706">
        <v>9.52</v>
      </c>
      <c r="O706">
        <v>117.02</v>
      </c>
      <c r="P706">
        <f>PI()*J706*1/1000</f>
        <v>1.595929068023615</v>
      </c>
    </row>
    <row r="707">
      <c r="C707" t="str">
        <v>P 20"x10,31</v>
      </c>
      <c r="D707" t="str">
        <v>SWARNA BAJA</v>
      </c>
      <c r="H707">
        <v>6</v>
      </c>
      <c r="I707">
        <f>O707*H707</f>
        <v>759.1800000000001</v>
      </c>
      <c r="J707">
        <v>508</v>
      </c>
      <c r="K707">
        <v>10.31</v>
      </c>
      <c r="O707">
        <v>126.53</v>
      </c>
      <c r="P707">
        <f>PI()*J707*1/1000</f>
        <v>1.595929068023615</v>
      </c>
    </row>
    <row r="708">
      <c r="C708" t="str">
        <v>P 20"x11,13</v>
      </c>
      <c r="D708" t="str">
        <v>SWARNA BAJA</v>
      </c>
      <c r="H708">
        <v>6</v>
      </c>
      <c r="I708">
        <f>O708*H708</f>
        <v>818.22</v>
      </c>
      <c r="J708">
        <v>508</v>
      </c>
      <c r="K708">
        <v>11.13</v>
      </c>
      <c r="O708">
        <v>136.37</v>
      </c>
      <c r="P708">
        <f>PI()*J708*1/1000</f>
        <v>1.595929068023615</v>
      </c>
    </row>
    <row r="709">
      <c r="C709" t="str">
        <v>P 20"x11,91</v>
      </c>
      <c r="D709" t="str">
        <v>SWARNA BAJA</v>
      </c>
      <c r="H709">
        <v>6</v>
      </c>
      <c r="I709">
        <f>O709*H709</f>
        <v>874.1999999999999</v>
      </c>
      <c r="J709">
        <v>508</v>
      </c>
      <c r="K709">
        <v>11.91</v>
      </c>
      <c r="O709">
        <v>145.7</v>
      </c>
      <c r="P709">
        <f>PI()*J709*1/1000</f>
        <v>1.595929068023615</v>
      </c>
    </row>
    <row r="710">
      <c r="C710" t="str">
        <v>P 20"x12,7</v>
      </c>
      <c r="D710" t="str">
        <v>SWARNA BAJA</v>
      </c>
      <c r="H710">
        <v>6</v>
      </c>
      <c r="I710">
        <f>O710*H710</f>
        <v>930.72</v>
      </c>
      <c r="J710">
        <v>508</v>
      </c>
      <c r="K710">
        <v>12.7</v>
      </c>
      <c r="O710">
        <v>155.12</v>
      </c>
      <c r="P710">
        <f>PI()*J710*1/1000</f>
        <v>1.595929068023615</v>
      </c>
    </row>
    <row r="711">
      <c r="C711" t="str">
        <v>P 24"x6,35</v>
      </c>
      <c r="D711" t="str">
        <v>SWARNA BAJA</v>
      </c>
      <c r="H711">
        <v>6</v>
      </c>
      <c r="I711">
        <f>O711*H711</f>
        <v>566.76</v>
      </c>
      <c r="J711">
        <v>610</v>
      </c>
      <c r="K711">
        <v>6.35</v>
      </c>
      <c r="O711">
        <v>94.46</v>
      </c>
      <c r="P711">
        <f>PI()*J711*1/1000</f>
        <v>1.9163715186897738</v>
      </c>
    </row>
    <row r="712">
      <c r="C712" t="str">
        <v>P 24"x7,14</v>
      </c>
      <c r="D712" t="str">
        <v>SWARNA BAJA</v>
      </c>
      <c r="H712">
        <v>6</v>
      </c>
      <c r="I712">
        <f>O712*H712</f>
        <v>636.48</v>
      </c>
      <c r="J712">
        <v>610</v>
      </c>
      <c r="K712">
        <v>7.14</v>
      </c>
      <c r="O712">
        <v>106.08</v>
      </c>
      <c r="P712">
        <f>PI()*J712*1/1000</f>
        <v>1.9163715186897738</v>
      </c>
    </row>
    <row r="713">
      <c r="C713" t="str">
        <v>P 24"x7,92</v>
      </c>
      <c r="D713" t="str">
        <v>SWARNA BAJA</v>
      </c>
      <c r="H713">
        <v>6</v>
      </c>
      <c r="I713">
        <f>O713*H713</f>
        <v>705.0600000000001</v>
      </c>
      <c r="J713">
        <v>610</v>
      </c>
      <c r="K713">
        <v>7.92</v>
      </c>
      <c r="O713">
        <v>117.51</v>
      </c>
      <c r="P713">
        <f>PI()*J713*1/1000</f>
        <v>1.9163715186897738</v>
      </c>
    </row>
    <row r="714">
      <c r="C714" t="str">
        <v>P 24"x8,74</v>
      </c>
      <c r="D714" t="str">
        <v>SWARNA BAJA</v>
      </c>
      <c r="H714">
        <v>6</v>
      </c>
      <c r="I714">
        <f>O714*H714</f>
        <v>777</v>
      </c>
      <c r="J714">
        <v>610</v>
      </c>
      <c r="K714">
        <v>8.74</v>
      </c>
      <c r="O714">
        <v>129.5</v>
      </c>
      <c r="P714">
        <f>PI()*J714*1/1000</f>
        <v>1.9163715186897738</v>
      </c>
    </row>
    <row r="715">
      <c r="C715" t="str">
        <v>P 24"x9,52</v>
      </c>
      <c r="D715" t="str">
        <v>SWARNA BAJA</v>
      </c>
      <c r="H715">
        <v>6</v>
      </c>
      <c r="I715">
        <f>O715*H715</f>
        <v>845.28</v>
      </c>
      <c r="J715">
        <v>610</v>
      </c>
      <c r="K715">
        <v>9.52</v>
      </c>
      <c r="O715">
        <v>140.88</v>
      </c>
      <c r="P715">
        <f>PI()*J715*1/1000</f>
        <v>1.9163715186897738</v>
      </c>
    </row>
    <row r="716">
      <c r="C716" t="str">
        <v>P 24"x10,31</v>
      </c>
      <c r="D716" t="str">
        <v>SWARNA BAJA</v>
      </c>
      <c r="H716">
        <v>6</v>
      </c>
      <c r="I716">
        <f>O716*H716</f>
        <v>914.22</v>
      </c>
      <c r="J716">
        <v>610</v>
      </c>
      <c r="K716">
        <v>10.31</v>
      </c>
      <c r="O716">
        <v>152.37</v>
      </c>
      <c r="P716">
        <f>PI()*J716*1/1000</f>
        <v>1.9163715186897738</v>
      </c>
    </row>
    <row r="717">
      <c r="C717" t="str">
        <v>P 24"x11,13</v>
      </c>
      <c r="D717" t="str">
        <v>SWARNA BAJA</v>
      </c>
      <c r="H717">
        <v>6</v>
      </c>
      <c r="I717">
        <f>O717*H717</f>
        <v>985.56</v>
      </c>
      <c r="J717">
        <v>610</v>
      </c>
      <c r="K717">
        <v>11.13</v>
      </c>
      <c r="O717">
        <v>164.26</v>
      </c>
      <c r="P717">
        <f>PI()*J717*1/1000</f>
        <v>1.9163715186897738</v>
      </c>
    </row>
    <row r="718">
      <c r="C718" t="str">
        <v>P 24"x11,91</v>
      </c>
      <c r="D718" t="str">
        <v>SWARNA BAJA</v>
      </c>
      <c r="H718">
        <v>6</v>
      </c>
      <c r="I718">
        <f>O718*H718</f>
        <v>1053.24</v>
      </c>
      <c r="J718">
        <v>610</v>
      </c>
      <c r="K718">
        <v>11.91</v>
      </c>
      <c r="O718">
        <v>175.54</v>
      </c>
      <c r="P718">
        <f>PI()*J718*1/1000</f>
        <v>1.9163715186897738</v>
      </c>
    </row>
    <row r="719">
      <c r="C719" t="str">
        <v>P 24"x12,7</v>
      </c>
      <c r="D719" t="str">
        <v>SWARNA BAJA</v>
      </c>
      <c r="H719">
        <v>6</v>
      </c>
      <c r="I719">
        <f>O719*H719</f>
        <v>1121.6399999999999</v>
      </c>
      <c r="J719">
        <v>610</v>
      </c>
      <c r="K719">
        <v>12.7</v>
      </c>
      <c r="O719">
        <v>186.94</v>
      </c>
      <c r="P719">
        <f>PI()*J719*1/1000</f>
        <v>1.9163715186897738</v>
      </c>
    </row>
    <row r="720">
      <c r="B720" t="str">
        <v>Pipa (P)</v>
      </c>
      <c r="C720" t="str">
        <v>P 609,6x12</v>
      </c>
      <c r="D720" t="str">
        <v>SWARNA BAJA</v>
      </c>
      <c r="H720">
        <f>60/5</f>
        <v>12</v>
      </c>
      <c r="I720">
        <f>10610.51/5</f>
        <v>2122.102</v>
      </c>
      <c r="J720">
        <v>609.6</v>
      </c>
      <c r="K720">
        <v>12</v>
      </c>
      <c r="O720">
        <f>I720/H720</f>
        <v>176.8418333333333</v>
      </c>
      <c r="P720">
        <f>PI()*J720*1/1000</f>
        <v>1.915114881628338</v>
      </c>
    </row>
    <row r="721">
      <c r="B721" t="str">
        <v>Plat Putih 3' x 6' (PP)</v>
      </c>
      <c r="C721" t="str">
        <v>PP 0,35</v>
      </c>
      <c r="E721" t="str">
        <v>SGJ, SHC</v>
      </c>
      <c r="H721">
        <f>3*6*0.3^2</f>
        <v>1.6199999999999999</v>
      </c>
      <c r="I721">
        <v>4.6</v>
      </c>
      <c r="J721">
        <v>0.35</v>
      </c>
      <c r="O721">
        <f>I721/H721</f>
        <v>2.8395061728395063</v>
      </c>
      <c r="P721">
        <f>2+4*J721/1000</f>
        <v>2.0014</v>
      </c>
    </row>
    <row r="722">
      <c r="C722" t="str">
        <v>PP 0,4</v>
      </c>
      <c r="E722" t="str">
        <v>SHC</v>
      </c>
      <c r="H722">
        <f>3*6*0.3^2</f>
        <v>1.6199999999999999</v>
      </c>
      <c r="I722">
        <v>5.25</v>
      </c>
      <c r="J722">
        <v>0.4</v>
      </c>
      <c r="O722">
        <f>I722/H722</f>
        <v>3.240740740740741</v>
      </c>
      <c r="P722">
        <f>2+4*J722/1000</f>
        <v>2.0016</v>
      </c>
    </row>
    <row r="723">
      <c r="C723" t="str">
        <v>PP 0,5</v>
      </c>
      <c r="E723" t="str">
        <v>SGJ, SHC</v>
      </c>
      <c r="H723">
        <f>3*6*0.3^2</f>
        <v>1.6199999999999999</v>
      </c>
      <c r="I723">
        <v>6.57</v>
      </c>
      <c r="J723">
        <v>0.5</v>
      </c>
      <c r="O723">
        <f>I723/H723</f>
        <v>4.055555555555556</v>
      </c>
      <c r="P723">
        <f>2+4*J723/1000</f>
        <v>2.002</v>
      </c>
    </row>
    <row r="724">
      <c r="C724" t="str">
        <v>PP 0,6</v>
      </c>
      <c r="E724" t="str">
        <v>SGJ, SHC</v>
      </c>
      <c r="H724">
        <f>3*6*0.3^2</f>
        <v>1.6199999999999999</v>
      </c>
      <c r="I724">
        <v>7.88</v>
      </c>
      <c r="J724">
        <v>0.6</v>
      </c>
      <c r="O724">
        <f>I724/H724</f>
        <v>4.864197530864198</v>
      </c>
      <c r="P724">
        <f>2+4*J724/1000</f>
        <v>2.0024</v>
      </c>
    </row>
    <row r="725">
      <c r="C725" t="str">
        <v>PP 0,65</v>
      </c>
      <c r="E725" t="str">
        <v>SGJ, SHC</v>
      </c>
      <c r="H725">
        <f>3*6*0.3^2</f>
        <v>1.6199999999999999</v>
      </c>
      <c r="I725">
        <v>8.53</v>
      </c>
      <c r="J725">
        <v>0.65</v>
      </c>
      <c r="O725">
        <f>I725/H725</f>
        <v>5.265432098765432</v>
      </c>
      <c r="P725">
        <f>2+4*J725/1000</f>
        <v>2.0026</v>
      </c>
    </row>
    <row r="726">
      <c r="C726" t="str">
        <v>PP 0,66</v>
      </c>
      <c r="E726" t="str">
        <v>SGJ, SHC</v>
      </c>
      <c r="H726">
        <f>3*6*0.3^2</f>
        <v>1.6199999999999999</v>
      </c>
      <c r="I726">
        <v>8.67</v>
      </c>
      <c r="J726">
        <v>0.66</v>
      </c>
      <c r="O726">
        <f>I726/H726</f>
        <v>5.351851851851852</v>
      </c>
      <c r="P726">
        <f>2+4*J726/1000</f>
        <v>2.00264</v>
      </c>
    </row>
    <row r="727">
      <c r="C727" t="str">
        <v>PP 0,7</v>
      </c>
      <c r="E727" t="str">
        <v>SGJ, SHC</v>
      </c>
      <c r="H727">
        <f>3*6*0.3^2</f>
        <v>1.6199999999999999</v>
      </c>
      <c r="I727">
        <v>9.2</v>
      </c>
      <c r="J727">
        <v>0.7</v>
      </c>
      <c r="O727">
        <f>I727/H727</f>
        <v>5.679012345679013</v>
      </c>
      <c r="P727">
        <f>2+4*J727/1000</f>
        <v>2.0028</v>
      </c>
    </row>
    <row r="728">
      <c r="C728" t="str">
        <v>PP 0,8</v>
      </c>
      <c r="E728" t="str">
        <v>SGJ, SHC</v>
      </c>
      <c r="H728">
        <f>3*6*0.3^2</f>
        <v>1.6199999999999999</v>
      </c>
      <c r="I728">
        <v>10.5</v>
      </c>
      <c r="J728">
        <v>0.8</v>
      </c>
      <c r="O728">
        <f>I728/H728</f>
        <v>6.481481481481482</v>
      </c>
      <c r="P728">
        <f>2+4*J728/1000</f>
        <v>2.0032</v>
      </c>
    </row>
    <row r="729">
      <c r="C729" t="str">
        <v>PP 0,9</v>
      </c>
      <c r="E729" t="str">
        <v>SGJ, SHC</v>
      </c>
      <c r="H729">
        <f>3*6*0.3^2</f>
        <v>1.6199999999999999</v>
      </c>
      <c r="I729">
        <v>11.82</v>
      </c>
      <c r="J729">
        <v>0.9</v>
      </c>
      <c r="O729">
        <f>I729/H729</f>
        <v>7.296296296296297</v>
      </c>
      <c r="P729">
        <f>2+4*J729/1000</f>
        <v>2.0036</v>
      </c>
    </row>
    <row r="730">
      <c r="C730" t="str">
        <v>PP 1</v>
      </c>
      <c r="E730" t="str">
        <v>SGJ, SHC</v>
      </c>
      <c r="H730">
        <f>3*6*0.3^2</f>
        <v>1.6199999999999999</v>
      </c>
      <c r="I730">
        <v>13.1</v>
      </c>
      <c r="J730">
        <v>1</v>
      </c>
      <c r="O730">
        <f>I730/H730</f>
        <v>8.08641975308642</v>
      </c>
      <c r="P730">
        <f>2+4*J730/1000</f>
        <v>2.004</v>
      </c>
    </row>
    <row r="731">
      <c r="C731" t="str">
        <v>PP 1,2</v>
      </c>
      <c r="E731" t="str">
        <v>SGJ, SHC</v>
      </c>
      <c r="H731">
        <f>3*6*0.3^2</f>
        <v>1.6199999999999999</v>
      </c>
      <c r="I731">
        <v>15.8</v>
      </c>
      <c r="J731">
        <v>1.2</v>
      </c>
      <c r="O731">
        <f>I731/H731</f>
        <v>9.753086419753087</v>
      </c>
      <c r="P731">
        <f>2+4*J731/1000</f>
        <v>2.0048</v>
      </c>
    </row>
    <row r="732">
      <c r="C732" t="str">
        <v>PP 1,5</v>
      </c>
      <c r="E732" t="str">
        <v>SGJ, SHC</v>
      </c>
      <c r="H732">
        <f>3*6*0.3^2</f>
        <v>1.6199999999999999</v>
      </c>
      <c r="I732">
        <v>19.7</v>
      </c>
      <c r="J732">
        <v>1.5</v>
      </c>
      <c r="O732">
        <f>I732/H732</f>
        <v>12.160493827160494</v>
      </c>
      <c r="P732">
        <f>2+4*J732/1000</f>
        <v>2.006</v>
      </c>
    </row>
    <row r="733">
      <c r="C733" t="str">
        <v>PP 2</v>
      </c>
      <c r="E733" t="str">
        <v>SGJ, SHC</v>
      </c>
      <c r="H733">
        <f>3*6*0.3^2</f>
        <v>1.6199999999999999</v>
      </c>
      <c r="I733">
        <v>26.3</v>
      </c>
      <c r="J733">
        <v>2</v>
      </c>
      <c r="O733">
        <f>I733/H733</f>
        <v>16.23456790123457</v>
      </c>
      <c r="P733">
        <f>2+4*J733/1000</f>
        <v>2.008</v>
      </c>
    </row>
    <row r="734">
      <c r="B734" t="str">
        <v>Plat Putih 4' x 8' (PPS)</v>
      </c>
      <c r="C734" t="str">
        <v>PPS 0,35</v>
      </c>
      <c r="E734" t="str">
        <v>SGJ, SHC</v>
      </c>
      <c r="H734">
        <f>4*8*0.3^2</f>
        <v>2.88</v>
      </c>
      <c r="I734">
        <v>8.16</v>
      </c>
      <c r="J734">
        <v>0.35</v>
      </c>
      <c r="O734">
        <f>I734/H734</f>
        <v>2.8333333333333335</v>
      </c>
      <c r="P734">
        <f>2+4*J734/1000</f>
        <v>2.0014</v>
      </c>
    </row>
    <row r="735">
      <c r="C735" t="str">
        <v>PPS 0,6</v>
      </c>
      <c r="E735" t="str">
        <v>SGJ, SHC</v>
      </c>
      <c r="H735">
        <f>4*8*0.3^2</f>
        <v>2.88</v>
      </c>
      <c r="I735">
        <v>14</v>
      </c>
      <c r="J735">
        <v>0.6</v>
      </c>
      <c r="O735">
        <f>I735/H735</f>
        <v>4.861111111111112</v>
      </c>
      <c r="P735">
        <f>2+4*J735/1000</f>
        <v>2.0024</v>
      </c>
    </row>
    <row r="736">
      <c r="C736" t="str">
        <v>PPS 0,66</v>
      </c>
      <c r="E736" t="str">
        <v>SGJ, SHC</v>
      </c>
      <c r="H736">
        <f>4*8*0.3^2</f>
        <v>2.88</v>
      </c>
      <c r="I736">
        <v>15.4</v>
      </c>
      <c r="J736">
        <v>0.66</v>
      </c>
      <c r="O736">
        <f>I736/H736</f>
        <v>5.347222222222222</v>
      </c>
      <c r="P736">
        <f>2+4*J736/1000</f>
        <v>2.00264</v>
      </c>
    </row>
    <row r="737">
      <c r="C737" t="str">
        <v>PPS 0,7</v>
      </c>
      <c r="E737" t="str">
        <v>SGJ, SHC</v>
      </c>
      <c r="H737">
        <f>4*8*0.3^2</f>
        <v>2.88</v>
      </c>
      <c r="I737">
        <v>16.31</v>
      </c>
      <c r="J737">
        <v>0.7</v>
      </c>
      <c r="O737">
        <f>I737/H737</f>
        <v>5.663194444444445</v>
      </c>
      <c r="P737">
        <f>2+4*J737/1000</f>
        <v>2.0028</v>
      </c>
    </row>
    <row r="738">
      <c r="C738" t="str">
        <v>PPS 0,8</v>
      </c>
      <c r="E738" t="str">
        <v>SGJ, SHC</v>
      </c>
      <c r="H738">
        <f>4*8*0.3^2</f>
        <v>2.88</v>
      </c>
      <c r="I738">
        <v>18.7</v>
      </c>
      <c r="J738">
        <v>0.8</v>
      </c>
      <c r="O738">
        <f>I738/H738</f>
        <v>6.493055555555555</v>
      </c>
      <c r="P738">
        <f>2+4*J738/1000</f>
        <v>2.0032</v>
      </c>
    </row>
    <row r="739">
      <c r="C739" t="str">
        <v>PPS 0,9</v>
      </c>
      <c r="E739" t="str">
        <v>SGJ, SHC</v>
      </c>
      <c r="H739">
        <f>4*8*0.3^2</f>
        <v>2.88</v>
      </c>
      <c r="I739">
        <v>21</v>
      </c>
      <c r="J739">
        <v>0.9</v>
      </c>
      <c r="O739">
        <f>I739/H739</f>
        <v>7.291666666666667</v>
      </c>
      <c r="P739">
        <f>2+4*J739/1000</f>
        <v>2.0036</v>
      </c>
    </row>
    <row r="740">
      <c r="C740" t="str">
        <v>PPS 1</v>
      </c>
      <c r="E740" t="str">
        <v>SGJ, SHC</v>
      </c>
      <c r="H740">
        <f>4*8*0.3^2</f>
        <v>2.88</v>
      </c>
      <c r="I740">
        <v>23.33</v>
      </c>
      <c r="J740">
        <v>1</v>
      </c>
      <c r="O740">
        <f>I740/H740</f>
        <v>8.100694444444445</v>
      </c>
      <c r="P740">
        <f>2+4*J740/1000</f>
        <v>2.004</v>
      </c>
    </row>
    <row r="741">
      <c r="C741" t="str">
        <v>PPS 1,2</v>
      </c>
      <c r="E741" t="str">
        <v>SGJ, SHC</v>
      </c>
      <c r="H741">
        <f>4*8*0.3^2</f>
        <v>2.88</v>
      </c>
      <c r="I741">
        <v>28</v>
      </c>
      <c r="J741">
        <v>1.2</v>
      </c>
      <c r="O741">
        <f>I741/H741</f>
        <v>9.722222222222223</v>
      </c>
      <c r="P741">
        <f>2+4*J741/1000</f>
        <v>2.0048</v>
      </c>
    </row>
    <row r="742">
      <c r="C742" t="str">
        <v>PPS 1,5</v>
      </c>
      <c r="E742" t="str">
        <v>SGJ, SHC</v>
      </c>
      <c r="H742">
        <f>4*8*0.3^2</f>
        <v>2.88</v>
      </c>
      <c r="I742">
        <v>35</v>
      </c>
      <c r="J742">
        <v>1.5</v>
      </c>
      <c r="O742">
        <f>I742/H742</f>
        <v>12.152777777777779</v>
      </c>
      <c r="P742">
        <f>2+4*J742/1000</f>
        <v>2.006</v>
      </c>
    </row>
    <row r="743">
      <c r="C743" t="str">
        <v>PPS 1,6</v>
      </c>
      <c r="E743" t="str">
        <v>SGJ, SHC</v>
      </c>
      <c r="H743">
        <f>4*8*0.3^2</f>
        <v>2.88</v>
      </c>
      <c r="I743">
        <v>37.3</v>
      </c>
      <c r="J743">
        <v>1.6</v>
      </c>
      <c r="O743">
        <f>I743/H743</f>
        <v>12.951388888888888</v>
      </c>
      <c r="P743">
        <f>2+4*J743/1000</f>
        <v>2.0064</v>
      </c>
    </row>
    <row r="744">
      <c r="C744" t="str">
        <v>PPS 1,9</v>
      </c>
      <c r="E744" t="str">
        <v>SGJ, SHC</v>
      </c>
      <c r="H744">
        <f>4*8*0.3^2</f>
        <v>2.88</v>
      </c>
      <c r="I744">
        <v>45</v>
      </c>
      <c r="J744">
        <v>1.9</v>
      </c>
      <c r="O744">
        <f>I744/H744</f>
        <v>15.625</v>
      </c>
      <c r="P744">
        <f>2+4*J744/1000</f>
        <v>2.0076</v>
      </c>
    </row>
    <row r="745">
      <c r="C745" t="str">
        <v>PPS 2</v>
      </c>
      <c r="E745" t="str">
        <v>SGJ, SHC</v>
      </c>
      <c r="H745">
        <f>4*8*0.3^2</f>
        <v>2.88</v>
      </c>
      <c r="I745">
        <v>46.7</v>
      </c>
      <c r="J745">
        <v>2</v>
      </c>
      <c r="O745">
        <f>I745/H745</f>
        <v>16.21527777777778</v>
      </c>
      <c r="P745">
        <f>2+4*J745/1000</f>
        <v>2.008</v>
      </c>
    </row>
    <row r="746">
      <c r="B746" t="str">
        <v>Plat Hitam 4' x 8' (PL)</v>
      </c>
      <c r="C746" t="str">
        <v>PL 1,2</v>
      </c>
      <c r="E746" t="str">
        <v>SHC</v>
      </c>
      <c r="H746">
        <f>4*8*0.3^2</f>
        <v>2.88</v>
      </c>
      <c r="I746">
        <v>28</v>
      </c>
      <c r="J746">
        <v>1.2</v>
      </c>
      <c r="O746">
        <f>I746/H746</f>
        <v>9.722222222222223</v>
      </c>
      <c r="P746">
        <f>2+4*J746/1000</f>
        <v>2.0048</v>
      </c>
    </row>
    <row r="747">
      <c r="C747" t="str">
        <v>PL 1,4</v>
      </c>
      <c r="E747" t="str">
        <v>SGJ, SHC</v>
      </c>
      <c r="H747">
        <f>4*8*0.3^2</f>
        <v>2.88</v>
      </c>
      <c r="I747">
        <v>33</v>
      </c>
      <c r="J747">
        <v>1.4</v>
      </c>
      <c r="O747">
        <f>I747/H747</f>
        <v>11.458333333333334</v>
      </c>
      <c r="P747">
        <f>2+4*J747/1000</f>
        <v>2.0056</v>
      </c>
    </row>
    <row r="748">
      <c r="C748" t="str">
        <v>PL 1,5</v>
      </c>
      <c r="E748" t="str">
        <v>SGJ, SHC</v>
      </c>
      <c r="H748">
        <f>4*8*0.3^2</f>
        <v>2.88</v>
      </c>
      <c r="I748">
        <v>35</v>
      </c>
      <c r="J748">
        <v>1.5</v>
      </c>
      <c r="O748">
        <f>I748/H748</f>
        <v>12.152777777777779</v>
      </c>
      <c r="P748">
        <f>2+4*J748/1000</f>
        <v>2.006</v>
      </c>
    </row>
    <row r="749">
      <c r="C749" t="str">
        <v>PL 1,6</v>
      </c>
      <c r="E749" t="str">
        <v>SHC</v>
      </c>
      <c r="H749">
        <f>4*8*0.3^2</f>
        <v>2.88</v>
      </c>
      <c r="I749">
        <v>37.3</v>
      </c>
      <c r="J749">
        <v>1.6</v>
      </c>
      <c r="O749">
        <f>I749/H749</f>
        <v>12.951388888888888</v>
      </c>
      <c r="P749">
        <f>2+4*J749/1000</f>
        <v>2.0064</v>
      </c>
    </row>
    <row r="750">
      <c r="C750" t="str">
        <v>PL 1,7</v>
      </c>
      <c r="E750" t="str">
        <v>SHC</v>
      </c>
      <c r="H750">
        <f>4*8*0.3^2</f>
        <v>2.88</v>
      </c>
      <c r="I750">
        <v>39.7</v>
      </c>
      <c r="J750">
        <v>1.7</v>
      </c>
      <c r="O750">
        <f>I750/H750</f>
        <v>13.784722222222223</v>
      </c>
      <c r="P750">
        <f>2+4*J750/1000</f>
        <v>2.0068</v>
      </c>
    </row>
    <row r="751">
      <c r="C751" t="str">
        <v>Pl 1,8</v>
      </c>
      <c r="E751" t="str">
        <v>SHC</v>
      </c>
      <c r="H751">
        <f>4*8*0.3^2</f>
        <v>2.88</v>
      </c>
      <c r="I751">
        <v>42</v>
      </c>
      <c r="J751">
        <v>1.8</v>
      </c>
      <c r="O751">
        <f>I751/H751</f>
        <v>14.583333333333334</v>
      </c>
      <c r="P751">
        <f>2+4*J751/1000</f>
        <v>2.0072</v>
      </c>
    </row>
    <row r="752">
      <c r="C752" t="str">
        <v>PL 1,9</v>
      </c>
      <c r="E752" t="str">
        <v>SGJ</v>
      </c>
      <c r="H752">
        <f>4*8*0.3^2</f>
        <v>2.88</v>
      </c>
      <c r="I752">
        <v>44.5</v>
      </c>
      <c r="J752">
        <v>1.9</v>
      </c>
      <c r="O752">
        <f>I752/H752</f>
        <v>15.45138888888889</v>
      </c>
      <c r="P752">
        <f>2+4*J752/1000</f>
        <v>2.0076</v>
      </c>
    </row>
    <row r="753">
      <c r="C753" t="str">
        <v>PL 2</v>
      </c>
      <c r="E753" t="str">
        <v>SGJ</v>
      </c>
      <c r="H753">
        <f>4*8*0.3^2</f>
        <v>2.88</v>
      </c>
      <c r="I753">
        <v>46.7</v>
      </c>
      <c r="J753">
        <v>2</v>
      </c>
      <c r="O753">
        <f>I753/H753</f>
        <v>16.21527777777778</v>
      </c>
      <c r="P753">
        <f>2+4*J753/1000</f>
        <v>2.008</v>
      </c>
    </row>
    <row r="754">
      <c r="C754" t="str">
        <v>PL 2,3</v>
      </c>
      <c r="E754" t="str">
        <v>SGJ</v>
      </c>
      <c r="H754">
        <f>4*8*0.3^2</f>
        <v>2.88</v>
      </c>
      <c r="I754">
        <v>54</v>
      </c>
      <c r="J754">
        <v>2.3</v>
      </c>
      <c r="O754">
        <f>I754/H754</f>
        <v>18.75</v>
      </c>
      <c r="P754">
        <f>2+4*J754/1000</f>
        <v>2.0092</v>
      </c>
    </row>
    <row r="755">
      <c r="C755" t="str">
        <v>PL 2,6</v>
      </c>
      <c r="E755" t="str">
        <v>SGJ</v>
      </c>
      <c r="H755">
        <f>4*8*0.3^2</f>
        <v>2.88</v>
      </c>
      <c r="I755">
        <v>60.7</v>
      </c>
      <c r="J755">
        <v>2.6</v>
      </c>
      <c r="O755">
        <f>I755/H755</f>
        <v>21.07638888888889</v>
      </c>
      <c r="P755">
        <f>2+4*J755/1000</f>
        <v>2.0104</v>
      </c>
    </row>
    <row r="756">
      <c r="C756" t="str">
        <v>PL 2,8</v>
      </c>
      <c r="E756" t="str">
        <v>SGJ</v>
      </c>
      <c r="H756">
        <f>4*8*0.3^2</f>
        <v>2.88</v>
      </c>
      <c r="I756">
        <v>65.3</v>
      </c>
      <c r="J756">
        <v>2.8</v>
      </c>
      <c r="O756">
        <f>I756/H756</f>
        <v>22.67361111111111</v>
      </c>
      <c r="P756">
        <f>2+4*J756/1000</f>
        <v>2.0112</v>
      </c>
    </row>
    <row r="757">
      <c r="C757" t="str">
        <v>PL 2,9</v>
      </c>
      <c r="E757" t="str">
        <v>SGJ</v>
      </c>
      <c r="H757">
        <f>4*8*0.3^2</f>
        <v>2.88</v>
      </c>
      <c r="I757">
        <v>67.6</v>
      </c>
      <c r="J757">
        <v>2.9</v>
      </c>
      <c r="O757">
        <f>I757/H757</f>
        <v>23.47222222222222</v>
      </c>
      <c r="P757">
        <f>2+4*J757/1000</f>
        <v>2.0116</v>
      </c>
    </row>
    <row r="758">
      <c r="C758" t="str">
        <v>PL 3</v>
      </c>
      <c r="E758" t="str">
        <v>SGJ</v>
      </c>
      <c r="H758">
        <f>4*8*0.3^2</f>
        <v>2.88</v>
      </c>
      <c r="I758">
        <v>70</v>
      </c>
      <c r="J758">
        <v>3</v>
      </c>
      <c r="O758">
        <f>I758/H758</f>
        <v>24.305555555555557</v>
      </c>
      <c r="P758">
        <f>2+4*J758/1000</f>
        <v>2.012</v>
      </c>
    </row>
    <row r="759">
      <c r="C759" t="str">
        <v>PL 3,2</v>
      </c>
      <c r="E759" t="str">
        <v>SGJ</v>
      </c>
      <c r="H759">
        <f>4*8*0.3^2</f>
        <v>2.88</v>
      </c>
      <c r="I759">
        <v>74.7</v>
      </c>
      <c r="J759">
        <v>3.2</v>
      </c>
      <c r="O759">
        <f>I759/H759</f>
        <v>25.937500000000004</v>
      </c>
      <c r="P759">
        <f>2+4*J759/1000</f>
        <v>2.0128</v>
      </c>
    </row>
    <row r="760">
      <c r="C760" t="str">
        <v>PL 4</v>
      </c>
      <c r="E760" t="str">
        <v>SGJ</v>
      </c>
      <c r="H760">
        <f>4*8*0.3^2</f>
        <v>2.88</v>
      </c>
      <c r="I760">
        <v>93.3</v>
      </c>
      <c r="J760">
        <v>4</v>
      </c>
      <c r="O760">
        <f>I760/H760</f>
        <v>32.395833333333336</v>
      </c>
      <c r="P760">
        <f>2+4*J760/1000</f>
        <v>2.016</v>
      </c>
    </row>
    <row r="761">
      <c r="C761" t="str">
        <v>PL 4,5</v>
      </c>
      <c r="E761" t="str">
        <v>SGJ</v>
      </c>
      <c r="H761">
        <f>4*8*0.3^2</f>
        <v>2.88</v>
      </c>
      <c r="I761">
        <v>105</v>
      </c>
      <c r="J761">
        <v>4.5</v>
      </c>
      <c r="O761">
        <f>I761/H761</f>
        <v>36.458333333333336</v>
      </c>
      <c r="P761">
        <f>2+4*J761/1000</f>
        <v>2.018</v>
      </c>
    </row>
    <row r="762">
      <c r="C762" t="str">
        <v>PL 5</v>
      </c>
      <c r="E762" t="str">
        <v>SGJ</v>
      </c>
      <c r="H762">
        <f>4*8*0.3^2</f>
        <v>2.88</v>
      </c>
      <c r="I762">
        <v>117</v>
      </c>
      <c r="J762">
        <v>5</v>
      </c>
      <c r="O762">
        <f>I762/H762</f>
        <v>40.625</v>
      </c>
      <c r="P762">
        <f>2+4*J762/1000</f>
        <v>2.02</v>
      </c>
    </row>
    <row r="763">
      <c r="C763" t="str">
        <v>PL 6</v>
      </c>
      <c r="E763" t="str">
        <v>SGJ</v>
      </c>
      <c r="H763">
        <f>4*8*0.3^2</f>
        <v>2.88</v>
      </c>
      <c r="I763">
        <v>140</v>
      </c>
      <c r="J763">
        <v>6</v>
      </c>
      <c r="O763">
        <f>I763/H763</f>
        <v>48.611111111111114</v>
      </c>
      <c r="P763">
        <f>2+4*J763/1000</f>
        <v>2.024</v>
      </c>
    </row>
    <row r="764">
      <c r="C764" t="str">
        <v>PL 8</v>
      </c>
      <c r="E764" t="str">
        <v>SGJ</v>
      </c>
      <c r="H764">
        <f>4*8*0.3^2</f>
        <v>2.88</v>
      </c>
      <c r="I764">
        <v>187</v>
      </c>
      <c r="J764">
        <v>8</v>
      </c>
      <c r="O764">
        <f>I764/H764</f>
        <v>64.93055555555556</v>
      </c>
      <c r="P764">
        <f>2+4*J764/1000</f>
        <v>2.032</v>
      </c>
    </row>
    <row r="765">
      <c r="C765" t="str">
        <v>PL 9</v>
      </c>
      <c r="E765" t="str">
        <v>SGJ</v>
      </c>
      <c r="H765">
        <f>4*8*0.3^2</f>
        <v>2.88</v>
      </c>
      <c r="I765">
        <v>210</v>
      </c>
      <c r="J765">
        <v>9</v>
      </c>
      <c r="O765">
        <f>I765/H765</f>
        <v>72.91666666666667</v>
      </c>
      <c r="P765">
        <f>2+4*J765/1000</f>
        <v>2.036</v>
      </c>
    </row>
    <row r="766">
      <c r="C766" t="str">
        <v>PL 10</v>
      </c>
      <c r="E766" t="str">
        <v>SGJ</v>
      </c>
      <c r="H766">
        <f>4*8*0.3^2</f>
        <v>2.88</v>
      </c>
      <c r="I766">
        <v>233.3</v>
      </c>
      <c r="J766">
        <v>10</v>
      </c>
      <c r="O766">
        <f>I766/H766</f>
        <v>81.00694444444446</v>
      </c>
      <c r="P766">
        <f>2+4*J766/1000</f>
        <v>2.04</v>
      </c>
    </row>
    <row r="767">
      <c r="C767" t="str">
        <v>PL 12</v>
      </c>
      <c r="E767" t="str">
        <v>SGJ</v>
      </c>
      <c r="H767">
        <f>4*8*0.3^2</f>
        <v>2.88</v>
      </c>
      <c r="I767">
        <v>280</v>
      </c>
      <c r="J767">
        <v>12</v>
      </c>
      <c r="O767">
        <f>I767/H767</f>
        <v>97.22222222222223</v>
      </c>
      <c r="P767">
        <f>2+4*J767/1000</f>
        <v>2.048</v>
      </c>
    </row>
    <row r="768">
      <c r="C768" t="str">
        <v>PL 13</v>
      </c>
      <c r="E768" t="str">
        <v>SGJ</v>
      </c>
      <c r="H768">
        <f>4*8*0.3^2</f>
        <v>2.88</v>
      </c>
      <c r="I768">
        <v>303</v>
      </c>
      <c r="J768">
        <v>13</v>
      </c>
      <c r="O768">
        <f>I768/H768</f>
        <v>105.20833333333334</v>
      </c>
      <c r="P768">
        <f>2+4*J768/1000</f>
        <v>2.052</v>
      </c>
    </row>
    <row r="769">
      <c r="C769" t="str">
        <v>PL 15</v>
      </c>
      <c r="E769" t="str">
        <v>SGJ</v>
      </c>
      <c r="H769">
        <f>4*8*0.3^2</f>
        <v>2.88</v>
      </c>
      <c r="I769">
        <v>350</v>
      </c>
      <c r="J769">
        <v>15</v>
      </c>
      <c r="O769">
        <f>I769/H769</f>
        <v>121.52777777777779</v>
      </c>
      <c r="P769">
        <f>2+4*J769/1000</f>
        <v>2.06</v>
      </c>
    </row>
    <row r="770">
      <c r="C770" t="str">
        <v>PL 14</v>
      </c>
      <c r="E770">
        <v>0</v>
      </c>
      <c r="H770">
        <f>4*8*0.3^2</f>
        <v>2.88</v>
      </c>
      <c r="I770">
        <f>+I769/J769*J770</f>
        <v>326.66666666666663</v>
      </c>
      <c r="J770">
        <v>14</v>
      </c>
      <c r="O770">
        <f>I770/H770</f>
        <v>113.42592592592592</v>
      </c>
      <c r="P770">
        <f>2+4*J770/1000</f>
        <v>2.056</v>
      </c>
      <c r="Q770" t="str">
        <v>tambahan berat</v>
      </c>
    </row>
    <row r="771">
      <c r="C771" t="str">
        <v>PL 16</v>
      </c>
      <c r="E771" t="str">
        <v>SGJ</v>
      </c>
      <c r="H771">
        <f>4*8*0.3^2</f>
        <v>2.88</v>
      </c>
      <c r="I771">
        <v>373</v>
      </c>
      <c r="J771">
        <v>16</v>
      </c>
      <c r="O771">
        <f>I771/H771</f>
        <v>129.51388888888889</v>
      </c>
      <c r="P771">
        <f>2+4*J771/1000</f>
        <v>2.064</v>
      </c>
    </row>
    <row r="772">
      <c r="C772" t="str">
        <v>PL 18</v>
      </c>
      <c r="E772" t="str">
        <v>SGJ</v>
      </c>
      <c r="H772">
        <f>4*8*0.3^2</f>
        <v>2.88</v>
      </c>
      <c r="I772">
        <v>420</v>
      </c>
      <c r="J772">
        <v>18</v>
      </c>
      <c r="O772">
        <f>I772/H772</f>
        <v>145.83333333333334</v>
      </c>
      <c r="P772">
        <f>2+4*J772/1000</f>
        <v>2.072</v>
      </c>
    </row>
    <row r="773">
      <c r="C773" t="str">
        <v>PL 19</v>
      </c>
      <c r="E773" t="str">
        <v>SGJ</v>
      </c>
      <c r="H773">
        <f>4*8*0.3^2</f>
        <v>2.88</v>
      </c>
      <c r="I773">
        <v>443</v>
      </c>
      <c r="J773">
        <v>19</v>
      </c>
      <c r="O773">
        <f>I773/H773</f>
        <v>153.81944444444446</v>
      </c>
      <c r="P773">
        <f>2+4*J773/1000</f>
        <v>2.076</v>
      </c>
    </row>
    <row r="774">
      <c r="C774" t="str">
        <v>PL 20</v>
      </c>
      <c r="E774" t="str">
        <v>SGJ</v>
      </c>
      <c r="H774">
        <f>4*8*0.3^2</f>
        <v>2.88</v>
      </c>
      <c r="I774">
        <v>466</v>
      </c>
      <c r="J774">
        <v>20</v>
      </c>
      <c r="O774">
        <f>I774/H774</f>
        <v>161.80555555555557</v>
      </c>
      <c r="P774">
        <f>2+4*J774/1000</f>
        <v>2.08</v>
      </c>
    </row>
    <row r="775">
      <c r="C775" t="str">
        <v>PL 21</v>
      </c>
      <c r="E775" t="str">
        <v>SGJ</v>
      </c>
      <c r="H775">
        <f>4*8*0.3^2</f>
        <v>2.88</v>
      </c>
      <c r="I775">
        <v>490</v>
      </c>
      <c r="J775">
        <v>21</v>
      </c>
      <c r="O775">
        <f>I775/H775</f>
        <v>170.13888888888889</v>
      </c>
      <c r="P775">
        <f>2+4*J775/1000</f>
        <v>2.084</v>
      </c>
    </row>
    <row r="776">
      <c r="C776" t="str">
        <v>PL 22</v>
      </c>
      <c r="E776" t="str">
        <v>SGJ</v>
      </c>
      <c r="H776">
        <f>4*8*0.3^2</f>
        <v>2.88</v>
      </c>
      <c r="I776">
        <v>513</v>
      </c>
      <c r="J776">
        <v>22</v>
      </c>
      <c r="O776">
        <f>I776/H776</f>
        <v>178.125</v>
      </c>
      <c r="P776">
        <f>2+4*J776/1000</f>
        <v>2.088</v>
      </c>
    </row>
    <row r="777">
      <c r="C777" t="str">
        <v>PL 24</v>
      </c>
      <c r="E777">
        <v>0</v>
      </c>
      <c r="H777">
        <f>4*8*0.3^2</f>
        <v>2.88</v>
      </c>
      <c r="I777">
        <f>+I776/J776*J777</f>
        <v>559.6363636363636</v>
      </c>
      <c r="J777">
        <v>24</v>
      </c>
      <c r="O777">
        <f>I777/H777</f>
        <v>194.3181818181818</v>
      </c>
      <c r="P777">
        <f>2+4*J777/1000</f>
        <v>2.096</v>
      </c>
      <c r="Q777" t="str">
        <v>tambahan berat</v>
      </c>
    </row>
    <row r="778">
      <c r="C778" t="str">
        <v>PL 25</v>
      </c>
      <c r="E778" t="str">
        <v>SGJ</v>
      </c>
      <c r="H778">
        <f>4*8*0.3^2</f>
        <v>2.88</v>
      </c>
      <c r="I778">
        <v>583</v>
      </c>
      <c r="J778">
        <v>25</v>
      </c>
      <c r="O778">
        <f>I778/H778</f>
        <v>202.43055555555557</v>
      </c>
      <c r="P778">
        <f>2+4*J778/1000</f>
        <v>2.1</v>
      </c>
    </row>
    <row r="779">
      <c r="C779" t="str">
        <v>PL 28</v>
      </c>
      <c r="E779" t="str">
        <v>SGJ</v>
      </c>
      <c r="H779">
        <f>4*8*0.3^2</f>
        <v>2.88</v>
      </c>
      <c r="I779">
        <v>653</v>
      </c>
      <c r="J779">
        <v>28</v>
      </c>
      <c r="O779">
        <f>I779/H779</f>
        <v>226.73611111111111</v>
      </c>
      <c r="P779">
        <f>2+4*J779/1000</f>
        <v>2.112</v>
      </c>
    </row>
    <row r="780">
      <c r="C780" t="str">
        <v>PL 30</v>
      </c>
      <c r="E780" t="str">
        <v>SGJ</v>
      </c>
      <c r="H780">
        <f>4*8*0.3^2</f>
        <v>2.88</v>
      </c>
      <c r="I780">
        <v>699</v>
      </c>
      <c r="J780">
        <v>30</v>
      </c>
      <c r="O780">
        <f>I780/H780</f>
        <v>242.70833333333334</v>
      </c>
      <c r="P780">
        <f>2+4*J780/1000</f>
        <v>2.12</v>
      </c>
    </row>
    <row r="781">
      <c r="C781" t="str">
        <v>PL 32</v>
      </c>
      <c r="E781" t="str">
        <v>SGJ</v>
      </c>
      <c r="H781">
        <f>4*8*0.3^2</f>
        <v>2.88</v>
      </c>
      <c r="I781">
        <v>747</v>
      </c>
      <c r="J781">
        <v>32</v>
      </c>
      <c r="O781">
        <f>I781/H781</f>
        <v>259.375</v>
      </c>
      <c r="P781">
        <f>2+4*J781/1000</f>
        <v>2.128</v>
      </c>
    </row>
    <row r="782">
      <c r="C782" t="str">
        <v>PL 38</v>
      </c>
      <c r="E782" t="str">
        <v>SGJ</v>
      </c>
      <c r="H782">
        <f>4*8*0.3^2</f>
        <v>2.88</v>
      </c>
      <c r="I782">
        <v>887</v>
      </c>
      <c r="J782">
        <v>38</v>
      </c>
      <c r="O782">
        <f>I782/H782</f>
        <v>307.98611111111114</v>
      </c>
      <c r="P782">
        <f>2+4*J782/1000</f>
        <v>2.152</v>
      </c>
    </row>
    <row r="783">
      <c r="C783" t="str">
        <v>PL 40</v>
      </c>
      <c r="E783">
        <v>0</v>
      </c>
      <c r="H783">
        <f>4*8*0.3^2</f>
        <v>2.88</v>
      </c>
      <c r="I783">
        <f>+I782/J782*J783</f>
        <v>933.6842105263157</v>
      </c>
      <c r="J783">
        <v>40</v>
      </c>
      <c r="O783">
        <f>I783/H783</f>
        <v>324.19590643274853</v>
      </c>
      <c r="P783">
        <f>2+4*J783/1000</f>
        <v>2.16</v>
      </c>
      <c r="Q783" t="str">
        <v>tambahan berat</v>
      </c>
    </row>
    <row r="784">
      <c r="C784" t="str">
        <v>PL 50</v>
      </c>
      <c r="E784" t="str">
        <v>SGJ</v>
      </c>
      <c r="H784">
        <f>4*8*0.3^2</f>
        <v>2.88</v>
      </c>
      <c r="I784">
        <v>1167</v>
      </c>
      <c r="J784">
        <v>50</v>
      </c>
      <c r="O784">
        <f>I784/H784</f>
        <v>405.20833333333337</v>
      </c>
      <c r="P784">
        <f>2+4*J784/1000</f>
        <v>2.2</v>
      </c>
    </row>
    <row r="785">
      <c r="C785" t="str">
        <v>PL 65</v>
      </c>
      <c r="E785" t="str">
        <v>SGJ</v>
      </c>
      <c r="H785">
        <f>4*8*0.3^2</f>
        <v>2.88</v>
      </c>
      <c r="I785">
        <v>1516</v>
      </c>
      <c r="J785">
        <v>65</v>
      </c>
      <c r="O785">
        <f>I785/H785</f>
        <v>526.3888888888889</v>
      </c>
      <c r="P785">
        <f>2+4*J785/1000</f>
        <v>2.26</v>
      </c>
    </row>
    <row r="786">
      <c r="C786" t="str">
        <v>PL 75</v>
      </c>
      <c r="E786" t="str">
        <v>SGJ</v>
      </c>
      <c r="H786">
        <f>4*8*0.3^2</f>
        <v>2.88</v>
      </c>
      <c r="I786">
        <v>1750</v>
      </c>
      <c r="J786">
        <v>75</v>
      </c>
      <c r="O786">
        <f>I786/H786</f>
        <v>607.6388888888889</v>
      </c>
      <c r="P786">
        <f>2+4*J786/1000</f>
        <v>2.3</v>
      </c>
    </row>
    <row r="787">
      <c r="C787" t="str">
        <v>PL 100</v>
      </c>
      <c r="E787" t="str">
        <v>SGJ</v>
      </c>
      <c r="H787">
        <f>4*8*0.3^2</f>
        <v>2.88</v>
      </c>
      <c r="I787">
        <v>2333</v>
      </c>
      <c r="J787">
        <v>100</v>
      </c>
      <c r="O787">
        <f>I787/H787</f>
        <v>810.0694444444445</v>
      </c>
      <c r="P787">
        <f>2+4*J787/1000</f>
        <v>2.4</v>
      </c>
    </row>
    <row r="788">
      <c r="B788" t="str">
        <v>Plat Kapal 5' x 20' (PK)</v>
      </c>
      <c r="C788" t="str">
        <v>PK 4,5</v>
      </c>
      <c r="E788" t="str">
        <v>SGJ</v>
      </c>
      <c r="H788">
        <f>5*20*0.3^2</f>
        <v>9</v>
      </c>
      <c r="I788">
        <v>328</v>
      </c>
      <c r="J788">
        <v>4.5</v>
      </c>
      <c r="O788">
        <f>I788/H788</f>
        <v>36.44444444444444</v>
      </c>
      <c r="P788">
        <f>2+4*J788/1000</f>
        <v>2.018</v>
      </c>
    </row>
    <row r="789">
      <c r="C789" t="str">
        <v>PK 6</v>
      </c>
      <c r="E789" t="str">
        <v>SGJ</v>
      </c>
      <c r="H789">
        <f>5*20*0.3^2</f>
        <v>9</v>
      </c>
      <c r="I789">
        <v>438</v>
      </c>
      <c r="J789">
        <v>6</v>
      </c>
      <c r="O789">
        <f>I789/H789</f>
        <v>48.666666666666664</v>
      </c>
      <c r="P789">
        <f>2+4*J789/1000</f>
        <v>2.024</v>
      </c>
    </row>
    <row r="790">
      <c r="C790" t="str">
        <v>PK 8</v>
      </c>
      <c r="E790" t="str">
        <v>SGJ</v>
      </c>
      <c r="H790">
        <f>5*20*0.3^2</f>
        <v>9</v>
      </c>
      <c r="I790">
        <v>583</v>
      </c>
      <c r="J790">
        <v>8</v>
      </c>
      <c r="O790">
        <f>I790/H790</f>
        <v>64.77777777777777</v>
      </c>
      <c r="P790">
        <f>2+4*J790/1000</f>
        <v>2.032</v>
      </c>
    </row>
    <row r="791">
      <c r="C791" t="str">
        <v>PK 9</v>
      </c>
      <c r="E791" t="str">
        <v>SGJ</v>
      </c>
      <c r="H791">
        <f>5*20*0.3^2</f>
        <v>9</v>
      </c>
      <c r="I791">
        <v>656</v>
      </c>
      <c r="J791">
        <v>9</v>
      </c>
      <c r="O791">
        <f>I791/H791</f>
        <v>72.88888888888889</v>
      </c>
      <c r="P791">
        <f>2+4*J791/1000</f>
        <v>2.036</v>
      </c>
    </row>
    <row r="792">
      <c r="C792" t="str">
        <v>PK 10</v>
      </c>
      <c r="E792" t="str">
        <v>SGJ</v>
      </c>
      <c r="H792">
        <f>5*20*0.3^2</f>
        <v>9</v>
      </c>
      <c r="I792">
        <v>729</v>
      </c>
      <c r="J792">
        <v>10</v>
      </c>
      <c r="O792">
        <f>I792/H792</f>
        <v>81</v>
      </c>
      <c r="P792">
        <f>2+4*J792/1000</f>
        <v>2.04</v>
      </c>
    </row>
    <row r="793">
      <c r="C793" t="str">
        <v>PK 12</v>
      </c>
      <c r="E793" t="str">
        <v>SGJ</v>
      </c>
      <c r="H793">
        <f>5*20*0.3^2</f>
        <v>9</v>
      </c>
      <c r="I793">
        <v>875</v>
      </c>
      <c r="J793">
        <v>12</v>
      </c>
      <c r="O793">
        <f>I793/H793</f>
        <v>97.22222222222223</v>
      </c>
      <c r="P793">
        <f>2+4*J793/1000</f>
        <v>2.048</v>
      </c>
    </row>
    <row r="794">
      <c r="C794" t="str">
        <v>PK 14</v>
      </c>
      <c r="E794" t="str">
        <v>SGJ</v>
      </c>
      <c r="H794">
        <f>5*20*0.3^2</f>
        <v>9</v>
      </c>
      <c r="I794">
        <v>1021</v>
      </c>
      <c r="J794">
        <v>14</v>
      </c>
      <c r="O794">
        <f>I794/H794</f>
        <v>113.44444444444444</v>
      </c>
      <c r="P794">
        <f>2+4*J794/1000</f>
        <v>2.056</v>
      </c>
    </row>
    <row r="795">
      <c r="C795" t="str">
        <v>PK 15</v>
      </c>
      <c r="E795" t="str">
        <v>SGJ</v>
      </c>
      <c r="H795">
        <f>5*20*0.3^2</f>
        <v>9</v>
      </c>
      <c r="I795">
        <v>1094</v>
      </c>
      <c r="J795">
        <v>15</v>
      </c>
      <c r="O795">
        <f>I795/H795</f>
        <v>121.55555555555556</v>
      </c>
      <c r="P795">
        <f>2+4*J795/1000</f>
        <v>2.06</v>
      </c>
    </row>
    <row r="796">
      <c r="C796" t="str">
        <v>PK 16</v>
      </c>
      <c r="E796" t="str">
        <v>SGJ</v>
      </c>
      <c r="H796">
        <f>5*20*0.3^2</f>
        <v>9</v>
      </c>
      <c r="I796">
        <v>1167</v>
      </c>
      <c r="J796">
        <v>16</v>
      </c>
      <c r="O796">
        <f>I796/H796</f>
        <v>129.66666666666666</v>
      </c>
      <c r="P796">
        <f>2+4*J796/1000</f>
        <v>2.064</v>
      </c>
    </row>
    <row r="797">
      <c r="C797" t="str">
        <v>PK 18</v>
      </c>
      <c r="E797" t="str">
        <v>SGJ</v>
      </c>
      <c r="H797">
        <f>5*20*0.3^2</f>
        <v>9</v>
      </c>
      <c r="I797">
        <v>1313</v>
      </c>
      <c r="J797">
        <v>18</v>
      </c>
      <c r="O797">
        <f>I797/H797</f>
        <v>145.88888888888889</v>
      </c>
      <c r="P797">
        <f>2+4*J797/1000</f>
        <v>2.072</v>
      </c>
    </row>
    <row r="798">
      <c r="C798" t="str">
        <v>PK 19</v>
      </c>
      <c r="E798" t="str">
        <v>SGJ</v>
      </c>
      <c r="H798">
        <f>5*20*0.3^2</f>
        <v>9</v>
      </c>
      <c r="I798">
        <v>1386</v>
      </c>
      <c r="J798">
        <v>19</v>
      </c>
      <c r="O798">
        <f>I798/H798</f>
        <v>154</v>
      </c>
      <c r="P798">
        <f>2+4*J798/1000</f>
        <v>2.076</v>
      </c>
    </row>
    <row r="799">
      <c r="C799" t="str">
        <v>PK 21</v>
      </c>
      <c r="E799" t="str">
        <v>SGJ</v>
      </c>
      <c r="H799">
        <f>5*20*0.3^2</f>
        <v>9</v>
      </c>
      <c r="I799">
        <v>1531</v>
      </c>
      <c r="J799">
        <v>21</v>
      </c>
      <c r="O799">
        <f>I799/H799</f>
        <v>170.11111111111111</v>
      </c>
      <c r="P799">
        <f>2+4*J799/1000</f>
        <v>2.084</v>
      </c>
    </row>
    <row r="800">
      <c r="C800" t="str">
        <v>PK 25</v>
      </c>
      <c r="E800" t="str">
        <v>SGJ</v>
      </c>
      <c r="H800">
        <f>5*20*0.3^2</f>
        <v>9</v>
      </c>
      <c r="I800">
        <v>1823</v>
      </c>
      <c r="J800">
        <v>25</v>
      </c>
      <c r="O800">
        <f>I800/H800</f>
        <v>202.55555555555554</v>
      </c>
      <c r="P800">
        <f>2+4*J800/1000</f>
        <v>2.1</v>
      </c>
    </row>
    <row r="801">
      <c r="B801" t="str">
        <v>Plat Kapal 6' x 20' (PKS)</v>
      </c>
      <c r="C801" t="str">
        <v>PKS 4,5</v>
      </c>
      <c r="E801" t="str">
        <v>SGJ</v>
      </c>
      <c r="H801">
        <f>6*20*0.3^2</f>
        <v>10.799999999999999</v>
      </c>
      <c r="I801">
        <v>394</v>
      </c>
      <c r="J801">
        <v>4.5</v>
      </c>
      <c r="O801">
        <f>I801/H801</f>
        <v>36.48148148148149</v>
      </c>
      <c r="P801">
        <f>2+4*J801/1000</f>
        <v>2.018</v>
      </c>
    </row>
    <row r="802">
      <c r="C802" t="str">
        <v>PKS 6</v>
      </c>
      <c r="E802" t="str">
        <v>SGJ</v>
      </c>
      <c r="H802">
        <f>6*20*0.3^2</f>
        <v>10.799999999999999</v>
      </c>
      <c r="I802">
        <v>525</v>
      </c>
      <c r="J802">
        <v>6</v>
      </c>
      <c r="O802">
        <f>I802/H802</f>
        <v>48.611111111111114</v>
      </c>
      <c r="P802">
        <f>2+4*J802/1000</f>
        <v>2.024</v>
      </c>
    </row>
    <row r="803">
      <c r="C803" t="str">
        <v>PKS 8</v>
      </c>
      <c r="E803" t="str">
        <v>SGJ</v>
      </c>
      <c r="H803">
        <f>6*20*0.3^2</f>
        <v>10.799999999999999</v>
      </c>
      <c r="I803">
        <v>709</v>
      </c>
      <c r="J803">
        <v>8</v>
      </c>
      <c r="O803">
        <f>I803/H803</f>
        <v>65.64814814814815</v>
      </c>
      <c r="P803">
        <f>2+4*J803/1000</f>
        <v>2.032</v>
      </c>
    </row>
    <row r="804">
      <c r="C804" t="str">
        <v>PKS 9</v>
      </c>
      <c r="E804" t="str">
        <v>SGJ</v>
      </c>
      <c r="H804">
        <f>6*20*0.3^2</f>
        <v>10.799999999999999</v>
      </c>
      <c r="I804">
        <v>788</v>
      </c>
      <c r="J804">
        <v>9</v>
      </c>
      <c r="O804">
        <f>I804/H804</f>
        <v>72.96296296296298</v>
      </c>
      <c r="P804">
        <f>2+4*J804/1000</f>
        <v>2.036</v>
      </c>
    </row>
    <row r="805">
      <c r="C805" t="str">
        <v>PKS 10</v>
      </c>
      <c r="E805" t="str">
        <v>SGJ</v>
      </c>
      <c r="H805">
        <f>6*20*0.3^2</f>
        <v>10.799999999999999</v>
      </c>
      <c r="I805">
        <v>875</v>
      </c>
      <c r="J805">
        <v>10</v>
      </c>
      <c r="O805">
        <f>I805/H805</f>
        <v>81.01851851851853</v>
      </c>
      <c r="P805">
        <f>2+4*J805/1000</f>
        <v>2.04</v>
      </c>
    </row>
    <row r="806">
      <c r="C806" t="str">
        <v>PKS 12</v>
      </c>
      <c r="E806" t="str">
        <v>SGJ</v>
      </c>
      <c r="H806">
        <f>6*20*0.3^2</f>
        <v>10.799999999999999</v>
      </c>
      <c r="I806">
        <v>1050</v>
      </c>
      <c r="J806">
        <v>12</v>
      </c>
      <c r="O806">
        <f>I806/H806</f>
        <v>97.22222222222223</v>
      </c>
      <c r="P806">
        <f>2+4*J806/1000</f>
        <v>2.048</v>
      </c>
    </row>
    <row r="807">
      <c r="C807" t="str">
        <v>PKS 14</v>
      </c>
      <c r="E807" t="str">
        <v>SGJ</v>
      </c>
      <c r="H807">
        <f>6*20*0.3^2</f>
        <v>10.799999999999999</v>
      </c>
      <c r="I807">
        <v>1225</v>
      </c>
      <c r="J807">
        <v>14</v>
      </c>
      <c r="O807">
        <f>I807/H807</f>
        <v>113.42592592592594</v>
      </c>
      <c r="P807">
        <f>2+4*J807/1000</f>
        <v>2.056</v>
      </c>
    </row>
    <row r="808">
      <c r="C808" t="str">
        <v>PKS 15</v>
      </c>
      <c r="E808" t="str">
        <v>SGJ</v>
      </c>
      <c r="H808">
        <f>6*20*0.3^2</f>
        <v>10.799999999999999</v>
      </c>
      <c r="I808">
        <v>1313</v>
      </c>
      <c r="J808">
        <v>15</v>
      </c>
      <c r="O808">
        <f>I808/H808</f>
        <v>121.57407407407409</v>
      </c>
      <c r="P808">
        <f>2+4*J808/1000</f>
        <v>2.06</v>
      </c>
    </row>
    <row r="809">
      <c r="C809" t="str">
        <v>PKS 16</v>
      </c>
      <c r="E809" t="str">
        <v>SGJ</v>
      </c>
      <c r="H809">
        <f>6*20*0.3^2</f>
        <v>10.799999999999999</v>
      </c>
      <c r="I809">
        <v>1400</v>
      </c>
      <c r="J809">
        <v>16</v>
      </c>
      <c r="O809">
        <f>I809/H809</f>
        <v>129.62962962962965</v>
      </c>
      <c r="P809">
        <f>2+4*J809/1000</f>
        <v>2.064</v>
      </c>
    </row>
    <row r="810">
      <c r="C810" t="str">
        <v>PKS 18</v>
      </c>
      <c r="E810" t="str">
        <v>SGJ</v>
      </c>
      <c r="H810">
        <f>6*20*0.3^2</f>
        <v>10.799999999999999</v>
      </c>
      <c r="I810">
        <v>1575</v>
      </c>
      <c r="J810">
        <v>18</v>
      </c>
      <c r="O810">
        <f>I810/H810</f>
        <v>145.83333333333334</v>
      </c>
      <c r="P810">
        <f>2+4*J810/1000</f>
        <v>2.072</v>
      </c>
    </row>
    <row r="811">
      <c r="C811" t="str">
        <v>PKS 19</v>
      </c>
      <c r="E811" t="str">
        <v>SGJ</v>
      </c>
      <c r="H811">
        <f>6*20*0.3^2</f>
        <v>10.799999999999999</v>
      </c>
      <c r="I811">
        <v>1664</v>
      </c>
      <c r="J811">
        <v>19</v>
      </c>
      <c r="O811">
        <f>I811/H811</f>
        <v>154.07407407407408</v>
      </c>
      <c r="P811">
        <f>2+4*J811/1000</f>
        <v>2.076</v>
      </c>
    </row>
    <row r="812">
      <c r="C812" t="str">
        <v>PKS 21</v>
      </c>
      <c r="E812" t="str">
        <v>SGJ</v>
      </c>
      <c r="H812">
        <f>6*20*0.3^2</f>
        <v>10.799999999999999</v>
      </c>
      <c r="I812">
        <v>1838</v>
      </c>
      <c r="J812">
        <v>21</v>
      </c>
      <c r="O812">
        <f>I812/H812</f>
        <v>170.1851851851852</v>
      </c>
      <c r="P812">
        <f>2+4*J812/1000</f>
        <v>2.084</v>
      </c>
    </row>
    <row r="813">
      <c r="C813" t="str">
        <v>PKS 25</v>
      </c>
      <c r="E813" t="str">
        <v>SGJ</v>
      </c>
      <c r="H813">
        <f>6*20*0.3^2</f>
        <v>10.799999999999999</v>
      </c>
      <c r="I813">
        <v>2188</v>
      </c>
      <c r="J813">
        <v>25</v>
      </c>
      <c r="O813">
        <f>I813/H813</f>
        <v>202.5925925925926</v>
      </c>
      <c r="P813">
        <f>2+4*J813/1000</f>
        <v>2.1</v>
      </c>
    </row>
    <row r="814">
      <c r="B814" t="str">
        <v>Plat Kapal 5' x 20' (PK)</v>
      </c>
      <c r="C814" t="str">
        <v>PK 3/16"</v>
      </c>
      <c r="E814" t="str">
        <v>SGJ</v>
      </c>
      <c r="H814">
        <f>5*20*0.3^2</f>
        <v>9</v>
      </c>
      <c r="I814">
        <v>347</v>
      </c>
      <c r="J814">
        <f>3/16*25.4</f>
        <v>4.762499999999999</v>
      </c>
      <c r="O814">
        <f>I814/H814</f>
        <v>38.55555555555556</v>
      </c>
      <c r="P814">
        <f>2+4*J814/1000</f>
        <v>2.01905</v>
      </c>
    </row>
    <row r="815">
      <c r="C815" t="str">
        <v>PK 1/4"</v>
      </c>
      <c r="E815" t="str">
        <v>SGJ</v>
      </c>
      <c r="H815">
        <f>5*20*0.3^2</f>
        <v>9</v>
      </c>
      <c r="I815">
        <v>463</v>
      </c>
      <c r="J815">
        <f>25.4*1/4</f>
        <v>6.35</v>
      </c>
      <c r="O815">
        <f>I815/H815</f>
        <v>51.44444444444444</v>
      </c>
      <c r="P815">
        <f>2+4*J815/1000</f>
        <v>2.0254</v>
      </c>
    </row>
    <row r="816">
      <c r="C816" t="str">
        <v>PK 5/16"</v>
      </c>
      <c r="E816" t="str">
        <v>SGJ</v>
      </c>
      <c r="H816">
        <f>5*20*0.3^2</f>
        <v>9</v>
      </c>
      <c r="I816">
        <v>579</v>
      </c>
      <c r="J816">
        <f>25.4*5/16</f>
        <v>7.9375</v>
      </c>
      <c r="O816">
        <f>I816/H816</f>
        <v>64.33333333333333</v>
      </c>
      <c r="P816">
        <f>2+4*J816/1000</f>
        <v>2.03175</v>
      </c>
    </row>
    <row r="817">
      <c r="C817" t="str">
        <v>PK 3/8"</v>
      </c>
      <c r="E817" t="str">
        <v>SGJ</v>
      </c>
      <c r="H817">
        <f>5*20*0.3^2</f>
        <v>9</v>
      </c>
      <c r="I817">
        <v>695</v>
      </c>
      <c r="J817">
        <f>25.4*3/8</f>
        <v>9.524999999999999</v>
      </c>
      <c r="O817">
        <f>I817/H817</f>
        <v>77.22222222222223</v>
      </c>
      <c r="P817">
        <f>2+4*J817/1000</f>
        <v>2.0381</v>
      </c>
    </row>
    <row r="818">
      <c r="C818" t="str">
        <v>PK 7/16"</v>
      </c>
      <c r="E818" t="str">
        <v>SGJ</v>
      </c>
      <c r="H818">
        <f>5*20*0.3^2</f>
        <v>9</v>
      </c>
      <c r="I818">
        <v>810</v>
      </c>
      <c r="J818">
        <f>25.4*7/16</f>
        <v>11.112499999999999</v>
      </c>
      <c r="O818">
        <f>I818/H818</f>
        <v>90</v>
      </c>
      <c r="P818">
        <f>2+4*J818/1000</f>
        <v>2.04445</v>
      </c>
    </row>
    <row r="819">
      <c r="C819" t="str">
        <v>PK 1/2"</v>
      </c>
      <c r="E819" t="str">
        <v>SGJ</v>
      </c>
      <c r="H819">
        <f>5*20*0.3^2</f>
        <v>9</v>
      </c>
      <c r="I819">
        <v>926</v>
      </c>
      <c r="J819">
        <f>25.481/2</f>
        <v>12.7405</v>
      </c>
      <c r="O819">
        <f>I819/H819</f>
        <v>102.88888888888889</v>
      </c>
      <c r="P819">
        <f>2+4*J819/1000</f>
        <v>2.050962</v>
      </c>
    </row>
    <row r="820">
      <c r="C820" t="str">
        <v>PK 9/16"</v>
      </c>
      <c r="E820" t="str">
        <v>SGJ</v>
      </c>
      <c r="H820">
        <f>5*20*0.3^2</f>
        <v>9</v>
      </c>
      <c r="I820">
        <v>1042</v>
      </c>
      <c r="J820">
        <f>25.4*9/16</f>
        <v>14.2875</v>
      </c>
      <c r="O820">
        <f>I820/H820</f>
        <v>115.77777777777777</v>
      </c>
      <c r="P820">
        <f>2+4*J820/1000</f>
        <v>2.05715</v>
      </c>
    </row>
    <row r="821">
      <c r="C821" t="str">
        <v>PK 5/8"</v>
      </c>
      <c r="E821" t="str">
        <v>SGJ</v>
      </c>
      <c r="H821">
        <f>5*20*0.3^2</f>
        <v>9</v>
      </c>
      <c r="I821">
        <v>1158</v>
      </c>
      <c r="J821">
        <f>25.5*5/8</f>
        <v>15.9375</v>
      </c>
      <c r="O821">
        <f>I821/H821</f>
        <v>128.66666666666666</v>
      </c>
      <c r="P821">
        <f>2+4*J821/1000</f>
        <v>2.06375</v>
      </c>
    </row>
    <row r="822">
      <c r="C822" t="str">
        <v>PK 11/16"</v>
      </c>
      <c r="E822" t="str">
        <v>SGJ</v>
      </c>
      <c r="H822">
        <f>5*20*0.3^2</f>
        <v>9</v>
      </c>
      <c r="I822">
        <v>1274</v>
      </c>
      <c r="J822">
        <f>25.4*11/16</f>
        <v>17.4625</v>
      </c>
      <c r="O822">
        <f>I822/H822</f>
        <v>141.55555555555554</v>
      </c>
      <c r="P822">
        <f>2+4*J822/1000</f>
        <v>2.06985</v>
      </c>
    </row>
    <row r="823">
      <c r="C823" t="str">
        <v>PK 3/4"</v>
      </c>
      <c r="E823" t="str">
        <v>SGJ</v>
      </c>
      <c r="H823">
        <f>5*20*0.3^2</f>
        <v>9</v>
      </c>
      <c r="I823">
        <v>1389</v>
      </c>
      <c r="J823">
        <f>25.4*3/4</f>
        <v>19.049999999999997</v>
      </c>
      <c r="O823">
        <f>I823/H823</f>
        <v>154.33333333333334</v>
      </c>
      <c r="P823">
        <f>2+4*J823/1000</f>
        <v>2.0762</v>
      </c>
    </row>
    <row r="824">
      <c r="C824" t="str">
        <v>PK 13/16"</v>
      </c>
      <c r="E824" t="str">
        <v>SGJ</v>
      </c>
      <c r="H824">
        <f>5*20*0.3^2</f>
        <v>9</v>
      </c>
      <c r="I824">
        <v>1505</v>
      </c>
      <c r="J824">
        <f>25.4*13/16</f>
        <v>20.6375</v>
      </c>
      <c r="O824">
        <f>I824/H824</f>
        <v>167.22222222222223</v>
      </c>
      <c r="P824">
        <f>2+4*J824/1000</f>
        <v>2.08255</v>
      </c>
    </row>
    <row r="825">
      <c r="C825" t="str">
        <v>PK 7/8"</v>
      </c>
      <c r="E825" t="str">
        <v>SGJ</v>
      </c>
      <c r="H825">
        <f>5*20*0.3^2</f>
        <v>9</v>
      </c>
      <c r="I825">
        <v>1620</v>
      </c>
      <c r="J825">
        <f>25.4*7/8</f>
        <v>22.224999999999998</v>
      </c>
      <c r="O825">
        <f>I825/H825</f>
        <v>180</v>
      </c>
      <c r="P825">
        <f>2+4*J825/1000</f>
        <v>2.0889</v>
      </c>
    </row>
    <row r="826">
      <c r="C826" t="str">
        <v>PK 15/16"</v>
      </c>
      <c r="E826" t="str">
        <v>SGJ</v>
      </c>
      <c r="H826">
        <f>5*20*0.3^2</f>
        <v>9</v>
      </c>
      <c r="I826">
        <v>1736</v>
      </c>
      <c r="J826">
        <f>25.4*15/16</f>
        <v>23.8125</v>
      </c>
      <c r="O826">
        <f>I826/H826</f>
        <v>192.88888888888889</v>
      </c>
      <c r="P826">
        <f>2+4*J826/1000</f>
        <v>2.09525</v>
      </c>
    </row>
    <row r="827">
      <c r="C827" t="str">
        <v>PK 1"</v>
      </c>
      <c r="E827" t="str">
        <v>SGJ</v>
      </c>
      <c r="H827">
        <f>5*20*0.3^2</f>
        <v>9</v>
      </c>
      <c r="I827">
        <v>1852</v>
      </c>
      <c r="J827">
        <v>25.4</v>
      </c>
      <c r="O827">
        <f>I827/H827</f>
        <v>205.77777777777777</v>
      </c>
      <c r="P827">
        <f>2+4*J827/1000</f>
        <v>2.1016</v>
      </c>
    </row>
    <row r="828">
      <c r="B828" t="str">
        <v>Plat Kapal 6' x 20' (PK)</v>
      </c>
      <c r="C828" t="str">
        <v>PKS 3/16"</v>
      </c>
      <c r="E828" t="str">
        <v>SGJ</v>
      </c>
      <c r="H828">
        <f>6*20*0.3^2</f>
        <v>10.799999999999999</v>
      </c>
      <c r="I828">
        <v>417</v>
      </c>
      <c r="J828">
        <f>3/16*25.4</f>
        <v>4.762499999999999</v>
      </c>
      <c r="O828">
        <f>I828/H828</f>
        <v>38.611111111111114</v>
      </c>
      <c r="P828">
        <f>2+4*J828/1000</f>
        <v>2.01905</v>
      </c>
    </row>
    <row r="829">
      <c r="C829" t="str">
        <v>PKS 1/4"</v>
      </c>
      <c r="E829" t="str">
        <v>SGJ</v>
      </c>
      <c r="H829">
        <f>6*20*0.3^2</f>
        <v>10.799999999999999</v>
      </c>
      <c r="I829">
        <v>556</v>
      </c>
      <c r="J829">
        <f>25.4*1/4</f>
        <v>6.35</v>
      </c>
      <c r="O829">
        <f>I829/H829</f>
        <v>51.48148148148149</v>
      </c>
      <c r="P829">
        <f>2+4*J829/1000</f>
        <v>2.0254</v>
      </c>
    </row>
    <row r="830">
      <c r="C830" t="str">
        <v>PKS 5/16"</v>
      </c>
      <c r="E830" t="str">
        <v>SGJ</v>
      </c>
      <c r="H830">
        <f>6*20*0.3^2</f>
        <v>10.799999999999999</v>
      </c>
      <c r="I830">
        <v>695</v>
      </c>
      <c r="J830">
        <f>25.4*5/16</f>
        <v>7.9375</v>
      </c>
      <c r="O830">
        <f>I830/H830</f>
        <v>64.35185185185186</v>
      </c>
      <c r="P830">
        <f>2+4*J830/1000</f>
        <v>2.03175</v>
      </c>
    </row>
    <row r="831">
      <c r="C831" t="str">
        <v>PKS 3/8"</v>
      </c>
      <c r="E831" t="str">
        <v>SGJ</v>
      </c>
      <c r="H831">
        <f>6*20*0.3^2</f>
        <v>10.799999999999999</v>
      </c>
      <c r="I831">
        <v>834</v>
      </c>
      <c r="J831">
        <f>25.4*3/8</f>
        <v>9.524999999999999</v>
      </c>
      <c r="O831">
        <f>I831/H831</f>
        <v>77.22222222222223</v>
      </c>
      <c r="P831">
        <f>2+4*J831/1000</f>
        <v>2.0381</v>
      </c>
    </row>
    <row r="832">
      <c r="C832" t="str">
        <v>PKS 7/16"</v>
      </c>
      <c r="E832" t="str">
        <v>SGJ</v>
      </c>
      <c r="H832">
        <f>6*20*0.3^2</f>
        <v>10.799999999999999</v>
      </c>
      <c r="I832">
        <v>972</v>
      </c>
      <c r="J832">
        <f>25.4*7/16</f>
        <v>11.112499999999999</v>
      </c>
      <c r="O832">
        <f>I832/H832</f>
        <v>90.00000000000001</v>
      </c>
      <c r="P832">
        <f>2+4*J832/1000</f>
        <v>2.04445</v>
      </c>
    </row>
    <row r="833">
      <c r="C833" t="str">
        <v>PKS 1/2"</v>
      </c>
      <c r="E833" t="str">
        <v>SGJ</v>
      </c>
      <c r="H833">
        <f>6*20*0.3^2</f>
        <v>10.799999999999999</v>
      </c>
      <c r="I833">
        <v>1112</v>
      </c>
      <c r="J833">
        <f>25.481/2</f>
        <v>12.7405</v>
      </c>
      <c r="O833">
        <f>I833/H833</f>
        <v>102.96296296296298</v>
      </c>
      <c r="P833">
        <f>2+4*J833/1000</f>
        <v>2.050962</v>
      </c>
    </row>
    <row r="834">
      <c r="C834" t="str">
        <v>PKS 9/16"</v>
      </c>
      <c r="E834" t="str">
        <v>SGJ</v>
      </c>
      <c r="H834">
        <f>6*20*0.3^2</f>
        <v>10.799999999999999</v>
      </c>
      <c r="I834">
        <v>1251</v>
      </c>
      <c r="J834">
        <f>25.4*9/16</f>
        <v>14.2875</v>
      </c>
      <c r="O834">
        <f>I834/H834</f>
        <v>115.83333333333334</v>
      </c>
      <c r="P834">
        <f>2+4*J834/1000</f>
        <v>2.05715</v>
      </c>
    </row>
    <row r="835">
      <c r="C835" t="str">
        <v>PKS 5/8"</v>
      </c>
      <c r="E835" t="str">
        <v>SGJ</v>
      </c>
      <c r="H835">
        <f>6*20*0.3^2</f>
        <v>10.799999999999999</v>
      </c>
      <c r="I835">
        <v>1390</v>
      </c>
      <c r="J835">
        <f>25.5*5/8</f>
        <v>15.9375</v>
      </c>
      <c r="O835">
        <f>I835/H835</f>
        <v>128.70370370370372</v>
      </c>
      <c r="P835">
        <f>2+4*J835/1000</f>
        <v>2.06375</v>
      </c>
    </row>
    <row r="836">
      <c r="C836" t="str">
        <v>PKS 11/16"</v>
      </c>
      <c r="E836" t="str">
        <v>SGJ</v>
      </c>
      <c r="H836">
        <f>6*20*0.3^2</f>
        <v>10.799999999999999</v>
      </c>
      <c r="I836">
        <v>1529</v>
      </c>
      <c r="J836">
        <f>25.4*11/16</f>
        <v>17.4625</v>
      </c>
      <c r="O836">
        <f>I836/H836</f>
        <v>141.57407407407408</v>
      </c>
      <c r="P836">
        <f>2+4*J836/1000</f>
        <v>2.06985</v>
      </c>
    </row>
    <row r="837">
      <c r="C837" t="str">
        <v>PKS 3/4"</v>
      </c>
      <c r="E837" t="str">
        <v>SGJ</v>
      </c>
      <c r="H837">
        <f>6*20*0.3^2</f>
        <v>10.799999999999999</v>
      </c>
      <c r="I837">
        <v>1667</v>
      </c>
      <c r="J837">
        <f>25.4*3/4</f>
        <v>19.049999999999997</v>
      </c>
      <c r="O837">
        <f>I837/H837</f>
        <v>154.35185185185188</v>
      </c>
      <c r="P837">
        <f>2+4*J837/1000</f>
        <v>2.0762</v>
      </c>
    </row>
    <row r="838">
      <c r="C838" t="str">
        <v>PKS 13/16"</v>
      </c>
      <c r="E838" t="str">
        <v>SGJ</v>
      </c>
      <c r="H838">
        <f>6*20*0.3^2</f>
        <v>10.799999999999999</v>
      </c>
      <c r="I838">
        <v>1806</v>
      </c>
      <c r="J838">
        <f>25.4*13/16</f>
        <v>20.6375</v>
      </c>
      <c r="O838">
        <f>I838/H838</f>
        <v>167.22222222222223</v>
      </c>
      <c r="P838">
        <f>2+4*J838/1000</f>
        <v>2.08255</v>
      </c>
    </row>
    <row r="839">
      <c r="C839" t="str">
        <v>PKS 7/8"</v>
      </c>
      <c r="E839" t="str">
        <v>SGJ</v>
      </c>
      <c r="H839">
        <f>6*20*0.3^2</f>
        <v>10.799999999999999</v>
      </c>
      <c r="I839">
        <v>1945</v>
      </c>
      <c r="J839">
        <f>25.4*7/8</f>
        <v>22.224999999999998</v>
      </c>
      <c r="O839">
        <f>I839/H839</f>
        <v>180.0925925925926</v>
      </c>
      <c r="P839">
        <f>2+4*J839/1000</f>
        <v>2.0889</v>
      </c>
    </row>
    <row r="840">
      <c r="C840" t="str">
        <v>PKS 15/16"</v>
      </c>
      <c r="E840" t="str">
        <v>SGJ</v>
      </c>
      <c r="H840">
        <f>6*20*0.3^2</f>
        <v>10.799999999999999</v>
      </c>
      <c r="I840">
        <v>2084</v>
      </c>
      <c r="J840">
        <f>25.4*15/16</f>
        <v>23.8125</v>
      </c>
      <c r="O840">
        <f>I840/H840</f>
        <v>192.962962962963</v>
      </c>
      <c r="P840">
        <f>2+4*J840/1000</f>
        <v>2.09525</v>
      </c>
    </row>
    <row r="841">
      <c r="C841" t="str">
        <v>PKS 1"</v>
      </c>
      <c r="E841" t="str">
        <v>SGJ</v>
      </c>
      <c r="H841">
        <f>6*20*0.3^2</f>
        <v>10.799999999999999</v>
      </c>
      <c r="I841">
        <v>2223</v>
      </c>
      <c r="J841">
        <v>25.4</v>
      </c>
      <c r="O841">
        <f>I841/H841</f>
        <v>205.83333333333334</v>
      </c>
      <c r="P841">
        <f>2+4*J841/1000</f>
        <v>2.1016</v>
      </c>
    </row>
    <row r="842">
      <c r="B842" t="str">
        <v>Plat Bordes 4' x 8' (PB)</v>
      </c>
      <c r="C842" t="str">
        <v>PB 2,3</v>
      </c>
      <c r="E842" t="str">
        <v>SGJ</v>
      </c>
      <c r="H842">
        <f>4*8*0.3^2</f>
        <v>2.88</v>
      </c>
      <c r="I842">
        <v>59</v>
      </c>
      <c r="J842">
        <v>2.3</v>
      </c>
      <c r="O842">
        <f>I842/H842</f>
        <v>20.48611111111111</v>
      </c>
      <c r="P842">
        <f>2+4*J842/1000</f>
        <v>2.0092</v>
      </c>
    </row>
    <row r="843">
      <c r="C843" t="str">
        <v>PB 3</v>
      </c>
      <c r="E843" t="str">
        <v>SGJ</v>
      </c>
      <c r="H843">
        <f>4*8*0.3^2</f>
        <v>2.88</v>
      </c>
      <c r="I843">
        <v>75</v>
      </c>
      <c r="J843">
        <v>3</v>
      </c>
      <c r="O843">
        <f>I843/H843</f>
        <v>26.041666666666668</v>
      </c>
      <c r="P843">
        <f>2+4*J843/1000</f>
        <v>2.012</v>
      </c>
    </row>
    <row r="844">
      <c r="C844" t="str">
        <v>PB 3,2</v>
      </c>
      <c r="E844" t="str">
        <v>SGJ</v>
      </c>
      <c r="H844">
        <f>4*8*0.3^2</f>
        <v>2.88</v>
      </c>
      <c r="I844">
        <v>79.6</v>
      </c>
      <c r="J844">
        <v>3.2</v>
      </c>
      <c r="O844">
        <f>I844/H844</f>
        <v>27.63888888888889</v>
      </c>
      <c r="P844">
        <f>2+4*J844/1000</f>
        <v>2.0128</v>
      </c>
    </row>
    <row r="845">
      <c r="C845" t="str">
        <v>PB 3,6</v>
      </c>
      <c r="H845">
        <f>4*8*0.3^2</f>
        <v>2.88</v>
      </c>
      <c r="I845">
        <v>89</v>
      </c>
      <c r="J845">
        <v>3.6</v>
      </c>
      <c r="O845">
        <f>I845/H845</f>
        <v>30.90277777777778</v>
      </c>
      <c r="P845">
        <f>2+4*J845/1000</f>
        <v>2.0144</v>
      </c>
    </row>
    <row r="846">
      <c r="C846" t="str">
        <v>PB 4</v>
      </c>
      <c r="H846">
        <f>4*8*0.3^2</f>
        <v>2.88</v>
      </c>
      <c r="I846">
        <v>98.32</v>
      </c>
      <c r="J846">
        <v>4</v>
      </c>
      <c r="O846">
        <f>I846/H846</f>
        <v>34.138888888888886</v>
      </c>
      <c r="P846">
        <f>2+4*J846/1000</f>
        <v>2.016</v>
      </c>
    </row>
    <row r="847">
      <c r="C847" t="str">
        <v>PB 4,5</v>
      </c>
      <c r="E847" t="str">
        <v>SGJ</v>
      </c>
      <c r="H847">
        <f>4*8*0.3^2</f>
        <v>2.88</v>
      </c>
      <c r="I847">
        <v>110</v>
      </c>
      <c r="J847">
        <v>4.5</v>
      </c>
      <c r="O847">
        <f>I847/H847</f>
        <v>38.19444444444444</v>
      </c>
      <c r="P847">
        <f>2+4*J847/1000</f>
        <v>2.018</v>
      </c>
    </row>
    <row r="848">
      <c r="C848" t="str">
        <v>PB 5</v>
      </c>
      <c r="H848">
        <f>4*8*0.3^2</f>
        <v>2.88</v>
      </c>
      <c r="I848">
        <v>122</v>
      </c>
      <c r="J848">
        <v>5</v>
      </c>
      <c r="O848">
        <f>I848/H848</f>
        <v>42.361111111111114</v>
      </c>
      <c r="P848">
        <f>2+4*J848/1000</f>
        <v>2.02</v>
      </c>
    </row>
    <row r="849">
      <c r="C849" t="str">
        <v>PB 6</v>
      </c>
      <c r="E849" t="str">
        <v>SGJ</v>
      </c>
      <c r="H849">
        <f>4*8*0.3^2</f>
        <v>2.88</v>
      </c>
      <c r="I849">
        <v>145</v>
      </c>
      <c r="J849">
        <v>6</v>
      </c>
      <c r="O849">
        <f>I849/H849</f>
        <v>50.34722222222222</v>
      </c>
      <c r="P849">
        <f>2+4*J849/1000</f>
        <v>2.024</v>
      </c>
    </row>
    <row r="850">
      <c r="C850" t="str">
        <v>PB 8</v>
      </c>
      <c r="E850" t="str">
        <v>SGJ</v>
      </c>
      <c r="H850">
        <f>4*8*0.3^2</f>
        <v>2.88</v>
      </c>
      <c r="I850">
        <v>192</v>
      </c>
      <c r="J850">
        <v>8</v>
      </c>
      <c r="O850">
        <f>I850/H850</f>
        <v>66.66666666666667</v>
      </c>
      <c r="P850">
        <f>2+4*J850/1000</f>
        <v>2.032</v>
      </c>
    </row>
    <row r="851">
      <c r="C851" t="str">
        <v>PB 9</v>
      </c>
      <c r="E851" t="str">
        <v>SGJ</v>
      </c>
      <c r="H851">
        <f>4*8*0.3^2</f>
        <v>2.88</v>
      </c>
      <c r="I851">
        <v>215</v>
      </c>
      <c r="J851">
        <v>9</v>
      </c>
      <c r="O851">
        <f>I851/H851</f>
        <v>74.65277777777779</v>
      </c>
      <c r="P851">
        <f>2+4*J851/1000</f>
        <v>2.036</v>
      </c>
    </row>
    <row r="852">
      <c r="B852" t="str">
        <v>Plat Strip (PS)</v>
      </c>
      <c r="C852" t="str">
        <v>PS 5/8"x1/8"</v>
      </c>
      <c r="E852" t="str">
        <v>SGJ</v>
      </c>
      <c r="H852">
        <v>6</v>
      </c>
      <c r="I852">
        <v>2.26</v>
      </c>
      <c r="J852">
        <f>25.4*5/8</f>
        <v>15.875</v>
      </c>
      <c r="K852">
        <f>25.4*1/8</f>
        <v>3.175</v>
      </c>
      <c r="O852">
        <f>I852/H852</f>
        <v>0.37666666666666665</v>
      </c>
      <c r="P852">
        <f>2*(J852+K852)/1000</f>
        <v>0.0381</v>
      </c>
    </row>
    <row r="853">
      <c r="C853" t="str">
        <v>PS 5/8"x3/16"</v>
      </c>
      <c r="E853" t="str">
        <v>SGJ</v>
      </c>
      <c r="H853">
        <v>6</v>
      </c>
      <c r="I853">
        <v>3.4</v>
      </c>
      <c r="J853">
        <f>25.4*5/8</f>
        <v>15.875</v>
      </c>
      <c r="K853">
        <f>25.4*3/16</f>
        <v>4.762499999999999</v>
      </c>
      <c r="O853">
        <f>I853/H853</f>
        <v>0.5666666666666667</v>
      </c>
      <c r="P853">
        <f>2*(J853+K853)/1000</f>
        <v>0.041275</v>
      </c>
    </row>
    <row r="854">
      <c r="C854" t="str">
        <v>PS 3/4"x1/8"</v>
      </c>
      <c r="E854" t="str">
        <v>SGJ</v>
      </c>
      <c r="H854">
        <v>6</v>
      </c>
      <c r="I854">
        <v>2.89</v>
      </c>
      <c r="J854">
        <f>25.4*3/4</f>
        <v>19.049999999999997</v>
      </c>
      <c r="K854">
        <f>25.4*1/8</f>
        <v>3.175</v>
      </c>
      <c r="O854">
        <f>I854/H854</f>
        <v>0.4816666666666667</v>
      </c>
      <c r="P854">
        <f>2*(J854+K854)/1000</f>
        <v>0.044449999999999996</v>
      </c>
    </row>
    <row r="855">
      <c r="C855" t="str">
        <v>PS 3/4"x3/16"</v>
      </c>
      <c r="E855" t="str">
        <v>SGJ</v>
      </c>
      <c r="H855">
        <v>6</v>
      </c>
      <c r="I855">
        <v>4.03</v>
      </c>
      <c r="J855">
        <f>25.4*3/4</f>
        <v>19.049999999999997</v>
      </c>
      <c r="K855">
        <f>25.4*3/16</f>
        <v>4.762499999999999</v>
      </c>
      <c r="O855">
        <f>I855/H855</f>
        <v>0.6716666666666667</v>
      </c>
      <c r="P855">
        <f>2*(J855+K855)/1000</f>
        <v>0.047624999999999994</v>
      </c>
    </row>
    <row r="856">
      <c r="C856" t="str">
        <v>PS 3/4"x1/4"</v>
      </c>
      <c r="E856" t="str">
        <v>SGJ</v>
      </c>
      <c r="H856">
        <v>6</v>
      </c>
      <c r="I856">
        <v>5.37</v>
      </c>
      <c r="J856">
        <f>25.4*3/4</f>
        <v>19.049999999999997</v>
      </c>
      <c r="K856">
        <f>25.4/4</f>
        <v>6.35</v>
      </c>
      <c r="O856">
        <f>I856/H856</f>
        <v>0.895</v>
      </c>
      <c r="P856">
        <f>2*(J856+K856)/1000</f>
        <v>0.0508</v>
      </c>
    </row>
    <row r="857">
      <c r="C857" t="str">
        <v>PS 3/4"x3/8"</v>
      </c>
      <c r="E857" t="str">
        <v>SGJ</v>
      </c>
      <c r="H857">
        <v>6</v>
      </c>
      <c r="I857">
        <v>10.5</v>
      </c>
      <c r="J857">
        <f>25.4*3/4</f>
        <v>19.049999999999997</v>
      </c>
      <c r="K857">
        <f>25.4*3/8</f>
        <v>9.524999999999999</v>
      </c>
      <c r="O857">
        <f>I857/H857</f>
        <v>1.75</v>
      </c>
      <c r="P857">
        <f>2*(J857+K857)/1000</f>
        <v>0.05714999999999999</v>
      </c>
    </row>
    <row r="858">
      <c r="C858" t="str">
        <v>PS 1 3/4"x1/4"</v>
      </c>
      <c r="E858" t="str">
        <v>SGJ</v>
      </c>
      <c r="H858">
        <v>6</v>
      </c>
      <c r="I858">
        <v>12.4</v>
      </c>
      <c r="J858">
        <f>25.4*7/4</f>
        <v>44.449999999999996</v>
      </c>
      <c r="K858">
        <f>25.4/4</f>
        <v>6.35</v>
      </c>
      <c r="O858">
        <f>I858/H858</f>
        <v>2.066666666666667</v>
      </c>
      <c r="P858">
        <f>2*(J858+K858)/1000</f>
        <v>0.1016</v>
      </c>
    </row>
    <row r="859">
      <c r="C859" t="str">
        <v>PS 1"x1/8"</v>
      </c>
      <c r="E859" t="str">
        <v>SGJ</v>
      </c>
      <c r="H859">
        <v>6</v>
      </c>
      <c r="I859">
        <v>3.6</v>
      </c>
      <c r="J859">
        <f>25.4</f>
        <v>25.4</v>
      </c>
      <c r="K859">
        <f>25.4*1/8</f>
        <v>3.175</v>
      </c>
      <c r="O859">
        <f>I859/H859</f>
        <v>0.6</v>
      </c>
      <c r="P859">
        <f>2*(J859+K859)/1000</f>
        <v>0.05715</v>
      </c>
    </row>
    <row r="860">
      <c r="C860" t="str">
        <v>PS 1"x3/16"</v>
      </c>
      <c r="E860" t="str">
        <v>SGJ</v>
      </c>
      <c r="H860">
        <v>6</v>
      </c>
      <c r="I860">
        <v>5.3</v>
      </c>
      <c r="J860">
        <f>25.4</f>
        <v>25.4</v>
      </c>
      <c r="K860">
        <f>25.4*3/16</f>
        <v>4.762499999999999</v>
      </c>
      <c r="O860">
        <f>I860/H860</f>
        <v>0.8833333333333333</v>
      </c>
      <c r="P860">
        <f>2*(J860+K860)/1000</f>
        <v>0.060325</v>
      </c>
    </row>
    <row r="861">
      <c r="C861" t="str">
        <v>PS 1"x1/4"</v>
      </c>
      <c r="E861" t="str">
        <v>SGJ</v>
      </c>
      <c r="H861">
        <v>6</v>
      </c>
      <c r="I861">
        <v>7.08</v>
      </c>
      <c r="J861">
        <f>25.4</f>
        <v>25.4</v>
      </c>
      <c r="K861">
        <f>25.4/4</f>
        <v>6.35</v>
      </c>
      <c r="O861">
        <f>I861/H861</f>
        <v>1.18</v>
      </c>
      <c r="P861">
        <f>2*(J861+K861)/1000</f>
        <v>0.0635</v>
      </c>
    </row>
    <row r="862">
      <c r="C862" t="str">
        <v>PS 1"x5/16"</v>
      </c>
      <c r="E862" t="str">
        <v>SGJ</v>
      </c>
      <c r="H862">
        <v>6</v>
      </c>
      <c r="I862">
        <v>9.5</v>
      </c>
      <c r="J862">
        <v>25.4</v>
      </c>
      <c r="K862">
        <f>25.4*5/16</f>
        <v>7.9375</v>
      </c>
      <c r="O862">
        <f>I862/H862</f>
        <v>1.5833333333333333</v>
      </c>
      <c r="P862">
        <f>2*(J862+K862)/1000</f>
        <v>0.066675</v>
      </c>
    </row>
    <row r="863">
      <c r="C863" t="str">
        <v>PS 1"x3/8"</v>
      </c>
      <c r="E863" t="str">
        <v>SGJ</v>
      </c>
      <c r="H863">
        <v>6</v>
      </c>
      <c r="I863">
        <v>10.6</v>
      </c>
      <c r="J863">
        <v>25.4</v>
      </c>
      <c r="K863">
        <f>25.4*3/8</f>
        <v>9.524999999999999</v>
      </c>
      <c r="O863">
        <f>I863/H863</f>
        <v>1.7666666666666666</v>
      </c>
      <c r="P863">
        <f>2*(J863+K863)/1000</f>
        <v>0.06985</v>
      </c>
    </row>
    <row r="864">
      <c r="C864" t="str">
        <v>PS 1 1/4"x1/8"</v>
      </c>
      <c r="E864" t="str">
        <v>SGJ</v>
      </c>
      <c r="H864">
        <v>6</v>
      </c>
      <c r="I864">
        <v>4.1</v>
      </c>
      <c r="J864">
        <f>25.4*5/4</f>
        <v>31.75</v>
      </c>
      <c r="K864">
        <f>25.4*1/8</f>
        <v>3.175</v>
      </c>
      <c r="O864">
        <f>I864/H864</f>
        <v>0.6833333333333332</v>
      </c>
      <c r="P864">
        <f>2*(J864+K864)/1000</f>
        <v>0.06985</v>
      </c>
    </row>
    <row r="865">
      <c r="C865" t="str">
        <v>PS 1 1/4"x3/16"</v>
      </c>
      <c r="E865" t="str">
        <v>SGJ</v>
      </c>
      <c r="H865">
        <v>6</v>
      </c>
      <c r="I865">
        <v>6.8</v>
      </c>
      <c r="J865">
        <f>25.4*5/4</f>
        <v>31.75</v>
      </c>
      <c r="K865">
        <f>25.4*3/16</f>
        <v>4.762499999999999</v>
      </c>
      <c r="O865">
        <f>I865/H865</f>
        <v>1.1333333333333333</v>
      </c>
      <c r="P865">
        <f>2*(J865+K865)/1000</f>
        <v>0.073025</v>
      </c>
    </row>
    <row r="866">
      <c r="C866" t="str">
        <v>PS 1 1/4"x1/4"</v>
      </c>
      <c r="E866" t="str">
        <v>SGJ</v>
      </c>
      <c r="H866">
        <v>6</v>
      </c>
      <c r="I866">
        <v>9.08</v>
      </c>
      <c r="J866">
        <f>25.4*5/4</f>
        <v>31.75</v>
      </c>
      <c r="K866">
        <f>25.4/4</f>
        <v>6.35</v>
      </c>
      <c r="O866">
        <f>I866/H866</f>
        <v>1.5133333333333334</v>
      </c>
      <c r="P866">
        <f>2*(J866+K866)/1000</f>
        <v>0.0762</v>
      </c>
    </row>
    <row r="867">
      <c r="C867" t="str">
        <v>PS 1 1/4x3/8"</v>
      </c>
      <c r="E867" t="str">
        <v>SGJ</v>
      </c>
      <c r="H867">
        <v>6</v>
      </c>
      <c r="I867">
        <v>14.5</v>
      </c>
      <c r="J867">
        <f>25.4*5/4</f>
        <v>31.75</v>
      </c>
      <c r="K867">
        <f>25.4*3/8</f>
        <v>9.524999999999999</v>
      </c>
      <c r="O867">
        <f>I867/H867</f>
        <v>2.4166666666666665</v>
      </c>
      <c r="P867">
        <f>2*(J867+K867)/1000</f>
        <v>0.08255</v>
      </c>
    </row>
    <row r="868">
      <c r="C868" t="str">
        <v>PS 1 1/2"x1/8"</v>
      </c>
      <c r="E868" t="str">
        <v>SGJ</v>
      </c>
      <c r="H868">
        <v>6</v>
      </c>
      <c r="I868">
        <v>5.37</v>
      </c>
      <c r="J868">
        <f>25.4*3/2</f>
        <v>38.099999999999994</v>
      </c>
      <c r="K868">
        <f>25.4*1/8</f>
        <v>3.175</v>
      </c>
      <c r="O868">
        <f>I868/H868</f>
        <v>0.895</v>
      </c>
      <c r="P868">
        <f>2*(J868+K868)/1000</f>
        <v>0.08254999999999998</v>
      </c>
    </row>
    <row r="869">
      <c r="C869" t="str">
        <v>PS 1 1/2x3/16"</v>
      </c>
      <c r="E869" t="str">
        <v>SGJ</v>
      </c>
      <c r="H869">
        <v>6</v>
      </c>
      <c r="I869">
        <v>8.04</v>
      </c>
      <c r="J869">
        <f>25.4*3/2</f>
        <v>38.099999999999994</v>
      </c>
      <c r="K869">
        <f>25.4*3/16</f>
        <v>4.762499999999999</v>
      </c>
      <c r="O869">
        <f>I869/H869</f>
        <v>1.3399999999999999</v>
      </c>
      <c r="P869">
        <f>2*(J869+K869)/1000</f>
        <v>0.085725</v>
      </c>
    </row>
    <row r="870">
      <c r="C870" t="str">
        <v>PS 1 1/2"x1/4"</v>
      </c>
      <c r="E870" t="str">
        <v>SGJ</v>
      </c>
      <c r="H870">
        <v>6</v>
      </c>
      <c r="I870">
        <v>10.8</v>
      </c>
      <c r="J870">
        <f>25.4*3/2</f>
        <v>38.099999999999994</v>
      </c>
      <c r="K870">
        <f>25.4/4</f>
        <v>6.35</v>
      </c>
      <c r="O870">
        <f>I870/H870</f>
        <v>1.8</v>
      </c>
      <c r="P870">
        <f>2*(J870+K870)/1000</f>
        <v>0.08889999999999999</v>
      </c>
    </row>
    <row r="871">
      <c r="C871" t="str">
        <v>PS 1 1/2"x5/16"</v>
      </c>
      <c r="E871" t="str">
        <v>SGJ</v>
      </c>
      <c r="H871">
        <v>6</v>
      </c>
      <c r="I871">
        <v>12.2</v>
      </c>
      <c r="J871">
        <f>25.4*5/2</f>
        <v>63.5</v>
      </c>
      <c r="K871">
        <f>25.4*5/16</f>
        <v>7.9375</v>
      </c>
      <c r="O871">
        <f>I871/H871</f>
        <v>2.033333333333333</v>
      </c>
      <c r="P871">
        <f>2*(J871+K871)/1000</f>
        <v>0.142875</v>
      </c>
    </row>
    <row r="872">
      <c r="C872" t="str">
        <v>PS 1 1/2"x3/8</v>
      </c>
      <c r="E872" t="str">
        <v>SGJ</v>
      </c>
      <c r="H872">
        <v>6</v>
      </c>
      <c r="I872">
        <v>16</v>
      </c>
      <c r="J872">
        <f>25.4*5/2</f>
        <v>63.5</v>
      </c>
      <c r="K872">
        <f>25.4*3/8</f>
        <v>9.524999999999999</v>
      </c>
      <c r="O872">
        <f>I872/H872</f>
        <v>2.6666666666666665</v>
      </c>
      <c r="P872">
        <f>2*(J872+K872)/1000</f>
        <v>0.14605</v>
      </c>
    </row>
    <row r="873">
      <c r="C873" t="str">
        <v>PS 1 1/2"x1/2"</v>
      </c>
      <c r="E873" t="str">
        <v>SGJ</v>
      </c>
      <c r="H873">
        <v>6</v>
      </c>
      <c r="I873">
        <v>21.5</v>
      </c>
      <c r="J873">
        <f>25.4*5/2</f>
        <v>63.5</v>
      </c>
      <c r="K873">
        <f>25.4*1/2</f>
        <v>12.7</v>
      </c>
      <c r="O873">
        <f>I873/H873</f>
        <v>3.5833333333333335</v>
      </c>
      <c r="P873">
        <f>2*(J873+K873)/1000</f>
        <v>0.1524</v>
      </c>
    </row>
    <row r="874">
      <c r="C874" t="str">
        <v>PS 2"x1/8"</v>
      </c>
      <c r="E874" t="str">
        <v>SGJ</v>
      </c>
      <c r="H874">
        <v>6</v>
      </c>
      <c r="I874">
        <v>7</v>
      </c>
      <c r="J874">
        <f>25.4*2</f>
        <v>50.8</v>
      </c>
      <c r="K874">
        <f>25.4*1/8</f>
        <v>3.175</v>
      </c>
      <c r="O874">
        <f>I874/H874</f>
        <v>1.1666666666666667</v>
      </c>
      <c r="P874">
        <f>2*(J874+K874)/1000</f>
        <v>0.10794999999999999</v>
      </c>
    </row>
    <row r="875">
      <c r="C875" t="str">
        <v>PS 2"x3/16"</v>
      </c>
      <c r="E875" t="str">
        <v>SGJ</v>
      </c>
      <c r="H875">
        <v>6</v>
      </c>
      <c r="I875">
        <v>10.6</v>
      </c>
      <c r="J875">
        <f>25.4*2</f>
        <v>50.8</v>
      </c>
      <c r="K875">
        <f>25.4*3/16</f>
        <v>4.762499999999999</v>
      </c>
      <c r="O875">
        <f>I875/H875</f>
        <v>1.7666666666666666</v>
      </c>
      <c r="P875">
        <f>2*(J875+K875)/1000</f>
        <v>0.111125</v>
      </c>
    </row>
    <row r="876">
      <c r="C876" t="str">
        <v>PS 2"x1/4"</v>
      </c>
      <c r="E876" t="str">
        <v>SGJ</v>
      </c>
      <c r="H876">
        <v>6</v>
      </c>
      <c r="I876">
        <v>14.4</v>
      </c>
      <c r="J876">
        <f>25.4*2</f>
        <v>50.8</v>
      </c>
      <c r="K876">
        <f>25.4/4</f>
        <v>6.35</v>
      </c>
      <c r="O876">
        <f>I876/H876</f>
        <v>2.4</v>
      </c>
      <c r="P876">
        <f>2*(J876+K876)/1000</f>
        <v>0.1143</v>
      </c>
    </row>
    <row r="877">
      <c r="C877" t="str">
        <v>PS 2"x5/16"</v>
      </c>
      <c r="E877" t="str">
        <v>SGJ</v>
      </c>
      <c r="H877">
        <v>6</v>
      </c>
      <c r="I877">
        <v>9.5</v>
      </c>
      <c r="J877">
        <f>25.4*2</f>
        <v>50.8</v>
      </c>
      <c r="K877">
        <f>25.4*5/16</f>
        <v>7.9375</v>
      </c>
      <c r="O877">
        <f>I877/H877</f>
        <v>1.5833333333333333</v>
      </c>
      <c r="P877">
        <f>2*(J877+K877)/1000</f>
        <v>0.117475</v>
      </c>
    </row>
    <row r="878">
      <c r="C878" t="str">
        <v>PS 2"x3/8"</v>
      </c>
      <c r="E878" t="str">
        <v>SGJ</v>
      </c>
      <c r="H878">
        <v>6</v>
      </c>
      <c r="I878">
        <v>21.2</v>
      </c>
      <c r="J878">
        <f>25.4*2</f>
        <v>50.8</v>
      </c>
      <c r="K878">
        <f>25.4*3/8</f>
        <v>9.524999999999999</v>
      </c>
      <c r="O878">
        <f>I878/H878</f>
        <v>3.533333333333333</v>
      </c>
      <c r="P878">
        <f>2*(J878+K878)/1000</f>
        <v>0.12065</v>
      </c>
    </row>
    <row r="879">
      <c r="C879" t="str">
        <v>PS 2"x1/2"</v>
      </c>
      <c r="E879" t="str">
        <v>SGJ</v>
      </c>
      <c r="H879">
        <v>6</v>
      </c>
      <c r="I879">
        <v>31.5</v>
      </c>
      <c r="J879">
        <f>25.4*2</f>
        <v>50.8</v>
      </c>
      <c r="K879">
        <f>25.4*1/2</f>
        <v>12.7</v>
      </c>
      <c r="O879">
        <f>I879/H879</f>
        <v>5.25</v>
      </c>
      <c r="P879">
        <f>2*(J879+K879)/1000</f>
        <v>0.127</v>
      </c>
    </row>
    <row r="880">
      <c r="C880" t="str">
        <v>PS 2"x5/8"</v>
      </c>
      <c r="E880" t="str">
        <v>SGJ</v>
      </c>
      <c r="H880">
        <v>6</v>
      </c>
      <c r="I880">
        <v>37.8</v>
      </c>
      <c r="J880">
        <f>25.4*2</f>
        <v>50.8</v>
      </c>
      <c r="K880">
        <f>25.4*5/8</f>
        <v>15.875</v>
      </c>
      <c r="O880">
        <f>I880/H880</f>
        <v>6.3</v>
      </c>
      <c r="P880">
        <f>2*(J880+K880)/1000</f>
        <v>0.13335</v>
      </c>
    </row>
    <row r="881">
      <c r="C881" t="str">
        <v>PS 2 1/2"x1/4"</v>
      </c>
      <c r="E881" t="str">
        <v>SGJ</v>
      </c>
      <c r="H881">
        <v>6</v>
      </c>
      <c r="I881">
        <v>18.4</v>
      </c>
      <c r="J881">
        <f>25.4*5/2</f>
        <v>63.5</v>
      </c>
      <c r="K881">
        <f>25.4/4</f>
        <v>6.35</v>
      </c>
      <c r="O881">
        <f>I881/H881</f>
        <v>3.0666666666666664</v>
      </c>
      <c r="P881">
        <f>2*(J881+K881)/1000</f>
        <v>0.1397</v>
      </c>
    </row>
    <row r="882">
      <c r="C882" t="str">
        <v>PS 2 1/2x3/8"</v>
      </c>
      <c r="E882" t="str">
        <v>SGJ</v>
      </c>
      <c r="H882">
        <v>6</v>
      </c>
      <c r="I882">
        <v>27.6</v>
      </c>
      <c r="J882">
        <f>25.4*5/2</f>
        <v>63.5</v>
      </c>
      <c r="K882">
        <f>25.4*3/8</f>
        <v>9.524999999999999</v>
      </c>
      <c r="O882">
        <f>I882/H882</f>
        <v>4.6000000000000005</v>
      </c>
      <c r="P882">
        <f>2*(J882+K882)/1000</f>
        <v>0.14605</v>
      </c>
    </row>
    <row r="883">
      <c r="C883" t="str">
        <v>PS 3"x1/4"</v>
      </c>
      <c r="E883" t="str">
        <v>SGJ</v>
      </c>
      <c r="H883">
        <v>6</v>
      </c>
      <c r="I883">
        <v>22</v>
      </c>
      <c r="J883">
        <f>25.4*3</f>
        <v>76.19999999999999</v>
      </c>
      <c r="K883">
        <f>25.4/4</f>
        <v>6.35</v>
      </c>
      <c r="O883">
        <f>I883/H883</f>
        <v>3.6666666666666665</v>
      </c>
      <c r="P883">
        <f>2*(J883+K883)/1000</f>
        <v>0.16509999999999997</v>
      </c>
    </row>
    <row r="884">
      <c r="C884" t="str">
        <v>PS 3"x3/8"</v>
      </c>
      <c r="E884" t="str">
        <v>SGJ</v>
      </c>
      <c r="H884">
        <v>6</v>
      </c>
      <c r="I884">
        <v>32</v>
      </c>
      <c r="J884">
        <f>25.4*3</f>
        <v>76.19999999999999</v>
      </c>
      <c r="K884">
        <f>25.4*3/8</f>
        <v>9.524999999999999</v>
      </c>
      <c r="O884">
        <f>I884/H884</f>
        <v>5.333333333333333</v>
      </c>
      <c r="P884">
        <f>2*(J884+K884)/1000</f>
        <v>0.17145</v>
      </c>
    </row>
    <row r="885">
      <c r="C885" t="str">
        <v>PS 3"x1/2"</v>
      </c>
      <c r="E885" t="str">
        <v>SGJ</v>
      </c>
      <c r="H885">
        <v>6</v>
      </c>
      <c r="I885">
        <v>42.4</v>
      </c>
      <c r="J885">
        <f>25.4*3</f>
        <v>76.19999999999999</v>
      </c>
      <c r="K885">
        <f>25.4*1/2</f>
        <v>12.7</v>
      </c>
      <c r="O885">
        <f>I885/H885</f>
        <v>7.066666666666666</v>
      </c>
      <c r="P885">
        <f>2*(J885+K885)/1000</f>
        <v>0.17779999999999999</v>
      </c>
    </row>
    <row r="886">
      <c r="C886" t="str">
        <v>PS 4"x1/4"</v>
      </c>
      <c r="E886" t="str">
        <v>SGJ</v>
      </c>
      <c r="H886">
        <v>6</v>
      </c>
      <c r="I886">
        <v>29.5</v>
      </c>
      <c r="J886">
        <f>25.4*4</f>
        <v>101.6</v>
      </c>
      <c r="K886">
        <f>25.4/4</f>
        <v>6.35</v>
      </c>
      <c r="O886">
        <f>I886/H886</f>
        <v>4.916666666666667</v>
      </c>
      <c r="P886">
        <f>2*(J886+K886)/1000</f>
        <v>0.21589999999999998</v>
      </c>
    </row>
    <row r="887">
      <c r="C887" t="str">
        <v>PS 4"x3/8"</v>
      </c>
      <c r="E887" t="str">
        <v>SGJ</v>
      </c>
      <c r="H887">
        <v>6</v>
      </c>
      <c r="I887">
        <v>42.5</v>
      </c>
      <c r="J887">
        <f>25.4*4</f>
        <v>101.6</v>
      </c>
      <c r="K887">
        <f>25.4*3/8</f>
        <v>9.524999999999999</v>
      </c>
      <c r="O887">
        <f>I887/H887</f>
        <v>7.083333333333333</v>
      </c>
      <c r="P887">
        <f>2*(J887+K887)/1000</f>
        <v>0.22225</v>
      </c>
    </row>
    <row r="888">
      <c r="C888" t="str">
        <v>PS 4"x1/2"</v>
      </c>
      <c r="E888" t="str">
        <v>SGJ</v>
      </c>
      <c r="H888">
        <v>6</v>
      </c>
      <c r="I888">
        <v>56.5</v>
      </c>
      <c r="J888">
        <f>25.4*4</f>
        <v>101.6</v>
      </c>
      <c r="K888">
        <f>25.4*1/2</f>
        <v>12.7</v>
      </c>
      <c r="O888">
        <f>I888/H888</f>
        <v>9.416666666666666</v>
      </c>
      <c r="P888">
        <f>2*(J888+K888)/1000</f>
        <v>0.2286</v>
      </c>
    </row>
    <row r="889">
      <c r="B889" t="str">
        <v>Plat Strip (PS)</v>
      </c>
      <c r="C889" t="str">
        <v>PS 19x3</v>
      </c>
      <c r="E889" t="str">
        <v>SGJ</v>
      </c>
      <c r="H889">
        <v>6</v>
      </c>
      <c r="I889">
        <v>2.4</v>
      </c>
      <c r="J889">
        <v>19</v>
      </c>
      <c r="K889">
        <v>3</v>
      </c>
      <c r="O889">
        <f>I889/H889</f>
        <v>0.39999999999999997</v>
      </c>
      <c r="P889">
        <f>2*(J889+K889)/1000</f>
        <v>0.044</v>
      </c>
    </row>
    <row r="890">
      <c r="C890" t="str">
        <v>PS 19x4</v>
      </c>
      <c r="E890" t="str">
        <v>SGJ</v>
      </c>
      <c r="H890">
        <v>6</v>
      </c>
      <c r="I890">
        <v>3.3</v>
      </c>
      <c r="J890">
        <v>19</v>
      </c>
      <c r="K890">
        <v>4</v>
      </c>
      <c r="O890">
        <f>I890/H890</f>
        <v>0.5499999999999999</v>
      </c>
      <c r="P890">
        <f>2*(J890+K890)/1000</f>
        <v>0.046</v>
      </c>
    </row>
    <row r="891">
      <c r="C891" t="str">
        <v>PS 19x5</v>
      </c>
      <c r="E891" t="str">
        <v>SGJ</v>
      </c>
      <c r="H891">
        <v>6</v>
      </c>
      <c r="I891">
        <v>4.6</v>
      </c>
      <c r="J891">
        <v>19</v>
      </c>
      <c r="K891">
        <v>5</v>
      </c>
      <c r="O891">
        <f>I891/H891</f>
        <v>0.7666666666666666</v>
      </c>
      <c r="P891">
        <f>2*(J891+K891)/1000</f>
        <v>0.048</v>
      </c>
    </row>
    <row r="892">
      <c r="C892" t="str">
        <v>PS 25x3</v>
      </c>
      <c r="E892" t="str">
        <v>SGJ</v>
      </c>
      <c r="H892">
        <v>6</v>
      </c>
      <c r="I892">
        <v>3.3</v>
      </c>
      <c r="J892">
        <v>25</v>
      </c>
      <c r="K892">
        <v>3</v>
      </c>
      <c r="O892">
        <f>I892/H892</f>
        <v>0.5499999999999999</v>
      </c>
      <c r="P892">
        <f>2*(J892+K892)/1000</f>
        <v>0.056</v>
      </c>
    </row>
    <row r="893">
      <c r="C893" t="str">
        <v>PS 25x4</v>
      </c>
      <c r="E893" t="str">
        <v>SGJ</v>
      </c>
      <c r="H893">
        <v>6</v>
      </c>
      <c r="I893">
        <v>4.4</v>
      </c>
      <c r="J893">
        <v>25</v>
      </c>
      <c r="K893">
        <v>4</v>
      </c>
      <c r="O893">
        <f>I893/H893</f>
        <v>0.7333333333333334</v>
      </c>
      <c r="P893">
        <f>2*(J893+K893)/1000</f>
        <v>0.058</v>
      </c>
    </row>
    <row r="894">
      <c r="C894" t="str">
        <v>PS 25x5</v>
      </c>
      <c r="E894" t="str">
        <v>SGJ</v>
      </c>
      <c r="H894">
        <v>6</v>
      </c>
      <c r="I894">
        <v>6</v>
      </c>
      <c r="J894">
        <v>25</v>
      </c>
      <c r="K894">
        <v>5</v>
      </c>
      <c r="O894">
        <f>I894/H894</f>
        <v>1</v>
      </c>
      <c r="P894">
        <f>2*(J894+K894)/1000</f>
        <v>0.06</v>
      </c>
    </row>
    <row r="895">
      <c r="C895" t="str">
        <v>PS 30x3</v>
      </c>
      <c r="E895" t="str">
        <v>SGJ</v>
      </c>
      <c r="H895">
        <v>6</v>
      </c>
      <c r="I895">
        <v>4</v>
      </c>
      <c r="J895">
        <v>30</v>
      </c>
      <c r="K895">
        <v>3</v>
      </c>
      <c r="O895">
        <f>I895/H895</f>
        <v>0.6666666666666666</v>
      </c>
      <c r="P895">
        <f>2*(J895+K895)/1000</f>
        <v>0.066</v>
      </c>
    </row>
    <row r="896">
      <c r="C896" t="str">
        <v>PS 30x4</v>
      </c>
      <c r="E896" t="str">
        <v>SGJ</v>
      </c>
      <c r="H896">
        <v>6</v>
      </c>
      <c r="I896">
        <v>5.4</v>
      </c>
      <c r="J896">
        <v>30</v>
      </c>
      <c r="K896">
        <v>4</v>
      </c>
      <c r="O896">
        <f>I896/H896</f>
        <v>0.9</v>
      </c>
      <c r="P896">
        <f>2*(J896+K896)/1000</f>
        <v>0.068</v>
      </c>
    </row>
    <row r="897">
      <c r="C897" t="str">
        <v>PS 30x5</v>
      </c>
      <c r="E897" t="str">
        <v>SGJ</v>
      </c>
      <c r="H897">
        <v>6</v>
      </c>
      <c r="I897">
        <v>7.1</v>
      </c>
      <c r="J897">
        <v>30</v>
      </c>
      <c r="K897">
        <v>5</v>
      </c>
      <c r="O897">
        <f>I897/H897</f>
        <v>1.1833333333333333</v>
      </c>
      <c r="P897">
        <f>2*(J897+K897)/1000</f>
        <v>0.07</v>
      </c>
    </row>
    <row r="898">
      <c r="C898" t="str">
        <v>PS 38x4</v>
      </c>
      <c r="E898" t="str">
        <v>SGJ</v>
      </c>
      <c r="H898">
        <v>6</v>
      </c>
      <c r="I898">
        <v>6.6</v>
      </c>
      <c r="J898">
        <v>38</v>
      </c>
      <c r="K898">
        <v>4</v>
      </c>
      <c r="O898">
        <f>I898/H898</f>
        <v>1.0999999999999999</v>
      </c>
      <c r="P898">
        <f>2*(J898+K898)/1000</f>
        <v>0.084</v>
      </c>
    </row>
    <row r="899">
      <c r="C899" t="str">
        <v>PS 38x5</v>
      </c>
      <c r="E899" t="str">
        <v>SGJ</v>
      </c>
      <c r="H899">
        <v>6</v>
      </c>
      <c r="I899">
        <v>9</v>
      </c>
      <c r="J899">
        <v>38</v>
      </c>
      <c r="K899">
        <v>5</v>
      </c>
      <c r="O899">
        <f>I899/H899</f>
        <v>1.5</v>
      </c>
      <c r="P899">
        <f>2*(J899+K899)/1000</f>
        <v>0.086</v>
      </c>
    </row>
    <row r="900">
      <c r="C900" t="str">
        <v>PS 38x8</v>
      </c>
      <c r="E900" t="str">
        <v>SGJ</v>
      </c>
      <c r="H900">
        <v>6</v>
      </c>
      <c r="I900">
        <v>14.4</v>
      </c>
      <c r="J900">
        <v>38</v>
      </c>
      <c r="K900">
        <v>8</v>
      </c>
      <c r="O900">
        <f>I900/H900</f>
        <v>2.4</v>
      </c>
      <c r="P900">
        <f>2*(J900+K900)/1000</f>
        <v>0.092</v>
      </c>
    </row>
    <row r="901">
      <c r="C901" t="str">
        <v>PS 50x5</v>
      </c>
      <c r="E901" t="str">
        <v>SGJ</v>
      </c>
      <c r="H901">
        <v>6</v>
      </c>
      <c r="I901">
        <v>12</v>
      </c>
      <c r="J901">
        <v>50</v>
      </c>
      <c r="K901">
        <v>5</v>
      </c>
      <c r="O901">
        <f>I901/H901</f>
        <v>2</v>
      </c>
      <c r="P901">
        <f>2*(J901+K901)/1000</f>
        <v>0.11</v>
      </c>
    </row>
    <row r="902">
      <c r="C902" t="str">
        <v>PS 125x9</v>
      </c>
      <c r="E902" t="str">
        <v>SGJ</v>
      </c>
      <c r="H902">
        <v>6</v>
      </c>
      <c r="I902">
        <v>53.5</v>
      </c>
      <c r="J902">
        <v>125</v>
      </c>
      <c r="K902">
        <v>9</v>
      </c>
      <c r="O902">
        <f>I902/H902</f>
        <v>8.916666666666666</v>
      </c>
      <c r="P902">
        <f>2*(J902+K902)/1000</f>
        <v>0.268</v>
      </c>
    </row>
    <row r="903">
      <c r="C903" t="str">
        <v>PS 150x6</v>
      </c>
      <c r="E903" t="str">
        <v>SGJ</v>
      </c>
      <c r="H903">
        <v>6</v>
      </c>
      <c r="I903">
        <v>44</v>
      </c>
      <c r="J903">
        <v>150</v>
      </c>
      <c r="K903">
        <v>6</v>
      </c>
      <c r="O903">
        <f>I903/H903</f>
        <v>7.333333333333333</v>
      </c>
      <c r="P903">
        <f>2*(J903+K903)/1000</f>
        <v>0.312</v>
      </c>
    </row>
    <row r="904">
      <c r="C904" t="str">
        <v>PS 150x9</v>
      </c>
      <c r="E904" t="str">
        <v>SGJ</v>
      </c>
      <c r="H904">
        <v>6</v>
      </c>
      <c r="I904">
        <v>63.6</v>
      </c>
      <c r="J904">
        <v>150</v>
      </c>
      <c r="K904">
        <v>9</v>
      </c>
      <c r="O904">
        <f>I904/H904</f>
        <v>10.6</v>
      </c>
      <c r="P904">
        <f>2*(J904+K904)/1000</f>
        <v>0.318</v>
      </c>
    </row>
    <row r="907">
      <c r="C907" t="str">
        <v>WF0</v>
      </c>
    </row>
    <row r="908">
      <c r="C908" t="str">
        <v>PL0</v>
      </c>
    </row>
    <row r="909">
      <c r="C909" t="str">
        <v>CNP0</v>
      </c>
    </row>
    <row r="912">
      <c r="C912" t="str">
        <v>D 6mm</v>
      </c>
      <c r="I912">
        <v>6</v>
      </c>
      <c r="O912">
        <f>0.006165*I912^2</f>
        <v>0.22194000000000003</v>
      </c>
    </row>
    <row r="913">
      <c r="C913" t="str">
        <v>D 8mm</v>
      </c>
      <c r="I913">
        <v>8</v>
      </c>
      <c r="O913">
        <f>0.006165*I913^2</f>
        <v>0.39456</v>
      </c>
    </row>
    <row r="914">
      <c r="C914" t="str">
        <v>D 10mm</v>
      </c>
      <c r="I914">
        <v>10</v>
      </c>
      <c r="O914">
        <f>0.006165*I914^2</f>
        <v>0.6165</v>
      </c>
    </row>
    <row r="915">
      <c r="C915" t="str">
        <v>D 12mm</v>
      </c>
      <c r="I915">
        <v>12</v>
      </c>
      <c r="O915">
        <f>0.006165*I915^2</f>
        <v>0.8877600000000001</v>
      </c>
    </row>
    <row r="916">
      <c r="C916" t="str">
        <v>D 13mm</v>
      </c>
      <c r="I916">
        <v>13</v>
      </c>
      <c r="O916">
        <f>0.006165*I916^2</f>
        <v>1.041885</v>
      </c>
    </row>
    <row r="917">
      <c r="C917" t="str">
        <v>D 16mm</v>
      </c>
      <c r="I917">
        <v>16</v>
      </c>
      <c r="O917">
        <f>0.006165*I917^2</f>
        <v>1.57824</v>
      </c>
    </row>
    <row r="918">
      <c r="C918" t="str">
        <v>D 19mm</v>
      </c>
      <c r="I918">
        <v>19</v>
      </c>
      <c r="O918">
        <f>0.006165*I918^2</f>
        <v>2.225565</v>
      </c>
    </row>
    <row r="919">
      <c r="C919" t="str">
        <v>D 20mm</v>
      </c>
      <c r="I919">
        <v>20</v>
      </c>
      <c r="O919">
        <f>0.006165*I919^2</f>
        <v>2.466</v>
      </c>
    </row>
    <row r="920">
      <c r="C920" t="str">
        <v>D 21mm</v>
      </c>
      <c r="I920">
        <v>21</v>
      </c>
      <c r="O920">
        <f>0.006165*I920^2</f>
        <v>2.7187650000000003</v>
      </c>
    </row>
    <row r="921">
      <c r="C921" t="str">
        <v>D 22mm</v>
      </c>
      <c r="I921">
        <v>22</v>
      </c>
      <c r="O921">
        <f>0.006165*I921^2</f>
        <v>2.98386</v>
      </c>
    </row>
    <row r="922">
      <c r="C922" t="str">
        <v>D 25mm</v>
      </c>
      <c r="I922">
        <v>25</v>
      </c>
      <c r="O922">
        <f>0.006165*I922^2</f>
        <v>3.8531250000000004</v>
      </c>
    </row>
    <row r="923">
      <c r="C923" t="str">
        <v>D 26mm</v>
      </c>
      <c r="I923">
        <v>26</v>
      </c>
      <c r="O923">
        <f>0.006165*I923^2</f>
        <v>4.16754</v>
      </c>
    </row>
    <row r="924">
      <c r="C924" t="str">
        <v>D 29mm</v>
      </c>
      <c r="I924">
        <v>29</v>
      </c>
      <c r="O924">
        <f>0.006165*I924^2</f>
        <v>5.1847650000000005</v>
      </c>
    </row>
    <row r="925">
      <c r="C925" t="str">
        <v>D 32mm</v>
      </c>
      <c r="I925">
        <v>32</v>
      </c>
      <c r="O925">
        <f>0.006165*I925^2</f>
        <v>6.31296</v>
      </c>
    </row>
    <row r="926">
      <c r="C926" t="str">
        <v>D 36mm</v>
      </c>
      <c r="I926">
        <v>36</v>
      </c>
      <c r="O926">
        <f>0.006165*I926^2</f>
        <v>7.98984</v>
      </c>
    </row>
  </sheetData>
  <mergeCells count="9">
    <mergeCell ref="B2:Q2"/>
    <mergeCell ref="B4:B6"/>
    <mergeCell ref="C4:C6"/>
    <mergeCell ref="D4:D6"/>
    <mergeCell ref="E4:E6"/>
    <mergeCell ref="F4:F6"/>
    <mergeCell ref="G4:G6"/>
    <mergeCell ref="J4:N4"/>
    <mergeCell ref="Q4:Q6"/>
  </mergeCells>
  <pageMargins left="0.7" right="0.7" top="0.75" bottom="0.75" header="0.3" footer="0.3"/>
  <ignoredErrors>
    <ignoredError numberStoredAsText="1" sqref="A2:U1055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245"/>
  <sheetViews>
    <sheetView workbookViewId="0" rightToLeft="0"/>
  </sheetViews>
  <sheetData>
    <row r="1">
      <c r="A1" t="str">
        <v>Recipe Index — auto-generated</v>
      </c>
    </row>
    <row r="2">
      <c r="A2" t="str">
        <v>Normalizer version: 1.0  |  Generated: 2026-05-26T15:43:53.438Z</v>
      </c>
    </row>
    <row r="4">
      <c r="A4" t="str">
        <v>BoQ Code</v>
      </c>
      <c r="B4" t="str">
        <v>Description</v>
      </c>
      <c r="C4" t="str">
        <v>Sheet Name</v>
      </c>
      <c r="D4" t="str">
        <v>Volume</v>
      </c>
      <c r="E4" t="str">
        <v>Components</v>
      </c>
      <c r="F4" t="str">
        <v>Reconciles?</v>
      </c>
      <c r="G4" t="str">
        <v>Variance (Rp)</v>
      </c>
      <c r="H4" t="str">
        <v>Notes</v>
      </c>
    </row>
    <row r="5">
      <c r="A5" t="str">
        <v>(A) II.B.1</v>
      </c>
      <c r="B5" t="str">
        <v>Pasangan batako untuk proteksi pondasi bangunan tetangga</v>
      </c>
      <c r="C5" t="str">
        <v>Breakdown (A) II.B.1</v>
      </c>
      <c r="D5">
        <v>46.8</v>
      </c>
      <c r="E5">
        <v>1</v>
      </c>
      <c r="F5" t="str">
        <v>✓</v>
      </c>
      <c r="G5">
        <v>-1716401.557728</v>
      </c>
      <c r="H5" t="str">
        <v/>
      </c>
    </row>
    <row r="6">
      <c r="A6" t="str">
        <v>(A) II.B.3</v>
      </c>
      <c r="B6" t="str">
        <v>Strauss pile dia. 30 cm, panjang tiang 12 meter</v>
      </c>
      <c r="C6" t="str">
        <v>Breakdown (A) II.B.3</v>
      </c>
      <c r="D6">
        <v>155</v>
      </c>
      <c r="E6">
        <v>2</v>
      </c>
      <c r="F6" t="str">
        <v>✓</v>
      </c>
      <c r="G6">
        <v>-81433694.77170801</v>
      </c>
      <c r="H6" t="str">
        <v/>
      </c>
    </row>
    <row r="7">
      <c r="A7" t="str">
        <v>(A) III.B.1.1</v>
      </c>
      <c r="B7" t="str">
        <v>- Poer PC.1</v>
      </c>
      <c r="C7" t="str">
        <v>Breakdown (A) III.B.1.1</v>
      </c>
      <c r="D7">
        <v>3.420000000000001</v>
      </c>
      <c r="E7">
        <v>12</v>
      </c>
      <c r="F7" t="str">
        <v>✓</v>
      </c>
      <c r="G7">
        <v>-2073771.145482747</v>
      </c>
      <c r="H7" t="str">
        <v/>
      </c>
    </row>
    <row r="8">
      <c r="A8" t="str">
        <v>(A) III.B.1.2</v>
      </c>
      <c r="B8" t="str">
        <v>- Poer PC.1A</v>
      </c>
      <c r="C8" t="str">
        <v>Breakdown (A) III.B.1.2</v>
      </c>
      <c r="D8">
        <v>1.008</v>
      </c>
      <c r="E8">
        <v>11</v>
      </c>
      <c r="F8" t="str">
        <v>✓</v>
      </c>
      <c r="G8">
        <v>-704538.9394674115</v>
      </c>
      <c r="H8" t="str">
        <v/>
      </c>
    </row>
    <row r="9">
      <c r="A9" t="str">
        <v>(A) III.B.1.3</v>
      </c>
      <c r="B9" t="str">
        <v>- Poer PC.2</v>
      </c>
      <c r="C9" t="str">
        <v>Breakdown (A) III.B.1.3</v>
      </c>
      <c r="D9">
        <v>5.850000000000001</v>
      </c>
      <c r="E9">
        <v>13</v>
      </c>
      <c r="F9" t="str">
        <v>✓</v>
      </c>
      <c r="G9">
        <v>-3413683.163901467</v>
      </c>
      <c r="H9" t="str">
        <v/>
      </c>
    </row>
    <row r="10">
      <c r="A10" t="str">
        <v>(A) III.B.1.4</v>
      </c>
      <c r="B10" t="str">
        <v>- Poer PC.2A</v>
      </c>
      <c r="C10" t="str">
        <v>Breakdown (A) III.B.1.4</v>
      </c>
      <c r="D10">
        <v>2.16</v>
      </c>
      <c r="E10">
        <v>11</v>
      </c>
      <c r="F10" t="str">
        <v>✓</v>
      </c>
      <c r="G10">
        <v>-1191991.551233109</v>
      </c>
      <c r="H10" t="str">
        <v/>
      </c>
    </row>
    <row r="11">
      <c r="A11" t="str">
        <v>(A) III.B.1.5</v>
      </c>
      <c r="B11" t="str">
        <v>- Poer PC.3</v>
      </c>
      <c r="C11" t="str">
        <v>Breakdown (A) III.B.1.5</v>
      </c>
      <c r="D11">
        <v>2.6910000000000003</v>
      </c>
      <c r="E11">
        <v>11</v>
      </c>
      <c r="F11" t="str">
        <v>✓</v>
      </c>
      <c r="G11">
        <v>-1372418.4975233506</v>
      </c>
      <c r="H11" t="str">
        <v/>
      </c>
    </row>
    <row r="12">
      <c r="A12" t="str">
        <v>(A) III.B.1.6</v>
      </c>
      <c r="B12" t="str">
        <v>- Poer PC.3A</v>
      </c>
      <c r="C12" t="str">
        <v>Breakdown (A) III.B.1.6</v>
      </c>
      <c r="D12">
        <v>1.728</v>
      </c>
      <c r="E12">
        <v>12</v>
      </c>
      <c r="F12" t="str">
        <v>✓</v>
      </c>
      <c r="G12">
        <v>-1005635.7829464665</v>
      </c>
      <c r="H12" t="str">
        <v/>
      </c>
    </row>
    <row r="13">
      <c r="A13" t="str">
        <v>(A) III.B.1.7</v>
      </c>
      <c r="B13" t="str">
        <v>- Poer PC.4</v>
      </c>
      <c r="C13" t="str">
        <v>Breakdown (A) III.B.1.7</v>
      </c>
      <c r="D13">
        <v>2.25</v>
      </c>
      <c r="E13">
        <v>12</v>
      </c>
      <c r="F13" t="str">
        <v>✓</v>
      </c>
      <c r="G13">
        <v>-1103654.402858696</v>
      </c>
      <c r="H13" t="str">
        <v/>
      </c>
    </row>
    <row r="14">
      <c r="A14" t="str">
        <v>(A) III.B.1.8</v>
      </c>
      <c r="B14" t="str">
        <v>- Poer PC.5</v>
      </c>
      <c r="C14" t="str">
        <v>Breakdown (A) III.B.1.8</v>
      </c>
      <c r="D14">
        <v>4.21875</v>
      </c>
      <c r="E14">
        <v>12</v>
      </c>
      <c r="F14" t="str">
        <v>✓</v>
      </c>
      <c r="G14">
        <v>-1858893.93141965</v>
      </c>
      <c r="H14" t="str">
        <v/>
      </c>
    </row>
    <row r="15">
      <c r="A15" t="str">
        <v>(A) III.B.1.9</v>
      </c>
      <c r="B15" t="str">
        <v>- Poer PC.5A</v>
      </c>
      <c r="C15" t="str">
        <v>Breakdown (A) III.B.1.9</v>
      </c>
      <c r="D15">
        <v>2.4609375</v>
      </c>
      <c r="E15">
        <v>12</v>
      </c>
      <c r="F15" t="str">
        <v>✓</v>
      </c>
      <c r="G15">
        <v>-1103260.2068756195</v>
      </c>
      <c r="H15" t="str">
        <v/>
      </c>
    </row>
    <row r="16">
      <c r="A16" t="str">
        <v>(A) III.B.1.10</v>
      </c>
      <c r="B16" t="str">
        <v>- Poer PC.5B</v>
      </c>
      <c r="C16" t="str">
        <v>Breakdown (A) III.B.1.10</v>
      </c>
      <c r="D16">
        <v>1.9194</v>
      </c>
      <c r="E16">
        <v>12</v>
      </c>
      <c r="F16" t="str">
        <v>✓</v>
      </c>
      <c r="G16">
        <v>-1016131.7514032545</v>
      </c>
      <c r="H16" t="str">
        <v/>
      </c>
    </row>
    <row r="17">
      <c r="A17" t="str">
        <v>(A) III.B.1.11</v>
      </c>
      <c r="B17" t="str">
        <v>- Poer PC.6</v>
      </c>
      <c r="C17" t="str">
        <v>Breakdown (A) III.B.1.11</v>
      </c>
      <c r="D17">
        <v>2.16</v>
      </c>
      <c r="E17">
        <v>12</v>
      </c>
      <c r="F17" t="str">
        <v>✓</v>
      </c>
      <c r="G17">
        <v>-1074367.3026750935</v>
      </c>
      <c r="H17" t="str">
        <v/>
      </c>
    </row>
    <row r="18">
      <c r="A18" t="str">
        <v>(A) III.B.1.12</v>
      </c>
      <c r="B18" t="str">
        <v>- Poer PC.6A</v>
      </c>
      <c r="C18" t="str">
        <v>Breakdown (A) III.B.1.12</v>
      </c>
      <c r="D18">
        <v>9.1065</v>
      </c>
      <c r="E18">
        <v>12</v>
      </c>
      <c r="F18" t="str">
        <v>✓</v>
      </c>
      <c r="G18">
        <v>-4531571.204317316</v>
      </c>
      <c r="H18" t="str">
        <v/>
      </c>
    </row>
    <row r="19">
      <c r="A19" t="str">
        <v>(A) III.B.1.13</v>
      </c>
      <c r="B19" t="str">
        <v>- Poer PC.8</v>
      </c>
      <c r="C19" t="str">
        <v>Breakdown (A) III.B.1.13</v>
      </c>
      <c r="D19">
        <v>3.6288</v>
      </c>
      <c r="E19">
        <v>12</v>
      </c>
      <c r="F19" t="str">
        <v>✓</v>
      </c>
      <c r="G19">
        <v>-1647345.5945736896</v>
      </c>
      <c r="H19" t="str">
        <v/>
      </c>
    </row>
    <row r="20">
      <c r="A20" t="str">
        <v>(A) III.B.1.14</v>
      </c>
      <c r="B20" t="str">
        <v>- Poer PC.11</v>
      </c>
      <c r="C20" t="str">
        <v>Breakdown (A) III.B.1.14</v>
      </c>
      <c r="D20">
        <v>5.7024</v>
      </c>
      <c r="E20">
        <v>12</v>
      </c>
      <c r="F20" t="str">
        <v>✓</v>
      </c>
      <c r="G20">
        <v>-2625946.3671160825</v>
      </c>
      <c r="H20" t="str">
        <v/>
      </c>
    </row>
    <row r="21">
      <c r="A21" t="str">
        <v>(A) III.B.1.15</v>
      </c>
      <c r="B21" t="str">
        <v>- Poer PC.12</v>
      </c>
      <c r="C21" t="str">
        <v>Breakdown (A) III.B.1.15</v>
      </c>
      <c r="D21">
        <v>5.148</v>
      </c>
      <c r="E21">
        <v>12</v>
      </c>
      <c r="F21" t="str">
        <v>✓</v>
      </c>
      <c r="G21">
        <v>-2502886.7532111034</v>
      </c>
      <c r="H21" t="str">
        <v/>
      </c>
    </row>
    <row r="22">
      <c r="A22" t="str">
        <v>(A) III.B.2.1</v>
      </c>
      <c r="B22" t="str">
        <v>- Sloof TB23-1</v>
      </c>
      <c r="C22" t="str">
        <v>Breakdown (A) III.B.2.1</v>
      </c>
      <c r="D22">
        <v>0.7185000000000001</v>
      </c>
      <c r="E22">
        <v>12</v>
      </c>
      <c r="F22" t="str">
        <v>✓</v>
      </c>
      <c r="G22">
        <v>-529909.3761268859</v>
      </c>
      <c r="H22" t="str">
        <v/>
      </c>
    </row>
    <row r="23">
      <c r="A23" t="str">
        <v>(A) III.B.2.2</v>
      </c>
      <c r="B23" t="str">
        <v>- Sloof TB24-1</v>
      </c>
      <c r="C23" t="str">
        <v>Breakdown (A) III.B.2.2</v>
      </c>
      <c r="D23">
        <v>1.13005</v>
      </c>
      <c r="E23">
        <v>12</v>
      </c>
      <c r="F23" t="str">
        <v>✓</v>
      </c>
      <c r="G23">
        <v>-748169.9861994749</v>
      </c>
      <c r="H23" t="str">
        <v/>
      </c>
    </row>
    <row r="24">
      <c r="A24" t="str">
        <v>(A) III.B.2.3</v>
      </c>
      <c r="B24" t="str">
        <v>- Sloof TB24-2</v>
      </c>
      <c r="C24" t="str">
        <v>Breakdown (A) III.B.2.3</v>
      </c>
      <c r="D24">
        <v>1.3669499999999999</v>
      </c>
      <c r="E24">
        <v>12</v>
      </c>
      <c r="F24" t="str">
        <v>✓</v>
      </c>
      <c r="G24">
        <v>-1021901.9643220492</v>
      </c>
      <c r="H24" t="str">
        <v/>
      </c>
    </row>
    <row r="25">
      <c r="A25" t="str">
        <v>(A) III.B.2.4</v>
      </c>
      <c r="B25" t="str">
        <v>- Sloof TB245-1</v>
      </c>
      <c r="C25" t="str">
        <v>Breakdown (A) III.B.2.4</v>
      </c>
      <c r="D25">
        <v>7.9925999999999995</v>
      </c>
      <c r="E25">
        <v>12</v>
      </c>
      <c r="F25" t="str">
        <v>✓</v>
      </c>
      <c r="G25">
        <v>-5799557.444009446</v>
      </c>
      <c r="H25" t="str">
        <v/>
      </c>
    </row>
    <row r="26">
      <c r="A26" t="str">
        <v>(A) III.B.2.5</v>
      </c>
      <c r="B26" t="str">
        <v>- Sloof TB245-2</v>
      </c>
      <c r="C26" t="str">
        <v>Breakdown (A) III.B.2.5</v>
      </c>
      <c r="D26">
        <v>6.395099999999999</v>
      </c>
      <c r="E26">
        <v>12</v>
      </c>
      <c r="F26" t="str">
        <v>✓</v>
      </c>
      <c r="G26">
        <v>-4964692.679738693</v>
      </c>
      <c r="H26" t="str">
        <v/>
      </c>
    </row>
    <row r="27">
      <c r="A27" t="str">
        <v>(A) III.B.2.6</v>
      </c>
      <c r="B27" t="str">
        <v>- Sloof TB25-1</v>
      </c>
      <c r="C27" t="str">
        <v>Breakdown (A) III.B.2.6</v>
      </c>
      <c r="D27">
        <v>4.9119</v>
      </c>
      <c r="E27">
        <v>12</v>
      </c>
      <c r="F27" t="str">
        <v>✓</v>
      </c>
      <c r="G27">
        <v>-4000218.611769568</v>
      </c>
      <c r="H27" t="str">
        <v/>
      </c>
    </row>
    <row r="28">
      <c r="A28" t="str">
        <v>(A) III.B.2.7</v>
      </c>
      <c r="B28" t="str">
        <v>- Sloof TB25-2</v>
      </c>
      <c r="C28" t="str">
        <v>Breakdown (A) III.B.2.7</v>
      </c>
      <c r="D28">
        <v>2.2841</v>
      </c>
      <c r="E28">
        <v>12</v>
      </c>
      <c r="F28" t="str">
        <v>✓</v>
      </c>
      <c r="G28">
        <v>-2023646.6825011503</v>
      </c>
      <c r="H28" t="str">
        <v/>
      </c>
    </row>
    <row r="29">
      <c r="A29" t="str">
        <v>(A) III.B.2.8</v>
      </c>
      <c r="B29" t="str">
        <v>- Sloof TB25-3</v>
      </c>
      <c r="C29" t="str">
        <v>Breakdown (A) III.B.2.8</v>
      </c>
      <c r="D29">
        <v>0.9086000000000001</v>
      </c>
      <c r="E29">
        <v>12</v>
      </c>
      <c r="F29" t="str">
        <v>✓</v>
      </c>
      <c r="G29">
        <v>-855315.4073706064</v>
      </c>
      <c r="H29" t="str">
        <v/>
      </c>
    </row>
    <row r="30">
      <c r="A30" t="str">
        <v>(A) III.B.2.9</v>
      </c>
      <c r="B30" t="str">
        <v>- Sloof TB35-1</v>
      </c>
      <c r="C30" t="str">
        <v>Breakdown (A) III.B.2.9</v>
      </c>
      <c r="D30">
        <v>2.606175</v>
      </c>
      <c r="E30">
        <v>12</v>
      </c>
      <c r="F30" t="str">
        <v>✓</v>
      </c>
      <c r="G30">
        <v>-1970012.7621914055</v>
      </c>
      <c r="H30" t="str">
        <v/>
      </c>
    </row>
    <row r="31">
      <c r="A31" t="str">
        <v>(A) III.B.2.10</v>
      </c>
      <c r="B31" t="str">
        <v>- Sloof TB35-2</v>
      </c>
      <c r="C31" t="str">
        <v>Breakdown (A) III.B.2.10</v>
      </c>
      <c r="D31">
        <v>0.609</v>
      </c>
      <c r="E31">
        <v>12</v>
      </c>
      <c r="F31" t="str">
        <v>✓</v>
      </c>
      <c r="G31">
        <v>-537137.2348342985</v>
      </c>
      <c r="H31" t="str">
        <v/>
      </c>
    </row>
    <row r="32">
      <c r="A32" t="str">
        <v>(A) III.B.2.11</v>
      </c>
      <c r="B32" t="str">
        <v>- Sloof TB36-1</v>
      </c>
      <c r="C32" t="str">
        <v>Breakdown (A) III.B.2.11</v>
      </c>
      <c r="D32">
        <v>1.53225</v>
      </c>
      <c r="E32">
        <v>12</v>
      </c>
      <c r="F32" t="str">
        <v>✓</v>
      </c>
      <c r="G32">
        <v>-1230896.774779031</v>
      </c>
      <c r="H32" t="str">
        <v/>
      </c>
    </row>
    <row r="33">
      <c r="A33" t="str">
        <v>(A) III.B.2.12</v>
      </c>
      <c r="B33" t="str">
        <v>- Sloof TB46-1</v>
      </c>
      <c r="C33" t="str">
        <v>Breakdown (A) III.B.2.12</v>
      </c>
      <c r="D33">
        <v>1.2483</v>
      </c>
      <c r="E33">
        <v>12</v>
      </c>
      <c r="F33" t="str">
        <v>✓</v>
      </c>
      <c r="G33">
        <v>-1031885.9630146939</v>
      </c>
      <c r="H33" t="str">
        <v/>
      </c>
    </row>
    <row r="34">
      <c r="A34" t="str">
        <v>(A) III.B.2.13</v>
      </c>
      <c r="B34" t="str">
        <v>- Sloof TB47-1</v>
      </c>
      <c r="C34" t="str">
        <v>Breakdown (A) III.B.2.13</v>
      </c>
      <c r="D34">
        <v>2.4739</v>
      </c>
      <c r="E34">
        <v>12</v>
      </c>
      <c r="F34" t="str">
        <v>✓</v>
      </c>
      <c r="G34">
        <v>-2105662.597255094</v>
      </c>
      <c r="H34" t="str">
        <v/>
      </c>
    </row>
    <row r="35">
      <c r="A35" t="str">
        <v>(A) III.B.2.14</v>
      </c>
      <c r="B35" t="str">
        <v>- Sloof TB47-2</v>
      </c>
      <c r="C35" t="str">
        <v>Breakdown (A) III.B.2.14</v>
      </c>
      <c r="D35">
        <v>1.617</v>
      </c>
      <c r="E35">
        <v>12</v>
      </c>
      <c r="F35" t="str">
        <v>✓</v>
      </c>
      <c r="G35">
        <v>-1186123.8196644764</v>
      </c>
      <c r="H35" t="str">
        <v/>
      </c>
    </row>
    <row r="36">
      <c r="A36" t="str">
        <v>(A) III.B.2.15</v>
      </c>
      <c r="B36" t="str">
        <v>- Sloof TBK25-1</v>
      </c>
      <c r="C36" t="str">
        <v>Breakdown (A) III.B.2.15</v>
      </c>
      <c r="D36">
        <v>0.29</v>
      </c>
      <c r="E36">
        <v>12</v>
      </c>
      <c r="F36" t="str">
        <v>✓</v>
      </c>
      <c r="G36">
        <v>-237962.29403259605</v>
      </c>
      <c r="H36" t="str">
        <v/>
      </c>
    </row>
    <row r="37">
      <c r="A37" t="str">
        <v>(A) III.B.2.16</v>
      </c>
      <c r="B37" t="str">
        <v>- Sloof Potongan S1</v>
      </c>
      <c r="C37" t="str">
        <v>Breakdown (A) III.B.2.16</v>
      </c>
      <c r="D37">
        <v>0.22575</v>
      </c>
      <c r="E37">
        <v>12</v>
      </c>
      <c r="F37" t="str">
        <v>✓</v>
      </c>
      <c r="G37">
        <v>-173910.86073706788</v>
      </c>
      <c r="H37" t="str">
        <v/>
      </c>
    </row>
    <row r="38">
      <c r="A38" t="str">
        <v>(A) III.B.2.17</v>
      </c>
      <c r="B38" t="str">
        <v>- Sloof Potongan S2</v>
      </c>
      <c r="C38" t="str">
        <v>Breakdown (A) III.B.2.17</v>
      </c>
      <c r="D38">
        <v>0.54</v>
      </c>
      <c r="E38">
        <v>12</v>
      </c>
      <c r="F38" t="str">
        <v>✓</v>
      </c>
      <c r="G38">
        <v>-469472.4638423817</v>
      </c>
      <c r="H38" t="str">
        <v/>
      </c>
    </row>
    <row r="39">
      <c r="A39" t="str">
        <v>(A) III.B.2.18</v>
      </c>
      <c r="B39" t="str">
        <v>- Sloof Potongan S4</v>
      </c>
      <c r="C39" t="str">
        <v>Breakdown (A) III.B.2.18</v>
      </c>
      <c r="D39">
        <v>1.458975</v>
      </c>
      <c r="E39">
        <v>12</v>
      </c>
      <c r="F39" t="str">
        <v>✓</v>
      </c>
      <c r="G39">
        <v>-1156114.859636603</v>
      </c>
      <c r="H39" t="str">
        <v/>
      </c>
    </row>
    <row r="40">
      <c r="A40" t="str">
        <v>(A) III.B.2.19</v>
      </c>
      <c r="B40" t="str">
        <v>- Strongband BB</v>
      </c>
      <c r="C40" t="str">
        <v>Breakdown (A) III.B.2.19</v>
      </c>
      <c r="D40">
        <v>24.7073472</v>
      </c>
      <c r="E40">
        <v>1</v>
      </c>
      <c r="F40" t="str">
        <v>✓</v>
      </c>
      <c r="G40">
        <v>-39026.49026976002</v>
      </c>
      <c r="H40" t="str">
        <v/>
      </c>
    </row>
    <row r="41">
      <c r="A41" t="str">
        <v>(A) III.B.3.1</v>
      </c>
      <c r="B41" t="str">
        <v>- Plat lantai - tebal 15 cm, besi D10-200 (2 lapis)</v>
      </c>
      <c r="C41" t="str">
        <v>Breakdown (A) III.B.3.1</v>
      </c>
      <c r="D41">
        <v>73.98150000000001</v>
      </c>
      <c r="E41">
        <v>5</v>
      </c>
      <c r="F41" t="str">
        <v>✓</v>
      </c>
      <c r="G41">
        <v>-35438679.46507758</v>
      </c>
      <c r="H41" t="str">
        <v/>
      </c>
    </row>
    <row r="42">
      <c r="A42" t="str">
        <v>(A) III.B.4.1</v>
      </c>
      <c r="B42" t="str">
        <v>- Kolom K174-1</v>
      </c>
      <c r="C42" t="str">
        <v>Breakdown (A) III.B.4.1</v>
      </c>
      <c r="D42">
        <v>1.1219999999999999</v>
      </c>
      <c r="E42">
        <v>13</v>
      </c>
      <c r="F42" t="str">
        <v>✓</v>
      </c>
      <c r="G42">
        <v>-1597245.7735468913</v>
      </c>
      <c r="H42" t="str">
        <v/>
      </c>
    </row>
    <row r="43">
      <c r="A43" t="str">
        <v>(A) III.B.4.2</v>
      </c>
      <c r="B43" t="str">
        <v>- Kolom K175-1</v>
      </c>
      <c r="C43" t="str">
        <v>Breakdown (A) III.B.4.2</v>
      </c>
      <c r="D43">
        <v>1.122</v>
      </c>
      <c r="E43">
        <v>13</v>
      </c>
      <c r="F43" t="str">
        <v>✓</v>
      </c>
      <c r="G43">
        <v>-1556000.1945475508</v>
      </c>
      <c r="H43" t="str">
        <v/>
      </c>
    </row>
    <row r="44">
      <c r="A44" t="str">
        <v>(A) III.B.4.3</v>
      </c>
      <c r="B44" t="str">
        <v>- Kolom K175-2</v>
      </c>
      <c r="C44" t="str">
        <v>Breakdown (A) III.B.4.3</v>
      </c>
      <c r="D44">
        <v>4.488</v>
      </c>
      <c r="E44">
        <v>13</v>
      </c>
      <c r="F44" t="str">
        <v>✓</v>
      </c>
      <c r="G44">
        <v>-6534558.655232094</v>
      </c>
      <c r="H44" t="str">
        <v/>
      </c>
    </row>
    <row r="45">
      <c r="A45" t="str">
        <v>(A) III.B.4.4</v>
      </c>
      <c r="B45" t="str">
        <v>- Kolom K175-3</v>
      </c>
      <c r="C45" t="str">
        <v>Breakdown (A) III.B.4.4</v>
      </c>
      <c r="D45">
        <v>0.561</v>
      </c>
      <c r="E45">
        <v>14</v>
      </c>
      <c r="F45" t="str">
        <v>✓</v>
      </c>
      <c r="G45">
        <v>-844279.3802577043</v>
      </c>
      <c r="H45" t="str">
        <v/>
      </c>
    </row>
    <row r="46">
      <c r="A46" t="str">
        <v>(A) III.B.4.5</v>
      </c>
      <c r="B46" t="str">
        <v>- Kolom K175-4</v>
      </c>
      <c r="C46" t="str">
        <v>Breakdown (A) III.B.4.5</v>
      </c>
      <c r="D46">
        <v>0.8415000000000001</v>
      </c>
      <c r="E46">
        <v>14</v>
      </c>
      <c r="F46" t="str">
        <v>✓</v>
      </c>
      <c r="G46">
        <v>-1413591.8478995766</v>
      </c>
      <c r="H46" t="str">
        <v/>
      </c>
    </row>
    <row r="47">
      <c r="A47" t="str">
        <v>(A) III.B.4.6</v>
      </c>
      <c r="B47" t="str">
        <v>- Kolom K176-1</v>
      </c>
      <c r="C47" t="str">
        <v>Breakdown (A) III.B.4.6</v>
      </c>
      <c r="D47">
        <v>0.3366</v>
      </c>
      <c r="E47">
        <v>13</v>
      </c>
      <c r="F47" t="str">
        <v>✓</v>
      </c>
      <c r="G47">
        <v>-502050.98918166384</v>
      </c>
      <c r="H47" t="str">
        <v/>
      </c>
    </row>
    <row r="48">
      <c r="A48" t="str">
        <v>(A) III.B.4.7</v>
      </c>
      <c r="B48" t="str">
        <v>- Kolom K177-1</v>
      </c>
      <c r="C48" t="str">
        <v>Breakdown (A) III.B.4.7</v>
      </c>
      <c r="D48">
        <v>0.3927</v>
      </c>
      <c r="E48">
        <v>13</v>
      </c>
      <c r="F48" t="str">
        <v>✓</v>
      </c>
      <c r="G48">
        <v>-615898.1804391649</v>
      </c>
      <c r="H48" t="str">
        <v/>
      </c>
    </row>
    <row r="49">
      <c r="A49" t="str">
        <v>(A) III.B.4.8</v>
      </c>
      <c r="B49" t="str">
        <v>- Kolom K178-1</v>
      </c>
      <c r="C49" t="str">
        <v>Breakdown (A) III.B.4.8</v>
      </c>
      <c r="D49">
        <v>1.3464</v>
      </c>
      <c r="E49">
        <v>13</v>
      </c>
      <c r="F49" t="str">
        <v>✓</v>
      </c>
      <c r="G49">
        <v>-1762165.436614072</v>
      </c>
      <c r="H49" t="str">
        <v/>
      </c>
    </row>
    <row r="50">
      <c r="A50" t="str">
        <v>(A) III.B.4.9</v>
      </c>
      <c r="B50" t="str">
        <v>- Kolom K178-2</v>
      </c>
      <c r="C50" t="str">
        <v>Breakdown (A) III.B.4.9</v>
      </c>
      <c r="D50">
        <v>0.4488</v>
      </c>
      <c r="E50">
        <v>13</v>
      </c>
      <c r="F50" t="str">
        <v>✓</v>
      </c>
      <c r="G50">
        <v>-748149.97346076</v>
      </c>
      <c r="H50" t="str">
        <v/>
      </c>
    </row>
    <row r="51">
      <c r="A51" t="str">
        <v>(A) III.B.4.10</v>
      </c>
      <c r="B51" t="str">
        <v>- Kolom K179-1</v>
      </c>
      <c r="C51" t="str">
        <v>Breakdown (A) III.B.4.10</v>
      </c>
      <c r="D51">
        <v>0.5049</v>
      </c>
      <c r="E51">
        <v>13</v>
      </c>
      <c r="F51" t="str">
        <v>✓</v>
      </c>
      <c r="G51">
        <v>-802748.1188019905</v>
      </c>
      <c r="H51" t="str">
        <v/>
      </c>
    </row>
    <row r="52">
      <c r="A52" t="str">
        <v>(A) III.B.4.11</v>
      </c>
      <c r="B52" t="str">
        <v>- Kolom K278-1</v>
      </c>
      <c r="C52" t="str">
        <v>Breakdown (A) III.B.4.11</v>
      </c>
      <c r="D52">
        <v>1.4256</v>
      </c>
      <c r="E52">
        <v>14</v>
      </c>
      <c r="F52" t="str">
        <v>✓</v>
      </c>
      <c r="G52">
        <v>-1887358.5703024473</v>
      </c>
      <c r="H52" t="str">
        <v/>
      </c>
    </row>
    <row r="53">
      <c r="A53" t="str">
        <v>(A) III.B.4.12</v>
      </c>
      <c r="B53" t="str">
        <v>- Kolom K48-1</v>
      </c>
      <c r="C53" t="str">
        <v>Breakdown (A) III.B.4.12</v>
      </c>
      <c r="D53">
        <v>2.112</v>
      </c>
      <c r="E53">
        <v>13</v>
      </c>
      <c r="F53" t="str">
        <v>✓</v>
      </c>
      <c r="G53">
        <v>-2818682.2500235327</v>
      </c>
      <c r="H53" t="str">
        <v/>
      </c>
    </row>
    <row r="54">
      <c r="A54" t="str">
        <v>(A) III.B.4.13</v>
      </c>
      <c r="B54" t="str">
        <v>- Kolom K55-1</v>
      </c>
      <c r="C54" t="str">
        <v>Breakdown (A) III.B.4.13</v>
      </c>
      <c r="D54">
        <v>2.4749999999999996</v>
      </c>
      <c r="E54">
        <v>13</v>
      </c>
      <c r="F54" t="str">
        <v>✓</v>
      </c>
      <c r="G54">
        <v>-2987773.4151354507</v>
      </c>
      <c r="H54" t="str">
        <v/>
      </c>
    </row>
    <row r="55">
      <c r="A55" t="str">
        <v>(A) III.B.4.14</v>
      </c>
      <c r="B55" t="str">
        <v>- Kolom K59-1</v>
      </c>
      <c r="C55" t="str">
        <v>Breakdown (A) III.B.4.14</v>
      </c>
      <c r="D55">
        <v>7.425000000000001</v>
      </c>
      <c r="E55">
        <v>13</v>
      </c>
      <c r="F55" t="str">
        <v>✓</v>
      </c>
      <c r="G55">
        <v>-8415436.812713988</v>
      </c>
      <c r="H55" t="str">
        <v/>
      </c>
    </row>
    <row r="56">
      <c r="A56" t="str">
        <v>(A) III.B.4.15</v>
      </c>
      <c r="B56" t="str">
        <v>- Kolom KL172258-1</v>
      </c>
      <c r="C56" t="str">
        <v>Breakdown (A) III.B.4.15</v>
      </c>
      <c r="D56">
        <v>0.78408</v>
      </c>
      <c r="E56">
        <v>13</v>
      </c>
      <c r="F56" t="str">
        <v>✓</v>
      </c>
      <c r="G56">
        <v>-1085892.7086591618</v>
      </c>
      <c r="H56" t="str">
        <v/>
      </c>
    </row>
    <row r="57">
      <c r="A57" t="str">
        <v>(A) III.B.4.16</v>
      </c>
      <c r="B57" t="str">
        <v>- Kolom KL174-1</v>
      </c>
      <c r="C57" t="str">
        <v>Breakdown (A) III.B.4.16</v>
      </c>
      <c r="D57">
        <v>0.7068599999999999</v>
      </c>
      <c r="E57">
        <v>13</v>
      </c>
      <c r="F57" t="str">
        <v>✓</v>
      </c>
      <c r="G57">
        <v>-973339.0515429145</v>
      </c>
      <c r="H57" t="str">
        <v/>
      </c>
    </row>
    <row r="58">
      <c r="A58" t="str">
        <v>(A) III.B.5.1</v>
      </c>
      <c r="B58" t="str">
        <v>- Pit lift</v>
      </c>
      <c r="C58" t="str">
        <v>Breakdown (A) III.B.5.1</v>
      </c>
      <c r="D58">
        <v>2.2134</v>
      </c>
      <c r="E58">
        <v>5</v>
      </c>
      <c r="F58" t="str">
        <v>✓</v>
      </c>
      <c r="G58">
        <v>-2259865.2815642785</v>
      </c>
      <c r="H58" t="str">
        <v/>
      </c>
    </row>
    <row r="59">
      <c r="A59" t="str">
        <v>(A) III.B.5.2</v>
      </c>
      <c r="B59" t="str">
        <v>- Dinding lift Basement</v>
      </c>
      <c r="C59" t="str">
        <v>Breakdown (A) III.B.5.2</v>
      </c>
      <c r="D59">
        <v>3.65211</v>
      </c>
      <c r="E59">
        <v>5</v>
      </c>
      <c r="F59" t="str">
        <v>✓</v>
      </c>
      <c r="G59">
        <v>-3012064.922688596</v>
      </c>
      <c r="H59" t="str">
        <v/>
      </c>
    </row>
    <row r="60">
      <c r="A60" t="str">
        <v>(A) III.B.5.3</v>
      </c>
      <c r="B60" t="str">
        <v>- Dinding beton pagar alas</v>
      </c>
      <c r="C60" t="str">
        <v>Breakdown (A) III.B.5.3</v>
      </c>
      <c r="D60">
        <v>48.399</v>
      </c>
      <c r="E60">
        <v>5</v>
      </c>
      <c r="F60" t="str">
        <v>✓</v>
      </c>
      <c r="G60">
        <v>-28743929.935439855</v>
      </c>
      <c r="H60" t="str">
        <v/>
      </c>
    </row>
    <row r="61">
      <c r="A61" t="str">
        <v>(A) III.B.5.4</v>
      </c>
      <c r="B61" t="str">
        <v>- Dinding beton ruang genset, ruang panel, dan ruang pompa</v>
      </c>
      <c r="C61" t="str">
        <v>Breakdown (A) III.B.5.4</v>
      </c>
      <c r="D61">
        <v>2.3796175</v>
      </c>
      <c r="E61">
        <v>5</v>
      </c>
      <c r="F61" t="str">
        <v>✓</v>
      </c>
      <c r="G61">
        <v>-1637115.365672985</v>
      </c>
      <c r="H61" t="str">
        <v/>
      </c>
    </row>
    <row r="62">
      <c r="A62" t="str">
        <v>(A) III.B2.4</v>
      </c>
      <c r="B62" t="str">
        <v>Planter box (potongan 1A dan 1B)</v>
      </c>
      <c r="C62" t="str">
        <v>Breakdown (A) III.B2.4</v>
      </c>
      <c r="D62">
        <v>3.9419249999999995</v>
      </c>
      <c r="E62">
        <v>5</v>
      </c>
      <c r="F62" t="str">
        <v>✓</v>
      </c>
      <c r="G62">
        <v>-3137428.8555351347</v>
      </c>
      <c r="H62" t="str">
        <v/>
      </c>
    </row>
    <row r="63">
      <c r="A63" t="str">
        <v>(A) IV.A.1.1</v>
      </c>
      <c r="B63" t="str">
        <v>- Plat lantai - tebal 13 cm, besi D10-200 (2 lapis)</v>
      </c>
      <c r="C63" t="str">
        <v>Breakdown (A) IV.A.1.1</v>
      </c>
      <c r="D63">
        <v>39.1274</v>
      </c>
      <c r="E63">
        <v>12</v>
      </c>
      <c r="F63" t="str">
        <v>✓</v>
      </c>
      <c r="G63">
        <v>-26495047.64694822</v>
      </c>
      <c r="H63" t="str">
        <v/>
      </c>
    </row>
    <row r="64">
      <c r="A64" t="str">
        <v>(A) IV.A.1.2</v>
      </c>
      <c r="B64" t="str">
        <v>- Plat lantai - tebal 15 cm, besi D10-200 (2 lapis)</v>
      </c>
      <c r="C64" t="str">
        <v>Breakdown (A) IV.A.1.2</v>
      </c>
      <c r="D64">
        <v>12.9015</v>
      </c>
      <c r="E64">
        <v>6</v>
      </c>
      <c r="F64" t="str">
        <v>✓</v>
      </c>
      <c r="G64">
        <v>-8426139.959014937</v>
      </c>
      <c r="H64" t="str">
        <v/>
      </c>
    </row>
    <row r="65">
      <c r="A65" t="str">
        <v>(A) IV.A.2.1</v>
      </c>
      <c r="B65" t="str">
        <v>- Balok B174-1</v>
      </c>
      <c r="C65" t="str">
        <v>Breakdown (A) IV.A.2.1</v>
      </c>
      <c r="D65">
        <v>1.2888975</v>
      </c>
      <c r="E65">
        <v>14</v>
      </c>
      <c r="F65" t="str">
        <v>✓</v>
      </c>
      <c r="G65">
        <v>-1630491.7361547984</v>
      </c>
      <c r="H65" t="str">
        <v/>
      </c>
    </row>
    <row r="66">
      <c r="A66" t="str">
        <v>(A) IV.A.2.2</v>
      </c>
      <c r="B66" t="str">
        <v>- Balok B174-2</v>
      </c>
      <c r="C66" t="str">
        <v>Breakdown (A) IV.A.2.2</v>
      </c>
      <c r="D66">
        <v>0.3385125</v>
      </c>
      <c r="E66">
        <v>14</v>
      </c>
      <c r="F66" t="str">
        <v>✓</v>
      </c>
      <c r="G66">
        <v>-488245.8733360097</v>
      </c>
      <c r="H66" t="str">
        <v/>
      </c>
    </row>
    <row r="67">
      <c r="A67" t="str">
        <v>(A) IV.A.2.3</v>
      </c>
      <c r="B67" t="str">
        <v>- Balok B176-1</v>
      </c>
      <c r="C67" t="str">
        <v>Breakdown (A) IV.A.2.3</v>
      </c>
      <c r="D67">
        <v>0.39151</v>
      </c>
      <c r="E67">
        <v>14</v>
      </c>
      <c r="F67" t="str">
        <v>✓</v>
      </c>
      <c r="G67">
        <v>-500655.602861681</v>
      </c>
      <c r="H67" t="str">
        <v/>
      </c>
    </row>
    <row r="68">
      <c r="A68" t="str">
        <v>(A) IV.A.2.4</v>
      </c>
      <c r="B68" t="str">
        <v>- Balok B23-1</v>
      </c>
      <c r="C68" t="str">
        <v>Breakdown (A) IV.A.2.4</v>
      </c>
      <c r="D68">
        <v>0.23910000000000003</v>
      </c>
      <c r="E68">
        <v>14</v>
      </c>
      <c r="F68" t="str">
        <v>✓</v>
      </c>
      <c r="G68">
        <v>-360047.11561667593</v>
      </c>
      <c r="H68" t="str">
        <v/>
      </c>
    </row>
    <row r="69">
      <c r="A69" t="str">
        <v>(A) IV.A.2.5</v>
      </c>
      <c r="B69" t="str">
        <v>- Balok B23-2</v>
      </c>
      <c r="C69" t="str">
        <v>Breakdown (A) IV.A.2.5</v>
      </c>
      <c r="D69">
        <v>0.11339</v>
      </c>
      <c r="E69">
        <v>14</v>
      </c>
      <c r="F69" t="str">
        <v>✓</v>
      </c>
      <c r="G69">
        <v>-168863.45781033207</v>
      </c>
      <c r="H69" t="str">
        <v/>
      </c>
    </row>
    <row r="70">
      <c r="A70" t="str">
        <v>(A) IV.A.2.6</v>
      </c>
      <c r="B70" t="str">
        <v>- Balok B24-1</v>
      </c>
      <c r="C70" t="str">
        <v>Breakdown (A) IV.A.2.6</v>
      </c>
      <c r="D70">
        <v>1.73119</v>
      </c>
      <c r="E70">
        <v>14</v>
      </c>
      <c r="F70" t="str">
        <v>✓</v>
      </c>
      <c r="G70">
        <v>-2017589.9773877524</v>
      </c>
      <c r="H70" t="str">
        <v/>
      </c>
    </row>
    <row r="71">
      <c r="A71" t="str">
        <v>(A) IV.A.2.7</v>
      </c>
      <c r="B71" t="str">
        <v>- Balok B24-2</v>
      </c>
      <c r="C71" t="str">
        <v>Breakdown (A) IV.A.2.7</v>
      </c>
      <c r="D71">
        <v>1.4598900000000001</v>
      </c>
      <c r="E71">
        <v>14</v>
      </c>
      <c r="F71" t="str">
        <v>✓</v>
      </c>
      <c r="G71">
        <v>-1734687.460402634</v>
      </c>
      <c r="H71" t="str">
        <v/>
      </c>
    </row>
    <row r="72">
      <c r="A72" t="str">
        <v>(A) IV.A.2.8</v>
      </c>
      <c r="B72" t="str">
        <v>- Balok B24-3</v>
      </c>
      <c r="C72" t="str">
        <v>Breakdown (A) IV.A.2.8</v>
      </c>
      <c r="D72">
        <v>0.23031</v>
      </c>
      <c r="E72">
        <v>14</v>
      </c>
      <c r="F72" t="str">
        <v>✓</v>
      </c>
      <c r="G72">
        <v>-331335.3707753378</v>
      </c>
      <c r="H72" t="str">
        <v/>
      </c>
    </row>
    <row r="73">
      <c r="A73" t="str">
        <v>(A) IV.A.2.9</v>
      </c>
      <c r="B73" t="str">
        <v>- Balok B245-1</v>
      </c>
      <c r="C73" t="str">
        <v>Breakdown (A) IV.A.2.9</v>
      </c>
      <c r="D73">
        <v>3.1130600000000004</v>
      </c>
      <c r="E73">
        <v>14</v>
      </c>
      <c r="F73" t="str">
        <v>✓</v>
      </c>
      <c r="G73">
        <v>-3604120.63763861</v>
      </c>
      <c r="H73" t="str">
        <v/>
      </c>
    </row>
    <row r="74">
      <c r="A74" t="str">
        <v>(A) IV.A.2.10</v>
      </c>
      <c r="B74" t="str">
        <v>- Balok B245-2</v>
      </c>
      <c r="C74" t="str">
        <v>Breakdown (A) IV.A.2.10</v>
      </c>
      <c r="D74">
        <v>1.85892</v>
      </c>
      <c r="E74">
        <v>14</v>
      </c>
      <c r="F74" t="str">
        <v>✓</v>
      </c>
      <c r="G74">
        <v>-2303954.9069135245</v>
      </c>
      <c r="H74" t="str">
        <v/>
      </c>
    </row>
    <row r="75">
      <c r="A75" t="str">
        <v>(A) IV.A.2.11</v>
      </c>
      <c r="B75" t="str">
        <v>- Balok B245-3</v>
      </c>
      <c r="C75" t="str">
        <v>Breakdown (A) IV.A.2.11</v>
      </c>
      <c r="D75">
        <v>1.0048</v>
      </c>
      <c r="E75">
        <v>14</v>
      </c>
      <c r="F75" t="str">
        <v>✓</v>
      </c>
      <c r="G75">
        <v>-1319605.8331660405</v>
      </c>
      <c r="H75" t="str">
        <v/>
      </c>
    </row>
    <row r="76">
      <c r="A76" t="str">
        <v>(A) IV.A.2.12</v>
      </c>
      <c r="B76" t="str">
        <v>- Balok B245-4</v>
      </c>
      <c r="C76" t="str">
        <v>Breakdown (A) IV.A.2.12</v>
      </c>
      <c r="D76">
        <v>3.38676</v>
      </c>
      <c r="E76">
        <v>14</v>
      </c>
      <c r="F76" t="str">
        <v>✓</v>
      </c>
      <c r="G76">
        <v>-4460289.843037814</v>
      </c>
      <c r="H76" t="str">
        <v/>
      </c>
    </row>
    <row r="77">
      <c r="A77" t="str">
        <v>(A) IV.A.2.13</v>
      </c>
      <c r="B77" t="str">
        <v>- Balok B245-5</v>
      </c>
      <c r="C77" t="str">
        <v>Breakdown (A) IV.A.2.13</v>
      </c>
      <c r="D77">
        <v>0.52316</v>
      </c>
      <c r="E77">
        <v>14</v>
      </c>
      <c r="F77" t="str">
        <v>✓</v>
      </c>
      <c r="G77">
        <v>-718410.7909964062</v>
      </c>
      <c r="H77" t="str">
        <v/>
      </c>
    </row>
    <row r="78">
      <c r="A78" t="str">
        <v>(A) IV.A.2.14</v>
      </c>
      <c r="B78" t="str">
        <v>- Balok B245-6</v>
      </c>
      <c r="C78" t="str">
        <v>Breakdown (A) IV.A.2.14</v>
      </c>
      <c r="D78">
        <v>0.47831</v>
      </c>
      <c r="E78">
        <v>14</v>
      </c>
      <c r="F78" t="str">
        <v>✓</v>
      </c>
      <c r="G78">
        <v>-613228.6945555182</v>
      </c>
      <c r="H78" t="str">
        <v/>
      </c>
    </row>
    <row r="79">
      <c r="A79" t="str">
        <v>(A) IV.A.2.15</v>
      </c>
      <c r="B79" t="str">
        <v>- Balok B25-1</v>
      </c>
      <c r="C79" t="str">
        <v>Breakdown (A) IV.A.2.15</v>
      </c>
      <c r="D79">
        <v>0.9990000000000001</v>
      </c>
      <c r="E79">
        <v>14</v>
      </c>
      <c r="F79" t="str">
        <v>✓</v>
      </c>
      <c r="G79">
        <v>-1250169.6267353874</v>
      </c>
      <c r="H79" t="str">
        <v/>
      </c>
    </row>
    <row r="80">
      <c r="A80" t="str">
        <v>(A) IV.A.2.16</v>
      </c>
      <c r="B80" t="str">
        <v>- Balok B25-6</v>
      </c>
      <c r="C80" t="str">
        <v>Breakdown (A) IV.A.2.16</v>
      </c>
      <c r="D80">
        <v>0.9239999999999999</v>
      </c>
      <c r="E80">
        <v>14</v>
      </c>
      <c r="F80" t="str">
        <v>✓</v>
      </c>
      <c r="G80">
        <v>-1271665.4343757387</v>
      </c>
      <c r="H80" t="str">
        <v/>
      </c>
    </row>
    <row r="81">
      <c r="A81" t="str">
        <v>(A) IV.A.2.17</v>
      </c>
      <c r="B81" t="str">
        <v>- Balok CL25-1</v>
      </c>
      <c r="C81" t="str">
        <v>Breakdown (A) IV.A.2.17</v>
      </c>
      <c r="D81">
        <v>0.55759</v>
      </c>
      <c r="E81">
        <v>14</v>
      </c>
      <c r="F81" t="str">
        <v>✓</v>
      </c>
      <c r="G81">
        <v>-741539.8724030638</v>
      </c>
      <c r="H81" t="str">
        <v/>
      </c>
    </row>
    <row r="82">
      <c r="A82" t="str">
        <v>(A) IV.A.2.18</v>
      </c>
      <c r="B82" t="str">
        <v>- Balok B345-1</v>
      </c>
      <c r="C82" t="str">
        <v>Breakdown (A) IV.A.2.18</v>
      </c>
      <c r="D82">
        <v>0.3552</v>
      </c>
      <c r="E82">
        <v>14</v>
      </c>
      <c r="F82" t="str">
        <v>✓</v>
      </c>
      <c r="G82">
        <v>-384186.5941075268</v>
      </c>
      <c r="H82" t="str">
        <v/>
      </c>
    </row>
    <row r="83">
      <c r="A83" t="str">
        <v>(A) IV.A.2.19</v>
      </c>
      <c r="B83" t="str">
        <v>- Balok B35-1</v>
      </c>
      <c r="C83" t="str">
        <v>Breakdown (A) IV.A.2.19</v>
      </c>
      <c r="D83">
        <v>0.742035</v>
      </c>
      <c r="E83">
        <v>14</v>
      </c>
      <c r="F83" t="str">
        <v>✓</v>
      </c>
      <c r="G83">
        <v>-779957.2051332546</v>
      </c>
      <c r="H83" t="str">
        <v/>
      </c>
    </row>
    <row r="84">
      <c r="A84" t="str">
        <v>(A) IV.A.2.20</v>
      </c>
      <c r="B84" t="str">
        <v>- Balok B37-1</v>
      </c>
      <c r="C84" t="str">
        <v>Breakdown (A) IV.A.2.20</v>
      </c>
      <c r="D84">
        <v>5.081265</v>
      </c>
      <c r="E84">
        <v>14</v>
      </c>
      <c r="F84" t="str">
        <v>✓</v>
      </c>
      <c r="G84">
        <v>-6210863.965751827</v>
      </c>
      <c r="H84" t="str">
        <v/>
      </c>
    </row>
    <row r="85">
      <c r="A85" t="str">
        <v>(A) IV.A.2.21</v>
      </c>
      <c r="B85" t="str">
        <v>- Balok B47-1</v>
      </c>
      <c r="C85" t="str">
        <v>Breakdown (A) IV.A.2.21</v>
      </c>
      <c r="D85">
        <v>2.52738</v>
      </c>
      <c r="E85">
        <v>15</v>
      </c>
      <c r="F85" t="str">
        <v>✓</v>
      </c>
      <c r="G85">
        <v>-2559949.287007354</v>
      </c>
      <c r="H85" t="str">
        <v/>
      </c>
    </row>
    <row r="86">
      <c r="A86" t="str">
        <v>(A) IV.A.2.22</v>
      </c>
      <c r="B86" t="str">
        <v>- Balok B57-1</v>
      </c>
      <c r="C86" t="str">
        <v>Breakdown (A) IV.A.2.22</v>
      </c>
      <c r="D86">
        <v>14.197274999999998</v>
      </c>
      <c r="E86">
        <v>14</v>
      </c>
      <c r="F86" t="str">
        <v>✓</v>
      </c>
      <c r="G86">
        <v>-15178257.79300794</v>
      </c>
      <c r="H86" t="str">
        <v/>
      </c>
    </row>
    <row r="87">
      <c r="A87" t="str">
        <v>(A) IV.A.2.23</v>
      </c>
      <c r="B87" t="str">
        <v>- Balok B57-4</v>
      </c>
      <c r="C87" t="str">
        <v>Breakdown (A) IV.A.2.23</v>
      </c>
      <c r="D87">
        <v>6.327</v>
      </c>
      <c r="E87">
        <v>14</v>
      </c>
      <c r="F87" t="str">
        <v>✓</v>
      </c>
      <c r="G87">
        <v>-6333070.995859258</v>
      </c>
      <c r="H87" t="str">
        <v/>
      </c>
    </row>
    <row r="88">
      <c r="A88" t="str">
        <v>(A) IV.A.2.24</v>
      </c>
      <c r="B88" t="str">
        <v>- Balok B67-1</v>
      </c>
      <c r="C88" t="str">
        <v>Breakdown (A) IV.A.2.24</v>
      </c>
      <c r="D88">
        <v>2.394</v>
      </c>
      <c r="E88">
        <v>15</v>
      </c>
      <c r="F88" t="str">
        <v>✓</v>
      </c>
      <c r="G88">
        <v>-2267415.3806910217</v>
      </c>
      <c r="H88" t="str">
        <v/>
      </c>
    </row>
    <row r="89">
      <c r="A89" t="str">
        <v>(A) IV.A.2.25</v>
      </c>
      <c r="B89" t="str">
        <v>- Balok B77-1</v>
      </c>
      <c r="C89" t="str">
        <v>Breakdown (A) IV.A.2.25</v>
      </c>
      <c r="D89">
        <v>3.09225</v>
      </c>
      <c r="E89">
        <v>15</v>
      </c>
      <c r="F89" t="str">
        <v>✓</v>
      </c>
      <c r="G89">
        <v>-3158580.239362661</v>
      </c>
      <c r="H89" t="str">
        <v/>
      </c>
    </row>
    <row r="90">
      <c r="A90" t="str">
        <v>(A) IV.A.2.26</v>
      </c>
      <c r="B90" t="str">
        <v>- Balok Potongan I</v>
      </c>
      <c r="C90" t="str">
        <v>Breakdown (A) IV.A.2.26</v>
      </c>
      <c r="D90">
        <v>0.112</v>
      </c>
      <c r="E90">
        <v>14</v>
      </c>
      <c r="F90" t="str">
        <v>✓</v>
      </c>
      <c r="G90">
        <v>-175024.19451055164</v>
      </c>
      <c r="H90" t="str">
        <v/>
      </c>
    </row>
    <row r="91">
      <c r="A91" t="str">
        <v>(A) IV.A.2.27</v>
      </c>
      <c r="B91" t="str">
        <v>- Balok Potongan M</v>
      </c>
      <c r="C91" t="str">
        <v>Breakdown (A) IV.A.2.27</v>
      </c>
      <c r="D91">
        <v>1.1685</v>
      </c>
      <c r="E91">
        <v>14</v>
      </c>
      <c r="F91" t="str">
        <v>✓</v>
      </c>
      <c r="G91">
        <v>-1163494.329027501</v>
      </c>
      <c r="H91" t="str">
        <v/>
      </c>
    </row>
    <row r="92">
      <c r="A92" t="str">
        <v>(A) IV.A.4.1</v>
      </c>
      <c r="B92" t="str">
        <v>- Kolom K12</v>
      </c>
      <c r="C92" t="str">
        <v>Breakdown (A) IV.A.4.1</v>
      </c>
      <c r="D92">
        <v>1.1700000000000002</v>
      </c>
      <c r="E92">
        <v>13</v>
      </c>
      <c r="F92" t="str">
        <v>✓</v>
      </c>
      <c r="G92">
        <v>-1937394.5499554165</v>
      </c>
      <c r="H92" t="str">
        <v/>
      </c>
    </row>
    <row r="93">
      <c r="A93" t="str">
        <v>(A) IV.A.4.2</v>
      </c>
      <c r="B93" t="str">
        <v>- Kolom K174-1</v>
      </c>
      <c r="C93" t="str">
        <v>Breakdown (A) IV.A.4.2</v>
      </c>
      <c r="D93">
        <v>0.9179999999999999</v>
      </c>
      <c r="E93">
        <v>13</v>
      </c>
      <c r="F93" t="str">
        <v>✓</v>
      </c>
      <c r="G93">
        <v>-1276878.0107601024</v>
      </c>
      <c r="H93" t="str">
        <v/>
      </c>
    </row>
    <row r="94">
      <c r="A94" t="str">
        <v>(A) IV.A.4.3</v>
      </c>
      <c r="B94" t="str">
        <v>- Kolom K175-1</v>
      </c>
      <c r="C94" t="str">
        <v>Breakdown (A) IV.A.4.3</v>
      </c>
      <c r="D94">
        <v>1.1475</v>
      </c>
      <c r="E94">
        <v>13</v>
      </c>
      <c r="F94" t="str">
        <v>✓</v>
      </c>
      <c r="G94">
        <v>-1549550.527766509</v>
      </c>
      <c r="H94" t="str">
        <v/>
      </c>
    </row>
    <row r="95">
      <c r="A95" t="str">
        <v>(A) IV.A.4.4</v>
      </c>
      <c r="B95" t="str">
        <v>- Kolom K175-2</v>
      </c>
      <c r="C95" t="str">
        <v>Breakdown (A) IV.A.4.4</v>
      </c>
      <c r="D95">
        <v>2.295</v>
      </c>
      <c r="E95">
        <v>13</v>
      </c>
      <c r="F95" t="str">
        <v>✓</v>
      </c>
      <c r="G95">
        <v>-3189404.190859221</v>
      </c>
      <c r="H95" t="str">
        <v/>
      </c>
    </row>
    <row r="96">
      <c r="A96" t="str">
        <v>(A) IV.A.4.5</v>
      </c>
      <c r="B96" t="str">
        <v>- Kolom K175-4</v>
      </c>
      <c r="C96" t="str">
        <v>Breakdown (A) IV.A.4.5</v>
      </c>
      <c r="D96">
        <v>0.3825</v>
      </c>
      <c r="E96">
        <v>14</v>
      </c>
      <c r="F96" t="str">
        <v>✓</v>
      </c>
      <c r="G96">
        <v>-618304.2643173458</v>
      </c>
      <c r="H96" t="str">
        <v/>
      </c>
    </row>
    <row r="97">
      <c r="A97" t="str">
        <v>(A) IV.A.4.6</v>
      </c>
      <c r="B97" t="str">
        <v>- Kolom K176-1</v>
      </c>
      <c r="C97" t="str">
        <v>Breakdown (A) IV.A.4.6</v>
      </c>
      <c r="D97">
        <v>1.377</v>
      </c>
      <c r="E97">
        <v>13</v>
      </c>
      <c r="F97" t="str">
        <v>✓</v>
      </c>
      <c r="G97">
        <v>-1961279.8454488516</v>
      </c>
      <c r="H97" t="str">
        <v/>
      </c>
    </row>
    <row r="98">
      <c r="A98" t="str">
        <v>(A) IV.A.4.7</v>
      </c>
      <c r="B98" t="str">
        <v>- Kolom K176-4</v>
      </c>
      <c r="C98" t="str">
        <v>Breakdown (A) IV.A.4.7</v>
      </c>
      <c r="D98">
        <v>0.459</v>
      </c>
      <c r="E98">
        <v>14</v>
      </c>
      <c r="F98" t="str">
        <v>✓</v>
      </c>
      <c r="G98">
        <v>-751838.25921279</v>
      </c>
      <c r="H98" t="str">
        <v/>
      </c>
    </row>
    <row r="99">
      <c r="A99" t="str">
        <v>(A) IV.A.4.8</v>
      </c>
      <c r="B99" t="str">
        <v>- Kolom K177-1</v>
      </c>
      <c r="C99" t="str">
        <v>Breakdown (A) IV.A.4.8</v>
      </c>
      <c r="D99">
        <v>0.5355</v>
      </c>
      <c r="E99">
        <v>13</v>
      </c>
      <c r="F99" t="str">
        <v>✓</v>
      </c>
      <c r="G99">
        <v>-776971.0279688425</v>
      </c>
      <c r="H99" t="str">
        <v/>
      </c>
    </row>
    <row r="100">
      <c r="A100" t="str">
        <v>(A) IV.A.4.9</v>
      </c>
      <c r="B100" t="str">
        <v>- Kolom K178-1</v>
      </c>
      <c r="C100" t="str">
        <v>Breakdown (A) IV.A.4.9</v>
      </c>
      <c r="D100">
        <v>2.448</v>
      </c>
      <c r="E100">
        <v>13</v>
      </c>
      <c r="F100" t="str">
        <v>✓</v>
      </c>
      <c r="G100">
        <v>-3072456.6046802513</v>
      </c>
      <c r="H100" t="str">
        <v/>
      </c>
    </row>
    <row r="101">
      <c r="A101" t="str">
        <v>(A) IV.A.4.10</v>
      </c>
      <c r="B101" t="str">
        <v>- Kolom K178-2</v>
      </c>
      <c r="C101" t="str">
        <v>Breakdown (A) IV.A.4.10</v>
      </c>
      <c r="D101">
        <v>1.224</v>
      </c>
      <c r="E101">
        <v>13</v>
      </c>
      <c r="F101" t="str">
        <v>✓</v>
      </c>
      <c r="G101">
        <v>-1865303.8968916163</v>
      </c>
      <c r="H101" t="str">
        <v/>
      </c>
    </row>
    <row r="102">
      <c r="A102" t="str">
        <v>(A) IV.A.4.11</v>
      </c>
      <c r="B102" t="str">
        <v>- Kolom K179-1</v>
      </c>
      <c r="C102" t="str">
        <v>Breakdown (A) IV.A.4.11</v>
      </c>
      <c r="D102">
        <v>0.6885</v>
      </c>
      <c r="E102">
        <v>13</v>
      </c>
      <c r="F102" t="str">
        <v>✓</v>
      </c>
      <c r="G102">
        <v>-1007765.2443409804</v>
      </c>
      <c r="H102" t="str">
        <v/>
      </c>
    </row>
    <row r="103">
      <c r="A103" t="str">
        <v>(A) IV.A.4.12</v>
      </c>
      <c r="B103" t="str">
        <v>- Kolom K275-1</v>
      </c>
      <c r="C103" t="str">
        <v>Breakdown (A) IV.A.4.12</v>
      </c>
      <c r="D103">
        <v>1.8225000000000002</v>
      </c>
      <c r="E103">
        <v>13</v>
      </c>
      <c r="F103" t="str">
        <v>✓</v>
      </c>
      <c r="G103">
        <v>-2296649.66652726</v>
      </c>
      <c r="H103" t="str">
        <v/>
      </c>
    </row>
    <row r="104">
      <c r="A104" t="str">
        <v>(A) IV.A.4.13</v>
      </c>
      <c r="B104" t="str">
        <v>- Kolom K278-1</v>
      </c>
      <c r="C104" t="str">
        <v>Breakdown (A) IV.A.4.13</v>
      </c>
      <c r="D104">
        <v>2.916</v>
      </c>
      <c r="E104">
        <v>14</v>
      </c>
      <c r="F104" t="str">
        <v>✓</v>
      </c>
      <c r="G104">
        <v>-3566453.499979742</v>
      </c>
      <c r="H104" t="str">
        <v/>
      </c>
    </row>
    <row r="105">
      <c r="A105" t="str">
        <v>(A) IV.A.4.14</v>
      </c>
      <c r="B105" t="str">
        <v>- Kolom K36-1</v>
      </c>
      <c r="C105" t="str">
        <v>Breakdown (A) IV.A.4.14</v>
      </c>
      <c r="D105">
        <v>1.62</v>
      </c>
      <c r="E105">
        <v>13</v>
      </c>
      <c r="F105" t="str">
        <v>✓</v>
      </c>
      <c r="G105">
        <v>-2431097.7850254886</v>
      </c>
      <c r="H105" t="str">
        <v/>
      </c>
    </row>
    <row r="106">
      <c r="A106" t="str">
        <v>(A) IV.A.4.15</v>
      </c>
      <c r="B106" t="str">
        <v>- Kolom K59-1</v>
      </c>
      <c r="C106" t="str">
        <v>Breakdown (A) IV.A.4.15</v>
      </c>
      <c r="D106">
        <v>4.05</v>
      </c>
      <c r="E106">
        <v>13</v>
      </c>
      <c r="F106" t="str">
        <v>✓</v>
      </c>
      <c r="G106">
        <v>-4230162.401690323</v>
      </c>
      <c r="H106" t="str">
        <v/>
      </c>
    </row>
    <row r="107">
      <c r="A107" t="str">
        <v>(A) IV.A.4.16</v>
      </c>
      <c r="B107" t="str">
        <v>- Kolom KL175-3</v>
      </c>
      <c r="C107" t="str">
        <v>Breakdown (A) IV.A.4.16</v>
      </c>
      <c r="D107">
        <v>0.63495</v>
      </c>
      <c r="E107">
        <v>13</v>
      </c>
      <c r="F107" t="str">
        <v>✓</v>
      </c>
      <c r="G107">
        <v>-1012007.0144178718</v>
      </c>
      <c r="H107" t="str">
        <v/>
      </c>
    </row>
    <row r="108">
      <c r="A108" t="str">
        <v>(A) IV.B.2</v>
      </c>
      <c r="B108" t="str">
        <v>Dinding lift Lantai 1</v>
      </c>
      <c r="C108" t="str">
        <v>Breakdown (A) IV.B.2</v>
      </c>
      <c r="D108">
        <v>4.98015</v>
      </c>
      <c r="E108">
        <v>5</v>
      </c>
      <c r="F108" t="str">
        <v>✓</v>
      </c>
      <c r="G108">
        <v>-4064322.6150546633</v>
      </c>
      <c r="H108" t="str">
        <v/>
      </c>
    </row>
    <row r="109">
      <c r="A109" t="str">
        <v>(A) V.A.1.1</v>
      </c>
      <c r="B109" t="str">
        <v>- Plat lantai - tebal 13 cm, besi D10-200 (2 lapis)</v>
      </c>
      <c r="C109" t="str">
        <v>Breakdown (A) V.A.1.1</v>
      </c>
      <c r="D109">
        <v>36.0789</v>
      </c>
      <c r="E109">
        <v>12</v>
      </c>
      <c r="F109" t="str">
        <v>✓</v>
      </c>
      <c r="G109">
        <v>-24456859.944913387</v>
      </c>
      <c r="H109" t="str">
        <v/>
      </c>
    </row>
    <row r="110">
      <c r="A110" t="str">
        <v>(A) V.A.1.2</v>
      </c>
      <c r="B110" t="str">
        <v>- Plat lantai balkon dan dry garden - tebal 15 cm, besi D10-200 (2 lapis)</v>
      </c>
      <c r="C110" t="str">
        <v>Breakdown (A) V.A.1.2</v>
      </c>
      <c r="D110">
        <v>2.7540000000000004</v>
      </c>
      <c r="E110">
        <v>6</v>
      </c>
      <c r="F110" t="str">
        <v>✓</v>
      </c>
      <c r="G110">
        <v>-1837393.9570192862</v>
      </c>
      <c r="H110" t="str">
        <v/>
      </c>
    </row>
    <row r="111">
      <c r="A111" t="str">
        <v>(A) V.A.2.1</v>
      </c>
      <c r="B111" t="str">
        <v>- Balok B173-1</v>
      </c>
      <c r="C111" t="str">
        <v>Breakdown (A) V.A.2.1</v>
      </c>
      <c r="D111">
        <v>0.14968499999999998</v>
      </c>
      <c r="E111">
        <v>14</v>
      </c>
      <c r="F111" t="str">
        <v>✓</v>
      </c>
      <c r="G111">
        <v>-193025.12730730744</v>
      </c>
      <c r="H111" t="str">
        <v/>
      </c>
    </row>
    <row r="112">
      <c r="A112" t="str">
        <v>(A) V.A.2.2</v>
      </c>
      <c r="B112" t="str">
        <v>- Balok B175-1</v>
      </c>
      <c r="C112" t="str">
        <v>Breakdown (A) V.A.2.2</v>
      </c>
      <c r="D112">
        <v>0.4505</v>
      </c>
      <c r="E112">
        <v>14</v>
      </c>
      <c r="F112" t="str">
        <v>✓</v>
      </c>
      <c r="G112">
        <v>-548146.983061967</v>
      </c>
      <c r="H112" t="str">
        <v/>
      </c>
    </row>
    <row r="113">
      <c r="A113" t="str">
        <v>(A) V.A.2.3</v>
      </c>
      <c r="B113" t="str">
        <v>- Balok B175-2</v>
      </c>
      <c r="C113" t="str">
        <v>Breakdown (A) V.A.2.3</v>
      </c>
      <c r="D113">
        <v>0.85</v>
      </c>
      <c r="E113">
        <v>14</v>
      </c>
      <c r="F113" t="str">
        <v>✓</v>
      </c>
      <c r="G113">
        <v>-1090786.5731307464</v>
      </c>
      <c r="H113" t="str">
        <v/>
      </c>
    </row>
    <row r="114">
      <c r="A114" t="str">
        <v>(A) V.A.2.4</v>
      </c>
      <c r="B114" t="str">
        <v>- Balok B23-1</v>
      </c>
      <c r="C114" t="str">
        <v>Breakdown (A) V.A.2.4</v>
      </c>
      <c r="D114">
        <v>0.2938</v>
      </c>
      <c r="E114">
        <v>14</v>
      </c>
      <c r="F114" t="str">
        <v>✓</v>
      </c>
      <c r="G114">
        <v>-425090.8158186171</v>
      </c>
      <c r="H114" t="str">
        <v/>
      </c>
    </row>
    <row r="115">
      <c r="A115" t="str">
        <v>(A) V.A.2.5</v>
      </c>
      <c r="B115" t="str">
        <v>- Balok B24-1</v>
      </c>
      <c r="C115" t="str">
        <v>Breakdown (A) V.A.2.5</v>
      </c>
      <c r="D115">
        <v>0.7371</v>
      </c>
      <c r="E115">
        <v>14</v>
      </c>
      <c r="F115" t="str">
        <v>✓</v>
      </c>
      <c r="G115">
        <v>-903321.5028815987</v>
      </c>
      <c r="H115" t="str">
        <v/>
      </c>
    </row>
    <row r="116">
      <c r="A116" t="str">
        <v>(A) V.A.2.6</v>
      </c>
      <c r="B116" t="str">
        <v>- Balok CL24-1</v>
      </c>
      <c r="C116" t="str">
        <v>Breakdown (A) V.A.2.6</v>
      </c>
      <c r="D116">
        <v>0.1458</v>
      </c>
      <c r="E116">
        <v>14</v>
      </c>
      <c r="F116" t="str">
        <v>✓</v>
      </c>
      <c r="G116">
        <v>-192221.62964368006</v>
      </c>
      <c r="H116" t="str">
        <v/>
      </c>
    </row>
    <row r="117">
      <c r="A117" t="str">
        <v>(A) V.A.2.7</v>
      </c>
      <c r="B117" t="str">
        <v>- Balok B245-1</v>
      </c>
      <c r="C117" t="str">
        <v>Breakdown (A) V.A.2.7</v>
      </c>
      <c r="D117">
        <v>3.09731</v>
      </c>
      <c r="E117">
        <v>14</v>
      </c>
      <c r="F117" t="str">
        <v>✓</v>
      </c>
      <c r="G117">
        <v>-3442014.133805182</v>
      </c>
      <c r="H117" t="str">
        <v/>
      </c>
    </row>
    <row r="118">
      <c r="A118" t="str">
        <v>(A) V.A.2.8</v>
      </c>
      <c r="B118" t="str">
        <v>- Balok B245-3</v>
      </c>
      <c r="C118" t="str">
        <v>Breakdown (A) V.A.2.8</v>
      </c>
      <c r="D118">
        <v>0.6488</v>
      </c>
      <c r="E118">
        <v>14</v>
      </c>
      <c r="F118" t="str">
        <v>✓</v>
      </c>
      <c r="G118">
        <v>-839907.7109033028</v>
      </c>
      <c r="H118" t="str">
        <v/>
      </c>
    </row>
    <row r="119">
      <c r="A119" t="str">
        <v>(A) V.A.2.9</v>
      </c>
      <c r="B119" t="str">
        <v>- Balok B245-4</v>
      </c>
      <c r="C119" t="str">
        <v>Breakdown (A) V.A.2.9</v>
      </c>
      <c r="D119">
        <v>1.03574</v>
      </c>
      <c r="E119">
        <v>14</v>
      </c>
      <c r="F119" t="str">
        <v>✓</v>
      </c>
      <c r="G119">
        <v>-1347998.5530775879</v>
      </c>
      <c r="H119" t="str">
        <v/>
      </c>
    </row>
    <row r="120">
      <c r="A120" t="str">
        <v>(A) V.A.2.10</v>
      </c>
      <c r="B120" t="str">
        <v>- Balok B245-6</v>
      </c>
      <c r="C120" t="str">
        <v>Breakdown (A) V.A.2.10</v>
      </c>
      <c r="D120">
        <v>0.6592</v>
      </c>
      <c r="E120">
        <v>14</v>
      </c>
      <c r="F120" t="str">
        <v>✓</v>
      </c>
      <c r="G120">
        <v>-887298.6366055729</v>
      </c>
      <c r="H120" t="str">
        <v/>
      </c>
    </row>
    <row r="121">
      <c r="A121" t="str">
        <v>(A) V.A.2.11</v>
      </c>
      <c r="B121" t="str">
        <v>- Balok B245-7</v>
      </c>
      <c r="C121" t="str">
        <v>Breakdown (A) V.A.2.11</v>
      </c>
      <c r="D121">
        <v>0.6528</v>
      </c>
      <c r="E121">
        <v>14</v>
      </c>
      <c r="F121" t="str">
        <v>✓</v>
      </c>
      <c r="G121">
        <v>-929731.7373773279</v>
      </c>
      <c r="H121" t="str">
        <v/>
      </c>
    </row>
    <row r="122">
      <c r="A122" t="str">
        <v>(A) V.A.2.12</v>
      </c>
      <c r="B122" t="str">
        <v>- Balok B25-1</v>
      </c>
      <c r="C122" t="str">
        <v>Breakdown (A) V.A.2.12</v>
      </c>
      <c r="D122">
        <v>0.7992</v>
      </c>
      <c r="E122">
        <v>14</v>
      </c>
      <c r="F122" t="str">
        <v>✓</v>
      </c>
      <c r="G122">
        <v>-1007025.5720990347</v>
      </c>
      <c r="H122" t="str">
        <v/>
      </c>
    </row>
    <row r="123">
      <c r="A123" t="str">
        <v>(A) V.A.2.13</v>
      </c>
      <c r="B123" t="str">
        <v>- Balok B25-2</v>
      </c>
      <c r="C123" t="str">
        <v>Breakdown (A) V.A.2.13</v>
      </c>
      <c r="D123">
        <v>0.962</v>
      </c>
      <c r="E123">
        <v>14</v>
      </c>
      <c r="F123" t="str">
        <v>✓</v>
      </c>
      <c r="G123">
        <v>-1308440.702323379</v>
      </c>
      <c r="H123" t="str">
        <v/>
      </c>
    </row>
    <row r="124">
      <c r="A124" t="str">
        <v>(A) V.A.2.14</v>
      </c>
      <c r="B124" t="str">
        <v>- Balok B26-1</v>
      </c>
      <c r="C124" t="str">
        <v>Breakdown (A) V.A.2.14</v>
      </c>
      <c r="D124">
        <v>2.8388</v>
      </c>
      <c r="E124">
        <v>14</v>
      </c>
      <c r="F124" t="str">
        <v>✓</v>
      </c>
      <c r="G124">
        <v>-3560526.462982781</v>
      </c>
      <c r="H124" t="str">
        <v/>
      </c>
    </row>
    <row r="125">
      <c r="A125" t="str">
        <v>(A) V.A.2.15</v>
      </c>
      <c r="B125" t="str">
        <v>- Balok B26-2</v>
      </c>
      <c r="C125" t="str">
        <v>Breakdown (A) V.A.2.15</v>
      </c>
      <c r="D125">
        <v>0.7661</v>
      </c>
      <c r="E125">
        <v>14</v>
      </c>
      <c r="F125" t="str">
        <v>✓</v>
      </c>
      <c r="G125">
        <v>-989753.2500601998</v>
      </c>
      <c r="H125" t="str">
        <v/>
      </c>
    </row>
    <row r="126">
      <c r="A126" t="str">
        <v>(A) V.A.2.16</v>
      </c>
      <c r="B126" t="str">
        <v>- Balok B26-3</v>
      </c>
      <c r="C126" t="str">
        <v>Breakdown (A) V.A.2.16</v>
      </c>
      <c r="D126">
        <v>0.40185</v>
      </c>
      <c r="E126">
        <v>14</v>
      </c>
      <c r="F126" t="str">
        <v>✓</v>
      </c>
      <c r="G126">
        <v>-526076.4085185579</v>
      </c>
      <c r="H126" t="str">
        <v/>
      </c>
    </row>
    <row r="127">
      <c r="A127" t="str">
        <v>(A) V.A.2.17</v>
      </c>
      <c r="B127" t="str">
        <v>- Balok B26-4</v>
      </c>
      <c r="C127" t="str">
        <v>Breakdown (A) V.A.2.17</v>
      </c>
      <c r="D127">
        <v>0.25615</v>
      </c>
      <c r="E127">
        <v>14</v>
      </c>
      <c r="F127" t="str">
        <v>✓</v>
      </c>
      <c r="G127">
        <v>-409696.16745682014</v>
      </c>
      <c r="H127" t="str">
        <v/>
      </c>
    </row>
    <row r="128">
      <c r="A128" t="str">
        <v>(A) V.A.2.18</v>
      </c>
      <c r="B128" t="str">
        <v>- Balok B26-5</v>
      </c>
      <c r="C128" t="str">
        <v>Breakdown (A) V.A.2.18</v>
      </c>
      <c r="D128">
        <v>0.9494</v>
      </c>
      <c r="E128">
        <v>14</v>
      </c>
      <c r="F128" t="str">
        <v>✓</v>
      </c>
      <c r="G128">
        <v>-1419584.6619157884</v>
      </c>
      <c r="H128" t="str">
        <v/>
      </c>
    </row>
    <row r="129">
      <c r="A129" t="str">
        <v>(A) V.A.2.19</v>
      </c>
      <c r="B129" t="str">
        <v>- Balok CL26-1</v>
      </c>
      <c r="C129" t="str">
        <v>Breakdown (A) V.A.2.19</v>
      </c>
      <c r="D129">
        <v>0.4982</v>
      </c>
      <c r="E129">
        <v>14</v>
      </c>
      <c r="F129" t="str">
        <v>✓</v>
      </c>
      <c r="G129">
        <v>-633934.9058894096</v>
      </c>
      <c r="H129" t="str">
        <v/>
      </c>
    </row>
    <row r="130">
      <c r="A130" t="str">
        <v>(A) V.A.2.20</v>
      </c>
      <c r="B130" t="str">
        <v>- Balok B257-1</v>
      </c>
      <c r="C130" t="str">
        <v>Breakdown (A) V.A.2.20</v>
      </c>
      <c r="D130">
        <v>0.7125</v>
      </c>
      <c r="E130">
        <v>14</v>
      </c>
      <c r="F130" t="str">
        <v>✓</v>
      </c>
      <c r="G130">
        <v>-742125.3554925779</v>
      </c>
      <c r="H130" t="str">
        <v/>
      </c>
    </row>
    <row r="131">
      <c r="A131" t="str">
        <v>(A) V.A.2.21</v>
      </c>
      <c r="B131" t="str">
        <v>- Balok B257-2</v>
      </c>
      <c r="C131" t="str">
        <v>Breakdown (A) V.A.2.21</v>
      </c>
      <c r="D131">
        <v>1.5675</v>
      </c>
      <c r="E131">
        <v>14</v>
      </c>
      <c r="F131" t="str">
        <v>✓</v>
      </c>
      <c r="G131">
        <v>-1888651.5258104838</v>
      </c>
      <c r="H131" t="str">
        <v/>
      </c>
    </row>
    <row r="132">
      <c r="A132" t="str">
        <v>(A) V.A.2.22</v>
      </c>
      <c r="B132" t="str">
        <v>- Balok B36-1</v>
      </c>
      <c r="C132" t="str">
        <v>Breakdown (A) V.A.2.22</v>
      </c>
      <c r="D132">
        <v>1.3888500000000001</v>
      </c>
      <c r="E132">
        <v>14</v>
      </c>
      <c r="F132" t="str">
        <v>✓</v>
      </c>
      <c r="G132">
        <v>-1544626.0576911196</v>
      </c>
      <c r="H132" t="str">
        <v/>
      </c>
    </row>
    <row r="133">
      <c r="A133" t="str">
        <v>(A) V.A.2.23</v>
      </c>
      <c r="B133" t="str">
        <v>- Balok B36-2</v>
      </c>
      <c r="C133" t="str">
        <v>Breakdown (A) V.A.2.23</v>
      </c>
      <c r="D133">
        <v>0.540735</v>
      </c>
      <c r="E133">
        <v>14</v>
      </c>
      <c r="F133" t="str">
        <v>✓</v>
      </c>
      <c r="G133">
        <v>-636859.0322136795</v>
      </c>
      <c r="H133" t="str">
        <v/>
      </c>
    </row>
    <row r="134">
      <c r="A134" t="str">
        <v>(A) V.A.2.24</v>
      </c>
      <c r="B134" t="str">
        <v>- Balok B36-3</v>
      </c>
      <c r="C134" t="str">
        <v>Breakdown (A) V.A.2.24</v>
      </c>
      <c r="D134">
        <v>1.9880999999999998</v>
      </c>
      <c r="E134">
        <v>14</v>
      </c>
      <c r="F134" t="str">
        <v>✓</v>
      </c>
      <c r="G134">
        <v>-2457045.613205012</v>
      </c>
      <c r="H134" t="str">
        <v/>
      </c>
    </row>
    <row r="135">
      <c r="A135" t="str">
        <v>(A) V.A.2.25</v>
      </c>
      <c r="B135" t="str">
        <v>- Balok B47-1</v>
      </c>
      <c r="C135" t="str">
        <v>Breakdown (A) V.A.2.25</v>
      </c>
      <c r="D135">
        <v>1.368</v>
      </c>
      <c r="E135">
        <v>15</v>
      </c>
      <c r="F135" t="str">
        <v>✓</v>
      </c>
      <c r="G135">
        <v>-1374219.242273165</v>
      </c>
      <c r="H135" t="str">
        <v/>
      </c>
    </row>
    <row r="136">
      <c r="A136" t="str">
        <v>(A) V.A.2.26</v>
      </c>
      <c r="B136" t="str">
        <v>- Balok B475-1</v>
      </c>
      <c r="C136" t="str">
        <v>Breakdown (A) V.A.2.26</v>
      </c>
      <c r="D136">
        <v>1.736</v>
      </c>
      <c r="E136">
        <v>15</v>
      </c>
      <c r="F136" t="str">
        <v>✓</v>
      </c>
      <c r="G136">
        <v>-1650883.9598895963</v>
      </c>
      <c r="H136" t="str">
        <v/>
      </c>
    </row>
    <row r="137">
      <c r="A137" t="str">
        <v>(A) V.A.2.27</v>
      </c>
      <c r="B137" t="str">
        <v>- Balok B78-1</v>
      </c>
      <c r="C137" t="str">
        <v>Breakdown (A) V.A.2.27</v>
      </c>
      <c r="D137">
        <v>4.1272</v>
      </c>
      <c r="E137">
        <v>15</v>
      </c>
      <c r="F137" t="str">
        <v>✓</v>
      </c>
      <c r="G137">
        <v>-3452747.9906847626</v>
      </c>
      <c r="H137" t="str">
        <v/>
      </c>
    </row>
    <row r="138">
      <c r="A138" t="str">
        <v>(A) V.A.2.28</v>
      </c>
      <c r="B138" t="str">
        <v>- Balok B1745-1</v>
      </c>
      <c r="C138" t="str">
        <v>Breakdown (A) V.A.2.28</v>
      </c>
      <c r="D138">
        <v>0.60163</v>
      </c>
      <c r="E138">
        <v>14</v>
      </c>
      <c r="F138" t="str">
        <v>✓</v>
      </c>
      <c r="G138">
        <v>-756739.8506452199</v>
      </c>
      <c r="H138" t="str">
        <v/>
      </c>
    </row>
    <row r="139">
      <c r="A139" t="str">
        <v>(A) V.A.2.29</v>
      </c>
      <c r="B139" t="str">
        <v>- Balok B26-6</v>
      </c>
      <c r="C139" t="str">
        <v>Breakdown (A) V.A.2.29</v>
      </c>
      <c r="D139">
        <v>0.5760000000000001</v>
      </c>
      <c r="E139">
        <v>14</v>
      </c>
      <c r="F139" t="str">
        <v>✓</v>
      </c>
      <c r="G139">
        <v>-700688.5614938</v>
      </c>
      <c r="H139" t="str">
        <v/>
      </c>
    </row>
    <row r="140">
      <c r="A140" t="str">
        <v>(A) V.A.2.30</v>
      </c>
      <c r="B140" t="str">
        <v>- Balok Potongan F</v>
      </c>
      <c r="C140" t="str">
        <v>Breakdown (A) V.A.2.30</v>
      </c>
      <c r="D140">
        <v>0.0704</v>
      </c>
      <c r="E140">
        <v>14</v>
      </c>
      <c r="F140" t="str">
        <v>✓</v>
      </c>
      <c r="G140">
        <v>-112981.74296880153</v>
      </c>
      <c r="H140" t="str">
        <v/>
      </c>
    </row>
    <row r="141">
      <c r="A141" t="str">
        <v>(A) V.A.2.31</v>
      </c>
      <c r="B141" t="str">
        <v>- Balok Potongan G</v>
      </c>
      <c r="C141" t="str">
        <v>Breakdown (A) V.A.2.31</v>
      </c>
      <c r="D141">
        <v>0.282</v>
      </c>
      <c r="E141">
        <v>14</v>
      </c>
      <c r="F141" t="str">
        <v>✓</v>
      </c>
      <c r="G141">
        <v>-396711.88336968515</v>
      </c>
      <c r="H141" t="str">
        <v/>
      </c>
    </row>
    <row r="142">
      <c r="A142" t="str">
        <v>(A) V.A.2.32</v>
      </c>
      <c r="B142" t="str">
        <v>- Balok Potongan H</v>
      </c>
      <c r="C142" t="str">
        <v>Breakdown (A) V.A.2.32</v>
      </c>
      <c r="D142">
        <v>0.64722</v>
      </c>
      <c r="E142">
        <v>15</v>
      </c>
      <c r="F142" t="str">
        <v>✓</v>
      </c>
      <c r="G142">
        <v>-647838.4857274657</v>
      </c>
      <c r="H142" t="str">
        <v/>
      </c>
    </row>
    <row r="143">
      <c r="A143" t="str">
        <v>(A) V.A.2.33</v>
      </c>
      <c r="B143" t="str">
        <v>- Balok Potongan N</v>
      </c>
      <c r="C143" t="str">
        <v>Breakdown (A) V.A.2.33</v>
      </c>
      <c r="D143">
        <v>0.36</v>
      </c>
      <c r="E143">
        <v>14</v>
      </c>
      <c r="F143" t="str">
        <v>✓</v>
      </c>
      <c r="G143">
        <v>-492026.7584598721</v>
      </c>
      <c r="H143" t="str">
        <v/>
      </c>
    </row>
    <row r="144">
      <c r="A144" t="str">
        <v>(A) V.A.4.1</v>
      </c>
      <c r="B144" t="str">
        <v>- Kolom K174-1</v>
      </c>
      <c r="C144" t="str">
        <v>Breakdown (A) V.A.4.1</v>
      </c>
      <c r="D144">
        <v>0.9179999999999999</v>
      </c>
      <c r="E144">
        <v>13</v>
      </c>
      <c r="F144" t="str">
        <v>✓</v>
      </c>
      <c r="G144">
        <v>-1259578.3130033053</v>
      </c>
      <c r="H144" t="str">
        <v/>
      </c>
    </row>
    <row r="145">
      <c r="A145" t="str">
        <v>(A) V.A.4.2</v>
      </c>
      <c r="B145" t="str">
        <v>- Kolom K175-1</v>
      </c>
      <c r="C145" t="str">
        <v>Breakdown (A) V.A.4.2</v>
      </c>
      <c r="D145">
        <v>1.9125</v>
      </c>
      <c r="E145">
        <v>13</v>
      </c>
      <c r="F145" t="str">
        <v>✓</v>
      </c>
      <c r="G145">
        <v>-2537303.0140134916</v>
      </c>
      <c r="H145" t="str">
        <v/>
      </c>
    </row>
    <row r="146">
      <c r="A146" t="str">
        <v>(A) V.A.4.3</v>
      </c>
      <c r="B146" t="str">
        <v>- Kolom K175-2</v>
      </c>
      <c r="C146" t="str">
        <v>Breakdown (A) V.A.4.3</v>
      </c>
      <c r="D146">
        <v>1.9125</v>
      </c>
      <c r="E146">
        <v>13</v>
      </c>
      <c r="F146" t="str">
        <v>✓</v>
      </c>
      <c r="G146">
        <v>-2696679.671690032</v>
      </c>
      <c r="H146" t="str">
        <v/>
      </c>
    </row>
    <row r="147">
      <c r="A147" t="str">
        <v>(A) V.A.4.4</v>
      </c>
      <c r="B147" t="str">
        <v>- Kolom K175-3</v>
      </c>
      <c r="C147" t="str">
        <v>Breakdown (A) V.A.4.4</v>
      </c>
      <c r="D147">
        <v>0.3825</v>
      </c>
      <c r="E147">
        <v>14</v>
      </c>
      <c r="F147" t="str">
        <v>✓</v>
      </c>
      <c r="G147">
        <v>-585690.3929124749</v>
      </c>
      <c r="H147" t="str">
        <v/>
      </c>
    </row>
    <row r="148">
      <c r="A148" t="str">
        <v>(A) V.A.4.5</v>
      </c>
      <c r="B148" t="str">
        <v>- Kolom K175-4</v>
      </c>
      <c r="C148" t="str">
        <v>Breakdown (A) V.A.4.5</v>
      </c>
      <c r="D148">
        <v>0.765</v>
      </c>
      <c r="E148">
        <v>14</v>
      </c>
      <c r="F148" t="str">
        <v>✓</v>
      </c>
      <c r="G148">
        <v>-1234566.2129429933</v>
      </c>
      <c r="H148" t="str">
        <v/>
      </c>
    </row>
    <row r="149">
      <c r="A149" t="str">
        <v>(A) V.A.4.6</v>
      </c>
      <c r="B149" t="str">
        <v>- Kolom K176-1</v>
      </c>
      <c r="C149" t="str">
        <v>Breakdown (A) V.A.4.6</v>
      </c>
      <c r="D149">
        <v>1.836</v>
      </c>
      <c r="E149">
        <v>13</v>
      </c>
      <c r="F149" t="str">
        <v>✓</v>
      </c>
      <c r="G149">
        <v>-2522070.9079234935</v>
      </c>
      <c r="H149" t="str">
        <v/>
      </c>
    </row>
    <row r="150">
      <c r="A150" t="str">
        <v>(A) V.A.4.7</v>
      </c>
      <c r="B150" t="str">
        <v>- Kolom K176-4</v>
      </c>
      <c r="C150" t="str">
        <v>Breakdown (A) V.A.4.7</v>
      </c>
      <c r="D150">
        <v>0.459</v>
      </c>
      <c r="E150">
        <v>14</v>
      </c>
      <c r="F150" t="str">
        <v>✓</v>
      </c>
      <c r="G150">
        <v>-682594.9074373757</v>
      </c>
      <c r="H150" t="str">
        <v/>
      </c>
    </row>
    <row r="151">
      <c r="A151" t="str">
        <v>(A) V.A.4.8</v>
      </c>
      <c r="B151" t="str">
        <v>- Kolom K177-1</v>
      </c>
      <c r="C151" t="str">
        <v>Breakdown (A) V.A.4.8</v>
      </c>
      <c r="D151">
        <v>1.071</v>
      </c>
      <c r="E151">
        <v>13</v>
      </c>
      <c r="F151" t="str">
        <v>✓</v>
      </c>
      <c r="G151">
        <v>-1551410.974276742</v>
      </c>
      <c r="H151" t="str">
        <v/>
      </c>
    </row>
    <row r="152">
      <c r="A152" t="str">
        <v>(A) V.A.4.9</v>
      </c>
      <c r="B152" t="str">
        <v>- Kolom K177-2</v>
      </c>
      <c r="C152" t="str">
        <v>Breakdown (A) V.A.4.9</v>
      </c>
      <c r="D152">
        <v>0.5355</v>
      </c>
      <c r="E152">
        <v>13</v>
      </c>
      <c r="F152" t="str">
        <v>✓</v>
      </c>
      <c r="G152">
        <v>-818039.7170751886</v>
      </c>
      <c r="H152" t="str">
        <v/>
      </c>
    </row>
    <row r="153">
      <c r="A153" t="str">
        <v>(A) V.A.4.10</v>
      </c>
      <c r="B153" t="str">
        <v>- Kolom K178-1</v>
      </c>
      <c r="C153" t="str">
        <v>Breakdown (A) V.A.4.10</v>
      </c>
      <c r="D153">
        <v>2.448</v>
      </c>
      <c r="E153">
        <v>13</v>
      </c>
      <c r="F153" t="str">
        <v>✓</v>
      </c>
      <c r="G153">
        <v>-3057100.285289526</v>
      </c>
      <c r="H153" t="str">
        <v/>
      </c>
    </row>
    <row r="154">
      <c r="A154" t="str">
        <v>(A) V.A.4.11</v>
      </c>
      <c r="B154" t="str">
        <v>- Kolom K178-2</v>
      </c>
      <c r="C154" t="str">
        <v>Breakdown (A) V.A.4.11</v>
      </c>
      <c r="D154">
        <v>0.612</v>
      </c>
      <c r="E154">
        <v>13</v>
      </c>
      <c r="F154" t="str">
        <v>✓</v>
      </c>
      <c r="G154">
        <v>-934423.7056084666</v>
      </c>
      <c r="H154" t="str">
        <v/>
      </c>
    </row>
    <row r="155">
      <c r="A155" t="str">
        <v>(A) V.A.4.12</v>
      </c>
      <c r="B155" t="str">
        <v>- Kolom K278-1</v>
      </c>
      <c r="C155" t="str">
        <v>Breakdown (A) V.A.4.12</v>
      </c>
      <c r="D155">
        <v>0.972</v>
      </c>
      <c r="E155">
        <v>14</v>
      </c>
      <c r="F155" t="str">
        <v>✓</v>
      </c>
      <c r="G155">
        <v>-1135406.7907525422</v>
      </c>
      <c r="H155" t="str">
        <v/>
      </c>
    </row>
    <row r="156">
      <c r="A156" t="str">
        <v>(A) V.A.4.13</v>
      </c>
      <c r="B156" t="str">
        <v>- Kolom K36-1</v>
      </c>
      <c r="C156" t="str">
        <v>Breakdown (A) V.A.4.13</v>
      </c>
      <c r="D156">
        <v>0.81</v>
      </c>
      <c r="E156">
        <v>13</v>
      </c>
      <c r="F156" t="str">
        <v>✓</v>
      </c>
      <c r="G156">
        <v>-1177805.9387602434</v>
      </c>
      <c r="H156" t="str">
        <v/>
      </c>
    </row>
    <row r="157">
      <c r="A157" t="str">
        <v>(A) V.A.4.14</v>
      </c>
      <c r="B157" t="str">
        <v>- Kolom KL175-1</v>
      </c>
      <c r="C157" t="str">
        <v>Breakdown (A) V.A.4.14</v>
      </c>
      <c r="D157">
        <v>0.63495</v>
      </c>
      <c r="E157">
        <v>13</v>
      </c>
      <c r="F157" t="str">
        <v>✓</v>
      </c>
      <c r="G157">
        <v>-850610.788844184</v>
      </c>
      <c r="H157" t="str">
        <v/>
      </c>
    </row>
    <row r="158">
      <c r="A158" t="str">
        <v>(A) V.A.4.15</v>
      </c>
      <c r="B158" t="str">
        <v>- Kolom KL175-2</v>
      </c>
      <c r="C158" t="str">
        <v>Breakdown (A) V.A.4.15</v>
      </c>
      <c r="D158">
        <v>0.63495</v>
      </c>
      <c r="E158">
        <v>14</v>
      </c>
      <c r="F158" t="str">
        <v>✓</v>
      </c>
      <c r="G158">
        <v>-880474.8258240661</v>
      </c>
      <c r="H158" t="str">
        <v/>
      </c>
    </row>
    <row r="159">
      <c r="A159" t="str">
        <v>(A) V.A.4.16</v>
      </c>
      <c r="B159" t="str">
        <v>- Kolom KL175-3</v>
      </c>
      <c r="C159" t="str">
        <v>Breakdown (A) V.A.4.16</v>
      </c>
      <c r="D159">
        <v>0.63495</v>
      </c>
      <c r="E159">
        <v>13</v>
      </c>
      <c r="F159" t="str">
        <v>✓</v>
      </c>
      <c r="G159">
        <v>-1012007.0144178718</v>
      </c>
      <c r="H159" t="str">
        <v/>
      </c>
    </row>
    <row r="160">
      <c r="A160" t="str">
        <v>(A) V.B.2</v>
      </c>
      <c r="B160" t="str">
        <v>Dinding lift Lantai 2</v>
      </c>
      <c r="C160" t="str">
        <v>Breakdown (A) V.B.2</v>
      </c>
      <c r="D160">
        <v>4.98015</v>
      </c>
      <c r="E160">
        <v>5</v>
      </c>
      <c r="F160" t="str">
        <v>✓</v>
      </c>
      <c r="G160">
        <v>-4064322.6150546633</v>
      </c>
      <c r="H160" t="str">
        <v/>
      </c>
    </row>
    <row r="161">
      <c r="A161" t="str">
        <v>(A) VI.A.1.1</v>
      </c>
      <c r="B161" t="str">
        <v>- Plat lantai - tebal 13 cm, besi D10-200 (2 lapis)</v>
      </c>
      <c r="C161" t="str">
        <v>Breakdown (A) VI.A.1.1</v>
      </c>
      <c r="D161">
        <v>24.9366</v>
      </c>
      <c r="E161">
        <v>6</v>
      </c>
      <c r="F161" t="str">
        <v>✓</v>
      </c>
      <c r="G161">
        <v>-16969143.001412824</v>
      </c>
      <c r="H161" t="str">
        <v/>
      </c>
    </row>
    <row r="162">
      <c r="A162" t="str">
        <v>(A) VI.A.1.2</v>
      </c>
      <c r="B162" t="str">
        <v>- Dak atap dan talang beton - tebal 15 cm, besi D10-200 (2 lapis)</v>
      </c>
      <c r="C162" t="str">
        <v>Breakdown (A) VI.A.1.2</v>
      </c>
      <c r="D162">
        <v>15.978</v>
      </c>
      <c r="E162">
        <v>6</v>
      </c>
      <c r="F162" t="str">
        <v>✓</v>
      </c>
      <c r="G162">
        <v>-10407995.199315175</v>
      </c>
      <c r="H162" t="str">
        <v/>
      </c>
    </row>
    <row r="163">
      <c r="A163" t="str">
        <v>(A) VI.A.2.1</v>
      </c>
      <c r="B163" t="str">
        <v>- Balok B173-1</v>
      </c>
      <c r="C163" t="str">
        <v>Breakdown (A) VI.A.2.1</v>
      </c>
      <c r="D163">
        <v>0.21947</v>
      </c>
      <c r="E163">
        <v>14</v>
      </c>
      <c r="F163" t="str">
        <v>✓</v>
      </c>
      <c r="G163">
        <v>-298639.76031920733</v>
      </c>
      <c r="H163" t="str">
        <v/>
      </c>
    </row>
    <row r="164">
      <c r="A164" t="str">
        <v>(A) VI.A.2.2</v>
      </c>
      <c r="B164" t="str">
        <v>- Balok B174-1</v>
      </c>
      <c r="C164" t="str">
        <v>Breakdown (A) VI.A.2.2</v>
      </c>
      <c r="D164">
        <v>0.4897615</v>
      </c>
      <c r="E164">
        <v>14</v>
      </c>
      <c r="F164" t="str">
        <v>✓</v>
      </c>
      <c r="G164">
        <v>-638712.2797181942</v>
      </c>
      <c r="H164" t="str">
        <v/>
      </c>
    </row>
    <row r="165">
      <c r="A165" t="str">
        <v>(A) VI.A.2.3</v>
      </c>
      <c r="B165" t="str">
        <v>- Balok B175-1</v>
      </c>
      <c r="C165" t="str">
        <v>Breakdown (A) VI.A.2.3</v>
      </c>
      <c r="D165">
        <v>1.5477649999999998</v>
      </c>
      <c r="E165">
        <v>14</v>
      </c>
      <c r="F165" t="str">
        <v>✓</v>
      </c>
      <c r="G165">
        <v>-1949049.3682247289</v>
      </c>
      <c r="H165" t="str">
        <v/>
      </c>
    </row>
    <row r="166">
      <c r="A166" t="str">
        <v>(A) VI.A.2.4</v>
      </c>
      <c r="B166" t="str">
        <v>- Balok B175-2</v>
      </c>
      <c r="C166" t="str">
        <v>Breakdown (A) VI.A.2.4</v>
      </c>
      <c r="D166">
        <v>0.3655</v>
      </c>
      <c r="E166">
        <v>14</v>
      </c>
      <c r="F166" t="str">
        <v>✓</v>
      </c>
      <c r="G166">
        <v>-468586.74037288455</v>
      </c>
      <c r="H166" t="str">
        <v/>
      </c>
    </row>
    <row r="167">
      <c r="A167" t="str">
        <v>(A) VI.A.2.5</v>
      </c>
      <c r="B167" t="str">
        <v>- Balok B23-1</v>
      </c>
      <c r="C167" t="str">
        <v>Breakdown (A) VI.A.2.5</v>
      </c>
      <c r="D167">
        <v>0.06</v>
      </c>
      <c r="E167">
        <v>14</v>
      </c>
      <c r="F167" t="str">
        <v>✓</v>
      </c>
      <c r="G167">
        <v>-91623.26900704019</v>
      </c>
      <c r="H167" t="str">
        <v/>
      </c>
    </row>
    <row r="168">
      <c r="A168" t="str">
        <v>(A) VI.A.2.6</v>
      </c>
      <c r="B168" t="str">
        <v>- Balok B23-2</v>
      </c>
      <c r="C168" t="str">
        <v>Breakdown (A) VI.A.2.6</v>
      </c>
      <c r="D168">
        <v>0.1122</v>
      </c>
      <c r="E168">
        <v>14</v>
      </c>
      <c r="F168" t="str">
        <v>✓</v>
      </c>
      <c r="G168">
        <v>-167294.5137392762</v>
      </c>
      <c r="H168" t="str">
        <v/>
      </c>
    </row>
    <row r="169">
      <c r="A169" t="str">
        <v>(A) VI.A.2.7</v>
      </c>
      <c r="B169" t="str">
        <v>- Balok B24-1</v>
      </c>
      <c r="C169" t="str">
        <v>Breakdown (A) VI.A.2.7</v>
      </c>
      <c r="D169">
        <v>0.59519</v>
      </c>
      <c r="E169">
        <v>14</v>
      </c>
      <c r="F169" t="str">
        <v>✓</v>
      </c>
      <c r="G169">
        <v>-700627.8203736916</v>
      </c>
      <c r="H169" t="str">
        <v/>
      </c>
    </row>
    <row r="170">
      <c r="A170" t="str">
        <v>(A) VI.A.2.8</v>
      </c>
      <c r="B170" t="str">
        <v>- Balok B24-3</v>
      </c>
      <c r="C170" t="str">
        <v>Breakdown (A) VI.A.2.8</v>
      </c>
      <c r="D170">
        <v>0.32</v>
      </c>
      <c r="E170">
        <v>14</v>
      </c>
      <c r="F170" t="str">
        <v>✓</v>
      </c>
      <c r="G170">
        <v>-470605.5086302757</v>
      </c>
      <c r="H170" t="str">
        <v/>
      </c>
    </row>
    <row r="171">
      <c r="A171" t="str">
        <v>(A) VI.A.2.9</v>
      </c>
      <c r="B171" t="str">
        <v>- Balok B24-4</v>
      </c>
      <c r="C171" t="str">
        <v>Breakdown (A) VI.A.2.9</v>
      </c>
      <c r="D171">
        <v>0.43500000000000005</v>
      </c>
      <c r="E171">
        <v>14</v>
      </c>
      <c r="F171" t="str">
        <v>✓</v>
      </c>
      <c r="G171">
        <v>-641335.2908848599</v>
      </c>
      <c r="H171" t="str">
        <v/>
      </c>
    </row>
    <row r="172">
      <c r="A172" t="str">
        <v>(A) VI.A.2.10</v>
      </c>
      <c r="B172" t="str">
        <v>- Balok B24-6</v>
      </c>
      <c r="C172" t="str">
        <v>Breakdown (A) VI.A.2.10</v>
      </c>
      <c r="D172">
        <v>0.1</v>
      </c>
      <c r="E172">
        <v>14</v>
      </c>
      <c r="F172" t="str">
        <v>✓</v>
      </c>
      <c r="G172">
        <v>-162911.5757436247</v>
      </c>
      <c r="H172" t="str">
        <v/>
      </c>
    </row>
    <row r="173">
      <c r="A173" t="str">
        <v>(A) VI.A.2.11</v>
      </c>
      <c r="B173" t="str">
        <v>- Balok B245-1</v>
      </c>
      <c r="C173" t="str">
        <v>Breakdown (A) VI.A.2.11</v>
      </c>
      <c r="D173">
        <v>0.9189</v>
      </c>
      <c r="E173">
        <v>14</v>
      </c>
      <c r="F173" t="str">
        <v>✓</v>
      </c>
      <c r="G173">
        <v>-1101371.431543517</v>
      </c>
      <c r="H173" t="str">
        <v/>
      </c>
    </row>
    <row r="174">
      <c r="A174" t="str">
        <v>(A) VI.A.2.12</v>
      </c>
      <c r="B174" t="str">
        <v>- Balok B245-2</v>
      </c>
      <c r="C174" t="str">
        <v>Breakdown (A) VI.A.2.12</v>
      </c>
      <c r="D174">
        <v>0.372</v>
      </c>
      <c r="E174">
        <v>14</v>
      </c>
      <c r="F174" t="str">
        <v>✓</v>
      </c>
      <c r="G174">
        <v>-467812.25057883654</v>
      </c>
      <c r="H174" t="str">
        <v/>
      </c>
    </row>
    <row r="175">
      <c r="A175" t="str">
        <v>(A) VI.A.2.13</v>
      </c>
      <c r="B175" t="str">
        <v>- Balok B245-3</v>
      </c>
      <c r="C175" t="str">
        <v>Breakdown (A) VI.A.2.13</v>
      </c>
      <c r="D175">
        <v>0.368</v>
      </c>
      <c r="E175">
        <v>14</v>
      </c>
      <c r="F175" t="str">
        <v>✓</v>
      </c>
      <c r="G175">
        <v>-515660.73804981215</v>
      </c>
      <c r="H175" t="str">
        <v/>
      </c>
    </row>
    <row r="176">
      <c r="A176" t="str">
        <v>(A) VI.A.2.14</v>
      </c>
      <c r="B176" t="str">
        <v>- Balok B245-4</v>
      </c>
      <c r="C176" t="str">
        <v>Breakdown (A) VI.A.2.14</v>
      </c>
      <c r="D176">
        <v>1.8518000000000001</v>
      </c>
      <c r="E176">
        <v>14</v>
      </c>
      <c r="F176" t="str">
        <v>✓</v>
      </c>
      <c r="G176">
        <v>-2450672.8933370113</v>
      </c>
      <c r="H176" t="str">
        <v/>
      </c>
    </row>
    <row r="177">
      <c r="A177" t="str">
        <v>(A) VI.A.2.15</v>
      </c>
      <c r="B177" t="str">
        <v>- Balok B245-5</v>
      </c>
      <c r="C177" t="str">
        <v>Breakdown (A) VI.A.2.15</v>
      </c>
      <c r="D177">
        <v>0.318</v>
      </c>
      <c r="E177">
        <v>14</v>
      </c>
      <c r="F177" t="str">
        <v>✓</v>
      </c>
      <c r="G177">
        <v>-471921.6207787418</v>
      </c>
      <c r="H177" t="str">
        <v/>
      </c>
    </row>
    <row r="178">
      <c r="A178" t="str">
        <v>(A) VI.A.2.16</v>
      </c>
      <c r="B178" t="str">
        <v>- Balok B25-1</v>
      </c>
      <c r="C178" t="str">
        <v>Breakdown (A) VI.A.2.16</v>
      </c>
      <c r="D178">
        <v>0.4144</v>
      </c>
      <c r="E178">
        <v>14</v>
      </c>
      <c r="F178" t="str">
        <v>✓</v>
      </c>
      <c r="G178">
        <v>-529172.5671441769</v>
      </c>
      <c r="H178" t="str">
        <v/>
      </c>
    </row>
    <row r="179">
      <c r="A179" t="str">
        <v>(A) VI.A.2.17</v>
      </c>
      <c r="B179" t="str">
        <v>- Balok B25-2</v>
      </c>
      <c r="C179" t="str">
        <v>Breakdown (A) VI.A.2.17</v>
      </c>
      <c r="D179">
        <v>2.7731000000000003</v>
      </c>
      <c r="E179">
        <v>14</v>
      </c>
      <c r="F179" t="str">
        <v>✓</v>
      </c>
      <c r="G179">
        <v>-3786999.05849028</v>
      </c>
      <c r="H179" t="str">
        <v/>
      </c>
    </row>
    <row r="180">
      <c r="A180" t="str">
        <v>(A) VI.A.2.18</v>
      </c>
      <c r="B180" t="str">
        <v>- Balok B25-3</v>
      </c>
      <c r="C180" t="str">
        <v>Breakdown (A) VI.A.2.18</v>
      </c>
      <c r="D180">
        <v>2.85418</v>
      </c>
      <c r="E180">
        <v>14</v>
      </c>
      <c r="F180" t="str">
        <v>✓</v>
      </c>
      <c r="G180">
        <v>-3982819.2673618086</v>
      </c>
      <c r="H180" t="str">
        <v/>
      </c>
    </row>
    <row r="181">
      <c r="A181" t="str">
        <v>(A) VI.A.2.19</v>
      </c>
      <c r="B181" t="str">
        <v>- Balok B25-4</v>
      </c>
      <c r="C181" t="str">
        <v>Breakdown (A) VI.A.2.19</v>
      </c>
      <c r="D181">
        <v>0.6031</v>
      </c>
      <c r="E181">
        <v>14</v>
      </c>
      <c r="F181" t="str">
        <v>✓</v>
      </c>
      <c r="G181">
        <v>-869670.2421884667</v>
      </c>
      <c r="H181" t="str">
        <v/>
      </c>
    </row>
    <row r="182">
      <c r="A182" t="str">
        <v>(A) VI.A.2.20</v>
      </c>
      <c r="B182" t="str">
        <v>- Balok B25-5</v>
      </c>
      <c r="C182" t="str">
        <v>Breakdown (A) VI.A.2.20</v>
      </c>
      <c r="D182">
        <v>1.3374000000000001</v>
      </c>
      <c r="E182">
        <v>14</v>
      </c>
      <c r="F182" t="str">
        <v>✓</v>
      </c>
      <c r="G182">
        <v>-2025706.4853775483</v>
      </c>
      <c r="H182" t="str">
        <v/>
      </c>
    </row>
    <row r="183">
      <c r="A183" t="str">
        <v>(A) VI.A.2.21</v>
      </c>
      <c r="B183" t="str">
        <v>- Balok B26-4</v>
      </c>
      <c r="C183" t="str">
        <v>Breakdown (A) VI.A.2.21</v>
      </c>
      <c r="D183">
        <v>0.2726</v>
      </c>
      <c r="E183">
        <v>14</v>
      </c>
      <c r="F183" t="str">
        <v>✓</v>
      </c>
      <c r="G183">
        <v>-432061.5689697382</v>
      </c>
      <c r="H183" t="str">
        <v/>
      </c>
    </row>
    <row r="184">
      <c r="A184" t="str">
        <v>(A) VI.A.2.22</v>
      </c>
      <c r="B184" t="str">
        <v>- Balok CL26-1</v>
      </c>
      <c r="C184" t="str">
        <v>Breakdown (A) VI.A.2.22</v>
      </c>
      <c r="D184">
        <v>0.09729</v>
      </c>
      <c r="E184">
        <v>14</v>
      </c>
      <c r="F184" t="str">
        <v>✓</v>
      </c>
      <c r="G184">
        <v>-131013.86672403396</v>
      </c>
      <c r="H184" t="str">
        <v/>
      </c>
    </row>
    <row r="185">
      <c r="A185" t="str">
        <v>(A) VI.A.2.23</v>
      </c>
      <c r="B185" t="str">
        <v>- Balok B2550-1</v>
      </c>
      <c r="C185" t="str">
        <v>Breakdown (A) VI.A.2.23</v>
      </c>
      <c r="D185">
        <v>1.776</v>
      </c>
      <c r="E185">
        <v>14</v>
      </c>
      <c r="F185" t="str">
        <v>✓</v>
      </c>
      <c r="G185">
        <v>-2413754.489264831</v>
      </c>
      <c r="H185" t="str">
        <v/>
      </c>
    </row>
    <row r="186">
      <c r="A186" t="str">
        <v>(A) VI.A.2.24</v>
      </c>
      <c r="B186" t="str">
        <v>- Balok B35-2</v>
      </c>
      <c r="C186" t="str">
        <v>Breakdown (A) VI.A.2.24</v>
      </c>
      <c r="D186">
        <v>1.5651000000000002</v>
      </c>
      <c r="E186">
        <v>14</v>
      </c>
      <c r="F186" t="str">
        <v>✓</v>
      </c>
      <c r="G186">
        <v>-1942376.844973199</v>
      </c>
      <c r="H186" t="str">
        <v/>
      </c>
    </row>
    <row r="187">
      <c r="A187" t="str">
        <v>(A) VI.A.2.25</v>
      </c>
      <c r="B187" t="str">
        <v>- Balok B36-1</v>
      </c>
      <c r="C187" t="str">
        <v>Breakdown (A) VI.A.2.25</v>
      </c>
      <c r="D187">
        <v>0.763515</v>
      </c>
      <c r="E187">
        <v>14</v>
      </c>
      <c r="F187" t="str">
        <v>✓</v>
      </c>
      <c r="G187">
        <v>-844252.661609144</v>
      </c>
      <c r="H187" t="str">
        <v/>
      </c>
    </row>
    <row r="188">
      <c r="A188" t="str">
        <v>(A) VI.A.2.26</v>
      </c>
      <c r="B188" t="str">
        <v>- Balok B37-1</v>
      </c>
      <c r="C188" t="str">
        <v>Breakdown (A) VI.A.2.26</v>
      </c>
      <c r="D188">
        <v>1.438965</v>
      </c>
      <c r="E188">
        <v>14</v>
      </c>
      <c r="F188" t="str">
        <v>✓</v>
      </c>
      <c r="G188">
        <v>-1718421.4960762374</v>
      </c>
      <c r="H188" t="str">
        <v/>
      </c>
    </row>
    <row r="189">
      <c r="A189" t="str">
        <v>(A) VI.A.2.27</v>
      </c>
      <c r="B189" t="str">
        <v>- Balok B1745-1</v>
      </c>
      <c r="C189" t="str">
        <v>Breakdown (A) VI.A.2.27</v>
      </c>
      <c r="D189">
        <v>0.2142</v>
      </c>
      <c r="E189">
        <v>14</v>
      </c>
      <c r="F189" t="str">
        <v>✓</v>
      </c>
      <c r="G189">
        <v>-263623.8481801592</v>
      </c>
      <c r="H189" t="str">
        <v/>
      </c>
    </row>
    <row r="190">
      <c r="A190" t="str">
        <v>(A) VI.A.2.28</v>
      </c>
      <c r="B190" t="str">
        <v>- Balok Potongan B</v>
      </c>
      <c r="C190" t="str">
        <v>Breakdown (A) VI.A.2.28</v>
      </c>
      <c r="D190">
        <v>0.148</v>
      </c>
      <c r="E190">
        <v>14</v>
      </c>
      <c r="F190" t="str">
        <v>✓</v>
      </c>
      <c r="G190">
        <v>-242834.77201538882</v>
      </c>
      <c r="H190" t="str">
        <v/>
      </c>
    </row>
    <row r="191">
      <c r="A191" t="str">
        <v>(A) VI.A.2.29</v>
      </c>
      <c r="B191" t="str">
        <v>- Balok Potongan C</v>
      </c>
      <c r="C191" t="str">
        <v>Breakdown (A) VI.A.2.29</v>
      </c>
      <c r="D191">
        <v>0.4514</v>
      </c>
      <c r="E191">
        <v>14</v>
      </c>
      <c r="F191" t="str">
        <v>✓</v>
      </c>
      <c r="G191">
        <v>-760479.7087003533</v>
      </c>
      <c r="H191" t="str">
        <v/>
      </c>
    </row>
    <row r="192">
      <c r="A192" t="str">
        <v>(A) VI.A.2.30</v>
      </c>
      <c r="B192" t="str">
        <v>- Balok Potongan D</v>
      </c>
      <c r="C192" t="str">
        <v>Breakdown (A) VI.A.2.30</v>
      </c>
      <c r="D192">
        <v>0.18225</v>
      </c>
      <c r="E192">
        <v>14</v>
      </c>
      <c r="F192" t="str">
        <v>✓</v>
      </c>
      <c r="G192">
        <v>-257398.30788029428</v>
      </c>
      <c r="H192" t="str">
        <v/>
      </c>
    </row>
    <row r="193">
      <c r="A193" t="str">
        <v>(A) VI.A.2.31</v>
      </c>
      <c r="B193" t="str">
        <v>- Balok Potongan E</v>
      </c>
      <c r="C193" t="str">
        <v>Breakdown (A) VI.A.2.31</v>
      </c>
      <c r="D193">
        <v>0.33182</v>
      </c>
      <c r="E193">
        <v>15</v>
      </c>
      <c r="F193" t="str">
        <v>✓</v>
      </c>
      <c r="G193">
        <v>-395383.9866054221</v>
      </c>
      <c r="H193" t="str">
        <v/>
      </c>
    </row>
    <row r="194">
      <c r="A194" t="str">
        <v>(A) VI.A.2.32</v>
      </c>
      <c r="B194" t="str">
        <v>- Balok Potongan F</v>
      </c>
      <c r="C194" t="str">
        <v>Breakdown (A) VI.A.2.32</v>
      </c>
      <c r="D194">
        <v>0.30720000000000003</v>
      </c>
      <c r="E194">
        <v>14</v>
      </c>
      <c r="F194" t="str">
        <v>✓</v>
      </c>
      <c r="G194">
        <v>-473405.0510653141</v>
      </c>
      <c r="H194" t="str">
        <v/>
      </c>
    </row>
    <row r="195">
      <c r="A195" t="str">
        <v>(A) VI.A.2.33</v>
      </c>
      <c r="B195" t="str">
        <v>- Balok Potongan J</v>
      </c>
      <c r="C195" t="str">
        <v>Breakdown (A) VI.A.2.33</v>
      </c>
      <c r="D195">
        <v>0.345</v>
      </c>
      <c r="E195">
        <v>14</v>
      </c>
      <c r="F195" t="str">
        <v>✓</v>
      </c>
      <c r="G195">
        <v>-517513.2886001682</v>
      </c>
      <c r="H195" t="str">
        <v/>
      </c>
    </row>
    <row r="196">
      <c r="A196" t="str">
        <v>(A) VI.A.2.34</v>
      </c>
      <c r="B196" t="str">
        <v>- Balok Potongan O</v>
      </c>
      <c r="C196" t="str">
        <v>Breakdown (A) VI.A.2.34</v>
      </c>
      <c r="D196">
        <v>0.179265</v>
      </c>
      <c r="E196">
        <v>14</v>
      </c>
      <c r="F196" t="str">
        <v>✓</v>
      </c>
      <c r="G196">
        <v>-253747.3649513896</v>
      </c>
      <c r="H196" t="str">
        <v/>
      </c>
    </row>
    <row r="197">
      <c r="A197" t="str">
        <v>(A) VI.A.4.1</v>
      </c>
      <c r="B197" t="str">
        <v>- Kolom K13-1</v>
      </c>
      <c r="C197" t="str">
        <v>Breakdown (A) VI.A.4.1</v>
      </c>
      <c r="D197">
        <v>0.546</v>
      </c>
      <c r="E197">
        <v>13</v>
      </c>
      <c r="F197" t="str">
        <v>✓</v>
      </c>
      <c r="G197">
        <v>-838398.6725235581</v>
      </c>
      <c r="H197" t="str">
        <v/>
      </c>
    </row>
    <row r="198">
      <c r="A198" t="str">
        <v>(A) VI.A.4.2</v>
      </c>
      <c r="B198" t="str">
        <v>- Kolom K174-1</v>
      </c>
      <c r="C198" t="str">
        <v>Breakdown (A) VI.A.4.2</v>
      </c>
      <c r="D198">
        <v>0.714</v>
      </c>
      <c r="E198">
        <v>13</v>
      </c>
      <c r="F198" t="str">
        <v>✓</v>
      </c>
      <c r="G198">
        <v>-976090.801650973</v>
      </c>
      <c r="H198" t="str">
        <v/>
      </c>
    </row>
    <row r="199">
      <c r="A199" t="str">
        <v>(A) VI.A.4.3</v>
      </c>
      <c r="B199" t="str">
        <v>- Kolom K174-2</v>
      </c>
      <c r="C199" t="str">
        <v>Breakdown (A) VI.A.4.3</v>
      </c>
      <c r="D199">
        <v>0.476</v>
      </c>
      <c r="E199">
        <v>13</v>
      </c>
      <c r="F199" t="str">
        <v>✓</v>
      </c>
      <c r="G199">
        <v>-726632.8521571839</v>
      </c>
      <c r="H199" t="str">
        <v/>
      </c>
    </row>
    <row r="200">
      <c r="A200" t="str">
        <v>(A) VI.A.4.4</v>
      </c>
      <c r="B200" t="str">
        <v>- Kolom K175-1</v>
      </c>
      <c r="C200" t="str">
        <v>Breakdown (A) VI.A.4.4</v>
      </c>
      <c r="D200">
        <v>0.595</v>
      </c>
      <c r="E200">
        <v>13</v>
      </c>
      <c r="F200" t="str">
        <v>✓</v>
      </c>
      <c r="G200">
        <v>-779958.6343740858</v>
      </c>
      <c r="H200" t="str">
        <v/>
      </c>
    </row>
    <row r="201">
      <c r="A201" t="str">
        <v>(A) VI.A.4.5</v>
      </c>
      <c r="B201" t="str">
        <v>- Kolom K175-2</v>
      </c>
      <c r="C201" t="str">
        <v>Breakdown (A) VI.A.4.5</v>
      </c>
      <c r="D201">
        <v>1.4874999999999998</v>
      </c>
      <c r="E201">
        <v>13</v>
      </c>
      <c r="F201" t="str">
        <v>✓</v>
      </c>
      <c r="G201">
        <v>-2087505.1622936148</v>
      </c>
      <c r="H201" t="str">
        <v/>
      </c>
    </row>
    <row r="202">
      <c r="A202" t="str">
        <v>(A) VI.A.4.6</v>
      </c>
      <c r="B202" t="str">
        <v>- Kolom K175-3</v>
      </c>
      <c r="C202" t="str">
        <v>Breakdown (A) VI.A.4.6</v>
      </c>
      <c r="D202">
        <v>2.0824999999999996</v>
      </c>
      <c r="E202">
        <v>14</v>
      </c>
      <c r="F202" t="str">
        <v>✓</v>
      </c>
      <c r="G202">
        <v>-3110001.0158913396</v>
      </c>
      <c r="H202" t="str">
        <v/>
      </c>
    </row>
    <row r="203">
      <c r="A203" t="str">
        <v>(A) VI.A.4.7</v>
      </c>
      <c r="B203" t="str">
        <v>- Kolom K175-4</v>
      </c>
      <c r="C203" t="str">
        <v>Breakdown (A) VI.A.4.7</v>
      </c>
      <c r="D203">
        <v>0.8925</v>
      </c>
      <c r="E203">
        <v>14</v>
      </c>
      <c r="F203" t="str">
        <v>✓</v>
      </c>
      <c r="G203">
        <v>-1435091.152773818</v>
      </c>
      <c r="H203" t="str">
        <v/>
      </c>
    </row>
    <row r="204">
      <c r="A204" t="str">
        <v>(A) VI.A.4.8</v>
      </c>
      <c r="B204" t="str">
        <v>- Kolom K176-1</v>
      </c>
      <c r="C204" t="str">
        <v>Breakdown (A) VI.A.4.8</v>
      </c>
      <c r="D204">
        <v>0.714</v>
      </c>
      <c r="E204">
        <v>13</v>
      </c>
      <c r="F204" t="str">
        <v>✓</v>
      </c>
      <c r="G204">
        <v>-967387.9629066354</v>
      </c>
      <c r="H204" t="str">
        <v/>
      </c>
    </row>
    <row r="205">
      <c r="A205" t="str">
        <v>(A) VI.A.4.9</v>
      </c>
      <c r="B205" t="str">
        <v>- Kolom K176-4</v>
      </c>
      <c r="C205" t="str">
        <v>Breakdown (A) VI.A.4.9</v>
      </c>
      <c r="D205">
        <v>0.357</v>
      </c>
      <c r="E205">
        <v>14</v>
      </c>
      <c r="F205" t="str">
        <v>✓</v>
      </c>
      <c r="G205">
        <v>-566320.9825727218</v>
      </c>
      <c r="H205" t="str">
        <v/>
      </c>
    </row>
    <row r="206">
      <c r="A206" t="str">
        <v>(A) VI.A.4.10</v>
      </c>
      <c r="B206" t="str">
        <v>- Kolom K177-1</v>
      </c>
      <c r="C206" t="str">
        <v>Breakdown (A) VI.A.4.10</v>
      </c>
      <c r="D206">
        <v>0.833</v>
      </c>
      <c r="E206">
        <v>13</v>
      </c>
      <c r="F206" t="str">
        <v>✓</v>
      </c>
      <c r="G206">
        <v>-1191197.8314758576</v>
      </c>
      <c r="H206" t="str">
        <v/>
      </c>
    </row>
    <row r="207">
      <c r="A207" t="str">
        <v>(A) VI.A.4.11</v>
      </c>
      <c r="B207" t="str">
        <v>- Kolom K178-1</v>
      </c>
      <c r="C207" t="str">
        <v>Breakdown (A) VI.A.4.11</v>
      </c>
      <c r="D207">
        <v>1.904</v>
      </c>
      <c r="E207">
        <v>13</v>
      </c>
      <c r="F207" t="str">
        <v>✓</v>
      </c>
      <c r="G207">
        <v>-2331248.035777075</v>
      </c>
      <c r="H207" t="str">
        <v/>
      </c>
    </row>
    <row r="208">
      <c r="A208" t="str">
        <v>(A) VI.A.4.12</v>
      </c>
      <c r="B208" t="str">
        <v>- Kolom K178-2</v>
      </c>
      <c r="C208" t="str">
        <v>Breakdown (A) VI.A.4.12</v>
      </c>
      <c r="D208">
        <v>0.476</v>
      </c>
      <c r="E208">
        <v>13</v>
      </c>
      <c r="F208" t="str">
        <v>✓</v>
      </c>
      <c r="G208">
        <v>-692071.3021490499</v>
      </c>
      <c r="H208" t="str">
        <v/>
      </c>
    </row>
    <row r="209">
      <c r="A209" t="str">
        <v>(A) VI.A.4.13</v>
      </c>
      <c r="B209" t="str">
        <v>- Kolom KL175-2</v>
      </c>
      <c r="C209" t="str">
        <v>Breakdown (A) VI.A.4.13</v>
      </c>
      <c r="D209">
        <v>0.49384999999999996</v>
      </c>
      <c r="E209">
        <v>14</v>
      </c>
      <c r="F209" t="str">
        <v>✓</v>
      </c>
      <c r="G209">
        <v>-700114.7613911787</v>
      </c>
      <c r="H209" t="str">
        <v/>
      </c>
    </row>
    <row r="210">
      <c r="A210" t="str">
        <v>(A) VI.B.1</v>
      </c>
      <c r="B210" t="str">
        <v>Dinding lift Lantai Attic</v>
      </c>
      <c r="C210" t="str">
        <v>Breakdown (A) VI.B.1</v>
      </c>
      <c r="D210">
        <v>4.98015</v>
      </c>
      <c r="E210">
        <v>5</v>
      </c>
      <c r="F210" t="str">
        <v>✓</v>
      </c>
      <c r="G210">
        <v>-4058990.5164309926</v>
      </c>
      <c r="H210" t="str">
        <v/>
      </c>
    </row>
    <row r="211">
      <c r="A211" t="str">
        <v>(A) VI.B.2</v>
      </c>
      <c r="B211" t="str">
        <v>Dinding beton rumah lift</v>
      </c>
      <c r="C211" t="str">
        <v>Breakdown (A) VI.B.2</v>
      </c>
      <c r="D211">
        <v>1.08</v>
      </c>
      <c r="E211">
        <v>5</v>
      </c>
      <c r="F211" t="str">
        <v>✓</v>
      </c>
      <c r="G211">
        <v>-861336.6294399993</v>
      </c>
      <c r="H211" t="str">
        <v/>
      </c>
    </row>
    <row r="212">
      <c r="A212" t="str">
        <v>(A) VII.A.1.1</v>
      </c>
      <c r="B212" t="str">
        <v>- Dak atap dan dan kanopi beton - tebal 15 cm, besi D10-200 (2 lapis)</v>
      </c>
      <c r="C212" t="str">
        <v>Breakdown (A) VII.A.1.1</v>
      </c>
      <c r="D212">
        <v>20.4585</v>
      </c>
      <c r="E212">
        <v>6</v>
      </c>
      <c r="F212" t="str">
        <v>✓</v>
      </c>
      <c r="G212">
        <v>-13425982.556803003</v>
      </c>
      <c r="H212" t="str">
        <v/>
      </c>
    </row>
    <row r="213">
      <c r="A213" t="str">
        <v>(A) VII.A.2.1</v>
      </c>
      <c r="B213" t="str">
        <v>- Balok B173-1</v>
      </c>
      <c r="C213" t="str">
        <v>Breakdown (A) VII.A.2.1</v>
      </c>
      <c r="D213">
        <v>0.397035</v>
      </c>
      <c r="E213">
        <v>14</v>
      </c>
      <c r="F213" t="str">
        <v>✓</v>
      </c>
      <c r="G213">
        <v>-505690.58112184005</v>
      </c>
      <c r="H213" t="str">
        <v/>
      </c>
    </row>
    <row r="214">
      <c r="A214" t="str">
        <v>(A) VII.A.2.2</v>
      </c>
      <c r="B214" t="str">
        <v>- Balok B174-1</v>
      </c>
      <c r="C214" t="str">
        <v>Breakdown (A) VII.A.2.2</v>
      </c>
      <c r="D214">
        <v>0.612</v>
      </c>
      <c r="E214">
        <v>14</v>
      </c>
      <c r="F214" t="str">
        <v>✓</v>
      </c>
      <c r="G214">
        <v>-778184.8592908643</v>
      </c>
      <c r="H214" t="str">
        <v/>
      </c>
    </row>
    <row r="215">
      <c r="A215" t="str">
        <v>(A) VII.A.2.3</v>
      </c>
      <c r="B215" t="str">
        <v>- Balok B175-1</v>
      </c>
      <c r="C215" t="str">
        <v>Breakdown (A) VII.A.2.3</v>
      </c>
      <c r="D215">
        <v>0.68</v>
      </c>
      <c r="E215">
        <v>14</v>
      </c>
      <c r="F215" t="str">
        <v>✓</v>
      </c>
      <c r="G215">
        <v>-823871.5733391168</v>
      </c>
      <c r="H215" t="str">
        <v/>
      </c>
    </row>
    <row r="216">
      <c r="A216" t="str">
        <v>(A) VII.A.2.4</v>
      </c>
      <c r="B216" t="str">
        <v>- Balok B23-1</v>
      </c>
      <c r="C216" t="str">
        <v>Breakdown (A) VII.A.2.4</v>
      </c>
      <c r="D216">
        <v>0.144</v>
      </c>
      <c r="E216">
        <v>14</v>
      </c>
      <c r="F216" t="str">
        <v>✓</v>
      </c>
      <c r="G216">
        <v>-215158.25904577505</v>
      </c>
      <c r="H216" t="str">
        <v/>
      </c>
    </row>
    <row r="217">
      <c r="A217" t="str">
        <v>(A) VII.A.2.5</v>
      </c>
      <c r="B217" t="str">
        <v>- Balok B24-1</v>
      </c>
      <c r="C217" t="str">
        <v>Breakdown (A) VII.A.2.5</v>
      </c>
      <c r="D217">
        <v>1.3765</v>
      </c>
      <c r="E217">
        <v>14</v>
      </c>
      <c r="F217" t="str">
        <v>✓</v>
      </c>
      <c r="G217">
        <v>-1679914.6327711325</v>
      </c>
      <c r="H217" t="str">
        <v/>
      </c>
    </row>
    <row r="218">
      <c r="A218" t="str">
        <v>(A) VII.A.2.6</v>
      </c>
      <c r="B218" t="str">
        <v>- Balok B24-2</v>
      </c>
      <c r="C218" t="str">
        <v>Breakdown (A) VII.A.2.6</v>
      </c>
      <c r="D218">
        <v>0.725</v>
      </c>
      <c r="E218">
        <v>14</v>
      </c>
      <c r="F218" t="str">
        <v>✓</v>
      </c>
      <c r="G218">
        <v>-955162.7348659039</v>
      </c>
      <c r="H218" t="str">
        <v/>
      </c>
    </row>
    <row r="219">
      <c r="A219" t="str">
        <v>(A) VII.A.2.7</v>
      </c>
      <c r="B219" t="str">
        <v>- Balok B24-3</v>
      </c>
      <c r="C219" t="str">
        <v>Breakdown (A) VII.A.2.7</v>
      </c>
      <c r="D219">
        <v>1.0350000000000001</v>
      </c>
      <c r="E219">
        <v>14</v>
      </c>
      <c r="F219" t="str">
        <v>✓</v>
      </c>
      <c r="G219">
        <v>-1542568.0048145708</v>
      </c>
      <c r="H219" t="str">
        <v/>
      </c>
    </row>
    <row r="220">
      <c r="A220" t="str">
        <v>(A) VII.A.2.8</v>
      </c>
      <c r="B220" t="str">
        <v>- Balok B24-4</v>
      </c>
      <c r="C220" t="str">
        <v>Breakdown (A) VII.A.2.8</v>
      </c>
      <c r="D220">
        <v>0.7050000000000001</v>
      </c>
      <c r="E220">
        <v>14</v>
      </c>
      <c r="F220" t="str">
        <v>✓</v>
      </c>
      <c r="G220">
        <v>-1025519.409593178</v>
      </c>
      <c r="H220" t="str">
        <v/>
      </c>
    </row>
    <row r="221">
      <c r="A221" t="str">
        <v>(A) VII.A.2.9</v>
      </c>
      <c r="B221" t="str">
        <v>- Balok B24-5</v>
      </c>
      <c r="C221" t="str">
        <v>Breakdown (A) VII.A.2.9</v>
      </c>
      <c r="D221">
        <v>0.13625</v>
      </c>
      <c r="E221">
        <v>14</v>
      </c>
      <c r="F221" t="str">
        <v>✓</v>
      </c>
      <c r="G221">
        <v>-227055.6188720169</v>
      </c>
      <c r="H221" t="str">
        <v/>
      </c>
    </row>
    <row r="222">
      <c r="A222" t="str">
        <v>(A) VII.A.2.10</v>
      </c>
      <c r="B222" t="str">
        <v>- Balok B24-7</v>
      </c>
      <c r="C222" t="str">
        <v>Breakdown (A) VII.A.2.10</v>
      </c>
      <c r="D222">
        <v>0.16175</v>
      </c>
      <c r="E222">
        <v>14</v>
      </c>
      <c r="F222" t="str">
        <v>✓</v>
      </c>
      <c r="G222">
        <v>-209680.733577949</v>
      </c>
      <c r="H222" t="str">
        <v/>
      </c>
    </row>
    <row r="223">
      <c r="A223" t="str">
        <v>(A) VII.A.2.11</v>
      </c>
      <c r="B223" t="str">
        <v>- Balok CL24-1</v>
      </c>
      <c r="C223" t="str">
        <v>Breakdown (A) VII.A.2.11</v>
      </c>
      <c r="D223">
        <v>0.29000000000000004</v>
      </c>
      <c r="E223">
        <v>14</v>
      </c>
      <c r="F223" t="str">
        <v>✓</v>
      </c>
      <c r="G223">
        <v>-398841.8728807224</v>
      </c>
      <c r="H223" t="str">
        <v/>
      </c>
    </row>
    <row r="224">
      <c r="A224" t="str">
        <v>(A) VII.A.2.12</v>
      </c>
      <c r="B224" t="str">
        <v>- Balok B245-1</v>
      </c>
      <c r="C224" t="str">
        <v>Breakdown (A) VII.A.2.12</v>
      </c>
      <c r="D224">
        <v>3.3141</v>
      </c>
      <c r="E224">
        <v>14</v>
      </c>
      <c r="F224" t="str">
        <v>✓</v>
      </c>
      <c r="G224">
        <v>-3690254.95341618</v>
      </c>
      <c r="H224" t="str">
        <v/>
      </c>
    </row>
    <row r="225">
      <c r="A225" t="str">
        <v>(A) VII.A.2.13</v>
      </c>
      <c r="B225" t="str">
        <v>- Balok B245-2</v>
      </c>
      <c r="C225" t="str">
        <v>Breakdown (A) VII.A.2.13</v>
      </c>
      <c r="D225">
        <v>1.4700000000000002</v>
      </c>
      <c r="E225">
        <v>14</v>
      </c>
      <c r="F225" t="str">
        <v>✓</v>
      </c>
      <c r="G225">
        <v>-1852388.9917187132</v>
      </c>
      <c r="H225" t="str">
        <v/>
      </c>
    </row>
    <row r="226">
      <c r="A226" t="str">
        <v>(A) VII.A.2.14</v>
      </c>
      <c r="B226" t="str">
        <v>- Balok B245-3</v>
      </c>
      <c r="C226" t="str">
        <v>Breakdown (A) VII.A.2.14</v>
      </c>
      <c r="D226">
        <v>2.2236</v>
      </c>
      <c r="E226">
        <v>14</v>
      </c>
      <c r="F226" t="str">
        <v>✓</v>
      </c>
      <c r="G226">
        <v>-2794082.3551791646</v>
      </c>
      <c r="H226" t="str">
        <v/>
      </c>
    </row>
    <row r="227">
      <c r="A227" t="str">
        <v>(A) VII.A.2.15</v>
      </c>
      <c r="B227" t="str">
        <v>- Balok B245-4</v>
      </c>
      <c r="C227" t="str">
        <v>Breakdown (A) VII.A.2.15</v>
      </c>
      <c r="D227">
        <v>0.45</v>
      </c>
      <c r="E227">
        <v>14</v>
      </c>
      <c r="F227" t="str">
        <v>✓</v>
      </c>
      <c r="G227">
        <v>-615156.0931649776</v>
      </c>
      <c r="H227" t="str">
        <v/>
      </c>
    </row>
    <row r="228">
      <c r="A228" t="str">
        <v>(A) VII.A.2.16</v>
      </c>
      <c r="B228" t="str">
        <v>- Balok B245-5</v>
      </c>
      <c r="C228" t="str">
        <v>Breakdown (A) VII.A.2.16</v>
      </c>
      <c r="D228">
        <v>0.594</v>
      </c>
      <c r="E228">
        <v>14</v>
      </c>
      <c r="F228" t="str">
        <v>✓</v>
      </c>
      <c r="G228">
        <v>-881879.3995975079</v>
      </c>
      <c r="H228" t="str">
        <v/>
      </c>
    </row>
    <row r="229">
      <c r="A229" t="str">
        <v>(A) VII.A.2.17</v>
      </c>
      <c r="B229" t="str">
        <v>- Balok B25-1</v>
      </c>
      <c r="C229" t="str">
        <v>Breakdown (A) VII.A.2.17</v>
      </c>
      <c r="D229">
        <v>0.43575</v>
      </c>
      <c r="E229">
        <v>14</v>
      </c>
      <c r="F229" t="str">
        <v>✓</v>
      </c>
      <c r="G229">
        <v>-561974.3939287234</v>
      </c>
      <c r="H229" t="str">
        <v/>
      </c>
    </row>
    <row r="230">
      <c r="A230" t="str">
        <v>(A) VII.A.2.18</v>
      </c>
      <c r="B230" t="str">
        <v>- Balok B25-4</v>
      </c>
      <c r="C230" t="str">
        <v>Breakdown (A) VII.A.2.18</v>
      </c>
      <c r="D230">
        <v>0.45955</v>
      </c>
      <c r="E230">
        <v>14</v>
      </c>
      <c r="F230" t="str">
        <v>✓</v>
      </c>
      <c r="G230">
        <v>-680059.8096629167</v>
      </c>
      <c r="H230" t="str">
        <v/>
      </c>
    </row>
    <row r="231">
      <c r="A231" t="str">
        <v>(A) VII.A.2.19</v>
      </c>
      <c r="B231" t="str">
        <v>- Balok B25-6</v>
      </c>
      <c r="C231" t="str">
        <v>Breakdown (A) VII.A.2.19</v>
      </c>
      <c r="D231">
        <v>1.11</v>
      </c>
      <c r="E231">
        <v>14</v>
      </c>
      <c r="F231" t="str">
        <v>✓</v>
      </c>
      <c r="G231">
        <v>-1337716.4880512636</v>
      </c>
      <c r="H231" t="str">
        <v/>
      </c>
    </row>
    <row r="232">
      <c r="A232" t="str">
        <v>(A) VII.A.2.20</v>
      </c>
      <c r="B232" t="str">
        <v>- Balok B1745-1</v>
      </c>
      <c r="C232" t="str">
        <v>Breakdown (A) VII.A.2.20</v>
      </c>
      <c r="D232">
        <v>0.36465000000000003</v>
      </c>
      <c r="E232">
        <v>14</v>
      </c>
      <c r="F232" t="str">
        <v>✓</v>
      </c>
      <c r="G232">
        <v>-472561.61702865316</v>
      </c>
      <c r="H232" t="str">
        <v/>
      </c>
    </row>
    <row r="233">
      <c r="A233" t="str">
        <v>(A) VII.A.2.21</v>
      </c>
      <c r="B233" t="str">
        <v>- Balok Potongan A</v>
      </c>
      <c r="C233" t="str">
        <v>Breakdown (A) VII.A.2.21</v>
      </c>
      <c r="D233">
        <v>0.1168125</v>
      </c>
      <c r="E233">
        <v>14</v>
      </c>
      <c r="F233" t="str">
        <v>✓</v>
      </c>
      <c r="G233">
        <v>-178780.84134794702</v>
      </c>
      <c r="H233" t="str">
        <v/>
      </c>
    </row>
    <row r="234">
      <c r="A234" t="str">
        <v>(A) VII.A.2.22</v>
      </c>
      <c r="B234" t="str">
        <v>- Balok Potongan B</v>
      </c>
      <c r="C234" t="str">
        <v>Breakdown (A) VII.A.2.22</v>
      </c>
      <c r="D234">
        <v>0.09345</v>
      </c>
      <c r="E234">
        <v>14</v>
      </c>
      <c r="F234" t="str">
        <v>✓</v>
      </c>
      <c r="G234">
        <v>-161823.06914148177</v>
      </c>
      <c r="H234" t="str">
        <v/>
      </c>
    </row>
    <row r="235">
      <c r="A235" t="str">
        <v>(A) VII.A.2.23</v>
      </c>
      <c r="B235" t="str">
        <v>- Balok Potongan F</v>
      </c>
      <c r="C235" t="str">
        <v>Breakdown (A) VII.A.2.23</v>
      </c>
      <c r="D235">
        <v>0.243</v>
      </c>
      <c r="E235">
        <v>14</v>
      </c>
      <c r="F235" t="str">
        <v>✓</v>
      </c>
      <c r="G235">
        <v>-323102.3085743743</v>
      </c>
      <c r="H235" t="str">
        <v/>
      </c>
    </row>
    <row r="236">
      <c r="A236" t="str">
        <v>(A) VII.A.2.24</v>
      </c>
      <c r="B236" t="str">
        <v>- Balok Potongan L</v>
      </c>
      <c r="C236" t="str">
        <v>Breakdown (A) VII.A.2.24</v>
      </c>
      <c r="D236">
        <v>0.0759</v>
      </c>
      <c r="E236">
        <v>14</v>
      </c>
      <c r="F236" t="str">
        <v>✓</v>
      </c>
      <c r="G236">
        <v>-93945.7096464925</v>
      </c>
      <c r="H236" t="str">
        <v/>
      </c>
    </row>
    <row r="237">
      <c r="A237" t="str">
        <v>(A) IX.A.1</v>
      </c>
      <c r="B237" t="str">
        <v>Pasangan dinding bata merah tebal 20 cm; termasuk kolom praktis, balok praktis, dan balok latei</v>
      </c>
      <c r="C237" t="str">
        <v>Breakdown (A) IX.A.1</v>
      </c>
      <c r="D237">
        <v>284.57599999999996</v>
      </c>
      <c r="E237">
        <v>2</v>
      </c>
      <c r="F237" t="str">
        <v>✓</v>
      </c>
      <c r="G237">
        <v>-12716866.005911246</v>
      </c>
      <c r="H237" t="str">
        <v/>
      </c>
    </row>
    <row r="238">
      <c r="A238" t="str">
        <v>(A) IX.B.1</v>
      </c>
      <c r="B238" t="str">
        <v>Pasangan dinding bata merah tebal 20 cm; termasuk kolom praktis, balok praktis, dan balok latei</v>
      </c>
      <c r="C238" t="str">
        <v>Breakdown (A) IX.B.1</v>
      </c>
      <c r="D238">
        <v>568.8895</v>
      </c>
      <c r="E238">
        <v>2</v>
      </c>
      <c r="F238" t="str">
        <v>✓</v>
      </c>
      <c r="G238">
        <v>-25422001.657447726</v>
      </c>
      <c r="H238" t="str">
        <v/>
      </c>
    </row>
    <row r="239">
      <c r="A239" t="str">
        <v>(A) IX.B.2</v>
      </c>
      <c r="B239" t="str">
        <v>Pasangan dinding bata merah tebal 30 cm; termasuk kolom praktis, balok praktis, dan balok latei</v>
      </c>
      <c r="C239" t="str">
        <v>Breakdown (A) IX.B.2</v>
      </c>
      <c r="D239">
        <v>23.985</v>
      </c>
      <c r="E239">
        <v>2</v>
      </c>
      <c r="F239" t="str">
        <v>✓</v>
      </c>
      <c r="G239">
        <v>-2334343.837302359</v>
      </c>
      <c r="H239" t="str">
        <v/>
      </c>
    </row>
    <row r="240">
      <c r="A240" t="str">
        <v>(A) IX.B.3</v>
      </c>
      <c r="B240" t="str">
        <v>Pasangan dinding bata merah tebal 35 cm; termasuk kolom praktis, balok praktis, dan balok latei</v>
      </c>
      <c r="C240" t="str">
        <v>Breakdown (A) IX.B.3</v>
      </c>
      <c r="D240">
        <v>64.3575</v>
      </c>
      <c r="E240">
        <v>2</v>
      </c>
      <c r="F240" t="str">
        <v>✓</v>
      </c>
      <c r="G240">
        <v>-6969501.312111236</v>
      </c>
      <c r="H240" t="str">
        <v/>
      </c>
    </row>
    <row r="241">
      <c r="A241" t="str">
        <v>(A) IX.B.4</v>
      </c>
      <c r="B241" t="str">
        <v>Pasangan dinding bata merah tebal 55 cm; termasuk kolom praktis, balok praktis, dan balok latei</v>
      </c>
      <c r="C241" t="str">
        <v>Breakdown (A) IX.B.4</v>
      </c>
      <c r="D241">
        <v>7.4925000000000015</v>
      </c>
      <c r="E241">
        <v>2</v>
      </c>
      <c r="F241" t="str">
        <v>✓</v>
      </c>
      <c r="G241">
        <v>-714199.5366508979</v>
      </c>
      <c r="H241" t="str">
        <v/>
      </c>
    </row>
    <row r="242">
      <c r="A242" t="str">
        <v>(A) IX.C.1</v>
      </c>
      <c r="B242" t="str">
        <v>Pasangan dinding bata merah tebal 20 cm; termasuk kolom praktis, balok praktis, dan balok latei</v>
      </c>
      <c r="C242" t="str">
        <v>Breakdown (A) IX.C.1</v>
      </c>
      <c r="D242">
        <v>752.3783333333336</v>
      </c>
      <c r="E242">
        <v>2</v>
      </c>
      <c r="F242" t="str">
        <v>✓</v>
      </c>
      <c r="G242">
        <v>-33621578.94815731</v>
      </c>
      <c r="H242" t="str">
        <v/>
      </c>
    </row>
    <row r="243">
      <c r="A243" t="str">
        <v>(A) IX.C.2</v>
      </c>
      <c r="B243" t="str">
        <v>Pasangan dinding bata merah tebal 30 cm; termasuk kolom praktis, balok praktis, dan balok latei</v>
      </c>
      <c r="C243" t="str">
        <v>Breakdown (A) IX.C.2</v>
      </c>
      <c r="D243">
        <v>23.4235</v>
      </c>
      <c r="E243">
        <v>2</v>
      </c>
      <c r="F243" t="str">
        <v>✓</v>
      </c>
      <c r="G243">
        <v>-2279695.7628956344</v>
      </c>
      <c r="H243" t="str">
        <v/>
      </c>
    </row>
    <row r="244">
      <c r="A244" t="str">
        <v>(A) IX.C.3</v>
      </c>
      <c r="B244" t="str">
        <v>Pasangan dinding bata merah tebal 35 cm; termasuk kolom praktis, balok praktis, dan balok latei</v>
      </c>
      <c r="C244" t="str">
        <v>Breakdown (A) IX.C.3</v>
      </c>
      <c r="D244">
        <v>8.595</v>
      </c>
      <c r="E244">
        <v>2</v>
      </c>
      <c r="F244" t="str">
        <v>✓</v>
      </c>
      <c r="G244">
        <v>-930782.9511338398</v>
      </c>
      <c r="H244" t="str">
        <v/>
      </c>
    </row>
    <row r="245">
      <c r="A245" t="str">
        <v>(A) IX.D.1</v>
      </c>
      <c r="B245" t="str">
        <v>Pasangan dinding bata merah tebal 20 cm; termasuk kolom praktis, balok praktis, dan balok latei</v>
      </c>
      <c r="C245" t="str">
        <v>Breakdown (A) IX.D.1</v>
      </c>
      <c r="D245">
        <v>499.0019999999999</v>
      </c>
      <c r="E245">
        <v>2</v>
      </c>
      <c r="F245" t="str">
        <v>✓</v>
      </c>
      <c r="G245">
        <v>-22298934.452243745</v>
      </c>
      <c r="H245" t="str">
        <v/>
      </c>
    </row>
  </sheetData>
  <ignoredErrors>
    <ignoredError numberStoredAsText="1" sqref="A1:H245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L23"/>
  <sheetViews>
    <sheetView workbookViewId="0" rightToLeft="0"/>
  </sheetViews>
  <sheetData>
    <row r="1">
      <c r="A1" t="str">
        <v>BREAKDOWN — (A) II.B.1 Pasangan batako untuk proteksi pondasi bangunan tetangga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Pasangan batako untuk proteksi pondasi bangunan tetangga</v>
      </c>
    </row>
    <row r="5">
      <c r="A5" t="str">
        <v>Unit</v>
      </c>
      <c r="B5" t="str">
        <v>m2</v>
      </c>
    </row>
    <row r="6">
      <c r="A6" t="str">
        <v>Volume</v>
      </c>
      <c r="B6">
        <v>46.8</v>
      </c>
    </row>
    <row r="7">
      <c r="A7" t="str">
        <v>Unit cost (Rp/m2)</v>
      </c>
      <c r="B7">
        <v>166705.668</v>
      </c>
    </row>
    <row r="8">
      <c r="A8" t="str">
        <v>Line total at-cost (Rp)</v>
      </c>
      <c r="B8">
        <v>7801825.262399999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m2</v>
      </c>
      <c r="J10" t="str">
        <v>Cost per m2</v>
      </c>
      <c r="K10" t="str">
        <v>Total qty (× vol)</v>
      </c>
      <c r="L10" t="str">
        <v>Total cost (Rp)</v>
      </c>
    </row>
    <row r="11">
      <c r="A11">
        <v>1</v>
      </c>
      <c r="B11" t="str">
        <v>MATERIAL (Material) — direct-ref lump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1 m2 Bekisting Batako POSISI TIDUR untuk Poer dan Sloof</v>
      </c>
      <c r="D12" t="str">
        <v>direct-reference lump from Analisa!F123 (block: 1 m2 Bekisting Batako POSISI TIDUR untuk Poer dan Sloof)</v>
      </c>
      <c r="E12">
        <v>1</v>
      </c>
      <c r="F12" t="str">
        <v>m2</v>
      </c>
      <c r="G12" t="str">
        <v>per m2</v>
      </c>
      <c r="H12">
        <v>166705.668</v>
      </c>
      <c r="I12">
        <v>1</v>
      </c>
      <c r="J12">
        <v>166705.668</v>
      </c>
      <c r="K12">
        <v>46.8</v>
      </c>
      <c r="L12">
        <v>7801825.262399999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>SUBTOTAL — At-cost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>
        <v>166705.668</v>
      </c>
      <c r="J14" t="str">
        <v/>
      </c>
      <c r="K14" t="str">
        <v/>
      </c>
      <c r="L14">
        <v>7801825.262399999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>RECONCILIATION</v>
      </c>
    </row>
    <row r="17">
      <c r="A17" t="str">
        <v>Computed unit cost</v>
      </c>
      <c r="B17">
        <v>166705.668</v>
      </c>
    </row>
    <row r="18">
      <c r="A18" t="str">
        <v>RAB (A) source unit cost</v>
      </c>
      <c r="B18">
        <v>166705.668</v>
      </c>
    </row>
    <row r="19">
      <c r="A19" t="str">
        <v>Variance</v>
      </c>
      <c r="B19">
        <v>0</v>
      </c>
      <c r="C19" t="str">
        <v>✓ OK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Computed line total</v>
      </c>
      <c r="B21">
        <v>7801825.262399999</v>
      </c>
    </row>
    <row r="22">
      <c r="A22" t="str">
        <v>RAB (A) source line total</v>
      </c>
      <c r="B22">
        <v>9518226.820128</v>
      </c>
    </row>
    <row r="23">
      <c r="A23" t="str">
        <v>Variance</v>
      </c>
      <c r="B23">
        <v>-1716401.557728</v>
      </c>
      <c r="C23" t="str">
        <v>✓ OK</v>
      </c>
    </row>
  </sheetData>
  <ignoredErrors>
    <ignoredError numberStoredAsText="1" sqref="A1:L23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L25"/>
  <sheetViews>
    <sheetView workbookViewId="0" rightToLeft="0"/>
  </sheetViews>
  <sheetData>
    <row r="1">
      <c r="A1" t="str">
        <v>BREAKDOWN — (A) II.B.3 Strauss pile dia. 30 cm, panjang tiang 12 meter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Strauss pile dia. 30 cm, panjang tiang 12 meter</v>
      </c>
    </row>
    <row r="5">
      <c r="A5" t="str">
        <v>Unit</v>
      </c>
      <c r="B5" t="str">
        <v>titik</v>
      </c>
    </row>
    <row r="6">
      <c r="A6" t="str">
        <v>Volume</v>
      </c>
      <c r="B6">
        <v>155</v>
      </c>
    </row>
    <row r="7">
      <c r="A7" t="str">
        <v>Unit cost (Rp/titik)</v>
      </c>
      <c r="B7">
        <v>3502524.506310029</v>
      </c>
    </row>
    <row r="8">
      <c r="A8" t="str">
        <v>Line total at-cost (Rp)</v>
      </c>
      <c r="B8">
        <v>542891298.4780545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titik</v>
      </c>
      <c r="J10" t="str">
        <v>Cost per titik</v>
      </c>
      <c r="K10" t="str">
        <v>Total qty (× vol)</v>
      </c>
      <c r="L10" t="str">
        <v>Total cost (Rp)</v>
      </c>
    </row>
    <row r="11">
      <c r="A11">
        <v>1</v>
      </c>
      <c r="B11" t="str">
        <v>MATERIAL (Material) — direct-ref lump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1 titik Bored Pile dia. 30 cm, Panjang 12 m</v>
      </c>
      <c r="D12" t="str">
        <v>direct-reference lump from Analisa!F282 (block: 1 titik Bored Pile dia. 30 cm, Panjang 12 m)</v>
      </c>
      <c r="E12">
        <v>1</v>
      </c>
      <c r="F12" t="str">
        <v>titik</v>
      </c>
      <c r="G12" t="str">
        <v>per titik</v>
      </c>
      <c r="H12">
        <v>1866439.2217743709</v>
      </c>
      <c r="I12">
        <v>1</v>
      </c>
      <c r="J12">
        <v>1866439.2217743709</v>
      </c>
      <c r="K12">
        <v>155</v>
      </c>
      <c r="L12">
        <v>289298079.3750275</v>
      </c>
    </row>
    <row r="13">
      <c r="A13">
        <v>2</v>
      </c>
      <c r="B13" t="str">
        <v>UPAH (Labor) — direct-ref lump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1 titik Bored Pile dia. 30 cm, Panjang 12 m</v>
      </c>
      <c r="D14" t="str">
        <v>direct-reference lump from Analisa!G282 (block: 1 titik Bored Pile dia. 30 cm, Panjang 12 m)</v>
      </c>
      <c r="E14">
        <v>1</v>
      </c>
      <c r="F14" t="str">
        <v>titik</v>
      </c>
      <c r="G14" t="str">
        <v>per titik</v>
      </c>
      <c r="H14">
        <v>1636085.2845356583</v>
      </c>
      <c r="I14">
        <v>1</v>
      </c>
      <c r="J14">
        <v>1636085.2845356583</v>
      </c>
      <c r="K14">
        <v>155</v>
      </c>
      <c r="L14">
        <v>253593219.10302705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>SUBTOTAL — At-cost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>
        <v>3502524.506310029</v>
      </c>
      <c r="J16" t="str">
        <v/>
      </c>
      <c r="K16" t="str">
        <v/>
      </c>
      <c r="L16">
        <v>542891298.4780545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>RECONCILIATION</v>
      </c>
    </row>
    <row r="19">
      <c r="A19" t="str">
        <v>Computed unit cost</v>
      </c>
      <c r="B19">
        <v>3502524.506310029</v>
      </c>
    </row>
    <row r="20">
      <c r="A20" t="str">
        <v>RAB (A) source unit cost</v>
      </c>
      <c r="B20">
        <v>3502524.506310029</v>
      </c>
    </row>
    <row r="21">
      <c r="A21" t="str">
        <v>Variance</v>
      </c>
      <c r="B21">
        <v>0</v>
      </c>
      <c r="C21" t="str">
        <v>✓ OK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>Computed line total</v>
      </c>
      <c r="B23">
        <v>542891298.4780545</v>
      </c>
    </row>
    <row r="24">
      <c r="A24" t="str">
        <v>RAB (A) source line total</v>
      </c>
      <c r="B24">
        <v>624324993.2497625</v>
      </c>
    </row>
    <row r="25">
      <c r="A25" t="str">
        <v>Variance</v>
      </c>
      <c r="B25">
        <v>-81433694.77170801</v>
      </c>
      <c r="C25" t="str">
        <v>✓ OK</v>
      </c>
    </row>
  </sheetData>
  <ignoredErrors>
    <ignoredError numberStoredAsText="1" sqref="A1:L25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(A) III.B.1.1 - Poer PC.1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Poer PC.1</v>
      </c>
    </row>
    <row r="5">
      <c r="A5" t="str">
        <v>Unit</v>
      </c>
      <c r="B5" t="str">
        <v>m3</v>
      </c>
    </row>
    <row r="6">
      <c r="A6" t="str">
        <v>Volume</v>
      </c>
      <c r="B6">
        <v>3.420000000000001</v>
      </c>
    </row>
    <row r="7">
      <c r="A7" t="str">
        <v>Unit cost (Rp/m3)</v>
      </c>
      <c r="B7">
        <v>4331184.514375</v>
      </c>
    </row>
    <row r="8">
      <c r="A8" t="str">
        <v>Line total at-cost (Rp)</v>
      </c>
      <c r="B8">
        <v>14812651.039162504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1015650.0000000001</v>
      </c>
      <c r="I12">
        <v>1.2</v>
      </c>
      <c r="J12">
        <v>1218780</v>
      </c>
      <c r="K12">
        <v>4.104000000000001</v>
      </c>
      <c r="L12">
        <v>4168227.600000001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3.420000000000001</v>
      </c>
      <c r="L14">
        <v>256500.00000000006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800000</v>
      </c>
      <c r="I16">
        <v>1</v>
      </c>
      <c r="J16">
        <v>800000</v>
      </c>
      <c r="K16">
        <v>3.420000000000001</v>
      </c>
      <c r="L16">
        <v>2736000.0000000005</v>
      </c>
    </row>
    <row r="17">
      <c r="A17">
        <v>4</v>
      </c>
      <c r="B17" t="str">
        <v>BEKISTING BATAKO POSISI BERDIRI UNTUK POER DAN SLOOF (Material) — ratio 6.666666666666663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14</v>
      </c>
      <c r="F18" t="str">
        <v>pcs</v>
      </c>
      <c r="G18" t="str">
        <v>per m² form (cycle 1.00)</v>
      </c>
      <c r="H18">
        <v>4500</v>
      </c>
      <c r="I18">
        <v>93.33333333333329</v>
      </c>
      <c r="J18">
        <v>419999.99999999977</v>
      </c>
      <c r="K18">
        <v>319.19999999999993</v>
      </c>
      <c r="L18">
        <v>1436399.9999999995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0.08978310000000002</v>
      </c>
      <c r="F19" t="str">
        <v>sak</v>
      </c>
      <c r="G19" t="str">
        <v>per m² form (cycle 1.00)</v>
      </c>
      <c r="H19">
        <v>65000</v>
      </c>
      <c r="I19">
        <v>0.5985539999999998</v>
      </c>
      <c r="J19">
        <v>38906.00999999999</v>
      </c>
      <c r="K19">
        <v>2.04705468</v>
      </c>
      <c r="L19">
        <v>133058.55419999998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0.017953650000000005</v>
      </c>
      <c r="F20" t="str">
        <v>m3</v>
      </c>
      <c r="G20" t="str">
        <v>per m² form (cycle 1.00)</v>
      </c>
      <c r="H20">
        <v>350000</v>
      </c>
      <c r="I20">
        <v>0.11969099999999998</v>
      </c>
      <c r="J20">
        <v>41891.84999999999</v>
      </c>
      <c r="K20">
        <v>0.40934322</v>
      </c>
      <c r="L20">
        <v>143270.127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1.999999999999999</v>
      </c>
      <c r="J21">
        <v>79999.99999999996</v>
      </c>
      <c r="K21">
        <v>6.839999999999998</v>
      </c>
      <c r="L21">
        <v>273599.99999999994</v>
      </c>
    </row>
    <row r="22">
      <c r="A22">
        <v>5</v>
      </c>
      <c r="B22" t="str">
        <v>PEMBESIAN (Material) — ratio 146.83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7.91175</v>
      </c>
      <c r="F23" t="str">
        <v>kg</v>
      </c>
      <c r="G23" t="str">
        <v>per m3 beton</v>
      </c>
      <c r="H23">
        <v>10300</v>
      </c>
      <c r="I23">
        <v>7.91175</v>
      </c>
      <c r="J23">
        <v>81491.025</v>
      </c>
      <c r="K23">
        <v>27.058185000000005</v>
      </c>
      <c r="L23">
        <v>278699.3055000001</v>
      </c>
    </row>
    <row r="24">
      <c r="A24" t="str">
        <v/>
      </c>
      <c r="B24" t="str">
        <v/>
      </c>
      <c r="C24" t="str">
        <v>Besi beton D13</v>
      </c>
      <c r="D24" t="str">
        <v>U24/U40 polos</v>
      </c>
      <c r="E24">
        <v>138.918</v>
      </c>
      <c r="F24" t="str">
        <v>kg</v>
      </c>
      <c r="G24" t="str">
        <v>per m3 beton</v>
      </c>
      <c r="H24">
        <v>10300</v>
      </c>
      <c r="I24">
        <v>138.918</v>
      </c>
      <c r="J24">
        <v>1430855.4000000001</v>
      </c>
      <c r="K24">
        <v>475.0995600000001</v>
      </c>
      <c r="L24">
        <v>4893525.468000001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10300</v>
      </c>
      <c r="I25">
        <v>7.3414875000000075</v>
      </c>
      <c r="J25">
        <v>75617.32125000008</v>
      </c>
      <c r="K25">
        <v>25.107887250000033</v>
      </c>
      <c r="L25">
        <v>258611.23867500035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146.82975000000002</v>
      </c>
      <c r="J26">
        <v>14682.975000000002</v>
      </c>
      <c r="K26">
        <v>502.1577450000002</v>
      </c>
      <c r="L26">
        <v>50215.77450000002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3.0834247500000007</v>
      </c>
      <c r="J27">
        <v>53959.93312500001</v>
      </c>
      <c r="K27">
        <v>10.545312645000005</v>
      </c>
      <c r="L27">
        <v>184542.97128750008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4331184.514375</v>
      </c>
      <c r="J29" t="str">
        <v/>
      </c>
      <c r="K29" t="str">
        <v/>
      </c>
      <c r="L29">
        <v>14812651.039162504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4331184.514375</v>
      </c>
    </row>
    <row r="33">
      <c r="A33" t="str">
        <v>RAB (A) source unit cost</v>
      </c>
      <c r="B33">
        <v>4331184.514374999</v>
      </c>
    </row>
    <row r="34">
      <c r="A34" t="str">
        <v>Variance</v>
      </c>
      <c r="B34">
        <v>9.313225746154785e-10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14812651.039162504</v>
      </c>
    </row>
    <row r="37">
      <c r="A37" t="str">
        <v>RAB (A) source line total</v>
      </c>
      <c r="B37">
        <v>16886422.18464525</v>
      </c>
    </row>
    <row r="38">
      <c r="A38" t="str">
        <v>Variance</v>
      </c>
      <c r="B38">
        <v>-2073771.145482747</v>
      </c>
      <c r="C38" t="str">
        <v>✓ OK</v>
      </c>
    </row>
  </sheetData>
  <ignoredErrors>
    <ignoredError numberStoredAsText="1" sqref="A1:L38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L37"/>
  <sheetViews>
    <sheetView workbookViewId="0" rightToLeft="0"/>
  </sheetViews>
  <sheetData>
    <row r="1">
      <c r="A1" t="str">
        <v>BREAKDOWN — (A) III.B.1.2 - Poer PC.1A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Poer PC.1A</v>
      </c>
    </row>
    <row r="5">
      <c r="A5" t="str">
        <v>Unit</v>
      </c>
      <c r="B5" t="str">
        <v>m3</v>
      </c>
    </row>
    <row r="6">
      <c r="A6" t="str">
        <v>Volume</v>
      </c>
      <c r="B6">
        <v>1.008</v>
      </c>
    </row>
    <row r="7">
      <c r="A7" t="str">
        <v>Unit cost (Rp/m3)</v>
      </c>
      <c r="B7">
        <v>4992481.147019643</v>
      </c>
    </row>
    <row r="8">
      <c r="A8" t="str">
        <v>Line total at-cost (Rp)</v>
      </c>
      <c r="B8">
        <v>5032420.996195801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1015650.0000000001</v>
      </c>
      <c r="I12">
        <v>1.2</v>
      </c>
      <c r="J12">
        <v>1218780</v>
      </c>
      <c r="K12">
        <v>1.2096</v>
      </c>
      <c r="L12">
        <v>1228530.24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1.008</v>
      </c>
      <c r="L14">
        <v>75600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800000</v>
      </c>
      <c r="I16">
        <v>1</v>
      </c>
      <c r="J16">
        <v>800000</v>
      </c>
      <c r="K16">
        <v>1.008</v>
      </c>
      <c r="L16">
        <v>806400</v>
      </c>
    </row>
    <row r="17">
      <c r="A17">
        <v>4</v>
      </c>
      <c r="B17" t="str">
        <v>BEKISTING BATAKO POSISI TIDUR UNTUK POER DAN SLOOF (Material) — ratio 6.666666666666666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26</v>
      </c>
      <c r="F18" t="str">
        <v>pcs</v>
      </c>
      <c r="G18" t="str">
        <v>per m² form (cycle 1.00)</v>
      </c>
      <c r="H18">
        <v>4500</v>
      </c>
      <c r="I18">
        <v>173.33333333333331</v>
      </c>
      <c r="J18">
        <v>779999.9999999999</v>
      </c>
      <c r="K18">
        <v>174.71999999999997</v>
      </c>
      <c r="L18">
        <v>786239.9999999999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0.27932520000000005</v>
      </c>
      <c r="F19" t="str">
        <v>sak</v>
      </c>
      <c r="G19" t="str">
        <v>per m² form (cycle 1.00)</v>
      </c>
      <c r="H19">
        <v>65000</v>
      </c>
      <c r="I19">
        <v>1.8621680000000003</v>
      </c>
      <c r="J19">
        <v>121040.92000000001</v>
      </c>
      <c r="K19">
        <v>1.8770653440000002</v>
      </c>
      <c r="L19">
        <v>122009.24736000001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0.05585580000000001</v>
      </c>
      <c r="F20" t="str">
        <v>m3</v>
      </c>
      <c r="G20" t="str">
        <v>per m² form (cycle 1.00)</v>
      </c>
      <c r="H20">
        <v>350000</v>
      </c>
      <c r="I20">
        <v>0.37237200000000004</v>
      </c>
      <c r="J20">
        <v>130330.20000000001</v>
      </c>
      <c r="K20">
        <v>0.37535097600000006</v>
      </c>
      <c r="L20">
        <v>131372.8416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1.9999999999999998</v>
      </c>
      <c r="J21">
        <v>79999.99999999999</v>
      </c>
      <c r="K21">
        <v>2.0159999999999996</v>
      </c>
      <c r="L21">
        <v>80639.99999999999</v>
      </c>
    </row>
    <row r="22">
      <c r="A22">
        <v>5</v>
      </c>
      <c r="B22" t="str">
        <v>PEMBESIAN (Material) — ratio 158.42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D13</v>
      </c>
      <c r="D23" t="str">
        <v>U24/U40 polos</v>
      </c>
      <c r="E23">
        <v>158.4161335714286</v>
      </c>
      <c r="F23" t="str">
        <v>kg</v>
      </c>
      <c r="G23" t="str">
        <v>per m3 beton</v>
      </c>
      <c r="H23">
        <v>10300</v>
      </c>
      <c r="I23">
        <v>158.4161335714286</v>
      </c>
      <c r="J23">
        <v>1631686.1757857145</v>
      </c>
      <c r="K23">
        <v>159.68346264000002</v>
      </c>
      <c r="L23">
        <v>1644739.6651920003</v>
      </c>
    </row>
    <row r="24">
      <c r="A24" t="str">
        <v/>
      </c>
      <c r="B24" t="str">
        <v/>
      </c>
      <c r="C24" t="str">
        <v>Besi beton — waste (5%)</v>
      </c>
      <c r="D24" t="str">
        <v>applied via AHS coeff 1.05</v>
      </c>
      <c r="E24">
        <v>0.050000000000000044</v>
      </c>
      <c r="F24" t="str">
        <v>kg</v>
      </c>
      <c r="G24" t="str">
        <v>per m3 beton</v>
      </c>
      <c r="H24">
        <v>10300</v>
      </c>
      <c r="I24">
        <v>7.920806678571436</v>
      </c>
      <c r="J24">
        <v>81584.30878928579</v>
      </c>
      <c r="K24">
        <v>7.9841731320000076</v>
      </c>
      <c r="L24">
        <v>82236.98325960008</v>
      </c>
    </row>
    <row r="25">
      <c r="A25" t="str">
        <v/>
      </c>
      <c r="B25" t="str">
        <v/>
      </c>
      <c r="C25" t="str">
        <v>Beton decking</v>
      </c>
      <c r="D25" t="str">
        <v>spacer</v>
      </c>
      <c r="E25">
        <v>1</v>
      </c>
      <c r="F25" t="str">
        <v>kg-eq</v>
      </c>
      <c r="G25" t="str">
        <v>per kg besi</v>
      </c>
      <c r="H25">
        <v>100</v>
      </c>
      <c r="I25">
        <v>158.4161335714286</v>
      </c>
      <c r="J25">
        <v>15841.613357142858</v>
      </c>
      <c r="K25">
        <v>159.68346264000002</v>
      </c>
      <c r="L25">
        <v>15968.346264000002</v>
      </c>
    </row>
    <row r="26">
      <c r="A26" t="str">
        <v/>
      </c>
      <c r="B26" t="str">
        <v/>
      </c>
      <c r="C26" t="str">
        <v>Bendrat (kawat ikat)</v>
      </c>
      <c r="D26" t="str">
        <v>2.1% of besi (raw)</v>
      </c>
      <c r="E26">
        <v>0.021</v>
      </c>
      <c r="F26" t="str">
        <v>kg</v>
      </c>
      <c r="G26" t="str">
        <v>per kg besi (raw)</v>
      </c>
      <c r="H26">
        <v>17500</v>
      </c>
      <c r="I26">
        <v>3.3267388050000006</v>
      </c>
      <c r="J26">
        <v>58217.92908750001</v>
      </c>
      <c r="K26">
        <v>3.3533527154400007</v>
      </c>
      <c r="L26">
        <v>58683.67252020001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</row>
    <row r="28">
      <c r="A28" t="str">
        <v/>
      </c>
      <c r="B28" t="str">
        <v>SUBTOTAL — At-cost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>
        <v>4992481.147019643</v>
      </c>
      <c r="J28" t="str">
        <v/>
      </c>
      <c r="K28" t="str">
        <v/>
      </c>
      <c r="L28">
        <v>5032420.996195801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>RECONCILIATION</v>
      </c>
    </row>
    <row r="31">
      <c r="A31" t="str">
        <v>Computed unit cost</v>
      </c>
      <c r="B31">
        <v>4992481.147019643</v>
      </c>
    </row>
    <row r="32">
      <c r="A32" t="str">
        <v>RAB (A) source unit cost</v>
      </c>
      <c r="B32">
        <v>4992481.147019643</v>
      </c>
    </row>
    <row r="33">
      <c r="A33" t="str">
        <v>Variance</v>
      </c>
      <c r="B33">
        <v>0</v>
      </c>
      <c r="C33" t="str">
        <v>✓ OK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</row>
    <row r="35">
      <c r="A35" t="str">
        <v>Computed line total</v>
      </c>
      <c r="B35">
        <v>5032420.996195801</v>
      </c>
    </row>
    <row r="36">
      <c r="A36" t="str">
        <v>RAB (A) source line total</v>
      </c>
      <c r="B36">
        <v>5736959.935663212</v>
      </c>
    </row>
    <row r="37">
      <c r="A37" t="str">
        <v>Variance</v>
      </c>
      <c r="B37">
        <v>-704538.9394674115</v>
      </c>
      <c r="C37" t="str">
        <v>✓ OK</v>
      </c>
    </row>
  </sheetData>
  <ignoredErrors>
    <ignoredError numberStoredAsText="1" sqref="A1:L37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(A) III.B.1.3 - Poer PC.2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Poer PC.2</v>
      </c>
    </row>
    <row r="5">
      <c r="A5" t="str">
        <v>Unit</v>
      </c>
      <c r="B5" t="str">
        <v>m3</v>
      </c>
    </row>
    <row r="6">
      <c r="A6" t="str">
        <v>Volume</v>
      </c>
      <c r="B6">
        <v>5.850000000000001</v>
      </c>
    </row>
    <row r="7">
      <c r="A7" t="str">
        <v>Unit cost (Rp/m3)</v>
      </c>
      <c r="B7">
        <v>4168111.311234999</v>
      </c>
    </row>
    <row r="8">
      <c r="A8" t="str">
        <v>Line total at-cost (Rp)</v>
      </c>
      <c r="B8">
        <v>24383451.17072475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1015650.0000000001</v>
      </c>
      <c r="I12">
        <v>1.2</v>
      </c>
      <c r="J12">
        <v>1218780</v>
      </c>
      <c r="K12">
        <v>7.020000000000001</v>
      </c>
      <c r="L12">
        <v>7129863.000000002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5.850000000000001</v>
      </c>
      <c r="L14">
        <v>438750.0000000001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800000</v>
      </c>
      <c r="I16">
        <v>1</v>
      </c>
      <c r="J16">
        <v>800000</v>
      </c>
      <c r="K16">
        <v>5.850000000000001</v>
      </c>
      <c r="L16">
        <v>4680000.000000001</v>
      </c>
    </row>
    <row r="17">
      <c r="A17">
        <v>4</v>
      </c>
      <c r="B17" t="str">
        <v>BEKISTING BATAKO POSISI BERDIRI UNTUK POER DAN SLOOF (Material) — ratio 4.666666666666667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14</v>
      </c>
      <c r="F18" t="str">
        <v>pcs</v>
      </c>
      <c r="G18" t="str">
        <v>per m² form (cycle 1.00)</v>
      </c>
      <c r="H18">
        <v>4500</v>
      </c>
      <c r="I18">
        <v>65.33333333333334</v>
      </c>
      <c r="J18">
        <v>294000.00000000006</v>
      </c>
      <c r="K18">
        <v>382.20000000000016</v>
      </c>
      <c r="L18">
        <v>1719900.0000000007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0.08978310000000002</v>
      </c>
      <c r="F19" t="str">
        <v>sak</v>
      </c>
      <c r="G19" t="str">
        <v>per m² form (cycle 1.00)</v>
      </c>
      <c r="H19">
        <v>65000</v>
      </c>
      <c r="I19">
        <v>0.41898780000000013</v>
      </c>
      <c r="J19">
        <v>27234.20700000001</v>
      </c>
      <c r="K19">
        <v>2.4510786300000014</v>
      </c>
      <c r="L19">
        <v>159320.1109500001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0.017953650000000005</v>
      </c>
      <c r="F20" t="str">
        <v>m3</v>
      </c>
      <c r="G20" t="str">
        <v>per m² form (cycle 1.00)</v>
      </c>
      <c r="H20">
        <v>350000</v>
      </c>
      <c r="I20">
        <v>0.08378370000000003</v>
      </c>
      <c r="J20">
        <v>29324.29500000001</v>
      </c>
      <c r="K20">
        <v>0.4901346450000003</v>
      </c>
      <c r="L20">
        <v>171547.1257500001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1.4000000000000001</v>
      </c>
      <c r="J21">
        <v>56000.00000000001</v>
      </c>
      <c r="K21">
        <v>8.190000000000003</v>
      </c>
      <c r="L21">
        <v>327600.0000000001</v>
      </c>
    </row>
    <row r="22">
      <c r="A22">
        <v>5</v>
      </c>
      <c r="B22" t="str">
        <v>PEMBESIAN (Material) — ratio 147.82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5.630700000000001</v>
      </c>
      <c r="F23" t="str">
        <v>kg</v>
      </c>
      <c r="G23" t="str">
        <v>per m3 beton</v>
      </c>
      <c r="H23">
        <v>10300</v>
      </c>
      <c r="I23">
        <v>5.630700000000001</v>
      </c>
      <c r="J23">
        <v>57996.21000000001</v>
      </c>
      <c r="K23">
        <v>32.93959500000001</v>
      </c>
      <c r="L23">
        <v>339277.8285000001</v>
      </c>
    </row>
    <row r="24">
      <c r="A24" t="str">
        <v/>
      </c>
      <c r="B24" t="str">
        <v/>
      </c>
      <c r="C24" t="str">
        <v>Besi beton D13</v>
      </c>
      <c r="D24" t="str">
        <v>U24/U40 polos</v>
      </c>
      <c r="E24">
        <v>46.72275399999998</v>
      </c>
      <c r="F24" t="str">
        <v>kg</v>
      </c>
      <c r="G24" t="str">
        <v>per m3 beton</v>
      </c>
      <c r="H24">
        <v>10300</v>
      </c>
      <c r="I24">
        <v>46.72275399999998</v>
      </c>
      <c r="J24">
        <v>481244.3661999998</v>
      </c>
      <c r="K24">
        <v>273.32811089999996</v>
      </c>
      <c r="L24">
        <v>2815279.5422699996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95.46598399999996</v>
      </c>
      <c r="F25" t="str">
        <v>kg</v>
      </c>
      <c r="G25" t="str">
        <v>per m3 beton</v>
      </c>
      <c r="H25">
        <v>10300</v>
      </c>
      <c r="I25">
        <v>95.46598399999996</v>
      </c>
      <c r="J25">
        <v>983299.6351999997</v>
      </c>
      <c r="K25">
        <v>558.4760064</v>
      </c>
      <c r="L25">
        <v>5752302.86592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10300</v>
      </c>
      <c r="I26">
        <v>7.390971900000003</v>
      </c>
      <c r="J26">
        <v>76127.01057000003</v>
      </c>
      <c r="K26">
        <v>43.23718561500003</v>
      </c>
      <c r="L26">
        <v>445343.01183450024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147.81943799999993</v>
      </c>
      <c r="J27">
        <v>14781.943799999994</v>
      </c>
      <c r="K27">
        <v>864.7437122999999</v>
      </c>
      <c r="L27">
        <v>86474.37122999999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3.104208197999999</v>
      </c>
      <c r="J28">
        <v>54323.64346499998</v>
      </c>
      <c r="K28">
        <v>18.159617958299997</v>
      </c>
      <c r="L28">
        <v>317793.31427025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4168111.311234999</v>
      </c>
      <c r="J30" t="str">
        <v/>
      </c>
      <c r="K30" t="str">
        <v/>
      </c>
      <c r="L30">
        <v>24383451.17072475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4168111.311234999</v>
      </c>
    </row>
    <row r="34">
      <c r="A34" t="str">
        <v>RAB (A) source unit cost</v>
      </c>
      <c r="B34">
        <v>4168111.3112349994</v>
      </c>
    </row>
    <row r="35">
      <c r="A35" t="str">
        <v>Variance</v>
      </c>
      <c r="B35">
        <v>-4.656612873077393e-10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24383451.17072475</v>
      </c>
    </row>
    <row r="38">
      <c r="A38" t="str">
        <v>RAB (A) source line total</v>
      </c>
      <c r="B38">
        <v>27797134.334626216</v>
      </c>
    </row>
    <row r="39">
      <c r="A39" t="str">
        <v>Variance</v>
      </c>
      <c r="B39">
        <v>-3413683.163901467</v>
      </c>
      <c r="C39" t="str">
        <v>✓ OK</v>
      </c>
    </row>
  </sheetData>
  <ignoredErrors>
    <ignoredError numberStoredAsText="1" sqref="A1:L39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L37"/>
  <sheetViews>
    <sheetView workbookViewId="0" rightToLeft="0"/>
  </sheetViews>
  <sheetData>
    <row r="1">
      <c r="A1" t="str">
        <v>BREAKDOWN — (A) III.B.1.4 - Poer PC.2A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Poer PC.2A</v>
      </c>
    </row>
    <row r="5">
      <c r="A5" t="str">
        <v>Unit</v>
      </c>
      <c r="B5" t="str">
        <v>m3</v>
      </c>
    </row>
    <row r="6">
      <c r="A6" t="str">
        <v>Volume</v>
      </c>
      <c r="B6">
        <v>2.16</v>
      </c>
    </row>
    <row r="7">
      <c r="A7" t="str">
        <v>Unit cost (Rp/m3)</v>
      </c>
      <c r="B7">
        <v>3941771.002755</v>
      </c>
    </row>
    <row r="8">
      <c r="A8" t="str">
        <v>Line total at-cost (Rp)</v>
      </c>
      <c r="B8">
        <v>8514225.3659508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1015650.0000000001</v>
      </c>
      <c r="I12">
        <v>1.2</v>
      </c>
      <c r="J12">
        <v>1218780</v>
      </c>
      <c r="K12">
        <v>2.592</v>
      </c>
      <c r="L12">
        <v>2632564.8000000003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2.16</v>
      </c>
      <c r="L14">
        <v>162000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800000</v>
      </c>
      <c r="I16">
        <v>1</v>
      </c>
      <c r="J16">
        <v>800000</v>
      </c>
      <c r="K16">
        <v>2.16</v>
      </c>
      <c r="L16">
        <v>1728000</v>
      </c>
    </row>
    <row r="17">
      <c r="A17">
        <v>4</v>
      </c>
      <c r="B17" t="str">
        <v>BEKISTING BATAKO POSISI BERDIRI UNTUK POER DAN SLOOF (Material) — ratio 4.666666666666666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14</v>
      </c>
      <c r="F18" t="str">
        <v>pcs</v>
      </c>
      <c r="G18" t="str">
        <v>per m² form (cycle 1.00)</v>
      </c>
      <c r="H18">
        <v>4500</v>
      </c>
      <c r="I18">
        <v>65.33333333333333</v>
      </c>
      <c r="J18">
        <v>294000</v>
      </c>
      <c r="K18">
        <v>141.12</v>
      </c>
      <c r="L18">
        <v>635040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0.08978310000000002</v>
      </c>
      <c r="F19" t="str">
        <v>sak</v>
      </c>
      <c r="G19" t="str">
        <v>per m² form (cycle 1.00)</v>
      </c>
      <c r="H19">
        <v>65000</v>
      </c>
      <c r="I19">
        <v>0.4189878</v>
      </c>
      <c r="J19">
        <v>27234.207000000002</v>
      </c>
      <c r="K19">
        <v>0.9050136480000001</v>
      </c>
      <c r="L19">
        <v>58825.88712000001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0.017953650000000005</v>
      </c>
      <c r="F20" t="str">
        <v>m3</v>
      </c>
      <c r="G20" t="str">
        <v>per m² form (cycle 1.00)</v>
      </c>
      <c r="H20">
        <v>350000</v>
      </c>
      <c r="I20">
        <v>0.08378370000000002</v>
      </c>
      <c r="J20">
        <v>29324.295000000006</v>
      </c>
      <c r="K20">
        <v>0.18097279200000005</v>
      </c>
      <c r="L20">
        <v>63340.477200000016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1.3999999999999997</v>
      </c>
      <c r="J21">
        <v>55999.999999999985</v>
      </c>
      <c r="K21">
        <v>3.0239999999999996</v>
      </c>
      <c r="L21">
        <v>120959.99999999997</v>
      </c>
    </row>
    <row r="22">
      <c r="A22">
        <v>5</v>
      </c>
      <c r="B22" t="str">
        <v>PEMBESIAN (Material) — ratio 127.76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D13</v>
      </c>
      <c r="D23" t="str">
        <v>U24/U40 polos</v>
      </c>
      <c r="E23">
        <v>127.75825399999997</v>
      </c>
      <c r="F23" t="str">
        <v>kg</v>
      </c>
      <c r="G23" t="str">
        <v>per m3 beton</v>
      </c>
      <c r="H23">
        <v>10300</v>
      </c>
      <c r="I23">
        <v>127.75825399999997</v>
      </c>
      <c r="J23">
        <v>1315910.0161999997</v>
      </c>
      <c r="K23">
        <v>275.95782863999995</v>
      </c>
      <c r="L23">
        <v>2842365.6349919997</v>
      </c>
    </row>
    <row r="24">
      <c r="A24" t="str">
        <v/>
      </c>
      <c r="B24" t="str">
        <v/>
      </c>
      <c r="C24" t="str">
        <v>Besi beton — waste (5%)</v>
      </c>
      <c r="D24" t="str">
        <v>applied via AHS coeff 1.05</v>
      </c>
      <c r="E24">
        <v>0.050000000000000044</v>
      </c>
      <c r="F24" t="str">
        <v>kg</v>
      </c>
      <c r="G24" t="str">
        <v>per m3 beton</v>
      </c>
      <c r="H24">
        <v>10300</v>
      </c>
      <c r="I24">
        <v>6.387912700000004</v>
      </c>
      <c r="J24">
        <v>65795.50081000004</v>
      </c>
      <c r="K24">
        <v>13.797891432000009</v>
      </c>
      <c r="L24">
        <v>142118.2817496001</v>
      </c>
    </row>
    <row r="25">
      <c r="A25" t="str">
        <v/>
      </c>
      <c r="B25" t="str">
        <v/>
      </c>
      <c r="C25" t="str">
        <v>Beton decking</v>
      </c>
      <c r="D25" t="str">
        <v>spacer</v>
      </c>
      <c r="E25">
        <v>1</v>
      </c>
      <c r="F25" t="str">
        <v>kg-eq</v>
      </c>
      <c r="G25" t="str">
        <v>per kg besi</v>
      </c>
      <c r="H25">
        <v>100</v>
      </c>
      <c r="I25">
        <v>127.75825399999997</v>
      </c>
      <c r="J25">
        <v>12775.825399999996</v>
      </c>
      <c r="K25">
        <v>275.95782863999995</v>
      </c>
      <c r="L25">
        <v>27595.782863999993</v>
      </c>
    </row>
    <row r="26">
      <c r="A26" t="str">
        <v/>
      </c>
      <c r="B26" t="str">
        <v/>
      </c>
      <c r="C26" t="str">
        <v>Bendrat (kawat ikat)</v>
      </c>
      <c r="D26" t="str">
        <v>2.1% of besi (raw)</v>
      </c>
      <c r="E26">
        <v>0.021</v>
      </c>
      <c r="F26" t="str">
        <v>kg</v>
      </c>
      <c r="G26" t="str">
        <v>per kg besi (raw)</v>
      </c>
      <c r="H26">
        <v>17500</v>
      </c>
      <c r="I26">
        <v>2.6829233339999994</v>
      </c>
      <c r="J26">
        <v>46951.15834499999</v>
      </c>
      <c r="K26">
        <v>5.795114401439999</v>
      </c>
      <c r="L26">
        <v>101414.50202519998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</row>
    <row r="28">
      <c r="A28" t="str">
        <v/>
      </c>
      <c r="B28" t="str">
        <v>SUBTOTAL — At-cost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>
        <v>3941771.002755</v>
      </c>
      <c r="J28" t="str">
        <v/>
      </c>
      <c r="K28" t="str">
        <v/>
      </c>
      <c r="L28">
        <v>8514225.3659508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>RECONCILIATION</v>
      </c>
    </row>
    <row r="31">
      <c r="A31" t="str">
        <v>Computed unit cost</v>
      </c>
      <c r="B31">
        <v>3941771.002755</v>
      </c>
    </row>
    <row r="32">
      <c r="A32" t="str">
        <v>RAB (A) source unit cost</v>
      </c>
      <c r="B32">
        <v>3941771.0027549993</v>
      </c>
    </row>
    <row r="33">
      <c r="A33" t="str">
        <v>Variance</v>
      </c>
      <c r="B33">
        <v>4.656612873077393e-10</v>
      </c>
      <c r="C33" t="str">
        <v>✓ OK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</row>
    <row r="35">
      <c r="A35" t="str">
        <v>Computed line total</v>
      </c>
      <c r="B35">
        <v>8514225.3659508</v>
      </c>
    </row>
    <row r="36">
      <c r="A36" t="str">
        <v>RAB (A) source line total</v>
      </c>
      <c r="B36">
        <v>9706216.91718391</v>
      </c>
    </row>
    <row r="37">
      <c r="A37" t="str">
        <v>Variance</v>
      </c>
      <c r="B37">
        <v>-1191991.551233109</v>
      </c>
      <c r="C37" t="str">
        <v>✓ OK</v>
      </c>
    </row>
  </sheetData>
  <ignoredErrors>
    <ignoredError numberStoredAsText="1" sqref="A1:L37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L37"/>
  <sheetViews>
    <sheetView workbookViewId="0" rightToLeft="0"/>
  </sheetViews>
  <sheetData>
    <row r="1">
      <c r="A1" t="str">
        <v>BREAKDOWN — (A) III.B.1.5 - Poer PC.3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Poer PC.3</v>
      </c>
    </row>
    <row r="5">
      <c r="A5" t="str">
        <v>Unit</v>
      </c>
      <c r="B5" t="str">
        <v>m3</v>
      </c>
    </row>
    <row r="6">
      <c r="A6" t="str">
        <v>Volume</v>
      </c>
      <c r="B6">
        <v>2.6910000000000003</v>
      </c>
    </row>
    <row r="7">
      <c r="A7" t="str">
        <v>Unit cost (Rp/m3)</v>
      </c>
      <c r="B7">
        <v>3642879.6982623357</v>
      </c>
    </row>
    <row r="8">
      <c r="A8" t="str">
        <v>Line total at-cost (Rp)</v>
      </c>
      <c r="B8">
        <v>9802989.268023947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1015650.0000000001</v>
      </c>
      <c r="I12">
        <v>1.2</v>
      </c>
      <c r="J12">
        <v>1218780</v>
      </c>
      <c r="K12">
        <v>3.2292</v>
      </c>
      <c r="L12">
        <v>3279736.9800000004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2.6910000000000003</v>
      </c>
      <c r="L14">
        <v>201825.00000000003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800000</v>
      </c>
      <c r="I16">
        <v>1</v>
      </c>
      <c r="J16">
        <v>800000</v>
      </c>
      <c r="K16">
        <v>2.6910000000000003</v>
      </c>
      <c r="L16">
        <v>2152800</v>
      </c>
    </row>
    <row r="17">
      <c r="A17">
        <v>4</v>
      </c>
      <c r="B17" t="str">
        <v>BEKISTING BATAKO POSISI BERDIRI UNTUK POER DAN SLOOF (Material) — ratio 3.2889995980012476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14</v>
      </c>
      <c r="F18" t="str">
        <v>pcs</v>
      </c>
      <c r="G18" t="str">
        <v>per m² form (cycle 1.00)</v>
      </c>
      <c r="H18">
        <v>4500</v>
      </c>
      <c r="I18">
        <v>46.04599437201747</v>
      </c>
      <c r="J18">
        <v>207206.9746740786</v>
      </c>
      <c r="K18">
        <v>123.90977085509901</v>
      </c>
      <c r="L18">
        <v>557593.9688479456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0.08978310000000002</v>
      </c>
      <c r="F19" t="str">
        <v>sak</v>
      </c>
      <c r="G19" t="str">
        <v>per m² form (cycle 1.00)</v>
      </c>
      <c r="H19">
        <v>65000</v>
      </c>
      <c r="I19">
        <v>0.2952965798073059</v>
      </c>
      <c r="J19">
        <v>19194.27768747488</v>
      </c>
      <c r="K19">
        <v>0.7946430962614602</v>
      </c>
      <c r="L19">
        <v>51651.80125699491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0.017953650000000005</v>
      </c>
      <c r="F20" t="str">
        <v>m3</v>
      </c>
      <c r="G20" t="str">
        <v>per m² form (cycle 1.00)</v>
      </c>
      <c r="H20">
        <v>350000</v>
      </c>
      <c r="I20">
        <v>0.05904954763265512</v>
      </c>
      <c r="J20">
        <v>20667.34167142929</v>
      </c>
      <c r="K20">
        <v>0.15890233267947493</v>
      </c>
      <c r="L20">
        <v>55615.816437816226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0.9866998794003743</v>
      </c>
      <c r="J21">
        <v>39467.99517601497</v>
      </c>
      <c r="K21">
        <v>2.6552093754664075</v>
      </c>
      <c r="L21">
        <v>106208.3750186563</v>
      </c>
    </row>
    <row r="22">
      <c r="A22">
        <v>5</v>
      </c>
      <c r="B22" t="str">
        <v>PEMBESIAN (Material) — ratio 111.90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D13</v>
      </c>
      <c r="D23" t="str">
        <v>U24/U40 polos</v>
      </c>
      <c r="E23">
        <v>111.90455209867832</v>
      </c>
      <c r="F23" t="str">
        <v>kg</v>
      </c>
      <c r="G23" t="str">
        <v>per m3 beton</v>
      </c>
      <c r="H23">
        <v>10300</v>
      </c>
      <c r="I23">
        <v>111.90455209867832</v>
      </c>
      <c r="J23">
        <v>1152616.8866163867</v>
      </c>
      <c r="K23">
        <v>301.1351496975434</v>
      </c>
      <c r="L23">
        <v>3101692.041884697</v>
      </c>
    </row>
    <row r="24">
      <c r="A24" t="str">
        <v/>
      </c>
      <c r="B24" t="str">
        <v/>
      </c>
      <c r="C24" t="str">
        <v>Besi beton — waste (5%)</v>
      </c>
      <c r="D24" t="str">
        <v>applied via AHS coeff 1.05</v>
      </c>
      <c r="E24">
        <v>0.050000000000000044</v>
      </c>
      <c r="F24" t="str">
        <v>kg</v>
      </c>
      <c r="G24" t="str">
        <v>per m3 beton</v>
      </c>
      <c r="H24">
        <v>10300</v>
      </c>
      <c r="I24">
        <v>5.595227604933921</v>
      </c>
      <c r="J24">
        <v>57630.84433081939</v>
      </c>
      <c r="K24">
        <v>15.056757484877183</v>
      </c>
      <c r="L24">
        <v>155084.602094235</v>
      </c>
    </row>
    <row r="25">
      <c r="A25" t="str">
        <v/>
      </c>
      <c r="B25" t="str">
        <v/>
      </c>
      <c r="C25" t="str">
        <v>Beton decking</v>
      </c>
      <c r="D25" t="str">
        <v>spacer</v>
      </c>
      <c r="E25">
        <v>1</v>
      </c>
      <c r="F25" t="str">
        <v>kg-eq</v>
      </c>
      <c r="G25" t="str">
        <v>per kg besi</v>
      </c>
      <c r="H25">
        <v>100</v>
      </c>
      <c r="I25">
        <v>111.90455209867832</v>
      </c>
      <c r="J25">
        <v>11190.455209867832</v>
      </c>
      <c r="K25">
        <v>301.1351496975434</v>
      </c>
      <c r="L25">
        <v>30113.51496975434</v>
      </c>
    </row>
    <row r="26">
      <c r="A26" t="str">
        <v/>
      </c>
      <c r="B26" t="str">
        <v/>
      </c>
      <c r="C26" t="str">
        <v>Bendrat (kawat ikat)</v>
      </c>
      <c r="D26" t="str">
        <v>2.1% of besi (raw)</v>
      </c>
      <c r="E26">
        <v>0.021</v>
      </c>
      <c r="F26" t="str">
        <v>kg</v>
      </c>
      <c r="G26" t="str">
        <v>per kg besi (raw)</v>
      </c>
      <c r="H26">
        <v>17500</v>
      </c>
      <c r="I26">
        <v>2.349995594072245</v>
      </c>
      <c r="J26">
        <v>41124.92289626429</v>
      </c>
      <c r="K26">
        <v>6.323838143648412</v>
      </c>
      <c r="L26">
        <v>110667.1675138472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</row>
    <row r="28">
      <c r="A28" t="str">
        <v/>
      </c>
      <c r="B28" t="str">
        <v>SUBTOTAL — At-cost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>
        <v>3642879.6982623357</v>
      </c>
      <c r="J28" t="str">
        <v/>
      </c>
      <c r="K28" t="str">
        <v/>
      </c>
      <c r="L28">
        <v>9802989.268023947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>RECONCILIATION</v>
      </c>
    </row>
    <row r="31">
      <c r="A31" t="str">
        <v>Computed unit cost</v>
      </c>
      <c r="B31">
        <v>3642879.6982623357</v>
      </c>
    </row>
    <row r="32">
      <c r="A32" t="str">
        <v>RAB (A) source unit cost</v>
      </c>
      <c r="B32">
        <v>3642879.6982623357</v>
      </c>
    </row>
    <row r="33">
      <c r="A33" t="str">
        <v>Variance</v>
      </c>
      <c r="B33">
        <v>0</v>
      </c>
      <c r="C33" t="str">
        <v>✓ OK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</row>
    <row r="35">
      <c r="A35" t="str">
        <v>Computed line total</v>
      </c>
      <c r="B35">
        <v>9802989.268023947</v>
      </c>
    </row>
    <row r="36">
      <c r="A36" t="str">
        <v>RAB (A) source line total</v>
      </c>
      <c r="B36">
        <v>11175407.765547298</v>
      </c>
    </row>
    <row r="37">
      <c r="A37" t="str">
        <v>Variance</v>
      </c>
      <c r="B37">
        <v>-1372418.4975233506</v>
      </c>
      <c r="C37" t="str">
        <v>✓ OK</v>
      </c>
    </row>
  </sheetData>
  <ignoredErrors>
    <ignoredError numberStoredAsText="1" sqref="A1:L37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(A) III.B.1.6 - Poer PC.3A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Poer PC.3A</v>
      </c>
    </row>
    <row r="5">
      <c r="A5" t="str">
        <v>Unit</v>
      </c>
      <c r="B5" t="str">
        <v>m3</v>
      </c>
    </row>
    <row r="6">
      <c r="A6" t="str">
        <v>Volume</v>
      </c>
      <c r="B6">
        <v>1.728</v>
      </c>
    </row>
    <row r="7">
      <c r="A7" t="str">
        <v>Unit cost (Rp/m3)</v>
      </c>
      <c r="B7">
        <v>4156893.9440578124</v>
      </c>
    </row>
    <row r="8">
      <c r="A8" t="str">
        <v>Line total at-cost (Rp)</v>
      </c>
      <c r="B8">
        <v>7183112.7353318995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1015650.0000000001</v>
      </c>
      <c r="I12">
        <v>1.2</v>
      </c>
      <c r="J12">
        <v>1218780</v>
      </c>
      <c r="K12">
        <v>2.0736</v>
      </c>
      <c r="L12">
        <v>2106051.84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1.728</v>
      </c>
      <c r="L14">
        <v>129600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800000</v>
      </c>
      <c r="I16">
        <v>1</v>
      </c>
      <c r="J16">
        <v>800000</v>
      </c>
      <c r="K16">
        <v>1.728</v>
      </c>
      <c r="L16">
        <v>1382400</v>
      </c>
    </row>
    <row r="17">
      <c r="A17">
        <v>4</v>
      </c>
      <c r="B17" t="str">
        <v>BEKISTING BATAKO POSISI BERDIRI UNTUK POER DAN SLOOF (Material) — ratio 4.166666666666667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14</v>
      </c>
      <c r="F18" t="str">
        <v>pcs</v>
      </c>
      <c r="G18" t="str">
        <v>per m² form (cycle 1.00)</v>
      </c>
      <c r="H18">
        <v>4500</v>
      </c>
      <c r="I18">
        <v>58.333333333333336</v>
      </c>
      <c r="J18">
        <v>262500</v>
      </c>
      <c r="K18">
        <v>100.8</v>
      </c>
      <c r="L18">
        <v>453600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0.08978310000000002</v>
      </c>
      <c r="F19" t="str">
        <v>sak</v>
      </c>
      <c r="G19" t="str">
        <v>per m² form (cycle 1.00)</v>
      </c>
      <c r="H19">
        <v>65000</v>
      </c>
      <c r="I19">
        <v>0.37409625000000013</v>
      </c>
      <c r="J19">
        <v>24316.25625000001</v>
      </c>
      <c r="K19">
        <v>0.6464383200000002</v>
      </c>
      <c r="L19">
        <v>42018.490800000014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0.017953650000000005</v>
      </c>
      <c r="F20" t="str">
        <v>m3</v>
      </c>
      <c r="G20" t="str">
        <v>per m² form (cycle 1.00)</v>
      </c>
      <c r="H20">
        <v>350000</v>
      </c>
      <c r="I20">
        <v>0.07480687500000002</v>
      </c>
      <c r="J20">
        <v>26182.406250000007</v>
      </c>
      <c r="K20">
        <v>0.12926628000000004</v>
      </c>
      <c r="L20">
        <v>45243.19800000001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1.25</v>
      </c>
      <c r="J21">
        <v>50000</v>
      </c>
      <c r="K21">
        <v>2.16</v>
      </c>
      <c r="L21">
        <v>86400</v>
      </c>
    </row>
    <row r="22">
      <c r="A22">
        <v>5</v>
      </c>
      <c r="B22" t="str">
        <v>PEMBESIAN (Material) — ratio 150.69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D13</v>
      </c>
      <c r="D23" t="str">
        <v>U24/U40 polos</v>
      </c>
      <c r="E23">
        <v>54.018843125000004</v>
      </c>
      <c r="F23" t="str">
        <v>kg</v>
      </c>
      <c r="G23" t="str">
        <v>per m3 beton</v>
      </c>
      <c r="H23">
        <v>10300</v>
      </c>
      <c r="I23">
        <v>54.018843125000004</v>
      </c>
      <c r="J23">
        <v>556394.0841875001</v>
      </c>
      <c r="K23">
        <v>93.34456092</v>
      </c>
      <c r="L23">
        <v>961448.9774760001</v>
      </c>
    </row>
    <row r="24">
      <c r="A24" t="str">
        <v/>
      </c>
      <c r="B24" t="str">
        <v/>
      </c>
      <c r="C24" t="str">
        <v>Besi beton D16</v>
      </c>
      <c r="D24" t="str">
        <v>U24/U40 polos</v>
      </c>
      <c r="E24">
        <v>96.6672</v>
      </c>
      <c r="F24" t="str">
        <v>kg</v>
      </c>
      <c r="G24" t="str">
        <v>per m3 beton</v>
      </c>
      <c r="H24">
        <v>10300</v>
      </c>
      <c r="I24">
        <v>96.6672</v>
      </c>
      <c r="J24">
        <v>995672.1599999999</v>
      </c>
      <c r="K24">
        <v>167.0409216</v>
      </c>
      <c r="L24">
        <v>1720521.4924799998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10300</v>
      </c>
      <c r="I25">
        <v>7.534302156250007</v>
      </c>
      <c r="J25">
        <v>77603.31220937507</v>
      </c>
      <c r="K25">
        <v>13.019274126000012</v>
      </c>
      <c r="L25">
        <v>134098.5234978001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150.686043125</v>
      </c>
      <c r="J26">
        <v>15068.6043125</v>
      </c>
      <c r="K26">
        <v>260.38548252</v>
      </c>
      <c r="L26">
        <v>26038.548252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3.164406905625</v>
      </c>
      <c r="J27">
        <v>55377.1208484375</v>
      </c>
      <c r="K27">
        <v>5.468095132919999</v>
      </c>
      <c r="L27">
        <v>95691.66482610001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4156893.9440578124</v>
      </c>
      <c r="J29" t="str">
        <v/>
      </c>
      <c r="K29" t="str">
        <v/>
      </c>
      <c r="L29">
        <v>7183112.7353318995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4156893.9440578124</v>
      </c>
    </row>
    <row r="33">
      <c r="A33" t="str">
        <v>RAB (A) source unit cost</v>
      </c>
      <c r="B33">
        <v>4156893.944057813</v>
      </c>
    </row>
    <row r="34">
      <c r="A34" t="str">
        <v>Variance</v>
      </c>
      <c r="B34">
        <v>-4.656612873077393e-10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7183112.7353318995</v>
      </c>
    </row>
    <row r="37">
      <c r="A37" t="str">
        <v>RAB (A) source line total</v>
      </c>
      <c r="B37">
        <v>8188748.518278366</v>
      </c>
    </row>
    <row r="38">
      <c r="A38" t="str">
        <v>Variance</v>
      </c>
      <c r="B38">
        <v>-1005635.7829464665</v>
      </c>
      <c r="C38" t="str">
        <v>✓ OK</v>
      </c>
    </row>
  </sheetData>
  <ignoredErrors>
    <ignoredError numberStoredAsText="1" sqref="A1:L38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(A) III.B.1.7 - Poer PC.4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Poer PC.4</v>
      </c>
    </row>
    <row r="5">
      <c r="A5" t="str">
        <v>Unit</v>
      </c>
      <c r="B5" t="str">
        <v>m3</v>
      </c>
    </row>
    <row r="6">
      <c r="A6" t="str">
        <v>Volume</v>
      </c>
      <c r="B6">
        <v>2.25</v>
      </c>
    </row>
    <row r="7">
      <c r="A7" t="str">
        <v>Unit cost (Rp/m3)</v>
      </c>
      <c r="B7">
        <v>3503664.770980001</v>
      </c>
    </row>
    <row r="8">
      <c r="A8" t="str">
        <v>Line total at-cost (Rp)</v>
      </c>
      <c r="B8">
        <v>7883245.734705002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1015650.0000000001</v>
      </c>
      <c r="I12">
        <v>1.2</v>
      </c>
      <c r="J12">
        <v>1218780</v>
      </c>
      <c r="K12">
        <v>2.6999999999999997</v>
      </c>
      <c r="L12">
        <v>2742255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2.25</v>
      </c>
      <c r="L14">
        <v>168750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800000</v>
      </c>
      <c r="I16">
        <v>1</v>
      </c>
      <c r="J16">
        <v>800000</v>
      </c>
      <c r="K16">
        <v>2.25</v>
      </c>
      <c r="L16">
        <v>1800000</v>
      </c>
    </row>
    <row r="17">
      <c r="A17">
        <v>4</v>
      </c>
      <c r="B17" t="str">
        <v>BEKISTING BATAKO POSISI BERDIRI UNTUK POER DAN SLOOF (Material) — ratio 2.6666666666666665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14</v>
      </c>
      <c r="F18" t="str">
        <v>pcs</v>
      </c>
      <c r="G18" t="str">
        <v>per m² form (cycle 1.00)</v>
      </c>
      <c r="H18">
        <v>4500</v>
      </c>
      <c r="I18">
        <v>37.33333333333333</v>
      </c>
      <c r="J18">
        <v>167999.99999999997</v>
      </c>
      <c r="K18">
        <v>83.99999999999999</v>
      </c>
      <c r="L18">
        <v>377999.99999999994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0.08978310000000002</v>
      </c>
      <c r="F19" t="str">
        <v>sak</v>
      </c>
      <c r="G19" t="str">
        <v>per m² form (cycle 1.00)</v>
      </c>
      <c r="H19">
        <v>65000</v>
      </c>
      <c r="I19">
        <v>0.23942160000000004</v>
      </c>
      <c r="J19">
        <v>15562.404000000002</v>
      </c>
      <c r="K19">
        <v>0.5386986000000001</v>
      </c>
      <c r="L19">
        <v>35015.40900000001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0.017953650000000005</v>
      </c>
      <c r="F20" t="str">
        <v>m3</v>
      </c>
      <c r="G20" t="str">
        <v>per m² form (cycle 1.00)</v>
      </c>
      <c r="H20">
        <v>350000</v>
      </c>
      <c r="I20">
        <v>0.04787640000000001</v>
      </c>
      <c r="J20">
        <v>16756.740000000005</v>
      </c>
      <c r="K20">
        <v>0.10772190000000004</v>
      </c>
      <c r="L20">
        <v>37702.66500000001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0.7999999999999999</v>
      </c>
      <c r="J21">
        <v>31999.999999999996</v>
      </c>
      <c r="K21">
        <v>1.7999999999999998</v>
      </c>
      <c r="L21">
        <v>71999.99999999999</v>
      </c>
    </row>
    <row r="22">
      <c r="A22">
        <v>5</v>
      </c>
      <c r="B22" t="str">
        <v>PEMBESIAN (Material) — ratio 104.37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3.2386800000000004</v>
      </c>
      <c r="F23" t="str">
        <v>kg</v>
      </c>
      <c r="G23" t="str">
        <v>per m3 beton</v>
      </c>
      <c r="H23">
        <v>10300</v>
      </c>
      <c r="I23">
        <v>3.2386800000000004</v>
      </c>
      <c r="J23">
        <v>33358.404</v>
      </c>
      <c r="K23">
        <v>7.2870300000000015</v>
      </c>
      <c r="L23">
        <v>75056.409</v>
      </c>
    </row>
    <row r="24">
      <c r="A24" t="str">
        <v/>
      </c>
      <c r="B24" t="str">
        <v/>
      </c>
      <c r="C24" t="str">
        <v>Besi beton D13</v>
      </c>
      <c r="D24" t="str">
        <v>U24/U40 polos</v>
      </c>
      <c r="E24">
        <v>101.132304</v>
      </c>
      <c r="F24" t="str">
        <v>kg</v>
      </c>
      <c r="G24" t="str">
        <v>per m3 beton</v>
      </c>
      <c r="H24">
        <v>10300</v>
      </c>
      <c r="I24">
        <v>101.132304</v>
      </c>
      <c r="J24">
        <v>1041662.7312</v>
      </c>
      <c r="K24">
        <v>227.547684</v>
      </c>
      <c r="L24">
        <v>2343741.1452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10300</v>
      </c>
      <c r="I25">
        <v>5.218549200000005</v>
      </c>
      <c r="J25">
        <v>53751.05676000006</v>
      </c>
      <c r="K25">
        <v>11.741735700000012</v>
      </c>
      <c r="L25">
        <v>120939.87771000013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104.370984</v>
      </c>
      <c r="J26">
        <v>10437.0984</v>
      </c>
      <c r="K26">
        <v>234.83471400000002</v>
      </c>
      <c r="L26">
        <v>23483.471400000002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2.1917906640000004</v>
      </c>
      <c r="J27">
        <v>38356.33662000001</v>
      </c>
      <c r="K27">
        <v>4.931528994000001</v>
      </c>
      <c r="L27">
        <v>86301.75739500002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3503664.770980001</v>
      </c>
      <c r="J29" t="str">
        <v/>
      </c>
      <c r="K29" t="str">
        <v/>
      </c>
      <c r="L29">
        <v>7883245.734705002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3503664.770980001</v>
      </c>
    </row>
    <row r="33">
      <c r="A33" t="str">
        <v>RAB (A) source unit cost</v>
      </c>
      <c r="B33">
        <v>3503664.77098</v>
      </c>
    </row>
    <row r="34">
      <c r="A34" t="str">
        <v>Variance</v>
      </c>
      <c r="B34">
        <v>9.313225746154785e-10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7883245.734705002</v>
      </c>
    </row>
    <row r="37">
      <c r="A37" t="str">
        <v>RAB (A) source line total</v>
      </c>
      <c r="B37">
        <v>8986900.137563698</v>
      </c>
    </row>
    <row r="38">
      <c r="A38" t="str">
        <v>Variance</v>
      </c>
      <c r="B38">
        <v>-1103654.402858696</v>
      </c>
      <c r="C38" t="str">
        <v>✓ OK</v>
      </c>
    </row>
  </sheetData>
  <ignoredErrors>
    <ignoredError numberStoredAsText="1" sqref="A1:L38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(A) III.B.1.8 - Poer PC.5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Poer PC.5</v>
      </c>
    </row>
    <row r="5">
      <c r="A5" t="str">
        <v>Unit</v>
      </c>
      <c r="B5" t="str">
        <v>m3</v>
      </c>
    </row>
    <row r="6">
      <c r="A6" t="str">
        <v>Volume</v>
      </c>
      <c r="B6">
        <v>4.21875</v>
      </c>
    </row>
    <row r="7">
      <c r="A7" t="str">
        <v>Unit cost (Rp/m3)</v>
      </c>
      <c r="B7">
        <v>3147333.6404988803</v>
      </c>
    </row>
    <row r="8">
      <c r="A8" t="str">
        <v>Line total at-cost (Rp)</v>
      </c>
      <c r="B8">
        <v>13277813.79585465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1015650.0000000001</v>
      </c>
      <c r="I12">
        <v>1.2</v>
      </c>
      <c r="J12">
        <v>1218780</v>
      </c>
      <c r="K12">
        <v>5.0625</v>
      </c>
      <c r="L12">
        <v>5141728.125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4.21875</v>
      </c>
      <c r="L14">
        <v>316406.25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800000</v>
      </c>
      <c r="I16">
        <v>1</v>
      </c>
      <c r="J16">
        <v>800000</v>
      </c>
      <c r="K16">
        <v>4.21875</v>
      </c>
      <c r="L16">
        <v>3375000</v>
      </c>
    </row>
    <row r="17">
      <c r="A17">
        <v>4</v>
      </c>
      <c r="B17" t="str">
        <v>BEKISTING BATAKO POSISI BERDIRI UNTUK POER DAN SLOOF (Material) — ratio 2.1333333333333333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14</v>
      </c>
      <c r="F18" t="str">
        <v>pcs</v>
      </c>
      <c r="G18" t="str">
        <v>per m² form (cycle 1.00)</v>
      </c>
      <c r="H18">
        <v>4500</v>
      </c>
      <c r="I18">
        <v>29.866666666666667</v>
      </c>
      <c r="J18">
        <v>134400</v>
      </c>
      <c r="K18">
        <v>126</v>
      </c>
      <c r="L18">
        <v>567000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0.08978310000000002</v>
      </c>
      <c r="F19" t="str">
        <v>sak</v>
      </c>
      <c r="G19" t="str">
        <v>per m² form (cycle 1.00)</v>
      </c>
      <c r="H19">
        <v>65000</v>
      </c>
      <c r="I19">
        <v>0.19153728000000003</v>
      </c>
      <c r="J19">
        <v>12449.923200000003</v>
      </c>
      <c r="K19">
        <v>0.8080479000000002</v>
      </c>
      <c r="L19">
        <v>52523.113500000014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0.017953650000000005</v>
      </c>
      <c r="F20" t="str">
        <v>m3</v>
      </c>
      <c r="G20" t="str">
        <v>per m² form (cycle 1.00)</v>
      </c>
      <c r="H20">
        <v>350000</v>
      </c>
      <c r="I20">
        <v>0.03830112000000001</v>
      </c>
      <c r="J20">
        <v>13405.392000000003</v>
      </c>
      <c r="K20">
        <v>0.16158285000000003</v>
      </c>
      <c r="L20">
        <v>56553.99750000001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0.64</v>
      </c>
      <c r="J21">
        <v>25600</v>
      </c>
      <c r="K21">
        <v>2.7</v>
      </c>
      <c r="L21">
        <v>108000</v>
      </c>
    </row>
    <row r="22">
      <c r="A22">
        <v>5</v>
      </c>
      <c r="B22" t="str">
        <v>PEMBESIAN (Material) — ratio 76.91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D13</v>
      </c>
      <c r="D23" t="str">
        <v>U24/U40 polos</v>
      </c>
      <c r="E23">
        <v>29.253537664</v>
      </c>
      <c r="F23" t="str">
        <v>kg</v>
      </c>
      <c r="G23" t="str">
        <v>per m3 beton</v>
      </c>
      <c r="H23">
        <v>10300</v>
      </c>
      <c r="I23">
        <v>29.253537664</v>
      </c>
      <c r="J23">
        <v>301311.43793919997</v>
      </c>
      <c r="K23">
        <v>123.41336202</v>
      </c>
      <c r="L23">
        <v>1271157.6288059999</v>
      </c>
    </row>
    <row r="24">
      <c r="A24" t="str">
        <v/>
      </c>
      <c r="B24" t="str">
        <v/>
      </c>
      <c r="C24" t="str">
        <v>Besi beton D16</v>
      </c>
      <c r="D24" t="str">
        <v>U24/U40 polos</v>
      </c>
      <c r="E24">
        <v>47.65302784</v>
      </c>
      <c r="F24" t="str">
        <v>kg</v>
      </c>
      <c r="G24" t="str">
        <v>per m3 beton</v>
      </c>
      <c r="H24">
        <v>10300</v>
      </c>
      <c r="I24">
        <v>47.65302784</v>
      </c>
      <c r="J24">
        <v>490826.186752</v>
      </c>
      <c r="K24">
        <v>201.0362112</v>
      </c>
      <c r="L24">
        <v>2070672.97536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10300</v>
      </c>
      <c r="I25">
        <v>3.8453282752000035</v>
      </c>
      <c r="J25">
        <v>39606.88123456004</v>
      </c>
      <c r="K25">
        <v>16.222478661000014</v>
      </c>
      <c r="L25">
        <v>167091.53020830016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76.906565504</v>
      </c>
      <c r="J26">
        <v>7690.6565504</v>
      </c>
      <c r="K26">
        <v>324.44957322</v>
      </c>
      <c r="L26">
        <v>32444.957322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1.615037875584</v>
      </c>
      <c r="J27">
        <v>28263.16282272</v>
      </c>
      <c r="K27">
        <v>6.8134410376200005</v>
      </c>
      <c r="L27">
        <v>119235.21815835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3147333.6404988803</v>
      </c>
      <c r="J29" t="str">
        <v/>
      </c>
      <c r="K29" t="str">
        <v/>
      </c>
      <c r="L29">
        <v>13277813.79585465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3147333.6404988803</v>
      </c>
    </row>
    <row r="33">
      <c r="A33" t="str">
        <v>RAB (A) source unit cost</v>
      </c>
      <c r="B33">
        <v>3147333.6404988803</v>
      </c>
    </row>
    <row r="34">
      <c r="A34" t="str">
        <v>Variance</v>
      </c>
      <c r="B34">
        <v>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13277813.79585465</v>
      </c>
    </row>
    <row r="37">
      <c r="A37" t="str">
        <v>RAB (A) source line total</v>
      </c>
      <c r="B37">
        <v>15136707.7272743</v>
      </c>
    </row>
    <row r="38">
      <c r="A38" t="str">
        <v>Variance</v>
      </c>
      <c r="B38">
        <v>-1858893.93141965</v>
      </c>
      <c r="C38" t="str">
        <v>✓ OK</v>
      </c>
    </row>
  </sheetData>
  <ignoredErrors>
    <ignoredError numberStoredAsText="1" sqref="A1:L38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(A) III.B.1.9 - Poer PC.5A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Poer PC.5A</v>
      </c>
    </row>
    <row r="5">
      <c r="A5" t="str">
        <v>Unit</v>
      </c>
      <c r="B5" t="str">
        <v>m3</v>
      </c>
    </row>
    <row r="6">
      <c r="A6" t="str">
        <v>Volume</v>
      </c>
      <c r="B6">
        <v>2.4609375</v>
      </c>
    </row>
    <row r="7">
      <c r="A7" t="str">
        <v>Unit cost (Rp/m3)</v>
      </c>
      <c r="B7">
        <v>3202206.496146926</v>
      </c>
    </row>
    <row r="8">
      <c r="A8" t="str">
        <v>Line total at-cost (Rp)</v>
      </c>
      <c r="B8">
        <v>7880430.049111576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1015650.0000000001</v>
      </c>
      <c r="I12">
        <v>1.2</v>
      </c>
      <c r="J12">
        <v>1218780</v>
      </c>
      <c r="K12">
        <v>2.953125</v>
      </c>
      <c r="L12">
        <v>2999341.40625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2.4609375</v>
      </c>
      <c r="L14">
        <v>184570.3125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800000</v>
      </c>
      <c r="I16">
        <v>1</v>
      </c>
      <c r="J16">
        <v>800000</v>
      </c>
      <c r="K16">
        <v>2.4609375</v>
      </c>
      <c r="L16">
        <v>1968750</v>
      </c>
    </row>
    <row r="17">
      <c r="A17">
        <v>4</v>
      </c>
      <c r="B17" t="str">
        <v>BEKISTING BATAKO POSISI BERDIRI UNTUK POER DAN SLOOF (Material) — ratio 2.1333333333333333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14</v>
      </c>
      <c r="F18" t="str">
        <v>pcs</v>
      </c>
      <c r="G18" t="str">
        <v>per m² form (cycle 1.00)</v>
      </c>
      <c r="H18">
        <v>4500</v>
      </c>
      <c r="I18">
        <v>29.866666666666667</v>
      </c>
      <c r="J18">
        <v>134400</v>
      </c>
      <c r="K18">
        <v>73.5</v>
      </c>
      <c r="L18">
        <v>330750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0.08978310000000002</v>
      </c>
      <c r="F19" t="str">
        <v>sak</v>
      </c>
      <c r="G19" t="str">
        <v>per m² form (cycle 1.00)</v>
      </c>
      <c r="H19">
        <v>65000</v>
      </c>
      <c r="I19">
        <v>0.19153728000000003</v>
      </c>
      <c r="J19">
        <v>12449.923200000003</v>
      </c>
      <c r="K19">
        <v>0.4713612750000001</v>
      </c>
      <c r="L19">
        <v>30638.48287500001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0.017953650000000005</v>
      </c>
      <c r="F20" t="str">
        <v>m3</v>
      </c>
      <c r="G20" t="str">
        <v>per m² form (cycle 1.00)</v>
      </c>
      <c r="H20">
        <v>350000</v>
      </c>
      <c r="I20">
        <v>0.03830112000000001</v>
      </c>
      <c r="J20">
        <v>13405.392000000003</v>
      </c>
      <c r="K20">
        <v>0.09425666250000002</v>
      </c>
      <c r="L20">
        <v>32989.83187500001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0.64</v>
      </c>
      <c r="J21">
        <v>25600</v>
      </c>
      <c r="K21">
        <v>1.575</v>
      </c>
      <c r="L21">
        <v>63000</v>
      </c>
    </row>
    <row r="22">
      <c r="A22">
        <v>5</v>
      </c>
      <c r="B22" t="str">
        <v>PEMBESIAN (Material) — ratio 81.77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D13</v>
      </c>
      <c r="D23" t="str">
        <v>U24/U40 polos</v>
      </c>
      <c r="E23">
        <v>30.163357951999995</v>
      </c>
      <c r="F23" t="str">
        <v>kg</v>
      </c>
      <c r="G23" t="str">
        <v>per m3 beton</v>
      </c>
      <c r="H23">
        <v>10300</v>
      </c>
      <c r="I23">
        <v>30.163357951999995</v>
      </c>
      <c r="J23">
        <v>310682.5869055999</v>
      </c>
      <c r="K23">
        <v>74.23013870999999</v>
      </c>
      <c r="L23">
        <v>764570.4287129998</v>
      </c>
    </row>
    <row r="24">
      <c r="A24" t="str">
        <v/>
      </c>
      <c r="B24" t="str">
        <v/>
      </c>
      <c r="C24" t="str">
        <v>Besi beton D16</v>
      </c>
      <c r="D24" t="str">
        <v>U24/U40 polos</v>
      </c>
      <c r="E24">
        <v>51.60674450285714</v>
      </c>
      <c r="F24" t="str">
        <v>kg</v>
      </c>
      <c r="G24" t="str">
        <v>per m3 beton</v>
      </c>
      <c r="H24">
        <v>10300</v>
      </c>
      <c r="I24">
        <v>51.60674450285714</v>
      </c>
      <c r="J24">
        <v>531549.4683794285</v>
      </c>
      <c r="K24">
        <v>127.0009728</v>
      </c>
      <c r="L24">
        <v>1308110.0198399997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10300</v>
      </c>
      <c r="I25">
        <v>4.088505122742861</v>
      </c>
      <c r="J25">
        <v>42111.60276425147</v>
      </c>
      <c r="K25">
        <v>10.061555575500009</v>
      </c>
      <c r="L25">
        <v>103634.0224276501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81.77010245485714</v>
      </c>
      <c r="J26">
        <v>8177.010245485714</v>
      </c>
      <c r="K26">
        <v>201.23111150999998</v>
      </c>
      <c r="L26">
        <v>20123.111151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1.717172151552</v>
      </c>
      <c r="J27">
        <v>30050.51265216</v>
      </c>
      <c r="K27">
        <v>4.22585334171</v>
      </c>
      <c r="L27">
        <v>73952.43347992499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3202206.496146926</v>
      </c>
      <c r="J29" t="str">
        <v/>
      </c>
      <c r="K29" t="str">
        <v/>
      </c>
      <c r="L29">
        <v>7880430.049111576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3202206.496146926</v>
      </c>
    </row>
    <row r="33">
      <c r="A33" t="str">
        <v>RAB (A) source unit cost</v>
      </c>
      <c r="B33">
        <v>3202206.4961469257</v>
      </c>
    </row>
    <row r="34">
      <c r="A34" t="str">
        <v>Variance</v>
      </c>
      <c r="B34">
        <v>4.656612873077393e-10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7880430.049111576</v>
      </c>
    </row>
    <row r="37">
      <c r="A37" t="str">
        <v>RAB (A) source line total</v>
      </c>
      <c r="B37">
        <v>8983690.255987195</v>
      </c>
    </row>
    <row r="38">
      <c r="A38" t="str">
        <v>Variance</v>
      </c>
      <c r="B38">
        <v>-1103260.2068756195</v>
      </c>
      <c r="C38" t="str">
        <v>✓ OK</v>
      </c>
    </row>
  </sheetData>
  <ignoredErrors>
    <ignoredError numberStoredAsText="1" sqref="A1:L38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(A) III.B.1.10 - Poer PC.5B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Poer PC.5B</v>
      </c>
    </row>
    <row r="5">
      <c r="A5" t="str">
        <v>Unit</v>
      </c>
      <c r="B5" t="str">
        <v>m3</v>
      </c>
    </row>
    <row r="6">
      <c r="A6" t="str">
        <v>Volume</v>
      </c>
      <c r="B6">
        <v>1.9194</v>
      </c>
    </row>
    <row r="7">
      <c r="A7" t="str">
        <v>Unit cost (Rp/m3)</v>
      </c>
      <c r="B7">
        <v>3781433.7493980764</v>
      </c>
    </row>
    <row r="8">
      <c r="A8" t="str">
        <v>Line total at-cost (Rp)</v>
      </c>
      <c r="B8">
        <v>7258083.938594668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1015650.0000000001</v>
      </c>
      <c r="I12">
        <v>1.2</v>
      </c>
      <c r="J12">
        <v>1218780</v>
      </c>
      <c r="K12">
        <v>2.30328</v>
      </c>
      <c r="L12">
        <v>2339326.332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1.9194</v>
      </c>
      <c r="L14">
        <v>143955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800000</v>
      </c>
      <c r="I16">
        <v>1</v>
      </c>
      <c r="J16">
        <v>800000</v>
      </c>
      <c r="K16">
        <v>1.9194</v>
      </c>
      <c r="L16">
        <v>1535520</v>
      </c>
    </row>
    <row r="17">
      <c r="A17">
        <v>4</v>
      </c>
      <c r="B17" t="str">
        <v>BEKISTING BATAKO POSISI TIDUR UNTUK POER DAN SLOOF (Material) — ratio 2.451526626752922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26</v>
      </c>
      <c r="F18" t="str">
        <v>pcs</v>
      </c>
      <c r="G18" t="str">
        <v>per m² form (cycle 1.00)</v>
      </c>
      <c r="H18">
        <v>4500</v>
      </c>
      <c r="I18">
        <v>63.73969229557597</v>
      </c>
      <c r="J18">
        <v>286828.61533009185</v>
      </c>
      <c r="K18">
        <v>122.34196539212851</v>
      </c>
      <c r="L18">
        <v>550538.8442645783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0.27932520000000005</v>
      </c>
      <c r="F19" t="str">
        <v>sak</v>
      </c>
      <c r="G19" t="str">
        <v>per m² form (cycle 1.00)</v>
      </c>
      <c r="H19">
        <v>65000</v>
      </c>
      <c r="I19">
        <v>0.6847731653230854</v>
      </c>
      <c r="J19">
        <v>44510.25574600055</v>
      </c>
      <c r="K19">
        <v>1.3143536135211302</v>
      </c>
      <c r="L19">
        <v>85432.98487887345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0.05585580000000001</v>
      </c>
      <c r="F20" t="str">
        <v>m3</v>
      </c>
      <c r="G20" t="str">
        <v>per m² form (cycle 1.00)</v>
      </c>
      <c r="H20">
        <v>350000</v>
      </c>
      <c r="I20">
        <v>0.13693198095858589</v>
      </c>
      <c r="J20">
        <v>47926.19333550506</v>
      </c>
      <c r="K20">
        <v>0.26282724425190973</v>
      </c>
      <c r="L20">
        <v>91989.5354881684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0.7354579880258766</v>
      </c>
      <c r="J21">
        <v>29418.319521035064</v>
      </c>
      <c r="K21">
        <v>1.4116380622168676</v>
      </c>
      <c r="L21">
        <v>56465.5224886747</v>
      </c>
    </row>
    <row r="22">
      <c r="A22">
        <v>5</v>
      </c>
      <c r="B22" t="str">
        <v>PEMBESIAN (Material) — ratio 113.36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D13</v>
      </c>
      <c r="D23" t="str">
        <v>U24/U40 polos</v>
      </c>
      <c r="E23">
        <v>3.538134856261681</v>
      </c>
      <c r="F23" t="str">
        <v>kg</v>
      </c>
      <c r="G23" t="str">
        <v>per m3 beton</v>
      </c>
      <c r="H23">
        <v>10300</v>
      </c>
      <c r="I23">
        <v>3.538134856261681</v>
      </c>
      <c r="J23">
        <v>36442.789019495314</v>
      </c>
      <c r="K23">
        <v>6.791096043108671</v>
      </c>
      <c r="L23">
        <v>69948.28924401931</v>
      </c>
    </row>
    <row r="24">
      <c r="A24" t="str">
        <v/>
      </c>
      <c r="B24" t="str">
        <v/>
      </c>
      <c r="C24" t="str">
        <v>Besi beton D16</v>
      </c>
      <c r="D24" t="str">
        <v>U24/U40 polos</v>
      </c>
      <c r="E24">
        <v>109.82063894967177</v>
      </c>
      <c r="F24" t="str">
        <v>kg</v>
      </c>
      <c r="G24" t="str">
        <v>per m3 beton</v>
      </c>
      <c r="H24">
        <v>10300</v>
      </c>
      <c r="I24">
        <v>109.82063894967177</v>
      </c>
      <c r="J24">
        <v>1131152.5811816193</v>
      </c>
      <c r="K24">
        <v>210.78973440000001</v>
      </c>
      <c r="L24">
        <v>2171134.26432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10300</v>
      </c>
      <c r="I25">
        <v>5.667938690296678</v>
      </c>
      <c r="J25">
        <v>58379.76851005579</v>
      </c>
      <c r="K25">
        <v>10.879041522155443</v>
      </c>
      <c r="L25">
        <v>112054.12767820108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113.35877380593345</v>
      </c>
      <c r="J26">
        <v>11335.877380593345</v>
      </c>
      <c r="K26">
        <v>217.58083044310868</v>
      </c>
      <c r="L26">
        <v>21758.083044310868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2.3805342499246027</v>
      </c>
      <c r="J27">
        <v>41659.34937368055</v>
      </c>
      <c r="K27">
        <v>4.569197439305283</v>
      </c>
      <c r="L27">
        <v>79960.95518784244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3781433.7493980764</v>
      </c>
      <c r="J29" t="str">
        <v/>
      </c>
      <c r="K29" t="str">
        <v/>
      </c>
      <c r="L29">
        <v>7258083.938594668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3781433.7493980764</v>
      </c>
    </row>
    <row r="33">
      <c r="A33" t="str">
        <v>RAB (A) source unit cost</v>
      </c>
      <c r="B33">
        <v>3781433.749398077</v>
      </c>
    </row>
    <row r="34">
      <c r="A34" t="str">
        <v>Variance</v>
      </c>
      <c r="B34">
        <v>-4.656612873077393e-10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7258083.938594668</v>
      </c>
    </row>
    <row r="37">
      <c r="A37" t="str">
        <v>RAB (A) source line total</v>
      </c>
      <c r="B37">
        <v>8274215.689997923</v>
      </c>
    </row>
    <row r="38">
      <c r="A38" t="str">
        <v>Variance</v>
      </c>
      <c r="B38">
        <v>-1016131.7514032545</v>
      </c>
      <c r="C38" t="str">
        <v>✓ OK</v>
      </c>
    </row>
  </sheetData>
  <ignoredErrors>
    <ignoredError numberStoredAsText="1" sqref="A1:L38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(A) III.B.1.11 - Poer PC.6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Poer PC.6</v>
      </c>
    </row>
    <row r="5">
      <c r="A5" t="str">
        <v>Unit</v>
      </c>
      <c r="B5" t="str">
        <v>m3</v>
      </c>
    </row>
    <row r="6">
      <c r="A6" t="str">
        <v>Volume</v>
      </c>
      <c r="B6">
        <v>2.16</v>
      </c>
    </row>
    <row r="7">
      <c r="A7" t="str">
        <v>Unit cost (Rp/m3)</v>
      </c>
      <c r="B7">
        <v>3552801.926835625</v>
      </c>
    </row>
    <row r="8">
      <c r="A8" t="str">
        <v>Line total at-cost (Rp)</v>
      </c>
      <c r="B8">
        <v>7674052.16196495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1015650.0000000001</v>
      </c>
      <c r="I12">
        <v>1.2</v>
      </c>
      <c r="J12">
        <v>1218780</v>
      </c>
      <c r="K12">
        <v>2.592</v>
      </c>
      <c r="L12">
        <v>2632564.8000000003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2.16</v>
      </c>
      <c r="L14">
        <v>162000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800000</v>
      </c>
      <c r="I16">
        <v>1</v>
      </c>
      <c r="J16">
        <v>800000</v>
      </c>
      <c r="K16">
        <v>2.16</v>
      </c>
      <c r="L16">
        <v>1728000</v>
      </c>
    </row>
    <row r="17">
      <c r="A17">
        <v>4</v>
      </c>
      <c r="B17" t="str">
        <v>BEKISTING BATAKO POSISI TIDUR UNTUK POER DAN SLOOF (Material) — ratio 2.1666666666666665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26</v>
      </c>
      <c r="F18" t="str">
        <v>pcs</v>
      </c>
      <c r="G18" t="str">
        <v>per m² form (cycle 1.00)</v>
      </c>
      <c r="H18">
        <v>4500</v>
      </c>
      <c r="I18">
        <v>56.33333333333333</v>
      </c>
      <c r="J18">
        <v>253499.99999999997</v>
      </c>
      <c r="K18">
        <v>121.67999999999999</v>
      </c>
      <c r="L18">
        <v>547560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0.27932520000000005</v>
      </c>
      <c r="F19" t="str">
        <v>sak</v>
      </c>
      <c r="G19" t="str">
        <v>per m² form (cycle 1.00)</v>
      </c>
      <c r="H19">
        <v>65000</v>
      </c>
      <c r="I19">
        <v>0.6052046000000001</v>
      </c>
      <c r="J19">
        <v>39338.299000000006</v>
      </c>
      <c r="K19">
        <v>1.3072419360000003</v>
      </c>
      <c r="L19">
        <v>84970.72584000001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0.05585580000000001</v>
      </c>
      <c r="F20" t="str">
        <v>m3</v>
      </c>
      <c r="G20" t="str">
        <v>per m² form (cycle 1.00)</v>
      </c>
      <c r="H20">
        <v>350000</v>
      </c>
      <c r="I20">
        <v>0.12102090000000001</v>
      </c>
      <c r="J20">
        <v>42357.315</v>
      </c>
      <c r="K20">
        <v>0.26140514400000003</v>
      </c>
      <c r="L20">
        <v>91491.80040000001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0.6499999999999999</v>
      </c>
      <c r="J21">
        <v>25999.999999999996</v>
      </c>
      <c r="K21">
        <v>1.404</v>
      </c>
      <c r="L21">
        <v>56159.99999999999</v>
      </c>
    </row>
    <row r="22">
      <c r="A22">
        <v>5</v>
      </c>
      <c r="B22" t="str">
        <v>PEMBESIAN (Material) — ratio 97.30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D13</v>
      </c>
      <c r="D23" t="str">
        <v>U24/U40 polos</v>
      </c>
      <c r="E23">
        <v>36.54122225</v>
      </c>
      <c r="F23" t="str">
        <v>kg</v>
      </c>
      <c r="G23" t="str">
        <v>per m3 beton</v>
      </c>
      <c r="H23">
        <v>10300</v>
      </c>
      <c r="I23">
        <v>36.54122225</v>
      </c>
      <c r="J23">
        <v>376374.589175</v>
      </c>
      <c r="K23">
        <v>78.92904006</v>
      </c>
      <c r="L23">
        <v>812969.112618</v>
      </c>
    </row>
    <row r="24">
      <c r="A24" t="str">
        <v/>
      </c>
      <c r="B24" t="str">
        <v/>
      </c>
      <c r="C24" t="str">
        <v>Besi beton D16</v>
      </c>
      <c r="D24" t="str">
        <v>U24/U40 polos</v>
      </c>
      <c r="E24">
        <v>60.762240000000006</v>
      </c>
      <c r="F24" t="str">
        <v>kg</v>
      </c>
      <c r="G24" t="str">
        <v>per m3 beton</v>
      </c>
      <c r="H24">
        <v>10300</v>
      </c>
      <c r="I24">
        <v>60.762240000000006</v>
      </c>
      <c r="J24">
        <v>625851.072</v>
      </c>
      <c r="K24">
        <v>131.24643840000002</v>
      </c>
      <c r="L24">
        <v>1351838.3155200002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10300</v>
      </c>
      <c r="I25">
        <v>4.865173112500004</v>
      </c>
      <c r="J25">
        <v>50111.28305875004</v>
      </c>
      <c r="K25">
        <v>10.50877392300001</v>
      </c>
      <c r="L25">
        <v>108240.3714069001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97.30346225</v>
      </c>
      <c r="J26">
        <v>9730.346225</v>
      </c>
      <c r="K26">
        <v>210.17547846</v>
      </c>
      <c r="L26">
        <v>21017.547846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2.04337270725</v>
      </c>
      <c r="J27">
        <v>35759.022376875</v>
      </c>
      <c r="K27">
        <v>4.4136850476600005</v>
      </c>
      <c r="L27">
        <v>77239.48833405001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3552801.926835625</v>
      </c>
      <c r="J29" t="str">
        <v/>
      </c>
      <c r="K29" t="str">
        <v/>
      </c>
      <c r="L29">
        <v>7674052.16196495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3552801.926835625</v>
      </c>
    </row>
    <row r="33">
      <c r="A33" t="str">
        <v>RAB (A) source unit cost</v>
      </c>
      <c r="B33">
        <v>3552801.9268356254</v>
      </c>
    </row>
    <row r="34">
      <c r="A34" t="str">
        <v>Variance</v>
      </c>
      <c r="B34">
        <v>-4.656612873077393e-10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7674052.16196495</v>
      </c>
    </row>
    <row r="37">
      <c r="A37" t="str">
        <v>RAB (A) source line total</v>
      </c>
      <c r="B37">
        <v>8748419.464640044</v>
      </c>
    </row>
    <row r="38">
      <c r="A38" t="str">
        <v>Variance</v>
      </c>
      <c r="B38">
        <v>-1074367.3026750935</v>
      </c>
      <c r="C38" t="str">
        <v>✓ OK</v>
      </c>
    </row>
  </sheetData>
  <ignoredErrors>
    <ignoredError numberStoredAsText="1" sqref="A1:L38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(A) III.B.1.12 - Poer PC.6A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Poer PC.6A</v>
      </c>
    </row>
    <row r="5">
      <c r="A5" t="str">
        <v>Unit</v>
      </c>
      <c r="B5" t="str">
        <v>m3</v>
      </c>
    </row>
    <row r="6">
      <c r="A6" t="str">
        <v>Volume</v>
      </c>
      <c r="B6">
        <v>9.1065</v>
      </c>
    </row>
    <row r="7">
      <c r="A7" t="str">
        <v>Unit cost (Rp/m3)</v>
      </c>
      <c r="B7">
        <v>3554424.394127684</v>
      </c>
    </row>
    <row r="8">
      <c r="A8" t="str">
        <v>Line total at-cost (Rp)</v>
      </c>
      <c r="B8">
        <v>32368365.74512376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1015650.0000000001</v>
      </c>
      <c r="I12">
        <v>1.2</v>
      </c>
      <c r="J12">
        <v>1218780</v>
      </c>
      <c r="K12">
        <v>10.9278</v>
      </c>
      <c r="L12">
        <v>11098820.07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9.1065</v>
      </c>
      <c r="L14">
        <v>682987.5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800000</v>
      </c>
      <c r="I16">
        <v>1</v>
      </c>
      <c r="J16">
        <v>800000</v>
      </c>
      <c r="K16">
        <v>9.1065</v>
      </c>
      <c r="L16">
        <v>7285200</v>
      </c>
    </row>
    <row r="17">
      <c r="A17">
        <v>4</v>
      </c>
      <c r="B17" t="str">
        <v>BEKISTING BATAKO POSISI BERDIRI UNTUK POER DAN SLOOF (Material) — ratio 2.1981378116559784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14</v>
      </c>
      <c r="F18" t="str">
        <v>pcs</v>
      </c>
      <c r="G18" t="str">
        <v>per m² form (cycle 1.00)</v>
      </c>
      <c r="H18">
        <v>4500</v>
      </c>
      <c r="I18">
        <v>30.773929363183697</v>
      </c>
      <c r="J18">
        <v>138482.68213432663</v>
      </c>
      <c r="K18">
        <v>280.24278774583235</v>
      </c>
      <c r="L18">
        <v>1261092.5448562456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0.08978310000000002</v>
      </c>
      <c r="F19" t="str">
        <v>sak</v>
      </c>
      <c r="G19" t="str">
        <v>per m² form (cycle 1.00)</v>
      </c>
      <c r="H19">
        <v>65000</v>
      </c>
      <c r="I19">
        <v>0.1973556269576899</v>
      </c>
      <c r="J19">
        <v>12828.115752249843</v>
      </c>
      <c r="K19">
        <v>1.7972190168902031</v>
      </c>
      <c r="L19">
        <v>116819.2360978632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0.017953650000000005</v>
      </c>
      <c r="F20" t="str">
        <v>m3</v>
      </c>
      <c r="G20" t="str">
        <v>per m² form (cycle 1.00)</v>
      </c>
      <c r="H20">
        <v>350000</v>
      </c>
      <c r="I20">
        <v>0.03946459692223737</v>
      </c>
      <c r="J20">
        <v>13812.608922783078</v>
      </c>
      <c r="K20">
        <v>0.3593843518723546</v>
      </c>
      <c r="L20">
        <v>125784.5231553241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0.6594413434967935</v>
      </c>
      <c r="J21">
        <v>26377.65373987174</v>
      </c>
      <c r="K21">
        <v>6.00520259455355</v>
      </c>
      <c r="L21">
        <v>240208.10378214202</v>
      </c>
    </row>
    <row r="22">
      <c r="A22">
        <v>5</v>
      </c>
      <c r="B22" t="str">
        <v>PEMBESIAN (Material) — ratio 112.49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D13</v>
      </c>
      <c r="D23" t="str">
        <v>U24/U40 polos</v>
      </c>
      <c r="E23">
        <v>5.585477805620917</v>
      </c>
      <c r="F23" t="str">
        <v>kg</v>
      </c>
      <c r="G23" t="str">
        <v>per m3 beton</v>
      </c>
      <c r="H23">
        <v>10300</v>
      </c>
      <c r="I23">
        <v>5.585477805620917</v>
      </c>
      <c r="J23">
        <v>57530.42139789544</v>
      </c>
      <c r="K23">
        <v>50.86415363688688</v>
      </c>
      <c r="L23">
        <v>523900.7824599349</v>
      </c>
    </row>
    <row r="24">
      <c r="A24" t="str">
        <v/>
      </c>
      <c r="B24" t="str">
        <v/>
      </c>
      <c r="C24" t="str">
        <v>Besi beton D16</v>
      </c>
      <c r="D24" t="str">
        <v>U24/U40 polos</v>
      </c>
      <c r="E24">
        <v>106.90229827046615</v>
      </c>
      <c r="F24" t="str">
        <v>kg</v>
      </c>
      <c r="G24" t="str">
        <v>per m3 beton</v>
      </c>
      <c r="H24">
        <v>10300</v>
      </c>
      <c r="I24">
        <v>106.90229827046615</v>
      </c>
      <c r="J24">
        <v>1101093.6721858012</v>
      </c>
      <c r="K24">
        <v>973.5057792</v>
      </c>
      <c r="L24">
        <v>10027109.525759999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10300</v>
      </c>
      <c r="I25">
        <v>5.624388803804358</v>
      </c>
      <c r="J25">
        <v>57931.204679184884</v>
      </c>
      <c r="K25">
        <v>51.21849664184439</v>
      </c>
      <c r="L25">
        <v>527550.5154109972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112.48777607608706</v>
      </c>
      <c r="J26">
        <v>11248.777607608707</v>
      </c>
      <c r="K26">
        <v>1024.3699328368868</v>
      </c>
      <c r="L26">
        <v>102436.99328368869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2.3622432975978285</v>
      </c>
      <c r="J27">
        <v>41339.257707961995</v>
      </c>
      <c r="K27">
        <v>21.511768589574626</v>
      </c>
      <c r="L27">
        <v>376455.9503175559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3554424.394127684</v>
      </c>
      <c r="J29" t="str">
        <v/>
      </c>
      <c r="K29" t="str">
        <v/>
      </c>
      <c r="L29">
        <v>32368365.74512376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3554424.394127684</v>
      </c>
    </row>
    <row r="33">
      <c r="A33" t="str">
        <v>RAB (A) source unit cost</v>
      </c>
      <c r="B33">
        <v>3554424.3941276837</v>
      </c>
    </row>
    <row r="34">
      <c r="A34" t="str">
        <v>Variance</v>
      </c>
      <c r="B34">
        <v>4.656612873077393e-10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32368365.74512376</v>
      </c>
    </row>
    <row r="37">
      <c r="A37" t="str">
        <v>RAB (A) source line total</v>
      </c>
      <c r="B37">
        <v>36899936.949441075</v>
      </c>
    </row>
    <row r="38">
      <c r="A38" t="str">
        <v>Variance</v>
      </c>
      <c r="B38">
        <v>-4531571.204317316</v>
      </c>
      <c r="C38" t="str">
        <v>✓ OK</v>
      </c>
    </row>
  </sheetData>
  <ignoredErrors>
    <ignoredError numberStoredAsText="1" sqref="A1:L38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(A) III.B.1.13 - Poer PC.8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Poer PC.8</v>
      </c>
    </row>
    <row r="5">
      <c r="A5" t="str">
        <v>Unit</v>
      </c>
      <c r="B5" t="str">
        <v>m3</v>
      </c>
    </row>
    <row r="6">
      <c r="A6" t="str">
        <v>Volume</v>
      </c>
      <c r="B6">
        <v>3.6288</v>
      </c>
    </row>
    <row r="7">
      <c r="A7" t="str">
        <v>Unit cost (Rp/m3)</v>
      </c>
      <c r="B7">
        <v>3242602.030135293</v>
      </c>
    </row>
    <row r="8">
      <c r="A8" t="str">
        <v>Line total at-cost (Rp)</v>
      </c>
      <c r="B8">
        <v>11766754.246954951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1015650.0000000001</v>
      </c>
      <c r="I12">
        <v>1.2</v>
      </c>
      <c r="J12">
        <v>1218780</v>
      </c>
      <c r="K12">
        <v>4.35456</v>
      </c>
      <c r="L12">
        <v>4422708.864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3.6288</v>
      </c>
      <c r="L14">
        <v>272160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800000</v>
      </c>
      <c r="I16">
        <v>1</v>
      </c>
      <c r="J16">
        <v>800000</v>
      </c>
      <c r="K16">
        <v>3.6288</v>
      </c>
      <c r="L16">
        <v>2903040</v>
      </c>
    </row>
    <row r="17">
      <c r="A17">
        <v>4</v>
      </c>
      <c r="B17" t="str">
        <v>BEKISTING BATAKO POSISI BERDIRI UNTUK POER DAN SLOOF (Material) — ratio 1.759259259259259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14</v>
      </c>
      <c r="F18" t="str">
        <v>pcs</v>
      </c>
      <c r="G18" t="str">
        <v>per m² form (cycle 1.00)</v>
      </c>
      <c r="H18">
        <v>4500</v>
      </c>
      <c r="I18">
        <v>24.629629629629626</v>
      </c>
      <c r="J18">
        <v>110833.33333333331</v>
      </c>
      <c r="K18">
        <v>89.37599999999999</v>
      </c>
      <c r="L18">
        <v>402191.99999999994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0.08978310000000002</v>
      </c>
      <c r="F19" t="str">
        <v>sak</v>
      </c>
      <c r="G19" t="str">
        <v>per m² form (cycle 1.00)</v>
      </c>
      <c r="H19">
        <v>65000</v>
      </c>
      <c r="I19">
        <v>0.15795175000000003</v>
      </c>
      <c r="J19">
        <v>10266.863750000002</v>
      </c>
      <c r="K19">
        <v>0.5731753104000001</v>
      </c>
      <c r="L19">
        <v>37256.395176000005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0.017953650000000005</v>
      </c>
      <c r="F20" t="str">
        <v>m3</v>
      </c>
      <c r="G20" t="str">
        <v>per m² form (cycle 1.00)</v>
      </c>
      <c r="H20">
        <v>350000</v>
      </c>
      <c r="I20">
        <v>0.031585125000000006</v>
      </c>
      <c r="J20">
        <v>11054.793750000003</v>
      </c>
      <c r="K20">
        <v>0.11461610160000002</v>
      </c>
      <c r="L20">
        <v>40115.63556000001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0.5277777777777777</v>
      </c>
      <c r="J21">
        <v>21111.111111111106</v>
      </c>
      <c r="K21">
        <v>1.9151999999999996</v>
      </c>
      <c r="L21">
        <v>76607.99999999999</v>
      </c>
    </row>
    <row r="22">
      <c r="A22">
        <v>5</v>
      </c>
      <c r="B22" t="str">
        <v>PEMBESIAN (Material) — ratio 88.24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D13</v>
      </c>
      <c r="D23" t="str">
        <v>U24/U40 polos</v>
      </c>
      <c r="E23">
        <v>2.5943763392857138</v>
      </c>
      <c r="F23" t="str">
        <v>kg</v>
      </c>
      <c r="G23" t="str">
        <v>per m3 beton</v>
      </c>
      <c r="H23">
        <v>10300</v>
      </c>
      <c r="I23">
        <v>2.5943763392857138</v>
      </c>
      <c r="J23">
        <v>26722.07629464285</v>
      </c>
      <c r="K23">
        <v>9.414472859999998</v>
      </c>
      <c r="L23">
        <v>96969.07045799997</v>
      </c>
    </row>
    <row r="24">
      <c r="A24" t="str">
        <v/>
      </c>
      <c r="B24" t="str">
        <v/>
      </c>
      <c r="C24" t="str">
        <v>Besi beton D16</v>
      </c>
      <c r="D24" t="str">
        <v>U24/U40 polos</v>
      </c>
      <c r="E24">
        <v>85.64457142857144</v>
      </c>
      <c r="F24" t="str">
        <v>kg</v>
      </c>
      <c r="G24" t="str">
        <v>per m3 beton</v>
      </c>
      <c r="H24">
        <v>10300</v>
      </c>
      <c r="I24">
        <v>85.64457142857144</v>
      </c>
      <c r="J24">
        <v>882139.0857142858</v>
      </c>
      <c r="K24">
        <v>310.78702080000005</v>
      </c>
      <c r="L24">
        <v>3201106.3142400007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10300</v>
      </c>
      <c r="I25">
        <v>4.4119473883928615</v>
      </c>
      <c r="J25">
        <v>45443.05810044648</v>
      </c>
      <c r="K25">
        <v>16.010074683000017</v>
      </c>
      <c r="L25">
        <v>164903.7692349002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88.23894776785716</v>
      </c>
      <c r="J26">
        <v>8823.894776785715</v>
      </c>
      <c r="K26">
        <v>320.20149366000004</v>
      </c>
      <c r="L26">
        <v>32020.149366000005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1.8530179031250005</v>
      </c>
      <c r="J27">
        <v>32427.81330468751</v>
      </c>
      <c r="K27">
        <v>6.724231366860002</v>
      </c>
      <c r="L27">
        <v>117674.04892005003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3242602.030135293</v>
      </c>
      <c r="J29" t="str">
        <v/>
      </c>
      <c r="K29" t="str">
        <v/>
      </c>
      <c r="L29">
        <v>11766754.246954951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3242602.030135293</v>
      </c>
    </row>
    <row r="33">
      <c r="A33" t="str">
        <v>RAB (A) source unit cost</v>
      </c>
      <c r="B33">
        <v>3242602.0301352926</v>
      </c>
    </row>
    <row r="34">
      <c r="A34" t="str">
        <v>Variance</v>
      </c>
      <c r="B34">
        <v>4.656612873077393e-10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11766754.246954951</v>
      </c>
    </row>
    <row r="37">
      <c r="A37" t="str">
        <v>RAB (A) source line total</v>
      </c>
      <c r="B37">
        <v>13414099.841528641</v>
      </c>
    </row>
    <row r="38">
      <c r="A38" t="str">
        <v>Variance</v>
      </c>
      <c r="B38">
        <v>-1647345.5945736896</v>
      </c>
      <c r="C38" t="str">
        <v>✓ OK</v>
      </c>
    </row>
  </sheetData>
  <ignoredErrors>
    <ignoredError numberStoredAsText="1" sqref="A1:L38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(A) III.B.1.14 - Poer PC.11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Poer PC.11</v>
      </c>
    </row>
    <row r="5">
      <c r="A5" t="str">
        <v>Unit</v>
      </c>
      <c r="B5" t="str">
        <v>m3</v>
      </c>
    </row>
    <row r="6">
      <c r="A6" t="str">
        <v>Volume</v>
      </c>
      <c r="B6">
        <v>5.7024</v>
      </c>
    </row>
    <row r="7">
      <c r="A7" t="str">
        <v>Unit cost (Rp/m3)</v>
      </c>
      <c r="B7">
        <v>3289274.6501674564</v>
      </c>
    </row>
    <row r="8">
      <c r="A8" t="str">
        <v>Line total at-cost (Rp)</v>
      </c>
      <c r="B8">
        <v>18756759.765114903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1015650.0000000001</v>
      </c>
      <c r="I12">
        <v>1.2</v>
      </c>
      <c r="J12">
        <v>1218780</v>
      </c>
      <c r="K12">
        <v>6.84288</v>
      </c>
      <c r="L12">
        <v>6949971.072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5.7024</v>
      </c>
      <c r="L14">
        <v>427680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800000</v>
      </c>
      <c r="I16">
        <v>1</v>
      </c>
      <c r="J16">
        <v>800000</v>
      </c>
      <c r="K16">
        <v>5.7024</v>
      </c>
      <c r="L16">
        <v>4561920</v>
      </c>
    </row>
    <row r="17">
      <c r="A17">
        <v>4</v>
      </c>
      <c r="B17" t="str">
        <v>BEKISTING BATAKO POSISI BERDIRI UNTUK POER DAN SLOOF (Material) — ratio 1.5319865319865322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14</v>
      </c>
      <c r="F18" t="str">
        <v>pcs</v>
      </c>
      <c r="G18" t="str">
        <v>per m² form (cycle 1.00)</v>
      </c>
      <c r="H18">
        <v>4500</v>
      </c>
      <c r="I18">
        <v>21.44781144781145</v>
      </c>
      <c r="J18">
        <v>96515.15151515152</v>
      </c>
      <c r="K18">
        <v>122.30400000000002</v>
      </c>
      <c r="L18">
        <v>550368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0.08978310000000002</v>
      </c>
      <c r="F19" t="str">
        <v>sak</v>
      </c>
      <c r="G19" t="str">
        <v>per m² form (cycle 1.00)</v>
      </c>
      <c r="H19">
        <v>65000</v>
      </c>
      <c r="I19">
        <v>0.13754650000000004</v>
      </c>
      <c r="J19">
        <v>8940.522500000003</v>
      </c>
      <c r="K19">
        <v>0.7843451616000002</v>
      </c>
      <c r="L19">
        <v>50982.435504000015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0.017953650000000005</v>
      </c>
      <c r="F20" t="str">
        <v>m3</v>
      </c>
      <c r="G20" t="str">
        <v>per m² form (cycle 1.00)</v>
      </c>
      <c r="H20">
        <v>350000</v>
      </c>
      <c r="I20">
        <v>0.027504750000000012</v>
      </c>
      <c r="J20">
        <v>9626.662500000004</v>
      </c>
      <c r="K20">
        <v>0.15684308640000005</v>
      </c>
      <c r="L20">
        <v>54895.080240000025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0.45959595959595967</v>
      </c>
      <c r="J21">
        <v>18383.838383838385</v>
      </c>
      <c r="K21">
        <v>2.6208000000000005</v>
      </c>
      <c r="L21">
        <v>104832</v>
      </c>
    </row>
    <row r="22">
      <c r="A22">
        <v>5</v>
      </c>
      <c r="B22" t="str">
        <v>PEMBESIAN (Material) — ratio 94.13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D13</v>
      </c>
      <c r="D23" t="str">
        <v>U24/U40 polos</v>
      </c>
      <c r="E23">
        <v>3.9596892045454544</v>
      </c>
      <c r="F23" t="str">
        <v>kg</v>
      </c>
      <c r="G23" t="str">
        <v>per m3 beton</v>
      </c>
      <c r="H23">
        <v>10300</v>
      </c>
      <c r="I23">
        <v>3.9596892045454544</v>
      </c>
      <c r="J23">
        <v>40784.79880681818</v>
      </c>
      <c r="K23">
        <v>22.579731719999998</v>
      </c>
      <c r="L23">
        <v>232571.23671599998</v>
      </c>
    </row>
    <row r="24">
      <c r="A24" t="str">
        <v/>
      </c>
      <c r="B24" t="str">
        <v/>
      </c>
      <c r="C24" t="str">
        <v>Besi beton D16</v>
      </c>
      <c r="D24" t="str">
        <v>U24/U40 polos</v>
      </c>
      <c r="E24">
        <v>90.1709090909091</v>
      </c>
      <c r="F24" t="str">
        <v>kg</v>
      </c>
      <c r="G24" t="str">
        <v>per m3 beton</v>
      </c>
      <c r="H24">
        <v>10300</v>
      </c>
      <c r="I24">
        <v>90.1709090909091</v>
      </c>
      <c r="J24">
        <v>928760.3636363638</v>
      </c>
      <c r="K24">
        <v>514.190592</v>
      </c>
      <c r="L24">
        <v>5296163.097600001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10300</v>
      </c>
      <c r="I25">
        <v>4.706529914772732</v>
      </c>
      <c r="J25">
        <v>48477.25812215914</v>
      </c>
      <c r="K25">
        <v>26.838516186000028</v>
      </c>
      <c r="L25">
        <v>276436.7167158003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94.13059829545456</v>
      </c>
      <c r="J26">
        <v>9413.059829545457</v>
      </c>
      <c r="K26">
        <v>536.7703237200001</v>
      </c>
      <c r="L26">
        <v>53677.03237200001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1.976742564204546</v>
      </c>
      <c r="J27">
        <v>34592.994873579555</v>
      </c>
      <c r="K27">
        <v>11.272176798120002</v>
      </c>
      <c r="L27">
        <v>197263.09396710005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3289274.6501674564</v>
      </c>
      <c r="J29" t="str">
        <v/>
      </c>
      <c r="K29" t="str">
        <v/>
      </c>
      <c r="L29">
        <v>18756759.765114903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3289274.6501674564</v>
      </c>
    </row>
    <row r="33">
      <c r="A33" t="str">
        <v>RAB (A) source unit cost</v>
      </c>
      <c r="B33">
        <v>3289274.650167456</v>
      </c>
    </row>
    <row r="34">
      <c r="A34" t="str">
        <v>Variance</v>
      </c>
      <c r="B34">
        <v>4.656612873077393e-10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18756759.765114903</v>
      </c>
    </row>
    <row r="37">
      <c r="A37" t="str">
        <v>RAB (A) source line total</v>
      </c>
      <c r="B37">
        <v>21382706.132230986</v>
      </c>
    </row>
    <row r="38">
      <c r="A38" t="str">
        <v>Variance</v>
      </c>
      <c r="B38">
        <v>-2625946.3671160825</v>
      </c>
      <c r="C38" t="str">
        <v>✓ OK</v>
      </c>
    </row>
  </sheetData>
  <ignoredErrors>
    <ignoredError numberStoredAsText="1" sqref="A1:L38"/>
  </ignoredErrors>
</worksheet>
</file>

<file path=xl/worksheets/sheet46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(A) III.B.1.15 - Poer PC.12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Poer PC.12</v>
      </c>
    </row>
    <row r="5">
      <c r="A5" t="str">
        <v>Unit</v>
      </c>
      <c r="B5" t="str">
        <v>m3</v>
      </c>
    </row>
    <row r="6">
      <c r="A6" t="str">
        <v>Volume</v>
      </c>
      <c r="B6">
        <v>5.148</v>
      </c>
    </row>
    <row r="7">
      <c r="A7" t="str">
        <v>Unit cost (Rp/m3)</v>
      </c>
      <c r="B7">
        <v>3472758.842839248</v>
      </c>
    </row>
    <row r="8">
      <c r="A8" t="str">
        <v>Line total at-cost (Rp)</v>
      </c>
      <c r="B8">
        <v>17877762.52293645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1015650.0000000001</v>
      </c>
      <c r="I12">
        <v>1.2</v>
      </c>
      <c r="J12">
        <v>1218780</v>
      </c>
      <c r="K12">
        <v>6.177599999999999</v>
      </c>
      <c r="L12">
        <v>6274279.4399999995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5.148</v>
      </c>
      <c r="L14">
        <v>386100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800000</v>
      </c>
      <c r="I16">
        <v>1</v>
      </c>
      <c r="J16">
        <v>800000</v>
      </c>
      <c r="K16">
        <v>5.148</v>
      </c>
      <c r="L16">
        <v>4118399.9999999995</v>
      </c>
    </row>
    <row r="17">
      <c r="A17">
        <v>4</v>
      </c>
      <c r="B17" t="str">
        <v>BEKISTING BATAKO POSISI BERDIRI UNTUK POER DAN SLOOF (Material) — ratio 1.3752913752913754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14</v>
      </c>
      <c r="F18" t="str">
        <v>pcs</v>
      </c>
      <c r="G18" t="str">
        <v>per m² form (cycle 1.00)</v>
      </c>
      <c r="H18">
        <v>4500</v>
      </c>
      <c r="I18">
        <v>19.254079254079254</v>
      </c>
      <c r="J18">
        <v>86643.35664335664</v>
      </c>
      <c r="K18">
        <v>99.11999999999999</v>
      </c>
      <c r="L18">
        <v>446040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0.08978310000000002</v>
      </c>
      <c r="F19" t="str">
        <v>sak</v>
      </c>
      <c r="G19" t="str">
        <v>per m² form (cycle 1.00)</v>
      </c>
      <c r="H19">
        <v>65000</v>
      </c>
      <c r="I19">
        <v>0.12347792307692311</v>
      </c>
      <c r="J19">
        <v>8026.065000000002</v>
      </c>
      <c r="K19">
        <v>0.6356643480000002</v>
      </c>
      <c r="L19">
        <v>41318.18262000001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0.017953650000000005</v>
      </c>
      <c r="F20" t="str">
        <v>m3</v>
      </c>
      <c r="G20" t="str">
        <v>per m² form (cycle 1.00)</v>
      </c>
      <c r="H20">
        <v>350000</v>
      </c>
      <c r="I20">
        <v>0.02469150000000001</v>
      </c>
      <c r="J20">
        <v>8642.025000000003</v>
      </c>
      <c r="K20">
        <v>0.12711184200000003</v>
      </c>
      <c r="L20">
        <v>44489.14470000001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0.4125874125874126</v>
      </c>
      <c r="J21">
        <v>16503.496503496503</v>
      </c>
      <c r="K21">
        <v>2.124</v>
      </c>
      <c r="L21">
        <v>84959.99999999999</v>
      </c>
    </row>
    <row r="22">
      <c r="A22">
        <v>5</v>
      </c>
      <c r="B22" t="str">
        <v>PEMBESIAN (Material) — ratio 111.60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D13</v>
      </c>
      <c r="D23" t="str">
        <v>U24/U40 polos</v>
      </c>
      <c r="E23">
        <v>2.3711586363636368</v>
      </c>
      <c r="F23" t="str">
        <v>kg</v>
      </c>
      <c r="G23" t="str">
        <v>per m3 beton</v>
      </c>
      <c r="H23">
        <v>10300</v>
      </c>
      <c r="I23">
        <v>2.3711586363636368</v>
      </c>
      <c r="J23">
        <v>24422.93395454546</v>
      </c>
      <c r="K23">
        <v>12.20672466</v>
      </c>
      <c r="L23">
        <v>125729.26399800002</v>
      </c>
    </row>
    <row r="24">
      <c r="A24" t="str">
        <v/>
      </c>
      <c r="B24" t="str">
        <v/>
      </c>
      <c r="C24" t="str">
        <v>Besi beton D16</v>
      </c>
      <c r="D24" t="str">
        <v>U24/U40 polos</v>
      </c>
      <c r="E24">
        <v>109.23211188811189</v>
      </c>
      <c r="F24" t="str">
        <v>kg</v>
      </c>
      <c r="G24" t="str">
        <v>per m3 beton</v>
      </c>
      <c r="H24">
        <v>10300</v>
      </c>
      <c r="I24">
        <v>109.23211188811189</v>
      </c>
      <c r="J24">
        <v>1125090.7524475525</v>
      </c>
      <c r="K24">
        <v>562.326912</v>
      </c>
      <c r="L24">
        <v>5791967.1936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10300</v>
      </c>
      <c r="I25">
        <v>5.580163526223781</v>
      </c>
      <c r="J25">
        <v>57475.68432010494</v>
      </c>
      <c r="K25">
        <v>28.726681833000022</v>
      </c>
      <c r="L25">
        <v>295884.8228799002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111.60327052447552</v>
      </c>
      <c r="J26">
        <v>11160.327052447552</v>
      </c>
      <c r="K26">
        <v>574.53363666</v>
      </c>
      <c r="L26">
        <v>57453.363666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2.343668681013986</v>
      </c>
      <c r="J27">
        <v>41014.20191774476</v>
      </c>
      <c r="K27">
        <v>12.06520636986</v>
      </c>
      <c r="L27">
        <v>211141.11147255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3472758.842839248</v>
      </c>
      <c r="J29" t="str">
        <v/>
      </c>
      <c r="K29" t="str">
        <v/>
      </c>
      <c r="L29">
        <v>17877762.52293645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3472758.842839248</v>
      </c>
    </row>
    <row r="33">
      <c r="A33" t="str">
        <v>RAB (A) source unit cost</v>
      </c>
      <c r="B33">
        <v>3472758.8428392485</v>
      </c>
    </row>
    <row r="34">
      <c r="A34" t="str">
        <v>Variance</v>
      </c>
      <c r="B34">
        <v>-4.656612873077393e-10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17877762.52293645</v>
      </c>
    </row>
    <row r="37">
      <c r="A37" t="str">
        <v>RAB (A) source line total</v>
      </c>
      <c r="B37">
        <v>20380649.27614755</v>
      </c>
    </row>
    <row r="38">
      <c r="A38" t="str">
        <v>Variance</v>
      </c>
      <c r="B38">
        <v>-2502886.7532111034</v>
      </c>
      <c r="C38" t="str">
        <v>✓ OK</v>
      </c>
    </row>
  </sheetData>
  <ignoredErrors>
    <ignoredError numberStoredAsText="1" sqref="A1:L38"/>
  </ignoredErrors>
</worksheet>
</file>

<file path=xl/worksheets/sheet47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(A) III.B.2.1 - Sloof TB23-1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Sloof TB23-1</v>
      </c>
    </row>
    <row r="5">
      <c r="A5" t="str">
        <v>Unit</v>
      </c>
      <c r="B5" t="str">
        <v>m3</v>
      </c>
    </row>
    <row r="6">
      <c r="A6" t="str">
        <v>Volume</v>
      </c>
      <c r="B6">
        <v>0.7185000000000001</v>
      </c>
    </row>
    <row r="7">
      <c r="A7" t="str">
        <v>Unit cost (Rp/m3)</v>
      </c>
      <c r="B7">
        <v>5268012.487592067</v>
      </c>
    </row>
    <row r="8">
      <c r="A8" t="str">
        <v>Line total at-cost (Rp)</v>
      </c>
      <c r="B8">
        <v>3785066.9723349004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1015650.0000000001</v>
      </c>
      <c r="I12">
        <v>1.2</v>
      </c>
      <c r="J12">
        <v>1218780</v>
      </c>
      <c r="K12">
        <v>0.8622000000000002</v>
      </c>
      <c r="L12">
        <v>875693.4300000002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60000</v>
      </c>
      <c r="I14">
        <v>1</v>
      </c>
      <c r="J14">
        <v>60000</v>
      </c>
      <c r="K14">
        <v>0.7185000000000001</v>
      </c>
      <c r="L14">
        <v>43110.00000000001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0.7185000000000001</v>
      </c>
      <c r="L16">
        <v>1077750.0000000002</v>
      </c>
    </row>
    <row r="17">
      <c r="A17">
        <v>4</v>
      </c>
      <c r="B17" t="str">
        <v>BEKISTING BATAKO POSISI BERDIRI UNTUK POER DAN SLOOF (Material) — ratio 9.999999999999998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14</v>
      </c>
      <c r="F18" t="str">
        <v>pcs</v>
      </c>
      <c r="G18" t="str">
        <v>per m² form (cycle 1.00)</v>
      </c>
      <c r="H18">
        <v>4500</v>
      </c>
      <c r="I18">
        <v>139.99999999999997</v>
      </c>
      <c r="J18">
        <v>629999.9999999999</v>
      </c>
      <c r="K18">
        <v>100.59</v>
      </c>
      <c r="L18">
        <v>452655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0.08978310000000002</v>
      </c>
      <c r="F19" t="str">
        <v>sak</v>
      </c>
      <c r="G19" t="str">
        <v>per m² form (cycle 1.00)</v>
      </c>
      <c r="H19">
        <v>65000</v>
      </c>
      <c r="I19">
        <v>0.897831</v>
      </c>
      <c r="J19">
        <v>58359.015</v>
      </c>
      <c r="K19">
        <v>0.6450915735000001</v>
      </c>
      <c r="L19">
        <v>41930.95227750001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0.017953650000000005</v>
      </c>
      <c r="F20" t="str">
        <v>m3</v>
      </c>
      <c r="G20" t="str">
        <v>per m² form (cycle 1.00)</v>
      </c>
      <c r="H20">
        <v>350000</v>
      </c>
      <c r="I20">
        <v>0.17953650000000002</v>
      </c>
      <c r="J20">
        <v>62837.77500000001</v>
      </c>
      <c r="K20">
        <v>0.12899697525000003</v>
      </c>
      <c r="L20">
        <v>45148.941337500015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2.9999999999999996</v>
      </c>
      <c r="J21">
        <v>119999.99999999999</v>
      </c>
      <c r="K21">
        <v>2.1555</v>
      </c>
      <c r="L21">
        <v>86220</v>
      </c>
    </row>
    <row r="22">
      <c r="A22">
        <v>5</v>
      </c>
      <c r="B22" t="str">
        <v>PEMBESIAN (Material) — ratio 143.41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D8</v>
      </c>
      <c r="D23" t="str">
        <v>U24/U40 polos</v>
      </c>
      <c r="E23">
        <v>49.22527265135699</v>
      </c>
      <c r="F23" t="str">
        <v>kg</v>
      </c>
      <c r="G23" t="str">
        <v>per m3 beton</v>
      </c>
      <c r="H23">
        <v>10300</v>
      </c>
      <c r="I23">
        <v>49.22527265135699</v>
      </c>
      <c r="J23">
        <v>507020.308308977</v>
      </c>
      <c r="K23">
        <v>35.368358400000005</v>
      </c>
      <c r="L23">
        <v>364294.09152</v>
      </c>
    </row>
    <row r="24">
      <c r="A24" t="str">
        <v/>
      </c>
      <c r="B24" t="str">
        <v/>
      </c>
      <c r="C24" t="str">
        <v>Besi beton D13</v>
      </c>
      <c r="D24" t="str">
        <v>U24/U40 polos</v>
      </c>
      <c r="E24">
        <v>94.18582396659706</v>
      </c>
      <c r="F24" t="str">
        <v>kg</v>
      </c>
      <c r="G24" t="str">
        <v>per m3 beton</v>
      </c>
      <c r="H24">
        <v>10300</v>
      </c>
      <c r="I24">
        <v>94.18582396659706</v>
      </c>
      <c r="J24">
        <v>970113.9868559496</v>
      </c>
      <c r="K24">
        <v>67.67251452</v>
      </c>
      <c r="L24">
        <v>697026.8995559999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10300</v>
      </c>
      <c r="I25">
        <v>7.170554830897709</v>
      </c>
      <c r="J25">
        <v>73856.71475824641</v>
      </c>
      <c r="K25">
        <v>5.1520436460000045</v>
      </c>
      <c r="L25">
        <v>53066.049553800054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143.41109661795406</v>
      </c>
      <c r="J26">
        <v>14341.109661795406</v>
      </c>
      <c r="K26">
        <v>103.04087292000001</v>
      </c>
      <c r="L26">
        <v>10304.087292000002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3.011633028977035</v>
      </c>
      <c r="J27">
        <v>52703.57800709811</v>
      </c>
      <c r="K27">
        <v>2.16385833132</v>
      </c>
      <c r="L27">
        <v>37867.5207981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5268012.487592067</v>
      </c>
      <c r="J29" t="str">
        <v/>
      </c>
      <c r="K29" t="str">
        <v/>
      </c>
      <c r="L29">
        <v>3785066.9723349004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5268012.487592067</v>
      </c>
    </row>
    <row r="33">
      <c r="A33" t="str">
        <v>RAB (A) source unit cost</v>
      </c>
      <c r="B33">
        <v>5268012.487592067</v>
      </c>
    </row>
    <row r="34">
      <c r="A34" t="str">
        <v>Variance</v>
      </c>
      <c r="B34">
        <v>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3785066.9723349004</v>
      </c>
    </row>
    <row r="37">
      <c r="A37" t="str">
        <v>RAB (A) source line total</v>
      </c>
      <c r="B37">
        <v>4314976.348461786</v>
      </c>
    </row>
    <row r="38">
      <c r="A38" t="str">
        <v>Variance</v>
      </c>
      <c r="B38">
        <v>-529909.3761268859</v>
      </c>
      <c r="C38" t="str">
        <v>✓ OK</v>
      </c>
    </row>
  </sheetData>
  <ignoredErrors>
    <ignoredError numberStoredAsText="1" sqref="A1:L38"/>
  </ignoredErrors>
</worksheet>
</file>

<file path=xl/worksheets/sheet48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(A) III.B.2.2 - Sloof TB24-1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Sloof TB24-1</v>
      </c>
    </row>
    <row r="5">
      <c r="A5" t="str">
        <v>Unit</v>
      </c>
      <c r="B5" t="str">
        <v>m3</v>
      </c>
    </row>
    <row r="6">
      <c r="A6" t="str">
        <v>Volume</v>
      </c>
      <c r="B6">
        <v>1.13005</v>
      </c>
    </row>
    <row r="7">
      <c r="A7" t="str">
        <v>Unit cost (Rp/m3)</v>
      </c>
      <c r="B7">
        <v>4729057.4133854695</v>
      </c>
    </row>
    <row r="8">
      <c r="A8" t="str">
        <v>Line total at-cost (Rp)</v>
      </c>
      <c r="B8">
        <v>5344071.32999625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1015650.0000000001</v>
      </c>
      <c r="I12">
        <v>1.2</v>
      </c>
      <c r="J12">
        <v>1218780</v>
      </c>
      <c r="K12">
        <v>1.35606</v>
      </c>
      <c r="L12">
        <v>1377282.339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60000</v>
      </c>
      <c r="I14">
        <v>1</v>
      </c>
      <c r="J14">
        <v>60000</v>
      </c>
      <c r="K14">
        <v>1.13005</v>
      </c>
      <c r="L14">
        <v>67803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1.13005</v>
      </c>
      <c r="L16">
        <v>1695075</v>
      </c>
    </row>
    <row r="17">
      <c r="A17">
        <v>4</v>
      </c>
      <c r="B17" t="str">
        <v>BEKISTING BATAKO POSISI BERDIRI UNTUK POER DAN SLOOF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14</v>
      </c>
      <c r="F18" t="str">
        <v>pcs</v>
      </c>
      <c r="G18" t="str">
        <v>per m² form (cycle 1.00)</v>
      </c>
      <c r="H18">
        <v>4500</v>
      </c>
      <c r="I18">
        <v>140</v>
      </c>
      <c r="J18">
        <v>630000</v>
      </c>
      <c r="K18">
        <v>158.207</v>
      </c>
      <c r="L18">
        <v>711931.5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0.08978310000000002</v>
      </c>
      <c r="F19" t="str">
        <v>sak</v>
      </c>
      <c r="G19" t="str">
        <v>per m² form (cycle 1.00)</v>
      </c>
      <c r="H19">
        <v>65000</v>
      </c>
      <c r="I19">
        <v>0.8978310000000002</v>
      </c>
      <c r="J19">
        <v>58359.01500000001</v>
      </c>
      <c r="K19">
        <v>1.0145939215500002</v>
      </c>
      <c r="L19">
        <v>65948.60490075001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0.017953650000000005</v>
      </c>
      <c r="F20" t="str">
        <v>m3</v>
      </c>
      <c r="G20" t="str">
        <v>per m² form (cycle 1.00)</v>
      </c>
      <c r="H20">
        <v>350000</v>
      </c>
      <c r="I20">
        <v>0.17953650000000004</v>
      </c>
      <c r="J20">
        <v>62837.775000000016</v>
      </c>
      <c r="K20">
        <v>0.20288522182500004</v>
      </c>
      <c r="L20">
        <v>71009.82763875002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3</v>
      </c>
      <c r="J21">
        <v>120000</v>
      </c>
      <c r="K21">
        <v>3.39015</v>
      </c>
      <c r="L21">
        <v>135606</v>
      </c>
    </row>
    <row r="22">
      <c r="A22">
        <v>5</v>
      </c>
      <c r="B22" t="str">
        <v>PEMBESIAN (Material) — ratio 95.64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D8</v>
      </c>
      <c r="D23" t="str">
        <v>U24/U40 polos</v>
      </c>
      <c r="E23">
        <v>32.00682730852618</v>
      </c>
      <c r="F23" t="str">
        <v>kg</v>
      </c>
      <c r="G23" t="str">
        <v>per m3 beton</v>
      </c>
      <c r="H23">
        <v>10300</v>
      </c>
      <c r="I23">
        <v>32.00682730852618</v>
      </c>
      <c r="J23">
        <v>329670.32127781963</v>
      </c>
      <c r="K23">
        <v>36.16931520000001</v>
      </c>
      <c r="L23">
        <v>372543.94656000007</v>
      </c>
    </row>
    <row r="24">
      <c r="A24" t="str">
        <v/>
      </c>
      <c r="B24" t="str">
        <v/>
      </c>
      <c r="C24" t="str">
        <v>Besi beton D13</v>
      </c>
      <c r="D24" t="str">
        <v>U24/U40 polos</v>
      </c>
      <c r="E24">
        <v>63.63515127649219</v>
      </c>
      <c r="F24" t="str">
        <v>kg</v>
      </c>
      <c r="G24" t="str">
        <v>per m3 beton</v>
      </c>
      <c r="H24">
        <v>10300</v>
      </c>
      <c r="I24">
        <v>63.63515127649219</v>
      </c>
      <c r="J24">
        <v>655442.0581478695</v>
      </c>
      <c r="K24">
        <v>71.9109027</v>
      </c>
      <c r="L24">
        <v>740682.29781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10300</v>
      </c>
      <c r="I25">
        <v>4.782098929250923</v>
      </c>
      <c r="J25">
        <v>49255.61897128451</v>
      </c>
      <c r="K25">
        <v>5.404010895000005</v>
      </c>
      <c r="L25">
        <v>55661.31221850006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95.64197858501836</v>
      </c>
      <c r="J26">
        <v>9564.197858501837</v>
      </c>
      <c r="K26">
        <v>108.08021790000001</v>
      </c>
      <c r="L26">
        <v>10808.02179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2.008481550285386</v>
      </c>
      <c r="J27">
        <v>35148.427129994256</v>
      </c>
      <c r="K27">
        <v>2.2696845759000004</v>
      </c>
      <c r="L27">
        <v>39719.48007825001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4729057.4133854695</v>
      </c>
      <c r="J29" t="str">
        <v/>
      </c>
      <c r="K29" t="str">
        <v/>
      </c>
      <c r="L29">
        <v>5344071.32999625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4729057.4133854695</v>
      </c>
    </row>
    <row r="33">
      <c r="A33" t="str">
        <v>RAB (A) source unit cost</v>
      </c>
      <c r="B33">
        <v>4729057.4133854695</v>
      </c>
    </row>
    <row r="34">
      <c r="A34" t="str">
        <v>Variance</v>
      </c>
      <c r="B34">
        <v>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5344071.32999625</v>
      </c>
    </row>
    <row r="37">
      <c r="A37" t="str">
        <v>RAB (A) source line total</v>
      </c>
      <c r="B37">
        <v>6092241.3161957245</v>
      </c>
    </row>
    <row r="38">
      <c r="A38" t="str">
        <v>Variance</v>
      </c>
      <c r="B38">
        <v>-748169.9861994749</v>
      </c>
      <c r="C38" t="str">
        <v>✓ OK</v>
      </c>
    </row>
  </sheetData>
  <ignoredErrors>
    <ignoredError numberStoredAsText="1" sqref="A1:L38"/>
  </ignoredErrors>
</worksheet>
</file>

<file path=xl/worksheets/sheet49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(A) III.B.2.3 - Sloof TB24-2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Sloof TB24-2</v>
      </c>
    </row>
    <row r="5">
      <c r="A5" t="str">
        <v>Unit</v>
      </c>
      <c r="B5" t="str">
        <v>m3</v>
      </c>
    </row>
    <row r="6">
      <c r="A6" t="str">
        <v>Volume</v>
      </c>
      <c r="B6">
        <v>1.3669499999999999</v>
      </c>
    </row>
    <row r="7">
      <c r="A7" t="str">
        <v>Unit cost (Rp/m3)</v>
      </c>
      <c r="B7">
        <v>5339843.992214419</v>
      </c>
    </row>
    <row r="8">
      <c r="A8" t="str">
        <v>Line total at-cost (Rp)</v>
      </c>
      <c r="B8">
        <v>7299299.7451575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1015650.0000000001</v>
      </c>
      <c r="I12">
        <v>1.2</v>
      </c>
      <c r="J12">
        <v>1218780</v>
      </c>
      <c r="K12">
        <v>1.64034</v>
      </c>
      <c r="L12">
        <v>1666011.3209999998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60000</v>
      </c>
      <c r="I14">
        <v>1</v>
      </c>
      <c r="J14">
        <v>60000</v>
      </c>
      <c r="K14">
        <v>1.3669499999999999</v>
      </c>
      <c r="L14">
        <v>82017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1.3669499999999999</v>
      </c>
      <c r="L16">
        <v>2050424.9999999998</v>
      </c>
    </row>
    <row r="17">
      <c r="A17">
        <v>4</v>
      </c>
      <c r="B17" t="str">
        <v>BEKISTING BATAKO POSISI BERDIRI UNTUK POER DAN SLOOF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14</v>
      </c>
      <c r="F18" t="str">
        <v>pcs</v>
      </c>
      <c r="G18" t="str">
        <v>per m² form (cycle 1.00)</v>
      </c>
      <c r="H18">
        <v>4500</v>
      </c>
      <c r="I18">
        <v>140</v>
      </c>
      <c r="J18">
        <v>630000</v>
      </c>
      <c r="K18">
        <v>191.373</v>
      </c>
      <c r="L18">
        <v>861178.4999999999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0.08978310000000002</v>
      </c>
      <c r="F19" t="str">
        <v>sak</v>
      </c>
      <c r="G19" t="str">
        <v>per m² form (cycle 1.00)</v>
      </c>
      <c r="H19">
        <v>65000</v>
      </c>
      <c r="I19">
        <v>0.8978310000000002</v>
      </c>
      <c r="J19">
        <v>58359.01500000001</v>
      </c>
      <c r="K19">
        <v>1.2272900854500002</v>
      </c>
      <c r="L19">
        <v>79773.85555425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0.017953650000000005</v>
      </c>
      <c r="F20" t="str">
        <v>m3</v>
      </c>
      <c r="G20" t="str">
        <v>per m² form (cycle 1.00)</v>
      </c>
      <c r="H20">
        <v>350000</v>
      </c>
      <c r="I20">
        <v>0.17953650000000004</v>
      </c>
      <c r="J20">
        <v>62837.775000000016</v>
      </c>
      <c r="K20">
        <v>0.24541741867500003</v>
      </c>
      <c r="L20">
        <v>85896.09653625001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3</v>
      </c>
      <c r="J21">
        <v>120000</v>
      </c>
      <c r="K21">
        <v>4.100849999999999</v>
      </c>
      <c r="L21">
        <v>164034</v>
      </c>
    </row>
    <row r="22">
      <c r="A22">
        <v>5</v>
      </c>
      <c r="B22" t="str">
        <v>PEMBESIAN (Material) — ratio 149.78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D8</v>
      </c>
      <c r="D23" t="str">
        <v>U24/U40 polos</v>
      </c>
      <c r="E23">
        <v>39.83845144299353</v>
      </c>
      <c r="F23" t="str">
        <v>kg</v>
      </c>
      <c r="G23" t="str">
        <v>per m3 beton</v>
      </c>
      <c r="H23">
        <v>10300</v>
      </c>
      <c r="I23">
        <v>39.83845144299353</v>
      </c>
      <c r="J23">
        <v>410336.04986283334</v>
      </c>
      <c r="K23">
        <v>54.457171200000005</v>
      </c>
      <c r="L23">
        <v>560908.86336</v>
      </c>
    </row>
    <row r="24">
      <c r="A24" t="str">
        <v/>
      </c>
      <c r="B24" t="str">
        <v/>
      </c>
      <c r="C24" t="str">
        <v>Besi beton D13</v>
      </c>
      <c r="D24" t="str">
        <v>U24/U40 polos</v>
      </c>
      <c r="E24">
        <v>109.93927532097004</v>
      </c>
      <c r="F24" t="str">
        <v>kg</v>
      </c>
      <c r="G24" t="str">
        <v>per m3 beton</v>
      </c>
      <c r="H24">
        <v>10300</v>
      </c>
      <c r="I24">
        <v>109.93927532097004</v>
      </c>
      <c r="J24">
        <v>1132374.5358059914</v>
      </c>
      <c r="K24">
        <v>150.2814924</v>
      </c>
      <c r="L24">
        <v>1547899.3717199997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10300</v>
      </c>
      <c r="I25">
        <v>7.488886338198186</v>
      </c>
      <c r="J25">
        <v>77135.52928344131</v>
      </c>
      <c r="K25">
        <v>10.23693318000001</v>
      </c>
      <c r="L25">
        <v>105440.41175400009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149.77772676396359</v>
      </c>
      <c r="J26">
        <v>14977.772676396358</v>
      </c>
      <c r="K26">
        <v>204.7386636</v>
      </c>
      <c r="L26">
        <v>20473.86636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3.1453322620432353</v>
      </c>
      <c r="J27">
        <v>55043.31458575662</v>
      </c>
      <c r="K27">
        <v>4.2995119356</v>
      </c>
      <c r="L27">
        <v>75241.45887300001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5339843.992214419</v>
      </c>
      <c r="J29" t="str">
        <v/>
      </c>
      <c r="K29" t="str">
        <v/>
      </c>
      <c r="L29">
        <v>7299299.7451575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5339843.992214419</v>
      </c>
    </row>
    <row r="33">
      <c r="A33" t="str">
        <v>RAB (A) source unit cost</v>
      </c>
      <c r="B33">
        <v>5339843.992214419</v>
      </c>
    </row>
    <row r="34">
      <c r="A34" t="str">
        <v>Variance</v>
      </c>
      <c r="B34">
        <v>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7299299.7451575</v>
      </c>
    </row>
    <row r="37">
      <c r="A37" t="str">
        <v>RAB (A) source line total</v>
      </c>
      <c r="B37">
        <v>8321201.709479549</v>
      </c>
    </row>
    <row r="38">
      <c r="A38" t="str">
        <v>Variance</v>
      </c>
      <c r="B38">
        <v>-1021901.9643220492</v>
      </c>
      <c r="C38" t="str">
        <v>✓ OK</v>
      </c>
    </row>
  </sheetData>
  <ignoredErrors>
    <ignoredError numberStoredAsText="1" sqref="A1:L38"/>
  </ignoredErrors>
</worksheet>
</file>

<file path=xl/worksheets/sheet50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(A) III.B.2.4 - Sloof TB245-1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Sloof TB245-1</v>
      </c>
    </row>
    <row r="5">
      <c r="A5" t="str">
        <v>Unit</v>
      </c>
      <c r="B5" t="str">
        <v>m3</v>
      </c>
    </row>
    <row r="6">
      <c r="A6" t="str">
        <v>Volume</v>
      </c>
      <c r="B6">
        <v>7.9925999999999995</v>
      </c>
    </row>
    <row r="7">
      <c r="A7" t="str">
        <v>Unit cost (Rp/m3)</v>
      </c>
      <c r="B7">
        <v>5182970.537040924</v>
      </c>
    </row>
    <row r="8">
      <c r="A8" t="str">
        <v>Line total at-cost (Rp)</v>
      </c>
      <c r="B8">
        <v>41425410.31435329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1015650.0000000001</v>
      </c>
      <c r="I12">
        <v>1.2</v>
      </c>
      <c r="J12">
        <v>1218780</v>
      </c>
      <c r="K12">
        <v>9.591119999999998</v>
      </c>
      <c r="L12">
        <v>9741221.027999999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60000</v>
      </c>
      <c r="I14">
        <v>1</v>
      </c>
      <c r="J14">
        <v>60000</v>
      </c>
      <c r="K14">
        <v>7.9925999999999995</v>
      </c>
      <c r="L14">
        <v>479555.99999999994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7.9925999999999995</v>
      </c>
      <c r="L16">
        <v>11988900</v>
      </c>
    </row>
    <row r="17">
      <c r="A17">
        <v>4</v>
      </c>
      <c r="B17" t="str">
        <v>BEKISTING BATAKO POSISI BERDIRI UNTUK POER DAN SLOOF (Material) — ratio 10.000000000000002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14</v>
      </c>
      <c r="F18" t="str">
        <v>pcs</v>
      </c>
      <c r="G18" t="str">
        <v>per m² form (cycle 1.00)</v>
      </c>
      <c r="H18">
        <v>4500</v>
      </c>
      <c r="I18">
        <v>140.00000000000003</v>
      </c>
      <c r="J18">
        <v>630000.0000000001</v>
      </c>
      <c r="K18">
        <v>1118.9640000000002</v>
      </c>
      <c r="L18">
        <v>5035338.000000001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0.08978310000000002</v>
      </c>
      <c r="F19" t="str">
        <v>sak</v>
      </c>
      <c r="G19" t="str">
        <v>per m² form (cycle 1.00)</v>
      </c>
      <c r="H19">
        <v>65000</v>
      </c>
      <c r="I19">
        <v>0.8978310000000004</v>
      </c>
      <c r="J19">
        <v>58359.01500000002</v>
      </c>
      <c r="K19">
        <v>7.176004050600002</v>
      </c>
      <c r="L19">
        <v>466440.26328900014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0.017953650000000005</v>
      </c>
      <c r="F20" t="str">
        <v>m3</v>
      </c>
      <c r="G20" t="str">
        <v>per m² form (cycle 1.00)</v>
      </c>
      <c r="H20">
        <v>350000</v>
      </c>
      <c r="I20">
        <v>0.17953650000000007</v>
      </c>
      <c r="J20">
        <v>62837.77500000002</v>
      </c>
      <c r="K20">
        <v>1.4349634299000005</v>
      </c>
      <c r="L20">
        <v>502237.2004650002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3.0000000000000004</v>
      </c>
      <c r="J21">
        <v>120000.00000000001</v>
      </c>
      <c r="K21">
        <v>23.977800000000002</v>
      </c>
      <c r="L21">
        <v>959112</v>
      </c>
    </row>
    <row r="22">
      <c r="A22">
        <v>5</v>
      </c>
      <c r="B22" t="str">
        <v>PEMBESIAN (Material) — ratio 135.87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D8</v>
      </c>
      <c r="D23" t="str">
        <v>U24/U40 polos</v>
      </c>
      <c r="E23">
        <v>45.013487636063374</v>
      </c>
      <c r="F23" t="str">
        <v>kg</v>
      </c>
      <c r="G23" t="str">
        <v>per m3 beton</v>
      </c>
      <c r="H23">
        <v>10300</v>
      </c>
      <c r="I23">
        <v>45.013487636063374</v>
      </c>
      <c r="J23">
        <v>463638.92265145277</v>
      </c>
      <c r="K23">
        <v>359.7748012800001</v>
      </c>
      <c r="L23">
        <v>3705680.453184001</v>
      </c>
    </row>
    <row r="24">
      <c r="A24" t="str">
        <v/>
      </c>
      <c r="B24" t="str">
        <v/>
      </c>
      <c r="C24" t="str">
        <v>Besi beton D13</v>
      </c>
      <c r="D24" t="str">
        <v>U24/U40 polos</v>
      </c>
      <c r="E24">
        <v>90.86009951580212</v>
      </c>
      <c r="F24" t="str">
        <v>kg</v>
      </c>
      <c r="G24" t="str">
        <v>per m3 beton</v>
      </c>
      <c r="H24">
        <v>10300</v>
      </c>
      <c r="I24">
        <v>90.86009951580212</v>
      </c>
      <c r="J24">
        <v>935859.0250127618</v>
      </c>
      <c r="K24">
        <v>726.20843139</v>
      </c>
      <c r="L24">
        <v>7479946.843316999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10300</v>
      </c>
      <c r="I25">
        <v>6.79367935759328</v>
      </c>
      <c r="J25">
        <v>69974.89738321079</v>
      </c>
      <c r="K25">
        <v>54.29916163350005</v>
      </c>
      <c r="L25">
        <v>559281.3648250505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135.87358715186548</v>
      </c>
      <c r="J26">
        <v>13587.358715186549</v>
      </c>
      <c r="K26">
        <v>1085.98323267</v>
      </c>
      <c r="L26">
        <v>108598.323267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2.853345330189175</v>
      </c>
      <c r="J27">
        <v>49933.543278310564</v>
      </c>
      <c r="K27">
        <v>22.80564788607</v>
      </c>
      <c r="L27">
        <v>399098.838006225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5182970.537040924</v>
      </c>
      <c r="J29" t="str">
        <v/>
      </c>
      <c r="K29" t="str">
        <v/>
      </c>
      <c r="L29">
        <v>41425410.31435329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5182970.537040924</v>
      </c>
    </row>
    <row r="33">
      <c r="A33" t="str">
        <v>RAB (A) source unit cost</v>
      </c>
      <c r="B33">
        <v>5182970.537040923</v>
      </c>
    </row>
    <row r="34">
      <c r="A34" t="str">
        <v>Variance</v>
      </c>
      <c r="B34">
        <v>9.313225746154785e-10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41425410.31435329</v>
      </c>
    </row>
    <row r="37">
      <c r="A37" t="str">
        <v>RAB (A) source line total</v>
      </c>
      <c r="B37">
        <v>47224967.75836273</v>
      </c>
    </row>
    <row r="38">
      <c r="A38" t="str">
        <v>Variance</v>
      </c>
      <c r="B38">
        <v>-5799557.444009446</v>
      </c>
      <c r="C38" t="str">
        <v>✓ OK</v>
      </c>
    </row>
  </sheetData>
  <ignoredErrors>
    <ignoredError numberStoredAsText="1" sqref="A1:L38"/>
  </ignoredErrors>
</worksheet>
</file>

<file path=xl/worksheets/sheet51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(A) III.B.2.5 - Sloof TB245-2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Sloof TB245-2</v>
      </c>
    </row>
    <row r="5">
      <c r="A5" t="str">
        <v>Unit</v>
      </c>
      <c r="B5" t="str">
        <v>m3</v>
      </c>
    </row>
    <row r="6">
      <c r="A6" t="str">
        <v>Volume</v>
      </c>
      <c r="B6">
        <v>6.395099999999999</v>
      </c>
    </row>
    <row r="7">
      <c r="A7" t="str">
        <v>Unit cost (Rp/m3)</v>
      </c>
      <c r="B7">
        <v>5545197.193095045</v>
      </c>
    </row>
    <row r="8">
      <c r="A8" t="str">
        <v>Line total at-cost (Rp)</v>
      </c>
      <c r="B8">
        <v>35462090.56956212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1015650.0000000001</v>
      </c>
      <c r="I12">
        <v>1.2</v>
      </c>
      <c r="J12">
        <v>1218780</v>
      </c>
      <c r="K12">
        <v>7.6741199999999985</v>
      </c>
      <c r="L12">
        <v>7794219.977999999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60000</v>
      </c>
      <c r="I14">
        <v>1</v>
      </c>
      <c r="J14">
        <v>60000</v>
      </c>
      <c r="K14">
        <v>6.395099999999999</v>
      </c>
      <c r="L14">
        <v>383705.99999999994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6.395099999999999</v>
      </c>
      <c r="L16">
        <v>9592649.999999998</v>
      </c>
    </row>
    <row r="17">
      <c r="A17">
        <v>4</v>
      </c>
      <c r="B17" t="str">
        <v>BEKISTING BATAKO POSISI BERDIRI UNTUK POER DAN SLOOF (Material) — ratio 10.000000000000002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14</v>
      </c>
      <c r="F18" t="str">
        <v>pcs</v>
      </c>
      <c r="G18" t="str">
        <v>per m² form (cycle 1.00)</v>
      </c>
      <c r="H18">
        <v>4500</v>
      </c>
      <c r="I18">
        <v>140.00000000000003</v>
      </c>
      <c r="J18">
        <v>630000.0000000001</v>
      </c>
      <c r="K18">
        <v>895.3140000000001</v>
      </c>
      <c r="L18">
        <v>4028913.0000000005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0.08978310000000002</v>
      </c>
      <c r="F19" t="str">
        <v>sak</v>
      </c>
      <c r="G19" t="str">
        <v>per m² form (cycle 1.00)</v>
      </c>
      <c r="H19">
        <v>65000</v>
      </c>
      <c r="I19">
        <v>0.8978310000000004</v>
      </c>
      <c r="J19">
        <v>58359.01500000002</v>
      </c>
      <c r="K19">
        <v>5.741719028100002</v>
      </c>
      <c r="L19">
        <v>373211.7368265001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0.017953650000000005</v>
      </c>
      <c r="F20" t="str">
        <v>m3</v>
      </c>
      <c r="G20" t="str">
        <v>per m² form (cycle 1.00)</v>
      </c>
      <c r="H20">
        <v>350000</v>
      </c>
      <c r="I20">
        <v>0.17953650000000007</v>
      </c>
      <c r="J20">
        <v>62837.77500000002</v>
      </c>
      <c r="K20">
        <v>1.1481538711500003</v>
      </c>
      <c r="L20">
        <v>401853.8549025001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3.0000000000000004</v>
      </c>
      <c r="J21">
        <v>120000.00000000001</v>
      </c>
      <c r="K21">
        <v>19.1853</v>
      </c>
      <c r="L21">
        <v>767412</v>
      </c>
    </row>
    <row r="22">
      <c r="A22">
        <v>5</v>
      </c>
      <c r="B22" t="str">
        <v>PEMBESIAN (Material) — ratio 167.98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D8</v>
      </c>
      <c r="D23" t="str">
        <v>U24/U40 polos</v>
      </c>
      <c r="E23">
        <v>58.656254174602424</v>
      </c>
      <c r="F23" t="str">
        <v>kg</v>
      </c>
      <c r="G23" t="str">
        <v>per m3 beton</v>
      </c>
      <c r="H23">
        <v>10300</v>
      </c>
      <c r="I23">
        <v>58.656254174602424</v>
      </c>
      <c r="J23">
        <v>604159.4179984049</v>
      </c>
      <c r="K23">
        <v>375.11261107199994</v>
      </c>
      <c r="L23">
        <v>3863659.8940415992</v>
      </c>
    </row>
    <row r="24">
      <c r="A24" t="str">
        <v/>
      </c>
      <c r="B24" t="str">
        <v/>
      </c>
      <c r="C24" t="str">
        <v>Besi beton D13</v>
      </c>
      <c r="D24" t="str">
        <v>U24/U40 polos</v>
      </c>
      <c r="E24">
        <v>109.32250967162359</v>
      </c>
      <c r="F24" t="str">
        <v>kg</v>
      </c>
      <c r="G24" t="str">
        <v>per m3 beton</v>
      </c>
      <c r="H24">
        <v>10300</v>
      </c>
      <c r="I24">
        <v>109.32250967162359</v>
      </c>
      <c r="J24">
        <v>1126021.849617723</v>
      </c>
      <c r="K24">
        <v>699.128381601</v>
      </c>
      <c r="L24">
        <v>7201022.3304902995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10300</v>
      </c>
      <c r="I25">
        <v>8.398938192311308</v>
      </c>
      <c r="J25">
        <v>86509.06338080647</v>
      </c>
      <c r="K25">
        <v>53.71204963365004</v>
      </c>
      <c r="L25">
        <v>553234.1112265955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167.978763846226</v>
      </c>
      <c r="J26">
        <v>16797.8763846226</v>
      </c>
      <c r="K26">
        <v>1074.2409926729997</v>
      </c>
      <c r="L26">
        <v>107424.09926729997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3.527554040770746</v>
      </c>
      <c r="J27">
        <v>61732.19571348806</v>
      </c>
      <c r="K27">
        <v>22.559060846132997</v>
      </c>
      <c r="L27">
        <v>394783.56480732746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5545197.193095045</v>
      </c>
      <c r="J29" t="str">
        <v/>
      </c>
      <c r="K29" t="str">
        <v/>
      </c>
      <c r="L29">
        <v>35462090.56956212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5545197.193095045</v>
      </c>
    </row>
    <row r="33">
      <c r="A33" t="str">
        <v>RAB (A) source unit cost</v>
      </c>
      <c r="B33">
        <v>5545197.193095045</v>
      </c>
    </row>
    <row r="34">
      <c r="A34" t="str">
        <v>Variance</v>
      </c>
      <c r="B34">
        <v>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35462090.56956212</v>
      </c>
    </row>
    <row r="37">
      <c r="A37" t="str">
        <v>RAB (A) source line total</v>
      </c>
      <c r="B37">
        <v>40426783.249300815</v>
      </c>
    </row>
    <row r="38">
      <c r="A38" t="str">
        <v>Variance</v>
      </c>
      <c r="B38">
        <v>-4964692.679738693</v>
      </c>
      <c r="C38" t="str">
        <v>✓ OK</v>
      </c>
    </row>
  </sheetData>
  <ignoredErrors>
    <ignoredError numberStoredAsText="1" sqref="A1:L38"/>
  </ignoredErrors>
</worksheet>
</file>

<file path=xl/worksheets/sheet52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(A) III.B.2.6 - Sloof TB25-1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Sloof TB25-1</v>
      </c>
    </row>
    <row r="5">
      <c r="A5" t="str">
        <v>Unit</v>
      </c>
      <c r="B5" t="str">
        <v>m3</v>
      </c>
    </row>
    <row r="6">
      <c r="A6" t="str">
        <v>Volume</v>
      </c>
      <c r="B6">
        <v>4.9119</v>
      </c>
    </row>
    <row r="7">
      <c r="A7" t="str">
        <v>Unit cost (Rp/m3)</v>
      </c>
      <c r="B7">
        <v>5817095.234851769</v>
      </c>
    </row>
    <row r="8">
      <c r="A8" t="str">
        <v>Line total at-cost (Rp)</v>
      </c>
      <c r="B8">
        <v>28572990.084068406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1015650.0000000001</v>
      </c>
      <c r="I12">
        <v>1.2</v>
      </c>
      <c r="J12">
        <v>1218780</v>
      </c>
      <c r="K12">
        <v>5.89428</v>
      </c>
      <c r="L12">
        <v>5986525.482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60000</v>
      </c>
      <c r="I14">
        <v>1</v>
      </c>
      <c r="J14">
        <v>60000</v>
      </c>
      <c r="K14">
        <v>4.9119</v>
      </c>
      <c r="L14">
        <v>294714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4.9119</v>
      </c>
      <c r="L16">
        <v>7367850</v>
      </c>
    </row>
    <row r="17">
      <c r="A17">
        <v>4</v>
      </c>
      <c r="B17" t="str">
        <v>BEKISTING BATAKO POSISI BERDIRI UNTUK POER DAN SLOOF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14</v>
      </c>
      <c r="F18" t="str">
        <v>pcs</v>
      </c>
      <c r="G18" t="str">
        <v>per m² form (cycle 1.00)</v>
      </c>
      <c r="H18">
        <v>4500</v>
      </c>
      <c r="I18">
        <v>140</v>
      </c>
      <c r="J18">
        <v>630000</v>
      </c>
      <c r="K18">
        <v>687.666</v>
      </c>
      <c r="L18">
        <v>3094497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0.08978310000000002</v>
      </c>
      <c r="F19" t="str">
        <v>sak</v>
      </c>
      <c r="G19" t="str">
        <v>per m² form (cycle 1.00)</v>
      </c>
      <c r="H19">
        <v>65000</v>
      </c>
      <c r="I19">
        <v>0.8978310000000002</v>
      </c>
      <c r="J19">
        <v>58359.01500000001</v>
      </c>
      <c r="K19">
        <v>4.410056088900001</v>
      </c>
      <c r="L19">
        <v>286653.64577850007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0.017953650000000005</v>
      </c>
      <c r="F20" t="str">
        <v>m3</v>
      </c>
      <c r="G20" t="str">
        <v>per m² form (cycle 1.00)</v>
      </c>
      <c r="H20">
        <v>350000</v>
      </c>
      <c r="I20">
        <v>0.17953650000000004</v>
      </c>
      <c r="J20">
        <v>62837.775000000016</v>
      </c>
      <c r="K20">
        <v>0.8818653343500003</v>
      </c>
      <c r="L20">
        <v>308652.8670225001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3</v>
      </c>
      <c r="J21">
        <v>120000</v>
      </c>
      <c r="K21">
        <v>14.735700000000001</v>
      </c>
      <c r="L21">
        <v>589428</v>
      </c>
    </row>
    <row r="22">
      <c r="A22">
        <v>5</v>
      </c>
      <c r="B22" t="str">
        <v>PEMBESIAN (Material) — ratio 192.08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66.68426678067553</v>
      </c>
      <c r="F23" t="str">
        <v>kg</v>
      </c>
      <c r="G23" t="str">
        <v>per m3 beton</v>
      </c>
      <c r="H23">
        <v>10300</v>
      </c>
      <c r="I23">
        <v>66.68426678067553</v>
      </c>
      <c r="J23">
        <v>686847.9478409579</v>
      </c>
      <c r="K23">
        <v>327.54645000000016</v>
      </c>
      <c r="L23">
        <v>3373728.4350000015</v>
      </c>
    </row>
    <row r="24">
      <c r="A24" t="str">
        <v/>
      </c>
      <c r="B24" t="str">
        <v/>
      </c>
      <c r="C24" t="str">
        <v>Besi beton D16</v>
      </c>
      <c r="D24" t="str">
        <v>U24/U40 polos</v>
      </c>
      <c r="E24">
        <v>125.39359227997313</v>
      </c>
      <c r="F24" t="str">
        <v>kg</v>
      </c>
      <c r="G24" t="str">
        <v>per m3 beton</v>
      </c>
      <c r="H24">
        <v>10300</v>
      </c>
      <c r="I24">
        <v>125.39359227997313</v>
      </c>
      <c r="J24">
        <v>1291554.0004837234</v>
      </c>
      <c r="K24">
        <v>615.9207859200001</v>
      </c>
      <c r="L24">
        <v>6343984.094976001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10300</v>
      </c>
      <c r="I25">
        <v>9.603892953032442</v>
      </c>
      <c r="J25">
        <v>98920.09741623416</v>
      </c>
      <c r="K25">
        <v>47.17336179600006</v>
      </c>
      <c r="L25">
        <v>485885.6264988006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192.07785906064868</v>
      </c>
      <c r="J26">
        <v>19207.785906064866</v>
      </c>
      <c r="K26">
        <v>943.4672359200002</v>
      </c>
      <c r="L26">
        <v>94346.72359200002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4.033635040273622</v>
      </c>
      <c r="J27">
        <v>70588.61320478839</v>
      </c>
      <c r="K27">
        <v>19.812811954320004</v>
      </c>
      <c r="L27">
        <v>346724.2092006001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5817095.234851769</v>
      </c>
      <c r="J29" t="str">
        <v/>
      </c>
      <c r="K29" t="str">
        <v/>
      </c>
      <c r="L29">
        <v>28572990.084068406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5817095.234851769</v>
      </c>
    </row>
    <row r="33">
      <c r="A33" t="str">
        <v>RAB (A) source unit cost</v>
      </c>
      <c r="B33">
        <v>5817095.234851768</v>
      </c>
    </row>
    <row r="34">
      <c r="A34" t="str">
        <v>Variance</v>
      </c>
      <c r="B34">
        <v>9.313225746154785e-10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28572990.084068406</v>
      </c>
    </row>
    <row r="37">
      <c r="A37" t="str">
        <v>RAB (A) source line total</v>
      </c>
      <c r="B37">
        <v>32573208.695837975</v>
      </c>
    </row>
    <row r="38">
      <c r="A38" t="str">
        <v>Variance</v>
      </c>
      <c r="B38">
        <v>-4000218.611769568</v>
      </c>
      <c r="C38" t="str">
        <v>✓ OK</v>
      </c>
    </row>
  </sheetData>
  <ignoredErrors>
    <ignoredError numberStoredAsText="1" sqref="A1:L38"/>
  </ignoredErrors>
</worksheet>
</file>

<file path=xl/worksheets/sheet53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(A) III.B.2.7 - Sloof TB25-2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Sloof TB25-2</v>
      </c>
    </row>
    <row r="5">
      <c r="A5" t="str">
        <v>Unit</v>
      </c>
      <c r="B5" t="str">
        <v>m3</v>
      </c>
    </row>
    <row r="6">
      <c r="A6" t="str">
        <v>Volume</v>
      </c>
      <c r="B6">
        <v>2.2841</v>
      </c>
    </row>
    <row r="7">
      <c r="A7" t="str">
        <v>Unit cost (Rp/m3)</v>
      </c>
      <c r="B7">
        <v>6328365.290802722</v>
      </c>
    </row>
    <row r="8">
      <c r="A8" t="str">
        <v>Line total at-cost (Rp)</v>
      </c>
      <c r="B8">
        <v>14454619.160722498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1015650.0000000001</v>
      </c>
      <c r="I12">
        <v>1.2</v>
      </c>
      <c r="J12">
        <v>1218780</v>
      </c>
      <c r="K12">
        <v>2.74092</v>
      </c>
      <c r="L12">
        <v>2783815.398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60000</v>
      </c>
      <c r="I14">
        <v>1</v>
      </c>
      <c r="J14">
        <v>60000</v>
      </c>
      <c r="K14">
        <v>2.2841</v>
      </c>
      <c r="L14">
        <v>137046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2.2841</v>
      </c>
      <c r="L16">
        <v>3426150</v>
      </c>
    </row>
    <row r="17">
      <c r="A17">
        <v>4</v>
      </c>
      <c r="B17" t="str">
        <v>BEKISTING BATAKO POSISI BERDIRI UNTUK POER DAN SLOOF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14</v>
      </c>
      <c r="F18" t="str">
        <v>pcs</v>
      </c>
      <c r="G18" t="str">
        <v>per m² form (cycle 1.00)</v>
      </c>
      <c r="H18">
        <v>4500</v>
      </c>
      <c r="I18">
        <v>140</v>
      </c>
      <c r="J18">
        <v>630000</v>
      </c>
      <c r="K18">
        <v>319.774</v>
      </c>
      <c r="L18">
        <v>1438983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0.08978310000000002</v>
      </c>
      <c r="F19" t="str">
        <v>sak</v>
      </c>
      <c r="G19" t="str">
        <v>per m² form (cycle 1.00)</v>
      </c>
      <c r="H19">
        <v>65000</v>
      </c>
      <c r="I19">
        <v>0.8978310000000002</v>
      </c>
      <c r="J19">
        <v>58359.01500000001</v>
      </c>
      <c r="K19">
        <v>2.0507357871000003</v>
      </c>
      <c r="L19">
        <v>133297.8261615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0.017953650000000005</v>
      </c>
      <c r="F20" t="str">
        <v>m3</v>
      </c>
      <c r="G20" t="str">
        <v>per m² form (cycle 1.00)</v>
      </c>
      <c r="H20">
        <v>350000</v>
      </c>
      <c r="I20">
        <v>0.17953650000000004</v>
      </c>
      <c r="J20">
        <v>62837.775000000016</v>
      </c>
      <c r="K20">
        <v>0.4100793196500001</v>
      </c>
      <c r="L20">
        <v>143527.76187750004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3</v>
      </c>
      <c r="J21">
        <v>120000</v>
      </c>
      <c r="K21">
        <v>6.8523</v>
      </c>
      <c r="L21">
        <v>274092</v>
      </c>
    </row>
    <row r="22">
      <c r="A22">
        <v>5</v>
      </c>
      <c r="B22" t="str">
        <v>PEMBESIAN (Material) — ratio 237.39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72.89442449980298</v>
      </c>
      <c r="F23" t="str">
        <v>kg</v>
      </c>
      <c r="G23" t="str">
        <v>per m3 beton</v>
      </c>
      <c r="H23">
        <v>10300</v>
      </c>
      <c r="I23">
        <v>72.89442449980298</v>
      </c>
      <c r="J23">
        <v>750812.5723479707</v>
      </c>
      <c r="K23">
        <v>166.498155</v>
      </c>
      <c r="L23">
        <v>1714930.9965</v>
      </c>
    </row>
    <row r="24">
      <c r="A24" t="str">
        <v/>
      </c>
      <c r="B24" t="str">
        <v/>
      </c>
      <c r="C24" t="str">
        <v>Besi beton D16</v>
      </c>
      <c r="D24" t="str">
        <v>U24/U40 polos</v>
      </c>
      <c r="E24">
        <v>164.4987508427827</v>
      </c>
      <c r="F24" t="str">
        <v>kg</v>
      </c>
      <c r="G24" t="str">
        <v>per m3 beton</v>
      </c>
      <c r="H24">
        <v>10300</v>
      </c>
      <c r="I24">
        <v>164.4987508427827</v>
      </c>
      <c r="J24">
        <v>1694337.1336806617</v>
      </c>
      <c r="K24">
        <v>375.7315968</v>
      </c>
      <c r="L24">
        <v>3870035.4470399995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10300</v>
      </c>
      <c r="I25">
        <v>11.869658767129295</v>
      </c>
      <c r="J25">
        <v>122257.48530143173</v>
      </c>
      <c r="K25">
        <v>27.11148759000002</v>
      </c>
      <c r="L25">
        <v>279248.3221770002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237.39317534258566</v>
      </c>
      <c r="J26">
        <v>23739.317534258567</v>
      </c>
      <c r="K26">
        <v>542.2297517999999</v>
      </c>
      <c r="L26">
        <v>54222.975179999994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4.985256682194299</v>
      </c>
      <c r="J27">
        <v>87241.99193840023</v>
      </c>
      <c r="K27">
        <v>11.386824787799998</v>
      </c>
      <c r="L27">
        <v>199269.43378649995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6328365.290802722</v>
      </c>
      <c r="J29" t="str">
        <v/>
      </c>
      <c r="K29" t="str">
        <v/>
      </c>
      <c r="L29">
        <v>14454619.160722498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6328365.290802722</v>
      </c>
    </row>
    <row r="33">
      <c r="A33" t="str">
        <v>RAB (A) source unit cost</v>
      </c>
      <c r="B33">
        <v>6328365.290802723</v>
      </c>
    </row>
    <row r="34">
      <c r="A34" t="str">
        <v>Variance</v>
      </c>
      <c r="B34">
        <v>-9.313225746154785e-10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14454619.160722498</v>
      </c>
    </row>
    <row r="37">
      <c r="A37" t="str">
        <v>RAB (A) source line total</v>
      </c>
      <c r="B37">
        <v>16478265.843223648</v>
      </c>
    </row>
    <row r="38">
      <c r="A38" t="str">
        <v>Variance</v>
      </c>
      <c r="B38">
        <v>-2023646.6825011503</v>
      </c>
      <c r="C38" t="str">
        <v>✓ OK</v>
      </c>
    </row>
  </sheetData>
  <ignoredErrors>
    <ignoredError numberStoredAsText="1" sqref="A1:L38"/>
  </ignoredErrors>
</worksheet>
</file>

<file path=xl/worksheets/sheet54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(A) III.B.2.8 - Sloof TB25-3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Sloof TB25-3</v>
      </c>
    </row>
    <row r="5">
      <c r="A5" t="str">
        <v>Unit</v>
      </c>
      <c r="B5" t="str">
        <v>m3</v>
      </c>
    </row>
    <row r="6">
      <c r="A6" t="str">
        <v>Volume</v>
      </c>
      <c r="B6">
        <v>0.9086000000000001</v>
      </c>
    </row>
    <row r="7">
      <c r="A7" t="str">
        <v>Unit cost (Rp/m3)</v>
      </c>
      <c r="B7">
        <v>6723966.285420316</v>
      </c>
    </row>
    <row r="8">
      <c r="A8" t="str">
        <v>Line total at-cost (Rp)</v>
      </c>
      <c r="B8">
        <v>6109395.7669329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1015650.0000000001</v>
      </c>
      <c r="I12">
        <v>1.2</v>
      </c>
      <c r="J12">
        <v>1218780</v>
      </c>
      <c r="K12">
        <v>1.09032</v>
      </c>
      <c r="L12">
        <v>1107383.5080000001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60000</v>
      </c>
      <c r="I14">
        <v>1</v>
      </c>
      <c r="J14">
        <v>60000</v>
      </c>
      <c r="K14">
        <v>0.9086000000000001</v>
      </c>
      <c r="L14">
        <v>54516.00000000001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0.9086000000000001</v>
      </c>
      <c r="L16">
        <v>1362900</v>
      </c>
    </row>
    <row r="17">
      <c r="A17">
        <v>4</v>
      </c>
      <c r="B17" t="str">
        <v>BEKISTING BATAKO POSISI BERDIRI UNTUK POER DAN SLOOF (Material) — ratio 9.999999999999998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14</v>
      </c>
      <c r="F18" t="str">
        <v>pcs</v>
      </c>
      <c r="G18" t="str">
        <v>per m² form (cycle 1.00)</v>
      </c>
      <c r="H18">
        <v>4500</v>
      </c>
      <c r="I18">
        <v>139.99999999999997</v>
      </c>
      <c r="J18">
        <v>629999.9999999999</v>
      </c>
      <c r="K18">
        <v>127.20399999999998</v>
      </c>
      <c r="L18">
        <v>572417.9999999999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0.08978310000000002</v>
      </c>
      <c r="F19" t="str">
        <v>sak</v>
      </c>
      <c r="G19" t="str">
        <v>per m² form (cycle 1.00)</v>
      </c>
      <c r="H19">
        <v>65000</v>
      </c>
      <c r="I19">
        <v>0.897831</v>
      </c>
      <c r="J19">
        <v>58359.015</v>
      </c>
      <c r="K19">
        <v>0.8157692466</v>
      </c>
      <c r="L19">
        <v>53025.00102900001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0.017953650000000005</v>
      </c>
      <c r="F20" t="str">
        <v>m3</v>
      </c>
      <c r="G20" t="str">
        <v>per m² form (cycle 1.00)</v>
      </c>
      <c r="H20">
        <v>350000</v>
      </c>
      <c r="I20">
        <v>0.17953650000000002</v>
      </c>
      <c r="J20">
        <v>62837.77500000001</v>
      </c>
      <c r="K20">
        <v>0.16312686390000003</v>
      </c>
      <c r="L20">
        <v>57094.40236500001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2.9999999999999996</v>
      </c>
      <c r="J21">
        <v>119999.99999999999</v>
      </c>
      <c r="K21">
        <v>2.7258</v>
      </c>
      <c r="L21">
        <v>109032</v>
      </c>
    </row>
    <row r="22">
      <c r="A22">
        <v>5</v>
      </c>
      <c r="B22" t="str">
        <v>PEMBESIAN (Material) — ratio 272.46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77.84618644067795</v>
      </c>
      <c r="F23" t="str">
        <v>kg</v>
      </c>
      <c r="G23" t="str">
        <v>per m3 beton</v>
      </c>
      <c r="H23">
        <v>10300</v>
      </c>
      <c r="I23">
        <v>77.84618644067795</v>
      </c>
      <c r="J23">
        <v>801815.7203389829</v>
      </c>
      <c r="K23">
        <v>70.731045</v>
      </c>
      <c r="L23">
        <v>728529.7634999999</v>
      </c>
    </row>
    <row r="24">
      <c r="A24" t="str">
        <v/>
      </c>
      <c r="B24" t="str">
        <v/>
      </c>
      <c r="C24" t="str">
        <v>Besi beton D16</v>
      </c>
      <c r="D24" t="str">
        <v>U24/U40 polos</v>
      </c>
      <c r="E24">
        <v>194.61022795509575</v>
      </c>
      <c r="F24" t="str">
        <v>kg</v>
      </c>
      <c r="G24" t="str">
        <v>per m3 beton</v>
      </c>
      <c r="H24">
        <v>10300</v>
      </c>
      <c r="I24">
        <v>194.61022795509575</v>
      </c>
      <c r="J24">
        <v>2004485.3479374861</v>
      </c>
      <c r="K24">
        <v>176.82285312000002</v>
      </c>
      <c r="L24">
        <v>1821275.387136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10300</v>
      </c>
      <c r="I25">
        <v>13.622820719788699</v>
      </c>
      <c r="J25">
        <v>140315.0534138236</v>
      </c>
      <c r="K25">
        <v>12.377694906000013</v>
      </c>
      <c r="L25">
        <v>127490.25753180013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272.4564143957737</v>
      </c>
      <c r="J26">
        <v>27245.64143957737</v>
      </c>
      <c r="K26">
        <v>247.55389812</v>
      </c>
      <c r="L26">
        <v>24755.389812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5.721584702311248</v>
      </c>
      <c r="J27">
        <v>100127.73229044685</v>
      </c>
      <c r="K27">
        <v>5.198631860520001</v>
      </c>
      <c r="L27">
        <v>90976.05755910001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6723966.285420316</v>
      </c>
      <c r="J29" t="str">
        <v/>
      </c>
      <c r="K29" t="str">
        <v/>
      </c>
      <c r="L29">
        <v>6109395.7669329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6723966.285420316</v>
      </c>
    </row>
    <row r="33">
      <c r="A33" t="str">
        <v>RAB (A) source unit cost</v>
      </c>
      <c r="B33">
        <v>6723966.285420317</v>
      </c>
    </row>
    <row r="34">
      <c r="A34" t="str">
        <v>Variance</v>
      </c>
      <c r="B34">
        <v>-9.313225746154785e-10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6109395.7669329</v>
      </c>
    </row>
    <row r="37">
      <c r="A37" t="str">
        <v>RAB (A) source line total</v>
      </c>
      <c r="B37">
        <v>6964711.1743035065</v>
      </c>
    </row>
    <row r="38">
      <c r="A38" t="str">
        <v>Variance</v>
      </c>
      <c r="B38">
        <v>-855315.4073706064</v>
      </c>
      <c r="C38" t="str">
        <v>✓ OK</v>
      </c>
    </row>
  </sheetData>
  <ignoredErrors>
    <ignoredError numberStoredAsText="1" sqref="A1:L38"/>
  </ignoredErrors>
</worksheet>
</file>

<file path=xl/worksheets/sheet55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(A) III.B.2.9 - Sloof TB35-1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Sloof TB35-1</v>
      </c>
    </row>
    <row r="5">
      <c r="A5" t="str">
        <v>Unit</v>
      </c>
      <c r="B5" t="str">
        <v>m3</v>
      </c>
    </row>
    <row r="6">
      <c r="A6" t="str">
        <v>Volume</v>
      </c>
      <c r="B6">
        <v>2.606175</v>
      </c>
    </row>
    <row r="7">
      <c r="A7" t="str">
        <v>Unit cost (Rp/m3)</v>
      </c>
      <c r="B7">
        <v>5399299.636416817</v>
      </c>
    </row>
    <row r="8">
      <c r="A8" t="str">
        <v>Line total at-cost (Rp)</v>
      </c>
      <c r="B8">
        <v>14071519.729938598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1015650.0000000001</v>
      </c>
      <c r="I12">
        <v>1.2</v>
      </c>
      <c r="J12">
        <v>1218780</v>
      </c>
      <c r="K12">
        <v>3.12741</v>
      </c>
      <c r="L12">
        <v>3176353.9665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60000</v>
      </c>
      <c r="I14">
        <v>1</v>
      </c>
      <c r="J14">
        <v>60000</v>
      </c>
      <c r="K14">
        <v>2.606175</v>
      </c>
      <c r="L14">
        <v>156370.5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2.606175</v>
      </c>
      <c r="L16">
        <v>3909262.5</v>
      </c>
    </row>
    <row r="17">
      <c r="A17">
        <v>4</v>
      </c>
      <c r="B17" t="str">
        <v>BEKISTING BATAKO POSISI BERDIRI UNTUK POER DAN SLOOF (Material) — ratio 6.666666666666667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14</v>
      </c>
      <c r="F18" t="str">
        <v>pcs</v>
      </c>
      <c r="G18" t="str">
        <v>per m² form (cycle 1.00)</v>
      </c>
      <c r="H18">
        <v>4500</v>
      </c>
      <c r="I18">
        <v>93.33333333333334</v>
      </c>
      <c r="J18">
        <v>420000.00000000006</v>
      </c>
      <c r="K18">
        <v>243.24300000000002</v>
      </c>
      <c r="L18">
        <v>1094593.5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0.08978310000000002</v>
      </c>
      <c r="F19" t="str">
        <v>sak</v>
      </c>
      <c r="G19" t="str">
        <v>per m² form (cycle 1.00)</v>
      </c>
      <c r="H19">
        <v>65000</v>
      </c>
      <c r="I19">
        <v>0.5985540000000001</v>
      </c>
      <c r="J19">
        <v>38906.01000000001</v>
      </c>
      <c r="K19">
        <v>1.5599364709500003</v>
      </c>
      <c r="L19">
        <v>101395.87061175003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0.017953650000000005</v>
      </c>
      <c r="F20" t="str">
        <v>m3</v>
      </c>
      <c r="G20" t="str">
        <v>per m² form (cycle 1.00)</v>
      </c>
      <c r="H20">
        <v>350000</v>
      </c>
      <c r="I20">
        <v>0.11969100000000003</v>
      </c>
      <c r="J20">
        <v>41891.85000000001</v>
      </c>
      <c r="K20">
        <v>0.3119356919250001</v>
      </c>
      <c r="L20">
        <v>109177.49217375003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2</v>
      </c>
      <c r="J21">
        <v>80000</v>
      </c>
      <c r="K21">
        <v>5.21235</v>
      </c>
      <c r="L21">
        <v>208494</v>
      </c>
    </row>
    <row r="22">
      <c r="A22">
        <v>5</v>
      </c>
      <c r="B22" t="str">
        <v>PEMBESIAN (Material) — ratio 180.79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51.05535698869032</v>
      </c>
      <c r="F23" t="str">
        <v>kg</v>
      </c>
      <c r="G23" t="str">
        <v>per m3 beton</v>
      </c>
      <c r="H23">
        <v>10300</v>
      </c>
      <c r="I23">
        <v>51.05535698869032</v>
      </c>
      <c r="J23">
        <v>525870.1769835103</v>
      </c>
      <c r="K23">
        <v>133.059195</v>
      </c>
      <c r="L23">
        <v>1370509.7084999997</v>
      </c>
    </row>
    <row r="24">
      <c r="A24" t="str">
        <v/>
      </c>
      <c r="B24" t="str">
        <v/>
      </c>
      <c r="C24" t="str">
        <v>Besi beton D16</v>
      </c>
      <c r="D24" t="str">
        <v>U24/U40 polos</v>
      </c>
      <c r="E24">
        <v>129.73097373737374</v>
      </c>
      <c r="F24" t="str">
        <v>kg</v>
      </c>
      <c r="G24" t="str">
        <v>per m3 beton</v>
      </c>
      <c r="H24">
        <v>10300</v>
      </c>
      <c r="I24">
        <v>129.73097373737374</v>
      </c>
      <c r="J24">
        <v>1336229.0294949496</v>
      </c>
      <c r="K24">
        <v>338.10162048</v>
      </c>
      <c r="L24">
        <v>3482446.690944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10300</v>
      </c>
      <c r="I25">
        <v>9.039316536303213</v>
      </c>
      <c r="J25">
        <v>93104.9603239231</v>
      </c>
      <c r="K25">
        <v>23.558040774000023</v>
      </c>
      <c r="L25">
        <v>242647.81997220026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180.78633072606408</v>
      </c>
      <c r="J26">
        <v>18078.633072606408</v>
      </c>
      <c r="K26">
        <v>471.16081548000005</v>
      </c>
      <c r="L26">
        <v>47116.081548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3.796512945247346</v>
      </c>
      <c r="J27">
        <v>66438.97654182855</v>
      </c>
      <c r="K27">
        <v>9.894377125080002</v>
      </c>
      <c r="L27">
        <v>173151.59968890002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5399299.636416817</v>
      </c>
      <c r="J29" t="str">
        <v/>
      </c>
      <c r="K29" t="str">
        <v/>
      </c>
      <c r="L29">
        <v>14071519.729938598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5399299.636416817</v>
      </c>
    </row>
    <row r="33">
      <c r="A33" t="str">
        <v>RAB (A) source unit cost</v>
      </c>
      <c r="B33">
        <v>5399299.636416818</v>
      </c>
    </row>
    <row r="34">
      <c r="A34" t="str">
        <v>Variance</v>
      </c>
      <c r="B34">
        <v>-9.313225746154785e-10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14071519.729938598</v>
      </c>
    </row>
    <row r="37">
      <c r="A37" t="str">
        <v>RAB (A) source line total</v>
      </c>
      <c r="B37">
        <v>16041532.492130004</v>
      </c>
    </row>
    <row r="38">
      <c r="A38" t="str">
        <v>Variance</v>
      </c>
      <c r="B38">
        <v>-1970012.7621914055</v>
      </c>
      <c r="C38" t="str">
        <v>✓ OK</v>
      </c>
    </row>
  </sheetData>
  <ignoredErrors>
    <ignoredError numberStoredAsText="1" sqref="A1:L38"/>
  </ignoredErrors>
</worksheet>
</file>

<file path=xl/worksheets/sheet56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(A) III.B.2.10 - Sloof TB35-2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Sloof TB35-2</v>
      </c>
    </row>
    <row r="5">
      <c r="A5" t="str">
        <v>Unit</v>
      </c>
      <c r="B5" t="str">
        <v>m3</v>
      </c>
    </row>
    <row r="6">
      <c r="A6" t="str">
        <v>Volume</v>
      </c>
      <c r="B6">
        <v>0.609</v>
      </c>
    </row>
    <row r="7">
      <c r="A7" t="str">
        <v>Unit cost (Rp/m3)</v>
      </c>
      <c r="B7">
        <v>6299991.025501969</v>
      </c>
    </row>
    <row r="8">
      <c r="A8" t="str">
        <v>Line total at-cost (Rp)</v>
      </c>
      <c r="B8">
        <v>3836694.5345306993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1015650.0000000001</v>
      </c>
      <c r="I12">
        <v>1.2</v>
      </c>
      <c r="J12">
        <v>1218780</v>
      </c>
      <c r="K12">
        <v>0.7308</v>
      </c>
      <c r="L12">
        <v>742237.02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60000</v>
      </c>
      <c r="I14">
        <v>1</v>
      </c>
      <c r="J14">
        <v>60000</v>
      </c>
      <c r="K14">
        <v>0.609</v>
      </c>
      <c r="L14">
        <v>36540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0.609</v>
      </c>
      <c r="L16">
        <v>913500</v>
      </c>
    </row>
    <row r="17">
      <c r="A17">
        <v>4</v>
      </c>
      <c r="B17" t="str">
        <v>BEKISTING BATAKO POSISI BERDIRI UNTUK POER DAN SLOOF (Material) — ratio 6.666666666666666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14</v>
      </c>
      <c r="F18" t="str">
        <v>pcs</v>
      </c>
      <c r="G18" t="str">
        <v>per m² form (cycle 1.00)</v>
      </c>
      <c r="H18">
        <v>4500</v>
      </c>
      <c r="I18">
        <v>93.33333333333333</v>
      </c>
      <c r="J18">
        <v>420000</v>
      </c>
      <c r="K18">
        <v>56.839999999999996</v>
      </c>
      <c r="L18">
        <v>255780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0.08978310000000002</v>
      </c>
      <c r="F19" t="str">
        <v>sak</v>
      </c>
      <c r="G19" t="str">
        <v>per m² form (cycle 1.00)</v>
      </c>
      <c r="H19">
        <v>65000</v>
      </c>
      <c r="I19">
        <v>0.598554</v>
      </c>
      <c r="J19">
        <v>38906.01</v>
      </c>
      <c r="K19">
        <v>0.364519386</v>
      </c>
      <c r="L19">
        <v>23693.76009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0.017953650000000005</v>
      </c>
      <c r="F20" t="str">
        <v>m3</v>
      </c>
      <c r="G20" t="str">
        <v>per m² form (cycle 1.00)</v>
      </c>
      <c r="H20">
        <v>350000</v>
      </c>
      <c r="I20">
        <v>0.11969100000000002</v>
      </c>
      <c r="J20">
        <v>41891.850000000006</v>
      </c>
      <c r="K20">
        <v>0.07289181900000001</v>
      </c>
      <c r="L20">
        <v>25512.136650000004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1.9999999999999998</v>
      </c>
      <c r="J21">
        <v>79999.99999999999</v>
      </c>
      <c r="K21">
        <v>1.2179999999999997</v>
      </c>
      <c r="L21">
        <v>48719.99999999999</v>
      </c>
    </row>
    <row r="22">
      <c r="A22">
        <v>5</v>
      </c>
      <c r="B22" t="str">
        <v>PEMBESIAN (Material) — ratio 260.62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71.58081280788177</v>
      </c>
      <c r="F23" t="str">
        <v>kg</v>
      </c>
      <c r="G23" t="str">
        <v>per m3 beton</v>
      </c>
      <c r="H23">
        <v>10300</v>
      </c>
      <c r="I23">
        <v>71.58081280788177</v>
      </c>
      <c r="J23">
        <v>737282.3719211823</v>
      </c>
      <c r="K23">
        <v>43.592715</v>
      </c>
      <c r="L23">
        <v>449004.9645</v>
      </c>
    </row>
    <row r="24">
      <c r="A24" t="str">
        <v/>
      </c>
      <c r="B24" t="str">
        <v/>
      </c>
      <c r="C24" t="str">
        <v>Besi beton D16</v>
      </c>
      <c r="D24" t="str">
        <v>U24/U40 polos</v>
      </c>
      <c r="E24">
        <v>189.03635231527096</v>
      </c>
      <c r="F24" t="str">
        <v>kg</v>
      </c>
      <c r="G24" t="str">
        <v>per m3 beton</v>
      </c>
      <c r="H24">
        <v>10300</v>
      </c>
      <c r="I24">
        <v>189.03635231527096</v>
      </c>
      <c r="J24">
        <v>1947074.4288472908</v>
      </c>
      <c r="K24">
        <v>115.12313856000002</v>
      </c>
      <c r="L24">
        <v>1185768.3271680002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10300</v>
      </c>
      <c r="I25">
        <v>13.030858256157648</v>
      </c>
      <c r="J25">
        <v>134217.84003842378</v>
      </c>
      <c r="K25">
        <v>7.935792678000007</v>
      </c>
      <c r="L25">
        <v>81738.66458340008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260.61716512315274</v>
      </c>
      <c r="J26">
        <v>26061.716512315274</v>
      </c>
      <c r="K26">
        <v>158.71585356000003</v>
      </c>
      <c r="L26">
        <v>15871.585356000001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5.472960467586208</v>
      </c>
      <c r="J27">
        <v>95776.80818275863</v>
      </c>
      <c r="K27">
        <v>3.3330329247600003</v>
      </c>
      <c r="L27">
        <v>58328.07618330001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6299991.025501969</v>
      </c>
      <c r="J29" t="str">
        <v/>
      </c>
      <c r="K29" t="str">
        <v/>
      </c>
      <c r="L29">
        <v>3836694.5345306993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6299991.025501969</v>
      </c>
    </row>
    <row r="33">
      <c r="A33" t="str">
        <v>RAB (A) source unit cost</v>
      </c>
      <c r="B33">
        <v>6299991.02550197</v>
      </c>
    </row>
    <row r="34">
      <c r="A34" t="str">
        <v>Variance</v>
      </c>
      <c r="B34">
        <v>-9.313225746154785e-10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3836694.5345306993</v>
      </c>
    </row>
    <row r="37">
      <c r="A37" t="str">
        <v>RAB (A) source line total</v>
      </c>
      <c r="B37">
        <v>4373831.769364998</v>
      </c>
    </row>
    <row r="38">
      <c r="A38" t="str">
        <v>Variance</v>
      </c>
      <c r="B38">
        <v>-537137.2348342985</v>
      </c>
      <c r="C38" t="str">
        <v>✓ OK</v>
      </c>
    </row>
  </sheetData>
  <ignoredErrors>
    <ignoredError numberStoredAsText="1" sqref="A1:L38"/>
  </ignoredErrors>
</worksheet>
</file>

<file path=xl/worksheets/sheet57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(A) III.B.2.11 - Sloof TB36-1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Sloof TB36-1</v>
      </c>
    </row>
    <row r="5">
      <c r="A5" t="str">
        <v>Unit</v>
      </c>
      <c r="B5" t="str">
        <v>m3</v>
      </c>
    </row>
    <row r="6">
      <c r="A6" t="str">
        <v>Volume</v>
      </c>
      <c r="B6">
        <v>1.53225</v>
      </c>
    </row>
    <row r="7">
      <c r="A7" t="str">
        <v>Unit cost (Rp/m3)</v>
      </c>
      <c r="B7">
        <v>5738045.240561417</v>
      </c>
    </row>
    <row r="8">
      <c r="A8" t="str">
        <v>Line total at-cost (Rp)</v>
      </c>
      <c r="B8">
        <v>8792119.81985023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1015650.0000000001</v>
      </c>
      <c r="I12">
        <v>1.2</v>
      </c>
      <c r="J12">
        <v>1218780</v>
      </c>
      <c r="K12">
        <v>1.8386999999999998</v>
      </c>
      <c r="L12">
        <v>1867475.6549999998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60000</v>
      </c>
      <c r="I14">
        <v>1</v>
      </c>
      <c r="J14">
        <v>60000</v>
      </c>
      <c r="K14">
        <v>1.53225</v>
      </c>
      <c r="L14">
        <v>91935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1.53225</v>
      </c>
      <c r="L16">
        <v>2298375</v>
      </c>
    </row>
    <row r="17">
      <c r="A17">
        <v>4</v>
      </c>
      <c r="B17" t="str">
        <v>BEKISTING BATAKO POSISI BERDIRI UNTUK POER DAN SLOOF (Material) — ratio 6.666666666666667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14</v>
      </c>
      <c r="F18" t="str">
        <v>pcs</v>
      </c>
      <c r="G18" t="str">
        <v>per m² form (cycle 1.00)</v>
      </c>
      <c r="H18">
        <v>4500</v>
      </c>
      <c r="I18">
        <v>93.33333333333334</v>
      </c>
      <c r="J18">
        <v>420000.00000000006</v>
      </c>
      <c r="K18">
        <v>143.01</v>
      </c>
      <c r="L18">
        <v>643545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0.08978310000000002</v>
      </c>
      <c r="F19" t="str">
        <v>sak</v>
      </c>
      <c r="G19" t="str">
        <v>per m² form (cycle 1.00)</v>
      </c>
      <c r="H19">
        <v>65000</v>
      </c>
      <c r="I19">
        <v>0.5985540000000001</v>
      </c>
      <c r="J19">
        <v>38906.01000000001</v>
      </c>
      <c r="K19">
        <v>0.9171343665000001</v>
      </c>
      <c r="L19">
        <v>59613.73382250001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0.017953650000000005</v>
      </c>
      <c r="F20" t="str">
        <v>m3</v>
      </c>
      <c r="G20" t="str">
        <v>per m² form (cycle 1.00)</v>
      </c>
      <c r="H20">
        <v>350000</v>
      </c>
      <c r="I20">
        <v>0.11969100000000003</v>
      </c>
      <c r="J20">
        <v>41891.85000000001</v>
      </c>
      <c r="K20">
        <v>0.18339653475000003</v>
      </c>
      <c r="L20">
        <v>64188.78716250002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2</v>
      </c>
      <c r="J21">
        <v>80000</v>
      </c>
      <c r="K21">
        <v>3.0645</v>
      </c>
      <c r="L21">
        <v>122579.99999999999</v>
      </c>
    </row>
    <row r="22">
      <c r="A22">
        <v>5</v>
      </c>
      <c r="B22" t="str">
        <v>PEMBESIAN (Material) — ratio 210.81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51.492687224669616</v>
      </c>
      <c r="F23" t="str">
        <v>kg</v>
      </c>
      <c r="G23" t="str">
        <v>per m3 beton</v>
      </c>
      <c r="H23">
        <v>10300</v>
      </c>
      <c r="I23">
        <v>51.492687224669616</v>
      </c>
      <c r="J23">
        <v>530374.678414097</v>
      </c>
      <c r="K23">
        <v>78.89967000000001</v>
      </c>
      <c r="L23">
        <v>812666.6010000001</v>
      </c>
    </row>
    <row r="24">
      <c r="A24" t="str">
        <v/>
      </c>
      <c r="B24" t="str">
        <v/>
      </c>
      <c r="C24" t="str">
        <v>Besi beton D19</v>
      </c>
      <c r="D24" t="str">
        <v>U24/U40 polos</v>
      </c>
      <c r="E24">
        <v>159.31762791483115</v>
      </c>
      <c r="F24" t="str">
        <v>kg</v>
      </c>
      <c r="G24" t="str">
        <v>per m3 beton</v>
      </c>
      <c r="H24">
        <v>10300</v>
      </c>
      <c r="I24">
        <v>159.31762791483115</v>
      </c>
      <c r="J24">
        <v>1640971.567522761</v>
      </c>
      <c r="K24">
        <v>244.1144353725</v>
      </c>
      <c r="L24">
        <v>2514378.6843367503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10300</v>
      </c>
      <c r="I25">
        <v>10.540515756975047</v>
      </c>
      <c r="J25">
        <v>108567.31229684298</v>
      </c>
      <c r="K25">
        <v>16.150705268625014</v>
      </c>
      <c r="L25">
        <v>166352.26426683765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210.81031513950077</v>
      </c>
      <c r="J26">
        <v>21081.031513950078</v>
      </c>
      <c r="K26">
        <v>323.0141053725</v>
      </c>
      <c r="L26">
        <v>32301.410537250005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4.4270166179295165</v>
      </c>
      <c r="J27">
        <v>77472.79081376654</v>
      </c>
      <c r="K27">
        <v>6.783296212822501</v>
      </c>
      <c r="L27">
        <v>118707.68372439376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5738045.240561417</v>
      </c>
      <c r="J29" t="str">
        <v/>
      </c>
      <c r="K29" t="str">
        <v/>
      </c>
      <c r="L29">
        <v>8792119.81985023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5738045.240561417</v>
      </c>
    </row>
    <row r="33">
      <c r="A33" t="str">
        <v>RAB (A) source unit cost</v>
      </c>
      <c r="B33">
        <v>5738045.240561417</v>
      </c>
    </row>
    <row r="34">
      <c r="A34" t="str">
        <v>Variance</v>
      </c>
      <c r="B34">
        <v>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8792119.81985023</v>
      </c>
    </row>
    <row r="37">
      <c r="A37" t="str">
        <v>RAB (A) source line total</v>
      </c>
      <c r="B37">
        <v>10023016.594629262</v>
      </c>
    </row>
    <row r="38">
      <c r="A38" t="str">
        <v>Variance</v>
      </c>
      <c r="B38">
        <v>-1230896.774779031</v>
      </c>
      <c r="C38" t="str">
        <v>✓ OK</v>
      </c>
    </row>
  </sheetData>
  <ignoredErrors>
    <ignoredError numberStoredAsText="1" sqref="A1:L38"/>
  </ignoredErrors>
</worksheet>
</file>

<file path=xl/worksheets/sheet58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(A) III.B.2.12 - Sloof TB46-1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Sloof TB46-1</v>
      </c>
    </row>
    <row r="5">
      <c r="A5" t="str">
        <v>Unit</v>
      </c>
      <c r="B5" t="str">
        <v>m3</v>
      </c>
    </row>
    <row r="6">
      <c r="A6" t="str">
        <v>Volume</v>
      </c>
      <c r="B6">
        <v>1.2483</v>
      </c>
    </row>
    <row r="7">
      <c r="A7" t="str">
        <v>Unit cost (Rp/m3)</v>
      </c>
      <c r="B7">
        <v>5904521.366284967</v>
      </c>
    </row>
    <row r="8">
      <c r="A8" t="str">
        <v>Line total at-cost (Rp)</v>
      </c>
      <c r="B8">
        <v>7370614.021533525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1015650.0000000001</v>
      </c>
      <c r="I12">
        <v>1.2</v>
      </c>
      <c r="J12">
        <v>1218780</v>
      </c>
      <c r="K12">
        <v>1.49796</v>
      </c>
      <c r="L12">
        <v>1521403.074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60000</v>
      </c>
      <c r="I14">
        <v>1</v>
      </c>
      <c r="J14">
        <v>60000</v>
      </c>
      <c r="K14">
        <v>1.2483</v>
      </c>
      <c r="L14">
        <v>74898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1.2483</v>
      </c>
      <c r="L16">
        <v>1872450</v>
      </c>
    </row>
    <row r="17">
      <c r="A17">
        <v>4</v>
      </c>
      <c r="B17" t="str">
        <v>BEKISTING BATAKO POSISI BERDIRI UNTUK POER DAN SLOOF (Material) — ratio 5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14</v>
      </c>
      <c r="F18" t="str">
        <v>pcs</v>
      </c>
      <c r="G18" t="str">
        <v>per m² form (cycle 1.00)</v>
      </c>
      <c r="H18">
        <v>4500</v>
      </c>
      <c r="I18">
        <v>70</v>
      </c>
      <c r="J18">
        <v>315000</v>
      </c>
      <c r="K18">
        <v>87.381</v>
      </c>
      <c r="L18">
        <v>393214.5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0.08978310000000002</v>
      </c>
      <c r="F19" t="str">
        <v>sak</v>
      </c>
      <c r="G19" t="str">
        <v>per m² form (cycle 1.00)</v>
      </c>
      <c r="H19">
        <v>65000</v>
      </c>
      <c r="I19">
        <v>0.4489155000000001</v>
      </c>
      <c r="J19">
        <v>29179.507500000003</v>
      </c>
      <c r="K19">
        <v>0.5603812186500001</v>
      </c>
      <c r="L19">
        <v>36424.77921225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0.017953650000000005</v>
      </c>
      <c r="F20" t="str">
        <v>m3</v>
      </c>
      <c r="G20" t="str">
        <v>per m² form (cycle 1.00)</v>
      </c>
      <c r="H20">
        <v>350000</v>
      </c>
      <c r="I20">
        <v>0.08976825000000002</v>
      </c>
      <c r="J20">
        <v>31418.887500000008</v>
      </c>
      <c r="K20">
        <v>0.11205770647500002</v>
      </c>
      <c r="L20">
        <v>39220.19726625001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1.5</v>
      </c>
      <c r="J21">
        <v>60000</v>
      </c>
      <c r="K21">
        <v>1.87245</v>
      </c>
      <c r="L21">
        <v>74898</v>
      </c>
    </row>
    <row r="22">
      <c r="A22">
        <v>5</v>
      </c>
      <c r="B22" t="str">
        <v>PEMBESIAN (Material) — ratio 238.44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42.571737563085804</v>
      </c>
      <c r="F23" t="str">
        <v>kg</v>
      </c>
      <c r="G23" t="str">
        <v>per m3 beton</v>
      </c>
      <c r="H23">
        <v>10300</v>
      </c>
      <c r="I23">
        <v>42.571737563085804</v>
      </c>
      <c r="J23">
        <v>438488.8968997838</v>
      </c>
      <c r="K23">
        <v>53.142300000000006</v>
      </c>
      <c r="L23">
        <v>547365.6900000001</v>
      </c>
    </row>
    <row r="24">
      <c r="A24" t="str">
        <v/>
      </c>
      <c r="B24" t="str">
        <v/>
      </c>
      <c r="C24" t="str">
        <v>Besi beton D19</v>
      </c>
      <c r="D24" t="str">
        <v>U24/U40 polos</v>
      </c>
      <c r="E24">
        <v>195.8632698630137</v>
      </c>
      <c r="F24" t="str">
        <v>kg</v>
      </c>
      <c r="G24" t="str">
        <v>per m3 beton</v>
      </c>
      <c r="H24">
        <v>10300</v>
      </c>
      <c r="I24">
        <v>195.8632698630137</v>
      </c>
      <c r="J24">
        <v>2017391.679589041</v>
      </c>
      <c r="K24">
        <v>244.49611977</v>
      </c>
      <c r="L24">
        <v>2518310.0336309997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10300</v>
      </c>
      <c r="I25">
        <v>11.921750371304986</v>
      </c>
      <c r="J25">
        <v>122794.02882444135</v>
      </c>
      <c r="K25">
        <v>14.881920988500013</v>
      </c>
      <c r="L25">
        <v>153283.78618155012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238.4350074260995</v>
      </c>
      <c r="J26">
        <v>23843.50074260995</v>
      </c>
      <c r="K26">
        <v>297.63841977</v>
      </c>
      <c r="L26">
        <v>29763.841977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5.00713515594809</v>
      </c>
      <c r="J27">
        <v>87624.86522909158</v>
      </c>
      <c r="K27">
        <v>6.250406815170001</v>
      </c>
      <c r="L27">
        <v>109382.11926547502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5904521.366284967</v>
      </c>
      <c r="J29" t="str">
        <v/>
      </c>
      <c r="K29" t="str">
        <v/>
      </c>
      <c r="L29">
        <v>7370614.021533525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5904521.366284967</v>
      </c>
    </row>
    <row r="33">
      <c r="A33" t="str">
        <v>RAB (A) source unit cost</v>
      </c>
      <c r="B33">
        <v>5904521.366284968</v>
      </c>
    </row>
    <row r="34">
      <c r="A34" t="str">
        <v>Variance</v>
      </c>
      <c r="B34">
        <v>-9.313225746154785e-10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7370614.021533525</v>
      </c>
    </row>
    <row r="37">
      <c r="A37" t="str">
        <v>RAB (A) source line total</v>
      </c>
      <c r="B37">
        <v>8402499.984548219</v>
      </c>
    </row>
    <row r="38">
      <c r="A38" t="str">
        <v>Variance</v>
      </c>
      <c r="B38">
        <v>-1031885.9630146939</v>
      </c>
      <c r="C38" t="str">
        <v>✓ OK</v>
      </c>
    </row>
  </sheetData>
  <ignoredErrors>
    <ignoredError numberStoredAsText="1" sqref="A1:L38"/>
  </ignoredErrors>
</worksheet>
</file>

<file path=xl/worksheets/sheet59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(A) III.B.2.13 - Sloof TB47-1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Sloof TB47-1</v>
      </c>
    </row>
    <row r="5">
      <c r="A5" t="str">
        <v>Unit</v>
      </c>
      <c r="B5" t="str">
        <v>m3</v>
      </c>
    </row>
    <row r="6">
      <c r="A6" t="str">
        <v>Volume</v>
      </c>
      <c r="B6">
        <v>2.4739</v>
      </c>
    </row>
    <row r="7">
      <c r="A7" t="str">
        <v>Unit cost (Rp/m3)</v>
      </c>
      <c r="B7">
        <v>6079650.399470754</v>
      </c>
    </row>
    <row r="8">
      <c r="A8" t="str">
        <v>Line total at-cost (Rp)</v>
      </c>
      <c r="B8">
        <v>15040447.123250699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1015650.0000000001</v>
      </c>
      <c r="I12">
        <v>1.2</v>
      </c>
      <c r="J12">
        <v>1218780</v>
      </c>
      <c r="K12">
        <v>2.96868</v>
      </c>
      <c r="L12">
        <v>3015139.842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60000</v>
      </c>
      <c r="I14">
        <v>1</v>
      </c>
      <c r="J14">
        <v>60000</v>
      </c>
      <c r="K14">
        <v>2.4739</v>
      </c>
      <c r="L14">
        <v>148434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2.4739</v>
      </c>
      <c r="L16">
        <v>3710850</v>
      </c>
    </row>
    <row r="17">
      <c r="A17">
        <v>4</v>
      </c>
      <c r="B17" t="str">
        <v>BEKISTING BATAKO POSISI BERDIRI UNTUK POER DAN SLOOF (Material) — ratio 5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14</v>
      </c>
      <c r="F18" t="str">
        <v>pcs</v>
      </c>
      <c r="G18" t="str">
        <v>per m² form (cycle 1.00)</v>
      </c>
      <c r="H18">
        <v>4500</v>
      </c>
      <c r="I18">
        <v>70</v>
      </c>
      <c r="J18">
        <v>315000</v>
      </c>
      <c r="K18">
        <v>173.173</v>
      </c>
      <c r="L18">
        <v>779278.5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0.08978310000000002</v>
      </c>
      <c r="F19" t="str">
        <v>sak</v>
      </c>
      <c r="G19" t="str">
        <v>per m² form (cycle 1.00)</v>
      </c>
      <c r="H19">
        <v>65000</v>
      </c>
      <c r="I19">
        <v>0.4489155000000001</v>
      </c>
      <c r="J19">
        <v>29179.507500000003</v>
      </c>
      <c r="K19">
        <v>1.1105720554500003</v>
      </c>
      <c r="L19">
        <v>72187.18360425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0.017953650000000005</v>
      </c>
      <c r="F20" t="str">
        <v>m3</v>
      </c>
      <c r="G20" t="str">
        <v>per m² form (cycle 1.00)</v>
      </c>
      <c r="H20">
        <v>350000</v>
      </c>
      <c r="I20">
        <v>0.08976825000000002</v>
      </c>
      <c r="J20">
        <v>31418.887500000008</v>
      </c>
      <c r="K20">
        <v>0.22207767367500006</v>
      </c>
      <c r="L20">
        <v>77727.18578625002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1.5</v>
      </c>
      <c r="J21">
        <v>60000</v>
      </c>
      <c r="K21">
        <v>3.7108499999999998</v>
      </c>
      <c r="L21">
        <v>148434</v>
      </c>
    </row>
    <row r="22">
      <c r="A22">
        <v>5</v>
      </c>
      <c r="B22" t="str">
        <v>PEMBESIAN (Material) — ratio 253.96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37.32791745826428</v>
      </c>
      <c r="F23" t="str">
        <v>kg</v>
      </c>
      <c r="G23" t="str">
        <v>per m3 beton</v>
      </c>
      <c r="H23">
        <v>10300</v>
      </c>
      <c r="I23">
        <v>37.32791745826428</v>
      </c>
      <c r="J23">
        <v>384477.5498201221</v>
      </c>
      <c r="K23">
        <v>92.345535</v>
      </c>
      <c r="L23">
        <v>951159.0105</v>
      </c>
    </row>
    <row r="24">
      <c r="A24" t="str">
        <v/>
      </c>
      <c r="B24" t="str">
        <v/>
      </c>
      <c r="C24" t="str">
        <v>Besi beton D22</v>
      </c>
      <c r="D24" t="str">
        <v>U24/U40 polos</v>
      </c>
      <c r="E24">
        <v>216.62927327701198</v>
      </c>
      <c r="F24" t="str">
        <v>kg</v>
      </c>
      <c r="G24" t="str">
        <v>per m3 beton</v>
      </c>
      <c r="H24">
        <v>10300</v>
      </c>
      <c r="I24">
        <v>216.62927327701198</v>
      </c>
      <c r="J24">
        <v>2231281.5147532234</v>
      </c>
      <c r="K24">
        <v>535.9191591599999</v>
      </c>
      <c r="L24">
        <v>5519967.339348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10300</v>
      </c>
      <c r="I25">
        <v>12.697859536763824</v>
      </c>
      <c r="J25">
        <v>130787.95322866738</v>
      </c>
      <c r="K25">
        <v>31.413234708000022</v>
      </c>
      <c r="L25">
        <v>323556.31749240024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253.95719073527624</v>
      </c>
      <c r="J26">
        <v>25395.719073527624</v>
      </c>
      <c r="K26">
        <v>628.2646941599999</v>
      </c>
      <c r="L26">
        <v>62826.469415999985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5.333101005440802</v>
      </c>
      <c r="J27">
        <v>93329.26759521403</v>
      </c>
      <c r="K27">
        <v>13.19355857736</v>
      </c>
      <c r="L27">
        <v>230887.27510379997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6079650.399470754</v>
      </c>
      <c r="J29" t="str">
        <v/>
      </c>
      <c r="K29" t="str">
        <v/>
      </c>
      <c r="L29">
        <v>15040447.123250699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6079650.399470754</v>
      </c>
    </row>
    <row r="33">
      <c r="A33" t="str">
        <v>RAB (A) source unit cost</v>
      </c>
      <c r="B33">
        <v>6079650.399470754</v>
      </c>
    </row>
    <row r="34">
      <c r="A34" t="str">
        <v>Variance</v>
      </c>
      <c r="B34">
        <v>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15040447.123250699</v>
      </c>
    </row>
    <row r="37">
      <c r="A37" t="str">
        <v>RAB (A) source line total</v>
      </c>
      <c r="B37">
        <v>17146109.720505793</v>
      </c>
    </row>
    <row r="38">
      <c r="A38" t="str">
        <v>Variance</v>
      </c>
      <c r="B38">
        <v>-2105662.597255094</v>
      </c>
      <c r="C38" t="str">
        <v>✓ OK</v>
      </c>
    </row>
  </sheetData>
  <ignoredErrors>
    <ignoredError numberStoredAsText="1" sqref="A1:L38"/>
  </ignoredErrors>
</worksheet>
</file>

<file path=xl/worksheets/sheet60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(A) III.B.2.14 - Sloof TB47-2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Sloof TB47-2</v>
      </c>
    </row>
    <row r="5">
      <c r="A5" t="str">
        <v>Unit</v>
      </c>
      <c r="B5" t="str">
        <v>m3</v>
      </c>
    </row>
    <row r="6">
      <c r="A6" t="str">
        <v>Volume</v>
      </c>
      <c r="B6">
        <v>1.617</v>
      </c>
    </row>
    <row r="7">
      <c r="A7" t="str">
        <v>Unit cost (Rp/m3)</v>
      </c>
      <c r="B7">
        <v>5239525.663329268</v>
      </c>
    </row>
    <row r="8">
      <c r="A8" t="str">
        <v>Line total at-cost (Rp)</v>
      </c>
      <c r="B8">
        <v>8472312.997603426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1015650.0000000001</v>
      </c>
      <c r="I12">
        <v>1.2</v>
      </c>
      <c r="J12">
        <v>1218780</v>
      </c>
      <c r="K12">
        <v>1.9404</v>
      </c>
      <c r="L12">
        <v>1970767.26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60000</v>
      </c>
      <c r="I14">
        <v>1</v>
      </c>
      <c r="J14">
        <v>60000</v>
      </c>
      <c r="K14">
        <v>1.617</v>
      </c>
      <c r="L14">
        <v>97020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1.617</v>
      </c>
      <c r="L16">
        <v>2425500</v>
      </c>
    </row>
    <row r="17">
      <c r="A17">
        <v>4</v>
      </c>
      <c r="B17" t="str">
        <v>BEKISTING BATAKO POSISI BERDIRI UNTUK POER DAN SLOOF (Material) — ratio 5.000000000000001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14</v>
      </c>
      <c r="F18" t="str">
        <v>pcs</v>
      </c>
      <c r="G18" t="str">
        <v>per m² form (cycle 1.00)</v>
      </c>
      <c r="H18">
        <v>4500</v>
      </c>
      <c r="I18">
        <v>70.00000000000001</v>
      </c>
      <c r="J18">
        <v>315000.00000000006</v>
      </c>
      <c r="K18">
        <v>113.19000000000003</v>
      </c>
      <c r="L18">
        <v>509355.0000000001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0.08978310000000002</v>
      </c>
      <c r="F19" t="str">
        <v>sak</v>
      </c>
      <c r="G19" t="str">
        <v>per m² form (cycle 1.00)</v>
      </c>
      <c r="H19">
        <v>65000</v>
      </c>
      <c r="I19">
        <v>0.4489155000000002</v>
      </c>
      <c r="J19">
        <v>29179.50750000001</v>
      </c>
      <c r="K19">
        <v>0.7258963635000003</v>
      </c>
      <c r="L19">
        <v>47183.26362750002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0.017953650000000005</v>
      </c>
      <c r="F20" t="str">
        <v>m3</v>
      </c>
      <c r="G20" t="str">
        <v>per m² form (cycle 1.00)</v>
      </c>
      <c r="H20">
        <v>350000</v>
      </c>
      <c r="I20">
        <v>0.08976825000000004</v>
      </c>
      <c r="J20">
        <v>31418.88750000001</v>
      </c>
      <c r="K20">
        <v>0.14515526025000006</v>
      </c>
      <c r="L20">
        <v>50804.34108750002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1.5000000000000002</v>
      </c>
      <c r="J21">
        <v>60000.00000000001</v>
      </c>
      <c r="K21">
        <v>2.4255000000000004</v>
      </c>
      <c r="L21">
        <v>97020.00000000001</v>
      </c>
    </row>
    <row r="22">
      <c r="A22">
        <v>5</v>
      </c>
      <c r="B22" t="str">
        <v>PEMBESIAN (Material) — ratio 179.49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35.19807050092765</v>
      </c>
      <c r="F23" t="str">
        <v>kg</v>
      </c>
      <c r="G23" t="str">
        <v>per m3 beton</v>
      </c>
      <c r="H23">
        <v>10300</v>
      </c>
      <c r="I23">
        <v>35.19807050092765</v>
      </c>
      <c r="J23">
        <v>362540.1261595548</v>
      </c>
      <c r="K23">
        <v>56.91528000000001</v>
      </c>
      <c r="L23">
        <v>586227.3840000001</v>
      </c>
    </row>
    <row r="24">
      <c r="A24" t="str">
        <v/>
      </c>
      <c r="B24" t="str">
        <v/>
      </c>
      <c r="C24" t="str">
        <v>Besi beton D22</v>
      </c>
      <c r="D24" t="str">
        <v>U24/U40 polos</v>
      </c>
      <c r="E24">
        <v>144.29648020408163</v>
      </c>
      <c r="F24" t="str">
        <v>kg</v>
      </c>
      <c r="G24" t="str">
        <v>per m3 beton</v>
      </c>
      <c r="H24">
        <v>10300</v>
      </c>
      <c r="I24">
        <v>144.29648020408163</v>
      </c>
      <c r="J24">
        <v>1486253.7461020409</v>
      </c>
      <c r="K24">
        <v>233.32740849</v>
      </c>
      <c r="L24">
        <v>2403272.307447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10300</v>
      </c>
      <c r="I25">
        <v>8.974727535250473</v>
      </c>
      <c r="J25">
        <v>92439.69361307987</v>
      </c>
      <c r="K25">
        <v>14.512134424500015</v>
      </c>
      <c r="L25">
        <v>149474.98457235016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179.4945507050093</v>
      </c>
      <c r="J26">
        <v>17949.455070500928</v>
      </c>
      <c r="K26">
        <v>290.24268849000003</v>
      </c>
      <c r="L26">
        <v>29024.268849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3.7693855648051953</v>
      </c>
      <c r="J27">
        <v>65964.24738409092</v>
      </c>
      <c r="K27">
        <v>6.0950964582900005</v>
      </c>
      <c r="L27">
        <v>106664.18802007502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5239525.663329268</v>
      </c>
      <c r="J29" t="str">
        <v/>
      </c>
      <c r="K29" t="str">
        <v/>
      </c>
      <c r="L29">
        <v>8472312.997603426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5239525.663329268</v>
      </c>
    </row>
    <row r="33">
      <c r="A33" t="str">
        <v>RAB (A) source unit cost</v>
      </c>
      <c r="B33">
        <v>5239525.663329267</v>
      </c>
    </row>
    <row r="34">
      <c r="A34" t="str">
        <v>Variance</v>
      </c>
      <c r="B34">
        <v>9.313225746154785e-10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8472312.997603426</v>
      </c>
    </row>
    <row r="37">
      <c r="A37" t="str">
        <v>RAB (A) source line total</v>
      </c>
      <c r="B37">
        <v>9658436.817267902</v>
      </c>
    </row>
    <row r="38">
      <c r="A38" t="str">
        <v>Variance</v>
      </c>
      <c r="B38">
        <v>-1186123.8196644764</v>
      </c>
      <c r="C38" t="str">
        <v>✓ OK</v>
      </c>
    </row>
  </sheetData>
  <ignoredErrors>
    <ignoredError numberStoredAsText="1" sqref="A1:L38"/>
  </ignoredErrors>
</worksheet>
</file>

<file path=xl/worksheets/sheet61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(A) III.B.2.15 - Sloof TBK25-1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Sloof TBK25-1</v>
      </c>
    </row>
    <row r="5">
      <c r="A5" t="str">
        <v>Unit</v>
      </c>
      <c r="B5" t="str">
        <v>m3</v>
      </c>
    </row>
    <row r="6">
      <c r="A6" t="str">
        <v>Volume</v>
      </c>
      <c r="B6">
        <v>0.29</v>
      </c>
    </row>
    <row r="7">
      <c r="A7" t="str">
        <v>Unit cost (Rp/m3)</v>
      </c>
      <c r="B7">
        <v>5861140.247108276</v>
      </c>
    </row>
    <row r="8">
      <c r="A8" t="str">
        <v>Line total at-cost (Rp)</v>
      </c>
      <c r="B8">
        <v>1699730.6716614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1015650.0000000001</v>
      </c>
      <c r="I12">
        <v>1.2</v>
      </c>
      <c r="J12">
        <v>1218780</v>
      </c>
      <c r="K12">
        <v>0.348</v>
      </c>
      <c r="L12">
        <v>353446.19999999995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60000</v>
      </c>
      <c r="I14">
        <v>1</v>
      </c>
      <c r="J14">
        <v>60000</v>
      </c>
      <c r="K14">
        <v>0.29</v>
      </c>
      <c r="L14">
        <v>17400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0.29</v>
      </c>
      <c r="L16">
        <v>434999.99999999994</v>
      </c>
    </row>
    <row r="17">
      <c r="A17">
        <v>4</v>
      </c>
      <c r="B17" t="str">
        <v>BEKISTING BATAKO POSISI BERDIRI UNTUK POER DAN SLOOF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14</v>
      </c>
      <c r="F18" t="str">
        <v>pcs</v>
      </c>
      <c r="G18" t="str">
        <v>per m² form (cycle 1.00)</v>
      </c>
      <c r="H18">
        <v>4500</v>
      </c>
      <c r="I18">
        <v>140</v>
      </c>
      <c r="J18">
        <v>630000</v>
      </c>
      <c r="K18">
        <v>40.599999999999994</v>
      </c>
      <c r="L18">
        <v>182700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0.08978310000000002</v>
      </c>
      <c r="F19" t="str">
        <v>sak</v>
      </c>
      <c r="G19" t="str">
        <v>per m² form (cycle 1.00)</v>
      </c>
      <c r="H19">
        <v>65000</v>
      </c>
      <c r="I19">
        <v>0.8978310000000002</v>
      </c>
      <c r="J19">
        <v>58359.01500000001</v>
      </c>
      <c r="K19">
        <v>0.26037099</v>
      </c>
      <c r="L19">
        <v>16924.11435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0.017953650000000005</v>
      </c>
      <c r="F20" t="str">
        <v>m3</v>
      </c>
      <c r="G20" t="str">
        <v>per m² form (cycle 1.00)</v>
      </c>
      <c r="H20">
        <v>350000</v>
      </c>
      <c r="I20">
        <v>0.17953650000000004</v>
      </c>
      <c r="J20">
        <v>62837.775000000016</v>
      </c>
      <c r="K20">
        <v>0.05206558500000001</v>
      </c>
      <c r="L20">
        <v>18222.954750000004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3</v>
      </c>
      <c r="J21">
        <v>120000</v>
      </c>
      <c r="K21">
        <v>0.8699999999999999</v>
      </c>
      <c r="L21">
        <v>34800</v>
      </c>
    </row>
    <row r="22">
      <c r="A22">
        <v>5</v>
      </c>
      <c r="B22" t="str">
        <v>PEMBESIAN (Material) — ratio 195.98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70.87624137931036</v>
      </c>
      <c r="F23" t="str">
        <v>kg</v>
      </c>
      <c r="G23" t="str">
        <v>per m3 beton</v>
      </c>
      <c r="H23">
        <v>10300</v>
      </c>
      <c r="I23">
        <v>70.87624137931036</v>
      </c>
      <c r="J23">
        <v>730025.2862068966</v>
      </c>
      <c r="K23">
        <v>20.55411</v>
      </c>
      <c r="L23">
        <v>211707.333</v>
      </c>
    </row>
    <row r="24">
      <c r="A24" t="str">
        <v/>
      </c>
      <c r="B24" t="str">
        <v/>
      </c>
      <c r="C24" t="str">
        <v>Besi beton D16</v>
      </c>
      <c r="D24" t="str">
        <v>U24/U40 polos</v>
      </c>
      <c r="E24">
        <v>125.10545213793105</v>
      </c>
      <c r="F24" t="str">
        <v>kg</v>
      </c>
      <c r="G24" t="str">
        <v>per m3 beton</v>
      </c>
      <c r="H24">
        <v>10300</v>
      </c>
      <c r="I24">
        <v>125.10545213793105</v>
      </c>
      <c r="J24">
        <v>1288586.15702069</v>
      </c>
      <c r="K24">
        <v>36.28058112</v>
      </c>
      <c r="L24">
        <v>373689.98553600005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10300</v>
      </c>
      <c r="I25">
        <v>9.79908467586208</v>
      </c>
      <c r="J25">
        <v>100930.57216137942</v>
      </c>
      <c r="K25">
        <v>2.841734556000003</v>
      </c>
      <c r="L25">
        <v>29269.86592680003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195.9816935172414</v>
      </c>
      <c r="J26">
        <v>19598.16935172414</v>
      </c>
      <c r="K26">
        <v>56.83469112</v>
      </c>
      <c r="L26">
        <v>5683.469112000001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4.11561556386207</v>
      </c>
      <c r="J27">
        <v>72023.27236758622</v>
      </c>
      <c r="K27">
        <v>1.1935285135200002</v>
      </c>
      <c r="L27">
        <v>20886.748986600003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5861140.247108276</v>
      </c>
      <c r="J29" t="str">
        <v/>
      </c>
      <c r="K29" t="str">
        <v/>
      </c>
      <c r="L29">
        <v>1699730.6716614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5861140.247108276</v>
      </c>
    </row>
    <row r="33">
      <c r="A33" t="str">
        <v>RAB (A) source unit cost</v>
      </c>
      <c r="B33">
        <v>5861140.247108277</v>
      </c>
    </row>
    <row r="34">
      <c r="A34" t="str">
        <v>Variance</v>
      </c>
      <c r="B34">
        <v>-9.313225746154785e-10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1699730.6716614</v>
      </c>
    </row>
    <row r="37">
      <c r="A37" t="str">
        <v>RAB (A) source line total</v>
      </c>
      <c r="B37">
        <v>1937692.965693996</v>
      </c>
    </row>
    <row r="38">
      <c r="A38" t="str">
        <v>Variance</v>
      </c>
      <c r="B38">
        <v>-237962.29403259605</v>
      </c>
      <c r="C38" t="str">
        <v>✓ OK</v>
      </c>
    </row>
  </sheetData>
  <ignoredErrors>
    <ignoredError numberStoredAsText="1" sqref="A1:L38"/>
  </ignoredErrors>
</worksheet>
</file>

<file path=xl/worksheets/sheet62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(A) III.B.2.16 - Sloof Potongan S1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Sloof Potongan S1</v>
      </c>
    </row>
    <row r="5">
      <c r="A5" t="str">
        <v>Unit</v>
      </c>
      <c r="B5" t="str">
        <v>m3</v>
      </c>
    </row>
    <row r="6">
      <c r="A6" t="str">
        <v>Volume</v>
      </c>
      <c r="B6">
        <v>0.22575</v>
      </c>
    </row>
    <row r="7">
      <c r="A7" t="str">
        <v>Unit cost (Rp/m3)</v>
      </c>
      <c r="B7">
        <v>5502637.580669767</v>
      </c>
    </row>
    <row r="8">
      <c r="A8" t="str">
        <v>Line total at-cost (Rp)</v>
      </c>
      <c r="B8">
        <v>1242220.4338362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1015650.0000000001</v>
      </c>
      <c r="I12">
        <v>1.2</v>
      </c>
      <c r="J12">
        <v>1218780</v>
      </c>
      <c r="K12">
        <v>0.2709</v>
      </c>
      <c r="L12">
        <v>275139.585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60000</v>
      </c>
      <c r="I14">
        <v>1</v>
      </c>
      <c r="J14">
        <v>60000</v>
      </c>
      <c r="K14">
        <v>0.22575</v>
      </c>
      <c r="L14">
        <v>13545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0.22575</v>
      </c>
      <c r="L16">
        <v>338625</v>
      </c>
    </row>
    <row r="17">
      <c r="A17">
        <v>4</v>
      </c>
      <c r="B17" t="str">
        <v>BEKISTING BATAKO POSISI BERDIRI UNTUK POER DAN SLOOF (Material) — ratio 6.666666666666666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14</v>
      </c>
      <c r="F18" t="str">
        <v>pcs</v>
      </c>
      <c r="G18" t="str">
        <v>per m² form (cycle 1.00)</v>
      </c>
      <c r="H18">
        <v>4500</v>
      </c>
      <c r="I18">
        <v>93.33333333333333</v>
      </c>
      <c r="J18">
        <v>420000</v>
      </c>
      <c r="K18">
        <v>21.07</v>
      </c>
      <c r="L18">
        <v>94815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0.08978310000000002</v>
      </c>
      <c r="F19" t="str">
        <v>sak</v>
      </c>
      <c r="G19" t="str">
        <v>per m² form (cycle 1.00)</v>
      </c>
      <c r="H19">
        <v>65000</v>
      </c>
      <c r="I19">
        <v>0.598554</v>
      </c>
      <c r="J19">
        <v>38906.01</v>
      </c>
      <c r="K19">
        <v>0.13512356550000001</v>
      </c>
      <c r="L19">
        <v>8783.0317575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0.017953650000000005</v>
      </c>
      <c r="F20" t="str">
        <v>m3</v>
      </c>
      <c r="G20" t="str">
        <v>per m² form (cycle 1.00)</v>
      </c>
      <c r="H20">
        <v>350000</v>
      </c>
      <c r="I20">
        <v>0.11969100000000002</v>
      </c>
      <c r="J20">
        <v>41891.850000000006</v>
      </c>
      <c r="K20">
        <v>0.027020243250000006</v>
      </c>
      <c r="L20">
        <v>9457.085137500002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1.9999999999999998</v>
      </c>
      <c r="J21">
        <v>79999.99999999999</v>
      </c>
      <c r="K21">
        <v>0.45149999999999996</v>
      </c>
      <c r="L21">
        <v>18059.999999999996</v>
      </c>
    </row>
    <row r="22">
      <c r="A22">
        <v>5</v>
      </c>
      <c r="B22" t="str">
        <v>PEMBESIAN (Material) — ratio 189.95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44.67747508305648</v>
      </c>
      <c r="F23" t="str">
        <v>kg</v>
      </c>
      <c r="G23" t="str">
        <v>per m3 beton</v>
      </c>
      <c r="H23">
        <v>10300</v>
      </c>
      <c r="I23">
        <v>44.67747508305648</v>
      </c>
      <c r="J23">
        <v>460177.9933554817</v>
      </c>
      <c r="K23">
        <v>10.08594</v>
      </c>
      <c r="L23">
        <v>103885.182</v>
      </c>
    </row>
    <row r="24">
      <c r="A24" t="str">
        <v/>
      </c>
      <c r="B24" t="str">
        <v/>
      </c>
      <c r="C24" t="str">
        <v>Besi beton D16</v>
      </c>
      <c r="D24" t="str">
        <v>U24/U40 polos</v>
      </c>
      <c r="E24">
        <v>145.26799096345513</v>
      </c>
      <c r="F24" t="str">
        <v>kg</v>
      </c>
      <c r="G24" t="str">
        <v>per m3 beton</v>
      </c>
      <c r="H24">
        <v>10300</v>
      </c>
      <c r="I24">
        <v>145.26799096345513</v>
      </c>
      <c r="J24">
        <v>1496260.3069235878</v>
      </c>
      <c r="K24">
        <v>32.79424896</v>
      </c>
      <c r="L24">
        <v>337780.76428799995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10300</v>
      </c>
      <c r="I25">
        <v>9.49727330232559</v>
      </c>
      <c r="J25">
        <v>97821.91501395358</v>
      </c>
      <c r="K25">
        <v>2.144009448000002</v>
      </c>
      <c r="L25">
        <v>22083.29731440002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189.94546604651163</v>
      </c>
      <c r="J26">
        <v>18994.54660465116</v>
      </c>
      <c r="K26">
        <v>42.88018896</v>
      </c>
      <c r="L26">
        <v>4288.018896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3.9888547869767446</v>
      </c>
      <c r="J27">
        <v>69804.95877209303</v>
      </c>
      <c r="K27">
        <v>0.9004839681600001</v>
      </c>
      <c r="L27">
        <v>15758.469442800002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5502637.580669767</v>
      </c>
      <c r="J29" t="str">
        <v/>
      </c>
      <c r="K29" t="str">
        <v/>
      </c>
      <c r="L29">
        <v>1242220.4338362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5502637.580669767</v>
      </c>
    </row>
    <row r="33">
      <c r="A33" t="str">
        <v>RAB (A) source unit cost</v>
      </c>
      <c r="B33">
        <v>5502637.580669767</v>
      </c>
    </row>
    <row r="34">
      <c r="A34" t="str">
        <v>Variance</v>
      </c>
      <c r="B34">
        <v>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1242220.4338362</v>
      </c>
    </row>
    <row r="37">
      <c r="A37" t="str">
        <v>RAB (A) source line total</v>
      </c>
      <c r="B37">
        <v>1416131.294573268</v>
      </c>
    </row>
    <row r="38">
      <c r="A38" t="str">
        <v>Variance</v>
      </c>
      <c r="B38">
        <v>-173910.86073706788</v>
      </c>
      <c r="C38" t="str">
        <v>✓ OK</v>
      </c>
    </row>
  </sheetData>
  <ignoredErrors>
    <ignoredError numberStoredAsText="1" sqref="A1:L38"/>
  </ignoredErrors>
</worksheet>
</file>

<file path=xl/worksheets/sheet63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(A) III.B.2.17 - Sloof Potongan S2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Sloof Potongan S2</v>
      </c>
    </row>
    <row r="5">
      <c r="A5" t="str">
        <v>Unit</v>
      </c>
      <c r="B5" t="str">
        <v>m3</v>
      </c>
    </row>
    <row r="6">
      <c r="A6" t="str">
        <v>Volume</v>
      </c>
      <c r="B6">
        <v>0.54</v>
      </c>
    </row>
    <row r="7">
      <c r="A7" t="str">
        <v>Unit cost (Rp/m3)</v>
      </c>
      <c r="B7">
        <v>6209953.2254283335</v>
      </c>
    </row>
    <row r="8">
      <c r="A8" t="str">
        <v>Line total at-cost (Rp)</v>
      </c>
      <c r="B8">
        <v>3353374.7417313005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1015650.0000000001</v>
      </c>
      <c r="I12">
        <v>1.2</v>
      </c>
      <c r="J12">
        <v>1218780</v>
      </c>
      <c r="K12">
        <v>0.648</v>
      </c>
      <c r="L12">
        <v>658141.2000000001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60000</v>
      </c>
      <c r="I14">
        <v>1</v>
      </c>
      <c r="J14">
        <v>60000</v>
      </c>
      <c r="K14">
        <v>0.54</v>
      </c>
      <c r="L14">
        <v>32400.000000000004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0.54</v>
      </c>
      <c r="L16">
        <v>810000</v>
      </c>
    </row>
    <row r="17">
      <c r="A17">
        <v>4</v>
      </c>
      <c r="B17" t="str">
        <v>BEKISTING BATAKO POSISI BERDIRI UNTUK POER DAN SLOOF (Material) — ratio 6.666666666666666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14</v>
      </c>
      <c r="F18" t="str">
        <v>pcs</v>
      </c>
      <c r="G18" t="str">
        <v>per m² form (cycle 1.00)</v>
      </c>
      <c r="H18">
        <v>4500</v>
      </c>
      <c r="I18">
        <v>93.33333333333333</v>
      </c>
      <c r="J18">
        <v>420000</v>
      </c>
      <c r="K18">
        <v>50.4</v>
      </c>
      <c r="L18">
        <v>226800.00000000003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0.08978310000000002</v>
      </c>
      <c r="F19" t="str">
        <v>sak</v>
      </c>
      <c r="G19" t="str">
        <v>per m² form (cycle 1.00)</v>
      </c>
      <c r="H19">
        <v>65000</v>
      </c>
      <c r="I19">
        <v>0.598554</v>
      </c>
      <c r="J19">
        <v>38906.01</v>
      </c>
      <c r="K19">
        <v>0.32321916000000006</v>
      </c>
      <c r="L19">
        <v>21009.245400000003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0.017953650000000005</v>
      </c>
      <c r="F20" t="str">
        <v>m3</v>
      </c>
      <c r="G20" t="str">
        <v>per m² form (cycle 1.00)</v>
      </c>
      <c r="H20">
        <v>350000</v>
      </c>
      <c r="I20">
        <v>0.11969100000000002</v>
      </c>
      <c r="J20">
        <v>41891.850000000006</v>
      </c>
      <c r="K20">
        <v>0.06463314000000002</v>
      </c>
      <c r="L20">
        <v>22621.599000000006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1.9999999999999998</v>
      </c>
      <c r="J21">
        <v>79999.99999999999</v>
      </c>
      <c r="K21">
        <v>1.0799999999999998</v>
      </c>
      <c r="L21">
        <v>43199.99999999999</v>
      </c>
    </row>
    <row r="22">
      <c r="A22">
        <v>5</v>
      </c>
      <c r="B22" t="str">
        <v>PEMBESIAN (Material) — ratio 252.64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50.621500000000005</v>
      </c>
      <c r="F23" t="str">
        <v>kg</v>
      </c>
      <c r="G23" t="str">
        <v>per m3 beton</v>
      </c>
      <c r="H23">
        <v>10300</v>
      </c>
      <c r="I23">
        <v>50.621500000000005</v>
      </c>
      <c r="J23">
        <v>521401.45000000007</v>
      </c>
      <c r="K23">
        <v>27.335610000000003</v>
      </c>
      <c r="L23">
        <v>281556.78300000005</v>
      </c>
    </row>
    <row r="24">
      <c r="A24" t="str">
        <v/>
      </c>
      <c r="B24" t="str">
        <v/>
      </c>
      <c r="C24" t="str">
        <v>Besi beton D19</v>
      </c>
      <c r="D24" t="str">
        <v>U24/U40 polos</v>
      </c>
      <c r="E24">
        <v>202.01535933333332</v>
      </c>
      <c r="F24" t="str">
        <v>kg</v>
      </c>
      <c r="G24" t="str">
        <v>per m3 beton</v>
      </c>
      <c r="H24">
        <v>10300</v>
      </c>
      <c r="I24">
        <v>202.01535933333332</v>
      </c>
      <c r="J24">
        <v>2080758.2011333331</v>
      </c>
      <c r="K24">
        <v>109.08829404000001</v>
      </c>
      <c r="L24">
        <v>1123609.428612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10300</v>
      </c>
      <c r="I25">
        <v>12.631842966666678</v>
      </c>
      <c r="J25">
        <v>130107.98255666679</v>
      </c>
      <c r="K25">
        <v>6.821195202000006</v>
      </c>
      <c r="L25">
        <v>70258.31058060007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252.63685933333332</v>
      </c>
      <c r="J26">
        <v>25263.68593333333</v>
      </c>
      <c r="K26">
        <v>136.42390404</v>
      </c>
      <c r="L26">
        <v>13642.390404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5.305374046</v>
      </c>
      <c r="J27">
        <v>92844.045805</v>
      </c>
      <c r="K27">
        <v>2.86490198484</v>
      </c>
      <c r="L27">
        <v>50135.784734700006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6209953.2254283335</v>
      </c>
      <c r="J29" t="str">
        <v/>
      </c>
      <c r="K29" t="str">
        <v/>
      </c>
      <c r="L29">
        <v>3353374.7417313005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6209953.2254283335</v>
      </c>
    </row>
    <row r="33">
      <c r="A33" t="str">
        <v>RAB (A) source unit cost</v>
      </c>
      <c r="B33">
        <v>6209953.2254283335</v>
      </c>
    </row>
    <row r="34">
      <c r="A34" t="str">
        <v>Variance</v>
      </c>
      <c r="B34">
        <v>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3353374.7417313005</v>
      </c>
    </row>
    <row r="37">
      <c r="A37" t="str">
        <v>RAB (A) source line total</v>
      </c>
      <c r="B37">
        <v>3822847.205573682</v>
      </c>
    </row>
    <row r="38">
      <c r="A38" t="str">
        <v>Variance</v>
      </c>
      <c r="B38">
        <v>-469472.4638423817</v>
      </c>
      <c r="C38" t="str">
        <v>✓ OK</v>
      </c>
    </row>
  </sheetData>
  <ignoredErrors>
    <ignoredError numberStoredAsText="1" sqref="A1:L38"/>
  </ignoredErrors>
</worksheet>
</file>

<file path=xl/worksheets/sheet64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(A) III.B.2.18 - Sloof Potongan S4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Sloof Potongan S4</v>
      </c>
    </row>
    <row r="5">
      <c r="A5" t="str">
        <v>Unit</v>
      </c>
      <c r="B5" t="str">
        <v>m3</v>
      </c>
    </row>
    <row r="6">
      <c r="A6" t="str">
        <v>Volume</v>
      </c>
      <c r="B6">
        <v>1.458975</v>
      </c>
    </row>
    <row r="7">
      <c r="A7" t="str">
        <v>Unit cost (Rp/m3)</v>
      </c>
      <c r="B7">
        <v>5660112.944442914</v>
      </c>
    </row>
    <row r="8">
      <c r="A8" t="str">
        <v>Line total at-cost (Rp)</v>
      </c>
      <c r="B8">
        <v>8257963.2831186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1015650.0000000001</v>
      </c>
      <c r="I12">
        <v>1.2</v>
      </c>
      <c r="J12">
        <v>1218780</v>
      </c>
      <c r="K12">
        <v>1.75077</v>
      </c>
      <c r="L12">
        <v>1778169.5505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60000</v>
      </c>
      <c r="I14">
        <v>1</v>
      </c>
      <c r="J14">
        <v>60000</v>
      </c>
      <c r="K14">
        <v>1.458975</v>
      </c>
      <c r="L14">
        <v>87538.5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1.458975</v>
      </c>
      <c r="L16">
        <v>2188462.5</v>
      </c>
    </row>
    <row r="17">
      <c r="A17">
        <v>4</v>
      </c>
      <c r="B17" t="str">
        <v>BEKISTING BATAKO POSISI BERDIRI UNTUK POER DAN SLOOF (Material) — ratio 6.666666666666667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14</v>
      </c>
      <c r="F18" t="str">
        <v>pcs</v>
      </c>
      <c r="G18" t="str">
        <v>per m² form (cycle 1.00)</v>
      </c>
      <c r="H18">
        <v>4500</v>
      </c>
      <c r="I18">
        <v>93.33333333333334</v>
      </c>
      <c r="J18">
        <v>420000.00000000006</v>
      </c>
      <c r="K18">
        <v>136.171</v>
      </c>
      <c r="L18">
        <v>612769.5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0.08978310000000002</v>
      </c>
      <c r="F19" t="str">
        <v>sak</v>
      </c>
      <c r="G19" t="str">
        <v>per m² form (cycle 1.00)</v>
      </c>
      <c r="H19">
        <v>65000</v>
      </c>
      <c r="I19">
        <v>0.5985540000000001</v>
      </c>
      <c r="J19">
        <v>38906.01000000001</v>
      </c>
      <c r="K19">
        <v>0.8732753221500001</v>
      </c>
      <c r="L19">
        <v>56762.89593975001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0.017953650000000005</v>
      </c>
      <c r="F20" t="str">
        <v>m3</v>
      </c>
      <c r="G20" t="str">
        <v>per m² form (cycle 1.00)</v>
      </c>
      <c r="H20">
        <v>350000</v>
      </c>
      <c r="I20">
        <v>0.11969100000000003</v>
      </c>
      <c r="J20">
        <v>41891.85000000001</v>
      </c>
      <c r="K20">
        <v>0.17462617672500003</v>
      </c>
      <c r="L20">
        <v>61119.16185375002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2</v>
      </c>
      <c r="J21">
        <v>80000</v>
      </c>
      <c r="K21">
        <v>2.91795</v>
      </c>
      <c r="L21">
        <v>116718</v>
      </c>
    </row>
    <row r="22">
      <c r="A22">
        <v>5</v>
      </c>
      <c r="B22" t="str">
        <v>PEMBESIAN (Material) — ratio 203.90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63.71735979026373</v>
      </c>
      <c r="F23" t="str">
        <v>kg</v>
      </c>
      <c r="G23" t="str">
        <v>per m3 beton</v>
      </c>
      <c r="H23">
        <v>10300</v>
      </c>
      <c r="I23">
        <v>63.71735979026373</v>
      </c>
      <c r="J23">
        <v>656288.8058397165</v>
      </c>
      <c r="K23">
        <v>92.96203500000001</v>
      </c>
      <c r="L23">
        <v>957508.9605000003</v>
      </c>
    </row>
    <row r="24">
      <c r="A24" t="str">
        <v/>
      </c>
      <c r="B24" t="str">
        <v/>
      </c>
      <c r="C24" t="str">
        <v>Besi beton D16</v>
      </c>
      <c r="D24" t="str">
        <v>U24/U40 polos</v>
      </c>
      <c r="E24">
        <v>140.18559473603045</v>
      </c>
      <c r="F24" t="str">
        <v>kg</v>
      </c>
      <c r="G24" t="str">
        <v>per m3 beton</v>
      </c>
      <c r="H24">
        <v>10300</v>
      </c>
      <c r="I24">
        <v>140.18559473603045</v>
      </c>
      <c r="J24">
        <v>1443911.6257811137</v>
      </c>
      <c r="K24">
        <v>204.52727808000003</v>
      </c>
      <c r="L24">
        <v>2106630.9642240005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10300</v>
      </c>
      <c r="I25">
        <v>10.195147726314719</v>
      </c>
      <c r="J25">
        <v>105010.02158104161</v>
      </c>
      <c r="K25">
        <v>14.874465654000016</v>
      </c>
      <c r="L25">
        <v>153206.99623620018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203.9029545262942</v>
      </c>
      <c r="J26">
        <v>20390.29545262942</v>
      </c>
      <c r="K26">
        <v>297.48931308000004</v>
      </c>
      <c r="L26">
        <v>29748.931308000007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4.281962045052178</v>
      </c>
      <c r="J27">
        <v>74934.33578841311</v>
      </c>
      <c r="K27">
        <v>6.2472755746800015</v>
      </c>
      <c r="L27">
        <v>109327.3225569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5660112.944442914</v>
      </c>
      <c r="J29" t="str">
        <v/>
      </c>
      <c r="K29" t="str">
        <v/>
      </c>
      <c r="L29">
        <v>8257963.2831186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5660112.944442914</v>
      </c>
    </row>
    <row r="33">
      <c r="A33" t="str">
        <v>RAB (A) source unit cost</v>
      </c>
      <c r="B33">
        <v>5660112.944442914</v>
      </c>
    </row>
    <row r="34">
      <c r="A34" t="str">
        <v>Variance</v>
      </c>
      <c r="B34">
        <v>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8257963.2831186</v>
      </c>
    </row>
    <row r="37">
      <c r="A37" t="str">
        <v>RAB (A) source line total</v>
      </c>
      <c r="B37">
        <v>9414078.142755203</v>
      </c>
    </row>
    <row r="38">
      <c r="A38" t="str">
        <v>Variance</v>
      </c>
      <c r="B38">
        <v>-1156114.859636603</v>
      </c>
      <c r="C38" t="str">
        <v>✓ OK</v>
      </c>
    </row>
  </sheetData>
  <ignoredErrors>
    <ignoredError numberStoredAsText="1" sqref="A1:L38"/>
  </ignoredErrors>
</worksheet>
</file>

<file path=xl/worksheets/sheet65.xml><?xml version="1.0" encoding="utf-8"?>
<worksheet xmlns="http://schemas.openxmlformats.org/spreadsheetml/2006/main" xmlns:r="http://schemas.openxmlformats.org/officeDocument/2006/relationships">
  <dimension ref="A1:L23"/>
  <sheetViews>
    <sheetView workbookViewId="0" rightToLeft="0"/>
  </sheetViews>
  <sheetData>
    <row r="1">
      <c r="A1" t="str">
        <v>BREAKDOWN — (A) III.B.2.19 - Strongband BB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Strongband BB</v>
      </c>
    </row>
    <row r="5">
      <c r="A5" t="str">
        <v>Unit</v>
      </c>
      <c r="B5" t="str">
        <v>kg</v>
      </c>
    </row>
    <row r="6">
      <c r="A6" t="str">
        <v>Volume</v>
      </c>
      <c r="B6">
        <v>24.7073472</v>
      </c>
    </row>
    <row r="7">
      <c r="A7" t="str">
        <v>Unit cost (Rp/kg)</v>
      </c>
      <c r="B7">
        <v>11282.5</v>
      </c>
    </row>
    <row r="8">
      <c r="A8" t="str">
        <v>Line total at-cost (Rp)</v>
      </c>
      <c r="B8">
        <v>278760.644784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kg</v>
      </c>
      <c r="J10" t="str">
        <v>Cost per kg</v>
      </c>
      <c r="K10" t="str">
        <v>Total qty (× vol)</v>
      </c>
      <c r="L10" t="str">
        <v>Total cost (Rp)</v>
      </c>
    </row>
    <row r="11">
      <c r="A11">
        <v>1</v>
      </c>
      <c r="B11" t="str">
        <v>MATERIAL (Material) — direct-ref lump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Pembesian U24 &amp; U40</v>
      </c>
      <c r="D12" t="str">
        <v>direct-reference lump from Analisa!F233 (block: Pembesian U24 &amp; U40)</v>
      </c>
      <c r="E12">
        <v>1</v>
      </c>
      <c r="F12" t="str">
        <v>kg</v>
      </c>
      <c r="G12" t="str">
        <v>per kg</v>
      </c>
      <c r="H12">
        <v>11282.5</v>
      </c>
      <c r="I12">
        <v>1</v>
      </c>
      <c r="J12">
        <v>11282.5</v>
      </c>
      <c r="K12">
        <v>24.7073472</v>
      </c>
      <c r="L12">
        <v>278760.644784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>SUBTOTAL — At-cost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>
        <v>11282.5</v>
      </c>
      <c r="J14" t="str">
        <v/>
      </c>
      <c r="K14" t="str">
        <v/>
      </c>
      <c r="L14">
        <v>278760.644784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>RECONCILIATION</v>
      </c>
    </row>
    <row r="17">
      <c r="A17" t="str">
        <v>Computed unit cost</v>
      </c>
      <c r="B17">
        <v>11282.5</v>
      </c>
    </row>
    <row r="18">
      <c r="A18" t="str">
        <v>RAB (A) source unit cost</v>
      </c>
      <c r="B18">
        <v>11282.5</v>
      </c>
    </row>
    <row r="19">
      <c r="A19" t="str">
        <v>Variance</v>
      </c>
      <c r="B19">
        <v>0</v>
      </c>
      <c r="C19" t="str">
        <v>✓ OK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Computed line total</v>
      </c>
      <c r="B21">
        <v>278760.644784</v>
      </c>
    </row>
    <row r="22">
      <c r="A22" t="str">
        <v>RAB (A) source line total</v>
      </c>
      <c r="B22">
        <v>317787.13505376</v>
      </c>
    </row>
    <row r="23">
      <c r="A23" t="str">
        <v>Variance</v>
      </c>
      <c r="B23">
        <v>-39026.49026976002</v>
      </c>
      <c r="C23" t="str">
        <v>✓ OK</v>
      </c>
    </row>
  </sheetData>
  <ignoredErrors>
    <ignoredError numberStoredAsText="1" sqref="A1:L23"/>
  </ignoredErrors>
</worksheet>
</file>

<file path=xl/worksheets/sheet66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(A) III.B.3.1 - Plat lantai - tebal 15 cm, besi D10-200 (2 lapis)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Plat lantai - tebal 15 cm, besi D10-200 (2 lapis)</v>
      </c>
    </row>
    <row r="5">
      <c r="A5" t="str">
        <v>Unit</v>
      </c>
      <c r="B5" t="str">
        <v>m3</v>
      </c>
    </row>
    <row r="6">
      <c r="A6" t="str">
        <v>Volume</v>
      </c>
      <c r="B6">
        <v>73.98150000000001</v>
      </c>
    </row>
    <row r="7">
      <c r="A7" t="str">
        <v>Unit cost (Rp/m3)</v>
      </c>
      <c r="B7">
        <v>3421577.350426174</v>
      </c>
    </row>
    <row r="8">
      <c r="A8" t="str">
        <v>Line total at-cost (Rp)</v>
      </c>
      <c r="B8">
        <v>253133424.75055403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1066432.5000000002</v>
      </c>
      <c r="I12">
        <v>1</v>
      </c>
      <c r="J12">
        <v>1066432.5000000002</v>
      </c>
      <c r="K12">
        <v>73.98150000000001</v>
      </c>
      <c r="L12">
        <v>78896275.99875003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1000000</v>
      </c>
      <c r="I14">
        <v>1</v>
      </c>
      <c r="J14">
        <v>1000000</v>
      </c>
      <c r="K14">
        <v>73.98150000000001</v>
      </c>
      <c r="L14">
        <v>73981500.00000001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60000</v>
      </c>
      <c r="I16">
        <v>1</v>
      </c>
      <c r="J16">
        <v>60000</v>
      </c>
      <c r="K16">
        <v>73.98150000000001</v>
      </c>
      <c r="L16">
        <v>4438890.000000001</v>
      </c>
    </row>
    <row r="17">
      <c r="A17">
        <v>4</v>
      </c>
      <c r="B17" t="str">
        <v>BEKISTING (Material) — ratio 0.5033961193000952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0.5033961193000952</v>
      </c>
      <c r="F18" t="str">
        <v>m2</v>
      </c>
      <c r="G18" t="str">
        <v>per m² of formwork</v>
      </c>
      <c r="H18">
        <v>113100</v>
      </c>
      <c r="I18">
        <v>0.5033961193000952</v>
      </c>
      <c r="J18">
        <v>56934.10109284077</v>
      </c>
      <c r="K18">
        <v>37.242</v>
      </c>
      <c r="L18">
        <v>4212070.2</v>
      </c>
    </row>
    <row r="19">
      <c r="A19">
        <v>5</v>
      </c>
      <c r="B19" t="str">
        <v>PEMBESIAN (Material) — ratio 109.75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109.74613333333332</v>
      </c>
      <c r="F20" t="str">
        <v>kg</v>
      </c>
      <c r="G20" t="str">
        <v>per kg finished pembesian (blended: raw besi + decking + bendrat)</v>
      </c>
      <c r="H20">
        <v>11282.5</v>
      </c>
      <c r="I20">
        <v>109.74613333333332</v>
      </c>
      <c r="J20">
        <v>1238210.7493333332</v>
      </c>
      <c r="K20">
        <v>8119.1835632</v>
      </c>
      <c r="L20">
        <v>91604688.551804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3421577.350426174</v>
      </c>
      <c r="J22" t="str">
        <v/>
      </c>
      <c r="K22" t="str">
        <v/>
      </c>
      <c r="L22">
        <v>253133424.75055403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3421577.350426174</v>
      </c>
    </row>
    <row r="26">
      <c r="A26" t="str">
        <v>RAB (A) source unit cost</v>
      </c>
      <c r="B26">
        <v>3421577.3504261742</v>
      </c>
    </row>
    <row r="27">
      <c r="A27" t="str">
        <v>Variance</v>
      </c>
      <c r="B27">
        <v>-4.656612873077393e-10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253133424.75055403</v>
      </c>
    </row>
    <row r="30">
      <c r="A30" t="str">
        <v>RAB (A) source line total</v>
      </c>
      <c r="B30">
        <v>288572104.2156316</v>
      </c>
    </row>
    <row r="31">
      <c r="A31" t="str">
        <v>Variance</v>
      </c>
      <c r="B31">
        <v>-35438679.46507758</v>
      </c>
      <c r="C31" t="str">
        <v>✓ OK</v>
      </c>
    </row>
  </sheetData>
  <ignoredErrors>
    <ignoredError numberStoredAsText="1" sqref="A1:L31"/>
  </ignoredErrors>
</worksheet>
</file>

<file path=xl/worksheets/sheet67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(A) III.B.4.1 - Kolom K174-1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K174-1</v>
      </c>
    </row>
    <row r="5">
      <c r="A5" t="str">
        <v>Unit</v>
      </c>
      <c r="B5" t="str">
        <v>m3</v>
      </c>
    </row>
    <row r="6">
      <c r="A6" t="str">
        <v>Volume</v>
      </c>
      <c r="B6">
        <v>1.1219999999999999</v>
      </c>
    </row>
    <row r="7">
      <c r="A7" t="str">
        <v>Unit cost (Rp/m3)</v>
      </c>
      <c r="B7">
        <v>10168358.629659357</v>
      </c>
    </row>
    <row r="8">
      <c r="A8" t="str">
        <v>Line total at-cost (Rp)</v>
      </c>
      <c r="B8">
        <v>11408898.382477798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1.1781</v>
      </c>
      <c r="L12">
        <v>1196537.2650000001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1.1219999999999999</v>
      </c>
      <c r="L14">
        <v>280500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2250000</v>
      </c>
      <c r="I16">
        <v>1</v>
      </c>
      <c r="J16">
        <v>2250000</v>
      </c>
      <c r="K16">
        <v>1.1219999999999999</v>
      </c>
      <c r="L16">
        <v>2524499.9999999995</v>
      </c>
    </row>
    <row r="17">
      <c r="A17">
        <v>4</v>
      </c>
      <c r="B17" t="str">
        <v>BEKISTING KOLOM (Material) — ratio 16.764705882352942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4.56)</v>
      </c>
      <c r="H18">
        <v>200000</v>
      </c>
      <c r="I18">
        <v>7.352941176470588</v>
      </c>
      <c r="J18">
        <v>1470588.2352941176</v>
      </c>
      <c r="K18">
        <v>8.249999999999998</v>
      </c>
      <c r="L18">
        <v>1649999.9999999998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4.56)</v>
      </c>
      <c r="H19">
        <v>47600</v>
      </c>
      <c r="I19">
        <v>36.76470588235294</v>
      </c>
      <c r="J19">
        <v>1750000</v>
      </c>
      <c r="K19">
        <v>41.25</v>
      </c>
      <c r="L19">
        <v>1963499.9999999998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4.56)</v>
      </c>
      <c r="H20">
        <v>47600</v>
      </c>
      <c r="I20">
        <v>7.352941176470588</v>
      </c>
      <c r="J20">
        <v>350000</v>
      </c>
      <c r="K20">
        <v>8.249999999999998</v>
      </c>
      <c r="L20">
        <v>392699.99999999994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4.56)</v>
      </c>
      <c r="H21">
        <v>13000</v>
      </c>
      <c r="I21">
        <v>7.352941176470588</v>
      </c>
      <c r="J21">
        <v>95588.23529411764</v>
      </c>
      <c r="K21">
        <v>8.249999999999998</v>
      </c>
      <c r="L21">
        <v>107249.99999999997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4.56)</v>
      </c>
      <c r="H22">
        <v>27500</v>
      </c>
      <c r="I22">
        <v>8.382352941176471</v>
      </c>
      <c r="J22">
        <v>230514.70588235295</v>
      </c>
      <c r="K22">
        <v>9.405</v>
      </c>
      <c r="L22">
        <v>258637.49999999997</v>
      </c>
    </row>
    <row r="23">
      <c r="A23">
        <v>5</v>
      </c>
      <c r="B23" t="str">
        <v>PEMBESIAN (Material) — ratio 239.77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79.47465240641714</v>
      </c>
      <c r="F24" t="str">
        <v>kg</v>
      </c>
      <c r="G24" t="str">
        <v>per m3 beton</v>
      </c>
      <c r="H24">
        <v>10300</v>
      </c>
      <c r="I24">
        <v>79.47465240641714</v>
      </c>
      <c r="J24">
        <v>818588.9197860966</v>
      </c>
      <c r="K24">
        <v>89.17056000000002</v>
      </c>
      <c r="L24">
        <v>918456.7680000003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160.29800021390375</v>
      </c>
      <c r="F25" t="str">
        <v>kg</v>
      </c>
      <c r="G25" t="str">
        <v>per m3 beton</v>
      </c>
      <c r="H25">
        <v>10300</v>
      </c>
      <c r="I25">
        <v>160.29800021390375</v>
      </c>
      <c r="J25">
        <v>1651069.4022032085</v>
      </c>
      <c r="K25">
        <v>179.85435624</v>
      </c>
      <c r="L25">
        <v>1852499.8692719997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10300</v>
      </c>
      <c r="I26">
        <v>11.988632631016054</v>
      </c>
      <c r="J26">
        <v>123482.91609946536</v>
      </c>
      <c r="K26">
        <v>13.451245812000012</v>
      </c>
      <c r="L26">
        <v>138547.83186360012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239.77265262032088</v>
      </c>
      <c r="J27">
        <v>23977.265262032088</v>
      </c>
      <c r="K27">
        <v>269.02491624</v>
      </c>
      <c r="L27">
        <v>26902.491624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5.035225705026739</v>
      </c>
      <c r="J28">
        <v>88116.44983796793</v>
      </c>
      <c r="K28">
        <v>5.649523241040001</v>
      </c>
      <c r="L28">
        <v>98866.6567182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10168358.629659357</v>
      </c>
      <c r="J30" t="str">
        <v/>
      </c>
      <c r="K30" t="str">
        <v/>
      </c>
      <c r="L30">
        <v>11408898.382477798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10168358.629659357</v>
      </c>
    </row>
    <row r="34">
      <c r="A34" t="str">
        <v>RAB (A) source unit cost</v>
      </c>
      <c r="B34">
        <v>10168358.629659358</v>
      </c>
    </row>
    <row r="35">
      <c r="A35" t="str">
        <v>Variance</v>
      </c>
      <c r="B35">
        <v>-1.862645149230957e-9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11408898.382477798</v>
      </c>
    </row>
    <row r="38">
      <c r="A38" t="str">
        <v>RAB (A) source line total</v>
      </c>
      <c r="B38">
        <v>13006144.156024689</v>
      </c>
    </row>
    <row r="39">
      <c r="A39" t="str">
        <v>Variance</v>
      </c>
      <c r="B39">
        <v>-1597245.7735468913</v>
      </c>
      <c r="C39" t="str">
        <v>✓ OK</v>
      </c>
    </row>
  </sheetData>
  <ignoredErrors>
    <ignoredError numberStoredAsText="1" sqref="A1:L39"/>
  </ignoredErrors>
</worksheet>
</file>

<file path=xl/worksheets/sheet68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(A) III.B.4.2 - Kolom K175-1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K175-1</v>
      </c>
    </row>
    <row r="5">
      <c r="A5" t="str">
        <v>Unit</v>
      </c>
      <c r="B5" t="str">
        <v>m3</v>
      </c>
    </row>
    <row r="6">
      <c r="A6" t="str">
        <v>Volume</v>
      </c>
      <c r="B6">
        <v>1.122</v>
      </c>
    </row>
    <row r="7">
      <c r="A7" t="str">
        <v>Unit cost (Rp/m3)</v>
      </c>
      <c r="B7">
        <v>9905781.732541064</v>
      </c>
    </row>
    <row r="8">
      <c r="A8" t="str">
        <v>Line total at-cost (Rp)</v>
      </c>
      <c r="B8">
        <v>11114287.103911074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1.1781000000000001</v>
      </c>
      <c r="L12">
        <v>1196537.2650000004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1.122</v>
      </c>
      <c r="L14">
        <v>280500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2250000</v>
      </c>
      <c r="I16">
        <v>1</v>
      </c>
      <c r="J16">
        <v>2250000</v>
      </c>
      <c r="K16">
        <v>1.122</v>
      </c>
      <c r="L16">
        <v>2524500.0000000005</v>
      </c>
    </row>
    <row r="17">
      <c r="A17">
        <v>4</v>
      </c>
      <c r="B17" t="str">
        <v>BEKISTING KOLOM (Material) — ratio 15.764705882352938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4.56)</v>
      </c>
      <c r="H18">
        <v>200000</v>
      </c>
      <c r="I18">
        <v>6.914344685242516</v>
      </c>
      <c r="J18">
        <v>1382868.9370485032</v>
      </c>
      <c r="K18">
        <v>7.757894736842103</v>
      </c>
      <c r="L18">
        <v>1551578.9473684207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4.56)</v>
      </c>
      <c r="H19">
        <v>47600</v>
      </c>
      <c r="I19">
        <v>34.57172342621258</v>
      </c>
      <c r="J19">
        <v>1645614.0350877186</v>
      </c>
      <c r="K19">
        <v>38.78947368421052</v>
      </c>
      <c r="L19">
        <v>1846378.9473684204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4.56)</v>
      </c>
      <c r="H20">
        <v>47600</v>
      </c>
      <c r="I20">
        <v>6.914344685242516</v>
      </c>
      <c r="J20">
        <v>329122.80701754376</v>
      </c>
      <c r="K20">
        <v>7.757894736842103</v>
      </c>
      <c r="L20">
        <v>369275.78947368416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4.56)</v>
      </c>
      <c r="H21">
        <v>13000</v>
      </c>
      <c r="I21">
        <v>6.914344685242516</v>
      </c>
      <c r="J21">
        <v>89886.4809081527</v>
      </c>
      <c r="K21">
        <v>7.757894736842103</v>
      </c>
      <c r="L21">
        <v>100852.63157894734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4.56)</v>
      </c>
      <c r="H22">
        <v>27500</v>
      </c>
      <c r="I22">
        <v>7.882352941176469</v>
      </c>
      <c r="J22">
        <v>216764.7058823529</v>
      </c>
      <c r="K22">
        <v>8.844</v>
      </c>
      <c r="L22">
        <v>243209.99999999997</v>
      </c>
    </row>
    <row r="23">
      <c r="A23">
        <v>5</v>
      </c>
      <c r="B23" t="str">
        <v>PEMBESIAN (Material) — ratio 237.10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83.22684064171123</v>
      </c>
      <c r="F24" t="str">
        <v>kg</v>
      </c>
      <c r="G24" t="str">
        <v>per m3 beton</v>
      </c>
      <c r="H24">
        <v>10300</v>
      </c>
      <c r="I24">
        <v>83.22684064171123</v>
      </c>
      <c r="J24">
        <v>857236.4586096257</v>
      </c>
      <c r="K24">
        <v>93.38051520000002</v>
      </c>
      <c r="L24">
        <v>961819.3065600002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153.87418010695188</v>
      </c>
      <c r="F25" t="str">
        <v>kg</v>
      </c>
      <c r="G25" t="str">
        <v>per m3 beton</v>
      </c>
      <c r="H25">
        <v>10300</v>
      </c>
      <c r="I25">
        <v>153.87418010695188</v>
      </c>
      <c r="J25">
        <v>1584904.0551016044</v>
      </c>
      <c r="K25">
        <v>172.64683008000003</v>
      </c>
      <c r="L25">
        <v>1778262.3498240004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10300</v>
      </c>
      <c r="I26">
        <v>11.855051037433167</v>
      </c>
      <c r="J26">
        <v>122107.02568556162</v>
      </c>
      <c r="K26">
        <v>13.301367264000016</v>
      </c>
      <c r="L26">
        <v>137004.08281920015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237.10102074866313</v>
      </c>
      <c r="J27">
        <v>23710.102074866314</v>
      </c>
      <c r="K27">
        <v>266.0273452800001</v>
      </c>
      <c r="L27">
        <v>26602.734528000008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4.979121435721926</v>
      </c>
      <c r="J28">
        <v>87134.62512513371</v>
      </c>
      <c r="K28">
        <v>5.586574250880002</v>
      </c>
      <c r="L28">
        <v>97765.04939040003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9905781.732541064</v>
      </c>
      <c r="J30" t="str">
        <v/>
      </c>
      <c r="K30" t="str">
        <v/>
      </c>
      <c r="L30">
        <v>11114287.103911074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9905781.732541064</v>
      </c>
    </row>
    <row r="34">
      <c r="A34" t="str">
        <v>RAB (A) source unit cost</v>
      </c>
      <c r="B34">
        <v>9905781.732541064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11114287.103911074</v>
      </c>
    </row>
    <row r="38">
      <c r="A38" t="str">
        <v>RAB (A) source line total</v>
      </c>
      <c r="B38">
        <v>12670287.298458625</v>
      </c>
    </row>
    <row r="39">
      <c r="A39" t="str">
        <v>Variance</v>
      </c>
      <c r="B39">
        <v>-1556000.1945475508</v>
      </c>
      <c r="C39" t="str">
        <v>✓ OK</v>
      </c>
    </row>
  </sheetData>
  <ignoredErrors>
    <ignoredError numberStoredAsText="1" sqref="A1:L39"/>
  </ignoredErrors>
</worksheet>
</file>

<file path=xl/worksheets/sheet69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(A) III.B.4.3 - Kolom K175-2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K175-2</v>
      </c>
    </row>
    <row r="5">
      <c r="A5" t="str">
        <v>Unit</v>
      </c>
      <c r="B5" t="str">
        <v>m3</v>
      </c>
    </row>
    <row r="6">
      <c r="A6" t="str">
        <v>Volume</v>
      </c>
      <c r="B6">
        <v>4.488</v>
      </c>
    </row>
    <row r="7">
      <c r="A7" t="str">
        <v>Unit cost (Rp/m3)</v>
      </c>
      <c r="B7">
        <v>10400048.789203092</v>
      </c>
    </row>
    <row r="8">
      <c r="A8" t="str">
        <v>Line total at-cost (Rp)</v>
      </c>
      <c r="B8">
        <v>46675418.965943485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4.712400000000001</v>
      </c>
      <c r="L12">
        <v>4786149.060000001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4.488</v>
      </c>
      <c r="L14">
        <v>1122000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2250000</v>
      </c>
      <c r="I16">
        <v>1</v>
      </c>
      <c r="J16">
        <v>2250000</v>
      </c>
      <c r="K16">
        <v>4.488</v>
      </c>
      <c r="L16">
        <v>10098000.000000002</v>
      </c>
    </row>
    <row r="17">
      <c r="A17">
        <v>4</v>
      </c>
      <c r="B17" t="str">
        <v>BEKISTING KOLOM (Material) — ratio 15.764705882352935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4.56)</v>
      </c>
      <c r="H18">
        <v>200000</v>
      </c>
      <c r="I18">
        <v>6.914344685242515</v>
      </c>
      <c r="J18">
        <v>1382868.937048503</v>
      </c>
      <c r="K18">
        <v>31.03157894736841</v>
      </c>
      <c r="L18">
        <v>6206315.789473682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4.56)</v>
      </c>
      <c r="H19">
        <v>47600</v>
      </c>
      <c r="I19">
        <v>34.57172342621257</v>
      </c>
      <c r="J19">
        <v>1645614.0350877184</v>
      </c>
      <c r="K19">
        <v>155.15789473684202</v>
      </c>
      <c r="L19">
        <v>7385515.789473681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4.56)</v>
      </c>
      <c r="H20">
        <v>47600</v>
      </c>
      <c r="I20">
        <v>6.914344685242515</v>
      </c>
      <c r="J20">
        <v>329122.8070175437</v>
      </c>
      <c r="K20">
        <v>31.03157894736841</v>
      </c>
      <c r="L20">
        <v>1477103.1578947364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4.56)</v>
      </c>
      <c r="H21">
        <v>13000</v>
      </c>
      <c r="I21">
        <v>6.914344685242515</v>
      </c>
      <c r="J21">
        <v>89886.48090815269</v>
      </c>
      <c r="K21">
        <v>31.03157894736841</v>
      </c>
      <c r="L21">
        <v>403410.5263157893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4.56)</v>
      </c>
      <c r="H22">
        <v>27500</v>
      </c>
      <c r="I22">
        <v>7.882352941176468</v>
      </c>
      <c r="J22">
        <v>216764.7058823529</v>
      </c>
      <c r="K22">
        <v>35.37599999999999</v>
      </c>
      <c r="L22">
        <v>972839.9999999999</v>
      </c>
    </row>
    <row r="23">
      <c r="A23">
        <v>5</v>
      </c>
      <c r="B23" t="str">
        <v>PEMBESIAN (Material) — ratio 280.91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83.09760641711229</v>
      </c>
      <c r="F24" t="str">
        <v>kg</v>
      </c>
      <c r="G24" t="str">
        <v>per m3 beton</v>
      </c>
      <c r="H24">
        <v>10300</v>
      </c>
      <c r="I24">
        <v>83.09760641711229</v>
      </c>
      <c r="J24">
        <v>855905.3460962565</v>
      </c>
      <c r="K24">
        <v>372.9420576</v>
      </c>
      <c r="L24">
        <v>3841303.19328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197.81170652406416</v>
      </c>
      <c r="F25" t="str">
        <v>kg</v>
      </c>
      <c r="G25" t="str">
        <v>per m3 beton</v>
      </c>
      <c r="H25">
        <v>10300</v>
      </c>
      <c r="I25">
        <v>197.81170652406416</v>
      </c>
      <c r="J25">
        <v>2037460.577197861</v>
      </c>
      <c r="K25">
        <v>887.77893888</v>
      </c>
      <c r="L25">
        <v>9144123.070464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10300</v>
      </c>
      <c r="I26">
        <v>14.045465647058835</v>
      </c>
      <c r="J26">
        <v>144668.296164706</v>
      </c>
      <c r="K26">
        <v>63.03604982400006</v>
      </c>
      <c r="L26">
        <v>649271.3131872006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280.90931294117644</v>
      </c>
      <c r="J27">
        <v>28090.931294117643</v>
      </c>
      <c r="K27">
        <v>1260.72099648</v>
      </c>
      <c r="L27">
        <v>126072.09964799999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5.899095571764706</v>
      </c>
      <c r="J28">
        <v>103234.17250588235</v>
      </c>
      <c r="K28">
        <v>26.47514092608</v>
      </c>
      <c r="L28">
        <v>463314.9662064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10400048.789203092</v>
      </c>
      <c r="J30" t="str">
        <v/>
      </c>
      <c r="K30" t="str">
        <v/>
      </c>
      <c r="L30">
        <v>46675418.965943485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10400048.789203092</v>
      </c>
    </row>
    <row r="34">
      <c r="A34" t="str">
        <v>RAB (A) source unit cost</v>
      </c>
      <c r="B34">
        <v>10400048.789203094</v>
      </c>
    </row>
    <row r="35">
      <c r="A35" t="str">
        <v>Variance</v>
      </c>
      <c r="B35">
        <v>-1.862645149230957e-9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46675418.965943485</v>
      </c>
    </row>
    <row r="38">
      <c r="A38" t="str">
        <v>RAB (A) source line total</v>
      </c>
      <c r="B38">
        <v>53209977.62117558</v>
      </c>
    </row>
    <row r="39">
      <c r="A39" t="str">
        <v>Variance</v>
      </c>
      <c r="B39">
        <v>-6534558.655232094</v>
      </c>
      <c r="C39" t="str">
        <v>✓ OK</v>
      </c>
    </row>
  </sheetData>
  <ignoredErrors>
    <ignoredError numberStoredAsText="1" sqref="A1:L39"/>
  </ignoredErrors>
</worksheet>
</file>

<file path=xl/worksheets/sheet70.xml><?xml version="1.0" encoding="utf-8"?>
<worksheet xmlns="http://schemas.openxmlformats.org/spreadsheetml/2006/main" xmlns:r="http://schemas.openxmlformats.org/officeDocument/2006/relationships">
  <dimension ref="A1:L40"/>
  <sheetViews>
    <sheetView workbookViewId="0" rightToLeft="0"/>
  </sheetViews>
  <sheetData>
    <row r="1">
      <c r="A1" t="str">
        <v>BREAKDOWN — (A) III.B.4.4 - Kolom K175-3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K175-3</v>
      </c>
    </row>
    <row r="5">
      <c r="A5" t="str">
        <v>Unit</v>
      </c>
      <c r="B5" t="str">
        <v>m3</v>
      </c>
    </row>
    <row r="6">
      <c r="A6" t="str">
        <v>Volume</v>
      </c>
      <c r="B6">
        <v>0.561</v>
      </c>
    </row>
    <row r="7">
      <c r="A7" t="str">
        <v>Unit cost (Rp/m3)</v>
      </c>
      <c r="B7">
        <v>10749673.800072612</v>
      </c>
    </row>
    <row r="8">
      <c r="A8" t="str">
        <v>Line total at-cost (Rp)</v>
      </c>
      <c r="B8">
        <v>6030567.001840736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0.5890500000000001</v>
      </c>
      <c r="L12">
        <v>598268.6325000002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0.561</v>
      </c>
      <c r="L14">
        <v>140250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2250000</v>
      </c>
      <c r="I16">
        <v>1</v>
      </c>
      <c r="J16">
        <v>2250000</v>
      </c>
      <c r="K16">
        <v>0.561</v>
      </c>
      <c r="L16">
        <v>1262250.0000000002</v>
      </c>
    </row>
    <row r="17">
      <c r="A17">
        <v>4</v>
      </c>
      <c r="B17" t="str">
        <v>BEKISTING KOLOM (Material) — ratio 15.764705882352938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4.56)</v>
      </c>
      <c r="H18">
        <v>200000</v>
      </c>
      <c r="I18">
        <v>6.914344685242516</v>
      </c>
      <c r="J18">
        <v>1382868.9370485032</v>
      </c>
      <c r="K18">
        <v>3.8789473684210516</v>
      </c>
      <c r="L18">
        <v>775789.4736842103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4.56)</v>
      </c>
      <c r="H19">
        <v>47600</v>
      </c>
      <c r="I19">
        <v>34.57172342621258</v>
      </c>
      <c r="J19">
        <v>1645614.0350877186</v>
      </c>
      <c r="K19">
        <v>19.39473684210526</v>
      </c>
      <c r="L19">
        <v>923189.4736842102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4.56)</v>
      </c>
      <c r="H20">
        <v>47600</v>
      </c>
      <c r="I20">
        <v>6.914344685242516</v>
      </c>
      <c r="J20">
        <v>329122.80701754376</v>
      </c>
      <c r="K20">
        <v>3.8789473684210516</v>
      </c>
      <c r="L20">
        <v>184637.89473684208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4.56)</v>
      </c>
      <c r="H21">
        <v>13000</v>
      </c>
      <c r="I21">
        <v>6.914344685242516</v>
      </c>
      <c r="J21">
        <v>89886.4809081527</v>
      </c>
      <c r="K21">
        <v>3.8789473684210516</v>
      </c>
      <c r="L21">
        <v>50426.31578947367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4.56)</v>
      </c>
      <c r="H22">
        <v>27500</v>
      </c>
      <c r="I22">
        <v>7.882352941176469</v>
      </c>
      <c r="J22">
        <v>216764.7058823529</v>
      </c>
      <c r="K22">
        <v>4.422</v>
      </c>
      <c r="L22">
        <v>121604.99999999999</v>
      </c>
    </row>
    <row r="23">
      <c r="A23">
        <v>5</v>
      </c>
      <c r="B23" t="str">
        <v>PEMBESIAN (Material) — ratio 311.90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83.74377754010695</v>
      </c>
      <c r="F24" t="str">
        <v>kg</v>
      </c>
      <c r="G24" t="str">
        <v>per m3 beton</v>
      </c>
      <c r="H24">
        <v>10300</v>
      </c>
      <c r="I24">
        <v>83.74377754010695</v>
      </c>
      <c r="J24">
        <v>862560.9086631016</v>
      </c>
      <c r="K24">
        <v>46.9802592</v>
      </c>
      <c r="L24">
        <v>483896.6697600001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93.71538481283423</v>
      </c>
      <c r="F25" t="str">
        <v>kg</v>
      </c>
      <c r="G25" t="str">
        <v>per m3 beton</v>
      </c>
      <c r="H25">
        <v>10300</v>
      </c>
      <c r="I25">
        <v>93.71538481283423</v>
      </c>
      <c r="J25">
        <v>965268.4635721926</v>
      </c>
      <c r="K25">
        <v>52.574330880000005</v>
      </c>
      <c r="L25">
        <v>541515.6080640001</v>
      </c>
    </row>
    <row r="26">
      <c r="A26" t="str">
        <v/>
      </c>
      <c r="B26" t="str">
        <v/>
      </c>
      <c r="C26" t="str">
        <v>Besi beton D19</v>
      </c>
      <c r="D26" t="str">
        <v>U24/U40 polos</v>
      </c>
      <c r="E26">
        <v>134.43840770053475</v>
      </c>
      <c r="F26" t="str">
        <v>kg</v>
      </c>
      <c r="G26" t="str">
        <v>per m3 beton</v>
      </c>
      <c r="H26">
        <v>10300</v>
      </c>
      <c r="I26">
        <v>134.43840770053475</v>
      </c>
      <c r="J26">
        <v>1384715.599315508</v>
      </c>
      <c r="K26">
        <v>75.41994672</v>
      </c>
      <c r="L26">
        <v>776825.4512160001</v>
      </c>
    </row>
    <row r="27">
      <c r="A27" t="str">
        <v/>
      </c>
      <c r="B27" t="str">
        <v/>
      </c>
      <c r="C27" t="str">
        <v>Besi beton — waste (5%)</v>
      </c>
      <c r="D27" t="str">
        <v>applied via AHS coeff 1.05</v>
      </c>
      <c r="E27">
        <v>0.050000000000000044</v>
      </c>
      <c r="F27" t="str">
        <v>kg</v>
      </c>
      <c r="G27" t="str">
        <v>per m3 beton</v>
      </c>
      <c r="H27">
        <v>10300</v>
      </c>
      <c r="I27">
        <v>15.59487850267381</v>
      </c>
      <c r="J27">
        <v>160627.24857754025</v>
      </c>
      <c r="K27">
        <v>8.748726840000009</v>
      </c>
      <c r="L27">
        <v>90111.8864520001</v>
      </c>
    </row>
    <row r="28">
      <c r="A28" t="str">
        <v/>
      </c>
      <c r="B28" t="str">
        <v/>
      </c>
      <c r="C28" t="str">
        <v>Beton decking</v>
      </c>
      <c r="D28" t="str">
        <v>spacer</v>
      </c>
      <c r="E28">
        <v>1</v>
      </c>
      <c r="F28" t="str">
        <v>kg-eq</v>
      </c>
      <c r="G28" t="str">
        <v>per kg besi</v>
      </c>
      <c r="H28">
        <v>100</v>
      </c>
      <c r="I28">
        <v>311.89757005347593</v>
      </c>
      <c r="J28">
        <v>31189.757005347594</v>
      </c>
      <c r="K28">
        <v>174.9745368</v>
      </c>
      <c r="L28">
        <v>17497.453680000002</v>
      </c>
    </row>
    <row r="29">
      <c r="A29" t="str">
        <v/>
      </c>
      <c r="B29" t="str">
        <v/>
      </c>
      <c r="C29" t="str">
        <v>Bendrat (kawat ikat)</v>
      </c>
      <c r="D29" t="str">
        <v>2.1% of besi (raw)</v>
      </c>
      <c r="E29">
        <v>0.021</v>
      </c>
      <c r="F29" t="str">
        <v>kg</v>
      </c>
      <c r="G29" t="str">
        <v>per kg besi (raw)</v>
      </c>
      <c r="H29">
        <v>17500</v>
      </c>
      <c r="I29">
        <v>6.549848971122995</v>
      </c>
      <c r="J29">
        <v>114622.35699465242</v>
      </c>
      <c r="K29">
        <v>3.674465272800001</v>
      </c>
      <c r="L29">
        <v>64303.14227400001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/>
      </c>
      <c r="B31" t="str">
        <v>SUBTOTAL — At-cost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>
        <v>10749673.800072612</v>
      </c>
      <c r="J31" t="str">
        <v/>
      </c>
      <c r="K31" t="str">
        <v/>
      </c>
      <c r="L31">
        <v>6030567.001840736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>RECONCILIATION</v>
      </c>
    </row>
    <row r="34">
      <c r="A34" t="str">
        <v>Computed unit cost</v>
      </c>
      <c r="B34">
        <v>10749673.800072612</v>
      </c>
    </row>
    <row r="35">
      <c r="A35" t="str">
        <v>RAB (A) source unit cost</v>
      </c>
      <c r="B35">
        <v>10749673.800072614</v>
      </c>
    </row>
    <row r="36">
      <c r="A36" t="str">
        <v>Variance</v>
      </c>
      <c r="B36">
        <v>-1.862645149230957e-9</v>
      </c>
      <c r="C36" t="str">
        <v>✓ OK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</row>
    <row r="38">
      <c r="A38" t="str">
        <v>Computed line total</v>
      </c>
      <c r="B38">
        <v>6030567.001840736</v>
      </c>
    </row>
    <row r="39">
      <c r="A39" t="str">
        <v>RAB (A) source line total</v>
      </c>
      <c r="B39">
        <v>6874846.38209844</v>
      </c>
    </row>
    <row r="40">
      <c r="A40" t="str">
        <v>Variance</v>
      </c>
      <c r="B40">
        <v>-844279.3802577043</v>
      </c>
      <c r="C40" t="str">
        <v>✓ OK</v>
      </c>
    </row>
  </sheetData>
  <ignoredErrors>
    <ignoredError numberStoredAsText="1" sqref="A1:L40"/>
  </ignoredErrors>
</worksheet>
</file>

<file path=xl/worksheets/sheet71.xml><?xml version="1.0" encoding="utf-8"?>
<worksheet xmlns="http://schemas.openxmlformats.org/spreadsheetml/2006/main" xmlns:r="http://schemas.openxmlformats.org/officeDocument/2006/relationships">
  <dimension ref="A1:L40"/>
  <sheetViews>
    <sheetView workbookViewId="0" rightToLeft="0"/>
  </sheetViews>
  <sheetData>
    <row r="1">
      <c r="A1" t="str">
        <v>BREAKDOWN — (A) III.B.4.5 - Kolom K175-4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K175-4</v>
      </c>
    </row>
    <row r="5">
      <c r="A5" t="str">
        <v>Unit</v>
      </c>
      <c r="B5" t="str">
        <v>m3</v>
      </c>
    </row>
    <row r="6">
      <c r="A6" t="str">
        <v>Volume</v>
      </c>
      <c r="B6">
        <v>0.8415000000000001</v>
      </c>
    </row>
    <row r="7">
      <c r="A7" t="str">
        <v>Unit cost (Rp/m3)</v>
      </c>
      <c r="B7">
        <v>11998912.213730367</v>
      </c>
    </row>
    <row r="8">
      <c r="A8" t="str">
        <v>Line total at-cost (Rp)</v>
      </c>
      <c r="B8">
        <v>10097084.627854105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0.8835750000000002</v>
      </c>
      <c r="L12">
        <v>897402.9487500003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0.8415000000000001</v>
      </c>
      <c r="L14">
        <v>210375.00000000003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2250000</v>
      </c>
      <c r="I16">
        <v>1</v>
      </c>
      <c r="J16">
        <v>2250000</v>
      </c>
      <c r="K16">
        <v>0.8415000000000001</v>
      </c>
      <c r="L16">
        <v>1893375.0000000002</v>
      </c>
    </row>
    <row r="17">
      <c r="A17">
        <v>4</v>
      </c>
      <c r="B17" t="str">
        <v>BEKISTING KOLOM (Material) — ratio 15.764705882352937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4.56)</v>
      </c>
      <c r="H18">
        <v>200000</v>
      </c>
      <c r="I18">
        <v>6.914344685242515</v>
      </c>
      <c r="J18">
        <v>1382868.937048503</v>
      </c>
      <c r="K18">
        <v>5.818421052631577</v>
      </c>
      <c r="L18">
        <v>1163684.2105263155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4.56)</v>
      </c>
      <c r="H19">
        <v>47600</v>
      </c>
      <c r="I19">
        <v>34.57172342621257</v>
      </c>
      <c r="J19">
        <v>1645614.0350877184</v>
      </c>
      <c r="K19">
        <v>29.092105263157883</v>
      </c>
      <c r="L19">
        <v>1384784.2105263153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4.56)</v>
      </c>
      <c r="H20">
        <v>47600</v>
      </c>
      <c r="I20">
        <v>6.914344685242515</v>
      </c>
      <c r="J20">
        <v>329122.8070175437</v>
      </c>
      <c r="K20">
        <v>5.818421052631577</v>
      </c>
      <c r="L20">
        <v>276956.8421052631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4.56)</v>
      </c>
      <c r="H21">
        <v>13000</v>
      </c>
      <c r="I21">
        <v>6.914344685242515</v>
      </c>
      <c r="J21">
        <v>89886.48090815269</v>
      </c>
      <c r="K21">
        <v>5.818421052631577</v>
      </c>
      <c r="L21">
        <v>75639.4736842105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4.56)</v>
      </c>
      <c r="H22">
        <v>27500</v>
      </c>
      <c r="I22">
        <v>7.882352941176468</v>
      </c>
      <c r="J22">
        <v>216764.7058823529</v>
      </c>
      <c r="K22">
        <v>6.632999999999999</v>
      </c>
      <c r="L22">
        <v>182407.5</v>
      </c>
    </row>
    <row r="23">
      <c r="A23">
        <v>5</v>
      </c>
      <c r="B23" t="str">
        <v>PEMBESIAN (Material) — ratio 422.62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19.21457967914438</v>
      </c>
      <c r="F24" t="str">
        <v>kg</v>
      </c>
      <c r="G24" t="str">
        <v>per m3 beton</v>
      </c>
      <c r="H24">
        <v>10300</v>
      </c>
      <c r="I24">
        <v>19.21457967914438</v>
      </c>
      <c r="J24">
        <v>197910.1706951871</v>
      </c>
      <c r="K24">
        <v>16.169068799999998</v>
      </c>
      <c r="L24">
        <v>166541.40863999995</v>
      </c>
    </row>
    <row r="25">
      <c r="A25" t="str">
        <v/>
      </c>
      <c r="B25" t="str">
        <v/>
      </c>
      <c r="C25" t="str">
        <v>Besi beton D10</v>
      </c>
      <c r="D25" t="str">
        <v>U24/U40 polos</v>
      </c>
      <c r="E25">
        <v>116.92620320855615</v>
      </c>
      <c r="F25" t="str">
        <v>kg</v>
      </c>
      <c r="G25" t="str">
        <v>per m3 beton</v>
      </c>
      <c r="H25">
        <v>10300</v>
      </c>
      <c r="I25">
        <v>116.92620320855615</v>
      </c>
      <c r="J25">
        <v>1204339.8930481283</v>
      </c>
      <c r="K25">
        <v>98.39340000000001</v>
      </c>
      <c r="L25">
        <v>1013452.0200000001</v>
      </c>
    </row>
    <row r="26">
      <c r="A26" t="str">
        <v/>
      </c>
      <c r="B26" t="str">
        <v/>
      </c>
      <c r="C26" t="str">
        <v>Besi beton D19</v>
      </c>
      <c r="D26" t="str">
        <v>U24/U40 polos</v>
      </c>
      <c r="E26">
        <v>286.48033368983954</v>
      </c>
      <c r="F26" t="str">
        <v>kg</v>
      </c>
      <c r="G26" t="str">
        <v>per m3 beton</v>
      </c>
      <c r="H26">
        <v>10300</v>
      </c>
      <c r="I26">
        <v>286.48033368983954</v>
      </c>
      <c r="J26">
        <v>2950747.437005347</v>
      </c>
      <c r="K26">
        <v>241.07320080000002</v>
      </c>
      <c r="L26">
        <v>2483053.96824</v>
      </c>
    </row>
    <row r="27">
      <c r="A27" t="str">
        <v/>
      </c>
      <c r="B27" t="str">
        <v/>
      </c>
      <c r="C27" t="str">
        <v>Besi beton — waste (5%)</v>
      </c>
      <c r="D27" t="str">
        <v>applied via AHS coeff 1.05</v>
      </c>
      <c r="E27">
        <v>0.050000000000000044</v>
      </c>
      <c r="F27" t="str">
        <v>kg</v>
      </c>
      <c r="G27" t="str">
        <v>per m3 beton</v>
      </c>
      <c r="H27">
        <v>10300</v>
      </c>
      <c r="I27">
        <v>21.131055828877024</v>
      </c>
      <c r="J27">
        <v>217649.87503743335</v>
      </c>
      <c r="K27">
        <v>17.78178348000002</v>
      </c>
      <c r="L27">
        <v>183152.3698440002</v>
      </c>
    </row>
    <row r="28">
      <c r="A28" t="str">
        <v/>
      </c>
      <c r="B28" t="str">
        <v/>
      </c>
      <c r="C28" t="str">
        <v>Beton decking</v>
      </c>
      <c r="D28" t="str">
        <v>spacer</v>
      </c>
      <c r="E28">
        <v>1</v>
      </c>
      <c r="F28" t="str">
        <v>kg-eq</v>
      </c>
      <c r="G28" t="str">
        <v>per kg besi</v>
      </c>
      <c r="H28">
        <v>100</v>
      </c>
      <c r="I28">
        <v>422.6211165775401</v>
      </c>
      <c r="J28">
        <v>42262.11165775401</v>
      </c>
      <c r="K28">
        <v>355.6356696</v>
      </c>
      <c r="L28">
        <v>35563.566960000004</v>
      </c>
    </row>
    <row r="29">
      <c r="A29" t="str">
        <v/>
      </c>
      <c r="B29" t="str">
        <v/>
      </c>
      <c r="C29" t="str">
        <v>Bendrat (kawat ikat)</v>
      </c>
      <c r="D29" t="str">
        <v>2.1% of besi (raw)</v>
      </c>
      <c r="E29">
        <v>0.021</v>
      </c>
      <c r="F29" t="str">
        <v>kg</v>
      </c>
      <c r="G29" t="str">
        <v>per kg besi (raw)</v>
      </c>
      <c r="H29">
        <v>17500</v>
      </c>
      <c r="I29">
        <v>8.875043448128341</v>
      </c>
      <c r="J29">
        <v>155313.26034224598</v>
      </c>
      <c r="K29">
        <v>7.468349061600001</v>
      </c>
      <c r="L29">
        <v>130696.10857800001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/>
      </c>
      <c r="B31" t="str">
        <v>SUBTOTAL — At-cost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>
        <v>11998912.213730367</v>
      </c>
      <c r="J31" t="str">
        <v/>
      </c>
      <c r="K31" t="str">
        <v/>
      </c>
      <c r="L31">
        <v>10097084.627854105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>RECONCILIATION</v>
      </c>
    </row>
    <row r="34">
      <c r="A34" t="str">
        <v>Computed unit cost</v>
      </c>
      <c r="B34">
        <v>11998912.213730367</v>
      </c>
    </row>
    <row r="35">
      <c r="A35" t="str">
        <v>RAB (A) source unit cost</v>
      </c>
      <c r="B35">
        <v>11998912.213730369</v>
      </c>
    </row>
    <row r="36">
      <c r="A36" t="str">
        <v>Variance</v>
      </c>
      <c r="B36">
        <v>-1.862645149230957e-9</v>
      </c>
      <c r="C36" t="str">
        <v>✓ OK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</row>
    <row r="38">
      <c r="A38" t="str">
        <v>Computed line total</v>
      </c>
      <c r="B38">
        <v>10097084.627854105</v>
      </c>
    </row>
    <row r="39">
      <c r="A39" t="str">
        <v>RAB (A) source line total</v>
      </c>
      <c r="B39">
        <v>11510676.475753682</v>
      </c>
    </row>
    <row r="40">
      <c r="A40" t="str">
        <v>Variance</v>
      </c>
      <c r="B40">
        <v>-1413591.8478995766</v>
      </c>
      <c r="C40" t="str">
        <v>✓ OK</v>
      </c>
    </row>
  </sheetData>
  <ignoredErrors>
    <ignoredError numberStoredAsText="1" sqref="A1:L40"/>
  </ignoredErrors>
</worksheet>
</file>

<file path=xl/worksheets/sheet72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(A) III.B.4.6 - Kolom K176-1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K176-1</v>
      </c>
    </row>
    <row r="5">
      <c r="A5" t="str">
        <v>Unit</v>
      </c>
      <c r="B5" t="str">
        <v>m3</v>
      </c>
    </row>
    <row r="6">
      <c r="A6" t="str">
        <v>Volume</v>
      </c>
      <c r="B6">
        <v>0.3366</v>
      </c>
    </row>
    <row r="7">
      <c r="A7" t="str">
        <v>Unit cost (Rp/m3)</v>
      </c>
      <c r="B7">
        <v>10653827.96837414</v>
      </c>
    </row>
    <row r="8">
      <c r="A8" t="str">
        <v>Line total at-cost (Rp)</v>
      </c>
      <c r="B8">
        <v>3586078.494154736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0.35343</v>
      </c>
      <c r="L12">
        <v>358961.1795000001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0.3366</v>
      </c>
      <c r="L14">
        <v>84150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2250000</v>
      </c>
      <c r="I16">
        <v>1</v>
      </c>
      <c r="J16">
        <v>2250000</v>
      </c>
      <c r="K16">
        <v>0.3366</v>
      </c>
      <c r="L16">
        <v>757350</v>
      </c>
    </row>
    <row r="17">
      <c r="A17">
        <v>4</v>
      </c>
      <c r="B17" t="str">
        <v>BEKISTING KOLOM (Material) — ratio 15.098039215686274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4.56)</v>
      </c>
      <c r="H18">
        <v>200000</v>
      </c>
      <c r="I18">
        <v>6.621947024423804</v>
      </c>
      <c r="J18">
        <v>1324389.4048847607</v>
      </c>
      <c r="K18">
        <v>2.2289473684210526</v>
      </c>
      <c r="L18">
        <v>445789.4736842105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4.56)</v>
      </c>
      <c r="H19">
        <v>47600</v>
      </c>
      <c r="I19">
        <v>33.10973512211902</v>
      </c>
      <c r="J19">
        <v>1576023.3918128654</v>
      </c>
      <c r="K19">
        <v>11.144736842105262</v>
      </c>
      <c r="L19">
        <v>530489.4736842106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4.56)</v>
      </c>
      <c r="H20">
        <v>47600</v>
      </c>
      <c r="I20">
        <v>6.621947024423804</v>
      </c>
      <c r="J20">
        <v>315204.6783625731</v>
      </c>
      <c r="K20">
        <v>2.2289473684210526</v>
      </c>
      <c r="L20">
        <v>106097.8947368421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4.56)</v>
      </c>
      <c r="H21">
        <v>13000</v>
      </c>
      <c r="I21">
        <v>6.621947024423804</v>
      </c>
      <c r="J21">
        <v>86085.31131750945</v>
      </c>
      <c r="K21">
        <v>2.2289473684210526</v>
      </c>
      <c r="L21">
        <v>28976.31578947368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4.56)</v>
      </c>
      <c r="H22">
        <v>27500</v>
      </c>
      <c r="I22">
        <v>7.549019607843137</v>
      </c>
      <c r="J22">
        <v>207598.03921568627</v>
      </c>
      <c r="K22">
        <v>2.541</v>
      </c>
      <c r="L22">
        <v>69877.5</v>
      </c>
    </row>
    <row r="23">
      <c r="A23">
        <v>5</v>
      </c>
      <c r="B23" t="str">
        <v>PEMBESIAN (Material) — ratio 317.14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80.26002139037433</v>
      </c>
      <c r="F24" t="str">
        <v>kg</v>
      </c>
      <c r="G24" t="str">
        <v>per m3 beton</v>
      </c>
      <c r="H24">
        <v>10300</v>
      </c>
      <c r="I24">
        <v>80.26002139037433</v>
      </c>
      <c r="J24">
        <v>826678.2203208556</v>
      </c>
      <c r="K24">
        <v>27.0155232</v>
      </c>
      <c r="L24">
        <v>278259.88896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236.87666310160427</v>
      </c>
      <c r="F25" t="str">
        <v>kg</v>
      </c>
      <c r="G25" t="str">
        <v>per m3 beton</v>
      </c>
      <c r="H25">
        <v>10300</v>
      </c>
      <c r="I25">
        <v>236.87666310160427</v>
      </c>
      <c r="J25">
        <v>2439829.629946524</v>
      </c>
      <c r="K25">
        <v>79.7326848</v>
      </c>
      <c r="L25">
        <v>821246.6534399999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10300</v>
      </c>
      <c r="I26">
        <v>15.856834224598945</v>
      </c>
      <c r="J26">
        <v>163325.39251336912</v>
      </c>
      <c r="K26">
        <v>5.337410400000005</v>
      </c>
      <c r="L26">
        <v>54975.327120000045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317.1366844919786</v>
      </c>
      <c r="J27">
        <v>31713.66844919786</v>
      </c>
      <c r="K27">
        <v>106.748208</v>
      </c>
      <c r="L27">
        <v>10674.8208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6.659870374331551</v>
      </c>
      <c r="J28">
        <v>116547.73155080214</v>
      </c>
      <c r="K28">
        <v>2.2417123680000004</v>
      </c>
      <c r="L28">
        <v>39229.966440000004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10653827.96837414</v>
      </c>
      <c r="J30" t="str">
        <v/>
      </c>
      <c r="K30" t="str">
        <v/>
      </c>
      <c r="L30">
        <v>3586078.494154736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10653827.96837414</v>
      </c>
    </row>
    <row r="34">
      <c r="A34" t="str">
        <v>RAB (A) source unit cost</v>
      </c>
      <c r="B34">
        <v>10653827.968374144</v>
      </c>
    </row>
    <row r="35">
      <c r="A35" t="str">
        <v>Variance</v>
      </c>
      <c r="B35">
        <v>-3.725290298461914e-9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3586078.494154736</v>
      </c>
    </row>
    <row r="38">
      <c r="A38" t="str">
        <v>RAB (A) source line total</v>
      </c>
      <c r="B38">
        <v>4088129.4833364</v>
      </c>
    </row>
    <row r="39">
      <c r="A39" t="str">
        <v>Variance</v>
      </c>
      <c r="B39">
        <v>-502050.98918166384</v>
      </c>
      <c r="C39" t="str">
        <v>✓ OK</v>
      </c>
    </row>
  </sheetData>
  <ignoredErrors>
    <ignoredError numberStoredAsText="1" sqref="A1:L39"/>
  </ignoredErrors>
</worksheet>
</file>

<file path=xl/worksheets/sheet73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(A) III.B.4.7 - Kolom K177-1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K177-1</v>
      </c>
    </row>
    <row r="5">
      <c r="A5" t="str">
        <v>Unit</v>
      </c>
      <c r="B5" t="str">
        <v>m3</v>
      </c>
    </row>
    <row r="6">
      <c r="A6" t="str">
        <v>Volume</v>
      </c>
      <c r="B6">
        <v>0.3927</v>
      </c>
    </row>
    <row r="7">
      <c r="A7" t="str">
        <v>Unit cost (Rp/m3)</v>
      </c>
      <c r="B7">
        <v>11202629.78717241</v>
      </c>
    </row>
    <row r="8">
      <c r="A8" t="str">
        <v>Line total at-cost (Rp)</v>
      </c>
      <c r="B8">
        <v>4399272.7174226055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0.412335</v>
      </c>
      <c r="L12">
        <v>418788.0427500001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0.3927</v>
      </c>
      <c r="L14">
        <v>98175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2250000</v>
      </c>
      <c r="I16">
        <v>1</v>
      </c>
      <c r="J16">
        <v>2250000</v>
      </c>
      <c r="K16">
        <v>0.3927</v>
      </c>
      <c r="L16">
        <v>883575</v>
      </c>
    </row>
    <row r="17">
      <c r="A17">
        <v>4</v>
      </c>
      <c r="B17" t="str">
        <v>BEKISTING KOLOM (Material) — ratio 14.621848739495798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4.56)</v>
      </c>
      <c r="H18">
        <v>200000</v>
      </c>
      <c r="I18">
        <v>6.413091552410437</v>
      </c>
      <c r="J18">
        <v>1282618.3104820873</v>
      </c>
      <c r="K18">
        <v>2.5184210526315787</v>
      </c>
      <c r="L18">
        <v>503684.21052631567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4.56)</v>
      </c>
      <c r="H19">
        <v>47600</v>
      </c>
      <c r="I19">
        <v>32.06545776205218</v>
      </c>
      <c r="J19">
        <v>1526315.789473684</v>
      </c>
      <c r="K19">
        <v>12.592105263157892</v>
      </c>
      <c r="L19">
        <v>599384.2105263157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4.56)</v>
      </c>
      <c r="H20">
        <v>47600</v>
      </c>
      <c r="I20">
        <v>6.413091552410437</v>
      </c>
      <c r="J20">
        <v>305263.1578947368</v>
      </c>
      <c r="K20">
        <v>2.5184210526315787</v>
      </c>
      <c r="L20">
        <v>119876.84210526313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4.56)</v>
      </c>
      <c r="H21">
        <v>13000</v>
      </c>
      <c r="I21">
        <v>6.413091552410437</v>
      </c>
      <c r="J21">
        <v>83370.19018133568</v>
      </c>
      <c r="K21">
        <v>2.5184210526315787</v>
      </c>
      <c r="L21">
        <v>32739.473684210523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4.56)</v>
      </c>
      <c r="H22">
        <v>27500</v>
      </c>
      <c r="I22">
        <v>7.310924369747899</v>
      </c>
      <c r="J22">
        <v>201050.4201680672</v>
      </c>
      <c r="K22">
        <v>2.871</v>
      </c>
      <c r="L22">
        <v>78952.5</v>
      </c>
    </row>
    <row r="23">
      <c r="A23">
        <v>5</v>
      </c>
      <c r="B23" t="str">
        <v>PEMBESIAN (Material) — ratio 375.59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77.03314285714286</v>
      </c>
      <c r="F24" t="str">
        <v>kg</v>
      </c>
      <c r="G24" t="str">
        <v>per m3 beton</v>
      </c>
      <c r="H24">
        <v>10300</v>
      </c>
      <c r="I24">
        <v>77.03314285714286</v>
      </c>
      <c r="J24">
        <v>793441.3714285715</v>
      </c>
      <c r="K24">
        <v>30.2509152</v>
      </c>
      <c r="L24">
        <v>311584.42656000005</v>
      </c>
    </row>
    <row r="25">
      <c r="A25" t="str">
        <v/>
      </c>
      <c r="B25" t="str">
        <v/>
      </c>
      <c r="C25" t="str">
        <v>Besi beton D19</v>
      </c>
      <c r="D25" t="str">
        <v>U24/U40 polos</v>
      </c>
      <c r="E25">
        <v>298.5555492742552</v>
      </c>
      <c r="F25" t="str">
        <v>kg</v>
      </c>
      <c r="G25" t="str">
        <v>per m3 beton</v>
      </c>
      <c r="H25">
        <v>10300</v>
      </c>
      <c r="I25">
        <v>298.5555492742552</v>
      </c>
      <c r="J25">
        <v>3075122.157524829</v>
      </c>
      <c r="K25">
        <v>117.24276420000002</v>
      </c>
      <c r="L25">
        <v>1207600.4712600003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10300</v>
      </c>
      <c r="I26">
        <v>18.77943460656992</v>
      </c>
      <c r="J26">
        <v>193428.17644767018</v>
      </c>
      <c r="K26">
        <v>7.374683970000008</v>
      </c>
      <c r="L26">
        <v>75959.24489100008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375.5886921313981</v>
      </c>
      <c r="J27">
        <v>37558.869213139806</v>
      </c>
      <c r="K27">
        <v>147.49367940000002</v>
      </c>
      <c r="L27">
        <v>14749.367940000002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7.887362534759361</v>
      </c>
      <c r="J28">
        <v>138028.8443582888</v>
      </c>
      <c r="K28">
        <v>3.097367267400001</v>
      </c>
      <c r="L28">
        <v>54203.92717950001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11202629.78717241</v>
      </c>
      <c r="J30" t="str">
        <v/>
      </c>
      <c r="K30" t="str">
        <v/>
      </c>
      <c r="L30">
        <v>4399272.7174226055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11202629.78717241</v>
      </c>
    </row>
    <row r="34">
      <c r="A34" t="str">
        <v>RAB (A) source unit cost</v>
      </c>
      <c r="B34">
        <v>11202629.78717241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4399272.7174226055</v>
      </c>
    </row>
    <row r="38">
      <c r="A38" t="str">
        <v>RAB (A) source line total</v>
      </c>
      <c r="B38">
        <v>5015170.89786177</v>
      </c>
    </row>
    <row r="39">
      <c r="A39" t="str">
        <v>Variance</v>
      </c>
      <c r="B39">
        <v>-615898.1804391649</v>
      </c>
      <c r="C39" t="str">
        <v>✓ OK</v>
      </c>
    </row>
  </sheetData>
  <ignoredErrors>
    <ignoredError numberStoredAsText="1" sqref="A1:L39"/>
  </ignoredErrors>
</worksheet>
</file>

<file path=xl/worksheets/sheet74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(A) III.B.4.8 - Kolom K178-1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K178-1</v>
      </c>
    </row>
    <row r="5">
      <c r="A5" t="str">
        <v>Unit</v>
      </c>
      <c r="B5" t="str">
        <v>m3</v>
      </c>
    </row>
    <row r="6">
      <c r="A6" t="str">
        <v>Volume</v>
      </c>
      <c r="B6">
        <v>1.3464</v>
      </c>
    </row>
    <row r="7">
      <c r="A7" t="str">
        <v>Unit cost (Rp/m3)</v>
      </c>
      <c r="B7">
        <v>9348556.131769773</v>
      </c>
    </row>
    <row r="8">
      <c r="A8" t="str">
        <v>Line total at-cost (Rp)</v>
      </c>
      <c r="B8">
        <v>12586895.975814823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1.41372</v>
      </c>
      <c r="L12">
        <v>1435844.7180000003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1.3464</v>
      </c>
      <c r="L14">
        <v>336600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2250000</v>
      </c>
      <c r="I16">
        <v>1</v>
      </c>
      <c r="J16">
        <v>2250000</v>
      </c>
      <c r="K16">
        <v>1.3464</v>
      </c>
      <c r="L16">
        <v>3029400</v>
      </c>
    </row>
    <row r="17">
      <c r="A17">
        <v>4</v>
      </c>
      <c r="B17" t="str">
        <v>BEKISTING KOLOM (Material) — ratio 14.26470588235294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4.56)</v>
      </c>
      <c r="H18">
        <v>200000</v>
      </c>
      <c r="I18">
        <v>6.2564499484004115</v>
      </c>
      <c r="J18">
        <v>1251289.9896800823</v>
      </c>
      <c r="K18">
        <v>8.423684210526314</v>
      </c>
      <c r="L18">
        <v>1684736.842105263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4.56)</v>
      </c>
      <c r="H19">
        <v>47600</v>
      </c>
      <c r="I19">
        <v>31.282249742002058</v>
      </c>
      <c r="J19">
        <v>1489035.087719298</v>
      </c>
      <c r="K19">
        <v>42.118421052631575</v>
      </c>
      <c r="L19">
        <v>2004836.842105263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4.56)</v>
      </c>
      <c r="H20">
        <v>47600</v>
      </c>
      <c r="I20">
        <v>6.2564499484004115</v>
      </c>
      <c r="J20">
        <v>297807.0175438596</v>
      </c>
      <c r="K20">
        <v>8.423684210526314</v>
      </c>
      <c r="L20">
        <v>400967.3684210526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4.56)</v>
      </c>
      <c r="H21">
        <v>13000</v>
      </c>
      <c r="I21">
        <v>6.2564499484004115</v>
      </c>
      <c r="J21">
        <v>81333.84932920535</v>
      </c>
      <c r="K21">
        <v>8.423684210526314</v>
      </c>
      <c r="L21">
        <v>109507.89473684208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4.56)</v>
      </c>
      <c r="H22">
        <v>27500</v>
      </c>
      <c r="I22">
        <v>7.13235294117647</v>
      </c>
      <c r="J22">
        <v>196139.70588235292</v>
      </c>
      <c r="K22">
        <v>9.603</v>
      </c>
      <c r="L22">
        <v>264082.5</v>
      </c>
    </row>
    <row r="23">
      <c r="A23">
        <v>5</v>
      </c>
      <c r="B23" t="str">
        <v>PEMBESIAN (Material) — ratio 218.61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78.364</v>
      </c>
      <c r="F24" t="str">
        <v>kg</v>
      </c>
      <c r="G24" t="str">
        <v>per m3 beton</v>
      </c>
      <c r="H24">
        <v>10300</v>
      </c>
      <c r="I24">
        <v>78.364</v>
      </c>
      <c r="J24">
        <v>807149.2000000001</v>
      </c>
      <c r="K24">
        <v>105.5092896</v>
      </c>
      <c r="L24">
        <v>1086745.6828800002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140.2504898395722</v>
      </c>
      <c r="F25" t="str">
        <v>kg</v>
      </c>
      <c r="G25" t="str">
        <v>per m3 beton</v>
      </c>
      <c r="H25">
        <v>10300</v>
      </c>
      <c r="I25">
        <v>140.2504898395722</v>
      </c>
      <c r="J25">
        <v>1444580.0453475937</v>
      </c>
      <c r="K25">
        <v>188.83325952</v>
      </c>
      <c r="L25">
        <v>1944982.5730560003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10300</v>
      </c>
      <c r="I26">
        <v>10.93072449197862</v>
      </c>
      <c r="J26">
        <v>112586.46226737979</v>
      </c>
      <c r="K26">
        <v>14.717127456000014</v>
      </c>
      <c r="L26">
        <v>151586.41279680014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218.6144898395722</v>
      </c>
      <c r="J27">
        <v>21861.44898395722</v>
      </c>
      <c r="K27">
        <v>294.34254912</v>
      </c>
      <c r="L27">
        <v>29434.254912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4.590904286631017</v>
      </c>
      <c r="J28">
        <v>80340.8250160428</v>
      </c>
      <c r="K28">
        <v>6.181193531520001</v>
      </c>
      <c r="L28">
        <v>108170.88680160003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9348556.131769773</v>
      </c>
      <c r="J30" t="str">
        <v/>
      </c>
      <c r="K30" t="str">
        <v/>
      </c>
      <c r="L30">
        <v>12586895.975814823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9348556.131769773</v>
      </c>
    </row>
    <row r="34">
      <c r="A34" t="str">
        <v>RAB (A) source unit cost</v>
      </c>
      <c r="B34">
        <v>9348556.13176977</v>
      </c>
    </row>
    <row r="35">
      <c r="A35" t="str">
        <v>Variance</v>
      </c>
      <c r="B35">
        <v>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12586895.975814823</v>
      </c>
    </row>
    <row r="38">
      <c r="A38" t="str">
        <v>RAB (A) source line total</v>
      </c>
      <c r="B38">
        <v>14349061.412428895</v>
      </c>
    </row>
    <row r="39">
      <c r="A39" t="str">
        <v>Variance</v>
      </c>
      <c r="B39">
        <v>-1762165.436614072</v>
      </c>
      <c r="C39" t="str">
        <v>✓ OK</v>
      </c>
    </row>
  </sheetData>
  <ignoredErrors>
    <ignoredError numberStoredAsText="1" sqref="A1:L39"/>
  </ignoredErrors>
</worksheet>
</file>

<file path=xl/worksheets/sheet75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(A) III.B.4.9 - Kolom K178-2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K178-2</v>
      </c>
    </row>
    <row r="5">
      <c r="A5" t="str">
        <v>Unit</v>
      </c>
      <c r="B5" t="str">
        <v>m3</v>
      </c>
    </row>
    <row r="6">
      <c r="A6" t="str">
        <v>Volume</v>
      </c>
      <c r="B6">
        <v>0.4488</v>
      </c>
    </row>
    <row r="7">
      <c r="A7" t="str">
        <v>Unit cost (Rp/m3)</v>
      </c>
      <c r="B7">
        <v>11907148.800941562</v>
      </c>
    </row>
    <row r="8">
      <c r="A8" t="str">
        <v>Line total at-cost (Rp)</v>
      </c>
      <c r="B8">
        <v>5343928.381862573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0.47124</v>
      </c>
      <c r="L12">
        <v>478614.9060000001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0.4488</v>
      </c>
      <c r="L14">
        <v>112200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2250000</v>
      </c>
      <c r="I16">
        <v>1</v>
      </c>
      <c r="J16">
        <v>2250000</v>
      </c>
      <c r="K16">
        <v>0.4488</v>
      </c>
      <c r="L16">
        <v>1009800</v>
      </c>
    </row>
    <row r="17">
      <c r="A17">
        <v>4</v>
      </c>
      <c r="B17" t="str">
        <v>BEKISTING KOLOM (Material) — ratio 14.264705882352942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4.56)</v>
      </c>
      <c r="H18">
        <v>200000</v>
      </c>
      <c r="I18">
        <v>6.256449948400412</v>
      </c>
      <c r="J18">
        <v>1251289.9896800825</v>
      </c>
      <c r="K18">
        <v>2.8078947368421048</v>
      </c>
      <c r="L18">
        <v>561578.947368421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4.56)</v>
      </c>
      <c r="H19">
        <v>47600</v>
      </c>
      <c r="I19">
        <v>31.28224974200206</v>
      </c>
      <c r="J19">
        <v>1489035.0877192982</v>
      </c>
      <c r="K19">
        <v>14.039473684210524</v>
      </c>
      <c r="L19">
        <v>668278.947368421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4.56)</v>
      </c>
      <c r="H20">
        <v>47600</v>
      </c>
      <c r="I20">
        <v>6.256449948400412</v>
      </c>
      <c r="J20">
        <v>297807.0175438596</v>
      </c>
      <c r="K20">
        <v>2.8078947368421048</v>
      </c>
      <c r="L20">
        <v>133655.78947368418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4.56)</v>
      </c>
      <c r="H21">
        <v>13000</v>
      </c>
      <c r="I21">
        <v>6.256449948400412</v>
      </c>
      <c r="J21">
        <v>81333.84932920536</v>
      </c>
      <c r="K21">
        <v>2.8078947368421048</v>
      </c>
      <c r="L21">
        <v>36502.63157894737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4.56)</v>
      </c>
      <c r="H22">
        <v>27500</v>
      </c>
      <c r="I22">
        <v>7.132352941176471</v>
      </c>
      <c r="J22">
        <v>196139.70588235295</v>
      </c>
      <c r="K22">
        <v>3.201</v>
      </c>
      <c r="L22">
        <v>88027.5</v>
      </c>
    </row>
    <row r="23">
      <c r="A23">
        <v>5</v>
      </c>
      <c r="B23" t="str">
        <v>PEMBESIAN (Material) — ratio 445.39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79.65927272727275</v>
      </c>
      <c r="F24" t="str">
        <v>kg</v>
      </c>
      <c r="G24" t="str">
        <v>per m3 beton</v>
      </c>
      <c r="H24">
        <v>10300</v>
      </c>
      <c r="I24">
        <v>79.65927272727275</v>
      </c>
      <c r="J24">
        <v>820490.5090909093</v>
      </c>
      <c r="K24">
        <v>35.751081600000006</v>
      </c>
      <c r="L24">
        <v>368236.14048000006</v>
      </c>
    </row>
    <row r="25">
      <c r="A25" t="str">
        <v/>
      </c>
      <c r="B25" t="str">
        <v/>
      </c>
      <c r="C25" t="str">
        <v>Besi beton D19</v>
      </c>
      <c r="D25" t="str">
        <v>U24/U40 polos</v>
      </c>
      <c r="E25">
        <v>365.73054786096264</v>
      </c>
      <c r="F25" t="str">
        <v>kg</v>
      </c>
      <c r="G25" t="str">
        <v>per m3 beton</v>
      </c>
      <c r="H25">
        <v>10300</v>
      </c>
      <c r="I25">
        <v>365.73054786096264</v>
      </c>
      <c r="J25">
        <v>3767024.642967915</v>
      </c>
      <c r="K25">
        <v>164.13986988000002</v>
      </c>
      <c r="L25">
        <v>1690640.6597640002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10300</v>
      </c>
      <c r="I26">
        <v>22.26949102941179</v>
      </c>
      <c r="J26">
        <v>229375.75760294142</v>
      </c>
      <c r="K26">
        <v>9.994547574000011</v>
      </c>
      <c r="L26">
        <v>102943.8400122001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445.3898205882354</v>
      </c>
      <c r="J27">
        <v>44538.98205882354</v>
      </c>
      <c r="K27">
        <v>199.89095148000004</v>
      </c>
      <c r="L27">
        <v>19989.095148000004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9.353186232352945</v>
      </c>
      <c r="J28">
        <v>163680.75906617654</v>
      </c>
      <c r="K28">
        <v>4.197709981080002</v>
      </c>
      <c r="L28">
        <v>73459.92466890003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11907148.800941562</v>
      </c>
      <c r="J30" t="str">
        <v/>
      </c>
      <c r="K30" t="str">
        <v/>
      </c>
      <c r="L30">
        <v>5343928.381862573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11907148.800941562</v>
      </c>
    </row>
    <row r="34">
      <c r="A34" t="str">
        <v>RAB (A) source unit cost</v>
      </c>
      <c r="B34">
        <v>11907148.800941564</v>
      </c>
    </row>
    <row r="35">
      <c r="A35" t="str">
        <v>Variance</v>
      </c>
      <c r="B35">
        <v>-1.862645149230957e-9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5343928.381862573</v>
      </c>
    </row>
    <row r="38">
      <c r="A38" t="str">
        <v>RAB (A) source line total</v>
      </c>
      <c r="B38">
        <v>6092078.355323333</v>
      </c>
    </row>
    <row r="39">
      <c r="A39" t="str">
        <v>Variance</v>
      </c>
      <c r="B39">
        <v>-748149.97346076</v>
      </c>
      <c r="C39" t="str">
        <v>✓ OK</v>
      </c>
    </row>
  </sheetData>
  <ignoredErrors>
    <ignoredError numberStoredAsText="1" sqref="A1:L39"/>
  </ignoredErrors>
</worksheet>
</file>

<file path=xl/worksheets/sheet76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(A) III.B.4.10 - Kolom K179-1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K179-1</v>
      </c>
    </row>
    <row r="5">
      <c r="A5" t="str">
        <v>Unit</v>
      </c>
      <c r="B5" t="str">
        <v>m3</v>
      </c>
    </row>
    <row r="6">
      <c r="A6" t="str">
        <v>Volume</v>
      </c>
      <c r="B6">
        <v>0.5049</v>
      </c>
    </row>
    <row r="7">
      <c r="A7" t="str">
        <v>Unit cost (Rp/m3)</v>
      </c>
      <c r="B7">
        <v>11356536.21370557</v>
      </c>
    </row>
    <row r="8">
      <c r="A8" t="str">
        <v>Line total at-cost (Rp)</v>
      </c>
      <c r="B8">
        <v>5733915.134299942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0.5301450000000001</v>
      </c>
      <c r="L12">
        <v>538441.7692500001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0.5049</v>
      </c>
      <c r="L14">
        <v>126225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2250000</v>
      </c>
      <c r="I16">
        <v>1</v>
      </c>
      <c r="J16">
        <v>2250000</v>
      </c>
      <c r="K16">
        <v>0.5049</v>
      </c>
      <c r="L16">
        <v>1136025</v>
      </c>
    </row>
    <row r="17">
      <c r="A17">
        <v>4</v>
      </c>
      <c r="B17" t="str">
        <v>BEKISTING KOLOM (Material) — ratio 13.986928104575163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4.56)</v>
      </c>
      <c r="H18">
        <v>200000</v>
      </c>
      <c r="I18">
        <v>6.1346175897259485</v>
      </c>
      <c r="J18">
        <v>1226923.5179451897</v>
      </c>
      <c r="K18">
        <v>3.0973684210526313</v>
      </c>
      <c r="L18">
        <v>619473.6842105263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4.56)</v>
      </c>
      <c r="H19">
        <v>47600</v>
      </c>
      <c r="I19">
        <v>30.673087948629743</v>
      </c>
      <c r="J19">
        <v>1460038.9863547757</v>
      </c>
      <c r="K19">
        <v>15.486842105263158</v>
      </c>
      <c r="L19">
        <v>737173.6842105263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4.56)</v>
      </c>
      <c r="H20">
        <v>47600</v>
      </c>
      <c r="I20">
        <v>6.1346175897259485</v>
      </c>
      <c r="J20">
        <v>292007.79727095517</v>
      </c>
      <c r="K20">
        <v>3.0973684210526313</v>
      </c>
      <c r="L20">
        <v>147434.73684210528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4.56)</v>
      </c>
      <c r="H21">
        <v>13000</v>
      </c>
      <c r="I21">
        <v>6.1346175897259485</v>
      </c>
      <c r="J21">
        <v>79750.02866643733</v>
      </c>
      <c r="K21">
        <v>3.0973684210526313</v>
      </c>
      <c r="L21">
        <v>40265.789473684206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4.56)</v>
      </c>
      <c r="H22">
        <v>27500</v>
      </c>
      <c r="I22">
        <v>6.993464052287582</v>
      </c>
      <c r="J22">
        <v>192320.26143790848</v>
      </c>
      <c r="K22">
        <v>3.531</v>
      </c>
      <c r="L22">
        <v>97102.5</v>
      </c>
    </row>
    <row r="23">
      <c r="A23">
        <v>5</v>
      </c>
      <c r="B23" t="str">
        <v>PEMBESIAN (Material) — ratio 402.31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77.21622816399288</v>
      </c>
      <c r="F24" t="str">
        <v>kg</v>
      </c>
      <c r="G24" t="str">
        <v>per m3 beton</v>
      </c>
      <c r="H24">
        <v>10300</v>
      </c>
      <c r="I24">
        <v>77.21622816399288</v>
      </c>
      <c r="J24">
        <v>795327.1500891267</v>
      </c>
      <c r="K24">
        <v>38.986473600000004</v>
      </c>
      <c r="L24">
        <v>401560.67808000004</v>
      </c>
    </row>
    <row r="25">
      <c r="A25" t="str">
        <v/>
      </c>
      <c r="B25" t="str">
        <v/>
      </c>
      <c r="C25" t="str">
        <v>Besi beton D19</v>
      </c>
      <c r="D25" t="str">
        <v>U24/U40 polos</v>
      </c>
      <c r="E25">
        <v>325.0938203208556</v>
      </c>
      <c r="F25" t="str">
        <v>kg</v>
      </c>
      <c r="G25" t="str">
        <v>per m3 beton</v>
      </c>
      <c r="H25">
        <v>10300</v>
      </c>
      <c r="I25">
        <v>325.0938203208556</v>
      </c>
      <c r="J25">
        <v>3348466.349304813</v>
      </c>
      <c r="K25">
        <v>164.13986988000002</v>
      </c>
      <c r="L25">
        <v>1690640.6597640002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10300</v>
      </c>
      <c r="I26">
        <v>20.115502424242443</v>
      </c>
      <c r="J26">
        <v>207189.67496969717</v>
      </c>
      <c r="K26">
        <v>10.15631717400001</v>
      </c>
      <c r="L26">
        <v>104610.0668922001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402.3100484848485</v>
      </c>
      <c r="J27">
        <v>40231.00484848485</v>
      </c>
      <c r="K27">
        <v>203.12634348</v>
      </c>
      <c r="L27">
        <v>20312.634348000003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8.448511018181819</v>
      </c>
      <c r="J28">
        <v>147848.94281818182</v>
      </c>
      <c r="K28">
        <v>4.26565321308</v>
      </c>
      <c r="L28">
        <v>74648.93122890001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11356536.21370557</v>
      </c>
      <c r="J30" t="str">
        <v/>
      </c>
      <c r="K30" t="str">
        <v/>
      </c>
      <c r="L30">
        <v>5733915.134299942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11356536.21370557</v>
      </c>
    </row>
    <row r="34">
      <c r="A34" t="str">
        <v>RAB (A) source unit cost</v>
      </c>
      <c r="B34">
        <v>11356536.21370557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5733915.134299942</v>
      </c>
    </row>
    <row r="38">
      <c r="A38" t="str">
        <v>RAB (A) source line total</v>
      </c>
      <c r="B38">
        <v>6536663.253101933</v>
      </c>
    </row>
    <row r="39">
      <c r="A39" t="str">
        <v>Variance</v>
      </c>
      <c r="B39">
        <v>-802748.1188019905</v>
      </c>
      <c r="C39" t="str">
        <v>✓ OK</v>
      </c>
    </row>
  </sheetData>
  <ignoredErrors>
    <ignoredError numberStoredAsText="1" sqref="A1:L39"/>
  </ignoredErrors>
</worksheet>
</file>

<file path=xl/worksheets/sheet77.xml><?xml version="1.0" encoding="utf-8"?>
<worksheet xmlns="http://schemas.openxmlformats.org/spreadsheetml/2006/main" xmlns:r="http://schemas.openxmlformats.org/officeDocument/2006/relationships">
  <dimension ref="A1:L40"/>
  <sheetViews>
    <sheetView workbookViewId="0" rightToLeft="0"/>
  </sheetViews>
  <sheetData>
    <row r="1">
      <c r="A1" t="str">
        <v>BREAKDOWN — (A) III.B.4.11 - Kolom K278-1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K278-1</v>
      </c>
    </row>
    <row r="5">
      <c r="A5" t="str">
        <v>Unit</v>
      </c>
      <c r="B5" t="str">
        <v>m3</v>
      </c>
    </row>
    <row r="6">
      <c r="A6" t="str">
        <v>Volume</v>
      </c>
      <c r="B6">
        <v>1.4256</v>
      </c>
    </row>
    <row r="7">
      <c r="A7" t="str">
        <v>Unit cost (Rp/m3)</v>
      </c>
      <c r="B7">
        <v>9456462.293081848</v>
      </c>
    </row>
    <row r="8">
      <c r="A8" t="str">
        <v>Line total at-cost (Rp)</v>
      </c>
      <c r="B8">
        <v>13481132.645017482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1.49688</v>
      </c>
      <c r="L12">
        <v>1520306.1720000003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1.4256</v>
      </c>
      <c r="L14">
        <v>356400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2250000</v>
      </c>
      <c r="I16">
        <v>1</v>
      </c>
      <c r="J16">
        <v>2250000</v>
      </c>
      <c r="K16">
        <v>1.4256</v>
      </c>
      <c r="L16">
        <v>3207600</v>
      </c>
    </row>
    <row r="17">
      <c r="A17">
        <v>4</v>
      </c>
      <c r="B17" t="str">
        <v>BEKISTING KOLOM (Material) — ratio 9.907407407407408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4.56)</v>
      </c>
      <c r="H18">
        <v>200000</v>
      </c>
      <c r="I18">
        <v>4.345354126055881</v>
      </c>
      <c r="J18">
        <v>869070.8252111762</v>
      </c>
      <c r="K18">
        <v>6.1947368421052635</v>
      </c>
      <c r="L18">
        <v>1238947.3684210528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4.56)</v>
      </c>
      <c r="H19">
        <v>47600</v>
      </c>
      <c r="I19">
        <v>21.726770630279404</v>
      </c>
      <c r="J19">
        <v>1034194.2820012997</v>
      </c>
      <c r="K19">
        <v>30.97368421052632</v>
      </c>
      <c r="L19">
        <v>1474347.3684210528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4.56)</v>
      </c>
      <c r="H20">
        <v>47600</v>
      </c>
      <c r="I20">
        <v>4.345354126055881</v>
      </c>
      <c r="J20">
        <v>206838.85640025992</v>
      </c>
      <c r="K20">
        <v>6.1947368421052635</v>
      </c>
      <c r="L20">
        <v>294869.4736842105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4.56)</v>
      </c>
      <c r="H21">
        <v>13000</v>
      </c>
      <c r="I21">
        <v>4.345354126055881</v>
      </c>
      <c r="J21">
        <v>56489.60363872645</v>
      </c>
      <c r="K21">
        <v>6.1947368421052635</v>
      </c>
      <c r="L21">
        <v>80531.57894736843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4.56)</v>
      </c>
      <c r="H22">
        <v>27500</v>
      </c>
      <c r="I22">
        <v>4.953703703703705</v>
      </c>
      <c r="J22">
        <v>136226.85185185188</v>
      </c>
      <c r="K22">
        <v>7.062000000000002</v>
      </c>
      <c r="L22">
        <v>194205.00000000003</v>
      </c>
    </row>
    <row r="23">
      <c r="A23">
        <v>5</v>
      </c>
      <c r="B23" t="str">
        <v>PEMBESIAN (Material) — ratio 317.94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89.00675505050505</v>
      </c>
      <c r="F24" t="str">
        <v>kg</v>
      </c>
      <c r="G24" t="str">
        <v>per m3 beton</v>
      </c>
      <c r="H24">
        <v>10300</v>
      </c>
      <c r="I24">
        <v>89.00675505050505</v>
      </c>
      <c r="J24">
        <v>916769.577020202</v>
      </c>
      <c r="K24">
        <v>126.88803</v>
      </c>
      <c r="L24">
        <v>1306946.7089999998</v>
      </c>
    </row>
    <row r="25">
      <c r="A25" t="str">
        <v/>
      </c>
      <c r="B25" t="str">
        <v/>
      </c>
      <c r="C25" t="str">
        <v>Besi beton D19</v>
      </c>
      <c r="D25" t="str">
        <v>U24/U40 polos</v>
      </c>
      <c r="E25">
        <v>131.58559393939393</v>
      </c>
      <c r="F25" t="str">
        <v>kg</v>
      </c>
      <c r="G25" t="str">
        <v>per m3 beton</v>
      </c>
      <c r="H25">
        <v>10300</v>
      </c>
      <c r="I25">
        <v>131.58559393939393</v>
      </c>
      <c r="J25">
        <v>1355331.6175757574</v>
      </c>
      <c r="K25">
        <v>187.58842271999998</v>
      </c>
      <c r="L25">
        <v>1932160.7540159998</v>
      </c>
    </row>
    <row r="26">
      <c r="A26" t="str">
        <v/>
      </c>
      <c r="B26" t="str">
        <v/>
      </c>
      <c r="C26" t="str">
        <v>Besi beton D22</v>
      </c>
      <c r="D26" t="str">
        <v>U24/U40 polos</v>
      </c>
      <c r="E26">
        <v>97.35220000000001</v>
      </c>
      <c r="F26" t="str">
        <v>kg</v>
      </c>
      <c r="G26" t="str">
        <v>per m3 beton</v>
      </c>
      <c r="H26">
        <v>10300</v>
      </c>
      <c r="I26">
        <v>97.35220000000001</v>
      </c>
      <c r="J26">
        <v>1002727.6600000001</v>
      </c>
      <c r="K26">
        <v>138.78529632000001</v>
      </c>
      <c r="L26">
        <v>1429488.5520960002</v>
      </c>
    </row>
    <row r="27">
      <c r="A27" t="str">
        <v/>
      </c>
      <c r="B27" t="str">
        <v/>
      </c>
      <c r="C27" t="str">
        <v>Besi beton — waste (5%)</v>
      </c>
      <c r="D27" t="str">
        <v>applied via AHS coeff 1.05</v>
      </c>
      <c r="E27">
        <v>0.050000000000000044</v>
      </c>
      <c r="F27" t="str">
        <v>kg</v>
      </c>
      <c r="G27" t="str">
        <v>per m3 beton</v>
      </c>
      <c r="H27">
        <v>10300</v>
      </c>
      <c r="I27">
        <v>15.897227449494963</v>
      </c>
      <c r="J27">
        <v>163741.44272979812</v>
      </c>
      <c r="K27">
        <v>22.66308745200002</v>
      </c>
      <c r="L27">
        <v>233429.80075560018</v>
      </c>
    </row>
    <row r="28">
      <c r="A28" t="str">
        <v/>
      </c>
      <c r="B28" t="str">
        <v/>
      </c>
      <c r="C28" t="str">
        <v>Beton decking</v>
      </c>
      <c r="D28" t="str">
        <v>spacer</v>
      </c>
      <c r="E28">
        <v>1</v>
      </c>
      <c r="F28" t="str">
        <v>kg-eq</v>
      </c>
      <c r="G28" t="str">
        <v>per kg besi</v>
      </c>
      <c r="H28">
        <v>100</v>
      </c>
      <c r="I28">
        <v>317.944548989899</v>
      </c>
      <c r="J28">
        <v>31794.454898989898</v>
      </c>
      <c r="K28">
        <v>453.26174904</v>
      </c>
      <c r="L28">
        <v>45326.174904</v>
      </c>
    </row>
    <row r="29">
      <c r="A29" t="str">
        <v/>
      </c>
      <c r="B29" t="str">
        <v/>
      </c>
      <c r="C29" t="str">
        <v>Bendrat (kawat ikat)</v>
      </c>
      <c r="D29" t="str">
        <v>2.1% of besi (raw)</v>
      </c>
      <c r="E29">
        <v>0.021</v>
      </c>
      <c r="F29" t="str">
        <v>kg</v>
      </c>
      <c r="G29" t="str">
        <v>per kg besi (raw)</v>
      </c>
      <c r="H29">
        <v>17500</v>
      </c>
      <c r="I29">
        <v>6.676835528787879</v>
      </c>
      <c r="J29">
        <v>116844.62175378788</v>
      </c>
      <c r="K29">
        <v>9.51849672984</v>
      </c>
      <c r="L29">
        <v>166573.6927722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/>
      </c>
      <c r="B31" t="str">
        <v>SUBTOTAL — At-cost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>
        <v>9456462.293081848</v>
      </c>
      <c r="J31" t="str">
        <v/>
      </c>
      <c r="K31" t="str">
        <v/>
      </c>
      <c r="L31">
        <v>13481132.645017482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>RECONCILIATION</v>
      </c>
    </row>
    <row r="34">
      <c r="A34" t="str">
        <v>Computed unit cost</v>
      </c>
      <c r="B34">
        <v>9456462.293081848</v>
      </c>
    </row>
    <row r="35">
      <c r="A35" t="str">
        <v>RAB (A) source unit cost</v>
      </c>
      <c r="B35">
        <v>9456462.29308185</v>
      </c>
    </row>
    <row r="36">
      <c r="A36" t="str">
        <v>Variance</v>
      </c>
      <c r="B36">
        <v>-1.862645149230957e-9</v>
      </c>
      <c r="C36" t="str">
        <v>✓ OK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</row>
    <row r="38">
      <c r="A38" t="str">
        <v>Computed line total</v>
      </c>
      <c r="B38">
        <v>13481132.645017482</v>
      </c>
    </row>
    <row r="39">
      <c r="A39" t="str">
        <v>RAB (A) source line total</v>
      </c>
      <c r="B39">
        <v>15368491.21531993</v>
      </c>
    </row>
    <row r="40">
      <c r="A40" t="str">
        <v>Variance</v>
      </c>
      <c r="B40">
        <v>-1887358.5703024473</v>
      </c>
      <c r="C40" t="str">
        <v>✓ OK</v>
      </c>
    </row>
  </sheetData>
  <ignoredErrors>
    <ignoredError numberStoredAsText="1" sqref="A1:L40"/>
  </ignoredErrors>
</worksheet>
</file>

<file path=xl/worksheets/sheet78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(A) III.B.4.12 - Kolom K48-1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K48-1</v>
      </c>
    </row>
    <row r="5">
      <c r="A5" t="str">
        <v>Unit</v>
      </c>
      <c r="B5" t="str">
        <v>m3</v>
      </c>
    </row>
    <row r="6">
      <c r="A6" t="str">
        <v>Volume</v>
      </c>
      <c r="B6">
        <v>2.112</v>
      </c>
    </row>
    <row r="7">
      <c r="A7" t="str">
        <v>Unit cost (Rp/m3)</v>
      </c>
      <c r="B7">
        <v>9532880.98628089</v>
      </c>
    </row>
    <row r="8">
      <c r="A8" t="str">
        <v>Line total at-cost (Rp)</v>
      </c>
      <c r="B8">
        <v>20133444.64302524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2.2176</v>
      </c>
      <c r="L12">
        <v>2252305.4400000004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2.112</v>
      </c>
      <c r="L14">
        <v>528000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2250000</v>
      </c>
      <c r="I16">
        <v>1</v>
      </c>
      <c r="J16">
        <v>2250000</v>
      </c>
      <c r="K16">
        <v>2.112</v>
      </c>
      <c r="L16">
        <v>4752000</v>
      </c>
    </row>
    <row r="17">
      <c r="A17">
        <v>4</v>
      </c>
      <c r="B17" t="str">
        <v>BEKISTING KOLOM (Material) — ratio 7.5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4.56)</v>
      </c>
      <c r="H18">
        <v>200000</v>
      </c>
      <c r="I18">
        <v>3.289473684210526</v>
      </c>
      <c r="J18">
        <v>657894.7368421052</v>
      </c>
      <c r="K18">
        <v>6.947368421052632</v>
      </c>
      <c r="L18">
        <v>1389473.684210526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4.56)</v>
      </c>
      <c r="H19">
        <v>47600</v>
      </c>
      <c r="I19">
        <v>16.44736842105263</v>
      </c>
      <c r="J19">
        <v>782894.7368421052</v>
      </c>
      <c r="K19">
        <v>34.73684210526316</v>
      </c>
      <c r="L19">
        <v>1653473.6842105263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4.56)</v>
      </c>
      <c r="H20">
        <v>47600</v>
      </c>
      <c r="I20">
        <v>3.289473684210526</v>
      </c>
      <c r="J20">
        <v>156578.94736842104</v>
      </c>
      <c r="K20">
        <v>6.947368421052632</v>
      </c>
      <c r="L20">
        <v>330694.7368421052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4.56)</v>
      </c>
      <c r="H21">
        <v>13000</v>
      </c>
      <c r="I21">
        <v>3.289473684210526</v>
      </c>
      <c r="J21">
        <v>42763.15789473684</v>
      </c>
      <c r="K21">
        <v>6.947368421052632</v>
      </c>
      <c r="L21">
        <v>90315.78947368421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4.56)</v>
      </c>
      <c r="H22">
        <v>27500</v>
      </c>
      <c r="I22">
        <v>3.75</v>
      </c>
      <c r="J22">
        <v>103125</v>
      </c>
      <c r="K22">
        <v>7.92</v>
      </c>
      <c r="L22">
        <v>217800</v>
      </c>
    </row>
    <row r="23">
      <c r="A23">
        <v>5</v>
      </c>
      <c r="B23" t="str">
        <v>PEMBESIAN (Material) — ratio 374.31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103.40386363636362</v>
      </c>
      <c r="F24" t="str">
        <v>kg</v>
      </c>
      <c r="G24" t="str">
        <v>per m3 beton</v>
      </c>
      <c r="H24">
        <v>10300</v>
      </c>
      <c r="I24">
        <v>103.40386363636362</v>
      </c>
      <c r="J24">
        <v>1065059.7954545454</v>
      </c>
      <c r="K24">
        <v>218.38896</v>
      </c>
      <c r="L24">
        <v>2249406.288</v>
      </c>
    </row>
    <row r="25">
      <c r="A25" t="str">
        <v/>
      </c>
      <c r="B25" t="str">
        <v/>
      </c>
      <c r="C25" t="str">
        <v>Besi beton D22</v>
      </c>
      <c r="D25" t="str">
        <v>U24/U40 polos</v>
      </c>
      <c r="E25">
        <v>270.90962249999995</v>
      </c>
      <c r="F25" t="str">
        <v>kg</v>
      </c>
      <c r="G25" t="str">
        <v>per m3 beton</v>
      </c>
      <c r="H25">
        <v>10300</v>
      </c>
      <c r="I25">
        <v>270.90962249999995</v>
      </c>
      <c r="J25">
        <v>2790369.1117499997</v>
      </c>
      <c r="K25">
        <v>572.16112272</v>
      </c>
      <c r="L25">
        <v>5893259.564015999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10300</v>
      </c>
      <c r="I26">
        <v>18.715674306818194</v>
      </c>
      <c r="J26">
        <v>192771.4453602274</v>
      </c>
      <c r="K26">
        <v>39.527504136000026</v>
      </c>
      <c r="L26">
        <v>407133.2926008003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374.31348613636357</v>
      </c>
      <c r="J27">
        <v>37431.34861363636</v>
      </c>
      <c r="K27">
        <v>790.5500827199999</v>
      </c>
      <c r="L27">
        <v>79055.00827199999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7.860583208863635</v>
      </c>
      <c r="J28">
        <v>137560.2061551136</v>
      </c>
      <c r="K28">
        <v>16.601551737119998</v>
      </c>
      <c r="L28">
        <v>290527.1553996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9532880.98628089</v>
      </c>
      <c r="J30" t="str">
        <v/>
      </c>
      <c r="K30" t="str">
        <v/>
      </c>
      <c r="L30">
        <v>20133444.64302524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9532880.98628089</v>
      </c>
    </row>
    <row r="34">
      <c r="A34" t="str">
        <v>RAB (A) source unit cost</v>
      </c>
      <c r="B34">
        <v>9532880.98628089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20133444.64302524</v>
      </c>
    </row>
    <row r="38">
      <c r="A38" t="str">
        <v>RAB (A) source line total</v>
      </c>
      <c r="B38">
        <v>22952126.893048774</v>
      </c>
    </row>
    <row r="39">
      <c r="A39" t="str">
        <v>Variance</v>
      </c>
      <c r="B39">
        <v>-2818682.2500235327</v>
      </c>
      <c r="C39" t="str">
        <v>✓ OK</v>
      </c>
    </row>
  </sheetData>
  <ignoredErrors>
    <ignoredError numberStoredAsText="1" sqref="A1:L39"/>
  </ignoredErrors>
</worksheet>
</file>

<file path=xl/worksheets/sheet79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(A) III.B.4.13 - Kolom K55-1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K55-1</v>
      </c>
    </row>
    <row r="5">
      <c r="A5" t="str">
        <v>Unit</v>
      </c>
      <c r="B5" t="str">
        <v>m3</v>
      </c>
    </row>
    <row r="6">
      <c r="A6" t="str">
        <v>Volume</v>
      </c>
      <c r="B6">
        <v>2.4749999999999996</v>
      </c>
    </row>
    <row r="7">
      <c r="A7" t="str">
        <v>Unit cost (Rp/m3)</v>
      </c>
      <c r="B7">
        <v>8622722.698803619</v>
      </c>
    </row>
    <row r="8">
      <c r="A8" t="str">
        <v>Line total at-cost (Rp)</v>
      </c>
      <c r="B8">
        <v>21341238.679538954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2.59875</v>
      </c>
      <c r="L12">
        <v>2639420.4375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2.4749999999999996</v>
      </c>
      <c r="L14">
        <v>618749.9999999999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2250000</v>
      </c>
      <c r="I16">
        <v>1</v>
      </c>
      <c r="J16">
        <v>2250000</v>
      </c>
      <c r="K16">
        <v>2.4749999999999996</v>
      </c>
      <c r="L16">
        <v>5568749.999999999</v>
      </c>
    </row>
    <row r="17">
      <c r="A17">
        <v>4</v>
      </c>
      <c r="B17" t="str">
        <v>BEKISTING KOLOM (Material) — ratio 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4.56)</v>
      </c>
      <c r="H18">
        <v>200000</v>
      </c>
      <c r="I18">
        <v>3.508771929824561</v>
      </c>
      <c r="J18">
        <v>701754.3859649122</v>
      </c>
      <c r="K18">
        <v>8.684210526315788</v>
      </c>
      <c r="L18">
        <v>1736842.1052631575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4.56)</v>
      </c>
      <c r="H19">
        <v>47600</v>
      </c>
      <c r="I19">
        <v>17.543859649122805</v>
      </c>
      <c r="J19">
        <v>835087.7192982455</v>
      </c>
      <c r="K19">
        <v>43.42105263157894</v>
      </c>
      <c r="L19">
        <v>2066842.1052631573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4.56)</v>
      </c>
      <c r="H20">
        <v>47600</v>
      </c>
      <c r="I20">
        <v>3.508771929824561</v>
      </c>
      <c r="J20">
        <v>167017.5438596491</v>
      </c>
      <c r="K20">
        <v>8.684210526315788</v>
      </c>
      <c r="L20">
        <v>413368.42105263146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4.56)</v>
      </c>
      <c r="H21">
        <v>13000</v>
      </c>
      <c r="I21">
        <v>3.508771929824561</v>
      </c>
      <c r="J21">
        <v>45614.0350877193</v>
      </c>
      <c r="K21">
        <v>8.684210526315788</v>
      </c>
      <c r="L21">
        <v>112894.73684210525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4.56)</v>
      </c>
      <c r="H22">
        <v>27500</v>
      </c>
      <c r="I22">
        <v>4</v>
      </c>
      <c r="J22">
        <v>110000</v>
      </c>
      <c r="K22">
        <v>9.899999999999999</v>
      </c>
      <c r="L22">
        <v>272249.99999999994</v>
      </c>
    </row>
    <row r="23">
      <c r="A23">
        <v>5</v>
      </c>
      <c r="B23" t="str">
        <v>PEMBESIAN (Material) — ratio 283.34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98.34856363636365</v>
      </c>
      <c r="F24" t="str">
        <v>kg</v>
      </c>
      <c r="G24" t="str">
        <v>per m3 beton</v>
      </c>
      <c r="H24">
        <v>10300</v>
      </c>
      <c r="I24">
        <v>98.34856363636365</v>
      </c>
      <c r="J24">
        <v>1012990.2054545456</v>
      </c>
      <c r="K24">
        <v>243.41269499999999</v>
      </c>
      <c r="L24">
        <v>2507150.7585</v>
      </c>
    </row>
    <row r="25">
      <c r="A25" t="str">
        <v/>
      </c>
      <c r="B25" t="str">
        <v/>
      </c>
      <c r="C25" t="str">
        <v>Besi beton D19</v>
      </c>
      <c r="D25" t="str">
        <v>U24/U40 polos</v>
      </c>
      <c r="E25">
        <v>184.99435810909094</v>
      </c>
      <c r="F25" t="str">
        <v>kg</v>
      </c>
      <c r="G25" t="str">
        <v>per m3 beton</v>
      </c>
      <c r="H25">
        <v>10300</v>
      </c>
      <c r="I25">
        <v>184.99435810909094</v>
      </c>
      <c r="J25">
        <v>1905441.8885236366</v>
      </c>
      <c r="K25">
        <v>457.86103632</v>
      </c>
      <c r="L25">
        <v>4715968.674096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10300</v>
      </c>
      <c r="I26">
        <v>14.167146087272743</v>
      </c>
      <c r="J26">
        <v>145921.60469890924</v>
      </c>
      <c r="K26">
        <v>35.06368656600003</v>
      </c>
      <c r="L26">
        <v>361155.97162980033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283.3429217454546</v>
      </c>
      <c r="J27">
        <v>28334.29217454546</v>
      </c>
      <c r="K27">
        <v>701.27373132</v>
      </c>
      <c r="L27">
        <v>70127.373132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5.950201356654547</v>
      </c>
      <c r="J28">
        <v>104128.52374145457</v>
      </c>
      <c r="K28">
        <v>14.72674835772</v>
      </c>
      <c r="L28">
        <v>257718.09626010002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8622722.698803619</v>
      </c>
      <c r="J30" t="str">
        <v/>
      </c>
      <c r="K30" t="str">
        <v/>
      </c>
      <c r="L30">
        <v>21341238.679538954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8622722.698803619</v>
      </c>
    </row>
    <row r="34">
      <c r="A34" t="str">
        <v>RAB (A) source unit cost</v>
      </c>
      <c r="B34">
        <v>8622722.698803619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21341238.679538954</v>
      </c>
    </row>
    <row r="38">
      <c r="A38" t="str">
        <v>RAB (A) source line total</v>
      </c>
      <c r="B38">
        <v>24329012.094674405</v>
      </c>
    </row>
    <row r="39">
      <c r="A39" t="str">
        <v>Variance</v>
      </c>
      <c r="B39">
        <v>-2987773.4151354507</v>
      </c>
      <c r="C39" t="str">
        <v>✓ OK</v>
      </c>
    </row>
  </sheetData>
  <ignoredErrors>
    <ignoredError numberStoredAsText="1" sqref="A1:L39"/>
  </ignoredErrors>
</worksheet>
</file>

<file path=xl/worksheets/sheet80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(A) III.B.4.14 - Kolom K59-1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K59-1</v>
      </c>
    </row>
    <row r="5">
      <c r="A5" t="str">
        <v>Unit</v>
      </c>
      <c r="B5" t="str">
        <v>m3</v>
      </c>
    </row>
    <row r="6">
      <c r="A6" t="str">
        <v>Volume</v>
      </c>
      <c r="B6">
        <v>7.425000000000001</v>
      </c>
    </row>
    <row r="7">
      <c r="A7" t="str">
        <v>Unit cost (Rp/m3)</v>
      </c>
      <c r="B7">
        <v>8095658.309489156</v>
      </c>
    </row>
    <row r="8">
      <c r="A8" t="str">
        <v>Line total at-cost (Rp)</v>
      </c>
      <c r="B8">
        <v>60110262.94795699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7.7962500000000015</v>
      </c>
      <c r="L12">
        <v>7918261.312500003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7.425000000000001</v>
      </c>
      <c r="L14">
        <v>1856250.0000000002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2250000</v>
      </c>
      <c r="I16">
        <v>1</v>
      </c>
      <c r="J16">
        <v>2250000</v>
      </c>
      <c r="K16">
        <v>7.425000000000001</v>
      </c>
      <c r="L16">
        <v>16706250.000000002</v>
      </c>
    </row>
    <row r="17">
      <c r="A17">
        <v>4</v>
      </c>
      <c r="B17" t="str">
        <v>BEKISTING KOLOM (Material) — ratio 6.222222222222222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4.56)</v>
      </c>
      <c r="H18">
        <v>200000</v>
      </c>
      <c r="I18">
        <v>2.729044834307992</v>
      </c>
      <c r="J18">
        <v>545808.9668615984</v>
      </c>
      <c r="K18">
        <v>20.263157894736842</v>
      </c>
      <c r="L18">
        <v>4052631.5789473685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4.56)</v>
      </c>
      <c r="H19">
        <v>47600</v>
      </c>
      <c r="I19">
        <v>13.64522417153996</v>
      </c>
      <c r="J19">
        <v>649512.6705653021</v>
      </c>
      <c r="K19">
        <v>101.3157894736842</v>
      </c>
      <c r="L19">
        <v>4822631.578947369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4.56)</v>
      </c>
      <c r="H20">
        <v>47600</v>
      </c>
      <c r="I20">
        <v>2.729044834307992</v>
      </c>
      <c r="J20">
        <v>129902.53411306042</v>
      </c>
      <c r="K20">
        <v>20.263157894736842</v>
      </c>
      <c r="L20">
        <v>964526.3157894737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4.56)</v>
      </c>
      <c r="H21">
        <v>13000</v>
      </c>
      <c r="I21">
        <v>2.729044834307992</v>
      </c>
      <c r="J21">
        <v>35477.5828460039</v>
      </c>
      <c r="K21">
        <v>20.263157894736842</v>
      </c>
      <c r="L21">
        <v>263421.052631579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4.56)</v>
      </c>
      <c r="H22">
        <v>27500</v>
      </c>
      <c r="I22">
        <v>3.111111111111111</v>
      </c>
      <c r="J22">
        <v>85555.55555555556</v>
      </c>
      <c r="K22">
        <v>23.1</v>
      </c>
      <c r="L22">
        <v>635250.0000000001</v>
      </c>
    </row>
    <row r="23">
      <c r="A23">
        <v>5</v>
      </c>
      <c r="B23" t="str">
        <v>PEMBESIAN (Material) — ratio 273.25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88.78098181818181</v>
      </c>
      <c r="F24" t="str">
        <v>kg</v>
      </c>
      <c r="G24" t="str">
        <v>per m3 beton</v>
      </c>
      <c r="H24">
        <v>10300</v>
      </c>
      <c r="I24">
        <v>88.78098181818181</v>
      </c>
      <c r="J24">
        <v>914444.1127272727</v>
      </c>
      <c r="K24">
        <v>659.19879</v>
      </c>
      <c r="L24">
        <v>6789747.5370000005</v>
      </c>
    </row>
    <row r="25">
      <c r="A25" t="str">
        <v/>
      </c>
      <c r="B25" t="str">
        <v/>
      </c>
      <c r="C25" t="str">
        <v>Besi beton D22</v>
      </c>
      <c r="D25" t="str">
        <v>U24/U40 polos</v>
      </c>
      <c r="E25">
        <v>184.47126719999997</v>
      </c>
      <c r="F25" t="str">
        <v>kg</v>
      </c>
      <c r="G25" t="str">
        <v>per m3 beton</v>
      </c>
      <c r="H25">
        <v>10300</v>
      </c>
      <c r="I25">
        <v>184.47126719999997</v>
      </c>
      <c r="J25">
        <v>1900054.0521599997</v>
      </c>
      <c r="K25">
        <v>1369.69915896</v>
      </c>
      <c r="L25">
        <v>14107901.337288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10300</v>
      </c>
      <c r="I26">
        <v>13.662612450909101</v>
      </c>
      <c r="J26">
        <v>140724.90824436373</v>
      </c>
      <c r="K26">
        <v>101.44489744800009</v>
      </c>
      <c r="L26">
        <v>1044882.4437144008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273.2522490181818</v>
      </c>
      <c r="J27">
        <v>27325.224901818176</v>
      </c>
      <c r="K27">
        <v>2028.89794896</v>
      </c>
      <c r="L27">
        <v>202889.79489599998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5.738297229381818</v>
      </c>
      <c r="J28">
        <v>100420.20151418181</v>
      </c>
      <c r="K28">
        <v>42.60685692816</v>
      </c>
      <c r="L28">
        <v>745619.9962428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8095658.309489156</v>
      </c>
      <c r="J30" t="str">
        <v/>
      </c>
      <c r="K30" t="str">
        <v/>
      </c>
      <c r="L30">
        <v>60110262.94795699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8095658.309489156</v>
      </c>
    </row>
    <row r="34">
      <c r="A34" t="str">
        <v>RAB (A) source unit cost</v>
      </c>
      <c r="B34">
        <v>8095658.309489157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60110262.94795699</v>
      </c>
    </row>
    <row r="38">
      <c r="A38" t="str">
        <v>RAB (A) source line total</v>
      </c>
      <c r="B38">
        <v>68525699.76067097</v>
      </c>
    </row>
    <row r="39">
      <c r="A39" t="str">
        <v>Variance</v>
      </c>
      <c r="B39">
        <v>-8415436.812713988</v>
      </c>
      <c r="C39" t="str">
        <v>✓ OK</v>
      </c>
    </row>
  </sheetData>
  <ignoredErrors>
    <ignoredError numberStoredAsText="1" sqref="A1:L39"/>
  </ignoredErrors>
</worksheet>
</file>

<file path=xl/worksheets/sheet81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(A) III.B.4.15 - Kolom KL172258-1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KL172258-1</v>
      </c>
    </row>
    <row r="5">
      <c r="A5" t="str">
        <v>Unit</v>
      </c>
      <c r="B5" t="str">
        <v>m3</v>
      </c>
    </row>
    <row r="6">
      <c r="A6" t="str">
        <v>Volume</v>
      </c>
      <c r="B6">
        <v>0.78408</v>
      </c>
    </row>
    <row r="7">
      <c r="A7" t="str">
        <v>Unit cost (Rp/m3)</v>
      </c>
      <c r="B7">
        <v>9892327.939014627</v>
      </c>
    </row>
    <row r="8">
      <c r="A8" t="str">
        <v>Line total at-cost (Rp)</v>
      </c>
      <c r="B8">
        <v>7756376.490422589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0.823284</v>
      </c>
      <c r="L12">
        <v>836168.3946000002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0.78408</v>
      </c>
      <c r="L14">
        <v>196020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2250000</v>
      </c>
      <c r="I16">
        <v>1</v>
      </c>
      <c r="J16">
        <v>2250000</v>
      </c>
      <c r="K16">
        <v>0.78408</v>
      </c>
      <c r="L16">
        <v>1764180</v>
      </c>
    </row>
    <row r="17">
      <c r="A17">
        <v>4</v>
      </c>
      <c r="B17" t="str">
        <v>BEKISTING KOLOM (Material) — ratio 10.942760942760943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4.56)</v>
      </c>
      <c r="H18">
        <v>200000</v>
      </c>
      <c r="I18">
        <v>4.799456553842519</v>
      </c>
      <c r="J18">
        <v>959891.3107685037</v>
      </c>
      <c r="K18">
        <v>3.763157894736842</v>
      </c>
      <c r="L18">
        <v>752631.5789473684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4.56)</v>
      </c>
      <c r="H19">
        <v>47600</v>
      </c>
      <c r="I19">
        <v>23.997282769212593</v>
      </c>
      <c r="J19">
        <v>1142270.6598145193</v>
      </c>
      <c r="K19">
        <v>18.81578947368421</v>
      </c>
      <c r="L19">
        <v>895631.5789473683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4.56)</v>
      </c>
      <c r="H20">
        <v>47600</v>
      </c>
      <c r="I20">
        <v>4.799456553842519</v>
      </c>
      <c r="J20">
        <v>228454.1319629039</v>
      </c>
      <c r="K20">
        <v>3.763157894736842</v>
      </c>
      <c r="L20">
        <v>179126.31578947368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4.56)</v>
      </c>
      <c r="H21">
        <v>13000</v>
      </c>
      <c r="I21">
        <v>4.799456553842519</v>
      </c>
      <c r="J21">
        <v>62392.93519995274</v>
      </c>
      <c r="K21">
        <v>3.763157894736842</v>
      </c>
      <c r="L21">
        <v>48921.05263157895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4.56)</v>
      </c>
      <c r="H22">
        <v>27500</v>
      </c>
      <c r="I22">
        <v>5.4713804713804715</v>
      </c>
      <c r="J22">
        <v>150462.96296296298</v>
      </c>
      <c r="K22">
        <v>4.29</v>
      </c>
      <c r="L22">
        <v>117975.00000000001</v>
      </c>
    </row>
    <row r="23">
      <c r="A23">
        <v>5</v>
      </c>
      <c r="B23" t="str">
        <v>PEMBESIAN (Material) — ratio 335.25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136.0564738292011</v>
      </c>
      <c r="F24" t="str">
        <v>kg</v>
      </c>
      <c r="G24" t="str">
        <v>per m3 beton</v>
      </c>
      <c r="H24">
        <v>10300</v>
      </c>
      <c r="I24">
        <v>136.0564738292011</v>
      </c>
      <c r="J24">
        <v>1401381.6804407714</v>
      </c>
      <c r="K24">
        <v>106.67916000000001</v>
      </c>
      <c r="L24">
        <v>1098795.348</v>
      </c>
    </row>
    <row r="25">
      <c r="A25" t="str">
        <v/>
      </c>
      <c r="B25" t="str">
        <v/>
      </c>
      <c r="C25" t="str">
        <v>Besi beton D19</v>
      </c>
      <c r="D25" t="str">
        <v>U24/U40 polos</v>
      </c>
      <c r="E25">
        <v>199.19045179063363</v>
      </c>
      <c r="F25" t="str">
        <v>kg</v>
      </c>
      <c r="G25" t="str">
        <v>per m3 beton</v>
      </c>
      <c r="H25">
        <v>10300</v>
      </c>
      <c r="I25">
        <v>199.19045179063363</v>
      </c>
      <c r="J25">
        <v>2051661.6534435265</v>
      </c>
      <c r="K25">
        <v>156.18124944000002</v>
      </c>
      <c r="L25">
        <v>1608666.8692320003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10300</v>
      </c>
      <c r="I26">
        <v>16.762346280991753</v>
      </c>
      <c r="J26">
        <v>172652.16669421506</v>
      </c>
      <c r="K26">
        <v>13.143020472000014</v>
      </c>
      <c r="L26">
        <v>135373.11086160014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335.24692561983477</v>
      </c>
      <c r="J27">
        <v>33524.69256198348</v>
      </c>
      <c r="K27">
        <v>262.86040944000007</v>
      </c>
      <c r="L27">
        <v>26286.040944000008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7.040185438016531</v>
      </c>
      <c r="J28">
        <v>123203.24516528929</v>
      </c>
      <c r="K28">
        <v>5.520068598240002</v>
      </c>
      <c r="L28">
        <v>96601.20046920003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9892327.939014627</v>
      </c>
      <c r="J30" t="str">
        <v/>
      </c>
      <c r="K30" t="str">
        <v/>
      </c>
      <c r="L30">
        <v>7756376.490422589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9892327.939014627</v>
      </c>
    </row>
    <row r="34">
      <c r="A34" t="str">
        <v>RAB (A) source unit cost</v>
      </c>
      <c r="B34">
        <v>9892327.939014629</v>
      </c>
    </row>
    <row r="35">
      <c r="A35" t="str">
        <v>Variance</v>
      </c>
      <c r="B35">
        <v>-1.862645149230957e-9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7756376.490422589</v>
      </c>
    </row>
    <row r="38">
      <c r="A38" t="str">
        <v>RAB (A) source line total</v>
      </c>
      <c r="B38">
        <v>8842269.19908175</v>
      </c>
    </row>
    <row r="39">
      <c r="A39" t="str">
        <v>Variance</v>
      </c>
      <c r="B39">
        <v>-1085892.7086591618</v>
      </c>
      <c r="C39" t="str">
        <v>✓ OK</v>
      </c>
    </row>
  </sheetData>
  <ignoredErrors>
    <ignoredError numberStoredAsText="1" sqref="A1:L39"/>
  </ignoredErrors>
</worksheet>
</file>

<file path=xl/worksheets/sheet82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(A) III.B.4.16 - Kolom KL174-1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KL174-1</v>
      </c>
    </row>
    <row r="5">
      <c r="A5" t="str">
        <v>Unit</v>
      </c>
      <c r="B5" t="str">
        <v>m3</v>
      </c>
    </row>
    <row r="6">
      <c r="A6" t="str">
        <v>Volume</v>
      </c>
      <c r="B6">
        <v>0.7068599999999999</v>
      </c>
    </row>
    <row r="7">
      <c r="A7" t="str">
        <v>Unit cost (Rp/m3)</v>
      </c>
      <c r="B7">
        <v>9835641.84808179</v>
      </c>
    </row>
    <row r="8">
      <c r="A8" t="str">
        <v>Line total at-cost (Rp)</v>
      </c>
      <c r="B8">
        <v>6952421.796735093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0.742203</v>
      </c>
      <c r="L12">
        <v>753818.47695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0.7068599999999999</v>
      </c>
      <c r="L14">
        <v>176714.99999999997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2250000</v>
      </c>
      <c r="I16">
        <v>1</v>
      </c>
      <c r="J16">
        <v>2250000</v>
      </c>
      <c r="K16">
        <v>0.7068599999999999</v>
      </c>
      <c r="L16">
        <v>1590434.9999999998</v>
      </c>
    </row>
    <row r="17">
      <c r="A17">
        <v>4</v>
      </c>
      <c r="B17" t="str">
        <v>BEKISTING KOLOM (Material) — ratio 14.939309056956116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4.56)</v>
      </c>
      <c r="H18">
        <v>200000</v>
      </c>
      <c r="I18">
        <v>6.552328533752681</v>
      </c>
      <c r="J18">
        <v>1310465.7067505363</v>
      </c>
      <c r="K18">
        <v>4.6315789473684195</v>
      </c>
      <c r="L18">
        <v>926315.789473684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4.56)</v>
      </c>
      <c r="H19">
        <v>47600</v>
      </c>
      <c r="I19">
        <v>32.76164266876341</v>
      </c>
      <c r="J19">
        <v>1559454.1910331382</v>
      </c>
      <c r="K19">
        <v>23.1578947368421</v>
      </c>
      <c r="L19">
        <v>1102315.789473684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4.56)</v>
      </c>
      <c r="H20">
        <v>47600</v>
      </c>
      <c r="I20">
        <v>6.552328533752681</v>
      </c>
      <c r="J20">
        <v>311890.83820662764</v>
      </c>
      <c r="K20">
        <v>4.6315789473684195</v>
      </c>
      <c r="L20">
        <v>220463.1578947368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4.56)</v>
      </c>
      <c r="H21">
        <v>13000</v>
      </c>
      <c r="I21">
        <v>6.552328533752681</v>
      </c>
      <c r="J21">
        <v>85180.27093878486</v>
      </c>
      <c r="K21">
        <v>4.6315789473684195</v>
      </c>
      <c r="L21">
        <v>60210.52631578946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4.56)</v>
      </c>
      <c r="H22">
        <v>27500</v>
      </c>
      <c r="I22">
        <v>7.469654528478057</v>
      </c>
      <c r="J22">
        <v>205415.49953314656</v>
      </c>
      <c r="K22">
        <v>5.279999999999999</v>
      </c>
      <c r="L22">
        <v>145199.99999999997</v>
      </c>
    </row>
    <row r="23">
      <c r="A23">
        <v>5</v>
      </c>
      <c r="B23" t="str">
        <v>PEMBESIAN (Material) — ratio 247.89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100.92019353195825</v>
      </c>
      <c r="F24" t="str">
        <v>kg</v>
      </c>
      <c r="G24" t="str">
        <v>per m3 beton</v>
      </c>
      <c r="H24">
        <v>10300</v>
      </c>
      <c r="I24">
        <v>100.92019353195825</v>
      </c>
      <c r="J24">
        <v>1039477.99337917</v>
      </c>
      <c r="K24">
        <v>71.336448</v>
      </c>
      <c r="L24">
        <v>734765.4144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146.96838095238095</v>
      </c>
      <c r="F25" t="str">
        <v>kg</v>
      </c>
      <c r="G25" t="str">
        <v>per m3 beton</v>
      </c>
      <c r="H25">
        <v>10300</v>
      </c>
      <c r="I25">
        <v>146.96838095238095</v>
      </c>
      <c r="J25">
        <v>1513774.3238095238</v>
      </c>
      <c r="K25">
        <v>103.88606976</v>
      </c>
      <c r="L25">
        <v>1070026.518528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10300</v>
      </c>
      <c r="I26">
        <v>12.39442872421697</v>
      </c>
      <c r="J26">
        <v>127662.6158594348</v>
      </c>
      <c r="K26">
        <v>8.761125888000008</v>
      </c>
      <c r="L26">
        <v>90239.59664640007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247.8885744843392</v>
      </c>
      <c r="J27">
        <v>24788.85744843392</v>
      </c>
      <c r="K27">
        <v>175.22251776</v>
      </c>
      <c r="L27">
        <v>17522.251775999997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5.2056600641711235</v>
      </c>
      <c r="J28">
        <v>91099.05112299466</v>
      </c>
      <c r="K28">
        <v>3.67967287296</v>
      </c>
      <c r="L28">
        <v>64394.2752768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9835641.84808179</v>
      </c>
      <c r="J30" t="str">
        <v/>
      </c>
      <c r="K30" t="str">
        <v/>
      </c>
      <c r="L30">
        <v>6952421.796735093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9835641.84808179</v>
      </c>
    </row>
    <row r="34">
      <c r="A34" t="str">
        <v>RAB (A) source unit cost</v>
      </c>
      <c r="B34">
        <v>9835641.848081792</v>
      </c>
    </row>
    <row r="35">
      <c r="A35" t="str">
        <v>Variance</v>
      </c>
      <c r="B35">
        <v>-1.862645149230957e-9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6952421.796735093</v>
      </c>
    </row>
    <row r="38">
      <c r="A38" t="str">
        <v>RAB (A) source line total</v>
      </c>
      <c r="B38">
        <v>7925760.8482780075</v>
      </c>
    </row>
    <row r="39">
      <c r="A39" t="str">
        <v>Variance</v>
      </c>
      <c r="B39">
        <v>-973339.0515429145</v>
      </c>
      <c r="C39" t="str">
        <v>✓ OK</v>
      </c>
    </row>
  </sheetData>
  <ignoredErrors>
    <ignoredError numberStoredAsText="1" sqref="A1:L39"/>
  </ignoredErrors>
</worksheet>
</file>

<file path=xl/worksheets/sheet83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(A) III.B.5.1 - Pit lift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Pit lift</v>
      </c>
    </row>
    <row r="5">
      <c r="A5" t="str">
        <v>Unit</v>
      </c>
      <c r="B5" t="str">
        <v>m3</v>
      </c>
    </row>
    <row r="6">
      <c r="A6" t="str">
        <v>Volume</v>
      </c>
      <c r="B6">
        <v>2.2134</v>
      </c>
    </row>
    <row r="7">
      <c r="A7" t="str">
        <v>Unit cost (Rp/m3)</v>
      </c>
      <c r="B7">
        <v>7292805.127096909</v>
      </c>
    </row>
    <row r="8">
      <c r="A8" t="str">
        <v>Line total at-cost (Rp)</v>
      </c>
      <c r="B8">
        <v>16141894.868316298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1066432.5000000002</v>
      </c>
      <c r="I12">
        <v>1</v>
      </c>
      <c r="J12">
        <v>1066432.5000000002</v>
      </c>
      <c r="K12">
        <v>2.2134</v>
      </c>
      <c r="L12">
        <v>2360441.6955000004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1500000</v>
      </c>
      <c r="I14">
        <v>1</v>
      </c>
      <c r="J14">
        <v>1500000</v>
      </c>
      <c r="K14">
        <v>2.2134</v>
      </c>
      <c r="L14">
        <v>3320100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200000</v>
      </c>
      <c r="I16">
        <v>1</v>
      </c>
      <c r="J16">
        <v>200000</v>
      </c>
      <c r="K16">
        <v>2.2134</v>
      </c>
      <c r="L16">
        <v>442680</v>
      </c>
    </row>
    <row r="17">
      <c r="A17">
        <v>4</v>
      </c>
      <c r="B17" t="str">
        <v>BEKISTING (Material) — ratio 12.686364868528056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12.686364868528056</v>
      </c>
      <c r="F18" t="str">
        <v>m2</v>
      </c>
      <c r="G18" t="str">
        <v>per m² of formwork</v>
      </c>
      <c r="H18">
        <v>166705.668</v>
      </c>
      <c r="I18">
        <v>12.686364868528056</v>
      </c>
      <c r="J18">
        <v>2114888.929899702</v>
      </c>
      <c r="K18">
        <v>28.08</v>
      </c>
      <c r="L18">
        <v>4681095.15744</v>
      </c>
    </row>
    <row r="19">
      <c r="A19">
        <v>5</v>
      </c>
      <c r="B19" t="str">
        <v>PEMBESIAN (Material) — ratio 213.74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213.73664499864458</v>
      </c>
      <c r="F20" t="str">
        <v>kg</v>
      </c>
      <c r="G20" t="str">
        <v>per kg finished pembesian (blended: raw besi + decking + bendrat)</v>
      </c>
      <c r="H20">
        <v>11282.5</v>
      </c>
      <c r="I20">
        <v>213.73664499864458</v>
      </c>
      <c r="J20">
        <v>2411483.6971972072</v>
      </c>
      <c r="K20">
        <v>473.08469003999994</v>
      </c>
      <c r="L20">
        <v>5337578.015376299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7292805.127096909</v>
      </c>
      <c r="J22" t="str">
        <v/>
      </c>
      <c r="K22" t="str">
        <v/>
      </c>
      <c r="L22">
        <v>16141894.868316298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7292805.127096909</v>
      </c>
    </row>
    <row r="26">
      <c r="A26" t="str">
        <v>RAB (A) source unit cost</v>
      </c>
      <c r="B26">
        <v>7292805.127096909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16141894.868316298</v>
      </c>
    </row>
    <row r="30">
      <c r="A30" t="str">
        <v>RAB (A) source line total</v>
      </c>
      <c r="B30">
        <v>18401760.149880577</v>
      </c>
    </row>
    <row r="31">
      <c r="A31" t="str">
        <v>Variance</v>
      </c>
      <c r="B31">
        <v>-2259865.2815642785</v>
      </c>
      <c r="C31" t="str">
        <v>✓ OK</v>
      </c>
    </row>
  </sheetData>
  <ignoredErrors>
    <ignoredError numberStoredAsText="1" sqref="A1:L31"/>
  </ignoredErrors>
</worksheet>
</file>

<file path=xl/worksheets/sheet84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(A) III.B.5.2 - Dinding lift Basement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Dinding lift Basement</v>
      </c>
    </row>
    <row r="5">
      <c r="A5" t="str">
        <v>Unit</v>
      </c>
      <c r="B5" t="str">
        <v>m3</v>
      </c>
    </row>
    <row r="6">
      <c r="A6" t="str">
        <v>Volume</v>
      </c>
      <c r="B6">
        <v>3.65211</v>
      </c>
    </row>
    <row r="7">
      <c r="A7" t="str">
        <v>Unit cost (Rp/m3)</v>
      </c>
      <c r="B7">
        <v>5891046.394488588</v>
      </c>
    </row>
    <row r="8">
      <c r="A8" t="str">
        <v>Line total at-cost (Rp)</v>
      </c>
      <c r="B8">
        <v>21514749.447775718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1066432.5000000002</v>
      </c>
      <c r="I12">
        <v>1</v>
      </c>
      <c r="J12">
        <v>1066432.5000000002</v>
      </c>
      <c r="K12">
        <v>3.65211</v>
      </c>
      <c r="L12">
        <v>3894728.7975750007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1500000</v>
      </c>
      <c r="I14">
        <v>1</v>
      </c>
      <c r="J14">
        <v>1500000</v>
      </c>
      <c r="K14">
        <v>3.65211</v>
      </c>
      <c r="L14">
        <v>5478165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200000</v>
      </c>
      <c r="I16">
        <v>1</v>
      </c>
      <c r="J16">
        <v>200000</v>
      </c>
      <c r="K16">
        <v>3.65211</v>
      </c>
      <c r="L16">
        <v>730422</v>
      </c>
    </row>
    <row r="17">
      <c r="A17">
        <v>4</v>
      </c>
      <c r="B17" t="str">
        <v>BEKISTING (Material) — ratio 13.3008041926448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13.3008041926448</v>
      </c>
      <c r="F18" t="str">
        <v>m2</v>
      </c>
      <c r="G18" t="str">
        <v>per m² of formwork</v>
      </c>
      <c r="H18">
        <v>94565.97222222222</v>
      </c>
      <c r="I18">
        <v>13.3008041926448</v>
      </c>
      <c r="J18">
        <v>1257803.4798148652</v>
      </c>
      <c r="K18">
        <v>48.576</v>
      </c>
      <c r="L18">
        <v>4593636.666666667</v>
      </c>
    </row>
    <row r="19">
      <c r="A19">
        <v>5</v>
      </c>
      <c r="B19" t="str">
        <v>PEMBESIAN (Material) — ratio 165.46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165.4607059316395</v>
      </c>
      <c r="F20" t="str">
        <v>kg</v>
      </c>
      <c r="G20" t="str">
        <v>per kg finished pembesian (blended: raw besi + decking + bendrat)</v>
      </c>
      <c r="H20">
        <v>11282.5</v>
      </c>
      <c r="I20">
        <v>165.4607059316395</v>
      </c>
      <c r="J20">
        <v>1866810.4146737226</v>
      </c>
      <c r="K20">
        <v>604.2806987399999</v>
      </c>
      <c r="L20">
        <v>6817796.983534049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5891046.394488588</v>
      </c>
      <c r="J22" t="str">
        <v/>
      </c>
      <c r="K22" t="str">
        <v/>
      </c>
      <c r="L22">
        <v>21514749.447775718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5891046.394488588</v>
      </c>
    </row>
    <row r="26">
      <c r="A26" t="str">
        <v>RAB (A) source unit cost</v>
      </c>
      <c r="B26">
        <v>5891046.394488588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21514749.447775718</v>
      </c>
    </row>
    <row r="30">
      <c r="A30" t="str">
        <v>RAB (A) source line total</v>
      </c>
      <c r="B30">
        <v>24526814.370464314</v>
      </c>
    </row>
    <row r="31">
      <c r="A31" t="str">
        <v>Variance</v>
      </c>
      <c r="B31">
        <v>-3012064.922688596</v>
      </c>
      <c r="C31" t="str">
        <v>✓ OK</v>
      </c>
    </row>
  </sheetData>
  <ignoredErrors>
    <ignoredError numberStoredAsText="1" sqref="A1:L31"/>
  </ignoredErrors>
</worksheet>
</file>

<file path=xl/worksheets/sheet85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(A) III.B.5.3 - Dinding beton pagar alas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Dinding beton pagar alas</v>
      </c>
    </row>
    <row r="5">
      <c r="A5" t="str">
        <v>Unit</v>
      </c>
      <c r="B5" t="str">
        <v>m3</v>
      </c>
    </row>
    <row r="6">
      <c r="A6" t="str">
        <v>Volume</v>
      </c>
      <c r="B6">
        <v>48.399</v>
      </c>
    </row>
    <row r="7">
      <c r="A7" t="str">
        <v>Unit cost (Rp/m3)</v>
      </c>
      <c r="B7">
        <v>4242108.003329442</v>
      </c>
    </row>
    <row r="8">
      <c r="A8" t="str">
        <v>Line total at-cost (Rp)</v>
      </c>
      <c r="B8">
        <v>205313785.25314167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1066432.5000000002</v>
      </c>
      <c r="I12">
        <v>1</v>
      </c>
      <c r="J12">
        <v>1066432.5000000002</v>
      </c>
      <c r="K12">
        <v>48.399</v>
      </c>
      <c r="L12">
        <v>51614266.56750001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1500000</v>
      </c>
      <c r="I14">
        <v>1</v>
      </c>
      <c r="J14">
        <v>1500000</v>
      </c>
      <c r="K14">
        <v>48.399</v>
      </c>
      <c r="L14">
        <v>72598500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200000</v>
      </c>
      <c r="I16">
        <v>1</v>
      </c>
      <c r="J16">
        <v>200000</v>
      </c>
      <c r="K16">
        <v>48.399</v>
      </c>
      <c r="L16">
        <v>9679800</v>
      </c>
    </row>
    <row r="17">
      <c r="A17">
        <v>4</v>
      </c>
      <c r="B17" t="str">
        <v>BEKISTING (Material) — ratio 5.88235294117647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5.88235294117647</v>
      </c>
      <c r="F18" t="str">
        <v>m2</v>
      </c>
      <c r="G18" t="str">
        <v>per m² of formwork</v>
      </c>
      <c r="H18">
        <v>94565.97222222222</v>
      </c>
      <c r="I18">
        <v>5.88235294117647</v>
      </c>
      <c r="J18">
        <v>556270.4248366012</v>
      </c>
      <c r="K18">
        <v>284.7</v>
      </c>
      <c r="L18">
        <v>26922932.291666664</v>
      </c>
    </row>
    <row r="19">
      <c r="A19">
        <v>5</v>
      </c>
      <c r="B19" t="str">
        <v>PEMBESIAN (Material) — ratio 81.49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81.48948180747536</v>
      </c>
      <c r="F20" t="str">
        <v>kg</v>
      </c>
      <c r="G20" t="str">
        <v>per kg finished pembesian (blended: raw besi + decking + bendrat)</v>
      </c>
      <c r="H20">
        <v>11282.5</v>
      </c>
      <c r="I20">
        <v>81.48948180747536</v>
      </c>
      <c r="J20">
        <v>919405.0784928408</v>
      </c>
      <c r="K20">
        <v>3944.00943</v>
      </c>
      <c r="L20">
        <v>44498286.393975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4242108.003329442</v>
      </c>
      <c r="J22" t="str">
        <v/>
      </c>
      <c r="K22" t="str">
        <v/>
      </c>
      <c r="L22">
        <v>205313785.25314167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4242108.003329442</v>
      </c>
    </row>
    <row r="26">
      <c r="A26" t="str">
        <v>RAB (A) source unit cost</v>
      </c>
      <c r="B26">
        <v>4242108.003329443</v>
      </c>
    </row>
    <row r="27">
      <c r="A27" t="str">
        <v>Variance</v>
      </c>
      <c r="B27">
        <v>-9.313225746154785e-10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205313785.25314167</v>
      </c>
    </row>
    <row r="30">
      <c r="A30" t="str">
        <v>RAB (A) source line total</v>
      </c>
      <c r="B30">
        <v>234057715.18858153</v>
      </c>
    </row>
    <row r="31">
      <c r="A31" t="str">
        <v>Variance</v>
      </c>
      <c r="B31">
        <v>-28743929.935439855</v>
      </c>
      <c r="C31" t="str">
        <v>✓ OK</v>
      </c>
    </row>
  </sheetData>
  <ignoredErrors>
    <ignoredError numberStoredAsText="1" sqref="A1:L31"/>
  </ignoredErrors>
</worksheet>
</file>

<file path=xl/worksheets/sheet86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(A) III.B.5.4 - Dinding beton ruang genset, ruang panel, dan ruang pompa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Dinding beton ruang genset, ruang panel, dan ruang pompa</v>
      </c>
    </row>
    <row r="5">
      <c r="A5" t="str">
        <v>Unit</v>
      </c>
      <c r="B5" t="str">
        <v>m3</v>
      </c>
    </row>
    <row r="6">
      <c r="A6" t="str">
        <v>Volume</v>
      </c>
      <c r="B6">
        <v>2.3796175</v>
      </c>
    </row>
    <row r="7">
      <c r="A7" t="str">
        <v>Unit cost (Rp/m3)</v>
      </c>
      <c r="B7">
        <v>4914101.187849926</v>
      </c>
    </row>
    <row r="8">
      <c r="A8" t="str">
        <v>Line total at-cost (Rp)</v>
      </c>
      <c r="B8">
        <v>11693681.183378471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1066432.5000000002</v>
      </c>
      <c r="I12">
        <v>1</v>
      </c>
      <c r="J12">
        <v>1066432.5000000002</v>
      </c>
      <c r="K12">
        <v>2.3796175</v>
      </c>
      <c r="L12">
        <v>2537701.4395687506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1500000</v>
      </c>
      <c r="I14">
        <v>1</v>
      </c>
      <c r="J14">
        <v>1500000</v>
      </c>
      <c r="K14">
        <v>2.3796175</v>
      </c>
      <c r="L14">
        <v>3569426.2500000005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200000</v>
      </c>
      <c r="I16">
        <v>1</v>
      </c>
      <c r="J16">
        <v>200000</v>
      </c>
      <c r="K16">
        <v>2.3796175</v>
      </c>
      <c r="L16">
        <v>475923.50000000006</v>
      </c>
    </row>
    <row r="17">
      <c r="A17">
        <v>4</v>
      </c>
      <c r="B17" t="str">
        <v>BEKISTING (Material) — ratio 11.76470588235294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11.76470588235294</v>
      </c>
      <c r="F18" t="str">
        <v>m2</v>
      </c>
      <c r="G18" t="str">
        <v>per m² of formwork</v>
      </c>
      <c r="H18">
        <v>94565.97222222222</v>
      </c>
      <c r="I18">
        <v>11.76470588235294</v>
      </c>
      <c r="J18">
        <v>1112540.8496732025</v>
      </c>
      <c r="K18">
        <v>27.9955</v>
      </c>
      <c r="L18">
        <v>2647421.675347222</v>
      </c>
    </row>
    <row r="19">
      <c r="A19">
        <v>5</v>
      </c>
      <c r="B19" t="str">
        <v>PEMBESIAN (Material) — ratio 91.75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91.74631847345213</v>
      </c>
      <c r="F20" t="str">
        <v>kg</v>
      </c>
      <c r="G20" t="str">
        <v>per kg finished pembesian (blended: raw besi + decking + bendrat)</v>
      </c>
      <c r="H20">
        <v>11282.5</v>
      </c>
      <c r="I20">
        <v>91.74631847345213</v>
      </c>
      <c r="J20">
        <v>1035127.8381767237</v>
      </c>
      <c r="K20">
        <v>218.321145</v>
      </c>
      <c r="L20">
        <v>2463208.3184625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4914101.187849926</v>
      </c>
      <c r="J22" t="str">
        <v/>
      </c>
      <c r="K22" t="str">
        <v/>
      </c>
      <c r="L22">
        <v>11693681.183378471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4914101.187849926</v>
      </c>
    </row>
    <row r="26">
      <c r="A26" t="str">
        <v>RAB (A) source unit cost</v>
      </c>
      <c r="B26">
        <v>4914101.187849926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11693681.183378471</v>
      </c>
    </row>
    <row r="30">
      <c r="A30" t="str">
        <v>RAB (A) source line total</v>
      </c>
      <c r="B30">
        <v>13330796.549051456</v>
      </c>
    </row>
    <row r="31">
      <c r="A31" t="str">
        <v>Variance</v>
      </c>
      <c r="B31">
        <v>-1637115.365672985</v>
      </c>
      <c r="C31" t="str">
        <v>✓ OK</v>
      </c>
    </row>
  </sheetData>
  <ignoredErrors>
    <ignoredError numberStoredAsText="1" sqref="A1:L31"/>
  </ignoredErrors>
</worksheet>
</file>

<file path=xl/worksheets/sheet87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(A) III.B2.4 Planter box (potongan 1A dan 1B)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Planter box (potongan 1A dan 1B)</v>
      </c>
    </row>
    <row r="5">
      <c r="A5" t="str">
        <v>Unit</v>
      </c>
      <c r="B5" t="str">
        <v>m3</v>
      </c>
    </row>
    <row r="6">
      <c r="A6" t="str">
        <v>Volume</v>
      </c>
      <c r="B6">
        <v>3.9419249999999995</v>
      </c>
    </row>
    <row r="7">
      <c r="A7" t="str">
        <v>Unit cost (Rp/m3)</v>
      </c>
      <c r="B7">
        <v>5685091.956586003</v>
      </c>
    </row>
    <row r="8">
      <c r="A8" t="str">
        <v>Line total at-cost (Rp)</v>
      </c>
      <c r="B8">
        <v>22410206.110965278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1066432.5000000002</v>
      </c>
      <c r="I12">
        <v>1</v>
      </c>
      <c r="J12">
        <v>1066432.5000000002</v>
      </c>
      <c r="K12">
        <v>3.9419249999999995</v>
      </c>
      <c r="L12">
        <v>4203796.9325625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1500000</v>
      </c>
      <c r="I14">
        <v>1</v>
      </c>
      <c r="J14">
        <v>1500000</v>
      </c>
      <c r="K14">
        <v>3.9419249999999995</v>
      </c>
      <c r="L14">
        <v>5912887.499999999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200000</v>
      </c>
      <c r="I16">
        <v>1</v>
      </c>
      <c r="J16">
        <v>200000</v>
      </c>
      <c r="K16">
        <v>3.9419249999999995</v>
      </c>
      <c r="L16">
        <v>788384.9999999999</v>
      </c>
    </row>
    <row r="17">
      <c r="A17">
        <v>4</v>
      </c>
      <c r="B17" t="str">
        <v>BEKISTING (Material) — ratio 13.333333333333334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13.333333333333334</v>
      </c>
      <c r="F18" t="str">
        <v>m2</v>
      </c>
      <c r="G18" t="str">
        <v>per m² of formwork</v>
      </c>
      <c r="H18">
        <v>94565.97222222222</v>
      </c>
      <c r="I18">
        <v>13.333333333333334</v>
      </c>
      <c r="J18">
        <v>1260879.6296296297</v>
      </c>
      <c r="K18">
        <v>52.559</v>
      </c>
      <c r="L18">
        <v>4970292.934027777</v>
      </c>
    </row>
    <row r="19">
      <c r="A19">
        <v>5</v>
      </c>
      <c r="B19" t="str">
        <v>PEMBESIAN (Material) — ratio 146.93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146.93373161589835</v>
      </c>
      <c r="F20" t="str">
        <v>kg</v>
      </c>
      <c r="G20" t="str">
        <v>per kg finished pembesian (blended: raw besi + decking + bendrat)</v>
      </c>
      <c r="H20">
        <v>11282.5</v>
      </c>
      <c r="I20">
        <v>146.93373161589835</v>
      </c>
      <c r="J20">
        <v>1657779.8269563732</v>
      </c>
      <c r="K20">
        <v>579.2017500000001</v>
      </c>
      <c r="L20">
        <v>6534843.744375001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5685091.956586003</v>
      </c>
      <c r="J22" t="str">
        <v/>
      </c>
      <c r="K22" t="str">
        <v/>
      </c>
      <c r="L22">
        <v>22410206.110965278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5685091.956586003</v>
      </c>
    </row>
    <row r="26">
      <c r="A26" t="str">
        <v>RAB (A) source unit cost</v>
      </c>
      <c r="B26">
        <v>5685091.956586003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22410206.110965278</v>
      </c>
    </row>
    <row r="30">
      <c r="A30" t="str">
        <v>RAB (A) source line total</v>
      </c>
      <c r="B30">
        <v>25547634.966500413</v>
      </c>
    </row>
    <row r="31">
      <c r="A31" t="str">
        <v>Variance</v>
      </c>
      <c r="B31">
        <v>-3137428.8555351347</v>
      </c>
      <c r="C31" t="str">
        <v>✓ OK</v>
      </c>
    </row>
  </sheetData>
  <ignoredErrors>
    <ignoredError numberStoredAsText="1" sqref="A1:L31"/>
  </ignoredErrors>
</worksheet>
</file>

<file path=xl/worksheets/sheet88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(A) IV.A.1.1 - Plat lantai - tebal 13 cm, besi D10-200 (2 lapis)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Plat lantai - tebal 13 cm, besi D10-200 (2 lapis)</v>
      </c>
    </row>
    <row r="5">
      <c r="A5" t="str">
        <v>Unit</v>
      </c>
      <c r="B5" t="str">
        <v>m3</v>
      </c>
    </row>
    <row r="6">
      <c r="A6" t="str">
        <v>Volume</v>
      </c>
      <c r="B6">
        <v>39.1274</v>
      </c>
    </row>
    <row r="7">
      <c r="A7" t="str">
        <v>Unit cost (Rp/m3)</v>
      </c>
      <c r="B7">
        <v>4836772.704941922</v>
      </c>
    </row>
    <row r="8">
      <c r="A8" t="str">
        <v>Line total at-cost (Rp)</v>
      </c>
      <c r="B8">
        <v>189250340.33534455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41.08377</v>
      </c>
      <c r="L12">
        <v>41726731.00050001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39.1274</v>
      </c>
      <c r="L14">
        <v>2934555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1300000</v>
      </c>
      <c r="I16">
        <v>1</v>
      </c>
      <c r="J16">
        <v>1300000</v>
      </c>
      <c r="K16">
        <v>39.1274</v>
      </c>
      <c r="L16">
        <v>50865620</v>
      </c>
    </row>
    <row r="17">
      <c r="A17">
        <v>4</v>
      </c>
      <c r="B17" t="str">
        <v>BEKISTING PLAT (Material) — ratio 8.01857521838916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1</v>
      </c>
      <c r="F18" t="str">
        <v>lbr</v>
      </c>
      <c r="G18" t="str">
        <v>per m² form (cycle 5.76)</v>
      </c>
      <c r="H18">
        <v>200000</v>
      </c>
      <c r="I18">
        <v>1.3921137531925625</v>
      </c>
      <c r="J18">
        <v>278422.7506385125</v>
      </c>
      <c r="K18">
        <v>54.46979166666667</v>
      </c>
      <c r="L18">
        <v>10893958.333333334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5</v>
      </c>
      <c r="F19" t="str">
        <v>btg</v>
      </c>
      <c r="G19" t="str">
        <v>per m² form (cycle 5.76)</v>
      </c>
      <c r="H19">
        <v>47600</v>
      </c>
      <c r="I19">
        <v>6.960568765962813</v>
      </c>
      <c r="J19">
        <v>331323.0732598299</v>
      </c>
      <c r="K19">
        <v>272.34895833333337</v>
      </c>
      <c r="L19">
        <v>12963810.416666668</v>
      </c>
    </row>
    <row r="20">
      <c r="A20" t="str">
        <v/>
      </c>
      <c r="B20" t="str">
        <v/>
      </c>
      <c r="C20" t="str">
        <v>Paku</v>
      </c>
      <c r="D20" t="str">
        <v/>
      </c>
      <c r="E20">
        <v>1.5</v>
      </c>
      <c r="F20" t="str">
        <v>kg</v>
      </c>
      <c r="G20" t="str">
        <v>per m² form (cycle 5.76)</v>
      </c>
      <c r="H20">
        <v>13000</v>
      </c>
      <c r="I20">
        <v>2.0881706297888436</v>
      </c>
      <c r="J20">
        <v>27146.218187254966</v>
      </c>
      <c r="K20">
        <v>81.7046875</v>
      </c>
      <c r="L20">
        <v>1062160.9375</v>
      </c>
    </row>
    <row r="21">
      <c r="A21" t="str">
        <v/>
      </c>
      <c r="B21" t="str">
        <v/>
      </c>
      <c r="C21" t="str">
        <v>Form oil</v>
      </c>
      <c r="D21" t="str">
        <v/>
      </c>
      <c r="E21">
        <v>1.44</v>
      </c>
      <c r="F21" t="str">
        <v>ltr</v>
      </c>
      <c r="G21" t="str">
        <v>per m² form (cycle 5.76)</v>
      </c>
      <c r="H21">
        <v>27500</v>
      </c>
      <c r="I21">
        <v>2.00464380459729</v>
      </c>
      <c r="J21">
        <v>55127.70462642547</v>
      </c>
      <c r="K21">
        <v>78.4365</v>
      </c>
      <c r="L21">
        <v>2157003.75</v>
      </c>
    </row>
    <row r="22">
      <c r="A22">
        <v>5</v>
      </c>
      <c r="B22" t="str">
        <v>BEKISTING PLAT PERALATAN (Material) — Perancah, ratio 8.01857521838916 m²/m³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Perancah Bekisting Plat</v>
      </c>
      <c r="D23" t="str">
        <v/>
      </c>
      <c r="E23">
        <v>1</v>
      </c>
      <c r="F23" t="str">
        <v>m2</v>
      </c>
      <c r="G23" t="str">
        <v>per m² form (cycle 5.76)</v>
      </c>
      <c r="H23">
        <v>203414.8148148148</v>
      </c>
      <c r="I23">
        <v>1.3921137531925623</v>
      </c>
      <c r="J23">
        <v>283176.5613068218</v>
      </c>
      <c r="K23">
        <v>54.469791666666666</v>
      </c>
      <c r="L23">
        <v>11079962.584876541</v>
      </c>
    </row>
    <row r="24">
      <c r="A24">
        <v>6</v>
      </c>
      <c r="B24" t="str">
        <v>PEMBESIAN (Material) — ratio 125.87 kg/m³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/>
      </c>
      <c r="C25" t="str">
        <v>Besi beton D10</v>
      </c>
      <c r="D25" t="str">
        <v>U24/U40 polos</v>
      </c>
      <c r="E25">
        <v>125.87138461538463</v>
      </c>
      <c r="F25" t="str">
        <v>kg</v>
      </c>
      <c r="G25" t="str">
        <v>per m3 beton</v>
      </c>
      <c r="H25">
        <v>10300</v>
      </c>
      <c r="I25">
        <v>125.87138461538463</v>
      </c>
      <c r="J25">
        <v>1296475.2615384615</v>
      </c>
      <c r="K25">
        <v>4925.020014400001</v>
      </c>
      <c r="L25">
        <v>50727706.148320004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10300</v>
      </c>
      <c r="I26">
        <v>6.293569230769237</v>
      </c>
      <c r="J26">
        <v>64823.76307692314</v>
      </c>
      <c r="K26">
        <v>246.25100072000026</v>
      </c>
      <c r="L26">
        <v>2536385.3074160027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125.87138461538463</v>
      </c>
      <c r="J27">
        <v>12587.138461538463</v>
      </c>
      <c r="K27">
        <v>4925.020014400001</v>
      </c>
      <c r="L27">
        <v>492502.0014400001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2.6432990769230775</v>
      </c>
      <c r="J28">
        <v>46257.73384615386</v>
      </c>
      <c r="K28">
        <v>103.42542030240003</v>
      </c>
      <c r="L28">
        <v>1809944.8552920006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4836772.704941922</v>
      </c>
      <c r="J30" t="str">
        <v/>
      </c>
      <c r="K30" t="str">
        <v/>
      </c>
      <c r="L30">
        <v>189250340.33534455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4836772.704941922</v>
      </c>
    </row>
    <row r="34">
      <c r="A34" t="str">
        <v>RAB (A) source unit cost</v>
      </c>
      <c r="B34">
        <v>4836772.704941922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189250340.33534455</v>
      </c>
    </row>
    <row r="38">
      <c r="A38" t="str">
        <v>RAB (A) source line total</v>
      </c>
      <c r="B38">
        <v>215745387.98229277</v>
      </c>
    </row>
    <row r="39">
      <c r="A39" t="str">
        <v>Variance</v>
      </c>
      <c r="B39">
        <v>-26495047.64694822</v>
      </c>
      <c r="C39" t="str">
        <v>✓ OK</v>
      </c>
    </row>
  </sheetData>
  <ignoredErrors>
    <ignoredError numberStoredAsText="1" sqref="A1:L39"/>
  </ignoredErrors>
</worksheet>
</file>

<file path=xl/worksheets/sheet89.xml><?xml version="1.0" encoding="utf-8"?>
<worksheet xmlns="http://schemas.openxmlformats.org/spreadsheetml/2006/main" xmlns:r="http://schemas.openxmlformats.org/officeDocument/2006/relationships">
  <dimension ref="A1:L33"/>
  <sheetViews>
    <sheetView workbookViewId="0" rightToLeft="0"/>
  </sheetViews>
  <sheetData>
    <row r="1">
      <c r="A1" t="str">
        <v>BREAKDOWN — (A) IV.A.1.2 - Plat lantai - tebal 15 cm, besi D10-200 (2 lapis)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Plat lantai - tebal 15 cm, besi D10-200 (2 lapis)</v>
      </c>
    </row>
    <row r="5">
      <c r="A5" t="str">
        <v>Unit</v>
      </c>
      <c r="B5" t="str">
        <v>m3</v>
      </c>
    </row>
    <row r="6">
      <c r="A6" t="str">
        <v>Volume</v>
      </c>
      <c r="B6">
        <v>12.9015</v>
      </c>
    </row>
    <row r="7">
      <c r="A7" t="str">
        <v>Unit cost (Rp/m3)</v>
      </c>
      <c r="B7">
        <v>4665094.290816093</v>
      </c>
    </row>
    <row r="8">
      <c r="A8" t="str">
        <v>Line total at-cost (Rp)</v>
      </c>
      <c r="B8">
        <v>60186713.99296382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1066432.5000000002</v>
      </c>
      <c r="I12">
        <v>1</v>
      </c>
      <c r="J12">
        <v>1066432.5000000002</v>
      </c>
      <c r="K12">
        <v>12.9015</v>
      </c>
      <c r="L12">
        <v>13758578.898750003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1300000</v>
      </c>
      <c r="I14">
        <v>1</v>
      </c>
      <c r="J14">
        <v>1300000</v>
      </c>
      <c r="K14">
        <v>12.9015</v>
      </c>
      <c r="L14">
        <v>16771950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75000</v>
      </c>
      <c r="I16">
        <v>1</v>
      </c>
      <c r="J16">
        <v>75000</v>
      </c>
      <c r="K16">
        <v>12.9015</v>
      </c>
      <c r="L16">
        <v>967612.5</v>
      </c>
    </row>
    <row r="17">
      <c r="A17">
        <v>4</v>
      </c>
      <c r="B17" t="str">
        <v>BEKISTING (Material) — ratio 8.102895012207883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8.102895012207883</v>
      </c>
      <c r="F18" t="str">
        <v>m2</v>
      </c>
      <c r="G18" t="str">
        <v>per m² of formwork</v>
      </c>
      <c r="H18">
        <v>86302.08333333334</v>
      </c>
      <c r="I18">
        <v>8.102895012207883</v>
      </c>
      <c r="J18">
        <v>699296.7205848158</v>
      </c>
      <c r="K18">
        <v>104.5395</v>
      </c>
      <c r="L18">
        <v>9021976.640625002</v>
      </c>
    </row>
    <row r="19">
      <c r="A19">
        <v>5</v>
      </c>
      <c r="B19" t="str">
        <v>BEKISTING PERALATAN (Material) — Perancah / scaffolding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Bekisting peralatan / Perancah (lump)</v>
      </c>
      <c r="D20" t="str">
        <v>rolled lump — group total only</v>
      </c>
      <c r="E20">
        <v>8.102895012207883</v>
      </c>
      <c r="F20" t="str">
        <v>m2</v>
      </c>
      <c r="G20" t="str">
        <v>per m² of formwork (scaffolding embedded in bekisting block, col H)</v>
      </c>
      <c r="H20">
        <v>35315.0720164609</v>
      </c>
      <c r="I20">
        <v>8.102895012207883</v>
      </c>
      <c r="J20">
        <v>286154.3208979432</v>
      </c>
      <c r="K20">
        <v>104.5395</v>
      </c>
      <c r="L20">
        <v>3691819.971064815</v>
      </c>
    </row>
    <row r="21">
      <c r="A21">
        <v>6</v>
      </c>
      <c r="B21" t="str">
        <v>PEMBESIAN (Material) — ratio 109.75 kg/m³ (rolled)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/>
      </c>
      <c r="C22" t="str">
        <v>Pembesian U24 &amp; U40 (lump — no per-diameter detail)</v>
      </c>
      <c r="D22" t="str">
        <v>rolled lump — group total only</v>
      </c>
      <c r="E22">
        <v>109.74613333333332</v>
      </c>
      <c r="F22" t="str">
        <v>kg</v>
      </c>
      <c r="G22" t="str">
        <v>per kg finished pembesian (blended: raw besi + decking + bendrat)</v>
      </c>
      <c r="H22">
        <v>11282.5</v>
      </c>
      <c r="I22">
        <v>109.74613333333332</v>
      </c>
      <c r="J22">
        <v>1238210.7493333332</v>
      </c>
      <c r="K22">
        <v>1415.8897392</v>
      </c>
      <c r="L22">
        <v>15974775.982523998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>SUBTOTAL — At-cost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>
        <v>4665094.290816093</v>
      </c>
      <c r="J24" t="str">
        <v/>
      </c>
      <c r="K24" t="str">
        <v/>
      </c>
      <c r="L24">
        <v>60186713.99296382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>RECONCILIATION</v>
      </c>
    </row>
    <row r="27">
      <c r="A27" t="str">
        <v>Computed unit cost</v>
      </c>
      <c r="B27">
        <v>4665094.290816093</v>
      </c>
    </row>
    <row r="28">
      <c r="A28" t="str">
        <v>RAB (A) source unit cost</v>
      </c>
      <c r="B28">
        <v>4665094.290816093</v>
      </c>
    </row>
    <row r="29">
      <c r="A29" t="str">
        <v>Variance</v>
      </c>
      <c r="B29">
        <v>0</v>
      </c>
      <c r="C29" t="str">
        <v>✓ OK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Computed line total</v>
      </c>
      <c r="B31">
        <v>60186713.99296382</v>
      </c>
    </row>
    <row r="32">
      <c r="A32" t="str">
        <v>RAB (A) source line total</v>
      </c>
      <c r="B32">
        <v>68612853.95197876</v>
      </c>
    </row>
    <row r="33">
      <c r="A33" t="str">
        <v>Variance</v>
      </c>
      <c r="B33">
        <v>-8426139.959014937</v>
      </c>
      <c r="C33" t="str">
        <v>✓ OK</v>
      </c>
    </row>
  </sheetData>
  <ignoredErrors>
    <ignoredError numberStoredAsText="1" sqref="A1:L33"/>
  </ignoredErrors>
</worksheet>
</file>

<file path=xl/worksheets/sheet90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IV.A.2.1 - Balok B174-1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B174-1</v>
      </c>
    </row>
    <row r="5">
      <c r="A5" t="str">
        <v>Unit</v>
      </c>
      <c r="B5" t="str">
        <v>m3</v>
      </c>
    </row>
    <row r="6">
      <c r="A6" t="str">
        <v>Volume</v>
      </c>
      <c r="B6">
        <v>1.2888975</v>
      </c>
    </row>
    <row r="7">
      <c r="A7" t="str">
        <v>Unit cost (Rp/m3)</v>
      </c>
      <c r="B7">
        <v>9035916.001049604</v>
      </c>
    </row>
    <row r="8">
      <c r="A8" t="str">
        <v>Line total at-cost (Rp)</v>
      </c>
      <c r="B8">
        <v>11646369.543962833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1.353342375</v>
      </c>
      <c r="L12">
        <v>1374522.1831687503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1.2888975</v>
      </c>
      <c r="L14">
        <v>96667.3125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1.2888975</v>
      </c>
      <c r="L16">
        <v>2255570.625</v>
      </c>
    </row>
    <row r="17">
      <c r="A17">
        <v>4</v>
      </c>
      <c r="B17" t="str">
        <v>BEKISTING BALOK (Material) — ratio 14.587932709932327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7.293966354966163</v>
      </c>
      <c r="J18">
        <v>1458793.2709932327</v>
      </c>
      <c r="K18">
        <v>9.401175</v>
      </c>
      <c r="L18">
        <v>1880235.0000000002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32.822848597347736</v>
      </c>
      <c r="J19">
        <v>1562367.5932337523</v>
      </c>
      <c r="K19">
        <v>42.305287500000006</v>
      </c>
      <c r="L19">
        <v>2013731.6850000003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10.940949532449245</v>
      </c>
      <c r="J20">
        <v>520789.19774458406</v>
      </c>
      <c r="K20">
        <v>14.101762500000001</v>
      </c>
      <c r="L20">
        <v>671243.895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5.470474766224623</v>
      </c>
      <c r="J21">
        <v>71116.1719609201</v>
      </c>
      <c r="K21">
        <v>7.050881250000001</v>
      </c>
      <c r="L21">
        <v>91661.45625000002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1.8234915887415408</v>
      </c>
      <c r="J22">
        <v>50146.018690392375</v>
      </c>
      <c r="K22">
        <v>2.35029375</v>
      </c>
      <c r="L22">
        <v>64633.07812500001</v>
      </c>
    </row>
    <row r="23">
      <c r="A23">
        <v>5</v>
      </c>
      <c r="B23" t="str">
        <v>BEKISTING BALOK PERALATAN (Material) — Perancah, ratio 14.587932709932327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3.6469831774830817</v>
      </c>
      <c r="J24">
        <v>743116.7212837586</v>
      </c>
      <c r="K24">
        <v>4.7005875</v>
      </c>
      <c r="L24">
        <v>957801.2842708334</v>
      </c>
    </row>
    <row r="25">
      <c r="A25">
        <v>6</v>
      </c>
      <c r="B25" t="str">
        <v>PEMBESIAN (Material) — ratio 154.06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D10</v>
      </c>
      <c r="D26" t="str">
        <v>U24/U40 polos</v>
      </c>
      <c r="E26">
        <v>79.80220304562621</v>
      </c>
      <c r="F26" t="str">
        <v>kg</v>
      </c>
      <c r="G26" t="str">
        <v>per m3 beton</v>
      </c>
      <c r="H26">
        <v>10300</v>
      </c>
      <c r="I26">
        <v>79.80220304562621</v>
      </c>
      <c r="J26">
        <v>821962.69136995</v>
      </c>
      <c r="K26">
        <v>102.85686000000001</v>
      </c>
      <c r="L26">
        <v>1059425.658</v>
      </c>
    </row>
    <row r="27">
      <c r="A27" t="str">
        <v/>
      </c>
      <c r="B27" t="str">
        <v/>
      </c>
      <c r="C27" t="str">
        <v>Besi beton D13</v>
      </c>
      <c r="D27" t="str">
        <v>U24/U40 polos</v>
      </c>
      <c r="E27">
        <v>74.25536638871593</v>
      </c>
      <c r="F27" t="str">
        <v>kg</v>
      </c>
      <c r="G27" t="str">
        <v>per m3 beton</v>
      </c>
      <c r="H27">
        <v>10300</v>
      </c>
      <c r="I27">
        <v>74.25536638871593</v>
      </c>
      <c r="J27">
        <v>764830.273803774</v>
      </c>
      <c r="K27">
        <v>95.70755609999999</v>
      </c>
      <c r="L27">
        <v>985787.8278299998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7.702878471717114</v>
      </c>
      <c r="J28">
        <v>79339.64825868628</v>
      </c>
      <c r="K28">
        <v>9.92822080500001</v>
      </c>
      <c r="L28">
        <v>102260.67429150011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154.05756943434216</v>
      </c>
      <c r="J29">
        <v>15405.756943434215</v>
      </c>
      <c r="K29">
        <v>198.56441610000002</v>
      </c>
      <c r="L29">
        <v>19856.44161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3.2352089581211856</v>
      </c>
      <c r="J30">
        <v>56616.156767120745</v>
      </c>
      <c r="K30">
        <v>4.169852738100001</v>
      </c>
      <c r="L30">
        <v>72972.42291675002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9035916.001049604</v>
      </c>
      <c r="J32" t="str">
        <v/>
      </c>
      <c r="K32" t="str">
        <v/>
      </c>
      <c r="L32">
        <v>11646369.543962833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9035916.001049604</v>
      </c>
    </row>
    <row r="36">
      <c r="A36" t="str">
        <v>RAB (A) source unit cost</v>
      </c>
      <c r="B36">
        <v>9035916.001049606</v>
      </c>
    </row>
    <row r="37">
      <c r="A37" t="str">
        <v>Variance</v>
      </c>
      <c r="B37">
        <v>-1.862645149230957e-9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11646369.543962833</v>
      </c>
    </row>
    <row r="40">
      <c r="A40" t="str">
        <v>RAB (A) source line total</v>
      </c>
      <c r="B40">
        <v>13276861.280117631</v>
      </c>
    </row>
    <row r="41">
      <c r="A41" t="str">
        <v>Variance</v>
      </c>
      <c r="B41">
        <v>-1630491.7361547984</v>
      </c>
      <c r="C41" t="str">
        <v>✓ OK</v>
      </c>
    </row>
  </sheetData>
  <ignoredErrors>
    <ignoredError numberStoredAsText="1" sqref="A1:L41"/>
  </ignoredErrors>
</worksheet>
</file>

<file path=xl/worksheets/sheet91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IV.A.2.2 - Balok B174-2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B174-2</v>
      </c>
    </row>
    <row r="5">
      <c r="A5" t="str">
        <v>Unit</v>
      </c>
      <c r="B5" t="str">
        <v>m3</v>
      </c>
    </row>
    <row r="6">
      <c r="A6" t="str">
        <v>Volume</v>
      </c>
      <c r="B6">
        <v>0.3385125</v>
      </c>
    </row>
    <row r="7">
      <c r="A7" t="str">
        <v>Unit cost (Rp/m3)</v>
      </c>
      <c r="B7">
        <v>10302338.97959053</v>
      </c>
    </row>
    <row r="8">
      <c r="A8" t="str">
        <v>Line total at-cost (Rp)</v>
      </c>
      <c r="B8">
        <v>3487470.523828639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0.355438125</v>
      </c>
      <c r="L12">
        <v>361000.7316562501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0.3385125</v>
      </c>
      <c r="L14">
        <v>25388.4375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0.3385125</v>
      </c>
      <c r="L16">
        <v>592396.875</v>
      </c>
    </row>
    <row r="17">
      <c r="A17">
        <v>4</v>
      </c>
      <c r="B17" t="str">
        <v>BEKISTING BALOK (Material) — ratio 15.011410213803035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7.505705106901518</v>
      </c>
      <c r="J18">
        <v>1501141.0213803034</v>
      </c>
      <c r="K18">
        <v>2.540775</v>
      </c>
      <c r="L18">
        <v>508154.99999999994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33.77567298105683</v>
      </c>
      <c r="J19">
        <v>1607722.0338983051</v>
      </c>
      <c r="K19">
        <v>11.4334875</v>
      </c>
      <c r="L19">
        <v>544234.005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11.258557660352277</v>
      </c>
      <c r="J20">
        <v>535907.3446327684</v>
      </c>
      <c r="K20">
        <v>3.8111625000000005</v>
      </c>
      <c r="L20">
        <v>181411.33500000002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5.629278830176139</v>
      </c>
      <c r="J21">
        <v>73180.6247922898</v>
      </c>
      <c r="K21">
        <v>1.9055812500000002</v>
      </c>
      <c r="L21">
        <v>24772.55625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1.8764262767253794</v>
      </c>
      <c r="J22">
        <v>51601.72260994794</v>
      </c>
      <c r="K22">
        <v>0.63519375</v>
      </c>
      <c r="L22">
        <v>17467.828125</v>
      </c>
    </row>
    <row r="23">
      <c r="A23">
        <v>5</v>
      </c>
      <c r="B23" t="str">
        <v>BEKISTING BALOK PERALATAN (Material) — Perancah, ratio 15.011410213803035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3.752852553450759</v>
      </c>
      <c r="J24">
        <v>764688.8809907725</v>
      </c>
      <c r="K24">
        <v>1.2703875</v>
      </c>
      <c r="L24">
        <v>258856.74482638887</v>
      </c>
    </row>
    <row r="25">
      <c r="A25">
        <v>6</v>
      </c>
      <c r="B25" t="str">
        <v>PEMBESIAN (Material) — ratio 254.97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D10</v>
      </c>
      <c r="D26" t="str">
        <v>U24/U40 polos</v>
      </c>
      <c r="E26">
        <v>111.29371884346959</v>
      </c>
      <c r="F26" t="str">
        <v>kg</v>
      </c>
      <c r="G26" t="str">
        <v>per m3 beton</v>
      </c>
      <c r="H26">
        <v>10300</v>
      </c>
      <c r="I26">
        <v>111.29371884346959</v>
      </c>
      <c r="J26">
        <v>1146325.3040877369</v>
      </c>
      <c r="K26">
        <v>37.674315</v>
      </c>
      <c r="L26">
        <v>388045.44450000004</v>
      </c>
    </row>
    <row r="27">
      <c r="A27" t="str">
        <v/>
      </c>
      <c r="B27" t="str">
        <v/>
      </c>
      <c r="C27" t="str">
        <v>Besi beton D13</v>
      </c>
      <c r="D27" t="str">
        <v>U24/U40 polos</v>
      </c>
      <c r="E27">
        <v>143.67325224327018</v>
      </c>
      <c r="F27" t="str">
        <v>kg</v>
      </c>
      <c r="G27" t="str">
        <v>per m3 beton</v>
      </c>
      <c r="H27">
        <v>10300</v>
      </c>
      <c r="I27">
        <v>143.67325224327018</v>
      </c>
      <c r="J27">
        <v>1479834.498105683</v>
      </c>
      <c r="K27">
        <v>48.635191799999994</v>
      </c>
      <c r="L27">
        <v>500942.47553999996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12.748348554337</v>
      </c>
      <c r="J28">
        <v>131307.99010967108</v>
      </c>
      <c r="K28">
        <v>4.315475340000003</v>
      </c>
      <c r="L28">
        <v>44449.39600200003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254.96697108673976</v>
      </c>
      <c r="J29">
        <v>25496.697108673976</v>
      </c>
      <c r="K29">
        <v>86.3095068</v>
      </c>
      <c r="L29">
        <v>8630.95068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5.3543063928215355</v>
      </c>
      <c r="J30">
        <v>93700.36187437687</v>
      </c>
      <c r="K30">
        <v>1.8124996428</v>
      </c>
      <c r="L30">
        <v>31718.743749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10302338.97959053</v>
      </c>
      <c r="J32" t="str">
        <v/>
      </c>
      <c r="K32" t="str">
        <v/>
      </c>
      <c r="L32">
        <v>3487470.523828639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10302338.97959053</v>
      </c>
    </row>
    <row r="36">
      <c r="A36" t="str">
        <v>RAB (A) source unit cost</v>
      </c>
      <c r="B36">
        <v>10302338.979590531</v>
      </c>
    </row>
    <row r="37">
      <c r="A37" t="str">
        <v>Variance</v>
      </c>
      <c r="B37">
        <v>-1.862645149230957e-9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3487470.523828639</v>
      </c>
    </row>
    <row r="40">
      <c r="A40" t="str">
        <v>RAB (A) source line total</v>
      </c>
      <c r="B40">
        <v>3975716.397164649</v>
      </c>
    </row>
    <row r="41">
      <c r="A41" t="str">
        <v>Variance</v>
      </c>
      <c r="B41">
        <v>-488245.8733360097</v>
      </c>
      <c r="C41" t="str">
        <v>✓ OK</v>
      </c>
    </row>
  </sheetData>
  <ignoredErrors>
    <ignoredError numberStoredAsText="1" sqref="A1:L41"/>
  </ignoredErrors>
</worksheet>
</file>

<file path=xl/worksheets/sheet92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IV.A.2.3 - Balok B176-1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B176-1</v>
      </c>
    </row>
    <row r="5">
      <c r="A5" t="str">
        <v>Unit</v>
      </c>
      <c r="B5" t="str">
        <v>m3</v>
      </c>
    </row>
    <row r="6">
      <c r="A6" t="str">
        <v>Volume</v>
      </c>
      <c r="B6">
        <v>0.39151</v>
      </c>
    </row>
    <row r="7">
      <c r="A7" t="str">
        <v>Unit cost (Rp/m3)</v>
      </c>
      <c r="B7">
        <v>9134150.977017216</v>
      </c>
    </row>
    <row r="8">
      <c r="A8" t="str">
        <v>Line total at-cost (Rp)</v>
      </c>
      <c r="B8">
        <v>3576111.449012011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0.41108550000000005</v>
      </c>
      <c r="L12">
        <v>417518.9880750001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0.39151</v>
      </c>
      <c r="L14">
        <v>29363.250000000004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0.39151</v>
      </c>
      <c r="L16">
        <v>685142.5</v>
      </c>
    </row>
    <row r="17">
      <c r="A17">
        <v>4</v>
      </c>
      <c r="B17" t="str">
        <v>BEKISTING BALOK (Material) — ratio 13.892365456821025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6.946182728410513</v>
      </c>
      <c r="J18">
        <v>1389236.5456821024</v>
      </c>
      <c r="K18">
        <v>2.7195</v>
      </c>
      <c r="L18">
        <v>543900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31.257822277847307</v>
      </c>
      <c r="J19">
        <v>1487872.3404255318</v>
      </c>
      <c r="K19">
        <v>12.23775</v>
      </c>
      <c r="L19">
        <v>582516.9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10.419274092615769</v>
      </c>
      <c r="J20">
        <v>495957.4468085106</v>
      </c>
      <c r="K20">
        <v>4.07925</v>
      </c>
      <c r="L20">
        <v>194172.3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5.2096370463078845</v>
      </c>
      <c r="J21">
        <v>67725.28160200249</v>
      </c>
      <c r="K21">
        <v>2.039625</v>
      </c>
      <c r="L21">
        <v>26515.124999999996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1.7365456821026282</v>
      </c>
      <c r="J22">
        <v>47755.00625782227</v>
      </c>
      <c r="K22">
        <v>0.679875</v>
      </c>
      <c r="L22">
        <v>18696.5625</v>
      </c>
    </row>
    <row r="23">
      <c r="A23">
        <v>5</v>
      </c>
      <c r="B23" t="str">
        <v>BEKISTING BALOK PERALATAN (Material) — Perancah, ratio 13.892365456821025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3.4730913642052563</v>
      </c>
      <c r="J24">
        <v>707684.1711862049</v>
      </c>
      <c r="K24">
        <v>1.35975</v>
      </c>
      <c r="L24">
        <v>277065.4298611111</v>
      </c>
    </row>
    <row r="25">
      <c r="A25">
        <v>6</v>
      </c>
      <c r="B25" t="str">
        <v>PEMBESIAN (Material) — ratio 181.39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D10</v>
      </c>
      <c r="D26" t="str">
        <v>U24/U40 polos</v>
      </c>
      <c r="E26">
        <v>98.16507879747643</v>
      </c>
      <c r="F26" t="str">
        <v>kg</v>
      </c>
      <c r="G26" t="str">
        <v>per m3 beton</v>
      </c>
      <c r="H26">
        <v>10300</v>
      </c>
      <c r="I26">
        <v>98.16507879747643</v>
      </c>
      <c r="J26">
        <v>1011100.3116140072</v>
      </c>
      <c r="K26">
        <v>38.43261</v>
      </c>
      <c r="L26">
        <v>395855.883</v>
      </c>
    </row>
    <row r="27">
      <c r="A27" t="str">
        <v/>
      </c>
      <c r="B27" t="str">
        <v/>
      </c>
      <c r="C27" t="str">
        <v>Besi beton D13</v>
      </c>
      <c r="D27" t="str">
        <v>U24/U40 polos</v>
      </c>
      <c r="E27">
        <v>83.22093361599958</v>
      </c>
      <c r="F27" t="str">
        <v>kg</v>
      </c>
      <c r="G27" t="str">
        <v>per m3 beton</v>
      </c>
      <c r="H27">
        <v>10300</v>
      </c>
      <c r="I27">
        <v>83.22093361599958</v>
      </c>
      <c r="J27">
        <v>857175.6162447957</v>
      </c>
      <c r="K27">
        <v>32.58182772</v>
      </c>
      <c r="L27">
        <v>335592.825516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9.06930062067381</v>
      </c>
      <c r="J28">
        <v>93413.79639294023</v>
      </c>
      <c r="K28">
        <v>3.5507218860000034</v>
      </c>
      <c r="L28">
        <v>36572.43542580003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181.386012413476</v>
      </c>
      <c r="J29">
        <v>18138.601241347602</v>
      </c>
      <c r="K29">
        <v>71.01443772</v>
      </c>
      <c r="L29">
        <v>7101.443772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3.8091062606829964</v>
      </c>
      <c r="J30">
        <v>66659.35956195244</v>
      </c>
      <c r="K30">
        <v>1.49130319212</v>
      </c>
      <c r="L30">
        <v>26097.805862100002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9134150.977017216</v>
      </c>
      <c r="J32" t="str">
        <v/>
      </c>
      <c r="K32" t="str">
        <v/>
      </c>
      <c r="L32">
        <v>3576111.449012011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9134150.977017216</v>
      </c>
    </row>
    <row r="36">
      <c r="A36" t="str">
        <v>RAB (A) source unit cost</v>
      </c>
      <c r="B36">
        <v>9134150.977017216</v>
      </c>
    </row>
    <row r="37">
      <c r="A37" t="str">
        <v>Variance</v>
      </c>
      <c r="B37">
        <v>0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3576111.449012011</v>
      </c>
    </row>
    <row r="40">
      <c r="A40" t="str">
        <v>RAB (A) source line total</v>
      </c>
      <c r="B40">
        <v>4076767.051873692</v>
      </c>
    </row>
    <row r="41">
      <c r="A41" t="str">
        <v>Variance</v>
      </c>
      <c r="B41">
        <v>-500655.602861681</v>
      </c>
      <c r="C41" t="str">
        <v>✓ OK</v>
      </c>
    </row>
  </sheetData>
  <ignoredErrors>
    <ignoredError numberStoredAsText="1" sqref="A1:L41"/>
  </ignoredErrors>
</worksheet>
</file>

<file path=xl/worksheets/sheet93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IV.A.2.4 - Balok B23-1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B23-1</v>
      </c>
    </row>
    <row r="5">
      <c r="A5" t="str">
        <v>Unit</v>
      </c>
      <c r="B5" t="str">
        <v>m3</v>
      </c>
    </row>
    <row r="6">
      <c r="A6" t="str">
        <v>Volume</v>
      </c>
      <c r="B6">
        <v>0.23910000000000003</v>
      </c>
    </row>
    <row r="7">
      <c r="A7" t="str">
        <v>Unit cost (Rp/m3)</v>
      </c>
      <c r="B7">
        <v>10756023.05122411</v>
      </c>
    </row>
    <row r="8">
      <c r="A8" t="str">
        <v>Line total at-cost (Rp)</v>
      </c>
      <c r="B8">
        <v>2571765.111547685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0.25105500000000003</v>
      </c>
      <c r="L12">
        <v>254984.0107500001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0.23910000000000003</v>
      </c>
      <c r="L14">
        <v>17932.500000000004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0.23910000000000003</v>
      </c>
      <c r="L16">
        <v>418425.00000000006</v>
      </c>
    </row>
    <row r="17">
      <c r="A17">
        <v>4</v>
      </c>
      <c r="B17" t="str">
        <v>BEKISTING BALOK (Material) — ratio 16.231702216645754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8.115851108322877</v>
      </c>
      <c r="J18">
        <v>1623170.2216645754</v>
      </c>
      <c r="K18">
        <v>1.9405000000000001</v>
      </c>
      <c r="L18">
        <v>388100.00000000006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36.521329987452944</v>
      </c>
      <c r="J19">
        <v>1738415.30740276</v>
      </c>
      <c r="K19">
        <v>8.73225</v>
      </c>
      <c r="L19">
        <v>415655.1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12.173776662484315</v>
      </c>
      <c r="J20">
        <v>579471.7691342534</v>
      </c>
      <c r="K20">
        <v>2.91075</v>
      </c>
      <c r="L20">
        <v>138551.7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6.086888331242157</v>
      </c>
      <c r="J21">
        <v>79129.54830614805</v>
      </c>
      <c r="K21">
        <v>1.455375</v>
      </c>
      <c r="L21">
        <v>18919.875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2.0289627770807193</v>
      </c>
      <c r="J22">
        <v>55796.47636971978</v>
      </c>
      <c r="K22">
        <v>0.48512500000000003</v>
      </c>
      <c r="L22">
        <v>13340.9375</v>
      </c>
    </row>
    <row r="23">
      <c r="A23">
        <v>5</v>
      </c>
      <c r="B23" t="str">
        <v>BEKISTING BALOK PERALATAN (Material) — Perancah, ratio 16.231702216645754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4.0579255541614385</v>
      </c>
      <c r="J24">
        <v>826851.177060582</v>
      </c>
      <c r="K24">
        <v>0.9702500000000001</v>
      </c>
      <c r="L24">
        <v>197700.1164351852</v>
      </c>
    </row>
    <row r="25">
      <c r="A25">
        <v>6</v>
      </c>
      <c r="B25" t="str">
        <v>PEMBESIAN (Material) — ratio 262.51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D8</v>
      </c>
      <c r="D26" t="str">
        <v>U24/U40 polos</v>
      </c>
      <c r="E26">
        <v>105.46352823086573</v>
      </c>
      <c r="F26" t="str">
        <v>kg</v>
      </c>
      <c r="G26" t="str">
        <v>per m3 beton</v>
      </c>
      <c r="H26">
        <v>10300</v>
      </c>
      <c r="I26">
        <v>105.46352823086573</v>
      </c>
      <c r="J26">
        <v>1086274.340777917</v>
      </c>
      <c r="K26">
        <v>25.2163296</v>
      </c>
      <c r="L26">
        <v>259728.19488</v>
      </c>
    </row>
    <row r="27">
      <c r="A27" t="str">
        <v/>
      </c>
      <c r="B27" t="str">
        <v/>
      </c>
      <c r="C27" t="str">
        <v>Besi beton D13</v>
      </c>
      <c r="D27" t="str">
        <v>U24/U40 polos</v>
      </c>
      <c r="E27">
        <v>157.0453174404015</v>
      </c>
      <c r="F27" t="str">
        <v>kg</v>
      </c>
      <c r="G27" t="str">
        <v>per m3 beton</v>
      </c>
      <c r="H27">
        <v>10300</v>
      </c>
      <c r="I27">
        <v>157.0453174404015</v>
      </c>
      <c r="J27">
        <v>1617566.7696361355</v>
      </c>
      <c r="K27">
        <v>37.5495354</v>
      </c>
      <c r="L27">
        <v>386760.21462000004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13.125442283563373</v>
      </c>
      <c r="J28">
        <v>135192.05552070274</v>
      </c>
      <c r="K28">
        <v>3.138293250000003</v>
      </c>
      <c r="L28">
        <v>32324.420475000028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262.50884567126724</v>
      </c>
      <c r="J29">
        <v>26250.884567126723</v>
      </c>
      <c r="K29">
        <v>62.765865000000005</v>
      </c>
      <c r="L29">
        <v>6276.5865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5.5126857590966125</v>
      </c>
      <c r="J30">
        <v>96472.00078419072</v>
      </c>
      <c r="K30">
        <v>1.3180831650000002</v>
      </c>
      <c r="L30">
        <v>23066.455387500006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10756023.05122411</v>
      </c>
      <c r="J32" t="str">
        <v/>
      </c>
      <c r="K32" t="str">
        <v/>
      </c>
      <c r="L32">
        <v>2571765.111547685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10756023.05122411</v>
      </c>
    </row>
    <row r="36">
      <c r="A36" t="str">
        <v>RAB (A) source unit cost</v>
      </c>
      <c r="B36">
        <v>10756023.051224113</v>
      </c>
    </row>
    <row r="37">
      <c r="A37" t="str">
        <v>Variance</v>
      </c>
      <c r="B37">
        <v>-1.862645149230957e-9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2571765.111547685</v>
      </c>
    </row>
    <row r="40">
      <c r="A40" t="str">
        <v>RAB (A) source line total</v>
      </c>
      <c r="B40">
        <v>2931812.227164361</v>
      </c>
    </row>
    <row r="41">
      <c r="A41" t="str">
        <v>Variance</v>
      </c>
      <c r="B41">
        <v>-360047.11561667593</v>
      </c>
      <c r="C41" t="str">
        <v>✓ OK</v>
      </c>
    </row>
  </sheetData>
  <ignoredErrors>
    <ignoredError numberStoredAsText="1" sqref="A1:L41"/>
  </ignoredErrors>
</worksheet>
</file>

<file path=xl/worksheets/sheet94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IV.A.2.5 - Balok B23-2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B23-2</v>
      </c>
    </row>
    <row r="5">
      <c r="A5" t="str">
        <v>Unit</v>
      </c>
      <c r="B5" t="str">
        <v>m3</v>
      </c>
    </row>
    <row r="6">
      <c r="A6" t="str">
        <v>Volume</v>
      </c>
      <c r="B6">
        <v>0.11339</v>
      </c>
    </row>
    <row r="7">
      <c r="A7" t="str">
        <v>Unit cost (Rp/m3)</v>
      </c>
      <c r="B7">
        <v>10637336.235894589</v>
      </c>
    </row>
    <row r="8">
      <c r="A8" t="str">
        <v>Line total at-cost (Rp)</v>
      </c>
      <c r="B8">
        <v>1206167.5557880874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0.11905950000000001</v>
      </c>
      <c r="L12">
        <v>120922.78117500003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0.11339</v>
      </c>
      <c r="L14">
        <v>8504.25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0.11339</v>
      </c>
      <c r="L16">
        <v>198432.5</v>
      </c>
    </row>
    <row r="17">
      <c r="A17">
        <v>4</v>
      </c>
      <c r="B17" t="str">
        <v>BEKISTING BALOK (Material) — ratio 15.88235294117647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7.941176470588235</v>
      </c>
      <c r="J18">
        <v>1588235.294117647</v>
      </c>
      <c r="K18">
        <v>0.90045</v>
      </c>
      <c r="L18">
        <v>180090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35.73529411764706</v>
      </c>
      <c r="J19">
        <v>1701000</v>
      </c>
      <c r="K19">
        <v>4.052025</v>
      </c>
      <c r="L19">
        <v>192876.39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11.911764705882351</v>
      </c>
      <c r="J20">
        <v>566999.9999999999</v>
      </c>
      <c r="K20">
        <v>1.3506749999999998</v>
      </c>
      <c r="L20">
        <v>64292.12999999999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5.955882352941176</v>
      </c>
      <c r="J21">
        <v>77426.47058823529</v>
      </c>
      <c r="K21">
        <v>0.6753374999999999</v>
      </c>
      <c r="L21">
        <v>8779.387499999999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1.9852941176470587</v>
      </c>
      <c r="J22">
        <v>54595.58823529411</v>
      </c>
      <c r="K22">
        <v>0.2251125</v>
      </c>
      <c r="L22">
        <v>6190.59375</v>
      </c>
    </row>
    <row r="23">
      <c r="A23">
        <v>5</v>
      </c>
      <c r="B23" t="str">
        <v>BEKISTING BALOK PERALATAN (Material) — Perancah, ratio 15.88235294117647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3.9705882352941173</v>
      </c>
      <c r="J24">
        <v>809055.1470588234</v>
      </c>
      <c r="K24">
        <v>0.450225</v>
      </c>
      <c r="L24">
        <v>91738.76312499998</v>
      </c>
    </row>
    <row r="25">
      <c r="A25">
        <v>6</v>
      </c>
      <c r="B25" t="str">
        <v>PEMBESIAN (Material) — ratio 261.34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D8</v>
      </c>
      <c r="D26" t="str">
        <v>U24/U40 polos</v>
      </c>
      <c r="E26">
        <v>83.75570332480818</v>
      </c>
      <c r="F26" t="str">
        <v>kg</v>
      </c>
      <c r="G26" t="str">
        <v>per m3 beton</v>
      </c>
      <c r="H26">
        <v>10300</v>
      </c>
      <c r="I26">
        <v>83.75570332480818</v>
      </c>
      <c r="J26">
        <v>862683.7442455243</v>
      </c>
      <c r="K26">
        <v>9.4970592</v>
      </c>
      <c r="L26">
        <v>97819.70976</v>
      </c>
    </row>
    <row r="27">
      <c r="A27" t="str">
        <v/>
      </c>
      <c r="B27" t="str">
        <v/>
      </c>
      <c r="C27" t="str">
        <v>Besi beton D13</v>
      </c>
      <c r="D27" t="str">
        <v>U24/U40 polos</v>
      </c>
      <c r="E27">
        <v>177.58630739042243</v>
      </c>
      <c r="F27" t="str">
        <v>kg</v>
      </c>
      <c r="G27" t="str">
        <v>per m3 beton</v>
      </c>
      <c r="H27">
        <v>10300</v>
      </c>
      <c r="I27">
        <v>177.58630739042243</v>
      </c>
      <c r="J27">
        <v>1829138.966121351</v>
      </c>
      <c r="K27">
        <v>20.136511395</v>
      </c>
      <c r="L27">
        <v>207406.06736850002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13.067100535761544</v>
      </c>
      <c r="J28">
        <v>134591.1355183439</v>
      </c>
      <c r="K28">
        <v>1.4816785297500015</v>
      </c>
      <c r="L28">
        <v>15261.288856425013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261.34201071523063</v>
      </c>
      <c r="J29">
        <v>26134.201071523064</v>
      </c>
      <c r="K29">
        <v>29.633570595000002</v>
      </c>
      <c r="L29">
        <v>2963.3570595000006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5.488182225019844</v>
      </c>
      <c r="J30">
        <v>96043.18893784727</v>
      </c>
      <c r="K30">
        <v>0.6223049824950001</v>
      </c>
      <c r="L30">
        <v>10890.337193662503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10637336.235894589</v>
      </c>
      <c r="J32" t="str">
        <v/>
      </c>
      <c r="K32" t="str">
        <v/>
      </c>
      <c r="L32">
        <v>1206167.5557880874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10637336.235894589</v>
      </c>
    </row>
    <row r="36">
      <c r="A36" t="str">
        <v>RAB (A) source unit cost</v>
      </c>
      <c r="B36">
        <v>10637336.235894589</v>
      </c>
    </row>
    <row r="37">
      <c r="A37" t="str">
        <v>Variance</v>
      </c>
      <c r="B37">
        <v>0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1206167.5557880874</v>
      </c>
    </row>
    <row r="40">
      <c r="A40" t="str">
        <v>RAB (A) source line total</v>
      </c>
      <c r="B40">
        <v>1375031.0135984195</v>
      </c>
    </row>
    <row r="41">
      <c r="A41" t="str">
        <v>Variance</v>
      </c>
      <c r="B41">
        <v>-168863.45781033207</v>
      </c>
      <c r="C41" t="str">
        <v>✓ OK</v>
      </c>
    </row>
  </sheetData>
  <ignoredErrors>
    <ignoredError numberStoredAsText="1" sqref="A1:L41"/>
  </ignoredErrors>
</worksheet>
</file>

<file path=xl/worksheets/sheet95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IV.A.2.6 - Balok B24-1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B24-1</v>
      </c>
    </row>
    <row r="5">
      <c r="A5" t="str">
        <v>Unit</v>
      </c>
      <c r="B5" t="str">
        <v>m3</v>
      </c>
    </row>
    <row r="6">
      <c r="A6" t="str">
        <v>Volume</v>
      </c>
      <c r="B6">
        <v>1.73119</v>
      </c>
    </row>
    <row r="7">
      <c r="A7" t="str">
        <v>Unit cost (Rp/m3)</v>
      </c>
      <c r="B7">
        <v>8324538.023753094</v>
      </c>
    </row>
    <row r="8">
      <c r="A8" t="str">
        <v>Line total at-cost (Rp)</v>
      </c>
      <c r="B8">
        <v>14411356.981341118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1.8177495000000001</v>
      </c>
      <c r="L12">
        <v>1846197.2796750003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1.73119</v>
      </c>
      <c r="L14">
        <v>129839.25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1.73119</v>
      </c>
      <c r="L16">
        <v>3029582.5</v>
      </c>
    </row>
    <row r="17">
      <c r="A17">
        <v>4</v>
      </c>
      <c r="B17" t="str">
        <v>BEKISTING BALOK (Material) — ratio 13.246899531536108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6.623449765768054</v>
      </c>
      <c r="J18">
        <v>1324689.953153611</v>
      </c>
      <c r="K18">
        <v>11.466449999999998</v>
      </c>
      <c r="L18">
        <v>2293289.9999999995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29.805523945956246</v>
      </c>
      <c r="J19">
        <v>1418742.9398275174</v>
      </c>
      <c r="K19">
        <v>51.59902499999999</v>
      </c>
      <c r="L19">
        <v>2456113.59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9.935174648652081</v>
      </c>
      <c r="J20">
        <v>472914.3132758391</v>
      </c>
      <c r="K20">
        <v>17.199674999999996</v>
      </c>
      <c r="L20">
        <v>818704.5299999999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4.967587324326041</v>
      </c>
      <c r="J21">
        <v>64578.63521623853</v>
      </c>
      <c r="K21">
        <v>8.599837499999998</v>
      </c>
      <c r="L21">
        <v>111797.88749999998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1.6558624414420136</v>
      </c>
      <c r="J22">
        <v>45536.217139655375</v>
      </c>
      <c r="K22">
        <v>2.8666124999999996</v>
      </c>
      <c r="L22">
        <v>78831.84374999999</v>
      </c>
    </row>
    <row r="23">
      <c r="A23">
        <v>5</v>
      </c>
      <c r="B23" t="str">
        <v>BEKISTING BALOK PERALATAN (Material) — Perancah, ratio 13.246899531536108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3.311724882884027</v>
      </c>
      <c r="J24">
        <v>674803.8082426923</v>
      </c>
      <c r="K24">
        <v>5.733224999999999</v>
      </c>
      <c r="L24">
        <v>1168213.6047916664</v>
      </c>
    </row>
    <row r="25">
      <c r="A25">
        <v>6</v>
      </c>
      <c r="B25" t="str">
        <v>PEMBESIAN (Material) — ratio 126.91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D8</v>
      </c>
      <c r="D26" t="str">
        <v>U24/U40 polos</v>
      </c>
      <c r="E26">
        <v>53.992493025029034</v>
      </c>
      <c r="F26" t="str">
        <v>kg</v>
      </c>
      <c r="G26" t="str">
        <v>per m3 beton</v>
      </c>
      <c r="H26">
        <v>10300</v>
      </c>
      <c r="I26">
        <v>53.992493025029034</v>
      </c>
      <c r="J26">
        <v>556122.6781577991</v>
      </c>
      <c r="K26">
        <v>93.47126400000002</v>
      </c>
      <c r="L26">
        <v>962754.0192000002</v>
      </c>
    </row>
    <row r="27">
      <c r="A27" t="str">
        <v/>
      </c>
      <c r="B27" t="str">
        <v/>
      </c>
      <c r="C27" t="str">
        <v>Besi beton D13</v>
      </c>
      <c r="D27" t="str">
        <v>U24/U40 polos</v>
      </c>
      <c r="E27">
        <v>72.91551999491678</v>
      </c>
      <c r="F27" t="str">
        <v>kg</v>
      </c>
      <c r="G27" t="str">
        <v>per m3 beton</v>
      </c>
      <c r="H27">
        <v>10300</v>
      </c>
      <c r="I27">
        <v>72.91551999491678</v>
      </c>
      <c r="J27">
        <v>751029.8559476428</v>
      </c>
      <c r="K27">
        <v>126.23061905999998</v>
      </c>
      <c r="L27">
        <v>1300175.3763179998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6.345400650997297</v>
      </c>
      <c r="J28">
        <v>65357.62670527215</v>
      </c>
      <c r="K28">
        <v>10.98509415300001</v>
      </c>
      <c r="L28">
        <v>113146.4697759001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126.90801301994581</v>
      </c>
      <c r="J29">
        <v>12690.801301994581</v>
      </c>
      <c r="K29">
        <v>219.70188306</v>
      </c>
      <c r="L29">
        <v>21970.188306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2.6650682734188624</v>
      </c>
      <c r="J30">
        <v>46638.69478483009</v>
      </c>
      <c r="K30">
        <v>4.61373954426</v>
      </c>
      <c r="L30">
        <v>80740.44202455001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8324538.023753094</v>
      </c>
      <c r="J32" t="str">
        <v/>
      </c>
      <c r="K32" t="str">
        <v/>
      </c>
      <c r="L32">
        <v>14411356.981341118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8324538.023753094</v>
      </c>
    </row>
    <row r="36">
      <c r="A36" t="str">
        <v>RAB (A) source unit cost</v>
      </c>
      <c r="B36">
        <v>8324538.023753093</v>
      </c>
    </row>
    <row r="37">
      <c r="A37" t="str">
        <v>Variance</v>
      </c>
      <c r="B37">
        <v>9.313225746154785e-10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14411356.981341118</v>
      </c>
    </row>
    <row r="40">
      <c r="A40" t="str">
        <v>RAB (A) source line total</v>
      </c>
      <c r="B40">
        <v>16428946.95872887</v>
      </c>
    </row>
    <row r="41">
      <c r="A41" t="str">
        <v>Variance</v>
      </c>
      <c r="B41">
        <v>-2017589.9773877524</v>
      </c>
      <c r="C41" t="str">
        <v>✓ OK</v>
      </c>
    </row>
  </sheetData>
  <ignoredErrors>
    <ignoredError numberStoredAsText="1" sqref="A1:L41"/>
  </ignoredErrors>
</worksheet>
</file>

<file path=xl/worksheets/sheet96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IV.A.2.7 - Balok B24-2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B24-2</v>
      </c>
    </row>
    <row r="5">
      <c r="A5" t="str">
        <v>Unit</v>
      </c>
      <c r="B5" t="str">
        <v>m3</v>
      </c>
    </row>
    <row r="6">
      <c r="A6" t="str">
        <v>Volume</v>
      </c>
      <c r="B6">
        <v>1.4598900000000001</v>
      </c>
    </row>
    <row r="7">
      <c r="A7" t="str">
        <v>Unit cost (Rp/m3)</v>
      </c>
      <c r="B7">
        <v>8487368.717616836</v>
      </c>
    </row>
    <row r="8">
      <c r="A8" t="str">
        <v>Line total at-cost (Rp)</v>
      </c>
      <c r="B8">
        <v>12390624.717161642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1.5328845000000002</v>
      </c>
      <c r="L12">
        <v>1556874.1424250004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1.4598900000000001</v>
      </c>
      <c r="L14">
        <v>109491.75000000001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1.4598900000000001</v>
      </c>
      <c r="L16">
        <v>2554807.5</v>
      </c>
    </row>
    <row r="17">
      <c r="A17">
        <v>4</v>
      </c>
      <c r="B17" t="str">
        <v>BEKISTING BALOK (Material) — ratio 12.973511702936522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6.486755851468261</v>
      </c>
      <c r="J18">
        <v>1297351.1702936522</v>
      </c>
      <c r="K18">
        <v>9.46995</v>
      </c>
      <c r="L18">
        <v>1893990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29.190401331607173</v>
      </c>
      <c r="J19">
        <v>1389463.1033845015</v>
      </c>
      <c r="K19">
        <v>42.614775</v>
      </c>
      <c r="L19">
        <v>2028463.29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9.730133777202392</v>
      </c>
      <c r="J20">
        <v>463154.36779483384</v>
      </c>
      <c r="K20">
        <v>14.204925000000001</v>
      </c>
      <c r="L20">
        <v>676154.43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4.865066888601196</v>
      </c>
      <c r="J21">
        <v>63245.869551815544</v>
      </c>
      <c r="K21">
        <v>7.102462500000001</v>
      </c>
      <c r="L21">
        <v>92332.0125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1.6216889628670652</v>
      </c>
      <c r="J22">
        <v>44596.44647884429</v>
      </c>
      <c r="K22">
        <v>2.3674875</v>
      </c>
      <c r="L22">
        <v>65105.90625</v>
      </c>
    </row>
    <row r="23">
      <c r="A23">
        <v>5</v>
      </c>
      <c r="B23" t="str">
        <v>BEKISTING BALOK PERALATAN (Material) — Perancah, ratio 12.973511702936522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3.2433779257341304</v>
      </c>
      <c r="J24">
        <v>660877.2930285461</v>
      </c>
      <c r="K24">
        <v>4.734975</v>
      </c>
      <c r="L24">
        <v>964808.1513194443</v>
      </c>
    </row>
    <row r="25">
      <c r="A25">
        <v>6</v>
      </c>
      <c r="B25" t="str">
        <v>PEMBESIAN (Material) — ratio 148.66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D8</v>
      </c>
      <c r="D26" t="str">
        <v>U24/U40 polos</v>
      </c>
      <c r="E26">
        <v>48.15886566796129</v>
      </c>
      <c r="F26" t="str">
        <v>kg</v>
      </c>
      <c r="G26" t="str">
        <v>per m3 beton</v>
      </c>
      <c r="H26">
        <v>10300</v>
      </c>
      <c r="I26">
        <v>48.15886566796129</v>
      </c>
      <c r="J26">
        <v>496036.31638000126</v>
      </c>
      <c r="K26">
        <v>70.3066464</v>
      </c>
      <c r="L26">
        <v>724158.4579200001</v>
      </c>
    </row>
    <row r="27">
      <c r="A27" t="str">
        <v/>
      </c>
      <c r="B27" t="str">
        <v/>
      </c>
      <c r="C27" t="str">
        <v>Besi beton D16</v>
      </c>
      <c r="D27" t="str">
        <v>U24/U40 polos</v>
      </c>
      <c r="E27">
        <v>100.50038246717217</v>
      </c>
      <c r="F27" t="str">
        <v>kg</v>
      </c>
      <c r="G27" t="str">
        <v>per m3 beton</v>
      </c>
      <c r="H27">
        <v>10300</v>
      </c>
      <c r="I27">
        <v>100.50038246717217</v>
      </c>
      <c r="J27">
        <v>1035153.9394118733</v>
      </c>
      <c r="K27">
        <v>146.71950336</v>
      </c>
      <c r="L27">
        <v>1511210.8846079998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7.432962406756679</v>
      </c>
      <c r="J28">
        <v>76559.51278959379</v>
      </c>
      <c r="K28">
        <v>10.851307488000009</v>
      </c>
      <c r="L28">
        <v>111768.4671264001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148.65924813513345</v>
      </c>
      <c r="J29">
        <v>14865.924813513346</v>
      </c>
      <c r="K29">
        <v>217.02614976</v>
      </c>
      <c r="L29">
        <v>21702.614976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3.1218442108378026</v>
      </c>
      <c r="J30">
        <v>54632.273689661546</v>
      </c>
      <c r="K30">
        <v>4.55754914496</v>
      </c>
      <c r="L30">
        <v>79757.1100368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8487368.717616836</v>
      </c>
      <c r="J32" t="str">
        <v/>
      </c>
      <c r="K32" t="str">
        <v/>
      </c>
      <c r="L32">
        <v>12390624.717161642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8487368.717616836</v>
      </c>
    </row>
    <row r="36">
      <c r="A36" t="str">
        <v>RAB (A) source unit cost</v>
      </c>
      <c r="B36">
        <v>8487368.717616837</v>
      </c>
    </row>
    <row r="37">
      <c r="A37" t="str">
        <v>Variance</v>
      </c>
      <c r="B37">
        <v>-1.862645149230957e-9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12390624.717161642</v>
      </c>
    </row>
    <row r="40">
      <c r="A40" t="str">
        <v>RAB (A) source line total</v>
      </c>
      <c r="B40">
        <v>14125312.177564276</v>
      </c>
    </row>
    <row r="41">
      <c r="A41" t="str">
        <v>Variance</v>
      </c>
      <c r="B41">
        <v>-1734687.460402634</v>
      </c>
      <c r="C41" t="str">
        <v>✓ OK</v>
      </c>
    </row>
  </sheetData>
  <ignoredErrors>
    <ignoredError numberStoredAsText="1" sqref="A1:L41"/>
  </ignoredErrors>
</worksheet>
</file>

<file path=xl/worksheets/sheet97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IV.A.2.8 - Balok B24-3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B24-3</v>
      </c>
    </row>
    <row r="5">
      <c r="A5" t="str">
        <v>Unit</v>
      </c>
      <c r="B5" t="str">
        <v>m3</v>
      </c>
    </row>
    <row r="6">
      <c r="A6" t="str">
        <v>Volume</v>
      </c>
      <c r="B6">
        <v>0.23031</v>
      </c>
    </row>
    <row r="7">
      <c r="A7" t="str">
        <v>Unit cost (Rp/m3)</v>
      </c>
      <c r="B7">
        <v>10276067.994545823</v>
      </c>
    </row>
    <row r="8">
      <c r="A8" t="str">
        <v>Line total at-cost (Rp)</v>
      </c>
      <c r="B8">
        <v>2366681.2198238485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0.2418255</v>
      </c>
      <c r="L12">
        <v>245610.06907500004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0.23031</v>
      </c>
      <c r="L14">
        <v>17273.25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0.23031</v>
      </c>
      <c r="L16">
        <v>403042.5</v>
      </c>
    </row>
    <row r="17">
      <c r="A17">
        <v>4</v>
      </c>
      <c r="B17" t="str">
        <v>BEKISTING BALOK (Material) — ratio 13.703703703703704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6.851851851851852</v>
      </c>
      <c r="J18">
        <v>1370370.3703703703</v>
      </c>
      <c r="K18">
        <v>1.57805</v>
      </c>
      <c r="L18">
        <v>315610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30.833333333333336</v>
      </c>
      <c r="J19">
        <v>1467666.6666666667</v>
      </c>
      <c r="K19">
        <v>7.101225</v>
      </c>
      <c r="L19">
        <v>338018.31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10.277777777777779</v>
      </c>
      <c r="J20">
        <v>489222.22222222225</v>
      </c>
      <c r="K20">
        <v>2.3670750000000003</v>
      </c>
      <c r="L20">
        <v>112672.77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5.138888888888889</v>
      </c>
      <c r="J21">
        <v>66805.55555555556</v>
      </c>
      <c r="K21">
        <v>1.1835375000000001</v>
      </c>
      <c r="L21">
        <v>15385.987500000001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1.712962962962963</v>
      </c>
      <c r="J22">
        <v>47106.48148148148</v>
      </c>
      <c r="K22">
        <v>0.3945125</v>
      </c>
      <c r="L22">
        <v>10849.09375</v>
      </c>
    </row>
    <row r="23">
      <c r="A23">
        <v>5</v>
      </c>
      <c r="B23" t="str">
        <v>BEKISTING BALOK PERALATAN (Material) — Perancah, ratio 13.703703703703704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3.425925925925926</v>
      </c>
      <c r="J24">
        <v>698073.6454046639</v>
      </c>
      <c r="K24">
        <v>0.789025</v>
      </c>
      <c r="L24">
        <v>160773.34127314814</v>
      </c>
    </row>
    <row r="25">
      <c r="A25">
        <v>6</v>
      </c>
      <c r="B25" t="str">
        <v>PEMBESIAN (Material) — ratio 287.65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D10</v>
      </c>
      <c r="D26" t="str">
        <v>U24/U40 polos</v>
      </c>
      <c r="E26">
        <v>96.4996092223525</v>
      </c>
      <c r="F26" t="str">
        <v>kg</v>
      </c>
      <c r="G26" t="str">
        <v>per m3 beton</v>
      </c>
      <c r="H26">
        <v>10300</v>
      </c>
      <c r="I26">
        <v>96.4996092223525</v>
      </c>
      <c r="J26">
        <v>993945.9749902308</v>
      </c>
      <c r="K26">
        <v>22.224825000000003</v>
      </c>
      <c r="L26">
        <v>228915.69750000004</v>
      </c>
    </row>
    <row r="27">
      <c r="A27" t="str">
        <v/>
      </c>
      <c r="B27" t="str">
        <v/>
      </c>
      <c r="C27" t="str">
        <v>Besi beton D16</v>
      </c>
      <c r="D27" t="str">
        <v>U24/U40 polos</v>
      </c>
      <c r="E27">
        <v>191.14856740914416</v>
      </c>
      <c r="F27" t="str">
        <v>kg</v>
      </c>
      <c r="G27" t="str">
        <v>per m3 beton</v>
      </c>
      <c r="H27">
        <v>10300</v>
      </c>
      <c r="I27">
        <v>191.14856740914416</v>
      </c>
      <c r="J27">
        <v>1968830.2443141849</v>
      </c>
      <c r="K27">
        <v>44.02342655999999</v>
      </c>
      <c r="L27">
        <v>453441.2935679999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14.382408831574846</v>
      </c>
      <c r="J28">
        <v>148138.8109652209</v>
      </c>
      <c r="K28">
        <v>3.3124125780000027</v>
      </c>
      <c r="L28">
        <v>34117.849553400025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287.64817663149665</v>
      </c>
      <c r="J29">
        <v>28764.817663149664</v>
      </c>
      <c r="K29">
        <v>66.24825155999999</v>
      </c>
      <c r="L29">
        <v>6624.825155999999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6.04061170926143</v>
      </c>
      <c r="J30">
        <v>105710.70491207503</v>
      </c>
      <c r="K30">
        <v>1.39121328276</v>
      </c>
      <c r="L30">
        <v>24346.232448299997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10276067.994545823</v>
      </c>
      <c r="J32" t="str">
        <v/>
      </c>
      <c r="K32" t="str">
        <v/>
      </c>
      <c r="L32">
        <v>2366681.2198238485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10276067.994545823</v>
      </c>
    </row>
    <row r="36">
      <c r="A36" t="str">
        <v>RAB (A) source unit cost</v>
      </c>
      <c r="B36">
        <v>10276067.994545821</v>
      </c>
    </row>
    <row r="37">
      <c r="A37" t="str">
        <v>Variance</v>
      </c>
      <c r="B37">
        <v>1.862645149230957e-9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2366681.2198238485</v>
      </c>
    </row>
    <row r="40">
      <c r="A40" t="str">
        <v>RAB (A) source line total</v>
      </c>
      <c r="B40">
        <v>2698016.5905991863</v>
      </c>
    </row>
    <row r="41">
      <c r="A41" t="str">
        <v>Variance</v>
      </c>
      <c r="B41">
        <v>-331335.3707753378</v>
      </c>
      <c r="C41" t="str">
        <v>✓ OK</v>
      </c>
    </row>
  </sheetData>
  <ignoredErrors>
    <ignoredError numberStoredAsText="1" sqref="A1:L41"/>
  </ignoredErrors>
</worksheet>
</file>

<file path=xl/worksheets/sheet98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IV.A.2.9 - Balok B245-1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B245-1</v>
      </c>
    </row>
    <row r="5">
      <c r="A5" t="str">
        <v>Unit</v>
      </c>
      <c r="B5" t="str">
        <v>m3</v>
      </c>
    </row>
    <row r="6">
      <c r="A6" t="str">
        <v>Volume</v>
      </c>
      <c r="B6">
        <v>3.1130600000000004</v>
      </c>
    </row>
    <row r="7">
      <c r="A7" t="str">
        <v>Unit cost (Rp/m3)</v>
      </c>
      <c r="B7">
        <v>8269586.464853162</v>
      </c>
    </row>
    <row r="8">
      <c r="A8" t="str">
        <v>Line total at-cost (Rp)</v>
      </c>
      <c r="B8">
        <v>25743718.840275787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3.2687130000000004</v>
      </c>
      <c r="L12">
        <v>3319868.358450001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3.1130600000000004</v>
      </c>
      <c r="L14">
        <v>233479.50000000003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3.1130600000000004</v>
      </c>
      <c r="L16">
        <v>5447855.000000001</v>
      </c>
    </row>
    <row r="17">
      <c r="A17">
        <v>4</v>
      </c>
      <c r="B17" t="str">
        <v>BEKISTING BALOK (Material) — ratio 12.886227698791538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6.443113849395769</v>
      </c>
      <c r="J18">
        <v>1288622.769879154</v>
      </c>
      <c r="K18">
        <v>20.057799999999997</v>
      </c>
      <c r="L18">
        <v>4011559.9999999995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28.994012322280962</v>
      </c>
      <c r="J19">
        <v>1380114.9865405739</v>
      </c>
      <c r="K19">
        <v>90.26009999999998</v>
      </c>
      <c r="L19">
        <v>4296380.76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9.664670774093654</v>
      </c>
      <c r="J20">
        <v>460038.32884685794</v>
      </c>
      <c r="K20">
        <v>30.086699999999993</v>
      </c>
      <c r="L20">
        <v>1432126.9199999997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4.832335387046827</v>
      </c>
      <c r="J21">
        <v>62820.360031608754</v>
      </c>
      <c r="K21">
        <v>15.043349999999997</v>
      </c>
      <c r="L21">
        <v>195563.54999999996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1.6107784623489423</v>
      </c>
      <c r="J22">
        <v>44296.407714595916</v>
      </c>
      <c r="K22">
        <v>5.014449999999999</v>
      </c>
      <c r="L22">
        <v>137897.37499999997</v>
      </c>
    </row>
    <row r="23">
      <c r="A23">
        <v>5</v>
      </c>
      <c r="B23" t="str">
        <v>BEKISTING BALOK PERALATAN (Material) — Perancah, ratio 12.886227698791538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3.2215569246978846</v>
      </c>
      <c r="J24">
        <v>656431.0014072134</v>
      </c>
      <c r="K24">
        <v>10.028899999999998</v>
      </c>
      <c r="L24">
        <v>2043509.09324074</v>
      </c>
    </row>
    <row r="25">
      <c r="A25">
        <v>6</v>
      </c>
      <c r="B25" t="str">
        <v>PEMBESIAN (Material) — ratio 131.69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D8</v>
      </c>
      <c r="D26" t="str">
        <v>U24/U40 polos</v>
      </c>
      <c r="E26">
        <v>66.53879632258935</v>
      </c>
      <c r="F26" t="str">
        <v>kg</v>
      </c>
      <c r="G26" t="str">
        <v>per m3 beton</v>
      </c>
      <c r="H26">
        <v>10300</v>
      </c>
      <c r="I26">
        <v>66.53879632258935</v>
      </c>
      <c r="J26">
        <v>685349.6021226703</v>
      </c>
      <c r="K26">
        <v>207.13926528000002</v>
      </c>
      <c r="L26">
        <v>2133534.432384</v>
      </c>
    </row>
    <row r="27">
      <c r="A27" t="str">
        <v/>
      </c>
      <c r="B27" t="str">
        <v/>
      </c>
      <c r="C27" t="str">
        <v>Besi beton D13</v>
      </c>
      <c r="D27" t="str">
        <v>U24/U40 polos</v>
      </c>
      <c r="E27">
        <v>65.15454384432036</v>
      </c>
      <c r="F27" t="str">
        <v>kg</v>
      </c>
      <c r="G27" t="str">
        <v>per m3 beton</v>
      </c>
      <c r="H27">
        <v>10300</v>
      </c>
      <c r="I27">
        <v>65.15454384432036</v>
      </c>
      <c r="J27">
        <v>671091.8015964996</v>
      </c>
      <c r="K27">
        <v>202.83000425999995</v>
      </c>
      <c r="L27">
        <v>2089149.0438779993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6.584667008345491</v>
      </c>
      <c r="J28">
        <v>67822.07018595855</v>
      </c>
      <c r="K28">
        <v>20.498463477000016</v>
      </c>
      <c r="L28">
        <v>211134.17381310015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131.6933401669097</v>
      </c>
      <c r="J29">
        <v>13169.334016690971</v>
      </c>
      <c r="K29">
        <v>409.96926953999997</v>
      </c>
      <c r="L29">
        <v>40996.926954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2.765560143505104</v>
      </c>
      <c r="J30">
        <v>48397.30251133932</v>
      </c>
      <c r="K30">
        <v>8.609354660340001</v>
      </c>
      <c r="L30">
        <v>150663.70655595002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8269586.464853162</v>
      </c>
      <c r="J32" t="str">
        <v/>
      </c>
      <c r="K32" t="str">
        <v/>
      </c>
      <c r="L32">
        <v>25743718.840275787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8269586.464853162</v>
      </c>
    </row>
    <row r="36">
      <c r="A36" t="str">
        <v>RAB (A) source unit cost</v>
      </c>
      <c r="B36">
        <v>8269586.464853162</v>
      </c>
    </row>
    <row r="37">
      <c r="A37" t="str">
        <v>Variance</v>
      </c>
      <c r="B37">
        <v>0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25743718.840275787</v>
      </c>
    </row>
    <row r="40">
      <c r="A40" t="str">
        <v>RAB (A) source line total</v>
      </c>
      <c r="B40">
        <v>29347839.477914397</v>
      </c>
    </row>
    <row r="41">
      <c r="A41" t="str">
        <v>Variance</v>
      </c>
      <c r="B41">
        <v>-3604120.63763861</v>
      </c>
      <c r="C41" t="str">
        <v>✓ OK</v>
      </c>
    </row>
  </sheetData>
  <ignoredErrors>
    <ignoredError numberStoredAsText="1" sqref="A1:L41"/>
  </ignoredErrors>
</worksheet>
</file>

<file path=xl/worksheets/sheet99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IV.A.2.10 - Balok B245-2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B245-2</v>
      </c>
    </row>
    <row r="5">
      <c r="A5" t="str">
        <v>Unit</v>
      </c>
      <c r="B5" t="str">
        <v>m3</v>
      </c>
    </row>
    <row r="6">
      <c r="A6" t="str">
        <v>Volume</v>
      </c>
      <c r="B6">
        <v>1.85892</v>
      </c>
    </row>
    <row r="7">
      <c r="A7" t="str">
        <v>Unit cost (Rp/m3)</v>
      </c>
      <c r="B7">
        <v>8852893.488513812</v>
      </c>
    </row>
    <row r="8">
      <c r="A8" t="str">
        <v>Line total at-cost (Rp)</v>
      </c>
      <c r="B8">
        <v>16456820.763668096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1.9518659999999999</v>
      </c>
      <c r="L12">
        <v>1982412.7029000004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1.85892</v>
      </c>
      <c r="L14">
        <v>139419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1.85892</v>
      </c>
      <c r="L16">
        <v>3253110</v>
      </c>
    </row>
    <row r="17">
      <c r="A17">
        <v>4</v>
      </c>
      <c r="B17" t="str">
        <v>BEKISTING BALOK (Material) — ratio 13.216921653433177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6.6084608267165885</v>
      </c>
      <c r="J18">
        <v>1321692.1653433177</v>
      </c>
      <c r="K18">
        <v>12.2846</v>
      </c>
      <c r="L18">
        <v>2456920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29.738073720224648</v>
      </c>
      <c r="J19">
        <v>1415532.3090826932</v>
      </c>
      <c r="K19">
        <v>55.2807</v>
      </c>
      <c r="L19">
        <v>2631361.32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9.912691240074883</v>
      </c>
      <c r="J20">
        <v>471844.1030275644</v>
      </c>
      <c r="K20">
        <v>18.4269</v>
      </c>
      <c r="L20">
        <v>877120.44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4.956345620037442</v>
      </c>
      <c r="J21">
        <v>64432.49306048674</v>
      </c>
      <c r="K21">
        <v>9.21345</v>
      </c>
      <c r="L21">
        <v>119774.85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1.6521152066791471</v>
      </c>
      <c r="J22">
        <v>45433.16818367655</v>
      </c>
      <c r="K22">
        <v>3.07115</v>
      </c>
      <c r="L22">
        <v>84456.625</v>
      </c>
    </row>
    <row r="23">
      <c r="A23">
        <v>5</v>
      </c>
      <c r="B23" t="str">
        <v>BEKISTING BALOK PERALATAN (Material) — Perancah, ratio 13.216921653433177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3.3042304133582943</v>
      </c>
      <c r="J24">
        <v>673276.7198656169</v>
      </c>
      <c r="K24">
        <v>6.1423</v>
      </c>
      <c r="L24">
        <v>1251567.5600925924</v>
      </c>
    </row>
    <row r="25">
      <c r="A25">
        <v>6</v>
      </c>
      <c r="B25" t="str">
        <v>PEMBESIAN (Material) — ratio 174.54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D8</v>
      </c>
      <c r="D26" t="str">
        <v>U24/U40 polos</v>
      </c>
      <c r="E26">
        <v>68.74426699373832</v>
      </c>
      <c r="F26" t="str">
        <v>kg</v>
      </c>
      <c r="G26" t="str">
        <v>per m3 beton</v>
      </c>
      <c r="H26">
        <v>10300</v>
      </c>
      <c r="I26">
        <v>68.74426699373832</v>
      </c>
      <c r="J26">
        <v>708065.9500355048</v>
      </c>
      <c r="K26">
        <v>127.79009280000004</v>
      </c>
      <c r="L26">
        <v>1316237.9558400004</v>
      </c>
    </row>
    <row r="27">
      <c r="A27" t="str">
        <v/>
      </c>
      <c r="B27" t="str">
        <v/>
      </c>
      <c r="C27" t="str">
        <v>Besi beton D13</v>
      </c>
      <c r="D27" t="str">
        <v>U24/U40 polos</v>
      </c>
      <c r="E27">
        <v>105.79595281130979</v>
      </c>
      <c r="F27" t="str">
        <v>kg</v>
      </c>
      <c r="G27" t="str">
        <v>per m3 beton</v>
      </c>
      <c r="H27">
        <v>10300</v>
      </c>
      <c r="I27">
        <v>105.79595281130979</v>
      </c>
      <c r="J27">
        <v>1089698.3139564907</v>
      </c>
      <c r="K27">
        <v>196.6662126</v>
      </c>
      <c r="L27">
        <v>2025661.9897799997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8.727010990252413</v>
      </c>
      <c r="J28">
        <v>89888.21319959986</v>
      </c>
      <c r="K28">
        <v>16.222815270000016</v>
      </c>
      <c r="L28">
        <v>167094.99728100016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174.5402198050481</v>
      </c>
      <c r="J29">
        <v>17454.02198050481</v>
      </c>
      <c r="K29">
        <v>324.4563054</v>
      </c>
      <c r="L29">
        <v>32445.630540000002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3.6653446159060104</v>
      </c>
      <c r="J30">
        <v>64143.53077835518</v>
      </c>
      <c r="K30">
        <v>6.813582413400001</v>
      </c>
      <c r="L30">
        <v>119237.6922345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8852893.488513812</v>
      </c>
      <c r="J32" t="str">
        <v/>
      </c>
      <c r="K32" t="str">
        <v/>
      </c>
      <c r="L32">
        <v>16456820.763668096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8852893.488513812</v>
      </c>
    </row>
    <row r="36">
      <c r="A36" t="str">
        <v>RAB (A) source unit cost</v>
      </c>
      <c r="B36">
        <v>8852893.48851381</v>
      </c>
    </row>
    <row r="37">
      <c r="A37" t="str">
        <v>Variance</v>
      </c>
      <c r="B37">
        <v>1.862645149230957e-9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16456820.763668096</v>
      </c>
    </row>
    <row r="40">
      <c r="A40" t="str">
        <v>RAB (A) source line total</v>
      </c>
      <c r="B40">
        <v>18760775.67058162</v>
      </c>
    </row>
    <row r="41">
      <c r="A41" t="str">
        <v>Variance</v>
      </c>
      <c r="B41">
        <v>-2303954.9069135245</v>
      </c>
      <c r="C41" t="str">
        <v>✓ OK</v>
      </c>
    </row>
  </sheetData>
  <ignoredErrors>
    <ignoredError numberStoredAsText="1" sqref="A1:L41"/>
  </ignoredErrors>
</worksheet>
</file>

<file path=xl/worksheets/sheet100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IV.A.2.11 - Balok B245-3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B245-3</v>
      </c>
    </row>
    <row r="5">
      <c r="A5" t="str">
        <v>Unit</v>
      </c>
      <c r="B5" t="str">
        <v>m3</v>
      </c>
    </row>
    <row r="6">
      <c r="A6" t="str">
        <v>Volume</v>
      </c>
      <c r="B6">
        <v>1.0048</v>
      </c>
    </row>
    <row r="7">
      <c r="A7" t="str">
        <v>Unit cost (Rp/m3)</v>
      </c>
      <c r="B7">
        <v>9380728.454603912</v>
      </c>
    </row>
    <row r="8">
      <c r="A8" t="str">
        <v>Line total at-cost (Rp)</v>
      </c>
      <c r="B8">
        <v>9425755.95118601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1.05504</v>
      </c>
      <c r="L12">
        <v>1071551.3760000002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1.0048</v>
      </c>
      <c r="L14">
        <v>75360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1.0048</v>
      </c>
      <c r="L16">
        <v>1758399.9999999998</v>
      </c>
    </row>
    <row r="17">
      <c r="A17">
        <v>4</v>
      </c>
      <c r="B17" t="str">
        <v>BEKISTING BALOK (Material) — ratio 13.125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6.5625</v>
      </c>
      <c r="J18">
        <v>1312500</v>
      </c>
      <c r="K18">
        <v>6.593999999999999</v>
      </c>
      <c r="L18">
        <v>1318800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29.53125</v>
      </c>
      <c r="J19">
        <v>1405687.5</v>
      </c>
      <c r="K19">
        <v>29.673</v>
      </c>
      <c r="L19">
        <v>1412434.7999999998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9.84375</v>
      </c>
      <c r="J20">
        <v>468562.5</v>
      </c>
      <c r="K20">
        <v>9.891</v>
      </c>
      <c r="L20">
        <v>470811.6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4.921875</v>
      </c>
      <c r="J21">
        <v>63984.375</v>
      </c>
      <c r="K21">
        <v>4.9455</v>
      </c>
      <c r="L21">
        <v>64291.49999999999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1.640625</v>
      </c>
      <c r="J22">
        <v>45117.1875</v>
      </c>
      <c r="K22">
        <v>1.6484999999999999</v>
      </c>
      <c r="L22">
        <v>45333.74999999999</v>
      </c>
    </row>
    <row r="23">
      <c r="A23">
        <v>5</v>
      </c>
      <c r="B23" t="str">
        <v>BEKISTING BALOK PERALATAN (Material) — Perancah, ratio 13.125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3.28125</v>
      </c>
      <c r="J24">
        <v>668594.1840277778</v>
      </c>
      <c r="K24">
        <v>3.2969999999999997</v>
      </c>
      <c r="L24">
        <v>671803.4361111111</v>
      </c>
    </row>
    <row r="25">
      <c r="A25">
        <v>6</v>
      </c>
      <c r="B25" t="str">
        <v>PEMBESIAN (Material) — ratio 223.78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D10</v>
      </c>
      <c r="D26" t="str">
        <v>U24/U40 polos</v>
      </c>
      <c r="E26">
        <v>117.90685210987262</v>
      </c>
      <c r="F26" t="str">
        <v>kg</v>
      </c>
      <c r="G26" t="str">
        <v>per m3 beton</v>
      </c>
      <c r="H26">
        <v>10300</v>
      </c>
      <c r="I26">
        <v>117.90685210987262</v>
      </c>
      <c r="J26">
        <v>1214440.5767316879</v>
      </c>
      <c r="K26">
        <v>118.472805</v>
      </c>
      <c r="L26">
        <v>1220269.8915</v>
      </c>
    </row>
    <row r="27">
      <c r="A27" t="str">
        <v/>
      </c>
      <c r="B27" t="str">
        <v/>
      </c>
      <c r="C27" t="str">
        <v>Besi beton D16</v>
      </c>
      <c r="D27" t="str">
        <v>U24/U40 polos</v>
      </c>
      <c r="E27">
        <v>105.87778853503187</v>
      </c>
      <c r="F27" t="str">
        <v>kg</v>
      </c>
      <c r="G27" t="str">
        <v>per m3 beton</v>
      </c>
      <c r="H27">
        <v>10300</v>
      </c>
      <c r="I27">
        <v>105.87778853503187</v>
      </c>
      <c r="J27">
        <v>1090541.2219108283</v>
      </c>
      <c r="K27">
        <v>106.38600192000001</v>
      </c>
      <c r="L27">
        <v>1095775.8197760002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11.189232032245233</v>
      </c>
      <c r="J28">
        <v>115249.08993212589</v>
      </c>
      <c r="K28">
        <v>11.242940346000008</v>
      </c>
      <c r="L28">
        <v>115802.28556380009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223.78464064490447</v>
      </c>
      <c r="J29">
        <v>22378.464064490447</v>
      </c>
      <c r="K29">
        <v>224.85880692</v>
      </c>
      <c r="L29">
        <v>22485.880692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4.699477453542994</v>
      </c>
      <c r="J30">
        <v>82240.85543700239</v>
      </c>
      <c r="K30">
        <v>4.72203494532</v>
      </c>
      <c r="L30">
        <v>82635.61154309999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9380728.454603912</v>
      </c>
      <c r="J32" t="str">
        <v/>
      </c>
      <c r="K32" t="str">
        <v/>
      </c>
      <c r="L32">
        <v>9425755.95118601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9380728.454603912</v>
      </c>
    </row>
    <row r="36">
      <c r="A36" t="str">
        <v>RAB (A) source unit cost</v>
      </c>
      <c r="B36">
        <v>9380728.454603912</v>
      </c>
    </row>
    <row r="37">
      <c r="A37" t="str">
        <v>Variance</v>
      </c>
      <c r="B37">
        <v>0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9425755.95118601</v>
      </c>
    </row>
    <row r="40">
      <c r="A40" t="str">
        <v>RAB (A) source line total</v>
      </c>
      <c r="B40">
        <v>10745361.784352051</v>
      </c>
    </row>
    <row r="41">
      <c r="A41" t="str">
        <v>Variance</v>
      </c>
      <c r="B41">
        <v>-1319605.8331660405</v>
      </c>
      <c r="C41" t="str">
        <v>✓ OK</v>
      </c>
    </row>
  </sheetData>
  <ignoredErrors>
    <ignoredError numberStoredAsText="1" sqref="A1:L41"/>
  </ignoredErrors>
</worksheet>
</file>

<file path=xl/worksheets/sheet101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IV.A.2.12 - Balok B245-4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B245-4</v>
      </c>
    </row>
    <row r="5">
      <c r="A5" t="str">
        <v>Unit</v>
      </c>
      <c r="B5" t="str">
        <v>m3</v>
      </c>
    </row>
    <row r="6">
      <c r="A6" t="str">
        <v>Volume</v>
      </c>
      <c r="B6">
        <v>3.38676</v>
      </c>
    </row>
    <row r="7">
      <c r="A7" t="str">
        <v>Unit cost (Rp/m3)</v>
      </c>
      <c r="B7">
        <v>9406988.7339392</v>
      </c>
    </row>
    <row r="8">
      <c r="A8" t="str">
        <v>Line total at-cost (Rp)</v>
      </c>
      <c r="B8">
        <v>31859213.16455593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3.5560980000000004</v>
      </c>
      <c r="L12">
        <v>3611750.933700001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3.38676</v>
      </c>
      <c r="L14">
        <v>254007.00000000003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3.38676</v>
      </c>
      <c r="L16">
        <v>5926830</v>
      </c>
    </row>
    <row r="17">
      <c r="A17">
        <v>4</v>
      </c>
      <c r="B17" t="str">
        <v>BEKISTING BALOK (Material) — ratio 13.11831957387001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6.559159786935005</v>
      </c>
      <c r="J18">
        <v>1311831.957387001</v>
      </c>
      <c r="K18">
        <v>22.2143</v>
      </c>
      <c r="L18">
        <v>4442860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29.516219041207524</v>
      </c>
      <c r="J19">
        <v>1404972.0263614783</v>
      </c>
      <c r="K19">
        <v>99.96435</v>
      </c>
      <c r="L19">
        <v>4758303.0600000005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9.838739680402508</v>
      </c>
      <c r="J20">
        <v>468324.0087871594</v>
      </c>
      <c r="K20">
        <v>33.32145</v>
      </c>
      <c r="L20">
        <v>1586101.02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4.919369840201254</v>
      </c>
      <c r="J21">
        <v>63951.8079226163</v>
      </c>
      <c r="K21">
        <v>16.660725</v>
      </c>
      <c r="L21">
        <v>216589.42500000002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1.6397899467337513</v>
      </c>
      <c r="J22">
        <v>45094.223535178164</v>
      </c>
      <c r="K22">
        <v>5.553575</v>
      </c>
      <c r="L22">
        <v>152723.3125</v>
      </c>
    </row>
    <row r="23">
      <c r="A23">
        <v>5</v>
      </c>
      <c r="B23" t="str">
        <v>BEKISTING BALOK PERALATAN (Material) — Perancah, ratio 13.11831957387001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3.2795798934675027</v>
      </c>
      <c r="J24">
        <v>668253.8797186472</v>
      </c>
      <c r="K24">
        <v>11.10715</v>
      </c>
      <c r="L24">
        <v>2263215.5096759256</v>
      </c>
    </row>
    <row r="25">
      <c r="A25">
        <v>6</v>
      </c>
      <c r="B25" t="str">
        <v>PEMBESIAN (Material) — ratio 226.29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D8</v>
      </c>
      <c r="D26" t="str">
        <v>U24/U40 polos</v>
      </c>
      <c r="E26">
        <v>67.91060340856748</v>
      </c>
      <c r="F26" t="str">
        <v>kg</v>
      </c>
      <c r="G26" t="str">
        <v>per m3 beton</v>
      </c>
      <c r="H26">
        <v>10300</v>
      </c>
      <c r="I26">
        <v>67.91060340856748</v>
      </c>
      <c r="J26">
        <v>699479.215108245</v>
      </c>
      <c r="K26">
        <v>229.99691520000002</v>
      </c>
      <c r="L26">
        <v>2368968.22656</v>
      </c>
    </row>
    <row r="27">
      <c r="A27" t="str">
        <v/>
      </c>
      <c r="B27" t="str">
        <v/>
      </c>
      <c r="C27" t="str">
        <v>Besi beton D16</v>
      </c>
      <c r="D27" t="str">
        <v>U24/U40 polos</v>
      </c>
      <c r="E27">
        <v>158.38040746908547</v>
      </c>
      <c r="F27" t="str">
        <v>kg</v>
      </c>
      <c r="G27" t="str">
        <v>per m3 beton</v>
      </c>
      <c r="H27">
        <v>10300</v>
      </c>
      <c r="I27">
        <v>158.38040746908547</v>
      </c>
      <c r="J27">
        <v>1631318.1969315803</v>
      </c>
      <c r="K27">
        <v>536.3964288</v>
      </c>
      <c r="L27">
        <v>5524883.216639999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11.314550543882657</v>
      </c>
      <c r="J28">
        <v>116539.87060199137</v>
      </c>
      <c r="K28">
        <v>38.319667200000026</v>
      </c>
      <c r="L28">
        <v>394692.57216000033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226.29101087765295</v>
      </c>
      <c r="J29">
        <v>22629.101087765295</v>
      </c>
      <c r="K29">
        <v>766.393344</v>
      </c>
      <c r="L29">
        <v>76639.33439999999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4.752111228430712</v>
      </c>
      <c r="J30">
        <v>83161.94649753746</v>
      </c>
      <c r="K30">
        <v>16.094260224</v>
      </c>
      <c r="L30">
        <v>281649.55392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9406988.7339392</v>
      </c>
      <c r="J32" t="str">
        <v/>
      </c>
      <c r="K32" t="str">
        <v/>
      </c>
      <c r="L32">
        <v>31859213.16455593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9406988.7339392</v>
      </c>
    </row>
    <row r="36">
      <c r="A36" t="str">
        <v>RAB (A) source unit cost</v>
      </c>
      <c r="B36">
        <v>9406988.733939199</v>
      </c>
    </row>
    <row r="37">
      <c r="A37" t="str">
        <v>Variance</v>
      </c>
      <c r="B37">
        <v>1.862645149230957e-9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31859213.16455593</v>
      </c>
    </row>
    <row r="40">
      <c r="A40" t="str">
        <v>RAB (A) source line total</v>
      </c>
      <c r="B40">
        <v>36319503.00759374</v>
      </c>
    </row>
    <row r="41">
      <c r="A41" t="str">
        <v>Variance</v>
      </c>
      <c r="B41">
        <v>-4460289.843037814</v>
      </c>
      <c r="C41" t="str">
        <v>✓ OK</v>
      </c>
    </row>
  </sheetData>
  <ignoredErrors>
    <ignoredError numberStoredAsText="1" sqref="A1:L41"/>
  </ignoredErrors>
</worksheet>
</file>

<file path=xl/worksheets/sheet102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IV.A.2.13 - Balok B245-5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B245-5</v>
      </c>
    </row>
    <row r="5">
      <c r="A5" t="str">
        <v>Unit</v>
      </c>
      <c r="B5" t="str">
        <v>m3</v>
      </c>
    </row>
    <row r="6">
      <c r="A6" t="str">
        <v>Volume</v>
      </c>
      <c r="B6">
        <v>0.52316</v>
      </c>
    </row>
    <row r="7">
      <c r="A7" t="str">
        <v>Unit cost (Rp/m3)</v>
      </c>
      <c r="B7">
        <v>9808673.541506112</v>
      </c>
    </row>
    <row r="8">
      <c r="A8" t="str">
        <v>Line total at-cost (Rp)</v>
      </c>
      <c r="B8">
        <v>5131505.649974337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0.549318</v>
      </c>
      <c r="L12">
        <v>557914.8267000001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0.52316</v>
      </c>
      <c r="L14">
        <v>39237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0.52316</v>
      </c>
      <c r="L16">
        <v>915529.9999999999</v>
      </c>
    </row>
    <row r="17">
      <c r="A17">
        <v>4</v>
      </c>
      <c r="B17" t="str">
        <v>BEKISTING BALOK (Material) — ratio 12.693248719321048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6.346624359660524</v>
      </c>
      <c r="J18">
        <v>1269324.8719321047</v>
      </c>
      <c r="K18">
        <v>3.3202999999999996</v>
      </c>
      <c r="L18">
        <v>664059.9999999999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28.559809618472357</v>
      </c>
      <c r="J19">
        <v>1359446.9378392843</v>
      </c>
      <c r="K19">
        <v>14.941349999999998</v>
      </c>
      <c r="L19">
        <v>711208.2599999999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9.519936539490786</v>
      </c>
      <c r="J20">
        <v>453148.9792797614</v>
      </c>
      <c r="K20">
        <v>4.980449999999999</v>
      </c>
      <c r="L20">
        <v>237069.41999999995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4.759968269745393</v>
      </c>
      <c r="J21">
        <v>61879.587506690106</v>
      </c>
      <c r="K21">
        <v>2.4902249999999997</v>
      </c>
      <c r="L21">
        <v>32372.924999999992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1.586656089915131</v>
      </c>
      <c r="J22">
        <v>43633.0424726661</v>
      </c>
      <c r="K22">
        <v>0.8300749999999999</v>
      </c>
      <c r="L22">
        <v>22827.062499999996</v>
      </c>
    </row>
    <row r="23">
      <c r="A23">
        <v>5</v>
      </c>
      <c r="B23" t="str">
        <v>BEKISTING BALOK PERALATAN (Material) — Perancah, ratio 12.693248719321048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3.173312179830262</v>
      </c>
      <c r="J24">
        <v>646600.5539166545</v>
      </c>
      <c r="K24">
        <v>1.6601499999999998</v>
      </c>
      <c r="L24">
        <v>338275.54578703694</v>
      </c>
    </row>
    <row r="25">
      <c r="A25">
        <v>6</v>
      </c>
      <c r="B25" t="str">
        <v>PEMBESIAN (Material) — ratio 273.27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D10</v>
      </c>
      <c r="D26" t="str">
        <v>U24/U40 polos</v>
      </c>
      <c r="E26">
        <v>108.28462611820476</v>
      </c>
      <c r="F26" t="str">
        <v>kg</v>
      </c>
      <c r="G26" t="str">
        <v>per m3 beton</v>
      </c>
      <c r="H26">
        <v>10300</v>
      </c>
      <c r="I26">
        <v>108.28462611820476</v>
      </c>
      <c r="J26">
        <v>1115331.649017509</v>
      </c>
      <c r="K26">
        <v>56.65018499999999</v>
      </c>
      <c r="L26">
        <v>583496.9055</v>
      </c>
    </row>
    <row r="27">
      <c r="A27" t="str">
        <v/>
      </c>
      <c r="B27" t="str">
        <v/>
      </c>
      <c r="C27" t="str">
        <v>Besi beton D16</v>
      </c>
      <c r="D27" t="str">
        <v>U24/U40 polos</v>
      </c>
      <c r="E27">
        <v>164.98876794861994</v>
      </c>
      <c r="F27" t="str">
        <v>kg</v>
      </c>
      <c r="G27" t="str">
        <v>per m3 beton</v>
      </c>
      <c r="H27">
        <v>10300</v>
      </c>
      <c r="I27">
        <v>164.98876794861994</v>
      </c>
      <c r="J27">
        <v>1699384.3098707853</v>
      </c>
      <c r="K27">
        <v>86.31552384</v>
      </c>
      <c r="L27">
        <v>889049.895552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13.663669703341249</v>
      </c>
      <c r="J28">
        <v>140735.79794441487</v>
      </c>
      <c r="K28">
        <v>7.148285442000007</v>
      </c>
      <c r="L28">
        <v>73627.34005260008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273.2733940668247</v>
      </c>
      <c r="J29">
        <v>27327.339406682473</v>
      </c>
      <c r="K29">
        <v>142.96570884000002</v>
      </c>
      <c r="L29">
        <v>14296.570884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5.73874127540332</v>
      </c>
      <c r="J30">
        <v>100427.9723195581</v>
      </c>
      <c r="K30">
        <v>3.0022798856400006</v>
      </c>
      <c r="L30">
        <v>52539.89799870001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9808673.541506112</v>
      </c>
      <c r="J32" t="str">
        <v/>
      </c>
      <c r="K32" t="str">
        <v/>
      </c>
      <c r="L32">
        <v>5131505.649974337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9808673.541506112</v>
      </c>
    </row>
    <row r="36">
      <c r="A36" t="str">
        <v>RAB (A) source unit cost</v>
      </c>
      <c r="B36">
        <v>9808673.541506112</v>
      </c>
    </row>
    <row r="37">
      <c r="A37" t="str">
        <v>Variance</v>
      </c>
      <c r="B37">
        <v>0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5131505.649974337</v>
      </c>
    </row>
    <row r="40">
      <c r="A40" t="str">
        <v>RAB (A) source line total</v>
      </c>
      <c r="B40">
        <v>5849916.440970743</v>
      </c>
    </row>
    <row r="41">
      <c r="A41" t="str">
        <v>Variance</v>
      </c>
      <c r="B41">
        <v>-718410.7909964062</v>
      </c>
      <c r="C41" t="str">
        <v>✓ OK</v>
      </c>
    </row>
  </sheetData>
  <ignoredErrors>
    <ignoredError numberStoredAsText="1" sqref="A1:L41"/>
  </ignoredErrors>
</worksheet>
</file>

<file path=xl/worksheets/sheet103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IV.A.2.14 - Balok B245-6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B245-6</v>
      </c>
    </row>
    <row r="5">
      <c r="A5" t="str">
        <v>Unit</v>
      </c>
      <c r="B5" t="str">
        <v>m3</v>
      </c>
    </row>
    <row r="6">
      <c r="A6" t="str">
        <v>Volume</v>
      </c>
      <c r="B6">
        <v>0.47831</v>
      </c>
    </row>
    <row r="7">
      <c r="A7" t="str">
        <v>Unit cost (Rp/m3)</v>
      </c>
      <c r="B7">
        <v>9157669.630806057</v>
      </c>
    </row>
    <row r="8">
      <c r="A8" t="str">
        <v>Line total at-cost (Rp)</v>
      </c>
      <c r="B8">
        <v>4380204.961110845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0.5022255</v>
      </c>
      <c r="L12">
        <v>510085.32907500013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0.47831</v>
      </c>
      <c r="L14">
        <v>35873.25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0.47831</v>
      </c>
      <c r="L16">
        <v>837042.5</v>
      </c>
    </row>
    <row r="17">
      <c r="A17">
        <v>4</v>
      </c>
      <c r="B17" t="str">
        <v>BEKISTING BALOK (Material) — ratio 12.592460956283583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6.2962304781417915</v>
      </c>
      <c r="J18">
        <v>1259246.0956283582</v>
      </c>
      <c r="K18">
        <v>3.01155</v>
      </c>
      <c r="L18">
        <v>602310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28.333037151638063</v>
      </c>
      <c r="J19">
        <v>1348652.5684179717</v>
      </c>
      <c r="K19">
        <v>13.551975000000002</v>
      </c>
      <c r="L19">
        <v>645074.0100000001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9.444345717212688</v>
      </c>
      <c r="J20">
        <v>449550.8561393239</v>
      </c>
      <c r="K20">
        <v>4.5173250000000005</v>
      </c>
      <c r="L20">
        <v>215024.67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4.722172858606344</v>
      </c>
      <c r="J21">
        <v>61388.24716188247</v>
      </c>
      <c r="K21">
        <v>2.2586625000000002</v>
      </c>
      <c r="L21">
        <v>29362.612500000007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1.5740576195354479</v>
      </c>
      <c r="J22">
        <v>43286.584537224815</v>
      </c>
      <c r="K22">
        <v>0.7528875</v>
      </c>
      <c r="L22">
        <v>20704.406250000004</v>
      </c>
    </row>
    <row r="23">
      <c r="A23">
        <v>5</v>
      </c>
      <c r="B23" t="str">
        <v>BEKISTING BALOK PERALATAN (Material) — Perancah, ratio 12.592460956283583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3.1481152390708957</v>
      </c>
      <c r="J24">
        <v>641466.3739404245</v>
      </c>
      <c r="K24">
        <v>1.505775</v>
      </c>
      <c r="L24">
        <v>306819.7813194445</v>
      </c>
    </row>
    <row r="25">
      <c r="A25">
        <v>6</v>
      </c>
      <c r="B25" t="str">
        <v>PEMBESIAN (Material) — ratio 218.27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D8</v>
      </c>
      <c r="D26" t="str">
        <v>U24/U40 polos</v>
      </c>
      <c r="E26">
        <v>71.45156505195375</v>
      </c>
      <c r="F26" t="str">
        <v>kg</v>
      </c>
      <c r="G26" t="str">
        <v>per m3 beton</v>
      </c>
      <c r="H26">
        <v>10300</v>
      </c>
      <c r="I26">
        <v>71.45156505195375</v>
      </c>
      <c r="J26">
        <v>735951.1200351237</v>
      </c>
      <c r="K26">
        <v>34.17599808</v>
      </c>
      <c r="L26">
        <v>352012.780224</v>
      </c>
    </row>
    <row r="27">
      <c r="A27" t="str">
        <v/>
      </c>
      <c r="B27" t="str">
        <v/>
      </c>
      <c r="C27" t="str">
        <v>Besi beton D16</v>
      </c>
      <c r="D27" t="str">
        <v>U24/U40 polos</v>
      </c>
      <c r="E27">
        <v>146.81977596119674</v>
      </c>
      <c r="F27" t="str">
        <v>kg</v>
      </c>
      <c r="G27" t="str">
        <v>per m3 beton</v>
      </c>
      <c r="H27">
        <v>10300</v>
      </c>
      <c r="I27">
        <v>146.81977596119674</v>
      </c>
      <c r="J27">
        <v>1512243.6924003265</v>
      </c>
      <c r="K27">
        <v>70.22536704000001</v>
      </c>
      <c r="L27">
        <v>723321.2805120002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10.913567050657536</v>
      </c>
      <c r="J28">
        <v>112409.74062177261</v>
      </c>
      <c r="K28">
        <v>5.220068256000006</v>
      </c>
      <c r="L28">
        <v>53766.703036800056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218.2713410131505</v>
      </c>
      <c r="J29">
        <v>21827.134101315052</v>
      </c>
      <c r="K29">
        <v>104.40136512000002</v>
      </c>
      <c r="L29">
        <v>10440.136512000003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4.5836981612761605</v>
      </c>
      <c r="J30">
        <v>80214.71782233281</v>
      </c>
      <c r="K30">
        <v>2.19242866752</v>
      </c>
      <c r="L30">
        <v>38367.501681600006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9157669.630806057</v>
      </c>
      <c r="J32" t="str">
        <v/>
      </c>
      <c r="K32" t="str">
        <v/>
      </c>
      <c r="L32">
        <v>4380204.961110845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9157669.630806057</v>
      </c>
    </row>
    <row r="36">
      <c r="A36" t="str">
        <v>RAB (A) source unit cost</v>
      </c>
      <c r="B36">
        <v>9157669.630806057</v>
      </c>
    </row>
    <row r="37">
      <c r="A37" t="str">
        <v>Variance</v>
      </c>
      <c r="B37">
        <v>0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4380204.961110845</v>
      </c>
    </row>
    <row r="40">
      <c r="A40" t="str">
        <v>RAB (A) source line total</v>
      </c>
      <c r="B40">
        <v>4993433.655666363</v>
      </c>
    </row>
    <row r="41">
      <c r="A41" t="str">
        <v>Variance</v>
      </c>
      <c r="B41">
        <v>-613228.6945555182</v>
      </c>
      <c r="C41" t="str">
        <v>✓ OK</v>
      </c>
    </row>
  </sheetData>
  <ignoredErrors>
    <ignoredError numberStoredAsText="1" sqref="A1:L41"/>
  </ignoredErrors>
</worksheet>
</file>

<file path=xl/worksheets/sheet104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IV.A.2.15 - Balok B25-1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B25-1</v>
      </c>
    </row>
    <row r="5">
      <c r="A5" t="str">
        <v>Unit</v>
      </c>
      <c r="B5" t="str">
        <v>m3</v>
      </c>
    </row>
    <row r="6">
      <c r="A6" t="str">
        <v>Volume</v>
      </c>
      <c r="B6">
        <v>0.9990000000000001</v>
      </c>
    </row>
    <row r="7">
      <c r="A7" t="str">
        <v>Unit cost (Rp/m3)</v>
      </c>
      <c r="B7">
        <v>8938721.769879779</v>
      </c>
    </row>
    <row r="8">
      <c r="A8" t="str">
        <v>Line total at-cost (Rp)</v>
      </c>
      <c r="B8">
        <v>8929783.0481099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1.04895</v>
      </c>
      <c r="L12">
        <v>1065366.0675000004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0.9990000000000001</v>
      </c>
      <c r="L14">
        <v>74925.00000000001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0.9990000000000001</v>
      </c>
      <c r="L16">
        <v>1748250.0000000002</v>
      </c>
    </row>
    <row r="17">
      <c r="A17">
        <v>4</v>
      </c>
      <c r="B17" t="str">
        <v>BEKISTING BALOK (Material) — ratio 12.702702702702702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6.351351351351351</v>
      </c>
      <c r="J18">
        <v>1270270.27027027</v>
      </c>
      <c r="K18">
        <v>6.345000000000001</v>
      </c>
      <c r="L18">
        <v>1269000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28.58108108108108</v>
      </c>
      <c r="J19">
        <v>1360459.4594594594</v>
      </c>
      <c r="K19">
        <v>28.552500000000002</v>
      </c>
      <c r="L19">
        <v>1359099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9.527027027027026</v>
      </c>
      <c r="J20">
        <v>453486.48648648645</v>
      </c>
      <c r="K20">
        <v>9.5175</v>
      </c>
      <c r="L20">
        <v>453033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4.763513513513513</v>
      </c>
      <c r="J21">
        <v>61925.67567567567</v>
      </c>
      <c r="K21">
        <v>4.75875</v>
      </c>
      <c r="L21">
        <v>61863.75000000001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1.5878378378378377</v>
      </c>
      <c r="J22">
        <v>43665.54054054054</v>
      </c>
      <c r="K22">
        <v>1.5862500000000002</v>
      </c>
      <c r="L22">
        <v>43621.87500000001</v>
      </c>
    </row>
    <row r="23">
      <c r="A23">
        <v>5</v>
      </c>
      <c r="B23" t="str">
        <v>BEKISTING BALOK PERALATAN (Material) — Perancah, ratio 12.702702702702702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3.1756756756756754</v>
      </c>
      <c r="J24">
        <v>647082.1446446446</v>
      </c>
      <c r="K24">
        <v>3.1725000000000003</v>
      </c>
      <c r="L24">
        <v>646435.0625</v>
      </c>
    </row>
    <row r="25">
      <c r="A25">
        <v>6</v>
      </c>
      <c r="B25" t="str">
        <v>PEMBESIAN (Material) — ratio 195.91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D10</v>
      </c>
      <c r="D26" t="str">
        <v>U24/U40 polos</v>
      </c>
      <c r="E26">
        <v>103.3239189189189</v>
      </c>
      <c r="F26" t="str">
        <v>kg</v>
      </c>
      <c r="G26" t="str">
        <v>per m3 beton</v>
      </c>
      <c r="H26">
        <v>10300</v>
      </c>
      <c r="I26">
        <v>103.3239189189189</v>
      </c>
      <c r="J26">
        <v>1064236.3648648646</v>
      </c>
      <c r="K26">
        <v>103.220595</v>
      </c>
      <c r="L26">
        <v>1063172.1284999999</v>
      </c>
    </row>
    <row r="27">
      <c r="A27" t="str">
        <v/>
      </c>
      <c r="B27" t="str">
        <v/>
      </c>
      <c r="C27" t="str">
        <v>Besi beton D16</v>
      </c>
      <c r="D27" t="str">
        <v>U24/U40 polos</v>
      </c>
      <c r="E27">
        <v>92.59008</v>
      </c>
      <c r="F27" t="str">
        <v>kg</v>
      </c>
      <c r="G27" t="str">
        <v>per m3 beton</v>
      </c>
      <c r="H27">
        <v>10300</v>
      </c>
      <c r="I27">
        <v>92.59008</v>
      </c>
      <c r="J27">
        <v>953677.824</v>
      </c>
      <c r="K27">
        <v>92.49748992</v>
      </c>
      <c r="L27">
        <v>952724.1461760001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9.795699945945954</v>
      </c>
      <c r="J28">
        <v>100895.70944324332</v>
      </c>
      <c r="K28">
        <v>9.785904246000008</v>
      </c>
      <c r="L28">
        <v>100794.8137338001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195.9139989189189</v>
      </c>
      <c r="J29">
        <v>19591.39989189189</v>
      </c>
      <c r="K29">
        <v>195.71808492</v>
      </c>
      <c r="L29">
        <v>19571.808492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4.1141939772972975</v>
      </c>
      <c r="J30">
        <v>71998.39460270271</v>
      </c>
      <c r="K30">
        <v>4.110079783320001</v>
      </c>
      <c r="L30">
        <v>71926.39620810002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8938721.769879779</v>
      </c>
      <c r="J32" t="str">
        <v/>
      </c>
      <c r="K32" t="str">
        <v/>
      </c>
      <c r="L32">
        <v>8929783.0481099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8938721.769879779</v>
      </c>
    </row>
    <row r="36">
      <c r="A36" t="str">
        <v>RAB (A) source unit cost</v>
      </c>
      <c r="B36">
        <v>8938721.76987978</v>
      </c>
    </row>
    <row r="37">
      <c r="A37" t="str">
        <v>Variance</v>
      </c>
      <c r="B37">
        <v>-1.862645149230957e-9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8929783.0481099</v>
      </c>
    </row>
    <row r="40">
      <c r="A40" t="str">
        <v>RAB (A) source line total</v>
      </c>
      <c r="B40">
        <v>10179952.674845288</v>
      </c>
    </row>
    <row r="41">
      <c r="A41" t="str">
        <v>Variance</v>
      </c>
      <c r="B41">
        <v>-1250169.6267353874</v>
      </c>
      <c r="C41" t="str">
        <v>✓ OK</v>
      </c>
    </row>
  </sheetData>
  <ignoredErrors>
    <ignoredError numberStoredAsText="1" sqref="A1:L41"/>
  </ignoredErrors>
</worksheet>
</file>

<file path=xl/worksheets/sheet105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IV.A.2.16 - Balok B25-6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B25-6</v>
      </c>
    </row>
    <row r="5">
      <c r="A5" t="str">
        <v>Unit</v>
      </c>
      <c r="B5" t="str">
        <v>m3</v>
      </c>
    </row>
    <row r="6">
      <c r="A6" t="str">
        <v>Volume</v>
      </c>
      <c r="B6">
        <v>0.9239999999999999</v>
      </c>
    </row>
    <row r="7">
      <c r="A7" t="str">
        <v>Unit cost (Rp/m3)</v>
      </c>
      <c r="B7">
        <v>9830437.804388855</v>
      </c>
    </row>
    <row r="8">
      <c r="A8" t="str">
        <v>Line total at-cost (Rp)</v>
      </c>
      <c r="B8">
        <v>9083324.531255301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0.9702</v>
      </c>
      <c r="L12">
        <v>985383.6300000001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0.9239999999999999</v>
      </c>
      <c r="L14">
        <v>69300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0.9239999999999999</v>
      </c>
      <c r="L16">
        <v>1616999.9999999998</v>
      </c>
    </row>
    <row r="17">
      <c r="A17">
        <v>4</v>
      </c>
      <c r="B17" t="str">
        <v>BEKISTING BALOK (Material) — ratio 12.857142857142858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6.428571428571429</v>
      </c>
      <c r="J18">
        <v>1285714.2857142857</v>
      </c>
      <c r="K18">
        <v>5.9399999999999995</v>
      </c>
      <c r="L18">
        <v>1187999.9999999998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28.92857142857143</v>
      </c>
      <c r="J19">
        <v>1377000</v>
      </c>
      <c r="K19">
        <v>26.73</v>
      </c>
      <c r="L19">
        <v>1272348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9.642857142857142</v>
      </c>
      <c r="J20">
        <v>459000</v>
      </c>
      <c r="K20">
        <v>8.909999999999998</v>
      </c>
      <c r="L20">
        <v>424115.99999999994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4.821428571428571</v>
      </c>
      <c r="J21">
        <v>62678.57142857143</v>
      </c>
      <c r="K21">
        <v>4.454999999999999</v>
      </c>
      <c r="L21">
        <v>57914.99999999999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1.6071428571428572</v>
      </c>
      <c r="J22">
        <v>44196.42857142857</v>
      </c>
      <c r="K22">
        <v>1.4849999999999999</v>
      </c>
      <c r="L22">
        <v>40837.5</v>
      </c>
    </row>
    <row r="23">
      <c r="A23">
        <v>5</v>
      </c>
      <c r="B23" t="str">
        <v>BEKISTING BALOK PERALATAN (Material) — Perancah, ratio 12.857142857142858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3.2142857142857144</v>
      </c>
      <c r="J24">
        <v>654949.4047619047</v>
      </c>
      <c r="K24">
        <v>2.9699999999999998</v>
      </c>
      <c r="L24">
        <v>605173.2499999999</v>
      </c>
    </row>
    <row r="25">
      <c r="A25">
        <v>6</v>
      </c>
      <c r="B25" t="str">
        <v>PEMBESIAN (Material) — ratio 270.81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D10</v>
      </c>
      <c r="D26" t="str">
        <v>U24/U40 polos</v>
      </c>
      <c r="E26">
        <v>102.7833603896104</v>
      </c>
      <c r="F26" t="str">
        <v>kg</v>
      </c>
      <c r="G26" t="str">
        <v>per m3 beton</v>
      </c>
      <c r="H26">
        <v>10300</v>
      </c>
      <c r="I26">
        <v>102.7833603896104</v>
      </c>
      <c r="J26">
        <v>1058668.612012987</v>
      </c>
      <c r="K26">
        <v>94.971825</v>
      </c>
      <c r="L26">
        <v>978209.7975</v>
      </c>
    </row>
    <row r="27">
      <c r="A27" t="str">
        <v/>
      </c>
      <c r="B27" t="str">
        <v/>
      </c>
      <c r="C27" t="str">
        <v>Besi beton D16</v>
      </c>
      <c r="D27" t="str">
        <v>U24/U40 polos</v>
      </c>
      <c r="E27">
        <v>168.03131844155843</v>
      </c>
      <c r="F27" t="str">
        <v>kg</v>
      </c>
      <c r="G27" t="str">
        <v>per m3 beton</v>
      </c>
      <c r="H27">
        <v>10300</v>
      </c>
      <c r="I27">
        <v>168.03131844155843</v>
      </c>
      <c r="J27">
        <v>1730722.5799480518</v>
      </c>
      <c r="K27">
        <v>155.26093823999997</v>
      </c>
      <c r="L27">
        <v>1599187.6638719998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13.540733941558452</v>
      </c>
      <c r="J28">
        <v>139469.55959805206</v>
      </c>
      <c r="K28">
        <v>12.51163816200001</v>
      </c>
      <c r="L28">
        <v>128869.87306860009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270.8146788311688</v>
      </c>
      <c r="J29">
        <v>27081.467883116882</v>
      </c>
      <c r="K29">
        <v>250.23276323999997</v>
      </c>
      <c r="L29">
        <v>25023.276324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5.687108255454545</v>
      </c>
      <c r="J30">
        <v>99524.39447045454</v>
      </c>
      <c r="K30">
        <v>5.254888028039999</v>
      </c>
      <c r="L30">
        <v>91960.54049069999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9830437.804388855</v>
      </c>
      <c r="J32" t="str">
        <v/>
      </c>
      <c r="K32" t="str">
        <v/>
      </c>
      <c r="L32">
        <v>9083324.531255301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9830437.804388855</v>
      </c>
    </row>
    <row r="36">
      <c r="A36" t="str">
        <v>RAB (A) source unit cost</v>
      </c>
      <c r="B36">
        <v>9830437.804388853</v>
      </c>
    </row>
    <row r="37">
      <c r="A37" t="str">
        <v>Variance</v>
      </c>
      <c r="B37">
        <v>1.862645149230957e-9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9083324.531255301</v>
      </c>
    </row>
    <row r="40">
      <c r="A40" t="str">
        <v>RAB (A) source line total</v>
      </c>
      <c r="B40">
        <v>10354989.96563104</v>
      </c>
    </row>
    <row r="41">
      <c r="A41" t="str">
        <v>Variance</v>
      </c>
      <c r="B41">
        <v>-1271665.4343757387</v>
      </c>
      <c r="C41" t="str">
        <v>✓ OK</v>
      </c>
    </row>
  </sheetData>
  <ignoredErrors>
    <ignoredError numberStoredAsText="1" sqref="A1:L41"/>
  </ignoredErrors>
</worksheet>
</file>

<file path=xl/worksheets/sheet106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IV.A.2.17 - Balok CL25-1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CL25-1</v>
      </c>
    </row>
    <row r="5">
      <c r="A5" t="str">
        <v>Unit</v>
      </c>
      <c r="B5" t="str">
        <v>m3</v>
      </c>
    </row>
    <row r="6">
      <c r="A6" t="str">
        <v>Volume</v>
      </c>
      <c r="B6">
        <v>0.55759</v>
      </c>
    </row>
    <row r="7">
      <c r="A7" t="str">
        <v>Unit cost (Rp/m3)</v>
      </c>
      <c r="B7">
        <v>9499297.645774867</v>
      </c>
    </row>
    <row r="8">
      <c r="A8" t="str">
        <v>Line total at-cost (Rp)</v>
      </c>
      <c r="B8">
        <v>5296713.374307608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0.5854695000000001</v>
      </c>
      <c r="L12">
        <v>594632.0976750002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0.55759</v>
      </c>
      <c r="L14">
        <v>41819.25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0.55759</v>
      </c>
      <c r="L16">
        <v>975782.5</v>
      </c>
    </row>
    <row r="17">
      <c r="A17">
        <v>4</v>
      </c>
      <c r="B17" t="str">
        <v>BEKISTING BALOK (Material) — ratio 12.702702702702704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6.351351351351352</v>
      </c>
      <c r="J18">
        <v>1270270.2702702703</v>
      </c>
      <c r="K18">
        <v>3.54145</v>
      </c>
      <c r="L18">
        <v>708290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28.581081081081084</v>
      </c>
      <c r="J19">
        <v>1360459.4594594596</v>
      </c>
      <c r="K19">
        <v>15.936525000000003</v>
      </c>
      <c r="L19">
        <v>758578.5900000002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9.527027027027028</v>
      </c>
      <c r="J20">
        <v>453486.4864864865</v>
      </c>
      <c r="K20">
        <v>5.312175000000001</v>
      </c>
      <c r="L20">
        <v>252859.53000000003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4.763513513513514</v>
      </c>
      <c r="J21">
        <v>61925.67567567568</v>
      </c>
      <c r="K21">
        <v>2.6560875000000004</v>
      </c>
      <c r="L21">
        <v>34529.137500000004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1.587837837837838</v>
      </c>
      <c r="J22">
        <v>43665.54054054054</v>
      </c>
      <c r="K22">
        <v>0.8853625</v>
      </c>
      <c r="L22">
        <v>24347.46875</v>
      </c>
    </row>
    <row r="23">
      <c r="A23">
        <v>5</v>
      </c>
      <c r="B23" t="str">
        <v>BEKISTING BALOK PERALATAN (Material) — Perancah, ratio 12.702702702702704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3.175675675675676</v>
      </c>
      <c r="J24">
        <v>647082.1446446447</v>
      </c>
      <c r="K24">
        <v>1.770725</v>
      </c>
      <c r="L24">
        <v>360806.53303240746</v>
      </c>
    </row>
    <row r="25">
      <c r="A25">
        <v>6</v>
      </c>
      <c r="B25" t="str">
        <v>PEMBESIAN (Material) — ratio 245.60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D10</v>
      </c>
      <c r="D26" t="str">
        <v>U24/U40 polos</v>
      </c>
      <c r="E26">
        <v>73.4815724815725</v>
      </c>
      <c r="F26" t="str">
        <v>kg</v>
      </c>
      <c r="G26" t="str">
        <v>per m3 beton</v>
      </c>
      <c r="H26">
        <v>10300</v>
      </c>
      <c r="I26">
        <v>73.4815724815725</v>
      </c>
      <c r="J26">
        <v>756860.1965601967</v>
      </c>
      <c r="K26">
        <v>40.97259000000001</v>
      </c>
      <c r="L26">
        <v>422017.6770000001</v>
      </c>
    </row>
    <row r="27">
      <c r="A27" t="str">
        <v/>
      </c>
      <c r="B27" t="str">
        <v/>
      </c>
      <c r="C27" t="str">
        <v>Besi beton D16</v>
      </c>
      <c r="D27" t="str">
        <v>U24/U40 polos</v>
      </c>
      <c r="E27">
        <v>172.11785749385749</v>
      </c>
      <c r="F27" t="str">
        <v>kg</v>
      </c>
      <c r="G27" t="str">
        <v>per m3 beton</v>
      </c>
      <c r="H27">
        <v>10300</v>
      </c>
      <c r="I27">
        <v>172.11785749385749</v>
      </c>
      <c r="J27">
        <v>1772813.932186732</v>
      </c>
      <c r="K27">
        <v>95.97119616</v>
      </c>
      <c r="L27">
        <v>988503.320448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12.279971498771511</v>
      </c>
      <c r="J28">
        <v>126483.70643734657</v>
      </c>
      <c r="K28">
        <v>6.847189308000007</v>
      </c>
      <c r="L28">
        <v>70526.04987240008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245.59942997542998</v>
      </c>
      <c r="J29">
        <v>24559.942997543</v>
      </c>
      <c r="K29">
        <v>136.94378616</v>
      </c>
      <c r="L29">
        <v>13694.378616000002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5.15758802948403</v>
      </c>
      <c r="J30">
        <v>90257.79051597053</v>
      </c>
      <c r="K30">
        <v>2.8758195093600003</v>
      </c>
      <c r="L30">
        <v>50326.84141380001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9499297.645774867</v>
      </c>
      <c r="J32" t="str">
        <v/>
      </c>
      <c r="K32" t="str">
        <v/>
      </c>
      <c r="L32">
        <v>5296713.374307608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9499297.645774867</v>
      </c>
    </row>
    <row r="36">
      <c r="A36" t="str">
        <v>RAB (A) source unit cost</v>
      </c>
      <c r="B36">
        <v>9499297.645774866</v>
      </c>
    </row>
    <row r="37">
      <c r="A37" t="str">
        <v>Variance</v>
      </c>
      <c r="B37">
        <v>1.862645149230957e-9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5296713.374307608</v>
      </c>
    </row>
    <row r="40">
      <c r="A40" t="str">
        <v>RAB (A) source line total</v>
      </c>
      <c r="B40">
        <v>6038253.246710672</v>
      </c>
    </row>
    <row r="41">
      <c r="A41" t="str">
        <v>Variance</v>
      </c>
      <c r="B41">
        <v>-741539.8724030638</v>
      </c>
      <c r="C41" t="str">
        <v>✓ OK</v>
      </c>
    </row>
  </sheetData>
  <ignoredErrors>
    <ignoredError numberStoredAsText="1" sqref="A1:L41"/>
  </ignoredErrors>
</worksheet>
</file>

<file path=xl/worksheets/sheet107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IV.A.2.18 - Balok B345-1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B345-1</v>
      </c>
    </row>
    <row r="5">
      <c r="A5" t="str">
        <v>Unit</v>
      </c>
      <c r="B5" t="str">
        <v>m3</v>
      </c>
    </row>
    <row r="6">
      <c r="A6" t="str">
        <v>Volume</v>
      </c>
      <c r="B6">
        <v>0.3552</v>
      </c>
    </row>
    <row r="7">
      <c r="A7" t="str">
        <v>Unit cost (Rp/m3)</v>
      </c>
      <c r="B7">
        <v>7725760.016641056</v>
      </c>
    </row>
    <row r="8">
      <c r="A8" t="str">
        <v>Line total at-cost (Rp)</v>
      </c>
      <c r="B8">
        <v>2744189.9579109033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0.37296</v>
      </c>
      <c r="L12">
        <v>378796.8240000001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0.3552</v>
      </c>
      <c r="L14">
        <v>26640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0.3552</v>
      </c>
      <c r="L16">
        <v>621600</v>
      </c>
    </row>
    <row r="17">
      <c r="A17">
        <v>4</v>
      </c>
      <c r="B17" t="str">
        <v>BEKISTING BALOK (Material) — ratio 9.791666666666666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4.895833333333333</v>
      </c>
      <c r="J18">
        <v>979166.6666666666</v>
      </c>
      <c r="K18">
        <v>1.7389999999999999</v>
      </c>
      <c r="L18">
        <v>347800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22.03125</v>
      </c>
      <c r="J19">
        <v>1048687.5</v>
      </c>
      <c r="K19">
        <v>7.825500000000001</v>
      </c>
      <c r="L19">
        <v>372493.8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7.34375</v>
      </c>
      <c r="J20">
        <v>349562.5</v>
      </c>
      <c r="K20">
        <v>2.6085000000000003</v>
      </c>
      <c r="L20">
        <v>124164.6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3.671875</v>
      </c>
      <c r="J21">
        <v>47734.375</v>
      </c>
      <c r="K21">
        <v>1.3042500000000001</v>
      </c>
      <c r="L21">
        <v>16955.25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1.2239583333333333</v>
      </c>
      <c r="J22">
        <v>33658.854166666664</v>
      </c>
      <c r="K22">
        <v>0.43474999999999997</v>
      </c>
      <c r="L22">
        <v>11955.625</v>
      </c>
    </row>
    <row r="23">
      <c r="A23">
        <v>5</v>
      </c>
      <c r="B23" t="str">
        <v>BEKISTING BALOK PERALATAN (Material) — Perancah, ratio 9.791666666666666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2.4479166666666665</v>
      </c>
      <c r="J24">
        <v>498792.48649691354</v>
      </c>
      <c r="K24">
        <v>0.8694999999999999</v>
      </c>
      <c r="L24">
        <v>177171.0912037037</v>
      </c>
    </row>
    <row r="25">
      <c r="A25">
        <v>6</v>
      </c>
      <c r="B25" t="str">
        <v>PEMBESIAN (Material) — ratio 166.34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D8</v>
      </c>
      <c r="D26" t="str">
        <v>U24/U40 polos</v>
      </c>
      <c r="E26">
        <v>51.490524324324305</v>
      </c>
      <c r="F26" t="str">
        <v>kg</v>
      </c>
      <c r="G26" t="str">
        <v>per m3 beton</v>
      </c>
      <c r="H26">
        <v>10300</v>
      </c>
      <c r="I26">
        <v>51.490524324324305</v>
      </c>
      <c r="J26">
        <v>530352.4005405403</v>
      </c>
      <c r="K26">
        <v>18.289434239999995</v>
      </c>
      <c r="L26">
        <v>188381.17267199993</v>
      </c>
    </row>
    <row r="27">
      <c r="A27" t="str">
        <v/>
      </c>
      <c r="B27" t="str">
        <v/>
      </c>
      <c r="C27" t="str">
        <v>Besi beton D16</v>
      </c>
      <c r="D27" t="str">
        <v>U24/U40 polos</v>
      </c>
      <c r="E27">
        <v>114.84895135135135</v>
      </c>
      <c r="F27" t="str">
        <v>kg</v>
      </c>
      <c r="G27" t="str">
        <v>per m3 beton</v>
      </c>
      <c r="H27">
        <v>10300</v>
      </c>
      <c r="I27">
        <v>114.84895135135135</v>
      </c>
      <c r="J27">
        <v>1182944.1989189188</v>
      </c>
      <c r="K27">
        <v>40.79434752</v>
      </c>
      <c r="L27">
        <v>420181.779456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8.31697378378379</v>
      </c>
      <c r="J28">
        <v>85664.82997297305</v>
      </c>
      <c r="K28">
        <v>2.954189088000003</v>
      </c>
      <c r="L28">
        <v>30428.147606400027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166.33947567567566</v>
      </c>
      <c r="J29">
        <v>16633.947567567564</v>
      </c>
      <c r="K29">
        <v>59.083781759999994</v>
      </c>
      <c r="L29">
        <v>5908.378175999999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3.4931289891891892</v>
      </c>
      <c r="J30">
        <v>61129.75731081081</v>
      </c>
      <c r="K30">
        <v>1.24075941696</v>
      </c>
      <c r="L30">
        <v>21713.2897968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7725760.016641056</v>
      </c>
      <c r="J32" t="str">
        <v/>
      </c>
      <c r="K32" t="str">
        <v/>
      </c>
      <c r="L32">
        <v>2744189.9579109033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7725760.016641056</v>
      </c>
    </row>
    <row r="36">
      <c r="A36" t="str">
        <v>RAB (A) source unit cost</v>
      </c>
      <c r="B36">
        <v>7725760.016641057</v>
      </c>
    </row>
    <row r="37">
      <c r="A37" t="str">
        <v>Variance</v>
      </c>
      <c r="B37">
        <v>-9.313225746154785e-10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2744189.9579109033</v>
      </c>
    </row>
    <row r="40">
      <c r="A40" t="str">
        <v>RAB (A) source line total</v>
      </c>
      <c r="B40">
        <v>3128376.55201843</v>
      </c>
    </row>
    <row r="41">
      <c r="A41" t="str">
        <v>Variance</v>
      </c>
      <c r="B41">
        <v>-384186.5941075268</v>
      </c>
      <c r="C41" t="str">
        <v>✓ OK</v>
      </c>
    </row>
  </sheetData>
  <ignoredErrors>
    <ignoredError numberStoredAsText="1" sqref="A1:L41"/>
  </ignoredErrors>
</worksheet>
</file>

<file path=xl/worksheets/sheet108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IV.A.2.19 - Balok B35-1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B35-1</v>
      </c>
    </row>
    <row r="5">
      <c r="A5" t="str">
        <v>Unit</v>
      </c>
      <c r="B5" t="str">
        <v>m3</v>
      </c>
    </row>
    <row r="6">
      <c r="A6" t="str">
        <v>Volume</v>
      </c>
      <c r="B6">
        <v>0.742035</v>
      </c>
    </row>
    <row r="7">
      <c r="A7" t="str">
        <v>Unit cost (Rp/m3)</v>
      </c>
      <c r="B7">
        <v>7507897.732329303</v>
      </c>
    </row>
    <row r="8">
      <c r="A8" t="str">
        <v>Line total at-cost (Rp)</v>
      </c>
      <c r="B8">
        <v>5571122.893808975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0.77913675</v>
      </c>
      <c r="L12">
        <v>791330.2401375002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0.742035</v>
      </c>
      <c r="L14">
        <v>55652.625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0.742035</v>
      </c>
      <c r="L16">
        <v>1298561.25</v>
      </c>
    </row>
    <row r="17">
      <c r="A17">
        <v>4</v>
      </c>
      <c r="B17" t="str">
        <v>BEKISTING BALOK (Material) — ratio 9.36936936936937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4.684684684684685</v>
      </c>
      <c r="J18">
        <v>936936.9369369369</v>
      </c>
      <c r="K18">
        <v>3.4762</v>
      </c>
      <c r="L18">
        <v>695240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21.08108108108108</v>
      </c>
      <c r="J19">
        <v>1003459.4594594594</v>
      </c>
      <c r="K19">
        <v>15.6429</v>
      </c>
      <c r="L19">
        <v>744602.0399999999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7.027027027027027</v>
      </c>
      <c r="J20">
        <v>334486.4864864865</v>
      </c>
      <c r="K20">
        <v>5.2143</v>
      </c>
      <c r="L20">
        <v>248200.68000000002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3.5135135135135136</v>
      </c>
      <c r="J21">
        <v>45675.67567567568</v>
      </c>
      <c r="K21">
        <v>2.60715</v>
      </c>
      <c r="L21">
        <v>33892.950000000004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1.1711711711711712</v>
      </c>
      <c r="J22">
        <v>32207.207207207208</v>
      </c>
      <c r="K22">
        <v>0.86905</v>
      </c>
      <c r="L22">
        <v>23898.875</v>
      </c>
    </row>
    <row r="23">
      <c r="A23">
        <v>5</v>
      </c>
      <c r="B23" t="str">
        <v>BEKISTING BALOK PERALATAN (Material) — Perancah, ratio 9.36936936936937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2.3423423423423424</v>
      </c>
      <c r="J24">
        <v>477280.4471137804</v>
      </c>
      <c r="K24">
        <v>1.7381</v>
      </c>
      <c r="L24">
        <v>354158.7965740741</v>
      </c>
    </row>
    <row r="25">
      <c r="A25">
        <v>6</v>
      </c>
      <c r="B25" t="str">
        <v>PEMBESIAN (Material) — ratio 158.34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D10</v>
      </c>
      <c r="D26" t="str">
        <v>U24/U40 polos</v>
      </c>
      <c r="E26">
        <v>53.089611675999116</v>
      </c>
      <c r="F26" t="str">
        <v>kg</v>
      </c>
      <c r="G26" t="str">
        <v>per m3 beton</v>
      </c>
      <c r="H26">
        <v>10300</v>
      </c>
      <c r="I26">
        <v>53.089611675999116</v>
      </c>
      <c r="J26">
        <v>546823.0002627909</v>
      </c>
      <c r="K26">
        <v>39.39435</v>
      </c>
      <c r="L26">
        <v>405761.80500000005</v>
      </c>
    </row>
    <row r="27">
      <c r="A27" t="str">
        <v/>
      </c>
      <c r="B27" t="str">
        <v/>
      </c>
      <c r="C27" t="str">
        <v>Besi beton D16</v>
      </c>
      <c r="D27" t="str">
        <v>U24/U40 polos</v>
      </c>
      <c r="E27">
        <v>105.24577670864582</v>
      </c>
      <c r="F27" t="str">
        <v>kg</v>
      </c>
      <c r="G27" t="str">
        <v>per m3 beton</v>
      </c>
      <c r="H27">
        <v>10300</v>
      </c>
      <c r="I27">
        <v>105.24577670864582</v>
      </c>
      <c r="J27">
        <v>1084031.500099052</v>
      </c>
      <c r="K27">
        <v>78.09604992</v>
      </c>
      <c r="L27">
        <v>804389.3141760001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7.916769419232255</v>
      </c>
      <c r="J28">
        <v>81542.72501809223</v>
      </c>
      <c r="K28">
        <v>5.874519996000006</v>
      </c>
      <c r="L28">
        <v>60507.55595880007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158.33538838464494</v>
      </c>
      <c r="J29">
        <v>15833.538838464494</v>
      </c>
      <c r="K29">
        <v>117.49039992000002</v>
      </c>
      <c r="L29">
        <v>11749.039992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3.325043156077544</v>
      </c>
      <c r="J30">
        <v>58188.25523135703</v>
      </c>
      <c r="K30">
        <v>2.4672983983200005</v>
      </c>
      <c r="L30">
        <v>43177.72197060001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7507897.732329303</v>
      </c>
      <c r="J32" t="str">
        <v/>
      </c>
      <c r="K32" t="str">
        <v/>
      </c>
      <c r="L32">
        <v>5571122.893808975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7507897.732329303</v>
      </c>
    </row>
    <row r="36">
      <c r="A36" t="str">
        <v>RAB (A) source unit cost</v>
      </c>
      <c r="B36">
        <v>7507897.7323293025</v>
      </c>
    </row>
    <row r="37">
      <c r="A37" t="str">
        <v>Variance</v>
      </c>
      <c r="B37">
        <v>9.313225746154785e-10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5571122.893808975</v>
      </c>
    </row>
    <row r="40">
      <c r="A40" t="str">
        <v>RAB (A) source line total</v>
      </c>
      <c r="B40">
        <v>6351080.0989422295</v>
      </c>
    </row>
    <row r="41">
      <c r="A41" t="str">
        <v>Variance</v>
      </c>
      <c r="B41">
        <v>-779957.2051332546</v>
      </c>
      <c r="C41" t="str">
        <v>✓ OK</v>
      </c>
    </row>
  </sheetData>
  <ignoredErrors>
    <ignoredError numberStoredAsText="1" sqref="A1:L41"/>
  </ignoredErrors>
</worksheet>
</file>

<file path=xl/worksheets/sheet109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IV.A.2.20 - Balok B37-1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B37-1</v>
      </c>
    </row>
    <row r="5">
      <c r="A5" t="str">
        <v>Unit</v>
      </c>
      <c r="B5" t="str">
        <v>m3</v>
      </c>
    </row>
    <row r="6">
      <c r="A6" t="str">
        <v>Volume</v>
      </c>
      <c r="B6">
        <v>5.081265</v>
      </c>
    </row>
    <row r="7">
      <c r="A7" t="str">
        <v>Unit cost (Rp/m3)</v>
      </c>
      <c r="B7">
        <v>8730761.73769414</v>
      </c>
    </row>
    <row r="8">
      <c r="A8" t="str">
        <v>Line total at-cost (Rp)</v>
      </c>
      <c r="B8">
        <v>44363314.041084416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5.335328250000001</v>
      </c>
      <c r="L12">
        <v>5418826.137112501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5.081265</v>
      </c>
      <c r="L14">
        <v>381094.875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5.081265</v>
      </c>
      <c r="L16">
        <v>8892213.75</v>
      </c>
    </row>
    <row r="17">
      <c r="A17">
        <v>4</v>
      </c>
      <c r="B17" t="str">
        <v>BEKISTING BALOK (Material) — ratio 8.421052631578947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4.2105263157894735</v>
      </c>
      <c r="J18">
        <v>842105.2631578947</v>
      </c>
      <c r="K18">
        <v>21.3948</v>
      </c>
      <c r="L18">
        <v>4278960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18.94736842105263</v>
      </c>
      <c r="J19">
        <v>901894.7368421052</v>
      </c>
      <c r="K19">
        <v>96.2766</v>
      </c>
      <c r="L19">
        <v>4582766.159999999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6.315789473684211</v>
      </c>
      <c r="J20">
        <v>300631.5789473684</v>
      </c>
      <c r="K20">
        <v>32.0922</v>
      </c>
      <c r="L20">
        <v>1527588.72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3.1578947368421053</v>
      </c>
      <c r="J21">
        <v>41052.63157894737</v>
      </c>
      <c r="K21">
        <v>16.0461</v>
      </c>
      <c r="L21">
        <v>208599.3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1.0526315789473684</v>
      </c>
      <c r="J22">
        <v>28947.36842105263</v>
      </c>
      <c r="K22">
        <v>5.3487</v>
      </c>
      <c r="L22">
        <v>147089.25</v>
      </c>
    </row>
    <row r="23">
      <c r="A23">
        <v>5</v>
      </c>
      <c r="B23" t="str">
        <v>BEKISTING BALOK PERALATAN (Material) — Perancah, ratio 8.421052631578947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2.1052631578947367</v>
      </c>
      <c r="J24">
        <v>428972.70955165685</v>
      </c>
      <c r="K24">
        <v>10.6974</v>
      </c>
      <c r="L24">
        <v>2179724.0149999997</v>
      </c>
    </row>
    <row r="25">
      <c r="A25">
        <v>6</v>
      </c>
      <c r="B25" t="str">
        <v>PEMBESIAN (Material) — ratio 292.11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D10</v>
      </c>
      <c r="D26" t="str">
        <v>U24/U40 polos</v>
      </c>
      <c r="E26">
        <v>87.26884348680889</v>
      </c>
      <c r="F26" t="str">
        <v>kg</v>
      </c>
      <c r="G26" t="str">
        <v>per m3 beton</v>
      </c>
      <c r="H26">
        <v>10300</v>
      </c>
      <c r="I26">
        <v>87.26884348680889</v>
      </c>
      <c r="J26">
        <v>898869.0879141316</v>
      </c>
      <c r="K26">
        <v>443.43612</v>
      </c>
      <c r="L26">
        <v>4567392.036</v>
      </c>
    </row>
    <row r="27">
      <c r="A27" t="str">
        <v/>
      </c>
      <c r="B27" t="str">
        <v/>
      </c>
      <c r="C27" t="str">
        <v>Besi beton D22</v>
      </c>
      <c r="D27" t="str">
        <v>U24/U40 polos</v>
      </c>
      <c r="E27">
        <v>204.8406135657164</v>
      </c>
      <c r="F27" t="str">
        <v>kg</v>
      </c>
      <c r="G27" t="str">
        <v>per m3 beton</v>
      </c>
      <c r="H27">
        <v>10300</v>
      </c>
      <c r="I27">
        <v>204.8406135657164</v>
      </c>
      <c r="J27">
        <v>2109858.3197268792</v>
      </c>
      <c r="K27">
        <v>1040.84944029</v>
      </c>
      <c r="L27">
        <v>10720749.234987002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14.605472852626276</v>
      </c>
      <c r="J28">
        <v>150436.37038205063</v>
      </c>
      <c r="K28">
        <v>74.21427801450005</v>
      </c>
      <c r="L28">
        <v>764407.0635493505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292.1094570525253</v>
      </c>
      <c r="J29">
        <v>29210.94570525253</v>
      </c>
      <c r="K29">
        <v>1484.28556029</v>
      </c>
      <c r="L29">
        <v>148428.556029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6.134298598103031</v>
      </c>
      <c r="J30">
        <v>107350.22546680305</v>
      </c>
      <c r="K30">
        <v>31.16999676609</v>
      </c>
      <c r="L30">
        <v>545474.943406575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8730761.73769414</v>
      </c>
      <c r="J32" t="str">
        <v/>
      </c>
      <c r="K32" t="str">
        <v/>
      </c>
      <c r="L32">
        <v>44363314.041084416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8730761.73769414</v>
      </c>
    </row>
    <row r="36">
      <c r="A36" t="str">
        <v>RAB (A) source unit cost</v>
      </c>
      <c r="B36">
        <v>8730761.737694142</v>
      </c>
    </row>
    <row r="37">
      <c r="A37" t="str">
        <v>Variance</v>
      </c>
      <c r="B37">
        <v>-1.862645149230957e-9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44363314.041084416</v>
      </c>
    </row>
    <row r="40">
      <c r="A40" t="str">
        <v>RAB (A) source line total</v>
      </c>
      <c r="B40">
        <v>50574178.00683624</v>
      </c>
    </row>
    <row r="41">
      <c r="A41" t="str">
        <v>Variance</v>
      </c>
      <c r="B41">
        <v>-6210863.965751827</v>
      </c>
      <c r="C41" t="str">
        <v>✓ OK</v>
      </c>
    </row>
  </sheetData>
  <ignoredErrors>
    <ignoredError numberStoredAsText="1" sqref="A1:L41"/>
  </ignoredErrors>
</worksheet>
</file>

<file path=xl/worksheets/sheet110.xml><?xml version="1.0" encoding="utf-8"?>
<worksheet xmlns="http://schemas.openxmlformats.org/spreadsheetml/2006/main" xmlns:r="http://schemas.openxmlformats.org/officeDocument/2006/relationships">
  <dimension ref="A1:L42"/>
  <sheetViews>
    <sheetView workbookViewId="0" rightToLeft="0"/>
  </sheetViews>
  <sheetData>
    <row r="1">
      <c r="A1" t="str">
        <v>BREAKDOWN — (A) IV.A.2.21 - Balok B47-1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B47-1</v>
      </c>
    </row>
    <row r="5">
      <c r="A5" t="str">
        <v>Unit</v>
      </c>
      <c r="B5" t="str">
        <v>m3</v>
      </c>
    </row>
    <row r="6">
      <c r="A6" t="str">
        <v>Volume</v>
      </c>
      <c r="B6">
        <v>2.52738</v>
      </c>
    </row>
    <row r="7">
      <c r="A7" t="str">
        <v>Unit cost (Rp/m3)</v>
      </c>
      <c r="B7">
        <v>7234904.149772705</v>
      </c>
    </row>
    <row r="8">
      <c r="A8" t="str">
        <v>Line total at-cost (Rp)</v>
      </c>
      <c r="B8">
        <v>18285352.05005254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2.653749</v>
      </c>
      <c r="L12">
        <v>2695280.1718500005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2.52738</v>
      </c>
      <c r="L14">
        <v>189553.5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2.52738</v>
      </c>
      <c r="L16">
        <v>4422915</v>
      </c>
    </row>
    <row r="17">
      <c r="A17">
        <v>4</v>
      </c>
      <c r="B17" t="str">
        <v>BEKISTING BALOK (Material) — ratio 6.754385964912282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3.377192982456141</v>
      </c>
      <c r="J18">
        <v>675438.5964912282</v>
      </c>
      <c r="K18">
        <v>8.53545</v>
      </c>
      <c r="L18">
        <v>1707090.0000000002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15.197368421052634</v>
      </c>
      <c r="J19">
        <v>723394.7368421054</v>
      </c>
      <c r="K19">
        <v>38.409525</v>
      </c>
      <c r="L19">
        <v>1828293.3900000004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5.0657894736842115</v>
      </c>
      <c r="J20">
        <v>241131.57894736846</v>
      </c>
      <c r="K20">
        <v>12.803175000000003</v>
      </c>
      <c r="L20">
        <v>609431.1300000001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2.5328947368421058</v>
      </c>
      <c r="J21">
        <v>32927.631578947374</v>
      </c>
      <c r="K21">
        <v>6.4015875000000015</v>
      </c>
      <c r="L21">
        <v>83220.63750000001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0.8442982456140352</v>
      </c>
      <c r="J22">
        <v>23218.20175438597</v>
      </c>
      <c r="K22">
        <v>2.1338625</v>
      </c>
      <c r="L22">
        <v>58681.21875000001</v>
      </c>
    </row>
    <row r="23">
      <c r="A23">
        <v>5</v>
      </c>
      <c r="B23" t="str">
        <v>BEKISTING BALOK PERALATAN (Material) — Perancah, ratio 6.754385964912282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1.6885964912280704</v>
      </c>
      <c r="J24">
        <v>344071.86078622483</v>
      </c>
      <c r="K24">
        <v>4.267725</v>
      </c>
      <c r="L24">
        <v>869600.3395138889</v>
      </c>
    </row>
    <row r="25">
      <c r="A25">
        <v>6</v>
      </c>
      <c r="B25" t="str">
        <v>PEMBESIAN (Material) — ratio 204.15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D10</v>
      </c>
      <c r="D26" t="str">
        <v>U24/U40 polos</v>
      </c>
      <c r="E26">
        <v>5.64206609215868</v>
      </c>
      <c r="F26" t="str">
        <v>kg</v>
      </c>
      <c r="G26" t="str">
        <v>per m3 beton</v>
      </c>
      <c r="H26">
        <v>10300</v>
      </c>
      <c r="I26">
        <v>5.64206609215868</v>
      </c>
      <c r="J26">
        <v>58113.2807492344</v>
      </c>
      <c r="K26">
        <v>14.259645000000003</v>
      </c>
      <c r="L26">
        <v>146874.34350000005</v>
      </c>
    </row>
    <row r="27">
      <c r="A27" t="str">
        <v/>
      </c>
      <c r="B27" t="str">
        <v/>
      </c>
      <c r="C27" t="str">
        <v>Besi beton D13</v>
      </c>
      <c r="D27" t="str">
        <v>U24/U40 polos</v>
      </c>
      <c r="E27">
        <v>93.16440047005197</v>
      </c>
      <c r="F27" t="str">
        <v>kg</v>
      </c>
      <c r="G27" t="str">
        <v>per m3 beton</v>
      </c>
      <c r="H27">
        <v>10300</v>
      </c>
      <c r="I27">
        <v>93.16440047005197</v>
      </c>
      <c r="J27">
        <v>959593.3248415353</v>
      </c>
      <c r="K27">
        <v>235.46184245999996</v>
      </c>
      <c r="L27">
        <v>2425256.9773379993</v>
      </c>
    </row>
    <row r="28">
      <c r="A28" t="str">
        <v/>
      </c>
      <c r="B28" t="str">
        <v/>
      </c>
      <c r="C28" t="str">
        <v>Besi beton D16</v>
      </c>
      <c r="D28" t="str">
        <v>U24/U40 polos</v>
      </c>
      <c r="E28">
        <v>105.34057916102843</v>
      </c>
      <c r="F28" t="str">
        <v>kg</v>
      </c>
      <c r="G28" t="str">
        <v>per m3 beton</v>
      </c>
      <c r="H28">
        <v>10300</v>
      </c>
      <c r="I28">
        <v>105.34057916102843</v>
      </c>
      <c r="J28">
        <v>1085007.9653585928</v>
      </c>
      <c r="K28">
        <v>266.23567296000004</v>
      </c>
      <c r="L28">
        <v>2742227.4314880003</v>
      </c>
    </row>
    <row r="29">
      <c r="A29" t="str">
        <v/>
      </c>
      <c r="B29" t="str">
        <v/>
      </c>
      <c r="C29" t="str">
        <v>Besi beton — waste (5%)</v>
      </c>
      <c r="D29" t="str">
        <v>applied via AHS coeff 1.05</v>
      </c>
      <c r="E29">
        <v>0.050000000000000044</v>
      </c>
      <c r="F29" t="str">
        <v>kg</v>
      </c>
      <c r="G29" t="str">
        <v>per m3 beton</v>
      </c>
      <c r="H29">
        <v>10300</v>
      </c>
      <c r="I29">
        <v>10.207352286161964</v>
      </c>
      <c r="J29">
        <v>105135.72854746823</v>
      </c>
      <c r="K29">
        <v>25.797858021000025</v>
      </c>
      <c r="L29">
        <v>265717.93761630025</v>
      </c>
    </row>
    <row r="30">
      <c r="A30" t="str">
        <v/>
      </c>
      <c r="B30" t="str">
        <v/>
      </c>
      <c r="C30" t="str">
        <v>Beton decking</v>
      </c>
      <c r="D30" t="str">
        <v>spacer</v>
      </c>
      <c r="E30">
        <v>1</v>
      </c>
      <c r="F30" t="str">
        <v>kg-eq</v>
      </c>
      <c r="G30" t="str">
        <v>per kg besi</v>
      </c>
      <c r="H30">
        <v>100</v>
      </c>
      <c r="I30">
        <v>204.1470457232391</v>
      </c>
      <c r="J30">
        <v>20414.70457232391</v>
      </c>
      <c r="K30">
        <v>515.95716042</v>
      </c>
      <c r="L30">
        <v>51595.716042</v>
      </c>
    </row>
    <row r="31">
      <c r="A31" t="str">
        <v/>
      </c>
      <c r="B31" t="str">
        <v/>
      </c>
      <c r="C31" t="str">
        <v>Bendrat (kawat ikat)</v>
      </c>
      <c r="D31" t="str">
        <v>2.1% of besi (raw)</v>
      </c>
      <c r="E31">
        <v>0.021</v>
      </c>
      <c r="F31" t="str">
        <v>kg</v>
      </c>
      <c r="G31" t="str">
        <v>per kg besi (raw)</v>
      </c>
      <c r="H31">
        <v>17500</v>
      </c>
      <c r="I31">
        <v>4.287087960188021</v>
      </c>
      <c r="J31">
        <v>75024.03930329037</v>
      </c>
      <c r="K31">
        <v>10.835100368820001</v>
      </c>
      <c r="L31">
        <v>189614.25645435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/>
      </c>
      <c r="B33" t="str">
        <v>SUBTOTAL — At-cost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>
        <v>7234904.149772705</v>
      </c>
      <c r="J33" t="str">
        <v/>
      </c>
      <c r="K33" t="str">
        <v/>
      </c>
      <c r="L33">
        <v>18285352.05005254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</row>
    <row r="35">
      <c r="A35" t="str">
        <v>RECONCILIATION</v>
      </c>
    </row>
    <row r="36">
      <c r="A36" t="str">
        <v>Computed unit cost</v>
      </c>
      <c r="B36">
        <v>7234904.149772705</v>
      </c>
    </row>
    <row r="37">
      <c r="A37" t="str">
        <v>RAB (A) source unit cost</v>
      </c>
      <c r="B37">
        <v>7234904.1497727055</v>
      </c>
    </row>
    <row r="38">
      <c r="A38" t="str">
        <v>Variance</v>
      </c>
      <c r="B38">
        <v>-9.313225746154785e-10</v>
      </c>
      <c r="C38" t="str">
        <v>✓ OK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</row>
    <row r="40">
      <c r="A40" t="str">
        <v>Computed line total</v>
      </c>
      <c r="B40">
        <v>18285352.05005254</v>
      </c>
    </row>
    <row r="41">
      <c r="A41" t="str">
        <v>RAB (A) source line total</v>
      </c>
      <c r="B41">
        <v>20845301.337059893</v>
      </c>
    </row>
    <row r="42">
      <c r="A42" t="str">
        <v>Variance</v>
      </c>
      <c r="B42">
        <v>-2559949.287007354</v>
      </c>
      <c r="C42" t="str">
        <v>✓ OK</v>
      </c>
    </row>
  </sheetData>
  <ignoredErrors>
    <ignoredError numberStoredAsText="1" sqref="A1:L42"/>
  </ignoredErrors>
</worksheet>
</file>

<file path=xl/worksheets/sheet111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IV.A.2.22 - Balok B57-1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B57-1</v>
      </c>
    </row>
    <row r="5">
      <c r="A5" t="str">
        <v>Unit</v>
      </c>
      <c r="B5" t="str">
        <v>m3</v>
      </c>
    </row>
    <row r="6">
      <c r="A6" t="str">
        <v>Volume</v>
      </c>
      <c r="B6">
        <v>14.197274999999998</v>
      </c>
    </row>
    <row r="7">
      <c r="A7" t="str">
        <v>Unit cost (Rp/m3)</v>
      </c>
      <c r="B7">
        <v>7636403.964346249</v>
      </c>
    </row>
    <row r="8">
      <c r="A8" t="str">
        <v>Line total at-cost (Rp)</v>
      </c>
      <c r="B8">
        <v>108416127.09291387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14.907138749999998</v>
      </c>
      <c r="L12">
        <v>15140435.4714375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14.197274999999998</v>
      </c>
      <c r="L14">
        <v>1064795.6249999998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14.197274999999998</v>
      </c>
      <c r="L16">
        <v>24845231.249999996</v>
      </c>
    </row>
    <row r="17">
      <c r="A17">
        <v>4</v>
      </c>
      <c r="B17" t="str">
        <v>BEKISTING BALOK (Material) — ratio 5.754385964912282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2.877192982456141</v>
      </c>
      <c r="J18">
        <v>575438.5964912282</v>
      </c>
      <c r="K18">
        <v>40.8483</v>
      </c>
      <c r="L18">
        <v>8169660.000000001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12.947368421052634</v>
      </c>
      <c r="J19">
        <v>616294.7368421054</v>
      </c>
      <c r="K19">
        <v>183.81735</v>
      </c>
      <c r="L19">
        <v>8749705.860000001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4.3157894736842115</v>
      </c>
      <c r="J20">
        <v>205431.57894736846</v>
      </c>
      <c r="K20">
        <v>61.272450000000006</v>
      </c>
      <c r="L20">
        <v>2916568.62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2.1578947368421058</v>
      </c>
      <c r="J21">
        <v>28052.631578947374</v>
      </c>
      <c r="K21">
        <v>30.636225000000003</v>
      </c>
      <c r="L21">
        <v>398270.925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0.7192982456140352</v>
      </c>
      <c r="J22">
        <v>19780.70175438597</v>
      </c>
      <c r="K22">
        <v>10.212075</v>
      </c>
      <c r="L22">
        <v>280832.0625</v>
      </c>
    </row>
    <row r="23">
      <c r="A23">
        <v>5</v>
      </c>
      <c r="B23" t="str">
        <v>BEKISTING BALOK PERALATAN (Material) — Perancah, ratio 5.754385964912282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1.4385964912280704</v>
      </c>
      <c r="J24">
        <v>293131.3515269656</v>
      </c>
      <c r="K24">
        <v>20.42415</v>
      </c>
      <c r="L24">
        <v>4161666.40875</v>
      </c>
    </row>
    <row r="25">
      <c r="A25">
        <v>6</v>
      </c>
      <c r="B25" t="str">
        <v>PEMBESIAN (Material) — ratio 266.50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D13</v>
      </c>
      <c r="D26" t="str">
        <v>U24/U40 polos</v>
      </c>
      <c r="E26">
        <v>116.28655619264964</v>
      </c>
      <c r="F26" t="str">
        <v>kg</v>
      </c>
      <c r="G26" t="str">
        <v>per m3 beton</v>
      </c>
      <c r="H26">
        <v>10300</v>
      </c>
      <c r="I26">
        <v>116.28655619264964</v>
      </c>
      <c r="J26">
        <v>1197751.5287842914</v>
      </c>
      <c r="K26">
        <v>1650.9522170699997</v>
      </c>
      <c r="L26">
        <v>17004807.835821</v>
      </c>
    </row>
    <row r="27">
      <c r="A27" t="str">
        <v/>
      </c>
      <c r="B27" t="str">
        <v/>
      </c>
      <c r="C27" t="str">
        <v>Besi beton D22</v>
      </c>
      <c r="D27" t="str">
        <v>U24/U40 polos</v>
      </c>
      <c r="E27">
        <v>150.21837331811915</v>
      </c>
      <c r="F27" t="str">
        <v>kg</v>
      </c>
      <c r="G27" t="str">
        <v>per m3 beton</v>
      </c>
      <c r="H27">
        <v>10300</v>
      </c>
      <c r="I27">
        <v>150.21837331811915</v>
      </c>
      <c r="J27">
        <v>1547249.2451766273</v>
      </c>
      <c r="K27">
        <v>2132.6915560499997</v>
      </c>
      <c r="L27">
        <v>21966723.027315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13.32524647553845</v>
      </c>
      <c r="J28">
        <v>137250.03869804603</v>
      </c>
      <c r="K28">
        <v>189.1821886560001</v>
      </c>
      <c r="L28">
        <v>1948576.5431568013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266.50492951076876</v>
      </c>
      <c r="J29">
        <v>26650.492951076878</v>
      </c>
      <c r="K29">
        <v>3783.643773119999</v>
      </c>
      <c r="L29">
        <v>378364.3773119999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5.596603519726144</v>
      </c>
      <c r="J30">
        <v>97940.56159520752</v>
      </c>
      <c r="K30">
        <v>79.45651923551998</v>
      </c>
      <c r="L30">
        <v>1390489.0866215995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7636403.964346249</v>
      </c>
      <c r="J32" t="str">
        <v/>
      </c>
      <c r="K32" t="str">
        <v/>
      </c>
      <c r="L32">
        <v>108416127.09291387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7636403.964346249</v>
      </c>
    </row>
    <row r="36">
      <c r="A36" t="str">
        <v>RAB (A) source unit cost</v>
      </c>
      <c r="B36">
        <v>7636403.96434625</v>
      </c>
    </row>
    <row r="37">
      <c r="A37" t="str">
        <v>Variance</v>
      </c>
      <c r="B37">
        <v>-9.313225746154785e-10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108416127.09291387</v>
      </c>
    </row>
    <row r="40">
      <c r="A40" t="str">
        <v>RAB (A) source line total</v>
      </c>
      <c r="B40">
        <v>123594384.8859218</v>
      </c>
    </row>
    <row r="41">
      <c r="A41" t="str">
        <v>Variance</v>
      </c>
      <c r="B41">
        <v>-15178257.79300794</v>
      </c>
      <c r="C41" t="str">
        <v>✓ OK</v>
      </c>
    </row>
  </sheetData>
  <ignoredErrors>
    <ignoredError numberStoredAsText="1" sqref="A1:L41"/>
  </ignoredErrors>
</worksheet>
</file>

<file path=xl/worksheets/sheet112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IV.A.2.23 - Balok B57-4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B57-4</v>
      </c>
    </row>
    <row r="5">
      <c r="A5" t="str">
        <v>Unit</v>
      </c>
      <c r="B5" t="str">
        <v>m3</v>
      </c>
    </row>
    <row r="6">
      <c r="A6" t="str">
        <v>Volume</v>
      </c>
      <c r="B6">
        <v>6.327</v>
      </c>
    </row>
    <row r="7">
      <c r="A7" t="str">
        <v>Unit cost (Rp/m3)</v>
      </c>
      <c r="B7">
        <v>7149710.98450999</v>
      </c>
    </row>
    <row r="8">
      <c r="A8" t="str">
        <v>Line total at-cost (Rp)</v>
      </c>
      <c r="B8">
        <v>45236221.39899471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6.64335</v>
      </c>
      <c r="L12">
        <v>6747318.427500001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6.327</v>
      </c>
      <c r="L14">
        <v>474525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6.327</v>
      </c>
      <c r="L16">
        <v>11072250</v>
      </c>
    </row>
    <row r="17">
      <c r="A17">
        <v>4</v>
      </c>
      <c r="B17" t="str">
        <v>BEKISTING BALOK (Material) — ratio 5.754385964912281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2.8771929824561404</v>
      </c>
      <c r="J18">
        <v>575438.5964912281</v>
      </c>
      <c r="K18">
        <v>18.204</v>
      </c>
      <c r="L18">
        <v>3640800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12.947368421052632</v>
      </c>
      <c r="J19">
        <v>616294.7368421053</v>
      </c>
      <c r="K19">
        <v>81.918</v>
      </c>
      <c r="L19">
        <v>3899296.8000000003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4.315789473684211</v>
      </c>
      <c r="J20">
        <v>205431.57894736843</v>
      </c>
      <c r="K20">
        <v>27.306</v>
      </c>
      <c r="L20">
        <v>1299765.6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2.1578947368421053</v>
      </c>
      <c r="J21">
        <v>28052.63157894737</v>
      </c>
      <c r="K21">
        <v>13.653</v>
      </c>
      <c r="L21">
        <v>177489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0.7192982456140351</v>
      </c>
      <c r="J22">
        <v>19780.701754385966</v>
      </c>
      <c r="K22">
        <v>4.551</v>
      </c>
      <c r="L22">
        <v>125152.5</v>
      </c>
    </row>
    <row r="23">
      <c r="A23">
        <v>5</v>
      </c>
      <c r="B23" t="str">
        <v>BEKISTING BALOK PERALATAN (Material) — Perancah, ratio 5.754385964912281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1.4385964912280702</v>
      </c>
      <c r="J24">
        <v>293131.35152696556</v>
      </c>
      <c r="K24">
        <v>9.102</v>
      </c>
      <c r="L24">
        <v>1854642.0611111112</v>
      </c>
    </row>
    <row r="25">
      <c r="A25">
        <v>6</v>
      </c>
      <c r="B25" t="str">
        <v>PEMBESIAN (Material) — ratio 223.37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D10</v>
      </c>
      <c r="D26" t="str">
        <v>U24/U40 polos</v>
      </c>
      <c r="E26">
        <v>62.59321479374112</v>
      </c>
      <c r="F26" t="str">
        <v>kg</v>
      </c>
      <c r="G26" t="str">
        <v>per m3 beton</v>
      </c>
      <c r="H26">
        <v>10300</v>
      </c>
      <c r="I26">
        <v>62.59321479374112</v>
      </c>
      <c r="J26">
        <v>644710.1123755336</v>
      </c>
      <c r="K26">
        <v>396.02727000000004</v>
      </c>
      <c r="L26">
        <v>4079080.881000001</v>
      </c>
    </row>
    <row r="27">
      <c r="A27" t="str">
        <v/>
      </c>
      <c r="B27" t="str">
        <v/>
      </c>
      <c r="C27" t="str">
        <v>Besi beton D22</v>
      </c>
      <c r="D27" t="str">
        <v>U24/U40 polos</v>
      </c>
      <c r="E27">
        <v>160.7747344523471</v>
      </c>
      <c r="F27" t="str">
        <v>kg</v>
      </c>
      <c r="G27" t="str">
        <v>per m3 beton</v>
      </c>
      <c r="H27">
        <v>10300</v>
      </c>
      <c r="I27">
        <v>160.7747344523471</v>
      </c>
      <c r="J27">
        <v>1655979.764859175</v>
      </c>
      <c r="K27">
        <v>1017.2217448800001</v>
      </c>
      <c r="L27">
        <v>10477383.972264001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11.168397462304421</v>
      </c>
      <c r="J28">
        <v>115034.49386173554</v>
      </c>
      <c r="K28">
        <v>70.66245074400007</v>
      </c>
      <c r="L28">
        <v>727823.2426632007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223.36794924608822</v>
      </c>
      <c r="J29">
        <v>22336.79492460882</v>
      </c>
      <c r="K29">
        <v>1413.2490148800002</v>
      </c>
      <c r="L29">
        <v>141324.901488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4.690726934167853</v>
      </c>
      <c r="J30">
        <v>82087.72134793743</v>
      </c>
      <c r="K30">
        <v>29.678229312480006</v>
      </c>
      <c r="L30">
        <v>519369.01296840014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7149710.98450999</v>
      </c>
      <c r="J32" t="str">
        <v/>
      </c>
      <c r="K32" t="str">
        <v/>
      </c>
      <c r="L32">
        <v>45236221.39899471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7149710.98450999</v>
      </c>
    </row>
    <row r="36">
      <c r="A36" t="str">
        <v>RAB (A) source unit cost</v>
      </c>
      <c r="B36">
        <v>7149710.984509991</v>
      </c>
    </row>
    <row r="37">
      <c r="A37" t="str">
        <v>Variance</v>
      </c>
      <c r="B37">
        <v>-9.313225746154785e-10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45236221.39899471</v>
      </c>
    </row>
    <row r="40">
      <c r="A40" t="str">
        <v>RAB (A) source line total</v>
      </c>
      <c r="B40">
        <v>51569292.394853964</v>
      </c>
    </row>
    <row r="41">
      <c r="A41" t="str">
        <v>Variance</v>
      </c>
      <c r="B41">
        <v>-6333070.995859258</v>
      </c>
      <c r="C41" t="str">
        <v>✓ OK</v>
      </c>
    </row>
  </sheetData>
  <ignoredErrors>
    <ignoredError numberStoredAsText="1" sqref="A1:L41"/>
  </ignoredErrors>
</worksheet>
</file>

<file path=xl/worksheets/sheet113.xml><?xml version="1.0" encoding="utf-8"?>
<worksheet xmlns="http://schemas.openxmlformats.org/spreadsheetml/2006/main" xmlns:r="http://schemas.openxmlformats.org/officeDocument/2006/relationships">
  <dimension ref="A1:L42"/>
  <sheetViews>
    <sheetView workbookViewId="0" rightToLeft="0"/>
  </sheetViews>
  <sheetData>
    <row r="1">
      <c r="A1" t="str">
        <v>BREAKDOWN — (A) IV.A.2.24 - Balok B67-1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B67-1</v>
      </c>
    </row>
    <row r="5">
      <c r="A5" t="str">
        <v>Unit</v>
      </c>
      <c r="B5" t="str">
        <v>m3</v>
      </c>
    </row>
    <row r="6">
      <c r="A6" t="str">
        <v>Volume</v>
      </c>
      <c r="B6">
        <v>2.394</v>
      </c>
    </row>
    <row r="7">
      <c r="A7" t="str">
        <v>Unit cost (Rp/m3)</v>
      </c>
      <c r="B7">
        <v>6765172.994065592</v>
      </c>
    </row>
    <row r="8">
      <c r="A8" t="str">
        <v>Line total at-cost (Rp)</v>
      </c>
      <c r="B8">
        <v>16195824.147793029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2.5137</v>
      </c>
      <c r="L12">
        <v>2553039.4050000007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2.394</v>
      </c>
      <c r="L14">
        <v>179550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2.394</v>
      </c>
      <c r="L16">
        <v>4189500</v>
      </c>
    </row>
    <row r="17">
      <c r="A17">
        <v>4</v>
      </c>
      <c r="B17" t="str">
        <v>BEKISTING BALOK (Material) — ratio 5.087719298245614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2.543859649122807</v>
      </c>
      <c r="J18">
        <v>508771.9298245614</v>
      </c>
      <c r="K18">
        <v>6.09</v>
      </c>
      <c r="L18">
        <v>1218000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11.447368421052632</v>
      </c>
      <c r="J19">
        <v>544894.7368421053</v>
      </c>
      <c r="K19">
        <v>27.405</v>
      </c>
      <c r="L19">
        <v>1304478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3.8157894736842106</v>
      </c>
      <c r="J20">
        <v>181631.57894736843</v>
      </c>
      <c r="K20">
        <v>9.135000000000002</v>
      </c>
      <c r="L20">
        <v>434826.00000000006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1.9078947368421053</v>
      </c>
      <c r="J21">
        <v>24802.63157894737</v>
      </c>
      <c r="K21">
        <v>4.567500000000001</v>
      </c>
      <c r="L21">
        <v>59377.50000000001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0.6359649122807017</v>
      </c>
      <c r="J22">
        <v>17489.035087719298</v>
      </c>
      <c r="K22">
        <v>1.5225</v>
      </c>
      <c r="L22">
        <v>41868.75</v>
      </c>
    </row>
    <row r="23">
      <c r="A23">
        <v>5</v>
      </c>
      <c r="B23" t="str">
        <v>BEKISTING BALOK PERALATAN (Material) — Perancah, ratio 5.087719298245614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1.2719298245614035</v>
      </c>
      <c r="J24">
        <v>259171.0120207927</v>
      </c>
      <c r="K24">
        <v>3.045</v>
      </c>
      <c r="L24">
        <v>620455.4027777778</v>
      </c>
    </row>
    <row r="25">
      <c r="A25">
        <v>6</v>
      </c>
      <c r="B25" t="str">
        <v>PEMBESIAN (Material) — ratio 207.13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D10</v>
      </c>
      <c r="D26" t="str">
        <v>U24/U40 polos</v>
      </c>
      <c r="E26">
        <v>3.728872180451128</v>
      </c>
      <c r="F26" t="str">
        <v>kg</v>
      </c>
      <c r="G26" t="str">
        <v>per m3 beton</v>
      </c>
      <c r="H26">
        <v>10300</v>
      </c>
      <c r="I26">
        <v>3.728872180451128</v>
      </c>
      <c r="J26">
        <v>38407.38345864662</v>
      </c>
      <c r="K26">
        <v>8.92692</v>
      </c>
      <c r="L26">
        <v>91947.27600000001</v>
      </c>
    </row>
    <row r="27">
      <c r="A27" t="str">
        <v/>
      </c>
      <c r="B27" t="str">
        <v/>
      </c>
      <c r="C27" t="str">
        <v>Besi beton D13</v>
      </c>
      <c r="D27" t="str">
        <v>U24/U40 polos</v>
      </c>
      <c r="E27">
        <v>88.686434962406</v>
      </c>
      <c r="F27" t="str">
        <v>kg</v>
      </c>
      <c r="G27" t="str">
        <v>per m3 beton</v>
      </c>
      <c r="H27">
        <v>10300</v>
      </c>
      <c r="I27">
        <v>88.686434962406</v>
      </c>
      <c r="J27">
        <v>913470.2801127818</v>
      </c>
      <c r="K27">
        <v>212.31532529999996</v>
      </c>
      <c r="L27">
        <v>2186847.85059</v>
      </c>
    </row>
    <row r="28">
      <c r="A28" t="str">
        <v/>
      </c>
      <c r="B28" t="str">
        <v/>
      </c>
      <c r="C28" t="str">
        <v>Besi beton D22</v>
      </c>
      <c r="D28" t="str">
        <v>U24/U40 polos</v>
      </c>
      <c r="E28">
        <v>114.71782556390978</v>
      </c>
      <c r="F28" t="str">
        <v>kg</v>
      </c>
      <c r="G28" t="str">
        <v>per m3 beton</v>
      </c>
      <c r="H28">
        <v>10300</v>
      </c>
      <c r="I28">
        <v>114.71782556390978</v>
      </c>
      <c r="J28">
        <v>1181593.6033082707</v>
      </c>
      <c r="K28">
        <v>274.63447440000004</v>
      </c>
      <c r="L28">
        <v>2828735.0863200002</v>
      </c>
    </row>
    <row r="29">
      <c r="A29" t="str">
        <v/>
      </c>
      <c r="B29" t="str">
        <v/>
      </c>
      <c r="C29" t="str">
        <v>Besi beton — waste (5%)</v>
      </c>
      <c r="D29" t="str">
        <v>applied via AHS coeff 1.05</v>
      </c>
      <c r="E29">
        <v>0.050000000000000044</v>
      </c>
      <c r="F29" t="str">
        <v>kg</v>
      </c>
      <c r="G29" t="str">
        <v>per m3 beton</v>
      </c>
      <c r="H29">
        <v>10300</v>
      </c>
      <c r="I29">
        <v>10.356656635338354</v>
      </c>
      <c r="J29">
        <v>106673.56334398504</v>
      </c>
      <c r="K29">
        <v>24.79383598500002</v>
      </c>
      <c r="L29">
        <v>255376.51064550018</v>
      </c>
    </row>
    <row r="30">
      <c r="A30" t="str">
        <v/>
      </c>
      <c r="B30" t="str">
        <v/>
      </c>
      <c r="C30" t="str">
        <v>Beton decking</v>
      </c>
      <c r="D30" t="str">
        <v>spacer</v>
      </c>
      <c r="E30">
        <v>1</v>
      </c>
      <c r="F30" t="str">
        <v>kg-eq</v>
      </c>
      <c r="G30" t="str">
        <v>per kg besi</v>
      </c>
      <c r="H30">
        <v>100</v>
      </c>
      <c r="I30">
        <v>207.1331327067669</v>
      </c>
      <c r="J30">
        <v>20713.313270676692</v>
      </c>
      <c r="K30">
        <v>495.87671969999997</v>
      </c>
      <c r="L30">
        <v>49587.67197</v>
      </c>
    </row>
    <row r="31">
      <c r="A31" t="str">
        <v/>
      </c>
      <c r="B31" t="str">
        <v/>
      </c>
      <c r="C31" t="str">
        <v>Bendrat (kawat ikat)</v>
      </c>
      <c r="D31" t="str">
        <v>2.1% of besi (raw)</v>
      </c>
      <c r="E31">
        <v>0.021</v>
      </c>
      <c r="F31" t="str">
        <v>kg</v>
      </c>
      <c r="G31" t="str">
        <v>per kg besi (raw)</v>
      </c>
      <c r="H31">
        <v>17500</v>
      </c>
      <c r="I31">
        <v>4.3497957868421055</v>
      </c>
      <c r="J31">
        <v>76121.42626973685</v>
      </c>
      <c r="K31">
        <v>10.4134111137</v>
      </c>
      <c r="L31">
        <v>182234.69448975005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/>
      </c>
      <c r="B33" t="str">
        <v>SUBTOTAL — At-cost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>
        <v>6765172.994065592</v>
      </c>
      <c r="J33" t="str">
        <v/>
      </c>
      <c r="K33" t="str">
        <v/>
      </c>
      <c r="L33">
        <v>16195824.147793029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</row>
    <row r="35">
      <c r="A35" t="str">
        <v>RECONCILIATION</v>
      </c>
    </row>
    <row r="36">
      <c r="A36" t="str">
        <v>Computed unit cost</v>
      </c>
      <c r="B36">
        <v>6765172.994065592</v>
      </c>
    </row>
    <row r="37">
      <c r="A37" t="str">
        <v>RAB (A) source unit cost</v>
      </c>
      <c r="B37">
        <v>6765172.994065592</v>
      </c>
    </row>
    <row r="38">
      <c r="A38" t="str">
        <v>Variance</v>
      </c>
      <c r="B38">
        <v>0</v>
      </c>
      <c r="C38" t="str">
        <v>✓ OK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</row>
    <row r="40">
      <c r="A40" t="str">
        <v>Computed line total</v>
      </c>
      <c r="B40">
        <v>16195824.147793029</v>
      </c>
    </row>
    <row r="41">
      <c r="A41" t="str">
        <v>RAB (A) source line total</v>
      </c>
      <c r="B41">
        <v>18463239.52848405</v>
      </c>
    </row>
    <row r="42">
      <c r="A42" t="str">
        <v>Variance</v>
      </c>
      <c r="B42">
        <v>-2267415.3806910217</v>
      </c>
      <c r="C42" t="str">
        <v>✓ OK</v>
      </c>
    </row>
  </sheetData>
  <ignoredErrors>
    <ignoredError numberStoredAsText="1" sqref="A1:L42"/>
  </ignoredErrors>
</worksheet>
</file>

<file path=xl/worksheets/sheet114.xml><?xml version="1.0" encoding="utf-8"?>
<worksheet xmlns="http://schemas.openxmlformats.org/spreadsheetml/2006/main" xmlns:r="http://schemas.openxmlformats.org/officeDocument/2006/relationships">
  <dimension ref="A1:L42"/>
  <sheetViews>
    <sheetView workbookViewId="0" rightToLeft="0"/>
  </sheetViews>
  <sheetData>
    <row r="1">
      <c r="A1" t="str">
        <v>BREAKDOWN — (A) IV.A.2.25 - Balok B77-1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B77-1</v>
      </c>
    </row>
    <row r="5">
      <c r="A5" t="str">
        <v>Unit</v>
      </c>
      <c r="B5" t="str">
        <v>m3</v>
      </c>
    </row>
    <row r="6">
      <c r="A6" t="str">
        <v>Volume</v>
      </c>
      <c r="B6">
        <v>3.09225</v>
      </c>
    </row>
    <row r="7">
      <c r="A7" t="str">
        <v>Unit cost (Rp/m3)</v>
      </c>
      <c r="B7">
        <v>7296074.840009391</v>
      </c>
    </row>
    <row r="8">
      <c r="A8" t="str">
        <v>Line total at-cost (Rp)</v>
      </c>
      <c r="B8">
        <v>22561287.42401904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3.2468625</v>
      </c>
      <c r="L12">
        <v>3297675.8981250008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3.09225</v>
      </c>
      <c r="L14">
        <v>231918.75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3.09225</v>
      </c>
      <c r="L16">
        <v>5411437.5</v>
      </c>
    </row>
    <row r="17">
      <c r="A17">
        <v>4</v>
      </c>
      <c r="B17" t="str">
        <v>BEKISTING BALOK (Material) — ratio 4.611528822055138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2.305764411027569</v>
      </c>
      <c r="J18">
        <v>461152.8822055138</v>
      </c>
      <c r="K18">
        <v>7.13</v>
      </c>
      <c r="L18">
        <v>1426000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10.375939849624059</v>
      </c>
      <c r="J19">
        <v>493894.7368421052</v>
      </c>
      <c r="K19">
        <v>32.084999999999994</v>
      </c>
      <c r="L19">
        <v>1527245.9999999998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3.458646616541353</v>
      </c>
      <c r="J20">
        <v>164631.5789473684</v>
      </c>
      <c r="K20">
        <v>10.694999999999999</v>
      </c>
      <c r="L20">
        <v>509081.99999999994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1.7293233082706765</v>
      </c>
      <c r="J21">
        <v>22481.203007518794</v>
      </c>
      <c r="K21">
        <v>5.347499999999999</v>
      </c>
      <c r="L21">
        <v>69517.49999999999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0.5764411027568922</v>
      </c>
      <c r="J22">
        <v>15852.130325814536</v>
      </c>
      <c r="K22">
        <v>1.7825</v>
      </c>
      <c r="L22">
        <v>49018.75</v>
      </c>
    </row>
    <row r="23">
      <c r="A23">
        <v>5</v>
      </c>
      <c r="B23" t="str">
        <v>BEKISTING BALOK PERALATAN (Material) — Perancah, ratio 4.611528822055138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1.1528822055137844</v>
      </c>
      <c r="J24">
        <v>234913.62665924066</v>
      </c>
      <c r="K24">
        <v>3.565</v>
      </c>
      <c r="L24">
        <v>726411.662037037</v>
      </c>
    </row>
    <row r="25">
      <c r="A25">
        <v>6</v>
      </c>
      <c r="B25" t="str">
        <v>PEMBESIAN (Material) — ratio 266.94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D10</v>
      </c>
      <c r="D26" t="str">
        <v>U24/U40 polos</v>
      </c>
      <c r="E26">
        <v>3.1859228716953676</v>
      </c>
      <c r="F26" t="str">
        <v>kg</v>
      </c>
      <c r="G26" t="str">
        <v>per m3 beton</v>
      </c>
      <c r="H26">
        <v>10300</v>
      </c>
      <c r="I26">
        <v>3.1859228716953676</v>
      </c>
      <c r="J26">
        <v>32815.00557846229</v>
      </c>
      <c r="K26">
        <v>9.85167</v>
      </c>
      <c r="L26">
        <v>101472.20100000002</v>
      </c>
    </row>
    <row r="27">
      <c r="A27" t="str">
        <v/>
      </c>
      <c r="B27" t="str">
        <v/>
      </c>
      <c r="C27" t="str">
        <v>Besi beton D13</v>
      </c>
      <c r="D27" t="str">
        <v>U24/U40 polos</v>
      </c>
      <c r="E27">
        <v>103.10458244967256</v>
      </c>
      <c r="F27" t="str">
        <v>kg</v>
      </c>
      <c r="G27" t="str">
        <v>per m3 beton</v>
      </c>
      <c r="H27">
        <v>10300</v>
      </c>
      <c r="I27">
        <v>103.10458244967256</v>
      </c>
      <c r="J27">
        <v>1061977.1992316274</v>
      </c>
      <c r="K27">
        <v>318.82514507999997</v>
      </c>
      <c r="L27">
        <v>3283898.9943239996</v>
      </c>
    </row>
    <row r="28">
      <c r="A28" t="str">
        <v/>
      </c>
      <c r="B28" t="str">
        <v/>
      </c>
      <c r="C28" t="str">
        <v>Besi beton D22</v>
      </c>
      <c r="D28" t="str">
        <v>U24/U40 polos</v>
      </c>
      <c r="E28">
        <v>160.6464485471744</v>
      </c>
      <c r="F28" t="str">
        <v>kg</v>
      </c>
      <c r="G28" t="str">
        <v>per m3 beton</v>
      </c>
      <c r="H28">
        <v>10300</v>
      </c>
      <c r="I28">
        <v>160.6464485471744</v>
      </c>
      <c r="J28">
        <v>1654658.4200358964</v>
      </c>
      <c r="K28">
        <v>496.75898052</v>
      </c>
      <c r="L28">
        <v>5116617.499356001</v>
      </c>
    </row>
    <row r="29">
      <c r="A29" t="str">
        <v/>
      </c>
      <c r="B29" t="str">
        <v/>
      </c>
      <c r="C29" t="str">
        <v>Besi beton — waste (5%)</v>
      </c>
      <c r="D29" t="str">
        <v>applied via AHS coeff 1.05</v>
      </c>
      <c r="E29">
        <v>0.050000000000000044</v>
      </c>
      <c r="F29" t="str">
        <v>kg</v>
      </c>
      <c r="G29" t="str">
        <v>per m3 beton</v>
      </c>
      <c r="H29">
        <v>10300</v>
      </c>
      <c r="I29">
        <v>13.346847693427128</v>
      </c>
      <c r="J29">
        <v>137472.53124229942</v>
      </c>
      <c r="K29">
        <v>41.271789780000034</v>
      </c>
      <c r="L29">
        <v>425099.43473400036</v>
      </c>
    </row>
    <row r="30">
      <c r="A30" t="str">
        <v/>
      </c>
      <c r="B30" t="str">
        <v/>
      </c>
      <c r="C30" t="str">
        <v>Beton decking</v>
      </c>
      <c r="D30" t="str">
        <v>spacer</v>
      </c>
      <c r="E30">
        <v>1</v>
      </c>
      <c r="F30" t="str">
        <v>kg-eq</v>
      </c>
      <c r="G30" t="str">
        <v>per kg besi</v>
      </c>
      <c r="H30">
        <v>100</v>
      </c>
      <c r="I30">
        <v>266.93695386854233</v>
      </c>
      <c r="J30">
        <v>26693.695386854233</v>
      </c>
      <c r="K30">
        <v>825.4357956</v>
      </c>
      <c r="L30">
        <v>82543.57956</v>
      </c>
    </row>
    <row r="31">
      <c r="A31" t="str">
        <v/>
      </c>
      <c r="B31" t="str">
        <v/>
      </c>
      <c r="C31" t="str">
        <v>Bendrat (kawat ikat)</v>
      </c>
      <c r="D31" t="str">
        <v>2.1% of besi (raw)</v>
      </c>
      <c r="E31">
        <v>0.021</v>
      </c>
      <c r="F31" t="str">
        <v>kg</v>
      </c>
      <c r="G31" t="str">
        <v>per kg besi (raw)</v>
      </c>
      <c r="H31">
        <v>17500</v>
      </c>
      <c r="I31">
        <v>5.60567603123939</v>
      </c>
      <c r="J31">
        <v>98099.33054668932</v>
      </c>
      <c r="K31">
        <v>17.334151707600004</v>
      </c>
      <c r="L31">
        <v>303347.65488300007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/>
      </c>
      <c r="B33" t="str">
        <v>SUBTOTAL — At-cost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>
        <v>7296074.840009391</v>
      </c>
      <c r="J33" t="str">
        <v/>
      </c>
      <c r="K33" t="str">
        <v/>
      </c>
      <c r="L33">
        <v>22561287.42401904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</row>
    <row r="35">
      <c r="A35" t="str">
        <v>RECONCILIATION</v>
      </c>
    </row>
    <row r="36">
      <c r="A36" t="str">
        <v>Computed unit cost</v>
      </c>
      <c r="B36">
        <v>7296074.840009391</v>
      </c>
    </row>
    <row r="37">
      <c r="A37" t="str">
        <v>RAB (A) source unit cost</v>
      </c>
      <c r="B37">
        <v>7296074.84000939</v>
      </c>
    </row>
    <row r="38">
      <c r="A38" t="str">
        <v>Variance</v>
      </c>
      <c r="B38">
        <v>9.313225746154785e-10</v>
      </c>
      <c r="C38" t="str">
        <v>✓ OK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</row>
    <row r="40">
      <c r="A40" t="str">
        <v>Computed line total</v>
      </c>
      <c r="B40">
        <v>22561287.42401904</v>
      </c>
    </row>
    <row r="41">
      <c r="A41" t="str">
        <v>RAB (A) source line total</v>
      </c>
      <c r="B41">
        <v>25719867.6633817</v>
      </c>
    </row>
    <row r="42">
      <c r="A42" t="str">
        <v>Variance</v>
      </c>
      <c r="B42">
        <v>-3158580.239362661</v>
      </c>
      <c r="C42" t="str">
        <v>✓ OK</v>
      </c>
    </row>
  </sheetData>
  <ignoredErrors>
    <ignoredError numberStoredAsText="1" sqref="A1:L42"/>
  </ignoredErrors>
</worksheet>
</file>

<file path=xl/worksheets/sheet115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IV.A.2.26 - Balok Potongan I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Potongan I</v>
      </c>
    </row>
    <row r="5">
      <c r="A5" t="str">
        <v>Unit</v>
      </c>
      <c r="B5" t="str">
        <v>m3</v>
      </c>
    </row>
    <row r="6">
      <c r="A6" t="str">
        <v>Volume</v>
      </c>
      <c r="B6">
        <v>0.112</v>
      </c>
    </row>
    <row r="7">
      <c r="A7" t="str">
        <v>Unit cost (Rp/m3)</v>
      </c>
      <c r="B7">
        <v>11162257.302968848</v>
      </c>
    </row>
    <row r="8">
      <c r="A8" t="str">
        <v>Line total at-cost (Rp)</v>
      </c>
      <c r="B8">
        <v>1250172.817932511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0.11760000000000001</v>
      </c>
      <c r="L12">
        <v>119440.44000000003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0.112</v>
      </c>
      <c r="L14">
        <v>8400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0.112</v>
      </c>
      <c r="L16">
        <v>196000</v>
      </c>
    </row>
    <row r="17">
      <c r="A17">
        <v>4</v>
      </c>
      <c r="B17" t="str">
        <v>BEKISTING BALOK (Material) — ratio 13.125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6.5625</v>
      </c>
      <c r="J18">
        <v>1312500</v>
      </c>
      <c r="K18">
        <v>0.735</v>
      </c>
      <c r="L18">
        <v>147000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29.53125</v>
      </c>
      <c r="J19">
        <v>1405687.5</v>
      </c>
      <c r="K19">
        <v>3.3075</v>
      </c>
      <c r="L19">
        <v>157437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9.84375</v>
      </c>
      <c r="J20">
        <v>468562.5</v>
      </c>
      <c r="K20">
        <v>1.1025</v>
      </c>
      <c r="L20">
        <v>52479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4.921875</v>
      </c>
      <c r="J21">
        <v>63984.375</v>
      </c>
      <c r="K21">
        <v>0.55125</v>
      </c>
      <c r="L21">
        <v>7166.25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1.640625</v>
      </c>
      <c r="J22">
        <v>45117.1875</v>
      </c>
      <c r="K22">
        <v>0.18375</v>
      </c>
      <c r="L22">
        <v>5053.125</v>
      </c>
    </row>
    <row r="23">
      <c r="A23">
        <v>5</v>
      </c>
      <c r="B23" t="str">
        <v>BEKISTING BALOK PERALATAN (Material) — Perancah, ratio 13.125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3.28125</v>
      </c>
      <c r="J24">
        <v>668594.1840277778</v>
      </c>
      <c r="K24">
        <v>0.3675</v>
      </c>
      <c r="L24">
        <v>74882.54861111111</v>
      </c>
    </row>
    <row r="25">
      <c r="A25">
        <v>6</v>
      </c>
      <c r="B25" t="str">
        <v>PEMBESIAN (Material) — ratio 381.69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D10</v>
      </c>
      <c r="D26" t="str">
        <v>U24/U40 polos</v>
      </c>
      <c r="E26">
        <v>171.18883928571424</v>
      </c>
      <c r="F26" t="str">
        <v>kg</v>
      </c>
      <c r="G26" t="str">
        <v>per m3 beton</v>
      </c>
      <c r="H26">
        <v>10300</v>
      </c>
      <c r="I26">
        <v>171.18883928571424</v>
      </c>
      <c r="J26">
        <v>1763245.0446428566</v>
      </c>
      <c r="K26">
        <v>19.173149999999996</v>
      </c>
      <c r="L26">
        <v>197483.44499999995</v>
      </c>
    </row>
    <row r="27">
      <c r="A27" t="str">
        <v/>
      </c>
      <c r="B27" t="str">
        <v/>
      </c>
      <c r="C27" t="str">
        <v>Besi beton D16</v>
      </c>
      <c r="D27" t="str">
        <v>U24/U40 polos</v>
      </c>
      <c r="E27">
        <v>210.49776</v>
      </c>
      <c r="F27" t="str">
        <v>kg</v>
      </c>
      <c r="G27" t="str">
        <v>per m3 beton</v>
      </c>
      <c r="H27">
        <v>10300</v>
      </c>
      <c r="I27">
        <v>210.49776</v>
      </c>
      <c r="J27">
        <v>2168126.928</v>
      </c>
      <c r="K27">
        <v>23.57574912</v>
      </c>
      <c r="L27">
        <v>242830.215936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19.08432996428573</v>
      </c>
      <c r="J28">
        <v>196568.598632143</v>
      </c>
      <c r="K28">
        <v>2.1374449560000017</v>
      </c>
      <c r="L28">
        <v>22015.683046800015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381.68659928571424</v>
      </c>
      <c r="J29">
        <v>38168.659928571426</v>
      </c>
      <c r="K29">
        <v>42.74889912</v>
      </c>
      <c r="L29">
        <v>4274.889912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8.015418584999999</v>
      </c>
      <c r="J30">
        <v>140269.8252375</v>
      </c>
      <c r="K30">
        <v>0.8977268815199999</v>
      </c>
      <c r="L30">
        <v>15710.220426599999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11162257.302968848</v>
      </c>
      <c r="J32" t="str">
        <v/>
      </c>
      <c r="K32" t="str">
        <v/>
      </c>
      <c r="L32">
        <v>1250172.817932511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11162257.302968848</v>
      </c>
    </row>
    <row r="36">
      <c r="A36" t="str">
        <v>RAB (A) source unit cost</v>
      </c>
      <c r="B36">
        <v>11162257.302968848</v>
      </c>
    </row>
    <row r="37">
      <c r="A37" t="str">
        <v>Variance</v>
      </c>
      <c r="B37">
        <v>0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1250172.817932511</v>
      </c>
    </row>
    <row r="40">
      <c r="A40" t="str">
        <v>RAB (A) source line total</v>
      </c>
      <c r="B40">
        <v>1425197.0124430626</v>
      </c>
    </row>
    <row r="41">
      <c r="A41" t="str">
        <v>Variance</v>
      </c>
      <c r="B41">
        <v>-175024.19451055164</v>
      </c>
      <c r="C41" t="str">
        <v>✓ OK</v>
      </c>
    </row>
  </sheetData>
  <ignoredErrors>
    <ignoredError numberStoredAsText="1" sqref="A1:L41"/>
  </ignoredErrors>
</worksheet>
</file>

<file path=xl/worksheets/sheet116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IV.A.2.27 - Balok Potongan M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Potongan M</v>
      </c>
    </row>
    <row r="5">
      <c r="A5" t="str">
        <v>Unit</v>
      </c>
      <c r="B5" t="str">
        <v>m3</v>
      </c>
    </row>
    <row r="6">
      <c r="A6" t="str">
        <v>Volume</v>
      </c>
      <c r="B6">
        <v>1.1685</v>
      </c>
    </row>
    <row r="7">
      <c r="A7" t="str">
        <v>Unit cost (Rp/m3)</v>
      </c>
      <c r="B7">
        <v>7112258.261675531</v>
      </c>
    </row>
    <row r="8">
      <c r="A8" t="str">
        <v>Line total at-cost (Rp)</v>
      </c>
      <c r="B8">
        <v>8310673.778767859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1.226925</v>
      </c>
      <c r="L12">
        <v>1246126.3762500004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1.1685</v>
      </c>
      <c r="L14">
        <v>87637.5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1.1685</v>
      </c>
      <c r="L16">
        <v>2044875.0000000002</v>
      </c>
    </row>
    <row r="17">
      <c r="A17">
        <v>4</v>
      </c>
      <c r="B17" t="str">
        <v>BEKISTING BALOK (Material) — ratio 5.754385964912281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2.8771929824561404</v>
      </c>
      <c r="J18">
        <v>575438.5964912281</v>
      </c>
      <c r="K18">
        <v>3.3620000000000005</v>
      </c>
      <c r="L18">
        <v>672400.0000000001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12.947368421052632</v>
      </c>
      <c r="J19">
        <v>616294.7368421053</v>
      </c>
      <c r="K19">
        <v>15.129000000000001</v>
      </c>
      <c r="L19">
        <v>720140.4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4.315789473684211</v>
      </c>
      <c r="J20">
        <v>205431.57894736843</v>
      </c>
      <c r="K20">
        <v>5.043</v>
      </c>
      <c r="L20">
        <v>240046.80000000002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2.1578947368421053</v>
      </c>
      <c r="J21">
        <v>28052.63157894737</v>
      </c>
      <c r="K21">
        <v>2.5215</v>
      </c>
      <c r="L21">
        <v>32779.50000000001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0.7192982456140351</v>
      </c>
      <c r="J22">
        <v>19780.701754385966</v>
      </c>
      <c r="K22">
        <v>0.8405000000000001</v>
      </c>
      <c r="L22">
        <v>23113.750000000004</v>
      </c>
    </row>
    <row r="23">
      <c r="A23">
        <v>5</v>
      </c>
      <c r="B23" t="str">
        <v>BEKISTING BALOK PERALATAN (Material) — Perancah, ratio 5.754385964912281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1.4385964912280702</v>
      </c>
      <c r="J24">
        <v>293131.35152696556</v>
      </c>
      <c r="K24">
        <v>1.6810000000000003</v>
      </c>
      <c r="L24">
        <v>342523.9842592593</v>
      </c>
    </row>
    <row r="25">
      <c r="A25">
        <v>6</v>
      </c>
      <c r="B25" t="str">
        <v>PEMBESIAN (Material) — ratio 220.05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D10</v>
      </c>
      <c r="D26" t="str">
        <v>U24/U40 polos</v>
      </c>
      <c r="E26">
        <v>90.05068035943516</v>
      </c>
      <c r="F26" t="str">
        <v>kg</v>
      </c>
      <c r="G26" t="str">
        <v>per m3 beton</v>
      </c>
      <c r="H26">
        <v>10300</v>
      </c>
      <c r="I26">
        <v>90.05068035943516</v>
      </c>
      <c r="J26">
        <v>927522.0077021822</v>
      </c>
      <c r="K26">
        <v>105.22422</v>
      </c>
      <c r="L26">
        <v>1083809.466</v>
      </c>
    </row>
    <row r="27">
      <c r="A27" t="str">
        <v/>
      </c>
      <c r="B27" t="str">
        <v/>
      </c>
      <c r="C27" t="str">
        <v>Besi beton D22</v>
      </c>
      <c r="D27" t="str">
        <v>U24/U40 polos</v>
      </c>
      <c r="E27">
        <v>129.99772775353014</v>
      </c>
      <c r="F27" t="str">
        <v>kg</v>
      </c>
      <c r="G27" t="str">
        <v>per m3 beton</v>
      </c>
      <c r="H27">
        <v>10300</v>
      </c>
      <c r="I27">
        <v>129.99772775353014</v>
      </c>
      <c r="J27">
        <v>1338976.5958613604</v>
      </c>
      <c r="K27">
        <v>151.90234488</v>
      </c>
      <c r="L27">
        <v>1564594.1522639997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11.002420405648277</v>
      </c>
      <c r="J28">
        <v>113324.93017817725</v>
      </c>
      <c r="K28">
        <v>12.856328244000013</v>
      </c>
      <c r="L28">
        <v>132420.18091320014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220.04840811296532</v>
      </c>
      <c r="J29">
        <v>22004.840811296534</v>
      </c>
      <c r="K29">
        <v>257.12656488</v>
      </c>
      <c r="L29">
        <v>25712.656488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4.621016570372272</v>
      </c>
      <c r="J30">
        <v>80867.78998151477</v>
      </c>
      <c r="K30">
        <v>5.399657862480001</v>
      </c>
      <c r="L30">
        <v>94494.01259340001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7112258.261675531</v>
      </c>
      <c r="J32" t="str">
        <v/>
      </c>
      <c r="K32" t="str">
        <v/>
      </c>
      <c r="L32">
        <v>8310673.778767859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7112258.261675531</v>
      </c>
    </row>
    <row r="36">
      <c r="A36" t="str">
        <v>RAB (A) source unit cost</v>
      </c>
      <c r="B36">
        <v>7112258.261675532</v>
      </c>
    </row>
    <row r="37">
      <c r="A37" t="str">
        <v>Variance</v>
      </c>
      <c r="B37">
        <v>-9.313225746154785e-10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8310673.778767859</v>
      </c>
    </row>
    <row r="40">
      <c r="A40" t="str">
        <v>RAB (A) source line total</v>
      </c>
      <c r="B40">
        <v>9474168.10779536</v>
      </c>
    </row>
    <row r="41">
      <c r="A41" t="str">
        <v>Variance</v>
      </c>
      <c r="B41">
        <v>-1163494.329027501</v>
      </c>
      <c r="C41" t="str">
        <v>✓ OK</v>
      </c>
    </row>
  </sheetData>
  <ignoredErrors>
    <ignoredError numberStoredAsText="1" sqref="A1:L41"/>
  </ignoredErrors>
</worksheet>
</file>

<file path=xl/worksheets/sheet117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(A) IV.A.4.1 - Kolom K12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K12</v>
      </c>
    </row>
    <row r="5">
      <c r="A5" t="str">
        <v>Unit</v>
      </c>
      <c r="B5" t="str">
        <v>m3</v>
      </c>
    </row>
    <row r="6">
      <c r="A6" t="str">
        <v>Volume</v>
      </c>
      <c r="B6">
        <v>1.1700000000000002</v>
      </c>
    </row>
    <row r="7">
      <c r="A7" t="str">
        <v>Unit cost (Rp/m3)</v>
      </c>
      <c r="B7">
        <v>11827805.5552834</v>
      </c>
    </row>
    <row r="8">
      <c r="A8" t="str">
        <v>Line total at-cost (Rp)</v>
      </c>
      <c r="B8">
        <v>13838532.499681579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1.2285000000000001</v>
      </c>
      <c r="L12">
        <v>1247726.0250000004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1.1700000000000002</v>
      </c>
      <c r="L14">
        <v>292500.00000000006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2250000</v>
      </c>
      <c r="I16">
        <v>1</v>
      </c>
      <c r="J16">
        <v>2250000</v>
      </c>
      <c r="K16">
        <v>1.1700000000000002</v>
      </c>
      <c r="L16">
        <v>2632500.0000000005</v>
      </c>
    </row>
    <row r="17">
      <c r="A17">
        <v>4</v>
      </c>
      <c r="B17" t="str">
        <v>BEKISTING KOLOM (Material) — ratio 25.384615384615376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4.56)</v>
      </c>
      <c r="H18">
        <v>200000</v>
      </c>
      <c r="I18">
        <v>11.133603238866392</v>
      </c>
      <c r="J18">
        <v>2226720.6477732784</v>
      </c>
      <c r="K18">
        <v>13.026315789473681</v>
      </c>
      <c r="L18">
        <v>2605263.157894736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4.56)</v>
      </c>
      <c r="H19">
        <v>47600</v>
      </c>
      <c r="I19">
        <v>55.66801619433196</v>
      </c>
      <c r="J19">
        <v>2649797.5708502014</v>
      </c>
      <c r="K19">
        <v>65.13157894736841</v>
      </c>
      <c r="L19">
        <v>3100263.157894736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4.56)</v>
      </c>
      <c r="H20">
        <v>47600</v>
      </c>
      <c r="I20">
        <v>11.133603238866392</v>
      </c>
      <c r="J20">
        <v>529959.5141700403</v>
      </c>
      <c r="K20">
        <v>13.026315789473681</v>
      </c>
      <c r="L20">
        <v>620052.6315789472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4.56)</v>
      </c>
      <c r="H21">
        <v>13000</v>
      </c>
      <c r="I21">
        <v>11.133603238866392</v>
      </c>
      <c r="J21">
        <v>144736.8421052631</v>
      </c>
      <c r="K21">
        <v>13.026315789473681</v>
      </c>
      <c r="L21">
        <v>169342.10526315783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4.56)</v>
      </c>
      <c r="H22">
        <v>27500</v>
      </c>
      <c r="I22">
        <v>12.692307692307688</v>
      </c>
      <c r="J22">
        <v>349038.46153846144</v>
      </c>
      <c r="K22">
        <v>14.849999999999996</v>
      </c>
      <c r="L22">
        <v>408374.99999999994</v>
      </c>
    </row>
    <row r="23">
      <c r="A23">
        <v>5</v>
      </c>
      <c r="B23" t="str">
        <v>PEMBESIAN (Material) — ratio 209.27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103.024</v>
      </c>
      <c r="F24" t="str">
        <v>kg</v>
      </c>
      <c r="G24" t="str">
        <v>per m3 beton</v>
      </c>
      <c r="H24">
        <v>10300</v>
      </c>
      <c r="I24">
        <v>103.024</v>
      </c>
      <c r="J24">
        <v>1061147.2</v>
      </c>
      <c r="K24">
        <v>120.53808000000002</v>
      </c>
      <c r="L24">
        <v>1241542.2240000002</v>
      </c>
    </row>
    <row r="25">
      <c r="A25" t="str">
        <v/>
      </c>
      <c r="B25" t="str">
        <v/>
      </c>
      <c r="C25" t="str">
        <v>Besi beton D10</v>
      </c>
      <c r="D25" t="str">
        <v>U24/U40 polos</v>
      </c>
      <c r="E25">
        <v>106.24876923076923</v>
      </c>
      <c r="F25" t="str">
        <v>kg</v>
      </c>
      <c r="G25" t="str">
        <v>per m3 beton</v>
      </c>
      <c r="H25">
        <v>10300</v>
      </c>
      <c r="I25">
        <v>106.24876923076923</v>
      </c>
      <c r="J25">
        <v>1094362.3230769231</v>
      </c>
      <c r="K25">
        <v>124.31106000000001</v>
      </c>
      <c r="L25">
        <v>1280403.9180000003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10300</v>
      </c>
      <c r="I26">
        <v>10.463638461538471</v>
      </c>
      <c r="J26">
        <v>107775.47615384625</v>
      </c>
      <c r="K26">
        <v>12.242457000000012</v>
      </c>
      <c r="L26">
        <v>126097.30710000012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209.27276923076923</v>
      </c>
      <c r="J27">
        <v>20927.276923076923</v>
      </c>
      <c r="K27">
        <v>244.84914000000003</v>
      </c>
      <c r="L27">
        <v>24484.914000000004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4.394728153846154</v>
      </c>
      <c r="J28">
        <v>76907.7426923077</v>
      </c>
      <c r="K28">
        <v>5.141831940000001</v>
      </c>
      <c r="L28">
        <v>89982.05895000002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11827805.5552834</v>
      </c>
      <c r="J30" t="str">
        <v/>
      </c>
      <c r="K30" t="str">
        <v/>
      </c>
      <c r="L30">
        <v>13838532.499681579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11827805.5552834</v>
      </c>
    </row>
    <row r="34">
      <c r="A34" t="str">
        <v>RAB (A) source unit cost</v>
      </c>
      <c r="B34">
        <v>11827805.555283397</v>
      </c>
    </row>
    <row r="35">
      <c r="A35" t="str">
        <v>Variance</v>
      </c>
      <c r="B35">
        <v>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13838532.499681579</v>
      </c>
    </row>
    <row r="38">
      <c r="A38" t="str">
        <v>RAB (A) source line total</v>
      </c>
      <c r="B38">
        <v>15775927.049636995</v>
      </c>
    </row>
    <row r="39">
      <c r="A39" t="str">
        <v>Variance</v>
      </c>
      <c r="B39">
        <v>-1937394.5499554165</v>
      </c>
      <c r="C39" t="str">
        <v>✓ OK</v>
      </c>
    </row>
  </sheetData>
  <ignoredErrors>
    <ignoredError numberStoredAsText="1" sqref="A1:L39"/>
  </ignoredErrors>
</worksheet>
</file>

<file path=xl/worksheets/sheet118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(A) IV.A.4.2 - Kolom K174-1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K174-1</v>
      </c>
    </row>
    <row r="5">
      <c r="A5" t="str">
        <v>Unit</v>
      </c>
      <c r="B5" t="str">
        <v>m3</v>
      </c>
    </row>
    <row r="6">
      <c r="A6" t="str">
        <v>Volume</v>
      </c>
      <c r="B6">
        <v>0.9179999999999999</v>
      </c>
    </row>
    <row r="7">
      <c r="A7" t="str">
        <v>Unit cost (Rp/m3)</v>
      </c>
      <c r="B7">
        <v>9935247.51602941</v>
      </c>
    </row>
    <row r="8">
      <c r="A8" t="str">
        <v>Line total at-cost (Rp)</v>
      </c>
      <c r="B8">
        <v>9120557.219714997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0.9639</v>
      </c>
      <c r="L12">
        <v>978985.0350000001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0.9179999999999999</v>
      </c>
      <c r="L14">
        <v>229499.99999999997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2250000</v>
      </c>
      <c r="I16">
        <v>1</v>
      </c>
      <c r="J16">
        <v>2250000</v>
      </c>
      <c r="K16">
        <v>0.9179999999999999</v>
      </c>
      <c r="L16">
        <v>2065499.9999999998</v>
      </c>
    </row>
    <row r="17">
      <c r="A17">
        <v>4</v>
      </c>
      <c r="B17" t="str">
        <v>BEKISTING KOLOM (Material) — ratio 16.764705882352942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4.56)</v>
      </c>
      <c r="H18">
        <v>200000</v>
      </c>
      <c r="I18">
        <v>7.352941176470588</v>
      </c>
      <c r="J18">
        <v>1470588.2352941176</v>
      </c>
      <c r="K18">
        <v>6.749999999999999</v>
      </c>
      <c r="L18">
        <v>1349999.9999999998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4.56)</v>
      </c>
      <c r="H19">
        <v>47600</v>
      </c>
      <c r="I19">
        <v>36.76470588235294</v>
      </c>
      <c r="J19">
        <v>1750000</v>
      </c>
      <c r="K19">
        <v>33.75</v>
      </c>
      <c r="L19">
        <v>1606499.9999999998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4.56)</v>
      </c>
      <c r="H20">
        <v>47600</v>
      </c>
      <c r="I20">
        <v>7.352941176470588</v>
      </c>
      <c r="J20">
        <v>350000</v>
      </c>
      <c r="K20">
        <v>6.749999999999999</v>
      </c>
      <c r="L20">
        <v>321300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4.56)</v>
      </c>
      <c r="H21">
        <v>13000</v>
      </c>
      <c r="I21">
        <v>7.352941176470588</v>
      </c>
      <c r="J21">
        <v>95588.23529411764</v>
      </c>
      <c r="K21">
        <v>6.749999999999999</v>
      </c>
      <c r="L21">
        <v>87749.99999999999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4.56)</v>
      </c>
      <c r="H22">
        <v>27500</v>
      </c>
      <c r="I22">
        <v>8.382352941176471</v>
      </c>
      <c r="J22">
        <v>230514.70588235295</v>
      </c>
      <c r="K22">
        <v>7.694999999999999</v>
      </c>
      <c r="L22">
        <v>211612.5</v>
      </c>
    </row>
    <row r="23">
      <c r="A23">
        <v>5</v>
      </c>
      <c r="B23" t="str">
        <v>PEMBESIAN (Material) — ratio 219.11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68.48065882352941</v>
      </c>
      <c r="F24" t="str">
        <v>kg</v>
      </c>
      <c r="G24" t="str">
        <v>per m3 beton</v>
      </c>
      <c r="H24">
        <v>10300</v>
      </c>
      <c r="I24">
        <v>68.48065882352941</v>
      </c>
      <c r="J24">
        <v>705350.785882353</v>
      </c>
      <c r="K24">
        <v>62.86524479999999</v>
      </c>
      <c r="L24">
        <v>647512.0214399999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150.63069411764707</v>
      </c>
      <c r="F25" t="str">
        <v>kg</v>
      </c>
      <c r="G25" t="str">
        <v>per m3 beton</v>
      </c>
      <c r="H25">
        <v>10300</v>
      </c>
      <c r="I25">
        <v>150.63069411764707</v>
      </c>
      <c r="J25">
        <v>1551496.1494117647</v>
      </c>
      <c r="K25">
        <v>138.27897719999999</v>
      </c>
      <c r="L25">
        <v>1424273.46516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10300</v>
      </c>
      <c r="I26">
        <v>10.955567647058833</v>
      </c>
      <c r="J26">
        <v>112842.34676470599</v>
      </c>
      <c r="K26">
        <v>10.057211100000009</v>
      </c>
      <c r="L26">
        <v>103589.27433000009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219.11135294117648</v>
      </c>
      <c r="J27">
        <v>21911.13529411765</v>
      </c>
      <c r="K27">
        <v>201.14422199999998</v>
      </c>
      <c r="L27">
        <v>20114.4222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4.601338411764706</v>
      </c>
      <c r="J28">
        <v>80523.42220588235</v>
      </c>
      <c r="K28">
        <v>4.224028661999999</v>
      </c>
      <c r="L28">
        <v>73920.50158499999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9935247.51602941</v>
      </c>
      <c r="J30" t="str">
        <v/>
      </c>
      <c r="K30" t="str">
        <v/>
      </c>
      <c r="L30">
        <v>9120557.219714997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9935247.51602941</v>
      </c>
    </row>
    <row r="34">
      <c r="A34" t="str">
        <v>RAB (A) source unit cost</v>
      </c>
      <c r="B34">
        <v>9935247.516029412</v>
      </c>
    </row>
    <row r="35">
      <c r="A35" t="str">
        <v>Variance</v>
      </c>
      <c r="B35">
        <v>-1.862645149230957e-9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9120557.219714997</v>
      </c>
    </row>
    <row r="38">
      <c r="A38" t="str">
        <v>RAB (A) source line total</v>
      </c>
      <c r="B38">
        <v>10397435.2304751</v>
      </c>
    </row>
    <row r="39">
      <c r="A39" t="str">
        <v>Variance</v>
      </c>
      <c r="B39">
        <v>-1276878.0107601024</v>
      </c>
      <c r="C39" t="str">
        <v>✓ OK</v>
      </c>
    </row>
  </sheetData>
  <ignoredErrors>
    <ignoredError numberStoredAsText="1" sqref="A1:L39"/>
  </ignoredErrors>
</worksheet>
</file>

<file path=xl/worksheets/sheet119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(A) IV.A.4.3 - Kolom K175-1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K175-1</v>
      </c>
    </row>
    <row r="5">
      <c r="A5" t="str">
        <v>Unit</v>
      </c>
      <c r="B5" t="str">
        <v>m3</v>
      </c>
    </row>
    <row r="6">
      <c r="A6" t="str">
        <v>Volume</v>
      </c>
      <c r="B6">
        <v>1.1475</v>
      </c>
    </row>
    <row r="7">
      <c r="A7" t="str">
        <v>Unit cost (Rp/m3)</v>
      </c>
      <c r="B7">
        <v>9645505.930697212</v>
      </c>
    </row>
    <row r="8">
      <c r="A8" t="str">
        <v>Line total at-cost (Rp)</v>
      </c>
      <c r="B8">
        <v>11068218.05547505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1.204875</v>
      </c>
      <c r="L12">
        <v>1223731.2937500002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1.1475</v>
      </c>
      <c r="L14">
        <v>286875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2250000</v>
      </c>
      <c r="I16">
        <v>1</v>
      </c>
      <c r="J16">
        <v>2250000</v>
      </c>
      <c r="K16">
        <v>1.1475</v>
      </c>
      <c r="L16">
        <v>2581875</v>
      </c>
    </row>
    <row r="17">
      <c r="A17">
        <v>4</v>
      </c>
      <c r="B17" t="str">
        <v>BEKISTING KOLOM (Material) — ratio 15.764705882352942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4.56)</v>
      </c>
      <c r="H18">
        <v>200000</v>
      </c>
      <c r="I18">
        <v>6.914344685242518</v>
      </c>
      <c r="J18">
        <v>1382868.9370485034</v>
      </c>
      <c r="K18">
        <v>7.9342105263157885</v>
      </c>
      <c r="L18">
        <v>1586842.1052631577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4.56)</v>
      </c>
      <c r="H19">
        <v>47600</v>
      </c>
      <c r="I19">
        <v>34.571723426212586</v>
      </c>
      <c r="J19">
        <v>1645614.035087719</v>
      </c>
      <c r="K19">
        <v>39.67105263157894</v>
      </c>
      <c r="L19">
        <v>1888342.1052631575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4.56)</v>
      </c>
      <c r="H20">
        <v>47600</v>
      </c>
      <c r="I20">
        <v>6.914344685242518</v>
      </c>
      <c r="J20">
        <v>329122.8070175438</v>
      </c>
      <c r="K20">
        <v>7.9342105263157885</v>
      </c>
      <c r="L20">
        <v>377668.4210526315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4.56)</v>
      </c>
      <c r="H21">
        <v>13000</v>
      </c>
      <c r="I21">
        <v>6.914344685242518</v>
      </c>
      <c r="J21">
        <v>89886.48090815273</v>
      </c>
      <c r="K21">
        <v>7.9342105263157885</v>
      </c>
      <c r="L21">
        <v>103144.73684210527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4.56)</v>
      </c>
      <c r="H22">
        <v>27500</v>
      </c>
      <c r="I22">
        <v>7.882352941176471</v>
      </c>
      <c r="J22">
        <v>216764.70588235295</v>
      </c>
      <c r="K22">
        <v>9.045</v>
      </c>
      <c r="L22">
        <v>248737.5</v>
      </c>
    </row>
    <row r="23">
      <c r="A23">
        <v>5</v>
      </c>
      <c r="B23" t="str">
        <v>PEMBESIAN (Material) — ratio 214.03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71.26836705882353</v>
      </c>
      <c r="F24" t="str">
        <v>kg</v>
      </c>
      <c r="G24" t="str">
        <v>per m3 beton</v>
      </c>
      <c r="H24">
        <v>10300</v>
      </c>
      <c r="I24">
        <v>71.26836705882353</v>
      </c>
      <c r="J24">
        <v>734064.1807058824</v>
      </c>
      <c r="K24">
        <v>81.7804512</v>
      </c>
      <c r="L24">
        <v>842338.64736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142.7636705882353</v>
      </c>
      <c r="F25" t="str">
        <v>kg</v>
      </c>
      <c r="G25" t="str">
        <v>per m3 beton</v>
      </c>
      <c r="H25">
        <v>10300</v>
      </c>
      <c r="I25">
        <v>142.7636705882353</v>
      </c>
      <c r="J25">
        <v>1470465.8070588235</v>
      </c>
      <c r="K25">
        <v>163.821312</v>
      </c>
      <c r="L25">
        <v>1687359.5136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10300</v>
      </c>
      <c r="I26">
        <v>10.70160188235295</v>
      </c>
      <c r="J26">
        <v>110226.49938823539</v>
      </c>
      <c r="K26">
        <v>12.280088160000009</v>
      </c>
      <c r="L26">
        <v>126484.9080480001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214.03203764705881</v>
      </c>
      <c r="J27">
        <v>21403.203764705882</v>
      </c>
      <c r="K27">
        <v>245.6017632</v>
      </c>
      <c r="L27">
        <v>24560.17632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4.494672790588235</v>
      </c>
      <c r="J28">
        <v>78656.77383529412</v>
      </c>
      <c r="K28">
        <v>5.1576370272</v>
      </c>
      <c r="L28">
        <v>90258.64797600001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9645505.930697212</v>
      </c>
      <c r="J30" t="str">
        <v/>
      </c>
      <c r="K30" t="str">
        <v/>
      </c>
      <c r="L30">
        <v>11068218.05547505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9645505.930697212</v>
      </c>
    </row>
    <row r="34">
      <c r="A34" t="str">
        <v>RAB (A) source unit cost</v>
      </c>
      <c r="B34">
        <v>9645505.930697214</v>
      </c>
    </row>
    <row r="35">
      <c r="A35" t="str">
        <v>Variance</v>
      </c>
      <c r="B35">
        <v>-1.862645149230957e-9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11068218.05547505</v>
      </c>
    </row>
    <row r="38">
      <c r="A38" t="str">
        <v>RAB (A) source line total</v>
      </c>
      <c r="B38">
        <v>12617768.58324156</v>
      </c>
    </row>
    <row r="39">
      <c r="A39" t="str">
        <v>Variance</v>
      </c>
      <c r="B39">
        <v>-1549550.527766509</v>
      </c>
      <c r="C39" t="str">
        <v>✓ OK</v>
      </c>
    </row>
  </sheetData>
  <ignoredErrors>
    <ignoredError numberStoredAsText="1" sqref="A1:L39"/>
  </ignoredErrors>
</worksheet>
</file>

<file path=xl/worksheets/sheet120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(A) IV.A.4.4 - Kolom K175-2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K175-2</v>
      </c>
    </row>
    <row r="5">
      <c r="A5" t="str">
        <v>Unit</v>
      </c>
      <c r="B5" t="str">
        <v>m3</v>
      </c>
    </row>
    <row r="6">
      <c r="A6" t="str">
        <v>Volume</v>
      </c>
      <c r="B6">
        <v>2.295</v>
      </c>
    </row>
    <row r="7">
      <c r="A7" t="str">
        <v>Unit cost (Rp/m3)</v>
      </c>
      <c r="B7">
        <v>9926561.440582704</v>
      </c>
    </row>
    <row r="8">
      <c r="A8" t="str">
        <v>Line total at-cost (Rp)</v>
      </c>
      <c r="B8">
        <v>22781458.506137304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2.40975</v>
      </c>
      <c r="L12">
        <v>2447462.5875000004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2.295</v>
      </c>
      <c r="L14">
        <v>573750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2250000</v>
      </c>
      <c r="I16">
        <v>1</v>
      </c>
      <c r="J16">
        <v>2250000</v>
      </c>
      <c r="K16">
        <v>2.295</v>
      </c>
      <c r="L16">
        <v>5163750</v>
      </c>
    </row>
    <row r="17">
      <c r="A17">
        <v>4</v>
      </c>
      <c r="B17" t="str">
        <v>BEKISTING KOLOM (Material) — ratio 15.764705882352942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4.56)</v>
      </c>
      <c r="H18">
        <v>200000</v>
      </c>
      <c r="I18">
        <v>6.914344685242518</v>
      </c>
      <c r="J18">
        <v>1382868.9370485034</v>
      </c>
      <c r="K18">
        <v>15.868421052631577</v>
      </c>
      <c r="L18">
        <v>3173684.2105263155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4.56)</v>
      </c>
      <c r="H19">
        <v>47600</v>
      </c>
      <c r="I19">
        <v>34.571723426212586</v>
      </c>
      <c r="J19">
        <v>1645614.035087719</v>
      </c>
      <c r="K19">
        <v>79.34210526315788</v>
      </c>
      <c r="L19">
        <v>3776684.210526315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4.56)</v>
      </c>
      <c r="H20">
        <v>47600</v>
      </c>
      <c r="I20">
        <v>6.914344685242518</v>
      </c>
      <c r="J20">
        <v>329122.8070175438</v>
      </c>
      <c r="K20">
        <v>15.868421052631577</v>
      </c>
      <c r="L20">
        <v>755336.842105263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4.56)</v>
      </c>
      <c r="H21">
        <v>13000</v>
      </c>
      <c r="I21">
        <v>6.914344685242518</v>
      </c>
      <c r="J21">
        <v>89886.48090815273</v>
      </c>
      <c r="K21">
        <v>15.868421052631577</v>
      </c>
      <c r="L21">
        <v>206289.47368421053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4.56)</v>
      </c>
      <c r="H22">
        <v>27500</v>
      </c>
      <c r="I22">
        <v>7.882352941176471</v>
      </c>
      <c r="J22">
        <v>216764.70588235295</v>
      </c>
      <c r="K22">
        <v>18.09</v>
      </c>
      <c r="L22">
        <v>497475</v>
      </c>
    </row>
    <row r="23">
      <c r="A23">
        <v>5</v>
      </c>
      <c r="B23" t="str">
        <v>PEMBESIAN (Material) — ratio 238.94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71.26836705882353</v>
      </c>
      <c r="F24" t="str">
        <v>kg</v>
      </c>
      <c r="G24" t="str">
        <v>per m3 beton</v>
      </c>
      <c r="H24">
        <v>10300</v>
      </c>
      <c r="I24">
        <v>71.26836705882353</v>
      </c>
      <c r="J24">
        <v>734064.1807058824</v>
      </c>
      <c r="K24">
        <v>163.5609024</v>
      </c>
      <c r="L24">
        <v>1684677.29472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167.67441819607845</v>
      </c>
      <c r="F25" t="str">
        <v>kg</v>
      </c>
      <c r="G25" t="str">
        <v>per m3 beton</v>
      </c>
      <c r="H25">
        <v>10300</v>
      </c>
      <c r="I25">
        <v>167.67441819607845</v>
      </c>
      <c r="J25">
        <v>1727046.507419608</v>
      </c>
      <c r="K25">
        <v>384.81278976000004</v>
      </c>
      <c r="L25">
        <v>3963571.7345280005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10300</v>
      </c>
      <c r="I26">
        <v>11.947139262745111</v>
      </c>
      <c r="J26">
        <v>123055.53440627464</v>
      </c>
      <c r="K26">
        <v>27.418684608000028</v>
      </c>
      <c r="L26">
        <v>282412.4514624003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238.942785254902</v>
      </c>
      <c r="J27">
        <v>23894.278525490197</v>
      </c>
      <c r="K27">
        <v>548.37369216</v>
      </c>
      <c r="L27">
        <v>54837.369216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5.017798490352942</v>
      </c>
      <c r="J28">
        <v>87811.47358117648</v>
      </c>
      <c r="K28">
        <v>11.515847535360002</v>
      </c>
      <c r="L28">
        <v>201527.3318688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9926561.440582704</v>
      </c>
      <c r="J30" t="str">
        <v/>
      </c>
      <c r="K30" t="str">
        <v/>
      </c>
      <c r="L30">
        <v>22781458.506137304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9926561.440582704</v>
      </c>
    </row>
    <row r="34">
      <c r="A34" t="str">
        <v>RAB (A) source unit cost</v>
      </c>
      <c r="B34">
        <v>9926561.440582704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22781458.506137304</v>
      </c>
    </row>
    <row r="38">
      <c r="A38" t="str">
        <v>RAB (A) source line total</v>
      </c>
      <c r="B38">
        <v>25970862.696996525</v>
      </c>
    </row>
    <row r="39">
      <c r="A39" t="str">
        <v>Variance</v>
      </c>
      <c r="B39">
        <v>-3189404.190859221</v>
      </c>
      <c r="C39" t="str">
        <v>✓ OK</v>
      </c>
    </row>
  </sheetData>
  <ignoredErrors>
    <ignoredError numberStoredAsText="1" sqref="A1:L39"/>
  </ignoredErrors>
</worksheet>
</file>

<file path=xl/worksheets/sheet121.xml><?xml version="1.0" encoding="utf-8"?>
<worksheet xmlns="http://schemas.openxmlformats.org/spreadsheetml/2006/main" xmlns:r="http://schemas.openxmlformats.org/officeDocument/2006/relationships">
  <dimension ref="A1:L40"/>
  <sheetViews>
    <sheetView workbookViewId="0" rightToLeft="0"/>
  </sheetViews>
  <sheetData>
    <row r="1">
      <c r="A1" t="str">
        <v>BREAKDOWN — (A) IV.A.4.5 - Kolom K175-4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K175-4</v>
      </c>
    </row>
    <row r="5">
      <c r="A5" t="str">
        <v>Unit</v>
      </c>
      <c r="B5" t="str">
        <v>m3</v>
      </c>
    </row>
    <row r="6">
      <c r="A6" t="str">
        <v>Volume</v>
      </c>
      <c r="B6">
        <v>0.3825</v>
      </c>
    </row>
    <row r="7">
      <c r="A7" t="str">
        <v>Unit cost (Rp/m3)</v>
      </c>
      <c r="B7">
        <v>11546298.119838389</v>
      </c>
    </row>
    <row r="8">
      <c r="A8" t="str">
        <v>Line total at-cost (Rp)</v>
      </c>
      <c r="B8">
        <v>4416459.030838184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0.401625</v>
      </c>
      <c r="L12">
        <v>407910.4312500001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0.3825</v>
      </c>
      <c r="L14">
        <v>95625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2250000</v>
      </c>
      <c r="I16">
        <v>1</v>
      </c>
      <c r="J16">
        <v>2250000</v>
      </c>
      <c r="K16">
        <v>0.3825</v>
      </c>
      <c r="L16">
        <v>860625</v>
      </c>
    </row>
    <row r="17">
      <c r="A17">
        <v>4</v>
      </c>
      <c r="B17" t="str">
        <v>BEKISTING KOLOM (Material) — ratio 15.764705882352942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4.56)</v>
      </c>
      <c r="H18">
        <v>200000</v>
      </c>
      <c r="I18">
        <v>6.914344685242518</v>
      </c>
      <c r="J18">
        <v>1382868.9370485034</v>
      </c>
      <c r="K18">
        <v>2.644736842105263</v>
      </c>
      <c r="L18">
        <v>528947.3684210526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4.56)</v>
      </c>
      <c r="H19">
        <v>47600</v>
      </c>
      <c r="I19">
        <v>34.571723426212586</v>
      </c>
      <c r="J19">
        <v>1645614.035087719</v>
      </c>
      <c r="K19">
        <v>13.223684210526315</v>
      </c>
      <c r="L19">
        <v>629447.3684210526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4.56)</v>
      </c>
      <c r="H20">
        <v>47600</v>
      </c>
      <c r="I20">
        <v>6.914344685242518</v>
      </c>
      <c r="J20">
        <v>329122.8070175438</v>
      </c>
      <c r="K20">
        <v>2.644736842105263</v>
      </c>
      <c r="L20">
        <v>125889.47368421052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4.56)</v>
      </c>
      <c r="H21">
        <v>13000</v>
      </c>
      <c r="I21">
        <v>6.914344685242518</v>
      </c>
      <c r="J21">
        <v>89886.48090815273</v>
      </c>
      <c r="K21">
        <v>2.644736842105263</v>
      </c>
      <c r="L21">
        <v>34381.57894736842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4.56)</v>
      </c>
      <c r="H22">
        <v>27500</v>
      </c>
      <c r="I22">
        <v>7.882352941176471</v>
      </c>
      <c r="J22">
        <v>216764.70588235295</v>
      </c>
      <c r="K22">
        <v>3.015</v>
      </c>
      <c r="L22">
        <v>82912.5</v>
      </c>
    </row>
    <row r="23">
      <c r="A23">
        <v>5</v>
      </c>
      <c r="B23" t="str">
        <v>PEMBESIAN (Material) — ratio 382.50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16.896451764705883</v>
      </c>
      <c r="F24" t="str">
        <v>kg</v>
      </c>
      <c r="G24" t="str">
        <v>per m3 beton</v>
      </c>
      <c r="H24">
        <v>10300</v>
      </c>
      <c r="I24">
        <v>16.896451764705883</v>
      </c>
      <c r="J24">
        <v>174033.4531764706</v>
      </c>
      <c r="K24">
        <v>6.4628928000000005</v>
      </c>
      <c r="L24">
        <v>66567.79584</v>
      </c>
    </row>
    <row r="25">
      <c r="A25" t="str">
        <v/>
      </c>
      <c r="B25" t="str">
        <v/>
      </c>
      <c r="C25" t="str">
        <v>Besi beton D10</v>
      </c>
      <c r="D25" t="str">
        <v>U24/U40 polos</v>
      </c>
      <c r="E25">
        <v>100.7514117647059</v>
      </c>
      <c r="F25" t="str">
        <v>kg</v>
      </c>
      <c r="G25" t="str">
        <v>per m3 beton</v>
      </c>
      <c r="H25">
        <v>10300</v>
      </c>
      <c r="I25">
        <v>100.7514117647059</v>
      </c>
      <c r="J25">
        <v>1037739.5411764708</v>
      </c>
      <c r="K25">
        <v>38.53741500000001</v>
      </c>
      <c r="L25">
        <v>396935.3745000001</v>
      </c>
    </row>
    <row r="26">
      <c r="A26" t="str">
        <v/>
      </c>
      <c r="B26" t="str">
        <v/>
      </c>
      <c r="C26" t="str">
        <v>Besi beton D19</v>
      </c>
      <c r="D26" t="str">
        <v>U24/U40 polos</v>
      </c>
      <c r="E26">
        <v>264.8567811764706</v>
      </c>
      <c r="F26" t="str">
        <v>kg</v>
      </c>
      <c r="G26" t="str">
        <v>per m3 beton</v>
      </c>
      <c r="H26">
        <v>10300</v>
      </c>
      <c r="I26">
        <v>264.8567811764706</v>
      </c>
      <c r="J26">
        <v>2728024.846117647</v>
      </c>
      <c r="K26">
        <v>101.3077188</v>
      </c>
      <c r="L26">
        <v>1043469.50364</v>
      </c>
    </row>
    <row r="27">
      <c r="A27" t="str">
        <v/>
      </c>
      <c r="B27" t="str">
        <v/>
      </c>
      <c r="C27" t="str">
        <v>Besi beton — waste (5%)</v>
      </c>
      <c r="D27" t="str">
        <v>applied via AHS coeff 1.05</v>
      </c>
      <c r="E27">
        <v>0.050000000000000044</v>
      </c>
      <c r="F27" t="str">
        <v>kg</v>
      </c>
      <c r="G27" t="str">
        <v>per m3 beton</v>
      </c>
      <c r="H27">
        <v>10300</v>
      </c>
      <c r="I27">
        <v>19.125232235294135</v>
      </c>
      <c r="J27">
        <v>196989.8920235296</v>
      </c>
      <c r="K27">
        <v>7.3154013300000065</v>
      </c>
      <c r="L27">
        <v>75348.63369900007</v>
      </c>
    </row>
    <row r="28">
      <c r="A28" t="str">
        <v/>
      </c>
      <c r="B28" t="str">
        <v/>
      </c>
      <c r="C28" t="str">
        <v>Beton decking</v>
      </c>
      <c r="D28" t="str">
        <v>spacer</v>
      </c>
      <c r="E28">
        <v>1</v>
      </c>
      <c r="F28" t="str">
        <v>kg-eq</v>
      </c>
      <c r="G28" t="str">
        <v>per kg besi</v>
      </c>
      <c r="H28">
        <v>100</v>
      </c>
      <c r="I28">
        <v>382.50464470588236</v>
      </c>
      <c r="J28">
        <v>38250.46447058824</v>
      </c>
      <c r="K28">
        <v>146.3080266</v>
      </c>
      <c r="L28">
        <v>14630.802660000001</v>
      </c>
    </row>
    <row r="29">
      <c r="A29" t="str">
        <v/>
      </c>
      <c r="B29" t="str">
        <v/>
      </c>
      <c r="C29" t="str">
        <v>Bendrat (kawat ikat)</v>
      </c>
      <c r="D29" t="str">
        <v>2.1% of besi (raw)</v>
      </c>
      <c r="E29">
        <v>0.021</v>
      </c>
      <c r="F29" t="str">
        <v>kg</v>
      </c>
      <c r="G29" t="str">
        <v>per kg besi (raw)</v>
      </c>
      <c r="H29">
        <v>17500</v>
      </c>
      <c r="I29">
        <v>8.03259753882353</v>
      </c>
      <c r="J29">
        <v>140570.4569294118</v>
      </c>
      <c r="K29">
        <v>3.0724685586000007</v>
      </c>
      <c r="L29">
        <v>53768.19977550001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/>
      </c>
      <c r="B31" t="str">
        <v>SUBTOTAL — At-cost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>
        <v>11546298.119838389</v>
      </c>
      <c r="J31" t="str">
        <v/>
      </c>
      <c r="K31" t="str">
        <v/>
      </c>
      <c r="L31">
        <v>4416459.030838184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>RECONCILIATION</v>
      </c>
    </row>
    <row r="34">
      <c r="A34" t="str">
        <v>Computed unit cost</v>
      </c>
      <c r="B34">
        <v>11546298.119838389</v>
      </c>
    </row>
    <row r="35">
      <c r="A35" t="str">
        <v>RAB (A) source unit cost</v>
      </c>
      <c r="B35">
        <v>11546298.11983839</v>
      </c>
    </row>
    <row r="36">
      <c r="A36" t="str">
        <v>Variance</v>
      </c>
      <c r="B36">
        <v>-1.862645149230957e-9</v>
      </c>
      <c r="C36" t="str">
        <v>✓ OK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</row>
    <row r="38">
      <c r="A38" t="str">
        <v>Computed line total</v>
      </c>
      <c r="B38">
        <v>4416459.030838184</v>
      </c>
    </row>
    <row r="39">
      <c r="A39" t="str">
        <v>RAB (A) source line total</v>
      </c>
      <c r="B39">
        <v>5034763.29515553</v>
      </c>
    </row>
    <row r="40">
      <c r="A40" t="str">
        <v>Variance</v>
      </c>
      <c r="B40">
        <v>-618304.2643173458</v>
      </c>
      <c r="C40" t="str">
        <v>✓ OK</v>
      </c>
    </row>
  </sheetData>
  <ignoredErrors>
    <ignoredError numberStoredAsText="1" sqref="A1:L40"/>
  </ignoredErrors>
</worksheet>
</file>

<file path=xl/worksheets/sheet122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(A) IV.A.4.6 - Kolom K176-1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K176-1</v>
      </c>
    </row>
    <row r="5">
      <c r="A5" t="str">
        <v>Unit</v>
      </c>
      <c r="B5" t="str">
        <v>m3</v>
      </c>
    </row>
    <row r="6">
      <c r="A6" t="str">
        <v>Volume</v>
      </c>
      <c r="B6">
        <v>1.377</v>
      </c>
    </row>
    <row r="7">
      <c r="A7" t="str">
        <v>Unit cost (Rp/m3)</v>
      </c>
      <c r="B7">
        <v>10173668.666090129</v>
      </c>
    </row>
    <row r="8">
      <c r="A8" t="str">
        <v>Line total at-cost (Rp)</v>
      </c>
      <c r="B8">
        <v>14009141.753206108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1.44585</v>
      </c>
      <c r="L12">
        <v>1468477.5525000002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1.377</v>
      </c>
      <c r="L14">
        <v>344250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2250000</v>
      </c>
      <c r="I16">
        <v>1</v>
      </c>
      <c r="J16">
        <v>2250000</v>
      </c>
      <c r="K16">
        <v>1.377</v>
      </c>
      <c r="L16">
        <v>3098250</v>
      </c>
    </row>
    <row r="17">
      <c r="A17">
        <v>4</v>
      </c>
      <c r="B17" t="str">
        <v>BEKISTING KOLOM (Material) — ratio 15.098039215686274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4.56)</v>
      </c>
      <c r="H18">
        <v>200000</v>
      </c>
      <c r="I18">
        <v>6.621947024423804</v>
      </c>
      <c r="J18">
        <v>1324389.4048847607</v>
      </c>
      <c r="K18">
        <v>9.118421052631579</v>
      </c>
      <c r="L18">
        <v>1823684.2105263155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4.56)</v>
      </c>
      <c r="H19">
        <v>47600</v>
      </c>
      <c r="I19">
        <v>33.10973512211902</v>
      </c>
      <c r="J19">
        <v>1576023.3918128654</v>
      </c>
      <c r="K19">
        <v>45.59210526315789</v>
      </c>
      <c r="L19">
        <v>2170184.2105263155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4.56)</v>
      </c>
      <c r="H20">
        <v>47600</v>
      </c>
      <c r="I20">
        <v>6.621947024423804</v>
      </c>
      <c r="J20">
        <v>315204.6783625731</v>
      </c>
      <c r="K20">
        <v>9.118421052631579</v>
      </c>
      <c r="L20">
        <v>434036.84210526315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4.56)</v>
      </c>
      <c r="H21">
        <v>13000</v>
      </c>
      <c r="I21">
        <v>6.621947024423804</v>
      </c>
      <c r="J21">
        <v>86085.31131750945</v>
      </c>
      <c r="K21">
        <v>9.118421052631579</v>
      </c>
      <c r="L21">
        <v>118539.4736842105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4.56)</v>
      </c>
      <c r="H22">
        <v>27500</v>
      </c>
      <c r="I22">
        <v>7.549019607843137</v>
      </c>
      <c r="J22">
        <v>207598.03921568627</v>
      </c>
      <c r="K22">
        <v>10.395</v>
      </c>
      <c r="L22">
        <v>285862.5</v>
      </c>
    </row>
    <row r="23">
      <c r="A23">
        <v>5</v>
      </c>
      <c r="B23" t="str">
        <v>PEMBESIAN (Material) — ratio 274.58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67.47061960784313</v>
      </c>
      <c r="F24" t="str">
        <v>kg</v>
      </c>
      <c r="G24" t="str">
        <v>per m3 beton</v>
      </c>
      <c r="H24">
        <v>10300</v>
      </c>
      <c r="I24">
        <v>67.47061960784313</v>
      </c>
      <c r="J24">
        <v>694947.3819607843</v>
      </c>
      <c r="K24">
        <v>92.90704319999999</v>
      </c>
      <c r="L24">
        <v>956942.54496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207.108183006536</v>
      </c>
      <c r="F25" t="str">
        <v>kg</v>
      </c>
      <c r="G25" t="str">
        <v>per m3 beton</v>
      </c>
      <c r="H25">
        <v>10300</v>
      </c>
      <c r="I25">
        <v>207.108183006536</v>
      </c>
      <c r="J25">
        <v>2133214.284967321</v>
      </c>
      <c r="K25">
        <v>285.18796800000007</v>
      </c>
      <c r="L25">
        <v>2937436.070400001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10300</v>
      </c>
      <c r="I26">
        <v>13.728940130718968</v>
      </c>
      <c r="J26">
        <v>141408.08334640536</v>
      </c>
      <c r="K26">
        <v>18.904750560000018</v>
      </c>
      <c r="L26">
        <v>194718.93076800017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274.57880261437913</v>
      </c>
      <c r="J27">
        <v>27457.880261437913</v>
      </c>
      <c r="K27">
        <v>378.09501120000004</v>
      </c>
      <c r="L27">
        <v>37809.50112000001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5.766154854901962</v>
      </c>
      <c r="J28">
        <v>100907.70996078433</v>
      </c>
      <c r="K28">
        <v>7.939995235200001</v>
      </c>
      <c r="L28">
        <v>138949.91661600003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10173668.666090129</v>
      </c>
      <c r="J30" t="str">
        <v/>
      </c>
      <c r="K30" t="str">
        <v/>
      </c>
      <c r="L30">
        <v>14009141.753206108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10173668.666090129</v>
      </c>
    </row>
    <row r="34">
      <c r="A34" t="str">
        <v>RAB (A) source unit cost</v>
      </c>
      <c r="B34">
        <v>10173668.666090127</v>
      </c>
    </row>
    <row r="35">
      <c r="A35" t="str">
        <v>Variance</v>
      </c>
      <c r="B35">
        <v>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14009141.753206108</v>
      </c>
    </row>
    <row r="38">
      <c r="A38" t="str">
        <v>RAB (A) source line total</v>
      </c>
      <c r="B38">
        <v>15970421.59865496</v>
      </c>
    </row>
    <row r="39">
      <c r="A39" t="str">
        <v>Variance</v>
      </c>
      <c r="B39">
        <v>-1961279.8454488516</v>
      </c>
      <c r="C39" t="str">
        <v>✓ OK</v>
      </c>
    </row>
  </sheetData>
  <ignoredErrors>
    <ignoredError numberStoredAsText="1" sqref="A1:L39"/>
  </ignoredErrors>
</worksheet>
</file>

<file path=xl/worksheets/sheet123.xml><?xml version="1.0" encoding="utf-8"?>
<worksheet xmlns="http://schemas.openxmlformats.org/spreadsheetml/2006/main" xmlns:r="http://schemas.openxmlformats.org/officeDocument/2006/relationships">
  <dimension ref="A1:L40"/>
  <sheetViews>
    <sheetView workbookViewId="0" rightToLeft="0"/>
  </sheetViews>
  <sheetData>
    <row r="1">
      <c r="A1" t="str">
        <v>BREAKDOWN — (A) IV.A.4.7 - Kolom K176-4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K176-4</v>
      </c>
    </row>
    <row r="5">
      <c r="A5" t="str">
        <v>Unit</v>
      </c>
      <c r="B5" t="str">
        <v>m3</v>
      </c>
    </row>
    <row r="6">
      <c r="A6" t="str">
        <v>Volume</v>
      </c>
      <c r="B6">
        <v>0.459</v>
      </c>
    </row>
    <row r="7">
      <c r="A7" t="str">
        <v>Unit cost (Rp/m3)</v>
      </c>
      <c r="B7">
        <v>11699941.786691435</v>
      </c>
    </row>
    <row r="8">
      <c r="A8" t="str">
        <v>Line total at-cost (Rp)</v>
      </c>
      <c r="B8">
        <v>5370273.280091369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0.48195000000000005</v>
      </c>
      <c r="L12">
        <v>489492.51750000013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0.459</v>
      </c>
      <c r="L14">
        <v>114750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2250000</v>
      </c>
      <c r="I16">
        <v>1</v>
      </c>
      <c r="J16">
        <v>2250000</v>
      </c>
      <c r="K16">
        <v>0.459</v>
      </c>
      <c r="L16">
        <v>1032750</v>
      </c>
    </row>
    <row r="17">
      <c r="A17">
        <v>4</v>
      </c>
      <c r="B17" t="str">
        <v>BEKISTING KOLOM (Material) — ratio 15.098039215686272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4.56)</v>
      </c>
      <c r="H18">
        <v>200000</v>
      </c>
      <c r="I18">
        <v>6.621947024423803</v>
      </c>
      <c r="J18">
        <v>1324389.4048847605</v>
      </c>
      <c r="K18">
        <v>3.0394736842105257</v>
      </c>
      <c r="L18">
        <v>607894.736842105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4.56)</v>
      </c>
      <c r="H19">
        <v>47600</v>
      </c>
      <c r="I19">
        <v>33.10973512211901</v>
      </c>
      <c r="J19">
        <v>1576023.391812865</v>
      </c>
      <c r="K19">
        <v>15.197368421052627</v>
      </c>
      <c r="L19">
        <v>723394.736842105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4.56)</v>
      </c>
      <c r="H20">
        <v>47600</v>
      </c>
      <c r="I20">
        <v>6.621947024423803</v>
      </c>
      <c r="J20">
        <v>315204.67836257303</v>
      </c>
      <c r="K20">
        <v>3.0394736842105257</v>
      </c>
      <c r="L20">
        <v>144678.94736842104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4.56)</v>
      </c>
      <c r="H21">
        <v>13000</v>
      </c>
      <c r="I21">
        <v>6.621947024423803</v>
      </c>
      <c r="J21">
        <v>86085.31131750943</v>
      </c>
      <c r="K21">
        <v>3.0394736842105257</v>
      </c>
      <c r="L21">
        <v>39513.15789473683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4.56)</v>
      </c>
      <c r="H22">
        <v>27500</v>
      </c>
      <c r="I22">
        <v>7.549019607843136</v>
      </c>
      <c r="J22">
        <v>207598.03921568624</v>
      </c>
      <c r="K22">
        <v>3.465</v>
      </c>
      <c r="L22">
        <v>95287.49999999999</v>
      </c>
    </row>
    <row r="23">
      <c r="A23">
        <v>5</v>
      </c>
      <c r="B23" t="str">
        <v>PEMBESIAN (Material) — ratio 409.86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67.47061960784315</v>
      </c>
      <c r="F24" t="str">
        <v>kg</v>
      </c>
      <c r="G24" t="str">
        <v>per m3 beton</v>
      </c>
      <c r="H24">
        <v>10300</v>
      </c>
      <c r="I24">
        <v>67.47061960784315</v>
      </c>
      <c r="J24">
        <v>694947.3819607844</v>
      </c>
      <c r="K24">
        <v>30.969014400000006</v>
      </c>
      <c r="L24">
        <v>318980.84832000005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86.37339607843137</v>
      </c>
      <c r="F25" t="str">
        <v>kg</v>
      </c>
      <c r="G25" t="str">
        <v>per m3 beton</v>
      </c>
      <c r="H25">
        <v>10300</v>
      </c>
      <c r="I25">
        <v>86.37339607843137</v>
      </c>
      <c r="J25">
        <v>889645.9796078431</v>
      </c>
      <c r="K25">
        <v>39.6453888</v>
      </c>
      <c r="L25">
        <v>408347.50464</v>
      </c>
    </row>
    <row r="26">
      <c r="A26" t="str">
        <v/>
      </c>
      <c r="B26" t="str">
        <v/>
      </c>
      <c r="C26" t="str">
        <v>Besi beton D19</v>
      </c>
      <c r="D26" t="str">
        <v>U24/U40 polos</v>
      </c>
      <c r="E26">
        <v>256.0127058823529</v>
      </c>
      <c r="F26" t="str">
        <v>kg</v>
      </c>
      <c r="G26" t="str">
        <v>per m3 beton</v>
      </c>
      <c r="H26">
        <v>10300</v>
      </c>
      <c r="I26">
        <v>256.0127058823529</v>
      </c>
      <c r="J26">
        <v>2636930.870588235</v>
      </c>
      <c r="K26">
        <v>117.50983199999999</v>
      </c>
      <c r="L26">
        <v>1210351.2696</v>
      </c>
    </row>
    <row r="27">
      <c r="A27" t="str">
        <v/>
      </c>
      <c r="B27" t="str">
        <v/>
      </c>
      <c r="C27" t="str">
        <v>Besi beton — waste (5%)</v>
      </c>
      <c r="D27" t="str">
        <v>applied via AHS coeff 1.05</v>
      </c>
      <c r="E27">
        <v>0.050000000000000044</v>
      </c>
      <c r="F27" t="str">
        <v>kg</v>
      </c>
      <c r="G27" t="str">
        <v>per m3 beton</v>
      </c>
      <c r="H27">
        <v>10300</v>
      </c>
      <c r="I27">
        <v>20.49283607843139</v>
      </c>
      <c r="J27">
        <v>211076.21160784335</v>
      </c>
      <c r="K27">
        <v>9.406211760000009</v>
      </c>
      <c r="L27">
        <v>96883.9811280001</v>
      </c>
    </row>
    <row r="28">
      <c r="A28" t="str">
        <v/>
      </c>
      <c r="B28" t="str">
        <v/>
      </c>
      <c r="C28" t="str">
        <v>Beton decking</v>
      </c>
      <c r="D28" t="str">
        <v>spacer</v>
      </c>
      <c r="E28">
        <v>1</v>
      </c>
      <c r="F28" t="str">
        <v>kg-eq</v>
      </c>
      <c r="G28" t="str">
        <v>per kg besi</v>
      </c>
      <c r="H28">
        <v>100</v>
      </c>
      <c r="I28">
        <v>409.85672156862745</v>
      </c>
      <c r="J28">
        <v>40985.67215686275</v>
      </c>
      <c r="K28">
        <v>188.12423520000002</v>
      </c>
      <c r="L28">
        <v>18812.42352</v>
      </c>
    </row>
    <row r="29">
      <c r="A29" t="str">
        <v/>
      </c>
      <c r="B29" t="str">
        <v/>
      </c>
      <c r="C29" t="str">
        <v>Bendrat (kawat ikat)</v>
      </c>
      <c r="D29" t="str">
        <v>2.1% of besi (raw)</v>
      </c>
      <c r="E29">
        <v>0.021</v>
      </c>
      <c r="F29" t="str">
        <v>kg</v>
      </c>
      <c r="G29" t="str">
        <v>per kg besi (raw)</v>
      </c>
      <c r="H29">
        <v>17500</v>
      </c>
      <c r="I29">
        <v>8.606991152941177</v>
      </c>
      <c r="J29">
        <v>150622.34517647058</v>
      </c>
      <c r="K29">
        <v>3.9506089392000003</v>
      </c>
      <c r="L29">
        <v>69135.656436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/>
      </c>
      <c r="B31" t="str">
        <v>SUBTOTAL — At-cost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>
        <v>11699941.786691435</v>
      </c>
      <c r="J31" t="str">
        <v/>
      </c>
      <c r="K31" t="str">
        <v/>
      </c>
      <c r="L31">
        <v>5370273.280091369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>RECONCILIATION</v>
      </c>
    </row>
    <row r="34">
      <c r="A34" t="str">
        <v>Computed unit cost</v>
      </c>
      <c r="B34">
        <v>11699941.786691435</v>
      </c>
    </row>
    <row r="35">
      <c r="A35" t="str">
        <v>RAB (A) source unit cost</v>
      </c>
      <c r="B35">
        <v>11699941.786691433</v>
      </c>
    </row>
    <row r="36">
      <c r="A36" t="str">
        <v>Variance</v>
      </c>
      <c r="B36">
        <v>1.862645149230957e-9</v>
      </c>
      <c r="C36" t="str">
        <v>✓ OK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</row>
    <row r="38">
      <c r="A38" t="str">
        <v>Computed line total</v>
      </c>
      <c r="B38">
        <v>5370273.280091369</v>
      </c>
    </row>
    <row r="39">
      <c r="A39" t="str">
        <v>RAB (A) source line total</v>
      </c>
      <c r="B39">
        <v>6122111.539304159</v>
      </c>
    </row>
    <row r="40">
      <c r="A40" t="str">
        <v>Variance</v>
      </c>
      <c r="B40">
        <v>-751838.25921279</v>
      </c>
      <c r="C40" t="str">
        <v>✓ OK</v>
      </c>
    </row>
  </sheetData>
  <ignoredErrors>
    <ignoredError numberStoredAsText="1" sqref="A1:L40"/>
  </ignoredErrors>
</worksheet>
</file>

<file path=xl/worksheets/sheet124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(A) IV.A.4.8 - Kolom K177-1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K177-1</v>
      </c>
    </row>
    <row r="5">
      <c r="A5" t="str">
        <v>Unit</v>
      </c>
      <c r="B5" t="str">
        <v>m3</v>
      </c>
    </row>
    <row r="6">
      <c r="A6" t="str">
        <v>Volume</v>
      </c>
      <c r="B6">
        <v>0.5355</v>
      </c>
    </row>
    <row r="7">
      <c r="A7" t="str">
        <v>Unit cost (Rp/m3)</v>
      </c>
      <c r="B7">
        <v>10363759.209935205</v>
      </c>
    </row>
    <row r="8">
      <c r="A8" t="str">
        <v>Line total at-cost (Rp)</v>
      </c>
      <c r="B8">
        <v>5549793.056920302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0.562275</v>
      </c>
      <c r="L12">
        <v>571074.6037500001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0.5355</v>
      </c>
      <c r="L14">
        <v>133875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2250000</v>
      </c>
      <c r="I16">
        <v>1</v>
      </c>
      <c r="J16">
        <v>2250000</v>
      </c>
      <c r="K16">
        <v>0.5355</v>
      </c>
      <c r="L16">
        <v>1204875</v>
      </c>
    </row>
    <row r="17">
      <c r="A17">
        <v>4</v>
      </c>
      <c r="B17" t="str">
        <v>BEKISTING KOLOM (Material) — ratio 14.6218487394958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4.56)</v>
      </c>
      <c r="H18">
        <v>200000</v>
      </c>
      <c r="I18">
        <v>6.413091552410438</v>
      </c>
      <c r="J18">
        <v>1282618.3104820875</v>
      </c>
      <c r="K18">
        <v>3.4342105263157894</v>
      </c>
      <c r="L18">
        <v>686842.1052631579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4.56)</v>
      </c>
      <c r="H19">
        <v>47600</v>
      </c>
      <c r="I19">
        <v>32.06545776205219</v>
      </c>
      <c r="J19">
        <v>1526315.7894736843</v>
      </c>
      <c r="K19">
        <v>17.17105263157895</v>
      </c>
      <c r="L19">
        <v>817342.1052631579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4.56)</v>
      </c>
      <c r="H20">
        <v>47600</v>
      </c>
      <c r="I20">
        <v>6.413091552410438</v>
      </c>
      <c r="J20">
        <v>305263.15789473685</v>
      </c>
      <c r="K20">
        <v>3.4342105263157894</v>
      </c>
      <c r="L20">
        <v>163468.42105263157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4.56)</v>
      </c>
      <c r="H21">
        <v>13000</v>
      </c>
      <c r="I21">
        <v>6.413091552410438</v>
      </c>
      <c r="J21">
        <v>83370.1901813357</v>
      </c>
      <c r="K21">
        <v>3.4342105263157894</v>
      </c>
      <c r="L21">
        <v>44644.73684210526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4.56)</v>
      </c>
      <c r="H22">
        <v>27500</v>
      </c>
      <c r="I22">
        <v>7.3109243697479</v>
      </c>
      <c r="J22">
        <v>201050.42016806724</v>
      </c>
      <c r="K22">
        <v>3.915</v>
      </c>
      <c r="L22">
        <v>107662.5</v>
      </c>
    </row>
    <row r="23">
      <c r="A23">
        <v>5</v>
      </c>
      <c r="B23" t="str">
        <v>PEMBESIAN (Material) — ratio 301.24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64.75794285714287</v>
      </c>
      <c r="F24" t="str">
        <v>kg</v>
      </c>
      <c r="G24" t="str">
        <v>per m3 beton</v>
      </c>
      <c r="H24">
        <v>10300</v>
      </c>
      <c r="I24">
        <v>64.75794285714287</v>
      </c>
      <c r="J24">
        <v>667006.8114285715</v>
      </c>
      <c r="K24">
        <v>34.677878400000004</v>
      </c>
      <c r="L24">
        <v>357182.14752</v>
      </c>
    </row>
    <row r="25">
      <c r="A25" t="str">
        <v/>
      </c>
      <c r="B25" t="str">
        <v/>
      </c>
      <c r="C25" t="str">
        <v>Besi beton D19</v>
      </c>
      <c r="D25" t="str">
        <v>U24/U40 polos</v>
      </c>
      <c r="E25">
        <v>236.47926890756307</v>
      </c>
      <c r="F25" t="str">
        <v>kg</v>
      </c>
      <c r="G25" t="str">
        <v>per m3 beton</v>
      </c>
      <c r="H25">
        <v>10300</v>
      </c>
      <c r="I25">
        <v>236.47926890756307</v>
      </c>
      <c r="J25">
        <v>2435736.4697478996</v>
      </c>
      <c r="K25">
        <v>126.63464850000001</v>
      </c>
      <c r="L25">
        <v>1304336.8795500002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10300</v>
      </c>
      <c r="I26">
        <v>15.06186058823531</v>
      </c>
      <c r="J26">
        <v>155137.1640588237</v>
      </c>
      <c r="K26">
        <v>8.065626345000009</v>
      </c>
      <c r="L26">
        <v>83075.95135350009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301.23721176470593</v>
      </c>
      <c r="J27">
        <v>30123.721176470593</v>
      </c>
      <c r="K27">
        <v>161.31252690000002</v>
      </c>
      <c r="L27">
        <v>16131.252690000003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6.325981447058825</v>
      </c>
      <c r="J28">
        <v>110704.67532352945</v>
      </c>
      <c r="K28">
        <v>3.3875630649000006</v>
      </c>
      <c r="L28">
        <v>59282.35363575001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10363759.209935205</v>
      </c>
      <c r="J30" t="str">
        <v/>
      </c>
      <c r="K30" t="str">
        <v/>
      </c>
      <c r="L30">
        <v>5549793.056920302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10363759.209935205</v>
      </c>
    </row>
    <row r="34">
      <c r="A34" t="str">
        <v>RAB (A) source unit cost</v>
      </c>
      <c r="B34">
        <v>10363759.209935207</v>
      </c>
    </row>
    <row r="35">
      <c r="A35" t="str">
        <v>Variance</v>
      </c>
      <c r="B35">
        <v>-1.862645149230957e-9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5549793.056920302</v>
      </c>
    </row>
    <row r="38">
      <c r="A38" t="str">
        <v>RAB (A) source line total</v>
      </c>
      <c r="B38">
        <v>6326764.084889145</v>
      </c>
    </row>
    <row r="39">
      <c r="A39" t="str">
        <v>Variance</v>
      </c>
      <c r="B39">
        <v>-776971.0279688425</v>
      </c>
      <c r="C39" t="str">
        <v>✓ OK</v>
      </c>
    </row>
  </sheetData>
  <ignoredErrors>
    <ignoredError numberStoredAsText="1" sqref="A1:L39"/>
  </ignoredErrors>
</worksheet>
</file>

<file path=xl/worksheets/sheet125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(A) IV.A.4.9 - Kolom K178-1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K178-1</v>
      </c>
    </row>
    <row r="5">
      <c r="A5" t="str">
        <v>Unit</v>
      </c>
      <c r="B5" t="str">
        <v>m3</v>
      </c>
    </row>
    <row r="6">
      <c r="A6" t="str">
        <v>Volume</v>
      </c>
      <c r="B6">
        <v>2.448</v>
      </c>
    </row>
    <row r="7">
      <c r="A7" t="str">
        <v>Unit cost (Rp/m3)</v>
      </c>
      <c r="B7">
        <v>8964917.730743034</v>
      </c>
    </row>
    <row r="8">
      <c r="A8" t="str">
        <v>Line total at-cost (Rp)</v>
      </c>
      <c r="B8">
        <v>21946118.604858946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2.5704000000000002</v>
      </c>
      <c r="L12">
        <v>2610626.7600000007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2.448</v>
      </c>
      <c r="L14">
        <v>612000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2250000</v>
      </c>
      <c r="I16">
        <v>1</v>
      </c>
      <c r="J16">
        <v>2250000</v>
      </c>
      <c r="K16">
        <v>2.448</v>
      </c>
      <c r="L16">
        <v>5508000</v>
      </c>
    </row>
    <row r="17">
      <c r="A17">
        <v>4</v>
      </c>
      <c r="B17" t="str">
        <v>BEKISTING KOLOM (Material) — ratio 14.264705882352942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4.56)</v>
      </c>
      <c r="H18">
        <v>200000</v>
      </c>
      <c r="I18">
        <v>6.256449948400412</v>
      </c>
      <c r="J18">
        <v>1251289.9896800825</v>
      </c>
      <c r="K18">
        <v>15.315789473684209</v>
      </c>
      <c r="L18">
        <v>3063157.894736842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4.56)</v>
      </c>
      <c r="H19">
        <v>47600</v>
      </c>
      <c r="I19">
        <v>31.28224974200206</v>
      </c>
      <c r="J19">
        <v>1489035.0877192982</v>
      </c>
      <c r="K19">
        <v>76.57894736842104</v>
      </c>
      <c r="L19">
        <v>3645157.894736842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4.56)</v>
      </c>
      <c r="H20">
        <v>47600</v>
      </c>
      <c r="I20">
        <v>6.256449948400412</v>
      </c>
      <c r="J20">
        <v>297807.0175438596</v>
      </c>
      <c r="K20">
        <v>15.315789473684209</v>
      </c>
      <c r="L20">
        <v>729031.5789473683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4.56)</v>
      </c>
      <c r="H21">
        <v>13000</v>
      </c>
      <c r="I21">
        <v>6.256449948400412</v>
      </c>
      <c r="J21">
        <v>81333.84932920536</v>
      </c>
      <c r="K21">
        <v>15.315789473684209</v>
      </c>
      <c r="L21">
        <v>199105.26315789472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4.56)</v>
      </c>
      <c r="H22">
        <v>27500</v>
      </c>
      <c r="I22">
        <v>7.132352941176471</v>
      </c>
      <c r="J22">
        <v>196139.70588235295</v>
      </c>
      <c r="K22">
        <v>17.46</v>
      </c>
      <c r="L22">
        <v>480150</v>
      </c>
    </row>
    <row r="23">
      <c r="A23">
        <v>5</v>
      </c>
      <c r="B23" t="str">
        <v>PEMBESIAN (Material) — ratio 184.61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66.9656</v>
      </c>
      <c r="F24" t="str">
        <v>kg</v>
      </c>
      <c r="G24" t="str">
        <v>per m3 beton</v>
      </c>
      <c r="H24">
        <v>10300</v>
      </c>
      <c r="I24">
        <v>66.9656</v>
      </c>
      <c r="J24">
        <v>689745.6799999999</v>
      </c>
      <c r="K24">
        <v>163.9317888</v>
      </c>
      <c r="L24">
        <v>1688497.4246399999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117.6459294117647</v>
      </c>
      <c r="F25" t="str">
        <v>kg</v>
      </c>
      <c r="G25" t="str">
        <v>per m3 beton</v>
      </c>
      <c r="H25">
        <v>10300</v>
      </c>
      <c r="I25">
        <v>117.6459294117647</v>
      </c>
      <c r="J25">
        <v>1211753.0729411764</v>
      </c>
      <c r="K25">
        <v>287.9972352</v>
      </c>
      <c r="L25">
        <v>2966371.5225599995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10300</v>
      </c>
      <c r="I26">
        <v>9.230576470588243</v>
      </c>
      <c r="J26">
        <v>95074.9376470589</v>
      </c>
      <c r="K26">
        <v>22.59645120000002</v>
      </c>
      <c r="L26">
        <v>232743.4473600002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184.6115294117647</v>
      </c>
      <c r="J27">
        <v>18461.15294117647</v>
      </c>
      <c r="K27">
        <v>451.92902399999997</v>
      </c>
      <c r="L27">
        <v>45192.9024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3.876842117647059</v>
      </c>
      <c r="J28">
        <v>67844.73705882354</v>
      </c>
      <c r="K28">
        <v>9.490509504</v>
      </c>
      <c r="L28">
        <v>166083.91632000002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8964917.730743034</v>
      </c>
      <c r="J30" t="str">
        <v/>
      </c>
      <c r="K30" t="str">
        <v/>
      </c>
      <c r="L30">
        <v>21946118.604858946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8964917.730743034</v>
      </c>
    </row>
    <row r="34">
      <c r="A34" t="str">
        <v>RAB (A) source unit cost</v>
      </c>
      <c r="B34">
        <v>8964917.730743034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21946118.604858946</v>
      </c>
    </row>
    <row r="38">
      <c r="A38" t="str">
        <v>RAB (A) source line total</v>
      </c>
      <c r="B38">
        <v>25018575.209539197</v>
      </c>
    </row>
    <row r="39">
      <c r="A39" t="str">
        <v>Variance</v>
      </c>
      <c r="B39">
        <v>-3072456.6046802513</v>
      </c>
      <c r="C39" t="str">
        <v>✓ OK</v>
      </c>
    </row>
  </sheetData>
  <ignoredErrors>
    <ignoredError numberStoredAsText="1" sqref="A1:L39"/>
  </ignoredErrors>
</worksheet>
</file>

<file path=xl/worksheets/sheet126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(A) IV.A.4.10 - Kolom K178-2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K178-2</v>
      </c>
    </row>
    <row r="5">
      <c r="A5" t="str">
        <v>Unit</v>
      </c>
      <c r="B5" t="str">
        <v>m3</v>
      </c>
    </row>
    <row r="6">
      <c r="A6" t="str">
        <v>Volume</v>
      </c>
      <c r="B6">
        <v>1.224</v>
      </c>
    </row>
    <row r="7">
      <c r="A7" t="str">
        <v>Unit cost (Rp/m3)</v>
      </c>
      <c r="B7">
        <v>10885293.515940828</v>
      </c>
    </row>
    <row r="8">
      <c r="A8" t="str">
        <v>Line total at-cost (Rp)</v>
      </c>
      <c r="B8">
        <v>13323599.263511574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1.2852000000000001</v>
      </c>
      <c r="L12">
        <v>1305313.3800000004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1.224</v>
      </c>
      <c r="L14">
        <v>306000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2250000</v>
      </c>
      <c r="I16">
        <v>1</v>
      </c>
      <c r="J16">
        <v>2250000</v>
      </c>
      <c r="K16">
        <v>1.224</v>
      </c>
      <c r="L16">
        <v>2754000</v>
      </c>
    </row>
    <row r="17">
      <c r="A17">
        <v>4</v>
      </c>
      <c r="B17" t="str">
        <v>BEKISTING KOLOM (Material) — ratio 14.264705882352942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4.56)</v>
      </c>
      <c r="H18">
        <v>200000</v>
      </c>
      <c r="I18">
        <v>6.256449948400412</v>
      </c>
      <c r="J18">
        <v>1251289.9896800825</v>
      </c>
      <c r="K18">
        <v>7.657894736842104</v>
      </c>
      <c r="L18">
        <v>1531578.947368421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4.56)</v>
      </c>
      <c r="H19">
        <v>47600</v>
      </c>
      <c r="I19">
        <v>31.28224974200206</v>
      </c>
      <c r="J19">
        <v>1489035.0877192982</v>
      </c>
      <c r="K19">
        <v>38.28947368421052</v>
      </c>
      <c r="L19">
        <v>1822578.947368421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4.56)</v>
      </c>
      <c r="H20">
        <v>47600</v>
      </c>
      <c r="I20">
        <v>6.256449948400412</v>
      </c>
      <c r="J20">
        <v>297807.0175438596</v>
      </c>
      <c r="K20">
        <v>7.657894736842104</v>
      </c>
      <c r="L20">
        <v>364515.78947368416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4.56)</v>
      </c>
      <c r="H21">
        <v>13000</v>
      </c>
      <c r="I21">
        <v>6.256449948400412</v>
      </c>
      <c r="J21">
        <v>81333.84932920536</v>
      </c>
      <c r="K21">
        <v>7.657894736842104</v>
      </c>
      <c r="L21">
        <v>99552.63157894736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4.56)</v>
      </c>
      <c r="H22">
        <v>27500</v>
      </c>
      <c r="I22">
        <v>7.132352941176471</v>
      </c>
      <c r="J22">
        <v>196139.70588235295</v>
      </c>
      <c r="K22">
        <v>8.73</v>
      </c>
      <c r="L22">
        <v>240075</v>
      </c>
    </row>
    <row r="23">
      <c r="A23">
        <v>5</v>
      </c>
      <c r="B23" t="str">
        <v>PEMBESIAN (Material) — ratio 354.82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66.9656</v>
      </c>
      <c r="F24" t="str">
        <v>kg</v>
      </c>
      <c r="G24" t="str">
        <v>per m3 beton</v>
      </c>
      <c r="H24">
        <v>10300</v>
      </c>
      <c r="I24">
        <v>66.9656</v>
      </c>
      <c r="J24">
        <v>689745.6799999999</v>
      </c>
      <c r="K24">
        <v>81.9658944</v>
      </c>
      <c r="L24">
        <v>844248.7123199999</v>
      </c>
    </row>
    <row r="25">
      <c r="A25" t="str">
        <v/>
      </c>
      <c r="B25" t="str">
        <v/>
      </c>
      <c r="C25" t="str">
        <v>Besi beton D19</v>
      </c>
      <c r="D25" t="str">
        <v>U24/U40 polos</v>
      </c>
      <c r="E25">
        <v>287.85428617647057</v>
      </c>
      <c r="F25" t="str">
        <v>kg</v>
      </c>
      <c r="G25" t="str">
        <v>per m3 beton</v>
      </c>
      <c r="H25">
        <v>10300</v>
      </c>
      <c r="I25">
        <v>287.85428617647057</v>
      </c>
      <c r="J25">
        <v>2964899.147617647</v>
      </c>
      <c r="K25">
        <v>352.33364628</v>
      </c>
      <c r="L25">
        <v>3629036.556684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10300</v>
      </c>
      <c r="I26">
        <v>17.740994308823545</v>
      </c>
      <c r="J26">
        <v>182732.2413808825</v>
      </c>
      <c r="K26">
        <v>21.714977034000018</v>
      </c>
      <c r="L26">
        <v>223664.26345020017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354.81988617647056</v>
      </c>
      <c r="J27">
        <v>35481.98861764705</v>
      </c>
      <c r="K27">
        <v>434.29954067999995</v>
      </c>
      <c r="L27">
        <v>43429.95406799999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7.451217609705882</v>
      </c>
      <c r="J28">
        <v>130396.30816985293</v>
      </c>
      <c r="K28">
        <v>9.12029035428</v>
      </c>
      <c r="L28">
        <v>159605.08119989999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10885293.515940828</v>
      </c>
      <c r="J30" t="str">
        <v/>
      </c>
      <c r="K30" t="str">
        <v/>
      </c>
      <c r="L30">
        <v>13323599.263511574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10885293.515940828</v>
      </c>
    </row>
    <row r="34">
      <c r="A34" t="str">
        <v>RAB (A) source unit cost</v>
      </c>
      <c r="B34">
        <v>10885293.515940826</v>
      </c>
    </row>
    <row r="35">
      <c r="A35" t="str">
        <v>Variance</v>
      </c>
      <c r="B35">
        <v>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13323599.263511574</v>
      </c>
    </row>
    <row r="38">
      <c r="A38" t="str">
        <v>RAB (A) source line total</v>
      </c>
      <c r="B38">
        <v>15188903.16040319</v>
      </c>
    </row>
    <row r="39">
      <c r="A39" t="str">
        <v>Variance</v>
      </c>
      <c r="B39">
        <v>-1865303.8968916163</v>
      </c>
      <c r="C39" t="str">
        <v>✓ OK</v>
      </c>
    </row>
  </sheetData>
  <ignoredErrors>
    <ignoredError numberStoredAsText="1" sqref="A1:L39"/>
  </ignoredErrors>
</worksheet>
</file>

<file path=xl/worksheets/sheet127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(A) IV.A.4.11 - Kolom K179-1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K179-1</v>
      </c>
    </row>
    <row r="5">
      <c r="A5" t="str">
        <v>Unit</v>
      </c>
      <c r="B5" t="str">
        <v>m3</v>
      </c>
    </row>
    <row r="6">
      <c r="A6" t="str">
        <v>Volume</v>
      </c>
      <c r="B6">
        <v>0.6885</v>
      </c>
    </row>
    <row r="7">
      <c r="A7" t="str">
        <v>Unit cost (Rp/m3)</v>
      </c>
      <c r="B7">
        <v>10455080.862547819</v>
      </c>
    </row>
    <row r="8">
      <c r="A8" t="str">
        <v>Line total at-cost (Rp)</v>
      </c>
      <c r="B8">
        <v>7198323.173864173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0.722925</v>
      </c>
      <c r="L12">
        <v>734238.7762500001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0.6885</v>
      </c>
      <c r="L14">
        <v>172125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2250000</v>
      </c>
      <c r="I16">
        <v>1</v>
      </c>
      <c r="J16">
        <v>2250000</v>
      </c>
      <c r="K16">
        <v>0.6885</v>
      </c>
      <c r="L16">
        <v>1549125</v>
      </c>
    </row>
    <row r="17">
      <c r="A17">
        <v>4</v>
      </c>
      <c r="B17" t="str">
        <v>BEKISTING KOLOM (Material) — ratio 13.986928104575165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4.56)</v>
      </c>
      <c r="H18">
        <v>200000</v>
      </c>
      <c r="I18">
        <v>6.134617589725949</v>
      </c>
      <c r="J18">
        <v>1226923.51794519</v>
      </c>
      <c r="K18">
        <v>4.223684210526316</v>
      </c>
      <c r="L18">
        <v>844736.8421052633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4.56)</v>
      </c>
      <c r="H19">
        <v>47600</v>
      </c>
      <c r="I19">
        <v>30.673087948629746</v>
      </c>
      <c r="J19">
        <v>1460038.986354776</v>
      </c>
      <c r="K19">
        <v>21.11842105263158</v>
      </c>
      <c r="L19">
        <v>1005236.8421052633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4.56)</v>
      </c>
      <c r="H20">
        <v>47600</v>
      </c>
      <c r="I20">
        <v>6.134617589725949</v>
      </c>
      <c r="J20">
        <v>292007.79727095517</v>
      </c>
      <c r="K20">
        <v>4.223684210526316</v>
      </c>
      <c r="L20">
        <v>201047.36842105264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4.56)</v>
      </c>
      <c r="H21">
        <v>13000</v>
      </c>
      <c r="I21">
        <v>6.134617589725949</v>
      </c>
      <c r="J21">
        <v>79750.02866643734</v>
      </c>
      <c r="K21">
        <v>4.223684210526316</v>
      </c>
      <c r="L21">
        <v>54907.89473684211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4.56)</v>
      </c>
      <c r="H22">
        <v>27500</v>
      </c>
      <c r="I22">
        <v>6.9934640522875835</v>
      </c>
      <c r="J22">
        <v>192320.26143790854</v>
      </c>
      <c r="K22">
        <v>4.815000000000001</v>
      </c>
      <c r="L22">
        <v>132412.50000000003</v>
      </c>
    </row>
    <row r="23">
      <c r="A23">
        <v>5</v>
      </c>
      <c r="B23" t="str">
        <v>PEMBESIAN (Material) — ratio 322.41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64.91185359477124</v>
      </c>
      <c r="F24" t="str">
        <v>kg</v>
      </c>
      <c r="G24" t="str">
        <v>per m3 beton</v>
      </c>
      <c r="H24">
        <v>10300</v>
      </c>
      <c r="I24">
        <v>64.91185359477124</v>
      </c>
      <c r="J24">
        <v>668592.0920261438</v>
      </c>
      <c r="K24">
        <v>44.691811200000004</v>
      </c>
      <c r="L24">
        <v>460325.65536000003</v>
      </c>
    </row>
    <row r="25">
      <c r="A25" t="str">
        <v/>
      </c>
      <c r="B25" t="str">
        <v/>
      </c>
      <c r="C25" t="str">
        <v>Besi beton D19</v>
      </c>
      <c r="D25" t="str">
        <v>U24/U40 polos</v>
      </c>
      <c r="E25">
        <v>257.49964836601305</v>
      </c>
      <c r="F25" t="str">
        <v>kg</v>
      </c>
      <c r="G25" t="str">
        <v>per m3 beton</v>
      </c>
      <c r="H25">
        <v>10300</v>
      </c>
      <c r="I25">
        <v>257.49964836601305</v>
      </c>
      <c r="J25">
        <v>2652246.3781699343</v>
      </c>
      <c r="K25">
        <v>177.28850789999998</v>
      </c>
      <c r="L25">
        <v>1826071.6313699998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10300</v>
      </c>
      <c r="I26">
        <v>16.12057509803923</v>
      </c>
      <c r="J26">
        <v>166041.92350980407</v>
      </c>
      <c r="K26">
        <v>11.09901595500001</v>
      </c>
      <c r="L26">
        <v>114319.8643365001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322.4115019607843</v>
      </c>
      <c r="J27">
        <v>32241.150196078426</v>
      </c>
      <c r="K27">
        <v>221.98031909999997</v>
      </c>
      <c r="L27">
        <v>22198.031909999998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6.77064154117647</v>
      </c>
      <c r="J28">
        <v>118486.22697058824</v>
      </c>
      <c r="K28">
        <v>4.6615867011</v>
      </c>
      <c r="L28">
        <v>81577.76726925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10455080.862547819</v>
      </c>
      <c r="J30" t="str">
        <v/>
      </c>
      <c r="K30" t="str">
        <v/>
      </c>
      <c r="L30">
        <v>7198323.173864173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10455080.862547819</v>
      </c>
    </row>
    <row r="34">
      <c r="A34" t="str">
        <v>RAB (A) source unit cost</v>
      </c>
      <c r="B34">
        <v>10455080.862547815</v>
      </c>
    </row>
    <row r="35">
      <c r="A35" t="str">
        <v>Variance</v>
      </c>
      <c r="B35">
        <v>3.725290298461914e-9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7198323.173864173</v>
      </c>
    </row>
    <row r="38">
      <c r="A38" t="str">
        <v>RAB (A) source line total</v>
      </c>
      <c r="B38">
        <v>8206088.418205153</v>
      </c>
    </row>
    <row r="39">
      <c r="A39" t="str">
        <v>Variance</v>
      </c>
      <c r="B39">
        <v>-1007765.2443409804</v>
      </c>
      <c r="C39" t="str">
        <v>✓ OK</v>
      </c>
    </row>
  </sheetData>
  <ignoredErrors>
    <ignoredError numberStoredAsText="1" sqref="A1:L39"/>
  </ignoredErrors>
</worksheet>
</file>

<file path=xl/worksheets/sheet128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(A) IV.A.4.12 - Kolom K275-1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K275-1</v>
      </c>
    </row>
    <row r="5">
      <c r="A5" t="str">
        <v>Unit</v>
      </c>
      <c r="B5" t="str">
        <v>m3</v>
      </c>
    </row>
    <row r="6">
      <c r="A6" t="str">
        <v>Volume</v>
      </c>
      <c r="B6">
        <v>1.8225000000000002</v>
      </c>
    </row>
    <row r="7">
      <c r="A7" t="str">
        <v>Unit cost (Rp/m3)</v>
      </c>
      <c r="B7">
        <v>9001174.47198612</v>
      </c>
    </row>
    <row r="8">
      <c r="A8" t="str">
        <v>Line total at-cost (Rp)</v>
      </c>
      <c r="B8">
        <v>16404640.475194708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1.9136250000000004</v>
      </c>
      <c r="L12">
        <v>1943573.2312500007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1.8225000000000002</v>
      </c>
      <c r="L14">
        <v>455625.00000000006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2250000</v>
      </c>
      <c r="I16">
        <v>1</v>
      </c>
      <c r="J16">
        <v>2250000</v>
      </c>
      <c r="K16">
        <v>1.8225000000000002</v>
      </c>
      <c r="L16">
        <v>4100625.0000000005</v>
      </c>
    </row>
    <row r="17">
      <c r="A17">
        <v>4</v>
      </c>
      <c r="B17" t="str">
        <v>BEKISTING KOLOM (Material) — ratio 11.407407407407405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4.56)</v>
      </c>
      <c r="H18">
        <v>200000</v>
      </c>
      <c r="I18">
        <v>5.003248862897984</v>
      </c>
      <c r="J18">
        <v>1000649.7725795968</v>
      </c>
      <c r="K18">
        <v>9.118421052631577</v>
      </c>
      <c r="L18">
        <v>1823684.2105263155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4.56)</v>
      </c>
      <c r="H19">
        <v>47600</v>
      </c>
      <c r="I19">
        <v>25.01624431448992</v>
      </c>
      <c r="J19">
        <v>1190773.2293697202</v>
      </c>
      <c r="K19">
        <v>45.59210526315788</v>
      </c>
      <c r="L19">
        <v>2170184.2105263155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4.56)</v>
      </c>
      <c r="H20">
        <v>47600</v>
      </c>
      <c r="I20">
        <v>5.003248862897984</v>
      </c>
      <c r="J20">
        <v>238154.64587394404</v>
      </c>
      <c r="K20">
        <v>9.118421052631577</v>
      </c>
      <c r="L20">
        <v>434036.8421052631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4.56)</v>
      </c>
      <c r="H21">
        <v>13000</v>
      </c>
      <c r="I21">
        <v>5.003248862897984</v>
      </c>
      <c r="J21">
        <v>65042.2352176738</v>
      </c>
      <c r="K21">
        <v>9.118421052631577</v>
      </c>
      <c r="L21">
        <v>118539.47368421052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4.56)</v>
      </c>
      <c r="H22">
        <v>27500</v>
      </c>
      <c r="I22">
        <v>5.703703703703702</v>
      </c>
      <c r="J22">
        <v>156851.85185185182</v>
      </c>
      <c r="K22">
        <v>10.395</v>
      </c>
      <c r="L22">
        <v>285862.5</v>
      </c>
    </row>
    <row r="23">
      <c r="A23">
        <v>5</v>
      </c>
      <c r="B23" t="str">
        <v>PEMBESIAN (Material) — ratio 246.69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82.03762962962965</v>
      </c>
      <c r="F24" t="str">
        <v>kg</v>
      </c>
      <c r="G24" t="str">
        <v>per m3 beton</v>
      </c>
      <c r="H24">
        <v>10300</v>
      </c>
      <c r="I24">
        <v>82.03762962962965</v>
      </c>
      <c r="J24">
        <v>844987.5851851854</v>
      </c>
      <c r="K24">
        <v>149.51358000000005</v>
      </c>
      <c r="L24">
        <v>1539989.8740000005</v>
      </c>
    </row>
    <row r="25">
      <c r="A25" t="str">
        <v/>
      </c>
      <c r="B25" t="str">
        <v/>
      </c>
      <c r="C25" t="str">
        <v>Besi beton D19</v>
      </c>
      <c r="D25" t="str">
        <v>U24/U40 polos</v>
      </c>
      <c r="E25">
        <v>164.65151170370368</v>
      </c>
      <c r="F25" t="str">
        <v>kg</v>
      </c>
      <c r="G25" t="str">
        <v>per m3 beton</v>
      </c>
      <c r="H25">
        <v>10300</v>
      </c>
      <c r="I25">
        <v>164.65151170370368</v>
      </c>
      <c r="J25">
        <v>1695910.570548148</v>
      </c>
      <c r="K25">
        <v>300.07738008</v>
      </c>
      <c r="L25">
        <v>3090797.0148239997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10300</v>
      </c>
      <c r="I26">
        <v>12.334457066666678</v>
      </c>
      <c r="J26">
        <v>127044.90778666678</v>
      </c>
      <c r="K26">
        <v>22.479548004000023</v>
      </c>
      <c r="L26">
        <v>231539.34444120023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246.68914133333334</v>
      </c>
      <c r="J27">
        <v>24668.914133333335</v>
      </c>
      <c r="K27">
        <v>449.59096008000006</v>
      </c>
      <c r="L27">
        <v>44959.09600800001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5.180471968000001</v>
      </c>
      <c r="J28">
        <v>90658.25944000001</v>
      </c>
      <c r="K28">
        <v>9.441410161680002</v>
      </c>
      <c r="L28">
        <v>165224.67782940003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9001174.47198612</v>
      </c>
      <c r="J30" t="str">
        <v/>
      </c>
      <c r="K30" t="str">
        <v/>
      </c>
      <c r="L30">
        <v>16404640.475194708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9001174.47198612</v>
      </c>
    </row>
    <row r="34">
      <c r="A34" t="str">
        <v>RAB (A) source unit cost</v>
      </c>
      <c r="B34">
        <v>9001174.47198612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16404640.475194708</v>
      </c>
    </row>
    <row r="38">
      <c r="A38" t="str">
        <v>RAB (A) source line total</v>
      </c>
      <c r="B38">
        <v>18701290.141721968</v>
      </c>
    </row>
    <row r="39">
      <c r="A39" t="str">
        <v>Variance</v>
      </c>
      <c r="B39">
        <v>-2296649.66652726</v>
      </c>
      <c r="C39" t="str">
        <v>✓ OK</v>
      </c>
    </row>
  </sheetData>
  <ignoredErrors>
    <ignoredError numberStoredAsText="1" sqref="A1:L39"/>
  </ignoredErrors>
</worksheet>
</file>

<file path=xl/worksheets/sheet129.xml><?xml version="1.0" encoding="utf-8"?>
<worksheet xmlns="http://schemas.openxmlformats.org/spreadsheetml/2006/main" xmlns:r="http://schemas.openxmlformats.org/officeDocument/2006/relationships">
  <dimension ref="A1:L40"/>
  <sheetViews>
    <sheetView workbookViewId="0" rightToLeft="0"/>
  </sheetViews>
  <sheetData>
    <row r="1">
      <c r="A1" t="str">
        <v>BREAKDOWN — (A) IV.A.4.13 - Kolom K278-1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K278-1</v>
      </c>
    </row>
    <row r="5">
      <c r="A5" t="str">
        <v>Unit</v>
      </c>
      <c r="B5" t="str">
        <v>m3</v>
      </c>
    </row>
    <row r="6">
      <c r="A6" t="str">
        <v>Volume</v>
      </c>
      <c r="B6">
        <v>2.916</v>
      </c>
    </row>
    <row r="7">
      <c r="A7" t="str">
        <v>Unit cost (Rp/m3)</v>
      </c>
      <c r="B7">
        <v>8736168.675239425</v>
      </c>
    </row>
    <row r="8">
      <c r="A8" t="str">
        <v>Line total at-cost (Rp)</v>
      </c>
      <c r="B8">
        <v>25474667.856998164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3.0618</v>
      </c>
      <c r="L12">
        <v>3109717.1700000004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2.916</v>
      </c>
      <c r="L14">
        <v>729000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2250000</v>
      </c>
      <c r="I16">
        <v>1</v>
      </c>
      <c r="J16">
        <v>2250000</v>
      </c>
      <c r="K16">
        <v>2.916</v>
      </c>
      <c r="L16">
        <v>6561000</v>
      </c>
    </row>
    <row r="17">
      <c r="A17">
        <v>4</v>
      </c>
      <c r="B17" t="str">
        <v>BEKISTING KOLOM (Material) — ratio 9.907407407407408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4.56)</v>
      </c>
      <c r="H18">
        <v>200000</v>
      </c>
      <c r="I18">
        <v>4.345354126055881</v>
      </c>
      <c r="J18">
        <v>869070.8252111762</v>
      </c>
      <c r="K18">
        <v>12.671052631578949</v>
      </c>
      <c r="L18">
        <v>2534210.5263157897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4.56)</v>
      </c>
      <c r="H19">
        <v>47600</v>
      </c>
      <c r="I19">
        <v>21.726770630279404</v>
      </c>
      <c r="J19">
        <v>1034194.2820012997</v>
      </c>
      <c r="K19">
        <v>63.35526315789474</v>
      </c>
      <c r="L19">
        <v>3015710.5263157897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4.56)</v>
      </c>
      <c r="H20">
        <v>47600</v>
      </c>
      <c r="I20">
        <v>4.345354126055881</v>
      </c>
      <c r="J20">
        <v>206838.85640025992</v>
      </c>
      <c r="K20">
        <v>12.671052631578949</v>
      </c>
      <c r="L20">
        <v>603142.1052631579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4.56)</v>
      </c>
      <c r="H21">
        <v>13000</v>
      </c>
      <c r="I21">
        <v>4.345354126055881</v>
      </c>
      <c r="J21">
        <v>56489.60363872645</v>
      </c>
      <c r="K21">
        <v>12.671052631578949</v>
      </c>
      <c r="L21">
        <v>164723.68421052632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4.56)</v>
      </c>
      <c r="H22">
        <v>27500</v>
      </c>
      <c r="I22">
        <v>4.953703703703705</v>
      </c>
      <c r="J22">
        <v>136226.85185185188</v>
      </c>
      <c r="K22">
        <v>14.445000000000004</v>
      </c>
      <c r="L22">
        <v>397237.50000000006</v>
      </c>
    </row>
    <row r="23">
      <c r="A23">
        <v>5</v>
      </c>
      <c r="B23" t="str">
        <v>PEMBESIAN (Material) — ratio 254.10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74.82356481481483</v>
      </c>
      <c r="F24" t="str">
        <v>kg</v>
      </c>
      <c r="G24" t="str">
        <v>per m3 beton</v>
      </c>
      <c r="H24">
        <v>10300</v>
      </c>
      <c r="I24">
        <v>74.82356481481483</v>
      </c>
      <c r="J24">
        <v>770682.7175925927</v>
      </c>
      <c r="K24">
        <v>218.18551500000004</v>
      </c>
      <c r="L24">
        <v>2247310.8045</v>
      </c>
    </row>
    <row r="25">
      <c r="A25" t="str">
        <v/>
      </c>
      <c r="B25" t="str">
        <v/>
      </c>
      <c r="C25" t="str">
        <v>Besi beton D19</v>
      </c>
      <c r="D25" t="str">
        <v>U24/U40 polos</v>
      </c>
      <c r="E25">
        <v>103.78643037037038</v>
      </c>
      <c r="F25" t="str">
        <v>kg</v>
      </c>
      <c r="G25" t="str">
        <v>per m3 beton</v>
      </c>
      <c r="H25">
        <v>10300</v>
      </c>
      <c r="I25">
        <v>103.78643037037038</v>
      </c>
      <c r="J25">
        <v>1069000.232814815</v>
      </c>
      <c r="K25">
        <v>302.64123096000003</v>
      </c>
      <c r="L25">
        <v>3117204.678888</v>
      </c>
    </row>
    <row r="26">
      <c r="A26" t="str">
        <v/>
      </c>
      <c r="B26" t="str">
        <v/>
      </c>
      <c r="C26" t="str">
        <v>Besi beton D22</v>
      </c>
      <c r="D26" t="str">
        <v>U24/U40 polos</v>
      </c>
      <c r="E26">
        <v>75.49288592592593</v>
      </c>
      <c r="F26" t="str">
        <v>kg</v>
      </c>
      <c r="G26" t="str">
        <v>per m3 beton</v>
      </c>
      <c r="H26">
        <v>10300</v>
      </c>
      <c r="I26">
        <v>75.49288592592593</v>
      </c>
      <c r="J26">
        <v>777576.7250370372</v>
      </c>
      <c r="K26">
        <v>220.13725536</v>
      </c>
      <c r="L26">
        <v>2267413.730208</v>
      </c>
    </row>
    <row r="27">
      <c r="A27" t="str">
        <v/>
      </c>
      <c r="B27" t="str">
        <v/>
      </c>
      <c r="C27" t="str">
        <v>Besi beton — waste (5%)</v>
      </c>
      <c r="D27" t="str">
        <v>applied via AHS coeff 1.05</v>
      </c>
      <c r="E27">
        <v>0.050000000000000044</v>
      </c>
      <c r="F27" t="str">
        <v>kg</v>
      </c>
      <c r="G27" t="str">
        <v>per m3 beton</v>
      </c>
      <c r="H27">
        <v>10300</v>
      </c>
      <c r="I27">
        <v>12.705144055555568</v>
      </c>
      <c r="J27">
        <v>130862.98377222235</v>
      </c>
      <c r="K27">
        <v>37.048200066000035</v>
      </c>
      <c r="L27">
        <v>381596.46067980037</v>
      </c>
    </row>
    <row r="28">
      <c r="A28" t="str">
        <v/>
      </c>
      <c r="B28" t="str">
        <v/>
      </c>
      <c r="C28" t="str">
        <v>Beton decking</v>
      </c>
      <c r="D28" t="str">
        <v>spacer</v>
      </c>
      <c r="E28">
        <v>1</v>
      </c>
      <c r="F28" t="str">
        <v>kg-eq</v>
      </c>
      <c r="G28" t="str">
        <v>per kg besi</v>
      </c>
      <c r="H28">
        <v>100</v>
      </c>
      <c r="I28">
        <v>254.10288111111112</v>
      </c>
      <c r="J28">
        <v>25410.288111111113</v>
      </c>
      <c r="K28">
        <v>740.96400132</v>
      </c>
      <c r="L28">
        <v>74096.40013200001</v>
      </c>
    </row>
    <row r="29">
      <c r="A29" t="str">
        <v/>
      </c>
      <c r="B29" t="str">
        <v/>
      </c>
      <c r="C29" t="str">
        <v>Bendrat (kawat ikat)</v>
      </c>
      <c r="D29" t="str">
        <v>2.1% of besi (raw)</v>
      </c>
      <c r="E29">
        <v>0.021</v>
      </c>
      <c r="F29" t="str">
        <v>kg</v>
      </c>
      <c r="G29" t="str">
        <v>per kg besi (raw)</v>
      </c>
      <c r="H29">
        <v>17500</v>
      </c>
      <c r="I29">
        <v>5.336160503333334</v>
      </c>
      <c r="J29">
        <v>93382.80880833334</v>
      </c>
      <c r="K29">
        <v>15.560244027720001</v>
      </c>
      <c r="L29">
        <v>272304.27048510005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/>
      </c>
      <c r="B31" t="str">
        <v>SUBTOTAL — At-cost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>
        <v>8736168.675239425</v>
      </c>
      <c r="J31" t="str">
        <v/>
      </c>
      <c r="K31" t="str">
        <v/>
      </c>
      <c r="L31">
        <v>25474667.856998164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>RECONCILIATION</v>
      </c>
    </row>
    <row r="34">
      <c r="A34" t="str">
        <v>Computed unit cost</v>
      </c>
      <c r="B34">
        <v>8736168.675239425</v>
      </c>
    </row>
    <row r="35">
      <c r="A35" t="str">
        <v>RAB (A) source unit cost</v>
      </c>
      <c r="B35">
        <v>8736168.675239425</v>
      </c>
    </row>
    <row r="36">
      <c r="A36" t="str">
        <v>Variance</v>
      </c>
      <c r="B36">
        <v>0</v>
      </c>
      <c r="C36" t="str">
        <v>✓ OK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</row>
    <row r="38">
      <c r="A38" t="str">
        <v>Computed line total</v>
      </c>
      <c r="B38">
        <v>25474667.856998164</v>
      </c>
    </row>
    <row r="39">
      <c r="A39" t="str">
        <v>RAB (A) source line total</v>
      </c>
      <c r="B39">
        <v>29041121.356977906</v>
      </c>
    </row>
    <row r="40">
      <c r="A40" t="str">
        <v>Variance</v>
      </c>
      <c r="B40">
        <v>-3566453.499979742</v>
      </c>
      <c r="C40" t="str">
        <v>✓ OK</v>
      </c>
    </row>
  </sheetData>
  <ignoredErrors>
    <ignoredError numberStoredAsText="1" sqref="A1:L40"/>
  </ignoredErrors>
</worksheet>
</file>

<file path=xl/worksheets/sheet130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(A) IV.A.4.14 - Kolom K36-1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K36-1</v>
      </c>
    </row>
    <row r="5">
      <c r="A5" t="str">
        <v>Unit</v>
      </c>
      <c r="B5" t="str">
        <v>m3</v>
      </c>
    </row>
    <row r="6">
      <c r="A6" t="str">
        <v>Volume</v>
      </c>
      <c r="B6">
        <v>1.62</v>
      </c>
    </row>
    <row r="7">
      <c r="A7" t="str">
        <v>Unit cost (Rp/m3)</v>
      </c>
      <c r="B7">
        <v>10719126.036267605</v>
      </c>
    </row>
    <row r="8">
      <c r="A8" t="str">
        <v>Line total at-cost (Rp)</v>
      </c>
      <c r="B8">
        <v>17364984.17875352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1.7010000000000003</v>
      </c>
      <c r="L12">
        <v>1727620.6500000006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1.62</v>
      </c>
      <c r="L14">
        <v>405000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2250000</v>
      </c>
      <c r="I16">
        <v>1</v>
      </c>
      <c r="J16">
        <v>2250000</v>
      </c>
      <c r="K16">
        <v>1.62</v>
      </c>
      <c r="L16">
        <v>3645000.0000000005</v>
      </c>
    </row>
    <row r="17">
      <c r="A17">
        <v>4</v>
      </c>
      <c r="B17" t="str">
        <v>BEKISTING KOLOM (Material) — ratio 9.999999999999998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4.56)</v>
      </c>
      <c r="H18">
        <v>200000</v>
      </c>
      <c r="I18">
        <v>4.3859649122807</v>
      </c>
      <c r="J18">
        <v>877192.9824561401</v>
      </c>
      <c r="K18">
        <v>7.1052631578947345</v>
      </c>
      <c r="L18">
        <v>1421052.631578947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4.56)</v>
      </c>
      <c r="H19">
        <v>47600</v>
      </c>
      <c r="I19">
        <v>21.9298245614035</v>
      </c>
      <c r="J19">
        <v>1043859.6491228066</v>
      </c>
      <c r="K19">
        <v>35.52631578947367</v>
      </c>
      <c r="L19">
        <v>1691052.6315789467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4.56)</v>
      </c>
      <c r="H20">
        <v>47600</v>
      </c>
      <c r="I20">
        <v>4.3859649122807</v>
      </c>
      <c r="J20">
        <v>208771.92982456135</v>
      </c>
      <c r="K20">
        <v>7.1052631578947345</v>
      </c>
      <c r="L20">
        <v>338210.5263157894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4.56)</v>
      </c>
      <c r="H21">
        <v>13000</v>
      </c>
      <c r="I21">
        <v>4.3859649122807</v>
      </c>
      <c r="J21">
        <v>57017.5438596491</v>
      </c>
      <c r="K21">
        <v>7.1052631578947345</v>
      </c>
      <c r="L21">
        <v>92368.42105263154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4.56)</v>
      </c>
      <c r="H22">
        <v>27500</v>
      </c>
      <c r="I22">
        <v>4.999999999999999</v>
      </c>
      <c r="J22">
        <v>137499.99999999997</v>
      </c>
      <c r="K22">
        <v>8.1</v>
      </c>
      <c r="L22">
        <v>222749.99999999997</v>
      </c>
    </row>
    <row r="23">
      <c r="A23">
        <v>5</v>
      </c>
      <c r="B23" t="str">
        <v>PEMBESIAN (Material) — ratio 427.95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78.69888888888889</v>
      </c>
      <c r="F24" t="str">
        <v>kg</v>
      </c>
      <c r="G24" t="str">
        <v>per m3 beton</v>
      </c>
      <c r="H24">
        <v>10300</v>
      </c>
      <c r="I24">
        <v>78.69888888888889</v>
      </c>
      <c r="J24">
        <v>810598.5555555555</v>
      </c>
      <c r="K24">
        <v>127.49220000000001</v>
      </c>
      <c r="L24">
        <v>1313169.66</v>
      </c>
    </row>
    <row r="25">
      <c r="A25" t="str">
        <v/>
      </c>
      <c r="B25" t="str">
        <v/>
      </c>
      <c r="C25" t="str">
        <v>Besi beton D22</v>
      </c>
      <c r="D25" t="str">
        <v>U24/U40 polos</v>
      </c>
      <c r="E25">
        <v>349.25160355555556</v>
      </c>
      <c r="F25" t="str">
        <v>kg</v>
      </c>
      <c r="G25" t="str">
        <v>per m3 beton</v>
      </c>
      <c r="H25">
        <v>10300</v>
      </c>
      <c r="I25">
        <v>349.25160355555556</v>
      </c>
      <c r="J25">
        <v>3597291.5166222225</v>
      </c>
      <c r="K25">
        <v>565.78759776</v>
      </c>
      <c r="L25">
        <v>5827612.256928001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10300</v>
      </c>
      <c r="I26">
        <v>21.39752462222224</v>
      </c>
      <c r="J26">
        <v>220394.50360888906</v>
      </c>
      <c r="K26">
        <v>34.66398988800003</v>
      </c>
      <c r="L26">
        <v>357039.0958464003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427.9504924444444</v>
      </c>
      <c r="J27">
        <v>42795.04924444444</v>
      </c>
      <c r="K27">
        <v>693.2797977600001</v>
      </c>
      <c r="L27">
        <v>69327.979776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8.986960341333333</v>
      </c>
      <c r="J28">
        <v>157271.80597333334</v>
      </c>
      <c r="K28">
        <v>14.55887575296</v>
      </c>
      <c r="L28">
        <v>254780.3256768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10719126.036267605</v>
      </c>
      <c r="J30" t="str">
        <v/>
      </c>
      <c r="K30" t="str">
        <v/>
      </c>
      <c r="L30">
        <v>17364984.17875352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10719126.036267605</v>
      </c>
    </row>
    <row r="34">
      <c r="A34" t="str">
        <v>RAB (A) source unit cost</v>
      </c>
      <c r="B34">
        <v>10719126.036267603</v>
      </c>
    </row>
    <row r="35">
      <c r="A35" t="str">
        <v>Variance</v>
      </c>
      <c r="B35">
        <v>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17364984.17875352</v>
      </c>
    </row>
    <row r="38">
      <c r="A38" t="str">
        <v>RAB (A) source line total</v>
      </c>
      <c r="B38">
        <v>19796081.96377901</v>
      </c>
    </row>
    <row r="39">
      <c r="A39" t="str">
        <v>Variance</v>
      </c>
      <c r="B39">
        <v>-2431097.7850254886</v>
      </c>
      <c r="C39" t="str">
        <v>✓ OK</v>
      </c>
    </row>
  </sheetData>
  <ignoredErrors>
    <ignoredError numberStoredAsText="1" sqref="A1:L39"/>
  </ignoredErrors>
</worksheet>
</file>

<file path=xl/worksheets/sheet131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(A) IV.A.4.15 - Kolom K59-1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K59-1</v>
      </c>
    </row>
    <row r="5">
      <c r="A5" t="str">
        <v>Unit</v>
      </c>
      <c r="B5" t="str">
        <v>m3</v>
      </c>
    </row>
    <row r="6">
      <c r="A6" t="str">
        <v>Volume</v>
      </c>
      <c r="B6">
        <v>4.05</v>
      </c>
    </row>
    <row r="7">
      <c r="A7" t="str">
        <v>Unit cost (Rp/m3)</v>
      </c>
      <c r="B7">
        <v>7460603.883051745</v>
      </c>
    </row>
    <row r="8">
      <c r="A8" t="str">
        <v>Line total at-cost (Rp)</v>
      </c>
      <c r="B8">
        <v>30215445.726359565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4.2525</v>
      </c>
      <c r="L12">
        <v>4319051.625000001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4.05</v>
      </c>
      <c r="L14">
        <v>1012500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2250000</v>
      </c>
      <c r="I16">
        <v>1</v>
      </c>
      <c r="J16">
        <v>2250000</v>
      </c>
      <c r="K16">
        <v>4.05</v>
      </c>
      <c r="L16">
        <v>9112500</v>
      </c>
    </row>
    <row r="17">
      <c r="A17">
        <v>4</v>
      </c>
      <c r="B17" t="str">
        <v>BEKISTING KOLOM (Material) — ratio 6.222222222222222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4.56)</v>
      </c>
      <c r="H18">
        <v>200000</v>
      </c>
      <c r="I18">
        <v>2.729044834307992</v>
      </c>
      <c r="J18">
        <v>545808.9668615984</v>
      </c>
      <c r="K18">
        <v>11.052631578947368</v>
      </c>
      <c r="L18">
        <v>2210526.3157894737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4.56)</v>
      </c>
      <c r="H19">
        <v>47600</v>
      </c>
      <c r="I19">
        <v>13.64522417153996</v>
      </c>
      <c r="J19">
        <v>649512.6705653021</v>
      </c>
      <c r="K19">
        <v>55.263157894736835</v>
      </c>
      <c r="L19">
        <v>2630526.3157894737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4.56)</v>
      </c>
      <c r="H20">
        <v>47600</v>
      </c>
      <c r="I20">
        <v>2.729044834307992</v>
      </c>
      <c r="J20">
        <v>129902.53411306042</v>
      </c>
      <c r="K20">
        <v>11.052631578947368</v>
      </c>
      <c r="L20">
        <v>526105.2631578947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4.56)</v>
      </c>
      <c r="H21">
        <v>13000</v>
      </c>
      <c r="I21">
        <v>2.729044834307992</v>
      </c>
      <c r="J21">
        <v>35477.5828460039</v>
      </c>
      <c r="K21">
        <v>11.052631578947368</v>
      </c>
      <c r="L21">
        <v>143684.2105263158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4.56)</v>
      </c>
      <c r="H22">
        <v>27500</v>
      </c>
      <c r="I22">
        <v>3.111111111111111</v>
      </c>
      <c r="J22">
        <v>85555.55555555556</v>
      </c>
      <c r="K22">
        <v>12.6</v>
      </c>
      <c r="L22">
        <v>346500</v>
      </c>
    </row>
    <row r="23">
      <c r="A23">
        <v>5</v>
      </c>
      <c r="B23" t="str">
        <v>PEMBESIAN (Material) — ratio 216.97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71.83062222222223</v>
      </c>
      <c r="F24" t="str">
        <v>kg</v>
      </c>
      <c r="G24" t="str">
        <v>per m3 beton</v>
      </c>
      <c r="H24">
        <v>10300</v>
      </c>
      <c r="I24">
        <v>71.83062222222223</v>
      </c>
      <c r="J24">
        <v>739855.408888889</v>
      </c>
      <c r="K24">
        <v>290.91402000000005</v>
      </c>
      <c r="L24">
        <v>2996414.4060000004</v>
      </c>
    </row>
    <row r="25">
      <c r="A25" t="str">
        <v/>
      </c>
      <c r="B25" t="str">
        <v/>
      </c>
      <c r="C25" t="str">
        <v>Besi beton D22</v>
      </c>
      <c r="D25" t="str">
        <v>U24/U40 polos</v>
      </c>
      <c r="E25">
        <v>145.1349504</v>
      </c>
      <c r="F25" t="str">
        <v>kg</v>
      </c>
      <c r="G25" t="str">
        <v>per m3 beton</v>
      </c>
      <c r="H25">
        <v>10300</v>
      </c>
      <c r="I25">
        <v>145.1349504</v>
      </c>
      <c r="J25">
        <v>1494889.98912</v>
      </c>
      <c r="K25">
        <v>587.79654912</v>
      </c>
      <c r="L25">
        <v>6054304.455936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10300</v>
      </c>
      <c r="I26">
        <v>10.848278631111121</v>
      </c>
      <c r="J26">
        <v>111737.26990044455</v>
      </c>
      <c r="K26">
        <v>43.935528456000036</v>
      </c>
      <c r="L26">
        <v>452535.9430968004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216.96557262222223</v>
      </c>
      <c r="J27">
        <v>21696.557262222224</v>
      </c>
      <c r="K27">
        <v>878.71056912</v>
      </c>
      <c r="L27">
        <v>87871.056912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4.556277025066667</v>
      </c>
      <c r="J28">
        <v>79734.84793866667</v>
      </c>
      <c r="K28">
        <v>18.45292195152</v>
      </c>
      <c r="L28">
        <v>322926.1341516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7460603.883051745</v>
      </c>
      <c r="J30" t="str">
        <v/>
      </c>
      <c r="K30" t="str">
        <v/>
      </c>
      <c r="L30">
        <v>30215445.726359565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7460603.883051745</v>
      </c>
    </row>
    <row r="34">
      <c r="A34" t="str">
        <v>RAB (A) source unit cost</v>
      </c>
      <c r="B34">
        <v>7460603.883051743</v>
      </c>
    </row>
    <row r="35">
      <c r="A35" t="str">
        <v>Variance</v>
      </c>
      <c r="B35">
        <v>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30215445.726359565</v>
      </c>
    </row>
    <row r="38">
      <c r="A38" t="str">
        <v>RAB (A) source line total</v>
      </c>
      <c r="B38">
        <v>34445608.12804989</v>
      </c>
    </row>
    <row r="39">
      <c r="A39" t="str">
        <v>Variance</v>
      </c>
      <c r="B39">
        <v>-4230162.401690323</v>
      </c>
      <c r="C39" t="str">
        <v>✓ OK</v>
      </c>
    </row>
  </sheetData>
  <ignoredErrors>
    <ignoredError numberStoredAsText="1" sqref="A1:L39"/>
  </ignoredErrors>
</worksheet>
</file>

<file path=xl/worksheets/sheet132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(A) IV.A.4.16 - Kolom KL175-3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KL175-3</v>
      </c>
    </row>
    <row r="5">
      <c r="A5" t="str">
        <v>Unit</v>
      </c>
      <c r="B5" t="str">
        <v>m3</v>
      </c>
    </row>
    <row r="6">
      <c r="A6" t="str">
        <v>Volume</v>
      </c>
      <c r="B6">
        <v>0.63495</v>
      </c>
    </row>
    <row r="7">
      <c r="A7" t="str">
        <v>Unit cost (Rp/m3)</v>
      </c>
      <c r="B7">
        <v>11384552.376653662</v>
      </c>
    </row>
    <row r="8">
      <c r="A8" t="str">
        <v>Line total at-cost (Rp)</v>
      </c>
      <c r="B8">
        <v>7228621.531556243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0.6666975</v>
      </c>
      <c r="L12">
        <v>677131.3158750002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0.63495</v>
      </c>
      <c r="L14">
        <v>158737.5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2250000</v>
      </c>
      <c r="I16">
        <v>1</v>
      </c>
      <c r="J16">
        <v>2250000</v>
      </c>
      <c r="K16">
        <v>0.63495</v>
      </c>
      <c r="L16">
        <v>1428637.5</v>
      </c>
    </row>
    <row r="17">
      <c r="A17">
        <v>4</v>
      </c>
      <c r="B17" t="str">
        <v>BEKISTING KOLOM (Material) — ratio 14.174344436569807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4.56)</v>
      </c>
      <c r="H18">
        <v>200000</v>
      </c>
      <c r="I18">
        <v>6.216817735337634</v>
      </c>
      <c r="J18">
        <v>1243363.5470675267</v>
      </c>
      <c r="K18">
        <v>3.947368421052631</v>
      </c>
      <c r="L18">
        <v>789473.6842105261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4.56)</v>
      </c>
      <c r="H19">
        <v>47600</v>
      </c>
      <c r="I19">
        <v>31.08408867668817</v>
      </c>
      <c r="J19">
        <v>1479602.621010357</v>
      </c>
      <c r="K19">
        <v>19.736842105263154</v>
      </c>
      <c r="L19">
        <v>939473.6842105262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4.56)</v>
      </c>
      <c r="H20">
        <v>47600</v>
      </c>
      <c r="I20">
        <v>6.216817735337634</v>
      </c>
      <c r="J20">
        <v>295920.52420207136</v>
      </c>
      <c r="K20">
        <v>3.947368421052631</v>
      </c>
      <c r="L20">
        <v>187894.73684210522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4.56)</v>
      </c>
      <c r="H21">
        <v>13000</v>
      </c>
      <c r="I21">
        <v>6.216817735337634</v>
      </c>
      <c r="J21">
        <v>80818.63055938925</v>
      </c>
      <c r="K21">
        <v>3.947368421052631</v>
      </c>
      <c r="L21">
        <v>51315.789473684206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4.56)</v>
      </c>
      <c r="H22">
        <v>27500</v>
      </c>
      <c r="I22">
        <v>7.087172218284904</v>
      </c>
      <c r="J22">
        <v>194897.23600283486</v>
      </c>
      <c r="K22">
        <v>4.5</v>
      </c>
      <c r="L22">
        <v>123750</v>
      </c>
    </row>
    <row r="23">
      <c r="A23">
        <v>5</v>
      </c>
      <c r="B23" t="str">
        <v>PEMBESIAN (Material) — ratio 400.93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85.86550248051027</v>
      </c>
      <c r="F24" t="str">
        <v>kg</v>
      </c>
      <c r="G24" t="str">
        <v>per m3 beton</v>
      </c>
      <c r="H24">
        <v>10300</v>
      </c>
      <c r="I24">
        <v>85.86550248051027</v>
      </c>
      <c r="J24">
        <v>884414.6755492558</v>
      </c>
      <c r="K24">
        <v>54.5203008</v>
      </c>
      <c r="L24">
        <v>561559.09824</v>
      </c>
    </row>
    <row r="25">
      <c r="A25" t="str">
        <v/>
      </c>
      <c r="B25" t="str">
        <v/>
      </c>
      <c r="C25" t="str">
        <v>Besi beton D19</v>
      </c>
      <c r="D25" t="str">
        <v>U24/U40 polos</v>
      </c>
      <c r="E25">
        <v>315.0666772501772</v>
      </c>
      <c r="F25" t="str">
        <v>kg</v>
      </c>
      <c r="G25" t="str">
        <v>per m3 beton</v>
      </c>
      <c r="H25">
        <v>10300</v>
      </c>
      <c r="I25">
        <v>315.0666772501772</v>
      </c>
      <c r="J25">
        <v>3245186.775676825</v>
      </c>
      <c r="K25">
        <v>200.05158672000002</v>
      </c>
      <c r="L25">
        <v>2060531.3432160001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10300</v>
      </c>
      <c r="I26">
        <v>20.04660898653439</v>
      </c>
      <c r="J26">
        <v>206480.07256130423</v>
      </c>
      <c r="K26">
        <v>12.728594376000013</v>
      </c>
      <c r="L26">
        <v>131104.52207280011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400.93217973068744</v>
      </c>
      <c r="J27">
        <v>40093.21797306874</v>
      </c>
      <c r="K27">
        <v>254.57188752</v>
      </c>
      <c r="L27">
        <v>25457.188752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8.419575774344437</v>
      </c>
      <c r="J28">
        <v>147342.57605102766</v>
      </c>
      <c r="K28">
        <v>5.346009637920001</v>
      </c>
      <c r="L28">
        <v>93555.16866360001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11384552.376653662</v>
      </c>
      <c r="J30" t="str">
        <v/>
      </c>
      <c r="K30" t="str">
        <v/>
      </c>
      <c r="L30">
        <v>7228621.531556243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11384552.376653662</v>
      </c>
    </row>
    <row r="34">
      <c r="A34" t="str">
        <v>RAB (A) source unit cost</v>
      </c>
      <c r="B34">
        <v>11384552.37665366</v>
      </c>
    </row>
    <row r="35">
      <c r="A35" t="str">
        <v>Variance</v>
      </c>
      <c r="B35">
        <v>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7228621.531556243</v>
      </c>
    </row>
    <row r="38">
      <c r="A38" t="str">
        <v>RAB (A) source line total</v>
      </c>
      <c r="B38">
        <v>8240628.545974115</v>
      </c>
    </row>
    <row r="39">
      <c r="A39" t="str">
        <v>Variance</v>
      </c>
      <c r="B39">
        <v>-1012007.0144178718</v>
      </c>
      <c r="C39" t="str">
        <v>✓ OK</v>
      </c>
    </row>
  </sheetData>
  <ignoredErrors>
    <ignoredError numberStoredAsText="1" sqref="A1:L39"/>
  </ignoredErrors>
</worksheet>
</file>

<file path=xl/worksheets/sheet133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(A) IV.B.2 Dinding lift Lantai 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Dinding lift Lantai 1</v>
      </c>
    </row>
    <row r="5">
      <c r="A5" t="str">
        <v>Unit</v>
      </c>
      <c r="B5" t="str">
        <v>m3</v>
      </c>
    </row>
    <row r="6">
      <c r="A6" t="str">
        <v>Volume</v>
      </c>
      <c r="B6">
        <v>4.98015</v>
      </c>
    </row>
    <row r="7">
      <c r="A7" t="str">
        <v>Unit cost (Rp/m3)</v>
      </c>
      <c r="B7">
        <v>5829317.555057388</v>
      </c>
    </row>
    <row r="8">
      <c r="A8" t="str">
        <v>Line total at-cost (Rp)</v>
      </c>
      <c r="B8">
        <v>29030875.821819052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1066432.5000000002</v>
      </c>
      <c r="I12">
        <v>1</v>
      </c>
      <c r="J12">
        <v>1066432.5000000002</v>
      </c>
      <c r="K12">
        <v>4.98015</v>
      </c>
      <c r="L12">
        <v>5310993.814875001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1500000</v>
      </c>
      <c r="I14">
        <v>1</v>
      </c>
      <c r="J14">
        <v>1500000</v>
      </c>
      <c r="K14">
        <v>4.98015</v>
      </c>
      <c r="L14">
        <v>7470225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200000</v>
      </c>
      <c r="I16">
        <v>1</v>
      </c>
      <c r="J16">
        <v>200000</v>
      </c>
      <c r="K16">
        <v>4.98015</v>
      </c>
      <c r="L16">
        <v>996030</v>
      </c>
    </row>
    <row r="17">
      <c r="A17">
        <v>4</v>
      </c>
      <c r="B17" t="str">
        <v>BEKISTING (Material) — ratio 13.300804192644799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13.300804192644799</v>
      </c>
      <c r="F18" t="str">
        <v>m2</v>
      </c>
      <c r="G18" t="str">
        <v>per m² of formwork</v>
      </c>
      <c r="H18">
        <v>94565.97222222222</v>
      </c>
      <c r="I18">
        <v>13.300804192644799</v>
      </c>
      <c r="J18">
        <v>1257803.479814865</v>
      </c>
      <c r="K18">
        <v>66.24</v>
      </c>
      <c r="L18">
        <v>6264050</v>
      </c>
    </row>
    <row r="19">
      <c r="A19">
        <v>5</v>
      </c>
      <c r="B19" t="str">
        <v>PEMBESIAN (Material) — ratio 159.99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159.98950367760006</v>
      </c>
      <c r="F20" t="str">
        <v>kg</v>
      </c>
      <c r="G20" t="str">
        <v>per kg finished pembesian (blended: raw besi + decking + bendrat)</v>
      </c>
      <c r="H20">
        <v>11282.5</v>
      </c>
      <c r="I20">
        <v>159.98950367760006</v>
      </c>
      <c r="J20">
        <v>1805081.5752425226</v>
      </c>
      <c r="K20">
        <v>796.77172674</v>
      </c>
      <c r="L20">
        <v>8989577.00694405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5829317.555057388</v>
      </c>
      <c r="J22" t="str">
        <v/>
      </c>
      <c r="K22" t="str">
        <v/>
      </c>
      <c r="L22">
        <v>29030875.821819052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5829317.555057388</v>
      </c>
    </row>
    <row r="26">
      <c r="A26" t="str">
        <v>RAB (A) source unit cost</v>
      </c>
      <c r="B26">
        <v>5829317.555057388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29030875.821819052</v>
      </c>
    </row>
    <row r="30">
      <c r="A30" t="str">
        <v>RAB (A) source line total</v>
      </c>
      <c r="B30">
        <v>33095198.436873715</v>
      </c>
    </row>
    <row r="31">
      <c r="A31" t="str">
        <v>Variance</v>
      </c>
      <c r="B31">
        <v>-4064322.6150546633</v>
      </c>
      <c r="C31" t="str">
        <v>✓ OK</v>
      </c>
    </row>
  </sheetData>
  <ignoredErrors>
    <ignoredError numberStoredAsText="1" sqref="A1:L31"/>
  </ignoredErrors>
</worksheet>
</file>

<file path=xl/worksheets/sheet134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(A) V.A.1.1 - Plat lantai - tebal 13 cm, besi D10-200 (2 lapis)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Plat lantai - tebal 13 cm, besi D10-200 (2 lapis)</v>
      </c>
    </row>
    <row r="5">
      <c r="A5" t="str">
        <v>Unit</v>
      </c>
      <c r="B5" t="str">
        <v>m3</v>
      </c>
    </row>
    <row r="6">
      <c r="A6" t="str">
        <v>Volume</v>
      </c>
      <c r="B6">
        <v>36.0789</v>
      </c>
    </row>
    <row r="7">
      <c r="A7" t="str">
        <v>Unit cost (Rp/m3)</v>
      </c>
      <c r="B7">
        <v>4841939.658619889</v>
      </c>
    </row>
    <row r="8">
      <c r="A8" t="str">
        <v>Line total at-cost (Rp)</v>
      </c>
      <c r="B8">
        <v>174691856.7493811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37.882844999999996</v>
      </c>
      <c r="L12">
        <v>38475711.52425001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36.0789</v>
      </c>
      <c r="L14">
        <v>2705917.5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1300000</v>
      </c>
      <c r="I16">
        <v>1</v>
      </c>
      <c r="J16">
        <v>1300000</v>
      </c>
      <c r="K16">
        <v>36.0789</v>
      </c>
      <c r="L16">
        <v>46902570</v>
      </c>
    </row>
    <row r="17">
      <c r="A17">
        <v>4</v>
      </c>
      <c r="B17" t="str">
        <v>BEKISTING PLAT (Material) — ratio 8.061060619919122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1</v>
      </c>
      <c r="F18" t="str">
        <v>lbr</v>
      </c>
      <c r="G18" t="str">
        <v>per m² form (cycle 5.76)</v>
      </c>
      <c r="H18">
        <v>200000</v>
      </c>
      <c r="I18">
        <v>1.3994896909581809</v>
      </c>
      <c r="J18">
        <v>279897.9381916362</v>
      </c>
      <c r="K18">
        <v>50.49204861111111</v>
      </c>
      <c r="L18">
        <v>10098409.722222222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5</v>
      </c>
      <c r="F19" t="str">
        <v>btg</v>
      </c>
      <c r="G19" t="str">
        <v>per m² form (cycle 5.76)</v>
      </c>
      <c r="H19">
        <v>47600</v>
      </c>
      <c r="I19">
        <v>6.997448454790904</v>
      </c>
      <c r="J19">
        <v>333078.54644804704</v>
      </c>
      <c r="K19">
        <v>252.46024305555554</v>
      </c>
      <c r="L19">
        <v>12017107.569444444</v>
      </c>
    </row>
    <row r="20">
      <c r="A20" t="str">
        <v/>
      </c>
      <c r="B20" t="str">
        <v/>
      </c>
      <c r="C20" t="str">
        <v>Paku</v>
      </c>
      <c r="D20" t="str">
        <v/>
      </c>
      <c r="E20">
        <v>1.5</v>
      </c>
      <c r="F20" t="str">
        <v>kg</v>
      </c>
      <c r="G20" t="str">
        <v>per m² form (cycle 5.76)</v>
      </c>
      <c r="H20">
        <v>13000</v>
      </c>
      <c r="I20">
        <v>2.0992345364372715</v>
      </c>
      <c r="J20">
        <v>27290.04897368453</v>
      </c>
      <c r="K20">
        <v>75.73807291666667</v>
      </c>
      <c r="L20">
        <v>984594.9479166667</v>
      </c>
    </row>
    <row r="21">
      <c r="A21" t="str">
        <v/>
      </c>
      <c r="B21" t="str">
        <v/>
      </c>
      <c r="C21" t="str">
        <v>Form oil</v>
      </c>
      <c r="D21" t="str">
        <v/>
      </c>
      <c r="E21">
        <v>1.44</v>
      </c>
      <c r="F21" t="str">
        <v>ltr</v>
      </c>
      <c r="G21" t="str">
        <v>per m² form (cycle 5.76)</v>
      </c>
      <c r="H21">
        <v>27500</v>
      </c>
      <c r="I21">
        <v>2.0152651549797804</v>
      </c>
      <c r="J21">
        <v>55419.79176194396</v>
      </c>
      <c r="K21">
        <v>72.70854999999999</v>
      </c>
      <c r="L21">
        <v>1999485.1249999998</v>
      </c>
    </row>
    <row r="22">
      <c r="A22">
        <v>5</v>
      </c>
      <c r="B22" t="str">
        <v>BEKISTING PLAT PERALATAN (Material) — Perancah, ratio 8.061060619919122 m²/m³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Perancah Bekisting Plat</v>
      </c>
      <c r="D23" t="str">
        <v/>
      </c>
      <c r="E23">
        <v>1</v>
      </c>
      <c r="F23" t="str">
        <v>m2</v>
      </c>
      <c r="G23" t="str">
        <v>per m² form (cycle 5.76)</v>
      </c>
      <c r="H23">
        <v>203414.8148148148</v>
      </c>
      <c r="I23">
        <v>1.3994896909581807</v>
      </c>
      <c r="J23">
        <v>284676.9363215007</v>
      </c>
      <c r="K23">
        <v>50.4920486111111</v>
      </c>
      <c r="L23">
        <v>10270830.717849791</v>
      </c>
    </row>
    <row r="24">
      <c r="A24">
        <v>6</v>
      </c>
      <c r="B24" t="str">
        <v>PEMBESIAN (Material) — ratio 125.87 kg/m³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/>
      </c>
      <c r="C25" t="str">
        <v>Besi beton D10</v>
      </c>
      <c r="D25" t="str">
        <v>U24/U40 polos</v>
      </c>
      <c r="E25">
        <v>125.87138461538463</v>
      </c>
      <c r="F25" t="str">
        <v>kg</v>
      </c>
      <c r="G25" t="str">
        <v>per m3 beton</v>
      </c>
      <c r="H25">
        <v>10300</v>
      </c>
      <c r="I25">
        <v>125.87138461538463</v>
      </c>
      <c r="J25">
        <v>1296475.2615384615</v>
      </c>
      <c r="K25">
        <v>4541.3010984</v>
      </c>
      <c r="L25">
        <v>46775401.31352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10300</v>
      </c>
      <c r="I26">
        <v>6.293569230769237</v>
      </c>
      <c r="J26">
        <v>64823.76307692314</v>
      </c>
      <c r="K26">
        <v>227.06505492000022</v>
      </c>
      <c r="L26">
        <v>2338770.0656760023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125.87138461538463</v>
      </c>
      <c r="J27">
        <v>12587.138461538463</v>
      </c>
      <c r="K27">
        <v>4541.3010984</v>
      </c>
      <c r="L27">
        <v>454130.10984000005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2.6432990769230775</v>
      </c>
      <c r="J28">
        <v>46257.73384615386</v>
      </c>
      <c r="K28">
        <v>95.36732306640002</v>
      </c>
      <c r="L28">
        <v>1668928.1536620003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4841939.658619889</v>
      </c>
      <c r="J30" t="str">
        <v/>
      </c>
      <c r="K30" t="str">
        <v/>
      </c>
      <c r="L30">
        <v>174691856.7493811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4841939.658619889</v>
      </c>
    </row>
    <row r="34">
      <c r="A34" t="str">
        <v>RAB (A) source unit cost</v>
      </c>
      <c r="B34">
        <v>4841939.65861989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174691856.7493811</v>
      </c>
    </row>
    <row r="38">
      <c r="A38" t="str">
        <v>RAB (A) source line total</v>
      </c>
      <c r="B38">
        <v>199148716.69429448</v>
      </c>
    </row>
    <row r="39">
      <c r="A39" t="str">
        <v>Variance</v>
      </c>
      <c r="B39">
        <v>-24456859.944913387</v>
      </c>
      <c r="C39" t="str">
        <v>✓ OK</v>
      </c>
    </row>
  </sheetData>
  <ignoredErrors>
    <ignoredError numberStoredAsText="1" sqref="A1:L39"/>
  </ignoredErrors>
</worksheet>
</file>

<file path=xl/worksheets/sheet135.xml><?xml version="1.0" encoding="utf-8"?>
<worksheet xmlns="http://schemas.openxmlformats.org/spreadsheetml/2006/main" xmlns:r="http://schemas.openxmlformats.org/officeDocument/2006/relationships">
  <dimension ref="A1:L33"/>
  <sheetViews>
    <sheetView workbookViewId="0" rightToLeft="0"/>
  </sheetViews>
  <sheetData>
    <row r="1">
      <c r="A1" t="str">
        <v>BREAKDOWN — (A) V.A.1.2 - Plat lantai balkon dan dry garden - tebal 15 cm, besi D10-200 (2 lapis)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Plat lantai balkon dan dry garden - tebal 15 cm, besi D10-200 (2 lapis)</v>
      </c>
    </row>
    <row r="5">
      <c r="A5" t="str">
        <v>Unit</v>
      </c>
      <c r="B5" t="str">
        <v>m3</v>
      </c>
    </row>
    <row r="6">
      <c r="A6" t="str">
        <v>Volume</v>
      </c>
      <c r="B6">
        <v>2.7540000000000004</v>
      </c>
    </row>
    <row r="7">
      <c r="A7" t="str">
        <v>Unit cost (Rp/m3)</v>
      </c>
      <c r="B7">
        <v>4765520.17071088</v>
      </c>
    </row>
    <row r="8">
      <c r="A8" t="str">
        <v>Line total at-cost (Rp)</v>
      </c>
      <c r="B8">
        <v>13124242.550137766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1066432.5000000002</v>
      </c>
      <c r="I12">
        <v>1</v>
      </c>
      <c r="J12">
        <v>1066432.5000000002</v>
      </c>
      <c r="K12">
        <v>2.7540000000000004</v>
      </c>
      <c r="L12">
        <v>2936955.105000001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1300000</v>
      </c>
      <c r="I14">
        <v>1</v>
      </c>
      <c r="J14">
        <v>1300000</v>
      </c>
      <c r="K14">
        <v>2.7540000000000004</v>
      </c>
      <c r="L14">
        <v>3580200.0000000005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75000</v>
      </c>
      <c r="I16">
        <v>1</v>
      </c>
      <c r="J16">
        <v>75000</v>
      </c>
      <c r="K16">
        <v>2.7540000000000004</v>
      </c>
      <c r="L16">
        <v>206550.00000000003</v>
      </c>
    </row>
    <row r="17">
      <c r="A17">
        <v>4</v>
      </c>
      <c r="B17" t="str">
        <v>BEKISTING (Material) — ratio 8.928649237472765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8.928649237472765</v>
      </c>
      <c r="F18" t="str">
        <v>m2</v>
      </c>
      <c r="G18" t="str">
        <v>per m² of formwork</v>
      </c>
      <c r="H18">
        <v>86302.08333333334</v>
      </c>
      <c r="I18">
        <v>8.928649237472765</v>
      </c>
      <c r="J18">
        <v>770561.0305464778</v>
      </c>
      <c r="K18">
        <v>24.589499999999997</v>
      </c>
      <c r="L18">
        <v>2122125.078125</v>
      </c>
    </row>
    <row r="19">
      <c r="A19">
        <v>5</v>
      </c>
      <c r="B19" t="str">
        <v>BEKISTING PERALATAN (Material) — Perancah / scaffolding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Bekisting peralatan / Perancah (lump)</v>
      </c>
      <c r="D20" t="str">
        <v>rolled lump — group total only</v>
      </c>
      <c r="E20">
        <v>8.928649237472765</v>
      </c>
      <c r="F20" t="str">
        <v>m2</v>
      </c>
      <c r="G20" t="str">
        <v>per m² of formwork (scaffolding embedded in bekisting block, col H)</v>
      </c>
      <c r="H20">
        <v>35315.0720164609</v>
      </c>
      <c r="I20">
        <v>8.928649237472765</v>
      </c>
      <c r="J20">
        <v>315315.8908310694</v>
      </c>
      <c r="K20">
        <v>24.589499999999997</v>
      </c>
      <c r="L20">
        <v>868379.9633487652</v>
      </c>
    </row>
    <row r="21">
      <c r="A21">
        <v>6</v>
      </c>
      <c r="B21" t="str">
        <v>PEMBESIAN (Material) — ratio 109.75 kg/m³ (rolled)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/>
      </c>
      <c r="C22" t="str">
        <v>Pembesian U24 &amp; U40 (lump — no per-diameter detail)</v>
      </c>
      <c r="D22" t="str">
        <v>rolled lump — group total only</v>
      </c>
      <c r="E22">
        <v>109.74613333333332</v>
      </c>
      <c r="F22" t="str">
        <v>kg</v>
      </c>
      <c r="G22" t="str">
        <v>per kg finished pembesian (blended: raw besi + decking + bendrat)</v>
      </c>
      <c r="H22">
        <v>11282.5</v>
      </c>
      <c r="I22">
        <v>109.74613333333332</v>
      </c>
      <c r="J22">
        <v>1238210.7493333332</v>
      </c>
      <c r="K22">
        <v>302.2408512</v>
      </c>
      <c r="L22">
        <v>3410032.4036640003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>SUBTOTAL — At-cost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>
        <v>4765520.17071088</v>
      </c>
      <c r="J24" t="str">
        <v/>
      </c>
      <c r="K24" t="str">
        <v/>
      </c>
      <c r="L24">
        <v>13124242.550137766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>RECONCILIATION</v>
      </c>
    </row>
    <row r="27">
      <c r="A27" t="str">
        <v>Computed unit cost</v>
      </c>
      <c r="B27">
        <v>4765520.17071088</v>
      </c>
    </row>
    <row r="28">
      <c r="A28" t="str">
        <v>RAB (A) source unit cost</v>
      </c>
      <c r="B28">
        <v>4765520.17071088</v>
      </c>
    </row>
    <row r="29">
      <c r="A29" t="str">
        <v>Variance</v>
      </c>
      <c r="B29">
        <v>0</v>
      </c>
      <c r="C29" t="str">
        <v>✓ OK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Computed line total</v>
      </c>
      <c r="B31">
        <v>13124242.550137766</v>
      </c>
    </row>
    <row r="32">
      <c r="A32" t="str">
        <v>RAB (A) source line total</v>
      </c>
      <c r="B32">
        <v>14961636.507157052</v>
      </c>
    </row>
    <row r="33">
      <c r="A33" t="str">
        <v>Variance</v>
      </c>
      <c r="B33">
        <v>-1837393.9570192862</v>
      </c>
      <c r="C33" t="str">
        <v>✓ OK</v>
      </c>
    </row>
  </sheetData>
  <ignoredErrors>
    <ignoredError numberStoredAsText="1" sqref="A1:L33"/>
  </ignoredErrors>
</worksheet>
</file>

<file path=xl/worksheets/sheet136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V.A.2.1 - Balok B173-1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B173-1</v>
      </c>
    </row>
    <row r="5">
      <c r="A5" t="str">
        <v>Unit</v>
      </c>
      <c r="B5" t="str">
        <v>m3</v>
      </c>
    </row>
    <row r="6">
      <c r="A6" t="str">
        <v>Volume</v>
      </c>
      <c r="B6">
        <v>0.14968499999999998</v>
      </c>
    </row>
    <row r="7">
      <c r="A7" t="str">
        <v>Unit cost (Rp/m3)</v>
      </c>
      <c r="B7">
        <v>9211015.862230103</v>
      </c>
    </row>
    <row r="8">
      <c r="A8" t="str">
        <v>Line total at-cost (Rp)</v>
      </c>
      <c r="B8">
        <v>1378750.909337913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0.15716924999999998</v>
      </c>
      <c r="L12">
        <v>159628.94876250002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0.14968499999999998</v>
      </c>
      <c r="L14">
        <v>11226.374999999998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0.14968499999999998</v>
      </c>
      <c r="L16">
        <v>261948.74999999997</v>
      </c>
    </row>
    <row r="17">
      <c r="A17">
        <v>4</v>
      </c>
      <c r="B17" t="str">
        <v>BEKISTING BALOK (Material) — ratio 15.098039215686276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7.549019607843138</v>
      </c>
      <c r="J18">
        <v>1509803.9215686277</v>
      </c>
      <c r="K18">
        <v>1.129975</v>
      </c>
      <c r="L18">
        <v>225995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33.97058823529412</v>
      </c>
      <c r="J19">
        <v>1617000.0000000002</v>
      </c>
      <c r="K19">
        <v>5.084887500000001</v>
      </c>
      <c r="L19">
        <v>242040.64500000002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11.323529411764707</v>
      </c>
      <c r="J20">
        <v>539000</v>
      </c>
      <c r="K20">
        <v>1.6949625</v>
      </c>
      <c r="L20">
        <v>80680.215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5.661764705882353</v>
      </c>
      <c r="J21">
        <v>73602.94117647059</v>
      </c>
      <c r="K21">
        <v>0.84748125</v>
      </c>
      <c r="L21">
        <v>11017.256249999999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1.8872549019607845</v>
      </c>
      <c r="J22">
        <v>51899.50980392157</v>
      </c>
      <c r="K22">
        <v>0.28249375</v>
      </c>
      <c r="L22">
        <v>7768.578125</v>
      </c>
    </row>
    <row r="23">
      <c r="A23">
        <v>5</v>
      </c>
      <c r="B23" t="str">
        <v>BEKISTING BALOK PERALATAN (Material) — Perancah, ratio 15.098039215686276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3.774509803921569</v>
      </c>
      <c r="J24">
        <v>769101.8064633261</v>
      </c>
      <c r="K24">
        <v>0.5649875</v>
      </c>
      <c r="L24">
        <v>115123.00390046295</v>
      </c>
    </row>
    <row r="25">
      <c r="A25">
        <v>6</v>
      </c>
      <c r="B25" t="str">
        <v>PEMBESIAN (Material) — ratio 155.92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D8</v>
      </c>
      <c r="D26" t="str">
        <v>U24/U40 polos</v>
      </c>
      <c r="E26">
        <v>56.8307686140896</v>
      </c>
      <c r="F26" t="str">
        <v>kg</v>
      </c>
      <c r="G26" t="str">
        <v>per m3 beton</v>
      </c>
      <c r="H26">
        <v>10300</v>
      </c>
      <c r="I26">
        <v>56.8307686140896</v>
      </c>
      <c r="J26">
        <v>585356.9167251228</v>
      </c>
      <c r="K26">
        <v>8.506713600000001</v>
      </c>
      <c r="L26">
        <v>87619.15008</v>
      </c>
    </row>
    <row r="27">
      <c r="A27" t="str">
        <v/>
      </c>
      <c r="B27" t="str">
        <v/>
      </c>
      <c r="C27" t="str">
        <v>Besi beton D13</v>
      </c>
      <c r="D27" t="str">
        <v>U24/U40 polos</v>
      </c>
      <c r="E27">
        <v>99.08992123459265</v>
      </c>
      <c r="F27" t="str">
        <v>kg</v>
      </c>
      <c r="G27" t="str">
        <v>per m3 beton</v>
      </c>
      <c r="H27">
        <v>10300</v>
      </c>
      <c r="I27">
        <v>99.08992123459265</v>
      </c>
      <c r="J27">
        <v>1020626.1887163043</v>
      </c>
      <c r="K27">
        <v>14.83227486</v>
      </c>
      <c r="L27">
        <v>152772.431058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7.79603449243412</v>
      </c>
      <c r="J28">
        <v>80299.15527207144</v>
      </c>
      <c r="K28">
        <v>1.166949423000001</v>
      </c>
      <c r="L28">
        <v>12019.579056900013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155.92068984868226</v>
      </c>
      <c r="J29">
        <v>15592.068984868225</v>
      </c>
      <c r="K29">
        <v>23.338988460000003</v>
      </c>
      <c r="L29">
        <v>2333.898846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3.2743344868223274</v>
      </c>
      <c r="J30">
        <v>57300.85351939073</v>
      </c>
      <c r="K30">
        <v>0.49011875766</v>
      </c>
      <c r="L30">
        <v>8577.07825905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9211015.862230103</v>
      </c>
      <c r="J32" t="str">
        <v/>
      </c>
      <c r="K32" t="str">
        <v/>
      </c>
      <c r="L32">
        <v>1378750.909337913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9211015.862230103</v>
      </c>
    </row>
    <row r="36">
      <c r="A36" t="str">
        <v>RAB (A) source unit cost</v>
      </c>
      <c r="B36">
        <v>9211015.862230103</v>
      </c>
    </row>
    <row r="37">
      <c r="A37" t="str">
        <v>Variance</v>
      </c>
      <c r="B37">
        <v>0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1378750.909337913</v>
      </c>
    </row>
    <row r="40">
      <c r="A40" t="str">
        <v>RAB (A) source line total</v>
      </c>
      <c r="B40">
        <v>1571776.0366452204</v>
      </c>
    </row>
    <row r="41">
      <c r="A41" t="str">
        <v>Variance</v>
      </c>
      <c r="B41">
        <v>-193025.12730730744</v>
      </c>
      <c r="C41" t="str">
        <v>✓ OK</v>
      </c>
    </row>
  </sheetData>
  <ignoredErrors>
    <ignoredError numberStoredAsText="1" sqref="A1:L41"/>
  </ignoredErrors>
</worksheet>
</file>

<file path=xl/worksheets/sheet137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V.A.2.2 - Balok B175-1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B175-1</v>
      </c>
    </row>
    <row r="5">
      <c r="A5" t="str">
        <v>Unit</v>
      </c>
      <c r="B5" t="str">
        <v>m3</v>
      </c>
    </row>
    <row r="6">
      <c r="A6" t="str">
        <v>Volume</v>
      </c>
      <c r="B6">
        <v>0.4505</v>
      </c>
    </row>
    <row r="7">
      <c r="A7" t="str">
        <v>Unit cost (Rp/m3)</v>
      </c>
      <c r="B7">
        <v>8691088.997335775</v>
      </c>
    </row>
    <row r="8">
      <c r="A8" t="str">
        <v>Line total at-cost (Rp)</v>
      </c>
      <c r="B8">
        <v>3915335.5932997665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0.47302500000000003</v>
      </c>
      <c r="L12">
        <v>480427.8412500001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0.4505</v>
      </c>
      <c r="L14">
        <v>33787.5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0.4505</v>
      </c>
      <c r="L16">
        <v>788375</v>
      </c>
    </row>
    <row r="17">
      <c r="A17">
        <v>4</v>
      </c>
      <c r="B17" t="str">
        <v>BEKISTING BALOK (Material) — ratio 13.76470588235294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6.88235294117647</v>
      </c>
      <c r="J18">
        <v>1376470.588235294</v>
      </c>
      <c r="K18">
        <v>3.1005</v>
      </c>
      <c r="L18">
        <v>620100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30.970588235294116</v>
      </c>
      <c r="J19">
        <v>1474200</v>
      </c>
      <c r="K19">
        <v>13.95225</v>
      </c>
      <c r="L19">
        <v>664127.1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10.323529411764705</v>
      </c>
      <c r="J20">
        <v>491399.99999999994</v>
      </c>
      <c r="K20">
        <v>4.6507499999999995</v>
      </c>
      <c r="L20">
        <v>221375.69999999998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5.161764705882352</v>
      </c>
      <c r="J21">
        <v>67102.94117647059</v>
      </c>
      <c r="K21">
        <v>2.3253749999999997</v>
      </c>
      <c r="L21">
        <v>30229.875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1.7205882352941175</v>
      </c>
      <c r="J22">
        <v>47316.17647058823</v>
      </c>
      <c r="K22">
        <v>0.775125</v>
      </c>
      <c r="L22">
        <v>21315.9375</v>
      </c>
    </row>
    <row r="23">
      <c r="A23">
        <v>5</v>
      </c>
      <c r="B23" t="str">
        <v>BEKISTING BALOK PERALATAN (Material) — Perancah, ratio 13.76470588235294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3.441176470588235</v>
      </c>
      <c r="J24">
        <v>701181.1274509802</v>
      </c>
      <c r="K24">
        <v>1.55025</v>
      </c>
      <c r="L24">
        <v>315882.0979166666</v>
      </c>
    </row>
    <row r="25">
      <c r="A25">
        <v>6</v>
      </c>
      <c r="B25" t="str">
        <v>PEMBESIAN (Material) — ratio 145.53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D10</v>
      </c>
      <c r="D26" t="str">
        <v>U24/U40 polos</v>
      </c>
      <c r="E26">
        <v>93.61768035516091</v>
      </c>
      <c r="F26" t="str">
        <v>kg</v>
      </c>
      <c r="G26" t="str">
        <v>per m3 beton</v>
      </c>
      <c r="H26">
        <v>10300</v>
      </c>
      <c r="I26">
        <v>93.61768035516091</v>
      </c>
      <c r="J26">
        <v>964262.1076581574</v>
      </c>
      <c r="K26">
        <v>42.174764999999994</v>
      </c>
      <c r="L26">
        <v>434400.0794999999</v>
      </c>
    </row>
    <row r="27">
      <c r="A27" t="str">
        <v/>
      </c>
      <c r="B27" t="str">
        <v/>
      </c>
      <c r="C27" t="str">
        <v>Besi beton D13</v>
      </c>
      <c r="D27" t="str">
        <v>U24/U40 polos</v>
      </c>
      <c r="E27">
        <v>51.916169766925634</v>
      </c>
      <c r="F27" t="str">
        <v>kg</v>
      </c>
      <c r="G27" t="str">
        <v>per m3 beton</v>
      </c>
      <c r="H27">
        <v>10300</v>
      </c>
      <c r="I27">
        <v>51.916169766925634</v>
      </c>
      <c r="J27">
        <v>534736.5485993341</v>
      </c>
      <c r="K27">
        <v>23.388234479999998</v>
      </c>
      <c r="L27">
        <v>240898.81514400002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7.276692506104334</v>
      </c>
      <c r="J28">
        <v>74949.93281287464</v>
      </c>
      <c r="K28">
        <v>3.2781499740000024</v>
      </c>
      <c r="L28">
        <v>33764.94473220003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145.53385012208656</v>
      </c>
      <c r="J29">
        <v>14553.385012208657</v>
      </c>
      <c r="K29">
        <v>65.56299948</v>
      </c>
      <c r="L29">
        <v>6556.299948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3.056210852563818</v>
      </c>
      <c r="J30">
        <v>53483.68991986681</v>
      </c>
      <c r="K30">
        <v>1.37682298908</v>
      </c>
      <c r="L30">
        <v>24094.4023089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8691088.997335775</v>
      </c>
      <c r="J32" t="str">
        <v/>
      </c>
      <c r="K32" t="str">
        <v/>
      </c>
      <c r="L32">
        <v>3915335.5932997665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8691088.997335775</v>
      </c>
    </row>
    <row r="36">
      <c r="A36" t="str">
        <v>RAB (A) source unit cost</v>
      </c>
      <c r="B36">
        <v>8691088.997335775</v>
      </c>
    </row>
    <row r="37">
      <c r="A37" t="str">
        <v>Variance</v>
      </c>
      <c r="B37">
        <v>0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3915335.5932997665</v>
      </c>
    </row>
    <row r="40">
      <c r="A40" t="str">
        <v>RAB (A) source line total</v>
      </c>
      <c r="B40">
        <v>4463482.5763617335</v>
      </c>
    </row>
    <row r="41">
      <c r="A41" t="str">
        <v>Variance</v>
      </c>
      <c r="B41">
        <v>-548146.983061967</v>
      </c>
      <c r="C41" t="str">
        <v>✓ OK</v>
      </c>
    </row>
  </sheetData>
  <ignoredErrors>
    <ignoredError numberStoredAsText="1" sqref="A1:L41"/>
  </ignoredErrors>
</worksheet>
</file>

<file path=xl/worksheets/sheet138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V.A.2.3 - Balok B175-2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B175-2</v>
      </c>
    </row>
    <row r="5">
      <c r="A5" t="str">
        <v>Unit</v>
      </c>
      <c r="B5" t="str">
        <v>m3</v>
      </c>
    </row>
    <row r="6">
      <c r="A6" t="str">
        <v>Volume</v>
      </c>
      <c r="B6">
        <v>0.85</v>
      </c>
    </row>
    <row r="7">
      <c r="A7" t="str">
        <v>Unit cost (Rp/m3)</v>
      </c>
      <c r="B7">
        <v>9166273.723787805</v>
      </c>
    </row>
    <row r="8">
      <c r="A8" t="str">
        <v>Line total at-cost (Rp)</v>
      </c>
      <c r="B8">
        <v>7791332.665219634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0.8925</v>
      </c>
      <c r="L12">
        <v>906467.6250000001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0.85</v>
      </c>
      <c r="L14">
        <v>63750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0.85</v>
      </c>
      <c r="L16">
        <v>1487500</v>
      </c>
    </row>
    <row r="17">
      <c r="A17">
        <v>4</v>
      </c>
      <c r="B17" t="str">
        <v>BEKISTING BALOK (Material) — ratio 13.76470588235294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6.88235294117647</v>
      </c>
      <c r="J18">
        <v>1376470.588235294</v>
      </c>
      <c r="K18">
        <v>5.85</v>
      </c>
      <c r="L18">
        <v>1169999.9999999998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30.970588235294116</v>
      </c>
      <c r="J19">
        <v>1474200</v>
      </c>
      <c r="K19">
        <v>26.325</v>
      </c>
      <c r="L19">
        <v>1253070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10.323529411764705</v>
      </c>
      <c r="J20">
        <v>491399.99999999994</v>
      </c>
      <c r="K20">
        <v>8.774999999999999</v>
      </c>
      <c r="L20">
        <v>417689.99999999994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5.161764705882352</v>
      </c>
      <c r="J21">
        <v>67102.94117647059</v>
      </c>
      <c r="K21">
        <v>4.387499999999999</v>
      </c>
      <c r="L21">
        <v>57037.5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1.7205882352941175</v>
      </c>
      <c r="J22">
        <v>47316.17647058823</v>
      </c>
      <c r="K22">
        <v>1.4625</v>
      </c>
      <c r="L22">
        <v>40218.74999999999</v>
      </c>
    </row>
    <row r="23">
      <c r="A23">
        <v>5</v>
      </c>
      <c r="B23" t="str">
        <v>BEKISTING BALOK PERALATAN (Material) — Perancah, ratio 13.76470588235294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3.441176470588235</v>
      </c>
      <c r="J24">
        <v>701181.1274509802</v>
      </c>
      <c r="K24">
        <v>2.925</v>
      </c>
      <c r="L24">
        <v>596003.9583333331</v>
      </c>
    </row>
    <row r="25">
      <c r="A25">
        <v>6</v>
      </c>
      <c r="B25" t="str">
        <v>PEMBESIAN (Material) — ratio 187.65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D10</v>
      </c>
      <c r="D26" t="str">
        <v>U24/U40 polos</v>
      </c>
      <c r="E26">
        <v>94.12141764705883</v>
      </c>
      <c r="F26" t="str">
        <v>kg</v>
      </c>
      <c r="G26" t="str">
        <v>per m3 beton</v>
      </c>
      <c r="H26">
        <v>10300</v>
      </c>
      <c r="I26">
        <v>94.12141764705883</v>
      </c>
      <c r="J26">
        <v>969450.601764706</v>
      </c>
      <c r="K26">
        <v>80.00320500000001</v>
      </c>
      <c r="L26">
        <v>824033.0115</v>
      </c>
    </row>
    <row r="27">
      <c r="A27" t="str">
        <v/>
      </c>
      <c r="B27" t="str">
        <v/>
      </c>
      <c r="C27" t="str">
        <v>Besi beton D13</v>
      </c>
      <c r="D27" t="str">
        <v>U24/U40 polos</v>
      </c>
      <c r="E27">
        <v>93.52940357647059</v>
      </c>
      <c r="F27" t="str">
        <v>kg</v>
      </c>
      <c r="G27" t="str">
        <v>per m3 beton</v>
      </c>
      <c r="H27">
        <v>10300</v>
      </c>
      <c r="I27">
        <v>93.52940357647059</v>
      </c>
      <c r="J27">
        <v>963352.856837647</v>
      </c>
      <c r="K27">
        <v>79.49999303999999</v>
      </c>
      <c r="L27">
        <v>818849.928312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9.382541061176479</v>
      </c>
      <c r="J28">
        <v>96640.17293011773</v>
      </c>
      <c r="K28">
        <v>7.975159902000007</v>
      </c>
      <c r="L28">
        <v>82144.14699060007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187.65082122352942</v>
      </c>
      <c r="J29">
        <v>18765.082122352942</v>
      </c>
      <c r="K29">
        <v>159.50319804</v>
      </c>
      <c r="L29">
        <v>15950.319804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3.940667245694118</v>
      </c>
      <c r="J30">
        <v>68961.67679964706</v>
      </c>
      <c r="K30">
        <v>3.3495671588400002</v>
      </c>
      <c r="L30">
        <v>58617.4252797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9166273.723787805</v>
      </c>
      <c r="J32" t="str">
        <v/>
      </c>
      <c r="K32" t="str">
        <v/>
      </c>
      <c r="L32">
        <v>7791332.665219634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9166273.723787805</v>
      </c>
    </row>
    <row r="36">
      <c r="A36" t="str">
        <v>RAB (A) source unit cost</v>
      </c>
      <c r="B36">
        <v>9166273.723787803</v>
      </c>
    </row>
    <row r="37">
      <c r="A37" t="str">
        <v>Variance</v>
      </c>
      <c r="B37">
        <v>1.862645149230957e-9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7791332.665219634</v>
      </c>
    </row>
    <row r="40">
      <c r="A40" t="str">
        <v>RAB (A) source line total</v>
      </c>
      <c r="B40">
        <v>8882119.23835038</v>
      </c>
    </row>
    <row r="41">
      <c r="A41" t="str">
        <v>Variance</v>
      </c>
      <c r="B41">
        <v>-1090786.5731307464</v>
      </c>
      <c r="C41" t="str">
        <v>✓ OK</v>
      </c>
    </row>
  </sheetData>
  <ignoredErrors>
    <ignoredError numberStoredAsText="1" sqref="A1:L41"/>
  </ignoredErrors>
</worksheet>
</file>

<file path=xl/worksheets/sheet139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V.A.2.4 - Balok B23-1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B23-1</v>
      </c>
    </row>
    <row r="5">
      <c r="A5" t="str">
        <v>Unit</v>
      </c>
      <c r="B5" t="str">
        <v>m3</v>
      </c>
    </row>
    <row r="6">
      <c r="A6" t="str">
        <v>Volume</v>
      </c>
      <c r="B6">
        <v>0.2938</v>
      </c>
    </row>
    <row r="7">
      <c r="A7" t="str">
        <v>Unit cost (Rp/m3)</v>
      </c>
      <c r="B7">
        <v>10334795.677784158</v>
      </c>
    </row>
    <row r="8">
      <c r="A8" t="str">
        <v>Line total at-cost (Rp)</v>
      </c>
      <c r="B8">
        <v>3036362.9701329856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0.30849000000000004</v>
      </c>
      <c r="L12">
        <v>313317.8685000001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0.2938</v>
      </c>
      <c r="L14">
        <v>22035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0.2938</v>
      </c>
      <c r="L16">
        <v>514150</v>
      </c>
    </row>
    <row r="17">
      <c r="A17">
        <v>4</v>
      </c>
      <c r="B17" t="str">
        <v>BEKISTING BALOK (Material) — ratio 16.05854322668482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8.02927161334241</v>
      </c>
      <c r="J18">
        <v>1605854.3226684819</v>
      </c>
      <c r="K18">
        <v>2.359</v>
      </c>
      <c r="L18">
        <v>471800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36.131722260040846</v>
      </c>
      <c r="J19">
        <v>1719869.9795779441</v>
      </c>
      <c r="K19">
        <v>10.6155</v>
      </c>
      <c r="L19">
        <v>505297.8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12.043907420013614</v>
      </c>
      <c r="J20">
        <v>573289.993192648</v>
      </c>
      <c r="K20">
        <v>3.5385</v>
      </c>
      <c r="L20">
        <v>168432.6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6.021953710006807</v>
      </c>
      <c r="J21">
        <v>78285.3982300885</v>
      </c>
      <c r="K21">
        <v>1.76925</v>
      </c>
      <c r="L21">
        <v>23000.25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2.0073179033356023</v>
      </c>
      <c r="J22">
        <v>55201.24234172906</v>
      </c>
      <c r="K22">
        <v>0.58975</v>
      </c>
      <c r="L22">
        <v>16218.124999999998</v>
      </c>
    </row>
    <row r="23">
      <c r="A23">
        <v>5</v>
      </c>
      <c r="B23" t="str">
        <v>BEKISTING BALOK PERALATAN (Material) — Perancah, ratio 16.05854322668482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4.014635806671205</v>
      </c>
      <c r="J24">
        <v>818030.369929153</v>
      </c>
      <c r="K24">
        <v>1.1795</v>
      </c>
      <c r="L24">
        <v>240337.32268518515</v>
      </c>
    </row>
    <row r="25">
      <c r="A25">
        <v>6</v>
      </c>
      <c r="B25" t="str">
        <v>PEMBESIAN (Material) — ratio 229.81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D8</v>
      </c>
      <c r="D26" t="str">
        <v>U24/U40 polos</v>
      </c>
      <c r="E26">
        <v>90.28682368958474</v>
      </c>
      <c r="F26" t="str">
        <v>kg</v>
      </c>
      <c r="G26" t="str">
        <v>per m3 beton</v>
      </c>
      <c r="H26">
        <v>10300</v>
      </c>
      <c r="I26">
        <v>90.28682368958474</v>
      </c>
      <c r="J26">
        <v>929954.2840027228</v>
      </c>
      <c r="K26">
        <v>26.526268799999997</v>
      </c>
      <c r="L26">
        <v>273220.56863999995</v>
      </c>
    </row>
    <row r="27">
      <c r="A27" t="str">
        <v/>
      </c>
      <c r="B27" t="str">
        <v/>
      </c>
      <c r="C27" t="str">
        <v>Besi beton D13</v>
      </c>
      <c r="D27" t="str">
        <v>U24/U40 polos</v>
      </c>
      <c r="E27">
        <v>139.52322477876103</v>
      </c>
      <c r="F27" t="str">
        <v>kg</v>
      </c>
      <c r="G27" t="str">
        <v>per m3 beton</v>
      </c>
      <c r="H27">
        <v>10300</v>
      </c>
      <c r="I27">
        <v>139.52322477876103</v>
      </c>
      <c r="J27">
        <v>1437089.2152212386</v>
      </c>
      <c r="K27">
        <v>40.991923439999994</v>
      </c>
      <c r="L27">
        <v>422216.8114319999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11.490502423417299</v>
      </c>
      <c r="J28">
        <v>118352.17496119818</v>
      </c>
      <c r="K28">
        <v>3.3759096120000023</v>
      </c>
      <c r="L28">
        <v>34771.869003600026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229.81004846834577</v>
      </c>
      <c r="J29">
        <v>22981.004846834578</v>
      </c>
      <c r="K29">
        <v>67.51819223999999</v>
      </c>
      <c r="L29">
        <v>6751.819223999999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4.8260110178352615</v>
      </c>
      <c r="J30">
        <v>84455.19281211708</v>
      </c>
      <c r="K30">
        <v>1.4178820370399998</v>
      </c>
      <c r="L30">
        <v>24812.935648199997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10334795.677784158</v>
      </c>
      <c r="J32" t="str">
        <v/>
      </c>
      <c r="K32" t="str">
        <v/>
      </c>
      <c r="L32">
        <v>3036362.9701329856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10334795.677784158</v>
      </c>
    </row>
    <row r="36">
      <c r="A36" t="str">
        <v>RAB (A) source unit cost</v>
      </c>
      <c r="B36">
        <v>10334795.677784156</v>
      </c>
    </row>
    <row r="37">
      <c r="A37" t="str">
        <v>Variance</v>
      </c>
      <c r="B37">
        <v>1.862645149230957e-9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3036362.9701329856</v>
      </c>
    </row>
    <row r="40">
      <c r="A40" t="str">
        <v>RAB (A) source line total</v>
      </c>
      <c r="B40">
        <v>3461453.7859516027</v>
      </c>
    </row>
    <row r="41">
      <c r="A41" t="str">
        <v>Variance</v>
      </c>
      <c r="B41">
        <v>-425090.8158186171</v>
      </c>
      <c r="C41" t="str">
        <v>✓ OK</v>
      </c>
    </row>
  </sheetData>
  <ignoredErrors>
    <ignoredError numberStoredAsText="1" sqref="A1:L41"/>
  </ignoredErrors>
</worksheet>
</file>

<file path=xl/worksheets/sheet140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V.A.2.5 - Balok B24-1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B24-1</v>
      </c>
    </row>
    <row r="5">
      <c r="A5" t="str">
        <v>Unit</v>
      </c>
      <c r="B5" t="str">
        <v>m3</v>
      </c>
    </row>
    <row r="6">
      <c r="A6" t="str">
        <v>Volume</v>
      </c>
      <c r="B6">
        <v>0.7371</v>
      </c>
    </row>
    <row r="7">
      <c r="A7" t="str">
        <v>Unit cost (Rp/m3)</v>
      </c>
      <c r="B7">
        <v>8753624.269643573</v>
      </c>
    </row>
    <row r="8">
      <c r="A8" t="str">
        <v>Line total at-cost (Rp)</v>
      </c>
      <c r="B8">
        <v>6452296.449154277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0.7739550000000001</v>
      </c>
      <c r="L12">
        <v>786067.3957500001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0.7371</v>
      </c>
      <c r="L14">
        <v>55282.5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0.7371</v>
      </c>
      <c r="L16">
        <v>1289925</v>
      </c>
    </row>
    <row r="17">
      <c r="A17">
        <v>4</v>
      </c>
      <c r="B17" t="str">
        <v>BEKISTING BALOK (Material) — ratio 13.703703703703702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6.851851851851851</v>
      </c>
      <c r="J18">
        <v>1370370.3703703703</v>
      </c>
      <c r="K18">
        <v>5.0504999999999995</v>
      </c>
      <c r="L18">
        <v>1010100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30.83333333333333</v>
      </c>
      <c r="J19">
        <v>1467666.6666666665</v>
      </c>
      <c r="K19">
        <v>22.727249999999994</v>
      </c>
      <c r="L19">
        <v>1081817.0999999999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10.277777777777777</v>
      </c>
      <c r="J20">
        <v>489222.2222222222</v>
      </c>
      <c r="K20">
        <v>7.575749999999999</v>
      </c>
      <c r="L20">
        <v>360605.69999999995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5.138888888888888</v>
      </c>
      <c r="J21">
        <v>66805.55555555555</v>
      </c>
      <c r="K21">
        <v>3.7878749999999997</v>
      </c>
      <c r="L21">
        <v>49242.37499999999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1.7129629629629628</v>
      </c>
      <c r="J22">
        <v>47106.481481481474</v>
      </c>
      <c r="K22">
        <v>1.2626249999999999</v>
      </c>
      <c r="L22">
        <v>34722.18749999999</v>
      </c>
    </row>
    <row r="23">
      <c r="A23">
        <v>5</v>
      </c>
      <c r="B23" t="str">
        <v>BEKISTING BALOK PERALATAN (Material) — Perancah, ratio 13.703703703703702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3.4259259259259256</v>
      </c>
      <c r="J24">
        <v>698073.6454046638</v>
      </c>
      <c r="K24">
        <v>2.5252499999999998</v>
      </c>
      <c r="L24">
        <v>514550.08402777766</v>
      </c>
    </row>
    <row r="25">
      <c r="A25">
        <v>6</v>
      </c>
      <c r="B25" t="str">
        <v>PEMBESIAN (Material) — ratio 152.71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D8</v>
      </c>
      <c r="D26" t="str">
        <v>U24/U40 polos</v>
      </c>
      <c r="E26">
        <v>66.71281074481075</v>
      </c>
      <c r="F26" t="str">
        <v>kg</v>
      </c>
      <c r="G26" t="str">
        <v>per m3 beton</v>
      </c>
      <c r="H26">
        <v>10300</v>
      </c>
      <c r="I26">
        <v>66.71281074481075</v>
      </c>
      <c r="J26">
        <v>687141.9506715507</v>
      </c>
      <c r="K26">
        <v>49.17401280000001</v>
      </c>
      <c r="L26">
        <v>506492.33184</v>
      </c>
    </row>
    <row r="27">
      <c r="A27" t="str">
        <v/>
      </c>
      <c r="B27" t="str">
        <v/>
      </c>
      <c r="C27" t="str">
        <v>Besi beton D13</v>
      </c>
      <c r="D27" t="str">
        <v>U24/U40 polos</v>
      </c>
      <c r="E27">
        <v>85.99685714285714</v>
      </c>
      <c r="F27" t="str">
        <v>kg</v>
      </c>
      <c r="G27" t="str">
        <v>per m3 beton</v>
      </c>
      <c r="H27">
        <v>10300</v>
      </c>
      <c r="I27">
        <v>85.99685714285714</v>
      </c>
      <c r="J27">
        <v>885767.6285714285</v>
      </c>
      <c r="K27">
        <v>63.38828339999999</v>
      </c>
      <c r="L27">
        <v>652899.3190199999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7.6354833943834</v>
      </c>
      <c r="J28">
        <v>78645.47896214902</v>
      </c>
      <c r="K28">
        <v>5.628114810000004</v>
      </c>
      <c r="L28">
        <v>57969.58254300004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152.70966788766788</v>
      </c>
      <c r="J29">
        <v>15270.966788766787</v>
      </c>
      <c r="K29">
        <v>112.56229619999999</v>
      </c>
      <c r="L29">
        <v>11256.229619999998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3.206903025641026</v>
      </c>
      <c r="J30">
        <v>56120.80294871795</v>
      </c>
      <c r="K30">
        <v>2.3638082202</v>
      </c>
      <c r="L30">
        <v>41366.6438535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8753624.269643573</v>
      </c>
      <c r="J32" t="str">
        <v/>
      </c>
      <c r="K32" t="str">
        <v/>
      </c>
      <c r="L32">
        <v>6452296.449154277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8753624.269643573</v>
      </c>
    </row>
    <row r="36">
      <c r="A36" t="str">
        <v>RAB (A) source unit cost</v>
      </c>
      <c r="B36">
        <v>8753624.269643573</v>
      </c>
    </row>
    <row r="37">
      <c r="A37" t="str">
        <v>Variance</v>
      </c>
      <c r="B37">
        <v>0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6452296.449154277</v>
      </c>
    </row>
    <row r="40">
      <c r="A40" t="str">
        <v>RAB (A) source line total</v>
      </c>
      <c r="B40">
        <v>7355617.952035876</v>
      </c>
    </row>
    <row r="41">
      <c r="A41" t="str">
        <v>Variance</v>
      </c>
      <c r="B41">
        <v>-903321.5028815987</v>
      </c>
      <c r="C41" t="str">
        <v>✓ OK</v>
      </c>
    </row>
  </sheetData>
  <ignoredErrors>
    <ignoredError numberStoredAsText="1" sqref="A1:L41"/>
  </ignoredErrors>
</worksheet>
</file>

<file path=xl/worksheets/sheet141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V.A.2.6 - Balok CL24-1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CL24-1</v>
      </c>
    </row>
    <row r="5">
      <c r="A5" t="str">
        <v>Unit</v>
      </c>
      <c r="B5" t="str">
        <v>m3</v>
      </c>
    </row>
    <row r="6">
      <c r="A6" t="str">
        <v>Volume</v>
      </c>
      <c r="B6">
        <v>0.1458</v>
      </c>
    </row>
    <row r="7">
      <c r="A7" t="str">
        <v>Unit cost (Rp/m3)</v>
      </c>
      <c r="B7">
        <v>9417089.43972565</v>
      </c>
    </row>
    <row r="8">
      <c r="A8" t="str">
        <v>Line total at-cost (Rp)</v>
      </c>
      <c r="B8">
        <v>1373011.640312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0.15309000000000003</v>
      </c>
      <c r="L12">
        <v>155485.85850000006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0.1458</v>
      </c>
      <c r="L14">
        <v>10935.000000000002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0.1458</v>
      </c>
      <c r="L16">
        <v>255150.00000000003</v>
      </c>
    </row>
    <row r="17">
      <c r="A17">
        <v>4</v>
      </c>
      <c r="B17" t="str">
        <v>BEKISTING BALOK (Material) — ratio 13.703703703703702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6.851851851851851</v>
      </c>
      <c r="J18">
        <v>1370370.3703703703</v>
      </c>
      <c r="K18">
        <v>0.999</v>
      </c>
      <c r="L18">
        <v>199800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30.83333333333333</v>
      </c>
      <c r="J19">
        <v>1467666.6666666665</v>
      </c>
      <c r="K19">
        <v>4.4955</v>
      </c>
      <c r="L19">
        <v>213985.8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10.277777777777777</v>
      </c>
      <c r="J20">
        <v>489222.2222222222</v>
      </c>
      <c r="K20">
        <v>1.4985</v>
      </c>
      <c r="L20">
        <v>71328.6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5.138888888888888</v>
      </c>
      <c r="J21">
        <v>66805.55555555555</v>
      </c>
      <c r="K21">
        <v>0.74925</v>
      </c>
      <c r="L21">
        <v>9740.25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1.7129629629629628</v>
      </c>
      <c r="J22">
        <v>47106.481481481474</v>
      </c>
      <c r="K22">
        <v>0.24975</v>
      </c>
      <c r="L22">
        <v>6868.125</v>
      </c>
    </row>
    <row r="23">
      <c r="A23">
        <v>5</v>
      </c>
      <c r="B23" t="str">
        <v>BEKISTING BALOK PERALATAN (Material) — Perancah, ratio 13.703703703703702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3.4259259259259256</v>
      </c>
      <c r="J24">
        <v>698073.6454046638</v>
      </c>
      <c r="K24">
        <v>0.4995</v>
      </c>
      <c r="L24">
        <v>101779.13749999998</v>
      </c>
    </row>
    <row r="25">
      <c r="A25">
        <v>6</v>
      </c>
      <c r="B25" t="str">
        <v>PEMBESIAN (Material) — ratio 211.51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D8</v>
      </c>
      <c r="D26" t="str">
        <v>U24/U40 polos</v>
      </c>
      <c r="E26">
        <v>44.59772839506173</v>
      </c>
      <c r="F26" t="str">
        <v>kg</v>
      </c>
      <c r="G26" t="str">
        <v>per m3 beton</v>
      </c>
      <c r="H26">
        <v>10300</v>
      </c>
      <c r="I26">
        <v>44.59772839506173</v>
      </c>
      <c r="J26">
        <v>459356.60246913583</v>
      </c>
      <c r="K26">
        <v>6.502348800000001</v>
      </c>
      <c r="L26">
        <v>66974.19264000001</v>
      </c>
    </row>
    <row r="27">
      <c r="A27" t="str">
        <v/>
      </c>
      <c r="B27" t="str">
        <v/>
      </c>
      <c r="C27" t="str">
        <v>Besi beton D16</v>
      </c>
      <c r="D27" t="str">
        <v>U24/U40 polos</v>
      </c>
      <c r="E27">
        <v>166.91674074074075</v>
      </c>
      <c r="F27" t="str">
        <v>kg</v>
      </c>
      <c r="G27" t="str">
        <v>per m3 beton</v>
      </c>
      <c r="H27">
        <v>10300</v>
      </c>
      <c r="I27">
        <v>166.91674074074075</v>
      </c>
      <c r="J27">
        <v>1719242.4296296297</v>
      </c>
      <c r="K27">
        <v>24.336460800000005</v>
      </c>
      <c r="L27">
        <v>250665.54624000003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10.575723456790133</v>
      </c>
      <c r="J28">
        <v>108929.95160493837</v>
      </c>
      <c r="K28">
        <v>1.5419404800000016</v>
      </c>
      <c r="L28">
        <v>15881.986944000015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211.51446913580247</v>
      </c>
      <c r="J29">
        <v>21151.446913580246</v>
      </c>
      <c r="K29">
        <v>30.838809600000005</v>
      </c>
      <c r="L29">
        <v>3083.8809600000004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4.441803851851852</v>
      </c>
      <c r="J30">
        <v>77731.56740740742</v>
      </c>
      <c r="K30">
        <v>0.6476150016000001</v>
      </c>
      <c r="L30">
        <v>11333.262528000003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9417089.43972565</v>
      </c>
      <c r="J32" t="str">
        <v/>
      </c>
      <c r="K32" t="str">
        <v/>
      </c>
      <c r="L32">
        <v>1373011.640312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9417089.43972565</v>
      </c>
    </row>
    <row r="36">
      <c r="A36" t="str">
        <v>RAB (A) source unit cost</v>
      </c>
      <c r="B36">
        <v>9417089.43972565</v>
      </c>
    </row>
    <row r="37">
      <c r="A37" t="str">
        <v>Variance</v>
      </c>
      <c r="B37">
        <v>0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1373011.640312</v>
      </c>
    </row>
    <row r="40">
      <c r="A40" t="str">
        <v>RAB (A) source line total</v>
      </c>
      <c r="B40">
        <v>1565233.26995568</v>
      </c>
    </row>
    <row r="41">
      <c r="A41" t="str">
        <v>Variance</v>
      </c>
      <c r="B41">
        <v>-192221.62964368006</v>
      </c>
      <c r="C41" t="str">
        <v>✓ OK</v>
      </c>
    </row>
  </sheetData>
  <ignoredErrors>
    <ignoredError numberStoredAsText="1" sqref="A1:L41"/>
  </ignoredErrors>
</worksheet>
</file>

<file path=xl/worksheets/sheet142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V.A.2.7 - Balok B245-1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B245-1</v>
      </c>
    </row>
    <row r="5">
      <c r="A5" t="str">
        <v>Unit</v>
      </c>
      <c r="B5" t="str">
        <v>m3</v>
      </c>
    </row>
    <row r="6">
      <c r="A6" t="str">
        <v>Volume</v>
      </c>
      <c r="B6">
        <v>3.09731</v>
      </c>
    </row>
    <row r="7">
      <c r="A7" t="str">
        <v>Unit cost (Rp/m3)</v>
      </c>
      <c r="B7">
        <v>7937796.1009603795</v>
      </c>
    </row>
    <row r="8">
      <c r="A8" t="str">
        <v>Line total at-cost (Rp)</v>
      </c>
      <c r="B8">
        <v>24585815.24146559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3.2521755</v>
      </c>
      <c r="L12">
        <v>3303072.0465750005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3.09731</v>
      </c>
      <c r="L14">
        <v>232298.24999999997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3.09731</v>
      </c>
      <c r="L16">
        <v>5420292.5</v>
      </c>
    </row>
    <row r="17">
      <c r="A17">
        <v>4</v>
      </c>
      <c r="B17" t="str">
        <v>BEKISTING BALOK (Material) — ratio 12.539623092296218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6.269811546148109</v>
      </c>
      <c r="J18">
        <v>1253962.3092296217</v>
      </c>
      <c r="K18">
        <v>19.419549999999997</v>
      </c>
      <c r="L18">
        <v>3883909.999999999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28.214151957666488</v>
      </c>
      <c r="J19">
        <v>1342993.6331849247</v>
      </c>
      <c r="K19">
        <v>87.38797499999998</v>
      </c>
      <c r="L19">
        <v>4159667.609999999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9.404717319222163</v>
      </c>
      <c r="J20">
        <v>447664.54439497495</v>
      </c>
      <c r="K20">
        <v>29.129324999999994</v>
      </c>
      <c r="L20">
        <v>1386555.8699999996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4.702358659611082</v>
      </c>
      <c r="J21">
        <v>61130.66257494406</v>
      </c>
      <c r="K21">
        <v>14.564662499999997</v>
      </c>
      <c r="L21">
        <v>189340.61249999996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1.5674528865370272</v>
      </c>
      <c r="J22">
        <v>43104.95437976825</v>
      </c>
      <c r="K22">
        <v>4.854887499999999</v>
      </c>
      <c r="L22">
        <v>133509.40625</v>
      </c>
    </row>
    <row r="23">
      <c r="A23">
        <v>5</v>
      </c>
      <c r="B23" t="str">
        <v>BEKISTING BALOK PERALATAN (Material) — Perancah, ratio 12.539623092296218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3.1349057730740544</v>
      </c>
      <c r="J24">
        <v>638774.7862407366</v>
      </c>
      <c r="K24">
        <v>9.709774999999999</v>
      </c>
      <c r="L24">
        <v>1978483.5331712957</v>
      </c>
    </row>
    <row r="25">
      <c r="A25">
        <v>6</v>
      </c>
      <c r="B25" t="str">
        <v>PEMBESIAN (Material) — ratio 111.57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D8</v>
      </c>
      <c r="D26" t="str">
        <v>U24/U40 polos</v>
      </c>
      <c r="E26">
        <v>55.7064997949834</v>
      </c>
      <c r="F26" t="str">
        <v>kg</v>
      </c>
      <c r="G26" t="str">
        <v>per m3 beton</v>
      </c>
      <c r="H26">
        <v>10300</v>
      </c>
      <c r="I26">
        <v>55.7064997949834</v>
      </c>
      <c r="J26">
        <v>573776.947888329</v>
      </c>
      <c r="K26">
        <v>172.54029888000002</v>
      </c>
      <c r="L26">
        <v>1777165.0784640003</v>
      </c>
    </row>
    <row r="27">
      <c r="A27" t="str">
        <v/>
      </c>
      <c r="B27" t="str">
        <v/>
      </c>
      <c r="C27" t="str">
        <v>Besi beton D13</v>
      </c>
      <c r="D27" t="str">
        <v>U24/U40 polos</v>
      </c>
      <c r="E27">
        <v>55.85855324781827</v>
      </c>
      <c r="F27" t="str">
        <v>kg</v>
      </c>
      <c r="G27" t="str">
        <v>per m3 beton</v>
      </c>
      <c r="H27">
        <v>10300</v>
      </c>
      <c r="I27">
        <v>55.85855324781827</v>
      </c>
      <c r="J27">
        <v>575343.0984525282</v>
      </c>
      <c r="K27">
        <v>173.01125556</v>
      </c>
      <c r="L27">
        <v>1782015.9322680002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5.578252652140089</v>
      </c>
      <c r="J28">
        <v>57456.00231704291</v>
      </c>
      <c r="K28">
        <v>17.277577722000018</v>
      </c>
      <c r="L28">
        <v>177959.05053660017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111.56505304280168</v>
      </c>
      <c r="J29">
        <v>11156.505304280168</v>
      </c>
      <c r="K29">
        <v>345.55155444</v>
      </c>
      <c r="L29">
        <v>34555.155444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2.3428661138988356</v>
      </c>
      <c r="J30">
        <v>41000.156993229626</v>
      </c>
      <c r="K30">
        <v>7.256582643240002</v>
      </c>
      <c r="L30">
        <v>126990.19625670004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7937796.1009603795</v>
      </c>
      <c r="J32" t="str">
        <v/>
      </c>
      <c r="K32" t="str">
        <v/>
      </c>
      <c r="L32">
        <v>24585815.24146559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7937796.1009603795</v>
      </c>
    </row>
    <row r="36">
      <c r="A36" t="str">
        <v>RAB (A) source unit cost</v>
      </c>
      <c r="B36">
        <v>7937796.10096038</v>
      </c>
    </row>
    <row r="37">
      <c r="A37" t="str">
        <v>Variance</v>
      </c>
      <c r="B37">
        <v>-9.313225746154785e-10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24585815.24146559</v>
      </c>
    </row>
    <row r="40">
      <c r="A40" t="str">
        <v>RAB (A) source line total</v>
      </c>
      <c r="B40">
        <v>28027829.375270773</v>
      </c>
    </row>
    <row r="41">
      <c r="A41" t="str">
        <v>Variance</v>
      </c>
      <c r="B41">
        <v>-3442014.133805182</v>
      </c>
      <c r="C41" t="str">
        <v>✓ OK</v>
      </c>
    </row>
  </sheetData>
  <ignoredErrors>
    <ignoredError numberStoredAsText="1" sqref="A1:L41"/>
  </ignoredErrors>
</worksheet>
</file>

<file path=xl/worksheets/sheet143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V.A.2.8 - Balok B245-3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B245-3</v>
      </c>
    </row>
    <row r="5">
      <c r="A5" t="str">
        <v>Unit</v>
      </c>
      <c r="B5" t="str">
        <v>m3</v>
      </c>
    </row>
    <row r="6">
      <c r="A6" t="str">
        <v>Volume</v>
      </c>
      <c r="B6">
        <v>0.6488</v>
      </c>
    </row>
    <row r="7">
      <c r="A7" t="str">
        <v>Unit cost (Rp/m3)</v>
      </c>
      <c r="B7">
        <v>9246826.12849328</v>
      </c>
    </row>
    <row r="8">
      <c r="A8" t="str">
        <v>Line total at-cost (Rp)</v>
      </c>
      <c r="B8">
        <v>5999340.79216644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0.6812400000000001</v>
      </c>
      <c r="L12">
        <v>691901.4060000002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0.6488</v>
      </c>
      <c r="L14">
        <v>48660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0.6488</v>
      </c>
      <c r="L16">
        <v>1135400</v>
      </c>
    </row>
    <row r="17">
      <c r="A17">
        <v>4</v>
      </c>
      <c r="B17" t="str">
        <v>BEKISTING BALOK (Material) — ratio 12.774352651048089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6.387176325524044</v>
      </c>
      <c r="J18">
        <v>1277435.2651048088</v>
      </c>
      <c r="K18">
        <v>4.144</v>
      </c>
      <c r="L18">
        <v>828800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28.7422934648582</v>
      </c>
      <c r="J19">
        <v>1368133.1689272504</v>
      </c>
      <c r="K19">
        <v>18.648</v>
      </c>
      <c r="L19">
        <v>887644.8000000002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9.580764488286066</v>
      </c>
      <c r="J20">
        <v>456044.38964241673</v>
      </c>
      <c r="K20">
        <v>6.216</v>
      </c>
      <c r="L20">
        <v>295881.6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4.790382244143033</v>
      </c>
      <c r="J21">
        <v>62274.96917385943</v>
      </c>
      <c r="K21">
        <v>3.108</v>
      </c>
      <c r="L21">
        <v>40404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1.596794081381011</v>
      </c>
      <c r="J22">
        <v>43911.83723797781</v>
      </c>
      <c r="K22">
        <v>1.036</v>
      </c>
      <c r="L22">
        <v>28490.000000000004</v>
      </c>
    </row>
    <row r="23">
      <c r="A23">
        <v>5</v>
      </c>
      <c r="B23" t="str">
        <v>BEKISTING BALOK PERALATAN (Material) — Perancah, ratio 12.774352651048089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3.193588162762022</v>
      </c>
      <c r="J24">
        <v>650732.0295017582</v>
      </c>
      <c r="K24">
        <v>2.072</v>
      </c>
      <c r="L24">
        <v>422194.94074074074</v>
      </c>
    </row>
    <row r="25">
      <c r="A25">
        <v>6</v>
      </c>
      <c r="B25" t="str">
        <v>PEMBESIAN (Material) — ratio 221.30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D10</v>
      </c>
      <c r="D26" t="str">
        <v>U24/U40 polos</v>
      </c>
      <c r="E26">
        <v>118.78647503082613</v>
      </c>
      <c r="F26" t="str">
        <v>kg</v>
      </c>
      <c r="G26" t="str">
        <v>per m3 beton</v>
      </c>
      <c r="H26">
        <v>10300</v>
      </c>
      <c r="I26">
        <v>118.78647503082613</v>
      </c>
      <c r="J26">
        <v>1223500.6928175092</v>
      </c>
      <c r="K26">
        <v>77.068665</v>
      </c>
      <c r="L26">
        <v>793807.2495</v>
      </c>
    </row>
    <row r="27">
      <c r="A27" t="str">
        <v/>
      </c>
      <c r="B27" t="str">
        <v/>
      </c>
      <c r="C27" t="str">
        <v>Besi beton D16</v>
      </c>
      <c r="D27" t="str">
        <v>U24/U40 polos</v>
      </c>
      <c r="E27">
        <v>102.5174885326757</v>
      </c>
      <c r="F27" t="str">
        <v>kg</v>
      </c>
      <c r="G27" t="str">
        <v>per m3 beton</v>
      </c>
      <c r="H27">
        <v>10300</v>
      </c>
      <c r="I27">
        <v>102.5174885326757</v>
      </c>
      <c r="J27">
        <v>1055930.1318865598</v>
      </c>
      <c r="K27">
        <v>66.51334656</v>
      </c>
      <c r="L27">
        <v>685087.4695680001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11.065198178175102</v>
      </c>
      <c r="J28">
        <v>113971.54123520355</v>
      </c>
      <c r="K28">
        <v>7.179100578000007</v>
      </c>
      <c r="L28">
        <v>73944.73595340007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221.30396356350184</v>
      </c>
      <c r="J29">
        <v>22130.396356350182</v>
      </c>
      <c r="K29">
        <v>143.58201156</v>
      </c>
      <c r="L29">
        <v>14358.201156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4.647383234833539</v>
      </c>
      <c r="J30">
        <v>81329.20660958692</v>
      </c>
      <c r="K30">
        <v>3.01522224276</v>
      </c>
      <c r="L30">
        <v>52766.3892483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9246826.12849328</v>
      </c>
      <c r="J32" t="str">
        <v/>
      </c>
      <c r="K32" t="str">
        <v/>
      </c>
      <c r="L32">
        <v>5999340.79216644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9246826.12849328</v>
      </c>
    </row>
    <row r="36">
      <c r="A36" t="str">
        <v>RAB (A) source unit cost</v>
      </c>
      <c r="B36">
        <v>9246826.128493281</v>
      </c>
    </row>
    <row r="37">
      <c r="A37" t="str">
        <v>Variance</v>
      </c>
      <c r="B37">
        <v>-1.862645149230957e-9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5999340.79216644</v>
      </c>
    </row>
    <row r="40">
      <c r="A40" t="str">
        <v>RAB (A) source line total</v>
      </c>
      <c r="B40">
        <v>6839248.503069743</v>
      </c>
    </row>
    <row r="41">
      <c r="A41" t="str">
        <v>Variance</v>
      </c>
      <c r="B41">
        <v>-839907.7109033028</v>
      </c>
      <c r="C41" t="str">
        <v>✓ OK</v>
      </c>
    </row>
  </sheetData>
  <ignoredErrors>
    <ignoredError numberStoredAsText="1" sqref="A1:L41"/>
  </ignoredErrors>
</worksheet>
</file>

<file path=xl/worksheets/sheet144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V.A.2.9 - Balok B245-4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B245-4</v>
      </c>
    </row>
    <row r="5">
      <c r="A5" t="str">
        <v>Unit</v>
      </c>
      <c r="B5" t="str">
        <v>m3</v>
      </c>
    </row>
    <row r="6">
      <c r="A6" t="str">
        <v>Volume</v>
      </c>
      <c r="B6">
        <v>1.03574</v>
      </c>
    </row>
    <row r="7">
      <c r="A7" t="str">
        <v>Unit cost (Rp/m3)</v>
      </c>
      <c r="B7">
        <v>9296310.940401385</v>
      </c>
    </row>
    <row r="8">
      <c r="A8" t="str">
        <v>Line total at-cost (Rp)</v>
      </c>
      <c r="B8">
        <v>9628561.093411332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1.0875270000000001</v>
      </c>
      <c r="L12">
        <v>1104546.7975500003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1.03574</v>
      </c>
      <c r="L14">
        <v>77680.50000000001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1.03574</v>
      </c>
      <c r="L16">
        <v>1812545.0000000002</v>
      </c>
    </row>
    <row r="17">
      <c r="A17">
        <v>4</v>
      </c>
      <c r="B17" t="str">
        <v>BEKISTING BALOK (Material) — ratio 12.943788981790796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6.471894490895398</v>
      </c>
      <c r="J18">
        <v>1294378.8981790796</v>
      </c>
      <c r="K18">
        <v>6.7032</v>
      </c>
      <c r="L18">
        <v>1340640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29.12352520902929</v>
      </c>
      <c r="J19">
        <v>1386279.799949794</v>
      </c>
      <c r="K19">
        <v>30.164399999999997</v>
      </c>
      <c r="L19">
        <v>1435825.44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9.707841736343097</v>
      </c>
      <c r="J20">
        <v>462093.26664993144</v>
      </c>
      <c r="K20">
        <v>10.0548</v>
      </c>
      <c r="L20">
        <v>478608.48000000004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4.853920868171548</v>
      </c>
      <c r="J21">
        <v>63100.97128623013</v>
      </c>
      <c r="K21">
        <v>5.0274</v>
      </c>
      <c r="L21">
        <v>65356.200000000004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1.6179736227238495</v>
      </c>
      <c r="J22">
        <v>44494.27462490586</v>
      </c>
      <c r="K22">
        <v>1.6758</v>
      </c>
      <c r="L22">
        <v>46084.5</v>
      </c>
    </row>
    <row r="23">
      <c r="A23">
        <v>5</v>
      </c>
      <c r="B23" t="str">
        <v>BEKISTING BALOK PERALATAN (Material) — Perancah, ratio 12.943788981790796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3.235947245447699</v>
      </c>
      <c r="J24">
        <v>659363.202476812</v>
      </c>
      <c r="K24">
        <v>3.3516</v>
      </c>
      <c r="L24">
        <v>682928.8433333333</v>
      </c>
    </row>
    <row r="25">
      <c r="A25">
        <v>6</v>
      </c>
      <c r="B25" t="str">
        <v>PEMBESIAN (Material) — ratio 221.15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D8</v>
      </c>
      <c r="D26" t="str">
        <v>U24/U40 polos</v>
      </c>
      <c r="E26">
        <v>67.73050163168362</v>
      </c>
      <c r="F26" t="str">
        <v>kg</v>
      </c>
      <c r="G26" t="str">
        <v>per m3 beton</v>
      </c>
      <c r="H26">
        <v>10300</v>
      </c>
      <c r="I26">
        <v>67.73050163168362</v>
      </c>
      <c r="J26">
        <v>697624.1668063413</v>
      </c>
      <c r="K26">
        <v>70.15118976000001</v>
      </c>
      <c r="L26">
        <v>722557.254528</v>
      </c>
    </row>
    <row r="27">
      <c r="A27" t="str">
        <v/>
      </c>
      <c r="B27" t="str">
        <v/>
      </c>
      <c r="C27" t="str">
        <v>Besi beton D16</v>
      </c>
      <c r="D27" t="str">
        <v>U24/U40 polos</v>
      </c>
      <c r="E27">
        <v>153.42332307335818</v>
      </c>
      <c r="F27" t="str">
        <v>kg</v>
      </c>
      <c r="G27" t="str">
        <v>per m3 beton</v>
      </c>
      <c r="H27">
        <v>10300</v>
      </c>
      <c r="I27">
        <v>153.42332307335818</v>
      </c>
      <c r="J27">
        <v>1580260.227655589</v>
      </c>
      <c r="K27">
        <v>158.90667264</v>
      </c>
      <c r="L27">
        <v>1636738.728192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11.0576912352521</v>
      </c>
      <c r="J28">
        <v>113894.21972309664</v>
      </c>
      <c r="K28">
        <v>11.452893120000011</v>
      </c>
      <c r="L28">
        <v>117964.79913600013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221.1538247050418</v>
      </c>
      <c r="J29">
        <v>22115.38247050418</v>
      </c>
      <c r="K29">
        <v>229.05786240000003</v>
      </c>
      <c r="L29">
        <v>22905.78624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4.644230318805878</v>
      </c>
      <c r="J30">
        <v>81274.03057910287</v>
      </c>
      <c r="K30">
        <v>4.810215110400001</v>
      </c>
      <c r="L30">
        <v>84178.76443200001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9296310.940401385</v>
      </c>
      <c r="J32" t="str">
        <v/>
      </c>
      <c r="K32" t="str">
        <v/>
      </c>
      <c r="L32">
        <v>9628561.093411332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9296310.940401385</v>
      </c>
    </row>
    <row r="36">
      <c r="A36" t="str">
        <v>RAB (A) source unit cost</v>
      </c>
      <c r="B36">
        <v>9296310.940401388</v>
      </c>
    </row>
    <row r="37">
      <c r="A37" t="str">
        <v>Variance</v>
      </c>
      <c r="B37">
        <v>-3.725290298461914e-9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9628561.093411332</v>
      </c>
    </row>
    <row r="40">
      <c r="A40" t="str">
        <v>RAB (A) source line total</v>
      </c>
      <c r="B40">
        <v>10976559.64648892</v>
      </c>
    </row>
    <row r="41">
      <c r="A41" t="str">
        <v>Variance</v>
      </c>
      <c r="B41">
        <v>-1347998.5530775879</v>
      </c>
      <c r="C41" t="str">
        <v>✓ OK</v>
      </c>
    </row>
  </sheetData>
  <ignoredErrors>
    <ignoredError numberStoredAsText="1" sqref="A1:L41"/>
  </ignoredErrors>
</worksheet>
</file>

<file path=xl/worksheets/sheet145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V.A.2.10 - Balok B245-6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B245-6</v>
      </c>
    </row>
    <row r="5">
      <c r="A5" t="str">
        <v>Unit</v>
      </c>
      <c r="B5" t="str">
        <v>m3</v>
      </c>
    </row>
    <row r="6">
      <c r="A6" t="str">
        <v>Volume</v>
      </c>
      <c r="B6">
        <v>0.6592</v>
      </c>
    </row>
    <row r="7">
      <c r="A7" t="str">
        <v>Unit cost (Rp/m3)</v>
      </c>
      <c r="B7">
        <v>9614452.97986273</v>
      </c>
    </row>
    <row r="8">
      <c r="A8" t="str">
        <v>Line total at-cost (Rp)</v>
      </c>
      <c r="B8">
        <v>6337847.404325511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0.69216</v>
      </c>
      <c r="L12">
        <v>702992.3040000001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0.6592</v>
      </c>
      <c r="L14">
        <v>49440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0.6592</v>
      </c>
      <c r="L16">
        <v>1153600</v>
      </c>
    </row>
    <row r="17">
      <c r="A17">
        <v>4</v>
      </c>
      <c r="B17" t="str">
        <v>BEKISTING BALOK (Material) — ratio 13.125000000000002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6.562500000000001</v>
      </c>
      <c r="J18">
        <v>1312500.0000000002</v>
      </c>
      <c r="K18">
        <v>4.3260000000000005</v>
      </c>
      <c r="L18">
        <v>865200.0000000001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29.531250000000004</v>
      </c>
      <c r="J19">
        <v>1405687.5000000002</v>
      </c>
      <c r="K19">
        <v>19.467000000000002</v>
      </c>
      <c r="L19">
        <v>926629.2000000002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9.843750000000002</v>
      </c>
      <c r="J20">
        <v>468562.50000000006</v>
      </c>
      <c r="K20">
        <v>6.489000000000002</v>
      </c>
      <c r="L20">
        <v>308876.4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4.921875000000001</v>
      </c>
      <c r="J21">
        <v>63984.375000000015</v>
      </c>
      <c r="K21">
        <v>3.244500000000001</v>
      </c>
      <c r="L21">
        <v>42178.50000000001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1.6406250000000002</v>
      </c>
      <c r="J22">
        <v>45117.18750000001</v>
      </c>
      <c r="K22">
        <v>1.0815000000000001</v>
      </c>
      <c r="L22">
        <v>29741.250000000004</v>
      </c>
    </row>
    <row r="23">
      <c r="A23">
        <v>5</v>
      </c>
      <c r="B23" t="str">
        <v>BEKISTING BALOK PERALATAN (Material) — Perancah, ratio 13.125000000000002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3.2812500000000004</v>
      </c>
      <c r="J24">
        <v>668594.1840277779</v>
      </c>
      <c r="K24">
        <v>2.1630000000000003</v>
      </c>
      <c r="L24">
        <v>440737.28611111117</v>
      </c>
    </row>
    <row r="25">
      <c r="A25">
        <v>6</v>
      </c>
      <c r="B25" t="str">
        <v>PEMBESIAN (Material) — ratio 244.50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D8</v>
      </c>
      <c r="D26" t="str">
        <v>U24/U40 polos</v>
      </c>
      <c r="E26">
        <v>79.07240970873787</v>
      </c>
      <c r="F26" t="str">
        <v>kg</v>
      </c>
      <c r="G26" t="str">
        <v>per m3 beton</v>
      </c>
      <c r="H26">
        <v>10300</v>
      </c>
      <c r="I26">
        <v>79.07240970873787</v>
      </c>
      <c r="J26">
        <v>814445.8200000001</v>
      </c>
      <c r="K26">
        <v>52.12453248</v>
      </c>
      <c r="L26">
        <v>536882.6845440001</v>
      </c>
    </row>
    <row r="27">
      <c r="A27" t="str">
        <v/>
      </c>
      <c r="B27" t="str">
        <v/>
      </c>
      <c r="C27" t="str">
        <v>Besi beton D16</v>
      </c>
      <c r="D27" t="str">
        <v>U24/U40 polos</v>
      </c>
      <c r="E27">
        <v>165.42789902912622</v>
      </c>
      <c r="F27" t="str">
        <v>kg</v>
      </c>
      <c r="G27" t="str">
        <v>per m3 beton</v>
      </c>
      <c r="H27">
        <v>10300</v>
      </c>
      <c r="I27">
        <v>165.42789902912622</v>
      </c>
      <c r="J27">
        <v>1703907.36</v>
      </c>
      <c r="K27">
        <v>109.05007104</v>
      </c>
      <c r="L27">
        <v>1123215.731712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12.225015436893216</v>
      </c>
      <c r="J28">
        <v>125917.65900000012</v>
      </c>
      <c r="K28">
        <v>8.058730176000008</v>
      </c>
      <c r="L28">
        <v>83004.92081280008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244.5003087378641</v>
      </c>
      <c r="J29">
        <v>24450.03087378641</v>
      </c>
      <c r="K29">
        <v>161.17460352</v>
      </c>
      <c r="L29">
        <v>16117.460352000002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5.134506483495146</v>
      </c>
      <c r="J30">
        <v>89853.86346116506</v>
      </c>
      <c r="K30">
        <v>3.3846666739200004</v>
      </c>
      <c r="L30">
        <v>59231.66679360001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9614452.97986273</v>
      </c>
      <c r="J32" t="str">
        <v/>
      </c>
      <c r="K32" t="str">
        <v/>
      </c>
      <c r="L32">
        <v>6337847.404325511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9614452.97986273</v>
      </c>
    </row>
    <row r="36">
      <c r="A36" t="str">
        <v>RAB (A) source unit cost</v>
      </c>
      <c r="B36">
        <v>9614452.979862731</v>
      </c>
    </row>
    <row r="37">
      <c r="A37" t="str">
        <v>Variance</v>
      </c>
      <c r="B37">
        <v>-1.862645149230957e-9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6337847.404325511</v>
      </c>
    </row>
    <row r="40">
      <c r="A40" t="str">
        <v>RAB (A) source line total</v>
      </c>
      <c r="B40">
        <v>7225146.040931084</v>
      </c>
    </row>
    <row r="41">
      <c r="A41" t="str">
        <v>Variance</v>
      </c>
      <c r="B41">
        <v>-887298.6366055729</v>
      </c>
      <c r="C41" t="str">
        <v>✓ OK</v>
      </c>
    </row>
  </sheetData>
  <ignoredErrors>
    <ignoredError numberStoredAsText="1" sqref="A1:L41"/>
  </ignoredErrors>
</worksheet>
</file>

<file path=xl/worksheets/sheet146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V.A.2.11 - Balok B245-7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B245-7</v>
      </c>
    </row>
    <row r="5">
      <c r="A5" t="str">
        <v>Unit</v>
      </c>
      <c r="B5" t="str">
        <v>m3</v>
      </c>
    </row>
    <row r="6">
      <c r="A6" t="str">
        <v>Volume</v>
      </c>
      <c r="B6">
        <v>0.6528</v>
      </c>
    </row>
    <row r="7">
      <c r="A7" t="str">
        <v>Unit cost (Rp/m3)</v>
      </c>
      <c r="B7">
        <v>10173010.081597172</v>
      </c>
    </row>
    <row r="8">
      <c r="A8" t="str">
        <v>Line total at-cost (Rp)</v>
      </c>
      <c r="B8">
        <v>6640940.981266635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0.68544</v>
      </c>
      <c r="L12">
        <v>696167.1360000002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0.6528</v>
      </c>
      <c r="L14">
        <v>48960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0.6528</v>
      </c>
      <c r="L16">
        <v>1142400</v>
      </c>
    </row>
    <row r="17">
      <c r="A17">
        <v>4</v>
      </c>
      <c r="B17" t="str">
        <v>BEKISTING BALOK (Material) — ratio 13.124999999999998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6.562499999999999</v>
      </c>
      <c r="J18">
        <v>1312499.9999999998</v>
      </c>
      <c r="K18">
        <v>4.284</v>
      </c>
      <c r="L18">
        <v>856799.9999999999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29.531249999999996</v>
      </c>
      <c r="J19">
        <v>1405687.4999999998</v>
      </c>
      <c r="K19">
        <v>19.278</v>
      </c>
      <c r="L19">
        <v>917632.7999999999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9.843749999999998</v>
      </c>
      <c r="J20">
        <v>468562.49999999994</v>
      </c>
      <c r="K20">
        <v>6.425999999999999</v>
      </c>
      <c r="L20">
        <v>305877.6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4.921874999999999</v>
      </c>
      <c r="J21">
        <v>63984.374999999985</v>
      </c>
      <c r="K21">
        <v>3.2129999999999996</v>
      </c>
      <c r="L21">
        <v>41768.99999999999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1.6406249999999998</v>
      </c>
      <c r="J22">
        <v>45117.18749999999</v>
      </c>
      <c r="K22">
        <v>1.071</v>
      </c>
      <c r="L22">
        <v>29452.499999999996</v>
      </c>
    </row>
    <row r="23">
      <c r="A23">
        <v>5</v>
      </c>
      <c r="B23" t="str">
        <v>BEKISTING BALOK PERALATAN (Material) — Perancah, ratio 13.124999999999998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3.2812499999999996</v>
      </c>
      <c r="J24">
        <v>668594.1840277776</v>
      </c>
      <c r="K24">
        <v>2.142</v>
      </c>
      <c r="L24">
        <v>436458.28333333327</v>
      </c>
    </row>
    <row r="25">
      <c r="A25">
        <v>6</v>
      </c>
      <c r="B25" t="str">
        <v>PEMBESIAN (Material) — ratio 294.01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D8</v>
      </c>
      <c r="D26" t="str">
        <v>U24/U40 polos</v>
      </c>
      <c r="E26">
        <v>55.82226176470588</v>
      </c>
      <c r="F26" t="str">
        <v>kg</v>
      </c>
      <c r="G26" t="str">
        <v>per m3 beton</v>
      </c>
      <c r="H26">
        <v>10300</v>
      </c>
      <c r="I26">
        <v>55.82226176470588</v>
      </c>
      <c r="J26">
        <v>574969.2961764706</v>
      </c>
      <c r="K26">
        <v>36.44077248</v>
      </c>
      <c r="L26">
        <v>375339.956544</v>
      </c>
    </row>
    <row r="27">
      <c r="A27" t="str">
        <v/>
      </c>
      <c r="B27" t="str">
        <v/>
      </c>
      <c r="C27" t="str">
        <v>Besi beton D19</v>
      </c>
      <c r="D27" t="str">
        <v>U24/U40 polos</v>
      </c>
      <c r="E27">
        <v>238.18454834558824</v>
      </c>
      <c r="F27" t="str">
        <v>kg</v>
      </c>
      <c r="G27" t="str">
        <v>per m3 beton</v>
      </c>
      <c r="H27">
        <v>10300</v>
      </c>
      <c r="I27">
        <v>238.18454834558824</v>
      </c>
      <c r="J27">
        <v>2453300.847959559</v>
      </c>
      <c r="K27">
        <v>155.48687316000002</v>
      </c>
      <c r="L27">
        <v>1601514.7935480003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14.700340505514719</v>
      </c>
      <c r="J28">
        <v>151413.50720680162</v>
      </c>
      <c r="K28">
        <v>9.59638228200001</v>
      </c>
      <c r="L28">
        <v>98842.7375046001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294.0068101102941</v>
      </c>
      <c r="J29">
        <v>29400.68101102941</v>
      </c>
      <c r="K29">
        <v>191.92764564</v>
      </c>
      <c r="L29">
        <v>19192.764564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6.1741430123161765</v>
      </c>
      <c r="J30">
        <v>108047.50271553309</v>
      </c>
      <c r="K30">
        <v>4.03048055844</v>
      </c>
      <c r="L30">
        <v>70533.4097727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10173010.081597172</v>
      </c>
      <c r="J32" t="str">
        <v/>
      </c>
      <c r="K32" t="str">
        <v/>
      </c>
      <c r="L32">
        <v>6640940.981266635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10173010.081597172</v>
      </c>
    </row>
    <row r="36">
      <c r="A36" t="str">
        <v>RAB (A) source unit cost</v>
      </c>
      <c r="B36">
        <v>10173010.081597172</v>
      </c>
    </row>
    <row r="37">
      <c r="A37" t="str">
        <v>Variance</v>
      </c>
      <c r="B37">
        <v>0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6640940.981266635</v>
      </c>
    </row>
    <row r="40">
      <c r="A40" t="str">
        <v>RAB (A) source line total</v>
      </c>
      <c r="B40">
        <v>7570672.718643962</v>
      </c>
    </row>
    <row r="41">
      <c r="A41" t="str">
        <v>Variance</v>
      </c>
      <c r="B41">
        <v>-929731.7373773279</v>
      </c>
      <c r="C41" t="str">
        <v>✓ OK</v>
      </c>
    </row>
  </sheetData>
  <ignoredErrors>
    <ignoredError numberStoredAsText="1" sqref="A1:L41"/>
  </ignoredErrors>
</worksheet>
</file>

<file path=xl/worksheets/sheet147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V.A.2.12 - Balok B25-1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B25-1</v>
      </c>
    </row>
    <row r="5">
      <c r="A5" t="str">
        <v>Unit</v>
      </c>
      <c r="B5" t="str">
        <v>m3</v>
      </c>
    </row>
    <row r="6">
      <c r="A6" t="str">
        <v>Volume</v>
      </c>
      <c r="B6">
        <v>0.7992</v>
      </c>
    </row>
    <row r="7">
      <c r="A7" t="str">
        <v>Unit cost (Rp/m3)</v>
      </c>
      <c r="B7">
        <v>9000300.050935185</v>
      </c>
    </row>
    <row r="8">
      <c r="A8" t="str">
        <v>Line total at-cost (Rp)</v>
      </c>
      <c r="B8">
        <v>7193039.8007074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0.83916</v>
      </c>
      <c r="L12">
        <v>852292.8540000002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0.7992</v>
      </c>
      <c r="L14">
        <v>59940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0.7992</v>
      </c>
      <c r="L16">
        <v>1398600</v>
      </c>
    </row>
    <row r="17">
      <c r="A17">
        <v>4</v>
      </c>
      <c r="B17" t="str">
        <v>BEKISTING BALOK (Material) — ratio 12.702702702702702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6.351351351351351</v>
      </c>
      <c r="J18">
        <v>1270270.27027027</v>
      </c>
      <c r="K18">
        <v>5.076</v>
      </c>
      <c r="L18">
        <v>1015199.9999999999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28.58108108108108</v>
      </c>
      <c r="J19">
        <v>1360459.4594594594</v>
      </c>
      <c r="K19">
        <v>22.842</v>
      </c>
      <c r="L19">
        <v>1087279.2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9.527027027027026</v>
      </c>
      <c r="J20">
        <v>453486.48648648645</v>
      </c>
      <c r="K20">
        <v>7.614</v>
      </c>
      <c r="L20">
        <v>362426.39999999997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4.763513513513513</v>
      </c>
      <c r="J21">
        <v>61925.67567567567</v>
      </c>
      <c r="K21">
        <v>3.807</v>
      </c>
      <c r="L21">
        <v>49491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1.5878378378378377</v>
      </c>
      <c r="J22">
        <v>43665.54054054054</v>
      </c>
      <c r="K22">
        <v>1.269</v>
      </c>
      <c r="L22">
        <v>34897.5</v>
      </c>
    </row>
    <row r="23">
      <c r="A23">
        <v>5</v>
      </c>
      <c r="B23" t="str">
        <v>BEKISTING BALOK PERALATAN (Material) — Perancah, ratio 12.702702702702702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3.1756756756756754</v>
      </c>
      <c r="J24">
        <v>647082.1446446446</v>
      </c>
      <c r="K24">
        <v>2.538</v>
      </c>
      <c r="L24">
        <v>517148.05</v>
      </c>
    </row>
    <row r="25">
      <c r="A25">
        <v>6</v>
      </c>
      <c r="B25" t="str">
        <v>PEMBESIAN (Material) — ratio 201.37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D10</v>
      </c>
      <c r="D26" t="str">
        <v>U24/U40 polos</v>
      </c>
      <c r="E26">
        <v>106.96182432432433</v>
      </c>
      <c r="F26" t="str">
        <v>kg</v>
      </c>
      <c r="G26" t="str">
        <v>per m3 beton</v>
      </c>
      <c r="H26">
        <v>10300</v>
      </c>
      <c r="I26">
        <v>106.96182432432433</v>
      </c>
      <c r="J26">
        <v>1101706.7905405406</v>
      </c>
      <c r="K26">
        <v>85.48389</v>
      </c>
      <c r="L26">
        <v>880484.067</v>
      </c>
    </row>
    <row r="27">
      <c r="A27" t="str">
        <v/>
      </c>
      <c r="B27" t="str">
        <v/>
      </c>
      <c r="C27" t="str">
        <v>Besi beton D16</v>
      </c>
      <c r="D27" t="str">
        <v>U24/U40 polos</v>
      </c>
      <c r="E27">
        <v>94.41003243243243</v>
      </c>
      <c r="F27" t="str">
        <v>kg</v>
      </c>
      <c r="G27" t="str">
        <v>per m3 beton</v>
      </c>
      <c r="H27">
        <v>10300</v>
      </c>
      <c r="I27">
        <v>94.41003243243243</v>
      </c>
      <c r="J27">
        <v>972423.334054054</v>
      </c>
      <c r="K27">
        <v>75.45249792</v>
      </c>
      <c r="L27">
        <v>777160.728576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10.068592837837846</v>
      </c>
      <c r="J28">
        <v>103706.50622972981</v>
      </c>
      <c r="K28">
        <v>8.046819396000007</v>
      </c>
      <c r="L28">
        <v>82882.23977880007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201.37185675675676</v>
      </c>
      <c r="J29">
        <v>20137.185675675675</v>
      </c>
      <c r="K29">
        <v>160.93638792000002</v>
      </c>
      <c r="L29">
        <v>16093.638792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4.228808991891892</v>
      </c>
      <c r="J30">
        <v>74004.15735810812</v>
      </c>
      <c r="K30">
        <v>3.37966414632</v>
      </c>
      <c r="L30">
        <v>59144.12256060001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9000300.050935185</v>
      </c>
      <c r="J32" t="str">
        <v/>
      </c>
      <c r="K32" t="str">
        <v/>
      </c>
      <c r="L32">
        <v>7193039.8007074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9000300.050935185</v>
      </c>
    </row>
    <row r="36">
      <c r="A36" t="str">
        <v>RAB (A) source unit cost</v>
      </c>
      <c r="B36">
        <v>9000300.050935185</v>
      </c>
    </row>
    <row r="37">
      <c r="A37" t="str">
        <v>Variance</v>
      </c>
      <c r="B37">
        <v>0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7193039.8007074</v>
      </c>
    </row>
    <row r="40">
      <c r="A40" t="str">
        <v>RAB (A) source line total</v>
      </c>
      <c r="B40">
        <v>8200065.3728064345</v>
      </c>
    </row>
    <row r="41">
      <c r="A41" t="str">
        <v>Variance</v>
      </c>
      <c r="B41">
        <v>-1007025.5720990347</v>
      </c>
      <c r="C41" t="str">
        <v>✓ OK</v>
      </c>
    </row>
  </sheetData>
  <ignoredErrors>
    <ignoredError numberStoredAsText="1" sqref="A1:L41"/>
  </ignoredErrors>
</worksheet>
</file>

<file path=xl/worksheets/sheet148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V.A.2.13 - Balok B25-2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B25-2</v>
      </c>
    </row>
    <row r="5">
      <c r="A5" t="str">
        <v>Unit</v>
      </c>
      <c r="B5" t="str">
        <v>m3</v>
      </c>
    </row>
    <row r="6">
      <c r="A6" t="str">
        <v>Volume</v>
      </c>
      <c r="B6">
        <v>0.962</v>
      </c>
    </row>
    <row r="7">
      <c r="A7" t="str">
        <v>Unit cost (Rp/m3)</v>
      </c>
      <c r="B7">
        <v>9715181.929933</v>
      </c>
    </row>
    <row r="8">
      <c r="A8" t="str">
        <v>Line total at-cost (Rp)</v>
      </c>
      <c r="B8">
        <v>9346005.016595546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1.0101</v>
      </c>
      <c r="L12">
        <v>1025908.0650000002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0.962</v>
      </c>
      <c r="L14">
        <v>72150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0.962</v>
      </c>
      <c r="L16">
        <v>1683500</v>
      </c>
    </row>
    <row r="17">
      <c r="A17">
        <v>4</v>
      </c>
      <c r="B17" t="str">
        <v>BEKISTING BALOK (Material) — ratio 12.702702702702702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6.351351351351351</v>
      </c>
      <c r="J18">
        <v>1270270.27027027</v>
      </c>
      <c r="K18">
        <v>6.109999999999999</v>
      </c>
      <c r="L18">
        <v>1221999.9999999998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28.58108108108108</v>
      </c>
      <c r="J19">
        <v>1360459.4594594594</v>
      </c>
      <c r="K19">
        <v>27.494999999999997</v>
      </c>
      <c r="L19">
        <v>1308762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9.527027027027026</v>
      </c>
      <c r="J20">
        <v>453486.48648648645</v>
      </c>
      <c r="K20">
        <v>9.165</v>
      </c>
      <c r="L20">
        <v>436253.99999999994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4.763513513513513</v>
      </c>
      <c r="J21">
        <v>61925.67567567567</v>
      </c>
      <c r="K21">
        <v>4.5825</v>
      </c>
      <c r="L21">
        <v>59572.49999999999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1.5878378378378377</v>
      </c>
      <c r="J22">
        <v>43665.54054054054</v>
      </c>
      <c r="K22">
        <v>1.5274999999999999</v>
      </c>
      <c r="L22">
        <v>42006.25</v>
      </c>
    </row>
    <row r="23">
      <c r="A23">
        <v>5</v>
      </c>
      <c r="B23" t="str">
        <v>BEKISTING BALOK PERALATAN (Material) — Perancah, ratio 12.702702702702702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3.1756756756756754</v>
      </c>
      <c r="J24">
        <v>647082.1446446446</v>
      </c>
      <c r="K24">
        <v>3.0549999999999997</v>
      </c>
      <c r="L24">
        <v>622493.0231481481</v>
      </c>
    </row>
    <row r="25">
      <c r="A25">
        <v>6</v>
      </c>
      <c r="B25" t="str">
        <v>PEMBESIAN (Material) — ratio 264.73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D10</v>
      </c>
      <c r="D26" t="str">
        <v>U24/U40 polos</v>
      </c>
      <c r="E26">
        <v>129.20865904365908</v>
      </c>
      <c r="F26" t="str">
        <v>kg</v>
      </c>
      <c r="G26" t="str">
        <v>per m3 beton</v>
      </c>
      <c r="H26">
        <v>10300</v>
      </c>
      <c r="I26">
        <v>129.20865904365908</v>
      </c>
      <c r="J26">
        <v>1330849.1881496885</v>
      </c>
      <c r="K26">
        <v>124.29873000000003</v>
      </c>
      <c r="L26">
        <v>1280276.9190000002</v>
      </c>
    </row>
    <row r="27">
      <c r="A27" t="str">
        <v/>
      </c>
      <c r="B27" t="str">
        <v/>
      </c>
      <c r="C27" t="str">
        <v>Besi beton D16</v>
      </c>
      <c r="D27" t="str">
        <v>U24/U40 polos</v>
      </c>
      <c r="E27">
        <v>135.5252078170478</v>
      </c>
      <c r="F27" t="str">
        <v>kg</v>
      </c>
      <c r="G27" t="str">
        <v>per m3 beton</v>
      </c>
      <c r="H27">
        <v>10300</v>
      </c>
      <c r="I27">
        <v>135.5252078170478</v>
      </c>
      <c r="J27">
        <v>1395909.6405155924</v>
      </c>
      <c r="K27">
        <v>130.37524992</v>
      </c>
      <c r="L27">
        <v>1342865.074176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13.236693343035355</v>
      </c>
      <c r="J28">
        <v>136337.94143326418</v>
      </c>
      <c r="K28">
        <v>12.733698996000012</v>
      </c>
      <c r="L28">
        <v>131157.09965880014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264.7338668607069</v>
      </c>
      <c r="J29">
        <v>26473.386686070688</v>
      </c>
      <c r="K29">
        <v>254.67397992000002</v>
      </c>
      <c r="L29">
        <v>25467.397992000002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5.559411204074845</v>
      </c>
      <c r="J30">
        <v>97289.69607130978</v>
      </c>
      <c r="K30">
        <v>5.348153578320001</v>
      </c>
      <c r="L30">
        <v>93592.6876206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9715181.929933</v>
      </c>
      <c r="J32" t="str">
        <v/>
      </c>
      <c r="K32" t="str">
        <v/>
      </c>
      <c r="L32">
        <v>9346005.016595546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9715181.929933</v>
      </c>
    </row>
    <row r="36">
      <c r="A36" t="str">
        <v>RAB (A) source unit cost</v>
      </c>
      <c r="B36">
        <v>9715181.929933002</v>
      </c>
    </row>
    <row r="37">
      <c r="A37" t="str">
        <v>Variance</v>
      </c>
      <c r="B37">
        <v>-1.862645149230957e-9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9346005.016595546</v>
      </c>
    </row>
    <row r="40">
      <c r="A40" t="str">
        <v>RAB (A) source line total</v>
      </c>
      <c r="B40">
        <v>10654445.718918925</v>
      </c>
    </row>
    <row r="41">
      <c r="A41" t="str">
        <v>Variance</v>
      </c>
      <c r="B41">
        <v>-1308440.702323379</v>
      </c>
      <c r="C41" t="str">
        <v>✓ OK</v>
      </c>
    </row>
  </sheetData>
  <ignoredErrors>
    <ignoredError numberStoredAsText="1" sqref="A1:L41"/>
  </ignoredErrors>
</worksheet>
</file>

<file path=xl/worksheets/sheet149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V.A.2.14 - Balok B26-1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B26-1</v>
      </c>
    </row>
    <row r="5">
      <c r="A5" t="str">
        <v>Unit</v>
      </c>
      <c r="B5" t="str">
        <v>m3</v>
      </c>
    </row>
    <row r="6">
      <c r="A6" t="str">
        <v>Volume</v>
      </c>
      <c r="B6">
        <v>2.8388</v>
      </c>
    </row>
    <row r="7">
      <c r="A7" t="str">
        <v>Unit cost (Rp/m3)</v>
      </c>
      <c r="B7">
        <v>8958831.857985234</v>
      </c>
    </row>
    <row r="8">
      <c r="A8" t="str">
        <v>Line total at-cost (Rp)</v>
      </c>
      <c r="B8">
        <v>25432331.878448483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2.98074</v>
      </c>
      <c r="L12">
        <v>3027388.5810000007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2.8388</v>
      </c>
      <c r="L14">
        <v>212910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2.8388</v>
      </c>
      <c r="L16">
        <v>4967900</v>
      </c>
    </row>
    <row r="17">
      <c r="A17">
        <v>4</v>
      </c>
      <c r="B17" t="str">
        <v>BEKISTING BALOK (Material) — ratio 12.127659574468085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6.0638297872340425</v>
      </c>
      <c r="J18">
        <v>1212765.9574468085</v>
      </c>
      <c r="K18">
        <v>17.214</v>
      </c>
      <c r="L18">
        <v>3442800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27.28723404255319</v>
      </c>
      <c r="J19">
        <v>1298872.3404255318</v>
      </c>
      <c r="K19">
        <v>77.463</v>
      </c>
      <c r="L19">
        <v>3687238.8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9.095744680851064</v>
      </c>
      <c r="J20">
        <v>432957.44680851063</v>
      </c>
      <c r="K20">
        <v>25.821</v>
      </c>
      <c r="L20">
        <v>1229079.6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4.547872340425532</v>
      </c>
      <c r="J21">
        <v>59122.34042553192</v>
      </c>
      <c r="K21">
        <v>12.9105</v>
      </c>
      <c r="L21">
        <v>167836.5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1.5159574468085106</v>
      </c>
      <c r="J22">
        <v>41688.82978723404</v>
      </c>
      <c r="K22">
        <v>4.3035</v>
      </c>
      <c r="L22">
        <v>118346.25</v>
      </c>
    </row>
    <row r="23">
      <c r="A23">
        <v>5</v>
      </c>
      <c r="B23" t="str">
        <v>BEKISTING BALOK PERALATAN (Material) — Perancah, ratio 12.127659574468085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3.0319148936170213</v>
      </c>
      <c r="J24">
        <v>617789.1548463356</v>
      </c>
      <c r="K24">
        <v>8.607</v>
      </c>
      <c r="L24">
        <v>1753779.8527777777</v>
      </c>
    </row>
    <row r="25">
      <c r="A25">
        <v>6</v>
      </c>
      <c r="B25" t="str">
        <v>PEMBESIAN (Material) — ratio 213.09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D10</v>
      </c>
      <c r="D26" t="str">
        <v>U24/U40 polos</v>
      </c>
      <c r="E26">
        <v>85.89260074679443</v>
      </c>
      <c r="F26" t="str">
        <v>kg</v>
      </c>
      <c r="G26" t="str">
        <v>per m3 beton</v>
      </c>
      <c r="H26">
        <v>10300</v>
      </c>
      <c r="I26">
        <v>85.89260074679443</v>
      </c>
      <c r="J26">
        <v>884693.7876919826</v>
      </c>
      <c r="K26">
        <v>243.83191500000004</v>
      </c>
      <c r="L26">
        <v>2511468.7245</v>
      </c>
    </row>
    <row r="27">
      <c r="A27" t="str">
        <v/>
      </c>
      <c r="B27" t="str">
        <v/>
      </c>
      <c r="C27" t="str">
        <v>Besi beton D16</v>
      </c>
      <c r="D27" t="str">
        <v>U24/U40 polos</v>
      </c>
      <c r="E27">
        <v>127.1987609412428</v>
      </c>
      <c r="F27" t="str">
        <v>kg</v>
      </c>
      <c r="G27" t="str">
        <v>per m3 beton</v>
      </c>
      <c r="H27">
        <v>10300</v>
      </c>
      <c r="I27">
        <v>127.1987609412428</v>
      </c>
      <c r="J27">
        <v>1310147.2376948008</v>
      </c>
      <c r="K27">
        <v>361.09184256000003</v>
      </c>
      <c r="L27">
        <v>3719245.9783680006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10.654568084401872</v>
      </c>
      <c r="J28">
        <v>109742.05126933928</v>
      </c>
      <c r="K28">
        <v>30.246187878000033</v>
      </c>
      <c r="L28">
        <v>311535.7351434003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213.09136168803724</v>
      </c>
      <c r="J29">
        <v>21309.136168803725</v>
      </c>
      <c r="K29">
        <v>604.9237575600001</v>
      </c>
      <c r="L29">
        <v>60492.375756000016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4.4749185954487825</v>
      </c>
      <c r="J30">
        <v>78311.07542035369</v>
      </c>
      <c r="K30">
        <v>12.703398908760004</v>
      </c>
      <c r="L30">
        <v>222309.48090330005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8958831.857985234</v>
      </c>
      <c r="J32" t="str">
        <v/>
      </c>
      <c r="K32" t="str">
        <v/>
      </c>
      <c r="L32">
        <v>25432331.878448483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8958831.857985234</v>
      </c>
    </row>
    <row r="36">
      <c r="A36" t="str">
        <v>RAB (A) source unit cost</v>
      </c>
      <c r="B36">
        <v>8958831.857985232</v>
      </c>
    </row>
    <row r="37">
      <c r="A37" t="str">
        <v>Variance</v>
      </c>
      <c r="B37">
        <v>1.862645149230957e-9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25432331.878448483</v>
      </c>
    </row>
    <row r="40">
      <c r="A40" t="str">
        <v>RAB (A) source line total</v>
      </c>
      <c r="B40">
        <v>28992858.341431264</v>
      </c>
    </row>
    <row r="41">
      <c r="A41" t="str">
        <v>Variance</v>
      </c>
      <c r="B41">
        <v>-3560526.462982781</v>
      </c>
      <c r="C41" t="str">
        <v>✓ OK</v>
      </c>
    </row>
  </sheetData>
  <ignoredErrors>
    <ignoredError numberStoredAsText="1" sqref="A1:L41"/>
  </ignoredErrors>
</worksheet>
</file>

<file path=xl/worksheets/sheet150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V.A.2.15 - Balok B26-2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B26-2</v>
      </c>
    </row>
    <row r="5">
      <c r="A5" t="str">
        <v>Unit</v>
      </c>
      <c r="B5" t="str">
        <v>m3</v>
      </c>
    </row>
    <row r="6">
      <c r="A6" t="str">
        <v>Volume</v>
      </c>
      <c r="B6">
        <v>0.7661</v>
      </c>
    </row>
    <row r="7">
      <c r="A7" t="str">
        <v>Unit cost (Rp/m3)</v>
      </c>
      <c r="B7">
        <v>9228124.359559558</v>
      </c>
    </row>
    <row r="8">
      <c r="A8" t="str">
        <v>Line total at-cost (Rp)</v>
      </c>
      <c r="B8">
        <v>7069666.071858577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0.804405</v>
      </c>
      <c r="L12">
        <v>816993.9382500002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0.7661</v>
      </c>
      <c r="L14">
        <v>57457.5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0.7661</v>
      </c>
      <c r="L16">
        <v>1340675</v>
      </c>
    </row>
    <row r="17">
      <c r="A17">
        <v>4</v>
      </c>
      <c r="B17" t="str">
        <v>BEKISTING BALOK (Material) — ratio 12.127659574468085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6.0638297872340425</v>
      </c>
      <c r="J18">
        <v>1212765.9574468085</v>
      </c>
      <c r="K18">
        <v>4.6455</v>
      </c>
      <c r="L18">
        <v>929100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27.28723404255319</v>
      </c>
      <c r="J19">
        <v>1298872.3404255318</v>
      </c>
      <c r="K19">
        <v>20.90475</v>
      </c>
      <c r="L19">
        <v>995066.1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9.095744680851064</v>
      </c>
      <c r="J20">
        <v>432957.44680851063</v>
      </c>
      <c r="K20">
        <v>6.96825</v>
      </c>
      <c r="L20">
        <v>331688.7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4.547872340425532</v>
      </c>
      <c r="J21">
        <v>59122.34042553192</v>
      </c>
      <c r="K21">
        <v>3.484125</v>
      </c>
      <c r="L21">
        <v>45293.625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1.5159574468085106</v>
      </c>
      <c r="J22">
        <v>41688.82978723404</v>
      </c>
      <c r="K22">
        <v>1.161375</v>
      </c>
      <c r="L22">
        <v>31937.8125</v>
      </c>
    </row>
    <row r="23">
      <c r="A23">
        <v>5</v>
      </c>
      <c r="B23" t="str">
        <v>BEKISTING BALOK PERALATAN (Material) — Perancah, ratio 12.127659574468085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3.0319148936170213</v>
      </c>
      <c r="J24">
        <v>617789.1548463356</v>
      </c>
      <c r="K24">
        <v>2.32275</v>
      </c>
      <c r="L24">
        <v>473288.2715277777</v>
      </c>
    </row>
    <row r="25">
      <c r="A25">
        <v>6</v>
      </c>
      <c r="B25" t="str">
        <v>PEMBESIAN (Material) — ratio 236.96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D10</v>
      </c>
      <c r="D26" t="str">
        <v>U24/U40 polos</v>
      </c>
      <c r="E26">
        <v>84.85022842970892</v>
      </c>
      <c r="F26" t="str">
        <v>kg</v>
      </c>
      <c r="G26" t="str">
        <v>per m3 beton</v>
      </c>
      <c r="H26">
        <v>10300</v>
      </c>
      <c r="I26">
        <v>84.85022842970892</v>
      </c>
      <c r="J26">
        <v>873957.3528260019</v>
      </c>
      <c r="K26">
        <v>65.00376</v>
      </c>
      <c r="L26">
        <v>669538.7280000001</v>
      </c>
    </row>
    <row r="27">
      <c r="A27" t="str">
        <v/>
      </c>
      <c r="B27" t="str">
        <v/>
      </c>
      <c r="C27" t="str">
        <v>Besi beton D16</v>
      </c>
      <c r="D27" t="str">
        <v>U24/U40 polos</v>
      </c>
      <c r="E27">
        <v>152.10929205064613</v>
      </c>
      <c r="F27" t="str">
        <v>kg</v>
      </c>
      <c r="G27" t="str">
        <v>per m3 beton</v>
      </c>
      <c r="H27">
        <v>10300</v>
      </c>
      <c r="I27">
        <v>152.10929205064613</v>
      </c>
      <c r="J27">
        <v>1566725.7081216553</v>
      </c>
      <c r="K27">
        <v>116.53092864</v>
      </c>
      <c r="L27">
        <v>1200268.564992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11.847976024017763</v>
      </c>
      <c r="J28">
        <v>122034.15304738296</v>
      </c>
      <c r="K28">
        <v>9.076734432000007</v>
      </c>
      <c r="L28">
        <v>93490.36464960009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236.95952048035505</v>
      </c>
      <c r="J29">
        <v>23695.952048035506</v>
      </c>
      <c r="K29">
        <v>181.53468864</v>
      </c>
      <c r="L29">
        <v>18153.468864000002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4.976149930087456</v>
      </c>
      <c r="J30">
        <v>87082.62377653048</v>
      </c>
      <c r="K30">
        <v>3.81222846144</v>
      </c>
      <c r="L30">
        <v>66713.9980752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9228124.359559558</v>
      </c>
      <c r="J32" t="str">
        <v/>
      </c>
      <c r="K32" t="str">
        <v/>
      </c>
      <c r="L32">
        <v>7069666.071858577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9228124.359559558</v>
      </c>
    </row>
    <row r="36">
      <c r="A36" t="str">
        <v>RAB (A) source unit cost</v>
      </c>
      <c r="B36">
        <v>9228124.359559558</v>
      </c>
    </row>
    <row r="37">
      <c r="A37" t="str">
        <v>Variance</v>
      </c>
      <c r="B37">
        <v>0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7069666.071858577</v>
      </c>
    </row>
    <row r="40">
      <c r="A40" t="str">
        <v>RAB (A) source line total</v>
      </c>
      <c r="B40">
        <v>8059419.321918777</v>
      </c>
    </row>
    <row r="41">
      <c r="A41" t="str">
        <v>Variance</v>
      </c>
      <c r="B41">
        <v>-989753.2500601998</v>
      </c>
      <c r="C41" t="str">
        <v>✓ OK</v>
      </c>
    </row>
  </sheetData>
  <ignoredErrors>
    <ignoredError numberStoredAsText="1" sqref="A1:L41"/>
  </ignoredErrors>
</worksheet>
</file>

<file path=xl/worksheets/sheet151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V.A.2.16 - Balok B26-3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B26-3</v>
      </c>
    </row>
    <row r="5">
      <c r="A5" t="str">
        <v>Unit</v>
      </c>
      <c r="B5" t="str">
        <v>m3</v>
      </c>
    </row>
    <row r="6">
      <c r="A6" t="str">
        <v>Volume</v>
      </c>
      <c r="B6">
        <v>0.40185</v>
      </c>
    </row>
    <row r="7">
      <c r="A7" t="str">
        <v>Unit cost (Rp/m3)</v>
      </c>
      <c r="B7">
        <v>9350973.329041746</v>
      </c>
    </row>
    <row r="8">
      <c r="A8" t="str">
        <v>Line total at-cost (Rp)</v>
      </c>
      <c r="B8">
        <v>3757688.6322754254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0.4219425</v>
      </c>
      <c r="L12">
        <v>428545.9001250001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0.40185</v>
      </c>
      <c r="L14">
        <v>30138.75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0.40185</v>
      </c>
      <c r="L16">
        <v>703237.5</v>
      </c>
    </row>
    <row r="17">
      <c r="A17">
        <v>4</v>
      </c>
      <c r="B17" t="str">
        <v>BEKISTING BALOK (Material) — ratio 12.127659574468085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6.0638297872340425</v>
      </c>
      <c r="J18">
        <v>1212765.9574468085</v>
      </c>
      <c r="K18">
        <v>2.43675</v>
      </c>
      <c r="L18">
        <v>487349.99999999994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27.28723404255319</v>
      </c>
      <c r="J19">
        <v>1298872.3404255318</v>
      </c>
      <c r="K19">
        <v>10.965375</v>
      </c>
      <c r="L19">
        <v>521951.85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9.095744680851064</v>
      </c>
      <c r="J20">
        <v>432957.44680851063</v>
      </c>
      <c r="K20">
        <v>3.655125</v>
      </c>
      <c r="L20">
        <v>173983.94999999998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4.547872340425532</v>
      </c>
      <c r="J21">
        <v>59122.34042553192</v>
      </c>
      <c r="K21">
        <v>1.8275625</v>
      </c>
      <c r="L21">
        <v>23758.3125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1.5159574468085106</v>
      </c>
      <c r="J22">
        <v>41688.82978723404</v>
      </c>
      <c r="K22">
        <v>0.6091875</v>
      </c>
      <c r="L22">
        <v>16752.65625</v>
      </c>
    </row>
    <row r="23">
      <c r="A23">
        <v>5</v>
      </c>
      <c r="B23" t="str">
        <v>BEKISTING BALOK PERALATAN (Material) — Perancah, ratio 12.127659574468085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3.0319148936170213</v>
      </c>
      <c r="J24">
        <v>617789.1548463356</v>
      </c>
      <c r="K24">
        <v>1.218375</v>
      </c>
      <c r="L24">
        <v>248258.57187499997</v>
      </c>
    </row>
    <row r="25">
      <c r="A25">
        <v>6</v>
      </c>
      <c r="B25" t="str">
        <v>PEMBESIAN (Material) — ratio 247.85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D10</v>
      </c>
      <c r="D26" t="str">
        <v>U24/U40 polos</v>
      </c>
      <c r="E26">
        <v>90.63784994400896</v>
      </c>
      <c r="F26" t="str">
        <v>kg</v>
      </c>
      <c r="G26" t="str">
        <v>per m3 beton</v>
      </c>
      <c r="H26">
        <v>10300</v>
      </c>
      <c r="I26">
        <v>90.63784994400896</v>
      </c>
      <c r="J26">
        <v>933569.8544232923</v>
      </c>
      <c r="K26">
        <v>36.42282</v>
      </c>
      <c r="L26">
        <v>375155.04600000003</v>
      </c>
    </row>
    <row r="27">
      <c r="A27" t="str">
        <v/>
      </c>
      <c r="B27" t="str">
        <v/>
      </c>
      <c r="C27" t="str">
        <v>Besi beton D19</v>
      </c>
      <c r="D27" t="str">
        <v>U24/U40 polos</v>
      </c>
      <c r="E27">
        <v>157.21012340425534</v>
      </c>
      <c r="F27" t="str">
        <v>kg</v>
      </c>
      <c r="G27" t="str">
        <v>per m3 beton</v>
      </c>
      <c r="H27">
        <v>10300</v>
      </c>
      <c r="I27">
        <v>157.21012340425534</v>
      </c>
      <c r="J27">
        <v>1619264.27106383</v>
      </c>
      <c r="K27">
        <v>63.17488809</v>
      </c>
      <c r="L27">
        <v>650701.3473270001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12.392398667413227</v>
      </c>
      <c r="J28">
        <v>127641.70627435624</v>
      </c>
      <c r="K28">
        <v>4.979885404500005</v>
      </c>
      <c r="L28">
        <v>51292.81966635006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247.8479733482643</v>
      </c>
      <c r="J29">
        <v>24784.79733482643</v>
      </c>
      <c r="K29">
        <v>99.59770809000001</v>
      </c>
      <c r="L29">
        <v>9959.770809000001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5.204807440313551</v>
      </c>
      <c r="J30">
        <v>91084.13020548713</v>
      </c>
      <c r="K30">
        <v>2.0915518698900004</v>
      </c>
      <c r="L30">
        <v>36602.157723075004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9350973.329041746</v>
      </c>
      <c r="J32" t="str">
        <v/>
      </c>
      <c r="K32" t="str">
        <v/>
      </c>
      <c r="L32">
        <v>3757688.6322754254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9350973.329041746</v>
      </c>
    </row>
    <row r="36">
      <c r="A36" t="str">
        <v>RAB (A) source unit cost</v>
      </c>
      <c r="B36">
        <v>9350973.329041744</v>
      </c>
    </row>
    <row r="37">
      <c r="A37" t="str">
        <v>Variance</v>
      </c>
      <c r="B37">
        <v>1.862645149230957e-9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3757688.6322754254</v>
      </c>
    </row>
    <row r="40">
      <c r="A40" t="str">
        <v>RAB (A) source line total</v>
      </c>
      <c r="B40">
        <v>4283765.040793983</v>
      </c>
    </row>
    <row r="41">
      <c r="A41" t="str">
        <v>Variance</v>
      </c>
      <c r="B41">
        <v>-526076.4085185579</v>
      </c>
      <c r="C41" t="str">
        <v>✓ OK</v>
      </c>
    </row>
  </sheetData>
  <ignoredErrors>
    <ignoredError numberStoredAsText="1" sqref="A1:L41"/>
  </ignoredErrors>
</worksheet>
</file>

<file path=xl/worksheets/sheet152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V.A.2.17 - Balok B26-4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B26-4</v>
      </c>
    </row>
    <row r="5">
      <c r="A5" t="str">
        <v>Unit</v>
      </c>
      <c r="B5" t="str">
        <v>m3</v>
      </c>
    </row>
    <row r="6">
      <c r="A6" t="str">
        <v>Volume</v>
      </c>
      <c r="B6">
        <v>0.25615</v>
      </c>
    </row>
    <row r="7">
      <c r="A7" t="str">
        <v>Unit cost (Rp/m3)</v>
      </c>
      <c r="B7">
        <v>11424560.59387137</v>
      </c>
    </row>
    <row r="8">
      <c r="A8" t="str">
        <v>Line total at-cost (Rp)</v>
      </c>
      <c r="B8">
        <v>2926401.1961201513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0.2689575</v>
      </c>
      <c r="L12">
        <v>273166.68487500004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0.25615</v>
      </c>
      <c r="L14">
        <v>19211.25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0.25615</v>
      </c>
      <c r="L16">
        <v>448262.5</v>
      </c>
    </row>
    <row r="17">
      <c r="A17">
        <v>4</v>
      </c>
      <c r="B17" t="str">
        <v>BEKISTING BALOK (Material) — ratio 12.127659574468085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6.0638297872340425</v>
      </c>
      <c r="J18">
        <v>1212765.9574468085</v>
      </c>
      <c r="K18">
        <v>1.55325</v>
      </c>
      <c r="L18">
        <v>310650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27.28723404255319</v>
      </c>
      <c r="J19">
        <v>1298872.3404255318</v>
      </c>
      <c r="K19">
        <v>6.989624999999999</v>
      </c>
      <c r="L19">
        <v>332706.14999999997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9.095744680851064</v>
      </c>
      <c r="J20">
        <v>432957.44680851063</v>
      </c>
      <c r="K20">
        <v>2.329875</v>
      </c>
      <c r="L20">
        <v>110902.04999999999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4.547872340425532</v>
      </c>
      <c r="J21">
        <v>59122.34042553192</v>
      </c>
      <c r="K21">
        <v>1.1649375</v>
      </c>
      <c r="L21">
        <v>15144.1875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1.5159574468085106</v>
      </c>
      <c r="J22">
        <v>41688.82978723404</v>
      </c>
      <c r="K22">
        <v>0.3883125</v>
      </c>
      <c r="L22">
        <v>10678.59375</v>
      </c>
    </row>
    <row r="23">
      <c r="A23">
        <v>5</v>
      </c>
      <c r="B23" t="str">
        <v>BEKISTING BALOK PERALATAN (Material) — Perancah, ratio 12.127659574468085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3.0319148936170213</v>
      </c>
      <c r="J24">
        <v>617789.1548463356</v>
      </c>
      <c r="K24">
        <v>0.776625</v>
      </c>
      <c r="L24">
        <v>158246.69201388888</v>
      </c>
    </row>
    <row r="25">
      <c r="A25">
        <v>6</v>
      </c>
      <c r="B25" t="str">
        <v>PEMBESIAN (Material) — ratio 431.64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D10</v>
      </c>
      <c r="D26" t="str">
        <v>U24/U40 polos</v>
      </c>
      <c r="E26">
        <v>182.8921920749561</v>
      </c>
      <c r="F26" t="str">
        <v>kg</v>
      </c>
      <c r="G26" t="str">
        <v>per m3 beton</v>
      </c>
      <c r="H26">
        <v>10300</v>
      </c>
      <c r="I26">
        <v>182.8921920749561</v>
      </c>
      <c r="J26">
        <v>1883789.578372048</v>
      </c>
      <c r="K26">
        <v>46.847835</v>
      </c>
      <c r="L26">
        <v>482532.7005000001</v>
      </c>
    </row>
    <row r="27">
      <c r="A27" t="str">
        <v/>
      </c>
      <c r="B27" t="str">
        <v/>
      </c>
      <c r="C27" t="str">
        <v>Besi beton D19</v>
      </c>
      <c r="D27" t="str">
        <v>U24/U40 polos</v>
      </c>
      <c r="E27">
        <v>248.74370636345895</v>
      </c>
      <c r="F27" t="str">
        <v>kg</v>
      </c>
      <c r="G27" t="str">
        <v>per m3 beton</v>
      </c>
      <c r="H27">
        <v>10300</v>
      </c>
      <c r="I27">
        <v>248.74370636345895</v>
      </c>
      <c r="J27">
        <v>2562060.1755436272</v>
      </c>
      <c r="K27">
        <v>63.715700385000005</v>
      </c>
      <c r="L27">
        <v>656271.7139655001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21.581794921920775</v>
      </c>
      <c r="J28">
        <v>222292.487695784</v>
      </c>
      <c r="K28">
        <v>5.528176769250006</v>
      </c>
      <c r="L28">
        <v>56940.220723275066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431.6358984384151</v>
      </c>
      <c r="J29">
        <v>43163.58984384151</v>
      </c>
      <c r="K29">
        <v>110.56353538500002</v>
      </c>
      <c r="L29">
        <v>11056.353538500001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9.064353867206718</v>
      </c>
      <c r="J30">
        <v>158626.19267611756</v>
      </c>
      <c r="K30">
        <v>2.3218342430850005</v>
      </c>
      <c r="L30">
        <v>40632.09925398751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11424560.59387137</v>
      </c>
      <c r="J32" t="str">
        <v/>
      </c>
      <c r="K32" t="str">
        <v/>
      </c>
      <c r="L32">
        <v>2926401.1961201513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11424560.59387137</v>
      </c>
    </row>
    <row r="36">
      <c r="A36" t="str">
        <v>RAB (A) source unit cost</v>
      </c>
      <c r="B36">
        <v>11424560.593871368</v>
      </c>
    </row>
    <row r="37">
      <c r="A37" t="str">
        <v>Variance</v>
      </c>
      <c r="B37">
        <v>1.862645149230957e-9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2926401.1961201513</v>
      </c>
    </row>
    <row r="40">
      <c r="A40" t="str">
        <v>RAB (A) source line total</v>
      </c>
      <c r="B40">
        <v>3336097.3635769715</v>
      </c>
    </row>
    <row r="41">
      <c r="A41" t="str">
        <v>Variance</v>
      </c>
      <c r="B41">
        <v>-409696.16745682014</v>
      </c>
      <c r="C41" t="str">
        <v>✓ OK</v>
      </c>
    </row>
  </sheetData>
  <ignoredErrors>
    <ignoredError numberStoredAsText="1" sqref="A1:L41"/>
  </ignoredErrors>
</worksheet>
</file>

<file path=xl/worksheets/sheet153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V.A.2.18 - Balok B26-5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B26-5</v>
      </c>
    </row>
    <row r="5">
      <c r="A5" t="str">
        <v>Unit</v>
      </c>
      <c r="B5" t="str">
        <v>m3</v>
      </c>
    </row>
    <row r="6">
      <c r="A6" t="str">
        <v>Volume</v>
      </c>
      <c r="B6">
        <v>0.9494</v>
      </c>
    </row>
    <row r="7">
      <c r="A7" t="str">
        <v>Unit cost (Rp/m3)</v>
      </c>
      <c r="B7">
        <v>10680314.348278528</v>
      </c>
    </row>
    <row r="8">
      <c r="A8" t="str">
        <v>Line total at-cost (Rp)</v>
      </c>
      <c r="B8">
        <v>10139890.442255635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0.99687</v>
      </c>
      <c r="L12">
        <v>1012471.0155000002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0.9494</v>
      </c>
      <c r="L14">
        <v>71205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0.9494</v>
      </c>
      <c r="L16">
        <v>1661450</v>
      </c>
    </row>
    <row r="17">
      <c r="A17">
        <v>4</v>
      </c>
      <c r="B17" t="str">
        <v>BEKISTING BALOK (Material) — ratio 12.127659574468083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6.063829787234042</v>
      </c>
      <c r="J18">
        <v>1212765.9574468082</v>
      </c>
      <c r="K18">
        <v>5.757</v>
      </c>
      <c r="L18">
        <v>1151399.9999999998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27.287234042553187</v>
      </c>
      <c r="J19">
        <v>1298872.3404255316</v>
      </c>
      <c r="K19">
        <v>25.906499999999998</v>
      </c>
      <c r="L19">
        <v>1233149.3999999997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9.095744680851062</v>
      </c>
      <c r="J20">
        <v>432957.4468085106</v>
      </c>
      <c r="K20">
        <v>8.635499999999999</v>
      </c>
      <c r="L20">
        <v>411049.79999999993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4.547872340425531</v>
      </c>
      <c r="J21">
        <v>59122.340425531904</v>
      </c>
      <c r="K21">
        <v>4.317749999999999</v>
      </c>
      <c r="L21">
        <v>56130.74999999999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1.5159574468085104</v>
      </c>
      <c r="J22">
        <v>41688.82978723403</v>
      </c>
      <c r="K22">
        <v>1.43925</v>
      </c>
      <c r="L22">
        <v>39579.37499999999</v>
      </c>
    </row>
    <row r="23">
      <c r="A23">
        <v>5</v>
      </c>
      <c r="B23" t="str">
        <v>BEKISTING BALOK PERALATAN (Material) — Perancah, ratio 12.127659574468083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3.031914893617021</v>
      </c>
      <c r="J24">
        <v>617789.1548463355</v>
      </c>
      <c r="K24">
        <v>2.8785</v>
      </c>
      <c r="L24">
        <v>586529.023611111</v>
      </c>
    </row>
    <row r="25">
      <c r="A25">
        <v>6</v>
      </c>
      <c r="B25" t="str">
        <v>PEMBESIAN (Material) — ratio 365.67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D10</v>
      </c>
      <c r="D26" t="str">
        <v>U24/U40 polos</v>
      </c>
      <c r="E26">
        <v>101.9556193385296</v>
      </c>
      <c r="F26" t="str">
        <v>kg</v>
      </c>
      <c r="G26" t="str">
        <v>per m3 beton</v>
      </c>
      <c r="H26">
        <v>10300</v>
      </c>
      <c r="I26">
        <v>101.9556193385296</v>
      </c>
      <c r="J26">
        <v>1050142.879186855</v>
      </c>
      <c r="K26">
        <v>96.796665</v>
      </c>
      <c r="L26">
        <v>997005.6495</v>
      </c>
    </row>
    <row r="27">
      <c r="A27" t="str">
        <v/>
      </c>
      <c r="B27" t="str">
        <v/>
      </c>
      <c r="C27" t="str">
        <v>Besi beton D19</v>
      </c>
      <c r="D27" t="str">
        <v>U24/U40 polos</v>
      </c>
      <c r="E27">
        <v>263.71562183484303</v>
      </c>
      <c r="F27" t="str">
        <v>kg</v>
      </c>
      <c r="G27" t="str">
        <v>per m3 beton</v>
      </c>
      <c r="H27">
        <v>10300</v>
      </c>
      <c r="I27">
        <v>263.71562183484303</v>
      </c>
      <c r="J27">
        <v>2716270.9048988833</v>
      </c>
      <c r="K27">
        <v>250.37161136999998</v>
      </c>
      <c r="L27">
        <v>2578827.5971109997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18.28356205866865</v>
      </c>
      <c r="J28">
        <v>188320.6892042871</v>
      </c>
      <c r="K28">
        <v>17.35841381850002</v>
      </c>
      <c r="L28">
        <v>178791.66233055017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365.67124117337266</v>
      </c>
      <c r="J29">
        <v>36567.12411733727</v>
      </c>
      <c r="K29">
        <v>347.16827637</v>
      </c>
      <c r="L29">
        <v>34716.827637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7.679096064640826</v>
      </c>
      <c r="J30">
        <v>134384.18113121446</v>
      </c>
      <c r="K30">
        <v>7.290533803770001</v>
      </c>
      <c r="L30">
        <v>127584.341565975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10680314.348278528</v>
      </c>
      <c r="J32" t="str">
        <v/>
      </c>
      <c r="K32" t="str">
        <v/>
      </c>
      <c r="L32">
        <v>10139890.442255635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10680314.348278528</v>
      </c>
    </row>
    <row r="36">
      <c r="A36" t="str">
        <v>RAB (A) source unit cost</v>
      </c>
      <c r="B36">
        <v>10680314.348278528</v>
      </c>
    </row>
    <row r="37">
      <c r="A37" t="str">
        <v>Variance</v>
      </c>
      <c r="B37">
        <v>0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10139890.442255635</v>
      </c>
    </row>
    <row r="40">
      <c r="A40" t="str">
        <v>RAB (A) source line total</v>
      </c>
      <c r="B40">
        <v>11559475.104171423</v>
      </c>
    </row>
    <row r="41">
      <c r="A41" t="str">
        <v>Variance</v>
      </c>
      <c r="B41">
        <v>-1419584.6619157884</v>
      </c>
      <c r="C41" t="str">
        <v>✓ OK</v>
      </c>
    </row>
  </sheetData>
  <ignoredErrors>
    <ignoredError numberStoredAsText="1" sqref="A1:L41"/>
  </ignoredErrors>
</worksheet>
</file>

<file path=xl/worksheets/sheet154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V.A.2.19 - Balok CL26-1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CL26-1</v>
      </c>
    </row>
    <row r="5">
      <c r="A5" t="str">
        <v>Unit</v>
      </c>
      <c r="B5" t="str">
        <v>m3</v>
      </c>
    </row>
    <row r="6">
      <c r="A6" t="str">
        <v>Volume</v>
      </c>
      <c r="B6">
        <v>0.4982</v>
      </c>
    </row>
    <row r="7">
      <c r="A7" t="str">
        <v>Unit cost (Rp/m3)</v>
      </c>
      <c r="B7">
        <v>9088933.100438869</v>
      </c>
    </row>
    <row r="8">
      <c r="A8" t="str">
        <v>Line total at-cost (Rp)</v>
      </c>
      <c r="B8">
        <v>4528106.470638644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0.52311</v>
      </c>
      <c r="L12">
        <v>531296.6715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0.4982</v>
      </c>
      <c r="L14">
        <v>37365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0.4982</v>
      </c>
      <c r="L16">
        <v>871850</v>
      </c>
    </row>
    <row r="17">
      <c r="A17">
        <v>4</v>
      </c>
      <c r="B17" t="str">
        <v>BEKISTING BALOK (Material) — ratio 12.127659574468085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6.0638297872340425</v>
      </c>
      <c r="J18">
        <v>1212765.9574468085</v>
      </c>
      <c r="K18">
        <v>3.021</v>
      </c>
      <c r="L18">
        <v>604200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27.28723404255319</v>
      </c>
      <c r="J19">
        <v>1298872.3404255318</v>
      </c>
      <c r="K19">
        <v>13.594499999999998</v>
      </c>
      <c r="L19">
        <v>647098.2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9.095744680851064</v>
      </c>
      <c r="J20">
        <v>432957.44680851063</v>
      </c>
      <c r="K20">
        <v>4.5315</v>
      </c>
      <c r="L20">
        <v>215699.4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4.547872340425532</v>
      </c>
      <c r="J21">
        <v>59122.34042553192</v>
      </c>
      <c r="K21">
        <v>2.26575</v>
      </c>
      <c r="L21">
        <v>29454.75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1.5159574468085106</v>
      </c>
      <c r="J22">
        <v>41688.82978723404</v>
      </c>
      <c r="K22">
        <v>0.75525</v>
      </c>
      <c r="L22">
        <v>20769.374999999996</v>
      </c>
    </row>
    <row r="23">
      <c r="A23">
        <v>5</v>
      </c>
      <c r="B23" t="str">
        <v>BEKISTING BALOK PERALATAN (Material) — Perancah, ratio 12.127659574468085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3.0319148936170213</v>
      </c>
      <c r="J24">
        <v>617789.1548463356</v>
      </c>
      <c r="K24">
        <v>1.5105</v>
      </c>
      <c r="L24">
        <v>307782.5569444444</v>
      </c>
    </row>
    <row r="25">
      <c r="A25">
        <v>6</v>
      </c>
      <c r="B25" t="str">
        <v>PEMBESIAN (Material) — ratio 224.62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D10</v>
      </c>
      <c r="D26" t="str">
        <v>U24/U40 polos</v>
      </c>
      <c r="E26">
        <v>81.54827378562828</v>
      </c>
      <c r="F26" t="str">
        <v>kg</v>
      </c>
      <c r="G26" t="str">
        <v>per m3 beton</v>
      </c>
      <c r="H26">
        <v>10300</v>
      </c>
      <c r="I26">
        <v>81.54827378562828</v>
      </c>
      <c r="J26">
        <v>839947.2199919713</v>
      </c>
      <c r="K26">
        <v>40.62735000000001</v>
      </c>
      <c r="L26">
        <v>418461.7050000001</v>
      </c>
    </row>
    <row r="27">
      <c r="A27" t="str">
        <v/>
      </c>
      <c r="B27" t="str">
        <v/>
      </c>
      <c r="C27" t="str">
        <v>Besi beton D16</v>
      </c>
      <c r="D27" t="str">
        <v>U24/U40 polos</v>
      </c>
      <c r="E27">
        <v>143.0743303091128</v>
      </c>
      <c r="F27" t="str">
        <v>kg</v>
      </c>
      <c r="G27" t="str">
        <v>per m3 beton</v>
      </c>
      <c r="H27">
        <v>10300</v>
      </c>
      <c r="I27">
        <v>143.0743303091128</v>
      </c>
      <c r="J27">
        <v>1473665.602183862</v>
      </c>
      <c r="K27">
        <v>71.27963136</v>
      </c>
      <c r="L27">
        <v>734180.2030079999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11.231130204737065</v>
      </c>
      <c r="J28">
        <v>115680.64110879177</v>
      </c>
      <c r="K28">
        <v>5.595349068000005</v>
      </c>
      <c r="L28">
        <v>57632.09540040005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224.6226040947411</v>
      </c>
      <c r="J29">
        <v>22462.26040947411</v>
      </c>
      <c r="K29">
        <v>111.90698136</v>
      </c>
      <c r="L29">
        <v>11190.698136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4.717074685989563</v>
      </c>
      <c r="J30">
        <v>82548.80700481735</v>
      </c>
      <c r="K30">
        <v>2.35004660856</v>
      </c>
      <c r="L30">
        <v>41125.8156498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9088933.100438869</v>
      </c>
      <c r="J32" t="str">
        <v/>
      </c>
      <c r="K32" t="str">
        <v/>
      </c>
      <c r="L32">
        <v>4528106.470638644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9088933.100438869</v>
      </c>
    </row>
    <row r="36">
      <c r="A36" t="str">
        <v>RAB (A) source unit cost</v>
      </c>
      <c r="B36">
        <v>9088933.100438869</v>
      </c>
    </row>
    <row r="37">
      <c r="A37" t="str">
        <v>Variance</v>
      </c>
      <c r="B37">
        <v>0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4528106.470638644</v>
      </c>
    </row>
    <row r="40">
      <c r="A40" t="str">
        <v>RAB (A) source line total</v>
      </c>
      <c r="B40">
        <v>5162041.376528054</v>
      </c>
    </row>
    <row r="41">
      <c r="A41" t="str">
        <v>Variance</v>
      </c>
      <c r="B41">
        <v>-633934.9058894096</v>
      </c>
      <c r="C41" t="str">
        <v>✓ OK</v>
      </c>
    </row>
  </sheetData>
  <ignoredErrors>
    <ignoredError numberStoredAsText="1" sqref="A1:L41"/>
  </ignoredErrors>
</worksheet>
</file>

<file path=xl/worksheets/sheet155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V.A.2.20 - Balok B257-1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B257-1</v>
      </c>
    </row>
    <row r="5">
      <c r="A5" t="str">
        <v>Unit</v>
      </c>
      <c r="B5" t="str">
        <v>m3</v>
      </c>
    </row>
    <row r="6">
      <c r="A6" t="str">
        <v>Volume</v>
      </c>
      <c r="B6">
        <v>0.7125</v>
      </c>
    </row>
    <row r="7">
      <c r="A7" t="str">
        <v>Unit cost (Rp/m3)</v>
      </c>
      <c r="B7">
        <v>7439853.18789551</v>
      </c>
    </row>
    <row r="8">
      <c r="A8" t="str">
        <v>Line total at-cost (Rp)</v>
      </c>
      <c r="B8">
        <v>5300895.396375551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0.748125</v>
      </c>
      <c r="L12">
        <v>759833.1562500002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0.7125</v>
      </c>
      <c r="L14">
        <v>53437.5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0.7125</v>
      </c>
      <c r="L16">
        <v>1246875</v>
      </c>
    </row>
    <row r="17">
      <c r="A17">
        <v>4</v>
      </c>
      <c r="B17" t="str">
        <v>BEKISTING BALOK (Material) — ratio 9.75438596491228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4.87719298245614</v>
      </c>
      <c r="J18">
        <v>975438.5964912281</v>
      </c>
      <c r="K18">
        <v>3.475</v>
      </c>
      <c r="L18">
        <v>695000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21.94736842105263</v>
      </c>
      <c r="J19">
        <v>1044694.7368421052</v>
      </c>
      <c r="K19">
        <v>15.6375</v>
      </c>
      <c r="L19">
        <v>744345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7.315789473684211</v>
      </c>
      <c r="J20">
        <v>348231.5789473684</v>
      </c>
      <c r="K20">
        <v>5.2125</v>
      </c>
      <c r="L20">
        <v>248115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3.6578947368421053</v>
      </c>
      <c r="J21">
        <v>47552.63157894737</v>
      </c>
      <c r="K21">
        <v>2.60625</v>
      </c>
      <c r="L21">
        <v>33881.25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1.219298245614035</v>
      </c>
      <c r="J22">
        <v>33530.70175438596</v>
      </c>
      <c r="K22">
        <v>0.86875</v>
      </c>
      <c r="L22">
        <v>23890.625</v>
      </c>
    </row>
    <row r="23">
      <c r="A23">
        <v>5</v>
      </c>
      <c r="B23" t="str">
        <v>BEKISTING BALOK PERALATAN (Material) — Perancah, ratio 9.75438596491228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2.43859649122807</v>
      </c>
      <c r="J24">
        <v>496893.3885640026</v>
      </c>
      <c r="K24">
        <v>1.7375</v>
      </c>
      <c r="L24">
        <v>354036.53935185185</v>
      </c>
    </row>
    <row r="25">
      <c r="A25">
        <v>6</v>
      </c>
      <c r="B25" t="str">
        <v>PEMBESIAN (Material) — ratio 142.00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D10</v>
      </c>
      <c r="D26" t="str">
        <v>U24/U40 polos</v>
      </c>
      <c r="E26">
        <v>70.44107368421054</v>
      </c>
      <c r="F26" t="str">
        <v>kg</v>
      </c>
      <c r="G26" t="str">
        <v>per m3 beton</v>
      </c>
      <c r="H26">
        <v>10300</v>
      </c>
      <c r="I26">
        <v>70.44107368421054</v>
      </c>
      <c r="J26">
        <v>725543.0589473685</v>
      </c>
      <c r="K26">
        <v>50.189265000000006</v>
      </c>
      <c r="L26">
        <v>516949.4295000001</v>
      </c>
    </row>
    <row r="27">
      <c r="A27" t="str">
        <v/>
      </c>
      <c r="B27" t="str">
        <v/>
      </c>
      <c r="C27" t="str">
        <v>Besi beton D16</v>
      </c>
      <c r="D27" t="str">
        <v>U24/U40 polos</v>
      </c>
      <c r="E27">
        <v>71.55574029473685</v>
      </c>
      <c r="F27" t="str">
        <v>kg</v>
      </c>
      <c r="G27" t="str">
        <v>per m3 beton</v>
      </c>
      <c r="H27">
        <v>10300</v>
      </c>
      <c r="I27">
        <v>71.55574029473685</v>
      </c>
      <c r="J27">
        <v>737024.1250357896</v>
      </c>
      <c r="K27">
        <v>50.983464960000006</v>
      </c>
      <c r="L27">
        <v>525129.6890880001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7.099840698947376</v>
      </c>
      <c r="J28">
        <v>73128.35919915797</v>
      </c>
      <c r="K28">
        <v>5.058636498000006</v>
      </c>
      <c r="L28">
        <v>52103.95592940006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141.9968139789474</v>
      </c>
      <c r="J29">
        <v>14199.68139789474</v>
      </c>
      <c r="K29">
        <v>101.17272996000001</v>
      </c>
      <c r="L29">
        <v>10117.272996000002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2.9819330935578954</v>
      </c>
      <c r="J30">
        <v>52183.82913726317</v>
      </c>
      <c r="K30">
        <v>2.1246273291600004</v>
      </c>
      <c r="L30">
        <v>37180.97826030001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7439853.18789551</v>
      </c>
      <c r="J32" t="str">
        <v/>
      </c>
      <c r="K32" t="str">
        <v/>
      </c>
      <c r="L32">
        <v>5300895.396375551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7439853.18789551</v>
      </c>
    </row>
    <row r="36">
      <c r="A36" t="str">
        <v>RAB (A) source unit cost</v>
      </c>
      <c r="B36">
        <v>7439853.187895511</v>
      </c>
    </row>
    <row r="37">
      <c r="A37" t="str">
        <v>Variance</v>
      </c>
      <c r="B37">
        <v>-9.313225746154785e-10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5300895.396375551</v>
      </c>
    </row>
    <row r="40">
      <c r="A40" t="str">
        <v>RAB (A) source line total</v>
      </c>
      <c r="B40">
        <v>6043020.751868129</v>
      </c>
    </row>
    <row r="41">
      <c r="A41" t="str">
        <v>Variance</v>
      </c>
      <c r="B41">
        <v>-742125.3554925779</v>
      </c>
      <c r="C41" t="str">
        <v>✓ OK</v>
      </c>
    </row>
  </sheetData>
  <ignoredErrors>
    <ignoredError numberStoredAsText="1" sqref="A1:L41"/>
  </ignoredErrors>
</worksheet>
</file>

<file path=xl/worksheets/sheet156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V.A.2.21 - Balok B257-2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B257-2</v>
      </c>
    </row>
    <row r="5">
      <c r="A5" t="str">
        <v>Unit</v>
      </c>
      <c r="B5" t="str">
        <v>m3</v>
      </c>
    </row>
    <row r="6">
      <c r="A6" t="str">
        <v>Volume</v>
      </c>
      <c r="B6">
        <v>1.5675</v>
      </c>
    </row>
    <row r="7">
      <c r="A7" t="str">
        <v>Unit cost (Rp/m3)</v>
      </c>
      <c r="B7">
        <v>8606295.401278133</v>
      </c>
    </row>
    <row r="8">
      <c r="A8" t="str">
        <v>Line total at-cost (Rp)</v>
      </c>
      <c r="B8">
        <v>13490368.041503472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1.645875</v>
      </c>
      <c r="L12">
        <v>1671632.9437500003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1.5675</v>
      </c>
      <c r="L14">
        <v>117562.49999999999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1.5675</v>
      </c>
      <c r="L16">
        <v>2743125</v>
      </c>
    </row>
    <row r="17">
      <c r="A17">
        <v>4</v>
      </c>
      <c r="B17" t="str">
        <v>BEKISTING BALOK (Material) — ratio 9.75438596491228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4.87719298245614</v>
      </c>
      <c r="J18">
        <v>975438.5964912281</v>
      </c>
      <c r="K18">
        <v>7.645</v>
      </c>
      <c r="L18">
        <v>1529000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21.94736842105263</v>
      </c>
      <c r="J19">
        <v>1044694.7368421052</v>
      </c>
      <c r="K19">
        <v>34.402499999999996</v>
      </c>
      <c r="L19">
        <v>1637558.9999999998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7.315789473684211</v>
      </c>
      <c r="J20">
        <v>348231.5789473684</v>
      </c>
      <c r="K20">
        <v>11.4675</v>
      </c>
      <c r="L20">
        <v>545853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3.6578947368421053</v>
      </c>
      <c r="J21">
        <v>47552.63157894737</v>
      </c>
      <c r="K21">
        <v>5.73375</v>
      </c>
      <c r="L21">
        <v>74538.74999999999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1.219298245614035</v>
      </c>
      <c r="J22">
        <v>33530.70175438596</v>
      </c>
      <c r="K22">
        <v>1.91125</v>
      </c>
      <c r="L22">
        <v>52559.37499999999</v>
      </c>
    </row>
    <row r="23">
      <c r="A23">
        <v>5</v>
      </c>
      <c r="B23" t="str">
        <v>BEKISTING BALOK PERALATAN (Material) — Perancah, ratio 9.75438596491228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2.43859649122807</v>
      </c>
      <c r="J24">
        <v>496893.3885640026</v>
      </c>
      <c r="K24">
        <v>3.8225</v>
      </c>
      <c r="L24">
        <v>778880.386574074</v>
      </c>
    </row>
    <row r="25">
      <c r="A25">
        <v>6</v>
      </c>
      <c r="B25" t="str">
        <v>PEMBESIAN (Material) — ratio 245.38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D10</v>
      </c>
      <c r="D26" t="str">
        <v>U24/U40 polos</v>
      </c>
      <c r="E26">
        <v>75.52174162679427</v>
      </c>
      <c r="F26" t="str">
        <v>kg</v>
      </c>
      <c r="G26" t="str">
        <v>per m3 beton</v>
      </c>
      <c r="H26">
        <v>10300</v>
      </c>
      <c r="I26">
        <v>75.52174162679427</v>
      </c>
      <c r="J26">
        <v>777873.9387559809</v>
      </c>
      <c r="K26">
        <v>118.38033</v>
      </c>
      <c r="L26">
        <v>1219317.399</v>
      </c>
    </row>
    <row r="27">
      <c r="A27" t="str">
        <v/>
      </c>
      <c r="B27" t="str">
        <v/>
      </c>
      <c r="C27" t="str">
        <v>Besi beton D22</v>
      </c>
      <c r="D27" t="str">
        <v>U24/U40 polos</v>
      </c>
      <c r="E27">
        <v>169.86015663157895</v>
      </c>
      <c r="F27" t="str">
        <v>kg</v>
      </c>
      <c r="G27" t="str">
        <v>per m3 beton</v>
      </c>
      <c r="H27">
        <v>10300</v>
      </c>
      <c r="I27">
        <v>169.86015663157895</v>
      </c>
      <c r="J27">
        <v>1749559.6133052632</v>
      </c>
      <c r="K27">
        <v>266.25579552</v>
      </c>
      <c r="L27">
        <v>2742434.693856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12.269094912918671</v>
      </c>
      <c r="J28">
        <v>126371.67760306232</v>
      </c>
      <c r="K28">
        <v>19.231806276000015</v>
      </c>
      <c r="L28">
        <v>198087.60464280017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245.3818982583732</v>
      </c>
      <c r="J29">
        <v>24538.189825837322</v>
      </c>
      <c r="K29">
        <v>384.63612552</v>
      </c>
      <c r="L29">
        <v>38463.612552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5.153019863425838</v>
      </c>
      <c r="J30">
        <v>90177.84760995216</v>
      </c>
      <c r="K30">
        <v>8.07735863592</v>
      </c>
      <c r="L30">
        <v>141353.7761286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8606295.401278133</v>
      </c>
      <c r="J32" t="str">
        <v/>
      </c>
      <c r="K32" t="str">
        <v/>
      </c>
      <c r="L32">
        <v>13490368.041503472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8606295.401278133</v>
      </c>
    </row>
    <row r="36">
      <c r="A36" t="str">
        <v>RAB (A) source unit cost</v>
      </c>
      <c r="B36">
        <v>8606295.401278133</v>
      </c>
    </row>
    <row r="37">
      <c r="A37" t="str">
        <v>Variance</v>
      </c>
      <c r="B37">
        <v>0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13490368.041503472</v>
      </c>
    </row>
    <row r="40">
      <c r="A40" t="str">
        <v>RAB (A) source line total</v>
      </c>
      <c r="B40">
        <v>15379019.567313956</v>
      </c>
    </row>
    <row r="41">
      <c r="A41" t="str">
        <v>Variance</v>
      </c>
      <c r="B41">
        <v>-1888651.5258104838</v>
      </c>
      <c r="C41" t="str">
        <v>✓ OK</v>
      </c>
    </row>
  </sheetData>
  <ignoredErrors>
    <ignoredError numberStoredAsText="1" sqref="A1:L41"/>
  </ignoredErrors>
</worksheet>
</file>

<file path=xl/worksheets/sheet157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V.A.2.22 - Balok B36-1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B36-1</v>
      </c>
    </row>
    <row r="5">
      <c r="A5" t="str">
        <v>Unit</v>
      </c>
      <c r="B5" t="str">
        <v>m3</v>
      </c>
    </row>
    <row r="6">
      <c r="A6" t="str">
        <v>Volume</v>
      </c>
      <c r="B6">
        <v>1.3888500000000001</v>
      </c>
    </row>
    <row r="7">
      <c r="A7" t="str">
        <v>Unit cost (Rp/m3)</v>
      </c>
      <c r="B7">
        <v>7944013.586220465</v>
      </c>
    </row>
    <row r="8">
      <c r="A8" t="str">
        <v>Line total at-cost (Rp)</v>
      </c>
      <c r="B8">
        <v>11033043.269222293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1.4582925000000002</v>
      </c>
      <c r="L12">
        <v>1481114.7776250006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1.3888500000000001</v>
      </c>
      <c r="L14">
        <v>104163.75000000001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1.3888500000000001</v>
      </c>
      <c r="L16">
        <v>2430487.5000000005</v>
      </c>
    </row>
    <row r="17">
      <c r="A17">
        <v>4</v>
      </c>
      <c r="B17" t="str">
        <v>BEKISTING BALOK (Material) — ratio 8.79432624113475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4.397163120567375</v>
      </c>
      <c r="J18">
        <v>879432.624113475</v>
      </c>
      <c r="K18">
        <v>6.106999999999999</v>
      </c>
      <c r="L18">
        <v>1221399.9999999998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19.787234042553187</v>
      </c>
      <c r="J19">
        <v>941872.3404255317</v>
      </c>
      <c r="K19">
        <v>27.481499999999997</v>
      </c>
      <c r="L19">
        <v>1308119.4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6.5957446808510625</v>
      </c>
      <c r="J20">
        <v>313957.4468085106</v>
      </c>
      <c r="K20">
        <v>9.160499999999999</v>
      </c>
      <c r="L20">
        <v>436039.79999999993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3.2978723404255312</v>
      </c>
      <c r="J21">
        <v>42872.340425531904</v>
      </c>
      <c r="K21">
        <v>4.5802499999999995</v>
      </c>
      <c r="L21">
        <v>59543.24999999999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1.0992907801418437</v>
      </c>
      <c r="J22">
        <v>30230.4964539007</v>
      </c>
      <c r="K22">
        <v>1.5267499999999998</v>
      </c>
      <c r="L22">
        <v>41985.62499999999</v>
      </c>
    </row>
    <row r="23">
      <c r="A23">
        <v>5</v>
      </c>
      <c r="B23" t="str">
        <v>BEKISTING BALOK PERALATAN (Material) — Perancah, ratio 8.79432624113475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2.1985815602836873</v>
      </c>
      <c r="J24">
        <v>447987.4573154714</v>
      </c>
      <c r="K24">
        <v>3.0534999999999997</v>
      </c>
      <c r="L24">
        <v>622187.3800925924</v>
      </c>
    </row>
    <row r="25">
      <c r="A25">
        <v>6</v>
      </c>
      <c r="B25" t="str">
        <v>PEMBESIAN (Material) — ratio 212.38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D10</v>
      </c>
      <c r="D26" t="str">
        <v>U24/U40 polos</v>
      </c>
      <c r="E26">
        <v>101.36283615941247</v>
      </c>
      <c r="F26" t="str">
        <v>kg</v>
      </c>
      <c r="G26" t="str">
        <v>per m3 beton</v>
      </c>
      <c r="H26">
        <v>10300</v>
      </c>
      <c r="I26">
        <v>101.36283615941247</v>
      </c>
      <c r="J26">
        <v>1044037.2124419484</v>
      </c>
      <c r="K26">
        <v>140.77777500000002</v>
      </c>
      <c r="L26">
        <v>1450011.0825</v>
      </c>
    </row>
    <row r="27">
      <c r="A27" t="str">
        <v/>
      </c>
      <c r="B27" t="str">
        <v/>
      </c>
      <c r="C27" t="str">
        <v>Besi beton D16</v>
      </c>
      <c r="D27" t="str">
        <v>U24/U40 polos</v>
      </c>
      <c r="E27">
        <v>111.02168683443135</v>
      </c>
      <c r="F27" t="str">
        <v>kg</v>
      </c>
      <c r="G27" t="str">
        <v>per m3 beton</v>
      </c>
      <c r="H27">
        <v>10300</v>
      </c>
      <c r="I27">
        <v>111.02168683443135</v>
      </c>
      <c r="J27">
        <v>1143523.374394643</v>
      </c>
      <c r="K27">
        <v>154.19246976</v>
      </c>
      <c r="L27">
        <v>1588182.438528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10.6192261496922</v>
      </c>
      <c r="J28">
        <v>109378.02934182965</v>
      </c>
      <c r="K28">
        <v>14.748512238000012</v>
      </c>
      <c r="L28">
        <v>151909.67605140014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212.3845229938438</v>
      </c>
      <c r="J29">
        <v>21238.45229938438</v>
      </c>
      <c r="K29">
        <v>294.97024476</v>
      </c>
      <c r="L29">
        <v>29497.024476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4.4600749828707205</v>
      </c>
      <c r="J30">
        <v>78051.3122002376</v>
      </c>
      <c r="K30">
        <v>6.194375139960001</v>
      </c>
      <c r="L30">
        <v>108401.56494930001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7944013.586220465</v>
      </c>
      <c r="J32" t="str">
        <v/>
      </c>
      <c r="K32" t="str">
        <v/>
      </c>
      <c r="L32">
        <v>11033043.269222293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7944013.586220465</v>
      </c>
    </row>
    <row r="36">
      <c r="A36" t="str">
        <v>RAB (A) source unit cost</v>
      </c>
      <c r="B36">
        <v>7944013.586220464</v>
      </c>
    </row>
    <row r="37">
      <c r="A37" t="str">
        <v>Variance</v>
      </c>
      <c r="B37">
        <v>9.313225746154785e-10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11033043.269222293</v>
      </c>
    </row>
    <row r="40">
      <c r="A40" t="str">
        <v>RAB (A) source line total</v>
      </c>
      <c r="B40">
        <v>12577669.326913413</v>
      </c>
    </row>
    <row r="41">
      <c r="A41" t="str">
        <v>Variance</v>
      </c>
      <c r="B41">
        <v>-1544626.0576911196</v>
      </c>
      <c r="C41" t="str">
        <v>✓ OK</v>
      </c>
    </row>
  </sheetData>
  <ignoredErrors>
    <ignoredError numberStoredAsText="1" sqref="A1:L41"/>
  </ignoredErrors>
</worksheet>
</file>

<file path=xl/worksheets/sheet158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V.A.2.23 - Balok B36-2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B36-2</v>
      </c>
    </row>
    <row r="5">
      <c r="A5" t="str">
        <v>Unit</v>
      </c>
      <c r="B5" t="str">
        <v>m3</v>
      </c>
    </row>
    <row r="6">
      <c r="A6" t="str">
        <v>Volume</v>
      </c>
      <c r="B6">
        <v>0.540735</v>
      </c>
    </row>
    <row r="7">
      <c r="A7" t="str">
        <v>Unit cost (Rp/m3)</v>
      </c>
      <c r="B7">
        <v>8412610.774668891</v>
      </c>
    </row>
    <row r="8">
      <c r="A8" t="str">
        <v>Line total at-cost (Rp)</v>
      </c>
      <c r="B8">
        <v>4548993.087240582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0.56777175</v>
      </c>
      <c r="L12">
        <v>576657.3778875001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0.540735</v>
      </c>
      <c r="L14">
        <v>40555.125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0.540735</v>
      </c>
      <c r="L16">
        <v>946286.2499999999</v>
      </c>
    </row>
    <row r="17">
      <c r="A17">
        <v>4</v>
      </c>
      <c r="B17" t="str">
        <v>BEKISTING BALOK (Material) — ratio 8.794326241134753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4.3971631205673765</v>
      </c>
      <c r="J18">
        <v>879432.6241134753</v>
      </c>
      <c r="K18">
        <v>2.3777000000000004</v>
      </c>
      <c r="L18">
        <v>475540.00000000006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19.787234042553195</v>
      </c>
      <c r="J19">
        <v>941872.3404255321</v>
      </c>
      <c r="K19">
        <v>10.69965</v>
      </c>
      <c r="L19">
        <v>509303.3400000001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6.595744680851064</v>
      </c>
      <c r="J20">
        <v>313957.44680851063</v>
      </c>
      <c r="K20">
        <v>3.56655</v>
      </c>
      <c r="L20">
        <v>169767.78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3.297872340425532</v>
      </c>
      <c r="J21">
        <v>42872.34042553192</v>
      </c>
      <c r="K21">
        <v>1.783275</v>
      </c>
      <c r="L21">
        <v>23182.575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1.0992907801418441</v>
      </c>
      <c r="J22">
        <v>30230.496453900712</v>
      </c>
      <c r="K22">
        <v>0.5944250000000001</v>
      </c>
      <c r="L22">
        <v>16346.6875</v>
      </c>
    </row>
    <row r="23">
      <c r="A23">
        <v>5</v>
      </c>
      <c r="B23" t="str">
        <v>BEKISTING BALOK PERALATAN (Material) — Perancah, ratio 8.794326241134753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2.1985815602836882</v>
      </c>
      <c r="J24">
        <v>447987.45731547155</v>
      </c>
      <c r="K24">
        <v>1.1888500000000002</v>
      </c>
      <c r="L24">
        <v>242242.4977314815</v>
      </c>
    </row>
    <row r="25">
      <c r="A25">
        <v>6</v>
      </c>
      <c r="B25" t="str">
        <v>PEMBESIAN (Material) — ratio 253.92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D10</v>
      </c>
      <c r="D26" t="str">
        <v>U24/U40 polos</v>
      </c>
      <c r="E26">
        <v>111.45762711864408</v>
      </c>
      <c r="F26" t="str">
        <v>kg</v>
      </c>
      <c r="G26" t="str">
        <v>per m3 beton</v>
      </c>
      <c r="H26">
        <v>10300</v>
      </c>
      <c r="I26">
        <v>111.45762711864408</v>
      </c>
      <c r="J26">
        <v>1148013.559322034</v>
      </c>
      <c r="K26">
        <v>60.269040000000004</v>
      </c>
      <c r="L26">
        <v>620771.112</v>
      </c>
    </row>
    <row r="27">
      <c r="A27" t="str">
        <v/>
      </c>
      <c r="B27" t="str">
        <v/>
      </c>
      <c r="C27" t="str">
        <v>Besi beton D16</v>
      </c>
      <c r="D27" t="str">
        <v>U24/U40 polos</v>
      </c>
      <c r="E27">
        <v>142.45999478487613</v>
      </c>
      <c r="F27" t="str">
        <v>kg</v>
      </c>
      <c r="G27" t="str">
        <v>per m3 beton</v>
      </c>
      <c r="H27">
        <v>10300</v>
      </c>
      <c r="I27">
        <v>142.45999478487613</v>
      </c>
      <c r="J27">
        <v>1467337.946284224</v>
      </c>
      <c r="K27">
        <v>77.03310527999999</v>
      </c>
      <c r="L27">
        <v>793440.9843839998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12.695881095176023</v>
      </c>
      <c r="J28">
        <v>130767.57528031305</v>
      </c>
      <c r="K28">
        <v>6.865107264000007</v>
      </c>
      <c r="L28">
        <v>70710.60481920007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253.91762190352023</v>
      </c>
      <c r="J29">
        <v>25391.762190352023</v>
      </c>
      <c r="K29">
        <v>137.30214528</v>
      </c>
      <c r="L29">
        <v>13730.214528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5.332270059973925</v>
      </c>
      <c r="J30">
        <v>93314.72604954368</v>
      </c>
      <c r="K30">
        <v>2.88334505088</v>
      </c>
      <c r="L30">
        <v>50458.5383904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8412610.774668891</v>
      </c>
      <c r="J32" t="str">
        <v/>
      </c>
      <c r="K32" t="str">
        <v/>
      </c>
      <c r="L32">
        <v>4548993.087240582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8412610.774668891</v>
      </c>
    </row>
    <row r="36">
      <c r="A36" t="str">
        <v>RAB (A) source unit cost</v>
      </c>
      <c r="B36">
        <v>8412610.77466889</v>
      </c>
    </row>
    <row r="37">
      <c r="A37" t="str">
        <v>Variance</v>
      </c>
      <c r="B37">
        <v>1.862645149230957e-9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4548993.087240582</v>
      </c>
    </row>
    <row r="40">
      <c r="A40" t="str">
        <v>RAB (A) source line total</v>
      </c>
      <c r="B40">
        <v>5185852.119454262</v>
      </c>
    </row>
    <row r="41">
      <c r="A41" t="str">
        <v>Variance</v>
      </c>
      <c r="B41">
        <v>-636859.0322136795</v>
      </c>
      <c r="C41" t="str">
        <v>✓ OK</v>
      </c>
    </row>
  </sheetData>
  <ignoredErrors>
    <ignoredError numberStoredAsText="1" sqref="A1:L41"/>
  </ignoredErrors>
</worksheet>
</file>

<file path=xl/worksheets/sheet159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V.A.2.24 - Balok B36-3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B36-3</v>
      </c>
    </row>
    <row r="5">
      <c r="A5" t="str">
        <v>Unit</v>
      </c>
      <c r="B5" t="str">
        <v>m3</v>
      </c>
    </row>
    <row r="6">
      <c r="A6" t="str">
        <v>Volume</v>
      </c>
      <c r="B6">
        <v>1.9880999999999998</v>
      </c>
    </row>
    <row r="7">
      <c r="A7" t="str">
        <v>Unit cost (Rp/m3)</v>
      </c>
      <c r="B7">
        <v>8827687.645796102</v>
      </c>
    </row>
    <row r="8">
      <c r="A8" t="str">
        <v>Line total at-cost (Rp)</v>
      </c>
      <c r="B8">
        <v>17550325.808607228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2.0875049999999997</v>
      </c>
      <c r="L12">
        <v>2120174.4532500003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1.9880999999999998</v>
      </c>
      <c r="L14">
        <v>149107.49999999997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1.9880999999999998</v>
      </c>
      <c r="L16">
        <v>3479174.9999999995</v>
      </c>
    </row>
    <row r="17">
      <c r="A17">
        <v>4</v>
      </c>
      <c r="B17" t="str">
        <v>BEKISTING BALOK (Material) — ratio 8.794326241134753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4.3971631205673765</v>
      </c>
      <c r="J18">
        <v>879432.6241134753</v>
      </c>
      <c r="K18">
        <v>8.742</v>
      </c>
      <c r="L18">
        <v>1748400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19.787234042553195</v>
      </c>
      <c r="J19">
        <v>941872.3404255321</v>
      </c>
      <c r="K19">
        <v>39.339</v>
      </c>
      <c r="L19">
        <v>1872536.4000000001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6.595744680851064</v>
      </c>
      <c r="J20">
        <v>313957.44680851063</v>
      </c>
      <c r="K20">
        <v>13.113</v>
      </c>
      <c r="L20">
        <v>624178.7999999999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3.297872340425532</v>
      </c>
      <c r="J21">
        <v>42872.34042553192</v>
      </c>
      <c r="K21">
        <v>6.5565</v>
      </c>
      <c r="L21">
        <v>85234.5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1.0992907801418441</v>
      </c>
      <c r="J22">
        <v>30230.496453900712</v>
      </c>
      <c r="K22">
        <v>2.1855</v>
      </c>
      <c r="L22">
        <v>60101.25</v>
      </c>
    </row>
    <row r="23">
      <c r="A23">
        <v>5</v>
      </c>
      <c r="B23" t="str">
        <v>BEKISTING BALOK PERALATAN (Material) — Perancah, ratio 8.794326241134753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2.1985815602836882</v>
      </c>
      <c r="J24">
        <v>447987.45731547155</v>
      </c>
      <c r="K24">
        <v>4.371</v>
      </c>
      <c r="L24">
        <v>890643.8638888889</v>
      </c>
    </row>
    <row r="25">
      <c r="A25">
        <v>6</v>
      </c>
      <c r="B25" t="str">
        <v>PEMBESIAN (Material) — ratio 290.71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D10</v>
      </c>
      <c r="D26" t="str">
        <v>U24/U40 polos</v>
      </c>
      <c r="E26">
        <v>85.57693526482574</v>
      </c>
      <c r="F26" t="str">
        <v>kg</v>
      </c>
      <c r="G26" t="str">
        <v>per m3 beton</v>
      </c>
      <c r="H26">
        <v>10300</v>
      </c>
      <c r="I26">
        <v>85.57693526482574</v>
      </c>
      <c r="J26">
        <v>881442.4332277051</v>
      </c>
      <c r="K26">
        <v>170.13550500000002</v>
      </c>
      <c r="L26">
        <v>1752395.7015000002</v>
      </c>
    </row>
    <row r="27">
      <c r="A27" t="str">
        <v/>
      </c>
      <c r="B27" t="str">
        <v/>
      </c>
      <c r="C27" t="str">
        <v>Besi beton D19</v>
      </c>
      <c r="D27" t="str">
        <v>U24/U40 polos</v>
      </c>
      <c r="E27">
        <v>205.13012790855592</v>
      </c>
      <c r="F27" t="str">
        <v>kg</v>
      </c>
      <c r="G27" t="str">
        <v>per m3 beton</v>
      </c>
      <c r="H27">
        <v>10300</v>
      </c>
      <c r="I27">
        <v>205.13012790855592</v>
      </c>
      <c r="J27">
        <v>2112840.3174581258</v>
      </c>
      <c r="K27">
        <v>407.81920729499996</v>
      </c>
      <c r="L27">
        <v>4200537.8351385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14.535353158669094</v>
      </c>
      <c r="J28">
        <v>149714.1375342917</v>
      </c>
      <c r="K28">
        <v>28.897735614750022</v>
      </c>
      <c r="L28">
        <v>297646.6768319253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290.70706317338164</v>
      </c>
      <c r="J29">
        <v>29070.706317338165</v>
      </c>
      <c r="K29">
        <v>577.9547122949999</v>
      </c>
      <c r="L29">
        <v>57795.4712295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6.104848326641015</v>
      </c>
      <c r="J30">
        <v>106834.84571621777</v>
      </c>
      <c r="K30">
        <v>12.137048958195</v>
      </c>
      <c r="L30">
        <v>212398.35676841252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8827687.645796102</v>
      </c>
      <c r="J32" t="str">
        <v/>
      </c>
      <c r="K32" t="str">
        <v/>
      </c>
      <c r="L32">
        <v>17550325.808607228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8827687.645796102</v>
      </c>
    </row>
    <row r="36">
      <c r="A36" t="str">
        <v>RAB (A) source unit cost</v>
      </c>
      <c r="B36">
        <v>8827687.645796102</v>
      </c>
    </row>
    <row r="37">
      <c r="A37" t="str">
        <v>Variance</v>
      </c>
      <c r="B37">
        <v>0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17550325.808607228</v>
      </c>
    </row>
    <row r="40">
      <c r="A40" t="str">
        <v>RAB (A) source line total</v>
      </c>
      <c r="B40">
        <v>20007371.42181224</v>
      </c>
    </row>
    <row r="41">
      <c r="A41" t="str">
        <v>Variance</v>
      </c>
      <c r="B41">
        <v>-2457045.613205012</v>
      </c>
      <c r="C41" t="str">
        <v>✓ OK</v>
      </c>
    </row>
  </sheetData>
  <ignoredErrors>
    <ignoredError numberStoredAsText="1" sqref="A1:L41"/>
  </ignoredErrors>
</worksheet>
</file>

<file path=xl/worksheets/sheet160.xml><?xml version="1.0" encoding="utf-8"?>
<worksheet xmlns="http://schemas.openxmlformats.org/spreadsheetml/2006/main" xmlns:r="http://schemas.openxmlformats.org/officeDocument/2006/relationships">
  <dimension ref="A1:L42"/>
  <sheetViews>
    <sheetView workbookViewId="0" rightToLeft="0"/>
  </sheetViews>
  <sheetData>
    <row r="1">
      <c r="A1" t="str">
        <v>BREAKDOWN — (A) V.A.2.25 - Balok B47-1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B47-1</v>
      </c>
    </row>
    <row r="5">
      <c r="A5" t="str">
        <v>Unit</v>
      </c>
      <c r="B5" t="str">
        <v>m3</v>
      </c>
    </row>
    <row r="6">
      <c r="A6" t="str">
        <v>Volume</v>
      </c>
      <c r="B6">
        <v>1.368</v>
      </c>
    </row>
    <row r="7">
      <c r="A7" t="str">
        <v>Unit cost (Rp/m3)</v>
      </c>
      <c r="B7">
        <v>7175330.212370324</v>
      </c>
    </row>
    <row r="8">
      <c r="A8" t="str">
        <v>Line total at-cost (Rp)</v>
      </c>
      <c r="B8">
        <v>9815851.730522605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1.4364000000000001</v>
      </c>
      <c r="L12">
        <v>1458879.6600000004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1.368</v>
      </c>
      <c r="L14">
        <v>102600.00000000001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1.368</v>
      </c>
      <c r="L16">
        <v>2394000</v>
      </c>
    </row>
    <row r="17">
      <c r="A17">
        <v>4</v>
      </c>
      <c r="B17" t="str">
        <v>BEKISTING BALOK (Material) — ratio 6.75438596491228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3.37719298245614</v>
      </c>
      <c r="J18">
        <v>675438.596491228</v>
      </c>
      <c r="K18">
        <v>4.62</v>
      </c>
      <c r="L18">
        <v>923999.9999999999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15.19736842105263</v>
      </c>
      <c r="J19">
        <v>723394.7368421052</v>
      </c>
      <c r="K19">
        <v>20.79</v>
      </c>
      <c r="L19">
        <v>989603.9999999999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5.06578947368421</v>
      </c>
      <c r="J20">
        <v>241131.57894736837</v>
      </c>
      <c r="K20">
        <v>6.93</v>
      </c>
      <c r="L20">
        <v>329867.99999999994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2.532894736842105</v>
      </c>
      <c r="J21">
        <v>32927.63157894737</v>
      </c>
      <c r="K21">
        <v>3.465</v>
      </c>
      <c r="L21">
        <v>45045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0.844298245614035</v>
      </c>
      <c r="J22">
        <v>23218.201754385962</v>
      </c>
      <c r="K22">
        <v>1.155</v>
      </c>
      <c r="L22">
        <v>31762.5</v>
      </c>
    </row>
    <row r="23">
      <c r="A23">
        <v>5</v>
      </c>
      <c r="B23" t="str">
        <v>BEKISTING BALOK PERALATAN (Material) — Perancah, ratio 6.75438596491228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1.68859649122807</v>
      </c>
      <c r="J24">
        <v>344071.8607862248</v>
      </c>
      <c r="K24">
        <v>2.31</v>
      </c>
      <c r="L24">
        <v>470690.3055555555</v>
      </c>
    </row>
    <row r="25">
      <c r="A25">
        <v>6</v>
      </c>
      <c r="B25" t="str">
        <v>PEMBESIAN (Material) — ratio 198.87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D10</v>
      </c>
      <c r="D26" t="str">
        <v>U24/U40 polos</v>
      </c>
      <c r="E26">
        <v>5.62421052631579</v>
      </c>
      <c r="F26" t="str">
        <v>kg</v>
      </c>
      <c r="G26" t="str">
        <v>per m3 beton</v>
      </c>
      <c r="H26">
        <v>10300</v>
      </c>
      <c r="I26">
        <v>5.62421052631579</v>
      </c>
      <c r="J26">
        <v>57929.36842105263</v>
      </c>
      <c r="K26">
        <v>7.693920000000001</v>
      </c>
      <c r="L26">
        <v>79247.376</v>
      </c>
    </row>
    <row r="27">
      <c r="A27" t="str">
        <v/>
      </c>
      <c r="B27" t="str">
        <v/>
      </c>
      <c r="C27" t="str">
        <v>Besi beton D13</v>
      </c>
      <c r="D27" t="str">
        <v>U24/U40 polos</v>
      </c>
      <c r="E27">
        <v>88.38657749999997</v>
      </c>
      <c r="F27" t="str">
        <v>kg</v>
      </c>
      <c r="G27" t="str">
        <v>per m3 beton</v>
      </c>
      <c r="H27">
        <v>10300</v>
      </c>
      <c r="I27">
        <v>88.38657749999997</v>
      </c>
      <c r="J27">
        <v>910381.7482499997</v>
      </c>
      <c r="K27">
        <v>120.91283801999997</v>
      </c>
      <c r="L27">
        <v>1245402.2316059996</v>
      </c>
    </row>
    <row r="28">
      <c r="A28" t="str">
        <v/>
      </c>
      <c r="B28" t="str">
        <v/>
      </c>
      <c r="C28" t="str">
        <v>Besi beton D16</v>
      </c>
      <c r="D28" t="str">
        <v>U24/U40 polos</v>
      </c>
      <c r="E28">
        <v>104.85605052631578</v>
      </c>
      <c r="F28" t="str">
        <v>kg</v>
      </c>
      <c r="G28" t="str">
        <v>per m3 beton</v>
      </c>
      <c r="H28">
        <v>10300</v>
      </c>
      <c r="I28">
        <v>104.85605052631578</v>
      </c>
      <c r="J28">
        <v>1080017.3204210526</v>
      </c>
      <c r="K28">
        <v>143.44307712</v>
      </c>
      <c r="L28">
        <v>1477463.6943360001</v>
      </c>
    </row>
    <row r="29">
      <c r="A29" t="str">
        <v/>
      </c>
      <c r="B29" t="str">
        <v/>
      </c>
      <c r="C29" t="str">
        <v>Besi beton — waste (5%)</v>
      </c>
      <c r="D29" t="str">
        <v>applied via AHS coeff 1.05</v>
      </c>
      <c r="E29">
        <v>0.050000000000000044</v>
      </c>
      <c r="F29" t="str">
        <v>kg</v>
      </c>
      <c r="G29" t="str">
        <v>per m3 beton</v>
      </c>
      <c r="H29">
        <v>10300</v>
      </c>
      <c r="I29">
        <v>9.943341927631586</v>
      </c>
      <c r="J29">
        <v>102416.42185460533</v>
      </c>
      <c r="K29">
        <v>13.60249175700001</v>
      </c>
      <c r="L29">
        <v>140105.6650971001</v>
      </c>
    </row>
    <row r="30">
      <c r="A30" t="str">
        <v/>
      </c>
      <c r="B30" t="str">
        <v/>
      </c>
      <c r="C30" t="str">
        <v>Beton decking</v>
      </c>
      <c r="D30" t="str">
        <v>spacer</v>
      </c>
      <c r="E30">
        <v>1</v>
      </c>
      <c r="F30" t="str">
        <v>kg-eq</v>
      </c>
      <c r="G30" t="str">
        <v>per kg besi</v>
      </c>
      <c r="H30">
        <v>100</v>
      </c>
      <c r="I30">
        <v>198.86683855263155</v>
      </c>
      <c r="J30">
        <v>19886.683855263156</v>
      </c>
      <c r="K30">
        <v>272.04983513999997</v>
      </c>
      <c r="L30">
        <v>27204.983514</v>
      </c>
    </row>
    <row r="31">
      <c r="A31" t="str">
        <v/>
      </c>
      <c r="B31" t="str">
        <v/>
      </c>
      <c r="C31" t="str">
        <v>Bendrat (kawat ikat)</v>
      </c>
      <c r="D31" t="str">
        <v>2.1% of besi (raw)</v>
      </c>
      <c r="E31">
        <v>0.021</v>
      </c>
      <c r="F31" t="str">
        <v>kg</v>
      </c>
      <c r="G31" t="str">
        <v>per kg besi (raw)</v>
      </c>
      <c r="H31">
        <v>17500</v>
      </c>
      <c r="I31">
        <v>4.176203609605262</v>
      </c>
      <c r="J31">
        <v>73083.56316809209</v>
      </c>
      <c r="K31">
        <v>5.7130465379399995</v>
      </c>
      <c r="L31">
        <v>99978.31441395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/>
      </c>
      <c r="B33" t="str">
        <v>SUBTOTAL — At-cost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>
        <v>7175330.212370324</v>
      </c>
      <c r="J33" t="str">
        <v/>
      </c>
      <c r="K33" t="str">
        <v/>
      </c>
      <c r="L33">
        <v>9815851.730522605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</row>
    <row r="35">
      <c r="A35" t="str">
        <v>RECONCILIATION</v>
      </c>
    </row>
    <row r="36">
      <c r="A36" t="str">
        <v>Computed unit cost</v>
      </c>
      <c r="B36">
        <v>7175330.212370324</v>
      </c>
    </row>
    <row r="37">
      <c r="A37" t="str">
        <v>RAB (A) source unit cost</v>
      </c>
      <c r="B37">
        <v>7175330.212370326</v>
      </c>
    </row>
    <row r="38">
      <c r="A38" t="str">
        <v>Variance</v>
      </c>
      <c r="B38">
        <v>-1.862645149230957e-9</v>
      </c>
      <c r="C38" t="str">
        <v>✓ OK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</row>
    <row r="40">
      <c r="A40" t="str">
        <v>Computed line total</v>
      </c>
      <c r="B40">
        <v>9815851.730522605</v>
      </c>
    </row>
    <row r="41">
      <c r="A41" t="str">
        <v>RAB (A) source line total</v>
      </c>
      <c r="B41">
        <v>11190070.97279577</v>
      </c>
    </row>
    <row r="42">
      <c r="A42" t="str">
        <v>Variance</v>
      </c>
      <c r="B42">
        <v>-1374219.242273165</v>
      </c>
      <c r="C42" t="str">
        <v>✓ OK</v>
      </c>
    </row>
  </sheetData>
  <ignoredErrors>
    <ignoredError numberStoredAsText="1" sqref="A1:L42"/>
  </ignoredErrors>
</worksheet>
</file>

<file path=xl/worksheets/sheet161.xml><?xml version="1.0" encoding="utf-8"?>
<worksheet xmlns="http://schemas.openxmlformats.org/spreadsheetml/2006/main" xmlns:r="http://schemas.openxmlformats.org/officeDocument/2006/relationships">
  <dimension ref="A1:L42"/>
  <sheetViews>
    <sheetView workbookViewId="0" rightToLeft="0"/>
  </sheetViews>
  <sheetData>
    <row r="1">
      <c r="A1" t="str">
        <v>BREAKDOWN — (A) V.A.2.26 - Balok B475-1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B475-1</v>
      </c>
    </row>
    <row r="5">
      <c r="A5" t="str">
        <v>Unit</v>
      </c>
      <c r="B5" t="str">
        <v>m3</v>
      </c>
    </row>
    <row r="6">
      <c r="A6" t="str">
        <v>Volume</v>
      </c>
      <c r="B6">
        <v>1.736</v>
      </c>
    </row>
    <row r="7">
      <c r="A7" t="str">
        <v>Unit cost (Rp/m3)</v>
      </c>
      <c r="B7">
        <v>6792643.021270563</v>
      </c>
    </row>
    <row r="8">
      <c r="A8" t="str">
        <v>Line total at-cost (Rp)</v>
      </c>
      <c r="B8">
        <v>11792028.284925697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1.8228</v>
      </c>
      <c r="L12">
        <v>1851326.8200000003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1.736</v>
      </c>
      <c r="L14">
        <v>130200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1.736</v>
      </c>
      <c r="L16">
        <v>3038000</v>
      </c>
    </row>
    <row r="17">
      <c r="A17">
        <v>4</v>
      </c>
      <c r="B17" t="str">
        <v>BEKISTING BALOK (Material) — ratio 6.612903225806452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3.306451612903226</v>
      </c>
      <c r="J18">
        <v>661290.3225806452</v>
      </c>
      <c r="K18">
        <v>5.74</v>
      </c>
      <c r="L18">
        <v>1148000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14.879032258064516</v>
      </c>
      <c r="J19">
        <v>708241.9354838709</v>
      </c>
      <c r="K19">
        <v>25.83</v>
      </c>
      <c r="L19">
        <v>1229508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4.959677419354839</v>
      </c>
      <c r="J20">
        <v>236080.64516129033</v>
      </c>
      <c r="K20">
        <v>8.610000000000001</v>
      </c>
      <c r="L20">
        <v>409836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2.4798387096774195</v>
      </c>
      <c r="J21">
        <v>32237.903225806454</v>
      </c>
      <c r="K21">
        <v>4.305000000000001</v>
      </c>
      <c r="L21">
        <v>55965.00000000001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0.8266129032258065</v>
      </c>
      <c r="J22">
        <v>22731.854838709678</v>
      </c>
      <c r="K22">
        <v>1.435</v>
      </c>
      <c r="L22">
        <v>39462.5</v>
      </c>
    </row>
    <row r="23">
      <c r="A23">
        <v>5</v>
      </c>
      <c r="B23" t="str">
        <v>BEKISTING BALOK PERALATAN (Material) — Perancah, ratio 6.612903225806452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1.653225806451613</v>
      </c>
      <c r="J24">
        <v>336864.65800477896</v>
      </c>
      <c r="K24">
        <v>2.87</v>
      </c>
      <c r="L24">
        <v>584797.0462962963</v>
      </c>
    </row>
    <row r="25">
      <c r="A25">
        <v>6</v>
      </c>
      <c r="B25" t="str">
        <v>PEMBESIAN (Material) — ratio 168.74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D10</v>
      </c>
      <c r="D26" t="str">
        <v>U24/U40 polos</v>
      </c>
      <c r="E26">
        <v>10.28447004608295</v>
      </c>
      <c r="F26" t="str">
        <v>kg</v>
      </c>
      <c r="G26" t="str">
        <v>per m3 beton</v>
      </c>
      <c r="H26">
        <v>10300</v>
      </c>
      <c r="I26">
        <v>10.28447004608295</v>
      </c>
      <c r="J26">
        <v>105930.04147465438</v>
      </c>
      <c r="K26">
        <v>17.85384</v>
      </c>
      <c r="L26">
        <v>183894.552</v>
      </c>
    </row>
    <row r="27">
      <c r="A27" t="str">
        <v/>
      </c>
      <c r="B27" t="str">
        <v/>
      </c>
      <c r="C27" t="str">
        <v>Besi beton D13</v>
      </c>
      <c r="D27" t="str">
        <v>U24/U40 polos</v>
      </c>
      <c r="E27">
        <v>84.60874410138248</v>
      </c>
      <c r="F27" t="str">
        <v>kg</v>
      </c>
      <c r="G27" t="str">
        <v>per m3 beton</v>
      </c>
      <c r="H27">
        <v>10300</v>
      </c>
      <c r="I27">
        <v>84.60874410138248</v>
      </c>
      <c r="J27">
        <v>871470.0642442396</v>
      </c>
      <c r="K27">
        <v>146.88077976</v>
      </c>
      <c r="L27">
        <v>1512872.031528</v>
      </c>
    </row>
    <row r="28">
      <c r="A28" t="str">
        <v/>
      </c>
      <c r="B28" t="str">
        <v/>
      </c>
      <c r="C28" t="str">
        <v>Besi beton D16</v>
      </c>
      <c r="D28" t="str">
        <v>U24/U40 polos</v>
      </c>
      <c r="E28">
        <v>73.84272221198158</v>
      </c>
      <c r="F28" t="str">
        <v>kg</v>
      </c>
      <c r="G28" t="str">
        <v>per m3 beton</v>
      </c>
      <c r="H28">
        <v>10300</v>
      </c>
      <c r="I28">
        <v>73.84272221198158</v>
      </c>
      <c r="J28">
        <v>760580.0387834103</v>
      </c>
      <c r="K28">
        <v>128.19096576</v>
      </c>
      <c r="L28">
        <v>1320366.9473280003</v>
      </c>
    </row>
    <row r="29">
      <c r="A29" t="str">
        <v/>
      </c>
      <c r="B29" t="str">
        <v/>
      </c>
      <c r="C29" t="str">
        <v>Besi beton — waste (5%)</v>
      </c>
      <c r="D29" t="str">
        <v>applied via AHS coeff 1.05</v>
      </c>
      <c r="E29">
        <v>0.050000000000000044</v>
      </c>
      <c r="F29" t="str">
        <v>kg</v>
      </c>
      <c r="G29" t="str">
        <v>per m3 beton</v>
      </c>
      <c r="H29">
        <v>10300</v>
      </c>
      <c r="I29">
        <v>8.436796817972358</v>
      </c>
      <c r="J29">
        <v>86899.00722511529</v>
      </c>
      <c r="K29">
        <v>14.646279276000012</v>
      </c>
      <c r="L29">
        <v>150856.67654280015</v>
      </c>
    </row>
    <row r="30">
      <c r="A30" t="str">
        <v/>
      </c>
      <c r="B30" t="str">
        <v/>
      </c>
      <c r="C30" t="str">
        <v>Beton decking</v>
      </c>
      <c r="D30" t="str">
        <v>spacer</v>
      </c>
      <c r="E30">
        <v>1</v>
      </c>
      <c r="F30" t="str">
        <v>kg-eq</v>
      </c>
      <c r="G30" t="str">
        <v>per kg besi</v>
      </c>
      <c r="H30">
        <v>100</v>
      </c>
      <c r="I30">
        <v>168.735936359447</v>
      </c>
      <c r="J30">
        <v>16873.5936359447</v>
      </c>
      <c r="K30">
        <v>292.92558552</v>
      </c>
      <c r="L30">
        <v>29292.558552</v>
      </c>
    </row>
    <row r="31">
      <c r="A31" t="str">
        <v/>
      </c>
      <c r="B31" t="str">
        <v/>
      </c>
      <c r="C31" t="str">
        <v>Bendrat (kawat ikat)</v>
      </c>
      <c r="D31" t="str">
        <v>2.1% of besi (raw)</v>
      </c>
      <c r="E31">
        <v>0.021</v>
      </c>
      <c r="F31" t="str">
        <v>kg</v>
      </c>
      <c r="G31" t="str">
        <v>per kg besi (raw)</v>
      </c>
      <c r="H31">
        <v>17500</v>
      </c>
      <c r="I31">
        <v>3.5434546635483875</v>
      </c>
      <c r="J31">
        <v>62010.45661209678</v>
      </c>
      <c r="K31">
        <v>6.151437295920001</v>
      </c>
      <c r="L31">
        <v>107650.1526786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/>
      </c>
      <c r="B33" t="str">
        <v>SUBTOTAL — At-cost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>
        <v>6792643.021270563</v>
      </c>
      <c r="J33" t="str">
        <v/>
      </c>
      <c r="K33" t="str">
        <v/>
      </c>
      <c r="L33">
        <v>11792028.284925697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</row>
    <row r="35">
      <c r="A35" t="str">
        <v>RECONCILIATION</v>
      </c>
    </row>
    <row r="36">
      <c r="A36" t="str">
        <v>Computed unit cost</v>
      </c>
      <c r="B36">
        <v>6792643.021270563</v>
      </c>
    </row>
    <row r="37">
      <c r="A37" t="str">
        <v>RAB (A) source unit cost</v>
      </c>
      <c r="B37">
        <v>6792643.021270563</v>
      </c>
    </row>
    <row r="38">
      <c r="A38" t="str">
        <v>Variance</v>
      </c>
      <c r="B38">
        <v>0</v>
      </c>
      <c r="C38" t="str">
        <v>✓ OK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</row>
    <row r="40">
      <c r="A40" t="str">
        <v>Computed line total</v>
      </c>
      <c r="B40">
        <v>11792028.284925697</v>
      </c>
    </row>
    <row r="41">
      <c r="A41" t="str">
        <v>RAB (A) source line total</v>
      </c>
      <c r="B41">
        <v>13442912.244815294</v>
      </c>
    </row>
    <row r="42">
      <c r="A42" t="str">
        <v>Variance</v>
      </c>
      <c r="B42">
        <v>-1650883.9598895963</v>
      </c>
      <c r="C42" t="str">
        <v>✓ OK</v>
      </c>
    </row>
  </sheetData>
  <ignoredErrors>
    <ignoredError numberStoredAsText="1" sqref="A1:L42"/>
  </ignoredErrors>
</worksheet>
</file>

<file path=xl/worksheets/sheet162.xml><?xml version="1.0" encoding="utf-8"?>
<worksheet xmlns="http://schemas.openxmlformats.org/spreadsheetml/2006/main" xmlns:r="http://schemas.openxmlformats.org/officeDocument/2006/relationships">
  <dimension ref="A1:L42"/>
  <sheetViews>
    <sheetView workbookViewId="0" rightToLeft="0"/>
  </sheetViews>
  <sheetData>
    <row r="1">
      <c r="A1" t="str">
        <v>BREAKDOWN — (A) V.A.2.27 - Balok B78-1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B78-1</v>
      </c>
    </row>
    <row r="5">
      <c r="A5" t="str">
        <v>Unit</v>
      </c>
      <c r="B5" t="str">
        <v>m3</v>
      </c>
    </row>
    <row r="6">
      <c r="A6" t="str">
        <v>Volume</v>
      </c>
      <c r="B6">
        <v>4.1272</v>
      </c>
    </row>
    <row r="7">
      <c r="A7" t="str">
        <v>Unit cost (Rp/m3)</v>
      </c>
      <c r="B7">
        <v>5975597.414166584</v>
      </c>
    </row>
    <row r="8">
      <c r="A8" t="str">
        <v>Line total at-cost (Rp)</v>
      </c>
      <c r="B8">
        <v>24662485.647748325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4.33356</v>
      </c>
      <c r="L12">
        <v>4401380.214000002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4.1272</v>
      </c>
      <c r="L14">
        <v>309540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4.1272</v>
      </c>
      <c r="L16">
        <v>7222600</v>
      </c>
    </row>
    <row r="17">
      <c r="A17">
        <v>4</v>
      </c>
      <c r="B17" t="str">
        <v>BEKISTING BALOK (Material) — ratio 4.349680170575693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2.1748400852878467</v>
      </c>
      <c r="J18">
        <v>434968.01705756935</v>
      </c>
      <c r="K18">
        <v>8.976</v>
      </c>
      <c r="L18">
        <v>1795200.0000000002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9.78678038379531</v>
      </c>
      <c r="J19">
        <v>465850.7462686568</v>
      </c>
      <c r="K19">
        <v>40.39200000000001</v>
      </c>
      <c r="L19">
        <v>1922659.2000000004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3.26226012793177</v>
      </c>
      <c r="J20">
        <v>155283.58208955225</v>
      </c>
      <c r="K20">
        <v>13.464000000000002</v>
      </c>
      <c r="L20">
        <v>640886.4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1.631130063965885</v>
      </c>
      <c r="J21">
        <v>21204.690831556505</v>
      </c>
      <c r="K21">
        <v>6.732000000000001</v>
      </c>
      <c r="L21">
        <v>87516.00000000001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0.5437100213219617</v>
      </c>
      <c r="J22">
        <v>14952.025586353946</v>
      </c>
      <c r="K22">
        <v>2.244</v>
      </c>
      <c r="L22">
        <v>61710.00000000001</v>
      </c>
    </row>
    <row r="23">
      <c r="A23">
        <v>5</v>
      </c>
      <c r="B23" t="str">
        <v>BEKISTING BALOK PERALATAN (Material) — Perancah, ratio 4.349680170575693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1.0874200426439233</v>
      </c>
      <c r="J24">
        <v>221574.92300402749</v>
      </c>
      <c r="K24">
        <v>4.488</v>
      </c>
      <c r="L24">
        <v>914484.0222222223</v>
      </c>
    </row>
    <row r="25">
      <c r="A25">
        <v>6</v>
      </c>
      <c r="B25" t="str">
        <v>PEMBESIAN (Material) — ratio 156.91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D10</v>
      </c>
      <c r="D26" t="str">
        <v>U24/U40 polos</v>
      </c>
      <c r="E26">
        <v>5.401395619306069</v>
      </c>
      <c r="F26" t="str">
        <v>kg</v>
      </c>
      <c r="G26" t="str">
        <v>per m3 beton</v>
      </c>
      <c r="H26">
        <v>10300</v>
      </c>
      <c r="I26">
        <v>5.401395619306069</v>
      </c>
      <c r="J26">
        <v>55634.374878852504</v>
      </c>
      <c r="K26">
        <v>22.292640000000006</v>
      </c>
      <c r="L26">
        <v>229614.19200000007</v>
      </c>
    </row>
    <row r="27">
      <c r="A27" t="str">
        <v/>
      </c>
      <c r="B27" t="str">
        <v/>
      </c>
      <c r="C27" t="str">
        <v>Besi beton D13</v>
      </c>
      <c r="D27" t="str">
        <v>U24/U40 polos</v>
      </c>
      <c r="E27">
        <v>65.20515796666021</v>
      </c>
      <c r="F27" t="str">
        <v>kg</v>
      </c>
      <c r="G27" t="str">
        <v>per m3 beton</v>
      </c>
      <c r="H27">
        <v>10300</v>
      </c>
      <c r="I27">
        <v>65.20515796666021</v>
      </c>
      <c r="J27">
        <v>671613.1270566002</v>
      </c>
      <c r="K27">
        <v>269.11472796000004</v>
      </c>
      <c r="L27">
        <v>2771881.697988</v>
      </c>
    </row>
    <row r="28">
      <c r="A28" t="str">
        <v/>
      </c>
      <c r="B28" t="str">
        <v/>
      </c>
      <c r="C28" t="str">
        <v>Besi beton D22</v>
      </c>
      <c r="D28" t="str">
        <v>U24/U40 polos</v>
      </c>
      <c r="E28">
        <v>86.30290170575694</v>
      </c>
      <c r="F28" t="str">
        <v>kg</v>
      </c>
      <c r="G28" t="str">
        <v>per m3 beton</v>
      </c>
      <c r="H28">
        <v>10300</v>
      </c>
      <c r="I28">
        <v>86.30290170575694</v>
      </c>
      <c r="J28">
        <v>888919.8875692964</v>
      </c>
      <c r="K28">
        <v>356.1893359200001</v>
      </c>
      <c r="L28">
        <v>3668750.1599760004</v>
      </c>
    </row>
    <row r="29">
      <c r="A29" t="str">
        <v/>
      </c>
      <c r="B29" t="str">
        <v/>
      </c>
      <c r="C29" t="str">
        <v>Besi beton — waste (5%)</v>
      </c>
      <c r="D29" t="str">
        <v>applied via AHS coeff 1.05</v>
      </c>
      <c r="E29">
        <v>0.050000000000000044</v>
      </c>
      <c r="F29" t="str">
        <v>kg</v>
      </c>
      <c r="G29" t="str">
        <v>per m3 beton</v>
      </c>
      <c r="H29">
        <v>10300</v>
      </c>
      <c r="I29">
        <v>7.845472764586168</v>
      </c>
      <c r="J29">
        <v>80808.36947523753</v>
      </c>
      <c r="K29">
        <v>32.37983519400003</v>
      </c>
      <c r="L29">
        <v>333512.3024982003</v>
      </c>
    </row>
    <row r="30">
      <c r="A30" t="str">
        <v/>
      </c>
      <c r="B30" t="str">
        <v/>
      </c>
      <c r="C30" t="str">
        <v>Beton decking</v>
      </c>
      <c r="D30" t="str">
        <v>spacer</v>
      </c>
      <c r="E30">
        <v>1</v>
      </c>
      <c r="F30" t="str">
        <v>kg-eq</v>
      </c>
      <c r="G30" t="str">
        <v>per kg besi</v>
      </c>
      <c r="H30">
        <v>100</v>
      </c>
      <c r="I30">
        <v>156.90945529172322</v>
      </c>
      <c r="J30">
        <v>15690.945529172322</v>
      </c>
      <c r="K30">
        <v>647.5967038800001</v>
      </c>
      <c r="L30">
        <v>64759.67038800001</v>
      </c>
    </row>
    <row r="31">
      <c r="A31" t="str">
        <v/>
      </c>
      <c r="B31" t="str">
        <v/>
      </c>
      <c r="C31" t="str">
        <v>Bendrat (kawat ikat)</v>
      </c>
      <c r="D31" t="str">
        <v>2.1% of besi (raw)</v>
      </c>
      <c r="E31">
        <v>0.021</v>
      </c>
      <c r="F31" t="str">
        <v>kg</v>
      </c>
      <c r="G31" t="str">
        <v>per kg besi (raw)</v>
      </c>
      <c r="H31">
        <v>17500</v>
      </c>
      <c r="I31">
        <v>3.2950985611261876</v>
      </c>
      <c r="J31">
        <v>57664.22481970828</v>
      </c>
      <c r="K31">
        <v>13.599530781480002</v>
      </c>
      <c r="L31">
        <v>237991.78867590002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/>
      </c>
      <c r="B33" t="str">
        <v>SUBTOTAL — At-cost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>
        <v>5975597.414166584</v>
      </c>
      <c r="J33" t="str">
        <v/>
      </c>
      <c r="K33" t="str">
        <v/>
      </c>
      <c r="L33">
        <v>24662485.647748325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</row>
    <row r="35">
      <c r="A35" t="str">
        <v>RECONCILIATION</v>
      </c>
    </row>
    <row r="36">
      <c r="A36" t="str">
        <v>Computed unit cost</v>
      </c>
      <c r="B36">
        <v>5975597.414166584</v>
      </c>
    </row>
    <row r="37">
      <c r="A37" t="str">
        <v>RAB (A) source unit cost</v>
      </c>
      <c r="B37">
        <v>5975597.414166584</v>
      </c>
    </row>
    <row r="38">
      <c r="A38" t="str">
        <v>Variance</v>
      </c>
      <c r="B38">
        <v>0</v>
      </c>
      <c r="C38" t="str">
        <v>✓ OK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</row>
    <row r="40">
      <c r="A40" t="str">
        <v>Computed line total</v>
      </c>
      <c r="B40">
        <v>24662485.647748325</v>
      </c>
    </row>
    <row r="41">
      <c r="A41" t="str">
        <v>RAB (A) source line total</v>
      </c>
      <c r="B41">
        <v>28115233.638433088</v>
      </c>
    </row>
    <row r="42">
      <c r="A42" t="str">
        <v>Variance</v>
      </c>
      <c r="B42">
        <v>-3452747.9906847626</v>
      </c>
      <c r="C42" t="str">
        <v>✓ OK</v>
      </c>
    </row>
  </sheetData>
  <ignoredErrors>
    <ignoredError numberStoredAsText="1" sqref="A1:L42"/>
  </ignoredErrors>
</worksheet>
</file>

<file path=xl/worksheets/sheet163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V.A.2.28 - Balok B1745-1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B1745-1</v>
      </c>
    </row>
    <row r="5">
      <c r="A5" t="str">
        <v>Unit</v>
      </c>
      <c r="B5" t="str">
        <v>m3</v>
      </c>
    </row>
    <row r="6">
      <c r="A6" t="str">
        <v>Volume</v>
      </c>
      <c r="B6">
        <v>0.60163</v>
      </c>
    </row>
    <row r="7">
      <c r="A7" t="str">
        <v>Unit cost (Rp/m3)</v>
      </c>
      <c r="B7">
        <v>8984400.125435678</v>
      </c>
    </row>
    <row r="8">
      <c r="A8" t="str">
        <v>Line total at-cost (Rp)</v>
      </c>
      <c r="B8">
        <v>5405284.647465867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0.6317115</v>
      </c>
      <c r="L12">
        <v>641597.7849750002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0.60163</v>
      </c>
      <c r="L14">
        <v>45122.25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0.60163</v>
      </c>
      <c r="L16">
        <v>1052852.5</v>
      </c>
    </row>
    <row r="17">
      <c r="A17">
        <v>4</v>
      </c>
      <c r="B17" t="str">
        <v>BEKISTING BALOK (Material) — ratio 14.166514302810697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7.083257151405348</v>
      </c>
      <c r="J18">
        <v>1416651.4302810696</v>
      </c>
      <c r="K18">
        <v>4.2615</v>
      </c>
      <c r="L18">
        <v>852299.9999999999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31.874657181324068</v>
      </c>
      <c r="J19">
        <v>1517233.6818310255</v>
      </c>
      <c r="K19">
        <v>19.17675</v>
      </c>
      <c r="L19">
        <v>912813.2999999999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10.624885727108023</v>
      </c>
      <c r="J20">
        <v>505744.5606103419</v>
      </c>
      <c r="K20">
        <v>6.39225</v>
      </c>
      <c r="L20">
        <v>304271.1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5.312442863554011</v>
      </c>
      <c r="J21">
        <v>69061.75722620214</v>
      </c>
      <c r="K21">
        <v>3.196125</v>
      </c>
      <c r="L21">
        <v>41549.62499999999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1.770814287851337</v>
      </c>
      <c r="J22">
        <v>48697.39291591177</v>
      </c>
      <c r="K22">
        <v>1.065375</v>
      </c>
      <c r="L22">
        <v>29297.812499999996</v>
      </c>
    </row>
    <row r="23">
      <c r="A23">
        <v>5</v>
      </c>
      <c r="B23" t="str">
        <v>BEKISTING BALOK PERALATAN (Material) — Perancah, ratio 14.166514302810697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3.541628575702674</v>
      </c>
      <c r="J24">
        <v>721649.453013757</v>
      </c>
      <c r="K24">
        <v>2.13075</v>
      </c>
      <c r="L24">
        <v>434165.96041666664</v>
      </c>
    </row>
    <row r="25">
      <c r="A25">
        <v>6</v>
      </c>
      <c r="B25" t="str">
        <v>PEMBESIAN (Material) — ratio 160.77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D8</v>
      </c>
      <c r="D26" t="str">
        <v>U24/U40 polos</v>
      </c>
      <c r="E26">
        <v>95.40976666722072</v>
      </c>
      <c r="F26" t="str">
        <v>kg</v>
      </c>
      <c r="G26" t="str">
        <v>per m3 beton</v>
      </c>
      <c r="H26">
        <v>10300</v>
      </c>
      <c r="I26">
        <v>95.40976666722072</v>
      </c>
      <c r="J26">
        <v>982720.5966723735</v>
      </c>
      <c r="K26">
        <v>57.40137792</v>
      </c>
      <c r="L26">
        <v>591234.192576</v>
      </c>
    </row>
    <row r="27">
      <c r="A27" t="str">
        <v/>
      </c>
      <c r="B27" t="str">
        <v/>
      </c>
      <c r="C27" t="str">
        <v>Besi beton D13</v>
      </c>
      <c r="D27" t="str">
        <v>U24/U40 polos</v>
      </c>
      <c r="E27">
        <v>65.36394036201652</v>
      </c>
      <c r="F27" t="str">
        <v>kg</v>
      </c>
      <c r="G27" t="str">
        <v>per m3 beton</v>
      </c>
      <c r="H27">
        <v>10300</v>
      </c>
      <c r="I27">
        <v>65.36394036201652</v>
      </c>
      <c r="J27">
        <v>673248.5857287701</v>
      </c>
      <c r="K27">
        <v>39.32490744</v>
      </c>
      <c r="L27">
        <v>405046.54663199995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8.038685351461869</v>
      </c>
      <c r="J28">
        <v>82798.45912005725</v>
      </c>
      <c r="K28">
        <v>4.836314268000004</v>
      </c>
      <c r="L28">
        <v>49814.036960400044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160.77370702923724</v>
      </c>
      <c r="J29">
        <v>16077.370702923725</v>
      </c>
      <c r="K29">
        <v>96.72628536</v>
      </c>
      <c r="L29">
        <v>9672.628536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3.3762478476139823</v>
      </c>
      <c r="J30">
        <v>59084.33733324469</v>
      </c>
      <c r="K30">
        <v>2.03125199256</v>
      </c>
      <c r="L30">
        <v>35546.9098698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8984400.125435678</v>
      </c>
      <c r="J32" t="str">
        <v/>
      </c>
      <c r="K32" t="str">
        <v/>
      </c>
      <c r="L32">
        <v>5405284.647465867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8984400.125435678</v>
      </c>
    </row>
    <row r="36">
      <c r="A36" t="str">
        <v>RAB (A) source unit cost</v>
      </c>
      <c r="B36">
        <v>8984400.125435676</v>
      </c>
    </row>
    <row r="37">
      <c r="A37" t="str">
        <v>Variance</v>
      </c>
      <c r="B37">
        <v>1.862645149230957e-9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5405284.647465867</v>
      </c>
    </row>
    <row r="40">
      <c r="A40" t="str">
        <v>RAB (A) source line total</v>
      </c>
      <c r="B40">
        <v>6162024.498111087</v>
      </c>
    </row>
    <row r="41">
      <c r="A41" t="str">
        <v>Variance</v>
      </c>
      <c r="B41">
        <v>-756739.8506452199</v>
      </c>
      <c r="C41" t="str">
        <v>✓ OK</v>
      </c>
    </row>
  </sheetData>
  <ignoredErrors>
    <ignoredError numberStoredAsText="1" sqref="A1:L41"/>
  </ignoredErrors>
</worksheet>
</file>

<file path=xl/worksheets/sheet164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V.A.2.29 - Balok B26-6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B26-6</v>
      </c>
    </row>
    <row r="5">
      <c r="A5" t="str">
        <v>Unit</v>
      </c>
      <c r="B5" t="str">
        <v>m3</v>
      </c>
    </row>
    <row r="6">
      <c r="A6" t="str">
        <v>Volume</v>
      </c>
      <c r="B6">
        <v>0.5760000000000001</v>
      </c>
    </row>
    <row r="7">
      <c r="A7" t="str">
        <v>Unit cost (Rp/m3)</v>
      </c>
      <c r="B7">
        <v>8689094.26455605</v>
      </c>
    </row>
    <row r="8">
      <c r="A8" t="str">
        <v>Line total at-cost (Rp)</v>
      </c>
      <c r="B8">
        <v>5004918.296384285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0.6048000000000001</v>
      </c>
      <c r="L12">
        <v>614265.1200000002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0.5760000000000001</v>
      </c>
      <c r="L14">
        <v>43200.00000000001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0.5760000000000001</v>
      </c>
      <c r="L16">
        <v>1008000.0000000001</v>
      </c>
    </row>
    <row r="17">
      <c r="A17">
        <v>4</v>
      </c>
      <c r="B17" t="str">
        <v>BEKISTING BALOK (Material) — ratio 12.222222222222221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6.111111111111111</v>
      </c>
      <c r="J18">
        <v>1222222.2222222222</v>
      </c>
      <c r="K18">
        <v>3.52</v>
      </c>
      <c r="L18">
        <v>704000.0000000001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27.5</v>
      </c>
      <c r="J19">
        <v>1309000</v>
      </c>
      <c r="K19">
        <v>15.840000000000002</v>
      </c>
      <c r="L19">
        <v>753984.0000000001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9.166666666666666</v>
      </c>
      <c r="J20">
        <v>436333.3333333333</v>
      </c>
      <c r="K20">
        <v>5.28</v>
      </c>
      <c r="L20">
        <v>251328.00000000003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4.583333333333333</v>
      </c>
      <c r="J21">
        <v>59583.33333333333</v>
      </c>
      <c r="K21">
        <v>2.64</v>
      </c>
      <c r="L21">
        <v>34320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1.5277777777777777</v>
      </c>
      <c r="J22">
        <v>42013.88888888888</v>
      </c>
      <c r="K22">
        <v>0.88</v>
      </c>
      <c r="L22">
        <v>24200</v>
      </c>
    </row>
    <row r="23">
      <c r="A23">
        <v>5</v>
      </c>
      <c r="B23" t="str">
        <v>BEKISTING BALOK PERALATAN (Material) — Perancah, ratio 12.222222222222221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3.0555555555555554</v>
      </c>
      <c r="J24">
        <v>622606.2242798354</v>
      </c>
      <c r="K24">
        <v>1.76</v>
      </c>
      <c r="L24">
        <v>358621.1851851852</v>
      </c>
    </row>
    <row r="25">
      <c r="A25">
        <v>6</v>
      </c>
      <c r="B25" t="str">
        <v>PEMBESIAN (Material) — ratio 186.65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D10</v>
      </c>
      <c r="D26" t="str">
        <v>U24/U40 polos</v>
      </c>
      <c r="E26">
        <v>108.090859375</v>
      </c>
      <c r="F26" t="str">
        <v>kg</v>
      </c>
      <c r="G26" t="str">
        <v>per m3 beton</v>
      </c>
      <c r="H26">
        <v>10300</v>
      </c>
      <c r="I26">
        <v>108.090859375</v>
      </c>
      <c r="J26">
        <v>1113335.8515625</v>
      </c>
      <c r="K26">
        <v>62.260335000000005</v>
      </c>
      <c r="L26">
        <v>641281.4505</v>
      </c>
    </row>
    <row r="27">
      <c r="A27" t="str">
        <v/>
      </c>
      <c r="B27" t="str">
        <v/>
      </c>
      <c r="C27" t="str">
        <v>Besi beton D16</v>
      </c>
      <c r="D27" t="str">
        <v>U24/U40 polos</v>
      </c>
      <c r="E27">
        <v>78.56128</v>
      </c>
      <c r="F27" t="str">
        <v>kg</v>
      </c>
      <c r="G27" t="str">
        <v>per m3 beton</v>
      </c>
      <c r="H27">
        <v>10300</v>
      </c>
      <c r="I27">
        <v>78.56128</v>
      </c>
      <c r="J27">
        <v>809181.184</v>
      </c>
      <c r="K27">
        <v>45.25129728</v>
      </c>
      <c r="L27">
        <v>466088.3619840001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9.332606968750008</v>
      </c>
      <c r="J28">
        <v>96125.85177812508</v>
      </c>
      <c r="K28">
        <v>5.375581614000006</v>
      </c>
      <c r="L28">
        <v>55368.49062420006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186.652139375</v>
      </c>
      <c r="J29">
        <v>18665.2139375</v>
      </c>
      <c r="K29">
        <v>107.51163228</v>
      </c>
      <c r="L29">
        <v>10751.163228000001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3.919694926875</v>
      </c>
      <c r="J30">
        <v>68594.6612203125</v>
      </c>
      <c r="K30">
        <v>2.2577442778800005</v>
      </c>
      <c r="L30">
        <v>39510.524862900005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8689094.26455605</v>
      </c>
      <c r="J32" t="str">
        <v/>
      </c>
      <c r="K32" t="str">
        <v/>
      </c>
      <c r="L32">
        <v>5004918.296384285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8689094.26455605</v>
      </c>
    </row>
    <row r="36">
      <c r="A36" t="str">
        <v>RAB (A) source unit cost</v>
      </c>
      <c r="B36">
        <v>8689094.26455605</v>
      </c>
    </row>
    <row r="37">
      <c r="A37" t="str">
        <v>Variance</v>
      </c>
      <c r="B37">
        <v>0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5004918.296384285</v>
      </c>
    </row>
    <row r="40">
      <c r="A40" t="str">
        <v>RAB (A) source line total</v>
      </c>
      <c r="B40">
        <v>5705606.857878085</v>
      </c>
    </row>
    <row r="41">
      <c r="A41" t="str">
        <v>Variance</v>
      </c>
      <c r="B41">
        <v>-700688.5614938</v>
      </c>
      <c r="C41" t="str">
        <v>✓ OK</v>
      </c>
    </row>
  </sheetData>
  <ignoredErrors>
    <ignoredError numberStoredAsText="1" sqref="A1:L41"/>
  </ignoredErrors>
</worksheet>
</file>

<file path=xl/worksheets/sheet165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V.A.2.30 - Balok Potongan F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Potongan F</v>
      </c>
    </row>
    <row r="5">
      <c r="A5" t="str">
        <v>Unit</v>
      </c>
      <c r="B5" t="str">
        <v>m3</v>
      </c>
    </row>
    <row r="6">
      <c r="A6" t="str">
        <v>Volume</v>
      </c>
      <c r="B6">
        <v>0.0704</v>
      </c>
    </row>
    <row r="7">
      <c r="A7" t="str">
        <v>Unit cost (Rp/m3)</v>
      </c>
      <c r="B7">
        <v>11463245.025243688</v>
      </c>
    </row>
    <row r="8">
      <c r="A8" t="str">
        <v>Line total at-cost (Rp)</v>
      </c>
      <c r="B8">
        <v>807012.4497771558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0.07392000000000001</v>
      </c>
      <c r="L12">
        <v>75076.84800000003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0.0704</v>
      </c>
      <c r="L14">
        <v>5280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0.0704</v>
      </c>
      <c r="L16">
        <v>123200.00000000001</v>
      </c>
    </row>
    <row r="17">
      <c r="A17">
        <v>4</v>
      </c>
      <c r="B17" t="str">
        <v>BEKISTING BALOK (Material) — ratio 13.125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6.5625</v>
      </c>
      <c r="J18">
        <v>1312500</v>
      </c>
      <c r="K18">
        <v>0.462</v>
      </c>
      <c r="L18">
        <v>92400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29.53125</v>
      </c>
      <c r="J19">
        <v>1405687.5</v>
      </c>
      <c r="K19">
        <v>2.079</v>
      </c>
      <c r="L19">
        <v>98960.40000000001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9.84375</v>
      </c>
      <c r="J20">
        <v>468562.5</v>
      </c>
      <c r="K20">
        <v>0.6930000000000001</v>
      </c>
      <c r="L20">
        <v>32986.8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4.921875</v>
      </c>
      <c r="J21">
        <v>63984.375</v>
      </c>
      <c r="K21">
        <v>0.34650000000000003</v>
      </c>
      <c r="L21">
        <v>4504.5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1.640625</v>
      </c>
      <c r="J22">
        <v>45117.1875</v>
      </c>
      <c r="K22">
        <v>0.1155</v>
      </c>
      <c r="L22">
        <v>3176.25</v>
      </c>
    </row>
    <row r="23">
      <c r="A23">
        <v>5</v>
      </c>
      <c r="B23" t="str">
        <v>BEKISTING BALOK PERALATAN (Material) — Perancah, ratio 13.125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3.28125</v>
      </c>
      <c r="J24">
        <v>668594.1840277778</v>
      </c>
      <c r="K24">
        <v>0.231</v>
      </c>
      <c r="L24">
        <v>47069.03055555555</v>
      </c>
    </row>
    <row r="25">
      <c r="A25">
        <v>6</v>
      </c>
      <c r="B25" t="str">
        <v>PEMBESIAN (Material) — ratio 408.36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D10</v>
      </c>
      <c r="D26" t="str">
        <v>U24/U40 polos</v>
      </c>
      <c r="E26">
        <v>142.21534090909088</v>
      </c>
      <c r="F26" t="str">
        <v>kg</v>
      </c>
      <c r="G26" t="str">
        <v>per m3 beton</v>
      </c>
      <c r="H26">
        <v>10300</v>
      </c>
      <c r="I26">
        <v>142.21534090909088</v>
      </c>
      <c r="J26">
        <v>1464818.011363636</v>
      </c>
      <c r="K26">
        <v>10.011959999999998</v>
      </c>
      <c r="L26">
        <v>103123.18799999998</v>
      </c>
    </row>
    <row r="27">
      <c r="A27" t="str">
        <v/>
      </c>
      <c r="B27" t="str">
        <v/>
      </c>
      <c r="C27" t="str">
        <v>Besi beton D16</v>
      </c>
      <c r="D27" t="str">
        <v>U24/U40 polos</v>
      </c>
      <c r="E27">
        <v>266.1486545454546</v>
      </c>
      <c r="F27" t="str">
        <v>kg</v>
      </c>
      <c r="G27" t="str">
        <v>per m3 beton</v>
      </c>
      <c r="H27">
        <v>10300</v>
      </c>
      <c r="I27">
        <v>266.1486545454546</v>
      </c>
      <c r="J27">
        <v>2741331.141818182</v>
      </c>
      <c r="K27">
        <v>18.736865280000004</v>
      </c>
      <c r="L27">
        <v>192989.71238400004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20.41819977272729</v>
      </c>
      <c r="J28">
        <v>210307.4576590911</v>
      </c>
      <c r="K28">
        <v>1.4374412640000014</v>
      </c>
      <c r="L28">
        <v>14805.645019200014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408.3639954545455</v>
      </c>
      <c r="J29">
        <v>40836.39954545455</v>
      </c>
      <c r="K29">
        <v>28.748825280000005</v>
      </c>
      <c r="L29">
        <v>2874.8825280000005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8.575643904545457</v>
      </c>
      <c r="J30">
        <v>150073.76832954548</v>
      </c>
      <c r="K30">
        <v>0.6037253308800001</v>
      </c>
      <c r="L30">
        <v>10565.193290400002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11463245.025243688</v>
      </c>
      <c r="J32" t="str">
        <v/>
      </c>
      <c r="K32" t="str">
        <v/>
      </c>
      <c r="L32">
        <v>807012.4497771558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11463245.025243688</v>
      </c>
    </row>
    <row r="36">
      <c r="A36" t="str">
        <v>RAB (A) source unit cost</v>
      </c>
      <c r="B36">
        <v>11463245.025243687</v>
      </c>
    </row>
    <row r="37">
      <c r="A37" t="str">
        <v>Variance</v>
      </c>
      <c r="B37">
        <v>1.862645149230957e-9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807012.4497771558</v>
      </c>
    </row>
    <row r="40">
      <c r="A40" t="str">
        <v>RAB (A) source line total</v>
      </c>
      <c r="B40">
        <v>919994.1927459573</v>
      </c>
    </row>
    <row r="41">
      <c r="A41" t="str">
        <v>Variance</v>
      </c>
      <c r="B41">
        <v>-112981.74296880153</v>
      </c>
      <c r="C41" t="str">
        <v>✓ OK</v>
      </c>
    </row>
  </sheetData>
  <ignoredErrors>
    <ignoredError numberStoredAsText="1" sqref="A1:L41"/>
  </ignoredErrors>
</worksheet>
</file>

<file path=xl/worksheets/sheet166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V.A.2.31 - Balok Potongan G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Potongan G</v>
      </c>
    </row>
    <row r="5">
      <c r="A5" t="str">
        <v>Unit</v>
      </c>
      <c r="B5" t="str">
        <v>m3</v>
      </c>
    </row>
    <row r="6">
      <c r="A6" t="str">
        <v>Volume</v>
      </c>
      <c r="B6">
        <v>0.282</v>
      </c>
    </row>
    <row r="7">
      <c r="A7" t="str">
        <v>Unit cost (Rp/m3)</v>
      </c>
      <c r="B7">
        <v>10048426.630437829</v>
      </c>
    </row>
    <row r="8">
      <c r="A8" t="str">
        <v>Line total at-cost (Rp)</v>
      </c>
      <c r="B8">
        <v>2833656.3097834676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0.2961</v>
      </c>
      <c r="L12">
        <v>300733.965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0.282</v>
      </c>
      <c r="L14">
        <v>21149.999999999996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0.282</v>
      </c>
      <c r="L16">
        <v>493499.99999999994</v>
      </c>
    </row>
    <row r="17">
      <c r="A17">
        <v>4</v>
      </c>
      <c r="B17" t="str">
        <v>BEKISTING BALOK (Material) — ratio 12.127659574468087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6.063829787234043</v>
      </c>
      <c r="J18">
        <v>1212765.9574468087</v>
      </c>
      <c r="K18">
        <v>1.7100000000000002</v>
      </c>
      <c r="L18">
        <v>342000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27.287234042553195</v>
      </c>
      <c r="J19">
        <v>1298872.340425532</v>
      </c>
      <c r="K19">
        <v>7.695</v>
      </c>
      <c r="L19">
        <v>366282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9.095744680851066</v>
      </c>
      <c r="J20">
        <v>432957.44680851075</v>
      </c>
      <c r="K20">
        <v>2.5650000000000004</v>
      </c>
      <c r="L20">
        <v>122094.00000000001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4.547872340425533</v>
      </c>
      <c r="J21">
        <v>59122.340425531926</v>
      </c>
      <c r="K21">
        <v>1.2825000000000002</v>
      </c>
      <c r="L21">
        <v>16672.5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1.5159574468085109</v>
      </c>
      <c r="J22">
        <v>41688.82978723405</v>
      </c>
      <c r="K22">
        <v>0.42750000000000005</v>
      </c>
      <c r="L22">
        <v>11756.25</v>
      </c>
    </row>
    <row r="23">
      <c r="A23">
        <v>5</v>
      </c>
      <c r="B23" t="str">
        <v>BEKISTING BALOK PERALATAN (Material) — Perancah, ratio 12.127659574468087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3.0319148936170217</v>
      </c>
      <c r="J24">
        <v>617789.1548463358</v>
      </c>
      <c r="K24">
        <v>0.8550000000000001</v>
      </c>
      <c r="L24">
        <v>174216.54166666666</v>
      </c>
    </row>
    <row r="25">
      <c r="A25">
        <v>6</v>
      </c>
      <c r="B25" t="str">
        <v>PEMBESIAN (Material) — ratio 309.67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D10</v>
      </c>
      <c r="D26" t="str">
        <v>U24/U40 polos</v>
      </c>
      <c r="E26">
        <v>139.21531914893617</v>
      </c>
      <c r="F26" t="str">
        <v>kg</v>
      </c>
      <c r="G26" t="str">
        <v>per m3 beton</v>
      </c>
      <c r="H26">
        <v>10300</v>
      </c>
      <c r="I26">
        <v>139.21531914893617</v>
      </c>
      <c r="J26">
        <v>1433917.7872340425</v>
      </c>
      <c r="K26">
        <v>39.25872</v>
      </c>
      <c r="L26">
        <v>404364.81599999993</v>
      </c>
    </row>
    <row r="27">
      <c r="A27" t="str">
        <v/>
      </c>
      <c r="B27" t="str">
        <v/>
      </c>
      <c r="C27" t="str">
        <v>Besi beton D16</v>
      </c>
      <c r="D27" t="str">
        <v>U24/U40 polos</v>
      </c>
      <c r="E27">
        <v>170.44992000000008</v>
      </c>
      <c r="F27" t="str">
        <v>kg</v>
      </c>
      <c r="G27" t="str">
        <v>per m3 beton</v>
      </c>
      <c r="H27">
        <v>10300</v>
      </c>
      <c r="I27">
        <v>170.44992000000008</v>
      </c>
      <c r="J27">
        <v>1755634.1760000007</v>
      </c>
      <c r="K27">
        <v>48.06687744000002</v>
      </c>
      <c r="L27">
        <v>495088.83763200016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15.483261957446828</v>
      </c>
      <c r="J28">
        <v>159477.59816170234</v>
      </c>
      <c r="K28">
        <v>4.366279872000005</v>
      </c>
      <c r="L28">
        <v>44972.682681600054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309.6652391489363</v>
      </c>
      <c r="J29">
        <v>30966.523914893627</v>
      </c>
      <c r="K29">
        <v>87.32559744000002</v>
      </c>
      <c r="L29">
        <v>8732.559744000002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6.502970022127662</v>
      </c>
      <c r="J30">
        <v>113801.97538723408</v>
      </c>
      <c r="K30">
        <v>1.8338375462400005</v>
      </c>
      <c r="L30">
        <v>32092.157059200006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10048426.630437829</v>
      </c>
      <c r="J32" t="str">
        <v/>
      </c>
      <c r="K32" t="str">
        <v/>
      </c>
      <c r="L32">
        <v>2833656.3097834676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10048426.630437829</v>
      </c>
    </row>
    <row r="36">
      <c r="A36" t="str">
        <v>RAB (A) source unit cost</v>
      </c>
      <c r="B36">
        <v>10048426.630437829</v>
      </c>
    </row>
    <row r="37">
      <c r="A37" t="str">
        <v>Variance</v>
      </c>
      <c r="B37">
        <v>0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2833656.3097834676</v>
      </c>
    </row>
    <row r="40">
      <c r="A40" t="str">
        <v>RAB (A) source line total</v>
      </c>
      <c r="B40">
        <v>3230368.1931531527</v>
      </c>
    </row>
    <row r="41">
      <c r="A41" t="str">
        <v>Variance</v>
      </c>
      <c r="B41">
        <v>-396711.88336968515</v>
      </c>
      <c r="C41" t="str">
        <v>✓ OK</v>
      </c>
    </row>
  </sheetData>
  <ignoredErrors>
    <ignoredError numberStoredAsText="1" sqref="A1:L41"/>
  </ignoredErrors>
</worksheet>
</file>

<file path=xl/worksheets/sheet167.xml><?xml version="1.0" encoding="utf-8"?>
<worksheet xmlns="http://schemas.openxmlformats.org/spreadsheetml/2006/main" xmlns:r="http://schemas.openxmlformats.org/officeDocument/2006/relationships">
  <dimension ref="A1:L42"/>
  <sheetViews>
    <sheetView workbookViewId="0" rightToLeft="0"/>
  </sheetViews>
  <sheetData>
    <row r="1">
      <c r="A1" t="str">
        <v>BREAKDOWN — (A) V.A.2.32 - Balok Potongan H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Potongan H</v>
      </c>
    </row>
    <row r="5">
      <c r="A5" t="str">
        <v>Unit</v>
      </c>
      <c r="B5" t="str">
        <v>m3</v>
      </c>
    </row>
    <row r="6">
      <c r="A6" t="str">
        <v>Volume</v>
      </c>
      <c r="B6">
        <v>0.64722</v>
      </c>
    </row>
    <row r="7">
      <c r="A7" t="str">
        <v>Unit cost (Rp/m3)</v>
      </c>
      <c r="B7">
        <v>7149682.882476103</v>
      </c>
    </row>
    <row r="8">
      <c r="A8" t="str">
        <v>Line total at-cost (Rp)</v>
      </c>
      <c r="B8">
        <v>4627417.755196183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0.6795810000000001</v>
      </c>
      <c r="L12">
        <v>690216.4426500002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0.64722</v>
      </c>
      <c r="L14">
        <v>48541.5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0.64722</v>
      </c>
      <c r="L16">
        <v>1132635</v>
      </c>
    </row>
    <row r="17">
      <c r="A17">
        <v>4</v>
      </c>
      <c r="B17" t="str">
        <v>BEKISTING BALOK (Material) — ratio 6.492537313432835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3.2462686567164174</v>
      </c>
      <c r="J18">
        <v>649253.7313432834</v>
      </c>
      <c r="K18">
        <v>2.10105</v>
      </c>
      <c r="L18">
        <v>420209.99999999994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14.608208955223878</v>
      </c>
      <c r="J19">
        <v>695350.7462686566</v>
      </c>
      <c r="K19">
        <v>9.454724999999998</v>
      </c>
      <c r="L19">
        <v>450044.9099999999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4.869402985074626</v>
      </c>
      <c r="J20">
        <v>231783.58208955222</v>
      </c>
      <c r="K20">
        <v>3.151575</v>
      </c>
      <c r="L20">
        <v>150014.97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2.434701492537313</v>
      </c>
      <c r="J21">
        <v>31651.11940298507</v>
      </c>
      <c r="K21">
        <v>1.5757875</v>
      </c>
      <c r="L21">
        <v>20485.2375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0.8115671641791044</v>
      </c>
      <c r="J22">
        <v>22318.09701492537</v>
      </c>
      <c r="K22">
        <v>0.5252625</v>
      </c>
      <c r="L22">
        <v>14444.718749999998</v>
      </c>
    </row>
    <row r="23">
      <c r="A23">
        <v>5</v>
      </c>
      <c r="B23" t="str">
        <v>BEKISTING BALOK PERALATAN (Material) — Perancah, ratio 6.492537313432835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1.6231343283582087</v>
      </c>
      <c r="J24">
        <v>330733.15713101154</v>
      </c>
      <c r="K24">
        <v>1.050525</v>
      </c>
      <c r="L24">
        <v>214057.1139583333</v>
      </c>
    </row>
    <row r="25">
      <c r="A25">
        <v>6</v>
      </c>
      <c r="B25" t="str">
        <v>PEMBESIAN (Material) — ratio 203.60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D10</v>
      </c>
      <c r="D26" t="str">
        <v>U24/U40 polos</v>
      </c>
      <c r="E26">
        <v>10.115926578288681</v>
      </c>
      <c r="F26" t="str">
        <v>kg</v>
      </c>
      <c r="G26" t="str">
        <v>per m3 beton</v>
      </c>
      <c r="H26">
        <v>10300</v>
      </c>
      <c r="I26">
        <v>10.115926578288681</v>
      </c>
      <c r="J26">
        <v>104194.04375637342</v>
      </c>
      <c r="K26">
        <v>6.54723</v>
      </c>
      <c r="L26">
        <v>67436.469</v>
      </c>
    </row>
    <row r="27">
      <c r="A27" t="str">
        <v/>
      </c>
      <c r="B27" t="str">
        <v/>
      </c>
      <c r="C27" t="str">
        <v>Besi beton D13</v>
      </c>
      <c r="D27" t="str">
        <v>U24/U40 polos</v>
      </c>
      <c r="E27">
        <v>111.58385195142301</v>
      </c>
      <c r="F27" t="str">
        <v>kg</v>
      </c>
      <c r="G27" t="str">
        <v>per m3 beton</v>
      </c>
      <c r="H27">
        <v>10300</v>
      </c>
      <c r="I27">
        <v>111.58385195142301</v>
      </c>
      <c r="J27">
        <v>1149313.6750996571</v>
      </c>
      <c r="K27">
        <v>72.21930066</v>
      </c>
      <c r="L27">
        <v>743858.7967980001</v>
      </c>
    </row>
    <row r="28">
      <c r="A28" t="str">
        <v/>
      </c>
      <c r="B28" t="str">
        <v/>
      </c>
      <c r="C28" t="str">
        <v>Besi beton D16</v>
      </c>
      <c r="D28" t="str">
        <v>U24/U40 polos</v>
      </c>
      <c r="E28">
        <v>81.90402818207102</v>
      </c>
      <c r="F28" t="str">
        <v>kg</v>
      </c>
      <c r="G28" t="str">
        <v>per m3 beton</v>
      </c>
      <c r="H28">
        <v>10300</v>
      </c>
      <c r="I28">
        <v>81.90402818207102</v>
      </c>
      <c r="J28">
        <v>843611.4902753314</v>
      </c>
      <c r="K28">
        <v>53.009925120000005</v>
      </c>
      <c r="L28">
        <v>546002.228736</v>
      </c>
    </row>
    <row r="29">
      <c r="A29" t="str">
        <v/>
      </c>
      <c r="B29" t="str">
        <v/>
      </c>
      <c r="C29" t="str">
        <v>Besi beton — waste (5%)</v>
      </c>
      <c r="D29" t="str">
        <v>applied via AHS coeff 1.05</v>
      </c>
      <c r="E29">
        <v>0.050000000000000044</v>
      </c>
      <c r="F29" t="str">
        <v>kg</v>
      </c>
      <c r="G29" t="str">
        <v>per m3 beton</v>
      </c>
      <c r="H29">
        <v>10300</v>
      </c>
      <c r="I29">
        <v>10.180190335589144</v>
      </c>
      <c r="J29">
        <v>104855.96045656818</v>
      </c>
      <c r="K29">
        <v>6.588822789000006</v>
      </c>
      <c r="L29">
        <v>67864.87472670006</v>
      </c>
    </row>
    <row r="30">
      <c r="A30" t="str">
        <v/>
      </c>
      <c r="B30" t="str">
        <v/>
      </c>
      <c r="C30" t="str">
        <v>Beton decking</v>
      </c>
      <c r="D30" t="str">
        <v>spacer</v>
      </c>
      <c r="E30">
        <v>1</v>
      </c>
      <c r="F30" t="str">
        <v>kg-eq</v>
      </c>
      <c r="G30" t="str">
        <v>per kg besi</v>
      </c>
      <c r="H30">
        <v>100</v>
      </c>
      <c r="I30">
        <v>203.6038067117827</v>
      </c>
      <c r="J30">
        <v>20360.38067117827</v>
      </c>
      <c r="K30">
        <v>131.77645578000002</v>
      </c>
      <c r="L30">
        <v>13177.645578000001</v>
      </c>
    </row>
    <row r="31">
      <c r="A31" t="str">
        <v/>
      </c>
      <c r="B31" t="str">
        <v/>
      </c>
      <c r="C31" t="str">
        <v>Bendrat (kawat ikat)</v>
      </c>
      <c r="D31" t="str">
        <v>2.1% of besi (raw)</v>
      </c>
      <c r="E31">
        <v>0.021</v>
      </c>
      <c r="F31" t="str">
        <v>kg</v>
      </c>
      <c r="G31" t="str">
        <v>per kg besi (raw)</v>
      </c>
      <c r="H31">
        <v>17500</v>
      </c>
      <c r="I31">
        <v>4.2756799409474375</v>
      </c>
      <c r="J31">
        <v>74824.39896658016</v>
      </c>
      <c r="K31">
        <v>2.7673055713800006</v>
      </c>
      <c r="L31">
        <v>48427.84749915001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/>
      </c>
      <c r="B33" t="str">
        <v>SUBTOTAL — At-cost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>
        <v>7149682.882476103</v>
      </c>
      <c r="J33" t="str">
        <v/>
      </c>
      <c r="K33" t="str">
        <v/>
      </c>
      <c r="L33">
        <v>4627417.755196183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</row>
    <row r="35">
      <c r="A35" t="str">
        <v>RECONCILIATION</v>
      </c>
    </row>
    <row r="36">
      <c r="A36" t="str">
        <v>Computed unit cost</v>
      </c>
      <c r="B36">
        <v>7149682.882476103</v>
      </c>
    </row>
    <row r="37">
      <c r="A37" t="str">
        <v>RAB (A) source unit cost</v>
      </c>
      <c r="B37">
        <v>7149682.882476103</v>
      </c>
    </row>
    <row r="38">
      <c r="A38" t="str">
        <v>Variance</v>
      </c>
      <c r="B38">
        <v>0</v>
      </c>
      <c r="C38" t="str">
        <v>✓ OK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</row>
    <row r="40">
      <c r="A40" t="str">
        <v>Computed line total</v>
      </c>
      <c r="B40">
        <v>4627417.755196183</v>
      </c>
    </row>
    <row r="41">
      <c r="A41" t="str">
        <v>RAB (A) source line total</v>
      </c>
      <c r="B41">
        <v>5275256.240923649</v>
      </c>
    </row>
    <row r="42">
      <c r="A42" t="str">
        <v>Variance</v>
      </c>
      <c r="B42">
        <v>-647838.4857274657</v>
      </c>
      <c r="C42" t="str">
        <v>✓ OK</v>
      </c>
    </row>
  </sheetData>
  <ignoredErrors>
    <ignoredError numberStoredAsText="1" sqref="A1:L42"/>
  </ignoredErrors>
</worksheet>
</file>

<file path=xl/worksheets/sheet168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V.A.2.33 - Balok Potongan N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Potongan N</v>
      </c>
    </row>
    <row r="5">
      <c r="A5" t="str">
        <v>Unit</v>
      </c>
      <c r="B5" t="str">
        <v>m3</v>
      </c>
    </row>
    <row r="6">
      <c r="A6" t="str">
        <v>Volume</v>
      </c>
      <c r="B6">
        <v>0.36</v>
      </c>
    </row>
    <row r="7">
      <c r="A7" t="str">
        <v>Unit cost (Rp/m3)</v>
      </c>
      <c r="B7">
        <v>9762435.683727613</v>
      </c>
    </row>
    <row r="8">
      <c r="A8" t="str">
        <v>Line total at-cost (Rp)</v>
      </c>
      <c r="B8">
        <v>3514476.8461419404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0.378</v>
      </c>
      <c r="L12">
        <v>383915.70000000007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0.36</v>
      </c>
      <c r="L14">
        <v>27000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0.36</v>
      </c>
      <c r="L16">
        <v>630000</v>
      </c>
    </row>
    <row r="17">
      <c r="A17">
        <v>4</v>
      </c>
      <c r="B17" t="str">
        <v>BEKISTING BALOK (Material) — ratio 12.222222222222223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6.111111111111112</v>
      </c>
      <c r="J18">
        <v>1222222.2222222222</v>
      </c>
      <c r="K18">
        <v>2.2</v>
      </c>
      <c r="L18">
        <v>440000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27.500000000000004</v>
      </c>
      <c r="J19">
        <v>1309000.0000000002</v>
      </c>
      <c r="K19">
        <v>9.9</v>
      </c>
      <c r="L19">
        <v>471240.00000000006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9.166666666666668</v>
      </c>
      <c r="J20">
        <v>436333.3333333334</v>
      </c>
      <c r="K20">
        <v>3.3000000000000003</v>
      </c>
      <c r="L20">
        <v>157080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4.583333333333334</v>
      </c>
      <c r="J21">
        <v>59583.33333333334</v>
      </c>
      <c r="K21">
        <v>1.6500000000000001</v>
      </c>
      <c r="L21">
        <v>21450.000000000004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1.527777777777778</v>
      </c>
      <c r="J22">
        <v>42013.88888888889</v>
      </c>
      <c r="K22">
        <v>0.55</v>
      </c>
      <c r="L22">
        <v>15125</v>
      </c>
    </row>
    <row r="23">
      <c r="A23">
        <v>5</v>
      </c>
      <c r="B23" t="str">
        <v>BEKISTING BALOK PERALATAN (Material) — Perancah, ratio 12.222222222222223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3.055555555555556</v>
      </c>
      <c r="J24">
        <v>622606.2242798354</v>
      </c>
      <c r="K24">
        <v>1.1</v>
      </c>
      <c r="L24">
        <v>224138.24074074073</v>
      </c>
    </row>
    <row r="25">
      <c r="A25">
        <v>6</v>
      </c>
      <c r="B25" t="str">
        <v>PEMBESIAN (Material) — ratio 281.79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D10</v>
      </c>
      <c r="D26" t="str">
        <v>U24/U40 polos</v>
      </c>
      <c r="E26">
        <v>69.21925</v>
      </c>
      <c r="F26" t="str">
        <v>kg</v>
      </c>
      <c r="G26" t="str">
        <v>per m3 beton</v>
      </c>
      <c r="H26">
        <v>10300</v>
      </c>
      <c r="I26">
        <v>69.21925</v>
      </c>
      <c r="J26">
        <v>712958.275</v>
      </c>
      <c r="K26">
        <v>24.91893</v>
      </c>
      <c r="L26">
        <v>256664.979</v>
      </c>
    </row>
    <row r="27">
      <c r="A27" t="str">
        <v/>
      </c>
      <c r="B27" t="str">
        <v/>
      </c>
      <c r="C27" t="str">
        <v>Besi beton D19</v>
      </c>
      <c r="D27" t="str">
        <v>U24/U40 polos</v>
      </c>
      <c r="E27">
        <v>212.56618600000002</v>
      </c>
      <c r="F27" t="str">
        <v>kg</v>
      </c>
      <c r="G27" t="str">
        <v>per m3 beton</v>
      </c>
      <c r="H27">
        <v>10300</v>
      </c>
      <c r="I27">
        <v>212.56618600000002</v>
      </c>
      <c r="J27">
        <v>2189431.7158000004</v>
      </c>
      <c r="K27">
        <v>76.52382696000001</v>
      </c>
      <c r="L27">
        <v>788195.4176880001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14.089271800000013</v>
      </c>
      <c r="J28">
        <v>145119.49954000014</v>
      </c>
      <c r="K28">
        <v>5.072137848000004</v>
      </c>
      <c r="L28">
        <v>52243.019834400046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281.785436</v>
      </c>
      <c r="J29">
        <v>28178.5436</v>
      </c>
      <c r="K29">
        <v>101.44275696</v>
      </c>
      <c r="L29">
        <v>10144.275696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5.917494156</v>
      </c>
      <c r="J30">
        <v>103556.14773</v>
      </c>
      <c r="K30">
        <v>2.13029789616</v>
      </c>
      <c r="L30">
        <v>37280.2131828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9762435.683727613</v>
      </c>
      <c r="J32" t="str">
        <v/>
      </c>
      <c r="K32" t="str">
        <v/>
      </c>
      <c r="L32">
        <v>3514476.8461419404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9762435.683727613</v>
      </c>
    </row>
    <row r="36">
      <c r="A36" t="str">
        <v>RAB (A) source unit cost</v>
      </c>
      <c r="B36">
        <v>9762435.683727615</v>
      </c>
    </row>
    <row r="37">
      <c r="A37" t="str">
        <v>Variance</v>
      </c>
      <c r="B37">
        <v>-1.862645149230957e-9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3514476.8461419404</v>
      </c>
    </row>
    <row r="40">
      <c r="A40" t="str">
        <v>RAB (A) source line total</v>
      </c>
      <c r="B40">
        <v>4006503.6046018125</v>
      </c>
    </row>
    <row r="41">
      <c r="A41" t="str">
        <v>Variance</v>
      </c>
      <c r="B41">
        <v>-492026.7584598721</v>
      </c>
      <c r="C41" t="str">
        <v>✓ OK</v>
      </c>
    </row>
  </sheetData>
  <ignoredErrors>
    <ignoredError numberStoredAsText="1" sqref="A1:L41"/>
  </ignoredErrors>
</worksheet>
</file>

<file path=xl/worksheets/sheet169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(A) V.A.4.1 - Kolom K174-1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K174-1</v>
      </c>
    </row>
    <row r="5">
      <c r="A5" t="str">
        <v>Unit</v>
      </c>
      <c r="B5" t="str">
        <v>m3</v>
      </c>
    </row>
    <row r="6">
      <c r="A6" t="str">
        <v>Volume</v>
      </c>
      <c r="B6">
        <v>0.9179999999999999</v>
      </c>
    </row>
    <row r="7">
      <c r="A7" t="str">
        <v>Unit cost (Rp/m3)</v>
      </c>
      <c r="B7">
        <v>9800640.468435291</v>
      </c>
    </row>
    <row r="8">
      <c r="A8" t="str">
        <v>Line total at-cost (Rp)</v>
      </c>
      <c r="B8">
        <v>8996987.950023597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0.9639</v>
      </c>
      <c r="L12">
        <v>978985.0350000001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0.9179999999999999</v>
      </c>
      <c r="L14">
        <v>229499.99999999997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2250000</v>
      </c>
      <c r="I16">
        <v>1</v>
      </c>
      <c r="J16">
        <v>2250000</v>
      </c>
      <c r="K16">
        <v>0.9179999999999999</v>
      </c>
      <c r="L16">
        <v>2065499.9999999998</v>
      </c>
    </row>
    <row r="17">
      <c r="A17">
        <v>4</v>
      </c>
      <c r="B17" t="str">
        <v>BEKISTING KOLOM (Material) — ratio 16.764705882352942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4.56)</v>
      </c>
      <c r="H18">
        <v>200000</v>
      </c>
      <c r="I18">
        <v>7.352941176470588</v>
      </c>
      <c r="J18">
        <v>1470588.2352941176</v>
      </c>
      <c r="K18">
        <v>6.749999999999999</v>
      </c>
      <c r="L18">
        <v>1349999.9999999998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4.56)</v>
      </c>
      <c r="H19">
        <v>47600</v>
      </c>
      <c r="I19">
        <v>36.76470588235294</v>
      </c>
      <c r="J19">
        <v>1750000</v>
      </c>
      <c r="K19">
        <v>33.75</v>
      </c>
      <c r="L19">
        <v>1606499.9999999998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4.56)</v>
      </c>
      <c r="H20">
        <v>47600</v>
      </c>
      <c r="I20">
        <v>7.352941176470588</v>
      </c>
      <c r="J20">
        <v>350000</v>
      </c>
      <c r="K20">
        <v>6.749999999999999</v>
      </c>
      <c r="L20">
        <v>321300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4.56)</v>
      </c>
      <c r="H21">
        <v>13000</v>
      </c>
      <c r="I21">
        <v>7.352941176470588</v>
      </c>
      <c r="J21">
        <v>95588.23529411764</v>
      </c>
      <c r="K21">
        <v>6.749999999999999</v>
      </c>
      <c r="L21">
        <v>87749.99999999999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4.56)</v>
      </c>
      <c r="H22">
        <v>27500</v>
      </c>
      <c r="I22">
        <v>8.382352941176471</v>
      </c>
      <c r="J22">
        <v>230514.70588235295</v>
      </c>
      <c r="K22">
        <v>7.694999999999999</v>
      </c>
      <c r="L22">
        <v>211612.5</v>
      </c>
    </row>
    <row r="23">
      <c r="A23">
        <v>5</v>
      </c>
      <c r="B23" t="str">
        <v>PEMBESIAN (Material) — ratio 207.18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68.48065882352941</v>
      </c>
      <c r="F24" t="str">
        <v>kg</v>
      </c>
      <c r="G24" t="str">
        <v>per m3 beton</v>
      </c>
      <c r="H24">
        <v>10300</v>
      </c>
      <c r="I24">
        <v>68.48065882352941</v>
      </c>
      <c r="J24">
        <v>705350.785882353</v>
      </c>
      <c r="K24">
        <v>62.86524479999999</v>
      </c>
      <c r="L24">
        <v>647512.0214399999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138.7000894117647</v>
      </c>
      <c r="F25" t="str">
        <v>kg</v>
      </c>
      <c r="G25" t="str">
        <v>per m3 beton</v>
      </c>
      <c r="H25">
        <v>10300</v>
      </c>
      <c r="I25">
        <v>138.7000894117647</v>
      </c>
      <c r="J25">
        <v>1428610.9209411766</v>
      </c>
      <c r="K25">
        <v>127.32668208</v>
      </c>
      <c r="L25">
        <v>1311464.825424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10300</v>
      </c>
      <c r="I26">
        <v>10.359037411764715</v>
      </c>
      <c r="J26">
        <v>106698.08534117657</v>
      </c>
      <c r="K26">
        <v>9.509596344000007</v>
      </c>
      <c r="L26">
        <v>97948.84234320009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207.18074823529412</v>
      </c>
      <c r="J27">
        <v>20718.074823529412</v>
      </c>
      <c r="K27">
        <v>190.19192687999998</v>
      </c>
      <c r="L27">
        <v>19019.192688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4.350795712941177</v>
      </c>
      <c r="J28">
        <v>76138.9249764706</v>
      </c>
      <c r="K28">
        <v>3.99403046448</v>
      </c>
      <c r="L28">
        <v>69895.53312840001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9800640.468435291</v>
      </c>
      <c r="J30" t="str">
        <v/>
      </c>
      <c r="K30" t="str">
        <v/>
      </c>
      <c r="L30">
        <v>8996987.950023597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9800640.468435291</v>
      </c>
    </row>
    <row r="34">
      <c r="A34" t="str">
        <v>RAB (A) source unit cost</v>
      </c>
      <c r="B34">
        <v>9800640.468435295</v>
      </c>
    </row>
    <row r="35">
      <c r="A35" t="str">
        <v>Variance</v>
      </c>
      <c r="B35">
        <v>-3.725290298461914e-9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8996987.950023597</v>
      </c>
    </row>
    <row r="38">
      <c r="A38" t="str">
        <v>RAB (A) source line total</v>
      </c>
      <c r="B38">
        <v>10256566.263026902</v>
      </c>
    </row>
    <row r="39">
      <c r="A39" t="str">
        <v>Variance</v>
      </c>
      <c r="B39">
        <v>-1259578.3130033053</v>
      </c>
      <c r="C39" t="str">
        <v>✓ OK</v>
      </c>
    </row>
  </sheetData>
  <ignoredErrors>
    <ignoredError numberStoredAsText="1" sqref="A1:L39"/>
  </ignoredErrors>
</worksheet>
</file>

<file path=xl/worksheets/sheet170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(A) V.A.4.2 - Kolom K175-1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K175-1</v>
      </c>
    </row>
    <row r="5">
      <c r="A5" t="str">
        <v>Unit</v>
      </c>
      <c r="B5" t="str">
        <v>m3</v>
      </c>
    </row>
    <row r="6">
      <c r="A6" t="str">
        <v>Volume</v>
      </c>
      <c r="B6">
        <v>1.9125</v>
      </c>
    </row>
    <row r="7">
      <c r="A7" t="str">
        <v>Unit cost (Rp/m3)</v>
      </c>
      <c r="B7">
        <v>9476388.474373447</v>
      </c>
    </row>
    <row r="8">
      <c r="A8" t="str">
        <v>Line total at-cost (Rp)</v>
      </c>
      <c r="B8">
        <v>18123592.957239218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2.008125</v>
      </c>
      <c r="L12">
        <v>2039552.1562500005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1.9125</v>
      </c>
      <c r="L14">
        <v>478125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2250000</v>
      </c>
      <c r="I16">
        <v>1</v>
      </c>
      <c r="J16">
        <v>2250000</v>
      </c>
      <c r="K16">
        <v>1.9125</v>
      </c>
      <c r="L16">
        <v>4303125</v>
      </c>
    </row>
    <row r="17">
      <c r="A17">
        <v>4</v>
      </c>
      <c r="B17" t="str">
        <v>BEKISTING KOLOM (Material) — ratio 15.764705882352942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4.56)</v>
      </c>
      <c r="H18">
        <v>200000</v>
      </c>
      <c r="I18">
        <v>6.914344685242518</v>
      </c>
      <c r="J18">
        <v>1382868.9370485034</v>
      </c>
      <c r="K18">
        <v>13.223684210526315</v>
      </c>
      <c r="L18">
        <v>2644736.842105263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4.56)</v>
      </c>
      <c r="H19">
        <v>47600</v>
      </c>
      <c r="I19">
        <v>34.571723426212586</v>
      </c>
      <c r="J19">
        <v>1645614.035087719</v>
      </c>
      <c r="K19">
        <v>66.11842105263158</v>
      </c>
      <c r="L19">
        <v>3147236.842105263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4.56)</v>
      </c>
      <c r="H20">
        <v>47600</v>
      </c>
      <c r="I20">
        <v>6.914344685242518</v>
      </c>
      <c r="J20">
        <v>329122.8070175438</v>
      </c>
      <c r="K20">
        <v>13.223684210526315</v>
      </c>
      <c r="L20">
        <v>629447.3684210526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4.56)</v>
      </c>
      <c r="H21">
        <v>13000</v>
      </c>
      <c r="I21">
        <v>6.914344685242518</v>
      </c>
      <c r="J21">
        <v>89886.48090815273</v>
      </c>
      <c r="K21">
        <v>13.223684210526315</v>
      </c>
      <c r="L21">
        <v>171907.8947368421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4.56)</v>
      </c>
      <c r="H22">
        <v>27500</v>
      </c>
      <c r="I22">
        <v>7.882352941176471</v>
      </c>
      <c r="J22">
        <v>216764.70588235295</v>
      </c>
      <c r="K22">
        <v>15.075000000000001</v>
      </c>
      <c r="L22">
        <v>414562.50000000006</v>
      </c>
    </row>
    <row r="23">
      <c r="A23">
        <v>5</v>
      </c>
      <c r="B23" t="str">
        <v>PEMBESIAN (Material) — ratio 199.04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71.26836705882353</v>
      </c>
      <c r="F24" t="str">
        <v>kg</v>
      </c>
      <c r="G24" t="str">
        <v>per m3 beton</v>
      </c>
      <c r="H24">
        <v>10300</v>
      </c>
      <c r="I24">
        <v>71.26836705882353</v>
      </c>
      <c r="J24">
        <v>734064.1807058824</v>
      </c>
      <c r="K24">
        <v>136.30075200000002</v>
      </c>
      <c r="L24">
        <v>1403897.7456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127.77431039999999</v>
      </c>
      <c r="F25" t="str">
        <v>kg</v>
      </c>
      <c r="G25" t="str">
        <v>per m3 beton</v>
      </c>
      <c r="H25">
        <v>10300</v>
      </c>
      <c r="I25">
        <v>127.77431039999999</v>
      </c>
      <c r="J25">
        <v>1316075.3971199999</v>
      </c>
      <c r="K25">
        <v>244.36836864</v>
      </c>
      <c r="L25">
        <v>2516994.1969919996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10300</v>
      </c>
      <c r="I26">
        <v>9.952133872941184</v>
      </c>
      <c r="J26">
        <v>102506.9788912942</v>
      </c>
      <c r="K26">
        <v>19.033456032000014</v>
      </c>
      <c r="L26">
        <v>196044.59712960018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199.0426774588235</v>
      </c>
      <c r="J27">
        <v>19904.26774588235</v>
      </c>
      <c r="K27">
        <v>380.66912063999996</v>
      </c>
      <c r="L27">
        <v>38066.912064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4.179896226635294</v>
      </c>
      <c r="J28">
        <v>73148.18396611765</v>
      </c>
      <c r="K28">
        <v>7.99405153344</v>
      </c>
      <c r="L28">
        <v>139895.9018352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9476388.474373447</v>
      </c>
      <c r="J30" t="str">
        <v/>
      </c>
      <c r="K30" t="str">
        <v/>
      </c>
      <c r="L30">
        <v>18123592.957239218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9476388.474373447</v>
      </c>
    </row>
    <row r="34">
      <c r="A34" t="str">
        <v>RAB (A) source unit cost</v>
      </c>
      <c r="B34">
        <v>9476388.474373449</v>
      </c>
    </row>
    <row r="35">
      <c r="A35" t="str">
        <v>Variance</v>
      </c>
      <c r="B35">
        <v>-1.862645149230957e-9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18123592.957239218</v>
      </c>
    </row>
    <row r="38">
      <c r="A38" t="str">
        <v>RAB (A) source line total</v>
      </c>
      <c r="B38">
        <v>20660895.97125271</v>
      </c>
    </row>
    <row r="39">
      <c r="A39" t="str">
        <v>Variance</v>
      </c>
      <c r="B39">
        <v>-2537303.0140134916</v>
      </c>
      <c r="C39" t="str">
        <v>✓ OK</v>
      </c>
    </row>
  </sheetData>
  <ignoredErrors>
    <ignoredError numberStoredAsText="1" sqref="A1:L39"/>
  </ignoredErrors>
</worksheet>
</file>

<file path=xl/worksheets/sheet171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(A) V.A.4.3 - Kolom K175-2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K175-2</v>
      </c>
    </row>
    <row r="5">
      <c r="A5" t="str">
        <v>Unit</v>
      </c>
      <c r="B5" t="str">
        <v>m3</v>
      </c>
    </row>
    <row r="6">
      <c r="A6" t="str">
        <v>Volume</v>
      </c>
      <c r="B6">
        <v>1.9125</v>
      </c>
    </row>
    <row r="7">
      <c r="A7" t="str">
        <v>Unit cost (Rp/m3)</v>
      </c>
      <c r="B7">
        <v>10071632.760747096</v>
      </c>
    </row>
    <row r="8">
      <c r="A8" t="str">
        <v>Line total at-cost (Rp)</v>
      </c>
      <c r="B8">
        <v>19261997.654928822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2.008125</v>
      </c>
      <c r="L12">
        <v>2039552.1562500005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1.9125</v>
      </c>
      <c r="L14">
        <v>478125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2250000</v>
      </c>
      <c r="I16">
        <v>1</v>
      </c>
      <c r="J16">
        <v>2250000</v>
      </c>
      <c r="K16">
        <v>1.9125</v>
      </c>
      <c r="L16">
        <v>4303125</v>
      </c>
    </row>
    <row r="17">
      <c r="A17">
        <v>4</v>
      </c>
      <c r="B17" t="str">
        <v>BEKISTING KOLOM (Material) — ratio 15.764705882352942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4.56)</v>
      </c>
      <c r="H18">
        <v>200000</v>
      </c>
      <c r="I18">
        <v>6.914344685242518</v>
      </c>
      <c r="J18">
        <v>1382868.9370485034</v>
      </c>
      <c r="K18">
        <v>13.223684210526315</v>
      </c>
      <c r="L18">
        <v>2644736.842105263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4.56)</v>
      </c>
      <c r="H19">
        <v>47600</v>
      </c>
      <c r="I19">
        <v>34.571723426212586</v>
      </c>
      <c r="J19">
        <v>1645614.035087719</v>
      </c>
      <c r="K19">
        <v>66.11842105263158</v>
      </c>
      <c r="L19">
        <v>3147236.842105263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4.56)</v>
      </c>
      <c r="H20">
        <v>47600</v>
      </c>
      <c r="I20">
        <v>6.914344685242518</v>
      </c>
      <c r="J20">
        <v>329122.8070175438</v>
      </c>
      <c r="K20">
        <v>13.223684210526315</v>
      </c>
      <c r="L20">
        <v>629447.3684210526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4.56)</v>
      </c>
      <c r="H21">
        <v>13000</v>
      </c>
      <c r="I21">
        <v>6.914344685242518</v>
      </c>
      <c r="J21">
        <v>89886.48090815273</v>
      </c>
      <c r="K21">
        <v>13.223684210526315</v>
      </c>
      <c r="L21">
        <v>171907.8947368421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4.56)</v>
      </c>
      <c r="H22">
        <v>27500</v>
      </c>
      <c r="I22">
        <v>7.882352941176471</v>
      </c>
      <c r="J22">
        <v>216764.70588235295</v>
      </c>
      <c r="K22">
        <v>15.075000000000001</v>
      </c>
      <c r="L22">
        <v>414562.50000000006</v>
      </c>
    </row>
    <row r="23">
      <c r="A23">
        <v>5</v>
      </c>
      <c r="B23" t="str">
        <v>PEMBESIAN (Material) — ratio 251.80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71.26836705882353</v>
      </c>
      <c r="F24" t="str">
        <v>kg</v>
      </c>
      <c r="G24" t="str">
        <v>per m3 beton</v>
      </c>
      <c r="H24">
        <v>10300</v>
      </c>
      <c r="I24">
        <v>71.26836705882353</v>
      </c>
      <c r="J24">
        <v>734064.1807058824</v>
      </c>
      <c r="K24">
        <v>136.30075200000002</v>
      </c>
      <c r="L24">
        <v>1403897.7456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180.53250108235295</v>
      </c>
      <c r="F25" t="str">
        <v>kg</v>
      </c>
      <c r="G25" t="str">
        <v>per m3 beton</v>
      </c>
      <c r="H25">
        <v>10300</v>
      </c>
      <c r="I25">
        <v>180.53250108235295</v>
      </c>
      <c r="J25">
        <v>1859484.7611482353</v>
      </c>
      <c r="K25">
        <v>345.26840832000005</v>
      </c>
      <c r="L25">
        <v>3556264.605696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10300</v>
      </c>
      <c r="I26">
        <v>12.590043407058834</v>
      </c>
      <c r="J26">
        <v>129677.44709270599</v>
      </c>
      <c r="K26">
        <v>24.07845801600002</v>
      </c>
      <c r="L26">
        <v>248008.11756480022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251.80086814117647</v>
      </c>
      <c r="J27">
        <v>25180.086814117647</v>
      </c>
      <c r="K27">
        <v>481.56916032000004</v>
      </c>
      <c r="L27">
        <v>48156.916032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5.287818230964706</v>
      </c>
      <c r="J28">
        <v>92536.81904188235</v>
      </c>
      <c r="K28">
        <v>10.11295236672</v>
      </c>
      <c r="L28">
        <v>176976.6664176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10071632.760747096</v>
      </c>
      <c r="J30" t="str">
        <v/>
      </c>
      <c r="K30" t="str">
        <v/>
      </c>
      <c r="L30">
        <v>19261997.654928822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10071632.760747096</v>
      </c>
    </row>
    <row r="34">
      <c r="A34" t="str">
        <v>RAB (A) source unit cost</v>
      </c>
      <c r="B34">
        <v>10071632.760747096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19261997.654928822</v>
      </c>
    </row>
    <row r="38">
      <c r="A38" t="str">
        <v>RAB (A) source line total</v>
      </c>
      <c r="B38">
        <v>21958677.326618854</v>
      </c>
    </row>
    <row r="39">
      <c r="A39" t="str">
        <v>Variance</v>
      </c>
      <c r="B39">
        <v>-2696679.671690032</v>
      </c>
      <c r="C39" t="str">
        <v>✓ OK</v>
      </c>
    </row>
  </sheetData>
  <ignoredErrors>
    <ignoredError numberStoredAsText="1" sqref="A1:L39"/>
  </ignoredErrors>
</worksheet>
</file>

<file path=xl/worksheets/sheet172.xml><?xml version="1.0" encoding="utf-8"?>
<worksheet xmlns="http://schemas.openxmlformats.org/spreadsheetml/2006/main" xmlns:r="http://schemas.openxmlformats.org/officeDocument/2006/relationships">
  <dimension ref="A1:L40"/>
  <sheetViews>
    <sheetView workbookViewId="0" rightToLeft="0"/>
  </sheetViews>
  <sheetData>
    <row r="1">
      <c r="A1" t="str">
        <v>BREAKDOWN — (A) V.A.4.4 - Kolom K175-3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K175-3</v>
      </c>
    </row>
    <row r="5">
      <c r="A5" t="str">
        <v>Unit</v>
      </c>
      <c r="B5" t="str">
        <v>m3</v>
      </c>
    </row>
    <row r="6">
      <c r="A6" t="str">
        <v>Volume</v>
      </c>
      <c r="B6">
        <v>0.3825</v>
      </c>
    </row>
    <row r="7">
      <c r="A7" t="str">
        <v>Unit cost (Rp/m3)</v>
      </c>
      <c r="B7">
        <v>10937262.23926192</v>
      </c>
    </row>
    <row r="8">
      <c r="A8" t="str">
        <v>Line total at-cost (Rp)</v>
      </c>
      <c r="B8">
        <v>4183502.8065176844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0.401625</v>
      </c>
      <c r="L12">
        <v>407910.4312500001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0.3825</v>
      </c>
      <c r="L14">
        <v>95625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2250000</v>
      </c>
      <c r="I16">
        <v>1</v>
      </c>
      <c r="J16">
        <v>2250000</v>
      </c>
      <c r="K16">
        <v>0.3825</v>
      </c>
      <c r="L16">
        <v>860625</v>
      </c>
    </row>
    <row r="17">
      <c r="A17">
        <v>4</v>
      </c>
      <c r="B17" t="str">
        <v>BEKISTING KOLOM (Material) — ratio 15.764705882352942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4.56)</v>
      </c>
      <c r="H18">
        <v>200000</v>
      </c>
      <c r="I18">
        <v>6.914344685242518</v>
      </c>
      <c r="J18">
        <v>1382868.9370485034</v>
      </c>
      <c r="K18">
        <v>2.644736842105263</v>
      </c>
      <c r="L18">
        <v>528947.3684210526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4.56)</v>
      </c>
      <c r="H19">
        <v>47600</v>
      </c>
      <c r="I19">
        <v>34.571723426212586</v>
      </c>
      <c r="J19">
        <v>1645614.035087719</v>
      </c>
      <c r="K19">
        <v>13.223684210526315</v>
      </c>
      <c r="L19">
        <v>629447.3684210526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4.56)</v>
      </c>
      <c r="H20">
        <v>47600</v>
      </c>
      <c r="I20">
        <v>6.914344685242518</v>
      </c>
      <c r="J20">
        <v>329122.8070175438</v>
      </c>
      <c r="K20">
        <v>2.644736842105263</v>
      </c>
      <c r="L20">
        <v>125889.47368421052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4.56)</v>
      </c>
      <c r="H21">
        <v>13000</v>
      </c>
      <c r="I21">
        <v>6.914344685242518</v>
      </c>
      <c r="J21">
        <v>89886.48090815273</v>
      </c>
      <c r="K21">
        <v>2.644736842105263</v>
      </c>
      <c r="L21">
        <v>34381.57894736842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4.56)</v>
      </c>
      <c r="H22">
        <v>27500</v>
      </c>
      <c r="I22">
        <v>7.882352941176471</v>
      </c>
      <c r="J22">
        <v>216764.70588235295</v>
      </c>
      <c r="K22">
        <v>3.015</v>
      </c>
      <c r="L22">
        <v>82912.5</v>
      </c>
    </row>
    <row r="23">
      <c r="A23">
        <v>5</v>
      </c>
      <c r="B23" t="str">
        <v>PEMBESIAN (Material) — ratio 328.52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71.26836705882353</v>
      </c>
      <c r="F24" t="str">
        <v>kg</v>
      </c>
      <c r="G24" t="str">
        <v>per m3 beton</v>
      </c>
      <c r="H24">
        <v>10300</v>
      </c>
      <c r="I24">
        <v>71.26836705882353</v>
      </c>
      <c r="J24">
        <v>734064.1807058824</v>
      </c>
      <c r="K24">
        <v>27.2601504</v>
      </c>
      <c r="L24">
        <v>280779.54912000004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103.64807529411765</v>
      </c>
      <c r="F25" t="str">
        <v>kg</v>
      </c>
      <c r="G25" t="str">
        <v>per m3 beton</v>
      </c>
      <c r="H25">
        <v>10300</v>
      </c>
      <c r="I25">
        <v>103.64807529411765</v>
      </c>
      <c r="J25">
        <v>1067575.1755294118</v>
      </c>
      <c r="K25">
        <v>39.6453888</v>
      </c>
      <c r="L25">
        <v>408347.50464</v>
      </c>
    </row>
    <row r="26">
      <c r="A26" t="str">
        <v/>
      </c>
      <c r="B26" t="str">
        <v/>
      </c>
      <c r="C26" t="str">
        <v>Besi beton D19</v>
      </c>
      <c r="D26" t="str">
        <v>U24/U40 polos</v>
      </c>
      <c r="E26">
        <v>153.60762352941174</v>
      </c>
      <c r="F26" t="str">
        <v>kg</v>
      </c>
      <c r="G26" t="str">
        <v>per m3 beton</v>
      </c>
      <c r="H26">
        <v>10300</v>
      </c>
      <c r="I26">
        <v>153.60762352941174</v>
      </c>
      <c r="J26">
        <v>1582158.5223529409</v>
      </c>
      <c r="K26">
        <v>58.754915999999994</v>
      </c>
      <c r="L26">
        <v>605175.6347999999</v>
      </c>
    </row>
    <row r="27">
      <c r="A27" t="str">
        <v/>
      </c>
      <c r="B27" t="str">
        <v/>
      </c>
      <c r="C27" t="str">
        <v>Besi beton — waste (5%)</v>
      </c>
      <c r="D27" t="str">
        <v>applied via AHS coeff 1.05</v>
      </c>
      <c r="E27">
        <v>0.050000000000000044</v>
      </c>
      <c r="F27" t="str">
        <v>kg</v>
      </c>
      <c r="G27" t="str">
        <v>per m3 beton</v>
      </c>
      <c r="H27">
        <v>10300</v>
      </c>
      <c r="I27">
        <v>16.426203294117663</v>
      </c>
      <c r="J27">
        <v>169189.89392941192</v>
      </c>
      <c r="K27">
        <v>6.283022760000006</v>
      </c>
      <c r="L27">
        <v>64715.13442800006</v>
      </c>
    </row>
    <row r="28">
      <c r="A28" t="str">
        <v/>
      </c>
      <c r="B28" t="str">
        <v/>
      </c>
      <c r="C28" t="str">
        <v>Beton decking</v>
      </c>
      <c r="D28" t="str">
        <v>spacer</v>
      </c>
      <c r="E28">
        <v>1</v>
      </c>
      <c r="F28" t="str">
        <v>kg-eq</v>
      </c>
      <c r="G28" t="str">
        <v>per kg besi</v>
      </c>
      <c r="H28">
        <v>100</v>
      </c>
      <c r="I28">
        <v>328.52406588235294</v>
      </c>
      <c r="J28">
        <v>32852.406588235295</v>
      </c>
      <c r="K28">
        <v>125.6604552</v>
      </c>
      <c r="L28">
        <v>12566.045520000001</v>
      </c>
    </row>
    <row r="29">
      <c r="A29" t="str">
        <v/>
      </c>
      <c r="B29" t="str">
        <v/>
      </c>
      <c r="C29" t="str">
        <v>Bendrat (kawat ikat)</v>
      </c>
      <c r="D29" t="str">
        <v>2.1% of besi (raw)</v>
      </c>
      <c r="E29">
        <v>0.021</v>
      </c>
      <c r="F29" t="str">
        <v>kg</v>
      </c>
      <c r="G29" t="str">
        <v>per kg besi (raw)</v>
      </c>
      <c r="H29">
        <v>17500</v>
      </c>
      <c r="I29">
        <v>6.8990053835294125</v>
      </c>
      <c r="J29">
        <v>120732.59421176472</v>
      </c>
      <c r="K29">
        <v>2.6388695592</v>
      </c>
      <c r="L29">
        <v>46180.21728600001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/>
      </c>
      <c r="B31" t="str">
        <v>SUBTOTAL — At-cost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>
        <v>10937262.23926192</v>
      </c>
      <c r="J31" t="str">
        <v/>
      </c>
      <c r="K31" t="str">
        <v/>
      </c>
      <c r="L31">
        <v>4183502.8065176844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>RECONCILIATION</v>
      </c>
    </row>
    <row r="34">
      <c r="A34" t="str">
        <v>Computed unit cost</v>
      </c>
      <c r="B34">
        <v>10937262.23926192</v>
      </c>
    </row>
    <row r="35">
      <c r="A35" t="str">
        <v>RAB (A) source unit cost</v>
      </c>
      <c r="B35">
        <v>10937262.239261918</v>
      </c>
    </row>
    <row r="36">
      <c r="A36" t="str">
        <v>Variance</v>
      </c>
      <c r="B36">
        <v>1.862645149230957e-9</v>
      </c>
      <c r="C36" t="str">
        <v>✓ OK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</row>
    <row r="38">
      <c r="A38" t="str">
        <v>Computed line total</v>
      </c>
      <c r="B38">
        <v>4183502.8065176844</v>
      </c>
    </row>
    <row r="39">
      <c r="A39" t="str">
        <v>RAB (A) source line total</v>
      </c>
      <c r="B39">
        <v>4769193.199430159</v>
      </c>
    </row>
    <row r="40">
      <c r="A40" t="str">
        <v>Variance</v>
      </c>
      <c r="B40">
        <v>-585690.3929124749</v>
      </c>
      <c r="C40" t="str">
        <v>✓ OK</v>
      </c>
    </row>
  </sheetData>
  <ignoredErrors>
    <ignoredError numberStoredAsText="1" sqref="A1:L40"/>
  </ignoredErrors>
</worksheet>
</file>

<file path=xl/worksheets/sheet173.xml><?xml version="1.0" encoding="utf-8"?>
<worksheet xmlns="http://schemas.openxmlformats.org/spreadsheetml/2006/main" xmlns:r="http://schemas.openxmlformats.org/officeDocument/2006/relationships">
  <dimension ref="A1:L40"/>
  <sheetViews>
    <sheetView workbookViewId="0" rightToLeft="0"/>
  </sheetViews>
  <sheetData>
    <row r="1">
      <c r="A1" t="str">
        <v>BREAKDOWN — (A) V.A.4.5 - Kolom K175-4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K175-4</v>
      </c>
    </row>
    <row r="5">
      <c r="A5" t="str">
        <v>Unit</v>
      </c>
      <c r="B5" t="str">
        <v>m3</v>
      </c>
    </row>
    <row r="6">
      <c r="A6" t="str">
        <v>Volume</v>
      </c>
      <c r="B6">
        <v>0.765</v>
      </c>
    </row>
    <row r="7">
      <c r="A7" t="str">
        <v>Unit cost (Rp/m3)</v>
      </c>
      <c r="B7">
        <v>11527228.879019566</v>
      </c>
    </row>
    <row r="8">
      <c r="A8" t="str">
        <v>Line total at-cost (Rp)</v>
      </c>
      <c r="B8">
        <v>8818330.092449969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0.80325</v>
      </c>
      <c r="L12">
        <v>815820.8625000002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0.765</v>
      </c>
      <c r="L14">
        <v>191250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2250000</v>
      </c>
      <c r="I16">
        <v>1</v>
      </c>
      <c r="J16">
        <v>2250000</v>
      </c>
      <c r="K16">
        <v>0.765</v>
      </c>
      <c r="L16">
        <v>1721250</v>
      </c>
    </row>
    <row r="17">
      <c r="A17">
        <v>4</v>
      </c>
      <c r="B17" t="str">
        <v>BEKISTING KOLOM (Material) — ratio 15.764705882352942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4.56)</v>
      </c>
      <c r="H18">
        <v>200000</v>
      </c>
      <c r="I18">
        <v>6.914344685242518</v>
      </c>
      <c r="J18">
        <v>1382868.9370485034</v>
      </c>
      <c r="K18">
        <v>5.289473684210526</v>
      </c>
      <c r="L18">
        <v>1057894.7368421052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4.56)</v>
      </c>
      <c r="H19">
        <v>47600</v>
      </c>
      <c r="I19">
        <v>34.571723426212586</v>
      </c>
      <c r="J19">
        <v>1645614.035087719</v>
      </c>
      <c r="K19">
        <v>26.44736842105263</v>
      </c>
      <c r="L19">
        <v>1258894.7368421052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4.56)</v>
      </c>
      <c r="H20">
        <v>47600</v>
      </c>
      <c r="I20">
        <v>6.914344685242518</v>
      </c>
      <c r="J20">
        <v>329122.8070175438</v>
      </c>
      <c r="K20">
        <v>5.289473684210526</v>
      </c>
      <c r="L20">
        <v>251778.94736842104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4.56)</v>
      </c>
      <c r="H21">
        <v>13000</v>
      </c>
      <c r="I21">
        <v>6.914344685242518</v>
      </c>
      <c r="J21">
        <v>89886.48090815273</v>
      </c>
      <c r="K21">
        <v>5.289473684210526</v>
      </c>
      <c r="L21">
        <v>68763.15789473684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4.56)</v>
      </c>
      <c r="H22">
        <v>27500</v>
      </c>
      <c r="I22">
        <v>7.882352941176471</v>
      </c>
      <c r="J22">
        <v>216764.70588235295</v>
      </c>
      <c r="K22">
        <v>6.03</v>
      </c>
      <c r="L22">
        <v>165825</v>
      </c>
    </row>
    <row r="23">
      <c r="A23">
        <v>5</v>
      </c>
      <c r="B23" t="str">
        <v>PEMBESIAN (Material) — ratio 380.81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16.88201035294118</v>
      </c>
      <c r="F24" t="str">
        <v>kg</v>
      </c>
      <c r="G24" t="str">
        <v>per m3 beton</v>
      </c>
      <c r="H24">
        <v>10300</v>
      </c>
      <c r="I24">
        <v>16.88201035294118</v>
      </c>
      <c r="J24">
        <v>173884.70663529416</v>
      </c>
      <c r="K24">
        <v>12.914737920000002</v>
      </c>
      <c r="L24">
        <v>133021.80057600004</v>
      </c>
    </row>
    <row r="25">
      <c r="A25" t="str">
        <v/>
      </c>
      <c r="B25" t="str">
        <v/>
      </c>
      <c r="C25" t="str">
        <v>Besi beton D10</v>
      </c>
      <c r="D25" t="str">
        <v>U24/U40 polos</v>
      </c>
      <c r="E25">
        <v>100.7514117647059</v>
      </c>
      <c r="F25" t="str">
        <v>kg</v>
      </c>
      <c r="G25" t="str">
        <v>per m3 beton</v>
      </c>
      <c r="H25">
        <v>10300</v>
      </c>
      <c r="I25">
        <v>100.7514117647059</v>
      </c>
      <c r="J25">
        <v>1037739.5411764708</v>
      </c>
      <c r="K25">
        <v>77.07483000000002</v>
      </c>
      <c r="L25">
        <v>793870.7490000002</v>
      </c>
    </row>
    <row r="26">
      <c r="A26" t="str">
        <v/>
      </c>
      <c r="B26" t="str">
        <v/>
      </c>
      <c r="C26" t="str">
        <v>Besi beton D19</v>
      </c>
      <c r="D26" t="str">
        <v>U24/U40 polos</v>
      </c>
      <c r="E26">
        <v>263.1810616470588</v>
      </c>
      <c r="F26" t="str">
        <v>kg</v>
      </c>
      <c r="G26" t="str">
        <v>per m3 beton</v>
      </c>
      <c r="H26">
        <v>10300</v>
      </c>
      <c r="I26">
        <v>263.1810616470588</v>
      </c>
      <c r="J26">
        <v>2710764.9349647057</v>
      </c>
      <c r="K26">
        <v>201.33351216</v>
      </c>
      <c r="L26">
        <v>2073735.1752479998</v>
      </c>
    </row>
    <row r="27">
      <c r="A27" t="str">
        <v/>
      </c>
      <c r="B27" t="str">
        <v/>
      </c>
      <c r="C27" t="str">
        <v>Besi beton — waste (5%)</v>
      </c>
      <c r="D27" t="str">
        <v>applied via AHS coeff 1.05</v>
      </c>
      <c r="E27">
        <v>0.050000000000000044</v>
      </c>
      <c r="F27" t="str">
        <v>kg</v>
      </c>
      <c r="G27" t="str">
        <v>per m3 beton</v>
      </c>
      <c r="H27">
        <v>10300</v>
      </c>
      <c r="I27">
        <v>19.04072418823531</v>
      </c>
      <c r="J27">
        <v>196119.45913882367</v>
      </c>
      <c r="K27">
        <v>14.566154004000012</v>
      </c>
      <c r="L27">
        <v>150031.38624120012</v>
      </c>
    </row>
    <row r="28">
      <c r="A28" t="str">
        <v/>
      </c>
      <c r="B28" t="str">
        <v/>
      </c>
      <c r="C28" t="str">
        <v>Beton decking</v>
      </c>
      <c r="D28" t="str">
        <v>spacer</v>
      </c>
      <c r="E28">
        <v>1</v>
      </c>
      <c r="F28" t="str">
        <v>kg-eq</v>
      </c>
      <c r="G28" t="str">
        <v>per kg besi</v>
      </c>
      <c r="H28">
        <v>100</v>
      </c>
      <c r="I28">
        <v>380.81448376470587</v>
      </c>
      <c r="J28">
        <v>38081.44837647059</v>
      </c>
      <c r="K28">
        <v>291.32308008</v>
      </c>
      <c r="L28">
        <v>29132.308008</v>
      </c>
    </row>
    <row r="29">
      <c r="A29" t="str">
        <v/>
      </c>
      <c r="B29" t="str">
        <v/>
      </c>
      <c r="C29" t="str">
        <v>Bendrat (kawat ikat)</v>
      </c>
      <c r="D29" t="str">
        <v>2.1% of besi (raw)</v>
      </c>
      <c r="E29">
        <v>0.021</v>
      </c>
      <c r="F29" t="str">
        <v>kg</v>
      </c>
      <c r="G29" t="str">
        <v>per kg besi (raw)</v>
      </c>
      <c r="H29">
        <v>17500</v>
      </c>
      <c r="I29">
        <v>7.997104159058824</v>
      </c>
      <c r="J29">
        <v>139949.3227835294</v>
      </c>
      <c r="K29">
        <v>6.117784681680001</v>
      </c>
      <c r="L29">
        <v>107061.2319294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/>
      </c>
      <c r="B31" t="str">
        <v>SUBTOTAL — At-cost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>
        <v>11527228.879019566</v>
      </c>
      <c r="J31" t="str">
        <v/>
      </c>
      <c r="K31" t="str">
        <v/>
      </c>
      <c r="L31">
        <v>8818330.092449969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>RECONCILIATION</v>
      </c>
    </row>
    <row r="34">
      <c r="A34" t="str">
        <v>Computed unit cost</v>
      </c>
      <c r="B34">
        <v>11527228.879019566</v>
      </c>
    </row>
    <row r="35">
      <c r="A35" t="str">
        <v>RAB (A) source unit cost</v>
      </c>
      <c r="B35">
        <v>11527228.879019566</v>
      </c>
    </row>
    <row r="36">
      <c r="A36" t="str">
        <v>Variance</v>
      </c>
      <c r="B36">
        <v>0</v>
      </c>
      <c r="C36" t="str">
        <v>✓ OK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</row>
    <row r="38">
      <c r="A38" t="str">
        <v>Computed line total</v>
      </c>
      <c r="B38">
        <v>8818330.092449969</v>
      </c>
    </row>
    <row r="39">
      <c r="A39" t="str">
        <v>RAB (A) source line total</v>
      </c>
      <c r="B39">
        <v>10052896.305392962</v>
      </c>
    </row>
    <row r="40">
      <c r="A40" t="str">
        <v>Variance</v>
      </c>
      <c r="B40">
        <v>-1234566.2129429933</v>
      </c>
      <c r="C40" t="str">
        <v>✓ OK</v>
      </c>
    </row>
  </sheetData>
  <ignoredErrors>
    <ignoredError numberStoredAsText="1" sqref="A1:L40"/>
  </ignoredErrors>
</worksheet>
</file>

<file path=xl/worksheets/sheet174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(A) V.A.4.6 - Kolom K176-1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K176-1</v>
      </c>
    </row>
    <row r="5">
      <c r="A5" t="str">
        <v>Unit</v>
      </c>
      <c r="B5" t="str">
        <v>m3</v>
      </c>
    </row>
    <row r="6">
      <c r="A6" t="str">
        <v>Volume</v>
      </c>
      <c r="B6">
        <v>1.836</v>
      </c>
    </row>
    <row r="7">
      <c r="A7" t="str">
        <v>Unit cost (Rp/m3)</v>
      </c>
      <c r="B7">
        <v>9811978.322142411</v>
      </c>
    </row>
    <row r="8">
      <c r="A8" t="str">
        <v>Line total at-cost (Rp)</v>
      </c>
      <c r="B8">
        <v>18014792.199453466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1.9278000000000002</v>
      </c>
      <c r="L12">
        <v>1957970.0700000005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1.836</v>
      </c>
      <c r="L14">
        <v>459000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2250000</v>
      </c>
      <c r="I16">
        <v>1</v>
      </c>
      <c r="J16">
        <v>2250000</v>
      </c>
      <c r="K16">
        <v>1.836</v>
      </c>
      <c r="L16">
        <v>4131000</v>
      </c>
    </row>
    <row r="17">
      <c r="A17">
        <v>4</v>
      </c>
      <c r="B17" t="str">
        <v>BEKISTING KOLOM (Material) — ratio 15.098039215686272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4.56)</v>
      </c>
      <c r="H18">
        <v>200000</v>
      </c>
      <c r="I18">
        <v>6.621947024423803</v>
      </c>
      <c r="J18">
        <v>1324389.4048847605</v>
      </c>
      <c r="K18">
        <v>12.157894736842103</v>
      </c>
      <c r="L18">
        <v>2431578.94736842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4.56)</v>
      </c>
      <c r="H19">
        <v>47600</v>
      </c>
      <c r="I19">
        <v>33.10973512211901</v>
      </c>
      <c r="J19">
        <v>1576023.391812865</v>
      </c>
      <c r="K19">
        <v>60.789473684210506</v>
      </c>
      <c r="L19">
        <v>2893578.94736842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4.56)</v>
      </c>
      <c r="H20">
        <v>47600</v>
      </c>
      <c r="I20">
        <v>6.621947024423803</v>
      </c>
      <c r="J20">
        <v>315204.67836257303</v>
      </c>
      <c r="K20">
        <v>12.157894736842103</v>
      </c>
      <c r="L20">
        <v>578715.7894736842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4.56)</v>
      </c>
      <c r="H21">
        <v>13000</v>
      </c>
      <c r="I21">
        <v>6.621947024423803</v>
      </c>
      <c r="J21">
        <v>86085.31131750943</v>
      </c>
      <c r="K21">
        <v>12.157894736842103</v>
      </c>
      <c r="L21">
        <v>158052.63157894733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4.56)</v>
      </c>
      <c r="H22">
        <v>27500</v>
      </c>
      <c r="I22">
        <v>7.549019607843136</v>
      </c>
      <c r="J22">
        <v>207598.03921568624</v>
      </c>
      <c r="K22">
        <v>13.86</v>
      </c>
      <c r="L22">
        <v>381149.99999999994</v>
      </c>
    </row>
    <row r="23">
      <c r="A23">
        <v>5</v>
      </c>
      <c r="B23" t="str">
        <v>PEMBESIAN (Material) — ratio 242.52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67.47061960784315</v>
      </c>
      <c r="F24" t="str">
        <v>kg</v>
      </c>
      <c r="G24" t="str">
        <v>per m3 beton</v>
      </c>
      <c r="H24">
        <v>10300</v>
      </c>
      <c r="I24">
        <v>67.47061960784315</v>
      </c>
      <c r="J24">
        <v>694947.3819607844</v>
      </c>
      <c r="K24">
        <v>123.87605760000002</v>
      </c>
      <c r="L24">
        <v>1275923.3932800002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175.05054117647057</v>
      </c>
      <c r="F25" t="str">
        <v>kg</v>
      </c>
      <c r="G25" t="str">
        <v>per m3 beton</v>
      </c>
      <c r="H25">
        <v>10300</v>
      </c>
      <c r="I25">
        <v>175.05054117647057</v>
      </c>
      <c r="J25">
        <v>1803020.574117647</v>
      </c>
      <c r="K25">
        <v>321.3927936</v>
      </c>
      <c r="L25">
        <v>3310345.77408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10300</v>
      </c>
      <c r="I26">
        <v>12.126058039215698</v>
      </c>
      <c r="J26">
        <v>124898.39780392169</v>
      </c>
      <c r="K26">
        <v>22.263442560000023</v>
      </c>
      <c r="L26">
        <v>229313.45836800023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242.52116078431374</v>
      </c>
      <c r="J27">
        <v>24252.116078431372</v>
      </c>
      <c r="K27">
        <v>445.26885120000003</v>
      </c>
      <c r="L27">
        <v>44526.88512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5.092944376470589</v>
      </c>
      <c r="J28">
        <v>89126.52658823531</v>
      </c>
      <c r="K28">
        <v>9.350645875200001</v>
      </c>
      <c r="L28">
        <v>163636.30281600004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9811978.322142411</v>
      </c>
      <c r="J30" t="str">
        <v/>
      </c>
      <c r="K30" t="str">
        <v/>
      </c>
      <c r="L30">
        <v>18014792.199453466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9811978.322142411</v>
      </c>
    </row>
    <row r="34">
      <c r="A34" t="str">
        <v>RAB (A) source unit cost</v>
      </c>
      <c r="B34">
        <v>9811978.322142415</v>
      </c>
    </row>
    <row r="35">
      <c r="A35" t="str">
        <v>Variance</v>
      </c>
      <c r="B35">
        <v>-3.725290298461914e-9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18014792.199453466</v>
      </c>
    </row>
    <row r="38">
      <c r="A38" t="str">
        <v>RAB (A) source line total</v>
      </c>
      <c r="B38">
        <v>20536863.10737696</v>
      </c>
    </row>
    <row r="39">
      <c r="A39" t="str">
        <v>Variance</v>
      </c>
      <c r="B39">
        <v>-2522070.9079234935</v>
      </c>
      <c r="C39" t="str">
        <v>✓ OK</v>
      </c>
    </row>
  </sheetData>
  <ignoredErrors>
    <ignoredError numberStoredAsText="1" sqref="A1:L39"/>
  </ignoredErrors>
</worksheet>
</file>

<file path=xl/worksheets/sheet175.xml><?xml version="1.0" encoding="utf-8"?>
<worksheet xmlns="http://schemas.openxmlformats.org/spreadsheetml/2006/main" xmlns:r="http://schemas.openxmlformats.org/officeDocument/2006/relationships">
  <dimension ref="A1:L40"/>
  <sheetViews>
    <sheetView workbookViewId="0" rightToLeft="0"/>
  </sheetViews>
  <sheetData>
    <row r="1">
      <c r="A1" t="str">
        <v>BREAKDOWN — (A) V.A.4.7 - Kolom K176-4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K176-4</v>
      </c>
    </row>
    <row r="5">
      <c r="A5" t="str">
        <v>Unit</v>
      </c>
      <c r="B5" t="str">
        <v>m3</v>
      </c>
    </row>
    <row r="6">
      <c r="A6" t="str">
        <v>Volume</v>
      </c>
      <c r="B6">
        <v>0.459</v>
      </c>
    </row>
    <row r="7">
      <c r="A7" t="str">
        <v>Unit cost (Rp/m3)</v>
      </c>
      <c r="B7">
        <v>10622391.961365942</v>
      </c>
    </row>
    <row r="8">
      <c r="A8" t="str">
        <v>Line total at-cost (Rp)</v>
      </c>
      <c r="B8">
        <v>4875677.9102669675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0.48195000000000005</v>
      </c>
      <c r="L12">
        <v>489492.51750000013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0.459</v>
      </c>
      <c r="L14">
        <v>114750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2250000</v>
      </c>
      <c r="I16">
        <v>1</v>
      </c>
      <c r="J16">
        <v>2250000</v>
      </c>
      <c r="K16">
        <v>0.459</v>
      </c>
      <c r="L16">
        <v>1032750</v>
      </c>
    </row>
    <row r="17">
      <c r="A17">
        <v>4</v>
      </c>
      <c r="B17" t="str">
        <v>BEKISTING KOLOM (Material) — ratio 15.098039215686272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4.56)</v>
      </c>
      <c r="H18">
        <v>200000</v>
      </c>
      <c r="I18">
        <v>6.621947024423803</v>
      </c>
      <c r="J18">
        <v>1324389.4048847605</v>
      </c>
      <c r="K18">
        <v>3.0394736842105257</v>
      </c>
      <c r="L18">
        <v>607894.736842105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4.56)</v>
      </c>
      <c r="H19">
        <v>47600</v>
      </c>
      <c r="I19">
        <v>33.10973512211901</v>
      </c>
      <c r="J19">
        <v>1576023.391812865</v>
      </c>
      <c r="K19">
        <v>15.197368421052627</v>
      </c>
      <c r="L19">
        <v>723394.736842105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4.56)</v>
      </c>
      <c r="H20">
        <v>47600</v>
      </c>
      <c r="I20">
        <v>6.621947024423803</v>
      </c>
      <c r="J20">
        <v>315204.67836257303</v>
      </c>
      <c r="K20">
        <v>3.0394736842105257</v>
      </c>
      <c r="L20">
        <v>144678.94736842104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4.56)</v>
      </c>
      <c r="H21">
        <v>13000</v>
      </c>
      <c r="I21">
        <v>6.621947024423803</v>
      </c>
      <c r="J21">
        <v>86085.31131750943</v>
      </c>
      <c r="K21">
        <v>3.0394736842105257</v>
      </c>
      <c r="L21">
        <v>39513.15789473683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4.56)</v>
      </c>
      <c r="H22">
        <v>27500</v>
      </c>
      <c r="I22">
        <v>7.549019607843136</v>
      </c>
      <c r="J22">
        <v>207598.03921568624</v>
      </c>
      <c r="K22">
        <v>3.465</v>
      </c>
      <c r="L22">
        <v>95287.49999999999</v>
      </c>
    </row>
    <row r="23">
      <c r="A23">
        <v>5</v>
      </c>
      <c r="B23" t="str">
        <v>PEMBESIAN (Material) — ratio 314.35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67.47061960784315</v>
      </c>
      <c r="F24" t="str">
        <v>kg</v>
      </c>
      <c r="G24" t="str">
        <v>per m3 beton</v>
      </c>
      <c r="H24">
        <v>10300</v>
      </c>
      <c r="I24">
        <v>67.47061960784315</v>
      </c>
      <c r="J24">
        <v>694947.3819607844</v>
      </c>
      <c r="K24">
        <v>30.969014400000006</v>
      </c>
      <c r="L24">
        <v>318980.84832000005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64.25740549019608</v>
      </c>
      <c r="F25" t="str">
        <v>kg</v>
      </c>
      <c r="G25" t="str">
        <v>per m3 beton</v>
      </c>
      <c r="H25">
        <v>10300</v>
      </c>
      <c r="I25">
        <v>64.25740549019608</v>
      </c>
      <c r="J25">
        <v>661851.2765490196</v>
      </c>
      <c r="K25">
        <v>29.49414912</v>
      </c>
      <c r="L25">
        <v>303789.735936</v>
      </c>
    </row>
    <row r="26">
      <c r="A26" t="str">
        <v/>
      </c>
      <c r="B26" t="str">
        <v/>
      </c>
      <c r="C26" t="str">
        <v>Besi beton D19</v>
      </c>
      <c r="D26" t="str">
        <v>U24/U40 polos</v>
      </c>
      <c r="E26">
        <v>182.62239686274512</v>
      </c>
      <c r="F26" t="str">
        <v>kg</v>
      </c>
      <c r="G26" t="str">
        <v>per m3 beton</v>
      </c>
      <c r="H26">
        <v>10300</v>
      </c>
      <c r="I26">
        <v>182.62239686274512</v>
      </c>
      <c r="J26">
        <v>1881010.6876862748</v>
      </c>
      <c r="K26">
        <v>83.82368016000001</v>
      </c>
      <c r="L26">
        <v>863383.9056480002</v>
      </c>
    </row>
    <row r="27">
      <c r="A27" t="str">
        <v/>
      </c>
      <c r="B27" t="str">
        <v/>
      </c>
      <c r="C27" t="str">
        <v>Besi beton — waste (5%)</v>
      </c>
      <c r="D27" t="str">
        <v>applied via AHS coeff 1.05</v>
      </c>
      <c r="E27">
        <v>0.050000000000000044</v>
      </c>
      <c r="F27" t="str">
        <v>kg</v>
      </c>
      <c r="G27" t="str">
        <v>per m3 beton</v>
      </c>
      <c r="H27">
        <v>10300</v>
      </c>
      <c r="I27">
        <v>15.71752109803923</v>
      </c>
      <c r="J27">
        <v>161890.46730980408</v>
      </c>
      <c r="K27">
        <v>7.214342184000007</v>
      </c>
      <c r="L27">
        <v>74307.72449520008</v>
      </c>
    </row>
    <row r="28">
      <c r="A28" t="str">
        <v/>
      </c>
      <c r="B28" t="str">
        <v/>
      </c>
      <c r="C28" t="str">
        <v>Beton decking</v>
      </c>
      <c r="D28" t="str">
        <v>spacer</v>
      </c>
      <c r="E28">
        <v>1</v>
      </c>
      <c r="F28" t="str">
        <v>kg-eq</v>
      </c>
      <c r="G28" t="str">
        <v>per kg besi</v>
      </c>
      <c r="H28">
        <v>100</v>
      </c>
      <c r="I28">
        <v>314.35042196078433</v>
      </c>
      <c r="J28">
        <v>31435.042196078433</v>
      </c>
      <c r="K28">
        <v>144.28684368</v>
      </c>
      <c r="L28">
        <v>14428.684368000002</v>
      </c>
    </row>
    <row r="29">
      <c r="A29" t="str">
        <v/>
      </c>
      <c r="B29" t="str">
        <v/>
      </c>
      <c r="C29" t="str">
        <v>Bendrat (kawat ikat)</v>
      </c>
      <c r="D29" t="str">
        <v>2.1% of besi (raw)</v>
      </c>
      <c r="E29">
        <v>0.021</v>
      </c>
      <c r="F29" t="str">
        <v>kg</v>
      </c>
      <c r="G29" t="str">
        <v>per kg besi (raw)</v>
      </c>
      <c r="H29">
        <v>17500</v>
      </c>
      <c r="I29">
        <v>6.601358861176472</v>
      </c>
      <c r="J29">
        <v>115523.78007058825</v>
      </c>
      <c r="K29">
        <v>3.0300237172800006</v>
      </c>
      <c r="L29">
        <v>53025.415052400014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/>
      </c>
      <c r="B31" t="str">
        <v>SUBTOTAL — At-cost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>
        <v>10622391.961365942</v>
      </c>
      <c r="J31" t="str">
        <v/>
      </c>
      <c r="K31" t="str">
        <v/>
      </c>
      <c r="L31">
        <v>4875677.9102669675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>RECONCILIATION</v>
      </c>
    </row>
    <row r="34">
      <c r="A34" t="str">
        <v>Computed unit cost</v>
      </c>
      <c r="B34">
        <v>10622391.961365942</v>
      </c>
    </row>
    <row r="35">
      <c r="A35" t="str">
        <v>RAB (A) source unit cost</v>
      </c>
      <c r="B35">
        <v>10622391.961365944</v>
      </c>
    </row>
    <row r="36">
      <c r="A36" t="str">
        <v>Variance</v>
      </c>
      <c r="B36">
        <v>-1.862645149230957e-9</v>
      </c>
      <c r="C36" t="str">
        <v>✓ OK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</row>
    <row r="38">
      <c r="A38" t="str">
        <v>Computed line total</v>
      </c>
      <c r="B38">
        <v>4875677.9102669675</v>
      </c>
    </row>
    <row r="39">
      <c r="A39" t="str">
        <v>RAB (A) source line total</v>
      </c>
      <c r="B39">
        <v>5558272.817704343</v>
      </c>
    </row>
    <row r="40">
      <c r="A40" t="str">
        <v>Variance</v>
      </c>
      <c r="B40">
        <v>-682594.9074373757</v>
      </c>
      <c r="C40" t="str">
        <v>✓ OK</v>
      </c>
    </row>
  </sheetData>
  <ignoredErrors>
    <ignoredError numberStoredAsText="1" sqref="A1:L40"/>
  </ignoredErrors>
</worksheet>
</file>

<file path=xl/worksheets/sheet176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(A) V.A.4.8 - Kolom K177-1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K177-1</v>
      </c>
    </row>
    <row r="5">
      <c r="A5" t="str">
        <v>Unit</v>
      </c>
      <c r="B5" t="str">
        <v>m3</v>
      </c>
    </row>
    <row r="6">
      <c r="A6" t="str">
        <v>Volume</v>
      </c>
      <c r="B6">
        <v>1.071</v>
      </c>
    </row>
    <row r="7">
      <c r="A7" t="str">
        <v>Unit cost (Rp/m3)</v>
      </c>
      <c r="B7">
        <v>10346878.579943608</v>
      </c>
    </row>
    <row r="8">
      <c r="A8" t="str">
        <v>Line total at-cost (Rp)</v>
      </c>
      <c r="B8">
        <v>11081506.959119605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1.12455</v>
      </c>
      <c r="L12">
        <v>1142149.2075000003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1.071</v>
      </c>
      <c r="L14">
        <v>267750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2250000</v>
      </c>
      <c r="I16">
        <v>1</v>
      </c>
      <c r="J16">
        <v>2250000</v>
      </c>
      <c r="K16">
        <v>1.071</v>
      </c>
      <c r="L16">
        <v>2409750</v>
      </c>
    </row>
    <row r="17">
      <c r="A17">
        <v>4</v>
      </c>
      <c r="B17" t="str">
        <v>BEKISTING KOLOM (Material) — ratio 14.6218487394958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4.56)</v>
      </c>
      <c r="H18">
        <v>200000</v>
      </c>
      <c r="I18">
        <v>6.413091552410438</v>
      </c>
      <c r="J18">
        <v>1282618.3104820875</v>
      </c>
      <c r="K18">
        <v>6.868421052631579</v>
      </c>
      <c r="L18">
        <v>1373684.2105263157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4.56)</v>
      </c>
      <c r="H19">
        <v>47600</v>
      </c>
      <c r="I19">
        <v>32.06545776205219</v>
      </c>
      <c r="J19">
        <v>1526315.7894736843</v>
      </c>
      <c r="K19">
        <v>34.3421052631579</v>
      </c>
      <c r="L19">
        <v>1634684.2105263157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4.56)</v>
      </c>
      <c r="H20">
        <v>47600</v>
      </c>
      <c r="I20">
        <v>6.413091552410438</v>
      </c>
      <c r="J20">
        <v>305263.15789473685</v>
      </c>
      <c r="K20">
        <v>6.868421052631579</v>
      </c>
      <c r="L20">
        <v>326936.84210526315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4.56)</v>
      </c>
      <c r="H21">
        <v>13000</v>
      </c>
      <c r="I21">
        <v>6.413091552410438</v>
      </c>
      <c r="J21">
        <v>83370.1901813357</v>
      </c>
      <c r="K21">
        <v>6.868421052631579</v>
      </c>
      <c r="L21">
        <v>89289.47368421052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4.56)</v>
      </c>
      <c r="H22">
        <v>27500</v>
      </c>
      <c r="I22">
        <v>7.3109243697479</v>
      </c>
      <c r="J22">
        <v>201050.42016806724</v>
      </c>
      <c r="K22">
        <v>7.83</v>
      </c>
      <c r="L22">
        <v>215325</v>
      </c>
    </row>
    <row r="23">
      <c r="A23">
        <v>5</v>
      </c>
      <c r="B23" t="str">
        <v>PEMBESIAN (Material) — ratio 299.74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64.75794285714287</v>
      </c>
      <c r="F24" t="str">
        <v>kg</v>
      </c>
      <c r="G24" t="str">
        <v>per m3 beton</v>
      </c>
      <c r="H24">
        <v>10300</v>
      </c>
      <c r="I24">
        <v>64.75794285714287</v>
      </c>
      <c r="J24">
        <v>667006.8114285715</v>
      </c>
      <c r="K24">
        <v>69.35575680000001</v>
      </c>
      <c r="L24">
        <v>714364.29504</v>
      </c>
    </row>
    <row r="25">
      <c r="A25" t="str">
        <v/>
      </c>
      <c r="B25" t="str">
        <v/>
      </c>
      <c r="C25" t="str">
        <v>Besi beton D19</v>
      </c>
      <c r="D25" t="str">
        <v>U24/U40 polos</v>
      </c>
      <c r="E25">
        <v>234.98309075630254</v>
      </c>
      <c r="F25" t="str">
        <v>kg</v>
      </c>
      <c r="G25" t="str">
        <v>per m3 beton</v>
      </c>
      <c r="H25">
        <v>10300</v>
      </c>
      <c r="I25">
        <v>234.98309075630254</v>
      </c>
      <c r="J25">
        <v>2420325.8347899164</v>
      </c>
      <c r="K25">
        <v>251.6668902</v>
      </c>
      <c r="L25">
        <v>2592168.9690600005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10300</v>
      </c>
      <c r="I26">
        <v>14.987051680672286</v>
      </c>
      <c r="J26">
        <v>154366.63231092456</v>
      </c>
      <c r="K26">
        <v>16.051132350000017</v>
      </c>
      <c r="L26">
        <v>165326.6632050002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299.74103361344544</v>
      </c>
      <c r="J27">
        <v>29974.103361344543</v>
      </c>
      <c r="K27">
        <v>321.02264700000006</v>
      </c>
      <c r="L27">
        <v>32102.264700000003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6.294561705882354</v>
      </c>
      <c r="J28">
        <v>110154.8298529412</v>
      </c>
      <c r="K28">
        <v>6.741475587000001</v>
      </c>
      <c r="L28">
        <v>117975.82277250002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10346878.579943608</v>
      </c>
      <c r="J30" t="str">
        <v/>
      </c>
      <c r="K30" t="str">
        <v/>
      </c>
      <c r="L30">
        <v>11081506.959119605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10346878.579943608</v>
      </c>
    </row>
    <row r="34">
      <c r="A34" t="str">
        <v>RAB (A) source unit cost</v>
      </c>
      <c r="B34">
        <v>10346878.579943608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11081506.959119605</v>
      </c>
    </row>
    <row r="38">
      <c r="A38" t="str">
        <v>RAB (A) source line total</v>
      </c>
      <c r="B38">
        <v>12632917.933396347</v>
      </c>
    </row>
    <row r="39">
      <c r="A39" t="str">
        <v>Variance</v>
      </c>
      <c r="B39">
        <v>-1551410.974276742</v>
      </c>
      <c r="C39" t="str">
        <v>✓ OK</v>
      </c>
    </row>
  </sheetData>
  <ignoredErrors>
    <ignoredError numberStoredAsText="1" sqref="A1:L39"/>
  </ignoredErrors>
</worksheet>
</file>

<file path=xl/worksheets/sheet177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(A) V.A.4.9 - Kolom K177-2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K177-2</v>
      </c>
    </row>
    <row r="5">
      <c r="A5" t="str">
        <v>Unit</v>
      </c>
      <c r="B5" t="str">
        <v>m3</v>
      </c>
    </row>
    <row r="6">
      <c r="A6" t="str">
        <v>Volume</v>
      </c>
      <c r="B6">
        <v>0.5355</v>
      </c>
    </row>
    <row r="7">
      <c r="A7" t="str">
        <v>Unit cost (Rp/m3)</v>
      </c>
      <c r="B7">
        <v>10911560.852009997</v>
      </c>
    </row>
    <row r="8">
      <c r="A8" t="str">
        <v>Line total at-cost (Rp)</v>
      </c>
      <c r="B8">
        <v>5843140.836251353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0.562275</v>
      </c>
      <c r="L12">
        <v>571074.6037500001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0.5355</v>
      </c>
      <c r="L14">
        <v>133875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2250000</v>
      </c>
      <c r="I16">
        <v>1</v>
      </c>
      <c r="J16">
        <v>2250000</v>
      </c>
      <c r="K16">
        <v>0.5355</v>
      </c>
      <c r="L16">
        <v>1204875</v>
      </c>
    </row>
    <row r="17">
      <c r="A17">
        <v>4</v>
      </c>
      <c r="B17" t="str">
        <v>BEKISTING KOLOM (Material) — ratio 14.6218487394958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4.56)</v>
      </c>
      <c r="H18">
        <v>200000</v>
      </c>
      <c r="I18">
        <v>6.413091552410438</v>
      </c>
      <c r="J18">
        <v>1282618.3104820875</v>
      </c>
      <c r="K18">
        <v>3.4342105263157894</v>
      </c>
      <c r="L18">
        <v>686842.1052631579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4.56)</v>
      </c>
      <c r="H19">
        <v>47600</v>
      </c>
      <c r="I19">
        <v>32.06545776205219</v>
      </c>
      <c r="J19">
        <v>1526315.7894736843</v>
      </c>
      <c r="K19">
        <v>17.17105263157895</v>
      </c>
      <c r="L19">
        <v>817342.1052631579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4.56)</v>
      </c>
      <c r="H20">
        <v>47600</v>
      </c>
      <c r="I20">
        <v>6.413091552410438</v>
      </c>
      <c r="J20">
        <v>305263.15789473685</v>
      </c>
      <c r="K20">
        <v>3.4342105263157894</v>
      </c>
      <c r="L20">
        <v>163468.42105263157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4.56)</v>
      </c>
      <c r="H21">
        <v>13000</v>
      </c>
      <c r="I21">
        <v>6.413091552410438</v>
      </c>
      <c r="J21">
        <v>83370.1901813357</v>
      </c>
      <c r="K21">
        <v>3.4342105263157894</v>
      </c>
      <c r="L21">
        <v>44644.73684210526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4.56)</v>
      </c>
      <c r="H22">
        <v>27500</v>
      </c>
      <c r="I22">
        <v>7.3109243697479</v>
      </c>
      <c r="J22">
        <v>201050.42016806724</v>
      </c>
      <c r="K22">
        <v>3.915</v>
      </c>
      <c r="L22">
        <v>107662.5</v>
      </c>
    </row>
    <row r="23">
      <c r="A23">
        <v>5</v>
      </c>
      <c r="B23" t="str">
        <v>PEMBESIAN (Material) — ratio 349.79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69.606131092437</v>
      </c>
      <c r="F24" t="str">
        <v>kg</v>
      </c>
      <c r="G24" t="str">
        <v>per m3 beton</v>
      </c>
      <c r="H24">
        <v>10300</v>
      </c>
      <c r="I24">
        <v>69.606131092437</v>
      </c>
      <c r="J24">
        <v>716943.150252101</v>
      </c>
      <c r="K24">
        <v>37.27408320000001</v>
      </c>
      <c r="L24">
        <v>383923.0569600001</v>
      </c>
    </row>
    <row r="25">
      <c r="A25" t="str">
        <v/>
      </c>
      <c r="B25" t="str">
        <v/>
      </c>
      <c r="C25" t="str">
        <v>Besi beton D19</v>
      </c>
      <c r="D25" t="str">
        <v>U24/U40 polos</v>
      </c>
      <c r="E25">
        <v>280.1842951260504</v>
      </c>
      <c r="F25" t="str">
        <v>kg</v>
      </c>
      <c r="G25" t="str">
        <v>per m3 beton</v>
      </c>
      <c r="H25">
        <v>10300</v>
      </c>
      <c r="I25">
        <v>280.1842951260504</v>
      </c>
      <c r="J25">
        <v>2885898.239798319</v>
      </c>
      <c r="K25">
        <v>150.03869003999998</v>
      </c>
      <c r="L25">
        <v>1545398.5074119999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10300</v>
      </c>
      <c r="I26">
        <v>17.48952131092439</v>
      </c>
      <c r="J26">
        <v>180142.0695025212</v>
      </c>
      <c r="K26">
        <v>9.36563866200001</v>
      </c>
      <c r="L26">
        <v>96466.07821860009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349.7904262184874</v>
      </c>
      <c r="J27">
        <v>34979.04262184874</v>
      </c>
      <c r="K27">
        <v>187.31277324</v>
      </c>
      <c r="L27">
        <v>18731.277324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7.345598950588236</v>
      </c>
      <c r="J28">
        <v>128547.98163529414</v>
      </c>
      <c r="K28">
        <v>3.9335682380400003</v>
      </c>
      <c r="L28">
        <v>68837.44416570001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10911560.852009997</v>
      </c>
      <c r="J30" t="str">
        <v/>
      </c>
      <c r="K30" t="str">
        <v/>
      </c>
      <c r="L30">
        <v>5843140.836251353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10911560.852009997</v>
      </c>
    </row>
    <row r="34">
      <c r="A34" t="str">
        <v>RAB (A) source unit cost</v>
      </c>
      <c r="B34">
        <v>10911560.852009997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5843140.836251353</v>
      </c>
    </row>
    <row r="38">
      <c r="A38" t="str">
        <v>RAB (A) source line total</v>
      </c>
      <c r="B38">
        <v>6661180.553326542</v>
      </c>
    </row>
    <row r="39">
      <c r="A39" t="str">
        <v>Variance</v>
      </c>
      <c r="B39">
        <v>-818039.7170751886</v>
      </c>
      <c r="C39" t="str">
        <v>✓ OK</v>
      </c>
    </row>
  </sheetData>
  <ignoredErrors>
    <ignoredError numberStoredAsText="1" sqref="A1:L39"/>
  </ignoredErrors>
</worksheet>
</file>

<file path=xl/worksheets/sheet178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(A) V.A.4.10 - Kolom K178-1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K178-1</v>
      </c>
    </row>
    <row r="5">
      <c r="A5" t="str">
        <v>Unit</v>
      </c>
      <c r="B5" t="str">
        <v>m3</v>
      </c>
    </row>
    <row r="6">
      <c r="A6" t="str">
        <v>Volume</v>
      </c>
      <c r="B6">
        <v>2.448</v>
      </c>
    </row>
    <row r="7">
      <c r="A7" t="str">
        <v>Unit cost (Rp/m3)</v>
      </c>
      <c r="B7">
        <v>8920110.54297833</v>
      </c>
    </row>
    <row r="8">
      <c r="A8" t="str">
        <v>Line total at-cost (Rp)</v>
      </c>
      <c r="B8">
        <v>21836430.60921095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2.5704000000000002</v>
      </c>
      <c r="L12">
        <v>2610626.7600000007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2.448</v>
      </c>
      <c r="L14">
        <v>612000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2250000</v>
      </c>
      <c r="I16">
        <v>1</v>
      </c>
      <c r="J16">
        <v>2250000</v>
      </c>
      <c r="K16">
        <v>2.448</v>
      </c>
      <c r="L16">
        <v>5508000</v>
      </c>
    </row>
    <row r="17">
      <c r="A17">
        <v>4</v>
      </c>
      <c r="B17" t="str">
        <v>BEKISTING KOLOM (Material) — ratio 14.264705882352942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4.56)</v>
      </c>
      <c r="H18">
        <v>200000</v>
      </c>
      <c r="I18">
        <v>6.256449948400412</v>
      </c>
      <c r="J18">
        <v>1251289.9896800825</v>
      </c>
      <c r="K18">
        <v>15.315789473684209</v>
      </c>
      <c r="L18">
        <v>3063157.894736842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4.56)</v>
      </c>
      <c r="H19">
        <v>47600</v>
      </c>
      <c r="I19">
        <v>31.28224974200206</v>
      </c>
      <c r="J19">
        <v>1489035.0877192982</v>
      </c>
      <c r="K19">
        <v>76.57894736842104</v>
      </c>
      <c r="L19">
        <v>3645157.894736842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4.56)</v>
      </c>
      <c r="H20">
        <v>47600</v>
      </c>
      <c r="I20">
        <v>6.256449948400412</v>
      </c>
      <c r="J20">
        <v>297807.0175438596</v>
      </c>
      <c r="K20">
        <v>15.315789473684209</v>
      </c>
      <c r="L20">
        <v>729031.5789473683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4.56)</v>
      </c>
      <c r="H21">
        <v>13000</v>
      </c>
      <c r="I21">
        <v>6.256449948400412</v>
      </c>
      <c r="J21">
        <v>81333.84932920536</v>
      </c>
      <c r="K21">
        <v>15.315789473684209</v>
      </c>
      <c r="L21">
        <v>199105.26315789472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4.56)</v>
      </c>
      <c r="H22">
        <v>27500</v>
      </c>
      <c r="I22">
        <v>7.132352941176471</v>
      </c>
      <c r="J22">
        <v>196139.70588235295</v>
      </c>
      <c r="K22">
        <v>17.46</v>
      </c>
      <c r="L22">
        <v>480150</v>
      </c>
    </row>
    <row r="23">
      <c r="A23">
        <v>5</v>
      </c>
      <c r="B23" t="str">
        <v>PEMBESIAN (Material) — ratio 180.64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66.9656</v>
      </c>
      <c r="F24" t="str">
        <v>kg</v>
      </c>
      <c r="G24" t="str">
        <v>per m3 beton</v>
      </c>
      <c r="H24">
        <v>10300</v>
      </c>
      <c r="I24">
        <v>66.9656</v>
      </c>
      <c r="J24">
        <v>689745.6799999999</v>
      </c>
      <c r="K24">
        <v>163.9317888</v>
      </c>
      <c r="L24">
        <v>1688497.4246399999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113.67454117647058</v>
      </c>
      <c r="F25" t="str">
        <v>kg</v>
      </c>
      <c r="G25" t="str">
        <v>per m3 beton</v>
      </c>
      <c r="H25">
        <v>10300</v>
      </c>
      <c r="I25">
        <v>113.67454117647058</v>
      </c>
      <c r="J25">
        <v>1170847.774117647</v>
      </c>
      <c r="K25">
        <v>278.2752768</v>
      </c>
      <c r="L25">
        <v>2866235.3510399996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10300</v>
      </c>
      <c r="I26">
        <v>9.032007058823538</v>
      </c>
      <c r="J26">
        <v>93029.67270588245</v>
      </c>
      <c r="K26">
        <v>22.11035328000002</v>
      </c>
      <c r="L26">
        <v>227736.6387840002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180.6401411764706</v>
      </c>
      <c r="J27">
        <v>18064.01411764706</v>
      </c>
      <c r="K27">
        <v>442.2070656</v>
      </c>
      <c r="L27">
        <v>44220.706560000006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3.7934429647058825</v>
      </c>
      <c r="J28">
        <v>66385.25188235294</v>
      </c>
      <c r="K28">
        <v>9.2863483776</v>
      </c>
      <c r="L28">
        <v>162511.096608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8920110.54297833</v>
      </c>
      <c r="J30" t="str">
        <v/>
      </c>
      <c r="K30" t="str">
        <v/>
      </c>
      <c r="L30">
        <v>21836430.60921095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8920110.54297833</v>
      </c>
    </row>
    <row r="34">
      <c r="A34" t="str">
        <v>RAB (A) source unit cost</v>
      </c>
      <c r="B34">
        <v>8920110.542978328</v>
      </c>
    </row>
    <row r="35">
      <c r="A35" t="str">
        <v>Variance</v>
      </c>
      <c r="B35">
        <v>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21836430.60921095</v>
      </c>
    </row>
    <row r="38">
      <c r="A38" t="str">
        <v>RAB (A) source line total</v>
      </c>
      <c r="B38">
        <v>24893530.894500475</v>
      </c>
    </row>
    <row r="39">
      <c r="A39" t="str">
        <v>Variance</v>
      </c>
      <c r="B39">
        <v>-3057100.285289526</v>
      </c>
      <c r="C39" t="str">
        <v>✓ OK</v>
      </c>
    </row>
  </sheetData>
  <ignoredErrors>
    <ignoredError numberStoredAsText="1" sqref="A1:L39"/>
  </ignoredErrors>
</worksheet>
</file>

<file path=xl/worksheets/sheet179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(A) V.A.4.11 - Kolom K178-2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K178-2</v>
      </c>
    </row>
    <row r="5">
      <c r="A5" t="str">
        <v>Unit</v>
      </c>
      <c r="B5" t="str">
        <v>m3</v>
      </c>
    </row>
    <row r="6">
      <c r="A6" t="str">
        <v>Volume</v>
      </c>
      <c r="B6">
        <v>0.612</v>
      </c>
    </row>
    <row r="7">
      <c r="A7" t="str">
        <v>Unit cost (Rp/m3)</v>
      </c>
      <c r="B7">
        <v>10905972.287680535</v>
      </c>
    </row>
    <row r="8">
      <c r="A8" t="str">
        <v>Line total at-cost (Rp)</v>
      </c>
      <c r="B8">
        <v>6674455.040060487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0.6426000000000001</v>
      </c>
      <c r="L12">
        <v>652656.6900000002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0.612</v>
      </c>
      <c r="L14">
        <v>153000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2250000</v>
      </c>
      <c r="I16">
        <v>1</v>
      </c>
      <c r="J16">
        <v>2250000</v>
      </c>
      <c r="K16">
        <v>0.612</v>
      </c>
      <c r="L16">
        <v>1377000</v>
      </c>
    </row>
    <row r="17">
      <c r="A17">
        <v>4</v>
      </c>
      <c r="B17" t="str">
        <v>BEKISTING KOLOM (Material) — ratio 14.264705882352942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4.56)</v>
      </c>
      <c r="H18">
        <v>200000</v>
      </c>
      <c r="I18">
        <v>6.256449948400412</v>
      </c>
      <c r="J18">
        <v>1251289.9896800825</v>
      </c>
      <c r="K18">
        <v>3.828947368421052</v>
      </c>
      <c r="L18">
        <v>765789.4736842104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4.56)</v>
      </c>
      <c r="H19">
        <v>47600</v>
      </c>
      <c r="I19">
        <v>31.28224974200206</v>
      </c>
      <c r="J19">
        <v>1489035.0877192982</v>
      </c>
      <c r="K19">
        <v>19.14473684210526</v>
      </c>
      <c r="L19">
        <v>911289.4736842104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4.56)</v>
      </c>
      <c r="H20">
        <v>47600</v>
      </c>
      <c r="I20">
        <v>6.256449948400412</v>
      </c>
      <c r="J20">
        <v>297807.0175438596</v>
      </c>
      <c r="K20">
        <v>3.828947368421052</v>
      </c>
      <c r="L20">
        <v>182257.89473684208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4.56)</v>
      </c>
      <c r="H21">
        <v>13000</v>
      </c>
      <c r="I21">
        <v>6.256449948400412</v>
      </c>
      <c r="J21">
        <v>81333.84932920536</v>
      </c>
      <c r="K21">
        <v>3.828947368421052</v>
      </c>
      <c r="L21">
        <v>49776.31578947368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4.56)</v>
      </c>
      <c r="H22">
        <v>27500</v>
      </c>
      <c r="I22">
        <v>7.132352941176471</v>
      </c>
      <c r="J22">
        <v>196139.70588235295</v>
      </c>
      <c r="K22">
        <v>4.365</v>
      </c>
      <c r="L22">
        <v>120037.5</v>
      </c>
    </row>
    <row r="23">
      <c r="A23">
        <v>5</v>
      </c>
      <c r="B23" t="str">
        <v>PEMBESIAN (Material) — ratio 356.65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66.9656</v>
      </c>
      <c r="F24" t="str">
        <v>kg</v>
      </c>
      <c r="G24" t="str">
        <v>per m3 beton</v>
      </c>
      <c r="H24">
        <v>10300</v>
      </c>
      <c r="I24">
        <v>66.9656</v>
      </c>
      <c r="J24">
        <v>689745.6799999999</v>
      </c>
      <c r="K24">
        <v>40.9829472</v>
      </c>
      <c r="L24">
        <v>422124.35615999997</v>
      </c>
    </row>
    <row r="25">
      <c r="A25" t="str">
        <v/>
      </c>
      <c r="B25" t="str">
        <v/>
      </c>
      <c r="C25" t="str">
        <v>Besi beton D19</v>
      </c>
      <c r="D25" t="str">
        <v>U24/U40 polos</v>
      </c>
      <c r="E25">
        <v>289.68710441176466</v>
      </c>
      <c r="F25" t="str">
        <v>kg</v>
      </c>
      <c r="G25" t="str">
        <v>per m3 beton</v>
      </c>
      <c r="H25">
        <v>10300</v>
      </c>
      <c r="I25">
        <v>289.68710441176466</v>
      </c>
      <c r="J25">
        <v>2983777.175441176</v>
      </c>
      <c r="K25">
        <v>177.28850789999998</v>
      </c>
      <c r="L25">
        <v>1826071.6313699998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10300</v>
      </c>
      <c r="I26">
        <v>17.832635220588248</v>
      </c>
      <c r="J26">
        <v>183676.14277205896</v>
      </c>
      <c r="K26">
        <v>10.913572755000008</v>
      </c>
      <c r="L26">
        <v>112409.79937650007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356.65270441176466</v>
      </c>
      <c r="J27">
        <v>35665.270441176464</v>
      </c>
      <c r="K27">
        <v>218.27145509999997</v>
      </c>
      <c r="L27">
        <v>21827.145509999995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7.489706792647058</v>
      </c>
      <c r="J28">
        <v>131069.86887132352</v>
      </c>
      <c r="K28">
        <v>4.583700557099999</v>
      </c>
      <c r="L28">
        <v>80214.75974924999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10905972.287680535</v>
      </c>
      <c r="J30" t="str">
        <v/>
      </c>
      <c r="K30" t="str">
        <v/>
      </c>
      <c r="L30">
        <v>6674455.040060487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10905972.287680535</v>
      </c>
    </row>
    <row r="34">
      <c r="A34" t="str">
        <v>RAB (A) source unit cost</v>
      </c>
      <c r="B34">
        <v>10905972.287680533</v>
      </c>
    </row>
    <row r="35">
      <c r="A35" t="str">
        <v>Variance</v>
      </c>
      <c r="B35">
        <v>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6674455.040060487</v>
      </c>
    </row>
    <row r="38">
      <c r="A38" t="str">
        <v>RAB (A) source line total</v>
      </c>
      <c r="B38">
        <v>7608878.745668953</v>
      </c>
    </row>
    <row r="39">
      <c r="A39" t="str">
        <v>Variance</v>
      </c>
      <c r="B39">
        <v>-934423.7056084666</v>
      </c>
      <c r="C39" t="str">
        <v>✓ OK</v>
      </c>
    </row>
  </sheetData>
  <ignoredErrors>
    <ignoredError numberStoredAsText="1" sqref="A1:L39"/>
  </ignoredErrors>
</worksheet>
</file>

<file path=xl/worksheets/sheet180.xml><?xml version="1.0" encoding="utf-8"?>
<worksheet xmlns="http://schemas.openxmlformats.org/spreadsheetml/2006/main" xmlns:r="http://schemas.openxmlformats.org/officeDocument/2006/relationships">
  <dimension ref="A1:L40"/>
  <sheetViews>
    <sheetView workbookViewId="0" rightToLeft="0"/>
  </sheetViews>
  <sheetData>
    <row r="1">
      <c r="A1" t="str">
        <v>BREAKDOWN — (A) V.A.4.12 - Kolom K278-1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K278-1</v>
      </c>
    </row>
    <row r="5">
      <c r="A5" t="str">
        <v>Unit</v>
      </c>
      <c r="B5" t="str">
        <v>m3</v>
      </c>
    </row>
    <row r="6">
      <c r="A6" t="str">
        <v>Volume</v>
      </c>
      <c r="B6">
        <v>0.972</v>
      </c>
    </row>
    <row r="7">
      <c r="A7" t="str">
        <v>Unit cost (Rp/m3)</v>
      </c>
      <c r="B7">
        <v>8343671.301826464</v>
      </c>
    </row>
    <row r="8">
      <c r="A8" t="str">
        <v>Line total at-cost (Rp)</v>
      </c>
      <c r="B8">
        <v>8110048.505375323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1.0206</v>
      </c>
      <c r="L12">
        <v>1036572.3900000002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0.972</v>
      </c>
      <c r="L14">
        <v>243000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2250000</v>
      </c>
      <c r="I16">
        <v>1</v>
      </c>
      <c r="J16">
        <v>2250000</v>
      </c>
      <c r="K16">
        <v>0.972</v>
      </c>
      <c r="L16">
        <v>2187000</v>
      </c>
    </row>
    <row r="17">
      <c r="A17">
        <v>4</v>
      </c>
      <c r="B17" t="str">
        <v>BEKISTING KOLOM (Material) — ratio 9.907407407407408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4.56)</v>
      </c>
      <c r="H18">
        <v>200000</v>
      </c>
      <c r="I18">
        <v>4.345354126055881</v>
      </c>
      <c r="J18">
        <v>869070.8252111762</v>
      </c>
      <c r="K18">
        <v>4.223684210526316</v>
      </c>
      <c r="L18">
        <v>844736.8421052633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4.56)</v>
      </c>
      <c r="H19">
        <v>47600</v>
      </c>
      <c r="I19">
        <v>21.726770630279404</v>
      </c>
      <c r="J19">
        <v>1034194.2820012997</v>
      </c>
      <c r="K19">
        <v>21.11842105263158</v>
      </c>
      <c r="L19">
        <v>1005236.8421052633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4.56)</v>
      </c>
      <c r="H20">
        <v>47600</v>
      </c>
      <c r="I20">
        <v>4.345354126055881</v>
      </c>
      <c r="J20">
        <v>206838.85640025992</v>
      </c>
      <c r="K20">
        <v>4.223684210526316</v>
      </c>
      <c r="L20">
        <v>201047.36842105264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4.56)</v>
      </c>
      <c r="H21">
        <v>13000</v>
      </c>
      <c r="I21">
        <v>4.345354126055881</v>
      </c>
      <c r="J21">
        <v>56489.60363872645</v>
      </c>
      <c r="K21">
        <v>4.223684210526316</v>
      </c>
      <c r="L21">
        <v>54907.89473684211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4.56)</v>
      </c>
      <c r="H22">
        <v>27500</v>
      </c>
      <c r="I22">
        <v>4.953703703703705</v>
      </c>
      <c r="J22">
        <v>136226.85185185188</v>
      </c>
      <c r="K22">
        <v>4.815000000000001</v>
      </c>
      <c r="L22">
        <v>132412.50000000003</v>
      </c>
    </row>
    <row r="23">
      <c r="A23">
        <v>5</v>
      </c>
      <c r="B23" t="str">
        <v>PEMBESIAN (Material) — ratio 219.31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74.82356481481483</v>
      </c>
      <c r="F24" t="str">
        <v>kg</v>
      </c>
      <c r="G24" t="str">
        <v>per m3 beton</v>
      </c>
      <c r="H24">
        <v>10300</v>
      </c>
      <c r="I24">
        <v>74.82356481481483</v>
      </c>
      <c r="J24">
        <v>770682.7175925927</v>
      </c>
      <c r="K24">
        <v>72.72850500000001</v>
      </c>
      <c r="L24">
        <v>749103.6015000001</v>
      </c>
    </row>
    <row r="25">
      <c r="A25" t="str">
        <v/>
      </c>
      <c r="B25" t="str">
        <v/>
      </c>
      <c r="C25" t="str">
        <v>Besi beton D19</v>
      </c>
      <c r="D25" t="str">
        <v>U24/U40 polos</v>
      </c>
      <c r="E25">
        <v>86.23835407407408</v>
      </c>
      <c r="F25" t="str">
        <v>kg</v>
      </c>
      <c r="G25" t="str">
        <v>per m3 beton</v>
      </c>
      <c r="H25">
        <v>10300</v>
      </c>
      <c r="I25">
        <v>86.23835407407408</v>
      </c>
      <c r="J25">
        <v>888255.0469629631</v>
      </c>
      <c r="K25">
        <v>83.82368016000001</v>
      </c>
      <c r="L25">
        <v>863383.9056480001</v>
      </c>
    </row>
    <row r="26">
      <c r="A26" t="str">
        <v/>
      </c>
      <c r="B26" t="str">
        <v/>
      </c>
      <c r="C26" t="str">
        <v>Besi beton D22</v>
      </c>
      <c r="D26" t="str">
        <v>U24/U40 polos</v>
      </c>
      <c r="E26">
        <v>58.25280592592592</v>
      </c>
      <c r="F26" t="str">
        <v>kg</v>
      </c>
      <c r="G26" t="str">
        <v>per m3 beton</v>
      </c>
      <c r="H26">
        <v>10300</v>
      </c>
      <c r="I26">
        <v>58.25280592592592</v>
      </c>
      <c r="J26">
        <v>600003.901037037</v>
      </c>
      <c r="K26">
        <v>56.621727359999994</v>
      </c>
      <c r="L26">
        <v>583203.791808</v>
      </c>
    </row>
    <row r="27">
      <c r="A27" t="str">
        <v/>
      </c>
      <c r="B27" t="str">
        <v/>
      </c>
      <c r="C27" t="str">
        <v>Besi beton — waste (5%)</v>
      </c>
      <c r="D27" t="str">
        <v>applied via AHS coeff 1.05</v>
      </c>
      <c r="E27">
        <v>0.050000000000000044</v>
      </c>
      <c r="F27" t="str">
        <v>kg</v>
      </c>
      <c r="G27" t="str">
        <v>per m3 beton</v>
      </c>
      <c r="H27">
        <v>10300</v>
      </c>
      <c r="I27">
        <v>10.96573624074075</v>
      </c>
      <c r="J27">
        <v>112947.08327962972</v>
      </c>
      <c r="K27">
        <v>10.658695626000009</v>
      </c>
      <c r="L27">
        <v>109784.56494780009</v>
      </c>
    </row>
    <row r="28">
      <c r="A28" t="str">
        <v/>
      </c>
      <c r="B28" t="str">
        <v/>
      </c>
      <c r="C28" t="str">
        <v>Beton decking</v>
      </c>
      <c r="D28" t="str">
        <v>spacer</v>
      </c>
      <c r="E28">
        <v>1</v>
      </c>
      <c r="F28" t="str">
        <v>kg-eq</v>
      </c>
      <c r="G28" t="str">
        <v>per kg besi</v>
      </c>
      <c r="H28">
        <v>100</v>
      </c>
      <c r="I28">
        <v>219.3147248148148</v>
      </c>
      <c r="J28">
        <v>21931.47248148148</v>
      </c>
      <c r="K28">
        <v>213.17391252</v>
      </c>
      <c r="L28">
        <v>21317.391251999998</v>
      </c>
    </row>
    <row r="29">
      <c r="A29" t="str">
        <v/>
      </c>
      <c r="B29" t="str">
        <v/>
      </c>
      <c r="C29" t="str">
        <v>Bendrat (kawat ikat)</v>
      </c>
      <c r="D29" t="str">
        <v>2.1% of besi (raw)</v>
      </c>
      <c r="E29">
        <v>0.021</v>
      </c>
      <c r="F29" t="str">
        <v>kg</v>
      </c>
      <c r="G29" t="str">
        <v>per kg besi (raw)</v>
      </c>
      <c r="H29">
        <v>17500</v>
      </c>
      <c r="I29">
        <v>4.605609221111111</v>
      </c>
      <c r="J29">
        <v>80598.16136944444</v>
      </c>
      <c r="K29">
        <v>4.47665216292</v>
      </c>
      <c r="L29">
        <v>78341.41285109999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/>
      </c>
      <c r="B31" t="str">
        <v>SUBTOTAL — At-cost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>
        <v>8343671.301826464</v>
      </c>
      <c r="J31" t="str">
        <v/>
      </c>
      <c r="K31" t="str">
        <v/>
      </c>
      <c r="L31">
        <v>8110048.505375323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>RECONCILIATION</v>
      </c>
    </row>
    <row r="34">
      <c r="A34" t="str">
        <v>Computed unit cost</v>
      </c>
      <c r="B34">
        <v>8343671.301826464</v>
      </c>
    </row>
    <row r="35">
      <c r="A35" t="str">
        <v>RAB (A) source unit cost</v>
      </c>
      <c r="B35">
        <v>8343671.301826462</v>
      </c>
    </row>
    <row r="36">
      <c r="A36" t="str">
        <v>Variance</v>
      </c>
      <c r="B36">
        <v>1.862645149230957e-9</v>
      </c>
      <c r="C36" t="str">
        <v>✓ OK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</row>
    <row r="38">
      <c r="A38" t="str">
        <v>Computed line total</v>
      </c>
      <c r="B38">
        <v>8110048.505375323</v>
      </c>
    </row>
    <row r="39">
      <c r="A39" t="str">
        <v>RAB (A) source line total</v>
      </c>
      <c r="B39">
        <v>9245455.296127865</v>
      </c>
    </row>
    <row r="40">
      <c r="A40" t="str">
        <v>Variance</v>
      </c>
      <c r="B40">
        <v>-1135406.7907525422</v>
      </c>
      <c r="C40" t="str">
        <v>✓ OK</v>
      </c>
    </row>
  </sheetData>
  <ignoredErrors>
    <ignoredError numberStoredAsText="1" sqref="A1:L40"/>
  </ignoredErrors>
</worksheet>
</file>

<file path=xl/worksheets/sheet181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(A) V.A.4.13 - Kolom K36-1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K36-1</v>
      </c>
    </row>
    <row r="5">
      <c r="A5" t="str">
        <v>Unit</v>
      </c>
      <c r="B5" t="str">
        <v>m3</v>
      </c>
    </row>
    <row r="6">
      <c r="A6" t="str">
        <v>Volume</v>
      </c>
      <c r="B6">
        <v>0.81</v>
      </c>
    </row>
    <row r="7">
      <c r="A7" t="str">
        <v>Unit cost (Rp/m3)</v>
      </c>
      <c r="B7">
        <v>10386295.756263157</v>
      </c>
    </row>
    <row r="8">
      <c r="A8" t="str">
        <v>Line total at-cost (Rp)</v>
      </c>
      <c r="B8">
        <v>8412899.562573157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0.8505000000000001</v>
      </c>
      <c r="L12">
        <v>863810.3250000003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0.81</v>
      </c>
      <c r="L14">
        <v>202500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2250000</v>
      </c>
      <c r="I16">
        <v>1</v>
      </c>
      <c r="J16">
        <v>2250000</v>
      </c>
      <c r="K16">
        <v>0.81</v>
      </c>
      <c r="L16">
        <v>1822500.0000000002</v>
      </c>
    </row>
    <row r="17">
      <c r="A17">
        <v>4</v>
      </c>
      <c r="B17" t="str">
        <v>BEKISTING KOLOM (Material) — ratio 9.999999999999998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4.56)</v>
      </c>
      <c r="H18">
        <v>200000</v>
      </c>
      <c r="I18">
        <v>4.3859649122807</v>
      </c>
      <c r="J18">
        <v>877192.9824561401</v>
      </c>
      <c r="K18">
        <v>3.5526315789473673</v>
      </c>
      <c r="L18">
        <v>710526.3157894735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4.56)</v>
      </c>
      <c r="H19">
        <v>47600</v>
      </c>
      <c r="I19">
        <v>21.9298245614035</v>
      </c>
      <c r="J19">
        <v>1043859.6491228066</v>
      </c>
      <c r="K19">
        <v>17.763157894736835</v>
      </c>
      <c r="L19">
        <v>845526.3157894734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4.56)</v>
      </c>
      <c r="H20">
        <v>47600</v>
      </c>
      <c r="I20">
        <v>4.3859649122807</v>
      </c>
      <c r="J20">
        <v>208771.92982456135</v>
      </c>
      <c r="K20">
        <v>3.5526315789473673</v>
      </c>
      <c r="L20">
        <v>169105.2631578947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4.56)</v>
      </c>
      <c r="H21">
        <v>13000</v>
      </c>
      <c r="I21">
        <v>4.3859649122807</v>
      </c>
      <c r="J21">
        <v>57017.5438596491</v>
      </c>
      <c r="K21">
        <v>3.5526315789473673</v>
      </c>
      <c r="L21">
        <v>46184.21052631577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4.56)</v>
      </c>
      <c r="H22">
        <v>27500</v>
      </c>
      <c r="I22">
        <v>4.999999999999999</v>
      </c>
      <c r="J22">
        <v>137499.99999999997</v>
      </c>
      <c r="K22">
        <v>4.05</v>
      </c>
      <c r="L22">
        <v>111374.99999999999</v>
      </c>
    </row>
    <row r="23">
      <c r="A23">
        <v>5</v>
      </c>
      <c r="B23" t="str">
        <v>PEMBESIAN (Material) — ratio 398.45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78.69888888888889</v>
      </c>
      <c r="F24" t="str">
        <v>kg</v>
      </c>
      <c r="G24" t="str">
        <v>per m3 beton</v>
      </c>
      <c r="H24">
        <v>10300</v>
      </c>
      <c r="I24">
        <v>78.69888888888889</v>
      </c>
      <c r="J24">
        <v>810598.5555555555</v>
      </c>
      <c r="K24">
        <v>63.746100000000006</v>
      </c>
      <c r="L24">
        <v>656584.83</v>
      </c>
    </row>
    <row r="25">
      <c r="A25" t="str">
        <v/>
      </c>
      <c r="B25" t="str">
        <v/>
      </c>
      <c r="C25" t="str">
        <v>Besi beton D22</v>
      </c>
      <c r="D25" t="str">
        <v>U24/U40 polos</v>
      </c>
      <c r="E25">
        <v>319.7519111111111</v>
      </c>
      <c r="F25" t="str">
        <v>kg</v>
      </c>
      <c r="G25" t="str">
        <v>per m3 beton</v>
      </c>
      <c r="H25">
        <v>10300</v>
      </c>
      <c r="I25">
        <v>319.7519111111111</v>
      </c>
      <c r="J25">
        <v>3293444.6844444443</v>
      </c>
      <c r="K25">
        <v>258.999048</v>
      </c>
      <c r="L25">
        <v>2667690.1944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10300</v>
      </c>
      <c r="I26">
        <v>19.922540000000016</v>
      </c>
      <c r="J26">
        <v>205202.16200000016</v>
      </c>
      <c r="K26">
        <v>16.137257400000014</v>
      </c>
      <c r="L26">
        <v>166213.75122000015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398.45079999999996</v>
      </c>
      <c r="J27">
        <v>39845.079999999994</v>
      </c>
      <c r="K27">
        <v>322.745148</v>
      </c>
      <c r="L27">
        <v>32274.514799999997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8.367466799999999</v>
      </c>
      <c r="J28">
        <v>146430.669</v>
      </c>
      <c r="K28">
        <v>6.777648107999999</v>
      </c>
      <c r="L28">
        <v>118608.84189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10386295.756263157</v>
      </c>
      <c r="J30" t="str">
        <v/>
      </c>
      <c r="K30" t="str">
        <v/>
      </c>
      <c r="L30">
        <v>8412899.562573157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10386295.756263157</v>
      </c>
    </row>
    <row r="34">
      <c r="A34" t="str">
        <v>RAB (A) source unit cost</v>
      </c>
      <c r="B34">
        <v>10386295.75626316</v>
      </c>
    </row>
    <row r="35">
      <c r="A35" t="str">
        <v>Variance</v>
      </c>
      <c r="B35">
        <v>-1.862645149230957e-9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8412899.562573157</v>
      </c>
    </row>
    <row r="38">
      <c r="A38" t="str">
        <v>RAB (A) source line total</v>
      </c>
      <c r="B38">
        <v>9590705.5013334</v>
      </c>
    </row>
    <row r="39">
      <c r="A39" t="str">
        <v>Variance</v>
      </c>
      <c r="B39">
        <v>-1177805.9387602434</v>
      </c>
      <c r="C39" t="str">
        <v>✓ OK</v>
      </c>
    </row>
  </sheetData>
  <ignoredErrors>
    <ignoredError numberStoredAsText="1" sqref="A1:L39"/>
  </ignoredErrors>
</worksheet>
</file>

<file path=xl/worksheets/sheet182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(A) V.A.4.14 - Kolom KL175-1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KL175-1</v>
      </c>
    </row>
    <row r="5">
      <c r="A5" t="str">
        <v>Unit</v>
      </c>
      <c r="B5" t="str">
        <v>m3</v>
      </c>
    </row>
    <row r="6">
      <c r="A6" t="str">
        <v>Volume</v>
      </c>
      <c r="B6">
        <v>0.63495</v>
      </c>
    </row>
    <row r="7">
      <c r="A7" t="str">
        <v>Unit cost (Rp/m3)</v>
      </c>
      <c r="B7">
        <v>9568928.811539559</v>
      </c>
    </row>
    <row r="8">
      <c r="A8" t="str">
        <v>Line total at-cost (Rp)</v>
      </c>
      <c r="B8">
        <v>6075791.348887043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0.6666975</v>
      </c>
      <c r="L12">
        <v>677131.3158750002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0.63495</v>
      </c>
      <c r="L14">
        <v>158737.5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2250000</v>
      </c>
      <c r="I16">
        <v>1</v>
      </c>
      <c r="J16">
        <v>2250000</v>
      </c>
      <c r="K16">
        <v>0.63495</v>
      </c>
      <c r="L16">
        <v>1428637.5</v>
      </c>
    </row>
    <row r="17">
      <c r="A17">
        <v>4</v>
      </c>
      <c r="B17" t="str">
        <v>BEKISTING KOLOM (Material) — ratio 14.174344436569807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4.56)</v>
      </c>
      <c r="H18">
        <v>200000</v>
      </c>
      <c r="I18">
        <v>6.216817735337634</v>
      </c>
      <c r="J18">
        <v>1243363.5470675267</v>
      </c>
      <c r="K18">
        <v>3.947368421052631</v>
      </c>
      <c r="L18">
        <v>789473.6842105261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4.56)</v>
      </c>
      <c r="H19">
        <v>47600</v>
      </c>
      <c r="I19">
        <v>31.08408867668817</v>
      </c>
      <c r="J19">
        <v>1479602.621010357</v>
      </c>
      <c r="K19">
        <v>19.736842105263154</v>
      </c>
      <c r="L19">
        <v>939473.6842105262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4.56)</v>
      </c>
      <c r="H20">
        <v>47600</v>
      </c>
      <c r="I20">
        <v>6.216817735337634</v>
      </c>
      <c r="J20">
        <v>295920.52420207136</v>
      </c>
      <c r="K20">
        <v>3.947368421052631</v>
      </c>
      <c r="L20">
        <v>187894.73684210522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4.56)</v>
      </c>
      <c r="H21">
        <v>13000</v>
      </c>
      <c r="I21">
        <v>6.216817735337634</v>
      </c>
      <c r="J21">
        <v>80818.63055938925</v>
      </c>
      <c r="K21">
        <v>3.947368421052631</v>
      </c>
      <c r="L21">
        <v>51315.789473684206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4.56)</v>
      </c>
      <c r="H22">
        <v>27500</v>
      </c>
      <c r="I22">
        <v>7.087172218284904</v>
      </c>
      <c r="J22">
        <v>194897.23600283486</v>
      </c>
      <c r="K22">
        <v>4.5</v>
      </c>
      <c r="L22">
        <v>123750</v>
      </c>
    </row>
    <row r="23">
      <c r="A23">
        <v>5</v>
      </c>
      <c r="B23" t="str">
        <v>PEMBESIAN (Material) — ratio 240.01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77.68783557760455</v>
      </c>
      <c r="F24" t="str">
        <v>kg</v>
      </c>
      <c r="G24" t="str">
        <v>per m3 beton</v>
      </c>
      <c r="H24">
        <v>10300</v>
      </c>
      <c r="I24">
        <v>77.68783557760455</v>
      </c>
      <c r="J24">
        <v>800184.7064493268</v>
      </c>
      <c r="K24">
        <v>49.32789120000001</v>
      </c>
      <c r="L24">
        <v>508077.2793600001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162.32047399007797</v>
      </c>
      <c r="F25" t="str">
        <v>kg</v>
      </c>
      <c r="G25" t="str">
        <v>per m3 beton</v>
      </c>
      <c r="H25">
        <v>10300</v>
      </c>
      <c r="I25">
        <v>162.32047399007797</v>
      </c>
      <c r="J25">
        <v>1671900.882097803</v>
      </c>
      <c r="K25">
        <v>103.06538496000002</v>
      </c>
      <c r="L25">
        <v>1061573.465088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10300</v>
      </c>
      <c r="I26">
        <v>12.000415478384136</v>
      </c>
      <c r="J26">
        <v>123604.2794273566</v>
      </c>
      <c r="K26">
        <v>7.619663808000007</v>
      </c>
      <c r="L26">
        <v>78482.53722240007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240.00830956768252</v>
      </c>
      <c r="J27">
        <v>24000.83095676825</v>
      </c>
      <c r="K27">
        <v>152.39327616000003</v>
      </c>
      <c r="L27">
        <v>15239.327616000002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5.040174500921333</v>
      </c>
      <c r="J28">
        <v>88203.05376612332</v>
      </c>
      <c r="K28">
        <v>3.2002587993600007</v>
      </c>
      <c r="L28">
        <v>56004.528988800004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9568928.811539559</v>
      </c>
      <c r="J30" t="str">
        <v/>
      </c>
      <c r="K30" t="str">
        <v/>
      </c>
      <c r="L30">
        <v>6075791.348887043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9568928.811539559</v>
      </c>
    </row>
    <row r="34">
      <c r="A34" t="str">
        <v>RAB (A) source unit cost</v>
      </c>
      <c r="B34">
        <v>9568928.811539557</v>
      </c>
    </row>
    <row r="35">
      <c r="A35" t="str">
        <v>Variance</v>
      </c>
      <c r="B35">
        <v>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6075791.348887043</v>
      </c>
    </row>
    <row r="38">
      <c r="A38" t="str">
        <v>RAB (A) source line total</v>
      </c>
      <c r="B38">
        <v>6926402.137731227</v>
      </c>
    </row>
    <row r="39">
      <c r="A39" t="str">
        <v>Variance</v>
      </c>
      <c r="B39">
        <v>-850610.788844184</v>
      </c>
      <c r="C39" t="str">
        <v>✓ OK</v>
      </c>
    </row>
  </sheetData>
  <ignoredErrors>
    <ignoredError numberStoredAsText="1" sqref="A1:L39"/>
  </ignoredErrors>
</worksheet>
</file>

<file path=xl/worksheets/sheet183.xml><?xml version="1.0" encoding="utf-8"?>
<worksheet xmlns="http://schemas.openxmlformats.org/spreadsheetml/2006/main" xmlns:r="http://schemas.openxmlformats.org/officeDocument/2006/relationships">
  <dimension ref="A1:L40"/>
  <sheetViews>
    <sheetView workbookViewId="0" rightToLeft="0"/>
  </sheetViews>
  <sheetData>
    <row r="1">
      <c r="A1" t="str">
        <v>BREAKDOWN — (A) V.A.4.15 - Kolom KL175-2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KL175-2</v>
      </c>
    </row>
    <row r="5">
      <c r="A5" t="str">
        <v>Unit</v>
      </c>
      <c r="B5" t="str">
        <v>m3</v>
      </c>
    </row>
    <row r="6">
      <c r="A6" t="str">
        <v>Volume</v>
      </c>
      <c r="B6">
        <v>0.63495</v>
      </c>
    </row>
    <row r="7">
      <c r="A7" t="str">
        <v>Unit cost (Rp/m3)</v>
      </c>
      <c r="B7">
        <v>9904883.689650118</v>
      </c>
    </row>
    <row r="8">
      <c r="A8" t="str">
        <v>Line total at-cost (Rp)</v>
      </c>
      <c r="B8">
        <v>6289105.898743343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0.6666975</v>
      </c>
      <c r="L12">
        <v>677131.3158750002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0.63495</v>
      </c>
      <c r="L14">
        <v>158737.5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2250000</v>
      </c>
      <c r="I16">
        <v>1</v>
      </c>
      <c r="J16">
        <v>2250000</v>
      </c>
      <c r="K16">
        <v>0.63495</v>
      </c>
      <c r="L16">
        <v>1428637.5</v>
      </c>
    </row>
    <row r="17">
      <c r="A17">
        <v>4</v>
      </c>
      <c r="B17" t="str">
        <v>BEKISTING KOLOM (Material) — ratio 14.174344436569807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4.56)</v>
      </c>
      <c r="H18">
        <v>200000</v>
      </c>
      <c r="I18">
        <v>6.216817735337634</v>
      </c>
      <c r="J18">
        <v>1243363.5470675267</v>
      </c>
      <c r="K18">
        <v>3.947368421052631</v>
      </c>
      <c r="L18">
        <v>789473.6842105261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4.56)</v>
      </c>
      <c r="H19">
        <v>47600</v>
      </c>
      <c r="I19">
        <v>31.08408867668817</v>
      </c>
      <c r="J19">
        <v>1479602.621010357</v>
      </c>
      <c r="K19">
        <v>19.736842105263154</v>
      </c>
      <c r="L19">
        <v>939473.6842105262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4.56)</v>
      </c>
      <c r="H20">
        <v>47600</v>
      </c>
      <c r="I20">
        <v>6.216817735337634</v>
      </c>
      <c r="J20">
        <v>295920.52420207136</v>
      </c>
      <c r="K20">
        <v>3.947368421052631</v>
      </c>
      <c r="L20">
        <v>187894.73684210522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4.56)</v>
      </c>
      <c r="H21">
        <v>13000</v>
      </c>
      <c r="I21">
        <v>6.216817735337634</v>
      </c>
      <c r="J21">
        <v>80818.63055938925</v>
      </c>
      <c r="K21">
        <v>3.947368421052631</v>
      </c>
      <c r="L21">
        <v>51315.789473684206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4.56)</v>
      </c>
      <c r="H22">
        <v>27500</v>
      </c>
      <c r="I22">
        <v>7.087172218284904</v>
      </c>
      <c r="J22">
        <v>194897.23600283486</v>
      </c>
      <c r="K22">
        <v>4.5</v>
      </c>
      <c r="L22">
        <v>123750</v>
      </c>
    </row>
    <row r="23">
      <c r="A23">
        <v>5</v>
      </c>
      <c r="B23" t="str">
        <v>PEMBESIAN (Material) — ratio 269.78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77.68783557760455</v>
      </c>
      <c r="F24" t="str">
        <v>kg</v>
      </c>
      <c r="G24" t="str">
        <v>per m3 beton</v>
      </c>
      <c r="H24">
        <v>10300</v>
      </c>
      <c r="I24">
        <v>77.68783557760455</v>
      </c>
      <c r="J24">
        <v>800184.7064493268</v>
      </c>
      <c r="K24">
        <v>49.32789120000001</v>
      </c>
      <c r="L24">
        <v>508077.2793600001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34.56376980864634</v>
      </c>
      <c r="F25" t="str">
        <v>kg</v>
      </c>
      <c r="G25" t="str">
        <v>per m3 beton</v>
      </c>
      <c r="H25">
        <v>10300</v>
      </c>
      <c r="I25">
        <v>34.56376980864634</v>
      </c>
      <c r="J25">
        <v>356006.8290290573</v>
      </c>
      <c r="K25">
        <v>21.946265639999996</v>
      </c>
      <c r="L25">
        <v>226046.53609199994</v>
      </c>
    </row>
    <row r="26">
      <c r="A26" t="str">
        <v/>
      </c>
      <c r="B26" t="str">
        <v/>
      </c>
      <c r="C26" t="str">
        <v>Besi beton D19</v>
      </c>
      <c r="D26" t="str">
        <v>U24/U40 polos</v>
      </c>
      <c r="E26">
        <v>157.5333386250886</v>
      </c>
      <c r="F26" t="str">
        <v>kg</v>
      </c>
      <c r="G26" t="str">
        <v>per m3 beton</v>
      </c>
      <c r="H26">
        <v>10300</v>
      </c>
      <c r="I26">
        <v>157.5333386250886</v>
      </c>
      <c r="J26">
        <v>1622593.3878384125</v>
      </c>
      <c r="K26">
        <v>100.02579336000001</v>
      </c>
      <c r="L26">
        <v>1030265.6716080001</v>
      </c>
    </row>
    <row r="27">
      <c r="A27" t="str">
        <v/>
      </c>
      <c r="B27" t="str">
        <v/>
      </c>
      <c r="C27" t="str">
        <v>Besi beton — waste (5%)</v>
      </c>
      <c r="D27" t="str">
        <v>applied via AHS coeff 1.05</v>
      </c>
      <c r="E27">
        <v>0.050000000000000044</v>
      </c>
      <c r="F27" t="str">
        <v>kg</v>
      </c>
      <c r="G27" t="str">
        <v>per m3 beton</v>
      </c>
      <c r="H27">
        <v>10300</v>
      </c>
      <c r="I27">
        <v>13.489247200566986</v>
      </c>
      <c r="J27">
        <v>138939.24616583996</v>
      </c>
      <c r="K27">
        <v>8.564997510000008</v>
      </c>
      <c r="L27">
        <v>88219.47435300009</v>
      </c>
    </row>
    <row r="28">
      <c r="A28" t="str">
        <v/>
      </c>
      <c r="B28" t="str">
        <v/>
      </c>
      <c r="C28" t="str">
        <v>Beton decking</v>
      </c>
      <c r="D28" t="str">
        <v>spacer</v>
      </c>
      <c r="E28">
        <v>1</v>
      </c>
      <c r="F28" t="str">
        <v>kg-eq</v>
      </c>
      <c r="G28" t="str">
        <v>per kg besi</v>
      </c>
      <c r="H28">
        <v>100</v>
      </c>
      <c r="I28">
        <v>269.78494401133946</v>
      </c>
      <c r="J28">
        <v>26978.494401133947</v>
      </c>
      <c r="K28">
        <v>171.29995019999998</v>
      </c>
      <c r="L28">
        <v>17129.99502</v>
      </c>
    </row>
    <row r="29">
      <c r="A29" t="str">
        <v/>
      </c>
      <c r="B29" t="str">
        <v/>
      </c>
      <c r="C29" t="str">
        <v>Bendrat (kawat ikat)</v>
      </c>
      <c r="D29" t="str">
        <v>2.1% of besi (raw)</v>
      </c>
      <c r="E29">
        <v>0.021</v>
      </c>
      <c r="F29" t="str">
        <v>kg</v>
      </c>
      <c r="G29" t="str">
        <v>per kg besi (raw)</v>
      </c>
      <c r="H29">
        <v>17500</v>
      </c>
      <c r="I29">
        <v>5.665483824238129</v>
      </c>
      <c r="J29">
        <v>99145.96692416727</v>
      </c>
      <c r="K29">
        <v>3.5972989542000002</v>
      </c>
      <c r="L29">
        <v>62952.73169850001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/>
      </c>
      <c r="B31" t="str">
        <v>SUBTOTAL — At-cost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>
        <v>9904883.689650118</v>
      </c>
      <c r="J31" t="str">
        <v/>
      </c>
      <c r="K31" t="str">
        <v/>
      </c>
      <c r="L31">
        <v>6289105.898743343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>RECONCILIATION</v>
      </c>
    </row>
    <row r="34">
      <c r="A34" t="str">
        <v>Computed unit cost</v>
      </c>
      <c r="B34">
        <v>9904883.689650118</v>
      </c>
    </row>
    <row r="35">
      <c r="A35" t="str">
        <v>RAB (A) source unit cost</v>
      </c>
      <c r="B35">
        <v>9904883.689650116</v>
      </c>
    </row>
    <row r="36">
      <c r="A36" t="str">
        <v>Variance</v>
      </c>
      <c r="B36">
        <v>1.862645149230957e-9</v>
      </c>
      <c r="C36" t="str">
        <v>✓ OK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</row>
    <row r="38">
      <c r="A38" t="str">
        <v>Computed line total</v>
      </c>
      <c r="B38">
        <v>6289105.898743343</v>
      </c>
    </row>
    <row r="39">
      <c r="A39" t="str">
        <v>RAB (A) source line total</v>
      </c>
      <c r="B39">
        <v>7169580.724567409</v>
      </c>
    </row>
    <row r="40">
      <c r="A40" t="str">
        <v>Variance</v>
      </c>
      <c r="B40">
        <v>-880474.8258240661</v>
      </c>
      <c r="C40" t="str">
        <v>✓ OK</v>
      </c>
    </row>
  </sheetData>
  <ignoredErrors>
    <ignoredError numberStoredAsText="1" sqref="A1:L40"/>
  </ignoredErrors>
</worksheet>
</file>

<file path=xl/worksheets/sheet184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(A) V.A.4.16 - Kolom KL175-3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KL175-3</v>
      </c>
    </row>
    <row r="5">
      <c r="A5" t="str">
        <v>Unit</v>
      </c>
      <c r="B5" t="str">
        <v>m3</v>
      </c>
    </row>
    <row r="6">
      <c r="A6" t="str">
        <v>Volume</v>
      </c>
      <c r="B6">
        <v>0.63495</v>
      </c>
    </row>
    <row r="7">
      <c r="A7" t="str">
        <v>Unit cost (Rp/m3)</v>
      </c>
      <c r="B7">
        <v>11384552.376653662</v>
      </c>
    </row>
    <row r="8">
      <c r="A8" t="str">
        <v>Line total at-cost (Rp)</v>
      </c>
      <c r="B8">
        <v>7228621.531556243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0.6666975</v>
      </c>
      <c r="L12">
        <v>677131.3158750002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0.63495</v>
      </c>
      <c r="L14">
        <v>158737.5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2250000</v>
      </c>
      <c r="I16">
        <v>1</v>
      </c>
      <c r="J16">
        <v>2250000</v>
      </c>
      <c r="K16">
        <v>0.63495</v>
      </c>
      <c r="L16">
        <v>1428637.5</v>
      </c>
    </row>
    <row r="17">
      <c r="A17">
        <v>4</v>
      </c>
      <c r="B17" t="str">
        <v>BEKISTING KOLOM (Material) — ratio 14.174344436569807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4.56)</v>
      </c>
      <c r="H18">
        <v>200000</v>
      </c>
      <c r="I18">
        <v>6.216817735337634</v>
      </c>
      <c r="J18">
        <v>1243363.5470675267</v>
      </c>
      <c r="K18">
        <v>3.947368421052631</v>
      </c>
      <c r="L18">
        <v>789473.6842105261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4.56)</v>
      </c>
      <c r="H19">
        <v>47600</v>
      </c>
      <c r="I19">
        <v>31.08408867668817</v>
      </c>
      <c r="J19">
        <v>1479602.621010357</v>
      </c>
      <c r="K19">
        <v>19.736842105263154</v>
      </c>
      <c r="L19">
        <v>939473.6842105262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4.56)</v>
      </c>
      <c r="H20">
        <v>47600</v>
      </c>
      <c r="I20">
        <v>6.216817735337634</v>
      </c>
      <c r="J20">
        <v>295920.52420207136</v>
      </c>
      <c r="K20">
        <v>3.947368421052631</v>
      </c>
      <c r="L20">
        <v>187894.73684210522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4.56)</v>
      </c>
      <c r="H21">
        <v>13000</v>
      </c>
      <c r="I21">
        <v>6.216817735337634</v>
      </c>
      <c r="J21">
        <v>80818.63055938925</v>
      </c>
      <c r="K21">
        <v>3.947368421052631</v>
      </c>
      <c r="L21">
        <v>51315.789473684206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4.56)</v>
      </c>
      <c r="H22">
        <v>27500</v>
      </c>
      <c r="I22">
        <v>7.087172218284904</v>
      </c>
      <c r="J22">
        <v>194897.23600283486</v>
      </c>
      <c r="K22">
        <v>4.5</v>
      </c>
      <c r="L22">
        <v>123750</v>
      </c>
    </row>
    <row r="23">
      <c r="A23">
        <v>5</v>
      </c>
      <c r="B23" t="str">
        <v>PEMBESIAN (Material) — ratio 400.93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85.86550248051027</v>
      </c>
      <c r="F24" t="str">
        <v>kg</v>
      </c>
      <c r="G24" t="str">
        <v>per m3 beton</v>
      </c>
      <c r="H24">
        <v>10300</v>
      </c>
      <c r="I24">
        <v>85.86550248051027</v>
      </c>
      <c r="J24">
        <v>884414.6755492558</v>
      </c>
      <c r="K24">
        <v>54.5203008</v>
      </c>
      <c r="L24">
        <v>561559.09824</v>
      </c>
    </row>
    <row r="25">
      <c r="A25" t="str">
        <v/>
      </c>
      <c r="B25" t="str">
        <v/>
      </c>
      <c r="C25" t="str">
        <v>Besi beton D19</v>
      </c>
      <c r="D25" t="str">
        <v>U24/U40 polos</v>
      </c>
      <c r="E25">
        <v>315.0666772501772</v>
      </c>
      <c r="F25" t="str">
        <v>kg</v>
      </c>
      <c r="G25" t="str">
        <v>per m3 beton</v>
      </c>
      <c r="H25">
        <v>10300</v>
      </c>
      <c r="I25">
        <v>315.0666772501772</v>
      </c>
      <c r="J25">
        <v>3245186.775676825</v>
      </c>
      <c r="K25">
        <v>200.05158672000002</v>
      </c>
      <c r="L25">
        <v>2060531.3432160001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10300</v>
      </c>
      <c r="I26">
        <v>20.04660898653439</v>
      </c>
      <c r="J26">
        <v>206480.07256130423</v>
      </c>
      <c r="K26">
        <v>12.728594376000013</v>
      </c>
      <c r="L26">
        <v>131104.52207280011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400.93217973068744</v>
      </c>
      <c r="J27">
        <v>40093.21797306874</v>
      </c>
      <c r="K27">
        <v>254.57188752</v>
      </c>
      <c r="L27">
        <v>25457.188752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8.419575774344437</v>
      </c>
      <c r="J28">
        <v>147342.57605102766</v>
      </c>
      <c r="K28">
        <v>5.346009637920001</v>
      </c>
      <c r="L28">
        <v>93555.16866360001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11384552.376653662</v>
      </c>
      <c r="J30" t="str">
        <v/>
      </c>
      <c r="K30" t="str">
        <v/>
      </c>
      <c r="L30">
        <v>7228621.531556243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11384552.376653662</v>
      </c>
    </row>
    <row r="34">
      <c r="A34" t="str">
        <v>RAB (A) source unit cost</v>
      </c>
      <c r="B34">
        <v>11384552.37665366</v>
      </c>
    </row>
    <row r="35">
      <c r="A35" t="str">
        <v>Variance</v>
      </c>
      <c r="B35">
        <v>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7228621.531556243</v>
      </c>
    </row>
    <row r="38">
      <c r="A38" t="str">
        <v>RAB (A) source line total</v>
      </c>
      <c r="B38">
        <v>8240628.545974115</v>
      </c>
    </row>
    <row r="39">
      <c r="A39" t="str">
        <v>Variance</v>
      </c>
      <c r="B39">
        <v>-1012007.0144178718</v>
      </c>
      <c r="C39" t="str">
        <v>✓ OK</v>
      </c>
    </row>
  </sheetData>
  <ignoredErrors>
    <ignoredError numberStoredAsText="1" sqref="A1:L39"/>
  </ignoredErrors>
</worksheet>
</file>

<file path=xl/worksheets/sheet185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(A) V.B.2 Dinding lift Lantai 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Dinding lift Lantai 2</v>
      </c>
    </row>
    <row r="5">
      <c r="A5" t="str">
        <v>Unit</v>
      </c>
      <c r="B5" t="str">
        <v>m3</v>
      </c>
    </row>
    <row r="6">
      <c r="A6" t="str">
        <v>Volume</v>
      </c>
      <c r="B6">
        <v>4.98015</v>
      </c>
    </row>
    <row r="7">
      <c r="A7" t="str">
        <v>Unit cost (Rp/m3)</v>
      </c>
      <c r="B7">
        <v>5829317.555057388</v>
      </c>
    </row>
    <row r="8">
      <c r="A8" t="str">
        <v>Line total at-cost (Rp)</v>
      </c>
      <c r="B8">
        <v>29030875.821819052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1066432.5000000002</v>
      </c>
      <c r="I12">
        <v>1</v>
      </c>
      <c r="J12">
        <v>1066432.5000000002</v>
      </c>
      <c r="K12">
        <v>4.98015</v>
      </c>
      <c r="L12">
        <v>5310993.814875001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1500000</v>
      </c>
      <c r="I14">
        <v>1</v>
      </c>
      <c r="J14">
        <v>1500000</v>
      </c>
      <c r="K14">
        <v>4.98015</v>
      </c>
      <c r="L14">
        <v>7470225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200000</v>
      </c>
      <c r="I16">
        <v>1</v>
      </c>
      <c r="J16">
        <v>200000</v>
      </c>
      <c r="K16">
        <v>4.98015</v>
      </c>
      <c r="L16">
        <v>996030</v>
      </c>
    </row>
    <row r="17">
      <c r="A17">
        <v>4</v>
      </c>
      <c r="B17" t="str">
        <v>BEKISTING (Material) — ratio 13.300804192644799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13.300804192644799</v>
      </c>
      <c r="F18" t="str">
        <v>m2</v>
      </c>
      <c r="G18" t="str">
        <v>per m² of formwork</v>
      </c>
      <c r="H18">
        <v>94565.97222222222</v>
      </c>
      <c r="I18">
        <v>13.300804192644799</v>
      </c>
      <c r="J18">
        <v>1257803.479814865</v>
      </c>
      <c r="K18">
        <v>66.24</v>
      </c>
      <c r="L18">
        <v>6264050</v>
      </c>
    </row>
    <row r="19">
      <c r="A19">
        <v>5</v>
      </c>
      <c r="B19" t="str">
        <v>PEMBESIAN (Material) — ratio 159.99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159.98950367760006</v>
      </c>
      <c r="F20" t="str">
        <v>kg</v>
      </c>
      <c r="G20" t="str">
        <v>per kg finished pembesian (blended: raw besi + decking + bendrat)</v>
      </c>
      <c r="H20">
        <v>11282.5</v>
      </c>
      <c r="I20">
        <v>159.98950367760006</v>
      </c>
      <c r="J20">
        <v>1805081.5752425226</v>
      </c>
      <c r="K20">
        <v>796.77172674</v>
      </c>
      <c r="L20">
        <v>8989577.00694405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5829317.555057388</v>
      </c>
      <c r="J22" t="str">
        <v/>
      </c>
      <c r="K22" t="str">
        <v/>
      </c>
      <c r="L22">
        <v>29030875.821819052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5829317.555057388</v>
      </c>
    </row>
    <row r="26">
      <c r="A26" t="str">
        <v>RAB (A) source unit cost</v>
      </c>
      <c r="B26">
        <v>5829317.555057388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29030875.821819052</v>
      </c>
    </row>
    <row r="30">
      <c r="A30" t="str">
        <v>RAB (A) source line total</v>
      </c>
      <c r="B30">
        <v>33095198.436873715</v>
      </c>
    </row>
    <row r="31">
      <c r="A31" t="str">
        <v>Variance</v>
      </c>
      <c r="B31">
        <v>-4064322.6150546633</v>
      </c>
      <c r="C31" t="str">
        <v>✓ OK</v>
      </c>
    </row>
  </sheetData>
  <ignoredErrors>
    <ignoredError numberStoredAsText="1" sqref="A1:L31"/>
  </ignoredErrors>
</worksheet>
</file>

<file path=xl/worksheets/sheet186.xml><?xml version="1.0" encoding="utf-8"?>
<worksheet xmlns="http://schemas.openxmlformats.org/spreadsheetml/2006/main" xmlns:r="http://schemas.openxmlformats.org/officeDocument/2006/relationships">
  <dimension ref="A1:L33"/>
  <sheetViews>
    <sheetView workbookViewId="0" rightToLeft="0"/>
  </sheetViews>
  <sheetData>
    <row r="1">
      <c r="A1" t="str">
        <v>BREAKDOWN — (A) VI.A.1.1 - Plat lantai - tebal 13 cm, besi D10-200 (2 lapis)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Plat lantai - tebal 13 cm, besi D10-200 (2 lapis)</v>
      </c>
    </row>
    <row r="5">
      <c r="A5" t="str">
        <v>Unit</v>
      </c>
      <c r="B5" t="str">
        <v>m3</v>
      </c>
    </row>
    <row r="6">
      <c r="A6" t="str">
        <v>Volume</v>
      </c>
      <c r="B6">
        <v>24.9366</v>
      </c>
    </row>
    <row r="7">
      <c r="A7" t="str">
        <v>Unit cost (Rp/m3)</v>
      </c>
      <c r="B7">
        <v>4860653.188317803</v>
      </c>
    </row>
    <row r="8">
      <c r="A8" t="str">
        <v>Line total at-cost (Rp)</v>
      </c>
      <c r="B8">
        <v>121208164.29580571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1066432.5000000002</v>
      </c>
      <c r="I12">
        <v>1</v>
      </c>
      <c r="J12">
        <v>1066432.5000000002</v>
      </c>
      <c r="K12">
        <v>24.9366</v>
      </c>
      <c r="L12">
        <v>26593200.679500002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1300000</v>
      </c>
      <c r="I14">
        <v>1</v>
      </c>
      <c r="J14">
        <v>1300000</v>
      </c>
      <c r="K14">
        <v>24.9366</v>
      </c>
      <c r="L14">
        <v>32417579.999999996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75000</v>
      </c>
      <c r="I16">
        <v>1</v>
      </c>
      <c r="J16">
        <v>75000</v>
      </c>
      <c r="K16">
        <v>24.9366</v>
      </c>
      <c r="L16">
        <v>1870245</v>
      </c>
    </row>
    <row r="17">
      <c r="A17">
        <v>4</v>
      </c>
      <c r="B17" t="str">
        <v>BEKISTING (Material) — ratio 8.214933070266195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8.214933070266195</v>
      </c>
      <c r="F18" t="str">
        <v>m2</v>
      </c>
      <c r="G18" t="str">
        <v>per m² of formwork</v>
      </c>
      <c r="H18">
        <v>86302.08333333334</v>
      </c>
      <c r="I18">
        <v>8.214933070266195</v>
      </c>
      <c r="J18">
        <v>708965.8384078691</v>
      </c>
      <c r="K18">
        <v>204.8525</v>
      </c>
      <c r="L18">
        <v>17679197.526041668</v>
      </c>
    </row>
    <row r="19">
      <c r="A19">
        <v>5</v>
      </c>
      <c r="B19" t="str">
        <v>BEKISTING PERALATAN (Material) — Perancah / scaffolding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Bekisting peralatan / Perancah (lump)</v>
      </c>
      <c r="D20" t="str">
        <v>rolled lump — group total only</v>
      </c>
      <c r="E20">
        <v>8.214933070266195</v>
      </c>
      <c r="F20" t="str">
        <v>m2</v>
      </c>
      <c r="G20" t="str">
        <v>per m² of formwork (scaffolding embedded in bekisting block, col H)</v>
      </c>
      <c r="H20">
        <v>35315.0720164609</v>
      </c>
      <c r="I20">
        <v>8.214933070266195</v>
      </c>
      <c r="J20">
        <v>290110.9529868569</v>
      </c>
      <c r="K20">
        <v>204.8525</v>
      </c>
      <c r="L20">
        <v>7234380.790252056</v>
      </c>
    </row>
    <row r="21">
      <c r="A21">
        <v>6</v>
      </c>
      <c r="B21" t="str">
        <v>PEMBESIAN (Material) — ratio 125.87 kg/m³ (rolled)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/>
      </c>
      <c r="C22" t="str">
        <v>Pembesian U24 &amp; U40 (lump — no per-diameter detail)</v>
      </c>
      <c r="D22" t="str">
        <v>rolled lump — group total only</v>
      </c>
      <c r="E22">
        <v>125.87138461538463</v>
      </c>
      <c r="F22" t="str">
        <v>kg</v>
      </c>
      <c r="G22" t="str">
        <v>per kg finished pembesian (blended: raw besi + decking + bendrat)</v>
      </c>
      <c r="H22">
        <v>11282.5</v>
      </c>
      <c r="I22">
        <v>125.87138461538463</v>
      </c>
      <c r="J22">
        <v>1420143.896923077</v>
      </c>
      <c r="K22">
        <v>3138.8043696</v>
      </c>
      <c r="L22">
        <v>35413560.300012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>SUBTOTAL — At-cost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>
        <v>4860653.188317803</v>
      </c>
      <c r="J24" t="str">
        <v/>
      </c>
      <c r="K24" t="str">
        <v/>
      </c>
      <c r="L24">
        <v>121208164.29580571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>RECONCILIATION</v>
      </c>
    </row>
    <row r="27">
      <c r="A27" t="str">
        <v>Computed unit cost</v>
      </c>
      <c r="B27">
        <v>4860653.188317803</v>
      </c>
    </row>
    <row r="28">
      <c r="A28" t="str">
        <v>RAB (A) source unit cost</v>
      </c>
      <c r="B28">
        <v>4860653.188317804</v>
      </c>
    </row>
    <row r="29">
      <c r="A29" t="str">
        <v>Variance</v>
      </c>
      <c r="B29">
        <v>-9.313225746154785e-10</v>
      </c>
      <c r="C29" t="str">
        <v>✓ OK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Computed line total</v>
      </c>
      <c r="B31">
        <v>121208164.29580571</v>
      </c>
    </row>
    <row r="32">
      <c r="A32" t="str">
        <v>RAB (A) source line total</v>
      </c>
      <c r="B32">
        <v>138177307.29721853</v>
      </c>
    </row>
    <row r="33">
      <c r="A33" t="str">
        <v>Variance</v>
      </c>
      <c r="B33">
        <v>-16969143.001412824</v>
      </c>
      <c r="C33" t="str">
        <v>✓ OK</v>
      </c>
    </row>
  </sheetData>
  <ignoredErrors>
    <ignoredError numberStoredAsText="1" sqref="A1:L33"/>
  </ignoredErrors>
</worksheet>
</file>

<file path=xl/worksheets/sheet187.xml><?xml version="1.0" encoding="utf-8"?>
<worksheet xmlns="http://schemas.openxmlformats.org/spreadsheetml/2006/main" xmlns:r="http://schemas.openxmlformats.org/officeDocument/2006/relationships">
  <dimension ref="A1:L33"/>
  <sheetViews>
    <sheetView workbookViewId="0" rightToLeft="0"/>
  </sheetViews>
  <sheetData>
    <row r="1">
      <c r="A1" t="str">
        <v>BREAKDOWN — (A) VI.A.1.2 - Dak atap dan talang beton - tebal 15 cm, besi D10-200 (2 lapis)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Dak atap dan talang beton - tebal 15 cm, besi D10-200 (2 lapis)</v>
      </c>
    </row>
    <row r="5">
      <c r="A5" t="str">
        <v>Unit</v>
      </c>
      <c r="B5" t="str">
        <v>m3</v>
      </c>
    </row>
    <row r="6">
      <c r="A6" t="str">
        <v>Volume</v>
      </c>
      <c r="B6">
        <v>15.978</v>
      </c>
    </row>
    <row r="7">
      <c r="A7" t="str">
        <v>Unit cost (Rp/m3)</v>
      </c>
      <c r="B7">
        <v>4652824.0613500625</v>
      </c>
    </row>
    <row r="8">
      <c r="A8" t="str">
        <v>Line total at-cost (Rp)</v>
      </c>
      <c r="B8">
        <v>74342822.85225129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1066432.5000000002</v>
      </c>
      <c r="I12">
        <v>1</v>
      </c>
      <c r="J12">
        <v>1066432.5000000002</v>
      </c>
      <c r="K12">
        <v>15.978</v>
      </c>
      <c r="L12">
        <v>17039458.485000003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1300000</v>
      </c>
      <c r="I14">
        <v>1</v>
      </c>
      <c r="J14">
        <v>1300000</v>
      </c>
      <c r="K14">
        <v>15.978</v>
      </c>
      <c r="L14">
        <v>20771400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75000</v>
      </c>
      <c r="I16">
        <v>1</v>
      </c>
      <c r="J16">
        <v>75000</v>
      </c>
      <c r="K16">
        <v>15.978</v>
      </c>
      <c r="L16">
        <v>1198350</v>
      </c>
    </row>
    <row r="17">
      <c r="A17">
        <v>4</v>
      </c>
      <c r="B17" t="str">
        <v>BEKISTING (Material) — ratio 8.002002753786456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8.002002753786456</v>
      </c>
      <c r="F18" t="str">
        <v>m2</v>
      </c>
      <c r="G18" t="str">
        <v>per m² of formwork</v>
      </c>
      <c r="H18">
        <v>86302.08333333334</v>
      </c>
      <c r="I18">
        <v>8.002002753786456</v>
      </c>
      <c r="J18">
        <v>690589.5084908416</v>
      </c>
      <c r="K18">
        <v>127.856</v>
      </c>
      <c r="L18">
        <v>11034239.166666666</v>
      </c>
    </row>
    <row r="19">
      <c r="A19">
        <v>5</v>
      </c>
      <c r="B19" t="str">
        <v>BEKISTING PERALATAN (Material) — Perancah / scaffolding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Bekisting peralatan / Perancah (lump)</v>
      </c>
      <c r="D20" t="str">
        <v>rolled lump — group total only</v>
      </c>
      <c r="E20">
        <v>8.002002753786456</v>
      </c>
      <c r="F20" t="str">
        <v>m2</v>
      </c>
      <c r="G20" t="str">
        <v>per m² of formwork (scaffolding embedded in bekisting block, col H)</v>
      </c>
      <c r="H20">
        <v>35315.0720164609</v>
      </c>
      <c r="I20">
        <v>8.002002753786456</v>
      </c>
      <c r="J20">
        <v>282591.30352588714</v>
      </c>
      <c r="K20">
        <v>127.856</v>
      </c>
      <c r="L20">
        <v>4515243.847736625</v>
      </c>
    </row>
    <row r="21">
      <c r="A21">
        <v>6</v>
      </c>
      <c r="B21" t="str">
        <v>PEMBESIAN (Material) — ratio 109.75 kg/m³ (rolled)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/>
      </c>
      <c r="C22" t="str">
        <v>Pembesian U24 &amp; U40 (lump — no per-diameter detail)</v>
      </c>
      <c r="D22" t="str">
        <v>rolled lump — group total only</v>
      </c>
      <c r="E22">
        <v>109.74613333333332</v>
      </c>
      <c r="F22" t="str">
        <v>kg</v>
      </c>
      <c r="G22" t="str">
        <v>per kg finished pembesian (blended: raw besi + decking + bendrat)</v>
      </c>
      <c r="H22">
        <v>11282.5</v>
      </c>
      <c r="I22">
        <v>109.74613333333332</v>
      </c>
      <c r="J22">
        <v>1238210.7493333332</v>
      </c>
      <c r="K22">
        <v>1753.5237183999998</v>
      </c>
      <c r="L22">
        <v>19784131.352847997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>SUBTOTAL — At-cost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>
        <v>4652824.0613500625</v>
      </c>
      <c r="J24" t="str">
        <v/>
      </c>
      <c r="K24" t="str">
        <v/>
      </c>
      <c r="L24">
        <v>74342822.85225129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>RECONCILIATION</v>
      </c>
    </row>
    <row r="27">
      <c r="A27" t="str">
        <v>Computed unit cost</v>
      </c>
      <c r="B27">
        <v>4652824.0613500625</v>
      </c>
    </row>
    <row r="28">
      <c r="A28" t="str">
        <v>RAB (A) source unit cost</v>
      </c>
      <c r="B28">
        <v>4652824.0613500625</v>
      </c>
    </row>
    <row r="29">
      <c r="A29" t="str">
        <v>Variance</v>
      </c>
      <c r="B29">
        <v>0</v>
      </c>
      <c r="C29" t="str">
        <v>✓ OK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Computed line total</v>
      </c>
      <c r="B31">
        <v>74342822.85225129</v>
      </c>
    </row>
    <row r="32">
      <c r="A32" t="str">
        <v>RAB (A) source line total</v>
      </c>
      <c r="B32">
        <v>84750818.05156647</v>
      </c>
    </row>
    <row r="33">
      <c r="A33" t="str">
        <v>Variance</v>
      </c>
      <c r="B33">
        <v>-10407995.199315175</v>
      </c>
      <c r="C33" t="str">
        <v>✓ OK</v>
      </c>
    </row>
  </sheetData>
  <ignoredErrors>
    <ignoredError numberStoredAsText="1" sqref="A1:L33"/>
  </ignoredErrors>
</worksheet>
</file>

<file path=xl/worksheets/sheet188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VI.A.2.1 - Balok B173-1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B173-1</v>
      </c>
    </row>
    <row r="5">
      <c r="A5" t="str">
        <v>Unit</v>
      </c>
      <c r="B5" t="str">
        <v>m3</v>
      </c>
    </row>
    <row r="6">
      <c r="A6" t="str">
        <v>Volume</v>
      </c>
      <c r="B6">
        <v>0.21947</v>
      </c>
    </row>
    <row r="7">
      <c r="A7" t="str">
        <v>Unit cost (Rp/m3)</v>
      </c>
      <c r="B7">
        <v>9719511.300575024</v>
      </c>
    </row>
    <row r="8">
      <c r="A8" t="str">
        <v>Line total at-cost (Rp)</v>
      </c>
      <c r="B8">
        <v>2133141.1451372006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0.2304435</v>
      </c>
      <c r="L12">
        <v>234049.94077500005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0.21947</v>
      </c>
      <c r="L14">
        <v>16460.25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0.21947</v>
      </c>
      <c r="L16">
        <v>384072.5</v>
      </c>
    </row>
    <row r="17">
      <c r="A17">
        <v>4</v>
      </c>
      <c r="B17" t="str">
        <v>BEKISTING BALOK (Material) — ratio 15.870050576388573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7.935025288194287</v>
      </c>
      <c r="J18">
        <v>1587005.0576388573</v>
      </c>
      <c r="K18">
        <v>1.7415</v>
      </c>
      <c r="L18">
        <v>348300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35.70761379687429</v>
      </c>
      <c r="J19">
        <v>1699682.4167312162</v>
      </c>
      <c r="K19">
        <v>7.83675</v>
      </c>
      <c r="L19">
        <v>373029.30000000005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11.90253793229143</v>
      </c>
      <c r="J20">
        <v>566560.8055770721</v>
      </c>
      <c r="K20">
        <v>2.6122500000000004</v>
      </c>
      <c r="L20">
        <v>124343.1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5.951268966145715</v>
      </c>
      <c r="J21">
        <v>77366.4965598943</v>
      </c>
      <c r="K21">
        <v>1.3061250000000002</v>
      </c>
      <c r="L21">
        <v>16979.625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1.9837563220485717</v>
      </c>
      <c r="J22">
        <v>54553.29885633572</v>
      </c>
      <c r="K22">
        <v>0.435375</v>
      </c>
      <c r="L22">
        <v>11972.8125</v>
      </c>
    </row>
    <row r="23">
      <c r="A23">
        <v>5</v>
      </c>
      <c r="B23" t="str">
        <v>BEKISTING BALOK PERALATAN (Material) — Perancah, ratio 15.870050576388573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3.9675126440971433</v>
      </c>
      <c r="J24">
        <v>808428.4583314348</v>
      </c>
      <c r="K24">
        <v>0.87075</v>
      </c>
      <c r="L24">
        <v>177425.79374999998</v>
      </c>
    </row>
    <row r="25">
      <c r="A25">
        <v>6</v>
      </c>
      <c r="B25" t="str">
        <v>PEMBESIAN (Material) — ratio 180.32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D8</v>
      </c>
      <c r="D26" t="str">
        <v>U24/U40 polos</v>
      </c>
      <c r="E26">
        <v>67.83044971977947</v>
      </c>
      <c r="F26" t="str">
        <v>kg</v>
      </c>
      <c r="G26" t="str">
        <v>per m3 beton</v>
      </c>
      <c r="H26">
        <v>10300</v>
      </c>
      <c r="I26">
        <v>67.83044971977947</v>
      </c>
      <c r="J26">
        <v>698653.6321137286</v>
      </c>
      <c r="K26">
        <v>14.8867488</v>
      </c>
      <c r="L26">
        <v>153333.51264</v>
      </c>
    </row>
    <row r="27">
      <c r="A27" t="str">
        <v/>
      </c>
      <c r="B27" t="str">
        <v/>
      </c>
      <c r="C27" t="str">
        <v>Besi beton D13</v>
      </c>
      <c r="D27" t="str">
        <v>U24/U40 polos</v>
      </c>
      <c r="E27">
        <v>112.49148840388207</v>
      </c>
      <c r="F27" t="str">
        <v>kg</v>
      </c>
      <c r="G27" t="str">
        <v>per m3 beton</v>
      </c>
      <c r="H27">
        <v>10300</v>
      </c>
      <c r="I27">
        <v>112.49148840388207</v>
      </c>
      <c r="J27">
        <v>1158662.3305599852</v>
      </c>
      <c r="K27">
        <v>24.688506959999998</v>
      </c>
      <c r="L27">
        <v>254291.62168799996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9.016096906183085</v>
      </c>
      <c r="J28">
        <v>92865.79813368578</v>
      </c>
      <c r="K28">
        <v>1.9787627880000016</v>
      </c>
      <c r="L28">
        <v>20381.256716400017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180.32193812366154</v>
      </c>
      <c r="J29">
        <v>18032.193812366153</v>
      </c>
      <c r="K29">
        <v>39.57525576</v>
      </c>
      <c r="L29">
        <v>3957.5255759999995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3.7867607005968926</v>
      </c>
      <c r="J30">
        <v>66268.31226044561</v>
      </c>
      <c r="K30">
        <v>0.83108037096</v>
      </c>
      <c r="L30">
        <v>14543.906491799999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9719511.300575024</v>
      </c>
      <c r="J32" t="str">
        <v/>
      </c>
      <c r="K32" t="str">
        <v/>
      </c>
      <c r="L32">
        <v>2133141.1451372006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9719511.300575024</v>
      </c>
    </row>
    <row r="36">
      <c r="A36" t="str">
        <v>RAB (A) source unit cost</v>
      </c>
      <c r="B36">
        <v>9719511.300575022</v>
      </c>
    </row>
    <row r="37">
      <c r="A37" t="str">
        <v>Variance</v>
      </c>
      <c r="B37">
        <v>1.862645149230957e-9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2133141.1451372006</v>
      </c>
    </row>
    <row r="40">
      <c r="A40" t="str">
        <v>RAB (A) source line total</v>
      </c>
      <c r="B40">
        <v>2431780.905456408</v>
      </c>
    </row>
    <row r="41">
      <c r="A41" t="str">
        <v>Variance</v>
      </c>
      <c r="B41">
        <v>-298639.76031920733</v>
      </c>
      <c r="C41" t="str">
        <v>✓ OK</v>
      </c>
    </row>
  </sheetData>
  <ignoredErrors>
    <ignoredError numberStoredAsText="1" sqref="A1:L41"/>
  </ignoredErrors>
</worksheet>
</file>

<file path=xl/worksheets/sheet189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VI.A.2.2 - Balok B174-1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B174-1</v>
      </c>
    </row>
    <row r="5">
      <c r="A5" t="str">
        <v>Unit</v>
      </c>
      <c r="B5" t="str">
        <v>m3</v>
      </c>
    </row>
    <row r="6">
      <c r="A6" t="str">
        <v>Volume</v>
      </c>
      <c r="B6">
        <v>0.4897615</v>
      </c>
    </row>
    <row r="7">
      <c r="A7" t="str">
        <v>Unit cost (Rp/m3)</v>
      </c>
      <c r="B7">
        <v>9315208.666699365</v>
      </c>
    </row>
    <row r="8">
      <c r="A8" t="str">
        <v>Line total at-cost (Rp)</v>
      </c>
      <c r="B8">
        <v>4562230.569415681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0.514249575</v>
      </c>
      <c r="L12">
        <v>522297.58084875013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0.4897615</v>
      </c>
      <c r="L14">
        <v>36732.1125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0.4897615</v>
      </c>
      <c r="L16">
        <v>857082.625</v>
      </c>
    </row>
    <row r="17">
      <c r="A17">
        <v>4</v>
      </c>
      <c r="B17" t="str">
        <v>BEKISTING BALOK (Material) — ratio 14.88346879042146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7.44173439521073</v>
      </c>
      <c r="J18">
        <v>1488346.879042146</v>
      </c>
      <c r="K18">
        <v>3.6446750000000003</v>
      </c>
      <c r="L18">
        <v>728935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33.487804778448286</v>
      </c>
      <c r="J19">
        <v>1594019.5074541385</v>
      </c>
      <c r="K19">
        <v>16.4010375</v>
      </c>
      <c r="L19">
        <v>780689.3850000001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11.162601592816095</v>
      </c>
      <c r="J20">
        <v>531339.8358180461</v>
      </c>
      <c r="K20">
        <v>5.4670125</v>
      </c>
      <c r="L20">
        <v>260229.795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5.581300796408048</v>
      </c>
      <c r="J21">
        <v>72556.91035330461</v>
      </c>
      <c r="K21">
        <v>2.73350625</v>
      </c>
      <c r="L21">
        <v>35535.581249999996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1.8604335988026826</v>
      </c>
      <c r="J22">
        <v>51161.92396707377</v>
      </c>
      <c r="K22">
        <v>0.9111687500000001</v>
      </c>
      <c r="L22">
        <v>25057.140625000004</v>
      </c>
    </row>
    <row r="23">
      <c r="A23">
        <v>5</v>
      </c>
      <c r="B23" t="str">
        <v>BEKISTING BALOK PERALATAN (Material) — Perancah, ratio 14.88346879042146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3.720867197605365</v>
      </c>
      <c r="J24">
        <v>758171.4797283605</v>
      </c>
      <c r="K24">
        <v>1.8223375000000002</v>
      </c>
      <c r="L24">
        <v>371323.20116898144</v>
      </c>
    </row>
    <row r="25">
      <c r="A25">
        <v>6</v>
      </c>
      <c r="B25" t="str">
        <v>PEMBESIAN (Material) — ratio 170.90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D10</v>
      </c>
      <c r="D26" t="str">
        <v>U24/U40 polos</v>
      </c>
      <c r="E26">
        <v>89.13392539021545</v>
      </c>
      <c r="F26" t="str">
        <v>kg</v>
      </c>
      <c r="G26" t="str">
        <v>per m3 beton</v>
      </c>
      <c r="H26">
        <v>10300</v>
      </c>
      <c r="I26">
        <v>89.13392539021545</v>
      </c>
      <c r="J26">
        <v>918079.4315192192</v>
      </c>
      <c r="K26">
        <v>43.654365000000006</v>
      </c>
      <c r="L26">
        <v>449639.95950000006</v>
      </c>
    </row>
    <row r="27">
      <c r="A27" t="str">
        <v/>
      </c>
      <c r="B27" t="str">
        <v/>
      </c>
      <c r="C27" t="str">
        <v>Besi beton D13</v>
      </c>
      <c r="D27" t="str">
        <v>U24/U40 polos</v>
      </c>
      <c r="E27">
        <v>81.76610832007006</v>
      </c>
      <c r="F27" t="str">
        <v>kg</v>
      </c>
      <c r="G27" t="str">
        <v>per m3 beton</v>
      </c>
      <c r="H27">
        <v>10300</v>
      </c>
      <c r="I27">
        <v>81.76610832007006</v>
      </c>
      <c r="J27">
        <v>842190.9156967216</v>
      </c>
      <c r="K27">
        <v>40.04589186</v>
      </c>
      <c r="L27">
        <v>412472.68615799997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8.545001685514285</v>
      </c>
      <c r="J28">
        <v>88013.51736079714</v>
      </c>
      <c r="K28">
        <v>4.185012843000004</v>
      </c>
      <c r="L28">
        <v>43105.63228290005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170.90003371028553</v>
      </c>
      <c r="J29">
        <v>17090.003371028553</v>
      </c>
      <c r="K29">
        <v>83.70025686000001</v>
      </c>
      <c r="L29">
        <v>8370.025686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3.5889007079159962</v>
      </c>
      <c r="J30">
        <v>62805.76238852993</v>
      </c>
      <c r="K30">
        <v>1.7577053940600003</v>
      </c>
      <c r="L30">
        <v>30759.844396050004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9315208.666699365</v>
      </c>
      <c r="J32" t="str">
        <v/>
      </c>
      <c r="K32" t="str">
        <v/>
      </c>
      <c r="L32">
        <v>4562230.569415681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9315208.666699365</v>
      </c>
    </row>
    <row r="36">
      <c r="A36" t="str">
        <v>RAB (A) source unit cost</v>
      </c>
      <c r="B36">
        <v>9315208.666699365</v>
      </c>
    </row>
    <row r="37">
      <c r="A37" t="str">
        <v>Variance</v>
      </c>
      <c r="B37">
        <v>0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4562230.569415681</v>
      </c>
    </row>
    <row r="40">
      <c r="A40" t="str">
        <v>RAB (A) source line total</v>
      </c>
      <c r="B40">
        <v>5200942.849133875</v>
      </c>
    </row>
    <row r="41">
      <c r="A41" t="str">
        <v>Variance</v>
      </c>
      <c r="B41">
        <v>-638712.2797181942</v>
      </c>
      <c r="C41" t="str">
        <v>✓ OK</v>
      </c>
    </row>
  </sheetData>
  <ignoredErrors>
    <ignoredError numberStoredAsText="1" sqref="A1:L41"/>
  </ignoredErrors>
</worksheet>
</file>

<file path=xl/worksheets/sheet190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VI.A.2.3 - Balok B175-1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B175-1</v>
      </c>
    </row>
    <row r="5">
      <c r="A5" t="str">
        <v>Unit</v>
      </c>
      <c r="B5" t="str">
        <v>m3</v>
      </c>
    </row>
    <row r="6">
      <c r="A6" t="str">
        <v>Volume</v>
      </c>
      <c r="B6">
        <v>1.5477649999999998</v>
      </c>
    </row>
    <row r="7">
      <c r="A7" t="str">
        <v>Unit cost (Rp/m3)</v>
      </c>
      <c r="B7">
        <v>8994764.193275608</v>
      </c>
    </row>
    <row r="8">
      <c r="A8" t="str">
        <v>Line total at-cost (Rp)</v>
      </c>
      <c r="B8">
        <v>13921781.20160522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1.6251532499999999</v>
      </c>
      <c r="L12">
        <v>1650586.8983625001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1.5477649999999998</v>
      </c>
      <c r="L14">
        <v>116082.37499999999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1.5477649999999998</v>
      </c>
      <c r="L16">
        <v>2708588.7499999995</v>
      </c>
    </row>
    <row r="17">
      <c r="A17">
        <v>4</v>
      </c>
      <c r="B17" t="str">
        <v>BEKISTING BALOK (Material) — ratio 13.944946422745057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6.972473211372528</v>
      </c>
      <c r="J18">
        <v>1394494.6422745057</v>
      </c>
      <c r="K18">
        <v>10.79175</v>
      </c>
      <c r="L18">
        <v>2158350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31.37612945117638</v>
      </c>
      <c r="J19">
        <v>1493503.7618759957</v>
      </c>
      <c r="K19">
        <v>48.562875000000005</v>
      </c>
      <c r="L19">
        <v>2311592.85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10.458709817058793</v>
      </c>
      <c r="J20">
        <v>497834.58729199856</v>
      </c>
      <c r="K20">
        <v>16.187625</v>
      </c>
      <c r="L20">
        <v>770530.9500000001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5.229354908529396</v>
      </c>
      <c r="J21">
        <v>67981.61381088215</v>
      </c>
      <c r="K21">
        <v>8.0938125</v>
      </c>
      <c r="L21">
        <v>105219.5625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1.743118302843132</v>
      </c>
      <c r="J22">
        <v>47935.75332818613</v>
      </c>
      <c r="K22">
        <v>2.6979375</v>
      </c>
      <c r="L22">
        <v>74193.28125</v>
      </c>
    </row>
    <row r="23">
      <c r="A23">
        <v>5</v>
      </c>
      <c r="B23" t="str">
        <v>BEKISTING BALOK PERALATAN (Material) — Perancah, ratio 13.944946422745057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3.486236605686264</v>
      </c>
      <c r="J24">
        <v>710362.6723677188</v>
      </c>
      <c r="K24">
        <v>5.395875</v>
      </c>
      <c r="L24">
        <v>1099474.4815972222</v>
      </c>
    </row>
    <row r="25">
      <c r="A25">
        <v>6</v>
      </c>
      <c r="B25" t="str">
        <v>PEMBESIAN (Material) — ratio 167.62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D10</v>
      </c>
      <c r="D26" t="str">
        <v>U24/U40 polos</v>
      </c>
      <c r="E26">
        <v>109.97512542278704</v>
      </c>
      <c r="F26" t="str">
        <v>kg</v>
      </c>
      <c r="G26" t="str">
        <v>per m3 beton</v>
      </c>
      <c r="H26">
        <v>10300</v>
      </c>
      <c r="I26">
        <v>109.97512542278704</v>
      </c>
      <c r="J26">
        <v>1132743.7918547066</v>
      </c>
      <c r="K26">
        <v>170.21564999999998</v>
      </c>
      <c r="L26">
        <v>1753221.1949999998</v>
      </c>
    </row>
    <row r="27">
      <c r="A27" t="str">
        <v/>
      </c>
      <c r="B27" t="str">
        <v/>
      </c>
      <c r="C27" t="str">
        <v>Besi beton D13</v>
      </c>
      <c r="D27" t="str">
        <v>U24/U40 polos</v>
      </c>
      <c r="E27">
        <v>57.64895278029934</v>
      </c>
      <c r="F27" t="str">
        <v>kg</v>
      </c>
      <c r="G27" t="str">
        <v>per m3 beton</v>
      </c>
      <c r="H27">
        <v>10300</v>
      </c>
      <c r="I27">
        <v>57.64895278029934</v>
      </c>
      <c r="J27">
        <v>593784.2136370832</v>
      </c>
      <c r="K27">
        <v>89.2270314</v>
      </c>
      <c r="L27">
        <v>919038.42342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8.381203910154326</v>
      </c>
      <c r="J28">
        <v>86326.40027458956</v>
      </c>
      <c r="K28">
        <v>12.97213407000001</v>
      </c>
      <c r="L28">
        <v>133612.9809210001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167.62407820308638</v>
      </c>
      <c r="J29">
        <v>16762.40782030864</v>
      </c>
      <c r="K29">
        <v>259.44268139999997</v>
      </c>
      <c r="L29">
        <v>25944.268139999996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3.5201056422648143</v>
      </c>
      <c r="J30">
        <v>61601.848739634246</v>
      </c>
      <c r="K30">
        <v>5.4482963094</v>
      </c>
      <c r="L30">
        <v>95345.1854145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8994764.193275608</v>
      </c>
      <c r="J32" t="str">
        <v/>
      </c>
      <c r="K32" t="str">
        <v/>
      </c>
      <c r="L32">
        <v>13921781.20160522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8994764.193275608</v>
      </c>
    </row>
    <row r="36">
      <c r="A36" t="str">
        <v>RAB (A) source unit cost</v>
      </c>
      <c r="B36">
        <v>8994764.193275608</v>
      </c>
    </row>
    <row r="37">
      <c r="A37" t="str">
        <v>Variance</v>
      </c>
      <c r="B37">
        <v>0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13921781.20160522</v>
      </c>
    </row>
    <row r="40">
      <c r="A40" t="str">
        <v>RAB (A) source line total</v>
      </c>
      <c r="B40">
        <v>15870830.569829948</v>
      </c>
    </row>
    <row r="41">
      <c r="A41" t="str">
        <v>Variance</v>
      </c>
      <c r="B41">
        <v>-1949049.3682247289</v>
      </c>
      <c r="C41" t="str">
        <v>✓ OK</v>
      </c>
    </row>
  </sheetData>
  <ignoredErrors>
    <ignoredError numberStoredAsText="1" sqref="A1:L41"/>
  </ignoredErrors>
</worksheet>
</file>

<file path=xl/worksheets/sheet191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VI.A.2.4 - Balok B175-2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B175-2</v>
      </c>
    </row>
    <row r="5">
      <c r="A5" t="str">
        <v>Unit</v>
      </c>
      <c r="B5" t="str">
        <v>m3</v>
      </c>
    </row>
    <row r="6">
      <c r="A6" t="str">
        <v>Volume</v>
      </c>
      <c r="B6">
        <v>0.3655</v>
      </c>
    </row>
    <row r="7">
      <c r="A7" t="str">
        <v>Unit cost (Rp/m3)</v>
      </c>
      <c r="B7">
        <v>9157450.466540651</v>
      </c>
    </row>
    <row r="8">
      <c r="A8" t="str">
        <v>Line total at-cost (Rp)</v>
      </c>
      <c r="B8">
        <v>3347048.145520608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0.38377500000000003</v>
      </c>
      <c r="L12">
        <v>389781.0787500001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0.3655</v>
      </c>
      <c r="L14">
        <v>27412.5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0.3655</v>
      </c>
      <c r="L16">
        <v>639625</v>
      </c>
    </row>
    <row r="17">
      <c r="A17">
        <v>4</v>
      </c>
      <c r="B17" t="str">
        <v>BEKISTING BALOK (Material) — ratio 13.76470588235294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6.88235294117647</v>
      </c>
      <c r="J18">
        <v>1376470.588235294</v>
      </c>
      <c r="K18">
        <v>2.5155</v>
      </c>
      <c r="L18">
        <v>503099.99999999994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30.970588235294116</v>
      </c>
      <c r="J19">
        <v>1474200</v>
      </c>
      <c r="K19">
        <v>11.319749999999999</v>
      </c>
      <c r="L19">
        <v>538820.1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10.323529411764705</v>
      </c>
      <c r="J20">
        <v>491399.99999999994</v>
      </c>
      <c r="K20">
        <v>3.7732499999999995</v>
      </c>
      <c r="L20">
        <v>179606.69999999998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5.161764705882352</v>
      </c>
      <c r="J21">
        <v>67102.94117647059</v>
      </c>
      <c r="K21">
        <v>1.8866249999999998</v>
      </c>
      <c r="L21">
        <v>24526.125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1.7205882352941175</v>
      </c>
      <c r="J22">
        <v>47316.17647058823</v>
      </c>
      <c r="K22">
        <v>0.628875</v>
      </c>
      <c r="L22">
        <v>17294.062499999996</v>
      </c>
    </row>
    <row r="23">
      <c r="A23">
        <v>5</v>
      </c>
      <c r="B23" t="str">
        <v>BEKISTING BALOK PERALATAN (Material) — Perancah, ratio 13.76470588235294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3.441176470588235</v>
      </c>
      <c r="J24">
        <v>701181.1274509802</v>
      </c>
      <c r="K24">
        <v>1.25775</v>
      </c>
      <c r="L24">
        <v>256281.70208333328</v>
      </c>
    </row>
    <row r="25">
      <c r="A25">
        <v>6</v>
      </c>
      <c r="B25" t="str">
        <v>PEMBESIAN (Material) — ratio 186.87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D10</v>
      </c>
      <c r="D26" t="str">
        <v>U24/U40 polos</v>
      </c>
      <c r="E26">
        <v>92.28102599179208</v>
      </c>
      <c r="F26" t="str">
        <v>kg</v>
      </c>
      <c r="G26" t="str">
        <v>per m3 beton</v>
      </c>
      <c r="H26">
        <v>10300</v>
      </c>
      <c r="I26">
        <v>92.28102599179208</v>
      </c>
      <c r="J26">
        <v>950494.5677154585</v>
      </c>
      <c r="K26">
        <v>33.728715</v>
      </c>
      <c r="L26">
        <v>347405.76450000005</v>
      </c>
    </row>
    <row r="27">
      <c r="A27" t="str">
        <v/>
      </c>
      <c r="B27" t="str">
        <v/>
      </c>
      <c r="C27" t="str">
        <v>Besi beton D13</v>
      </c>
      <c r="D27" t="str">
        <v>U24/U40 polos</v>
      </c>
      <c r="E27">
        <v>94.58776489740082</v>
      </c>
      <c r="F27" t="str">
        <v>kg</v>
      </c>
      <c r="G27" t="str">
        <v>per m3 beton</v>
      </c>
      <c r="H27">
        <v>10300</v>
      </c>
      <c r="I27">
        <v>94.58776489740082</v>
      </c>
      <c r="J27">
        <v>974253.9784432284</v>
      </c>
      <c r="K27">
        <v>34.571828069999995</v>
      </c>
      <c r="L27">
        <v>356089.82912099996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9.343439544459653</v>
      </c>
      <c r="J28">
        <v>96237.42730793443</v>
      </c>
      <c r="K28">
        <v>3.4150271535000027</v>
      </c>
      <c r="L28">
        <v>35174.77968105003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186.8687908891929</v>
      </c>
      <c r="J29">
        <v>18686.87908891929</v>
      </c>
      <c r="K29">
        <v>68.30054307</v>
      </c>
      <c r="L29">
        <v>6830.054307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3.924244608673051</v>
      </c>
      <c r="J30">
        <v>68674.28065177839</v>
      </c>
      <c r="K30">
        <v>1.43431140447</v>
      </c>
      <c r="L30">
        <v>25100.449578225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9157450.466540651</v>
      </c>
      <c r="J32" t="str">
        <v/>
      </c>
      <c r="K32" t="str">
        <v/>
      </c>
      <c r="L32">
        <v>3347048.145520608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9157450.466540651</v>
      </c>
    </row>
    <row r="36">
      <c r="A36" t="str">
        <v>RAB (A) source unit cost</v>
      </c>
      <c r="B36">
        <v>9157450.466540651</v>
      </c>
    </row>
    <row r="37">
      <c r="A37" t="str">
        <v>Variance</v>
      </c>
      <c r="B37">
        <v>0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3347048.145520608</v>
      </c>
    </row>
    <row r="40">
      <c r="A40" t="str">
        <v>RAB (A) source line total</v>
      </c>
      <c r="B40">
        <v>3815634.8858934925</v>
      </c>
    </row>
    <row r="41">
      <c r="A41" t="str">
        <v>Variance</v>
      </c>
      <c r="B41">
        <v>-468586.74037288455</v>
      </c>
      <c r="C41" t="str">
        <v>✓ OK</v>
      </c>
    </row>
  </sheetData>
  <ignoredErrors>
    <ignoredError numberStoredAsText="1" sqref="A1:L41"/>
  </ignoredErrors>
</worksheet>
</file>

<file path=xl/worksheets/sheet192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VI.A.2.5 - Balok B23-1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B23-1</v>
      </c>
    </row>
    <row r="5">
      <c r="A5" t="str">
        <v>Unit</v>
      </c>
      <c r="B5" t="str">
        <v>m3</v>
      </c>
    </row>
    <row r="6">
      <c r="A6" t="str">
        <v>Volume</v>
      </c>
      <c r="B6">
        <v>0.06</v>
      </c>
    </row>
    <row r="7">
      <c r="A7" t="str">
        <v>Unit cost (Rp/m3)</v>
      </c>
      <c r="B7">
        <v>10907532.024647655</v>
      </c>
    </row>
    <row r="8">
      <c r="A8" t="str">
        <v>Line total at-cost (Rp)</v>
      </c>
      <c r="B8">
        <v>654451.9214788593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0.063</v>
      </c>
      <c r="L12">
        <v>63985.95000000001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0.06</v>
      </c>
      <c r="L14">
        <v>4500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0.06</v>
      </c>
      <c r="L16">
        <v>105000</v>
      </c>
    </row>
    <row r="17">
      <c r="A17">
        <v>4</v>
      </c>
      <c r="B17" t="str">
        <v>BEKISTING BALOK (Material) — ratio 16.666666666666668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8.333333333333334</v>
      </c>
      <c r="J18">
        <v>1666666.6666666667</v>
      </c>
      <c r="K18">
        <v>0.5</v>
      </c>
      <c r="L18">
        <v>100000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37.5</v>
      </c>
      <c r="J19">
        <v>1785000</v>
      </c>
      <c r="K19">
        <v>2.25</v>
      </c>
      <c r="L19">
        <v>107100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12.5</v>
      </c>
      <c r="J20">
        <v>595000</v>
      </c>
      <c r="K20">
        <v>0.75</v>
      </c>
      <c r="L20">
        <v>35700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6.25</v>
      </c>
      <c r="J21">
        <v>81250</v>
      </c>
      <c r="K21">
        <v>0.375</v>
      </c>
      <c r="L21">
        <v>4875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2.0833333333333335</v>
      </c>
      <c r="J22">
        <v>57291.66666666667</v>
      </c>
      <c r="K22">
        <v>0.125</v>
      </c>
      <c r="L22">
        <v>3437.5</v>
      </c>
    </row>
    <row r="23">
      <c r="A23">
        <v>5</v>
      </c>
      <c r="B23" t="str">
        <v>BEKISTING BALOK PERALATAN (Material) — Perancah, ratio 16.666666666666668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4.166666666666667</v>
      </c>
      <c r="J24">
        <v>849008.487654321</v>
      </c>
      <c r="K24">
        <v>0.25</v>
      </c>
      <c r="L24">
        <v>50940.509259259255</v>
      </c>
    </row>
    <row r="25">
      <c r="A25">
        <v>6</v>
      </c>
      <c r="B25" t="str">
        <v>PEMBESIAN (Material) — ratio 264.29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D8</v>
      </c>
      <c r="D26" t="str">
        <v>U24/U40 polos</v>
      </c>
      <c r="E26">
        <v>103.70352000000001</v>
      </c>
      <c r="F26" t="str">
        <v>kg</v>
      </c>
      <c r="G26" t="str">
        <v>per m3 beton</v>
      </c>
      <c r="H26">
        <v>10300</v>
      </c>
      <c r="I26">
        <v>103.70352000000001</v>
      </c>
      <c r="J26">
        <v>1068146.256</v>
      </c>
      <c r="K26">
        <v>6.2222112</v>
      </c>
      <c r="L26">
        <v>64088.77536</v>
      </c>
    </row>
    <row r="27">
      <c r="A27" t="str">
        <v/>
      </c>
      <c r="B27" t="str">
        <v/>
      </c>
      <c r="C27" t="str">
        <v>Besi beton D13</v>
      </c>
      <c r="D27" t="str">
        <v>U24/U40 polos</v>
      </c>
      <c r="E27">
        <v>160.589208</v>
      </c>
      <c r="F27" t="str">
        <v>kg</v>
      </c>
      <c r="G27" t="str">
        <v>per m3 beton</v>
      </c>
      <c r="H27">
        <v>10300</v>
      </c>
      <c r="I27">
        <v>160.589208</v>
      </c>
      <c r="J27">
        <v>1654068.8424000002</v>
      </c>
      <c r="K27">
        <v>9.63535248</v>
      </c>
      <c r="L27">
        <v>99244.13054400001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13.214636400000012</v>
      </c>
      <c r="J28">
        <v>136110.75492000012</v>
      </c>
      <c r="K28">
        <v>0.7928781840000007</v>
      </c>
      <c r="L28">
        <v>8166.645295200007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264.292728</v>
      </c>
      <c r="J29">
        <v>26429.272800000002</v>
      </c>
      <c r="K29">
        <v>15.85756368</v>
      </c>
      <c r="L29">
        <v>1585.756368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5.550147288000001</v>
      </c>
      <c r="J30">
        <v>97127.57754000001</v>
      </c>
      <c r="K30">
        <v>0.33300883728</v>
      </c>
      <c r="L30">
        <v>5827.6546524000005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10907532.024647655</v>
      </c>
      <c r="J32" t="str">
        <v/>
      </c>
      <c r="K32" t="str">
        <v/>
      </c>
      <c r="L32">
        <v>654451.9214788593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10907532.024647655</v>
      </c>
    </row>
    <row r="36">
      <c r="A36" t="str">
        <v>RAB (A) source unit cost</v>
      </c>
      <c r="B36">
        <v>10907532.024647655</v>
      </c>
    </row>
    <row r="37">
      <c r="A37" t="str">
        <v>Variance</v>
      </c>
      <c r="B37">
        <v>0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654451.9214788593</v>
      </c>
    </row>
    <row r="40">
      <c r="A40" t="str">
        <v>RAB (A) source line total</v>
      </c>
      <c r="B40">
        <v>746075.1904858995</v>
      </c>
    </row>
    <row r="41">
      <c r="A41" t="str">
        <v>Variance</v>
      </c>
      <c r="B41">
        <v>-91623.26900704019</v>
      </c>
      <c r="C41" t="str">
        <v>✓ OK</v>
      </c>
    </row>
  </sheetData>
  <ignoredErrors>
    <ignoredError numberStoredAsText="1" sqref="A1:L41"/>
  </ignoredErrors>
</worksheet>
</file>

<file path=xl/worksheets/sheet193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VI.A.2.6 - Balok B23-2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B23-2</v>
      </c>
    </row>
    <row r="5">
      <c r="A5" t="str">
        <v>Unit</v>
      </c>
      <c r="B5" t="str">
        <v>m3</v>
      </c>
    </row>
    <row r="6">
      <c r="A6" t="str">
        <v>Volume</v>
      </c>
      <c r="B6">
        <v>0.1122</v>
      </c>
    </row>
    <row r="7">
      <c r="A7" t="str">
        <v>Unit cost (Rp/m3)</v>
      </c>
      <c r="B7">
        <v>10650274.620529411</v>
      </c>
    </row>
    <row r="8">
      <c r="A8" t="str">
        <v>Line total at-cost (Rp)</v>
      </c>
      <c r="B8">
        <v>1194960.8124233999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0.11781</v>
      </c>
      <c r="L12">
        <v>119653.72650000002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0.1122</v>
      </c>
      <c r="L14">
        <v>8415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0.1122</v>
      </c>
      <c r="L16">
        <v>196350</v>
      </c>
    </row>
    <row r="17">
      <c r="A17">
        <v>4</v>
      </c>
      <c r="B17" t="str">
        <v>BEKISTING BALOK (Material) — ratio 15.882352941176471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7.9411764705882355</v>
      </c>
      <c r="J18">
        <v>1588235.294117647</v>
      </c>
      <c r="K18">
        <v>0.891</v>
      </c>
      <c r="L18">
        <v>178199.99999999997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35.73529411764706</v>
      </c>
      <c r="J19">
        <v>1701000</v>
      </c>
      <c r="K19">
        <v>4.0095</v>
      </c>
      <c r="L19">
        <v>190852.19999999998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11.911764705882353</v>
      </c>
      <c r="J20">
        <v>567000</v>
      </c>
      <c r="K20">
        <v>1.3365</v>
      </c>
      <c r="L20">
        <v>63617.399999999994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5.955882352941177</v>
      </c>
      <c r="J21">
        <v>77426.4705882353</v>
      </c>
      <c r="K21">
        <v>0.66825</v>
      </c>
      <c r="L21">
        <v>8687.25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1.9852941176470589</v>
      </c>
      <c r="J22">
        <v>54595.58823529412</v>
      </c>
      <c r="K22">
        <v>0.22275</v>
      </c>
      <c r="L22">
        <v>6125.625</v>
      </c>
    </row>
    <row r="23">
      <c r="A23">
        <v>5</v>
      </c>
      <c r="B23" t="str">
        <v>BEKISTING BALOK PERALATAN (Material) — Perancah, ratio 15.882352941176471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3.9705882352941178</v>
      </c>
      <c r="J24">
        <v>809055.1470588235</v>
      </c>
      <c r="K24">
        <v>0.4455</v>
      </c>
      <c r="L24">
        <v>90775.98749999999</v>
      </c>
    </row>
    <row r="25">
      <c r="A25">
        <v>6</v>
      </c>
      <c r="B25" t="str">
        <v>PEMBESIAN (Material) — ratio 262.49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D8</v>
      </c>
      <c r="D26" t="str">
        <v>U24/U40 polos</v>
      </c>
      <c r="E26">
        <v>84.64402139037435</v>
      </c>
      <c r="F26" t="str">
        <v>kg</v>
      </c>
      <c r="G26" t="str">
        <v>per m3 beton</v>
      </c>
      <c r="H26">
        <v>10300</v>
      </c>
      <c r="I26">
        <v>84.64402139037435</v>
      </c>
      <c r="J26">
        <v>871833.4203208558</v>
      </c>
      <c r="K26">
        <v>9.4970592</v>
      </c>
      <c r="L26">
        <v>97819.70976000001</v>
      </c>
    </row>
    <row r="27">
      <c r="A27" t="str">
        <v/>
      </c>
      <c r="B27" t="str">
        <v/>
      </c>
      <c r="C27" t="str">
        <v>Besi beton D13</v>
      </c>
      <c r="D27" t="str">
        <v>U24/U40 polos</v>
      </c>
      <c r="E27">
        <v>177.84475508021387</v>
      </c>
      <c r="F27" t="str">
        <v>kg</v>
      </c>
      <c r="G27" t="str">
        <v>per m3 beton</v>
      </c>
      <c r="H27">
        <v>10300</v>
      </c>
      <c r="I27">
        <v>177.84475508021387</v>
      </c>
      <c r="J27">
        <v>1831800.977326203</v>
      </c>
      <c r="K27">
        <v>19.954181519999995</v>
      </c>
      <c r="L27">
        <v>205528.06965599995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13.124438823529422</v>
      </c>
      <c r="J28">
        <v>135181.71988235303</v>
      </c>
      <c r="K28">
        <v>1.4725620360000011</v>
      </c>
      <c r="L28">
        <v>15167.38897080001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262.4887764705882</v>
      </c>
      <c r="J29">
        <v>26248.877647058824</v>
      </c>
      <c r="K29">
        <v>29.451240719999998</v>
      </c>
      <c r="L29">
        <v>2945.124072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5.512264305882353</v>
      </c>
      <c r="J30">
        <v>96464.62535294118</v>
      </c>
      <c r="K30">
        <v>0.61847605512</v>
      </c>
      <c r="L30">
        <v>10823.3309646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10650274.620529411</v>
      </c>
      <c r="J32" t="str">
        <v/>
      </c>
      <c r="K32" t="str">
        <v/>
      </c>
      <c r="L32">
        <v>1194960.8124233999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10650274.620529411</v>
      </c>
    </row>
    <row r="36">
      <c r="A36" t="str">
        <v>RAB (A) source unit cost</v>
      </c>
      <c r="B36">
        <v>10650274.620529413</v>
      </c>
    </row>
    <row r="37">
      <c r="A37" t="str">
        <v>Variance</v>
      </c>
      <c r="B37">
        <v>-1.862645149230957e-9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1194960.8124233999</v>
      </c>
    </row>
    <row r="40">
      <c r="A40" t="str">
        <v>RAB (A) source line total</v>
      </c>
      <c r="B40">
        <v>1362255.326162676</v>
      </c>
    </row>
    <row r="41">
      <c r="A41" t="str">
        <v>Variance</v>
      </c>
      <c r="B41">
        <v>-167294.5137392762</v>
      </c>
      <c r="C41" t="str">
        <v>✓ OK</v>
      </c>
    </row>
  </sheetData>
  <ignoredErrors>
    <ignoredError numberStoredAsText="1" sqref="A1:L41"/>
  </ignoredErrors>
</worksheet>
</file>

<file path=xl/worksheets/sheet194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VI.A.2.7 - Balok B24-1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B24-1</v>
      </c>
    </row>
    <row r="5">
      <c r="A5" t="str">
        <v>Unit</v>
      </c>
      <c r="B5" t="str">
        <v>m3</v>
      </c>
    </row>
    <row r="6">
      <c r="A6" t="str">
        <v>Volume</v>
      </c>
      <c r="B6">
        <v>0.59519</v>
      </c>
    </row>
    <row r="7">
      <c r="A7" t="str">
        <v>Unit cost (Rp/m3)</v>
      </c>
      <c r="B7">
        <v>8408213.228113124</v>
      </c>
    </row>
    <row r="8">
      <c r="A8" t="str">
        <v>Line total at-cost (Rp)</v>
      </c>
      <c r="B8">
        <v>5004484.43124065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0.6249495</v>
      </c>
      <c r="L12">
        <v>634729.9596750002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0.59519</v>
      </c>
      <c r="L14">
        <v>44639.25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0.59519</v>
      </c>
      <c r="L16">
        <v>1041582.5</v>
      </c>
    </row>
    <row r="17">
      <c r="A17">
        <v>4</v>
      </c>
      <c r="B17" t="str">
        <v>BEKISTING BALOK (Material) — ratio 13.187217527176196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6.593608763588098</v>
      </c>
      <c r="J18">
        <v>1318721.7527176195</v>
      </c>
      <c r="K18">
        <v>3.92445</v>
      </c>
      <c r="L18">
        <v>784890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29.671239436146443</v>
      </c>
      <c r="J19">
        <v>1412350.9971605707</v>
      </c>
      <c r="K19">
        <v>17.660025</v>
      </c>
      <c r="L19">
        <v>840617.1900000001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9.890413145382148</v>
      </c>
      <c r="J20">
        <v>470783.6657201902</v>
      </c>
      <c r="K20">
        <v>5.886675</v>
      </c>
      <c r="L20">
        <v>280205.73000000004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4.945206572691074</v>
      </c>
      <c r="J21">
        <v>64287.68544498396</v>
      </c>
      <c r="K21">
        <v>2.9433375</v>
      </c>
      <c r="L21">
        <v>38263.387500000004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1.6484021908970246</v>
      </c>
      <c r="J22">
        <v>45331.060249668175</v>
      </c>
      <c r="K22">
        <v>0.9811125</v>
      </c>
      <c r="L22">
        <v>26980.59375</v>
      </c>
    </row>
    <row r="23">
      <c r="A23">
        <v>5</v>
      </c>
      <c r="B23" t="str">
        <v>BEKISTING BALOK PERALATAN (Material) — Perancah, ratio 13.187217527176196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3.296804381794049</v>
      </c>
      <c r="J24">
        <v>671763.576546985</v>
      </c>
      <c r="K24">
        <v>1.962225</v>
      </c>
      <c r="L24">
        <v>399826.96312499995</v>
      </c>
    </row>
    <row r="25">
      <c r="A25">
        <v>6</v>
      </c>
      <c r="B25" t="str">
        <v>PEMBESIAN (Material) — ratio 135.92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D8</v>
      </c>
      <c r="D26" t="str">
        <v>U24/U40 polos</v>
      </c>
      <c r="E26">
        <v>60.76935970026379</v>
      </c>
      <c r="F26" t="str">
        <v>kg</v>
      </c>
      <c r="G26" t="str">
        <v>per m3 beton</v>
      </c>
      <c r="H26">
        <v>10300</v>
      </c>
      <c r="I26">
        <v>60.76935970026379</v>
      </c>
      <c r="J26">
        <v>625924.4049127171</v>
      </c>
      <c r="K26">
        <v>36.16931520000001</v>
      </c>
      <c r="L26">
        <v>372543.94656000007</v>
      </c>
    </row>
    <row r="27">
      <c r="A27" t="str">
        <v/>
      </c>
      <c r="B27" t="str">
        <v/>
      </c>
      <c r="C27" t="str">
        <v>Besi beton D13</v>
      </c>
      <c r="D27" t="str">
        <v>U24/U40 polos</v>
      </c>
      <c r="E27">
        <v>75.15281980544027</v>
      </c>
      <c r="F27" t="str">
        <v>kg</v>
      </c>
      <c r="G27" t="str">
        <v>per m3 beton</v>
      </c>
      <c r="H27">
        <v>10300</v>
      </c>
      <c r="I27">
        <v>75.15281980544027</v>
      </c>
      <c r="J27">
        <v>774074.0439960348</v>
      </c>
      <c r="K27">
        <v>44.73020682</v>
      </c>
      <c r="L27">
        <v>460721.13024599996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6.796108975285209</v>
      </c>
      <c r="J28">
        <v>69999.92244543765</v>
      </c>
      <c r="K28">
        <v>4.044976101000004</v>
      </c>
      <c r="L28">
        <v>41663.253840300036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135.92217950570407</v>
      </c>
      <c r="J29">
        <v>13592.217950570406</v>
      </c>
      <c r="K29">
        <v>80.89952202</v>
      </c>
      <c r="L29">
        <v>8089.952202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2.8543657696197857</v>
      </c>
      <c r="J30">
        <v>49951.40096834625</v>
      </c>
      <c r="K30">
        <v>1.6988899624200002</v>
      </c>
      <c r="L30">
        <v>29730.574342350006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8408213.228113124</v>
      </c>
      <c r="J32" t="str">
        <v/>
      </c>
      <c r="K32" t="str">
        <v/>
      </c>
      <c r="L32">
        <v>5004484.43124065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8408213.228113124</v>
      </c>
    </row>
    <row r="36">
      <c r="A36" t="str">
        <v>RAB (A) source unit cost</v>
      </c>
      <c r="B36">
        <v>8408213.228113124</v>
      </c>
    </row>
    <row r="37">
      <c r="A37" t="str">
        <v>Variance</v>
      </c>
      <c r="B37">
        <v>0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5004484.43124065</v>
      </c>
    </row>
    <row r="40">
      <c r="A40" t="str">
        <v>RAB (A) source line total</v>
      </c>
      <c r="B40">
        <v>5705112.2516143415</v>
      </c>
    </row>
    <row r="41">
      <c r="A41" t="str">
        <v>Variance</v>
      </c>
      <c r="B41">
        <v>-700627.8203736916</v>
      </c>
      <c r="C41" t="str">
        <v>✓ OK</v>
      </c>
    </row>
  </sheetData>
  <ignoredErrors>
    <ignoredError numberStoredAsText="1" sqref="A1:L41"/>
  </ignoredErrors>
</worksheet>
</file>

<file path=xl/worksheets/sheet195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VI.A.2.8 - Balok B24-3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B24-3</v>
      </c>
    </row>
    <row r="5">
      <c r="A5" t="str">
        <v>Unit</v>
      </c>
      <c r="B5" t="str">
        <v>m3</v>
      </c>
    </row>
    <row r="6">
      <c r="A6" t="str">
        <v>Volume</v>
      </c>
      <c r="B6">
        <v>0.32</v>
      </c>
    </row>
    <row r="7">
      <c r="A7" t="str">
        <v>Unit cost (Rp/m3)</v>
      </c>
      <c r="B7">
        <v>10504587.246211505</v>
      </c>
    </row>
    <row r="8">
      <c r="A8" t="str">
        <v>Line total at-cost (Rp)</v>
      </c>
      <c r="B8">
        <v>3361467.9187876815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0.336</v>
      </c>
      <c r="L12">
        <v>341258.4000000001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0.32</v>
      </c>
      <c r="L14">
        <v>24000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0.32</v>
      </c>
      <c r="L16">
        <v>560000</v>
      </c>
    </row>
    <row r="17">
      <c r="A17">
        <v>4</v>
      </c>
      <c r="B17" t="str">
        <v>BEKISTING BALOK (Material) — ratio 14.000000000000002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7.000000000000001</v>
      </c>
      <c r="J18">
        <v>1400000.0000000002</v>
      </c>
      <c r="K18">
        <v>2.24</v>
      </c>
      <c r="L18">
        <v>448000.00000000006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31.500000000000004</v>
      </c>
      <c r="J19">
        <v>1499400.0000000002</v>
      </c>
      <c r="K19">
        <v>10.080000000000002</v>
      </c>
      <c r="L19">
        <v>479808.00000000006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10.500000000000002</v>
      </c>
      <c r="J20">
        <v>499800.00000000006</v>
      </c>
      <c r="K20">
        <v>3.3600000000000008</v>
      </c>
      <c r="L20">
        <v>159936.00000000003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5.250000000000001</v>
      </c>
      <c r="J21">
        <v>68250.00000000001</v>
      </c>
      <c r="K21">
        <v>1.6800000000000004</v>
      </c>
      <c r="L21">
        <v>21840.000000000004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1.7500000000000002</v>
      </c>
      <c r="J22">
        <v>48125.00000000001</v>
      </c>
      <c r="K22">
        <v>0.56</v>
      </c>
      <c r="L22">
        <v>15400.000000000002</v>
      </c>
    </row>
    <row r="23">
      <c r="A23">
        <v>5</v>
      </c>
      <c r="B23" t="str">
        <v>BEKISTING BALOK PERALATAN (Material) — Perancah, ratio 14.000000000000002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3.5000000000000004</v>
      </c>
      <c r="J24">
        <v>713167.1296296297</v>
      </c>
      <c r="K24">
        <v>1.12</v>
      </c>
      <c r="L24">
        <v>228213.4814814815</v>
      </c>
    </row>
    <row r="25">
      <c r="A25">
        <v>6</v>
      </c>
      <c r="B25" t="str">
        <v>PEMBESIAN (Material) — ratio 299.97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D10</v>
      </c>
      <c r="D26" t="str">
        <v>U24/U40 polos</v>
      </c>
      <c r="E26">
        <v>99.21796875000001</v>
      </c>
      <c r="F26" t="str">
        <v>kg</v>
      </c>
      <c r="G26" t="str">
        <v>per m3 beton</v>
      </c>
      <c r="H26">
        <v>10300</v>
      </c>
      <c r="I26">
        <v>99.21796875000001</v>
      </c>
      <c r="J26">
        <v>1021945.0781250001</v>
      </c>
      <c r="K26">
        <v>31.749750000000006</v>
      </c>
      <c r="L26">
        <v>327022.42500000005</v>
      </c>
    </row>
    <row r="27">
      <c r="A27" t="str">
        <v/>
      </c>
      <c r="B27" t="str">
        <v/>
      </c>
      <c r="C27" t="str">
        <v>Besi beton D16</v>
      </c>
      <c r="D27" t="str">
        <v>U24/U40 polos</v>
      </c>
      <c r="E27">
        <v>200.75212800000003</v>
      </c>
      <c r="F27" t="str">
        <v>kg</v>
      </c>
      <c r="G27" t="str">
        <v>per m3 beton</v>
      </c>
      <c r="H27">
        <v>10300</v>
      </c>
      <c r="I27">
        <v>200.75212800000003</v>
      </c>
      <c r="J27">
        <v>2067746.9184000003</v>
      </c>
      <c r="K27">
        <v>64.24068096</v>
      </c>
      <c r="L27">
        <v>661679.0138880002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14.998504837500015</v>
      </c>
      <c r="J28">
        <v>154484.59982625014</v>
      </c>
      <c r="K28">
        <v>4.799521548000005</v>
      </c>
      <c r="L28">
        <v>49435.07194440004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299.97009675000004</v>
      </c>
      <c r="J29">
        <v>29997.009675000005</v>
      </c>
      <c r="K29">
        <v>95.99043096000001</v>
      </c>
      <c r="L29">
        <v>9599.043096000001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6.299372031750001</v>
      </c>
      <c r="J30">
        <v>110239.01055562502</v>
      </c>
      <c r="K30">
        <v>2.0157990501600005</v>
      </c>
      <c r="L30">
        <v>35276.48337780001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10504587.246211505</v>
      </c>
      <c r="J32" t="str">
        <v/>
      </c>
      <c r="K32" t="str">
        <v/>
      </c>
      <c r="L32">
        <v>3361467.9187876815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10504587.246211505</v>
      </c>
    </row>
    <row r="36">
      <c r="A36" t="str">
        <v>RAB (A) source unit cost</v>
      </c>
      <c r="B36">
        <v>10504587.246211506</v>
      </c>
    </row>
    <row r="37">
      <c r="A37" t="str">
        <v>Variance</v>
      </c>
      <c r="B37">
        <v>-1.862645149230957e-9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3361467.9187876815</v>
      </c>
    </row>
    <row r="40">
      <c r="A40" t="str">
        <v>RAB (A) source line total</v>
      </c>
      <c r="B40">
        <v>3832073.427417957</v>
      </c>
    </row>
    <row r="41">
      <c r="A41" t="str">
        <v>Variance</v>
      </c>
      <c r="B41">
        <v>-470605.5086302757</v>
      </c>
      <c r="C41" t="str">
        <v>✓ OK</v>
      </c>
    </row>
  </sheetData>
  <ignoredErrors>
    <ignoredError numberStoredAsText="1" sqref="A1:L41"/>
  </ignoredErrors>
</worksheet>
</file>

<file path=xl/worksheets/sheet196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VI.A.2.9 - Balok B24-4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B24-4</v>
      </c>
    </row>
    <row r="5">
      <c r="A5" t="str">
        <v>Unit</v>
      </c>
      <c r="B5" t="str">
        <v>m3</v>
      </c>
    </row>
    <row r="6">
      <c r="A6" t="str">
        <v>Volume</v>
      </c>
      <c r="B6">
        <v>0.43500000000000005</v>
      </c>
    </row>
    <row r="7">
      <c r="A7" t="str">
        <v>Unit cost (Rp/m3)</v>
      </c>
      <c r="B7">
        <v>10530957.157386871</v>
      </c>
    </row>
    <row r="8">
      <c r="A8" t="str">
        <v>Line total at-cost (Rp)</v>
      </c>
      <c r="B8">
        <v>4580966.363463289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0.4567500000000001</v>
      </c>
      <c r="L12">
        <v>463898.1375000002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0.43500000000000005</v>
      </c>
      <c r="L14">
        <v>32625.000000000004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0.43500000000000005</v>
      </c>
      <c r="L16">
        <v>761250.0000000001</v>
      </c>
    </row>
    <row r="17">
      <c r="A17">
        <v>4</v>
      </c>
      <c r="B17" t="str">
        <v>BEKISTING BALOK (Material) — ratio 13.999999999999998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6.999999999999999</v>
      </c>
      <c r="J18">
        <v>1399999.9999999998</v>
      </c>
      <c r="K18">
        <v>3.045</v>
      </c>
      <c r="L18">
        <v>609000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31.499999999999996</v>
      </c>
      <c r="J19">
        <v>1499399.9999999998</v>
      </c>
      <c r="K19">
        <v>13.7025</v>
      </c>
      <c r="L19">
        <v>652239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10.499999999999998</v>
      </c>
      <c r="J20">
        <v>499799.99999999994</v>
      </c>
      <c r="K20">
        <v>4.5675</v>
      </c>
      <c r="L20">
        <v>217413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5.249999999999999</v>
      </c>
      <c r="J21">
        <v>68249.99999999999</v>
      </c>
      <c r="K21">
        <v>2.28375</v>
      </c>
      <c r="L21">
        <v>29688.749999999996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1.7499999999999998</v>
      </c>
      <c r="J22">
        <v>48124.99999999999</v>
      </c>
      <c r="K22">
        <v>0.76125</v>
      </c>
      <c r="L22">
        <v>20934.375</v>
      </c>
    </row>
    <row r="23">
      <c r="A23">
        <v>5</v>
      </c>
      <c r="B23" t="str">
        <v>BEKISTING BALOK PERALATAN (Material) — Perancah, ratio 13.999999999999998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3.4999999999999996</v>
      </c>
      <c r="J24">
        <v>713167.1296296294</v>
      </c>
      <c r="K24">
        <v>1.5225</v>
      </c>
      <c r="L24">
        <v>310227.7013888888</v>
      </c>
    </row>
    <row r="25">
      <c r="A25">
        <v>6</v>
      </c>
      <c r="B25" t="str">
        <v>PEMBESIAN (Material) — ratio 302.31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D8</v>
      </c>
      <c r="D26" t="str">
        <v>U24/U40 polos</v>
      </c>
      <c r="E26">
        <v>76.60813241379311</v>
      </c>
      <c r="F26" t="str">
        <v>kg</v>
      </c>
      <c r="G26" t="str">
        <v>per m3 beton</v>
      </c>
      <c r="H26">
        <v>10300</v>
      </c>
      <c r="I26">
        <v>76.60813241379311</v>
      </c>
      <c r="J26">
        <v>789063.7638620691</v>
      </c>
      <c r="K26">
        <v>33.324537600000006</v>
      </c>
      <c r="L26">
        <v>343242.7372800001</v>
      </c>
    </row>
    <row r="27">
      <c r="A27" t="str">
        <v/>
      </c>
      <c r="B27" t="str">
        <v/>
      </c>
      <c r="C27" t="str">
        <v>Besi beton D16</v>
      </c>
      <c r="D27" t="str">
        <v>U24/U40 polos</v>
      </c>
      <c r="E27">
        <v>225.69920441379304</v>
      </c>
      <c r="F27" t="str">
        <v>kg</v>
      </c>
      <c r="G27" t="str">
        <v>per m3 beton</v>
      </c>
      <c r="H27">
        <v>10300</v>
      </c>
      <c r="I27">
        <v>225.69920441379304</v>
      </c>
      <c r="J27">
        <v>2324701.8054620684</v>
      </c>
      <c r="K27">
        <v>98.17915391999999</v>
      </c>
      <c r="L27">
        <v>1011245.2853759999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15.11536684137932</v>
      </c>
      <c r="J28">
        <v>155688.278466207</v>
      </c>
      <c r="K28">
        <v>6.575184576000005</v>
      </c>
      <c r="L28">
        <v>67724.40113280005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302.30733682758614</v>
      </c>
      <c r="J29">
        <v>30230.733682758615</v>
      </c>
      <c r="K29">
        <v>131.50369152</v>
      </c>
      <c r="L29">
        <v>13150.369152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6.348454073379309</v>
      </c>
      <c r="J30">
        <v>111097.94628413791</v>
      </c>
      <c r="K30">
        <v>2.7615775219199996</v>
      </c>
      <c r="L30">
        <v>48327.6066336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10530957.157386871</v>
      </c>
      <c r="J32" t="str">
        <v/>
      </c>
      <c r="K32" t="str">
        <v/>
      </c>
      <c r="L32">
        <v>4580966.363463289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10530957.157386871</v>
      </c>
    </row>
    <row r="36">
      <c r="A36" t="str">
        <v>RAB (A) source unit cost</v>
      </c>
      <c r="B36">
        <v>10530957.15738687</v>
      </c>
    </row>
    <row r="37">
      <c r="A37" t="str">
        <v>Variance</v>
      </c>
      <c r="B37">
        <v>1.862645149230957e-9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4580966.363463289</v>
      </c>
    </row>
    <row r="40">
      <c r="A40" t="str">
        <v>RAB (A) source line total</v>
      </c>
      <c r="B40">
        <v>5222301.654348149</v>
      </c>
    </row>
    <row r="41">
      <c r="A41" t="str">
        <v>Variance</v>
      </c>
      <c r="B41">
        <v>-641335.2908848599</v>
      </c>
      <c r="C41" t="str">
        <v>✓ OK</v>
      </c>
    </row>
  </sheetData>
  <ignoredErrors>
    <ignoredError numberStoredAsText="1" sqref="A1:L41"/>
  </ignoredErrors>
</worksheet>
</file>

<file path=xl/worksheets/sheet197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VI.A.2.10 - Balok B24-6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B24-6</v>
      </c>
    </row>
    <row r="5">
      <c r="A5" t="str">
        <v>Unit</v>
      </c>
      <c r="B5" t="str">
        <v>m3</v>
      </c>
    </row>
    <row r="6">
      <c r="A6" t="str">
        <v>Volume</v>
      </c>
      <c r="B6">
        <v>0.1</v>
      </c>
    </row>
    <row r="7">
      <c r="A7" t="str">
        <v>Unit cost (Rp/m3)</v>
      </c>
      <c r="B7">
        <v>11636541.12454463</v>
      </c>
    </row>
    <row r="8">
      <c r="A8" t="str">
        <v>Line total at-cost (Rp)</v>
      </c>
      <c r="B8">
        <v>1163654.112454463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0.10500000000000001</v>
      </c>
      <c r="L12">
        <v>106643.25000000003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0.1</v>
      </c>
      <c r="L14">
        <v>7500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0.1</v>
      </c>
      <c r="L16">
        <v>175000</v>
      </c>
    </row>
    <row r="17">
      <c r="A17">
        <v>4</v>
      </c>
      <c r="B17" t="str">
        <v>BEKISTING BALOK (Material) — ratio 13.999999999999998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6.999999999999999</v>
      </c>
      <c r="J18">
        <v>1399999.9999999998</v>
      </c>
      <c r="K18">
        <v>0.7</v>
      </c>
      <c r="L18">
        <v>139999.99999999997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31.499999999999996</v>
      </c>
      <c r="J19">
        <v>1499399.9999999998</v>
      </c>
      <c r="K19">
        <v>3.15</v>
      </c>
      <c r="L19">
        <v>149939.99999999997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10.499999999999998</v>
      </c>
      <c r="J20">
        <v>499799.99999999994</v>
      </c>
      <c r="K20">
        <v>1.0499999999999998</v>
      </c>
      <c r="L20">
        <v>49980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5.249999999999999</v>
      </c>
      <c r="J21">
        <v>68249.99999999999</v>
      </c>
      <c r="K21">
        <v>0.5249999999999999</v>
      </c>
      <c r="L21">
        <v>6824.999999999999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1.7499999999999998</v>
      </c>
      <c r="J22">
        <v>48124.99999999999</v>
      </c>
      <c r="K22">
        <v>0.175</v>
      </c>
      <c r="L22">
        <v>4812.499999999999</v>
      </c>
    </row>
    <row r="23">
      <c r="A23">
        <v>5</v>
      </c>
      <c r="B23" t="str">
        <v>BEKISTING BALOK PERALATAN (Material) — Perancah, ratio 13.999999999999998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3.4999999999999996</v>
      </c>
      <c r="J24">
        <v>713167.1296296294</v>
      </c>
      <c r="K24">
        <v>0.35</v>
      </c>
      <c r="L24">
        <v>71316.71296296295</v>
      </c>
    </row>
    <row r="25">
      <c r="A25">
        <v>6</v>
      </c>
      <c r="B25" t="str">
        <v>PEMBESIAN (Material) — ratio 400.30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D10</v>
      </c>
      <c r="D26" t="str">
        <v>U24/U40 polos</v>
      </c>
      <c r="E26">
        <v>126.99900000000001</v>
      </c>
      <c r="F26" t="str">
        <v>kg</v>
      </c>
      <c r="G26" t="str">
        <v>per m3 beton</v>
      </c>
      <c r="H26">
        <v>10300</v>
      </c>
      <c r="I26">
        <v>126.99900000000001</v>
      </c>
      <c r="J26">
        <v>1308089.7000000002</v>
      </c>
      <c r="K26">
        <v>12.699900000000001</v>
      </c>
      <c r="L26">
        <v>130808.97000000003</v>
      </c>
    </row>
    <row r="27">
      <c r="A27" t="str">
        <v/>
      </c>
      <c r="B27" t="str">
        <v/>
      </c>
      <c r="C27" t="str">
        <v>Besi beton D19</v>
      </c>
      <c r="D27" t="str">
        <v>U24/U40 polos</v>
      </c>
      <c r="E27">
        <v>273.299382</v>
      </c>
      <c r="F27" t="str">
        <v>kg</v>
      </c>
      <c r="G27" t="str">
        <v>per m3 beton</v>
      </c>
      <c r="H27">
        <v>10300</v>
      </c>
      <c r="I27">
        <v>273.299382</v>
      </c>
      <c r="J27">
        <v>2814983.6346</v>
      </c>
      <c r="K27">
        <v>27.3299382</v>
      </c>
      <c r="L27">
        <v>281498.36346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20.014919100000018</v>
      </c>
      <c r="J28">
        <v>206153.66673000017</v>
      </c>
      <c r="K28">
        <v>2.0014919100000017</v>
      </c>
      <c r="L28">
        <v>20615.36667300002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400.298382</v>
      </c>
      <c r="J29">
        <v>40029.8382</v>
      </c>
      <c r="K29">
        <v>40.0298382</v>
      </c>
      <c r="L29">
        <v>4002.98382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8.406266022</v>
      </c>
      <c r="J30">
        <v>147109.65538500002</v>
      </c>
      <c r="K30">
        <v>0.8406266022000001</v>
      </c>
      <c r="L30">
        <v>14710.965538500002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11636541.12454463</v>
      </c>
      <c r="J32" t="str">
        <v/>
      </c>
      <c r="K32" t="str">
        <v/>
      </c>
      <c r="L32">
        <v>1163654.112454463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11636541.12454463</v>
      </c>
    </row>
    <row r="36">
      <c r="A36" t="str">
        <v>RAB (A) source unit cost</v>
      </c>
      <c r="B36">
        <v>11636541.12454463</v>
      </c>
    </row>
    <row r="37">
      <c r="A37" t="str">
        <v>Variance</v>
      </c>
      <c r="B37">
        <v>0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1163654.112454463</v>
      </c>
    </row>
    <row r="40">
      <c r="A40" t="str">
        <v>RAB (A) source line total</v>
      </c>
      <c r="B40">
        <v>1326565.6881980877</v>
      </c>
    </row>
    <row r="41">
      <c r="A41" t="str">
        <v>Variance</v>
      </c>
      <c r="B41">
        <v>-162911.5757436247</v>
      </c>
      <c r="C41" t="str">
        <v>✓ OK</v>
      </c>
    </row>
  </sheetData>
  <ignoredErrors>
    <ignoredError numberStoredAsText="1" sqref="A1:L41"/>
  </ignoredErrors>
</worksheet>
</file>

<file path=xl/worksheets/sheet198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VI.A.2.11 - Balok B245-1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B245-1</v>
      </c>
    </row>
    <row r="5">
      <c r="A5" t="str">
        <v>Unit</v>
      </c>
      <c r="B5" t="str">
        <v>m3</v>
      </c>
    </row>
    <row r="6">
      <c r="A6" t="str">
        <v>Volume</v>
      </c>
      <c r="B6">
        <v>0.9189</v>
      </c>
    </row>
    <row r="7">
      <c r="A7" t="str">
        <v>Unit cost (Rp/m3)</v>
      </c>
      <c r="B7">
        <v>8561256.716442913</v>
      </c>
    </row>
    <row r="8">
      <c r="A8" t="str">
        <v>Line total at-cost (Rp)</v>
      </c>
      <c r="B8">
        <v>7866938.796739393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0.9648450000000001</v>
      </c>
      <c r="L12">
        <v>979944.8242500003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0.9189</v>
      </c>
      <c r="L14">
        <v>68917.5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0.9189</v>
      </c>
      <c r="L16">
        <v>1608075</v>
      </c>
    </row>
    <row r="17">
      <c r="A17">
        <v>4</v>
      </c>
      <c r="B17" t="str">
        <v>BEKISTING BALOK (Material) — ratio 13.333333333333334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6.666666666666667</v>
      </c>
      <c r="J18">
        <v>1333333.3333333335</v>
      </c>
      <c r="K18">
        <v>6.126</v>
      </c>
      <c r="L18">
        <v>1225200.0000000002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30</v>
      </c>
      <c r="J19">
        <v>1428000</v>
      </c>
      <c r="K19">
        <v>27.567</v>
      </c>
      <c r="L19">
        <v>1312189.2000000002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10</v>
      </c>
      <c r="J20">
        <v>476000</v>
      </c>
      <c r="K20">
        <v>9.189</v>
      </c>
      <c r="L20">
        <v>437396.4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</v>
      </c>
      <c r="J21">
        <v>65000</v>
      </c>
      <c r="K21">
        <v>4.5945</v>
      </c>
      <c r="L21">
        <v>59728.5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1.6666666666666667</v>
      </c>
      <c r="J22">
        <v>45833.333333333336</v>
      </c>
      <c r="K22">
        <v>1.5315</v>
      </c>
      <c r="L22">
        <v>42116.25000000001</v>
      </c>
    </row>
    <row r="23">
      <c r="A23">
        <v>5</v>
      </c>
      <c r="B23" t="str">
        <v>BEKISTING BALOK PERALATAN (Material) — Perancah, ratio 13.333333333333334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3.3333333333333335</v>
      </c>
      <c r="J24">
        <v>679206.7901234567</v>
      </c>
      <c r="K24">
        <v>3.063</v>
      </c>
      <c r="L24">
        <v>624123.1194444444</v>
      </c>
    </row>
    <row r="25">
      <c r="A25">
        <v>6</v>
      </c>
      <c r="B25" t="str">
        <v>PEMBESIAN (Material) — ratio 145.58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D8</v>
      </c>
      <c r="D26" t="str">
        <v>U24/U40 polos</v>
      </c>
      <c r="E26">
        <v>71.87097825661115</v>
      </c>
      <c r="F26" t="str">
        <v>kg</v>
      </c>
      <c r="G26" t="str">
        <v>per m3 beton</v>
      </c>
      <c r="H26">
        <v>10300</v>
      </c>
      <c r="I26">
        <v>71.87097825661115</v>
      </c>
      <c r="J26">
        <v>740271.0760430949</v>
      </c>
      <c r="K26">
        <v>66.04224192</v>
      </c>
      <c r="L26">
        <v>680235.0917759999</v>
      </c>
    </row>
    <row r="27">
      <c r="A27" t="str">
        <v/>
      </c>
      <c r="B27" t="str">
        <v/>
      </c>
      <c r="C27" t="str">
        <v>Besi beton D13</v>
      </c>
      <c r="D27" t="str">
        <v>U24/U40 polos</v>
      </c>
      <c r="E27">
        <v>73.70409461312438</v>
      </c>
      <c r="F27" t="str">
        <v>kg</v>
      </c>
      <c r="G27" t="str">
        <v>per m3 beton</v>
      </c>
      <c r="H27">
        <v>10300</v>
      </c>
      <c r="I27">
        <v>73.70409461312438</v>
      </c>
      <c r="J27">
        <v>759152.1745151811</v>
      </c>
      <c r="K27">
        <v>67.72669254</v>
      </c>
      <c r="L27">
        <v>697584.9331619999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7.278753643486784</v>
      </c>
      <c r="J28">
        <v>74971.16252791387</v>
      </c>
      <c r="K28">
        <v>6.688446723000006</v>
      </c>
      <c r="L28">
        <v>68891.00124690005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145.57507286973555</v>
      </c>
      <c r="J29">
        <v>14557.507286973556</v>
      </c>
      <c r="K29">
        <v>133.76893446</v>
      </c>
      <c r="L29">
        <v>13376.893446000002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3.057076530264447</v>
      </c>
      <c r="J30">
        <v>53498.83927962782</v>
      </c>
      <c r="K30">
        <v>2.8091476236600004</v>
      </c>
      <c r="L30">
        <v>49160.08341405001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8561256.716442913</v>
      </c>
      <c r="J32" t="str">
        <v/>
      </c>
      <c r="K32" t="str">
        <v/>
      </c>
      <c r="L32">
        <v>7866938.796739393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8561256.716442913</v>
      </c>
    </row>
    <row r="36">
      <c r="A36" t="str">
        <v>RAB (A) source unit cost</v>
      </c>
      <c r="B36">
        <v>8561256.716442915</v>
      </c>
    </row>
    <row r="37">
      <c r="A37" t="str">
        <v>Variance</v>
      </c>
      <c r="B37">
        <v>-1.862645149230957e-9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7866938.796739393</v>
      </c>
    </row>
    <row r="40">
      <c r="A40" t="str">
        <v>RAB (A) source line total</v>
      </c>
      <c r="B40">
        <v>8968310.22828291</v>
      </c>
    </row>
    <row r="41">
      <c r="A41" t="str">
        <v>Variance</v>
      </c>
      <c r="B41">
        <v>-1101371.431543517</v>
      </c>
      <c r="C41" t="str">
        <v>✓ OK</v>
      </c>
    </row>
  </sheetData>
  <ignoredErrors>
    <ignoredError numberStoredAsText="1" sqref="A1:L41"/>
  </ignoredErrors>
</worksheet>
</file>

<file path=xl/worksheets/sheet199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VI.A.2.12 - Balok B245-2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B245-2</v>
      </c>
    </row>
    <row r="5">
      <c r="A5" t="str">
        <v>Unit</v>
      </c>
      <c r="B5" t="str">
        <v>m3</v>
      </c>
    </row>
    <row r="6">
      <c r="A6" t="str">
        <v>Volume</v>
      </c>
      <c r="B6">
        <v>0.372</v>
      </c>
    </row>
    <row r="7">
      <c r="A7" t="str">
        <v>Unit cost (Rp/m3)</v>
      </c>
      <c r="B7">
        <v>8982570.095599802</v>
      </c>
    </row>
    <row r="8">
      <c r="A8" t="str">
        <v>Line total at-cost (Rp)</v>
      </c>
      <c r="B8">
        <v>3341516.0755631262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0.3906</v>
      </c>
      <c r="L12">
        <v>396712.8900000001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0.372</v>
      </c>
      <c r="L14">
        <v>27900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0.372</v>
      </c>
      <c r="L16">
        <v>651000</v>
      </c>
    </row>
    <row r="17">
      <c r="A17">
        <v>4</v>
      </c>
      <c r="B17" t="str">
        <v>BEKISTING BALOK (Material) — ratio 13.333333333333334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6.666666666666667</v>
      </c>
      <c r="J18">
        <v>1333333.3333333335</v>
      </c>
      <c r="K18">
        <v>2.48</v>
      </c>
      <c r="L18">
        <v>496000.00000000006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30</v>
      </c>
      <c r="J19">
        <v>1428000</v>
      </c>
      <c r="K19">
        <v>11.16</v>
      </c>
      <c r="L19">
        <v>531216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10</v>
      </c>
      <c r="J20">
        <v>476000</v>
      </c>
      <c r="K20">
        <v>3.7199999999999998</v>
      </c>
      <c r="L20">
        <v>177072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</v>
      </c>
      <c r="J21">
        <v>65000</v>
      </c>
      <c r="K21">
        <v>1.8599999999999999</v>
      </c>
      <c r="L21">
        <v>24180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1.6666666666666667</v>
      </c>
      <c r="J22">
        <v>45833.333333333336</v>
      </c>
      <c r="K22">
        <v>0.62</v>
      </c>
      <c r="L22">
        <v>17050</v>
      </c>
    </row>
    <row r="23">
      <c r="A23">
        <v>5</v>
      </c>
      <c r="B23" t="str">
        <v>BEKISTING BALOK PERALATAN (Material) — Perancah, ratio 13.333333333333334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3.3333333333333335</v>
      </c>
      <c r="J24">
        <v>679206.7901234567</v>
      </c>
      <c r="K24">
        <v>1.24</v>
      </c>
      <c r="L24">
        <v>252664.9259259259</v>
      </c>
    </row>
    <row r="25">
      <c r="A25">
        <v>6</v>
      </c>
      <c r="B25" t="str">
        <v>PEMBESIAN (Material) — ratio 182.92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D8</v>
      </c>
      <c r="D26" t="str">
        <v>U24/U40 polos</v>
      </c>
      <c r="E26">
        <v>73.4857393548387</v>
      </c>
      <c r="F26" t="str">
        <v>kg</v>
      </c>
      <c r="G26" t="str">
        <v>per m3 beton</v>
      </c>
      <c r="H26">
        <v>10300</v>
      </c>
      <c r="I26">
        <v>73.4857393548387</v>
      </c>
      <c r="J26">
        <v>756903.1153548385</v>
      </c>
      <c r="K26">
        <v>27.336695039999995</v>
      </c>
      <c r="L26">
        <v>281567.95891199994</v>
      </c>
    </row>
    <row r="27">
      <c r="A27" t="str">
        <v/>
      </c>
      <c r="B27" t="str">
        <v/>
      </c>
      <c r="C27" t="str">
        <v>Besi beton D13</v>
      </c>
      <c r="D27" t="str">
        <v>U24/U40 polos</v>
      </c>
      <c r="E27">
        <v>109.43153419354839</v>
      </c>
      <c r="F27" t="str">
        <v>kg</v>
      </c>
      <c r="G27" t="str">
        <v>per m3 beton</v>
      </c>
      <c r="H27">
        <v>10300</v>
      </c>
      <c r="I27">
        <v>109.43153419354839</v>
      </c>
      <c r="J27">
        <v>1127144.8021935483</v>
      </c>
      <c r="K27">
        <v>40.70853072</v>
      </c>
      <c r="L27">
        <v>419297.86641599995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9.145863677419362</v>
      </c>
      <c r="J28">
        <v>94202.39587741943</v>
      </c>
      <c r="K28">
        <v>3.4022612880000027</v>
      </c>
      <c r="L28">
        <v>35043.291266400025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182.91727354838707</v>
      </c>
      <c r="J29">
        <v>18291.727354838706</v>
      </c>
      <c r="K29">
        <v>68.04522576</v>
      </c>
      <c r="L29">
        <v>6804.5225759999985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3.8412627445161287</v>
      </c>
      <c r="J30">
        <v>67222.09802903225</v>
      </c>
      <c r="K30">
        <v>1.4289497409599998</v>
      </c>
      <c r="L30">
        <v>25006.620466799995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8982570.095599802</v>
      </c>
      <c r="J32" t="str">
        <v/>
      </c>
      <c r="K32" t="str">
        <v/>
      </c>
      <c r="L32">
        <v>3341516.0755631262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8982570.095599802</v>
      </c>
    </row>
    <row r="36">
      <c r="A36" t="str">
        <v>RAB (A) source unit cost</v>
      </c>
      <c r="B36">
        <v>8982570.0955998</v>
      </c>
    </row>
    <row r="37">
      <c r="A37" t="str">
        <v>Variance</v>
      </c>
      <c r="B37">
        <v>1.862645149230957e-9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3341516.0755631262</v>
      </c>
    </row>
    <row r="40">
      <c r="A40" t="str">
        <v>RAB (A) source line total</v>
      </c>
      <c r="B40">
        <v>3809328.326141963</v>
      </c>
    </row>
    <row r="41">
      <c r="A41" t="str">
        <v>Variance</v>
      </c>
      <c r="B41">
        <v>-467812.25057883654</v>
      </c>
      <c r="C41" t="str">
        <v>✓ OK</v>
      </c>
    </row>
  </sheetData>
  <ignoredErrors>
    <ignoredError numberStoredAsText="1" sqref="A1:L41"/>
  </ignoredErrors>
</worksheet>
</file>

<file path=xl/worksheets/sheet200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VI.A.2.13 - Balok B245-3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B245-3</v>
      </c>
    </row>
    <row r="5">
      <c r="A5" t="str">
        <v>Unit</v>
      </c>
      <c r="B5" t="str">
        <v>m3</v>
      </c>
    </row>
    <row r="6">
      <c r="A6" t="str">
        <v>Volume</v>
      </c>
      <c r="B6">
        <v>0.368</v>
      </c>
    </row>
    <row r="7">
      <c r="A7" t="str">
        <v>Unit cost (Rp/m3)</v>
      </c>
      <c r="B7">
        <v>10008942.896929579</v>
      </c>
    </row>
    <row r="8">
      <c r="A8" t="str">
        <v>Line total at-cost (Rp)</v>
      </c>
      <c r="B8">
        <v>3683290.986070085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0.3864</v>
      </c>
      <c r="L12">
        <v>392447.1600000001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0.368</v>
      </c>
      <c r="L14">
        <v>27600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0.368</v>
      </c>
      <c r="L16">
        <v>644000</v>
      </c>
    </row>
    <row r="17">
      <c r="A17">
        <v>4</v>
      </c>
      <c r="B17" t="str">
        <v>BEKISTING BALOK (Material) — ratio 13.26086956521739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6.630434782608695</v>
      </c>
      <c r="J18">
        <v>1326086.956521739</v>
      </c>
      <c r="K18">
        <v>2.44</v>
      </c>
      <c r="L18">
        <v>487999.99999999994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29.83695652173913</v>
      </c>
      <c r="J19">
        <v>1420239.1304347825</v>
      </c>
      <c r="K19">
        <v>10.979999999999999</v>
      </c>
      <c r="L19">
        <v>522647.99999999994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9.945652173913043</v>
      </c>
      <c r="J20">
        <v>473413.04347826086</v>
      </c>
      <c r="K20">
        <v>3.6599999999999997</v>
      </c>
      <c r="L20">
        <v>174216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4.9728260869565215</v>
      </c>
      <c r="J21">
        <v>64646.73913043478</v>
      </c>
      <c r="K21">
        <v>1.8299999999999998</v>
      </c>
      <c r="L21">
        <v>23789.999999999996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1.6576086956521738</v>
      </c>
      <c r="J22">
        <v>45584.239130434784</v>
      </c>
      <c r="K22">
        <v>0.61</v>
      </c>
      <c r="L22">
        <v>16775</v>
      </c>
    </row>
    <row r="23">
      <c r="A23">
        <v>5</v>
      </c>
      <c r="B23" t="str">
        <v>BEKISTING BALOK PERALATAN (Material) — Perancah, ratio 13.26086956521739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3.3152173913043477</v>
      </c>
      <c r="J24">
        <v>675515.4488727858</v>
      </c>
      <c r="K24">
        <v>1.22</v>
      </c>
      <c r="L24">
        <v>248589.68518518517</v>
      </c>
    </row>
    <row r="25">
      <c r="A25">
        <v>6</v>
      </c>
      <c r="B25" t="str">
        <v>PEMBESIAN (Material) — ratio 275.83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D10</v>
      </c>
      <c r="D26" t="str">
        <v>U24/U40 polos</v>
      </c>
      <c r="E26">
        <v>153.13658967391305</v>
      </c>
      <c r="F26" t="str">
        <v>kg</v>
      </c>
      <c r="G26" t="str">
        <v>per m3 beton</v>
      </c>
      <c r="H26">
        <v>10300</v>
      </c>
      <c r="I26">
        <v>153.13658967391305</v>
      </c>
      <c r="J26">
        <v>1577306.8736413044</v>
      </c>
      <c r="K26">
        <v>56.354265000000005</v>
      </c>
      <c r="L26">
        <v>580448.9295</v>
      </c>
    </row>
    <row r="27">
      <c r="A27" t="str">
        <v/>
      </c>
      <c r="B27" t="str">
        <v/>
      </c>
      <c r="C27" t="str">
        <v>Besi beton D16</v>
      </c>
      <c r="D27" t="str">
        <v>U24/U40 polos</v>
      </c>
      <c r="E27">
        <v>122.69100521739131</v>
      </c>
      <c r="F27" t="str">
        <v>kg</v>
      </c>
      <c r="G27" t="str">
        <v>per m3 beton</v>
      </c>
      <c r="H27">
        <v>10300</v>
      </c>
      <c r="I27">
        <v>122.69100521739131</v>
      </c>
      <c r="J27">
        <v>1263717.3537391305</v>
      </c>
      <c r="K27">
        <v>45.15028992</v>
      </c>
      <c r="L27">
        <v>465047.98617600003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13.791379744565228</v>
      </c>
      <c r="J28">
        <v>142051.21136902185</v>
      </c>
      <c r="K28">
        <v>5.075227746000004</v>
      </c>
      <c r="L28">
        <v>52274.84578380004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275.82759489130433</v>
      </c>
      <c r="J29">
        <v>27582.759489130432</v>
      </c>
      <c r="K29">
        <v>101.50455491999999</v>
      </c>
      <c r="L29">
        <v>10150.455492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5.792379492717392</v>
      </c>
      <c r="J30">
        <v>101366.64112255436</v>
      </c>
      <c r="K30">
        <v>2.1315956533200002</v>
      </c>
      <c r="L30">
        <v>37302.9239331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10008942.896929579</v>
      </c>
      <c r="J32" t="str">
        <v/>
      </c>
      <c r="K32" t="str">
        <v/>
      </c>
      <c r="L32">
        <v>3683290.986070085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10008942.896929579</v>
      </c>
    </row>
    <row r="36">
      <c r="A36" t="str">
        <v>RAB (A) source unit cost</v>
      </c>
      <c r="B36">
        <v>10008942.89692958</v>
      </c>
    </row>
    <row r="37">
      <c r="A37" t="str">
        <v>Variance</v>
      </c>
      <c r="B37">
        <v>-1.862645149230957e-9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3683290.986070085</v>
      </c>
    </row>
    <row r="40">
      <c r="A40" t="str">
        <v>RAB (A) source line total</v>
      </c>
      <c r="B40">
        <v>4198951.724119897</v>
      </c>
    </row>
    <row r="41">
      <c r="A41" t="str">
        <v>Variance</v>
      </c>
      <c r="B41">
        <v>-515660.73804981215</v>
      </c>
      <c r="C41" t="str">
        <v>✓ OK</v>
      </c>
    </row>
  </sheetData>
  <ignoredErrors>
    <ignoredError numberStoredAsText="1" sqref="A1:L41"/>
  </ignoredErrors>
</worksheet>
</file>

<file path=xl/worksheets/sheet201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VI.A.2.14 - Balok B245-4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B245-4</v>
      </c>
    </row>
    <row r="5">
      <c r="A5" t="str">
        <v>Unit</v>
      </c>
      <c r="B5" t="str">
        <v>m3</v>
      </c>
    </row>
    <row r="6">
      <c r="A6" t="str">
        <v>Volume</v>
      </c>
      <c r="B6">
        <v>1.8518000000000001</v>
      </c>
    </row>
    <row r="7">
      <c r="A7" t="str">
        <v>Unit cost (Rp/m3)</v>
      </c>
      <c r="B7">
        <v>9452860.125812002</v>
      </c>
    </row>
    <row r="8">
      <c r="A8" t="str">
        <v>Line total at-cost (Rp)</v>
      </c>
      <c r="B8">
        <v>17504806.380978666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1.9443900000000003</v>
      </c>
      <c r="L12">
        <v>1974819.7035000005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1.8518000000000001</v>
      </c>
      <c r="L14">
        <v>138885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1.8518000000000001</v>
      </c>
      <c r="L16">
        <v>3240650</v>
      </c>
    </row>
    <row r="17">
      <c r="A17">
        <v>4</v>
      </c>
      <c r="B17" t="str">
        <v>BEKISTING BALOK (Material) — ratio 13.132087698455559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6.566043849227779</v>
      </c>
      <c r="J18">
        <v>1313208.7698455558</v>
      </c>
      <c r="K18">
        <v>12.159000000000002</v>
      </c>
      <c r="L18">
        <v>2431800.0000000005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29.547197321525008</v>
      </c>
      <c r="J19">
        <v>1406446.5925045903</v>
      </c>
      <c r="K19">
        <v>54.71550000000001</v>
      </c>
      <c r="L19">
        <v>2604457.8000000003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9.84906577384167</v>
      </c>
      <c r="J20">
        <v>468815.5308348635</v>
      </c>
      <c r="K20">
        <v>18.238500000000005</v>
      </c>
      <c r="L20">
        <v>868152.6000000002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4.924532886920835</v>
      </c>
      <c r="J21">
        <v>64018.92752997085</v>
      </c>
      <c r="K21">
        <v>9.119250000000003</v>
      </c>
      <c r="L21">
        <v>118550.25000000003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1.6415109623069448</v>
      </c>
      <c r="J22">
        <v>45141.551463440985</v>
      </c>
      <c r="K22">
        <v>3.0397500000000006</v>
      </c>
      <c r="L22">
        <v>83593.12500000001</v>
      </c>
    </row>
    <row r="23">
      <c r="A23">
        <v>5</v>
      </c>
      <c r="B23" t="str">
        <v>BEKISTING BALOK PERALATAN (Material) — Perancah, ratio 13.132087698455559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3.2830219246138896</v>
      </c>
      <c r="J24">
        <v>668955.2349965799</v>
      </c>
      <c r="K24">
        <v>6.079500000000001</v>
      </c>
      <c r="L24">
        <v>1238771.3041666667</v>
      </c>
    </row>
    <row r="25">
      <c r="A25">
        <v>6</v>
      </c>
      <c r="B25" t="str">
        <v>PEMBESIAN (Material) — ratio 229.99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D8</v>
      </c>
      <c r="D26" t="str">
        <v>U24/U40 polos</v>
      </c>
      <c r="E26">
        <v>69.91071381358678</v>
      </c>
      <c r="F26" t="str">
        <v>kg</v>
      </c>
      <c r="G26" t="str">
        <v>per m3 beton</v>
      </c>
      <c r="H26">
        <v>10300</v>
      </c>
      <c r="I26">
        <v>69.91071381358678</v>
      </c>
      <c r="J26">
        <v>720080.3522799439</v>
      </c>
      <c r="K26">
        <v>129.46065984</v>
      </c>
      <c r="L26">
        <v>1333444.7963520002</v>
      </c>
    </row>
    <row r="27">
      <c r="A27" t="str">
        <v/>
      </c>
      <c r="B27" t="str">
        <v/>
      </c>
      <c r="C27" t="str">
        <v>Besi beton D16</v>
      </c>
      <c r="D27" t="str">
        <v>U24/U40 polos</v>
      </c>
      <c r="E27">
        <v>160.07741103790906</v>
      </c>
      <c r="F27" t="str">
        <v>kg</v>
      </c>
      <c r="G27" t="str">
        <v>per m3 beton</v>
      </c>
      <c r="H27">
        <v>10300</v>
      </c>
      <c r="I27">
        <v>160.07741103790906</v>
      </c>
      <c r="J27">
        <v>1648797.3336904633</v>
      </c>
      <c r="K27">
        <v>296.43134976</v>
      </c>
      <c r="L27">
        <v>3053242.902528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11.499406242574803</v>
      </c>
      <c r="J28">
        <v>118443.88429852047</v>
      </c>
      <c r="K28">
        <v>21.29460048000002</v>
      </c>
      <c r="L28">
        <v>219334.38494400022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229.98812485149585</v>
      </c>
      <c r="J29">
        <v>22998.812485149585</v>
      </c>
      <c r="K29">
        <v>425.89200960000005</v>
      </c>
      <c r="L29">
        <v>42589.20096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4.829750621881413</v>
      </c>
      <c r="J30">
        <v>84520.63588292472</v>
      </c>
      <c r="K30">
        <v>8.943732201600001</v>
      </c>
      <c r="L30">
        <v>156515.313528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9452860.125812002</v>
      </c>
      <c r="J32" t="str">
        <v/>
      </c>
      <c r="K32" t="str">
        <v/>
      </c>
      <c r="L32">
        <v>17504806.380978666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9452860.125812002</v>
      </c>
    </row>
    <row r="36">
      <c r="A36" t="str">
        <v>RAB (A) source unit cost</v>
      </c>
      <c r="B36">
        <v>9452860.125812002</v>
      </c>
    </row>
    <row r="37">
      <c r="A37" t="str">
        <v>Variance</v>
      </c>
      <c r="B37">
        <v>0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17504806.380978666</v>
      </c>
    </row>
    <row r="40">
      <c r="A40" t="str">
        <v>RAB (A) source line total</v>
      </c>
      <c r="B40">
        <v>19955479.274315678</v>
      </c>
    </row>
    <row r="41">
      <c r="A41" t="str">
        <v>Variance</v>
      </c>
      <c r="B41">
        <v>-2450672.8933370113</v>
      </c>
      <c r="C41" t="str">
        <v>✓ OK</v>
      </c>
    </row>
  </sheetData>
  <ignoredErrors>
    <ignoredError numberStoredAsText="1" sqref="A1:L41"/>
  </ignoredErrors>
</worksheet>
</file>

<file path=xl/worksheets/sheet202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VI.A.2.15 - Balok B245-5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B245-5</v>
      </c>
    </row>
    <row r="5">
      <c r="A5" t="str">
        <v>Unit</v>
      </c>
      <c r="B5" t="str">
        <v>m3</v>
      </c>
    </row>
    <row r="6">
      <c r="A6" t="str">
        <v>Volume</v>
      </c>
      <c r="B6">
        <v>0.318</v>
      </c>
    </row>
    <row r="7">
      <c r="A7" t="str">
        <v>Unit cost (Rp/m3)</v>
      </c>
      <c r="B7">
        <v>10600216.100151444</v>
      </c>
    </row>
    <row r="8">
      <c r="A8" t="str">
        <v>Line total at-cost (Rp)</v>
      </c>
      <c r="B8">
        <v>3370868.7198481592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0.33390000000000003</v>
      </c>
      <c r="L12">
        <v>339125.5350000001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0.318</v>
      </c>
      <c r="L14">
        <v>23850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0.318</v>
      </c>
      <c r="L16">
        <v>556500</v>
      </c>
    </row>
    <row r="17">
      <c r="A17">
        <v>4</v>
      </c>
      <c r="B17" t="str">
        <v>BEKISTING BALOK (Material) — ratio 13.333333333333334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6.666666666666667</v>
      </c>
      <c r="J18">
        <v>1333333.3333333335</v>
      </c>
      <c r="K18">
        <v>2.12</v>
      </c>
      <c r="L18">
        <v>424000.00000000006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30</v>
      </c>
      <c r="J19">
        <v>1428000</v>
      </c>
      <c r="K19">
        <v>9.540000000000001</v>
      </c>
      <c r="L19">
        <v>454104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10</v>
      </c>
      <c r="J20">
        <v>476000</v>
      </c>
      <c r="K20">
        <v>3.18</v>
      </c>
      <c r="L20">
        <v>151368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</v>
      </c>
      <c r="J21">
        <v>65000</v>
      </c>
      <c r="K21">
        <v>1.59</v>
      </c>
      <c r="L21">
        <v>20670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1.6666666666666667</v>
      </c>
      <c r="J22">
        <v>45833.333333333336</v>
      </c>
      <c r="K22">
        <v>0.53</v>
      </c>
      <c r="L22">
        <v>14575.000000000002</v>
      </c>
    </row>
    <row r="23">
      <c r="A23">
        <v>5</v>
      </c>
      <c r="B23" t="str">
        <v>BEKISTING BALOK PERALATAN (Material) — Perancah, ratio 13.333333333333334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3.3333333333333335</v>
      </c>
      <c r="J24">
        <v>679206.7901234567</v>
      </c>
      <c r="K24">
        <v>1.06</v>
      </c>
      <c r="L24">
        <v>215987.75925925924</v>
      </c>
    </row>
    <row r="25">
      <c r="A25">
        <v>6</v>
      </c>
      <c r="B25" t="str">
        <v>PEMBESIAN (Material) — ratio 326.29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D10</v>
      </c>
      <c r="D26" t="str">
        <v>U24/U40 polos</v>
      </c>
      <c r="E26">
        <v>128.8252358490566</v>
      </c>
      <c r="F26" t="str">
        <v>kg</v>
      </c>
      <c r="G26" t="str">
        <v>per m3 beton</v>
      </c>
      <c r="H26">
        <v>10300</v>
      </c>
      <c r="I26">
        <v>128.8252358490566</v>
      </c>
      <c r="J26">
        <v>1326899.9292452831</v>
      </c>
      <c r="K26">
        <v>40.966425</v>
      </c>
      <c r="L26">
        <v>421954.17750000005</v>
      </c>
    </row>
    <row r="27">
      <c r="A27" t="str">
        <v/>
      </c>
      <c r="B27" t="str">
        <v/>
      </c>
      <c r="C27" t="str">
        <v>Besi beton D16</v>
      </c>
      <c r="D27" t="str">
        <v>U24/U40 polos</v>
      </c>
      <c r="E27">
        <v>197.4685947169811</v>
      </c>
      <c r="F27" t="str">
        <v>kg</v>
      </c>
      <c r="G27" t="str">
        <v>per m3 beton</v>
      </c>
      <c r="H27">
        <v>10300</v>
      </c>
      <c r="I27">
        <v>197.4685947169811</v>
      </c>
      <c r="J27">
        <v>2033926.5255849054</v>
      </c>
      <c r="K27">
        <v>62.79501311999999</v>
      </c>
      <c r="L27">
        <v>646788.6351359999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16.3146915283019</v>
      </c>
      <c r="J28">
        <v>168041.32274150956</v>
      </c>
      <c r="K28">
        <v>5.188071906000004</v>
      </c>
      <c r="L28">
        <v>53437.140631800045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326.29383056603774</v>
      </c>
      <c r="J29">
        <v>32629.383056603772</v>
      </c>
      <c r="K29">
        <v>103.76143812000001</v>
      </c>
      <c r="L29">
        <v>10376.143812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6.852170441886793</v>
      </c>
      <c r="J30">
        <v>119912.98273301887</v>
      </c>
      <c r="K30">
        <v>2.1789902005200004</v>
      </c>
      <c r="L30">
        <v>38132.3285091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10600216.100151444</v>
      </c>
      <c r="J32" t="str">
        <v/>
      </c>
      <c r="K32" t="str">
        <v/>
      </c>
      <c r="L32">
        <v>3370868.7198481592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10600216.100151444</v>
      </c>
    </row>
    <row r="36">
      <c r="A36" t="str">
        <v>RAB (A) source unit cost</v>
      </c>
      <c r="B36">
        <v>10600216.100151444</v>
      </c>
    </row>
    <row r="37">
      <c r="A37" t="str">
        <v>Variance</v>
      </c>
      <c r="B37">
        <v>0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3370868.7198481592</v>
      </c>
    </row>
    <row r="40">
      <c r="A40" t="str">
        <v>RAB (A) source line total</v>
      </c>
      <c r="B40">
        <v>3842790.340626901</v>
      </c>
    </row>
    <row r="41">
      <c r="A41" t="str">
        <v>Variance</v>
      </c>
      <c r="B41">
        <v>-471921.6207787418</v>
      </c>
      <c r="C41" t="str">
        <v>✓ OK</v>
      </c>
    </row>
  </sheetData>
  <ignoredErrors>
    <ignoredError numberStoredAsText="1" sqref="A1:L41"/>
  </ignoredErrors>
</worksheet>
</file>

<file path=xl/worksheets/sheet203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VI.A.2.16 - Balok B25-1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B25-1</v>
      </c>
    </row>
    <row r="5">
      <c r="A5" t="str">
        <v>Unit</v>
      </c>
      <c r="B5" t="str">
        <v>m3</v>
      </c>
    </row>
    <row r="6">
      <c r="A6" t="str">
        <v>Volume</v>
      </c>
      <c r="B6">
        <v>0.4144</v>
      </c>
    </row>
    <row r="7">
      <c r="A7" t="str">
        <v>Unit cost (Rp/m3)</v>
      </c>
      <c r="B7">
        <v>9121148.771790158</v>
      </c>
    </row>
    <row r="8">
      <c r="A8" t="str">
        <v>Line total at-cost (Rp)</v>
      </c>
      <c r="B8">
        <v>3779804.0510298414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0.43512</v>
      </c>
      <c r="L12">
        <v>441929.6280000001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0.4144</v>
      </c>
      <c r="L14">
        <v>31080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0.4144</v>
      </c>
      <c r="L16">
        <v>725200</v>
      </c>
    </row>
    <row r="17">
      <c r="A17">
        <v>4</v>
      </c>
      <c r="B17" t="str">
        <v>BEKISTING BALOK (Material) — ratio 12.702702702702704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6.351351351351352</v>
      </c>
      <c r="J18">
        <v>1270270.2702702703</v>
      </c>
      <c r="K18">
        <v>2.632</v>
      </c>
      <c r="L18">
        <v>526400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28.581081081081084</v>
      </c>
      <c r="J19">
        <v>1360459.4594594596</v>
      </c>
      <c r="K19">
        <v>11.844000000000001</v>
      </c>
      <c r="L19">
        <v>563774.4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9.527027027027028</v>
      </c>
      <c r="J20">
        <v>453486.4864864865</v>
      </c>
      <c r="K20">
        <v>3.9480000000000004</v>
      </c>
      <c r="L20">
        <v>187924.80000000002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4.763513513513514</v>
      </c>
      <c r="J21">
        <v>61925.67567567568</v>
      </c>
      <c r="K21">
        <v>1.9740000000000002</v>
      </c>
      <c r="L21">
        <v>25662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1.587837837837838</v>
      </c>
      <c r="J22">
        <v>43665.54054054054</v>
      </c>
      <c r="K22">
        <v>0.658</v>
      </c>
      <c r="L22">
        <v>18095</v>
      </c>
    </row>
    <row r="23">
      <c r="A23">
        <v>5</v>
      </c>
      <c r="B23" t="str">
        <v>BEKISTING BALOK PERALATAN (Material) — Perancah, ratio 12.702702702702704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3.175675675675676</v>
      </c>
      <c r="J24">
        <v>647082.1446446447</v>
      </c>
      <c r="K24">
        <v>1.316</v>
      </c>
      <c r="L24">
        <v>268150.84074074076</v>
      </c>
    </row>
    <row r="25">
      <c r="A25">
        <v>6</v>
      </c>
      <c r="B25" t="str">
        <v>PEMBESIAN (Material) — ratio 212.08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D10</v>
      </c>
      <c r="D26" t="str">
        <v>U24/U40 polos</v>
      </c>
      <c r="E26">
        <v>115.07305743243246</v>
      </c>
      <c r="F26" t="str">
        <v>kg</v>
      </c>
      <c r="G26" t="str">
        <v>per m3 beton</v>
      </c>
      <c r="H26">
        <v>10300</v>
      </c>
      <c r="I26">
        <v>115.07305743243246</v>
      </c>
      <c r="J26">
        <v>1185252.4915540544</v>
      </c>
      <c r="K26">
        <v>47.68627500000001</v>
      </c>
      <c r="L26">
        <v>491168.6325000001</v>
      </c>
    </row>
    <row r="27">
      <c r="A27" t="str">
        <v/>
      </c>
      <c r="B27" t="str">
        <v/>
      </c>
      <c r="C27" t="str">
        <v>Besi beton D16</v>
      </c>
      <c r="D27" t="str">
        <v>U24/U40 polos</v>
      </c>
      <c r="E27">
        <v>97.00996447876449</v>
      </c>
      <c r="F27" t="str">
        <v>kg</v>
      </c>
      <c r="G27" t="str">
        <v>per m3 beton</v>
      </c>
      <c r="H27">
        <v>10300</v>
      </c>
      <c r="I27">
        <v>97.00996447876449</v>
      </c>
      <c r="J27">
        <v>999202.6341312742</v>
      </c>
      <c r="K27">
        <v>40.200929280000004</v>
      </c>
      <c r="L27">
        <v>414069.571584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10.604151095559859</v>
      </c>
      <c r="J28">
        <v>109222.75628426655</v>
      </c>
      <c r="K28">
        <v>4.394360214000005</v>
      </c>
      <c r="L28">
        <v>45261.91020420006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212.08302191119697</v>
      </c>
      <c r="J29">
        <v>21208.302191119696</v>
      </c>
      <c r="K29">
        <v>87.88720428000002</v>
      </c>
      <c r="L29">
        <v>8788.720428000002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4.4537434601351364</v>
      </c>
      <c r="J30">
        <v>77940.51055236488</v>
      </c>
      <c r="K30">
        <v>1.8456312898800005</v>
      </c>
      <c r="L30">
        <v>32298.547572900006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9121148.771790158</v>
      </c>
      <c r="J32" t="str">
        <v/>
      </c>
      <c r="K32" t="str">
        <v/>
      </c>
      <c r="L32">
        <v>3779804.0510298414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9121148.771790158</v>
      </c>
    </row>
    <row r="36">
      <c r="A36" t="str">
        <v>RAB (A) source unit cost</v>
      </c>
      <c r="B36">
        <v>9121148.771790156</v>
      </c>
    </row>
    <row r="37">
      <c r="A37" t="str">
        <v>Variance</v>
      </c>
      <c r="B37">
        <v>1.862645149230957e-9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3779804.0510298414</v>
      </c>
    </row>
    <row r="40">
      <c r="A40" t="str">
        <v>RAB (A) source line total</v>
      </c>
      <c r="B40">
        <v>4308976.618174018</v>
      </c>
    </row>
    <row r="41">
      <c r="A41" t="str">
        <v>Variance</v>
      </c>
      <c r="B41">
        <v>-529172.5671441769</v>
      </c>
      <c r="C41" t="str">
        <v>✓ OK</v>
      </c>
    </row>
  </sheetData>
  <ignoredErrors>
    <ignoredError numberStoredAsText="1" sqref="A1:L41"/>
  </ignoredErrors>
</worksheet>
</file>

<file path=xl/worksheets/sheet204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VI.A.2.17 - Balok B25-2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B25-2</v>
      </c>
    </row>
    <row r="5">
      <c r="A5" t="str">
        <v>Unit</v>
      </c>
      <c r="B5" t="str">
        <v>m3</v>
      </c>
    </row>
    <row r="6">
      <c r="A6" t="str">
        <v>Volume</v>
      </c>
      <c r="B6">
        <v>2.7731000000000003</v>
      </c>
    </row>
    <row r="7">
      <c r="A7" t="str">
        <v>Unit cost (Rp/m3)</v>
      </c>
      <c r="B7">
        <v>9754424.029039929</v>
      </c>
    </row>
    <row r="8">
      <c r="A8" t="str">
        <v>Line total at-cost (Rp)</v>
      </c>
      <c r="B8">
        <v>27049993.27493063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2.9117550000000003</v>
      </c>
      <c r="L12">
        <v>2957323.965750001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2.7731000000000003</v>
      </c>
      <c r="L14">
        <v>207982.50000000003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2.7731000000000003</v>
      </c>
      <c r="L16">
        <v>4852925.000000001</v>
      </c>
    </row>
    <row r="17">
      <c r="A17">
        <v>4</v>
      </c>
      <c r="B17" t="str">
        <v>BEKISTING BALOK (Material) — ratio 12.722584832858532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6.361292416429266</v>
      </c>
      <c r="J18">
        <v>1272258.4832858532</v>
      </c>
      <c r="K18">
        <v>17.6405</v>
      </c>
      <c r="L18">
        <v>3528100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28.625815873931696</v>
      </c>
      <c r="J19">
        <v>1362588.8355991486</v>
      </c>
      <c r="K19">
        <v>79.38225</v>
      </c>
      <c r="L19">
        <v>3778595.0999999996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9.5419386246439</v>
      </c>
      <c r="J20">
        <v>454196.2785330496</v>
      </c>
      <c r="K20">
        <v>26.46075</v>
      </c>
      <c r="L20">
        <v>1259531.7000000002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4.77096931232195</v>
      </c>
      <c r="J21">
        <v>62022.60106018535</v>
      </c>
      <c r="K21">
        <v>13.230375</v>
      </c>
      <c r="L21">
        <v>171994.875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1.5903231041073165</v>
      </c>
      <c r="J22">
        <v>43733.8853629512</v>
      </c>
      <c r="K22">
        <v>4.410125</v>
      </c>
      <c r="L22">
        <v>121278.43749999999</v>
      </c>
    </row>
    <row r="23">
      <c r="A23">
        <v>5</v>
      </c>
      <c r="B23" t="str">
        <v>BEKISTING BALOK PERALATAN (Material) — Perancah, ratio 12.722584832858532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3.180646208214633</v>
      </c>
      <c r="J24">
        <v>648094.9504799414</v>
      </c>
      <c r="K24">
        <v>8.82025</v>
      </c>
      <c r="L24">
        <v>1797232.1071759257</v>
      </c>
    </row>
    <row r="25">
      <c r="A25">
        <v>6</v>
      </c>
      <c r="B25" t="str">
        <v>PEMBESIAN (Material) — ratio 267.68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D10</v>
      </c>
      <c r="D26" t="str">
        <v>U24/U40 polos</v>
      </c>
      <c r="E26">
        <v>130.9053748512495</v>
      </c>
      <c r="F26" t="str">
        <v>kg</v>
      </c>
      <c r="G26" t="str">
        <v>per m3 beton</v>
      </c>
      <c r="H26">
        <v>10300</v>
      </c>
      <c r="I26">
        <v>130.9053748512495</v>
      </c>
      <c r="J26">
        <v>1348325.3609678696</v>
      </c>
      <c r="K26">
        <v>363.013695</v>
      </c>
      <c r="L26">
        <v>3739041.0585</v>
      </c>
    </row>
    <row r="27">
      <c r="A27" t="str">
        <v/>
      </c>
      <c r="B27" t="str">
        <v/>
      </c>
      <c r="C27" t="str">
        <v>Besi beton D16</v>
      </c>
      <c r="D27" t="str">
        <v>U24/U40 polos</v>
      </c>
      <c r="E27">
        <v>136.77434991886335</v>
      </c>
      <c r="F27" t="str">
        <v>kg</v>
      </c>
      <c r="G27" t="str">
        <v>per m3 beton</v>
      </c>
      <c r="H27">
        <v>10300</v>
      </c>
      <c r="I27">
        <v>136.77434991886335</v>
      </c>
      <c r="J27">
        <v>1408775.8041642925</v>
      </c>
      <c r="K27">
        <v>379.28894976</v>
      </c>
      <c r="L27">
        <v>3906676.182528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13.383986238505654</v>
      </c>
      <c r="J28">
        <v>137855.05825660823</v>
      </c>
      <c r="K28">
        <v>37.11513223800004</v>
      </c>
      <c r="L28">
        <v>382285.86205140036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267.67972477011284</v>
      </c>
      <c r="J29">
        <v>26767.972477011284</v>
      </c>
      <c r="K29">
        <v>742.30264476</v>
      </c>
      <c r="L29">
        <v>74230.264476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5.62127422017237</v>
      </c>
      <c r="J30">
        <v>98372.29885301647</v>
      </c>
      <c r="K30">
        <v>15.58835553996</v>
      </c>
      <c r="L30">
        <v>272796.22194930003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9754424.029039929</v>
      </c>
      <c r="J32" t="str">
        <v/>
      </c>
      <c r="K32" t="str">
        <v/>
      </c>
      <c r="L32">
        <v>27049993.27493063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9754424.029039929</v>
      </c>
    </row>
    <row r="36">
      <c r="A36" t="str">
        <v>RAB (A) source unit cost</v>
      </c>
      <c r="B36">
        <v>9754424.029039927</v>
      </c>
    </row>
    <row r="37">
      <c r="A37" t="str">
        <v>Variance</v>
      </c>
      <c r="B37">
        <v>1.862645149230957e-9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27049993.27493063</v>
      </c>
    </row>
    <row r="40">
      <c r="A40" t="str">
        <v>RAB (A) source line total</v>
      </c>
      <c r="B40">
        <v>30836992.33342091</v>
      </c>
    </row>
    <row r="41">
      <c r="A41" t="str">
        <v>Variance</v>
      </c>
      <c r="B41">
        <v>-3786999.05849028</v>
      </c>
      <c r="C41" t="str">
        <v>✓ OK</v>
      </c>
    </row>
  </sheetData>
  <ignoredErrors>
    <ignoredError numberStoredAsText="1" sqref="A1:L41"/>
  </ignoredErrors>
</worksheet>
</file>

<file path=xl/worksheets/sheet205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VI.A.2.18 - Balok B25-3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B25-3</v>
      </c>
    </row>
    <row r="5">
      <c r="A5" t="str">
        <v>Unit</v>
      </c>
      <c r="B5" t="str">
        <v>m3</v>
      </c>
    </row>
    <row r="6">
      <c r="A6" t="str">
        <v>Volume</v>
      </c>
      <c r="B6">
        <v>2.85418</v>
      </c>
    </row>
    <row r="7">
      <c r="A7" t="str">
        <v>Unit cost (Rp/m3)</v>
      </c>
      <c r="B7">
        <v>9967384.345971296</v>
      </c>
    </row>
    <row r="8">
      <c r="A8" t="str">
        <v>Line total at-cost (Rp)</v>
      </c>
      <c r="B8">
        <v>28448709.05258435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2.996889</v>
      </c>
      <c r="L12">
        <v>3043790.312850001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2.85418</v>
      </c>
      <c r="L14">
        <v>214063.5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2.85418</v>
      </c>
      <c r="L16">
        <v>4994815</v>
      </c>
    </row>
    <row r="17">
      <c r="A17">
        <v>4</v>
      </c>
      <c r="B17" t="str">
        <v>BEKISTING BALOK (Material) — ratio 12.702702702702704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6.351351351351352</v>
      </c>
      <c r="J18">
        <v>1270270.2702702703</v>
      </c>
      <c r="K18">
        <v>18.1279</v>
      </c>
      <c r="L18">
        <v>3625580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28.581081081081084</v>
      </c>
      <c r="J19">
        <v>1360459.4594594596</v>
      </c>
      <c r="K19">
        <v>81.57555</v>
      </c>
      <c r="L19">
        <v>3882996.1800000006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9.527027027027028</v>
      </c>
      <c r="J20">
        <v>453486.4864864865</v>
      </c>
      <c r="K20">
        <v>27.191850000000002</v>
      </c>
      <c r="L20">
        <v>1294332.06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4.763513513513514</v>
      </c>
      <c r="J21">
        <v>61925.67567567568</v>
      </c>
      <c r="K21">
        <v>13.595925000000001</v>
      </c>
      <c r="L21">
        <v>176747.02500000002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1.587837837837838</v>
      </c>
      <c r="J22">
        <v>43665.54054054054</v>
      </c>
      <c r="K22">
        <v>4.531975</v>
      </c>
      <c r="L22">
        <v>124629.3125</v>
      </c>
    </row>
    <row r="23">
      <c r="A23">
        <v>5</v>
      </c>
      <c r="B23" t="str">
        <v>BEKISTING BALOK PERALATAN (Material) — Perancah, ratio 12.702702702702704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3.175675675675676</v>
      </c>
      <c r="J24">
        <v>647082.1446446447</v>
      </c>
      <c r="K24">
        <v>9.06395</v>
      </c>
      <c r="L24">
        <v>1846888.915601852</v>
      </c>
    </row>
    <row r="25">
      <c r="A25">
        <v>6</v>
      </c>
      <c r="B25" t="str">
        <v>PEMBESIAN (Material) — ratio 287.09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D10</v>
      </c>
      <c r="D26" t="str">
        <v>U24/U40 polos</v>
      </c>
      <c r="E26">
        <v>103.62983588981774</v>
      </c>
      <c r="F26" t="str">
        <v>kg</v>
      </c>
      <c r="G26" t="str">
        <v>per m3 beton</v>
      </c>
      <c r="H26">
        <v>10300</v>
      </c>
      <c r="I26">
        <v>103.62983588981774</v>
      </c>
      <c r="J26">
        <v>1067387.3096651228</v>
      </c>
      <c r="K26">
        <v>295.778205</v>
      </c>
      <c r="L26">
        <v>3046515.5115</v>
      </c>
    </row>
    <row r="27">
      <c r="A27" t="str">
        <v/>
      </c>
      <c r="B27" t="str">
        <v/>
      </c>
      <c r="C27" t="str">
        <v>Besi beton D16</v>
      </c>
      <c r="D27" t="str">
        <v>U24/U40 polos</v>
      </c>
      <c r="E27">
        <v>183.4574469725105</v>
      </c>
      <c r="F27" t="str">
        <v>kg</v>
      </c>
      <c r="G27" t="str">
        <v>per m3 beton</v>
      </c>
      <c r="H27">
        <v>10300</v>
      </c>
      <c r="I27">
        <v>183.4574469725105</v>
      </c>
      <c r="J27">
        <v>1889611.7038168581</v>
      </c>
      <c r="K27">
        <v>523.620576</v>
      </c>
      <c r="L27">
        <v>5393291.9328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14.354364143116426</v>
      </c>
      <c r="J28">
        <v>147849.95067409918</v>
      </c>
      <c r="K28">
        <v>40.969939050000036</v>
      </c>
      <c r="L28">
        <v>421990.3722150004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287.08728286232827</v>
      </c>
      <c r="J29">
        <v>28708.72828623283</v>
      </c>
      <c r="K29">
        <v>819.3987810000001</v>
      </c>
      <c r="L29">
        <v>81939.87810000002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6.028832940108894</v>
      </c>
      <c r="J30">
        <v>105504.57645190565</v>
      </c>
      <c r="K30">
        <v>17.207374401000003</v>
      </c>
      <c r="L30">
        <v>301129.0520175001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9967384.345971296</v>
      </c>
      <c r="J32" t="str">
        <v/>
      </c>
      <c r="K32" t="str">
        <v/>
      </c>
      <c r="L32">
        <v>28448709.05258435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9967384.345971296</v>
      </c>
    </row>
    <row r="36">
      <c r="A36" t="str">
        <v>RAB (A) source unit cost</v>
      </c>
      <c r="B36">
        <v>9967384.345971296</v>
      </c>
    </row>
    <row r="37">
      <c r="A37" t="str">
        <v>Variance</v>
      </c>
      <c r="B37">
        <v>0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28448709.05258435</v>
      </c>
    </row>
    <row r="40">
      <c r="A40" t="str">
        <v>RAB (A) source line total</v>
      </c>
      <c r="B40">
        <v>32431528.31994616</v>
      </c>
    </row>
    <row r="41">
      <c r="A41" t="str">
        <v>Variance</v>
      </c>
      <c r="B41">
        <v>-3982819.2673618086</v>
      </c>
      <c r="C41" t="str">
        <v>✓ OK</v>
      </c>
    </row>
  </sheetData>
  <ignoredErrors>
    <ignoredError numberStoredAsText="1" sqref="A1:L41"/>
  </ignoredErrors>
</worksheet>
</file>

<file path=xl/worksheets/sheet206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VI.A.2.19 - Balok B25-4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B25-4</v>
      </c>
    </row>
    <row r="5">
      <c r="A5" t="str">
        <v>Unit</v>
      </c>
      <c r="B5" t="str">
        <v>m3</v>
      </c>
    </row>
    <row r="6">
      <c r="A6" t="str">
        <v>Volume</v>
      </c>
      <c r="B6">
        <v>0.6031</v>
      </c>
    </row>
    <row r="7">
      <c r="A7" t="str">
        <v>Unit cost (Rp/m3)</v>
      </c>
      <c r="B7">
        <v>10300000.499662055</v>
      </c>
    </row>
    <row r="8">
      <c r="A8" t="str">
        <v>Line total at-cost (Rp)</v>
      </c>
      <c r="B8">
        <v>6211930.301346185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0.633255</v>
      </c>
      <c r="L12">
        <v>643165.4407500001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0.6031</v>
      </c>
      <c r="L14">
        <v>45232.5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0.6031</v>
      </c>
      <c r="L16">
        <v>1055425</v>
      </c>
    </row>
    <row r="17">
      <c r="A17">
        <v>4</v>
      </c>
      <c r="B17" t="str">
        <v>BEKISTING BALOK (Material) — ratio 12.702702702702704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6.351351351351352</v>
      </c>
      <c r="J18">
        <v>1270270.2702702703</v>
      </c>
      <c r="K18">
        <v>3.8305000000000002</v>
      </c>
      <c r="L18">
        <v>766100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28.581081081081084</v>
      </c>
      <c r="J19">
        <v>1360459.4594594596</v>
      </c>
      <c r="K19">
        <v>17.23725</v>
      </c>
      <c r="L19">
        <v>820493.1000000001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9.527027027027028</v>
      </c>
      <c r="J20">
        <v>453486.4864864865</v>
      </c>
      <c r="K20">
        <v>5.74575</v>
      </c>
      <c r="L20">
        <v>273497.7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4.763513513513514</v>
      </c>
      <c r="J21">
        <v>61925.67567567568</v>
      </c>
      <c r="K21">
        <v>2.872875</v>
      </c>
      <c r="L21">
        <v>37347.375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1.587837837837838</v>
      </c>
      <c r="J22">
        <v>43665.54054054054</v>
      </c>
      <c r="K22">
        <v>0.9576250000000001</v>
      </c>
      <c r="L22">
        <v>26334.6875</v>
      </c>
    </row>
    <row r="23">
      <c r="A23">
        <v>5</v>
      </c>
      <c r="B23" t="str">
        <v>BEKISTING BALOK PERALATAN (Material) — Perancah, ratio 12.702702702702704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3.175675675675676</v>
      </c>
      <c r="J24">
        <v>647082.1446446447</v>
      </c>
      <c r="K24">
        <v>1.9152500000000001</v>
      </c>
      <c r="L24">
        <v>390255.2414351852</v>
      </c>
    </row>
    <row r="25">
      <c r="A25">
        <v>6</v>
      </c>
      <c r="B25" t="str">
        <v>PEMBESIAN (Material) — ratio 316.57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D10</v>
      </c>
      <c r="D26" t="str">
        <v>U24/U40 polos</v>
      </c>
      <c r="E26">
        <v>102.6511855413696</v>
      </c>
      <c r="F26" t="str">
        <v>kg</v>
      </c>
      <c r="G26" t="str">
        <v>per m3 beton</v>
      </c>
      <c r="H26">
        <v>10300</v>
      </c>
      <c r="I26">
        <v>102.6511855413696</v>
      </c>
      <c r="J26">
        <v>1057307.2110761069</v>
      </c>
      <c r="K26">
        <v>61.908930000000005</v>
      </c>
      <c r="L26">
        <v>637661.979</v>
      </c>
    </row>
    <row r="27">
      <c r="A27" t="str">
        <v/>
      </c>
      <c r="B27" t="str">
        <v/>
      </c>
      <c r="C27" t="str">
        <v>Besi beton D16</v>
      </c>
      <c r="D27" t="str">
        <v>U24/U40 polos</v>
      </c>
      <c r="E27">
        <v>213.91681114243084</v>
      </c>
      <c r="F27" t="str">
        <v>kg</v>
      </c>
      <c r="G27" t="str">
        <v>per m3 beton</v>
      </c>
      <c r="H27">
        <v>10300</v>
      </c>
      <c r="I27">
        <v>213.91681114243084</v>
      </c>
      <c r="J27">
        <v>2203343.154767038</v>
      </c>
      <c r="K27">
        <v>129.01322880000004</v>
      </c>
      <c r="L27">
        <v>1328836.2566400005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15.828399834190037</v>
      </c>
      <c r="J28">
        <v>163032.5182921574</v>
      </c>
      <c r="K28">
        <v>9.546107940000011</v>
      </c>
      <c r="L28">
        <v>98324.91178200011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316.56799668380046</v>
      </c>
      <c r="J29">
        <v>31656.799668380045</v>
      </c>
      <c r="K29">
        <v>190.92215880000003</v>
      </c>
      <c r="L29">
        <v>19092.215880000003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6.64792793035981</v>
      </c>
      <c r="J30">
        <v>116338.73878129668</v>
      </c>
      <c r="K30">
        <v>4.009365334800001</v>
      </c>
      <c r="L30">
        <v>70163.89335900002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10300000.499662055</v>
      </c>
      <c r="J32" t="str">
        <v/>
      </c>
      <c r="K32" t="str">
        <v/>
      </c>
      <c r="L32">
        <v>6211930.301346185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10300000.499662055</v>
      </c>
    </row>
    <row r="36">
      <c r="A36" t="str">
        <v>RAB (A) source unit cost</v>
      </c>
      <c r="B36">
        <v>10300000.499662057</v>
      </c>
    </row>
    <row r="37">
      <c r="A37" t="str">
        <v>Variance</v>
      </c>
      <c r="B37">
        <v>-1.862645149230957e-9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6211930.301346185</v>
      </c>
    </row>
    <row r="40">
      <c r="A40" t="str">
        <v>RAB (A) source line total</v>
      </c>
      <c r="B40">
        <v>7081600.543534651</v>
      </c>
    </row>
    <row r="41">
      <c r="A41" t="str">
        <v>Variance</v>
      </c>
      <c r="B41">
        <v>-869670.2421884667</v>
      </c>
      <c r="C41" t="str">
        <v>✓ OK</v>
      </c>
    </row>
  </sheetData>
  <ignoredErrors>
    <ignoredError numberStoredAsText="1" sqref="A1:L41"/>
  </ignoredErrors>
</worksheet>
</file>

<file path=xl/worksheets/sheet207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VI.A.2.20 - Balok B25-5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B25-5</v>
      </c>
    </row>
    <row r="5">
      <c r="A5" t="str">
        <v>Unit</v>
      </c>
      <c r="B5" t="str">
        <v>m3</v>
      </c>
    </row>
    <row r="6">
      <c r="A6" t="str">
        <v>Volume</v>
      </c>
      <c r="B6">
        <v>1.3374000000000001</v>
      </c>
    </row>
    <row r="7">
      <c r="A7" t="str">
        <v>Unit cost (Rp/m3)</v>
      </c>
      <c r="B7">
        <v>10819001.075527947</v>
      </c>
    </row>
    <row r="8">
      <c r="A8" t="str">
        <v>Line total at-cost (Rp)</v>
      </c>
      <c r="B8">
        <v>14469332.038411079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1.4042700000000001</v>
      </c>
      <c r="L12">
        <v>1426246.8255000005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1.3374000000000001</v>
      </c>
      <c r="L14">
        <v>100305.00000000001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1.3374000000000001</v>
      </c>
      <c r="L16">
        <v>2340450.0000000005</v>
      </c>
    </row>
    <row r="17">
      <c r="A17">
        <v>4</v>
      </c>
      <c r="B17" t="str">
        <v>BEKISTING BALOK (Material) — ratio 12.781516375056079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6.390758187528039</v>
      </c>
      <c r="J18">
        <v>1278151.637505608</v>
      </c>
      <c r="K18">
        <v>8.547</v>
      </c>
      <c r="L18">
        <v>1709400.0000000002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28.758411843876175</v>
      </c>
      <c r="J19">
        <v>1368900.403768506</v>
      </c>
      <c r="K19">
        <v>38.4615</v>
      </c>
      <c r="L19">
        <v>1830767.4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9.586137281292059</v>
      </c>
      <c r="J20">
        <v>456300.134589502</v>
      </c>
      <c r="K20">
        <v>12.820500000000001</v>
      </c>
      <c r="L20">
        <v>610255.8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4.793068640646029</v>
      </c>
      <c r="J21">
        <v>62309.89232839838</v>
      </c>
      <c r="K21">
        <v>6.4102500000000004</v>
      </c>
      <c r="L21">
        <v>83333.25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1.5976895468820098</v>
      </c>
      <c r="J22">
        <v>43936.46253925527</v>
      </c>
      <c r="K22">
        <v>2.13675</v>
      </c>
      <c r="L22">
        <v>58760.62500000001</v>
      </c>
    </row>
    <row r="23">
      <c r="A23">
        <v>5</v>
      </c>
      <c r="B23" t="str">
        <v>BEKISTING BALOK PERALATAN (Material) — Perancah, ratio 12.781516375056079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3.1953790937640196</v>
      </c>
      <c r="J24">
        <v>651096.953250918</v>
      </c>
      <c r="K24">
        <v>4.2735</v>
      </c>
      <c r="L24">
        <v>870777.0652777777</v>
      </c>
    </row>
    <row r="25">
      <c r="A25">
        <v>6</v>
      </c>
      <c r="B25" t="str">
        <v>PEMBESIAN (Material) — ratio 360.46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D10</v>
      </c>
      <c r="D26" t="str">
        <v>U24/U40 polos</v>
      </c>
      <c r="E26">
        <v>98.10343203230147</v>
      </c>
      <c r="F26" t="str">
        <v>kg</v>
      </c>
      <c r="G26" t="str">
        <v>per m3 beton</v>
      </c>
      <c r="H26">
        <v>10300</v>
      </c>
      <c r="I26">
        <v>98.10343203230147</v>
      </c>
      <c r="J26">
        <v>1010465.3499327052</v>
      </c>
      <c r="K26">
        <v>131.20353</v>
      </c>
      <c r="L26">
        <v>1351396.359</v>
      </c>
    </row>
    <row r="27">
      <c r="A27" t="str">
        <v/>
      </c>
      <c r="B27" t="str">
        <v/>
      </c>
      <c r="C27" t="str">
        <v>Besi beton D19</v>
      </c>
      <c r="D27" t="str">
        <v>U24/U40 polos</v>
      </c>
      <c r="E27">
        <v>262.35507375504704</v>
      </c>
      <c r="F27" t="str">
        <v>kg</v>
      </c>
      <c r="G27" t="str">
        <v>per m3 beton</v>
      </c>
      <c r="H27">
        <v>10300</v>
      </c>
      <c r="I27">
        <v>262.35507375504704</v>
      </c>
      <c r="J27">
        <v>2702257.2596769845</v>
      </c>
      <c r="K27">
        <v>350.87367563999993</v>
      </c>
      <c r="L27">
        <v>3613998.8590919995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18.02292528936744</v>
      </c>
      <c r="J28">
        <v>185636.13048048463</v>
      </c>
      <c r="K28">
        <v>24.103860282000017</v>
      </c>
      <c r="L28">
        <v>248269.76090460017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360.4585057873485</v>
      </c>
      <c r="J29">
        <v>36045.85057873485</v>
      </c>
      <c r="K29">
        <v>482.07720563999993</v>
      </c>
      <c r="L29">
        <v>48207.72056399999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7.569628621534319</v>
      </c>
      <c r="J30">
        <v>132468.5008768506</v>
      </c>
      <c r="K30">
        <v>10.12362131844</v>
      </c>
      <c r="L30">
        <v>177163.3730727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10819001.075527947</v>
      </c>
      <c r="J32" t="str">
        <v/>
      </c>
      <c r="K32" t="str">
        <v/>
      </c>
      <c r="L32">
        <v>14469332.038411079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10819001.075527947</v>
      </c>
    </row>
    <row r="36">
      <c r="A36" t="str">
        <v>RAB (A) source unit cost</v>
      </c>
      <c r="B36">
        <v>10819001.075527947</v>
      </c>
    </row>
    <row r="37">
      <c r="A37" t="str">
        <v>Variance</v>
      </c>
      <c r="B37">
        <v>0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14469332.038411079</v>
      </c>
    </row>
    <row r="40">
      <c r="A40" t="str">
        <v>RAB (A) source line total</v>
      </c>
      <c r="B40">
        <v>16495038.523788627</v>
      </c>
    </row>
    <row r="41">
      <c r="A41" t="str">
        <v>Variance</v>
      </c>
      <c r="B41">
        <v>-2025706.4853775483</v>
      </c>
      <c r="C41" t="str">
        <v>✓ OK</v>
      </c>
    </row>
  </sheetData>
  <ignoredErrors>
    <ignoredError numberStoredAsText="1" sqref="A1:L41"/>
  </ignoredErrors>
</worksheet>
</file>

<file path=xl/worksheets/sheet208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VI.A.2.21 - Balok B26-4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B26-4</v>
      </c>
    </row>
    <row r="5">
      <c r="A5" t="str">
        <v>Unit</v>
      </c>
      <c r="B5" t="str">
        <v>m3</v>
      </c>
    </row>
    <row r="6">
      <c r="A6" t="str">
        <v>Volume</v>
      </c>
      <c r="B6">
        <v>0.2726</v>
      </c>
    </row>
    <row r="7">
      <c r="A7" t="str">
        <v>Unit cost (Rp/m3)</v>
      </c>
      <c r="B7">
        <v>11321181.452933092</v>
      </c>
    </row>
    <row r="8">
      <c r="A8" t="str">
        <v>Line total at-cost (Rp)</v>
      </c>
      <c r="B8">
        <v>3086154.0640695607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0.28623000000000004</v>
      </c>
      <c r="L12">
        <v>290709.4995000001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0.2726</v>
      </c>
      <c r="L14">
        <v>20445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0.2726</v>
      </c>
      <c r="L16">
        <v>477050</v>
      </c>
    </row>
    <row r="17">
      <c r="A17">
        <v>4</v>
      </c>
      <c r="B17" t="str">
        <v>BEKISTING BALOK (Material) — ratio 12.127659574468085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6.0638297872340425</v>
      </c>
      <c r="J18">
        <v>1212765.9574468085</v>
      </c>
      <c r="K18">
        <v>1.653</v>
      </c>
      <c r="L18">
        <v>330600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27.28723404255319</v>
      </c>
      <c r="J19">
        <v>1298872.3404255318</v>
      </c>
      <c r="K19">
        <v>7.4385</v>
      </c>
      <c r="L19">
        <v>354072.6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9.095744680851064</v>
      </c>
      <c r="J20">
        <v>432957.44680851063</v>
      </c>
      <c r="K20">
        <v>2.4795000000000003</v>
      </c>
      <c r="L20">
        <v>118024.2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4.547872340425532</v>
      </c>
      <c r="J21">
        <v>59122.34042553192</v>
      </c>
      <c r="K21">
        <v>1.2397500000000001</v>
      </c>
      <c r="L21">
        <v>16116.750000000002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1.5159574468085106</v>
      </c>
      <c r="J22">
        <v>41688.82978723404</v>
      </c>
      <c r="K22">
        <v>0.41325</v>
      </c>
      <c r="L22">
        <v>11364.375</v>
      </c>
    </row>
    <row r="23">
      <c r="A23">
        <v>5</v>
      </c>
      <c r="B23" t="str">
        <v>BEKISTING BALOK PERALATAN (Material) — Perancah, ratio 12.127659574468085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3.0319148936170213</v>
      </c>
      <c r="J24">
        <v>617789.1548463356</v>
      </c>
      <c r="K24">
        <v>0.8265</v>
      </c>
      <c r="L24">
        <v>168409.3236111111</v>
      </c>
    </row>
    <row r="25">
      <c r="A25">
        <v>6</v>
      </c>
      <c r="B25" t="str">
        <v>PEMBESIAN (Material) — ratio 422.47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D10</v>
      </c>
      <c r="D26" t="str">
        <v>U24/U40 polos</v>
      </c>
      <c r="E26">
        <v>175.8811628760088</v>
      </c>
      <c r="F26" t="str">
        <v>kg</v>
      </c>
      <c r="G26" t="str">
        <v>per m3 beton</v>
      </c>
      <c r="H26">
        <v>10300</v>
      </c>
      <c r="I26">
        <v>175.8811628760088</v>
      </c>
      <c r="J26">
        <v>1811575.9776228906</v>
      </c>
      <c r="K26">
        <v>47.945205</v>
      </c>
      <c r="L26">
        <v>493835.6115</v>
      </c>
    </row>
    <row r="27">
      <c r="A27" t="str">
        <v/>
      </c>
      <c r="B27" t="str">
        <v/>
      </c>
      <c r="C27" t="str">
        <v>Besi beton D19</v>
      </c>
      <c r="D27" t="str">
        <v>U24/U40 polos</v>
      </c>
      <c r="E27">
        <v>246.59194886280258</v>
      </c>
      <c r="F27" t="str">
        <v>kg</v>
      </c>
      <c r="G27" t="str">
        <v>per m3 beton</v>
      </c>
      <c r="H27">
        <v>10300</v>
      </c>
      <c r="I27">
        <v>246.59194886280258</v>
      </c>
      <c r="J27">
        <v>2539897.073286867</v>
      </c>
      <c r="K27">
        <v>67.22096525999999</v>
      </c>
      <c r="L27">
        <v>692375.9421779999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21.123655586940586</v>
      </c>
      <c r="J28">
        <v>217573.65254548803</v>
      </c>
      <c r="K28">
        <v>5.758308513000004</v>
      </c>
      <c r="L28">
        <v>59310.57768390004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422.4731117388114</v>
      </c>
      <c r="J29">
        <v>42247.311173881135</v>
      </c>
      <c r="K29">
        <v>115.16617025999999</v>
      </c>
      <c r="L29">
        <v>11516.617025999998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8.87193534651504</v>
      </c>
      <c r="J30">
        <v>155258.8685640132</v>
      </c>
      <c r="K30">
        <v>2.4184895754599998</v>
      </c>
      <c r="L30">
        <v>42323.567570549996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11321181.452933092</v>
      </c>
      <c r="J32" t="str">
        <v/>
      </c>
      <c r="K32" t="str">
        <v/>
      </c>
      <c r="L32">
        <v>3086154.0640695607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11321181.452933092</v>
      </c>
    </row>
    <row r="36">
      <c r="A36" t="str">
        <v>RAB (A) source unit cost</v>
      </c>
      <c r="B36">
        <v>11321181.45293309</v>
      </c>
    </row>
    <row r="37">
      <c r="A37" t="str">
        <v>Variance</v>
      </c>
      <c r="B37">
        <v>1.862645149230957e-9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3086154.0640695607</v>
      </c>
    </row>
    <row r="40">
      <c r="A40" t="str">
        <v>RAB (A) source line total</v>
      </c>
      <c r="B40">
        <v>3518215.633039299</v>
      </c>
    </row>
    <row r="41">
      <c r="A41" t="str">
        <v>Variance</v>
      </c>
      <c r="B41">
        <v>-432061.5689697382</v>
      </c>
      <c r="C41" t="str">
        <v>✓ OK</v>
      </c>
    </row>
  </sheetData>
  <ignoredErrors>
    <ignoredError numberStoredAsText="1" sqref="A1:L41"/>
  </ignoredErrors>
</worksheet>
</file>

<file path=xl/worksheets/sheet209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VI.A.2.22 - Balok CL26-1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CL26-1</v>
      </c>
    </row>
    <row r="5">
      <c r="A5" t="str">
        <v>Unit</v>
      </c>
      <c r="B5" t="str">
        <v>m3</v>
      </c>
    </row>
    <row r="6">
      <c r="A6" t="str">
        <v>Volume</v>
      </c>
      <c r="B6">
        <v>0.09729</v>
      </c>
    </row>
    <row r="7">
      <c r="A7" t="str">
        <v>Unit cost (Rp/m3)</v>
      </c>
      <c r="B7">
        <v>9618802.895910164</v>
      </c>
    </row>
    <row r="8">
      <c r="A8" t="str">
        <v>Line total at-cost (Rp)</v>
      </c>
      <c r="B8">
        <v>935813.3337430999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0.10215450000000001</v>
      </c>
      <c r="L12">
        <v>103753.21792500002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0.09729</v>
      </c>
      <c r="L14">
        <v>7296.75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0.09729</v>
      </c>
      <c r="L16">
        <v>170257.5</v>
      </c>
    </row>
    <row r="17">
      <c r="A17">
        <v>4</v>
      </c>
      <c r="B17" t="str">
        <v>BEKISTING BALOK (Material) — ratio 12.127659574468085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6.0638297872340425</v>
      </c>
      <c r="J18">
        <v>1212765.9574468085</v>
      </c>
      <c r="K18">
        <v>0.58995</v>
      </c>
      <c r="L18">
        <v>117990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27.28723404255319</v>
      </c>
      <c r="J19">
        <v>1298872.3404255318</v>
      </c>
      <c r="K19">
        <v>2.654775</v>
      </c>
      <c r="L19">
        <v>126367.29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9.095744680851064</v>
      </c>
      <c r="J20">
        <v>432957.44680851063</v>
      </c>
      <c r="K20">
        <v>0.8849250000000001</v>
      </c>
      <c r="L20">
        <v>42122.43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4.547872340425532</v>
      </c>
      <c r="J21">
        <v>59122.34042553192</v>
      </c>
      <c r="K21">
        <v>0.44246250000000004</v>
      </c>
      <c r="L21">
        <v>5752.012500000001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1.5159574468085106</v>
      </c>
      <c r="J22">
        <v>41688.82978723404</v>
      </c>
      <c r="K22">
        <v>0.1474875</v>
      </c>
      <c r="L22">
        <v>4055.90625</v>
      </c>
    </row>
    <row r="23">
      <c r="A23">
        <v>5</v>
      </c>
      <c r="B23" t="str">
        <v>BEKISTING BALOK PERALATAN (Material) — Perancah, ratio 12.127659574468085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3.0319148936170213</v>
      </c>
      <c r="J24">
        <v>617789.1548463356</v>
      </c>
      <c r="K24">
        <v>0.294975</v>
      </c>
      <c r="L24">
        <v>60104.706874999996</v>
      </c>
    </row>
    <row r="25">
      <c r="A25">
        <v>6</v>
      </c>
      <c r="B25" t="str">
        <v>PEMBESIAN (Material) — ratio 271.59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D10</v>
      </c>
      <c r="D26" t="str">
        <v>U24/U40 polos</v>
      </c>
      <c r="E26">
        <v>88.65078630897318</v>
      </c>
      <c r="F26" t="str">
        <v>kg</v>
      </c>
      <c r="G26" t="str">
        <v>per m3 beton</v>
      </c>
      <c r="H26">
        <v>10300</v>
      </c>
      <c r="I26">
        <v>88.65078630897318</v>
      </c>
      <c r="J26">
        <v>913103.0989824238</v>
      </c>
      <c r="K26">
        <v>8.624835000000001</v>
      </c>
      <c r="L26">
        <v>88835.80050000001</v>
      </c>
    </row>
    <row r="27">
      <c r="A27" t="str">
        <v/>
      </c>
      <c r="B27" t="str">
        <v/>
      </c>
      <c r="C27" t="str">
        <v>Besi beton D16</v>
      </c>
      <c r="D27" t="str">
        <v>U24/U40 polos</v>
      </c>
      <c r="E27">
        <v>182.9356817761332</v>
      </c>
      <c r="F27" t="str">
        <v>kg</v>
      </c>
      <c r="G27" t="str">
        <v>per m3 beton</v>
      </c>
      <c r="H27">
        <v>10300</v>
      </c>
      <c r="I27">
        <v>182.9356817761332</v>
      </c>
      <c r="J27">
        <v>1884237.522294172</v>
      </c>
      <c r="K27">
        <v>17.79781248</v>
      </c>
      <c r="L27">
        <v>183317.468544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13.579323404255332</v>
      </c>
      <c r="J28">
        <v>139867.03106382993</v>
      </c>
      <c r="K28">
        <v>1.3211323740000012</v>
      </c>
      <c r="L28">
        <v>13607.663452200013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271.5864680851064</v>
      </c>
      <c r="J29">
        <v>27158.64680851064</v>
      </c>
      <c r="K29">
        <v>26.422647480000002</v>
      </c>
      <c r="L29">
        <v>2642.264748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5.703315829787234</v>
      </c>
      <c r="J30">
        <v>99808.0270212766</v>
      </c>
      <c r="K30">
        <v>0.55487559708</v>
      </c>
      <c r="L30">
        <v>9710.3229489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9618802.895910164</v>
      </c>
      <c r="J32" t="str">
        <v/>
      </c>
      <c r="K32" t="str">
        <v/>
      </c>
      <c r="L32">
        <v>935813.3337430999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9618802.895910164</v>
      </c>
    </row>
    <row r="36">
      <c r="A36" t="str">
        <v>RAB (A) source unit cost</v>
      </c>
      <c r="B36">
        <v>9618802.895910164</v>
      </c>
    </row>
    <row r="37">
      <c r="A37" t="str">
        <v>Variance</v>
      </c>
      <c r="B37">
        <v>0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935813.3337430999</v>
      </c>
    </row>
    <row r="40">
      <c r="A40" t="str">
        <v>RAB (A) source line total</v>
      </c>
      <c r="B40">
        <v>1066827.200467134</v>
      </c>
    </row>
    <row r="41">
      <c r="A41" t="str">
        <v>Variance</v>
      </c>
      <c r="B41">
        <v>-131013.86672403396</v>
      </c>
      <c r="C41" t="str">
        <v>✓ OK</v>
      </c>
    </row>
  </sheetData>
  <ignoredErrors>
    <ignoredError numberStoredAsText="1" sqref="A1:L41"/>
  </ignoredErrors>
</worksheet>
</file>

<file path=xl/worksheets/sheet210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VI.A.2.23 - Balok B2550-1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B2550-1</v>
      </c>
    </row>
    <row r="5">
      <c r="A5" t="str">
        <v>Unit</v>
      </c>
      <c r="B5" t="str">
        <v>m3</v>
      </c>
    </row>
    <row r="6">
      <c r="A6" t="str">
        <v>Volume</v>
      </c>
      <c r="B6">
        <v>1.776</v>
      </c>
    </row>
    <row r="7">
      <c r="A7" t="str">
        <v>Unit cost (Rp/m3)</v>
      </c>
      <c r="B7">
        <v>9707828.544340547</v>
      </c>
    </row>
    <row r="8">
      <c r="A8" t="str">
        <v>Line total at-cost (Rp)</v>
      </c>
      <c r="B8">
        <v>17241103.494748812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1.8648</v>
      </c>
      <c r="L12">
        <v>1893984.1200000003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1.776</v>
      </c>
      <c r="L14">
        <v>133200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1.776</v>
      </c>
      <c r="L16">
        <v>3108000</v>
      </c>
    </row>
    <row r="17">
      <c r="A17">
        <v>4</v>
      </c>
      <c r="B17" t="str">
        <v>BEKISTING BALOK (Material) — ratio 10.702702702702704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5.351351351351352</v>
      </c>
      <c r="J18">
        <v>1070270.2702702703</v>
      </c>
      <c r="K18">
        <v>9.504000000000001</v>
      </c>
      <c r="L18">
        <v>1900800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24.081081081081084</v>
      </c>
      <c r="J19">
        <v>1146259.4594594596</v>
      </c>
      <c r="K19">
        <v>42.76800000000001</v>
      </c>
      <c r="L19">
        <v>2035756.8000000003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8.027027027027028</v>
      </c>
      <c r="J20">
        <v>382086.4864864865</v>
      </c>
      <c r="K20">
        <v>14.256000000000002</v>
      </c>
      <c r="L20">
        <v>678585.6000000001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4.013513513513514</v>
      </c>
      <c r="J21">
        <v>52175.67567567568</v>
      </c>
      <c r="K21">
        <v>7.128000000000001</v>
      </c>
      <c r="L21">
        <v>92664.00000000001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1.337837837837838</v>
      </c>
      <c r="J22">
        <v>36790.54054054054</v>
      </c>
      <c r="K22">
        <v>2.3760000000000003</v>
      </c>
      <c r="L22">
        <v>65340</v>
      </c>
    </row>
    <row r="23">
      <c r="A23">
        <v>5</v>
      </c>
      <c r="B23" t="str">
        <v>BEKISTING BALOK PERALATAN (Material) — Perancah, ratio 10.702702702702704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2.675675675675676</v>
      </c>
      <c r="J24">
        <v>545201.1261261262</v>
      </c>
      <c r="K24">
        <v>4.752000000000001</v>
      </c>
      <c r="L24">
        <v>968277.2000000001</v>
      </c>
    </row>
    <row r="25">
      <c r="A25">
        <v>6</v>
      </c>
      <c r="B25" t="str">
        <v>PEMBESIAN (Material) — ratio 317.63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D10</v>
      </c>
      <c r="D26" t="str">
        <v>U24/U40 polos</v>
      </c>
      <c r="E26">
        <v>88.621875</v>
      </c>
      <c r="F26" t="str">
        <v>kg</v>
      </c>
      <c r="G26" t="str">
        <v>per m3 beton</v>
      </c>
      <c r="H26">
        <v>10300</v>
      </c>
      <c r="I26">
        <v>88.621875</v>
      </c>
      <c r="J26">
        <v>912805.3125</v>
      </c>
      <c r="K26">
        <v>157.39245</v>
      </c>
      <c r="L26">
        <v>1621142.235</v>
      </c>
    </row>
    <row r="27">
      <c r="A27" t="str">
        <v/>
      </c>
      <c r="B27" t="str">
        <v/>
      </c>
      <c r="C27" t="str">
        <v>Besi beton D19</v>
      </c>
      <c r="D27" t="str">
        <v>U24/U40 polos</v>
      </c>
      <c r="E27">
        <v>229.00387157939187</v>
      </c>
      <c r="F27" t="str">
        <v>kg</v>
      </c>
      <c r="G27" t="str">
        <v>per m3 beton</v>
      </c>
      <c r="H27">
        <v>10300</v>
      </c>
      <c r="I27">
        <v>229.00387157939187</v>
      </c>
      <c r="J27">
        <v>2358739.8772677365</v>
      </c>
      <c r="K27">
        <v>406.710875925</v>
      </c>
      <c r="L27">
        <v>4189122.0220275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15.88128732896961</v>
      </c>
      <c r="J28">
        <v>163577.25948838698</v>
      </c>
      <c r="K28">
        <v>28.205166296250027</v>
      </c>
      <c r="L28">
        <v>290513.2128513753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317.6257465793919</v>
      </c>
      <c r="J29">
        <v>31762.57465793919</v>
      </c>
      <c r="K29">
        <v>564.103325925</v>
      </c>
      <c r="L29">
        <v>56410.3325925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6.67014067816723</v>
      </c>
      <c r="J30">
        <v>116727.46186792653</v>
      </c>
      <c r="K30">
        <v>11.846169844425</v>
      </c>
      <c r="L30">
        <v>207307.9722774375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9707828.544340547</v>
      </c>
      <c r="J32" t="str">
        <v/>
      </c>
      <c r="K32" t="str">
        <v/>
      </c>
      <c r="L32">
        <v>17241103.494748812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9707828.544340547</v>
      </c>
    </row>
    <row r="36">
      <c r="A36" t="str">
        <v>RAB (A) source unit cost</v>
      </c>
      <c r="B36">
        <v>9707828.544340547</v>
      </c>
    </row>
    <row r="37">
      <c r="A37" t="str">
        <v>Variance</v>
      </c>
      <c r="B37">
        <v>0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17241103.494748812</v>
      </c>
    </row>
    <row r="40">
      <c r="A40" t="str">
        <v>RAB (A) source line total</v>
      </c>
      <c r="B40">
        <v>19654857.984013643</v>
      </c>
    </row>
    <row r="41">
      <c r="A41" t="str">
        <v>Variance</v>
      </c>
      <c r="B41">
        <v>-2413754.489264831</v>
      </c>
      <c r="C41" t="str">
        <v>✓ OK</v>
      </c>
    </row>
  </sheetData>
  <ignoredErrors>
    <ignoredError numberStoredAsText="1" sqref="A1:L41"/>
  </ignoredErrors>
</worksheet>
</file>

<file path=xl/worksheets/sheet211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VI.A.2.24 - Balok B35-2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B35-2</v>
      </c>
    </row>
    <row r="5">
      <c r="A5" t="str">
        <v>Unit</v>
      </c>
      <c r="B5" t="str">
        <v>m3</v>
      </c>
    </row>
    <row r="6">
      <c r="A6" t="str">
        <v>Volume</v>
      </c>
      <c r="B6">
        <v>1.5651000000000002</v>
      </c>
    </row>
    <row r="7">
      <c r="A7" t="str">
        <v>Unit cost (Rp/m3)</v>
      </c>
      <c r="B7">
        <v>8864686.167808529</v>
      </c>
    </row>
    <row r="8">
      <c r="A8" t="str">
        <v>Line total at-cost (Rp)</v>
      </c>
      <c r="B8">
        <v>13874120.32123713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1.6433550000000003</v>
      </c>
      <c r="L12">
        <v>1669073.5057500005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1.5651000000000002</v>
      </c>
      <c r="L14">
        <v>117382.50000000001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1.5651000000000002</v>
      </c>
      <c r="L16">
        <v>2738925.0000000005</v>
      </c>
    </row>
    <row r="17">
      <c r="A17">
        <v>4</v>
      </c>
      <c r="B17" t="str">
        <v>BEKISTING BALOK (Material) — ratio 9.36936936936937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4.684684684684685</v>
      </c>
      <c r="J18">
        <v>936936.9369369369</v>
      </c>
      <c r="K18">
        <v>7.332000000000001</v>
      </c>
      <c r="L18">
        <v>1466400.0000000002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21.08108108108108</v>
      </c>
      <c r="J19">
        <v>1003459.4594594594</v>
      </c>
      <c r="K19">
        <v>32.994</v>
      </c>
      <c r="L19">
        <v>1570514.4000000001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7.027027027027027</v>
      </c>
      <c r="J20">
        <v>334486.4864864865</v>
      </c>
      <c r="K20">
        <v>10.998000000000001</v>
      </c>
      <c r="L20">
        <v>523504.8000000001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3.5135135135135136</v>
      </c>
      <c r="J21">
        <v>45675.67567567568</v>
      </c>
      <c r="K21">
        <v>5.4990000000000006</v>
      </c>
      <c r="L21">
        <v>71487.00000000001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1.1711711711711712</v>
      </c>
      <c r="J22">
        <v>32207.207207207208</v>
      </c>
      <c r="K22">
        <v>1.8330000000000002</v>
      </c>
      <c r="L22">
        <v>50407.50000000001</v>
      </c>
    </row>
    <row r="23">
      <c r="A23">
        <v>5</v>
      </c>
      <c r="B23" t="str">
        <v>BEKISTING BALOK PERALATAN (Material) — Perancah, ratio 9.36936936936937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2.3423423423423424</v>
      </c>
      <c r="J24">
        <v>477280.4471137804</v>
      </c>
      <c r="K24">
        <v>3.6660000000000004</v>
      </c>
      <c r="L24">
        <v>746991.6277777778</v>
      </c>
    </row>
    <row r="25">
      <c r="A25">
        <v>6</v>
      </c>
      <c r="B25" t="str">
        <v>PEMBESIAN (Material) — ratio 278.59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D10</v>
      </c>
      <c r="D26" t="str">
        <v>U24/U40 polos</v>
      </c>
      <c r="E26">
        <v>77.39042553191489</v>
      </c>
      <c r="F26" t="str">
        <v>kg</v>
      </c>
      <c r="G26" t="str">
        <v>per m3 beton</v>
      </c>
      <c r="H26">
        <v>10300</v>
      </c>
      <c r="I26">
        <v>77.39042553191489</v>
      </c>
      <c r="J26">
        <v>797121.3829787233</v>
      </c>
      <c r="K26">
        <v>121.123755</v>
      </c>
      <c r="L26">
        <v>1247574.6764999998</v>
      </c>
    </row>
    <row r="27">
      <c r="A27" t="str">
        <v/>
      </c>
      <c r="B27" t="str">
        <v/>
      </c>
      <c r="C27" t="str">
        <v>Besi beton D19</v>
      </c>
      <c r="D27" t="str">
        <v>U24/U40 polos</v>
      </c>
      <c r="E27">
        <v>201.2009730879816</v>
      </c>
      <c r="F27" t="str">
        <v>kg</v>
      </c>
      <c r="G27" t="str">
        <v>per m3 beton</v>
      </c>
      <c r="H27">
        <v>10300</v>
      </c>
      <c r="I27">
        <v>201.2009730879816</v>
      </c>
      <c r="J27">
        <v>2072370.0228062104</v>
      </c>
      <c r="K27">
        <v>314.89964298</v>
      </c>
      <c r="L27">
        <v>3243466.3226940003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13.929569930994838</v>
      </c>
      <c r="J28">
        <v>143474.57028924683</v>
      </c>
      <c r="K28">
        <v>21.801169899000023</v>
      </c>
      <c r="L28">
        <v>224552.04995970023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278.5913986198965</v>
      </c>
      <c r="J29">
        <v>27859.13986198965</v>
      </c>
      <c r="K29">
        <v>436.02339798</v>
      </c>
      <c r="L29">
        <v>43602.33979800001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5.850419371017827</v>
      </c>
      <c r="J30">
        <v>102382.33899281197</v>
      </c>
      <c r="K30">
        <v>9.156491357580002</v>
      </c>
      <c r="L30">
        <v>160238.59875765003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8864686.167808529</v>
      </c>
      <c r="J32" t="str">
        <v/>
      </c>
      <c r="K32" t="str">
        <v/>
      </c>
      <c r="L32">
        <v>13874120.32123713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8864686.167808529</v>
      </c>
    </row>
    <row r="36">
      <c r="A36" t="str">
        <v>RAB (A) source unit cost</v>
      </c>
      <c r="B36">
        <v>8864686.167808529</v>
      </c>
    </row>
    <row r="37">
      <c r="A37" t="str">
        <v>Variance</v>
      </c>
      <c r="B37">
        <v>0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13874120.32123713</v>
      </c>
    </row>
    <row r="40">
      <c r="A40" t="str">
        <v>RAB (A) source line total</v>
      </c>
      <c r="B40">
        <v>15816497.16621033</v>
      </c>
    </row>
    <row r="41">
      <c r="A41" t="str">
        <v>Variance</v>
      </c>
      <c r="B41">
        <v>-1942376.844973199</v>
      </c>
      <c r="C41" t="str">
        <v>✓ OK</v>
      </c>
    </row>
  </sheetData>
  <ignoredErrors>
    <ignoredError numberStoredAsText="1" sqref="A1:L41"/>
  </ignoredErrors>
</worksheet>
</file>

<file path=xl/worksheets/sheet212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VI.A.2.25 - Balok B36-1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B36-1</v>
      </c>
    </row>
    <row r="5">
      <c r="A5" t="str">
        <v>Unit</v>
      </c>
      <c r="B5" t="str">
        <v>m3</v>
      </c>
    </row>
    <row r="6">
      <c r="A6" t="str">
        <v>Volume</v>
      </c>
      <c r="B6">
        <v>0.763515</v>
      </c>
    </row>
    <row r="7">
      <c r="A7" t="str">
        <v>Unit cost (Rp/m3)</v>
      </c>
      <c r="B7">
        <v>7898176.400399497</v>
      </c>
    </row>
    <row r="8">
      <c r="A8" t="str">
        <v>Line total at-cost (Rp)</v>
      </c>
      <c r="B8">
        <v>6030376.154351022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0.8016907500000001</v>
      </c>
      <c r="L12">
        <v>814237.2102375003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0.763515</v>
      </c>
      <c r="L14">
        <v>57263.62500000001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0.763515</v>
      </c>
      <c r="L16">
        <v>1336151.25</v>
      </c>
    </row>
    <row r="17">
      <c r="A17">
        <v>4</v>
      </c>
      <c r="B17" t="str">
        <v>BEKISTING BALOK (Material) — ratio 8.794326241134751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4.397163120567376</v>
      </c>
      <c r="J18">
        <v>879432.6241134751</v>
      </c>
      <c r="K18">
        <v>3.3573</v>
      </c>
      <c r="L18">
        <v>671460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19.78723404255319</v>
      </c>
      <c r="J19">
        <v>941872.3404255318</v>
      </c>
      <c r="K19">
        <v>15.107850000000001</v>
      </c>
      <c r="L19">
        <v>719133.66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6.595744680851063</v>
      </c>
      <c r="J20">
        <v>313957.44680851063</v>
      </c>
      <c r="K20">
        <v>5.03595</v>
      </c>
      <c r="L20">
        <v>239711.22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3.2978723404255317</v>
      </c>
      <c r="J21">
        <v>42872.34042553191</v>
      </c>
      <c r="K21">
        <v>2.517975</v>
      </c>
      <c r="L21">
        <v>32733.675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1.099290780141844</v>
      </c>
      <c r="J22">
        <v>30230.49645390071</v>
      </c>
      <c r="K22">
        <v>0.839325</v>
      </c>
      <c r="L22">
        <v>23081.4375</v>
      </c>
    </row>
    <row r="23">
      <c r="A23">
        <v>5</v>
      </c>
      <c r="B23" t="str">
        <v>BEKISTING BALOK PERALATAN (Material) — Perancah, ratio 8.794326241134751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2.198581560283688</v>
      </c>
      <c r="J24">
        <v>447987.45731547143</v>
      </c>
      <c r="K24">
        <v>1.67865</v>
      </c>
      <c r="L24">
        <v>342045.1434722222</v>
      </c>
    </row>
    <row r="25">
      <c r="A25">
        <v>6</v>
      </c>
      <c r="B25" t="str">
        <v>PEMBESIAN (Material) — ratio 208.32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D10</v>
      </c>
      <c r="D26" t="str">
        <v>U24/U40 polos</v>
      </c>
      <c r="E26">
        <v>98.12936877468026</v>
      </c>
      <c r="F26" t="str">
        <v>kg</v>
      </c>
      <c r="G26" t="str">
        <v>per m3 beton</v>
      </c>
      <c r="H26">
        <v>10300</v>
      </c>
      <c r="I26">
        <v>98.12936877468026</v>
      </c>
      <c r="J26">
        <v>1010732.4983792066</v>
      </c>
      <c r="K26">
        <v>74.92324500000001</v>
      </c>
      <c r="L26">
        <v>771709.4235</v>
      </c>
    </row>
    <row r="27">
      <c r="A27" t="str">
        <v/>
      </c>
      <c r="B27" t="str">
        <v/>
      </c>
      <c r="C27" t="str">
        <v>Besi beton D16</v>
      </c>
      <c r="D27" t="str">
        <v>U24/U40 polos</v>
      </c>
      <c r="E27">
        <v>110.19247433252787</v>
      </c>
      <c r="F27" t="str">
        <v>kg</v>
      </c>
      <c r="G27" t="str">
        <v>per m3 beton</v>
      </c>
      <c r="H27">
        <v>10300</v>
      </c>
      <c r="I27">
        <v>110.19247433252787</v>
      </c>
      <c r="J27">
        <v>1134982.485625037</v>
      </c>
      <c r="K27">
        <v>84.13360704000002</v>
      </c>
      <c r="L27">
        <v>866576.1525120002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10.416092155360415</v>
      </c>
      <c r="J28">
        <v>107285.74920021227</v>
      </c>
      <c r="K28">
        <v>7.952842602000008</v>
      </c>
      <c r="L28">
        <v>81914.27880060008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208.3218431072081</v>
      </c>
      <c r="J29">
        <v>20832.18431072081</v>
      </c>
      <c r="K29">
        <v>159.05685204000002</v>
      </c>
      <c r="L29">
        <v>15905.685204000001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4.374758705251371</v>
      </c>
      <c r="J30">
        <v>76558.277341899</v>
      </c>
      <c r="K30">
        <v>3.340193892840001</v>
      </c>
      <c r="L30">
        <v>58453.393124700015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7898176.400399497</v>
      </c>
      <c r="J32" t="str">
        <v/>
      </c>
      <c r="K32" t="str">
        <v/>
      </c>
      <c r="L32">
        <v>6030376.154351022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7898176.400399497</v>
      </c>
    </row>
    <row r="36">
      <c r="A36" t="str">
        <v>RAB (A) source unit cost</v>
      </c>
      <c r="B36">
        <v>7898176.400399498</v>
      </c>
    </row>
    <row r="37">
      <c r="A37" t="str">
        <v>Variance</v>
      </c>
      <c r="B37">
        <v>-9.313225746154785e-10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6030376.154351022</v>
      </c>
    </row>
    <row r="40">
      <c r="A40" t="str">
        <v>RAB (A) source line total</v>
      </c>
      <c r="B40">
        <v>6874628.815960166</v>
      </c>
    </row>
    <row r="41">
      <c r="A41" t="str">
        <v>Variance</v>
      </c>
      <c r="B41">
        <v>-844252.661609144</v>
      </c>
      <c r="C41" t="str">
        <v>✓ OK</v>
      </c>
    </row>
  </sheetData>
  <ignoredErrors>
    <ignoredError numberStoredAsText="1" sqref="A1:L41"/>
  </ignoredErrors>
</worksheet>
</file>

<file path=xl/worksheets/sheet213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VI.A.2.26 - Balok B37-1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B37-1</v>
      </c>
    </row>
    <row r="5">
      <c r="A5" t="str">
        <v>Unit</v>
      </c>
      <c r="B5" t="str">
        <v>m3</v>
      </c>
    </row>
    <row r="6">
      <c r="A6" t="str">
        <v>Volume</v>
      </c>
      <c r="B6">
        <v>1.438965</v>
      </c>
    </row>
    <row r="7">
      <c r="A7" t="str">
        <v>Unit cost (Rp/m3)</v>
      </c>
      <c r="B7">
        <v>8530047.122541148</v>
      </c>
    </row>
    <row r="8">
      <c r="A8" t="str">
        <v>Line total at-cost (Rp)</v>
      </c>
      <c r="B8">
        <v>12274439.257687423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1.5109132500000002</v>
      </c>
      <c r="L12">
        <v>1534559.0423625004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1.438965</v>
      </c>
      <c r="L14">
        <v>107922.375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1.438965</v>
      </c>
      <c r="L16">
        <v>2518188.75</v>
      </c>
    </row>
    <row r="17">
      <c r="A17">
        <v>4</v>
      </c>
      <c r="B17" t="str">
        <v>BEKISTING BALOK (Material) — ratio 8.421052631578947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4.2105263157894735</v>
      </c>
      <c r="J18">
        <v>842105.2631578947</v>
      </c>
      <c r="K18">
        <v>6.0588</v>
      </c>
      <c r="L18">
        <v>1211760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18.94736842105263</v>
      </c>
      <c r="J19">
        <v>901894.7368421052</v>
      </c>
      <c r="K19">
        <v>27.264599999999998</v>
      </c>
      <c r="L19">
        <v>1297794.96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6.315789473684211</v>
      </c>
      <c r="J20">
        <v>300631.5789473684</v>
      </c>
      <c r="K20">
        <v>9.0882</v>
      </c>
      <c r="L20">
        <v>432598.32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3.1578947368421053</v>
      </c>
      <c r="J21">
        <v>41052.63157894737</v>
      </c>
      <c r="K21">
        <v>4.5441</v>
      </c>
      <c r="L21">
        <v>59073.3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1.0526315789473684</v>
      </c>
      <c r="J22">
        <v>28947.36842105263</v>
      </c>
      <c r="K22">
        <v>1.5147</v>
      </c>
      <c r="L22">
        <v>41654.25</v>
      </c>
    </row>
    <row r="23">
      <c r="A23">
        <v>5</v>
      </c>
      <c r="B23" t="str">
        <v>BEKISTING BALOK PERALATAN (Material) — Perancah, ratio 8.421052631578947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2.1052631578947367</v>
      </c>
      <c r="J24">
        <v>428972.70955165685</v>
      </c>
      <c r="K24">
        <v>3.0294</v>
      </c>
      <c r="L24">
        <v>617276.715</v>
      </c>
    </row>
    <row r="25">
      <c r="A25">
        <v>6</v>
      </c>
      <c r="B25" t="str">
        <v>PEMBESIAN (Material) — ratio 274.32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D10</v>
      </c>
      <c r="D26" t="str">
        <v>U24/U40 polos</v>
      </c>
      <c r="E26">
        <v>82.683272352003</v>
      </c>
      <c r="F26" t="str">
        <v>kg</v>
      </c>
      <c r="G26" t="str">
        <v>per m3 beton</v>
      </c>
      <c r="H26">
        <v>10300</v>
      </c>
      <c r="I26">
        <v>82.683272352003</v>
      </c>
      <c r="J26">
        <v>851637.7052256309</v>
      </c>
      <c r="K26">
        <v>118.978335</v>
      </c>
      <c r="L26">
        <v>1225476.8505</v>
      </c>
    </row>
    <row r="27">
      <c r="A27" t="str">
        <v/>
      </c>
      <c r="B27" t="str">
        <v/>
      </c>
      <c r="C27" t="str">
        <v>Besi beton D22</v>
      </c>
      <c r="D27" t="str">
        <v>U24/U40 polos</v>
      </c>
      <c r="E27">
        <v>191.63627863777086</v>
      </c>
      <c r="F27" t="str">
        <v>kg</v>
      </c>
      <c r="G27" t="str">
        <v>per m3 beton</v>
      </c>
      <c r="H27">
        <v>10300</v>
      </c>
      <c r="I27">
        <v>191.63627863777086</v>
      </c>
      <c r="J27">
        <v>1973853.6699690397</v>
      </c>
      <c r="K27">
        <v>275.75789768999994</v>
      </c>
      <c r="L27">
        <v>2840306.3462069994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13.715977549488706</v>
      </c>
      <c r="J28">
        <v>141274.56875973367</v>
      </c>
      <c r="K28">
        <v>19.736811634500015</v>
      </c>
      <c r="L28">
        <v>203289.15983535015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274.31955098977386</v>
      </c>
      <c r="J29">
        <v>27431.955098977385</v>
      </c>
      <c r="K29">
        <v>394.73623268999995</v>
      </c>
      <c r="L29">
        <v>39473.623268999996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5.7607105707852515</v>
      </c>
      <c r="J30">
        <v>100812.43498874191</v>
      </c>
      <c r="K30">
        <v>8.28946088649</v>
      </c>
      <c r="L30">
        <v>145065.565513575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8530047.122541148</v>
      </c>
      <c r="J32" t="str">
        <v/>
      </c>
      <c r="K32" t="str">
        <v/>
      </c>
      <c r="L32">
        <v>12274439.257687423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8530047.122541148</v>
      </c>
    </row>
    <row r="36">
      <c r="A36" t="str">
        <v>RAB (A) source unit cost</v>
      </c>
      <c r="B36">
        <v>8530047.122541148</v>
      </c>
    </row>
    <row r="37">
      <c r="A37" t="str">
        <v>Variance</v>
      </c>
      <c r="B37">
        <v>0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12274439.257687423</v>
      </c>
    </row>
    <row r="40">
      <c r="A40" t="str">
        <v>RAB (A) source line total</v>
      </c>
      <c r="B40">
        <v>13992860.75376366</v>
      </c>
    </row>
    <row r="41">
      <c r="A41" t="str">
        <v>Variance</v>
      </c>
      <c r="B41">
        <v>-1718421.4960762374</v>
      </c>
      <c r="C41" t="str">
        <v>✓ OK</v>
      </c>
    </row>
  </sheetData>
  <ignoredErrors>
    <ignoredError numberStoredAsText="1" sqref="A1:L41"/>
  </ignoredErrors>
</worksheet>
</file>

<file path=xl/worksheets/sheet214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VI.A.2.27 - Balok B1745-1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B1745-1</v>
      </c>
    </row>
    <row r="5">
      <c r="A5" t="str">
        <v>Unit</v>
      </c>
      <c r="B5" t="str">
        <v>m3</v>
      </c>
    </row>
    <row r="6">
      <c r="A6" t="str">
        <v>Volume</v>
      </c>
      <c r="B6">
        <v>0.2142</v>
      </c>
    </row>
    <row r="7">
      <c r="A7" t="str">
        <v>Unit cost (Rp/m3)</v>
      </c>
      <c r="B7">
        <v>8790977.997204205</v>
      </c>
    </row>
    <row r="8">
      <c r="A8" t="str">
        <v>Line total at-cost (Rp)</v>
      </c>
      <c r="B8">
        <v>1883027.4870011408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0.22491</v>
      </c>
      <c r="L12">
        <v>228429.84150000004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0.2142</v>
      </c>
      <c r="L14">
        <v>16065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0.2142</v>
      </c>
      <c r="L16">
        <v>374850</v>
      </c>
    </row>
    <row r="17">
      <c r="A17">
        <v>4</v>
      </c>
      <c r="B17" t="str">
        <v>BEKISTING BALOK (Material) — ratio 13.986928104575163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6.993464052287582</v>
      </c>
      <c r="J18">
        <v>1398692.8104575162</v>
      </c>
      <c r="K18">
        <v>1.498</v>
      </c>
      <c r="L18">
        <v>299600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31.470588235294116</v>
      </c>
      <c r="J19">
        <v>1498000</v>
      </c>
      <c r="K19">
        <v>6.741</v>
      </c>
      <c r="L19">
        <v>320871.6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10.490196078431373</v>
      </c>
      <c r="J20">
        <v>499333.3333333333</v>
      </c>
      <c r="K20">
        <v>2.247</v>
      </c>
      <c r="L20">
        <v>106957.2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5.245098039215686</v>
      </c>
      <c r="J21">
        <v>68186.27450980392</v>
      </c>
      <c r="K21">
        <v>1.1235</v>
      </c>
      <c r="L21">
        <v>14605.499999999998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1.7483660130718954</v>
      </c>
      <c r="J22">
        <v>48080.06535947712</v>
      </c>
      <c r="K22">
        <v>0.3745</v>
      </c>
      <c r="L22">
        <v>10298.75</v>
      </c>
    </row>
    <row r="23">
      <c r="A23">
        <v>5</v>
      </c>
      <c r="B23" t="str">
        <v>BEKISTING BALOK PERALATAN (Material) — Perancah, ratio 13.986928104575163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3.496732026143791</v>
      </c>
      <c r="J24">
        <v>712501.2406197046</v>
      </c>
      <c r="K24">
        <v>0.749</v>
      </c>
      <c r="L24">
        <v>152617.76574074072</v>
      </c>
    </row>
    <row r="25">
      <c r="A25">
        <v>6</v>
      </c>
      <c r="B25" t="str">
        <v>PEMBESIAN (Material) — ratio 148.44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D8</v>
      </c>
      <c r="D26" t="str">
        <v>U24/U40 polos</v>
      </c>
      <c r="E26">
        <v>87.8899899159664</v>
      </c>
      <c r="F26" t="str">
        <v>kg</v>
      </c>
      <c r="G26" t="str">
        <v>per m3 beton</v>
      </c>
      <c r="H26">
        <v>10300</v>
      </c>
      <c r="I26">
        <v>87.8899899159664</v>
      </c>
      <c r="J26">
        <v>905266.8961344538</v>
      </c>
      <c r="K26">
        <v>18.826035840000003</v>
      </c>
      <c r="L26">
        <v>193908.16915200002</v>
      </c>
    </row>
    <row r="27">
      <c r="A27" t="str">
        <v/>
      </c>
      <c r="B27" t="str">
        <v/>
      </c>
      <c r="C27" t="str">
        <v>Besi beton D13</v>
      </c>
      <c r="D27" t="str">
        <v>U24/U40 polos</v>
      </c>
      <c r="E27">
        <v>60.548013445378146</v>
      </c>
      <c r="F27" t="str">
        <v>kg</v>
      </c>
      <c r="G27" t="str">
        <v>per m3 beton</v>
      </c>
      <c r="H27">
        <v>10300</v>
      </c>
      <c r="I27">
        <v>60.548013445378146</v>
      </c>
      <c r="J27">
        <v>623644.5384873949</v>
      </c>
      <c r="K27">
        <v>12.969384479999999</v>
      </c>
      <c r="L27">
        <v>133584.660144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7.421900168067235</v>
      </c>
      <c r="J28">
        <v>76445.57173109252</v>
      </c>
      <c r="K28">
        <v>1.5897710160000016</v>
      </c>
      <c r="L28">
        <v>16374.64146480002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148.43800336134456</v>
      </c>
      <c r="J29">
        <v>14843.800336134456</v>
      </c>
      <c r="K29">
        <v>31.795420320000005</v>
      </c>
      <c r="L29">
        <v>3179.5420320000007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3.117198070588236</v>
      </c>
      <c r="J30">
        <v>54550.96623529413</v>
      </c>
      <c r="K30">
        <v>0.6677038267200002</v>
      </c>
      <c r="L30">
        <v>11684.816967600003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8790977.997204205</v>
      </c>
      <c r="J32" t="str">
        <v/>
      </c>
      <c r="K32" t="str">
        <v/>
      </c>
      <c r="L32">
        <v>1883027.4870011408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8790977.997204205</v>
      </c>
    </row>
    <row r="36">
      <c r="A36" t="str">
        <v>RAB (A) source unit cost</v>
      </c>
      <c r="B36">
        <v>8790977.997204205</v>
      </c>
    </row>
    <row r="37">
      <c r="A37" t="str">
        <v>Variance</v>
      </c>
      <c r="B37">
        <v>0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1883027.4870011408</v>
      </c>
    </row>
    <row r="40">
      <c r="A40" t="str">
        <v>RAB (A) source line total</v>
      </c>
      <c r="B40">
        <v>2146651.3351813</v>
      </c>
    </row>
    <row r="41">
      <c r="A41" t="str">
        <v>Variance</v>
      </c>
      <c r="B41">
        <v>-263623.8481801592</v>
      </c>
      <c r="C41" t="str">
        <v>✓ OK</v>
      </c>
    </row>
  </sheetData>
  <ignoredErrors>
    <ignoredError numberStoredAsText="1" sqref="A1:L41"/>
  </ignoredErrors>
</worksheet>
</file>

<file path=xl/worksheets/sheet215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VI.A.2.28 - Balok Potongan B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Potongan B</v>
      </c>
    </row>
    <row r="5">
      <c r="A5" t="str">
        <v>Unit</v>
      </c>
      <c r="B5" t="str">
        <v>m3</v>
      </c>
    </row>
    <row r="6">
      <c r="A6" t="str">
        <v>Volume</v>
      </c>
      <c r="B6">
        <v>0.148</v>
      </c>
    </row>
    <row r="7">
      <c r="A7" t="str">
        <v>Unit cost (Rp/m3)</v>
      </c>
      <c r="B7">
        <v>11719824.904217618</v>
      </c>
    </row>
    <row r="8">
      <c r="A8" t="str">
        <v>Line total at-cost (Rp)</v>
      </c>
      <c r="B8">
        <v>1734534.0858242074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0.1554</v>
      </c>
      <c r="L12">
        <v>157832.01000000004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0.148</v>
      </c>
      <c r="L14">
        <v>11100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0.148</v>
      </c>
      <c r="L16">
        <v>259000</v>
      </c>
    </row>
    <row r="17">
      <c r="A17">
        <v>4</v>
      </c>
      <c r="B17" t="str">
        <v>BEKISTING BALOK (Material) — ratio 12.702702702702702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6.351351351351351</v>
      </c>
      <c r="J18">
        <v>1270270.27027027</v>
      </c>
      <c r="K18">
        <v>0.9399999999999998</v>
      </c>
      <c r="L18">
        <v>187999.99999999997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28.58108108108108</v>
      </c>
      <c r="J19">
        <v>1360459.4594594594</v>
      </c>
      <c r="K19">
        <v>4.2299999999999995</v>
      </c>
      <c r="L19">
        <v>201347.99999999997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9.527027027027026</v>
      </c>
      <c r="J20">
        <v>453486.48648648645</v>
      </c>
      <c r="K20">
        <v>1.41</v>
      </c>
      <c r="L20">
        <v>67115.99999999999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4.763513513513513</v>
      </c>
      <c r="J21">
        <v>61925.67567567567</v>
      </c>
      <c r="K21">
        <v>0.705</v>
      </c>
      <c r="L21">
        <v>9165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1.5878378378378377</v>
      </c>
      <c r="J22">
        <v>43665.54054054054</v>
      </c>
      <c r="K22">
        <v>0.23499999999999996</v>
      </c>
      <c r="L22">
        <v>6462.5</v>
      </c>
    </row>
    <row r="23">
      <c r="A23">
        <v>5</v>
      </c>
      <c r="B23" t="str">
        <v>BEKISTING BALOK PERALATAN (Material) — Perancah, ratio 12.702702702702702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3.1756756756756754</v>
      </c>
      <c r="J24">
        <v>647082.1446446446</v>
      </c>
      <c r="K24">
        <v>0.4699999999999999</v>
      </c>
      <c r="L24">
        <v>95768.15740740739</v>
      </c>
    </row>
    <row r="25">
      <c r="A25">
        <v>6</v>
      </c>
      <c r="B25" t="str">
        <v>PEMBESIAN (Material) — ratio 442.41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D10</v>
      </c>
      <c r="D26" t="str">
        <v>U24/U40 polos</v>
      </c>
      <c r="E26">
        <v>213.60891891891896</v>
      </c>
      <c r="F26" t="str">
        <v>kg</v>
      </c>
      <c r="G26" t="str">
        <v>per m3 beton</v>
      </c>
      <c r="H26">
        <v>10300</v>
      </c>
      <c r="I26">
        <v>213.60891891891896</v>
      </c>
      <c r="J26">
        <v>2200171.8648648653</v>
      </c>
      <c r="K26">
        <v>31.614120000000003</v>
      </c>
      <c r="L26">
        <v>325625.43600000005</v>
      </c>
    </row>
    <row r="27">
      <c r="A27" t="str">
        <v/>
      </c>
      <c r="B27" t="str">
        <v/>
      </c>
      <c r="C27" t="str">
        <v>Besi beton D16</v>
      </c>
      <c r="D27" t="str">
        <v>U24/U40 polos</v>
      </c>
      <c r="E27">
        <v>228.80214486486486</v>
      </c>
      <c r="F27" t="str">
        <v>kg</v>
      </c>
      <c r="G27" t="str">
        <v>per m3 beton</v>
      </c>
      <c r="H27">
        <v>10300</v>
      </c>
      <c r="I27">
        <v>228.80214486486486</v>
      </c>
      <c r="J27">
        <v>2356662.092108108</v>
      </c>
      <c r="K27">
        <v>33.86271744</v>
      </c>
      <c r="L27">
        <v>348785.989632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22.12055318918921</v>
      </c>
      <c r="J28">
        <v>227841.69784864885</v>
      </c>
      <c r="K28">
        <v>3.273841872000003</v>
      </c>
      <c r="L28">
        <v>33720.57128160003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442.4110637837838</v>
      </c>
      <c r="J29">
        <v>44241.106378378376</v>
      </c>
      <c r="K29">
        <v>65.47683744</v>
      </c>
      <c r="L29">
        <v>6547.683743999999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9.29063233945946</v>
      </c>
      <c r="J30">
        <v>162586.06594054055</v>
      </c>
      <c r="K30">
        <v>1.37501358624</v>
      </c>
      <c r="L30">
        <v>24062.7377592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11719824.904217618</v>
      </c>
      <c r="J32" t="str">
        <v/>
      </c>
      <c r="K32" t="str">
        <v/>
      </c>
      <c r="L32">
        <v>1734534.0858242074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11719824.904217618</v>
      </c>
    </row>
    <row r="36">
      <c r="A36" t="str">
        <v>RAB (A) source unit cost</v>
      </c>
      <c r="B36">
        <v>11719824.904217618</v>
      </c>
    </row>
    <row r="37">
      <c r="A37" t="str">
        <v>Variance</v>
      </c>
      <c r="B37">
        <v>0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1734534.0858242074</v>
      </c>
    </row>
    <row r="40">
      <c r="A40" t="str">
        <v>RAB (A) source line total</v>
      </c>
      <c r="B40">
        <v>1977368.8578395962</v>
      </c>
    </row>
    <row r="41">
      <c r="A41" t="str">
        <v>Variance</v>
      </c>
      <c r="B41">
        <v>-242834.77201538882</v>
      </c>
      <c r="C41" t="str">
        <v>✓ OK</v>
      </c>
    </row>
  </sheetData>
  <ignoredErrors>
    <ignoredError numberStoredAsText="1" sqref="A1:L41"/>
  </ignoredErrors>
</worksheet>
</file>

<file path=xl/worksheets/sheet216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VI.A.2.29 - Balok Potongan C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Potongan C</v>
      </c>
    </row>
    <row r="5">
      <c r="A5" t="str">
        <v>Unit</v>
      </c>
      <c r="B5" t="str">
        <v>m3</v>
      </c>
    </row>
    <row r="6">
      <c r="A6" t="str">
        <v>Volume</v>
      </c>
      <c r="B6">
        <v>0.4514</v>
      </c>
    </row>
    <row r="7">
      <c r="A7" t="str">
        <v>Unit cost (Rp/m3)</v>
      </c>
      <c r="B7">
        <v>12033668.40781622</v>
      </c>
    </row>
    <row r="8">
      <c r="A8" t="str">
        <v>Line total at-cost (Rp)</v>
      </c>
      <c r="B8">
        <v>5431997.919288242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0.47397000000000006</v>
      </c>
      <c r="L12">
        <v>481387.63050000014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0.4514</v>
      </c>
      <c r="L14">
        <v>33855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0.4514</v>
      </c>
      <c r="L16">
        <v>789950</v>
      </c>
    </row>
    <row r="17">
      <c r="A17">
        <v>4</v>
      </c>
      <c r="B17" t="str">
        <v>BEKISTING BALOK (Material) — ratio 12.702702702702702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6.351351351351351</v>
      </c>
      <c r="J18">
        <v>1270270.27027027</v>
      </c>
      <c r="K18">
        <v>2.867</v>
      </c>
      <c r="L18">
        <v>573399.9999999999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28.58108108108108</v>
      </c>
      <c r="J19">
        <v>1360459.4594594594</v>
      </c>
      <c r="K19">
        <v>12.9015</v>
      </c>
      <c r="L19">
        <v>614111.4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9.527027027027026</v>
      </c>
      <c r="J20">
        <v>453486.48648648645</v>
      </c>
      <c r="K20">
        <v>4.3004999999999995</v>
      </c>
      <c r="L20">
        <v>204703.8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4.763513513513513</v>
      </c>
      <c r="J21">
        <v>61925.67567567567</v>
      </c>
      <c r="K21">
        <v>2.1502499999999998</v>
      </c>
      <c r="L21">
        <v>27953.25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1.5878378378378377</v>
      </c>
      <c r="J22">
        <v>43665.54054054054</v>
      </c>
      <c r="K22">
        <v>0.71675</v>
      </c>
      <c r="L22">
        <v>19710.625</v>
      </c>
    </row>
    <row r="23">
      <c r="A23">
        <v>5</v>
      </c>
      <c r="B23" t="str">
        <v>BEKISTING BALOK PERALATAN (Material) — Perancah, ratio 12.702702702702702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3.1756756756756754</v>
      </c>
      <c r="J24">
        <v>647082.1446446446</v>
      </c>
      <c r="K24">
        <v>1.4335</v>
      </c>
      <c r="L24">
        <v>292092.88009259256</v>
      </c>
    </row>
    <row r="25">
      <c r="A25">
        <v>6</v>
      </c>
      <c r="B25" t="str">
        <v>PEMBESIAN (Material) — ratio 470.23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D10</v>
      </c>
      <c r="D26" t="str">
        <v>U24/U40 polos</v>
      </c>
      <c r="E26">
        <v>159.0826761187417</v>
      </c>
      <c r="F26" t="str">
        <v>kg</v>
      </c>
      <c r="G26" t="str">
        <v>per m3 beton</v>
      </c>
      <c r="H26">
        <v>10300</v>
      </c>
      <c r="I26">
        <v>159.0826761187417</v>
      </c>
      <c r="J26">
        <v>1638551.5640230393</v>
      </c>
      <c r="K26">
        <v>71.80992</v>
      </c>
      <c r="L26">
        <v>739642.176</v>
      </c>
    </row>
    <row r="27">
      <c r="A27" t="str">
        <v/>
      </c>
      <c r="B27" t="str">
        <v/>
      </c>
      <c r="C27" t="str">
        <v>Besi beton D19</v>
      </c>
      <c r="D27" t="str">
        <v>U24/U40 polos</v>
      </c>
      <c r="E27">
        <v>311.1452282233052</v>
      </c>
      <c r="F27" t="str">
        <v>kg</v>
      </c>
      <c r="G27" t="str">
        <v>per m3 beton</v>
      </c>
      <c r="H27">
        <v>10300</v>
      </c>
      <c r="I27">
        <v>311.1452282233052</v>
      </c>
      <c r="J27">
        <v>3204795.8507000436</v>
      </c>
      <c r="K27">
        <v>140.45095601999998</v>
      </c>
      <c r="L27">
        <v>1446644.8470059996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23.511395217102365</v>
      </c>
      <c r="J28">
        <v>242167.37073615435</v>
      </c>
      <c r="K28">
        <v>10.613043801000009</v>
      </c>
      <c r="L28">
        <v>109314.35115030008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470.2279043420469</v>
      </c>
      <c r="J29">
        <v>47022.79043420469</v>
      </c>
      <c r="K29">
        <v>212.26087601999998</v>
      </c>
      <c r="L29">
        <v>21226.087602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9.874785991182986</v>
      </c>
      <c r="J30">
        <v>172808.75484570223</v>
      </c>
      <c r="K30">
        <v>4.45747839642</v>
      </c>
      <c r="L30">
        <v>78005.87193734999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12033668.40781622</v>
      </c>
      <c r="J32" t="str">
        <v/>
      </c>
      <c r="K32" t="str">
        <v/>
      </c>
      <c r="L32">
        <v>5431997.919288242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12033668.40781622</v>
      </c>
    </row>
    <row r="36">
      <c r="A36" t="str">
        <v>RAB (A) source unit cost</v>
      </c>
      <c r="B36">
        <v>12033668.40781622</v>
      </c>
    </row>
    <row r="37">
      <c r="A37" t="str">
        <v>Variance</v>
      </c>
      <c r="B37">
        <v>0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5431997.919288242</v>
      </c>
    </row>
    <row r="40">
      <c r="A40" t="str">
        <v>RAB (A) source line total</v>
      </c>
      <c r="B40">
        <v>6192477.6279885955</v>
      </c>
    </row>
    <row r="41">
      <c r="A41" t="str">
        <v>Variance</v>
      </c>
      <c r="B41">
        <v>-760479.7087003533</v>
      </c>
      <c r="C41" t="str">
        <v>✓ OK</v>
      </c>
    </row>
  </sheetData>
  <ignoredErrors>
    <ignoredError numberStoredAsText="1" sqref="A1:L41"/>
  </ignoredErrors>
</worksheet>
</file>

<file path=xl/worksheets/sheet217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VI.A.2.30 - Balok Potongan D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Potongan D</v>
      </c>
    </row>
    <row r="5">
      <c r="A5" t="str">
        <v>Unit</v>
      </c>
      <c r="B5" t="str">
        <v>m3</v>
      </c>
    </row>
    <row r="6">
      <c r="A6" t="str">
        <v>Volume</v>
      </c>
      <c r="B6">
        <v>0.18225</v>
      </c>
    </row>
    <row r="7">
      <c r="A7" t="str">
        <v>Unit cost (Rp/m3)</v>
      </c>
      <c r="B7">
        <v>10088117.10289218</v>
      </c>
    </row>
    <row r="8">
      <c r="A8" t="str">
        <v>Line total at-cost (Rp)</v>
      </c>
      <c r="B8">
        <v>1838559.3420020998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0.1913625</v>
      </c>
      <c r="L12">
        <v>194357.32312500002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0.18225</v>
      </c>
      <c r="L14">
        <v>13668.75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0.18225</v>
      </c>
      <c r="L16">
        <v>318937.5</v>
      </c>
    </row>
    <row r="17">
      <c r="A17">
        <v>4</v>
      </c>
      <c r="B17" t="str">
        <v>BEKISTING BALOK (Material) — ratio 8.88888888888889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4.444444444444445</v>
      </c>
      <c r="J18">
        <v>888888.8888888889</v>
      </c>
      <c r="K18">
        <v>0.81</v>
      </c>
      <c r="L18">
        <v>162000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20</v>
      </c>
      <c r="J19">
        <v>952000</v>
      </c>
      <c r="K19">
        <v>3.645</v>
      </c>
      <c r="L19">
        <v>173502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6.666666666666667</v>
      </c>
      <c r="J20">
        <v>317333.3333333334</v>
      </c>
      <c r="K20">
        <v>1.215</v>
      </c>
      <c r="L20">
        <v>57834.00000000001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3.3333333333333335</v>
      </c>
      <c r="J21">
        <v>43333.333333333336</v>
      </c>
      <c r="K21">
        <v>0.6075</v>
      </c>
      <c r="L21">
        <v>7897.5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1.1111111111111112</v>
      </c>
      <c r="J22">
        <v>30555.55555555556</v>
      </c>
      <c r="K22">
        <v>0.2025</v>
      </c>
      <c r="L22">
        <v>5568.75</v>
      </c>
    </row>
    <row r="23">
      <c r="A23">
        <v>5</v>
      </c>
      <c r="B23" t="str">
        <v>BEKISTING BALOK PERALATAN (Material) — Perancah, ratio 8.88888888888889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2.2222222222222223</v>
      </c>
      <c r="J24">
        <v>452804.5267489712</v>
      </c>
      <c r="K24">
        <v>0.405</v>
      </c>
      <c r="L24">
        <v>82523.625</v>
      </c>
    </row>
    <row r="25">
      <c r="A25">
        <v>6</v>
      </c>
      <c r="B25" t="str">
        <v>PEMBESIAN (Material) — ratio 399.89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D10</v>
      </c>
      <c r="D26" t="str">
        <v>U24/U40 polos</v>
      </c>
      <c r="E26">
        <v>135.240987654321</v>
      </c>
      <c r="F26" t="str">
        <v>kg</v>
      </c>
      <c r="G26" t="str">
        <v>per m3 beton</v>
      </c>
      <c r="H26">
        <v>10300</v>
      </c>
      <c r="I26">
        <v>135.240987654321</v>
      </c>
      <c r="J26">
        <v>1392982.1728395063</v>
      </c>
      <c r="K26">
        <v>24.64767</v>
      </c>
      <c r="L26">
        <v>253871.00100000002</v>
      </c>
    </row>
    <row r="27">
      <c r="A27" t="str">
        <v/>
      </c>
      <c r="B27" t="str">
        <v/>
      </c>
      <c r="C27" t="str">
        <v>Besi beton D19</v>
      </c>
      <c r="D27" t="str">
        <v>U24/U40 polos</v>
      </c>
      <c r="E27">
        <v>264.64990222222224</v>
      </c>
      <c r="F27" t="str">
        <v>kg</v>
      </c>
      <c r="G27" t="str">
        <v>per m3 beton</v>
      </c>
      <c r="H27">
        <v>10300</v>
      </c>
      <c r="I27">
        <v>264.64990222222224</v>
      </c>
      <c r="J27">
        <v>2725893.9928888893</v>
      </c>
      <c r="K27">
        <v>48.23244468</v>
      </c>
      <c r="L27">
        <v>496794.18020400003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19.99454449382718</v>
      </c>
      <c r="J28">
        <v>205943.80828641995</v>
      </c>
      <c r="K28">
        <v>3.644005734000004</v>
      </c>
      <c r="L28">
        <v>37533.259060200035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399.89088987654327</v>
      </c>
      <c r="J29">
        <v>39989.08898765433</v>
      </c>
      <c r="K29">
        <v>72.88011468</v>
      </c>
      <c r="L29">
        <v>7288.0114680000015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8.397708687407409</v>
      </c>
      <c r="J30">
        <v>146959.90202962965</v>
      </c>
      <c r="K30">
        <v>1.5304824082800002</v>
      </c>
      <c r="L30">
        <v>26783.442144900004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10088117.10289218</v>
      </c>
      <c r="J32" t="str">
        <v/>
      </c>
      <c r="K32" t="str">
        <v/>
      </c>
      <c r="L32">
        <v>1838559.3420020998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10088117.10289218</v>
      </c>
    </row>
    <row r="36">
      <c r="A36" t="str">
        <v>RAB (A) source unit cost</v>
      </c>
      <c r="B36">
        <v>10088117.102892183</v>
      </c>
    </row>
    <row r="37">
      <c r="A37" t="str">
        <v>Variance</v>
      </c>
      <c r="B37">
        <v>-1.862645149230957e-9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1838559.3420020998</v>
      </c>
    </row>
    <row r="40">
      <c r="A40" t="str">
        <v>RAB (A) source line total</v>
      </c>
      <c r="B40">
        <v>2095957.6498823941</v>
      </c>
    </row>
    <row r="41">
      <c r="A41" t="str">
        <v>Variance</v>
      </c>
      <c r="B41">
        <v>-257398.30788029428</v>
      </c>
      <c r="C41" t="str">
        <v>✓ OK</v>
      </c>
    </row>
  </sheetData>
  <ignoredErrors>
    <ignoredError numberStoredAsText="1" sqref="A1:L41"/>
  </ignoredErrors>
</worksheet>
</file>

<file path=xl/worksheets/sheet218.xml><?xml version="1.0" encoding="utf-8"?>
<worksheet xmlns="http://schemas.openxmlformats.org/spreadsheetml/2006/main" xmlns:r="http://schemas.openxmlformats.org/officeDocument/2006/relationships">
  <dimension ref="A1:L42"/>
  <sheetViews>
    <sheetView workbookViewId="0" rightToLeft="0"/>
  </sheetViews>
  <sheetData>
    <row r="1">
      <c r="A1" t="str">
        <v>BREAKDOWN — (A) VI.A.2.31 - Balok Potongan E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Potongan E</v>
      </c>
    </row>
    <row r="5">
      <c r="A5" t="str">
        <v>Unit</v>
      </c>
      <c r="B5" t="str">
        <v>m3</v>
      </c>
    </row>
    <row r="6">
      <c r="A6" t="str">
        <v>Volume</v>
      </c>
      <c r="B6">
        <v>0.33182</v>
      </c>
    </row>
    <row r="7">
      <c r="A7" t="str">
        <v>Unit cost (Rp/m3)</v>
      </c>
      <c r="B7">
        <v>8511154.640756657</v>
      </c>
    </row>
    <row r="8">
      <c r="A8" t="str">
        <v>Line total at-cost (Rp)</v>
      </c>
      <c r="B8">
        <v>2824171.332895874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0.348411</v>
      </c>
      <c r="L12">
        <v>353863.6321500001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0.33182</v>
      </c>
      <c r="L14">
        <v>24886.5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0.33182</v>
      </c>
      <c r="L16">
        <v>580685</v>
      </c>
    </row>
    <row r="17">
      <c r="A17">
        <v>4</v>
      </c>
      <c r="B17" t="str">
        <v>BEKISTING BALOK (Material) — ratio 7.127659574468085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3.5638297872340425</v>
      </c>
      <c r="J18">
        <v>712765.9574468085</v>
      </c>
      <c r="K18">
        <v>1.18255</v>
      </c>
      <c r="L18">
        <v>236510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16.03723404255319</v>
      </c>
      <c r="J19">
        <v>763372.3404255318</v>
      </c>
      <c r="K19">
        <v>5.3214749999999995</v>
      </c>
      <c r="L19">
        <v>253302.21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5.345744680851064</v>
      </c>
      <c r="J20">
        <v>254457.44680851066</v>
      </c>
      <c r="K20">
        <v>1.7738250000000002</v>
      </c>
      <c r="L20">
        <v>84434.07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2.672872340425532</v>
      </c>
      <c r="J21">
        <v>34747.34042553192</v>
      </c>
      <c r="K21">
        <v>0.8869125000000001</v>
      </c>
      <c r="L21">
        <v>11529.862500000001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0.8909574468085106</v>
      </c>
      <c r="J22">
        <v>24501.32978723404</v>
      </c>
      <c r="K22">
        <v>0.2956375</v>
      </c>
      <c r="L22">
        <v>8130.031249999999</v>
      </c>
    </row>
    <row r="23">
      <c r="A23">
        <v>5</v>
      </c>
      <c r="B23" t="str">
        <v>BEKISTING BALOK PERALATAN (Material) — Perancah, ratio 7.127659574468085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1.7819148936170213</v>
      </c>
      <c r="J24">
        <v>363086.60855003935</v>
      </c>
      <c r="K24">
        <v>0.591275</v>
      </c>
      <c r="L24">
        <v>120479.39844907405</v>
      </c>
    </row>
    <row r="25">
      <c r="A25">
        <v>6</v>
      </c>
      <c r="B25" t="str">
        <v>PEMBESIAN (Material) — ratio 307.27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D10</v>
      </c>
      <c r="D26" t="str">
        <v>U24/U40 polos</v>
      </c>
      <c r="E26">
        <v>7.450319450304382</v>
      </c>
      <c r="F26" t="str">
        <v>kg</v>
      </c>
      <c r="G26" t="str">
        <v>per m3 beton</v>
      </c>
      <c r="H26">
        <v>10300</v>
      </c>
      <c r="I26">
        <v>7.450319450304382</v>
      </c>
      <c r="J26">
        <v>76738.29033813514</v>
      </c>
      <c r="K26">
        <v>2.472165</v>
      </c>
      <c r="L26">
        <v>25463.2995</v>
      </c>
    </row>
    <row r="27">
      <c r="A27" t="str">
        <v/>
      </c>
      <c r="B27" t="str">
        <v/>
      </c>
      <c r="C27" t="str">
        <v>Besi beton D13</v>
      </c>
      <c r="D27" t="str">
        <v>U24/U40 polos</v>
      </c>
      <c r="E27">
        <v>121.06237737327464</v>
      </c>
      <c r="F27" t="str">
        <v>kg</v>
      </c>
      <c r="G27" t="str">
        <v>per m3 beton</v>
      </c>
      <c r="H27">
        <v>10300</v>
      </c>
      <c r="I27">
        <v>121.06237737327464</v>
      </c>
      <c r="J27">
        <v>1246942.4869447288</v>
      </c>
      <c r="K27">
        <v>40.17091805999999</v>
      </c>
      <c r="L27">
        <v>413760.4560179999</v>
      </c>
    </row>
    <row r="28">
      <c r="A28" t="str">
        <v/>
      </c>
      <c r="B28" t="str">
        <v/>
      </c>
      <c r="C28" t="str">
        <v>Besi beton D19</v>
      </c>
      <c r="D28" t="str">
        <v>U24/U40 polos</v>
      </c>
      <c r="E28">
        <v>178.7588402748478</v>
      </c>
      <c r="F28" t="str">
        <v>kg</v>
      </c>
      <c r="G28" t="str">
        <v>per m3 beton</v>
      </c>
      <c r="H28">
        <v>10300</v>
      </c>
      <c r="I28">
        <v>178.7588402748478</v>
      </c>
      <c r="J28">
        <v>1841216.0548309325</v>
      </c>
      <c r="K28">
        <v>59.315758380000005</v>
      </c>
      <c r="L28">
        <v>610952.311314</v>
      </c>
    </row>
    <row r="29">
      <c r="A29" t="str">
        <v/>
      </c>
      <c r="B29" t="str">
        <v/>
      </c>
      <c r="C29" t="str">
        <v>Besi beton — waste (5%)</v>
      </c>
      <c r="D29" t="str">
        <v>applied via AHS coeff 1.05</v>
      </c>
      <c r="E29">
        <v>0.050000000000000044</v>
      </c>
      <c r="F29" t="str">
        <v>kg</v>
      </c>
      <c r="G29" t="str">
        <v>per m3 beton</v>
      </c>
      <c r="H29">
        <v>10300</v>
      </c>
      <c r="I29">
        <v>15.363576854921355</v>
      </c>
      <c r="J29">
        <v>158244.84160568996</v>
      </c>
      <c r="K29">
        <v>5.097942072000004</v>
      </c>
      <c r="L29">
        <v>52508.80334160004</v>
      </c>
    </row>
    <row r="30">
      <c r="A30" t="str">
        <v/>
      </c>
      <c r="B30" t="str">
        <v/>
      </c>
      <c r="C30" t="str">
        <v>Beton decking</v>
      </c>
      <c r="D30" t="str">
        <v>spacer</v>
      </c>
      <c r="E30">
        <v>1</v>
      </c>
      <c r="F30" t="str">
        <v>kg-eq</v>
      </c>
      <c r="G30" t="str">
        <v>per kg besi</v>
      </c>
      <c r="H30">
        <v>100</v>
      </c>
      <c r="I30">
        <v>307.27153709842685</v>
      </c>
      <c r="J30">
        <v>30727.153709842685</v>
      </c>
      <c r="K30">
        <v>101.95884144</v>
      </c>
      <c r="L30">
        <v>10195.884144</v>
      </c>
    </row>
    <row r="31">
      <c r="A31" t="str">
        <v/>
      </c>
      <c r="B31" t="str">
        <v/>
      </c>
      <c r="C31" t="str">
        <v>Bendrat (kawat ikat)</v>
      </c>
      <c r="D31" t="str">
        <v>2.1% of besi (raw)</v>
      </c>
      <c r="E31">
        <v>0.021</v>
      </c>
      <c r="F31" t="str">
        <v>kg</v>
      </c>
      <c r="G31" t="str">
        <v>per kg besi (raw)</v>
      </c>
      <c r="H31">
        <v>17500</v>
      </c>
      <c r="I31">
        <v>6.452702279066965</v>
      </c>
      <c r="J31">
        <v>112922.28988367188</v>
      </c>
      <c r="K31">
        <v>2.14113567024</v>
      </c>
      <c r="L31">
        <v>37469.8742292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/>
      </c>
      <c r="B33" t="str">
        <v>SUBTOTAL — At-cost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>
        <v>8511154.640756657</v>
      </c>
      <c r="J33" t="str">
        <v/>
      </c>
      <c r="K33" t="str">
        <v/>
      </c>
      <c r="L33">
        <v>2824171.332895874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</row>
    <row r="35">
      <c r="A35" t="str">
        <v>RECONCILIATION</v>
      </c>
    </row>
    <row r="36">
      <c r="A36" t="str">
        <v>Computed unit cost</v>
      </c>
      <c r="B36">
        <v>8511154.640756657</v>
      </c>
    </row>
    <row r="37">
      <c r="A37" t="str">
        <v>RAB (A) source unit cost</v>
      </c>
      <c r="B37">
        <v>8511154.640756657</v>
      </c>
    </row>
    <row r="38">
      <c r="A38" t="str">
        <v>Variance</v>
      </c>
      <c r="B38">
        <v>0</v>
      </c>
      <c r="C38" t="str">
        <v>✓ OK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</row>
    <row r="40">
      <c r="A40" t="str">
        <v>Computed line total</v>
      </c>
      <c r="B40">
        <v>2824171.332895874</v>
      </c>
    </row>
    <row r="41">
      <c r="A41" t="str">
        <v>RAB (A) source line total</v>
      </c>
      <c r="B41">
        <v>3219555.319501296</v>
      </c>
    </row>
    <row r="42">
      <c r="A42" t="str">
        <v>Variance</v>
      </c>
      <c r="B42">
        <v>-395383.9866054221</v>
      </c>
      <c r="C42" t="str">
        <v>✓ OK</v>
      </c>
    </row>
  </sheetData>
  <ignoredErrors>
    <ignoredError numberStoredAsText="1" sqref="A1:L42"/>
  </ignoredErrors>
</worksheet>
</file>

<file path=xl/worksheets/sheet219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VI.A.2.32 - Balok Potongan F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Potongan F</v>
      </c>
    </row>
    <row r="5">
      <c r="A5" t="str">
        <v>Unit</v>
      </c>
      <c r="B5" t="str">
        <v>m3</v>
      </c>
    </row>
    <row r="6">
      <c r="A6" t="str">
        <v>Volume</v>
      </c>
      <c r="B6">
        <v>0.30720000000000003</v>
      </c>
    </row>
    <row r="7">
      <c r="A7" t="str">
        <v>Unit cost (Rp/m3)</v>
      </c>
      <c r="B7">
        <v>11007371.909070747</v>
      </c>
    </row>
    <row r="8">
      <c r="A8" t="str">
        <v>Line total at-cost (Rp)</v>
      </c>
      <c r="B8">
        <v>3381464.650466534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0.32256000000000007</v>
      </c>
      <c r="L12">
        <v>327608.06400000013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0.30720000000000003</v>
      </c>
      <c r="L14">
        <v>23040.000000000004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0.30720000000000003</v>
      </c>
      <c r="L16">
        <v>537600</v>
      </c>
    </row>
    <row r="17">
      <c r="A17">
        <v>4</v>
      </c>
      <c r="B17" t="str">
        <v>BEKISTING BALOK (Material) — ratio 13.124999999999998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6.562499999999999</v>
      </c>
      <c r="J18">
        <v>1312499.9999999998</v>
      </c>
      <c r="K18">
        <v>2.016</v>
      </c>
      <c r="L18">
        <v>403199.99999999994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29.531249999999996</v>
      </c>
      <c r="J19">
        <v>1405687.4999999998</v>
      </c>
      <c r="K19">
        <v>9.072</v>
      </c>
      <c r="L19">
        <v>431827.19999999995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9.843749999999998</v>
      </c>
      <c r="J20">
        <v>468562.49999999994</v>
      </c>
      <c r="K20">
        <v>3.0239999999999996</v>
      </c>
      <c r="L20">
        <v>143942.4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4.921874999999999</v>
      </c>
      <c r="J21">
        <v>63984.374999999985</v>
      </c>
      <c r="K21">
        <v>1.5119999999999998</v>
      </c>
      <c r="L21">
        <v>19655.999999999996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1.6406249999999998</v>
      </c>
      <c r="J22">
        <v>45117.18749999999</v>
      </c>
      <c r="K22">
        <v>0.504</v>
      </c>
      <c r="L22">
        <v>13859.999999999998</v>
      </c>
    </row>
    <row r="23">
      <c r="A23">
        <v>5</v>
      </c>
      <c r="B23" t="str">
        <v>BEKISTING BALOK PERALATAN (Material) — Perancah, ratio 13.124999999999998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3.2812499999999996</v>
      </c>
      <c r="J24">
        <v>668594.1840277776</v>
      </c>
      <c r="K24">
        <v>1.008</v>
      </c>
      <c r="L24">
        <v>205392.1333333333</v>
      </c>
    </row>
    <row r="25">
      <c r="A25">
        <v>6</v>
      </c>
      <c r="B25" t="str">
        <v>PEMBESIAN (Material) — ratio 367.96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D10</v>
      </c>
      <c r="D26" t="str">
        <v>U24/U40 polos</v>
      </c>
      <c r="E26">
        <v>139.11386718749998</v>
      </c>
      <c r="F26" t="str">
        <v>kg</v>
      </c>
      <c r="G26" t="str">
        <v>per m3 beton</v>
      </c>
      <c r="H26">
        <v>10300</v>
      </c>
      <c r="I26">
        <v>139.11386718749998</v>
      </c>
      <c r="J26">
        <v>1432872.8320312498</v>
      </c>
      <c r="K26">
        <v>42.73578</v>
      </c>
      <c r="L26">
        <v>440178.534</v>
      </c>
    </row>
    <row r="27">
      <c r="A27" t="str">
        <v/>
      </c>
      <c r="B27" t="str">
        <v/>
      </c>
      <c r="C27" t="str">
        <v>Besi beton D16</v>
      </c>
      <c r="D27" t="str">
        <v>U24/U40 polos</v>
      </c>
      <c r="E27">
        <v>228.84480000000002</v>
      </c>
      <c r="F27" t="str">
        <v>kg</v>
      </c>
      <c r="G27" t="str">
        <v>per m3 beton</v>
      </c>
      <c r="H27">
        <v>10300</v>
      </c>
      <c r="I27">
        <v>228.84480000000002</v>
      </c>
      <c r="J27">
        <v>2357101.4400000004</v>
      </c>
      <c r="K27">
        <v>70.30112256000001</v>
      </c>
      <c r="L27">
        <v>724101.5623680002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18.397933359375017</v>
      </c>
      <c r="J28">
        <v>189498.71360156266</v>
      </c>
      <c r="K28">
        <v>5.651845128000006</v>
      </c>
      <c r="L28">
        <v>58214.004818400055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367.9586671875</v>
      </c>
      <c r="J29">
        <v>36795.86671875</v>
      </c>
      <c r="K29">
        <v>113.03690256000002</v>
      </c>
      <c r="L29">
        <v>11303.690256000002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7.727132010937501</v>
      </c>
      <c r="J30">
        <v>135224.81019140626</v>
      </c>
      <c r="K30">
        <v>2.3737749537600004</v>
      </c>
      <c r="L30">
        <v>41541.06169080001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11007371.909070747</v>
      </c>
      <c r="J32" t="str">
        <v/>
      </c>
      <c r="K32" t="str">
        <v/>
      </c>
      <c r="L32">
        <v>3381464.650466534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11007371.909070747</v>
      </c>
    </row>
    <row r="36">
      <c r="A36" t="str">
        <v>RAB (A) source unit cost</v>
      </c>
      <c r="B36">
        <v>11007371.909070747</v>
      </c>
    </row>
    <row r="37">
      <c r="A37" t="str">
        <v>Variance</v>
      </c>
      <c r="B37">
        <v>0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3381464.650466534</v>
      </c>
    </row>
    <row r="40">
      <c r="A40" t="str">
        <v>RAB (A) source line total</v>
      </c>
      <c r="B40">
        <v>3854869.701531848</v>
      </c>
    </row>
    <row r="41">
      <c r="A41" t="str">
        <v>Variance</v>
      </c>
      <c r="B41">
        <v>-473405.0510653141</v>
      </c>
      <c r="C41" t="str">
        <v>✓ OK</v>
      </c>
    </row>
  </sheetData>
  <ignoredErrors>
    <ignoredError numberStoredAsText="1" sqref="A1:L41"/>
  </ignoredErrors>
</worksheet>
</file>

<file path=xl/worksheets/sheet220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VI.A.2.33 - Balok Potongan J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Potongan J</v>
      </c>
    </row>
    <row r="5">
      <c r="A5" t="str">
        <v>Unit</v>
      </c>
      <c r="B5" t="str">
        <v>m3</v>
      </c>
    </row>
    <row r="6">
      <c r="A6" t="str">
        <v>Volume</v>
      </c>
      <c r="B6">
        <v>0.345</v>
      </c>
    </row>
    <row r="7">
      <c r="A7" t="str">
        <v>Unit cost (Rp/m3)</v>
      </c>
      <c r="B7">
        <v>10714560.840583183</v>
      </c>
    </row>
    <row r="8">
      <c r="A8" t="str">
        <v>Line total at-cost (Rp)</v>
      </c>
      <c r="B8">
        <v>3696523.490001198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0.36224999999999996</v>
      </c>
      <c r="L12">
        <v>367919.2125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0.345</v>
      </c>
      <c r="L14">
        <v>25874.999999999996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0.345</v>
      </c>
      <c r="L16">
        <v>603750</v>
      </c>
    </row>
    <row r="17">
      <c r="A17">
        <v>4</v>
      </c>
      <c r="B17" t="str">
        <v>BEKISTING BALOK (Material) — ratio 12.72463768115942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6.36231884057971</v>
      </c>
      <c r="J18">
        <v>1272463.768115942</v>
      </c>
      <c r="K18">
        <v>2.195</v>
      </c>
      <c r="L18">
        <v>438999.99999999994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28.630434782608695</v>
      </c>
      <c r="J19">
        <v>1362808.6956521738</v>
      </c>
      <c r="K19">
        <v>9.8775</v>
      </c>
      <c r="L19">
        <v>470168.99999999994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9.543478260869565</v>
      </c>
      <c r="J20">
        <v>454269.5652173913</v>
      </c>
      <c r="K20">
        <v>3.2924999999999995</v>
      </c>
      <c r="L20">
        <v>156722.99999999997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4.771739130434782</v>
      </c>
      <c r="J21">
        <v>62032.60869565217</v>
      </c>
      <c r="K21">
        <v>1.6462499999999998</v>
      </c>
      <c r="L21">
        <v>21401.249999999996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1.5905797101449275</v>
      </c>
      <c r="J22">
        <v>43740.942028985504</v>
      </c>
      <c r="K22">
        <v>0.54875</v>
      </c>
      <c r="L22">
        <v>15090.624999999998</v>
      </c>
    </row>
    <row r="23">
      <c r="A23">
        <v>5</v>
      </c>
      <c r="B23" t="str">
        <v>BEKISTING BALOK PERALATAN (Material) — Perancah, ratio 12.72463768115942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3.181159420289855</v>
      </c>
      <c r="J24">
        <v>648199.5236178207</v>
      </c>
      <c r="K24">
        <v>1.0975</v>
      </c>
      <c r="L24">
        <v>223628.83564814812</v>
      </c>
    </row>
    <row r="25">
      <c r="A25">
        <v>6</v>
      </c>
      <c r="B25" t="str">
        <v>PEMBESIAN (Material) — ratio 352.72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D10</v>
      </c>
      <c r="D26" t="str">
        <v>U24/U40 polos</v>
      </c>
      <c r="E26">
        <v>78.71543478260871</v>
      </c>
      <c r="F26" t="str">
        <v>kg</v>
      </c>
      <c r="G26" t="str">
        <v>per m3 beton</v>
      </c>
      <c r="H26">
        <v>10300</v>
      </c>
      <c r="I26">
        <v>78.71543478260871</v>
      </c>
      <c r="J26">
        <v>810768.9782608697</v>
      </c>
      <c r="K26">
        <v>27.156825</v>
      </c>
      <c r="L26">
        <v>279715.29750000004</v>
      </c>
    </row>
    <row r="27">
      <c r="A27" t="str">
        <v/>
      </c>
      <c r="B27" t="str">
        <v/>
      </c>
      <c r="C27" t="str">
        <v>Besi beton D19</v>
      </c>
      <c r="D27" t="str">
        <v>U24/U40 polos</v>
      </c>
      <c r="E27">
        <v>274.00898243478264</v>
      </c>
      <c r="F27" t="str">
        <v>kg</v>
      </c>
      <c r="G27" t="str">
        <v>per m3 beton</v>
      </c>
      <c r="H27">
        <v>10300</v>
      </c>
      <c r="I27">
        <v>274.00898243478264</v>
      </c>
      <c r="J27">
        <v>2822292.519078261</v>
      </c>
      <c r="K27">
        <v>94.53309894</v>
      </c>
      <c r="L27">
        <v>973690.919082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17.636220860869585</v>
      </c>
      <c r="J28">
        <v>181653.07486695674</v>
      </c>
      <c r="K28">
        <v>6.084496197000006</v>
      </c>
      <c r="L28">
        <v>62670.31082910007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352.72441721739136</v>
      </c>
      <c r="J29">
        <v>35272.44172173914</v>
      </c>
      <c r="K29">
        <v>121.68992394000001</v>
      </c>
      <c r="L29">
        <v>12168.992394000003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7.407212761565219</v>
      </c>
      <c r="J30">
        <v>129626.22332739133</v>
      </c>
      <c r="K30">
        <v>2.5554884027400004</v>
      </c>
      <c r="L30">
        <v>44721.04704795001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10714560.840583183</v>
      </c>
      <c r="J32" t="str">
        <v/>
      </c>
      <c r="K32" t="str">
        <v/>
      </c>
      <c r="L32">
        <v>3696523.490001198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10714560.840583183</v>
      </c>
    </row>
    <row r="36">
      <c r="A36" t="str">
        <v>RAB (A) source unit cost</v>
      </c>
      <c r="B36">
        <v>10714560.840583185</v>
      </c>
    </row>
    <row r="37">
      <c r="A37" t="str">
        <v>Variance</v>
      </c>
      <c r="B37">
        <v>-1.862645149230957e-9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3696523.490001198</v>
      </c>
    </row>
    <row r="40">
      <c r="A40" t="str">
        <v>RAB (A) source line total</v>
      </c>
      <c r="B40">
        <v>4214036.778601366</v>
      </c>
    </row>
    <row r="41">
      <c r="A41" t="str">
        <v>Variance</v>
      </c>
      <c r="B41">
        <v>-517513.2886001682</v>
      </c>
      <c r="C41" t="str">
        <v>✓ OK</v>
      </c>
    </row>
  </sheetData>
  <ignoredErrors>
    <ignoredError numberStoredAsText="1" sqref="A1:L41"/>
  </ignoredErrors>
</worksheet>
</file>

<file path=xl/worksheets/sheet221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VI.A.2.34 - Balok Potongan O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Potongan O</v>
      </c>
    </row>
    <row r="5">
      <c r="A5" t="str">
        <v>Unit</v>
      </c>
      <c r="B5" t="str">
        <v>m3</v>
      </c>
    </row>
    <row r="6">
      <c r="A6" t="str">
        <v>Volume</v>
      </c>
      <c r="B6">
        <v>0.179265</v>
      </c>
    </row>
    <row r="7">
      <c r="A7" t="str">
        <v>Unit cost (Rp/m3)</v>
      </c>
      <c r="B7">
        <v>10110624.93082428</v>
      </c>
    </row>
    <row r="8">
      <c r="A8" t="str">
        <v>Line total at-cost (Rp)</v>
      </c>
      <c r="B8">
        <v>1812481.1782242146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0.18822825</v>
      </c>
      <c r="L12">
        <v>191174.02211250004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0.179265</v>
      </c>
      <c r="L14">
        <v>13444.875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0.179265</v>
      </c>
      <c r="L16">
        <v>313713.75</v>
      </c>
    </row>
    <row r="17">
      <c r="A17">
        <v>4</v>
      </c>
      <c r="B17" t="str">
        <v>BEKISTING BALOK (Material) — ratio 9.36936936936937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4.684684684684685</v>
      </c>
      <c r="J18">
        <v>936936.9369369369</v>
      </c>
      <c r="K18">
        <v>0.8398000000000001</v>
      </c>
      <c r="L18">
        <v>167960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21.08108108108108</v>
      </c>
      <c r="J19">
        <v>1003459.4594594594</v>
      </c>
      <c r="K19">
        <v>3.7791</v>
      </c>
      <c r="L19">
        <v>179885.16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7.027027027027027</v>
      </c>
      <c r="J20">
        <v>334486.4864864865</v>
      </c>
      <c r="K20">
        <v>1.2597</v>
      </c>
      <c r="L20">
        <v>59961.72000000001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3.5135135135135136</v>
      </c>
      <c r="J21">
        <v>45675.67567567568</v>
      </c>
      <c r="K21">
        <v>0.62985</v>
      </c>
      <c r="L21">
        <v>8188.050000000001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1.1711711711711712</v>
      </c>
      <c r="J22">
        <v>32207.207207207208</v>
      </c>
      <c r="K22">
        <v>0.20995000000000003</v>
      </c>
      <c r="L22">
        <v>5773.625</v>
      </c>
    </row>
    <row r="23">
      <c r="A23">
        <v>5</v>
      </c>
      <c r="B23" t="str">
        <v>BEKISTING BALOK PERALATAN (Material) — Perancah, ratio 9.36936936936937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2.3423423423423424</v>
      </c>
      <c r="J24">
        <v>477280.4471137804</v>
      </c>
      <c r="K24">
        <v>0.41990000000000005</v>
      </c>
      <c r="L24">
        <v>85559.67935185185</v>
      </c>
    </row>
    <row r="25">
      <c r="A25">
        <v>6</v>
      </c>
      <c r="B25" t="str">
        <v>PEMBESIAN (Material) — ratio 389.02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D10</v>
      </c>
      <c r="D26" t="str">
        <v>U24/U40 polos</v>
      </c>
      <c r="E26">
        <v>106.19764036482303</v>
      </c>
      <c r="F26" t="str">
        <v>kg</v>
      </c>
      <c r="G26" t="str">
        <v>per m3 beton</v>
      </c>
      <c r="H26">
        <v>10300</v>
      </c>
      <c r="I26">
        <v>106.19764036482303</v>
      </c>
      <c r="J26">
        <v>1093835.6957576773</v>
      </c>
      <c r="K26">
        <v>19.03752</v>
      </c>
      <c r="L26">
        <v>196086.45600000003</v>
      </c>
    </row>
    <row r="27">
      <c r="A27" t="str">
        <v/>
      </c>
      <c r="B27" t="str">
        <v/>
      </c>
      <c r="C27" t="str">
        <v>Besi beton D19</v>
      </c>
      <c r="D27" t="str">
        <v>U24/U40 polos</v>
      </c>
      <c r="E27">
        <v>282.8248473767885</v>
      </c>
      <c r="F27" t="str">
        <v>kg</v>
      </c>
      <c r="G27" t="str">
        <v>per m3 beton</v>
      </c>
      <c r="H27">
        <v>10300</v>
      </c>
      <c r="I27">
        <v>282.8248473767885</v>
      </c>
      <c r="J27">
        <v>2913095.9279809217</v>
      </c>
      <c r="K27">
        <v>50.700596264999994</v>
      </c>
      <c r="L27">
        <v>522216.14152949996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19.451124387080593</v>
      </c>
      <c r="J28">
        <v>200346.58118693013</v>
      </c>
      <c r="K28">
        <v>3.4869058132500026</v>
      </c>
      <c r="L28">
        <v>35915.12987647503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389.02248774161154</v>
      </c>
      <c r="J29">
        <v>38902.248774161155</v>
      </c>
      <c r="K29">
        <v>69.738116265</v>
      </c>
      <c r="L29">
        <v>6973.8116265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8.169472242573843</v>
      </c>
      <c r="J30">
        <v>142965.76424504226</v>
      </c>
      <c r="K30">
        <v>1.464500441565</v>
      </c>
      <c r="L30">
        <v>25628.757727387503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10110624.93082428</v>
      </c>
      <c r="J32" t="str">
        <v/>
      </c>
      <c r="K32" t="str">
        <v/>
      </c>
      <c r="L32">
        <v>1812481.1782242146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10110624.93082428</v>
      </c>
    </row>
    <row r="36">
      <c r="A36" t="str">
        <v>RAB (A) source unit cost</v>
      </c>
      <c r="B36">
        <v>10110624.930824278</v>
      </c>
    </row>
    <row r="37">
      <c r="A37" t="str">
        <v>Variance</v>
      </c>
      <c r="B37">
        <v>1.862645149230957e-9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1812481.1782242146</v>
      </c>
    </row>
    <row r="40">
      <c r="A40" t="str">
        <v>RAB (A) source line total</v>
      </c>
      <c r="B40">
        <v>2066228.5431756042</v>
      </c>
    </row>
    <row r="41">
      <c r="A41" t="str">
        <v>Variance</v>
      </c>
      <c r="B41">
        <v>-253747.3649513896</v>
      </c>
      <c r="C41" t="str">
        <v>✓ OK</v>
      </c>
    </row>
  </sheetData>
  <ignoredErrors>
    <ignoredError numberStoredAsText="1" sqref="A1:L41"/>
  </ignoredErrors>
</worksheet>
</file>

<file path=xl/worksheets/sheet222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(A) VI.A.4.1 - Kolom K13-1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K13-1</v>
      </c>
    </row>
    <row r="5">
      <c r="A5" t="str">
        <v>Unit</v>
      </c>
      <c r="B5" t="str">
        <v>m3</v>
      </c>
    </row>
    <row r="6">
      <c r="A6" t="str">
        <v>Volume</v>
      </c>
      <c r="B6">
        <v>0.546</v>
      </c>
    </row>
    <row r="7">
      <c r="A7" t="str">
        <v>Unit cost (Rp/m3)</v>
      </c>
      <c r="B7">
        <v>10968062.173254287</v>
      </c>
    </row>
    <row r="8">
      <c r="A8" t="str">
        <v>Line total at-cost (Rp)</v>
      </c>
      <c r="B8">
        <v>5988561.946596841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0.5733</v>
      </c>
      <c r="L12">
        <v>582272.1450000001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0.546</v>
      </c>
      <c r="L14">
        <v>136500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2250000</v>
      </c>
      <c r="I16">
        <v>1</v>
      </c>
      <c r="J16">
        <v>2250000</v>
      </c>
      <c r="K16">
        <v>0.546</v>
      </c>
      <c r="L16">
        <v>1228500</v>
      </c>
    </row>
    <row r="17">
      <c r="A17">
        <v>4</v>
      </c>
      <c r="B17" t="str">
        <v>BEKISTING KOLOM (Material) — ratio 22.051282051282048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4.56)</v>
      </c>
      <c r="H18">
        <v>200000</v>
      </c>
      <c r="I18">
        <v>9.671614934772826</v>
      </c>
      <c r="J18">
        <v>1934322.9869545652</v>
      </c>
      <c r="K18">
        <v>5.280701754385963</v>
      </c>
      <c r="L18">
        <v>1056140.3508771926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4.56)</v>
      </c>
      <c r="H19">
        <v>47600</v>
      </c>
      <c r="I19">
        <v>48.35807467386413</v>
      </c>
      <c r="J19">
        <v>2301844.3544759327</v>
      </c>
      <c r="K19">
        <v>26.40350877192982</v>
      </c>
      <c r="L19">
        <v>1256807.0175438593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4.56)</v>
      </c>
      <c r="H20">
        <v>47600</v>
      </c>
      <c r="I20">
        <v>9.671614934772826</v>
      </c>
      <c r="J20">
        <v>460368.87089518656</v>
      </c>
      <c r="K20">
        <v>5.280701754385963</v>
      </c>
      <c r="L20">
        <v>251361.40350877188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4.56)</v>
      </c>
      <c r="H21">
        <v>13000</v>
      </c>
      <c r="I21">
        <v>9.671614934772826</v>
      </c>
      <c r="J21">
        <v>125730.99415204674</v>
      </c>
      <c r="K21">
        <v>5.280701754385963</v>
      </c>
      <c r="L21">
        <v>68649.12280701753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4.56)</v>
      </c>
      <c r="H22">
        <v>27500</v>
      </c>
      <c r="I22">
        <v>11.025641025641024</v>
      </c>
      <c r="J22">
        <v>303205.12820512813</v>
      </c>
      <c r="K22">
        <v>6.02</v>
      </c>
      <c r="L22">
        <v>165549.99999999997</v>
      </c>
    </row>
    <row r="23">
      <c r="A23">
        <v>5</v>
      </c>
      <c r="B23" t="str">
        <v>PEMBESIAN (Material) — ratio 201.74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90.90778021978022</v>
      </c>
      <c r="F24" t="str">
        <v>kg</v>
      </c>
      <c r="G24" t="str">
        <v>per m3 beton</v>
      </c>
      <c r="H24">
        <v>10300</v>
      </c>
      <c r="I24">
        <v>90.90778021978022</v>
      </c>
      <c r="J24">
        <v>936350.1362637363</v>
      </c>
      <c r="K24">
        <v>49.635648</v>
      </c>
      <c r="L24">
        <v>511247.1744000001</v>
      </c>
    </row>
    <row r="25">
      <c r="A25" t="str">
        <v/>
      </c>
      <c r="B25" t="str">
        <v/>
      </c>
      <c r="C25" t="str">
        <v>Besi beton D10</v>
      </c>
      <c r="D25" t="str">
        <v>U24/U40 polos</v>
      </c>
      <c r="E25">
        <v>110.83450549450548</v>
      </c>
      <c r="F25" t="str">
        <v>kg</v>
      </c>
      <c r="G25" t="str">
        <v>per m3 beton</v>
      </c>
      <c r="H25">
        <v>10300</v>
      </c>
      <c r="I25">
        <v>110.83450549450548</v>
      </c>
      <c r="J25">
        <v>1141595.4065934063</v>
      </c>
      <c r="K25">
        <v>60.51564</v>
      </c>
      <c r="L25">
        <v>623311.092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10300</v>
      </c>
      <c r="I26">
        <v>10.087114285714293</v>
      </c>
      <c r="J26">
        <v>103897.27714285722</v>
      </c>
      <c r="K26">
        <v>5.507564400000004</v>
      </c>
      <c r="L26">
        <v>56727.91332000004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201.74228571428569</v>
      </c>
      <c r="J27">
        <v>20174.228571428568</v>
      </c>
      <c r="K27">
        <v>110.151288</v>
      </c>
      <c r="L27">
        <v>11015.128799999999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4.236587999999999</v>
      </c>
      <c r="J28">
        <v>74140.29</v>
      </c>
      <c r="K28">
        <v>2.313177048</v>
      </c>
      <c r="L28">
        <v>40480.59834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10968062.173254287</v>
      </c>
      <c r="J30" t="str">
        <v/>
      </c>
      <c r="K30" t="str">
        <v/>
      </c>
      <c r="L30">
        <v>5988561.946596841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10968062.173254287</v>
      </c>
    </row>
    <row r="34">
      <c r="A34" t="str">
        <v>RAB (A) source unit cost</v>
      </c>
      <c r="B34">
        <v>10968062.173254289</v>
      </c>
    </row>
    <row r="35">
      <c r="A35" t="str">
        <v>Variance</v>
      </c>
      <c r="B35">
        <v>-1.862645149230957e-9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5988561.946596841</v>
      </c>
    </row>
    <row r="38">
      <c r="A38" t="str">
        <v>RAB (A) source line total</v>
      </c>
      <c r="B38">
        <v>6826960.6191203995</v>
      </c>
    </row>
    <row r="39">
      <c r="A39" t="str">
        <v>Variance</v>
      </c>
      <c r="B39">
        <v>-838398.6725235581</v>
      </c>
      <c r="C39" t="str">
        <v>✓ OK</v>
      </c>
    </row>
  </sheetData>
  <ignoredErrors>
    <ignoredError numberStoredAsText="1" sqref="A1:L39"/>
  </ignoredErrors>
</worksheet>
</file>

<file path=xl/worksheets/sheet223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(A) VI.A.4.2 - Kolom K174-1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K174-1</v>
      </c>
    </row>
    <row r="5">
      <c r="A5" t="str">
        <v>Unit</v>
      </c>
      <c r="B5" t="str">
        <v>m3</v>
      </c>
    </row>
    <row r="6">
      <c r="A6" t="str">
        <v>Volume</v>
      </c>
      <c r="B6">
        <v>0.714</v>
      </c>
    </row>
    <row r="7">
      <c r="A7" t="str">
        <v>Unit cost (Rp/m3)</v>
      </c>
      <c r="B7">
        <v>9764813.942086553</v>
      </c>
    </row>
    <row r="8">
      <c r="A8" t="str">
        <v>Line total at-cost (Rp)</v>
      </c>
      <c r="B8">
        <v>6972077.154649799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0.7497</v>
      </c>
      <c r="L12">
        <v>761432.8050000002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0.714</v>
      </c>
      <c r="L14">
        <v>178500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2250000</v>
      </c>
      <c r="I16">
        <v>1</v>
      </c>
      <c r="J16">
        <v>2250000</v>
      </c>
      <c r="K16">
        <v>0.714</v>
      </c>
      <c r="L16">
        <v>1606500</v>
      </c>
    </row>
    <row r="17">
      <c r="A17">
        <v>4</v>
      </c>
      <c r="B17" t="str">
        <v>BEKISTING KOLOM (Material) — ratio 16.764705882352942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4.56)</v>
      </c>
      <c r="H18">
        <v>200000</v>
      </c>
      <c r="I18">
        <v>7.352941176470588</v>
      </c>
      <c r="J18">
        <v>1470588.2352941176</v>
      </c>
      <c r="K18">
        <v>5.249999999999999</v>
      </c>
      <c r="L18">
        <v>1050000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4.56)</v>
      </c>
      <c r="H19">
        <v>47600</v>
      </c>
      <c r="I19">
        <v>36.76470588235294</v>
      </c>
      <c r="J19">
        <v>1750000</v>
      </c>
      <c r="K19">
        <v>26.25</v>
      </c>
      <c r="L19">
        <v>1249500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4.56)</v>
      </c>
      <c r="H20">
        <v>47600</v>
      </c>
      <c r="I20">
        <v>7.352941176470588</v>
      </c>
      <c r="J20">
        <v>350000</v>
      </c>
      <c r="K20">
        <v>5.249999999999999</v>
      </c>
      <c r="L20">
        <v>249900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4.56)</v>
      </c>
      <c r="H21">
        <v>13000</v>
      </c>
      <c r="I21">
        <v>7.352941176470588</v>
      </c>
      <c r="J21">
        <v>95588.23529411764</v>
      </c>
      <c r="K21">
        <v>5.249999999999999</v>
      </c>
      <c r="L21">
        <v>68249.99999999999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4.56)</v>
      </c>
      <c r="H22">
        <v>27500</v>
      </c>
      <c r="I22">
        <v>8.382352941176471</v>
      </c>
      <c r="J22">
        <v>230514.70588235295</v>
      </c>
      <c r="K22">
        <v>5.985</v>
      </c>
      <c r="L22">
        <v>164587.5</v>
      </c>
    </row>
    <row r="23">
      <c r="A23">
        <v>5</v>
      </c>
      <c r="B23" t="str">
        <v>PEMBESIAN (Material) — ratio 204.01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69.31325042016806</v>
      </c>
      <c r="F24" t="str">
        <v>kg</v>
      </c>
      <c r="G24" t="str">
        <v>per m3 beton</v>
      </c>
      <c r="H24">
        <v>10300</v>
      </c>
      <c r="I24">
        <v>69.31325042016806</v>
      </c>
      <c r="J24">
        <v>713926.4793277311</v>
      </c>
      <c r="K24">
        <v>49.489660799999996</v>
      </c>
      <c r="L24">
        <v>509743.50623999996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134.69209109243698</v>
      </c>
      <c r="F25" t="str">
        <v>kg</v>
      </c>
      <c r="G25" t="str">
        <v>per m3 beton</v>
      </c>
      <c r="H25">
        <v>10300</v>
      </c>
      <c r="I25">
        <v>134.69209109243698</v>
      </c>
      <c r="J25">
        <v>1387328.5382521008</v>
      </c>
      <c r="K25">
        <v>96.17015304</v>
      </c>
      <c r="L25">
        <v>990552.5763119999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10300</v>
      </c>
      <c r="I26">
        <v>10.200267075630261</v>
      </c>
      <c r="J26">
        <v>105062.75087899169</v>
      </c>
      <c r="K26">
        <v>7.2829906920000065</v>
      </c>
      <c r="L26">
        <v>75014.80412760006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204.00534151260504</v>
      </c>
      <c r="J27">
        <v>20400.534151260505</v>
      </c>
      <c r="K27">
        <v>145.65981384</v>
      </c>
      <c r="L27">
        <v>14565.981383999999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4.284112171764706</v>
      </c>
      <c r="J28">
        <v>74971.96300588235</v>
      </c>
      <c r="K28">
        <v>3.05885609064</v>
      </c>
      <c r="L28">
        <v>53529.981586199996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9764813.942086553</v>
      </c>
      <c r="J30" t="str">
        <v/>
      </c>
      <c r="K30" t="str">
        <v/>
      </c>
      <c r="L30">
        <v>6972077.154649799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9764813.942086553</v>
      </c>
    </row>
    <row r="34">
      <c r="A34" t="str">
        <v>RAB (A) source unit cost</v>
      </c>
      <c r="B34">
        <v>9764813.942086555</v>
      </c>
    </row>
    <row r="35">
      <c r="A35" t="str">
        <v>Variance</v>
      </c>
      <c r="B35">
        <v>-1.862645149230957e-9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6972077.154649799</v>
      </c>
    </row>
    <row r="38">
      <c r="A38" t="str">
        <v>RAB (A) source line total</v>
      </c>
      <c r="B38">
        <v>7948167.956300772</v>
      </c>
    </row>
    <row r="39">
      <c r="A39" t="str">
        <v>Variance</v>
      </c>
      <c r="B39">
        <v>-976090.801650973</v>
      </c>
      <c r="C39" t="str">
        <v>✓ OK</v>
      </c>
    </row>
  </sheetData>
  <ignoredErrors>
    <ignoredError numberStoredAsText="1" sqref="A1:L39"/>
  </ignoredErrors>
</worksheet>
</file>

<file path=xl/worksheets/sheet224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(A) VI.A.4.3 - Kolom K174-2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K174-2</v>
      </c>
    </row>
    <row r="5">
      <c r="A5" t="str">
        <v>Unit</v>
      </c>
      <c r="B5" t="str">
        <v>m3</v>
      </c>
    </row>
    <row r="6">
      <c r="A6" t="str">
        <v>Volume</v>
      </c>
      <c r="B6">
        <v>0.476</v>
      </c>
    </row>
    <row r="7">
      <c r="A7" t="str">
        <v>Unit cost (Rp/m3)</v>
      </c>
      <c r="B7">
        <v>10903854.324087394</v>
      </c>
    </row>
    <row r="8">
      <c r="A8" t="str">
        <v>Line total at-cost (Rp)</v>
      </c>
      <c r="B8">
        <v>5190234.658265599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0.4998</v>
      </c>
      <c r="L12">
        <v>507621.8700000001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0.476</v>
      </c>
      <c r="L14">
        <v>119000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2250000</v>
      </c>
      <c r="I16">
        <v>1</v>
      </c>
      <c r="J16">
        <v>2250000</v>
      </c>
      <c r="K16">
        <v>0.476</v>
      </c>
      <c r="L16">
        <v>1071000</v>
      </c>
    </row>
    <row r="17">
      <c r="A17">
        <v>4</v>
      </c>
      <c r="B17" t="str">
        <v>BEKISTING KOLOM (Material) — ratio 16.764705882352942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4.56)</v>
      </c>
      <c r="H18">
        <v>200000</v>
      </c>
      <c r="I18">
        <v>7.352941176470588</v>
      </c>
      <c r="J18">
        <v>1470588.2352941176</v>
      </c>
      <c r="K18">
        <v>3.4999999999999996</v>
      </c>
      <c r="L18">
        <v>700000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4.56)</v>
      </c>
      <c r="H19">
        <v>47600</v>
      </c>
      <c r="I19">
        <v>36.76470588235294</v>
      </c>
      <c r="J19">
        <v>1750000</v>
      </c>
      <c r="K19">
        <v>17.5</v>
      </c>
      <c r="L19">
        <v>833000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4.56)</v>
      </c>
      <c r="H20">
        <v>47600</v>
      </c>
      <c r="I20">
        <v>7.352941176470588</v>
      </c>
      <c r="J20">
        <v>350000</v>
      </c>
      <c r="K20">
        <v>3.4999999999999996</v>
      </c>
      <c r="L20">
        <v>166600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4.56)</v>
      </c>
      <c r="H21">
        <v>13000</v>
      </c>
      <c r="I21">
        <v>7.352941176470588</v>
      </c>
      <c r="J21">
        <v>95588.23529411764</v>
      </c>
      <c r="K21">
        <v>3.4999999999999996</v>
      </c>
      <c r="L21">
        <v>45499.99999999999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4.56)</v>
      </c>
      <c r="H22">
        <v>27500</v>
      </c>
      <c r="I22">
        <v>8.382352941176471</v>
      </c>
      <c r="J22">
        <v>230514.70588235295</v>
      </c>
      <c r="K22">
        <v>3.99</v>
      </c>
      <c r="L22">
        <v>109725</v>
      </c>
    </row>
    <row r="23">
      <c r="A23">
        <v>5</v>
      </c>
      <c r="B23" t="str">
        <v>PEMBESIAN (Material) — ratio 304.96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69.31325042016806</v>
      </c>
      <c r="F24" t="str">
        <v>kg</v>
      </c>
      <c r="G24" t="str">
        <v>per m3 beton</v>
      </c>
      <c r="H24">
        <v>10300</v>
      </c>
      <c r="I24">
        <v>69.31325042016806</v>
      </c>
      <c r="J24">
        <v>713926.4793277311</v>
      </c>
      <c r="K24">
        <v>32.9931072</v>
      </c>
      <c r="L24">
        <v>339829.00415999995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235.64847327731096</v>
      </c>
      <c r="F25" t="str">
        <v>kg</v>
      </c>
      <c r="G25" t="str">
        <v>per m3 beton</v>
      </c>
      <c r="H25">
        <v>10300</v>
      </c>
      <c r="I25">
        <v>235.64847327731096</v>
      </c>
      <c r="J25">
        <v>2427179.274756303</v>
      </c>
      <c r="K25">
        <v>112.16867328000001</v>
      </c>
      <c r="L25">
        <v>1155337.3347840002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10300</v>
      </c>
      <c r="I26">
        <v>15.248086184873962</v>
      </c>
      <c r="J26">
        <v>157055.28770420182</v>
      </c>
      <c r="K26">
        <v>7.2580890240000056</v>
      </c>
      <c r="L26">
        <v>74758.31694720006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304.961723697479</v>
      </c>
      <c r="J27">
        <v>30496.1723697479</v>
      </c>
      <c r="K27">
        <v>145.16178048</v>
      </c>
      <c r="L27">
        <v>14516.178048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6.404196197647059</v>
      </c>
      <c r="J28">
        <v>112073.43345882354</v>
      </c>
      <c r="K28">
        <v>3.0483973900800003</v>
      </c>
      <c r="L28">
        <v>53346.9543264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10903854.324087394</v>
      </c>
      <c r="J30" t="str">
        <v/>
      </c>
      <c r="K30" t="str">
        <v/>
      </c>
      <c r="L30">
        <v>5190234.658265599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10903854.324087394</v>
      </c>
    </row>
    <row r="34">
      <c r="A34" t="str">
        <v>RAB (A) source unit cost</v>
      </c>
      <c r="B34">
        <v>10903854.324087394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5190234.658265599</v>
      </c>
    </row>
    <row r="38">
      <c r="A38" t="str">
        <v>RAB (A) source line total</v>
      </c>
      <c r="B38">
        <v>5916867.510422783</v>
      </c>
    </row>
    <row r="39">
      <c r="A39" t="str">
        <v>Variance</v>
      </c>
      <c r="B39">
        <v>-726632.8521571839</v>
      </c>
      <c r="C39" t="str">
        <v>✓ OK</v>
      </c>
    </row>
  </sheetData>
  <ignoredErrors>
    <ignoredError numberStoredAsText="1" sqref="A1:L39"/>
  </ignoredErrors>
</worksheet>
</file>

<file path=xl/worksheets/sheet225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(A) VI.A.4.4 - Kolom K175-1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K175-1</v>
      </c>
    </row>
    <row r="5">
      <c r="A5" t="str">
        <v>Unit</v>
      </c>
      <c r="B5" t="str">
        <v>m3</v>
      </c>
    </row>
    <row r="6">
      <c r="A6" t="str">
        <v>Volume</v>
      </c>
      <c r="B6">
        <v>0.595</v>
      </c>
    </row>
    <row r="7">
      <c r="A7" t="str">
        <v>Unit cost (Rp/m3)</v>
      </c>
      <c r="B7">
        <v>9363248.912053853</v>
      </c>
    </row>
    <row r="8">
      <c r="A8" t="str">
        <v>Line total at-cost (Rp)</v>
      </c>
      <c r="B8">
        <v>5571133.102672042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0.62475</v>
      </c>
      <c r="L12">
        <v>634527.3375000001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0.595</v>
      </c>
      <c r="L14">
        <v>148750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2250000</v>
      </c>
      <c r="I16">
        <v>1</v>
      </c>
      <c r="J16">
        <v>2250000</v>
      </c>
      <c r="K16">
        <v>0.595</v>
      </c>
      <c r="L16">
        <v>1338750</v>
      </c>
    </row>
    <row r="17">
      <c r="A17">
        <v>4</v>
      </c>
      <c r="B17" t="str">
        <v>BEKISTING KOLOM (Material) — ratio 15.764705882352944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4.56)</v>
      </c>
      <c r="H18">
        <v>200000</v>
      </c>
      <c r="I18">
        <v>6.9143446852425186</v>
      </c>
      <c r="J18">
        <v>1382868.9370485037</v>
      </c>
      <c r="K18">
        <v>4.114035087719298</v>
      </c>
      <c r="L18">
        <v>822807.0175438597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4.56)</v>
      </c>
      <c r="H19">
        <v>47600</v>
      </c>
      <c r="I19">
        <v>34.57172342621259</v>
      </c>
      <c r="J19">
        <v>1645614.0350877193</v>
      </c>
      <c r="K19">
        <v>20.570175438596493</v>
      </c>
      <c r="L19">
        <v>979140.3508771929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4.56)</v>
      </c>
      <c r="H20">
        <v>47600</v>
      </c>
      <c r="I20">
        <v>6.9143446852425186</v>
      </c>
      <c r="J20">
        <v>329122.8070175439</v>
      </c>
      <c r="K20">
        <v>4.114035087719298</v>
      </c>
      <c r="L20">
        <v>195828.0701754386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4.56)</v>
      </c>
      <c r="H21">
        <v>13000</v>
      </c>
      <c r="I21">
        <v>6.9143446852425186</v>
      </c>
      <c r="J21">
        <v>89886.48090815273</v>
      </c>
      <c r="K21">
        <v>4.114035087719298</v>
      </c>
      <c r="L21">
        <v>53482.45614035088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4.56)</v>
      </c>
      <c r="H22">
        <v>27500</v>
      </c>
      <c r="I22">
        <v>7.882352941176472</v>
      </c>
      <c r="J22">
        <v>216764.70588235298</v>
      </c>
      <c r="K22">
        <v>4.69</v>
      </c>
      <c r="L22">
        <v>128975.00000000001</v>
      </c>
    </row>
    <row r="23">
      <c r="A23">
        <v>5</v>
      </c>
      <c r="B23" t="str">
        <v>PEMBESIAN (Material) — ratio 189.01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72.13485176470589</v>
      </c>
      <c r="F24" t="str">
        <v>kg</v>
      </c>
      <c r="G24" t="str">
        <v>per m3 beton</v>
      </c>
      <c r="H24">
        <v>10300</v>
      </c>
      <c r="I24">
        <v>72.13485176470589</v>
      </c>
      <c r="J24">
        <v>742988.9731764706</v>
      </c>
      <c r="K24">
        <v>42.9202368</v>
      </c>
      <c r="L24">
        <v>442078.43903999997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116.87994514285717</v>
      </c>
      <c r="F25" t="str">
        <v>kg</v>
      </c>
      <c r="G25" t="str">
        <v>per m3 beton</v>
      </c>
      <c r="H25">
        <v>10300</v>
      </c>
      <c r="I25">
        <v>116.87994514285717</v>
      </c>
      <c r="J25">
        <v>1203863.4349714287</v>
      </c>
      <c r="K25">
        <v>69.54356736000001</v>
      </c>
      <c r="L25">
        <v>716298.743808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10300</v>
      </c>
      <c r="I26">
        <v>9.45073984537816</v>
      </c>
      <c r="J26">
        <v>97342.62040739505</v>
      </c>
      <c r="K26">
        <v>5.623190208000006</v>
      </c>
      <c r="L26">
        <v>57918.859142400055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189.01479690756304</v>
      </c>
      <c r="J27">
        <v>18901.479690756303</v>
      </c>
      <c r="K27">
        <v>112.46380416000001</v>
      </c>
      <c r="L27">
        <v>11246.380416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3.969310735058824</v>
      </c>
      <c r="J28">
        <v>69462.93786352943</v>
      </c>
      <c r="K28">
        <v>2.36173988736</v>
      </c>
      <c r="L28">
        <v>41330.448028800005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9363248.912053853</v>
      </c>
      <c r="J30" t="str">
        <v/>
      </c>
      <c r="K30" t="str">
        <v/>
      </c>
      <c r="L30">
        <v>5571133.102672042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9363248.912053853</v>
      </c>
    </row>
    <row r="34">
      <c r="A34" t="str">
        <v>RAB (A) source unit cost</v>
      </c>
      <c r="B34">
        <v>9363248.912053853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5571133.102672042</v>
      </c>
    </row>
    <row r="38">
      <c r="A38" t="str">
        <v>RAB (A) source line total</v>
      </c>
      <c r="B38">
        <v>6351091.737046128</v>
      </c>
    </row>
    <row r="39">
      <c r="A39" t="str">
        <v>Variance</v>
      </c>
      <c r="B39">
        <v>-779958.6343740858</v>
      </c>
      <c r="C39" t="str">
        <v>✓ OK</v>
      </c>
    </row>
  </sheetData>
  <ignoredErrors>
    <ignoredError numberStoredAsText="1" sqref="A1:L39"/>
  </ignoredErrors>
</worksheet>
</file>

<file path=xl/worksheets/sheet226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(A) VI.A.4.5 - Kolom K175-2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K175-2</v>
      </c>
    </row>
    <row r="5">
      <c r="A5" t="str">
        <v>Unit</v>
      </c>
      <c r="B5" t="str">
        <v>m3</v>
      </c>
    </row>
    <row r="6">
      <c r="A6" t="str">
        <v>Volume</v>
      </c>
      <c r="B6">
        <v>1.4874999999999998</v>
      </c>
    </row>
    <row r="7">
      <c r="A7" t="str">
        <v>Unit cost (Rp/m3)</v>
      </c>
      <c r="B7">
        <v>10024034.392766459</v>
      </c>
    </row>
    <row r="8">
      <c r="A8" t="str">
        <v>Line total at-cost (Rp)</v>
      </c>
      <c r="B8">
        <v>14910751.159240106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1.561875</v>
      </c>
      <c r="L12">
        <v>1586318.3437500002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1.4874999999999998</v>
      </c>
      <c r="L14">
        <v>371874.99999999994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2250000</v>
      </c>
      <c r="I16">
        <v>1</v>
      </c>
      <c r="J16">
        <v>2250000</v>
      </c>
      <c r="K16">
        <v>1.4874999999999998</v>
      </c>
      <c r="L16">
        <v>3346874.9999999995</v>
      </c>
    </row>
    <row r="17">
      <c r="A17">
        <v>4</v>
      </c>
      <c r="B17" t="str">
        <v>BEKISTING KOLOM (Material) — ratio 15.764705882352946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4.56)</v>
      </c>
      <c r="H18">
        <v>200000</v>
      </c>
      <c r="I18">
        <v>6.914344685242519</v>
      </c>
      <c r="J18">
        <v>1382868.937048504</v>
      </c>
      <c r="K18">
        <v>10.285087719298247</v>
      </c>
      <c r="L18">
        <v>2057017.5438596492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4.56)</v>
      </c>
      <c r="H19">
        <v>47600</v>
      </c>
      <c r="I19">
        <v>34.5717234262126</v>
      </c>
      <c r="J19">
        <v>1645614.0350877198</v>
      </c>
      <c r="K19">
        <v>51.42543859649123</v>
      </c>
      <c r="L19">
        <v>2447850.877192983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4.56)</v>
      </c>
      <c r="H20">
        <v>47600</v>
      </c>
      <c r="I20">
        <v>6.914344685242519</v>
      </c>
      <c r="J20">
        <v>329122.80701754394</v>
      </c>
      <c r="K20">
        <v>10.285087719298247</v>
      </c>
      <c r="L20">
        <v>489570.1754385965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4.56)</v>
      </c>
      <c r="H21">
        <v>13000</v>
      </c>
      <c r="I21">
        <v>6.914344685242519</v>
      </c>
      <c r="J21">
        <v>89886.48090815275</v>
      </c>
      <c r="K21">
        <v>10.285087719298247</v>
      </c>
      <c r="L21">
        <v>133706.1403508772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4.56)</v>
      </c>
      <c r="H22">
        <v>27500</v>
      </c>
      <c r="I22">
        <v>7.882352941176473</v>
      </c>
      <c r="J22">
        <v>216764.705882353</v>
      </c>
      <c r="K22">
        <v>11.725000000000001</v>
      </c>
      <c r="L22">
        <v>322437.50000000006</v>
      </c>
    </row>
    <row r="23">
      <c r="A23">
        <v>5</v>
      </c>
      <c r="B23" t="str">
        <v>PEMBESIAN (Material) — ratio 247.58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72.1348517647059</v>
      </c>
      <c r="F24" t="str">
        <v>kg</v>
      </c>
      <c r="G24" t="str">
        <v>per m3 beton</v>
      </c>
      <c r="H24">
        <v>10300</v>
      </c>
      <c r="I24">
        <v>72.1348517647059</v>
      </c>
      <c r="J24">
        <v>742988.9731764707</v>
      </c>
      <c r="K24">
        <v>107.30059200000001</v>
      </c>
      <c r="L24">
        <v>1105196.0976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175.4472379159664</v>
      </c>
      <c r="F25" t="str">
        <v>kg</v>
      </c>
      <c r="G25" t="str">
        <v>per m3 beton</v>
      </c>
      <c r="H25">
        <v>10300</v>
      </c>
      <c r="I25">
        <v>175.4472379159664</v>
      </c>
      <c r="J25">
        <v>1807106.550534454</v>
      </c>
      <c r="K25">
        <v>260.9777664</v>
      </c>
      <c r="L25">
        <v>2688070.99392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10300</v>
      </c>
      <c r="I26">
        <v>12.379104484033627</v>
      </c>
      <c r="J26">
        <v>127504.77618554636</v>
      </c>
      <c r="K26">
        <v>18.413917920000017</v>
      </c>
      <c r="L26">
        <v>189663.3545760002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247.5820896806723</v>
      </c>
      <c r="J27">
        <v>24758.208968067232</v>
      </c>
      <c r="K27">
        <v>368.2783584</v>
      </c>
      <c r="L27">
        <v>36827.83584000001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5.199223883294119</v>
      </c>
      <c r="J28">
        <v>90986.41795764708</v>
      </c>
      <c r="K28">
        <v>7.733845526400001</v>
      </c>
      <c r="L28">
        <v>135342.296712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10024034.392766459</v>
      </c>
      <c r="J30" t="str">
        <v/>
      </c>
      <c r="K30" t="str">
        <v/>
      </c>
      <c r="L30">
        <v>14910751.159240106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10024034.392766459</v>
      </c>
    </row>
    <row r="34">
      <c r="A34" t="str">
        <v>RAB (A) source unit cost</v>
      </c>
      <c r="B34">
        <v>10024034.392766459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14910751.159240106</v>
      </c>
    </row>
    <row r="38">
      <c r="A38" t="str">
        <v>RAB (A) source line total</v>
      </c>
      <c r="B38">
        <v>16998256.32153372</v>
      </c>
    </row>
    <row r="39">
      <c r="A39" t="str">
        <v>Variance</v>
      </c>
      <c r="B39">
        <v>-2087505.1622936148</v>
      </c>
      <c r="C39" t="str">
        <v>✓ OK</v>
      </c>
    </row>
  </sheetData>
  <ignoredErrors>
    <ignoredError numberStoredAsText="1" sqref="A1:L39"/>
  </ignoredErrors>
</worksheet>
</file>

<file path=xl/worksheets/sheet227.xml><?xml version="1.0" encoding="utf-8"?>
<worksheet xmlns="http://schemas.openxmlformats.org/spreadsheetml/2006/main" xmlns:r="http://schemas.openxmlformats.org/officeDocument/2006/relationships">
  <dimension ref="A1:L40"/>
  <sheetViews>
    <sheetView workbookViewId="0" rightToLeft="0"/>
  </sheetViews>
  <sheetData>
    <row r="1">
      <c r="A1" t="str">
        <v>BREAKDOWN — (A) VI.A.4.6 - Kolom K175-3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K175-3</v>
      </c>
    </row>
    <row r="5">
      <c r="A5" t="str">
        <v>Unit</v>
      </c>
      <c r="B5" t="str">
        <v>m3</v>
      </c>
    </row>
    <row r="6">
      <c r="A6" t="str">
        <v>Volume</v>
      </c>
      <c r="B6">
        <v>2.0824999999999996</v>
      </c>
    </row>
    <row r="7">
      <c r="A7" t="str">
        <v>Unit cost (Rp/m3)</v>
      </c>
      <c r="B7">
        <v>10667127.476903938</v>
      </c>
    </row>
    <row r="8">
      <c r="A8" t="str">
        <v>Line total at-cost (Rp)</v>
      </c>
      <c r="B8">
        <v>22214292.970652446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2.186625</v>
      </c>
      <c r="L12">
        <v>2220845.68125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2.0824999999999996</v>
      </c>
      <c r="L14">
        <v>520624.9999999999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2250000</v>
      </c>
      <c r="I16">
        <v>1</v>
      </c>
      <c r="J16">
        <v>2250000</v>
      </c>
      <c r="K16">
        <v>2.0824999999999996</v>
      </c>
      <c r="L16">
        <v>4685624.999999999</v>
      </c>
    </row>
    <row r="17">
      <c r="A17">
        <v>4</v>
      </c>
      <c r="B17" t="str">
        <v>BEKISTING KOLOM (Material) — ratio 15.764705882352947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4.56)</v>
      </c>
      <c r="H18">
        <v>200000</v>
      </c>
      <c r="I18">
        <v>6.91434468524252</v>
      </c>
      <c r="J18">
        <v>1382868.9370485041</v>
      </c>
      <c r="K18">
        <v>14.399122807017546</v>
      </c>
      <c r="L18">
        <v>2879824.561403509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4.56)</v>
      </c>
      <c r="H19">
        <v>47600</v>
      </c>
      <c r="I19">
        <v>34.5717234262126</v>
      </c>
      <c r="J19">
        <v>1645614.0350877198</v>
      </c>
      <c r="K19">
        <v>71.99561403508773</v>
      </c>
      <c r="L19">
        <v>3426991.2280701757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4.56)</v>
      </c>
      <c r="H20">
        <v>47600</v>
      </c>
      <c r="I20">
        <v>6.91434468524252</v>
      </c>
      <c r="J20">
        <v>329122.807017544</v>
      </c>
      <c r="K20">
        <v>14.399122807017546</v>
      </c>
      <c r="L20">
        <v>685398.2456140352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4.56)</v>
      </c>
      <c r="H21">
        <v>13000</v>
      </c>
      <c r="I21">
        <v>6.91434468524252</v>
      </c>
      <c r="J21">
        <v>89886.48090815276</v>
      </c>
      <c r="K21">
        <v>14.399122807017546</v>
      </c>
      <c r="L21">
        <v>187188.5964912281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4.56)</v>
      </c>
      <c r="H22">
        <v>27500</v>
      </c>
      <c r="I22">
        <v>7.882352941176474</v>
      </c>
      <c r="J22">
        <v>216764.70588235304</v>
      </c>
      <c r="K22">
        <v>16.415000000000003</v>
      </c>
      <c r="L22">
        <v>451412.5000000001</v>
      </c>
    </row>
    <row r="23">
      <c r="A23">
        <v>5</v>
      </c>
      <c r="B23" t="str">
        <v>PEMBESIAN (Material) — ratio 304.58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72.13485176470591</v>
      </c>
      <c r="F24" t="str">
        <v>kg</v>
      </c>
      <c r="G24" t="str">
        <v>per m3 beton</v>
      </c>
      <c r="H24">
        <v>10300</v>
      </c>
      <c r="I24">
        <v>72.13485176470591</v>
      </c>
      <c r="J24">
        <v>742988.973176471</v>
      </c>
      <c r="K24">
        <v>150.22082880000002</v>
      </c>
      <c r="L24">
        <v>1547274.5366400005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94.25938931092439</v>
      </c>
      <c r="F25" t="str">
        <v>kg</v>
      </c>
      <c r="G25" t="str">
        <v>per m3 beton</v>
      </c>
      <c r="H25">
        <v>10300</v>
      </c>
      <c r="I25">
        <v>94.25938931092439</v>
      </c>
      <c r="J25">
        <v>970871.7099025212</v>
      </c>
      <c r="K25">
        <v>196.29517824</v>
      </c>
      <c r="L25">
        <v>2021840.335872</v>
      </c>
    </row>
    <row r="26">
      <c r="A26" t="str">
        <v/>
      </c>
      <c r="B26" t="str">
        <v/>
      </c>
      <c r="C26" t="str">
        <v>Besi beton D19</v>
      </c>
      <c r="D26" t="str">
        <v>U24/U40 polos</v>
      </c>
      <c r="E26">
        <v>138.1870140504202</v>
      </c>
      <c r="F26" t="str">
        <v>kg</v>
      </c>
      <c r="G26" t="str">
        <v>per m3 beton</v>
      </c>
      <c r="H26">
        <v>10300</v>
      </c>
      <c r="I26">
        <v>138.1870140504202</v>
      </c>
      <c r="J26">
        <v>1423326.2447193281</v>
      </c>
      <c r="K26">
        <v>287.77445676</v>
      </c>
      <c r="L26">
        <v>2964076.904628</v>
      </c>
    </row>
    <row r="27">
      <c r="A27" t="str">
        <v/>
      </c>
      <c r="B27" t="str">
        <v/>
      </c>
      <c r="C27" t="str">
        <v>Besi beton — waste (5%)</v>
      </c>
      <c r="D27" t="str">
        <v>applied via AHS coeff 1.05</v>
      </c>
      <c r="E27">
        <v>0.050000000000000044</v>
      </c>
      <c r="F27" t="str">
        <v>kg</v>
      </c>
      <c r="G27" t="str">
        <v>per m3 beton</v>
      </c>
      <c r="H27">
        <v>10300</v>
      </c>
      <c r="I27">
        <v>15.22906275630254</v>
      </c>
      <c r="J27">
        <v>156859.34638991614</v>
      </c>
      <c r="K27">
        <v>31.714523190000033</v>
      </c>
      <c r="L27">
        <v>326659.5888570003</v>
      </c>
    </row>
    <row r="28">
      <c r="A28" t="str">
        <v/>
      </c>
      <c r="B28" t="str">
        <v/>
      </c>
      <c r="C28" t="str">
        <v>Beton decking</v>
      </c>
      <c r="D28" t="str">
        <v>spacer</v>
      </c>
      <c r="E28">
        <v>1</v>
      </c>
      <c r="F28" t="str">
        <v>kg-eq</v>
      </c>
      <c r="G28" t="str">
        <v>per kg besi</v>
      </c>
      <c r="H28">
        <v>100</v>
      </c>
      <c r="I28">
        <v>304.5812551260505</v>
      </c>
      <c r="J28">
        <v>30458.12551260505</v>
      </c>
      <c r="K28">
        <v>634.2904638</v>
      </c>
      <c r="L28">
        <v>63429.04638</v>
      </c>
    </row>
    <row r="29">
      <c r="A29" t="str">
        <v/>
      </c>
      <c r="B29" t="str">
        <v/>
      </c>
      <c r="C29" t="str">
        <v>Bendrat (kawat ikat)</v>
      </c>
      <c r="D29" t="str">
        <v>2.1% of besi (raw)</v>
      </c>
      <c r="E29">
        <v>0.021</v>
      </c>
      <c r="F29" t="str">
        <v>kg</v>
      </c>
      <c r="G29" t="str">
        <v>per kg besi (raw)</v>
      </c>
      <c r="H29">
        <v>17500</v>
      </c>
      <c r="I29">
        <v>6.396206357647061</v>
      </c>
      <c r="J29">
        <v>111933.61125882356</v>
      </c>
      <c r="K29">
        <v>13.320099739800002</v>
      </c>
      <c r="L29">
        <v>233101.74544650002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/>
      </c>
      <c r="B31" t="str">
        <v>SUBTOTAL — At-cost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>
        <v>10667127.476903938</v>
      </c>
      <c r="J31" t="str">
        <v/>
      </c>
      <c r="K31" t="str">
        <v/>
      </c>
      <c r="L31">
        <v>22214292.970652446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>RECONCILIATION</v>
      </c>
    </row>
    <row r="34">
      <c r="A34" t="str">
        <v>Computed unit cost</v>
      </c>
      <c r="B34">
        <v>10667127.476903938</v>
      </c>
    </row>
    <row r="35">
      <c r="A35" t="str">
        <v>RAB (A) source unit cost</v>
      </c>
      <c r="B35">
        <v>10667127.476903938</v>
      </c>
    </row>
    <row r="36">
      <c r="A36" t="str">
        <v>Variance</v>
      </c>
      <c r="B36">
        <v>0</v>
      </c>
      <c r="C36" t="str">
        <v>✓ OK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</row>
    <row r="38">
      <c r="A38" t="str">
        <v>Computed line total</v>
      </c>
      <c r="B38">
        <v>22214292.970652446</v>
      </c>
    </row>
    <row r="39">
      <c r="A39" t="str">
        <v>RAB (A) source line total</v>
      </c>
      <c r="B39">
        <v>25324293.986543786</v>
      </c>
    </row>
    <row r="40">
      <c r="A40" t="str">
        <v>Variance</v>
      </c>
      <c r="B40">
        <v>-3110001.0158913396</v>
      </c>
      <c r="C40" t="str">
        <v>✓ OK</v>
      </c>
    </row>
  </sheetData>
  <ignoredErrors>
    <ignoredError numberStoredAsText="1" sqref="A1:L40"/>
  </ignoredErrors>
</worksheet>
</file>

<file path=xl/worksheets/sheet228.xml><?xml version="1.0" encoding="utf-8"?>
<worksheet xmlns="http://schemas.openxmlformats.org/spreadsheetml/2006/main" xmlns:r="http://schemas.openxmlformats.org/officeDocument/2006/relationships">
  <dimension ref="A1:L40"/>
  <sheetViews>
    <sheetView workbookViewId="0" rightToLeft="0"/>
  </sheetViews>
  <sheetData>
    <row r="1">
      <c r="A1" t="str">
        <v>BREAKDOWN — (A) VI.A.4.7 - Kolom K175-4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K175-4</v>
      </c>
    </row>
    <row r="5">
      <c r="A5" t="str">
        <v>Unit</v>
      </c>
      <c r="B5" t="str">
        <v>m3</v>
      </c>
    </row>
    <row r="6">
      <c r="A6" t="str">
        <v>Volume</v>
      </c>
      <c r="B6">
        <v>0.8925</v>
      </c>
    </row>
    <row r="7">
      <c r="A7" t="str">
        <v>Unit cost (Rp/m3)</v>
      </c>
      <c r="B7">
        <v>11485323.351531163</v>
      </c>
    </row>
    <row r="8">
      <c r="A8" t="str">
        <v>Line total at-cost (Rp)</v>
      </c>
      <c r="B8">
        <v>10250651.091241563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0.937125</v>
      </c>
      <c r="L12">
        <v>951791.0062500002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0.8925</v>
      </c>
      <c r="L14">
        <v>223125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2250000</v>
      </c>
      <c r="I16">
        <v>1</v>
      </c>
      <c r="J16">
        <v>2250000</v>
      </c>
      <c r="K16">
        <v>0.8925</v>
      </c>
      <c r="L16">
        <v>2008125</v>
      </c>
    </row>
    <row r="17">
      <c r="A17">
        <v>4</v>
      </c>
      <c r="B17" t="str">
        <v>BEKISTING KOLOM (Material) — ratio 15.764705882352942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4.56)</v>
      </c>
      <c r="H18">
        <v>200000</v>
      </c>
      <c r="I18">
        <v>6.914344685242518</v>
      </c>
      <c r="J18">
        <v>1382868.9370485034</v>
      </c>
      <c r="K18">
        <v>6.171052631578947</v>
      </c>
      <c r="L18">
        <v>1234210.5263157892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4.56)</v>
      </c>
      <c r="H19">
        <v>47600</v>
      </c>
      <c r="I19">
        <v>34.571723426212586</v>
      </c>
      <c r="J19">
        <v>1645614.035087719</v>
      </c>
      <c r="K19">
        <v>30.855263157894733</v>
      </c>
      <c r="L19">
        <v>1468710.5263157892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4.56)</v>
      </c>
      <c r="H20">
        <v>47600</v>
      </c>
      <c r="I20">
        <v>6.914344685242518</v>
      </c>
      <c r="J20">
        <v>329122.8070175438</v>
      </c>
      <c r="K20">
        <v>6.171052631578947</v>
      </c>
      <c r="L20">
        <v>293742.10526315786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4.56)</v>
      </c>
      <c r="H21">
        <v>13000</v>
      </c>
      <c r="I21">
        <v>6.914344685242518</v>
      </c>
      <c r="J21">
        <v>89886.48090815273</v>
      </c>
      <c r="K21">
        <v>6.171052631578947</v>
      </c>
      <c r="L21">
        <v>80223.6842105263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4.56)</v>
      </c>
      <c r="H22">
        <v>27500</v>
      </c>
      <c r="I22">
        <v>7.882352941176471</v>
      </c>
      <c r="J22">
        <v>216764.70588235295</v>
      </c>
      <c r="K22">
        <v>7.035</v>
      </c>
      <c r="L22">
        <v>193462.5</v>
      </c>
    </row>
    <row r="23">
      <c r="A23">
        <v>5</v>
      </c>
      <c r="B23" t="str">
        <v>PEMBESIAN (Material) — ratio 377.10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16.9035251092437</v>
      </c>
      <c r="F24" t="str">
        <v>kg</v>
      </c>
      <c r="G24" t="str">
        <v>per m3 beton</v>
      </c>
      <c r="H24">
        <v>10300</v>
      </c>
      <c r="I24">
        <v>16.9035251092437</v>
      </c>
      <c r="J24">
        <v>174106.3086252101</v>
      </c>
      <c r="K24">
        <v>15.08639616</v>
      </c>
      <c r="L24">
        <v>155389.880448</v>
      </c>
    </row>
    <row r="25">
      <c r="A25" t="str">
        <v/>
      </c>
      <c r="B25" t="str">
        <v/>
      </c>
      <c r="C25" t="str">
        <v>Besi beton D10</v>
      </c>
      <c r="D25" t="str">
        <v>U24/U40 polos</v>
      </c>
      <c r="E25">
        <v>101.97635294117649</v>
      </c>
      <c r="F25" t="str">
        <v>kg</v>
      </c>
      <c r="G25" t="str">
        <v>per m3 beton</v>
      </c>
      <c r="H25">
        <v>10300</v>
      </c>
      <c r="I25">
        <v>101.97635294117649</v>
      </c>
      <c r="J25">
        <v>1050356.4352941178</v>
      </c>
      <c r="K25">
        <v>91.013895</v>
      </c>
      <c r="L25">
        <v>937443.1185000001</v>
      </c>
    </row>
    <row r="26">
      <c r="A26" t="str">
        <v/>
      </c>
      <c r="B26" t="str">
        <v/>
      </c>
      <c r="C26" t="str">
        <v>Besi beton D19</v>
      </c>
      <c r="D26" t="str">
        <v>U24/U40 polos</v>
      </c>
      <c r="E26">
        <v>258.22039986554626</v>
      </c>
      <c r="F26" t="str">
        <v>kg</v>
      </c>
      <c r="G26" t="str">
        <v>per m3 beton</v>
      </c>
      <c r="H26">
        <v>10300</v>
      </c>
      <c r="I26">
        <v>258.22039986554626</v>
      </c>
      <c r="J26">
        <v>2659670.1186151262</v>
      </c>
      <c r="K26">
        <v>230.46170688000004</v>
      </c>
      <c r="L26">
        <v>2373755.580864</v>
      </c>
    </row>
    <row r="27">
      <c r="A27" t="str">
        <v/>
      </c>
      <c r="B27" t="str">
        <v/>
      </c>
      <c r="C27" t="str">
        <v>Besi beton — waste (5%)</v>
      </c>
      <c r="D27" t="str">
        <v>applied via AHS coeff 1.05</v>
      </c>
      <c r="E27">
        <v>0.050000000000000044</v>
      </c>
      <c r="F27" t="str">
        <v>kg</v>
      </c>
      <c r="G27" t="str">
        <v>per m3 beton</v>
      </c>
      <c r="H27">
        <v>10300</v>
      </c>
      <c r="I27">
        <v>18.85501389579834</v>
      </c>
      <c r="J27">
        <v>194206.6431267229</v>
      </c>
      <c r="K27">
        <v>16.828099902000016</v>
      </c>
      <c r="L27">
        <v>173329.42899060016</v>
      </c>
    </row>
    <row r="28">
      <c r="A28" t="str">
        <v/>
      </c>
      <c r="B28" t="str">
        <v/>
      </c>
      <c r="C28" t="str">
        <v>Beton decking</v>
      </c>
      <c r="D28" t="str">
        <v>spacer</v>
      </c>
      <c r="E28">
        <v>1</v>
      </c>
      <c r="F28" t="str">
        <v>kg-eq</v>
      </c>
      <c r="G28" t="str">
        <v>per kg besi</v>
      </c>
      <c r="H28">
        <v>100</v>
      </c>
      <c r="I28">
        <v>377.10027791596644</v>
      </c>
      <c r="J28">
        <v>37710.02779159664</v>
      </c>
      <c r="K28">
        <v>336.56199804000005</v>
      </c>
      <c r="L28">
        <v>33656.199804</v>
      </c>
    </row>
    <row r="29">
      <c r="A29" t="str">
        <v/>
      </c>
      <c r="B29" t="str">
        <v/>
      </c>
      <c r="C29" t="str">
        <v>Bendrat (kawat ikat)</v>
      </c>
      <c r="D29" t="str">
        <v>2.1% of besi (raw)</v>
      </c>
      <c r="E29">
        <v>0.021</v>
      </c>
      <c r="F29" t="str">
        <v>kg</v>
      </c>
      <c r="G29" t="str">
        <v>per kg besi (raw)</v>
      </c>
      <c r="H29">
        <v>17500</v>
      </c>
      <c r="I29">
        <v>7.919105836235296</v>
      </c>
      <c r="J29">
        <v>138584.35213411768</v>
      </c>
      <c r="K29">
        <v>7.067801958840001</v>
      </c>
      <c r="L29">
        <v>123686.53427970002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/>
      </c>
      <c r="B31" t="str">
        <v>SUBTOTAL — At-cost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>
        <v>11485323.351531163</v>
      </c>
      <c r="J31" t="str">
        <v/>
      </c>
      <c r="K31" t="str">
        <v/>
      </c>
      <c r="L31">
        <v>10250651.091241563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>RECONCILIATION</v>
      </c>
    </row>
    <row r="34">
      <c r="A34" t="str">
        <v>Computed unit cost</v>
      </c>
      <c r="B34">
        <v>11485323.351531163</v>
      </c>
    </row>
    <row r="35">
      <c r="A35" t="str">
        <v>RAB (A) source unit cost</v>
      </c>
      <c r="B35">
        <v>11485323.351531163</v>
      </c>
    </row>
    <row r="36">
      <c r="A36" t="str">
        <v>Variance</v>
      </c>
      <c r="B36">
        <v>0</v>
      </c>
      <c r="C36" t="str">
        <v>✓ OK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</row>
    <row r="38">
      <c r="A38" t="str">
        <v>Computed line total</v>
      </c>
      <c r="B38">
        <v>10250651.091241563</v>
      </c>
    </row>
    <row r="39">
      <c r="A39" t="str">
        <v>RAB (A) source line total</v>
      </c>
      <c r="B39">
        <v>11685742.24401538</v>
      </c>
    </row>
    <row r="40">
      <c r="A40" t="str">
        <v>Variance</v>
      </c>
      <c r="B40">
        <v>-1435091.152773818</v>
      </c>
      <c r="C40" t="str">
        <v>✓ OK</v>
      </c>
    </row>
  </sheetData>
  <ignoredErrors>
    <ignoredError numberStoredAsText="1" sqref="A1:L40"/>
  </ignoredErrors>
</worksheet>
</file>

<file path=xl/worksheets/sheet229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(A) VI.A.4.8 - Kolom K176-1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K176-1</v>
      </c>
    </row>
    <row r="5">
      <c r="A5" t="str">
        <v>Unit</v>
      </c>
      <c r="B5" t="str">
        <v>m3</v>
      </c>
    </row>
    <row r="6">
      <c r="A6" t="str">
        <v>Volume</v>
      </c>
      <c r="B6">
        <v>0.714</v>
      </c>
    </row>
    <row r="7">
      <c r="A7" t="str">
        <v>Unit cost (Rp/m3)</v>
      </c>
      <c r="B7">
        <v>9677750.729358101</v>
      </c>
    </row>
    <row r="8">
      <c r="A8" t="str">
        <v>Line total at-cost (Rp)</v>
      </c>
      <c r="B8">
        <v>6909914.020761684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0.7497</v>
      </c>
      <c r="L12">
        <v>761432.8050000002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0.714</v>
      </c>
      <c r="L14">
        <v>178500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2250000</v>
      </c>
      <c r="I16">
        <v>1</v>
      </c>
      <c r="J16">
        <v>2250000</v>
      </c>
      <c r="K16">
        <v>0.714</v>
      </c>
      <c r="L16">
        <v>1606500</v>
      </c>
    </row>
    <row r="17">
      <c r="A17">
        <v>4</v>
      </c>
      <c r="B17" t="str">
        <v>BEKISTING KOLOM (Material) — ratio 15.098039215686274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4.56)</v>
      </c>
      <c r="H18">
        <v>200000</v>
      </c>
      <c r="I18">
        <v>6.621947024423804</v>
      </c>
      <c r="J18">
        <v>1324389.4048847607</v>
      </c>
      <c r="K18">
        <v>4.728070175438596</v>
      </c>
      <c r="L18">
        <v>945614.0350877191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4.56)</v>
      </c>
      <c r="H19">
        <v>47600</v>
      </c>
      <c r="I19">
        <v>33.10973512211902</v>
      </c>
      <c r="J19">
        <v>1576023.3918128654</v>
      </c>
      <c r="K19">
        <v>23.64035087719298</v>
      </c>
      <c r="L19">
        <v>1125280.7017543858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4.56)</v>
      </c>
      <c r="H20">
        <v>47600</v>
      </c>
      <c r="I20">
        <v>6.621947024423804</v>
      </c>
      <c r="J20">
        <v>315204.6783625731</v>
      </c>
      <c r="K20">
        <v>4.728070175438596</v>
      </c>
      <c r="L20">
        <v>225056.14035087716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4.56)</v>
      </c>
      <c r="H21">
        <v>13000</v>
      </c>
      <c r="I21">
        <v>6.621947024423804</v>
      </c>
      <c r="J21">
        <v>86085.31131750945</v>
      </c>
      <c r="K21">
        <v>4.728070175438596</v>
      </c>
      <c r="L21">
        <v>61464.91228070174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4.56)</v>
      </c>
      <c r="H22">
        <v>27500</v>
      </c>
      <c r="I22">
        <v>7.549019607843137</v>
      </c>
      <c r="J22">
        <v>207598.03921568627</v>
      </c>
      <c r="K22">
        <v>5.39</v>
      </c>
      <c r="L22">
        <v>148225</v>
      </c>
    </row>
    <row r="23">
      <c r="A23">
        <v>5</v>
      </c>
      <c r="B23" t="str">
        <v>PEMBESIAN (Material) — ratio 230.62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68.29093109243698</v>
      </c>
      <c r="F24" t="str">
        <v>kg</v>
      </c>
      <c r="G24" t="str">
        <v>per m3 beton</v>
      </c>
      <c r="H24">
        <v>10300</v>
      </c>
      <c r="I24">
        <v>68.29093109243698</v>
      </c>
      <c r="J24">
        <v>703396.5902521008</v>
      </c>
      <c r="K24">
        <v>48.7597248</v>
      </c>
      <c r="L24">
        <v>502225.16543999995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162.33325714285715</v>
      </c>
      <c r="F25" t="str">
        <v>kg</v>
      </c>
      <c r="G25" t="str">
        <v>per m3 beton</v>
      </c>
      <c r="H25">
        <v>10300</v>
      </c>
      <c r="I25">
        <v>162.33325714285715</v>
      </c>
      <c r="J25">
        <v>1672032.5485714287</v>
      </c>
      <c r="K25">
        <v>115.9059456</v>
      </c>
      <c r="L25">
        <v>1193831.23968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10300</v>
      </c>
      <c r="I26">
        <v>11.531209411764717</v>
      </c>
      <c r="J26">
        <v>118771.45694117658</v>
      </c>
      <c r="K26">
        <v>8.233283520000008</v>
      </c>
      <c r="L26">
        <v>84802.82025600008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230.62418823529413</v>
      </c>
      <c r="J27">
        <v>23062.418823529413</v>
      </c>
      <c r="K27">
        <v>164.6656704</v>
      </c>
      <c r="L27">
        <v>16466.56704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4.843107952941177</v>
      </c>
      <c r="J28">
        <v>84754.3891764706</v>
      </c>
      <c r="K28">
        <v>3.4579790784000006</v>
      </c>
      <c r="L28">
        <v>60514.63387200001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9677750.729358101</v>
      </c>
      <c r="J30" t="str">
        <v/>
      </c>
      <c r="K30" t="str">
        <v/>
      </c>
      <c r="L30">
        <v>6909914.020761684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9677750.729358101</v>
      </c>
    </row>
    <row r="34">
      <c r="A34" t="str">
        <v>RAB (A) source unit cost</v>
      </c>
      <c r="B34">
        <v>9677750.729358101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6909914.020761684</v>
      </c>
    </row>
    <row r="38">
      <c r="A38" t="str">
        <v>RAB (A) source line total</v>
      </c>
      <c r="B38">
        <v>7877301.983668319</v>
      </c>
    </row>
    <row r="39">
      <c r="A39" t="str">
        <v>Variance</v>
      </c>
      <c r="B39">
        <v>-967387.9629066354</v>
      </c>
      <c r="C39" t="str">
        <v>✓ OK</v>
      </c>
    </row>
  </sheetData>
  <ignoredErrors>
    <ignoredError numberStoredAsText="1" sqref="A1:L39"/>
  </ignoredErrors>
</worksheet>
</file>

<file path=xl/worksheets/sheet230.xml><?xml version="1.0" encoding="utf-8"?>
<worksheet xmlns="http://schemas.openxmlformats.org/spreadsheetml/2006/main" xmlns:r="http://schemas.openxmlformats.org/officeDocument/2006/relationships">
  <dimension ref="A1:L40"/>
  <sheetViews>
    <sheetView workbookViewId="0" rightToLeft="0"/>
  </sheetViews>
  <sheetData>
    <row r="1">
      <c r="A1" t="str">
        <v>BREAKDOWN — (A) VI.A.4.9 - Kolom K176-4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K176-4</v>
      </c>
    </row>
    <row r="5">
      <c r="A5" t="str">
        <v>Unit</v>
      </c>
      <c r="B5" t="str">
        <v>m3</v>
      </c>
    </row>
    <row r="6">
      <c r="A6" t="str">
        <v>Volume</v>
      </c>
      <c r="B6">
        <v>0.357</v>
      </c>
    </row>
    <row r="7">
      <c r="A7" t="str">
        <v>Unit cost (Rp/m3)</v>
      </c>
      <c r="B7">
        <v>11330952.032267345</v>
      </c>
    </row>
    <row r="8">
      <c r="A8" t="str">
        <v>Line total at-cost (Rp)</v>
      </c>
      <c r="B8">
        <v>4045149.875519442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0.37485</v>
      </c>
      <c r="L12">
        <v>380716.4025000001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0.357</v>
      </c>
      <c r="L14">
        <v>89250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2250000</v>
      </c>
      <c r="I16">
        <v>1</v>
      </c>
      <c r="J16">
        <v>2250000</v>
      </c>
      <c r="K16">
        <v>0.357</v>
      </c>
      <c r="L16">
        <v>803250</v>
      </c>
    </row>
    <row r="17">
      <c r="A17">
        <v>4</v>
      </c>
      <c r="B17" t="str">
        <v>BEKISTING KOLOM (Material) — ratio 15.098039215686274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4.56)</v>
      </c>
      <c r="H18">
        <v>200000</v>
      </c>
      <c r="I18">
        <v>6.621947024423804</v>
      </c>
      <c r="J18">
        <v>1324389.4048847607</v>
      </c>
      <c r="K18">
        <v>2.364035087719298</v>
      </c>
      <c r="L18">
        <v>472807.01754385955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4.56)</v>
      </c>
      <c r="H19">
        <v>47600</v>
      </c>
      <c r="I19">
        <v>33.10973512211902</v>
      </c>
      <c r="J19">
        <v>1576023.3918128654</v>
      </c>
      <c r="K19">
        <v>11.82017543859649</v>
      </c>
      <c r="L19">
        <v>562640.3508771929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4.56)</v>
      </c>
      <c r="H20">
        <v>47600</v>
      </c>
      <c r="I20">
        <v>6.621947024423804</v>
      </c>
      <c r="J20">
        <v>315204.6783625731</v>
      </c>
      <c r="K20">
        <v>2.364035087719298</v>
      </c>
      <c r="L20">
        <v>112528.07017543858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4.56)</v>
      </c>
      <c r="H21">
        <v>13000</v>
      </c>
      <c r="I21">
        <v>6.621947024423804</v>
      </c>
      <c r="J21">
        <v>86085.31131750945</v>
      </c>
      <c r="K21">
        <v>2.364035087719298</v>
      </c>
      <c r="L21">
        <v>30732.45614035087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4.56)</v>
      </c>
      <c r="H22">
        <v>27500</v>
      </c>
      <c r="I22">
        <v>7.549019607843137</v>
      </c>
      <c r="J22">
        <v>207598.03921568627</v>
      </c>
      <c r="K22">
        <v>2.695</v>
      </c>
      <c r="L22">
        <v>74112.5</v>
      </c>
    </row>
    <row r="23">
      <c r="A23">
        <v>5</v>
      </c>
      <c r="B23" t="str">
        <v>PEMBESIAN (Material) — ratio 377.15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68.29093109243698</v>
      </c>
      <c r="F24" t="str">
        <v>kg</v>
      </c>
      <c r="G24" t="str">
        <v>per m3 beton</v>
      </c>
      <c r="H24">
        <v>10300</v>
      </c>
      <c r="I24">
        <v>68.29093109243698</v>
      </c>
      <c r="J24">
        <v>703396.5902521008</v>
      </c>
      <c r="K24">
        <v>24.3798624</v>
      </c>
      <c r="L24">
        <v>251112.58271999998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78.54949109243698</v>
      </c>
      <c r="F25" t="str">
        <v>kg</v>
      </c>
      <c r="G25" t="str">
        <v>per m3 beton</v>
      </c>
      <c r="H25">
        <v>10300</v>
      </c>
      <c r="I25">
        <v>78.54949109243698</v>
      </c>
      <c r="J25">
        <v>809059.7582521009</v>
      </c>
      <c r="K25">
        <v>28.042168320000002</v>
      </c>
      <c r="L25">
        <v>288834.333696</v>
      </c>
    </row>
    <row r="26">
      <c r="A26" t="str">
        <v/>
      </c>
      <c r="B26" t="str">
        <v/>
      </c>
      <c r="C26" t="str">
        <v>Besi beton D19</v>
      </c>
      <c r="D26" t="str">
        <v>U24/U40 polos</v>
      </c>
      <c r="E26">
        <v>230.31169008403367</v>
      </c>
      <c r="F26" t="str">
        <v>kg</v>
      </c>
      <c r="G26" t="str">
        <v>per m3 beton</v>
      </c>
      <c r="H26">
        <v>10300</v>
      </c>
      <c r="I26">
        <v>230.31169008403367</v>
      </c>
      <c r="J26">
        <v>2372210.4078655466</v>
      </c>
      <c r="K26">
        <v>82.22127336000001</v>
      </c>
      <c r="L26">
        <v>846879.1156080001</v>
      </c>
    </row>
    <row r="27">
      <c r="A27" t="str">
        <v/>
      </c>
      <c r="B27" t="str">
        <v/>
      </c>
      <c r="C27" t="str">
        <v>Besi beton — waste (5%)</v>
      </c>
      <c r="D27" t="str">
        <v>applied via AHS coeff 1.05</v>
      </c>
      <c r="E27">
        <v>0.050000000000000044</v>
      </c>
      <c r="F27" t="str">
        <v>kg</v>
      </c>
      <c r="G27" t="str">
        <v>per m3 beton</v>
      </c>
      <c r="H27">
        <v>10300</v>
      </c>
      <c r="I27">
        <v>18.857605613445397</v>
      </c>
      <c r="J27">
        <v>194233.33781848758</v>
      </c>
      <c r="K27">
        <v>6.732165204000006</v>
      </c>
      <c r="L27">
        <v>69341.30160120006</v>
      </c>
    </row>
    <row r="28">
      <c r="A28" t="str">
        <v/>
      </c>
      <c r="B28" t="str">
        <v/>
      </c>
      <c r="C28" t="str">
        <v>Beton decking</v>
      </c>
      <c r="D28" t="str">
        <v>spacer</v>
      </c>
      <c r="E28">
        <v>1</v>
      </c>
      <c r="F28" t="str">
        <v>kg-eq</v>
      </c>
      <c r="G28" t="str">
        <v>per kg besi</v>
      </c>
      <c r="H28">
        <v>100</v>
      </c>
      <c r="I28">
        <v>377.1521122689076</v>
      </c>
      <c r="J28">
        <v>37715.21122689076</v>
      </c>
      <c r="K28">
        <v>134.64330408</v>
      </c>
      <c r="L28">
        <v>13464.330408</v>
      </c>
    </row>
    <row r="29">
      <c r="A29" t="str">
        <v/>
      </c>
      <c r="B29" t="str">
        <v/>
      </c>
      <c r="C29" t="str">
        <v>Bendrat (kawat ikat)</v>
      </c>
      <c r="D29" t="str">
        <v>2.1% of besi (raw)</v>
      </c>
      <c r="E29">
        <v>0.021</v>
      </c>
      <c r="F29" t="str">
        <v>kg</v>
      </c>
      <c r="G29" t="str">
        <v>per kg besi (raw)</v>
      </c>
      <c r="H29">
        <v>17500</v>
      </c>
      <c r="I29">
        <v>7.920194357647061</v>
      </c>
      <c r="J29">
        <v>138603.40125882358</v>
      </c>
      <c r="K29">
        <v>2.8275093856800004</v>
      </c>
      <c r="L29">
        <v>49481.41424940001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/>
      </c>
      <c r="B31" t="str">
        <v>SUBTOTAL — At-cost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>
        <v>11330952.032267345</v>
      </c>
      <c r="J31" t="str">
        <v/>
      </c>
      <c r="K31" t="str">
        <v/>
      </c>
      <c r="L31">
        <v>4045149.875519442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>RECONCILIATION</v>
      </c>
    </row>
    <row r="34">
      <c r="A34" t="str">
        <v>Computed unit cost</v>
      </c>
      <c r="B34">
        <v>11330952.032267345</v>
      </c>
    </row>
    <row r="35">
      <c r="A35" t="str">
        <v>RAB (A) source unit cost</v>
      </c>
      <c r="B35">
        <v>11330952.032267345</v>
      </c>
    </row>
    <row r="36">
      <c r="A36" t="str">
        <v>Variance</v>
      </c>
      <c r="B36">
        <v>0</v>
      </c>
      <c r="C36" t="str">
        <v>✓ OK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</row>
    <row r="38">
      <c r="A38" t="str">
        <v>Computed line total</v>
      </c>
      <c r="B38">
        <v>4045149.875519442</v>
      </c>
    </row>
    <row r="39">
      <c r="A39" t="str">
        <v>RAB (A) source line total</v>
      </c>
      <c r="B39">
        <v>4611470.858092164</v>
      </c>
    </row>
    <row r="40">
      <c r="A40" t="str">
        <v>Variance</v>
      </c>
      <c r="B40">
        <v>-566320.9825727218</v>
      </c>
      <c r="C40" t="str">
        <v>✓ OK</v>
      </c>
    </row>
  </sheetData>
  <ignoredErrors>
    <ignoredError numberStoredAsText="1" sqref="A1:L40"/>
  </ignoredErrors>
</worksheet>
</file>

<file path=xl/worksheets/sheet231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(A) VI.A.4.10 - Kolom K177-1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K177-1</v>
      </c>
    </row>
    <row r="5">
      <c r="A5" t="str">
        <v>Unit</v>
      </c>
      <c r="B5" t="str">
        <v>m3</v>
      </c>
    </row>
    <row r="6">
      <c r="A6" t="str">
        <v>Volume</v>
      </c>
      <c r="B6">
        <v>0.833</v>
      </c>
    </row>
    <row r="7">
      <c r="A7" t="str">
        <v>Unit cost (Rp/m3)</v>
      </c>
      <c r="B7">
        <v>10214352.868083166</v>
      </c>
    </row>
    <row r="8">
      <c r="A8" t="str">
        <v>Line total at-cost (Rp)</v>
      </c>
      <c r="B8">
        <v>8508555.939113276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0.87465</v>
      </c>
      <c r="L12">
        <v>888338.2725000002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0.833</v>
      </c>
      <c r="L14">
        <v>208250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2250000</v>
      </c>
      <c r="I16">
        <v>1</v>
      </c>
      <c r="J16">
        <v>2250000</v>
      </c>
      <c r="K16">
        <v>0.833</v>
      </c>
      <c r="L16">
        <v>1874250</v>
      </c>
    </row>
    <row r="17">
      <c r="A17">
        <v>4</v>
      </c>
      <c r="B17" t="str">
        <v>BEKISTING KOLOM (Material) — ratio 14.621848739495798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4.56)</v>
      </c>
      <c r="H18">
        <v>200000</v>
      </c>
      <c r="I18">
        <v>6.413091552410437</v>
      </c>
      <c r="J18">
        <v>1282618.3104820873</v>
      </c>
      <c r="K18">
        <v>5.342105263157894</v>
      </c>
      <c r="L18">
        <v>1068421.0526315786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4.56)</v>
      </c>
      <c r="H19">
        <v>47600</v>
      </c>
      <c r="I19">
        <v>32.06545776205218</v>
      </c>
      <c r="J19">
        <v>1526315.789473684</v>
      </c>
      <c r="K19">
        <v>26.71052631578947</v>
      </c>
      <c r="L19">
        <v>1271421.0526315786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4.56)</v>
      </c>
      <c r="H20">
        <v>47600</v>
      </c>
      <c r="I20">
        <v>6.413091552410437</v>
      </c>
      <c r="J20">
        <v>305263.1578947368</v>
      </c>
      <c r="K20">
        <v>5.342105263157894</v>
      </c>
      <c r="L20">
        <v>254284.21052631573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4.56)</v>
      </c>
      <c r="H21">
        <v>13000</v>
      </c>
      <c r="I21">
        <v>6.413091552410437</v>
      </c>
      <c r="J21">
        <v>83370.19018133568</v>
      </c>
      <c r="K21">
        <v>5.342105263157894</v>
      </c>
      <c r="L21">
        <v>69447.36842105263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4.56)</v>
      </c>
      <c r="H22">
        <v>27500</v>
      </c>
      <c r="I22">
        <v>7.310924369747899</v>
      </c>
      <c r="J22">
        <v>201050.4201680672</v>
      </c>
      <c r="K22">
        <v>6.09</v>
      </c>
      <c r="L22">
        <v>167474.99999999997</v>
      </c>
    </row>
    <row r="23">
      <c r="A23">
        <v>5</v>
      </c>
      <c r="B23" t="str">
        <v>PEMBESIAN (Material) — ratio 287.99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65.54527346938775</v>
      </c>
      <c r="F24" t="str">
        <v>kg</v>
      </c>
      <c r="G24" t="str">
        <v>per m3 beton</v>
      </c>
      <c r="H24">
        <v>10300</v>
      </c>
      <c r="I24">
        <v>65.54527346938775</v>
      </c>
      <c r="J24">
        <v>675116.3167346938</v>
      </c>
      <c r="K24">
        <v>54.5992128</v>
      </c>
      <c r="L24">
        <v>562371.8918399999</v>
      </c>
    </row>
    <row r="25">
      <c r="A25" t="str">
        <v/>
      </c>
      <c r="B25" t="str">
        <v/>
      </c>
      <c r="C25" t="str">
        <v>Besi beton D19</v>
      </c>
      <c r="D25" t="str">
        <v>U24/U40 polos</v>
      </c>
      <c r="E25">
        <v>222.44963013205282</v>
      </c>
      <c r="F25" t="str">
        <v>kg</v>
      </c>
      <c r="G25" t="str">
        <v>per m3 beton</v>
      </c>
      <c r="H25">
        <v>10300</v>
      </c>
      <c r="I25">
        <v>222.44963013205282</v>
      </c>
      <c r="J25">
        <v>2291231.1903601442</v>
      </c>
      <c r="K25">
        <v>185.30054189999998</v>
      </c>
      <c r="L25">
        <v>1908595.5815700002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10300</v>
      </c>
      <c r="I26">
        <v>14.399745180072042</v>
      </c>
      <c r="J26">
        <v>148317.37535474202</v>
      </c>
      <c r="K26">
        <v>11.994987735000011</v>
      </c>
      <c r="L26">
        <v>123548.37367050009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287.99490360144057</v>
      </c>
      <c r="J27">
        <v>28799.490360144056</v>
      </c>
      <c r="K27">
        <v>239.8997547</v>
      </c>
      <c r="L27">
        <v>23989.975469999998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6.047892975630252</v>
      </c>
      <c r="J28">
        <v>105838.12707352941</v>
      </c>
      <c r="K28">
        <v>5.0378948487</v>
      </c>
      <c r="L28">
        <v>88163.15985225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10214352.868083166</v>
      </c>
      <c r="J30" t="str">
        <v/>
      </c>
      <c r="K30" t="str">
        <v/>
      </c>
      <c r="L30">
        <v>8508555.939113276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10214352.868083166</v>
      </c>
    </row>
    <row r="34">
      <c r="A34" t="str">
        <v>RAB (A) source unit cost</v>
      </c>
      <c r="B34">
        <v>10214352.868083164</v>
      </c>
    </row>
    <row r="35">
      <c r="A35" t="str">
        <v>Variance</v>
      </c>
      <c r="B35">
        <v>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8508555.939113276</v>
      </c>
    </row>
    <row r="38">
      <c r="A38" t="str">
        <v>RAB (A) source line total</v>
      </c>
      <c r="B38">
        <v>9699753.770589134</v>
      </c>
    </row>
    <row r="39">
      <c r="A39" t="str">
        <v>Variance</v>
      </c>
      <c r="B39">
        <v>-1191197.8314758576</v>
      </c>
      <c r="C39" t="str">
        <v>✓ OK</v>
      </c>
    </row>
  </sheetData>
  <ignoredErrors>
    <ignoredError numberStoredAsText="1" sqref="A1:L39"/>
  </ignoredErrors>
</worksheet>
</file>

<file path=xl/worksheets/sheet232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(A) VI.A.4.11 - Kolom K178-1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K178-1</v>
      </c>
    </row>
    <row r="5">
      <c r="A5" t="str">
        <v>Unit</v>
      </c>
      <c r="B5" t="str">
        <v>m3</v>
      </c>
    </row>
    <row r="6">
      <c r="A6" t="str">
        <v>Volume</v>
      </c>
      <c r="B6">
        <v>1.904</v>
      </c>
    </row>
    <row r="7">
      <c r="A7" t="str">
        <v>Unit cost (Rp/m3)</v>
      </c>
      <c r="B7">
        <v>8745678.405526226</v>
      </c>
    </row>
    <row r="8">
      <c r="A8" t="str">
        <v>Line total at-cost (Rp)</v>
      </c>
      <c r="B8">
        <v>16651771.684121935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1.9992</v>
      </c>
      <c r="L12">
        <v>2030487.4800000004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1.904</v>
      </c>
      <c r="L14">
        <v>476000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2250000</v>
      </c>
      <c r="I16">
        <v>1</v>
      </c>
      <c r="J16">
        <v>2250000</v>
      </c>
      <c r="K16">
        <v>1.904</v>
      </c>
      <c r="L16">
        <v>4284000</v>
      </c>
    </row>
    <row r="17">
      <c r="A17">
        <v>4</v>
      </c>
      <c r="B17" t="str">
        <v>BEKISTING KOLOM (Material) — ratio 14.264705882352942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4.56)</v>
      </c>
      <c r="H18">
        <v>200000</v>
      </c>
      <c r="I18">
        <v>6.256449948400412</v>
      </c>
      <c r="J18">
        <v>1251289.9896800825</v>
      </c>
      <c r="K18">
        <v>11.912280701754385</v>
      </c>
      <c r="L18">
        <v>2382456.140350877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4.56)</v>
      </c>
      <c r="H19">
        <v>47600</v>
      </c>
      <c r="I19">
        <v>31.28224974200206</v>
      </c>
      <c r="J19">
        <v>1489035.0877192982</v>
      </c>
      <c r="K19">
        <v>59.561403508771924</v>
      </c>
      <c r="L19">
        <v>2835122.807017544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4.56)</v>
      </c>
      <c r="H20">
        <v>47600</v>
      </c>
      <c r="I20">
        <v>6.256449948400412</v>
      </c>
      <c r="J20">
        <v>297807.0175438596</v>
      </c>
      <c r="K20">
        <v>11.912280701754385</v>
      </c>
      <c r="L20">
        <v>567024.5614035086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4.56)</v>
      </c>
      <c r="H21">
        <v>13000</v>
      </c>
      <c r="I21">
        <v>6.256449948400412</v>
      </c>
      <c r="J21">
        <v>81333.84932920536</v>
      </c>
      <c r="K21">
        <v>11.912280701754385</v>
      </c>
      <c r="L21">
        <v>154859.649122807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4.56)</v>
      </c>
      <c r="H22">
        <v>27500</v>
      </c>
      <c r="I22">
        <v>7.132352941176471</v>
      </c>
      <c r="J22">
        <v>196139.70588235295</v>
      </c>
      <c r="K22">
        <v>13.58</v>
      </c>
      <c r="L22">
        <v>373450</v>
      </c>
    </row>
    <row r="23">
      <c r="A23">
        <v>5</v>
      </c>
      <c r="B23" t="str">
        <v>PEMBESIAN (Material) — ratio 165.18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67.77977142857144</v>
      </c>
      <c r="F24" t="str">
        <v>kg</v>
      </c>
      <c r="G24" t="str">
        <v>per m3 beton</v>
      </c>
      <c r="H24">
        <v>10300</v>
      </c>
      <c r="I24">
        <v>67.77977142857144</v>
      </c>
      <c r="J24">
        <v>698131.6457142858</v>
      </c>
      <c r="K24">
        <v>129.0526848</v>
      </c>
      <c r="L24">
        <v>1329242.65344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97.3999542857143</v>
      </c>
      <c r="F25" t="str">
        <v>kg</v>
      </c>
      <c r="G25" t="str">
        <v>per m3 beton</v>
      </c>
      <c r="H25">
        <v>10300</v>
      </c>
      <c r="I25">
        <v>97.3999542857143</v>
      </c>
      <c r="J25">
        <v>1003219.5291428573</v>
      </c>
      <c r="K25">
        <v>185.44951296000002</v>
      </c>
      <c r="L25">
        <v>1910129.9834880002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10300</v>
      </c>
      <c r="I26">
        <v>8.258986285714293</v>
      </c>
      <c r="J26">
        <v>85067.55874285722</v>
      </c>
      <c r="K26">
        <v>15.725109888000013</v>
      </c>
      <c r="L26">
        <v>161968.63184640012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165.17972571428572</v>
      </c>
      <c r="J27">
        <v>16517.972571428574</v>
      </c>
      <c r="K27">
        <v>314.50219776</v>
      </c>
      <c r="L27">
        <v>31450.219776000005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3.4687742400000006</v>
      </c>
      <c r="J28">
        <v>60703.54920000001</v>
      </c>
      <c r="K28">
        <v>6.604546152960001</v>
      </c>
      <c r="L28">
        <v>115579.55767680002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8745678.405526226</v>
      </c>
      <c r="J30" t="str">
        <v/>
      </c>
      <c r="K30" t="str">
        <v/>
      </c>
      <c r="L30">
        <v>16651771.684121935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8745678.405526226</v>
      </c>
    </row>
    <row r="34">
      <c r="A34" t="str">
        <v>RAB (A) source unit cost</v>
      </c>
      <c r="B34">
        <v>8745678.405526228</v>
      </c>
    </row>
    <row r="35">
      <c r="A35" t="str">
        <v>Variance</v>
      </c>
      <c r="B35">
        <v>-1.862645149230957e-9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16651771.684121935</v>
      </c>
    </row>
    <row r="38">
      <c r="A38" t="str">
        <v>RAB (A) source line total</v>
      </c>
      <c r="B38">
        <v>18983019.71989901</v>
      </c>
    </row>
    <row r="39">
      <c r="A39" t="str">
        <v>Variance</v>
      </c>
      <c r="B39">
        <v>-2331248.035777075</v>
      </c>
      <c r="C39" t="str">
        <v>✓ OK</v>
      </c>
    </row>
  </sheetData>
  <ignoredErrors>
    <ignoredError numberStoredAsText="1" sqref="A1:L39"/>
  </ignoredErrors>
</worksheet>
</file>

<file path=xl/worksheets/sheet233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(A) VI.A.4.12 - Kolom K178-2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K178-2</v>
      </c>
    </row>
    <row r="5">
      <c r="A5" t="str">
        <v>Unit</v>
      </c>
      <c r="B5" t="str">
        <v>m3</v>
      </c>
    </row>
    <row r="6">
      <c r="A6" t="str">
        <v>Volume</v>
      </c>
      <c r="B6">
        <v>0.476</v>
      </c>
    </row>
    <row r="7">
      <c r="A7" t="str">
        <v>Unit cost (Rp/m3)</v>
      </c>
      <c r="B7">
        <v>10385223.62168442</v>
      </c>
    </row>
    <row r="8">
      <c r="A8" t="str">
        <v>Line total at-cost (Rp)</v>
      </c>
      <c r="B8">
        <v>4943366.443921784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0.4998</v>
      </c>
      <c r="L12">
        <v>507621.8700000001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0.476</v>
      </c>
      <c r="L14">
        <v>119000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2250000</v>
      </c>
      <c r="I16">
        <v>1</v>
      </c>
      <c r="J16">
        <v>2250000</v>
      </c>
      <c r="K16">
        <v>0.476</v>
      </c>
      <c r="L16">
        <v>1071000</v>
      </c>
    </row>
    <row r="17">
      <c r="A17">
        <v>4</v>
      </c>
      <c r="B17" t="str">
        <v>BEKISTING KOLOM (Material) — ratio 14.264705882352942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4.56)</v>
      </c>
      <c r="H18">
        <v>200000</v>
      </c>
      <c r="I18">
        <v>6.256449948400412</v>
      </c>
      <c r="J18">
        <v>1251289.9896800825</v>
      </c>
      <c r="K18">
        <v>2.9780701754385963</v>
      </c>
      <c r="L18">
        <v>595614.0350877192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4.56)</v>
      </c>
      <c r="H19">
        <v>47600</v>
      </c>
      <c r="I19">
        <v>31.28224974200206</v>
      </c>
      <c r="J19">
        <v>1489035.0877192982</v>
      </c>
      <c r="K19">
        <v>14.890350877192981</v>
      </c>
      <c r="L19">
        <v>708780.701754386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4.56)</v>
      </c>
      <c r="H20">
        <v>47600</v>
      </c>
      <c r="I20">
        <v>6.256449948400412</v>
      </c>
      <c r="J20">
        <v>297807.0175438596</v>
      </c>
      <c r="K20">
        <v>2.9780701754385963</v>
      </c>
      <c r="L20">
        <v>141756.14035087716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4.56)</v>
      </c>
      <c r="H21">
        <v>13000</v>
      </c>
      <c r="I21">
        <v>6.256449948400412</v>
      </c>
      <c r="J21">
        <v>81333.84932920536</v>
      </c>
      <c r="K21">
        <v>2.9780701754385963</v>
      </c>
      <c r="L21">
        <v>38714.91228070175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4.56)</v>
      </c>
      <c r="H22">
        <v>27500</v>
      </c>
      <c r="I22">
        <v>7.132352941176471</v>
      </c>
      <c r="J22">
        <v>196139.70588235295</v>
      </c>
      <c r="K22">
        <v>3.395</v>
      </c>
      <c r="L22">
        <v>93362.5</v>
      </c>
    </row>
    <row r="23">
      <c r="A23">
        <v>5</v>
      </c>
      <c r="B23" t="str">
        <v>PEMBESIAN (Material) — ratio 310.50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67.77977142857144</v>
      </c>
      <c r="F24" t="str">
        <v>kg</v>
      </c>
      <c r="G24" t="str">
        <v>per m3 beton</v>
      </c>
      <c r="H24">
        <v>10300</v>
      </c>
      <c r="I24">
        <v>67.77977142857144</v>
      </c>
      <c r="J24">
        <v>698131.6457142858</v>
      </c>
      <c r="K24">
        <v>32.2631712</v>
      </c>
      <c r="L24">
        <v>332310.66336</v>
      </c>
    </row>
    <row r="25">
      <c r="A25" t="str">
        <v/>
      </c>
      <c r="B25" t="str">
        <v/>
      </c>
      <c r="C25" t="str">
        <v>Besi beton D19</v>
      </c>
      <c r="D25" t="str">
        <v>U24/U40 polos</v>
      </c>
      <c r="E25">
        <v>242.7175005882353</v>
      </c>
      <c r="F25" t="str">
        <v>kg</v>
      </c>
      <c r="G25" t="str">
        <v>per m3 beton</v>
      </c>
      <c r="H25">
        <v>10300</v>
      </c>
      <c r="I25">
        <v>242.7175005882353</v>
      </c>
      <c r="J25">
        <v>2499990.256058824</v>
      </c>
      <c r="K25">
        <v>115.53353028000001</v>
      </c>
      <c r="L25">
        <v>1189995.361884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10300</v>
      </c>
      <c r="I26">
        <v>15.52486360084035</v>
      </c>
      <c r="J26">
        <v>159906.0950886556</v>
      </c>
      <c r="K26">
        <v>7.389835074000006</v>
      </c>
      <c r="L26">
        <v>76115.30126220005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310.49727201680673</v>
      </c>
      <c r="J27">
        <v>31049.727201680675</v>
      </c>
      <c r="K27">
        <v>147.79670148</v>
      </c>
      <c r="L27">
        <v>14779.670148000001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6.520442712352942</v>
      </c>
      <c r="J28">
        <v>114107.74746617649</v>
      </c>
      <c r="K28">
        <v>3.10373073108</v>
      </c>
      <c r="L28">
        <v>54315.2877939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10385223.62168442</v>
      </c>
      <c r="J30" t="str">
        <v/>
      </c>
      <c r="K30" t="str">
        <v/>
      </c>
      <c r="L30">
        <v>4943366.443921784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10385223.62168442</v>
      </c>
    </row>
    <row r="34">
      <c r="A34" t="str">
        <v>RAB (A) source unit cost</v>
      </c>
      <c r="B34">
        <v>10385223.62168442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4943366.443921784</v>
      </c>
    </row>
    <row r="38">
      <c r="A38" t="str">
        <v>RAB (A) source line total</v>
      </c>
      <c r="B38">
        <v>5635437.746070834</v>
      </c>
    </row>
    <row r="39">
      <c r="A39" t="str">
        <v>Variance</v>
      </c>
      <c r="B39">
        <v>-692071.3021490499</v>
      </c>
      <c r="C39" t="str">
        <v>✓ OK</v>
      </c>
    </row>
  </sheetData>
  <ignoredErrors>
    <ignoredError numberStoredAsText="1" sqref="A1:L39"/>
  </ignoredErrors>
</worksheet>
</file>

<file path=xl/worksheets/sheet234.xml><?xml version="1.0" encoding="utf-8"?>
<worksheet xmlns="http://schemas.openxmlformats.org/spreadsheetml/2006/main" xmlns:r="http://schemas.openxmlformats.org/officeDocument/2006/relationships">
  <dimension ref="A1:L40"/>
  <sheetViews>
    <sheetView workbookViewId="0" rightToLeft="0"/>
  </sheetViews>
  <sheetData>
    <row r="1">
      <c r="A1" t="str">
        <v>BREAKDOWN — (A) VI.A.4.13 - Kolom KL175-2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KL175-2</v>
      </c>
    </row>
    <row r="5">
      <c r="A5" t="str">
        <v>Unit</v>
      </c>
      <c r="B5" t="str">
        <v>m3</v>
      </c>
    </row>
    <row r="6">
      <c r="A6" t="str">
        <v>Volume</v>
      </c>
      <c r="B6">
        <v>0.49384999999999996</v>
      </c>
    </row>
    <row r="7">
      <c r="A7" t="str">
        <v>Unit cost (Rp/m3)</v>
      </c>
      <c r="B7">
        <v>10126191.605189249</v>
      </c>
    </row>
    <row r="8">
      <c r="A8" t="str">
        <v>Line total at-cost (Rp)</v>
      </c>
      <c r="B8">
        <v>5000819.72422271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0.5185425</v>
      </c>
      <c r="L12">
        <v>526657.6901250001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0.49384999999999996</v>
      </c>
      <c r="L14">
        <v>123462.49999999999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2250000</v>
      </c>
      <c r="I16">
        <v>1</v>
      </c>
      <c r="J16">
        <v>2250000</v>
      </c>
      <c r="K16">
        <v>0.49384999999999996</v>
      </c>
      <c r="L16">
        <v>1111162.5</v>
      </c>
    </row>
    <row r="17">
      <c r="A17">
        <v>4</v>
      </c>
      <c r="B17" t="str">
        <v>BEKISTING KOLOM (Material) — ratio 14.174344436569811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4.56)</v>
      </c>
      <c r="H18">
        <v>200000</v>
      </c>
      <c r="I18">
        <v>6.216817735337636</v>
      </c>
      <c r="J18">
        <v>1243363.5470675272</v>
      </c>
      <c r="K18">
        <v>3.0701754385964914</v>
      </c>
      <c r="L18">
        <v>614035.0877192982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4.56)</v>
      </c>
      <c r="H19">
        <v>47600</v>
      </c>
      <c r="I19">
        <v>31.08408867668818</v>
      </c>
      <c r="J19">
        <v>1479602.6210103573</v>
      </c>
      <c r="K19">
        <v>15.350877192982455</v>
      </c>
      <c r="L19">
        <v>730701.7543859648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4.56)</v>
      </c>
      <c r="H20">
        <v>47600</v>
      </c>
      <c r="I20">
        <v>6.216817735337636</v>
      </c>
      <c r="J20">
        <v>295920.5242020715</v>
      </c>
      <c r="K20">
        <v>3.0701754385964914</v>
      </c>
      <c r="L20">
        <v>146140.35087719298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4.56)</v>
      </c>
      <c r="H21">
        <v>13000</v>
      </c>
      <c r="I21">
        <v>6.216817735337636</v>
      </c>
      <c r="J21">
        <v>80818.63055938926</v>
      </c>
      <c r="K21">
        <v>3.0701754385964914</v>
      </c>
      <c r="L21">
        <v>39912.28070175438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4.56)</v>
      </c>
      <c r="H22">
        <v>27500</v>
      </c>
      <c r="I22">
        <v>7.0871722182849055</v>
      </c>
      <c r="J22">
        <v>194897.2360028349</v>
      </c>
      <c r="K22">
        <v>3.5000000000000004</v>
      </c>
      <c r="L22">
        <v>96250</v>
      </c>
    </row>
    <row r="23">
      <c r="A23">
        <v>5</v>
      </c>
      <c r="B23" t="str">
        <v>PEMBESIAN (Material) — ratio 289.40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86.90945995747697</v>
      </c>
      <c r="F24" t="str">
        <v>kg</v>
      </c>
      <c r="G24" t="str">
        <v>per m3 beton</v>
      </c>
      <c r="H24">
        <v>10300</v>
      </c>
      <c r="I24">
        <v>86.90945995747697</v>
      </c>
      <c r="J24">
        <v>895167.4375620128</v>
      </c>
      <c r="K24">
        <v>42.9202368</v>
      </c>
      <c r="L24">
        <v>442078.43903999997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36.00025440923358</v>
      </c>
      <c r="F25" t="str">
        <v>kg</v>
      </c>
      <c r="G25" t="str">
        <v>per m3 beton</v>
      </c>
      <c r="H25">
        <v>10300</v>
      </c>
      <c r="I25">
        <v>36.00025440923358</v>
      </c>
      <c r="J25">
        <v>370802.62041510583</v>
      </c>
      <c r="K25">
        <v>17.77872564</v>
      </c>
      <c r="L25">
        <v>183120.874092</v>
      </c>
    </row>
    <row r="26">
      <c r="A26" t="str">
        <v/>
      </c>
      <c r="B26" t="str">
        <v/>
      </c>
      <c r="C26" t="str">
        <v>Besi beton D19</v>
      </c>
      <c r="D26" t="str">
        <v>U24/U40 polos</v>
      </c>
      <c r="E26">
        <v>166.49037837400024</v>
      </c>
      <c r="F26" t="str">
        <v>kg</v>
      </c>
      <c r="G26" t="str">
        <v>per m3 beton</v>
      </c>
      <c r="H26">
        <v>10300</v>
      </c>
      <c r="I26">
        <v>166.49037837400024</v>
      </c>
      <c r="J26">
        <v>1714850.8972522025</v>
      </c>
      <c r="K26">
        <v>82.22127336000001</v>
      </c>
      <c r="L26">
        <v>846879.1156080001</v>
      </c>
    </row>
    <row r="27">
      <c r="A27" t="str">
        <v/>
      </c>
      <c r="B27" t="str">
        <v/>
      </c>
      <c r="C27" t="str">
        <v>Besi beton — waste (5%)</v>
      </c>
      <c r="D27" t="str">
        <v>applied via AHS coeff 1.05</v>
      </c>
      <c r="E27">
        <v>0.050000000000000044</v>
      </c>
      <c r="F27" t="str">
        <v>kg</v>
      </c>
      <c r="G27" t="str">
        <v>per m3 beton</v>
      </c>
      <c r="H27">
        <v>10300</v>
      </c>
      <c r="I27">
        <v>14.47000463703555</v>
      </c>
      <c r="J27">
        <v>149041.04776146618</v>
      </c>
      <c r="K27">
        <v>7.146011790000006</v>
      </c>
      <c r="L27">
        <v>73603.92143700007</v>
      </c>
    </row>
    <row r="28">
      <c r="A28" t="str">
        <v/>
      </c>
      <c r="B28" t="str">
        <v/>
      </c>
      <c r="C28" t="str">
        <v>Beton decking</v>
      </c>
      <c r="D28" t="str">
        <v>spacer</v>
      </c>
      <c r="E28">
        <v>1</v>
      </c>
      <c r="F28" t="str">
        <v>kg-eq</v>
      </c>
      <c r="G28" t="str">
        <v>per kg besi</v>
      </c>
      <c r="H28">
        <v>100</v>
      </c>
      <c r="I28">
        <v>289.40009274071076</v>
      </c>
      <c r="J28">
        <v>28940.009274071075</v>
      </c>
      <c r="K28">
        <v>142.9202358</v>
      </c>
      <c r="L28">
        <v>14292.02358</v>
      </c>
    </row>
    <row r="29">
      <c r="A29" t="str">
        <v/>
      </c>
      <c r="B29" t="str">
        <v/>
      </c>
      <c r="C29" t="str">
        <v>Bendrat (kawat ikat)</v>
      </c>
      <c r="D29" t="str">
        <v>2.1% of besi (raw)</v>
      </c>
      <c r="E29">
        <v>0.021</v>
      </c>
      <c r="F29" t="str">
        <v>kg</v>
      </c>
      <c r="G29" t="str">
        <v>per kg besi (raw)</v>
      </c>
      <c r="H29">
        <v>17500</v>
      </c>
      <c r="I29">
        <v>6.077401947554926</v>
      </c>
      <c r="J29">
        <v>106354.5340822112</v>
      </c>
      <c r="K29">
        <v>3.0013249518</v>
      </c>
      <c r="L29">
        <v>52523.1866565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/>
      </c>
      <c r="B31" t="str">
        <v>SUBTOTAL — At-cost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>
        <v>10126191.605189249</v>
      </c>
      <c r="J31" t="str">
        <v/>
      </c>
      <c r="K31" t="str">
        <v/>
      </c>
      <c r="L31">
        <v>5000819.72422271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>RECONCILIATION</v>
      </c>
    </row>
    <row r="34">
      <c r="A34" t="str">
        <v>Computed unit cost</v>
      </c>
      <c r="B34">
        <v>10126191.605189249</v>
      </c>
    </row>
    <row r="35">
      <c r="A35" t="str">
        <v>RAB (A) source unit cost</v>
      </c>
      <c r="B35">
        <v>10126191.605189249</v>
      </c>
    </row>
    <row r="36">
      <c r="A36" t="str">
        <v>Variance</v>
      </c>
      <c r="B36">
        <v>0</v>
      </c>
      <c r="C36" t="str">
        <v>✓ OK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</row>
    <row r="38">
      <c r="A38" t="str">
        <v>Computed line total</v>
      </c>
      <c r="B38">
        <v>5000819.72422271</v>
      </c>
    </row>
    <row r="39">
      <c r="A39" t="str">
        <v>RAB (A) source line total</v>
      </c>
      <c r="B39">
        <v>5700934.485613889</v>
      </c>
    </row>
    <row r="40">
      <c r="A40" t="str">
        <v>Variance</v>
      </c>
      <c r="B40">
        <v>-700114.7613911787</v>
      </c>
      <c r="C40" t="str">
        <v>✓ OK</v>
      </c>
    </row>
  </sheetData>
  <ignoredErrors>
    <ignoredError numberStoredAsText="1" sqref="A1:L40"/>
  </ignoredErrors>
</worksheet>
</file>

<file path=xl/worksheets/sheet235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(A) VI.B.1 Dinding lift Lantai Attic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Dinding lift Lantai Attic</v>
      </c>
    </row>
    <row r="5">
      <c r="A5" t="str">
        <v>Unit</v>
      </c>
      <c r="B5" t="str">
        <v>m3</v>
      </c>
    </row>
    <row r="6">
      <c r="A6" t="str">
        <v>Volume</v>
      </c>
      <c r="B6">
        <v>4.98015</v>
      </c>
    </row>
    <row r="7">
      <c r="A7" t="str">
        <v>Unit cost (Rp/m3)</v>
      </c>
      <c r="B7">
        <v>5821669.910159041</v>
      </c>
    </row>
    <row r="8">
      <c r="A8" t="str">
        <v>Line total at-cost (Rp)</v>
      </c>
      <c r="B8">
        <v>28992789.40307855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1066432.5000000002</v>
      </c>
      <c r="I12">
        <v>1</v>
      </c>
      <c r="J12">
        <v>1066432.5000000002</v>
      </c>
      <c r="K12">
        <v>4.98015</v>
      </c>
      <c r="L12">
        <v>5310993.814875001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1500000</v>
      </c>
      <c r="I14">
        <v>1</v>
      </c>
      <c r="J14">
        <v>1500000</v>
      </c>
      <c r="K14">
        <v>4.98015</v>
      </c>
      <c r="L14">
        <v>7470225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200000</v>
      </c>
      <c r="I16">
        <v>1</v>
      </c>
      <c r="J16">
        <v>200000</v>
      </c>
      <c r="K16">
        <v>4.98015</v>
      </c>
      <c r="L16">
        <v>996030</v>
      </c>
    </row>
    <row r="17">
      <c r="A17">
        <v>4</v>
      </c>
      <c r="B17" t="str">
        <v>BEKISTING (Material) — ratio 13.300804192644799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13.300804192644799</v>
      </c>
      <c r="F18" t="str">
        <v>m2</v>
      </c>
      <c r="G18" t="str">
        <v>per m² of formwork</v>
      </c>
      <c r="H18">
        <v>94565.97222222222</v>
      </c>
      <c r="I18">
        <v>13.300804192644799</v>
      </c>
      <c r="J18">
        <v>1257803.479814865</v>
      </c>
      <c r="K18">
        <v>66.24</v>
      </c>
      <c r="L18">
        <v>6264050</v>
      </c>
    </row>
    <row r="19">
      <c r="A19">
        <v>5</v>
      </c>
      <c r="B19" t="str">
        <v>PEMBESIAN (Material) — ratio 159.31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159.3116712026746</v>
      </c>
      <c r="F20" t="str">
        <v>kg</v>
      </c>
      <c r="G20" t="str">
        <v>per kg finished pembesian (blended: raw besi + decking + bendrat)</v>
      </c>
      <c r="H20">
        <v>11282.5</v>
      </c>
      <c r="I20">
        <v>159.3116712026746</v>
      </c>
      <c r="J20">
        <v>1797433.9303441762</v>
      </c>
      <c r="K20">
        <v>793.39601934</v>
      </c>
      <c r="L20">
        <v>8951490.58820355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5821669.910159041</v>
      </c>
      <c r="J22" t="str">
        <v/>
      </c>
      <c r="K22" t="str">
        <v/>
      </c>
      <c r="L22">
        <v>28992789.40307855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5821669.910159041</v>
      </c>
    </row>
    <row r="26">
      <c r="A26" t="str">
        <v>RAB (A) source unit cost</v>
      </c>
      <c r="B26">
        <v>5821669.910159041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28992789.40307855</v>
      </c>
    </row>
    <row r="30">
      <c r="A30" t="str">
        <v>RAB (A) source line total</v>
      </c>
      <c r="B30">
        <v>33051779.91950954</v>
      </c>
    </row>
    <row r="31">
      <c r="A31" t="str">
        <v>Variance</v>
      </c>
      <c r="B31">
        <v>-4058990.5164309926</v>
      </c>
      <c r="C31" t="str">
        <v>✓ OK</v>
      </c>
    </row>
  </sheetData>
  <ignoredErrors>
    <ignoredError numberStoredAsText="1" sqref="A1:L31"/>
  </ignoredErrors>
</worksheet>
</file>

<file path=xl/worksheets/sheet236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(A) VI.B.2 Dinding beton rumah lift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Dinding beton rumah lift</v>
      </c>
    </row>
    <row r="5">
      <c r="A5" t="str">
        <v>Unit</v>
      </c>
      <c r="B5" t="str">
        <v>m3</v>
      </c>
    </row>
    <row r="6">
      <c r="A6" t="str">
        <v>Volume</v>
      </c>
      <c r="B6">
        <v>1.08</v>
      </c>
    </row>
    <row r="7">
      <c r="A7" t="str">
        <v>Unit cost (Rp/m3)</v>
      </c>
      <c r="B7">
        <v>5696670.82962963</v>
      </c>
    </row>
    <row r="8">
      <c r="A8" t="str">
        <v>Line total at-cost (Rp)</v>
      </c>
      <c r="B8">
        <v>6152404.496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1066432.5000000002</v>
      </c>
      <c r="I12">
        <v>1</v>
      </c>
      <c r="J12">
        <v>1066432.5000000002</v>
      </c>
      <c r="K12">
        <v>1.08</v>
      </c>
      <c r="L12">
        <v>1151747.1000000003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1500000</v>
      </c>
      <c r="I14">
        <v>1</v>
      </c>
      <c r="J14">
        <v>1500000</v>
      </c>
      <c r="K14">
        <v>1.08</v>
      </c>
      <c r="L14">
        <v>1620000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200000</v>
      </c>
      <c r="I16">
        <v>1</v>
      </c>
      <c r="J16">
        <v>200000</v>
      </c>
      <c r="K16">
        <v>1.08</v>
      </c>
      <c r="L16">
        <v>216000</v>
      </c>
    </row>
    <row r="17">
      <c r="A17">
        <v>4</v>
      </c>
      <c r="B17" t="str">
        <v>BEKISTING (Material) — ratio 13.333333333333332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13.333333333333332</v>
      </c>
      <c r="F18" t="str">
        <v>m2</v>
      </c>
      <c r="G18" t="str">
        <v>per m² of formwork</v>
      </c>
      <c r="H18">
        <v>94565.97222222222</v>
      </c>
      <c r="I18">
        <v>13.333333333333332</v>
      </c>
      <c r="J18">
        <v>1260879.6296296294</v>
      </c>
      <c r="K18">
        <v>14.4</v>
      </c>
      <c r="L18">
        <v>1361749.9999999998</v>
      </c>
    </row>
    <row r="19">
      <c r="A19">
        <v>5</v>
      </c>
      <c r="B19" t="str">
        <v>PEMBESIAN (Material) — ratio 147.96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147.96</v>
      </c>
      <c r="F20" t="str">
        <v>kg</v>
      </c>
      <c r="G20" t="str">
        <v>per kg finished pembesian (blended: raw besi + decking + bendrat)</v>
      </c>
      <c r="H20">
        <v>11282.5</v>
      </c>
      <c r="I20">
        <v>147.96</v>
      </c>
      <c r="J20">
        <v>1669358.7000000002</v>
      </c>
      <c r="K20">
        <v>159.79680000000002</v>
      </c>
      <c r="L20">
        <v>1802907.3960000004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5696670.82962963</v>
      </c>
      <c r="J22" t="str">
        <v/>
      </c>
      <c r="K22" t="str">
        <v/>
      </c>
      <c r="L22">
        <v>6152404.496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5696670.82962963</v>
      </c>
    </row>
    <row r="26">
      <c r="A26" t="str">
        <v>RAB (A) source unit cost</v>
      </c>
      <c r="B26">
        <v>5696670.82962963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6152404.496</v>
      </c>
    </row>
    <row r="30">
      <c r="A30" t="str">
        <v>RAB (A) source line total</v>
      </c>
      <c r="B30">
        <v>7013741.12544</v>
      </c>
    </row>
    <row r="31">
      <c r="A31" t="str">
        <v>Variance</v>
      </c>
      <c r="B31">
        <v>-861336.6294399993</v>
      </c>
      <c r="C31" t="str">
        <v>✓ OK</v>
      </c>
    </row>
  </sheetData>
  <ignoredErrors>
    <ignoredError numberStoredAsText="1" sqref="A1:L31"/>
  </ignoredErrors>
</worksheet>
</file>

<file path=xl/worksheets/sheet237.xml><?xml version="1.0" encoding="utf-8"?>
<worksheet xmlns="http://schemas.openxmlformats.org/spreadsheetml/2006/main" xmlns:r="http://schemas.openxmlformats.org/officeDocument/2006/relationships">
  <dimension ref="A1:L33"/>
  <sheetViews>
    <sheetView workbookViewId="0" rightToLeft="0"/>
  </sheetViews>
  <sheetData>
    <row r="1">
      <c r="A1" t="str">
        <v>BREAKDOWN — (A) VII.A.1.1 - Dak atap dan dan kanopi beton - tebal 15 cm, besi D10-200 (2 lapis)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Dak atap dan dan kanopi beton - tebal 15 cm, besi D10-200 (2 lapis)</v>
      </c>
    </row>
    <row r="5">
      <c r="A5" t="str">
        <v>Unit</v>
      </c>
      <c r="B5" t="str">
        <v>m3</v>
      </c>
    </row>
    <row r="6">
      <c r="A6" t="str">
        <v>Volume</v>
      </c>
      <c r="B6">
        <v>20.4585</v>
      </c>
    </row>
    <row r="7">
      <c r="A7" t="str">
        <v>Unit cost (Rp/m3)</v>
      </c>
      <c r="B7">
        <v>4687532.096963888</v>
      </c>
    </row>
    <row r="8">
      <c r="A8" t="str">
        <v>Line total at-cost (Rp)</v>
      </c>
      <c r="B8">
        <v>95899875.4057357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1066432.5000000002</v>
      </c>
      <c r="I12">
        <v>1</v>
      </c>
      <c r="J12">
        <v>1066432.5000000002</v>
      </c>
      <c r="K12">
        <v>20.4585</v>
      </c>
      <c r="L12">
        <v>21817609.301250007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1300000</v>
      </c>
      <c r="I14">
        <v>1</v>
      </c>
      <c r="J14">
        <v>1300000</v>
      </c>
      <c r="K14">
        <v>20.4585</v>
      </c>
      <c r="L14">
        <v>26596050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75000</v>
      </c>
      <c r="I16">
        <v>1</v>
      </c>
      <c r="J16">
        <v>75000</v>
      </c>
      <c r="K16">
        <v>20.4585</v>
      </c>
      <c r="L16">
        <v>1534387.5</v>
      </c>
    </row>
    <row r="17">
      <c r="A17">
        <v>4</v>
      </c>
      <c r="B17" t="str">
        <v>BEKISTING (Material) — ratio 8.18144047706332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8.18144047706332</v>
      </c>
      <c r="F18" t="str">
        <v>m2</v>
      </c>
      <c r="G18" t="str">
        <v>per m² of formwork</v>
      </c>
      <c r="H18">
        <v>86302.08333333334</v>
      </c>
      <c r="I18">
        <v>8.18144047706332</v>
      </c>
      <c r="J18">
        <v>706075.3578382252</v>
      </c>
      <c r="K18">
        <v>167.37999999999994</v>
      </c>
      <c r="L18">
        <v>14445242.70833333</v>
      </c>
    </row>
    <row r="19">
      <c r="A19">
        <v>5</v>
      </c>
      <c r="B19" t="str">
        <v>BEKISTING PERALATAN (Material) — Perancah / scaffolding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Bekisting peralatan / Perancah (lump)</v>
      </c>
      <c r="D20" t="str">
        <v>rolled lump — group total only</v>
      </c>
      <c r="E20">
        <v>8.18144047706332</v>
      </c>
      <c r="F20" t="str">
        <v>m2</v>
      </c>
      <c r="G20" t="str">
        <v>per m² of formwork (scaffolding embedded in bekisting block, col H)</v>
      </c>
      <c r="H20">
        <v>35315.0720164609</v>
      </c>
      <c r="I20">
        <v>8.18144047706332</v>
      </c>
      <c r="J20">
        <v>288928.1596458794</v>
      </c>
      <c r="K20">
        <v>167.37999999999994</v>
      </c>
      <c r="L20">
        <v>5911036.754115224</v>
      </c>
    </row>
    <row r="21">
      <c r="A21">
        <v>6</v>
      </c>
      <c r="B21" t="str">
        <v>PEMBESIAN (Material) — ratio 110.89 kg/m³ (rolled)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/>
      </c>
      <c r="C22" t="str">
        <v>Pembesian U24 &amp; U40 (lump — no per-diameter detail)</v>
      </c>
      <c r="D22" t="str">
        <v>rolled lump — group total only</v>
      </c>
      <c r="E22">
        <v>110.88819671879311</v>
      </c>
      <c r="F22" t="str">
        <v>kg</v>
      </c>
      <c r="G22" t="str">
        <v>per kg finished pembesian (blended: raw besi + decking + bendrat)</v>
      </c>
      <c r="H22">
        <v>11282.5</v>
      </c>
      <c r="I22">
        <v>110.88819671879311</v>
      </c>
      <c r="J22">
        <v>1251096.0794797833</v>
      </c>
      <c r="K22">
        <v>2268.606172571429</v>
      </c>
      <c r="L22">
        <v>25595549.14203715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>SUBTOTAL — At-cost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>
        <v>4687532.096963888</v>
      </c>
      <c r="J24" t="str">
        <v/>
      </c>
      <c r="K24" t="str">
        <v/>
      </c>
      <c r="L24">
        <v>95899875.4057357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>RECONCILIATION</v>
      </c>
    </row>
    <row r="27">
      <c r="A27" t="str">
        <v>Computed unit cost</v>
      </c>
      <c r="B27">
        <v>4687532.096963888</v>
      </c>
    </row>
    <row r="28">
      <c r="A28" t="str">
        <v>RAB (A) source unit cost</v>
      </c>
      <c r="B28">
        <v>4687532.096963888</v>
      </c>
    </row>
    <row r="29">
      <c r="A29" t="str">
        <v>Variance</v>
      </c>
      <c r="B29">
        <v>0</v>
      </c>
      <c r="C29" t="str">
        <v>✓ OK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Computed line total</v>
      </c>
      <c r="B31">
        <v>95899875.4057357</v>
      </c>
    </row>
    <row r="32">
      <c r="A32" t="str">
        <v>RAB (A) source line total</v>
      </c>
      <c r="B32">
        <v>109325857.9625387</v>
      </c>
    </row>
    <row r="33">
      <c r="A33" t="str">
        <v>Variance</v>
      </c>
      <c r="B33">
        <v>-13425982.556803003</v>
      </c>
      <c r="C33" t="str">
        <v>✓ OK</v>
      </c>
    </row>
  </sheetData>
  <ignoredErrors>
    <ignoredError numberStoredAsText="1" sqref="A1:L33"/>
  </ignoredErrors>
</worksheet>
</file>

<file path=xl/worksheets/sheet238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VII.A.2.1 - Balok B173-1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B173-1</v>
      </c>
    </row>
    <row r="5">
      <c r="A5" t="str">
        <v>Unit</v>
      </c>
      <c r="B5" t="str">
        <v>m3</v>
      </c>
    </row>
    <row r="6">
      <c r="A6" t="str">
        <v>Volume</v>
      </c>
      <c r="B6">
        <v>0.397035</v>
      </c>
    </row>
    <row r="7">
      <c r="A7" t="str">
        <v>Unit cost (Rp/m3)</v>
      </c>
      <c r="B7">
        <v>9097625.09461815</v>
      </c>
    </row>
    <row r="8">
      <c r="A8" t="str">
        <v>Line total at-cost (Rp)</v>
      </c>
      <c r="B8">
        <v>3612075.579441717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0.41688675000000003</v>
      </c>
      <c r="L12">
        <v>423411.02763750014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0.397035</v>
      </c>
      <c r="L14">
        <v>29777.625000000004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0.397035</v>
      </c>
      <c r="L16">
        <v>694811.25</v>
      </c>
    </row>
    <row r="17">
      <c r="A17">
        <v>4</v>
      </c>
      <c r="B17" t="str">
        <v>BEKISTING BALOK (Material) — ratio 15.098039215686274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7.549019607843137</v>
      </c>
      <c r="J18">
        <v>1509803.9215686275</v>
      </c>
      <c r="K18">
        <v>2.9972250000000003</v>
      </c>
      <c r="L18">
        <v>599445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33.970588235294116</v>
      </c>
      <c r="J19">
        <v>1617000</v>
      </c>
      <c r="K19">
        <v>13.487512500000001</v>
      </c>
      <c r="L19">
        <v>642005.5950000001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11.323529411764707</v>
      </c>
      <c r="J20">
        <v>539000</v>
      </c>
      <c r="K20">
        <v>4.4958375</v>
      </c>
      <c r="L20">
        <v>214001.86500000002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5.661764705882353</v>
      </c>
      <c r="J21">
        <v>73602.94117647059</v>
      </c>
      <c r="K21">
        <v>2.24791875</v>
      </c>
      <c r="L21">
        <v>29222.943750000002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1.8872549019607843</v>
      </c>
      <c r="J22">
        <v>51899.509803921566</v>
      </c>
      <c r="K22">
        <v>0.7493062500000001</v>
      </c>
      <c r="L22">
        <v>20605.921875</v>
      </c>
    </row>
    <row r="23">
      <c r="A23">
        <v>5</v>
      </c>
      <c r="B23" t="str">
        <v>BEKISTING BALOK PERALATAN (Material) — Perancah, ratio 15.098039215686274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3.7745098039215685</v>
      </c>
      <c r="J24">
        <v>769101.806463326</v>
      </c>
      <c r="K24">
        <v>1.4986125000000001</v>
      </c>
      <c r="L24">
        <v>305360.33572916663</v>
      </c>
    </row>
    <row r="25">
      <c r="A25">
        <v>6</v>
      </c>
      <c r="B25" t="str">
        <v>PEMBESIAN (Material) — ratio 145.87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D8</v>
      </c>
      <c r="D26" t="str">
        <v>U24/U40 polos</v>
      </c>
      <c r="E26">
        <v>54.329203218859796</v>
      </c>
      <c r="F26" t="str">
        <v>kg</v>
      </c>
      <c r="G26" t="str">
        <v>per m3 beton</v>
      </c>
      <c r="H26">
        <v>10300</v>
      </c>
      <c r="I26">
        <v>54.329203218859796</v>
      </c>
      <c r="J26">
        <v>559590.793154256</v>
      </c>
      <c r="K26">
        <v>21.5705952</v>
      </c>
      <c r="L26">
        <v>222177.13056000002</v>
      </c>
    </row>
    <row r="27">
      <c r="A27" t="str">
        <v/>
      </c>
      <c r="B27" t="str">
        <v/>
      </c>
      <c r="C27" t="str">
        <v>Besi beton D13</v>
      </c>
      <c r="D27" t="str">
        <v>U24/U40 polos</v>
      </c>
      <c r="E27">
        <v>91.54134104046243</v>
      </c>
      <c r="F27" t="str">
        <v>kg</v>
      </c>
      <c r="G27" t="str">
        <v>per m3 beton</v>
      </c>
      <c r="H27">
        <v>10300</v>
      </c>
      <c r="I27">
        <v>91.54134104046243</v>
      </c>
      <c r="J27">
        <v>942875.812716763</v>
      </c>
      <c r="K27">
        <v>36.345116340000004</v>
      </c>
      <c r="L27">
        <v>374354.698302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7.293527212966118</v>
      </c>
      <c r="J28">
        <v>75123.33029355101</v>
      </c>
      <c r="K28">
        <v>2.895785577000003</v>
      </c>
      <c r="L28">
        <v>29826.591443100027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145.87054425932223</v>
      </c>
      <c r="J29">
        <v>14587.054425932223</v>
      </c>
      <c r="K29">
        <v>57.915711540000004</v>
      </c>
      <c r="L29">
        <v>5791.571154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3.063281429445767</v>
      </c>
      <c r="J30">
        <v>53607.42501530092</v>
      </c>
      <c r="K30">
        <v>1.21622994234</v>
      </c>
      <c r="L30">
        <v>21284.02399095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9097625.09461815</v>
      </c>
      <c r="J32" t="str">
        <v/>
      </c>
      <c r="K32" t="str">
        <v/>
      </c>
      <c r="L32">
        <v>3612075.579441717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9097625.09461815</v>
      </c>
    </row>
    <row r="36">
      <c r="A36" t="str">
        <v>RAB (A) source unit cost</v>
      </c>
      <c r="B36">
        <v>9097625.09461815</v>
      </c>
    </row>
    <row r="37">
      <c r="A37" t="str">
        <v>Variance</v>
      </c>
      <c r="B37">
        <v>0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3612075.579441717</v>
      </c>
    </row>
    <row r="40">
      <c r="A40" t="str">
        <v>RAB (A) source line total</v>
      </c>
      <c r="B40">
        <v>4117766.160563557</v>
      </c>
    </row>
    <row r="41">
      <c r="A41" t="str">
        <v>Variance</v>
      </c>
      <c r="B41">
        <v>-505690.58112184005</v>
      </c>
      <c r="C41" t="str">
        <v>✓ OK</v>
      </c>
    </row>
  </sheetData>
  <ignoredErrors>
    <ignoredError numberStoredAsText="1" sqref="A1:L41"/>
  </ignoredErrors>
</worksheet>
</file>

<file path=xl/worksheets/sheet239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VII.A.2.2 - Balok B174-1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B174-1</v>
      </c>
    </row>
    <row r="5">
      <c r="A5" t="str">
        <v>Unit</v>
      </c>
      <c r="B5" t="str">
        <v>m3</v>
      </c>
    </row>
    <row r="6">
      <c r="A6" t="str">
        <v>Volume</v>
      </c>
      <c r="B6">
        <v>0.612</v>
      </c>
    </row>
    <row r="7">
      <c r="A7" t="str">
        <v>Unit cost (Rp/m3)</v>
      </c>
      <c r="B7">
        <v>9082456.340929773</v>
      </c>
    </row>
    <row r="8">
      <c r="A8" t="str">
        <v>Line total at-cost (Rp)</v>
      </c>
      <c r="B8">
        <v>5558463.28064902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0.6426000000000001</v>
      </c>
      <c r="L12">
        <v>652656.6900000002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0.612</v>
      </c>
      <c r="L14">
        <v>45900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0.612</v>
      </c>
      <c r="L16">
        <v>1071000</v>
      </c>
    </row>
    <row r="17">
      <c r="A17">
        <v>4</v>
      </c>
      <c r="B17" t="str">
        <v>BEKISTING BALOK (Material) — ratio 14.598039215686276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7.299019607843138</v>
      </c>
      <c r="J18">
        <v>1459803.9215686277</v>
      </c>
      <c r="K18">
        <v>4.4670000000000005</v>
      </c>
      <c r="L18">
        <v>893400.0000000001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32.84558823529412</v>
      </c>
      <c r="J19">
        <v>1563450.0000000002</v>
      </c>
      <c r="K19">
        <v>20.1015</v>
      </c>
      <c r="L19">
        <v>956831.4000000001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10.948529411764707</v>
      </c>
      <c r="J20">
        <v>521150.00000000006</v>
      </c>
      <c r="K20">
        <v>6.7005</v>
      </c>
      <c r="L20">
        <v>318943.80000000005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5.474264705882353</v>
      </c>
      <c r="J21">
        <v>71165.44117647059</v>
      </c>
      <c r="K21">
        <v>3.35025</v>
      </c>
      <c r="L21">
        <v>43553.25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1.8247549019607845</v>
      </c>
      <c r="J22">
        <v>50180.75980392157</v>
      </c>
      <c r="K22">
        <v>1.1167500000000001</v>
      </c>
      <c r="L22">
        <v>30710.625000000004</v>
      </c>
    </row>
    <row r="23">
      <c r="A23">
        <v>5</v>
      </c>
      <c r="B23" t="str">
        <v>BEKISTING BALOK PERALATAN (Material) — Perancah, ratio 14.598039215686276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3.649509803921569</v>
      </c>
      <c r="J24">
        <v>743631.5518336964</v>
      </c>
      <c r="K24">
        <v>2.2335000000000003</v>
      </c>
      <c r="L24">
        <v>455102.5097222222</v>
      </c>
    </row>
    <row r="25">
      <c r="A25">
        <v>6</v>
      </c>
      <c r="B25" t="str">
        <v>PEMBESIAN (Material) — ratio 157.91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D10</v>
      </c>
      <c r="D26" t="str">
        <v>U24/U40 polos</v>
      </c>
      <c r="E26">
        <v>82.07911764705884</v>
      </c>
      <c r="F26" t="str">
        <v>kg</v>
      </c>
      <c r="G26" t="str">
        <v>per m3 beton</v>
      </c>
      <c r="H26">
        <v>10300</v>
      </c>
      <c r="I26">
        <v>82.07911764705884</v>
      </c>
      <c r="J26">
        <v>845414.911764706</v>
      </c>
      <c r="K26">
        <v>50.232420000000005</v>
      </c>
      <c r="L26">
        <v>517393.9260000001</v>
      </c>
    </row>
    <row r="27">
      <c r="A27" t="str">
        <v/>
      </c>
      <c r="B27" t="str">
        <v/>
      </c>
      <c r="C27" t="str">
        <v>Besi beton D13</v>
      </c>
      <c r="D27" t="str">
        <v>U24/U40 polos</v>
      </c>
      <c r="E27">
        <v>75.83288470588234</v>
      </c>
      <c r="F27" t="str">
        <v>kg</v>
      </c>
      <c r="G27" t="str">
        <v>per m3 beton</v>
      </c>
      <c r="H27">
        <v>10300</v>
      </c>
      <c r="I27">
        <v>75.83288470588234</v>
      </c>
      <c r="J27">
        <v>781078.712470588</v>
      </c>
      <c r="K27">
        <v>46.40972543999999</v>
      </c>
      <c r="L27">
        <v>478020.17203199986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7.8956001176470645</v>
      </c>
      <c r="J28">
        <v>81324.68121176476</v>
      </c>
      <c r="K28">
        <v>4.832107272000004</v>
      </c>
      <c r="L28">
        <v>49770.70490160004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157.91200235294116</v>
      </c>
      <c r="J29">
        <v>15791.200235294116</v>
      </c>
      <c r="K29">
        <v>96.64214544</v>
      </c>
      <c r="L29">
        <v>9664.214543999999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3.3161520494117647</v>
      </c>
      <c r="J30">
        <v>58032.66086470588</v>
      </c>
      <c r="K30">
        <v>2.02948505424</v>
      </c>
      <c r="L30">
        <v>35515.9884492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9082456.340929773</v>
      </c>
      <c r="J32" t="str">
        <v/>
      </c>
      <c r="K32" t="str">
        <v/>
      </c>
      <c r="L32">
        <v>5558463.28064902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9082456.340929773</v>
      </c>
    </row>
    <row r="36">
      <c r="A36" t="str">
        <v>RAB (A) source unit cost</v>
      </c>
      <c r="B36">
        <v>9082456.340929775</v>
      </c>
    </row>
    <row r="37">
      <c r="A37" t="str">
        <v>Variance</v>
      </c>
      <c r="B37">
        <v>-1.862645149230957e-9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5558463.28064902</v>
      </c>
    </row>
    <row r="40">
      <c r="A40" t="str">
        <v>RAB (A) source line total</v>
      </c>
      <c r="B40">
        <v>6336648.139939885</v>
      </c>
    </row>
    <row r="41">
      <c r="A41" t="str">
        <v>Variance</v>
      </c>
      <c r="B41">
        <v>-778184.8592908643</v>
      </c>
      <c r="C41" t="str">
        <v>✓ OK</v>
      </c>
    </row>
  </sheetData>
  <ignoredErrors>
    <ignoredError numberStoredAsText="1" sqref="A1:L41"/>
  </ignoredErrors>
</worksheet>
</file>

<file path=xl/worksheets/sheet240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VII.A.2.3 - Balok B175-1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B175-1</v>
      </c>
    </row>
    <row r="5">
      <c r="A5" t="str">
        <v>Unit</v>
      </c>
      <c r="B5" t="str">
        <v>m3</v>
      </c>
    </row>
    <row r="6">
      <c r="A6" t="str">
        <v>Volume</v>
      </c>
      <c r="B6">
        <v>0.68</v>
      </c>
    </row>
    <row r="7">
      <c r="A7" t="str">
        <v>Unit cost (Rp/m3)</v>
      </c>
      <c r="B7">
        <v>8654113.165326862</v>
      </c>
    </row>
    <row r="8">
      <c r="A8" t="str">
        <v>Line total at-cost (Rp)</v>
      </c>
      <c r="B8">
        <v>5884796.952422266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0.7140000000000001</v>
      </c>
      <c r="L12">
        <v>725174.1000000002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0.68</v>
      </c>
      <c r="L14">
        <v>51000.00000000001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0.68</v>
      </c>
      <c r="L16">
        <v>1190000</v>
      </c>
    </row>
    <row r="17">
      <c r="A17">
        <v>4</v>
      </c>
      <c r="B17" t="str">
        <v>BEKISTING BALOK (Material) — ratio 13.76470588235294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6.88235294117647</v>
      </c>
      <c r="J18">
        <v>1376470.588235294</v>
      </c>
      <c r="K18">
        <v>4.68</v>
      </c>
      <c r="L18">
        <v>936000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30.970588235294116</v>
      </c>
      <c r="J19">
        <v>1474200</v>
      </c>
      <c r="K19">
        <v>21.06</v>
      </c>
      <c r="L19">
        <v>1002456.0000000001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10.323529411764705</v>
      </c>
      <c r="J20">
        <v>491399.99999999994</v>
      </c>
      <c r="K20">
        <v>7.02</v>
      </c>
      <c r="L20">
        <v>334152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5.161764705882352</v>
      </c>
      <c r="J21">
        <v>67102.94117647059</v>
      </c>
      <c r="K21">
        <v>3.51</v>
      </c>
      <c r="L21">
        <v>45630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1.7205882352941175</v>
      </c>
      <c r="J22">
        <v>47316.17647058823</v>
      </c>
      <c r="K22">
        <v>1.17</v>
      </c>
      <c r="L22">
        <v>32175</v>
      </c>
    </row>
    <row r="23">
      <c r="A23">
        <v>5</v>
      </c>
      <c r="B23" t="str">
        <v>BEKISTING BALOK PERALATAN (Material) — Perancah, ratio 13.76470588235294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3.441176470588235</v>
      </c>
      <c r="J24">
        <v>701181.1274509802</v>
      </c>
      <c r="K24">
        <v>2.34</v>
      </c>
      <c r="L24">
        <v>476803.1666666666</v>
      </c>
    </row>
    <row r="25">
      <c r="A25">
        <v>6</v>
      </c>
      <c r="B25" t="str">
        <v>PEMBESIAN (Material) — ratio 142.26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D10</v>
      </c>
      <c r="D26" t="str">
        <v>U24/U40 polos</v>
      </c>
      <c r="E26">
        <v>91.3145294117647</v>
      </c>
      <c r="F26" t="str">
        <v>kg</v>
      </c>
      <c r="G26" t="str">
        <v>per m3 beton</v>
      </c>
      <c r="H26">
        <v>10300</v>
      </c>
      <c r="I26">
        <v>91.3145294117647</v>
      </c>
      <c r="J26">
        <v>940539.6529411763</v>
      </c>
      <c r="K26">
        <v>62.09388</v>
      </c>
      <c r="L26">
        <v>639566.9639999999</v>
      </c>
    </row>
    <row r="27">
      <c r="A27" t="str">
        <v/>
      </c>
      <c r="B27" t="str">
        <v/>
      </c>
      <c r="C27" t="str">
        <v>Besi beton D13</v>
      </c>
      <c r="D27" t="str">
        <v>U24/U40 polos</v>
      </c>
      <c r="E27">
        <v>50.94204776470588</v>
      </c>
      <c r="F27" t="str">
        <v>kg</v>
      </c>
      <c r="G27" t="str">
        <v>per m3 beton</v>
      </c>
      <c r="H27">
        <v>10300</v>
      </c>
      <c r="I27">
        <v>50.94204776470588</v>
      </c>
      <c r="J27">
        <v>524703.0919764705</v>
      </c>
      <c r="K27">
        <v>34.64059248</v>
      </c>
      <c r="L27">
        <v>356798.102544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7.112828858823535</v>
      </c>
      <c r="J28">
        <v>73262.13724588242</v>
      </c>
      <c r="K28">
        <v>4.836723624000005</v>
      </c>
      <c r="L28">
        <v>49818.25332720005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142.25657717647059</v>
      </c>
      <c r="J29">
        <v>14225.657717647058</v>
      </c>
      <c r="K29">
        <v>96.73447248000001</v>
      </c>
      <c r="L29">
        <v>9673.447248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2.9873881207058823</v>
      </c>
      <c r="J30">
        <v>52279.29211235294</v>
      </c>
      <c r="K30">
        <v>2.03142392208</v>
      </c>
      <c r="L30">
        <v>35549.9186364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8654113.165326862</v>
      </c>
      <c r="J32" t="str">
        <v/>
      </c>
      <c r="K32" t="str">
        <v/>
      </c>
      <c r="L32">
        <v>5884796.952422266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8654113.165326862</v>
      </c>
    </row>
    <row r="36">
      <c r="A36" t="str">
        <v>RAB (A) source unit cost</v>
      </c>
      <c r="B36">
        <v>8654113.165326862</v>
      </c>
    </row>
    <row r="37">
      <c r="A37" t="str">
        <v>Variance</v>
      </c>
      <c r="B37">
        <v>0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5884796.952422266</v>
      </c>
    </row>
    <row r="40">
      <c r="A40" t="str">
        <v>RAB (A) source line total</v>
      </c>
      <c r="B40">
        <v>6708668.525761383</v>
      </c>
    </row>
    <row r="41">
      <c r="A41" t="str">
        <v>Variance</v>
      </c>
      <c r="B41">
        <v>-823871.5733391168</v>
      </c>
      <c r="C41" t="str">
        <v>✓ OK</v>
      </c>
    </row>
  </sheetData>
  <ignoredErrors>
    <ignoredError numberStoredAsText="1" sqref="A1:L41"/>
  </ignoredErrors>
</worksheet>
</file>

<file path=xl/worksheets/sheet241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VII.A.2.4 - Balok B23-1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B23-1</v>
      </c>
    </row>
    <row r="5">
      <c r="A5" t="str">
        <v>Unit</v>
      </c>
      <c r="B5" t="str">
        <v>m3</v>
      </c>
    </row>
    <row r="6">
      <c r="A6" t="str">
        <v>Volume</v>
      </c>
      <c r="B6">
        <v>0.144</v>
      </c>
    </row>
    <row r="7">
      <c r="A7" t="str">
        <v>Unit cost (Rp/m3)</v>
      </c>
      <c r="B7">
        <v>10672532.690762654</v>
      </c>
    </row>
    <row r="8">
      <c r="A8" t="str">
        <v>Line total at-cost (Rp)</v>
      </c>
      <c r="B8">
        <v>1536844.7074698221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0.1512</v>
      </c>
      <c r="L12">
        <v>153566.28000000003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0.144</v>
      </c>
      <c r="L14">
        <v>10800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0.144</v>
      </c>
      <c r="L16">
        <v>251999.99999999997</v>
      </c>
    </row>
    <row r="17">
      <c r="A17">
        <v>4</v>
      </c>
      <c r="B17" t="str">
        <v>BEKISTING BALOK (Material) — ratio 16.666666666666668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8.333333333333334</v>
      </c>
      <c r="J18">
        <v>1666666.6666666667</v>
      </c>
      <c r="K18">
        <v>1.2</v>
      </c>
      <c r="L18">
        <v>240000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37.5</v>
      </c>
      <c r="J19">
        <v>1785000</v>
      </c>
      <c r="K19">
        <v>5.3999999999999995</v>
      </c>
      <c r="L19">
        <v>257039.99999999997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12.5</v>
      </c>
      <c r="J20">
        <v>595000</v>
      </c>
      <c r="K20">
        <v>1.7999999999999998</v>
      </c>
      <c r="L20">
        <v>85680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6.25</v>
      </c>
      <c r="J21">
        <v>81250</v>
      </c>
      <c r="K21">
        <v>0.8999999999999999</v>
      </c>
      <c r="L21">
        <v>11700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2.0833333333333335</v>
      </c>
      <c r="J22">
        <v>57291.66666666667</v>
      </c>
      <c r="K22">
        <v>0.3</v>
      </c>
      <c r="L22">
        <v>8250</v>
      </c>
    </row>
    <row r="23">
      <c r="A23">
        <v>5</v>
      </c>
      <c r="B23" t="str">
        <v>BEKISTING BALOK PERALATAN (Material) — Perancah, ratio 16.666666666666668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4.166666666666667</v>
      </c>
      <c r="J24">
        <v>849008.487654321</v>
      </c>
      <c r="K24">
        <v>0.6</v>
      </c>
      <c r="L24">
        <v>122257.22222222222</v>
      </c>
    </row>
    <row r="25">
      <c r="A25">
        <v>6</v>
      </c>
      <c r="B25" t="str">
        <v>PEMBESIAN (Material) — ratio 243.46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D8</v>
      </c>
      <c r="D26" t="str">
        <v>U24/U40 polos</v>
      </c>
      <c r="E26">
        <v>95.51640000000002</v>
      </c>
      <c r="F26" t="str">
        <v>kg</v>
      </c>
      <c r="G26" t="str">
        <v>per m3 beton</v>
      </c>
      <c r="H26">
        <v>10300</v>
      </c>
      <c r="I26">
        <v>95.51640000000002</v>
      </c>
      <c r="J26">
        <v>983818.9200000002</v>
      </c>
      <c r="K26">
        <v>13.754361600000001</v>
      </c>
      <c r="L26">
        <v>141669.92448000002</v>
      </c>
    </row>
    <row r="27">
      <c r="A27" t="str">
        <v/>
      </c>
      <c r="B27" t="str">
        <v/>
      </c>
      <c r="C27" t="str">
        <v>Besi beton D13</v>
      </c>
      <c r="D27" t="str">
        <v>U24/U40 polos</v>
      </c>
      <c r="E27">
        <v>147.94767000000002</v>
      </c>
      <c r="F27" t="str">
        <v>kg</v>
      </c>
      <c r="G27" t="str">
        <v>per m3 beton</v>
      </c>
      <c r="H27">
        <v>10300</v>
      </c>
      <c r="I27">
        <v>147.94767000000002</v>
      </c>
      <c r="J27">
        <v>1523861.0010000002</v>
      </c>
      <c r="K27">
        <v>21.30446448</v>
      </c>
      <c r="L27">
        <v>219435.98414400002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12.173203500000014</v>
      </c>
      <c r="J28">
        <v>125383.99605000015</v>
      </c>
      <c r="K28">
        <v>1.752941304000002</v>
      </c>
      <c r="L28">
        <v>18055.29543120002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243.46407000000005</v>
      </c>
      <c r="J29">
        <v>24346.407000000007</v>
      </c>
      <c r="K29">
        <v>35.05882608</v>
      </c>
      <c r="L29">
        <v>3505.882608000001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5.112745470000001</v>
      </c>
      <c r="J30">
        <v>89473.04572500002</v>
      </c>
      <c r="K30">
        <v>0.7362353476800001</v>
      </c>
      <c r="L30">
        <v>12884.118584400001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10672532.690762654</v>
      </c>
      <c r="J32" t="str">
        <v/>
      </c>
      <c r="K32" t="str">
        <v/>
      </c>
      <c r="L32">
        <v>1536844.7074698221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10672532.690762654</v>
      </c>
    </row>
    <row r="36">
      <c r="A36" t="str">
        <v>RAB (A) source unit cost</v>
      </c>
      <c r="B36">
        <v>10672532.690762656</v>
      </c>
    </row>
    <row r="37">
      <c r="A37" t="str">
        <v>Variance</v>
      </c>
      <c r="B37">
        <v>-1.862645149230957e-9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1536844.7074698221</v>
      </c>
    </row>
    <row r="40">
      <c r="A40" t="str">
        <v>RAB (A) source line total</v>
      </c>
      <c r="B40">
        <v>1752002.9665155972</v>
      </c>
    </row>
    <row r="41">
      <c r="A41" t="str">
        <v>Variance</v>
      </c>
      <c r="B41">
        <v>-215158.25904577505</v>
      </c>
      <c r="C41" t="str">
        <v>✓ OK</v>
      </c>
    </row>
  </sheetData>
  <ignoredErrors>
    <ignoredError numberStoredAsText="1" sqref="A1:L41"/>
  </ignoredErrors>
</worksheet>
</file>

<file path=xl/worksheets/sheet242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VII.A.2.5 - Balok B24-1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B24-1</v>
      </c>
    </row>
    <row r="5">
      <c r="A5" t="str">
        <v>Unit</v>
      </c>
      <c r="B5" t="str">
        <v>m3</v>
      </c>
    </row>
    <row r="6">
      <c r="A6" t="str">
        <v>Volume</v>
      </c>
      <c r="B6">
        <v>1.3765</v>
      </c>
    </row>
    <row r="7">
      <c r="A7" t="str">
        <v>Unit cost (Rp/m3)</v>
      </c>
      <c r="B7">
        <v>8717319.458103545</v>
      </c>
    </row>
    <row r="8">
      <c r="A8" t="str">
        <v>Line total at-cost (Rp)</v>
      </c>
      <c r="B8">
        <v>11999390.23407953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1.4453250000000002</v>
      </c>
      <c r="L12">
        <v>1467944.3362500004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1.3765</v>
      </c>
      <c r="L14">
        <v>103237.5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1.3765</v>
      </c>
      <c r="L16">
        <v>2408875</v>
      </c>
    </row>
    <row r="17">
      <c r="A17">
        <v>4</v>
      </c>
      <c r="B17" t="str">
        <v>BEKISTING BALOK (Material) — ratio 13.642571739920086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6.821285869960043</v>
      </c>
      <c r="J18">
        <v>1364257.1739920087</v>
      </c>
      <c r="K18">
        <v>9.3895</v>
      </c>
      <c r="L18">
        <v>1877900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30.695786414820194</v>
      </c>
      <c r="J19">
        <v>1461119.4333454412</v>
      </c>
      <c r="K19">
        <v>42.25275</v>
      </c>
      <c r="L19">
        <v>2011230.9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10.231928804940065</v>
      </c>
      <c r="J20">
        <v>487039.8111151471</v>
      </c>
      <c r="K20">
        <v>14.084249999999999</v>
      </c>
      <c r="L20">
        <v>670410.2999999999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5.115964402470032</v>
      </c>
      <c r="J21">
        <v>66507.53723211042</v>
      </c>
      <c r="K21">
        <v>7.0421249999999995</v>
      </c>
      <c r="L21">
        <v>91547.625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1.7053214674900108</v>
      </c>
      <c r="J22">
        <v>46896.3403559753</v>
      </c>
      <c r="K22">
        <v>2.347375</v>
      </c>
      <c r="L22">
        <v>64552.8125</v>
      </c>
    </row>
    <row r="23">
      <c r="A23">
        <v>5</v>
      </c>
      <c r="B23" t="str">
        <v>BEKISTING BALOK PERALATAN (Material) — Perancah, ratio 13.642571739920086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3.4106429349800216</v>
      </c>
      <c r="J24">
        <v>694959.5520375078</v>
      </c>
      <c r="K24">
        <v>4.69475</v>
      </c>
      <c r="L24">
        <v>956611.8233796295</v>
      </c>
    </row>
    <row r="25">
      <c r="A25">
        <v>6</v>
      </c>
      <c r="B25" t="str">
        <v>PEMBESIAN (Material) — ratio 151.13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D8</v>
      </c>
      <c r="D26" t="str">
        <v>U24/U40 polos</v>
      </c>
      <c r="E26">
        <v>66.72406596440248</v>
      </c>
      <c r="F26" t="str">
        <v>kg</v>
      </c>
      <c r="G26" t="str">
        <v>per m3 beton</v>
      </c>
      <c r="H26">
        <v>10300</v>
      </c>
      <c r="I26">
        <v>66.72406596440248</v>
      </c>
      <c r="J26">
        <v>687257.8794333456</v>
      </c>
      <c r="K26">
        <v>91.84567680000002</v>
      </c>
      <c r="L26">
        <v>946010.4710400003</v>
      </c>
    </row>
    <row r="27">
      <c r="A27" t="str">
        <v/>
      </c>
      <c r="B27" t="str">
        <v/>
      </c>
      <c r="C27" t="str">
        <v>Besi beton D13</v>
      </c>
      <c r="D27" t="str">
        <v>U24/U40 polos</v>
      </c>
      <c r="E27">
        <v>84.40441708681436</v>
      </c>
      <c r="F27" t="str">
        <v>kg</v>
      </c>
      <c r="G27" t="str">
        <v>per m3 beton</v>
      </c>
      <c r="H27">
        <v>10300</v>
      </c>
      <c r="I27">
        <v>84.40441708681436</v>
      </c>
      <c r="J27">
        <v>869365.4959941879</v>
      </c>
      <c r="K27">
        <v>116.18268011999997</v>
      </c>
      <c r="L27">
        <v>1196681.6052359997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7.556424152560849</v>
      </c>
      <c r="J28">
        <v>77831.16877137675</v>
      </c>
      <c r="K28">
        <v>10.40141784600001</v>
      </c>
      <c r="L28">
        <v>107134.6038138001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151.12848305121685</v>
      </c>
      <c r="J29">
        <v>15112.848305121684</v>
      </c>
      <c r="K29">
        <v>208.02835692</v>
      </c>
      <c r="L29">
        <v>20802.835692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3.173698144075554</v>
      </c>
      <c r="J30">
        <v>55539.71752132219</v>
      </c>
      <c r="K30">
        <v>4.36859549532</v>
      </c>
      <c r="L30">
        <v>76450.4211681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8717319.458103545</v>
      </c>
      <c r="J32" t="str">
        <v/>
      </c>
      <c r="K32" t="str">
        <v/>
      </c>
      <c r="L32">
        <v>11999390.23407953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8717319.458103545</v>
      </c>
    </row>
    <row r="36">
      <c r="A36" t="str">
        <v>RAB (A) source unit cost</v>
      </c>
      <c r="B36">
        <v>8717319.458103545</v>
      </c>
    </row>
    <row r="37">
      <c r="A37" t="str">
        <v>Variance</v>
      </c>
      <c r="B37">
        <v>0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11999390.23407953</v>
      </c>
    </row>
    <row r="40">
      <c r="A40" t="str">
        <v>RAB (A) source line total</v>
      </c>
      <c r="B40">
        <v>13679304.866850663</v>
      </c>
    </row>
    <row r="41">
      <c r="A41" t="str">
        <v>Variance</v>
      </c>
      <c r="B41">
        <v>-1679914.6327711325</v>
      </c>
      <c r="C41" t="str">
        <v>✓ OK</v>
      </c>
    </row>
  </sheetData>
  <ignoredErrors>
    <ignoredError numberStoredAsText="1" sqref="A1:L41"/>
  </ignoredErrors>
</worksheet>
</file>

<file path=xl/worksheets/sheet243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VII.A.2.6 - Balok B24-2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B24-2</v>
      </c>
    </row>
    <row r="5">
      <c r="A5" t="str">
        <v>Unit</v>
      </c>
      <c r="B5" t="str">
        <v>m3</v>
      </c>
    </row>
    <row r="6">
      <c r="A6" t="str">
        <v>Volume</v>
      </c>
      <c r="B6">
        <v>0.725</v>
      </c>
    </row>
    <row r="7">
      <c r="A7" t="str">
        <v>Unit cost (Rp/m3)</v>
      </c>
      <c r="B7">
        <v>9410470.294245353</v>
      </c>
    </row>
    <row r="8">
      <c r="A8" t="str">
        <v>Line total at-cost (Rp)</v>
      </c>
      <c r="B8">
        <v>6822590.963327881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0.76125</v>
      </c>
      <c r="L12">
        <v>773163.5625000001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0.725</v>
      </c>
      <c r="L14">
        <v>54375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0.725</v>
      </c>
      <c r="L16">
        <v>1268750</v>
      </c>
    </row>
    <row r="17">
      <c r="A17">
        <v>4</v>
      </c>
      <c r="B17" t="str">
        <v>BEKISTING BALOK (Material) — ratio 14.000000000000002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7.000000000000001</v>
      </c>
      <c r="J18">
        <v>1400000.0000000002</v>
      </c>
      <c r="K18">
        <v>5.075</v>
      </c>
      <c r="L18">
        <v>1015000.0000000001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31.500000000000004</v>
      </c>
      <c r="J19">
        <v>1499400.0000000002</v>
      </c>
      <c r="K19">
        <v>22.837500000000002</v>
      </c>
      <c r="L19">
        <v>1087065.0000000002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10.500000000000002</v>
      </c>
      <c r="J20">
        <v>499800.00000000006</v>
      </c>
      <c r="K20">
        <v>7.612500000000001</v>
      </c>
      <c r="L20">
        <v>362355.00000000006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5.250000000000001</v>
      </c>
      <c r="J21">
        <v>68250.00000000001</v>
      </c>
      <c r="K21">
        <v>3.8062500000000004</v>
      </c>
      <c r="L21">
        <v>49481.25000000001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1.7500000000000002</v>
      </c>
      <c r="J22">
        <v>48125.00000000001</v>
      </c>
      <c r="K22">
        <v>1.26875</v>
      </c>
      <c r="L22">
        <v>34890.62500000001</v>
      </c>
    </row>
    <row r="23">
      <c r="A23">
        <v>5</v>
      </c>
      <c r="B23" t="str">
        <v>BEKISTING BALOK PERALATAN (Material) — Perancah, ratio 14.000000000000002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3.5000000000000004</v>
      </c>
      <c r="J24">
        <v>713167.1296296297</v>
      </c>
      <c r="K24">
        <v>2.5375</v>
      </c>
      <c r="L24">
        <v>517046.1689814815</v>
      </c>
    </row>
    <row r="25">
      <c r="A25">
        <v>6</v>
      </c>
      <c r="B25" t="str">
        <v>PEMBESIAN (Material) — ratio 203.00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D8</v>
      </c>
      <c r="D26" t="str">
        <v>U24/U40 polos</v>
      </c>
      <c r="E26">
        <v>66.70512993103449</v>
      </c>
      <c r="F26" t="str">
        <v>kg</v>
      </c>
      <c r="G26" t="str">
        <v>per m3 beton</v>
      </c>
      <c r="H26">
        <v>10300</v>
      </c>
      <c r="I26">
        <v>66.70512993103449</v>
      </c>
      <c r="J26">
        <v>687062.8382896553</v>
      </c>
      <c r="K26">
        <v>48.36121920000001</v>
      </c>
      <c r="L26">
        <v>498120.55776000005</v>
      </c>
    </row>
    <row r="27">
      <c r="A27" t="str">
        <v/>
      </c>
      <c r="B27" t="str">
        <v/>
      </c>
      <c r="C27" t="str">
        <v>Besi beton D16</v>
      </c>
      <c r="D27" t="str">
        <v>U24/U40 polos</v>
      </c>
      <c r="E27">
        <v>136.29027575172412</v>
      </c>
      <c r="F27" t="str">
        <v>kg</v>
      </c>
      <c r="G27" t="str">
        <v>per m3 beton</v>
      </c>
      <c r="H27">
        <v>10300</v>
      </c>
      <c r="I27">
        <v>136.29027575172412</v>
      </c>
      <c r="J27">
        <v>1403789.8402427584</v>
      </c>
      <c r="K27">
        <v>98.81044991999998</v>
      </c>
      <c r="L27">
        <v>1017747.6341759998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10.14977028413794</v>
      </c>
      <c r="J28">
        <v>104542.63392662078</v>
      </c>
      <c r="K28">
        <v>7.358583456000006</v>
      </c>
      <c r="L28">
        <v>75793.40959680006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202.99540568275862</v>
      </c>
      <c r="J29">
        <v>20299.54056827586</v>
      </c>
      <c r="K29">
        <v>147.17166912</v>
      </c>
      <c r="L29">
        <v>14717.166911999999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4.262903519337931</v>
      </c>
      <c r="J30">
        <v>74600.8115884138</v>
      </c>
      <c r="K30">
        <v>3.0906050515200003</v>
      </c>
      <c r="L30">
        <v>54085.5884016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9410470.294245353</v>
      </c>
      <c r="J32" t="str">
        <v/>
      </c>
      <c r="K32" t="str">
        <v/>
      </c>
      <c r="L32">
        <v>6822590.963327881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9410470.294245353</v>
      </c>
    </row>
    <row r="36">
      <c r="A36" t="str">
        <v>RAB (A) source unit cost</v>
      </c>
      <c r="B36">
        <v>9410470.294245355</v>
      </c>
    </row>
    <row r="37">
      <c r="A37" t="str">
        <v>Variance</v>
      </c>
      <c r="B37">
        <v>-1.862645149230957e-9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6822590.963327881</v>
      </c>
    </row>
    <row r="40">
      <c r="A40" t="str">
        <v>RAB (A) source line total</v>
      </c>
      <c r="B40">
        <v>7777753.698193785</v>
      </c>
    </row>
    <row r="41">
      <c r="A41" t="str">
        <v>Variance</v>
      </c>
      <c r="B41">
        <v>-955162.7348659039</v>
      </c>
      <c r="C41" t="str">
        <v>✓ OK</v>
      </c>
    </row>
  </sheetData>
  <ignoredErrors>
    <ignoredError numberStoredAsText="1" sqref="A1:L41"/>
  </ignoredErrors>
</worksheet>
</file>

<file path=xl/worksheets/sheet244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VII.A.2.7 - Balok B24-3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B24-3</v>
      </c>
    </row>
    <row r="5">
      <c r="A5" t="str">
        <v>Unit</v>
      </c>
      <c r="B5" t="str">
        <v>m3</v>
      </c>
    </row>
    <row r="6">
      <c r="A6" t="str">
        <v>Volume</v>
      </c>
      <c r="B6">
        <v>1.0350000000000001</v>
      </c>
    </row>
    <row r="7">
      <c r="A7" t="str">
        <v>Unit cost (Rp/m3)</v>
      </c>
      <c r="B7">
        <v>10645741.924186151</v>
      </c>
    </row>
    <row r="8">
      <c r="A8" t="str">
        <v>Line total at-cost (Rp)</v>
      </c>
      <c r="B8">
        <v>11018342.891532669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1.08675</v>
      </c>
      <c r="L12">
        <v>1103757.6375000004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1.0350000000000001</v>
      </c>
      <c r="L14">
        <v>77625.00000000001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1.0350000000000001</v>
      </c>
      <c r="L16">
        <v>1811250.0000000002</v>
      </c>
    </row>
    <row r="17">
      <c r="A17">
        <v>4</v>
      </c>
      <c r="B17" t="str">
        <v>BEKISTING BALOK (Material) — ratio 13.999999999999998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6.999999999999999</v>
      </c>
      <c r="J18">
        <v>1399999.9999999998</v>
      </c>
      <c r="K18">
        <v>7.245</v>
      </c>
      <c r="L18">
        <v>1449000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31.499999999999996</v>
      </c>
      <c r="J19">
        <v>1499399.9999999998</v>
      </c>
      <c r="K19">
        <v>32.6025</v>
      </c>
      <c r="L19">
        <v>1551879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10.499999999999998</v>
      </c>
      <c r="J20">
        <v>499799.99999999994</v>
      </c>
      <c r="K20">
        <v>10.8675</v>
      </c>
      <c r="L20">
        <v>517293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5.249999999999999</v>
      </c>
      <c r="J21">
        <v>68249.99999999999</v>
      </c>
      <c r="K21">
        <v>5.43375</v>
      </c>
      <c r="L21">
        <v>70638.75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1.7499999999999998</v>
      </c>
      <c r="J22">
        <v>48124.99999999999</v>
      </c>
      <c r="K22">
        <v>1.81125</v>
      </c>
      <c r="L22">
        <v>49809.375</v>
      </c>
    </row>
    <row r="23">
      <c r="A23">
        <v>5</v>
      </c>
      <c r="B23" t="str">
        <v>BEKISTING BALOK PERALATAN (Material) — Perancah, ratio 13.999999999999998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3.4999999999999996</v>
      </c>
      <c r="J24">
        <v>713167.1296296294</v>
      </c>
      <c r="K24">
        <v>3.6225</v>
      </c>
      <c r="L24">
        <v>738127.9791666665</v>
      </c>
    </row>
    <row r="25">
      <c r="A25">
        <v>6</v>
      </c>
      <c r="B25" t="str">
        <v>PEMBESIAN (Material) — ratio 312.48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D10</v>
      </c>
      <c r="D26" t="str">
        <v>U24/U40 polos</v>
      </c>
      <c r="E26">
        <v>105.52573913043479</v>
      </c>
      <c r="F26" t="str">
        <v>kg</v>
      </c>
      <c r="G26" t="str">
        <v>per m3 beton</v>
      </c>
      <c r="H26">
        <v>10300</v>
      </c>
      <c r="I26">
        <v>105.52573913043479</v>
      </c>
      <c r="J26">
        <v>1086915.1130434782</v>
      </c>
      <c r="K26">
        <v>109.21914000000002</v>
      </c>
      <c r="L26">
        <v>1124957.1420000002</v>
      </c>
    </row>
    <row r="27">
      <c r="A27" t="str">
        <v/>
      </c>
      <c r="B27" t="str">
        <v/>
      </c>
      <c r="C27" t="str">
        <v>Besi beton D16</v>
      </c>
      <c r="D27" t="str">
        <v>U24/U40 polos</v>
      </c>
      <c r="E27">
        <v>206.9552973913043</v>
      </c>
      <c r="F27" t="str">
        <v>kg</v>
      </c>
      <c r="G27" t="str">
        <v>per m3 beton</v>
      </c>
      <c r="H27">
        <v>10300</v>
      </c>
      <c r="I27">
        <v>206.9552973913043</v>
      </c>
      <c r="J27">
        <v>2131639.563130434</v>
      </c>
      <c r="K27">
        <v>214.1987328</v>
      </c>
      <c r="L27">
        <v>2206246.9478399996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15.62405182608697</v>
      </c>
      <c r="J28">
        <v>160927.73380869578</v>
      </c>
      <c r="K28">
        <v>16.170893640000017</v>
      </c>
      <c r="L28">
        <v>166560.20449200016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312.4810365217391</v>
      </c>
      <c r="J29">
        <v>31248.10365217391</v>
      </c>
      <c r="K29">
        <v>323.4178728</v>
      </c>
      <c r="L29">
        <v>32341.787280000004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6.562101766956522</v>
      </c>
      <c r="J30">
        <v>114836.78092173913</v>
      </c>
      <c r="K30">
        <v>6.791775328800001</v>
      </c>
      <c r="L30">
        <v>118856.06825400001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10645741.924186151</v>
      </c>
      <c r="J32" t="str">
        <v/>
      </c>
      <c r="K32" t="str">
        <v/>
      </c>
      <c r="L32">
        <v>11018342.891532669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10645741.924186151</v>
      </c>
    </row>
    <row r="36">
      <c r="A36" t="str">
        <v>RAB (A) source unit cost</v>
      </c>
      <c r="B36">
        <v>10645741.92418615</v>
      </c>
    </row>
    <row r="37">
      <c r="A37" t="str">
        <v>Variance</v>
      </c>
      <c r="B37">
        <v>1.862645149230957e-9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11018342.891532669</v>
      </c>
    </row>
    <row r="40">
      <c r="A40" t="str">
        <v>RAB (A) source line total</v>
      </c>
      <c r="B40">
        <v>12560910.89634724</v>
      </c>
    </row>
    <row r="41">
      <c r="A41" t="str">
        <v>Variance</v>
      </c>
      <c r="B41">
        <v>-1542568.0048145708</v>
      </c>
      <c r="C41" t="str">
        <v>✓ OK</v>
      </c>
    </row>
  </sheetData>
  <ignoredErrors>
    <ignoredError numberStoredAsText="1" sqref="A1:L41"/>
  </ignoredErrors>
</worksheet>
</file>

<file path=xl/worksheets/sheet245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VII.A.2.8 - Balok B24-4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B24-4</v>
      </c>
    </row>
    <row r="5">
      <c r="A5" t="str">
        <v>Unit</v>
      </c>
      <c r="B5" t="str">
        <v>m3</v>
      </c>
    </row>
    <row r="6">
      <c r="A6" t="str">
        <v>Volume</v>
      </c>
      <c r="B6">
        <v>0.7050000000000001</v>
      </c>
    </row>
    <row r="7">
      <c r="A7" t="str">
        <v>Unit cost (Rp/m3)</v>
      </c>
      <c r="B7">
        <v>10390267.574398993</v>
      </c>
    </row>
    <row r="8">
      <c r="A8" t="str">
        <v>Line total at-cost (Rp)</v>
      </c>
      <c r="B8">
        <v>7325138.639951291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0.7402500000000001</v>
      </c>
      <c r="L12">
        <v>751834.9125000002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0.7050000000000001</v>
      </c>
      <c r="L14">
        <v>52875.00000000001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0.7050000000000001</v>
      </c>
      <c r="L16">
        <v>1233750.0000000002</v>
      </c>
    </row>
    <row r="17">
      <c r="A17">
        <v>4</v>
      </c>
      <c r="B17" t="str">
        <v>BEKISTING BALOK (Material) — ratio 14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7</v>
      </c>
      <c r="J18">
        <v>1400000</v>
      </c>
      <c r="K18">
        <v>4.9350000000000005</v>
      </c>
      <c r="L18">
        <v>987000.0000000001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31.5</v>
      </c>
      <c r="J19">
        <v>1499400</v>
      </c>
      <c r="K19">
        <v>22.207500000000003</v>
      </c>
      <c r="L19">
        <v>1057077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10.5</v>
      </c>
      <c r="J20">
        <v>499800</v>
      </c>
      <c r="K20">
        <v>7.402500000000001</v>
      </c>
      <c r="L20">
        <v>352359.00000000006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5.25</v>
      </c>
      <c r="J21">
        <v>68250</v>
      </c>
      <c r="K21">
        <v>3.7012500000000004</v>
      </c>
      <c r="L21">
        <v>48116.25000000001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1.75</v>
      </c>
      <c r="J22">
        <v>48125</v>
      </c>
      <c r="K22">
        <v>1.2337500000000001</v>
      </c>
      <c r="L22">
        <v>33928.125</v>
      </c>
    </row>
    <row r="23">
      <c r="A23">
        <v>5</v>
      </c>
      <c r="B23" t="str">
        <v>BEKISTING BALOK PERALATAN (Material) — Perancah, ratio 14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3.5</v>
      </c>
      <c r="J24">
        <v>713167.1296296295</v>
      </c>
      <c r="K24">
        <v>2.4675000000000002</v>
      </c>
      <c r="L24">
        <v>502782.8263888889</v>
      </c>
    </row>
    <row r="25">
      <c r="A25">
        <v>6</v>
      </c>
      <c r="B25" t="str">
        <v>PEMBESIAN (Material) — ratio 289.84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D8</v>
      </c>
      <c r="D26" t="str">
        <v>U24/U40 polos</v>
      </c>
      <c r="E26">
        <v>73.20906893617021</v>
      </c>
      <c r="F26" t="str">
        <v>kg</v>
      </c>
      <c r="G26" t="str">
        <v>per m3 beton</v>
      </c>
      <c r="H26">
        <v>10300</v>
      </c>
      <c r="I26">
        <v>73.20906893617021</v>
      </c>
      <c r="J26">
        <v>754053.4100425532</v>
      </c>
      <c r="K26">
        <v>51.612393600000004</v>
      </c>
      <c r="L26">
        <v>531607.6540800001</v>
      </c>
    </row>
    <row r="27">
      <c r="A27" t="str">
        <v/>
      </c>
      <c r="B27" t="str">
        <v/>
      </c>
      <c r="C27" t="str">
        <v>Besi beton D16</v>
      </c>
      <c r="D27" t="str">
        <v>U24/U40 polos</v>
      </c>
      <c r="E27">
        <v>216.62855080851062</v>
      </c>
      <c r="F27" t="str">
        <v>kg</v>
      </c>
      <c r="G27" t="str">
        <v>per m3 beton</v>
      </c>
      <c r="H27">
        <v>10300</v>
      </c>
      <c r="I27">
        <v>216.62855080851062</v>
      </c>
      <c r="J27">
        <v>2231274.0733276596</v>
      </c>
      <c r="K27">
        <v>152.72312832</v>
      </c>
      <c r="L27">
        <v>1573048.2216960003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14.491880987234056</v>
      </c>
      <c r="J28">
        <v>149266.37416851078</v>
      </c>
      <c r="K28">
        <v>10.216776096000011</v>
      </c>
      <c r="L28">
        <v>105232.79378880012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289.83761974468086</v>
      </c>
      <c r="J29">
        <v>28983.761974468085</v>
      </c>
      <c r="K29">
        <v>204.33552192000002</v>
      </c>
      <c r="L29">
        <v>20433.552192000003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6.086590014638299</v>
      </c>
      <c r="J30">
        <v>106515.32525617022</v>
      </c>
      <c r="K30">
        <v>4.291045960320001</v>
      </c>
      <c r="L30">
        <v>75093.30430560002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10390267.574398993</v>
      </c>
      <c r="J32" t="str">
        <v/>
      </c>
      <c r="K32" t="str">
        <v/>
      </c>
      <c r="L32">
        <v>7325138.639951291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10390267.574398993</v>
      </c>
    </row>
    <row r="36">
      <c r="A36" t="str">
        <v>RAB (A) source unit cost</v>
      </c>
      <c r="B36">
        <v>10390267.57439899</v>
      </c>
    </row>
    <row r="37">
      <c r="A37" t="str">
        <v>Variance</v>
      </c>
      <c r="B37">
        <v>1.862645149230957e-9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7325138.639951291</v>
      </c>
    </row>
    <row r="40">
      <c r="A40" t="str">
        <v>RAB (A) source line total</v>
      </c>
      <c r="B40">
        <v>8350658.0495444685</v>
      </c>
    </row>
    <row r="41">
      <c r="A41" t="str">
        <v>Variance</v>
      </c>
      <c r="B41">
        <v>-1025519.409593178</v>
      </c>
      <c r="C41" t="str">
        <v>✓ OK</v>
      </c>
    </row>
  </sheetData>
  <ignoredErrors>
    <ignoredError numberStoredAsText="1" sqref="A1:L41"/>
  </ignoredErrors>
</worksheet>
</file>

<file path=xl/worksheets/sheet246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VII.A.2.9 - Balok B24-5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B24-5</v>
      </c>
    </row>
    <row r="5">
      <c r="A5" t="str">
        <v>Unit</v>
      </c>
      <c r="B5" t="str">
        <v>m3</v>
      </c>
    </row>
    <row r="6">
      <c r="A6" t="str">
        <v>Volume</v>
      </c>
      <c r="B6">
        <v>0.13625</v>
      </c>
    </row>
    <row r="7">
      <c r="A7" t="str">
        <v>Unit cost (Rp/m3)</v>
      </c>
      <c r="B7">
        <v>11903308.984116236</v>
      </c>
    </row>
    <row r="8">
      <c r="A8" t="str">
        <v>Line total at-cost (Rp)</v>
      </c>
      <c r="B8">
        <v>1621825.8490858371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0.1430625</v>
      </c>
      <c r="L12">
        <v>145301.42812500003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0.13625</v>
      </c>
      <c r="L14">
        <v>10218.75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0.13625</v>
      </c>
      <c r="L16">
        <v>238437.50000000003</v>
      </c>
    </row>
    <row r="17">
      <c r="A17">
        <v>4</v>
      </c>
      <c r="B17" t="str">
        <v>BEKISTING BALOK (Material) — ratio 13.999999999999998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6.999999999999999</v>
      </c>
      <c r="J18">
        <v>1399999.9999999998</v>
      </c>
      <c r="K18">
        <v>0.95375</v>
      </c>
      <c r="L18">
        <v>190749.99999999997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31.499999999999996</v>
      </c>
      <c r="J19">
        <v>1499399.9999999998</v>
      </c>
      <c r="K19">
        <v>4.291875</v>
      </c>
      <c r="L19">
        <v>204293.24999999997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10.499999999999998</v>
      </c>
      <c r="J20">
        <v>499799.99999999994</v>
      </c>
      <c r="K20">
        <v>1.4306249999999998</v>
      </c>
      <c r="L20">
        <v>68097.75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5.249999999999999</v>
      </c>
      <c r="J21">
        <v>68249.99999999999</v>
      </c>
      <c r="K21">
        <v>0.7153124999999999</v>
      </c>
      <c r="L21">
        <v>9299.062499999998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1.7499999999999998</v>
      </c>
      <c r="J22">
        <v>48124.99999999999</v>
      </c>
      <c r="K22">
        <v>0.2384375</v>
      </c>
      <c r="L22">
        <v>6557.031249999999</v>
      </c>
    </row>
    <row r="23">
      <c r="A23">
        <v>5</v>
      </c>
      <c r="B23" t="str">
        <v>BEKISTING BALOK PERALATAN (Material) — Perancah, ratio 13.999999999999998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3.4999999999999996</v>
      </c>
      <c r="J24">
        <v>713167.1296296294</v>
      </c>
      <c r="K24">
        <v>0.476875</v>
      </c>
      <c r="L24">
        <v>97169.02141203702</v>
      </c>
    </row>
    <row r="25">
      <c r="A25">
        <v>6</v>
      </c>
      <c r="B25" t="str">
        <v>PEMBESIAN (Material) — ratio 423.94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D10</v>
      </c>
      <c r="D26" t="str">
        <v>U24/U40 polos</v>
      </c>
      <c r="E26">
        <v>130.49438532110094</v>
      </c>
      <c r="F26" t="str">
        <v>kg</v>
      </c>
      <c r="G26" t="str">
        <v>per m3 beton</v>
      </c>
      <c r="H26">
        <v>10300</v>
      </c>
      <c r="I26">
        <v>130.49438532110094</v>
      </c>
      <c r="J26">
        <v>1344092.1688073396</v>
      </c>
      <c r="K26">
        <v>17.779860000000003</v>
      </c>
      <c r="L26">
        <v>183132.55800000005</v>
      </c>
    </row>
    <row r="27">
      <c r="A27" t="str">
        <v/>
      </c>
      <c r="B27" t="str">
        <v/>
      </c>
      <c r="C27" t="str">
        <v>Besi beton D16</v>
      </c>
      <c r="D27" t="str">
        <v>U24/U40 polos</v>
      </c>
      <c r="E27">
        <v>293.4483892844037</v>
      </c>
      <c r="F27" t="str">
        <v>kg</v>
      </c>
      <c r="G27" t="str">
        <v>per m3 beton</v>
      </c>
      <c r="H27">
        <v>10300</v>
      </c>
      <c r="I27">
        <v>293.4483892844037</v>
      </c>
      <c r="J27">
        <v>3022518.409629358</v>
      </c>
      <c r="K27">
        <v>39.98234304</v>
      </c>
      <c r="L27">
        <v>411818.1333120001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21.19713873027525</v>
      </c>
      <c r="J28">
        <v>218330.52892183507</v>
      </c>
      <c r="K28">
        <v>2.888110152000003</v>
      </c>
      <c r="L28">
        <v>29747.534565600028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423.9427746055046</v>
      </c>
      <c r="J29">
        <v>42394.27746055046</v>
      </c>
      <c r="K29">
        <v>57.76220304000001</v>
      </c>
      <c r="L29">
        <v>5776.220304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8.902798266715598</v>
      </c>
      <c r="J30">
        <v>155798.96966752296</v>
      </c>
      <c r="K30">
        <v>1.2130062638400003</v>
      </c>
      <c r="L30">
        <v>21227.609617200007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11903308.984116236</v>
      </c>
      <c r="J32" t="str">
        <v/>
      </c>
      <c r="K32" t="str">
        <v/>
      </c>
      <c r="L32">
        <v>1621825.8490858371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11903308.984116236</v>
      </c>
    </row>
    <row r="36">
      <c r="A36" t="str">
        <v>RAB (A) source unit cost</v>
      </c>
      <c r="B36">
        <v>11903308.984116234</v>
      </c>
    </row>
    <row r="37">
      <c r="A37" t="str">
        <v>Variance</v>
      </c>
      <c r="B37">
        <v>1.862645149230957e-9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1621825.8490858371</v>
      </c>
    </row>
    <row r="40">
      <c r="A40" t="str">
        <v>RAB (A) source line total</v>
      </c>
      <c r="B40">
        <v>1848881.467957854</v>
      </c>
    </row>
    <row r="41">
      <c r="A41" t="str">
        <v>Variance</v>
      </c>
      <c r="B41">
        <v>-227055.6188720169</v>
      </c>
      <c r="C41" t="str">
        <v>✓ OK</v>
      </c>
    </row>
  </sheetData>
  <ignoredErrors>
    <ignoredError numberStoredAsText="1" sqref="A1:L41"/>
  </ignoredErrors>
</worksheet>
</file>

<file path=xl/worksheets/sheet247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VII.A.2.10 - Balok B24-7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B24-7</v>
      </c>
    </row>
    <row r="5">
      <c r="A5" t="str">
        <v>Unit</v>
      </c>
      <c r="B5" t="str">
        <v>m3</v>
      </c>
    </row>
    <row r="6">
      <c r="A6" t="str">
        <v>Volume</v>
      </c>
      <c r="B6">
        <v>0.16175</v>
      </c>
    </row>
    <row r="7">
      <c r="A7" t="str">
        <v>Unit cost (Rp/m3)</v>
      </c>
      <c r="B7">
        <v>9259471.56449323</v>
      </c>
    </row>
    <row r="8">
      <c r="A8" t="str">
        <v>Line total at-cost (Rp)</v>
      </c>
      <c r="B8">
        <v>1497719.52555678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0.1698375</v>
      </c>
      <c r="L12">
        <v>172495.45687500003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0.16175</v>
      </c>
      <c r="L14">
        <v>12131.25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0.16175</v>
      </c>
      <c r="L16">
        <v>283062.5</v>
      </c>
    </row>
    <row r="17">
      <c r="A17">
        <v>4</v>
      </c>
      <c r="B17" t="str">
        <v>BEKISTING BALOK (Material) — ratio 14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7</v>
      </c>
      <c r="J18">
        <v>1400000</v>
      </c>
      <c r="K18">
        <v>1.13225</v>
      </c>
      <c r="L18">
        <v>226450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31.5</v>
      </c>
      <c r="J19">
        <v>1499400</v>
      </c>
      <c r="K19">
        <v>5.095125</v>
      </c>
      <c r="L19">
        <v>242527.95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10.5</v>
      </c>
      <c r="J20">
        <v>499800</v>
      </c>
      <c r="K20">
        <v>1.698375</v>
      </c>
      <c r="L20">
        <v>80842.65000000001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5.25</v>
      </c>
      <c r="J21">
        <v>68250</v>
      </c>
      <c r="K21">
        <v>0.8491875</v>
      </c>
      <c r="L21">
        <v>11039.4375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1.75</v>
      </c>
      <c r="J22">
        <v>48125</v>
      </c>
      <c r="K22">
        <v>0.2830625</v>
      </c>
      <c r="L22">
        <v>7784.21875</v>
      </c>
    </row>
    <row r="23">
      <c r="A23">
        <v>5</v>
      </c>
      <c r="B23" t="str">
        <v>BEKISTING BALOK PERALATAN (Material) — Perancah, ratio 14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3.5</v>
      </c>
      <c r="J24">
        <v>713167.1296296295</v>
      </c>
      <c r="K24">
        <v>0.566125</v>
      </c>
      <c r="L24">
        <v>115354.78321759259</v>
      </c>
    </row>
    <row r="25">
      <c r="A25">
        <v>6</v>
      </c>
      <c r="B25" t="str">
        <v>PEMBESIAN (Material) — ratio 189.61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D8</v>
      </c>
      <c r="D26" t="str">
        <v>U24/U40 polos</v>
      </c>
      <c r="E26">
        <v>75.37498608964452</v>
      </c>
      <c r="F26" t="str">
        <v>kg</v>
      </c>
      <c r="G26" t="str">
        <v>per m3 beton</v>
      </c>
      <c r="H26">
        <v>10300</v>
      </c>
      <c r="I26">
        <v>75.37498608964452</v>
      </c>
      <c r="J26">
        <v>776362.3567233386</v>
      </c>
      <c r="K26">
        <v>12.191904000000003</v>
      </c>
      <c r="L26">
        <v>125576.61120000003</v>
      </c>
    </row>
    <row r="27">
      <c r="A27" t="str">
        <v/>
      </c>
      <c r="B27" t="str">
        <v/>
      </c>
      <c r="C27" t="str">
        <v>Besi beton D13</v>
      </c>
      <c r="D27" t="str">
        <v>U24/U40 polos</v>
      </c>
      <c r="E27">
        <v>114.23697357032455</v>
      </c>
      <c r="F27" t="str">
        <v>kg</v>
      </c>
      <c r="G27" t="str">
        <v>per m3 beton</v>
      </c>
      <c r="H27">
        <v>10300</v>
      </c>
      <c r="I27">
        <v>114.23697357032455</v>
      </c>
      <c r="J27">
        <v>1176640.8277743428</v>
      </c>
      <c r="K27">
        <v>18.477830474999998</v>
      </c>
      <c r="L27">
        <v>190321.65389249995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9.480597982998463</v>
      </c>
      <c r="J28">
        <v>97650.15922488416</v>
      </c>
      <c r="K28">
        <v>1.5334867237500014</v>
      </c>
      <c r="L28">
        <v>15794.913254625013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189.61195965996907</v>
      </c>
      <c r="J29">
        <v>18961.195965996907</v>
      </c>
      <c r="K29">
        <v>30.669734475</v>
      </c>
      <c r="L29">
        <v>3066.9734475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3.9818511528593508</v>
      </c>
      <c r="J30">
        <v>69682.39517503863</v>
      </c>
      <c r="K30">
        <v>0.644064423975</v>
      </c>
      <c r="L30">
        <v>11271.1274195625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9259471.56449323</v>
      </c>
      <c r="J32" t="str">
        <v/>
      </c>
      <c r="K32" t="str">
        <v/>
      </c>
      <c r="L32">
        <v>1497719.52555678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9259471.56449323</v>
      </c>
    </row>
    <row r="36">
      <c r="A36" t="str">
        <v>RAB (A) source unit cost</v>
      </c>
      <c r="B36">
        <v>9259471.56449323</v>
      </c>
    </row>
    <row r="37">
      <c r="A37" t="str">
        <v>Variance</v>
      </c>
      <c r="B37">
        <v>0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1497719.52555678</v>
      </c>
    </row>
    <row r="40">
      <c r="A40" t="str">
        <v>RAB (A) source line total</v>
      </c>
      <c r="B40">
        <v>1707400.259134729</v>
      </c>
    </row>
    <row r="41">
      <c r="A41" t="str">
        <v>Variance</v>
      </c>
      <c r="B41">
        <v>-209680.733577949</v>
      </c>
      <c r="C41" t="str">
        <v>✓ OK</v>
      </c>
    </row>
  </sheetData>
  <ignoredErrors>
    <ignoredError numberStoredAsText="1" sqref="A1:L41"/>
  </ignoredErrors>
</worksheet>
</file>

<file path=xl/worksheets/sheet248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VII.A.2.11 - Balok CL24-1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CL24-1</v>
      </c>
    </row>
    <row r="5">
      <c r="A5" t="str">
        <v>Unit</v>
      </c>
      <c r="B5" t="str">
        <v>m3</v>
      </c>
    </row>
    <row r="6">
      <c r="A6" t="str">
        <v>Volume</v>
      </c>
      <c r="B6">
        <v>0.29000000000000004</v>
      </c>
    </row>
    <row r="7">
      <c r="A7" t="str">
        <v>Unit cost (Rp/m3)</v>
      </c>
      <c r="B7">
        <v>9823691.450264113</v>
      </c>
    </row>
    <row r="8">
      <c r="A8" t="str">
        <v>Line total at-cost (Rp)</v>
      </c>
      <c r="B8">
        <v>2848870.520576593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0.30450000000000005</v>
      </c>
      <c r="L12">
        <v>309265.4250000001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0.29000000000000004</v>
      </c>
      <c r="L14">
        <v>21750.000000000004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0.29000000000000004</v>
      </c>
      <c r="L16">
        <v>507500.00000000006</v>
      </c>
    </row>
    <row r="17">
      <c r="A17">
        <v>4</v>
      </c>
      <c r="B17" t="str">
        <v>BEKISTING BALOK (Material) — ratio 14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7</v>
      </c>
      <c r="J18">
        <v>1400000</v>
      </c>
      <c r="K18">
        <v>2.0300000000000002</v>
      </c>
      <c r="L18">
        <v>406000.00000000006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31.5</v>
      </c>
      <c r="J19">
        <v>1499400</v>
      </c>
      <c r="K19">
        <v>9.135000000000002</v>
      </c>
      <c r="L19">
        <v>434826.00000000006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10.5</v>
      </c>
      <c r="J20">
        <v>499800</v>
      </c>
      <c r="K20">
        <v>3.0450000000000004</v>
      </c>
      <c r="L20">
        <v>144942.00000000003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5.25</v>
      </c>
      <c r="J21">
        <v>68250</v>
      </c>
      <c r="K21">
        <v>1.5225000000000002</v>
      </c>
      <c r="L21">
        <v>19792.500000000004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1.75</v>
      </c>
      <c r="J22">
        <v>48125</v>
      </c>
      <c r="K22">
        <v>0.5075000000000001</v>
      </c>
      <c r="L22">
        <v>13956.250000000002</v>
      </c>
    </row>
    <row r="23">
      <c r="A23">
        <v>5</v>
      </c>
      <c r="B23" t="str">
        <v>BEKISTING BALOK PERALATAN (Material) — Perancah, ratio 14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3.5</v>
      </c>
      <c r="J24">
        <v>713167.1296296295</v>
      </c>
      <c r="K24">
        <v>1.0150000000000001</v>
      </c>
      <c r="L24">
        <v>206818.46759259258</v>
      </c>
    </row>
    <row r="25">
      <c r="A25">
        <v>6</v>
      </c>
      <c r="B25" t="str">
        <v>PEMBESIAN (Material) — ratio 239.62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D8</v>
      </c>
      <c r="D26" t="str">
        <v>U24/U40 polos</v>
      </c>
      <c r="E26">
        <v>50.44925793103448</v>
      </c>
      <c r="F26" t="str">
        <v>kg</v>
      </c>
      <c r="G26" t="str">
        <v>per m3 beton</v>
      </c>
      <c r="H26">
        <v>10300</v>
      </c>
      <c r="I26">
        <v>50.44925793103448</v>
      </c>
      <c r="J26">
        <v>519627.35668965516</v>
      </c>
      <c r="K26">
        <v>14.630284800000002</v>
      </c>
      <c r="L26">
        <v>150691.93344000002</v>
      </c>
    </row>
    <row r="27">
      <c r="A27" t="str">
        <v/>
      </c>
      <c r="B27" t="str">
        <v/>
      </c>
      <c r="C27" t="str">
        <v>Besi beton D16</v>
      </c>
      <c r="D27" t="str">
        <v>U24/U40 polos</v>
      </c>
      <c r="E27">
        <v>189.1711117241379</v>
      </c>
      <c r="F27" t="str">
        <v>kg</v>
      </c>
      <c r="G27" t="str">
        <v>per m3 beton</v>
      </c>
      <c r="H27">
        <v>10300</v>
      </c>
      <c r="I27">
        <v>189.1711117241379</v>
      </c>
      <c r="J27">
        <v>1948462.4507586202</v>
      </c>
      <c r="K27">
        <v>54.85962239999999</v>
      </c>
      <c r="L27">
        <v>565054.1107199999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11.981018482758628</v>
      </c>
      <c r="J28">
        <v>123404.49037241387</v>
      </c>
      <c r="K28">
        <v>3.474495360000003</v>
      </c>
      <c r="L28">
        <v>35787.30220800003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239.62036965517237</v>
      </c>
      <c r="J29">
        <v>23962.036965517236</v>
      </c>
      <c r="K29">
        <v>69.48990719999999</v>
      </c>
      <c r="L29">
        <v>6948.99072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5.03202776275862</v>
      </c>
      <c r="J30">
        <v>88060.48584827586</v>
      </c>
      <c r="K30">
        <v>1.4592880512</v>
      </c>
      <c r="L30">
        <v>25537.540896000002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9823691.450264113</v>
      </c>
      <c r="J32" t="str">
        <v/>
      </c>
      <c r="K32" t="str">
        <v/>
      </c>
      <c r="L32">
        <v>2848870.520576593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9823691.450264113</v>
      </c>
    </row>
    <row r="36">
      <c r="A36" t="str">
        <v>RAB (A) source unit cost</v>
      </c>
      <c r="B36">
        <v>9823691.450264111</v>
      </c>
    </row>
    <row r="37">
      <c r="A37" t="str">
        <v>Variance</v>
      </c>
      <c r="B37">
        <v>1.862645149230957e-9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2848870.520576593</v>
      </c>
    </row>
    <row r="40">
      <c r="A40" t="str">
        <v>RAB (A) source line total</v>
      </c>
      <c r="B40">
        <v>3247712.3934573154</v>
      </c>
    </row>
    <row r="41">
      <c r="A41" t="str">
        <v>Variance</v>
      </c>
      <c r="B41">
        <v>-398841.8728807224</v>
      </c>
      <c r="C41" t="str">
        <v>✓ OK</v>
      </c>
    </row>
  </sheetData>
  <ignoredErrors>
    <ignoredError numberStoredAsText="1" sqref="A1:L41"/>
  </ignoredErrors>
</worksheet>
</file>

<file path=xl/worksheets/sheet249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VII.A.2.12 - Balok B245-1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B245-1</v>
      </c>
    </row>
    <row r="5">
      <c r="A5" t="str">
        <v>Unit</v>
      </c>
      <c r="B5" t="str">
        <v>m3</v>
      </c>
    </row>
    <row r="6">
      <c r="A6" t="str">
        <v>Volume</v>
      </c>
      <c r="B6">
        <v>3.3141</v>
      </c>
    </row>
    <row r="7">
      <c r="A7" t="str">
        <v>Unit cost (Rp/m3)</v>
      </c>
      <c r="B7">
        <v>7953581.350282956</v>
      </c>
    </row>
    <row r="8">
      <c r="A8" t="str">
        <v>Line total at-cost (Rp)</v>
      </c>
      <c r="B8">
        <v>26358963.952972744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3.479805</v>
      </c>
      <c r="L12">
        <v>3534263.9482500004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3.3141</v>
      </c>
      <c r="L14">
        <v>248557.5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3.3141</v>
      </c>
      <c r="L16">
        <v>5799675</v>
      </c>
    </row>
    <row r="17">
      <c r="A17">
        <v>4</v>
      </c>
      <c r="B17" t="str">
        <v>BEKISTING BALOK (Material) — ratio 12.500528046830212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6.250264023415106</v>
      </c>
      <c r="J18">
        <v>1250052.8046830213</v>
      </c>
      <c r="K18">
        <v>20.714000000000002</v>
      </c>
      <c r="L18">
        <v>4142800.0000000005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28.126188105367977</v>
      </c>
      <c r="J19">
        <v>1338806.5538155157</v>
      </c>
      <c r="K19">
        <v>93.21300000000001</v>
      </c>
      <c r="L19">
        <v>4436938.800000001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9.375396035122659</v>
      </c>
      <c r="J20">
        <v>446268.8512718386</v>
      </c>
      <c r="K20">
        <v>31.071</v>
      </c>
      <c r="L20">
        <v>1478979.6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4.687698017561329</v>
      </c>
      <c r="J21">
        <v>60940.074228297286</v>
      </c>
      <c r="K21">
        <v>15.5355</v>
      </c>
      <c r="L21">
        <v>201961.50000000003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1.5625660058537765</v>
      </c>
      <c r="J22">
        <v>42970.565160978855</v>
      </c>
      <c r="K22">
        <v>5.1785000000000005</v>
      </c>
      <c r="L22">
        <v>142408.75000000003</v>
      </c>
    </row>
    <row r="23">
      <c r="A23">
        <v>5</v>
      </c>
      <c r="B23" t="str">
        <v>BEKISTING BALOK PERALATAN (Material) — Perancah, ratio 12.500528046830212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3.125132011707553</v>
      </c>
      <c r="J24">
        <v>636783.2647151845</v>
      </c>
      <c r="K24">
        <v>10.357000000000001</v>
      </c>
      <c r="L24">
        <v>2110363.4175925925</v>
      </c>
    </row>
    <row r="25">
      <c r="A25">
        <v>6</v>
      </c>
      <c r="B25" t="str">
        <v>PEMBESIAN (Material) — ratio 114.01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D8</v>
      </c>
      <c r="D26" t="str">
        <v>U24/U40 polos</v>
      </c>
      <c r="E26">
        <v>57.58973520412783</v>
      </c>
      <c r="F26" t="str">
        <v>kg</v>
      </c>
      <c r="G26" t="str">
        <v>per m3 beton</v>
      </c>
      <c r="H26">
        <v>10300</v>
      </c>
      <c r="I26">
        <v>57.58973520412783</v>
      </c>
      <c r="J26">
        <v>593174.2726025166</v>
      </c>
      <c r="K26">
        <v>190.85814144000003</v>
      </c>
      <c r="L26">
        <v>1965838.8568320002</v>
      </c>
    </row>
    <row r="27">
      <c r="A27" t="str">
        <v/>
      </c>
      <c r="B27" t="str">
        <v/>
      </c>
      <c r="C27" t="str">
        <v>Besi beton D13</v>
      </c>
      <c r="D27" t="str">
        <v>U24/U40 polos</v>
      </c>
      <c r="E27">
        <v>56.42105463926859</v>
      </c>
      <c r="F27" t="str">
        <v>kg</v>
      </c>
      <c r="G27" t="str">
        <v>per m3 beton</v>
      </c>
      <c r="H27">
        <v>10300</v>
      </c>
      <c r="I27">
        <v>56.42105463926859</v>
      </c>
      <c r="J27">
        <v>581136.8627844665</v>
      </c>
      <c r="K27">
        <v>186.98501718000003</v>
      </c>
      <c r="L27">
        <v>1925945.6769540003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5.700539492169827</v>
      </c>
      <c r="J28">
        <v>58715.55676934921</v>
      </c>
      <c r="K28">
        <v>18.89215793100002</v>
      </c>
      <c r="L28">
        <v>194589.2266893002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114.01078984339642</v>
      </c>
      <c r="J29">
        <v>11401.078984339641</v>
      </c>
      <c r="K29">
        <v>377.84315862000005</v>
      </c>
      <c r="L29">
        <v>37784.315862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2.394226586711325</v>
      </c>
      <c r="J30">
        <v>41898.96526744819</v>
      </c>
      <c r="K30">
        <v>7.934706331020002</v>
      </c>
      <c r="L30">
        <v>138857.36079285006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7953581.350282956</v>
      </c>
      <c r="J32" t="str">
        <v/>
      </c>
      <c r="K32" t="str">
        <v/>
      </c>
      <c r="L32">
        <v>26358963.952972744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7953581.350282956</v>
      </c>
    </row>
    <row r="36">
      <c r="A36" t="str">
        <v>RAB (A) source unit cost</v>
      </c>
      <c r="B36">
        <v>7953581.350282956</v>
      </c>
    </row>
    <row r="37">
      <c r="A37" t="str">
        <v>Variance</v>
      </c>
      <c r="B37">
        <v>0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26358963.952972744</v>
      </c>
    </row>
    <row r="40">
      <c r="A40" t="str">
        <v>RAB (A) source line total</v>
      </c>
      <c r="B40">
        <v>30049218.906388924</v>
      </c>
    </row>
    <row r="41">
      <c r="A41" t="str">
        <v>Variance</v>
      </c>
      <c r="B41">
        <v>-3690254.95341618</v>
      </c>
      <c r="C41" t="str">
        <v>✓ OK</v>
      </c>
    </row>
  </sheetData>
  <ignoredErrors>
    <ignoredError numberStoredAsText="1" sqref="A1:L41"/>
  </ignoredErrors>
</worksheet>
</file>

<file path=xl/worksheets/sheet250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VII.A.2.13 - Balok B245-2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B245-2</v>
      </c>
    </row>
    <row r="5">
      <c r="A5" t="str">
        <v>Unit</v>
      </c>
      <c r="B5" t="str">
        <v>m3</v>
      </c>
    </row>
    <row r="6">
      <c r="A6" t="str">
        <v>Volume</v>
      </c>
      <c r="B6">
        <v>1.4700000000000002</v>
      </c>
    </row>
    <row r="7">
      <c r="A7" t="str">
        <v>Unit cost (Rp/m3)</v>
      </c>
      <c r="B7">
        <v>9000918.32710747</v>
      </c>
    </row>
    <row r="8">
      <c r="A8" t="str">
        <v>Line total at-cost (Rp)</v>
      </c>
      <c r="B8">
        <v>13231349.940847984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1.5435000000000003</v>
      </c>
      <c r="L12">
        <v>1567655.7750000006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1.4700000000000002</v>
      </c>
      <c r="L14">
        <v>110250.00000000001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1.4700000000000002</v>
      </c>
      <c r="L16">
        <v>2572500.0000000005</v>
      </c>
    </row>
    <row r="17">
      <c r="A17">
        <v>4</v>
      </c>
      <c r="B17" t="str">
        <v>BEKISTING BALOK (Material) — ratio 13.33333333333333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6.666666666666665</v>
      </c>
      <c r="J18">
        <v>1333333.333333333</v>
      </c>
      <c r="K18">
        <v>9.799999999999999</v>
      </c>
      <c r="L18">
        <v>1959999.9999999998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29.999999999999993</v>
      </c>
      <c r="J19">
        <v>1427999.9999999998</v>
      </c>
      <c r="K19">
        <v>44.099999999999994</v>
      </c>
      <c r="L19">
        <v>2099160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9.999999999999998</v>
      </c>
      <c r="J20">
        <v>475999.99999999994</v>
      </c>
      <c r="K20">
        <v>14.7</v>
      </c>
      <c r="L20">
        <v>699720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4.999999999999999</v>
      </c>
      <c r="J21">
        <v>64999.999999999985</v>
      </c>
      <c r="K21">
        <v>7.35</v>
      </c>
      <c r="L21">
        <v>95549.99999999999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1.6666666666666663</v>
      </c>
      <c r="J22">
        <v>45833.33333333332</v>
      </c>
      <c r="K22">
        <v>2.4499999999999997</v>
      </c>
      <c r="L22">
        <v>67374.99999999999</v>
      </c>
    </row>
    <row r="23">
      <c r="A23">
        <v>5</v>
      </c>
      <c r="B23" t="str">
        <v>BEKISTING BALOK PERALATAN (Material) — Perancah, ratio 13.33333333333333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3.3333333333333326</v>
      </c>
      <c r="J24">
        <v>679206.7901234566</v>
      </c>
      <c r="K24">
        <v>4.8999999999999995</v>
      </c>
      <c r="L24">
        <v>998433.9814814813</v>
      </c>
    </row>
    <row r="25">
      <c r="A25">
        <v>6</v>
      </c>
      <c r="B25" t="str">
        <v>PEMBESIAN (Material) — ratio 184.54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D8</v>
      </c>
      <c r="D26" t="str">
        <v>U24/U40 polos</v>
      </c>
      <c r="E26">
        <v>73.72098612244898</v>
      </c>
      <c r="F26" t="str">
        <v>kg</v>
      </c>
      <c r="G26" t="str">
        <v>per m3 beton</v>
      </c>
      <c r="H26">
        <v>10300</v>
      </c>
      <c r="I26">
        <v>73.72098612244898</v>
      </c>
      <c r="J26">
        <v>759326.1570612245</v>
      </c>
      <c r="K26">
        <v>108.36984960000001</v>
      </c>
      <c r="L26">
        <v>1116209.4508800001</v>
      </c>
    </row>
    <row r="27">
      <c r="A27" t="str">
        <v/>
      </c>
      <c r="B27" t="str">
        <v/>
      </c>
      <c r="C27" t="str">
        <v>Besi beton D13</v>
      </c>
      <c r="D27" t="str">
        <v>U24/U40 polos</v>
      </c>
      <c r="E27">
        <v>110.8225432653061</v>
      </c>
      <c r="F27" t="str">
        <v>kg</v>
      </c>
      <c r="G27" t="str">
        <v>per m3 beton</v>
      </c>
      <c r="H27">
        <v>10300</v>
      </c>
      <c r="I27">
        <v>110.8225432653061</v>
      </c>
      <c r="J27">
        <v>1141472.1956326528</v>
      </c>
      <c r="K27">
        <v>162.90913859999998</v>
      </c>
      <c r="L27">
        <v>1677964.1275799999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9.227176469387762</v>
      </c>
      <c r="J28">
        <v>95039.91763469395</v>
      </c>
      <c r="K28">
        <v>13.563949410000014</v>
      </c>
      <c r="L28">
        <v>139708.67892300012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184.5435293877551</v>
      </c>
      <c r="J29">
        <v>18454.352938775508</v>
      </c>
      <c r="K29">
        <v>271.2789882</v>
      </c>
      <c r="L29">
        <v>27127.89882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3.875414117142857</v>
      </c>
      <c r="J30">
        <v>67819.74704999999</v>
      </c>
      <c r="K30">
        <v>5.696858752200001</v>
      </c>
      <c r="L30">
        <v>99695.0281635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9000918.32710747</v>
      </c>
      <c r="J32" t="str">
        <v/>
      </c>
      <c r="K32" t="str">
        <v/>
      </c>
      <c r="L32">
        <v>13231349.940847984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9000918.32710747</v>
      </c>
    </row>
    <row r="36">
      <c r="A36" t="str">
        <v>RAB (A) source unit cost</v>
      </c>
      <c r="B36">
        <v>9000918.327107469</v>
      </c>
    </row>
    <row r="37">
      <c r="A37" t="str">
        <v>Variance</v>
      </c>
      <c r="B37">
        <v>1.862645149230957e-9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13231349.940847984</v>
      </c>
    </row>
    <row r="40">
      <c r="A40" t="str">
        <v>RAB (A) source line total</v>
      </c>
      <c r="B40">
        <v>15083738.932566697</v>
      </c>
    </row>
    <row r="41">
      <c r="A41" t="str">
        <v>Variance</v>
      </c>
      <c r="B41">
        <v>-1852388.9917187132</v>
      </c>
      <c r="C41" t="str">
        <v>✓ OK</v>
      </c>
    </row>
  </sheetData>
  <ignoredErrors>
    <ignoredError numberStoredAsText="1" sqref="A1:L41"/>
  </ignoredErrors>
</worksheet>
</file>

<file path=xl/worksheets/sheet251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VII.A.2.14 - Balok B245-3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B245-3</v>
      </c>
    </row>
    <row r="5">
      <c r="A5" t="str">
        <v>Unit</v>
      </c>
      <c r="B5" t="str">
        <v>m3</v>
      </c>
    </row>
    <row r="6">
      <c r="A6" t="str">
        <v>Volume</v>
      </c>
      <c r="B6">
        <v>2.2236</v>
      </c>
    </row>
    <row r="7">
      <c r="A7" t="str">
        <v>Unit cost (Rp/m3)</v>
      </c>
      <c r="B7">
        <v>8975414.241960162</v>
      </c>
    </row>
    <row r="8">
      <c r="A8" t="str">
        <v>Line total at-cost (Rp)</v>
      </c>
      <c r="B8">
        <v>19957731.108422615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2.33478</v>
      </c>
      <c r="L12">
        <v>2371319.3070000005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2.2236</v>
      </c>
      <c r="L14">
        <v>166769.99999999997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2.2236</v>
      </c>
      <c r="L16">
        <v>3891299.9999999995</v>
      </c>
    </row>
    <row r="17">
      <c r="A17">
        <v>4</v>
      </c>
      <c r="B17" t="str">
        <v>BEKISTING BALOK (Material) — ratio 12.764885770822092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6.382442885411046</v>
      </c>
      <c r="J18">
        <v>1276488.5770822093</v>
      </c>
      <c r="K18">
        <v>14.192</v>
      </c>
      <c r="L18">
        <v>2838400.0000000005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28.720992984349706</v>
      </c>
      <c r="J19">
        <v>1367119.266055046</v>
      </c>
      <c r="K19">
        <v>63.864000000000004</v>
      </c>
      <c r="L19">
        <v>3039926.4000000004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9.57366432811657</v>
      </c>
      <c r="J20">
        <v>455706.4220183487</v>
      </c>
      <c r="K20">
        <v>21.288</v>
      </c>
      <c r="L20">
        <v>1013308.8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4.786832164058285</v>
      </c>
      <c r="J21">
        <v>62228.818132757704</v>
      </c>
      <c r="K21">
        <v>10.644</v>
      </c>
      <c r="L21">
        <v>138372.00000000003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1.5956107213527615</v>
      </c>
      <c r="J22">
        <v>43879.29483720094</v>
      </c>
      <c r="K22">
        <v>3.548</v>
      </c>
      <c r="L22">
        <v>97570</v>
      </c>
    </row>
    <row r="23">
      <c r="A23">
        <v>5</v>
      </c>
      <c r="B23" t="str">
        <v>BEKISTING BALOK PERALATAN (Material) — Perancah, ratio 12.764885770822092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3.191221442705523</v>
      </c>
      <c r="J24">
        <v>650249.7818019495</v>
      </c>
      <c r="K24">
        <v>7.096</v>
      </c>
      <c r="L24">
        <v>1445895.4148148147</v>
      </c>
    </row>
    <row r="25">
      <c r="A25">
        <v>6</v>
      </c>
      <c r="B25" t="str">
        <v>PEMBESIAN (Material) — ratio 197.50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D10</v>
      </c>
      <c r="D26" t="str">
        <v>U24/U40 polos</v>
      </c>
      <c r="E26">
        <v>103.68711548839721</v>
      </c>
      <c r="F26" t="str">
        <v>kg</v>
      </c>
      <c r="G26" t="str">
        <v>per m3 beton</v>
      </c>
      <c r="H26">
        <v>10300</v>
      </c>
      <c r="I26">
        <v>103.68711548839721</v>
      </c>
      <c r="J26">
        <v>1067977.2895304912</v>
      </c>
      <c r="K26">
        <v>230.55867</v>
      </c>
      <c r="L26">
        <v>2374754.301</v>
      </c>
    </row>
    <row r="27">
      <c r="A27" t="str">
        <v/>
      </c>
      <c r="B27" t="str">
        <v/>
      </c>
      <c r="C27" t="str">
        <v>Besi beton D16</v>
      </c>
      <c r="D27" t="str">
        <v>U24/U40 polos</v>
      </c>
      <c r="E27">
        <v>93.81428774959525</v>
      </c>
      <c r="F27" t="str">
        <v>kg</v>
      </c>
      <c r="G27" t="str">
        <v>per m3 beton</v>
      </c>
      <c r="H27">
        <v>10300</v>
      </c>
      <c r="I27">
        <v>93.81428774959525</v>
      </c>
      <c r="J27">
        <v>966287.1638208311</v>
      </c>
      <c r="K27">
        <v>208.60545023999998</v>
      </c>
      <c r="L27">
        <v>2148636.137472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9.875070161899632</v>
      </c>
      <c r="J28">
        <v>101713.22266756621</v>
      </c>
      <c r="K28">
        <v>21.95820601200002</v>
      </c>
      <c r="L28">
        <v>226169.5219236002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197.50140323799246</v>
      </c>
      <c r="J29">
        <v>19750.140323799245</v>
      </c>
      <c r="K29">
        <v>439.16412024</v>
      </c>
      <c r="L29">
        <v>43916.412024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4.147529467997842</v>
      </c>
      <c r="J30">
        <v>72581.76568996224</v>
      </c>
      <c r="K30">
        <v>9.22244652504</v>
      </c>
      <c r="L30">
        <v>161392.81418820002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8975414.241960162</v>
      </c>
      <c r="J32" t="str">
        <v/>
      </c>
      <c r="K32" t="str">
        <v/>
      </c>
      <c r="L32">
        <v>19957731.108422615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8975414.241960162</v>
      </c>
    </row>
    <row r="36">
      <c r="A36" t="str">
        <v>RAB (A) source unit cost</v>
      </c>
      <c r="B36">
        <v>8975414.241960162</v>
      </c>
    </row>
    <row r="37">
      <c r="A37" t="str">
        <v>Variance</v>
      </c>
      <c r="B37">
        <v>0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19957731.108422615</v>
      </c>
    </row>
    <row r="40">
      <c r="A40" t="str">
        <v>RAB (A) source line total</v>
      </c>
      <c r="B40">
        <v>22751813.46360178</v>
      </c>
    </row>
    <row r="41">
      <c r="A41" t="str">
        <v>Variance</v>
      </c>
      <c r="B41">
        <v>-2794082.3551791646</v>
      </c>
      <c r="C41" t="str">
        <v>✓ OK</v>
      </c>
    </row>
  </sheetData>
  <ignoredErrors>
    <ignoredError numberStoredAsText="1" sqref="A1:L41"/>
  </ignoredErrors>
</worksheet>
</file>

<file path=xl/worksheets/sheet252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VII.A.2.15 - Balok B245-4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B245-4</v>
      </c>
    </row>
    <row r="5">
      <c r="A5" t="str">
        <v>Unit</v>
      </c>
      <c r="B5" t="str">
        <v>m3</v>
      </c>
    </row>
    <row r="6">
      <c r="A6" t="str">
        <v>Volume</v>
      </c>
      <c r="B6">
        <v>0.45</v>
      </c>
    </row>
    <row r="7">
      <c r="A7" t="str">
        <v>Unit cost (Rp/m3)</v>
      </c>
      <c r="B7">
        <v>9764382.431190124</v>
      </c>
    </row>
    <row r="8">
      <c r="A8" t="str">
        <v>Line total at-cost (Rp)</v>
      </c>
      <c r="B8">
        <v>4393972.094035556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0.47250000000000003</v>
      </c>
      <c r="L12">
        <v>479894.6250000001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0.45</v>
      </c>
      <c r="L14">
        <v>33750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0.45</v>
      </c>
      <c r="L16">
        <v>787500</v>
      </c>
    </row>
    <row r="17">
      <c r="A17">
        <v>4</v>
      </c>
      <c r="B17" t="str">
        <v>BEKISTING BALOK (Material) — ratio 13.333333333333332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6.666666666666666</v>
      </c>
      <c r="J18">
        <v>1333333.3333333333</v>
      </c>
      <c r="K18">
        <v>3</v>
      </c>
      <c r="L18">
        <v>600000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29.999999999999996</v>
      </c>
      <c r="J19">
        <v>1427999.9999999998</v>
      </c>
      <c r="K19">
        <v>13.499999999999998</v>
      </c>
      <c r="L19">
        <v>642599.9999999999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10</v>
      </c>
      <c r="J20">
        <v>476000</v>
      </c>
      <c r="K20">
        <v>4.5</v>
      </c>
      <c r="L20">
        <v>214200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</v>
      </c>
      <c r="J21">
        <v>65000</v>
      </c>
      <c r="K21">
        <v>2.25</v>
      </c>
      <c r="L21">
        <v>29250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1.6666666666666665</v>
      </c>
      <c r="J22">
        <v>45833.33333333333</v>
      </c>
      <c r="K22">
        <v>0.75</v>
      </c>
      <c r="L22">
        <v>20625</v>
      </c>
    </row>
    <row r="23">
      <c r="A23">
        <v>5</v>
      </c>
      <c r="B23" t="str">
        <v>BEKISTING BALOK PERALATAN (Material) — Perancah, ratio 13.333333333333332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3.333333333333333</v>
      </c>
      <c r="J24">
        <v>679206.7901234566</v>
      </c>
      <c r="K24">
        <v>1.5</v>
      </c>
      <c r="L24">
        <v>305643.0555555555</v>
      </c>
    </row>
    <row r="25">
      <c r="A25">
        <v>6</v>
      </c>
      <c r="B25" t="str">
        <v>PEMBESIAN (Material) — ratio 252.21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D8</v>
      </c>
      <c r="D26" t="str">
        <v>U24/U40 polos</v>
      </c>
      <c r="E26">
        <v>78.22634240000001</v>
      </c>
      <c r="F26" t="str">
        <v>kg</v>
      </c>
      <c r="G26" t="str">
        <v>per m3 beton</v>
      </c>
      <c r="H26">
        <v>10300</v>
      </c>
      <c r="I26">
        <v>78.22634240000001</v>
      </c>
      <c r="J26">
        <v>805731.3267200001</v>
      </c>
      <c r="K26">
        <v>35.201854080000004</v>
      </c>
      <c r="L26">
        <v>362579.0970240001</v>
      </c>
    </row>
    <row r="27">
      <c r="A27" t="str">
        <v/>
      </c>
      <c r="B27" t="str">
        <v/>
      </c>
      <c r="C27" t="str">
        <v>Besi beton D16</v>
      </c>
      <c r="D27" t="str">
        <v>U24/U40 polos</v>
      </c>
      <c r="E27">
        <v>173.98517760000001</v>
      </c>
      <c r="F27" t="str">
        <v>kg</v>
      </c>
      <c r="G27" t="str">
        <v>per m3 beton</v>
      </c>
      <c r="H27">
        <v>10300</v>
      </c>
      <c r="I27">
        <v>173.98517760000001</v>
      </c>
      <c r="J27">
        <v>1792047.3292800002</v>
      </c>
      <c r="K27">
        <v>78.29332992</v>
      </c>
      <c r="L27">
        <v>806421.2981760001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12.610576000000012</v>
      </c>
      <c r="J28">
        <v>129888.93280000013</v>
      </c>
      <c r="K28">
        <v>5.674759200000006</v>
      </c>
      <c r="L28">
        <v>58450.01976000006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252.21152</v>
      </c>
      <c r="J29">
        <v>25221.152000000002</v>
      </c>
      <c r="K29">
        <v>113.49518400000001</v>
      </c>
      <c r="L29">
        <v>11349.5184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5.29644192</v>
      </c>
      <c r="J30">
        <v>92687.7336</v>
      </c>
      <c r="K30">
        <v>2.383398864</v>
      </c>
      <c r="L30">
        <v>41709.48012000001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9764382.431190124</v>
      </c>
      <c r="J32" t="str">
        <v/>
      </c>
      <c r="K32" t="str">
        <v/>
      </c>
      <c r="L32">
        <v>4393972.094035556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9764382.431190124</v>
      </c>
    </row>
    <row r="36">
      <c r="A36" t="str">
        <v>RAB (A) source unit cost</v>
      </c>
      <c r="B36">
        <v>9764382.431190124</v>
      </c>
    </row>
    <row r="37">
      <c r="A37" t="str">
        <v>Variance</v>
      </c>
      <c r="B37">
        <v>0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4393972.094035556</v>
      </c>
    </row>
    <row r="40">
      <c r="A40" t="str">
        <v>RAB (A) source line total</v>
      </c>
      <c r="B40">
        <v>5009128.187200533</v>
      </c>
    </row>
    <row r="41">
      <c r="A41" t="str">
        <v>Variance</v>
      </c>
      <c r="B41">
        <v>-615156.0931649776</v>
      </c>
      <c r="C41" t="str">
        <v>✓ OK</v>
      </c>
    </row>
  </sheetData>
  <ignoredErrors>
    <ignoredError numberStoredAsText="1" sqref="A1:L41"/>
  </ignoredErrors>
</worksheet>
</file>

<file path=xl/worksheets/sheet253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VII.A.2.16 - Balok B245-5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B245-5</v>
      </c>
    </row>
    <row r="5">
      <c r="A5" t="str">
        <v>Unit</v>
      </c>
      <c r="B5" t="str">
        <v>m3</v>
      </c>
    </row>
    <row r="6">
      <c r="A6" t="str">
        <v>Volume</v>
      </c>
      <c r="B6">
        <v>0.594</v>
      </c>
    </row>
    <row r="7">
      <c r="A7" t="str">
        <v>Unit cost (Rp/m3)</v>
      </c>
      <c r="B7">
        <v>10604610.384770429</v>
      </c>
    </row>
    <row r="8">
      <c r="A8" t="str">
        <v>Line total at-cost (Rp)</v>
      </c>
      <c r="B8">
        <v>6299138.568553634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0.6237</v>
      </c>
      <c r="L12">
        <v>633460.9050000001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0.594</v>
      </c>
      <c r="L14">
        <v>44550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0.594</v>
      </c>
      <c r="L16">
        <v>1039500</v>
      </c>
    </row>
    <row r="17">
      <c r="A17">
        <v>4</v>
      </c>
      <c r="B17" t="str">
        <v>BEKISTING BALOK (Material) — ratio 13.333333333333334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6.666666666666667</v>
      </c>
      <c r="J18">
        <v>1333333.3333333335</v>
      </c>
      <c r="K18">
        <v>3.96</v>
      </c>
      <c r="L18">
        <v>792000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30</v>
      </c>
      <c r="J19">
        <v>1428000</v>
      </c>
      <c r="K19">
        <v>17.82</v>
      </c>
      <c r="L19">
        <v>848232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10</v>
      </c>
      <c r="J20">
        <v>476000</v>
      </c>
      <c r="K20">
        <v>5.9399999999999995</v>
      </c>
      <c r="L20">
        <v>282744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</v>
      </c>
      <c r="J21">
        <v>65000</v>
      </c>
      <c r="K21">
        <v>2.9699999999999998</v>
      </c>
      <c r="L21">
        <v>38610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1.6666666666666667</v>
      </c>
      <c r="J22">
        <v>45833.333333333336</v>
      </c>
      <c r="K22">
        <v>0.99</v>
      </c>
      <c r="L22">
        <v>27225</v>
      </c>
    </row>
    <row r="23">
      <c r="A23">
        <v>5</v>
      </c>
      <c r="B23" t="str">
        <v>BEKISTING BALOK PERALATAN (Material) — Perancah, ratio 13.333333333333334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3.3333333333333335</v>
      </c>
      <c r="J24">
        <v>679206.7901234567</v>
      </c>
      <c r="K24">
        <v>1.98</v>
      </c>
      <c r="L24">
        <v>403448.83333333326</v>
      </c>
    </row>
    <row r="25">
      <c r="A25">
        <v>6</v>
      </c>
      <c r="B25" t="str">
        <v>PEMBESIAN (Material) — ratio 326.68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D10</v>
      </c>
      <c r="D26" t="str">
        <v>U24/U40 polos</v>
      </c>
      <c r="E26">
        <v>128.2714393939394</v>
      </c>
      <c r="F26" t="str">
        <v>kg</v>
      </c>
      <c r="G26" t="str">
        <v>per m3 beton</v>
      </c>
      <c r="H26">
        <v>10300</v>
      </c>
      <c r="I26">
        <v>128.2714393939394</v>
      </c>
      <c r="J26">
        <v>1321195.825757576</v>
      </c>
      <c r="K26">
        <v>76.193235</v>
      </c>
      <c r="L26">
        <v>784790.3205</v>
      </c>
    </row>
    <row r="27">
      <c r="A27" t="str">
        <v/>
      </c>
      <c r="B27" t="str">
        <v/>
      </c>
      <c r="C27" t="str">
        <v>Besi beton D16</v>
      </c>
      <c r="D27" t="str">
        <v>U24/U40 polos</v>
      </c>
      <c r="E27">
        <v>198.41186909090914</v>
      </c>
      <c r="F27" t="str">
        <v>kg</v>
      </c>
      <c r="G27" t="str">
        <v>per m3 beton</v>
      </c>
      <c r="H27">
        <v>10300</v>
      </c>
      <c r="I27">
        <v>198.41186909090914</v>
      </c>
      <c r="J27">
        <v>2043642.251636364</v>
      </c>
      <c r="K27">
        <v>117.85665024000002</v>
      </c>
      <c r="L27">
        <v>1213923.497472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16.334165424242443</v>
      </c>
      <c r="J28">
        <v>168241.90386969715</v>
      </c>
      <c r="K28">
        <v>9.70249426200001</v>
      </c>
      <c r="L28">
        <v>99935.6908986001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326.68330848484857</v>
      </c>
      <c r="J29">
        <v>32668.330848484857</v>
      </c>
      <c r="K29">
        <v>194.04988524000004</v>
      </c>
      <c r="L29">
        <v>19404.988524000004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6.860349478181821</v>
      </c>
      <c r="J30">
        <v>120056.11586818186</v>
      </c>
      <c r="K30">
        <v>4.075047590040001</v>
      </c>
      <c r="L30">
        <v>71313.33282570002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10604610.384770429</v>
      </c>
      <c r="J32" t="str">
        <v/>
      </c>
      <c r="K32" t="str">
        <v/>
      </c>
      <c r="L32">
        <v>6299138.568553634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10604610.384770429</v>
      </c>
    </row>
    <row r="36">
      <c r="A36" t="str">
        <v>RAB (A) source unit cost</v>
      </c>
      <c r="B36">
        <v>10604610.384770429</v>
      </c>
    </row>
    <row r="37">
      <c r="A37" t="str">
        <v>Variance</v>
      </c>
      <c r="B37">
        <v>0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6299138.568553634</v>
      </c>
    </row>
    <row r="40">
      <c r="A40" t="str">
        <v>RAB (A) source line total</v>
      </c>
      <c r="B40">
        <v>7181017.968151142</v>
      </c>
    </row>
    <row r="41">
      <c r="A41" t="str">
        <v>Variance</v>
      </c>
      <c r="B41">
        <v>-881879.3995975079</v>
      </c>
      <c r="C41" t="str">
        <v>✓ OK</v>
      </c>
    </row>
  </sheetData>
  <ignoredErrors>
    <ignoredError numberStoredAsText="1" sqref="A1:L41"/>
  </ignoredErrors>
</worksheet>
</file>

<file path=xl/worksheets/sheet254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VII.A.2.17 - Balok B25-1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B25-1</v>
      </c>
    </row>
    <row r="5">
      <c r="A5" t="str">
        <v>Unit</v>
      </c>
      <c r="B5" t="str">
        <v>m3</v>
      </c>
    </row>
    <row r="6">
      <c r="A6" t="str">
        <v>Volume</v>
      </c>
      <c r="B6">
        <v>0.43575</v>
      </c>
    </row>
    <row r="7">
      <c r="A7" t="str">
        <v>Unit cost (Rp/m3)</v>
      </c>
      <c r="B7">
        <v>9211939.905396672</v>
      </c>
    </row>
    <row r="8">
      <c r="A8" t="str">
        <v>Line total at-cost (Rp)</v>
      </c>
      <c r="B8">
        <v>4014102.8137766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0.45753750000000004</v>
      </c>
      <c r="L12">
        <v>464697.96187500015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0.43575</v>
      </c>
      <c r="L14">
        <v>32681.250000000004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0.43575</v>
      </c>
      <c r="L16">
        <v>762562.5</v>
      </c>
    </row>
    <row r="17">
      <c r="A17">
        <v>4</v>
      </c>
      <c r="B17" t="str">
        <v>BEKISTING BALOK (Material) — ratio 12.857142857142856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6.428571428571428</v>
      </c>
      <c r="J18">
        <v>1285714.2857142857</v>
      </c>
      <c r="K18">
        <v>2.80125</v>
      </c>
      <c r="L18">
        <v>560250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28.928571428571427</v>
      </c>
      <c r="J19">
        <v>1377000</v>
      </c>
      <c r="K19">
        <v>12.605625</v>
      </c>
      <c r="L19">
        <v>600027.75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9.642857142857142</v>
      </c>
      <c r="J20">
        <v>459000</v>
      </c>
      <c r="K20">
        <v>4.201875</v>
      </c>
      <c r="L20">
        <v>200009.25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4.821428571428571</v>
      </c>
      <c r="J21">
        <v>62678.57142857143</v>
      </c>
      <c r="K21">
        <v>2.1009375</v>
      </c>
      <c r="L21">
        <v>27312.1875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1.607142857142857</v>
      </c>
      <c r="J22">
        <v>44196.428571428565</v>
      </c>
      <c r="K22">
        <v>0.7003125</v>
      </c>
      <c r="L22">
        <v>19258.59375</v>
      </c>
    </row>
    <row r="23">
      <c r="A23">
        <v>5</v>
      </c>
      <c r="B23" t="str">
        <v>BEKISTING BALOK PERALATAN (Material) — Perancah, ratio 12.857142857142856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3.214285714285714</v>
      </c>
      <c r="J24">
        <v>654949.4047619046</v>
      </c>
      <c r="K24">
        <v>1.400625</v>
      </c>
      <c r="L24">
        <v>285394.20312499994</v>
      </c>
    </row>
    <row r="25">
      <c r="A25">
        <v>6</v>
      </c>
      <c r="B25" t="str">
        <v>PEMBESIAN (Material) — ratio 216.00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D10</v>
      </c>
      <c r="D26" t="str">
        <v>U24/U40 polos</v>
      </c>
      <c r="E26">
        <v>114.68385542168673</v>
      </c>
      <c r="F26" t="str">
        <v>kg</v>
      </c>
      <c r="G26" t="str">
        <v>per m3 beton</v>
      </c>
      <c r="H26">
        <v>10300</v>
      </c>
      <c r="I26">
        <v>114.68385542168673</v>
      </c>
      <c r="J26">
        <v>1181243.7108433733</v>
      </c>
      <c r="K26">
        <v>49.97349</v>
      </c>
      <c r="L26">
        <v>514726.9469999999</v>
      </c>
    </row>
    <row r="27">
      <c r="A27" t="str">
        <v/>
      </c>
      <c r="B27" t="str">
        <v/>
      </c>
      <c r="C27" t="str">
        <v>Besi beton D16</v>
      </c>
      <c r="D27" t="str">
        <v>U24/U40 polos</v>
      </c>
      <c r="E27">
        <v>101.31159903614456</v>
      </c>
      <c r="F27" t="str">
        <v>kg</v>
      </c>
      <c r="G27" t="str">
        <v>per m3 beton</v>
      </c>
      <c r="H27">
        <v>10300</v>
      </c>
      <c r="I27">
        <v>101.31159903614456</v>
      </c>
      <c r="J27">
        <v>1043509.4700722889</v>
      </c>
      <c r="K27">
        <v>44.146529279999996</v>
      </c>
      <c r="L27">
        <v>454709.2515839999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10.799772722891573</v>
      </c>
      <c r="J28">
        <v>111237.6590457832</v>
      </c>
      <c r="K28">
        <v>4.706000964000003</v>
      </c>
      <c r="L28">
        <v>48471.80992920003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215.99545445783127</v>
      </c>
      <c r="J29">
        <v>21599.545445783126</v>
      </c>
      <c r="K29">
        <v>94.12001927999998</v>
      </c>
      <c r="L29">
        <v>9412.001927999998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4.535904543614457</v>
      </c>
      <c r="J30">
        <v>79378.32951325299</v>
      </c>
      <c r="K30">
        <v>1.9765204048799998</v>
      </c>
      <c r="L30">
        <v>34589.10708539999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9211939.905396672</v>
      </c>
      <c r="J32" t="str">
        <v/>
      </c>
      <c r="K32" t="str">
        <v/>
      </c>
      <c r="L32">
        <v>4014102.8137766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9211939.905396672</v>
      </c>
    </row>
    <row r="36">
      <c r="A36" t="str">
        <v>RAB (A) source unit cost</v>
      </c>
      <c r="B36">
        <v>9211939.905396672</v>
      </c>
    </row>
    <row r="37">
      <c r="A37" t="str">
        <v>Variance</v>
      </c>
      <c r="B37">
        <v>0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4014102.8137766</v>
      </c>
    </row>
    <row r="40">
      <c r="A40" t="str">
        <v>RAB (A) source line total</v>
      </c>
      <c r="B40">
        <v>4576077.207705324</v>
      </c>
    </row>
    <row r="41">
      <c r="A41" t="str">
        <v>Variance</v>
      </c>
      <c r="B41">
        <v>-561974.3939287234</v>
      </c>
      <c r="C41" t="str">
        <v>✓ OK</v>
      </c>
    </row>
  </sheetData>
  <ignoredErrors>
    <ignoredError numberStoredAsText="1" sqref="A1:L41"/>
  </ignoredErrors>
</worksheet>
</file>

<file path=xl/worksheets/sheet255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VII.A.2.18 - Balok B25-4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B25-4</v>
      </c>
    </row>
    <row r="5">
      <c r="A5" t="str">
        <v>Unit</v>
      </c>
      <c r="B5" t="str">
        <v>m3</v>
      </c>
    </row>
    <row r="6">
      <c r="A6" t="str">
        <v>Volume</v>
      </c>
      <c r="B6">
        <v>0.45955</v>
      </c>
    </row>
    <row r="7">
      <c r="A7" t="str">
        <v>Unit cost (Rp/m3)</v>
      </c>
      <c r="B7">
        <v>10570275.419477388</v>
      </c>
    </row>
    <row r="8">
      <c r="A8" t="str">
        <v>Line total at-cost (Rp)</v>
      </c>
      <c r="B8">
        <v>4857570.069020834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0.48252750000000005</v>
      </c>
      <c r="L12">
        <v>490079.0553750001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0.45955</v>
      </c>
      <c r="L14">
        <v>34466.25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0.45955</v>
      </c>
      <c r="L16">
        <v>804212.5</v>
      </c>
    </row>
    <row r="17">
      <c r="A17">
        <v>4</v>
      </c>
      <c r="B17" t="str">
        <v>BEKISTING BALOK (Material) — ratio 12.857142857142858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6.428571428571429</v>
      </c>
      <c r="J18">
        <v>1285714.2857142857</v>
      </c>
      <c r="K18">
        <v>2.95425</v>
      </c>
      <c r="L18">
        <v>590850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28.92857142857143</v>
      </c>
      <c r="J19">
        <v>1377000</v>
      </c>
      <c r="K19">
        <v>13.294125000000001</v>
      </c>
      <c r="L19">
        <v>632800.35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9.642857142857142</v>
      </c>
      <c r="J20">
        <v>459000</v>
      </c>
      <c r="K20">
        <v>4.431375</v>
      </c>
      <c r="L20">
        <v>210933.45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4.821428571428571</v>
      </c>
      <c r="J21">
        <v>62678.57142857143</v>
      </c>
      <c r="K21">
        <v>2.2156875</v>
      </c>
      <c r="L21">
        <v>28803.9375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1.6071428571428572</v>
      </c>
      <c r="J22">
        <v>44196.42857142857</v>
      </c>
      <c r="K22">
        <v>0.7385625</v>
      </c>
      <c r="L22">
        <v>20310.46875</v>
      </c>
    </row>
    <row r="23">
      <c r="A23">
        <v>5</v>
      </c>
      <c r="B23" t="str">
        <v>BEKISTING BALOK PERALATAN (Material) — Perancah, ratio 12.857142857142858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3.2142857142857144</v>
      </c>
      <c r="J24">
        <v>654949.4047619047</v>
      </c>
      <c r="K24">
        <v>1.477125</v>
      </c>
      <c r="L24">
        <v>300981.99895833334</v>
      </c>
    </row>
    <row r="25">
      <c r="A25">
        <v>6</v>
      </c>
      <c r="B25" t="str">
        <v>PEMBESIAN (Material) — ratio 336.39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D10</v>
      </c>
      <c r="D26" t="str">
        <v>U24/U40 polos</v>
      </c>
      <c r="E26">
        <v>107.36262648242848</v>
      </c>
      <c r="F26" t="str">
        <v>kg</v>
      </c>
      <c r="G26" t="str">
        <v>per m3 beton</v>
      </c>
      <c r="H26">
        <v>10300</v>
      </c>
      <c r="I26">
        <v>107.36262648242848</v>
      </c>
      <c r="J26">
        <v>1105835.0527690134</v>
      </c>
      <c r="K26">
        <v>49.33849500000001</v>
      </c>
      <c r="L26">
        <v>508186.49850000016</v>
      </c>
    </row>
    <row r="27">
      <c r="A27" t="str">
        <v/>
      </c>
      <c r="B27" t="str">
        <v/>
      </c>
      <c r="C27" t="str">
        <v>Besi beton D16</v>
      </c>
      <c r="D27" t="str">
        <v>U24/U40 polos</v>
      </c>
      <c r="E27">
        <v>229.0259601784354</v>
      </c>
      <c r="F27" t="str">
        <v>kg</v>
      </c>
      <c r="G27" t="str">
        <v>per m3 beton</v>
      </c>
      <c r="H27">
        <v>10300</v>
      </c>
      <c r="I27">
        <v>229.0259601784354</v>
      </c>
      <c r="J27">
        <v>2358967.389837885</v>
      </c>
      <c r="K27">
        <v>105.24888</v>
      </c>
      <c r="L27">
        <v>1084063.464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16.81942933304321</v>
      </c>
      <c r="J28">
        <v>173240.12213034506</v>
      </c>
      <c r="K28">
        <v>7.729368750000008</v>
      </c>
      <c r="L28">
        <v>79612.49812500007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336.3885866608639</v>
      </c>
      <c r="J29">
        <v>33638.85866608639</v>
      </c>
      <c r="K29">
        <v>154.587375</v>
      </c>
      <c r="L29">
        <v>15458.7375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7.064160319878142</v>
      </c>
      <c r="J30">
        <v>123622.80559786748</v>
      </c>
      <c r="K30">
        <v>3.246334875</v>
      </c>
      <c r="L30">
        <v>56810.8603125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10570275.419477388</v>
      </c>
      <c r="J32" t="str">
        <v/>
      </c>
      <c r="K32" t="str">
        <v/>
      </c>
      <c r="L32">
        <v>4857570.069020834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10570275.419477388</v>
      </c>
    </row>
    <row r="36">
      <c r="A36" t="str">
        <v>RAB (A) source unit cost</v>
      </c>
      <c r="B36">
        <v>10570275.419477388</v>
      </c>
    </row>
    <row r="37">
      <c r="A37" t="str">
        <v>Variance</v>
      </c>
      <c r="B37">
        <v>0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4857570.069020834</v>
      </c>
    </row>
    <row r="40">
      <c r="A40" t="str">
        <v>RAB (A) source line total</v>
      </c>
      <c r="B40">
        <v>5537629.8786837505</v>
      </c>
    </row>
    <row r="41">
      <c r="A41" t="str">
        <v>Variance</v>
      </c>
      <c r="B41">
        <v>-680059.8096629167</v>
      </c>
      <c r="C41" t="str">
        <v>✓ OK</v>
      </c>
    </row>
  </sheetData>
  <ignoredErrors>
    <ignoredError numberStoredAsText="1" sqref="A1:L41"/>
  </ignoredErrors>
</worksheet>
</file>

<file path=xl/worksheets/sheet256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VII.A.2.19 - Balok B25-6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B25-6</v>
      </c>
    </row>
    <row r="5">
      <c r="A5" t="str">
        <v>Unit</v>
      </c>
      <c r="B5" t="str">
        <v>m3</v>
      </c>
    </row>
    <row r="6">
      <c r="A6" t="str">
        <v>Volume</v>
      </c>
      <c r="B6">
        <v>1.11</v>
      </c>
    </row>
    <row r="7">
      <c r="A7" t="str">
        <v>Unit cost (Rp/m3)</v>
      </c>
      <c r="B7">
        <v>8608214.208824083</v>
      </c>
    </row>
    <row r="8">
      <c r="A8" t="str">
        <v>Line total at-cost (Rp)</v>
      </c>
      <c r="B8">
        <v>9555117.771794733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1.1655000000000002</v>
      </c>
      <c r="L12">
        <v>1183740.0750000004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1.11</v>
      </c>
      <c r="L14">
        <v>83250.00000000001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1.11</v>
      </c>
      <c r="L16">
        <v>1942500.0000000002</v>
      </c>
    </row>
    <row r="17">
      <c r="A17">
        <v>4</v>
      </c>
      <c r="B17" t="str">
        <v>BEKISTING BALOK (Material) — ratio 12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</v>
      </c>
      <c r="J18">
        <v>1200000</v>
      </c>
      <c r="K18">
        <v>6.66</v>
      </c>
      <c r="L18">
        <v>1332000.0000000002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27</v>
      </c>
      <c r="J19">
        <v>1285200</v>
      </c>
      <c r="K19">
        <v>29.970000000000002</v>
      </c>
      <c r="L19">
        <v>1426572.0000000002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9</v>
      </c>
      <c r="J20">
        <v>428400</v>
      </c>
      <c r="K20">
        <v>9.99</v>
      </c>
      <c r="L20">
        <v>475524.00000000006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4.5</v>
      </c>
      <c r="J21">
        <v>58500</v>
      </c>
      <c r="K21">
        <v>4.995</v>
      </c>
      <c r="L21">
        <v>64935.00000000001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1.5</v>
      </c>
      <c r="J22">
        <v>41250</v>
      </c>
      <c r="K22">
        <v>1.665</v>
      </c>
      <c r="L22">
        <v>45787.50000000001</v>
      </c>
    </row>
    <row r="23">
      <c r="A23">
        <v>5</v>
      </c>
      <c r="B23" t="str">
        <v>BEKISTING BALOK PERALATAN (Material) — Perancah, ratio 12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</v>
      </c>
      <c r="J24">
        <v>611286.111111111</v>
      </c>
      <c r="K24">
        <v>3.33</v>
      </c>
      <c r="L24">
        <v>678527.5833333333</v>
      </c>
    </row>
    <row r="25">
      <c r="A25">
        <v>6</v>
      </c>
      <c r="B25" t="str">
        <v>PEMBESIAN (Material) — ratio 185.43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D10</v>
      </c>
      <c r="D26" t="str">
        <v>U24/U40 polos</v>
      </c>
      <c r="E26">
        <v>71.34737837837837</v>
      </c>
      <c r="F26" t="str">
        <v>kg</v>
      </c>
      <c r="G26" t="str">
        <v>per m3 beton</v>
      </c>
      <c r="H26">
        <v>10300</v>
      </c>
      <c r="I26">
        <v>71.34737837837837</v>
      </c>
      <c r="J26">
        <v>734877.9972972971</v>
      </c>
      <c r="K26">
        <v>79.19559</v>
      </c>
      <c r="L26">
        <v>815714.5769999998</v>
      </c>
    </row>
    <row r="27">
      <c r="A27" t="str">
        <v/>
      </c>
      <c r="B27" t="str">
        <v/>
      </c>
      <c r="C27" t="str">
        <v>Besi beton D16</v>
      </c>
      <c r="D27" t="str">
        <v>U24/U40 polos</v>
      </c>
      <c r="E27">
        <v>114.08542443243243</v>
      </c>
      <c r="F27" t="str">
        <v>kg</v>
      </c>
      <c r="G27" t="str">
        <v>per m3 beton</v>
      </c>
      <c r="H27">
        <v>10300</v>
      </c>
      <c r="I27">
        <v>114.08542443243243</v>
      </c>
      <c r="J27">
        <v>1175079.8716540541</v>
      </c>
      <c r="K27">
        <v>126.63482112000001</v>
      </c>
      <c r="L27">
        <v>1304338.6575360002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9.27164014054055</v>
      </c>
      <c r="J28">
        <v>95497.89344756767</v>
      </c>
      <c r="K28">
        <v>10.29152055600001</v>
      </c>
      <c r="L28">
        <v>106002.66172680011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185.4328028108108</v>
      </c>
      <c r="J29">
        <v>18543.280281081083</v>
      </c>
      <c r="K29">
        <v>205.83041112</v>
      </c>
      <c r="L29">
        <v>20583.041112000003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3.8940888590270273</v>
      </c>
      <c r="J30">
        <v>68146.55503297297</v>
      </c>
      <c r="K30">
        <v>4.322438633520001</v>
      </c>
      <c r="L30">
        <v>75642.67608660001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8608214.208824083</v>
      </c>
      <c r="J32" t="str">
        <v/>
      </c>
      <c r="K32" t="str">
        <v/>
      </c>
      <c r="L32">
        <v>9555117.771794733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8608214.208824083</v>
      </c>
    </row>
    <row r="36">
      <c r="A36" t="str">
        <v>RAB (A) source unit cost</v>
      </c>
      <c r="B36">
        <v>8608214.208824083</v>
      </c>
    </row>
    <row r="37">
      <c r="A37" t="str">
        <v>Variance</v>
      </c>
      <c r="B37">
        <v>0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9555117.771794733</v>
      </c>
    </row>
    <row r="40">
      <c r="A40" t="str">
        <v>RAB (A) source line total</v>
      </c>
      <c r="B40">
        <v>10892834.259845996</v>
      </c>
    </row>
    <row r="41">
      <c r="A41" t="str">
        <v>Variance</v>
      </c>
      <c r="B41">
        <v>-1337716.4880512636</v>
      </c>
      <c r="C41" t="str">
        <v>✓ OK</v>
      </c>
    </row>
  </sheetData>
  <ignoredErrors>
    <ignoredError numberStoredAsText="1" sqref="A1:L41"/>
  </ignoredErrors>
</worksheet>
</file>

<file path=xl/worksheets/sheet257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VII.A.2.20 - Balok B1745-1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B1745-1</v>
      </c>
    </row>
    <row r="5">
      <c r="A5" t="str">
        <v>Unit</v>
      </c>
      <c r="B5" t="str">
        <v>m3</v>
      </c>
    </row>
    <row r="6">
      <c r="A6" t="str">
        <v>Volume</v>
      </c>
      <c r="B6">
        <v>0.36465000000000003</v>
      </c>
    </row>
    <row r="7">
      <c r="A7" t="str">
        <v>Unit cost (Rp/m3)</v>
      </c>
      <c r="B7">
        <v>9256657.401983393</v>
      </c>
    </row>
    <row r="8">
      <c r="A8" t="str">
        <v>Line total at-cost (Rp)</v>
      </c>
      <c r="B8">
        <v>3375440.1216332447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0.38288250000000007</v>
      </c>
      <c r="L12">
        <v>388874.6111250001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0.36465000000000003</v>
      </c>
      <c r="L14">
        <v>27348.750000000004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0.36465000000000003</v>
      </c>
      <c r="L16">
        <v>638137.5</v>
      </c>
    </row>
    <row r="17">
      <c r="A17">
        <v>4</v>
      </c>
      <c r="B17" t="str">
        <v>BEKISTING BALOK (Material) — ratio 14.422048539695599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7.211024269847799</v>
      </c>
      <c r="J18">
        <v>1442204.8539695598</v>
      </c>
      <c r="K18">
        <v>2.6295</v>
      </c>
      <c r="L18">
        <v>525900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32.449609214315096</v>
      </c>
      <c r="J19">
        <v>1544601.3986013986</v>
      </c>
      <c r="K19">
        <v>11.83275</v>
      </c>
      <c r="L19">
        <v>563238.9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10.8165364047717</v>
      </c>
      <c r="J20">
        <v>514867.1328671329</v>
      </c>
      <c r="K20">
        <v>3.9442500000000007</v>
      </c>
      <c r="L20">
        <v>187746.30000000002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5.40826820238585</v>
      </c>
      <c r="J21">
        <v>70307.48663101604</v>
      </c>
      <c r="K21">
        <v>1.9721250000000003</v>
      </c>
      <c r="L21">
        <v>25637.625000000004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1.8027560674619498</v>
      </c>
      <c r="J22">
        <v>49575.79185520362</v>
      </c>
      <c r="K22">
        <v>0.657375</v>
      </c>
      <c r="L22">
        <v>18077.8125</v>
      </c>
    </row>
    <row r="23">
      <c r="A23">
        <v>5</v>
      </c>
      <c r="B23" t="str">
        <v>BEKISTING BALOK PERALATAN (Material) — Perancah, ratio 14.422048539695599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3.6055121349238997</v>
      </c>
      <c r="J24">
        <v>734666.4971738501</v>
      </c>
      <c r="K24">
        <v>1.31475</v>
      </c>
      <c r="L24">
        <v>267896.1381944445</v>
      </c>
    </row>
    <row r="25">
      <c r="A25">
        <v>6</v>
      </c>
      <c r="B25" t="str">
        <v>PEMBESIAN (Material) — ratio 178.06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D8</v>
      </c>
      <c r="D26" t="str">
        <v>U24/U40 polos</v>
      </c>
      <c r="E26">
        <v>105.78730859728506</v>
      </c>
      <c r="F26" t="str">
        <v>kg</v>
      </c>
      <c r="G26" t="str">
        <v>per m3 beton</v>
      </c>
      <c r="H26">
        <v>10300</v>
      </c>
      <c r="I26">
        <v>105.78730859728506</v>
      </c>
      <c r="J26">
        <v>1089609.278552036</v>
      </c>
      <c r="K26">
        <v>38.57534208</v>
      </c>
      <c r="L26">
        <v>397326.02342399996</v>
      </c>
    </row>
    <row r="27">
      <c r="A27" t="str">
        <v/>
      </c>
      <c r="B27" t="str">
        <v/>
      </c>
      <c r="C27" t="str">
        <v>Besi beton D13</v>
      </c>
      <c r="D27" t="str">
        <v>U24/U40 polos</v>
      </c>
      <c r="E27">
        <v>72.27621818181817</v>
      </c>
      <c r="F27" t="str">
        <v>kg</v>
      </c>
      <c r="G27" t="str">
        <v>per m3 beton</v>
      </c>
      <c r="H27">
        <v>10300</v>
      </c>
      <c r="I27">
        <v>72.27621818181817</v>
      </c>
      <c r="J27">
        <v>744445.0472727271</v>
      </c>
      <c r="K27">
        <v>26.355522959999995</v>
      </c>
      <c r="L27">
        <v>271461.886488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8.90317633895517</v>
      </c>
      <c r="J28">
        <v>91702.71629123825</v>
      </c>
      <c r="K28">
        <v>3.246543252000003</v>
      </c>
      <c r="L28">
        <v>33439.39549560003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178.06352677910323</v>
      </c>
      <c r="J29">
        <v>17806.352677910323</v>
      </c>
      <c r="K29">
        <v>64.93086504</v>
      </c>
      <c r="L29">
        <v>6493.086504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3.739334062361168</v>
      </c>
      <c r="J30">
        <v>65438.34609132044</v>
      </c>
      <c r="K30">
        <v>1.3635481658400002</v>
      </c>
      <c r="L30">
        <v>23862.092902200002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9256657.401983393</v>
      </c>
      <c r="J32" t="str">
        <v/>
      </c>
      <c r="K32" t="str">
        <v/>
      </c>
      <c r="L32">
        <v>3375440.1216332447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9256657.401983393</v>
      </c>
    </row>
    <row r="36">
      <c r="A36" t="str">
        <v>RAB (A) source unit cost</v>
      </c>
      <c r="B36">
        <v>9256657.401983391</v>
      </c>
    </row>
    <row r="37">
      <c r="A37" t="str">
        <v>Variance</v>
      </c>
      <c r="B37">
        <v>1.862645149230957e-9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3375440.1216332447</v>
      </c>
    </row>
    <row r="40">
      <c r="A40" t="str">
        <v>RAB (A) source line total</v>
      </c>
      <c r="B40">
        <v>3848001.738661898</v>
      </c>
    </row>
    <row r="41">
      <c r="A41" t="str">
        <v>Variance</v>
      </c>
      <c r="B41">
        <v>-472561.61702865316</v>
      </c>
      <c r="C41" t="str">
        <v>✓ OK</v>
      </c>
    </row>
  </sheetData>
  <ignoredErrors>
    <ignoredError numberStoredAsText="1" sqref="A1:L41"/>
  </ignoredErrors>
</worksheet>
</file>

<file path=xl/worksheets/sheet258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VII.A.2.21 - Balok Potongan A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Potongan A</v>
      </c>
    </row>
    <row r="5">
      <c r="A5" t="str">
        <v>Unit</v>
      </c>
      <c r="B5" t="str">
        <v>m3</v>
      </c>
    </row>
    <row r="6">
      <c r="A6" t="str">
        <v>Volume</v>
      </c>
      <c r="B6">
        <v>0.1168125</v>
      </c>
    </row>
    <row r="7">
      <c r="A7" t="str">
        <v>Unit cost (Rp/m3)</v>
      </c>
      <c r="B7">
        <v>10932100.670974363</v>
      </c>
    </row>
    <row r="8">
      <c r="A8" t="str">
        <v>Line total at-cost (Rp)</v>
      </c>
      <c r="B8">
        <v>1277006.0096281928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0.122653125</v>
      </c>
      <c r="L12">
        <v>124572.64640625003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0.1168125</v>
      </c>
      <c r="L14">
        <v>8760.9375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0.1168125</v>
      </c>
      <c r="L16">
        <v>204421.875</v>
      </c>
    </row>
    <row r="17">
      <c r="A17">
        <v>4</v>
      </c>
      <c r="B17" t="str">
        <v>BEKISTING BALOK (Material) — ratio 10.857142857142858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5.428571428571429</v>
      </c>
      <c r="J18">
        <v>1085714.2857142857</v>
      </c>
      <c r="K18">
        <v>0.634125</v>
      </c>
      <c r="L18">
        <v>126825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24.42857142857143</v>
      </c>
      <c r="J19">
        <v>1162800</v>
      </c>
      <c r="K19">
        <v>2.8535625000000002</v>
      </c>
      <c r="L19">
        <v>135829.575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8.142857142857142</v>
      </c>
      <c r="J20">
        <v>387600</v>
      </c>
      <c r="K20">
        <v>0.9511875</v>
      </c>
      <c r="L20">
        <v>45276.525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4.071428571428571</v>
      </c>
      <c r="J21">
        <v>52928.57142857143</v>
      </c>
      <c r="K21">
        <v>0.47559375</v>
      </c>
      <c r="L21">
        <v>6182.71875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1.3571428571428572</v>
      </c>
      <c r="J22">
        <v>37321.42857142857</v>
      </c>
      <c r="K22">
        <v>0.15853125</v>
      </c>
      <c r="L22">
        <v>4359.609375</v>
      </c>
    </row>
    <row r="23">
      <c r="A23">
        <v>5</v>
      </c>
      <c r="B23" t="str">
        <v>BEKISTING BALOK PERALATAN (Material) — Perancah, ratio 10.857142857142858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2.7142857142857144</v>
      </c>
      <c r="J24">
        <v>553068.3862433862</v>
      </c>
      <c r="K24">
        <v>0.3170625</v>
      </c>
      <c r="L24">
        <v>64605.30086805555</v>
      </c>
    </row>
    <row r="25">
      <c r="A25">
        <v>6</v>
      </c>
      <c r="B25" t="str">
        <v>PEMBESIAN (Material) — ratio 422.00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D10</v>
      </c>
      <c r="D26" t="str">
        <v>U24/U40 polos</v>
      </c>
      <c r="E26">
        <v>114.8952808988764</v>
      </c>
      <c r="F26" t="str">
        <v>kg</v>
      </c>
      <c r="G26" t="str">
        <v>per m3 beton</v>
      </c>
      <c r="H26">
        <v>10300</v>
      </c>
      <c r="I26">
        <v>114.8952808988764</v>
      </c>
      <c r="J26">
        <v>1183421.3932584268</v>
      </c>
      <c r="K26">
        <v>13.421204999999999</v>
      </c>
      <c r="L26">
        <v>138238.4115</v>
      </c>
    </row>
    <row r="27">
      <c r="A27" t="str">
        <v/>
      </c>
      <c r="B27" t="str">
        <v/>
      </c>
      <c r="C27" t="str">
        <v>Besi beton D19</v>
      </c>
      <c r="D27" t="str">
        <v>U24/U40 polos</v>
      </c>
      <c r="E27">
        <v>307.1065359871589</v>
      </c>
      <c r="F27" t="str">
        <v>kg</v>
      </c>
      <c r="G27" t="str">
        <v>per m3 beton</v>
      </c>
      <c r="H27">
        <v>10300</v>
      </c>
      <c r="I27">
        <v>307.1065359871589</v>
      </c>
      <c r="J27">
        <v>3163197.3206677367</v>
      </c>
      <c r="K27">
        <v>35.873882234999996</v>
      </c>
      <c r="L27">
        <v>369500.9870205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21.100090844301782</v>
      </c>
      <c r="J28">
        <v>217330.93569630836</v>
      </c>
      <c r="K28">
        <v>2.464754361750002</v>
      </c>
      <c r="L28">
        <v>25386.96992602502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422.0018168860353</v>
      </c>
      <c r="J29">
        <v>42200.18168860353</v>
      </c>
      <c r="K29">
        <v>49.295087235</v>
      </c>
      <c r="L29">
        <v>4929.5087235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8.862038154606742</v>
      </c>
      <c r="J30">
        <v>155085.667705618</v>
      </c>
      <c r="K30">
        <v>1.035196831935</v>
      </c>
      <c r="L30">
        <v>18115.944558862502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10932100.670974363</v>
      </c>
      <c r="J32" t="str">
        <v/>
      </c>
      <c r="K32" t="str">
        <v/>
      </c>
      <c r="L32">
        <v>1277006.0096281928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10932100.670974363</v>
      </c>
    </row>
    <row r="36">
      <c r="A36" t="str">
        <v>RAB (A) source unit cost</v>
      </c>
      <c r="B36">
        <v>10932100.670974365</v>
      </c>
    </row>
    <row r="37">
      <c r="A37" t="str">
        <v>Variance</v>
      </c>
      <c r="B37">
        <v>-1.862645149230957e-9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1277006.0096281928</v>
      </c>
    </row>
    <row r="40">
      <c r="A40" t="str">
        <v>RAB (A) source line total</v>
      </c>
      <c r="B40">
        <v>1455786.8509761398</v>
      </c>
    </row>
    <row r="41">
      <c r="A41" t="str">
        <v>Variance</v>
      </c>
      <c r="B41">
        <v>-178780.84134794702</v>
      </c>
      <c r="C41" t="str">
        <v>✓ OK</v>
      </c>
    </row>
  </sheetData>
  <ignoredErrors>
    <ignoredError numberStoredAsText="1" sqref="A1:L41"/>
  </ignoredErrors>
</worksheet>
</file>

<file path=xl/worksheets/sheet259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VII.A.2.22 - Balok Potongan B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Potongan B</v>
      </c>
    </row>
    <row r="5">
      <c r="A5" t="str">
        <v>Unit</v>
      </c>
      <c r="B5" t="str">
        <v>m3</v>
      </c>
    </row>
    <row r="6">
      <c r="A6" t="str">
        <v>Volume</v>
      </c>
      <c r="B6">
        <v>0.09345</v>
      </c>
    </row>
    <row r="7">
      <c r="A7" t="str">
        <v>Unit cost (Rp/m3)</v>
      </c>
      <c r="B7">
        <v>12368957.360046014</v>
      </c>
    </row>
    <row r="8">
      <c r="A8" t="str">
        <v>Line total at-cost (Rp)</v>
      </c>
      <c r="B8">
        <v>1155879.0652963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0.09812250000000002</v>
      </c>
      <c r="L12">
        <v>99658.11712500003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0.09345</v>
      </c>
      <c r="L14">
        <v>7008.75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0.09345</v>
      </c>
      <c r="L16">
        <v>163537.5</v>
      </c>
    </row>
    <row r="17">
      <c r="A17">
        <v>4</v>
      </c>
      <c r="B17" t="str">
        <v>BEKISTING BALOK (Material) — ratio 12.857142857142856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6.428571428571428</v>
      </c>
      <c r="J18">
        <v>1285714.2857142857</v>
      </c>
      <c r="K18">
        <v>0.60075</v>
      </c>
      <c r="L18">
        <v>120150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28.928571428571427</v>
      </c>
      <c r="J19">
        <v>1377000</v>
      </c>
      <c r="K19">
        <v>2.703375</v>
      </c>
      <c r="L19">
        <v>128680.65000000001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9.642857142857142</v>
      </c>
      <c r="J20">
        <v>459000</v>
      </c>
      <c r="K20">
        <v>0.901125</v>
      </c>
      <c r="L20">
        <v>42893.55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4.821428571428571</v>
      </c>
      <c r="J21">
        <v>62678.57142857143</v>
      </c>
      <c r="K21">
        <v>0.4505625</v>
      </c>
      <c r="L21">
        <v>5857.3125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1.607142857142857</v>
      </c>
      <c r="J22">
        <v>44196.428571428565</v>
      </c>
      <c r="K22">
        <v>0.1501875</v>
      </c>
      <c r="L22">
        <v>4130.15625</v>
      </c>
    </row>
    <row r="23">
      <c r="A23">
        <v>5</v>
      </c>
      <c r="B23" t="str">
        <v>BEKISTING BALOK PERALATAN (Material) — Perancah, ratio 12.857142857142856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3.214285714285714</v>
      </c>
      <c r="J24">
        <v>654949.4047619046</v>
      </c>
      <c r="K24">
        <v>0.300375</v>
      </c>
      <c r="L24">
        <v>61205.02187499999</v>
      </c>
    </row>
    <row r="25">
      <c r="A25">
        <v>6</v>
      </c>
      <c r="B25" t="str">
        <v>PEMBESIAN (Material) — ratio 495.81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D10</v>
      </c>
      <c r="D26" t="str">
        <v>U24/U40 polos</v>
      </c>
      <c r="E26">
        <v>234.52728731942216</v>
      </c>
      <c r="F26" t="str">
        <v>kg</v>
      </c>
      <c r="G26" t="str">
        <v>per m3 beton</v>
      </c>
      <c r="H26">
        <v>10300</v>
      </c>
      <c r="I26">
        <v>234.52728731942216</v>
      </c>
      <c r="J26">
        <v>2415631.059390048</v>
      </c>
      <c r="K26">
        <v>21.916575</v>
      </c>
      <c r="L26">
        <v>225740.7225</v>
      </c>
    </row>
    <row r="27">
      <c r="A27" t="str">
        <v/>
      </c>
      <c r="B27" t="str">
        <v/>
      </c>
      <c r="C27" t="str">
        <v>Besi beton D16</v>
      </c>
      <c r="D27" t="str">
        <v>U24/U40 polos</v>
      </c>
      <c r="E27">
        <v>261.2835852327447</v>
      </c>
      <c r="F27" t="str">
        <v>kg</v>
      </c>
      <c r="G27" t="str">
        <v>per m3 beton</v>
      </c>
      <c r="H27">
        <v>10300</v>
      </c>
      <c r="I27">
        <v>261.2835852327447</v>
      </c>
      <c r="J27">
        <v>2691220.927897271</v>
      </c>
      <c r="K27">
        <v>24.416951039999994</v>
      </c>
      <c r="L27">
        <v>251494.59571199998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24.790543627608365</v>
      </c>
      <c r="J28">
        <v>255342.59936436615</v>
      </c>
      <c r="K28">
        <v>2.3166763020000016</v>
      </c>
      <c r="L28">
        <v>23861.765910600017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495.81087255216687</v>
      </c>
      <c r="J29">
        <v>49581.087255216684</v>
      </c>
      <c r="K29">
        <v>46.333526039999995</v>
      </c>
      <c r="L29">
        <v>4633.352604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10.412028323595505</v>
      </c>
      <c r="J30">
        <v>182210.49566292134</v>
      </c>
      <c r="K30">
        <v>0.9730040468400001</v>
      </c>
      <c r="L30">
        <v>17027.5708197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12368957.360046014</v>
      </c>
      <c r="J32" t="str">
        <v/>
      </c>
      <c r="K32" t="str">
        <v/>
      </c>
      <c r="L32">
        <v>1155879.0652963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12368957.360046014</v>
      </c>
    </row>
    <row r="36">
      <c r="A36" t="str">
        <v>RAB (A) source unit cost</v>
      </c>
      <c r="B36">
        <v>12368957.360046012</v>
      </c>
    </row>
    <row r="37">
      <c r="A37" t="str">
        <v>Variance</v>
      </c>
      <c r="B37">
        <v>1.862645149230957e-9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1155879.0652963</v>
      </c>
    </row>
    <row r="40">
      <c r="A40" t="str">
        <v>RAB (A) source line total</v>
      </c>
      <c r="B40">
        <v>1317702.1344377818</v>
      </c>
    </row>
    <row r="41">
      <c r="A41" t="str">
        <v>Variance</v>
      </c>
      <c r="B41">
        <v>-161823.06914148177</v>
      </c>
      <c r="C41" t="str">
        <v>✓ OK</v>
      </c>
    </row>
  </sheetData>
  <ignoredErrors>
    <ignoredError numberStoredAsText="1" sqref="A1:L41"/>
  </ignoredErrors>
</worksheet>
</file>

<file path=xl/worksheets/sheet260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VII.A.2.23 - Balok Potongan F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Potongan F</v>
      </c>
    </row>
    <row r="5">
      <c r="A5" t="str">
        <v>Unit</v>
      </c>
      <c r="B5" t="str">
        <v>m3</v>
      </c>
    </row>
    <row r="6">
      <c r="A6" t="str">
        <v>Volume</v>
      </c>
      <c r="B6">
        <v>0.243</v>
      </c>
    </row>
    <row r="7">
      <c r="A7" t="str">
        <v>Unit cost (Rp/m3)</v>
      </c>
      <c r="B7">
        <v>9497422.356683537</v>
      </c>
    </row>
    <row r="8">
      <c r="A8" t="str">
        <v>Line total at-cost (Rp)</v>
      </c>
      <c r="B8">
        <v>2307873.6326740994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0.25515</v>
      </c>
      <c r="L12">
        <v>259143.09750000006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0.243</v>
      </c>
      <c r="L14">
        <v>18225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0.243</v>
      </c>
      <c r="L16">
        <v>425250</v>
      </c>
    </row>
    <row r="17">
      <c r="A17">
        <v>4</v>
      </c>
      <c r="B17" t="str">
        <v>BEKISTING BALOK (Material) — ratio 12.222222222222223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6.111111111111112</v>
      </c>
      <c r="J18">
        <v>1222222.2222222222</v>
      </c>
      <c r="K18">
        <v>1.485</v>
      </c>
      <c r="L18">
        <v>297000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27.500000000000004</v>
      </c>
      <c r="J19">
        <v>1309000.0000000002</v>
      </c>
      <c r="K19">
        <v>6.682500000000001</v>
      </c>
      <c r="L19">
        <v>318087.00000000006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9.166666666666668</v>
      </c>
      <c r="J20">
        <v>436333.3333333334</v>
      </c>
      <c r="K20">
        <v>2.2275</v>
      </c>
      <c r="L20">
        <v>106029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4.583333333333334</v>
      </c>
      <c r="J21">
        <v>59583.33333333334</v>
      </c>
      <c r="K21">
        <v>1.11375</v>
      </c>
      <c r="L21">
        <v>14478.750000000002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1.527777777777778</v>
      </c>
      <c r="J22">
        <v>42013.88888888889</v>
      </c>
      <c r="K22">
        <v>0.37125</v>
      </c>
      <c r="L22">
        <v>10209.375</v>
      </c>
    </row>
    <row r="23">
      <c r="A23">
        <v>5</v>
      </c>
      <c r="B23" t="str">
        <v>BEKISTING BALOK PERALATAN (Material) — Perancah, ratio 12.222222222222223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3.055555555555556</v>
      </c>
      <c r="J24">
        <v>622606.2242798354</v>
      </c>
      <c r="K24">
        <v>0.7425</v>
      </c>
      <c r="L24">
        <v>151293.3125</v>
      </c>
    </row>
    <row r="25">
      <c r="A25">
        <v>6</v>
      </c>
      <c r="B25" t="str">
        <v>PEMBESIAN (Material) — ratio 258.30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D10</v>
      </c>
      <c r="D26" t="str">
        <v>U24/U40 polos</v>
      </c>
      <c r="E26">
        <v>98.05648148148148</v>
      </c>
      <c r="F26" t="str">
        <v>kg</v>
      </c>
      <c r="G26" t="str">
        <v>per m3 beton</v>
      </c>
      <c r="H26">
        <v>10300</v>
      </c>
      <c r="I26">
        <v>98.05648148148148</v>
      </c>
      <c r="J26">
        <v>1009981.7592592593</v>
      </c>
      <c r="K26">
        <v>23.827725</v>
      </c>
      <c r="L26">
        <v>245425.5675</v>
      </c>
    </row>
    <row r="27">
      <c r="A27" t="str">
        <v/>
      </c>
      <c r="B27" t="str">
        <v/>
      </c>
      <c r="C27" t="str">
        <v>Besi beton D16</v>
      </c>
      <c r="D27" t="str">
        <v>U24/U40 polos</v>
      </c>
      <c r="E27">
        <v>160.24007111111115</v>
      </c>
      <c r="F27" t="str">
        <v>kg</v>
      </c>
      <c r="G27" t="str">
        <v>per m3 beton</v>
      </c>
      <c r="H27">
        <v>10300</v>
      </c>
      <c r="I27">
        <v>160.24007111111115</v>
      </c>
      <c r="J27">
        <v>1650472.732444445</v>
      </c>
      <c r="K27">
        <v>38.938337280000006</v>
      </c>
      <c r="L27">
        <v>401064.8739840001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12.914827629629645</v>
      </c>
      <c r="J28">
        <v>133022.72458518535</v>
      </c>
      <c r="K28">
        <v>3.1383031140000037</v>
      </c>
      <c r="L28">
        <v>32324.52207420004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258.29655259259266</v>
      </c>
      <c r="J29">
        <v>25829.655259259267</v>
      </c>
      <c r="K29">
        <v>62.766062280000014</v>
      </c>
      <c r="L29">
        <v>6276.6062280000015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5.424227604444447</v>
      </c>
      <c r="J30">
        <v>94923.98307777781</v>
      </c>
      <c r="K30">
        <v>1.3180873078800004</v>
      </c>
      <c r="L30">
        <v>23066.527887900007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9497422.356683537</v>
      </c>
      <c r="J32" t="str">
        <v/>
      </c>
      <c r="K32" t="str">
        <v/>
      </c>
      <c r="L32">
        <v>2307873.6326740994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9497422.356683537</v>
      </c>
    </row>
    <row r="36">
      <c r="A36" t="str">
        <v>RAB (A) source unit cost</v>
      </c>
      <c r="B36">
        <v>9497422.35668354</v>
      </c>
    </row>
    <row r="37">
      <c r="A37" t="str">
        <v>Variance</v>
      </c>
      <c r="B37">
        <v>-1.862645149230957e-9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2307873.6326740994</v>
      </c>
    </row>
    <row r="40">
      <c r="A40" t="str">
        <v>RAB (A) source line total</v>
      </c>
      <c r="B40">
        <v>2630975.9412484737</v>
      </c>
    </row>
    <row r="41">
      <c r="A41" t="str">
        <v>Variance</v>
      </c>
      <c r="B41">
        <v>-323102.3085743743</v>
      </c>
      <c r="C41" t="str">
        <v>✓ OK</v>
      </c>
    </row>
  </sheetData>
  <ignoredErrors>
    <ignoredError numberStoredAsText="1" sqref="A1:L41"/>
  </ignoredErrors>
</worksheet>
</file>

<file path=xl/worksheets/sheet261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BREAKDOWN — (A) VII.A.2.24 - Balok Potongan L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Potongan L</v>
      </c>
    </row>
    <row r="5">
      <c r="A5" t="str">
        <v>Unit</v>
      </c>
      <c r="B5" t="str">
        <v>m3</v>
      </c>
    </row>
    <row r="6">
      <c r="A6" t="str">
        <v>Volume</v>
      </c>
      <c r="B6">
        <v>0.0759</v>
      </c>
    </row>
    <row r="7">
      <c r="A7" t="str">
        <v>Unit cost (Rp/m3)</v>
      </c>
      <c r="B7">
        <v>8841117.038066309</v>
      </c>
    </row>
    <row r="8">
      <c r="A8" t="str">
        <v>Line total at-cost (Rp)</v>
      </c>
      <c r="B8">
        <v>671040.7831892328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1015650.0000000001</v>
      </c>
      <c r="I12">
        <v>1.05</v>
      </c>
      <c r="J12">
        <v>1066432.5000000002</v>
      </c>
      <c r="K12">
        <v>0.079695</v>
      </c>
      <c r="L12">
        <v>80942.22675000002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0.0759</v>
      </c>
      <c r="L14">
        <v>5692.5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0.0759</v>
      </c>
      <c r="L16">
        <v>132825</v>
      </c>
    </row>
    <row r="17">
      <c r="A17">
        <v>4</v>
      </c>
      <c r="B17" t="str">
        <v>BEKISTING BALOK (Material) — ratio 13.333333333333334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6.666666666666667</v>
      </c>
      <c r="J18">
        <v>1333333.3333333335</v>
      </c>
      <c r="K18">
        <v>0.506</v>
      </c>
      <c r="L18">
        <v>101200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30</v>
      </c>
      <c r="J19">
        <v>1428000</v>
      </c>
      <c r="K19">
        <v>2.2769999999999997</v>
      </c>
      <c r="L19">
        <v>108385.2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10</v>
      </c>
      <c r="J20">
        <v>476000</v>
      </c>
      <c r="K20">
        <v>0.7589999999999999</v>
      </c>
      <c r="L20">
        <v>36128.399999999994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</v>
      </c>
      <c r="J21">
        <v>65000</v>
      </c>
      <c r="K21">
        <v>0.37949999999999995</v>
      </c>
      <c r="L21">
        <v>4933.5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1.6666666666666667</v>
      </c>
      <c r="J22">
        <v>45833.333333333336</v>
      </c>
      <c r="K22">
        <v>0.1265</v>
      </c>
      <c r="L22">
        <v>3478.75</v>
      </c>
    </row>
    <row r="23">
      <c r="A23">
        <v>5</v>
      </c>
      <c r="B23" t="str">
        <v>BEKISTING BALOK PERALATAN (Material) — Perancah, ratio 13.333333333333334 m²/m³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Perancah Bekisting Balok</v>
      </c>
      <c r="D24" t="str">
        <v/>
      </c>
      <c r="E24">
        <v>1</v>
      </c>
      <c r="F24" t="str">
        <v>m2</v>
      </c>
      <c r="G24" t="str">
        <v>per m² form (cycle 4.00)</v>
      </c>
      <c r="H24">
        <v>203762.03703703702</v>
      </c>
      <c r="I24">
        <v>3.3333333333333335</v>
      </c>
      <c r="J24">
        <v>679206.7901234567</v>
      </c>
      <c r="K24">
        <v>0.253</v>
      </c>
      <c r="L24">
        <v>51551.79537037036</v>
      </c>
    </row>
    <row r="25">
      <c r="A25">
        <v>6</v>
      </c>
      <c r="B25" t="str">
        <v>PEMBESIAN (Material) — ratio 170.38 kg/m³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>Besi beton D8</v>
      </c>
      <c r="D26" t="str">
        <v>U24/U40 polos</v>
      </c>
      <c r="E26">
        <v>62.14190039525691</v>
      </c>
      <c r="F26" t="str">
        <v>kg</v>
      </c>
      <c r="G26" t="str">
        <v>per m3 beton</v>
      </c>
      <c r="H26">
        <v>10300</v>
      </c>
      <c r="I26">
        <v>62.14190039525691</v>
      </c>
      <c r="J26">
        <v>640061.5740711462</v>
      </c>
      <c r="K26">
        <v>4.716570239999999</v>
      </c>
      <c r="L26">
        <v>48580.673471999995</v>
      </c>
    </row>
    <row r="27">
      <c r="A27" t="str">
        <v/>
      </c>
      <c r="B27" t="str">
        <v/>
      </c>
      <c r="C27" t="str">
        <v>Besi beton D13</v>
      </c>
      <c r="D27" t="str">
        <v>U24/U40 polos</v>
      </c>
      <c r="E27">
        <v>108.23798715415019</v>
      </c>
      <c r="F27" t="str">
        <v>kg</v>
      </c>
      <c r="G27" t="str">
        <v>per m3 beton</v>
      </c>
      <c r="H27">
        <v>10300</v>
      </c>
      <c r="I27">
        <v>108.23798715415019</v>
      </c>
      <c r="J27">
        <v>1114851.267687747</v>
      </c>
      <c r="K27">
        <v>8.215263225</v>
      </c>
      <c r="L27">
        <v>84617.2112175</v>
      </c>
    </row>
    <row r="28">
      <c r="A28" t="str">
        <v/>
      </c>
      <c r="B28" t="str">
        <v/>
      </c>
      <c r="C28" t="str">
        <v>Besi beton — waste (5%)</v>
      </c>
      <c r="D28" t="str">
        <v>applied via AHS coeff 1.05</v>
      </c>
      <c r="E28">
        <v>0.050000000000000044</v>
      </c>
      <c r="F28" t="str">
        <v>kg</v>
      </c>
      <c r="G28" t="str">
        <v>per m3 beton</v>
      </c>
      <c r="H28">
        <v>10300</v>
      </c>
      <c r="I28">
        <v>8.518994377470362</v>
      </c>
      <c r="J28">
        <v>87745.64208794473</v>
      </c>
      <c r="K28">
        <v>0.6465916732500004</v>
      </c>
      <c r="L28">
        <v>6659.894234475004</v>
      </c>
    </row>
    <row r="29">
      <c r="A29" t="str">
        <v/>
      </c>
      <c r="B29" t="str">
        <v/>
      </c>
      <c r="C29" t="str">
        <v>Beton decking</v>
      </c>
      <c r="D29" t="str">
        <v>spacer</v>
      </c>
      <c r="E29">
        <v>1</v>
      </c>
      <c r="F29" t="str">
        <v>kg-eq</v>
      </c>
      <c r="G29" t="str">
        <v>per kg besi</v>
      </c>
      <c r="H29">
        <v>100</v>
      </c>
      <c r="I29">
        <v>170.3798875494071</v>
      </c>
      <c r="J29">
        <v>17037.98875494071</v>
      </c>
      <c r="K29">
        <v>12.931833464999999</v>
      </c>
      <c r="L29">
        <v>1293.1833464999997</v>
      </c>
    </row>
    <row r="30">
      <c r="A30" t="str">
        <v/>
      </c>
      <c r="B30" t="str">
        <v/>
      </c>
      <c r="C30" t="str">
        <v>Bendrat (kawat ikat)</v>
      </c>
      <c r="D30" t="str">
        <v>2.1% of besi (raw)</v>
      </c>
      <c r="E30">
        <v>0.021</v>
      </c>
      <c r="F30" t="str">
        <v>kg</v>
      </c>
      <c r="G30" t="str">
        <v>per kg besi (raw)</v>
      </c>
      <c r="H30">
        <v>17500</v>
      </c>
      <c r="I30">
        <v>3.5779776385375492</v>
      </c>
      <c r="J30">
        <v>62614.608674407114</v>
      </c>
      <c r="K30">
        <v>0.271568502765</v>
      </c>
      <c r="L30">
        <v>4752.4487983875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SUBTOTAL — At-cost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8841117.038066309</v>
      </c>
      <c r="J32" t="str">
        <v/>
      </c>
      <c r="K32" t="str">
        <v/>
      </c>
      <c r="L32">
        <v>671040.7831892328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RECONCILIATION</v>
      </c>
    </row>
    <row r="35">
      <c r="A35" t="str">
        <v>Computed unit cost</v>
      </c>
      <c r="B35">
        <v>8841117.038066309</v>
      </c>
    </row>
    <row r="36">
      <c r="A36" t="str">
        <v>RAB (A) source unit cost</v>
      </c>
      <c r="B36">
        <v>8841117.038066309</v>
      </c>
    </row>
    <row r="37">
      <c r="A37" t="str">
        <v>Variance</v>
      </c>
      <c r="B37">
        <v>0</v>
      </c>
      <c r="C37" t="str">
        <v>✓ OK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Computed line total</v>
      </c>
      <c r="B39">
        <v>671040.7831892328</v>
      </c>
    </row>
    <row r="40">
      <c r="A40" t="str">
        <v>RAB (A) source line total</v>
      </c>
      <c r="B40">
        <v>764986.4928357253</v>
      </c>
    </row>
    <row r="41">
      <c r="A41" t="str">
        <v>Variance</v>
      </c>
      <c r="B41">
        <v>-93945.7096464925</v>
      </c>
      <c r="C41" t="str">
        <v>✓ OK</v>
      </c>
    </row>
  </sheetData>
  <ignoredErrors>
    <ignoredError numberStoredAsText="1" sqref="A1:L41"/>
  </ignoredErrors>
</worksheet>
</file>

<file path=xl/worksheets/sheet262.xml><?xml version="1.0" encoding="utf-8"?>
<worksheet xmlns="http://schemas.openxmlformats.org/spreadsheetml/2006/main" xmlns:r="http://schemas.openxmlformats.org/officeDocument/2006/relationships">
  <dimension ref="A1:L25"/>
  <sheetViews>
    <sheetView workbookViewId="0" rightToLeft="0"/>
  </sheetViews>
  <sheetData>
    <row r="1">
      <c r="A1" t="str">
        <v>BREAKDOWN — (A) IX.A.1 Pasangan dinding bata merah tebal 20 cm; termasuk kolom praktis, balok praktis, dan balok latei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Pasangan dinding bata merah tebal 20 cm; termasuk kolom praktis, balok praktis, dan balok latei</v>
      </c>
    </row>
    <row r="5">
      <c r="A5" t="str">
        <v>Unit</v>
      </c>
      <c r="B5" t="str">
        <v>m2</v>
      </c>
    </row>
    <row r="6">
      <c r="A6" t="str">
        <v>Volume</v>
      </c>
      <c r="B6">
        <v>284.57599999999996</v>
      </c>
    </row>
    <row r="7">
      <c r="A7" t="str">
        <v>Unit cost (Rp/m2)</v>
      </c>
      <c r="B7">
        <v>279294.15178</v>
      </c>
    </row>
    <row r="8">
      <c r="A8" t="str">
        <v>Line total at-cost (Rp)</v>
      </c>
      <c r="B8">
        <v>79480412.53694527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m2</v>
      </c>
      <c r="J10" t="str">
        <v>Cost per m2</v>
      </c>
      <c r="K10" t="str">
        <v>Total qty (× vol)</v>
      </c>
      <c r="L10" t="str">
        <v>Total cost (Rp)</v>
      </c>
    </row>
    <row r="11">
      <c r="A11">
        <v>1</v>
      </c>
      <c r="B11" t="str">
        <v>MATERIAL (Material) — direct-ref lump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1 m2 Pasangan Dinding Bata Merah 3/4 Batu (finish 20 cm), spesi 1:3</v>
      </c>
      <c r="D12" t="str">
        <v>direct-reference lump from Analisa!F385 (block: 1 m2 Pasangan Dinding Bata Merah 3/4 Batu (finish 20 cm), spesi 1:3)</v>
      </c>
      <c r="E12">
        <v>1</v>
      </c>
      <c r="F12" t="str">
        <v>m2</v>
      </c>
      <c r="G12" t="str">
        <v>per m2</v>
      </c>
      <c r="H12">
        <v>167294.15178000001</v>
      </c>
      <c r="I12">
        <v>1</v>
      </c>
      <c r="J12">
        <v>167294.15178000001</v>
      </c>
      <c r="K12">
        <v>284.57599999999996</v>
      </c>
      <c r="L12">
        <v>47607900.536945276</v>
      </c>
    </row>
    <row r="13">
      <c r="A13">
        <v>2</v>
      </c>
      <c r="B13" t="str">
        <v>UPAH (Labor) — direct-ref lump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1 m2 Pasangan Dinding Bata Merah 3/4 Batu (finish 20 cm), spesi 1:3</v>
      </c>
      <c r="D14" t="str">
        <v>direct-reference lump from Analisa!G385 (block: 1 m2 Pasangan Dinding Bata Merah 3/4 Batu (finish 20 cm), spesi 1:3)</v>
      </c>
      <c r="E14">
        <v>1</v>
      </c>
      <c r="F14" t="str">
        <v>m2</v>
      </c>
      <c r="G14" t="str">
        <v>per m2</v>
      </c>
      <c r="H14">
        <v>112000</v>
      </c>
      <c r="I14">
        <v>1</v>
      </c>
      <c r="J14">
        <v>112000</v>
      </c>
      <c r="K14">
        <v>284.57599999999996</v>
      </c>
      <c r="L14">
        <v>31872511.999999996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>SUBTOTAL — At-cost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>
        <v>279294.15178</v>
      </c>
      <c r="J16" t="str">
        <v/>
      </c>
      <c r="K16" t="str">
        <v/>
      </c>
      <c r="L16">
        <v>79480412.53694527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>RECONCILIATION</v>
      </c>
    </row>
    <row r="19">
      <c r="A19" t="str">
        <v>Computed unit cost</v>
      </c>
      <c r="B19">
        <v>279294.15178</v>
      </c>
    </row>
    <row r="20">
      <c r="A20" t="str">
        <v>RAB (A) source unit cost</v>
      </c>
      <c r="B20">
        <v>279294.15178</v>
      </c>
    </row>
    <row r="21">
      <c r="A21" t="str">
        <v>Variance</v>
      </c>
      <c r="B21">
        <v>0</v>
      </c>
      <c r="C21" t="str">
        <v>✓ OK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>Computed line total</v>
      </c>
      <c r="B23">
        <v>79480412.53694527</v>
      </c>
    </row>
    <row r="24">
      <c r="A24" t="str">
        <v>RAB (A) source line total</v>
      </c>
      <c r="B24">
        <v>92197278.54285651</v>
      </c>
    </row>
    <row r="25">
      <c r="A25" t="str">
        <v>Variance</v>
      </c>
      <c r="B25">
        <v>-12716866.005911246</v>
      </c>
      <c r="C25" t="str">
        <v>✓ OK</v>
      </c>
    </row>
  </sheetData>
  <ignoredErrors>
    <ignoredError numberStoredAsText="1" sqref="A1:L25"/>
  </ignoredErrors>
</worksheet>
</file>

<file path=xl/worksheets/sheet263.xml><?xml version="1.0" encoding="utf-8"?>
<worksheet xmlns="http://schemas.openxmlformats.org/spreadsheetml/2006/main" xmlns:r="http://schemas.openxmlformats.org/officeDocument/2006/relationships">
  <dimension ref="A1:L25"/>
  <sheetViews>
    <sheetView workbookViewId="0" rightToLeft="0"/>
  </sheetViews>
  <sheetData>
    <row r="1">
      <c r="A1" t="str">
        <v>BREAKDOWN — (A) IX.B.1 Pasangan dinding bata merah tebal 20 cm; termasuk kolom praktis, balok praktis, dan balok latei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Pasangan dinding bata merah tebal 20 cm; termasuk kolom praktis, balok praktis, dan balok latei</v>
      </c>
    </row>
    <row r="5">
      <c r="A5" t="str">
        <v>Unit</v>
      </c>
      <c r="B5" t="str">
        <v>m2</v>
      </c>
    </row>
    <row r="6">
      <c r="A6" t="str">
        <v>Volume</v>
      </c>
      <c r="B6">
        <v>568.8895</v>
      </c>
    </row>
    <row r="7">
      <c r="A7" t="str">
        <v>Unit cost (Rp/m2)</v>
      </c>
      <c r="B7">
        <v>279294.15178</v>
      </c>
    </row>
    <row r="8">
      <c r="A8" t="str">
        <v>Line total at-cost (Rp)</v>
      </c>
      <c r="B8">
        <v>158887510.3590483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m2</v>
      </c>
      <c r="J10" t="str">
        <v>Cost per m2</v>
      </c>
      <c r="K10" t="str">
        <v>Total qty (× vol)</v>
      </c>
      <c r="L10" t="str">
        <v>Total cost (Rp)</v>
      </c>
    </row>
    <row r="11">
      <c r="A11">
        <v>1</v>
      </c>
      <c r="B11" t="str">
        <v>MATERIAL (Material) — direct-ref lump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1 m2 Pasangan Dinding Bata Merah 3/4 Batu (finish 20 cm), spesi 1:3</v>
      </c>
      <c r="D12" t="str">
        <v>direct-reference lump from Analisa!F385 (block: 1 m2 Pasangan Dinding Bata Merah 3/4 Batu (finish 20 cm), spesi 1:3)</v>
      </c>
      <c r="E12">
        <v>1</v>
      </c>
      <c r="F12" t="str">
        <v>m2</v>
      </c>
      <c r="G12" t="str">
        <v>per m2</v>
      </c>
      <c r="H12">
        <v>167294.15178000001</v>
      </c>
      <c r="I12">
        <v>1</v>
      </c>
      <c r="J12">
        <v>167294.15178000001</v>
      </c>
      <c r="K12">
        <v>568.8895</v>
      </c>
      <c r="L12">
        <v>95171886.35904832</v>
      </c>
    </row>
    <row r="13">
      <c r="A13">
        <v>2</v>
      </c>
      <c r="B13" t="str">
        <v>UPAH (Labor) — direct-ref lump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1 m2 Pasangan Dinding Bata Merah 3/4 Batu (finish 20 cm), spesi 1:3</v>
      </c>
      <c r="D14" t="str">
        <v>direct-reference lump from Analisa!G385 (block: 1 m2 Pasangan Dinding Bata Merah 3/4 Batu (finish 20 cm), spesi 1:3)</v>
      </c>
      <c r="E14">
        <v>1</v>
      </c>
      <c r="F14" t="str">
        <v>m2</v>
      </c>
      <c r="G14" t="str">
        <v>per m2</v>
      </c>
      <c r="H14">
        <v>112000</v>
      </c>
      <c r="I14">
        <v>1</v>
      </c>
      <c r="J14">
        <v>112000</v>
      </c>
      <c r="K14">
        <v>568.8895</v>
      </c>
      <c r="L14">
        <v>63715624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>SUBTOTAL — At-cost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>
        <v>279294.15178</v>
      </c>
      <c r="J16" t="str">
        <v/>
      </c>
      <c r="K16" t="str">
        <v/>
      </c>
      <c r="L16">
        <v>158887510.3590483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>RECONCILIATION</v>
      </c>
    </row>
    <row r="19">
      <c r="A19" t="str">
        <v>Computed unit cost</v>
      </c>
      <c r="B19">
        <v>279294.15178</v>
      </c>
    </row>
    <row r="20">
      <c r="A20" t="str">
        <v>RAB (A) source unit cost</v>
      </c>
      <c r="B20">
        <v>279294.15178</v>
      </c>
    </row>
    <row r="21">
      <c r="A21" t="str">
        <v>Variance</v>
      </c>
      <c r="B21">
        <v>0</v>
      </c>
      <c r="C21" t="str">
        <v>✓ OK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>Computed line total</v>
      </c>
      <c r="B23">
        <v>158887510.3590483</v>
      </c>
    </row>
    <row r="24">
      <c r="A24" t="str">
        <v>RAB (A) source line total</v>
      </c>
      <c r="B24">
        <v>184309512.01649603</v>
      </c>
    </row>
    <row r="25">
      <c r="A25" t="str">
        <v>Variance</v>
      </c>
      <c r="B25">
        <v>-25422001.657447726</v>
      </c>
      <c r="C25" t="str">
        <v>✓ OK</v>
      </c>
    </row>
  </sheetData>
  <ignoredErrors>
    <ignoredError numberStoredAsText="1" sqref="A1:L25"/>
  </ignoredErrors>
</worksheet>
</file>

<file path=xl/worksheets/sheet264.xml><?xml version="1.0" encoding="utf-8"?>
<worksheet xmlns="http://schemas.openxmlformats.org/spreadsheetml/2006/main" xmlns:r="http://schemas.openxmlformats.org/officeDocument/2006/relationships">
  <dimension ref="A1:L25"/>
  <sheetViews>
    <sheetView workbookViewId="0" rightToLeft="0"/>
  </sheetViews>
  <sheetData>
    <row r="1">
      <c r="A1" t="str">
        <v>BREAKDOWN — (A) IX.B.2 Pasangan dinding bata merah tebal 30 cm; termasuk kolom praktis, balok praktis, dan balok latei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Pasangan dinding bata merah tebal 30 cm; termasuk kolom praktis, balok praktis, dan balok latei</v>
      </c>
    </row>
    <row r="5">
      <c r="A5" t="str">
        <v>Unit</v>
      </c>
      <c r="B5" t="str">
        <v>m2</v>
      </c>
    </row>
    <row r="6">
      <c r="A6" t="str">
        <v>Volume</v>
      </c>
      <c r="B6">
        <v>23.985</v>
      </c>
    </row>
    <row r="7">
      <c r="A7" t="str">
        <v>Unit cost (Rp/m2)</v>
      </c>
      <c r="B7">
        <v>608282.2173499999</v>
      </c>
    </row>
    <row r="8">
      <c r="A8" t="str">
        <v>Line total at-cost (Rp)</v>
      </c>
      <c r="B8">
        <v>14589648.983139748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m2</v>
      </c>
      <c r="J10" t="str">
        <v>Cost per m2</v>
      </c>
      <c r="K10" t="str">
        <v>Total qty (× vol)</v>
      </c>
      <c r="L10" t="str">
        <v>Total cost (Rp)</v>
      </c>
    </row>
    <row r="11">
      <c r="A11">
        <v>1</v>
      </c>
      <c r="B11" t="str">
        <v>MATERIAL (Material) — direct-ref lump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1 m2 Pasangan Dinding Bata Merah finish 30 cm, spesi 1:3</v>
      </c>
      <c r="D12" t="str">
        <v>direct-reference lump from Analisa!F412 (block: 1 m2 Pasangan Dinding Bata Merah finish 30 cm, spesi 1:3)</v>
      </c>
      <c r="E12">
        <v>1</v>
      </c>
      <c r="F12" t="str">
        <v>m2</v>
      </c>
      <c r="G12" t="str">
        <v>per m2</v>
      </c>
      <c r="H12">
        <v>393282.21734999993</v>
      </c>
      <c r="I12">
        <v>1</v>
      </c>
      <c r="J12">
        <v>393282.21734999993</v>
      </c>
      <c r="K12">
        <v>23.985</v>
      </c>
      <c r="L12">
        <v>9432873.983139748</v>
      </c>
    </row>
    <row r="13">
      <c r="A13">
        <v>2</v>
      </c>
      <c r="B13" t="str">
        <v>UPAH (Labor) — direct-ref lump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1 m2 Pasangan Dinding Bata Merah finish 30 cm, spesi 1:3</v>
      </c>
      <c r="D14" t="str">
        <v>direct-reference lump from Analisa!G412 (block: 1 m2 Pasangan Dinding Bata Merah finish 30 cm, spesi 1:3)</v>
      </c>
      <c r="E14">
        <v>1</v>
      </c>
      <c r="F14" t="str">
        <v>m2</v>
      </c>
      <c r="G14" t="str">
        <v>per m2</v>
      </c>
      <c r="H14">
        <v>215000</v>
      </c>
      <c r="I14">
        <v>1</v>
      </c>
      <c r="J14">
        <v>215000</v>
      </c>
      <c r="K14">
        <v>23.985</v>
      </c>
      <c r="L14">
        <v>5156775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>SUBTOTAL — At-cost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>
        <v>608282.2173499999</v>
      </c>
      <c r="J16" t="str">
        <v/>
      </c>
      <c r="K16" t="str">
        <v/>
      </c>
      <c r="L16">
        <v>14589648.983139748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>RECONCILIATION</v>
      </c>
    </row>
    <row r="19">
      <c r="A19" t="str">
        <v>Computed unit cost</v>
      </c>
      <c r="B19">
        <v>608282.2173499999</v>
      </c>
    </row>
    <row r="20">
      <c r="A20" t="str">
        <v>RAB (A) source unit cost</v>
      </c>
      <c r="B20">
        <v>608282.2173499999</v>
      </c>
    </row>
    <row r="21">
      <c r="A21" t="str">
        <v>Variance</v>
      </c>
      <c r="B21">
        <v>0</v>
      </c>
      <c r="C21" t="str">
        <v>✓ OK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>Computed line total</v>
      </c>
      <c r="B23">
        <v>14589648.983139748</v>
      </c>
    </row>
    <row r="24">
      <c r="A24" t="str">
        <v>RAB (A) source line total</v>
      </c>
      <c r="B24">
        <v>16923992.820442107</v>
      </c>
    </row>
    <row r="25">
      <c r="A25" t="str">
        <v>Variance</v>
      </c>
      <c r="B25">
        <v>-2334343.837302359</v>
      </c>
      <c r="C25" t="str">
        <v>✓ OK</v>
      </c>
    </row>
  </sheetData>
  <ignoredErrors>
    <ignoredError numberStoredAsText="1" sqref="A1:L25"/>
  </ignoredErrors>
</worksheet>
</file>

<file path=xl/worksheets/sheet265.xml><?xml version="1.0" encoding="utf-8"?>
<worksheet xmlns="http://schemas.openxmlformats.org/spreadsheetml/2006/main" xmlns:r="http://schemas.openxmlformats.org/officeDocument/2006/relationships">
  <dimension ref="A1:L25"/>
  <sheetViews>
    <sheetView workbookViewId="0" rightToLeft="0"/>
  </sheetViews>
  <sheetData>
    <row r="1">
      <c r="A1" t="str">
        <v>BREAKDOWN — (A) IX.B.3 Pasangan dinding bata merah tebal 35 cm; termasuk kolom praktis, balok praktis, dan balok latei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Pasangan dinding bata merah tebal 35 cm; termasuk kolom praktis, balok praktis, dan balok latei</v>
      </c>
    </row>
    <row r="5">
      <c r="A5" t="str">
        <v>Unit</v>
      </c>
      <c r="B5" t="str">
        <v>m2</v>
      </c>
    </row>
    <row r="6">
      <c r="A6" t="str">
        <v>Volume</v>
      </c>
      <c r="B6">
        <v>64.3575</v>
      </c>
    </row>
    <row r="7">
      <c r="A7" t="str">
        <v>Unit cost (Rp/m2)</v>
      </c>
      <c r="B7">
        <v>676834.6067</v>
      </c>
    </row>
    <row r="8">
      <c r="A8" t="str">
        <v>Line total at-cost (Rp)</v>
      </c>
      <c r="B8">
        <v>43559383.200695254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m2</v>
      </c>
      <c r="J10" t="str">
        <v>Cost per m2</v>
      </c>
      <c r="K10" t="str">
        <v>Total qty (× vol)</v>
      </c>
      <c r="L10" t="str">
        <v>Total cost (Rp)</v>
      </c>
    </row>
    <row r="11">
      <c r="A11">
        <v>1</v>
      </c>
      <c r="B11" t="str">
        <v>MATERIAL (Material) — direct-ref lump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1 m2 Pasangan Dinding Bata Merah finish 35 cm, spesi 1:3</v>
      </c>
      <c r="D12" t="str">
        <v>direct-reference lump from Analisa!F421 (block: 1 m2 Pasangan Dinding Bata Merah finish 35 cm, spesi 1:3)</v>
      </c>
      <c r="E12">
        <v>1</v>
      </c>
      <c r="F12" t="str">
        <v>m2</v>
      </c>
      <c r="G12" t="str">
        <v>per m2</v>
      </c>
      <c r="H12">
        <v>461834.6067</v>
      </c>
      <c r="I12">
        <v>1</v>
      </c>
      <c r="J12">
        <v>461834.6067</v>
      </c>
      <c r="K12">
        <v>64.3575</v>
      </c>
      <c r="L12">
        <v>29722520.70069525</v>
      </c>
    </row>
    <row r="13">
      <c r="A13">
        <v>2</v>
      </c>
      <c r="B13" t="str">
        <v>UPAH (Labor) — direct-ref lump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1 m2 Pasangan Dinding Bata Merah finish 35 cm, spesi 1:3</v>
      </c>
      <c r="D14" t="str">
        <v>direct-reference lump from Analisa!G421 (block: 1 m2 Pasangan Dinding Bata Merah finish 35 cm, spesi 1:3)</v>
      </c>
      <c r="E14">
        <v>1</v>
      </c>
      <c r="F14" t="str">
        <v>m2</v>
      </c>
      <c r="G14" t="str">
        <v>per m2</v>
      </c>
      <c r="H14">
        <v>215000</v>
      </c>
      <c r="I14">
        <v>1</v>
      </c>
      <c r="J14">
        <v>215000</v>
      </c>
      <c r="K14">
        <v>64.3575</v>
      </c>
      <c r="L14">
        <v>13836862.5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>SUBTOTAL — At-cost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>
        <v>676834.6067</v>
      </c>
      <c r="J16" t="str">
        <v/>
      </c>
      <c r="K16" t="str">
        <v/>
      </c>
      <c r="L16">
        <v>43559383.200695254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>RECONCILIATION</v>
      </c>
    </row>
    <row r="19">
      <c r="A19" t="str">
        <v>Computed unit cost</v>
      </c>
      <c r="B19">
        <v>676834.6067</v>
      </c>
    </row>
    <row r="20">
      <c r="A20" t="str">
        <v>RAB (A) source unit cost</v>
      </c>
      <c r="B20">
        <v>676834.6067</v>
      </c>
    </row>
    <row r="21">
      <c r="A21" t="str">
        <v>Variance</v>
      </c>
      <c r="B21">
        <v>0</v>
      </c>
      <c r="C21" t="str">
        <v>✓ OK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>Computed line total</v>
      </c>
      <c r="B23">
        <v>43559383.200695254</v>
      </c>
    </row>
    <row r="24">
      <c r="A24" t="str">
        <v>RAB (A) source line total</v>
      </c>
      <c r="B24">
        <v>50528884.51280649</v>
      </c>
    </row>
    <row r="25">
      <c r="A25" t="str">
        <v>Variance</v>
      </c>
      <c r="B25">
        <v>-6969501.312111236</v>
      </c>
      <c r="C25" t="str">
        <v>✓ OK</v>
      </c>
    </row>
  </sheetData>
  <ignoredErrors>
    <ignoredError numberStoredAsText="1" sqref="A1:L25"/>
  </ignoredErrors>
</worksheet>
</file>

<file path=xl/worksheets/sheet266.xml><?xml version="1.0" encoding="utf-8"?>
<worksheet xmlns="http://schemas.openxmlformats.org/spreadsheetml/2006/main" xmlns:r="http://schemas.openxmlformats.org/officeDocument/2006/relationships">
  <dimension ref="A1:L25"/>
  <sheetViews>
    <sheetView workbookViewId="0" rightToLeft="0"/>
  </sheetViews>
  <sheetData>
    <row r="1">
      <c r="A1" t="str">
        <v>BREAKDOWN — (A) IX.B.4 Pasangan dinding bata merah tebal 55 cm; termasuk kolom praktis, balok praktis, dan balok latei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Pasangan dinding bata merah tebal 55 cm; termasuk kolom praktis, balok praktis, dan balok latei</v>
      </c>
    </row>
    <row r="5">
      <c r="A5" t="str">
        <v>Unit</v>
      </c>
      <c r="B5" t="str">
        <v>m2</v>
      </c>
    </row>
    <row r="6">
      <c r="A6" t="str">
        <v>Volume</v>
      </c>
      <c r="B6">
        <v>7.4925000000000015</v>
      </c>
    </row>
    <row r="7">
      <c r="A7" t="str">
        <v>Unit cost (Rp/m2)</v>
      </c>
      <c r="B7">
        <v>595762.0425849999</v>
      </c>
    </row>
    <row r="8">
      <c r="A8" t="str">
        <v>Line total at-cost (Rp)</v>
      </c>
      <c r="B8">
        <v>4463747.104068113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m2</v>
      </c>
      <c r="J10" t="str">
        <v>Cost per m2</v>
      </c>
      <c r="K10" t="str">
        <v>Total qty (× vol)</v>
      </c>
      <c r="L10" t="str">
        <v>Total cost (Rp)</v>
      </c>
    </row>
    <row r="11">
      <c r="A11">
        <v>1</v>
      </c>
      <c r="B11" t="str">
        <v>MATERIAL (Material) — direct-ref lump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1 m2 Pasangan Dinding Bata Merah finish 50 cm, spesi 1:3</v>
      </c>
      <c r="D12" t="str">
        <v>direct-reference lump from Analisa!F439 (block: 1 m2 Pasangan Dinding Bata Merah finish 50 cm, spesi 1:3)</v>
      </c>
      <c r="E12">
        <v>1</v>
      </c>
      <c r="F12" t="str">
        <v>m2</v>
      </c>
      <c r="G12" t="str">
        <v>per m2</v>
      </c>
      <c r="H12">
        <v>408762.04258499993</v>
      </c>
      <c r="I12">
        <v>1</v>
      </c>
      <c r="J12">
        <v>408762.04258499993</v>
      </c>
      <c r="K12">
        <v>7.4925000000000015</v>
      </c>
      <c r="L12">
        <v>3062649.6040681126</v>
      </c>
    </row>
    <row r="13">
      <c r="A13">
        <v>2</v>
      </c>
      <c r="B13" t="str">
        <v>UPAH (Labor) — direct-ref lump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1 m2 Pasangan Dinding Bata Merah finish 50 cm, spesi 1:3</v>
      </c>
      <c r="D14" t="str">
        <v>direct-reference lump from Analisa!G439 (block: 1 m2 Pasangan Dinding Bata Merah finish 50 cm, spesi 1:3)</v>
      </c>
      <c r="E14">
        <v>1</v>
      </c>
      <c r="F14" t="str">
        <v>m2</v>
      </c>
      <c r="G14" t="str">
        <v>per m2</v>
      </c>
      <c r="H14">
        <v>187000</v>
      </c>
      <c r="I14">
        <v>1</v>
      </c>
      <c r="J14">
        <v>187000</v>
      </c>
      <c r="K14">
        <v>7.4925000000000015</v>
      </c>
      <c r="L14">
        <v>1401097.5000000002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>SUBTOTAL — At-cost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>
        <v>595762.0425849999</v>
      </c>
      <c r="J16" t="str">
        <v/>
      </c>
      <c r="K16" t="str">
        <v/>
      </c>
      <c r="L16">
        <v>4463747.104068113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>RECONCILIATION</v>
      </c>
    </row>
    <row r="19">
      <c r="A19" t="str">
        <v>Computed unit cost</v>
      </c>
      <c r="B19">
        <v>595762.0425849999</v>
      </c>
    </row>
    <row r="20">
      <c r="A20" t="str">
        <v>RAB (A) source unit cost</v>
      </c>
      <c r="B20">
        <v>595762.0425849999</v>
      </c>
    </row>
    <row r="21">
      <c r="A21" t="str">
        <v>Variance</v>
      </c>
      <c r="B21">
        <v>0</v>
      </c>
      <c r="C21" t="str">
        <v>✓ OK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>Computed line total</v>
      </c>
      <c r="B23">
        <v>4463747.104068113</v>
      </c>
    </row>
    <row r="24">
      <c r="A24" t="str">
        <v>RAB (A) source line total</v>
      </c>
      <c r="B24">
        <v>5177946.6407190105</v>
      </c>
    </row>
    <row r="25">
      <c r="A25" t="str">
        <v>Variance</v>
      </c>
      <c r="B25">
        <v>-714199.5366508979</v>
      </c>
      <c r="C25" t="str">
        <v>✓ OK</v>
      </c>
    </row>
  </sheetData>
  <ignoredErrors>
    <ignoredError numberStoredAsText="1" sqref="A1:L25"/>
  </ignoredErrors>
</worksheet>
</file>

<file path=xl/worksheets/sheet267.xml><?xml version="1.0" encoding="utf-8"?>
<worksheet xmlns="http://schemas.openxmlformats.org/spreadsheetml/2006/main" xmlns:r="http://schemas.openxmlformats.org/officeDocument/2006/relationships">
  <dimension ref="A1:L25"/>
  <sheetViews>
    <sheetView workbookViewId="0" rightToLeft="0"/>
  </sheetViews>
  <sheetData>
    <row r="1">
      <c r="A1" t="str">
        <v>BREAKDOWN — (A) IX.C.1 Pasangan dinding bata merah tebal 20 cm; termasuk kolom praktis, balok praktis, dan balok latei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Pasangan dinding bata merah tebal 20 cm; termasuk kolom praktis, balok praktis, dan balok latei</v>
      </c>
    </row>
    <row r="5">
      <c r="A5" t="str">
        <v>Unit</v>
      </c>
      <c r="B5" t="str">
        <v>m2</v>
      </c>
    </row>
    <row r="6">
      <c r="A6" t="str">
        <v>Volume</v>
      </c>
      <c r="B6">
        <v>752.3783333333336</v>
      </c>
    </row>
    <row r="7">
      <c r="A7" t="str">
        <v>Unit cost (Rp/m2)</v>
      </c>
      <c r="B7">
        <v>279294.15178</v>
      </c>
    </row>
    <row r="8">
      <c r="A8" t="str">
        <v>Line total at-cost (Rp)</v>
      </c>
      <c r="B8">
        <v>210134868.42598352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m2</v>
      </c>
      <c r="J10" t="str">
        <v>Cost per m2</v>
      </c>
      <c r="K10" t="str">
        <v>Total qty (× vol)</v>
      </c>
      <c r="L10" t="str">
        <v>Total cost (Rp)</v>
      </c>
    </row>
    <row r="11">
      <c r="A11">
        <v>1</v>
      </c>
      <c r="B11" t="str">
        <v>MATERIAL (Material) — direct-ref lump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1 m2 Pasangan Dinding Bata Merah 3/4 Batu (finish 20 cm), spesi 1:3</v>
      </c>
      <c r="D12" t="str">
        <v>direct-reference lump from Analisa!F385 (block: 1 m2 Pasangan Dinding Bata Merah 3/4 Batu (finish 20 cm), spesi 1:3)</v>
      </c>
      <c r="E12">
        <v>1</v>
      </c>
      <c r="F12" t="str">
        <v>m2</v>
      </c>
      <c r="G12" t="str">
        <v>per m2</v>
      </c>
      <c r="H12">
        <v>167294.15178000001</v>
      </c>
      <c r="I12">
        <v>1</v>
      </c>
      <c r="J12">
        <v>167294.15178000001</v>
      </c>
      <c r="K12">
        <v>752.3783333333336</v>
      </c>
      <c r="L12">
        <v>125868495.09265015</v>
      </c>
    </row>
    <row r="13">
      <c r="A13">
        <v>2</v>
      </c>
      <c r="B13" t="str">
        <v>UPAH (Labor) — direct-ref lump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1 m2 Pasangan Dinding Bata Merah 3/4 Batu (finish 20 cm), spesi 1:3</v>
      </c>
      <c r="D14" t="str">
        <v>direct-reference lump from Analisa!G385 (block: 1 m2 Pasangan Dinding Bata Merah 3/4 Batu (finish 20 cm), spesi 1:3)</v>
      </c>
      <c r="E14">
        <v>1</v>
      </c>
      <c r="F14" t="str">
        <v>m2</v>
      </c>
      <c r="G14" t="str">
        <v>per m2</v>
      </c>
      <c r="H14">
        <v>112000</v>
      </c>
      <c r="I14">
        <v>1</v>
      </c>
      <c r="J14">
        <v>112000</v>
      </c>
      <c r="K14">
        <v>752.3783333333336</v>
      </c>
      <c r="L14">
        <v>84266373.33333336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>SUBTOTAL — At-cost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>
        <v>279294.15178</v>
      </c>
      <c r="J16" t="str">
        <v/>
      </c>
      <c r="K16" t="str">
        <v/>
      </c>
      <c r="L16">
        <v>210134868.42598352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>RECONCILIATION</v>
      </c>
    </row>
    <row r="19">
      <c r="A19" t="str">
        <v>Computed unit cost</v>
      </c>
      <c r="B19">
        <v>279294.15178</v>
      </c>
    </row>
    <row r="20">
      <c r="A20" t="str">
        <v>RAB (A) source unit cost</v>
      </c>
      <c r="B20">
        <v>279294.15178</v>
      </c>
    </row>
    <row r="21">
      <c r="A21" t="str">
        <v>Variance</v>
      </c>
      <c r="B21">
        <v>0</v>
      </c>
      <c r="C21" t="str">
        <v>✓ OK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>Computed line total</v>
      </c>
      <c r="B23">
        <v>210134868.42598352</v>
      </c>
    </row>
    <row r="24">
      <c r="A24" t="str">
        <v>RAB (A) source line total</v>
      </c>
      <c r="B24">
        <v>243756447.37414083</v>
      </c>
    </row>
    <row r="25">
      <c r="A25" t="str">
        <v>Variance</v>
      </c>
      <c r="B25">
        <v>-33621578.94815731</v>
      </c>
      <c r="C25" t="str">
        <v>✓ OK</v>
      </c>
    </row>
  </sheetData>
  <ignoredErrors>
    <ignoredError numberStoredAsText="1" sqref="A1:L25"/>
  </ignoredErrors>
</worksheet>
</file>

<file path=xl/worksheets/sheet268.xml><?xml version="1.0" encoding="utf-8"?>
<worksheet xmlns="http://schemas.openxmlformats.org/spreadsheetml/2006/main" xmlns:r="http://schemas.openxmlformats.org/officeDocument/2006/relationships">
  <dimension ref="A1:L25"/>
  <sheetViews>
    <sheetView workbookViewId="0" rightToLeft="0"/>
  </sheetViews>
  <sheetData>
    <row r="1">
      <c r="A1" t="str">
        <v>BREAKDOWN — (A) IX.C.2 Pasangan dinding bata merah tebal 30 cm; termasuk kolom praktis, balok praktis, dan balok latei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Pasangan dinding bata merah tebal 30 cm; termasuk kolom praktis, balok praktis, dan balok latei</v>
      </c>
    </row>
    <row r="5">
      <c r="A5" t="str">
        <v>Unit</v>
      </c>
      <c r="B5" t="str">
        <v>m2</v>
      </c>
    </row>
    <row r="6">
      <c r="A6" t="str">
        <v>Volume</v>
      </c>
      <c r="B6">
        <v>23.4235</v>
      </c>
    </row>
    <row r="7">
      <c r="A7" t="str">
        <v>Unit cost (Rp/m2)</v>
      </c>
      <c r="B7">
        <v>608282.2173499999</v>
      </c>
    </row>
    <row r="8">
      <c r="A8" t="str">
        <v>Line total at-cost (Rp)</v>
      </c>
      <c r="B8">
        <v>14248098.518097725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m2</v>
      </c>
      <c r="J10" t="str">
        <v>Cost per m2</v>
      </c>
      <c r="K10" t="str">
        <v>Total qty (× vol)</v>
      </c>
      <c r="L10" t="str">
        <v>Total cost (Rp)</v>
      </c>
    </row>
    <row r="11">
      <c r="A11">
        <v>1</v>
      </c>
      <c r="B11" t="str">
        <v>MATERIAL (Material) — direct-ref lump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1 m2 Pasangan Dinding Bata Merah finish 30 cm, spesi 1:3</v>
      </c>
      <c r="D12" t="str">
        <v>direct-reference lump from Analisa!F412 (block: 1 m2 Pasangan Dinding Bata Merah finish 30 cm, spesi 1:3)</v>
      </c>
      <c r="E12">
        <v>1</v>
      </c>
      <c r="F12" t="str">
        <v>m2</v>
      </c>
      <c r="G12" t="str">
        <v>per m2</v>
      </c>
      <c r="H12">
        <v>393282.21734999993</v>
      </c>
      <c r="I12">
        <v>1</v>
      </c>
      <c r="J12">
        <v>393282.21734999993</v>
      </c>
      <c r="K12">
        <v>23.4235</v>
      </c>
      <c r="L12">
        <v>9212046.018097723</v>
      </c>
    </row>
    <row r="13">
      <c r="A13">
        <v>2</v>
      </c>
      <c r="B13" t="str">
        <v>UPAH (Labor) — direct-ref lump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1 m2 Pasangan Dinding Bata Merah finish 30 cm, spesi 1:3</v>
      </c>
      <c r="D14" t="str">
        <v>direct-reference lump from Analisa!G412 (block: 1 m2 Pasangan Dinding Bata Merah finish 30 cm, spesi 1:3)</v>
      </c>
      <c r="E14">
        <v>1</v>
      </c>
      <c r="F14" t="str">
        <v>m2</v>
      </c>
      <c r="G14" t="str">
        <v>per m2</v>
      </c>
      <c r="H14">
        <v>215000</v>
      </c>
      <c r="I14">
        <v>1</v>
      </c>
      <c r="J14">
        <v>215000</v>
      </c>
      <c r="K14">
        <v>23.4235</v>
      </c>
      <c r="L14">
        <v>5036052.5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>SUBTOTAL — At-cost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>
        <v>608282.2173499999</v>
      </c>
      <c r="J16" t="str">
        <v/>
      </c>
      <c r="K16" t="str">
        <v/>
      </c>
      <c r="L16">
        <v>14248098.518097725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>RECONCILIATION</v>
      </c>
    </row>
    <row r="19">
      <c r="A19" t="str">
        <v>Computed unit cost</v>
      </c>
      <c r="B19">
        <v>608282.2173499999</v>
      </c>
    </row>
    <row r="20">
      <c r="A20" t="str">
        <v>RAB (A) source unit cost</v>
      </c>
      <c r="B20">
        <v>608282.2173499999</v>
      </c>
    </row>
    <row r="21">
      <c r="A21" t="str">
        <v>Variance</v>
      </c>
      <c r="B21">
        <v>0</v>
      </c>
      <c r="C21" t="str">
        <v>✓ OK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>Computed line total</v>
      </c>
      <c r="B23">
        <v>14248098.518097725</v>
      </c>
    </row>
    <row r="24">
      <c r="A24" t="str">
        <v>RAB (A) source line total</v>
      </c>
      <c r="B24">
        <v>16527794.28099336</v>
      </c>
    </row>
    <row r="25">
      <c r="A25" t="str">
        <v>Variance</v>
      </c>
      <c r="B25">
        <v>-2279695.7628956344</v>
      </c>
      <c r="C25" t="str">
        <v>✓ OK</v>
      </c>
    </row>
  </sheetData>
  <ignoredErrors>
    <ignoredError numberStoredAsText="1" sqref="A1:L25"/>
  </ignoredErrors>
</worksheet>
</file>

<file path=xl/worksheets/sheet269.xml><?xml version="1.0" encoding="utf-8"?>
<worksheet xmlns="http://schemas.openxmlformats.org/spreadsheetml/2006/main" xmlns:r="http://schemas.openxmlformats.org/officeDocument/2006/relationships">
  <dimension ref="A1:L25"/>
  <sheetViews>
    <sheetView workbookViewId="0" rightToLeft="0"/>
  </sheetViews>
  <sheetData>
    <row r="1">
      <c r="A1" t="str">
        <v>BREAKDOWN — (A) IX.C.3 Pasangan dinding bata merah tebal 35 cm; termasuk kolom praktis, balok praktis, dan balok latei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Pasangan dinding bata merah tebal 35 cm; termasuk kolom praktis, balok praktis, dan balok latei</v>
      </c>
    </row>
    <row r="5">
      <c r="A5" t="str">
        <v>Unit</v>
      </c>
      <c r="B5" t="str">
        <v>m2</v>
      </c>
    </row>
    <row r="6">
      <c r="A6" t="str">
        <v>Volume</v>
      </c>
      <c r="B6">
        <v>8.595</v>
      </c>
    </row>
    <row r="7">
      <c r="A7" t="str">
        <v>Unit cost (Rp/m2)</v>
      </c>
      <c r="B7">
        <v>676834.6067</v>
      </c>
    </row>
    <row r="8">
      <c r="A8" t="str">
        <v>Line total at-cost (Rp)</v>
      </c>
      <c r="B8">
        <v>5817393.4445865005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m2</v>
      </c>
      <c r="J10" t="str">
        <v>Cost per m2</v>
      </c>
      <c r="K10" t="str">
        <v>Total qty (× vol)</v>
      </c>
      <c r="L10" t="str">
        <v>Total cost (Rp)</v>
      </c>
    </row>
    <row r="11">
      <c r="A11">
        <v>1</v>
      </c>
      <c r="B11" t="str">
        <v>MATERIAL (Material) — direct-ref lump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1 m2 Pasangan Dinding Bata Merah finish 35 cm, spesi 1:3</v>
      </c>
      <c r="D12" t="str">
        <v>direct-reference lump from Analisa!F421 (block: 1 m2 Pasangan Dinding Bata Merah finish 35 cm, spesi 1:3)</v>
      </c>
      <c r="E12">
        <v>1</v>
      </c>
      <c r="F12" t="str">
        <v>m2</v>
      </c>
      <c r="G12" t="str">
        <v>per m2</v>
      </c>
      <c r="H12">
        <v>461834.6067</v>
      </c>
      <c r="I12">
        <v>1</v>
      </c>
      <c r="J12">
        <v>461834.6067</v>
      </c>
      <c r="K12">
        <v>8.595</v>
      </c>
      <c r="L12">
        <v>3969468.4445865005</v>
      </c>
    </row>
    <row r="13">
      <c r="A13">
        <v>2</v>
      </c>
      <c r="B13" t="str">
        <v>UPAH (Labor) — direct-ref lump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1 m2 Pasangan Dinding Bata Merah finish 35 cm, spesi 1:3</v>
      </c>
      <c r="D14" t="str">
        <v>direct-reference lump from Analisa!G421 (block: 1 m2 Pasangan Dinding Bata Merah finish 35 cm, spesi 1:3)</v>
      </c>
      <c r="E14">
        <v>1</v>
      </c>
      <c r="F14" t="str">
        <v>m2</v>
      </c>
      <c r="G14" t="str">
        <v>per m2</v>
      </c>
      <c r="H14">
        <v>215000</v>
      </c>
      <c r="I14">
        <v>1</v>
      </c>
      <c r="J14">
        <v>215000</v>
      </c>
      <c r="K14">
        <v>8.595</v>
      </c>
      <c r="L14">
        <v>1847925.0000000002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>SUBTOTAL — At-cost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>
        <v>676834.6067</v>
      </c>
      <c r="J16" t="str">
        <v/>
      </c>
      <c r="K16" t="str">
        <v/>
      </c>
      <c r="L16">
        <v>5817393.4445865005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>RECONCILIATION</v>
      </c>
    </row>
    <row r="19">
      <c r="A19" t="str">
        <v>Computed unit cost</v>
      </c>
      <c r="B19">
        <v>676834.6067</v>
      </c>
    </row>
    <row r="20">
      <c r="A20" t="str">
        <v>RAB (A) source unit cost</v>
      </c>
      <c r="B20">
        <v>676834.6067</v>
      </c>
    </row>
    <row r="21">
      <c r="A21" t="str">
        <v>Variance</v>
      </c>
      <c r="B21">
        <v>0</v>
      </c>
      <c r="C21" t="str">
        <v>✓ OK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>Computed line total</v>
      </c>
      <c r="B23">
        <v>5817393.4445865005</v>
      </c>
    </row>
    <row r="24">
      <c r="A24" t="str">
        <v>RAB (A) source line total</v>
      </c>
      <c r="B24">
        <v>6748176.39572034</v>
      </c>
    </row>
    <row r="25">
      <c r="A25" t="str">
        <v>Variance</v>
      </c>
      <c r="B25">
        <v>-930782.9511338398</v>
      </c>
      <c r="C25" t="str">
        <v>✓ OK</v>
      </c>
    </row>
  </sheetData>
  <ignoredErrors>
    <ignoredError numberStoredAsText="1" sqref="A1:L25"/>
  </ignoredErrors>
</worksheet>
</file>

<file path=xl/worksheets/sheet270.xml><?xml version="1.0" encoding="utf-8"?>
<worksheet xmlns="http://schemas.openxmlformats.org/spreadsheetml/2006/main" xmlns:r="http://schemas.openxmlformats.org/officeDocument/2006/relationships">
  <dimension ref="A1:L25"/>
  <sheetViews>
    <sheetView workbookViewId="0" rightToLeft="0"/>
  </sheetViews>
  <sheetData>
    <row r="1">
      <c r="A1" t="str">
        <v>BREAKDOWN — (A) IX.D.1 Pasangan dinding bata merah tebal 20 cm; termasuk kolom praktis, balok praktis, dan balok latei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Pasangan dinding bata merah tebal 20 cm; termasuk kolom praktis, balok praktis, dan balok latei</v>
      </c>
    </row>
    <row r="5">
      <c r="A5" t="str">
        <v>Unit</v>
      </c>
      <c r="B5" t="str">
        <v>m2</v>
      </c>
    </row>
    <row r="6">
      <c r="A6" t="str">
        <v>Volume</v>
      </c>
      <c r="B6">
        <v>499.0019999999999</v>
      </c>
    </row>
    <row r="7">
      <c r="A7" t="str">
        <v>Unit cost (Rp/m2)</v>
      </c>
      <c r="B7">
        <v>279294.15178</v>
      </c>
    </row>
    <row r="8">
      <c r="A8" t="str">
        <v>Line total at-cost (Rp)</v>
      </c>
      <c r="B8">
        <v>139368340.32652354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m2</v>
      </c>
      <c r="J10" t="str">
        <v>Cost per m2</v>
      </c>
      <c r="K10" t="str">
        <v>Total qty (× vol)</v>
      </c>
      <c r="L10" t="str">
        <v>Total cost (Rp)</v>
      </c>
    </row>
    <row r="11">
      <c r="A11">
        <v>1</v>
      </c>
      <c r="B11" t="str">
        <v>MATERIAL (Material) — direct-ref lump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1 m2 Pasangan Dinding Bata Merah 3/4 Batu (finish 20 cm), spesi 1:3</v>
      </c>
      <c r="D12" t="str">
        <v>direct-reference lump from Analisa!F385 (block: 1 m2 Pasangan Dinding Bata Merah 3/4 Batu (finish 20 cm), spesi 1:3)</v>
      </c>
      <c r="E12">
        <v>1</v>
      </c>
      <c r="F12" t="str">
        <v>m2</v>
      </c>
      <c r="G12" t="str">
        <v>per m2</v>
      </c>
      <c r="H12">
        <v>167294.15178000001</v>
      </c>
      <c r="I12">
        <v>1</v>
      </c>
      <c r="J12">
        <v>167294.15178000001</v>
      </c>
      <c r="K12">
        <v>499.0019999999999</v>
      </c>
      <c r="L12">
        <v>83480116.32652356</v>
      </c>
    </row>
    <row r="13">
      <c r="A13">
        <v>2</v>
      </c>
      <c r="B13" t="str">
        <v>UPAH (Labor) — direct-ref lump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1 m2 Pasangan Dinding Bata Merah 3/4 Batu (finish 20 cm), spesi 1:3</v>
      </c>
      <c r="D14" t="str">
        <v>direct-reference lump from Analisa!G385 (block: 1 m2 Pasangan Dinding Bata Merah 3/4 Batu (finish 20 cm), spesi 1:3)</v>
      </c>
      <c r="E14">
        <v>1</v>
      </c>
      <c r="F14" t="str">
        <v>m2</v>
      </c>
      <c r="G14" t="str">
        <v>per m2</v>
      </c>
      <c r="H14">
        <v>112000</v>
      </c>
      <c r="I14">
        <v>1</v>
      </c>
      <c r="J14">
        <v>112000</v>
      </c>
      <c r="K14">
        <v>499.0019999999999</v>
      </c>
      <c r="L14">
        <v>55888223.999999985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>SUBTOTAL — At-cost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>
        <v>279294.15178</v>
      </c>
      <c r="J16" t="str">
        <v/>
      </c>
      <c r="K16" t="str">
        <v/>
      </c>
      <c r="L16">
        <v>139368340.32652354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>RECONCILIATION</v>
      </c>
    </row>
    <row r="19">
      <c r="A19" t="str">
        <v>Computed unit cost</v>
      </c>
      <c r="B19">
        <v>279294.15178</v>
      </c>
    </row>
    <row r="20">
      <c r="A20" t="str">
        <v>RAB (A) source unit cost</v>
      </c>
      <c r="B20">
        <v>279294.15178</v>
      </c>
    </row>
    <row r="21">
      <c r="A21" t="str">
        <v>Variance</v>
      </c>
      <c r="B21">
        <v>0</v>
      </c>
      <c r="C21" t="str">
        <v>✓ OK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>Computed line total</v>
      </c>
      <c r="B23">
        <v>139368340.32652354</v>
      </c>
    </row>
    <row r="24">
      <c r="A24" t="str">
        <v>RAB (A) source line total</v>
      </c>
      <c r="B24">
        <v>161667274.7787673</v>
      </c>
    </row>
    <row r="25">
      <c r="A25" t="str">
        <v>Variance</v>
      </c>
      <c r="B25">
        <v>-22298934.452243745</v>
      </c>
      <c r="C25" t="str">
        <v>✓ OK</v>
      </c>
    </row>
  </sheetData>
  <ignoredErrors>
    <ignoredError numberStoredAsText="1" sqref="A1:L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270</vt:i4>
      </vt:variant>
    </vt:vector>
  </HeadingPairs>
  <TitlesOfParts>
    <vt:vector size="270" baseType="lpstr">
      <vt:lpstr>Upah</vt:lpstr>
      <vt:lpstr>Material</vt:lpstr>
      <vt:lpstr>REKAP BETON BESI BEKISTING</vt:lpstr>
      <vt:lpstr>REKAP Plat</vt:lpstr>
      <vt:lpstr>Plat</vt:lpstr>
      <vt:lpstr>Hasil-Kolom</vt:lpstr>
      <vt:lpstr>Data-Kolom</vt:lpstr>
      <vt:lpstr>Sheet1</vt:lpstr>
      <vt:lpstr>Retaining Wall</vt:lpstr>
      <vt:lpstr>COVER</vt:lpstr>
      <vt:lpstr>REKAP BENANGAN</vt:lpstr>
      <vt:lpstr>REKAP RAB</vt:lpstr>
      <vt:lpstr>RAB (A)</vt:lpstr>
      <vt:lpstr>RAB (B)</vt:lpstr>
      <vt:lpstr>Ben. Profil</vt:lpstr>
      <vt:lpstr>Pas. Dinding</vt:lpstr>
      <vt:lpstr>REKAP Balok</vt:lpstr>
      <vt:lpstr>Data Panjang Balok</vt:lpstr>
      <vt:lpstr>Besi Balok</vt:lpstr>
      <vt:lpstr>Detail Balok</vt:lpstr>
      <vt:lpstr>Hasil-PC</vt:lpstr>
      <vt:lpstr>Data-PC</vt:lpstr>
      <vt:lpstr>REKAP-PC</vt:lpstr>
      <vt:lpstr>Analisa</vt:lpstr>
      <vt:lpstr>Tangga</vt:lpstr>
      <vt:lpstr>PROSES BAJA</vt:lpstr>
      <vt:lpstr>DATA BAJA</vt:lpstr>
      <vt:lpstr>TABEL BAJA</vt:lpstr>
      <vt:lpstr>Recipe Index</vt:lpstr>
      <vt:lpstr>Breakdown (A) II.B.1</vt:lpstr>
      <vt:lpstr>Breakdown (A) II.B.3</vt:lpstr>
      <vt:lpstr>Breakdown (A) III.B.1.1</vt:lpstr>
      <vt:lpstr>Breakdown (A) III.B.1.2</vt:lpstr>
      <vt:lpstr>Breakdown (A) III.B.1.3</vt:lpstr>
      <vt:lpstr>Breakdown (A) III.B.1.4</vt:lpstr>
      <vt:lpstr>Breakdown (A) III.B.1.5</vt:lpstr>
      <vt:lpstr>Breakdown (A) III.B.1.6</vt:lpstr>
      <vt:lpstr>Breakdown (A) III.B.1.7</vt:lpstr>
      <vt:lpstr>Breakdown (A) III.B.1.8</vt:lpstr>
      <vt:lpstr>Breakdown (A) III.B.1.9</vt:lpstr>
      <vt:lpstr>Breakdown (A) III.B.1.10</vt:lpstr>
      <vt:lpstr>Breakdown (A) III.B.1.11</vt:lpstr>
      <vt:lpstr>Breakdown (A) III.B.1.12</vt:lpstr>
      <vt:lpstr>Breakdown (A) III.B.1.13</vt:lpstr>
      <vt:lpstr>Breakdown (A) III.B.1.14</vt:lpstr>
      <vt:lpstr>Breakdown (A) III.B.1.15</vt:lpstr>
      <vt:lpstr>Breakdown (A) III.B.2.1</vt:lpstr>
      <vt:lpstr>Breakdown (A) III.B.2.2</vt:lpstr>
      <vt:lpstr>Breakdown (A) III.B.2.3</vt:lpstr>
      <vt:lpstr>Breakdown (A) III.B.2.4</vt:lpstr>
      <vt:lpstr>Breakdown (A) III.B.2.5</vt:lpstr>
      <vt:lpstr>Breakdown (A) III.B.2.6</vt:lpstr>
      <vt:lpstr>Breakdown (A) III.B.2.7</vt:lpstr>
      <vt:lpstr>Breakdown (A) III.B.2.8</vt:lpstr>
      <vt:lpstr>Breakdown (A) III.B.2.9</vt:lpstr>
      <vt:lpstr>Breakdown (A) III.B.2.10</vt:lpstr>
      <vt:lpstr>Breakdown (A) III.B.2.11</vt:lpstr>
      <vt:lpstr>Breakdown (A) III.B.2.12</vt:lpstr>
      <vt:lpstr>Breakdown (A) III.B.2.13</vt:lpstr>
      <vt:lpstr>Breakdown (A) III.B.2.14</vt:lpstr>
      <vt:lpstr>Breakdown (A) III.B.2.15</vt:lpstr>
      <vt:lpstr>Breakdown (A) III.B.2.16</vt:lpstr>
      <vt:lpstr>Breakdown (A) III.B.2.17</vt:lpstr>
      <vt:lpstr>Breakdown (A) III.B.2.18</vt:lpstr>
      <vt:lpstr>Breakdown (A) III.B.2.19</vt:lpstr>
      <vt:lpstr>Breakdown (A) III.B.3.1</vt:lpstr>
      <vt:lpstr>Breakdown (A) III.B.4.1</vt:lpstr>
      <vt:lpstr>Breakdown (A) III.B.4.2</vt:lpstr>
      <vt:lpstr>Breakdown (A) III.B.4.3</vt:lpstr>
      <vt:lpstr>Breakdown (A) III.B.4.4</vt:lpstr>
      <vt:lpstr>Breakdown (A) III.B.4.5</vt:lpstr>
      <vt:lpstr>Breakdown (A) III.B.4.6</vt:lpstr>
      <vt:lpstr>Breakdown (A) III.B.4.7</vt:lpstr>
      <vt:lpstr>Breakdown (A) III.B.4.8</vt:lpstr>
      <vt:lpstr>Breakdown (A) III.B.4.9</vt:lpstr>
      <vt:lpstr>Breakdown (A) III.B.4.10</vt:lpstr>
      <vt:lpstr>Breakdown (A) III.B.4.11</vt:lpstr>
      <vt:lpstr>Breakdown (A) III.B.4.12</vt:lpstr>
      <vt:lpstr>Breakdown (A) III.B.4.13</vt:lpstr>
      <vt:lpstr>Breakdown (A) III.B.4.14</vt:lpstr>
      <vt:lpstr>Breakdown (A) III.B.4.15</vt:lpstr>
      <vt:lpstr>Breakdown (A) III.B.4.16</vt:lpstr>
      <vt:lpstr>Breakdown (A) III.B.5.1</vt:lpstr>
      <vt:lpstr>Breakdown (A) III.B.5.2</vt:lpstr>
      <vt:lpstr>Breakdown (A) III.B.5.3</vt:lpstr>
      <vt:lpstr>Breakdown (A) III.B.5.4</vt:lpstr>
      <vt:lpstr>Breakdown (A) III.B2.4</vt:lpstr>
      <vt:lpstr>Breakdown (A) IV.A.1.1</vt:lpstr>
      <vt:lpstr>Breakdown (A) IV.A.1.2</vt:lpstr>
      <vt:lpstr>Breakdown (A) IV.A.2.1</vt:lpstr>
      <vt:lpstr>Breakdown (A) IV.A.2.2</vt:lpstr>
      <vt:lpstr>Breakdown (A) IV.A.2.3</vt:lpstr>
      <vt:lpstr>Breakdown (A) IV.A.2.4</vt:lpstr>
      <vt:lpstr>Breakdown (A) IV.A.2.5</vt:lpstr>
      <vt:lpstr>Breakdown (A) IV.A.2.6</vt:lpstr>
      <vt:lpstr>Breakdown (A) IV.A.2.7</vt:lpstr>
      <vt:lpstr>Breakdown (A) IV.A.2.8</vt:lpstr>
      <vt:lpstr>Breakdown (A) IV.A.2.9</vt:lpstr>
      <vt:lpstr>Breakdown (A) IV.A.2.10</vt:lpstr>
      <vt:lpstr>Breakdown (A) IV.A.2.11</vt:lpstr>
      <vt:lpstr>Breakdown (A) IV.A.2.12</vt:lpstr>
      <vt:lpstr>Breakdown (A) IV.A.2.13</vt:lpstr>
      <vt:lpstr>Breakdown (A) IV.A.2.14</vt:lpstr>
      <vt:lpstr>Breakdown (A) IV.A.2.15</vt:lpstr>
      <vt:lpstr>Breakdown (A) IV.A.2.16</vt:lpstr>
      <vt:lpstr>Breakdown (A) IV.A.2.17</vt:lpstr>
      <vt:lpstr>Breakdown (A) IV.A.2.18</vt:lpstr>
      <vt:lpstr>Breakdown (A) IV.A.2.19</vt:lpstr>
      <vt:lpstr>Breakdown (A) IV.A.2.20</vt:lpstr>
      <vt:lpstr>Breakdown (A) IV.A.2.21</vt:lpstr>
      <vt:lpstr>Breakdown (A) IV.A.2.22</vt:lpstr>
      <vt:lpstr>Breakdown (A) IV.A.2.23</vt:lpstr>
      <vt:lpstr>Breakdown (A) IV.A.2.24</vt:lpstr>
      <vt:lpstr>Breakdown (A) IV.A.2.25</vt:lpstr>
      <vt:lpstr>Breakdown (A) IV.A.2.26</vt:lpstr>
      <vt:lpstr>Breakdown (A) IV.A.2.27</vt:lpstr>
      <vt:lpstr>Breakdown (A) IV.A.4.1</vt:lpstr>
      <vt:lpstr>Breakdown (A) IV.A.4.2</vt:lpstr>
      <vt:lpstr>Breakdown (A) IV.A.4.3</vt:lpstr>
      <vt:lpstr>Breakdown (A) IV.A.4.4</vt:lpstr>
      <vt:lpstr>Breakdown (A) IV.A.4.5</vt:lpstr>
      <vt:lpstr>Breakdown (A) IV.A.4.6</vt:lpstr>
      <vt:lpstr>Breakdown (A) IV.A.4.7</vt:lpstr>
      <vt:lpstr>Breakdown (A) IV.A.4.8</vt:lpstr>
      <vt:lpstr>Breakdown (A) IV.A.4.9</vt:lpstr>
      <vt:lpstr>Breakdown (A) IV.A.4.10</vt:lpstr>
      <vt:lpstr>Breakdown (A) IV.A.4.11</vt:lpstr>
      <vt:lpstr>Breakdown (A) IV.A.4.12</vt:lpstr>
      <vt:lpstr>Breakdown (A) IV.A.4.13</vt:lpstr>
      <vt:lpstr>Breakdown (A) IV.A.4.14</vt:lpstr>
      <vt:lpstr>Breakdown (A) IV.A.4.15</vt:lpstr>
      <vt:lpstr>Breakdown (A) IV.A.4.16</vt:lpstr>
      <vt:lpstr>Breakdown (A) IV.B.2</vt:lpstr>
      <vt:lpstr>Breakdown (A) V.A.1.1</vt:lpstr>
      <vt:lpstr>Breakdown (A) V.A.1.2</vt:lpstr>
      <vt:lpstr>Breakdown (A) V.A.2.1</vt:lpstr>
      <vt:lpstr>Breakdown (A) V.A.2.2</vt:lpstr>
      <vt:lpstr>Breakdown (A) V.A.2.3</vt:lpstr>
      <vt:lpstr>Breakdown (A) V.A.2.4</vt:lpstr>
      <vt:lpstr>Breakdown (A) V.A.2.5</vt:lpstr>
      <vt:lpstr>Breakdown (A) V.A.2.6</vt:lpstr>
      <vt:lpstr>Breakdown (A) V.A.2.7</vt:lpstr>
      <vt:lpstr>Breakdown (A) V.A.2.8</vt:lpstr>
      <vt:lpstr>Breakdown (A) V.A.2.9</vt:lpstr>
      <vt:lpstr>Breakdown (A) V.A.2.10</vt:lpstr>
      <vt:lpstr>Breakdown (A) V.A.2.11</vt:lpstr>
      <vt:lpstr>Breakdown (A) V.A.2.12</vt:lpstr>
      <vt:lpstr>Breakdown (A) V.A.2.13</vt:lpstr>
      <vt:lpstr>Breakdown (A) V.A.2.14</vt:lpstr>
      <vt:lpstr>Breakdown (A) V.A.2.15</vt:lpstr>
      <vt:lpstr>Breakdown (A) V.A.2.16</vt:lpstr>
      <vt:lpstr>Breakdown (A) V.A.2.17</vt:lpstr>
      <vt:lpstr>Breakdown (A) V.A.2.18</vt:lpstr>
      <vt:lpstr>Breakdown (A) V.A.2.19</vt:lpstr>
      <vt:lpstr>Breakdown (A) V.A.2.20</vt:lpstr>
      <vt:lpstr>Breakdown (A) V.A.2.21</vt:lpstr>
      <vt:lpstr>Breakdown (A) V.A.2.22</vt:lpstr>
      <vt:lpstr>Breakdown (A) V.A.2.23</vt:lpstr>
      <vt:lpstr>Breakdown (A) V.A.2.24</vt:lpstr>
      <vt:lpstr>Breakdown (A) V.A.2.25</vt:lpstr>
      <vt:lpstr>Breakdown (A) V.A.2.26</vt:lpstr>
      <vt:lpstr>Breakdown (A) V.A.2.27</vt:lpstr>
      <vt:lpstr>Breakdown (A) V.A.2.28</vt:lpstr>
      <vt:lpstr>Breakdown (A) V.A.2.29</vt:lpstr>
      <vt:lpstr>Breakdown (A) V.A.2.30</vt:lpstr>
      <vt:lpstr>Breakdown (A) V.A.2.31</vt:lpstr>
      <vt:lpstr>Breakdown (A) V.A.2.32</vt:lpstr>
      <vt:lpstr>Breakdown (A) V.A.2.33</vt:lpstr>
      <vt:lpstr>Breakdown (A) V.A.4.1</vt:lpstr>
      <vt:lpstr>Breakdown (A) V.A.4.2</vt:lpstr>
      <vt:lpstr>Breakdown (A) V.A.4.3</vt:lpstr>
      <vt:lpstr>Breakdown (A) V.A.4.4</vt:lpstr>
      <vt:lpstr>Breakdown (A) V.A.4.5</vt:lpstr>
      <vt:lpstr>Breakdown (A) V.A.4.6</vt:lpstr>
      <vt:lpstr>Breakdown (A) V.A.4.7</vt:lpstr>
      <vt:lpstr>Breakdown (A) V.A.4.8</vt:lpstr>
      <vt:lpstr>Breakdown (A) V.A.4.9</vt:lpstr>
      <vt:lpstr>Breakdown (A) V.A.4.10</vt:lpstr>
      <vt:lpstr>Breakdown (A) V.A.4.11</vt:lpstr>
      <vt:lpstr>Breakdown (A) V.A.4.12</vt:lpstr>
      <vt:lpstr>Breakdown (A) V.A.4.13</vt:lpstr>
      <vt:lpstr>Breakdown (A) V.A.4.14</vt:lpstr>
      <vt:lpstr>Breakdown (A) V.A.4.15</vt:lpstr>
      <vt:lpstr>Breakdown (A) V.A.4.16</vt:lpstr>
      <vt:lpstr>Breakdown (A) V.B.2</vt:lpstr>
      <vt:lpstr>Breakdown (A) VI.A.1.1</vt:lpstr>
      <vt:lpstr>Breakdown (A) VI.A.1.2</vt:lpstr>
      <vt:lpstr>Breakdown (A) VI.A.2.1</vt:lpstr>
      <vt:lpstr>Breakdown (A) VI.A.2.2</vt:lpstr>
      <vt:lpstr>Breakdown (A) VI.A.2.3</vt:lpstr>
      <vt:lpstr>Breakdown (A) VI.A.2.4</vt:lpstr>
      <vt:lpstr>Breakdown (A) VI.A.2.5</vt:lpstr>
      <vt:lpstr>Breakdown (A) VI.A.2.6</vt:lpstr>
      <vt:lpstr>Breakdown (A) VI.A.2.7</vt:lpstr>
      <vt:lpstr>Breakdown (A) VI.A.2.8</vt:lpstr>
      <vt:lpstr>Breakdown (A) VI.A.2.9</vt:lpstr>
      <vt:lpstr>Breakdown (A) VI.A.2.10</vt:lpstr>
      <vt:lpstr>Breakdown (A) VI.A.2.11</vt:lpstr>
      <vt:lpstr>Breakdown (A) VI.A.2.12</vt:lpstr>
      <vt:lpstr>Breakdown (A) VI.A.2.13</vt:lpstr>
      <vt:lpstr>Breakdown (A) VI.A.2.14</vt:lpstr>
      <vt:lpstr>Breakdown (A) VI.A.2.15</vt:lpstr>
      <vt:lpstr>Breakdown (A) VI.A.2.16</vt:lpstr>
      <vt:lpstr>Breakdown (A) VI.A.2.17</vt:lpstr>
      <vt:lpstr>Breakdown (A) VI.A.2.18</vt:lpstr>
      <vt:lpstr>Breakdown (A) VI.A.2.19</vt:lpstr>
      <vt:lpstr>Breakdown (A) VI.A.2.20</vt:lpstr>
      <vt:lpstr>Breakdown (A) VI.A.2.21</vt:lpstr>
      <vt:lpstr>Breakdown (A) VI.A.2.22</vt:lpstr>
      <vt:lpstr>Breakdown (A) VI.A.2.23</vt:lpstr>
      <vt:lpstr>Breakdown (A) VI.A.2.24</vt:lpstr>
      <vt:lpstr>Breakdown (A) VI.A.2.25</vt:lpstr>
      <vt:lpstr>Breakdown (A) VI.A.2.26</vt:lpstr>
      <vt:lpstr>Breakdown (A) VI.A.2.27</vt:lpstr>
      <vt:lpstr>Breakdown (A) VI.A.2.28</vt:lpstr>
      <vt:lpstr>Breakdown (A) VI.A.2.29</vt:lpstr>
      <vt:lpstr>Breakdown (A) VI.A.2.30</vt:lpstr>
      <vt:lpstr>Breakdown (A) VI.A.2.31</vt:lpstr>
      <vt:lpstr>Breakdown (A) VI.A.2.32</vt:lpstr>
      <vt:lpstr>Breakdown (A) VI.A.2.33</vt:lpstr>
      <vt:lpstr>Breakdown (A) VI.A.2.34</vt:lpstr>
      <vt:lpstr>Breakdown (A) VI.A.4.1</vt:lpstr>
      <vt:lpstr>Breakdown (A) VI.A.4.2</vt:lpstr>
      <vt:lpstr>Breakdown (A) VI.A.4.3</vt:lpstr>
      <vt:lpstr>Breakdown (A) VI.A.4.4</vt:lpstr>
      <vt:lpstr>Breakdown (A) VI.A.4.5</vt:lpstr>
      <vt:lpstr>Breakdown (A) VI.A.4.6</vt:lpstr>
      <vt:lpstr>Breakdown (A) VI.A.4.7</vt:lpstr>
      <vt:lpstr>Breakdown (A) VI.A.4.8</vt:lpstr>
      <vt:lpstr>Breakdown (A) VI.A.4.9</vt:lpstr>
      <vt:lpstr>Breakdown (A) VI.A.4.10</vt:lpstr>
      <vt:lpstr>Breakdown (A) VI.A.4.11</vt:lpstr>
      <vt:lpstr>Breakdown (A) VI.A.4.12</vt:lpstr>
      <vt:lpstr>Breakdown (A) VI.A.4.13</vt:lpstr>
      <vt:lpstr>Breakdown (A) VI.B.1</vt:lpstr>
      <vt:lpstr>Breakdown (A) VI.B.2</vt:lpstr>
      <vt:lpstr>Breakdown (A) VII.A.1.1</vt:lpstr>
      <vt:lpstr>Breakdown (A) VII.A.2.1</vt:lpstr>
      <vt:lpstr>Breakdown (A) VII.A.2.2</vt:lpstr>
      <vt:lpstr>Breakdown (A) VII.A.2.3</vt:lpstr>
      <vt:lpstr>Breakdown (A) VII.A.2.4</vt:lpstr>
      <vt:lpstr>Breakdown (A) VII.A.2.5</vt:lpstr>
      <vt:lpstr>Breakdown (A) VII.A.2.6</vt:lpstr>
      <vt:lpstr>Breakdown (A) VII.A.2.7</vt:lpstr>
      <vt:lpstr>Breakdown (A) VII.A.2.8</vt:lpstr>
      <vt:lpstr>Breakdown (A) VII.A.2.9</vt:lpstr>
      <vt:lpstr>Breakdown (A) VII.A.2.10</vt:lpstr>
      <vt:lpstr>Breakdown (A) VII.A.2.11</vt:lpstr>
      <vt:lpstr>Breakdown (A) VII.A.2.12</vt:lpstr>
      <vt:lpstr>Breakdown (A) VII.A.2.13</vt:lpstr>
      <vt:lpstr>Breakdown (A) VII.A.2.14</vt:lpstr>
      <vt:lpstr>Breakdown (A) VII.A.2.15</vt:lpstr>
      <vt:lpstr>Breakdown (A) VII.A.2.16</vt:lpstr>
      <vt:lpstr>Breakdown (A) VII.A.2.17</vt:lpstr>
      <vt:lpstr>Breakdown (A) VII.A.2.18</vt:lpstr>
      <vt:lpstr>Breakdown (A) VII.A.2.19</vt:lpstr>
      <vt:lpstr>Breakdown (A) VII.A.2.20</vt:lpstr>
      <vt:lpstr>Breakdown (A) VII.A.2.21</vt:lpstr>
      <vt:lpstr>Breakdown (A) VII.A.2.22</vt:lpstr>
      <vt:lpstr>Breakdown (A) VII.A.2.23</vt:lpstr>
      <vt:lpstr>Breakdown (A) VII.A.2.24</vt:lpstr>
      <vt:lpstr>Breakdown (A) IX.A.1</vt:lpstr>
      <vt:lpstr>Breakdown (A) IX.B.1</vt:lpstr>
      <vt:lpstr>Breakdown (A) IX.B.2</vt:lpstr>
      <vt:lpstr>Breakdown (A) IX.B.3</vt:lpstr>
      <vt:lpstr>Breakdown (A) IX.B.4</vt:lpstr>
      <vt:lpstr>Breakdown (A) IX.C.1</vt:lpstr>
      <vt:lpstr>Breakdown (A) IX.C.2</vt:lpstr>
      <vt:lpstr>Breakdown (A) IX.C.3</vt:lpstr>
      <vt:lpstr>Breakdown (A) IX.D.1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2023-09-04T02:35:00Z</dcterms:created>
  <dcterms:modified xsi:type="dcterms:W3CDTF">2025-08-21T10:58:14Z</dcterms:modified>
  <cp:lastModifiedBy>WIN10</cp:lastModifiedBy>
  <cp:lastPrinted>2025-02-22T00:10:56Z</cp:lastPrinted>
  <dc:creator>W7</dc:creator>
</cp:coreProperties>
</file>